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" yWindow="168" windowWidth="14088" windowHeight="12360" activeTab="1"/>
  </bookViews>
  <sheets>
    <sheet name="Раздел 1" sheetId="2" r:id="rId1"/>
    <sheet name="2020" sheetId="4" r:id="rId2"/>
    <sheet name="2021" sheetId="5" r:id="rId3"/>
    <sheet name="2022" sheetId="6" r:id="rId4"/>
    <sheet name="свод" sheetId="7" state="hidden" r:id="rId5"/>
  </sheets>
  <definedNames>
    <definedName name="_xlnm._FilterDatabase" localSheetId="1" hidden="1">'2020'!$A$8:$AO$698</definedName>
    <definedName name="_xlnm._FilterDatabase" localSheetId="2" hidden="1">'2021'!$A$9:$AO$2870</definedName>
    <definedName name="_xlnm._FilterDatabase" localSheetId="0" hidden="1">'Раздел 1'!$A$10:$XFB$3792</definedName>
    <definedName name="Z_01451C91_14DA_4D26_B1B3_18A70391612A_.wvu.FilterData" localSheetId="1" hidden="1">'2020'!$A$8:$AO$68</definedName>
    <definedName name="Z_01451C91_14DA_4D26_B1B3_18A70391612A_.wvu.PrintArea" localSheetId="1" hidden="1">'2020'!$A$1:$W$824</definedName>
    <definedName name="Z_01451C91_14DA_4D26_B1B3_18A70391612A_.wvu.PrintArea" localSheetId="2" hidden="1">'2021'!$A$1:$W$2870</definedName>
    <definedName name="Z_01451C91_14DA_4D26_B1B3_18A70391612A_.wvu.PrintArea" localSheetId="3" hidden="1">'2022'!$A$1:$W$1353</definedName>
    <definedName name="Z_01451C91_14DA_4D26_B1B3_18A70391612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$561:$563,'2020'!#REF!,'2020'!#REF!,'2020'!#REF!,'2020'!#REF!,'2020'!#REF!,'2020'!#REF!,'2020'!#REF!,'2020'!#REF!,'2020'!#REF!,'2020'!$699:$699,'2020'!#REF!</definedName>
    <definedName name="Z_01451C91_14DA_4D26_B1B3_18A70391612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$2182:$2201,'2021'!#REF!,'2021'!#REF!,'2021'!#REF!,'2021'!#REF!,'2021'!#REF!</definedName>
    <definedName name="Z_01451C91_14DA_4D26_B1B3_18A70391612A_.wvu.Rows" localSheetId="3" hidden="1">'2022'!#REF!,'2022'!#REF!,'2022'!#REF!,'2022'!#REF!,'2022'!#REF!,'2022'!#REF!,'2022'!#REF!,'2022'!#REF!,'2022'!#REF!,'2022'!#REF!,'2022'!#REF!,'2022'!$253:$253,'2022'!#REF!,'2022'!#REF!,'2022'!#REF!,'2022'!#REF!,'2022'!#REF!,'2022'!#REF!,'2022'!#REF!,'2022'!#REF!,'2022'!#REF!,'2022'!#REF!,'2022'!$669:$672,'2022'!$686:$697,'2022'!$814:$821,'2022'!$831:$837,'2022'!$880:$890,'2022'!#REF!,'2022'!#REF!,'2022'!#REF!,'2022'!#REF!,'2022'!#REF!,'2022'!#REF!,'2022'!#REF!,'2022'!#REF!,'2022'!#REF!</definedName>
    <definedName name="Z_16B8344E_73EB_416B_B009_420D58C33AEC_.wvu.FilterData" localSheetId="1" hidden="1">'2020'!$A$8:$AO$68</definedName>
    <definedName name="Z_16B8344E_73EB_416B_B009_420D58C33AEC_.wvu.PrintArea" localSheetId="1" hidden="1">'2020'!$A$1:$W$824</definedName>
    <definedName name="Z_16B8344E_73EB_416B_B009_420D58C33AEC_.wvu.PrintArea" localSheetId="2" hidden="1">'2021'!$A$1:$W$2870</definedName>
    <definedName name="Z_16B8344E_73EB_416B_B009_420D58C33AEC_.wvu.PrintArea" localSheetId="3" hidden="1">'2022'!$A$1:$W$1353</definedName>
    <definedName name="Z_16B8344E_73EB_416B_B009_420D58C33AEC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$561:$563,'2020'!#REF!,'2020'!#REF!,'2020'!#REF!,'2020'!#REF!,'2020'!#REF!,'2020'!#REF!,'2020'!#REF!,'2020'!#REF!,'2020'!#REF!,'2020'!$699:$699,'2020'!#REF!</definedName>
    <definedName name="Z_16B8344E_73EB_416B_B009_420D58C33AEC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$2182:$2201,'2021'!#REF!,'2021'!#REF!,'2021'!#REF!,'2021'!#REF!,'2021'!#REF!</definedName>
    <definedName name="Z_16B8344E_73EB_416B_B009_420D58C33AEC_.wvu.Rows" localSheetId="3" hidden="1">'2022'!#REF!,'2022'!#REF!,'2022'!#REF!,'2022'!#REF!,'2022'!#REF!,'2022'!#REF!,'2022'!#REF!,'2022'!#REF!,'2022'!#REF!,'2022'!#REF!,'2022'!#REF!,'2022'!$253:$253,'2022'!#REF!,'2022'!#REF!,'2022'!#REF!,'2022'!#REF!,'2022'!#REF!,'2022'!#REF!,'2022'!#REF!,'2022'!#REF!,'2022'!#REF!,'2022'!#REF!,'2022'!$669:$672,'2022'!$686:$697,'2022'!$814:$821,'2022'!$831:$837,'2022'!$880:$890,'2022'!#REF!,'2022'!#REF!,'2022'!#REF!,'2022'!#REF!,'2022'!#REF!,'2022'!#REF!,'2022'!#REF!,'2022'!#REF!,'2022'!#REF!</definedName>
    <definedName name="Z_1B9CDF8A_2F5D_4B91_80D4_6D7CCC92D8AA_.wvu.FilterData" localSheetId="1" hidden="1">'2020'!$A$8:$AO$68</definedName>
    <definedName name="Z_35164214_6B83_4B40_8294_2E9A0423440B_.wvu.FilterData" localSheetId="1" hidden="1">'2020'!$A$102:$AO$186</definedName>
    <definedName name="Z_35164214_6B83_4B40_8294_2E9A0423440B_.wvu.PrintArea" localSheetId="1" hidden="1">'2020'!$A$1:$W$824</definedName>
    <definedName name="Z_35164214_6B83_4B40_8294_2E9A0423440B_.wvu.PrintArea" localSheetId="2" hidden="1">'2021'!$A$1:$W$2870</definedName>
    <definedName name="Z_35164214_6B83_4B40_8294_2E9A0423440B_.wvu.PrintArea" localSheetId="3" hidden="1">'2022'!$A$1:$W$1353</definedName>
    <definedName name="Z_35164214_6B83_4B40_8294_2E9A0423440B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$561:$563,'2020'!#REF!,'2020'!#REF!,'2020'!#REF!,'2020'!#REF!,'2020'!#REF!,'2020'!#REF!,'2020'!#REF!,'2020'!#REF!,'2020'!#REF!,'2020'!$699:$699,'2020'!#REF!</definedName>
    <definedName name="Z_35164214_6B83_4B40_8294_2E9A0423440B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$2182:$2201,'2021'!#REF!,'2021'!#REF!,'2021'!#REF!,'2021'!#REF!,'2021'!#REF!</definedName>
    <definedName name="Z_35164214_6B83_4B40_8294_2E9A0423440B_.wvu.Rows" localSheetId="3" hidden="1">'2022'!#REF!,'2022'!#REF!,'2022'!#REF!,'2022'!#REF!,'2022'!#REF!,'2022'!#REF!,'2022'!#REF!,'2022'!#REF!,'2022'!#REF!,'2022'!#REF!,'2022'!#REF!,'2022'!$253:$253,'2022'!#REF!,'2022'!#REF!,'2022'!#REF!,'2022'!#REF!,'2022'!#REF!,'2022'!#REF!,'2022'!#REF!,'2022'!#REF!,'2022'!#REF!,'2022'!#REF!,'2022'!$669:$672,'2022'!$686:$697,'2022'!$814:$821,'2022'!$831:$837,'2022'!$880:$890,'2022'!#REF!,'2022'!#REF!,'2022'!#REF!,'2022'!#REF!,'2022'!#REF!,'2022'!#REF!,'2022'!#REF!,'2022'!#REF!,'2022'!#REF!</definedName>
    <definedName name="Z_4B6D6BCB_EE2D_42AC_9192_354A33B0E0EA_.wvu.FilterData" localSheetId="1" hidden="1">'2020'!$A$8:$AO$68</definedName>
    <definedName name="Z_4B6D6BCB_EE2D_42AC_9192_354A33B0E0EA_.wvu.FilterData" localSheetId="2" hidden="1">'2021'!$A$9:$W$415</definedName>
    <definedName name="Z_4B6D6BCB_EE2D_42AC_9192_354A33B0E0EA_.wvu.PrintArea" localSheetId="1" hidden="1">'2020'!$A$1:$W$824</definedName>
    <definedName name="Z_4B6D6BCB_EE2D_42AC_9192_354A33B0E0EA_.wvu.PrintArea" localSheetId="2" hidden="1">'2021'!$A$1:$W$2870</definedName>
    <definedName name="Z_4B6D6BCB_EE2D_42AC_9192_354A33B0E0EA_.wvu.PrintArea" localSheetId="3" hidden="1">'2022'!$A$1:$W$1353</definedName>
    <definedName name="Z_4B6D6BCB_EE2D_42AC_9192_354A33B0E0EA_.wvu.Rows" localSheetId="2" hidden="1">'2021'!#REF!,'2021'!#REF!,'2021'!#REF!,'2021'!#REF!,'2021'!#REF!,'2021'!#REF!,'2021'!#REF!,'2021'!#REF!,'2021'!#REF!,'2021'!#REF!,'2021'!#REF!,'2021'!#REF!,'2021'!#REF!,'2021'!#REF!,'2021'!#REF!,'2021'!#REF!,'2021'!$2182:$2201,'2021'!#REF!,'2021'!#REF!,'2021'!#REF!,'2021'!#REF!,'2021'!#REF!</definedName>
    <definedName name="Z_4B6D6BCB_EE2D_42AC_9192_354A33B0E0EA_.wvu.Rows" localSheetId="3" hidden="1">'2022'!$669:$672,'2022'!$686:$697,'2022'!$814:$821,'2022'!$831:$837,'2022'!$880:$890,'2022'!#REF!,'2022'!#REF!,'2022'!#REF!,'2022'!#REF!,'2022'!#REF!,'2022'!#REF!,'2022'!#REF!,'2022'!#REF!,'2022'!#REF!</definedName>
    <definedName name="Z_5446568B_FD51_4004_B51D_23EC2018CD0E_.wvu.FilterData" localSheetId="1" hidden="1">'2020'!$A$8:$AO$68</definedName>
    <definedName name="Z_83613F8C_5050_4CDE_94E5_E4721A2F1A39_.wvu.FilterData" localSheetId="1" hidden="1">'2020'!$A$8:$AO$68</definedName>
    <definedName name="Z_B742453E_6192_4495_8455_B4A974C6429E_.wvu.FilterData" localSheetId="1" hidden="1">'2020'!$A$8:$AO$68</definedName>
    <definedName name="Z_B742453E_6192_4495_8455_B4A974C6429E_.wvu.PrintArea" localSheetId="1" hidden="1">'2020'!$A$1:$W$824</definedName>
    <definedName name="Z_B742453E_6192_4495_8455_B4A974C6429E_.wvu.PrintArea" localSheetId="2" hidden="1">'2021'!$A$1:$W$2870</definedName>
    <definedName name="Z_B742453E_6192_4495_8455_B4A974C6429E_.wvu.PrintArea" localSheetId="3" hidden="1">'2022'!$A$1:$W$1353</definedName>
    <definedName name="Z_B742453E_6192_4495_8455_B4A974C6429E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$561:$563,'2020'!#REF!,'2020'!#REF!,'2020'!#REF!,'2020'!#REF!,'2020'!#REF!,'2020'!#REF!,'2020'!#REF!,'2020'!#REF!,'2020'!#REF!,'2020'!$699:$699,'2020'!#REF!</definedName>
    <definedName name="Z_B742453E_6192_4495_8455_B4A974C6429E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$2182:$2201,'2021'!#REF!,'2021'!#REF!,'2021'!#REF!,'2021'!#REF!,'2021'!#REF!</definedName>
    <definedName name="Z_B742453E_6192_4495_8455_B4A974C6429E_.wvu.Rows" localSheetId="3" hidden="1">'2022'!#REF!,'2022'!#REF!,'2022'!#REF!,'2022'!#REF!,'2022'!#REF!,'2022'!#REF!,'2022'!#REF!,'2022'!#REF!,'2022'!#REF!,'2022'!#REF!,'2022'!#REF!,'2022'!$253:$253,'2022'!#REF!,'2022'!#REF!,'2022'!#REF!,'2022'!#REF!,'2022'!#REF!,'2022'!#REF!,'2022'!#REF!,'2022'!#REF!,'2022'!#REF!,'2022'!#REF!,'2022'!$669:$672,'2022'!$686:$697,'2022'!$814:$821,'2022'!$831:$837,'2022'!$880:$890,'2022'!#REF!,'2022'!#REF!,'2022'!#REF!,'2022'!#REF!,'2022'!#REF!,'2022'!#REF!,'2022'!#REF!,'2022'!#REF!,'2022'!#REF!</definedName>
    <definedName name="Z_D2C739B3_6C2A_43E1_9B43_1F38401FDF49_.wvu.FilterData" localSheetId="1" hidden="1">'2020'!$A$8:$AO$68</definedName>
    <definedName name="Z_DE2E8392_397B_4E2C_B9DD_E1C088B12D54_.wvu.FilterData" localSheetId="1" hidden="1">'2020'!$A$8:$AO$68</definedName>
    <definedName name="Z_DFCDC4A7_B1EE_4F7B_A9A5_CB3F46056C80_.wvu.FilterData" localSheetId="1" hidden="1">'2020'!$A$8:$AO$68</definedName>
    <definedName name="Z_DFCDC4A7_B1EE_4F7B_A9A5_CB3F46056C80_.wvu.PrintArea" localSheetId="1" hidden="1">'2020'!$A$1:$W$824</definedName>
    <definedName name="Z_DFCDC4A7_B1EE_4F7B_A9A5_CB3F46056C80_.wvu.PrintArea" localSheetId="2" hidden="1">'2021'!$A$1:$W$2870</definedName>
    <definedName name="Z_DFCDC4A7_B1EE_4F7B_A9A5_CB3F46056C80_.wvu.PrintArea" localSheetId="3" hidden="1">'2022'!$A$1:$W$1353</definedName>
    <definedName name="Z_DFCDC4A7_B1EE_4F7B_A9A5_CB3F46056C80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$561:$563,'2020'!#REF!,'2020'!#REF!,'2020'!#REF!,'2020'!#REF!,'2020'!#REF!,'2020'!#REF!,'2020'!#REF!,'2020'!#REF!,'2020'!#REF!,'2020'!$699:$699,'2020'!#REF!</definedName>
    <definedName name="Z_DFCDC4A7_B1EE_4F7B_A9A5_CB3F46056C80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$2182:$2201,'2021'!#REF!,'2021'!#REF!,'2021'!#REF!,'2021'!#REF!,'2021'!#REF!</definedName>
    <definedName name="Z_DFCDC4A7_B1EE_4F7B_A9A5_CB3F46056C80_.wvu.Rows" localSheetId="3" hidden="1">'2022'!#REF!,'2022'!#REF!,'2022'!#REF!,'2022'!#REF!,'2022'!#REF!,'2022'!#REF!,'2022'!#REF!,'2022'!#REF!,'2022'!#REF!,'2022'!#REF!,'2022'!#REF!,'2022'!$253:$253,'2022'!#REF!,'2022'!#REF!,'2022'!#REF!,'2022'!#REF!,'2022'!#REF!,'2022'!#REF!,'2022'!#REF!,'2022'!#REF!,'2022'!#REF!,'2022'!#REF!,'2022'!$669:$672,'2022'!$686:$697,'2022'!$814:$821,'2022'!$831:$837,'2022'!$880:$890,'2022'!#REF!,'2022'!#REF!,'2022'!#REF!,'2022'!#REF!,'2022'!#REF!,'2022'!#REF!,'2022'!#REF!,'2022'!#REF!,'2022'!#REF!</definedName>
    <definedName name="Z_E557CDC6_6AA0_4DD0_B6F9_A94A1E4C138A_.wvu.FilterData" localSheetId="1" hidden="1">'2020'!$A$8:$AO$68</definedName>
    <definedName name="Z_E557CDC6_6AA0_4DD0_B6F9_A94A1E4C138A_.wvu.PrintArea" localSheetId="1" hidden="1">'2020'!$A$1:$W$824</definedName>
    <definedName name="Z_E557CDC6_6AA0_4DD0_B6F9_A94A1E4C138A_.wvu.PrintArea" localSheetId="2" hidden="1">'2021'!$A$1:$W$2870</definedName>
    <definedName name="Z_E557CDC6_6AA0_4DD0_B6F9_A94A1E4C138A_.wvu.PrintArea" localSheetId="3" hidden="1">'2022'!$A$1:$W$1353</definedName>
    <definedName name="Z_E557CDC6_6AA0_4DD0_B6F9_A94A1E4C138A_.wvu.Rows" localSheetId="1" hidden="1">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#REF!,'2020'!$561:$563,'2020'!#REF!,'2020'!#REF!,'2020'!#REF!,'2020'!#REF!,'2020'!#REF!,'2020'!#REF!,'2020'!#REF!,'2020'!#REF!,'2020'!#REF!,'2020'!$699:$699,'2020'!#REF!</definedName>
    <definedName name="Z_E557CDC6_6AA0_4DD0_B6F9_A94A1E4C138A_.wvu.Rows" localSheetId="2" hidden="1">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#REF!,'2021'!$2182:$2201,'2021'!#REF!,'2021'!#REF!,'2021'!#REF!,'2021'!#REF!,'2021'!#REF!</definedName>
    <definedName name="Z_E557CDC6_6AA0_4DD0_B6F9_A94A1E4C138A_.wvu.Rows" localSheetId="3" hidden="1">'2022'!#REF!,'2022'!#REF!,'2022'!#REF!,'2022'!#REF!,'2022'!#REF!,'2022'!#REF!,'2022'!#REF!,'2022'!#REF!,'2022'!#REF!,'2022'!#REF!,'2022'!#REF!,'2022'!$253:$253,'2022'!#REF!,'2022'!#REF!,'2022'!#REF!,'2022'!#REF!,'2022'!#REF!,'2022'!#REF!,'2022'!#REF!,'2022'!#REF!,'2022'!#REF!,'2022'!#REF!,'2022'!$669:$672,'2022'!$686:$697,'2022'!$814:$821,'2022'!$831:$837,'2022'!$880:$890,'2022'!#REF!,'2022'!#REF!,'2022'!#REF!,'2022'!#REF!,'2022'!#REF!,'2022'!#REF!,'2022'!#REF!,'2022'!#REF!,'2022'!#REF!</definedName>
    <definedName name="Z_F61158DD_B832_4B6B_82D0_8E4EB30BA059_.wvu.FilterData" localSheetId="1" hidden="1">'2020'!$A$8:$AO$68</definedName>
    <definedName name="_xlnm.Print_Area" localSheetId="1">'2020'!$A$1:$W$827</definedName>
    <definedName name="_xlnm.Print_Area" localSheetId="2">'2021'!$A$1:$W$2872</definedName>
    <definedName name="_xlnm.Print_Area" localSheetId="3">'2022'!$A$1:$W$1355</definedName>
  </definedNames>
  <calcPr calcId="145621"/>
</workbook>
</file>

<file path=xl/calcChain.xml><?xml version="1.0" encoding="utf-8"?>
<calcChain xmlns="http://schemas.openxmlformats.org/spreadsheetml/2006/main">
  <c r="H2632" i="2" l="1"/>
  <c r="I2632" i="2"/>
  <c r="V667" i="4" l="1"/>
  <c r="U667" i="4"/>
  <c r="T667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W666" i="4"/>
  <c r="W667" i="4" s="1"/>
  <c r="D666" i="4"/>
  <c r="D667" i="4" s="1"/>
  <c r="C666" i="4" l="1"/>
  <c r="C667" i="4" s="1"/>
  <c r="C30" i="7"/>
  <c r="C2644" i="5" l="1"/>
  <c r="C2239" i="5"/>
  <c r="C2238" i="5"/>
  <c r="C2127" i="5" l="1"/>
  <c r="C2038" i="5"/>
  <c r="C1571" i="5" l="1"/>
  <c r="C1539" i="5"/>
  <c r="D1538" i="5"/>
  <c r="C1506" i="5"/>
  <c r="C1501" i="5"/>
  <c r="D1500" i="5"/>
  <c r="D1266" i="5"/>
  <c r="X1267" i="5"/>
  <c r="D1267" i="5"/>
  <c r="C1267" i="5" s="1"/>
  <c r="X1260" i="5"/>
  <c r="D1260" i="5"/>
  <c r="C1260" i="5" s="1"/>
  <c r="C1029" i="5" l="1"/>
  <c r="C276" i="5"/>
  <c r="D222" i="5"/>
  <c r="C222" i="5" s="1"/>
  <c r="S24" i="6" l="1"/>
  <c r="S27" i="6"/>
  <c r="S32" i="6"/>
  <c r="S38" i="6"/>
  <c r="S41" i="6"/>
  <c r="S45" i="6"/>
  <c r="S48" i="6"/>
  <c r="S53" i="6"/>
  <c r="S63" i="6"/>
  <c r="S68" i="6"/>
  <c r="S73" i="6"/>
  <c r="S77" i="6"/>
  <c r="S105" i="6"/>
  <c r="S124" i="6"/>
  <c r="S132" i="6"/>
  <c r="S135" i="6"/>
  <c r="S138" i="6"/>
  <c r="S143" i="6"/>
  <c r="S157" i="6"/>
  <c r="S169" i="6"/>
  <c r="S187" i="6"/>
  <c r="S223" i="6"/>
  <c r="S227" i="6"/>
  <c r="S232" i="6"/>
  <c r="S245" i="6"/>
  <c r="S250" i="6"/>
  <c r="S257" i="6"/>
  <c r="S264" i="6"/>
  <c r="S270" i="6"/>
  <c r="S273" i="6"/>
  <c r="S283" i="6"/>
  <c r="S336" i="6"/>
  <c r="S363" i="6"/>
  <c r="S372" i="6"/>
  <c r="S375" i="6"/>
  <c r="S423" i="6"/>
  <c r="S432" i="6"/>
  <c r="S435" i="6"/>
  <c r="S438" i="6"/>
  <c r="S441" i="6"/>
  <c r="S445" i="6"/>
  <c r="S448" i="6"/>
  <c r="S454" i="6"/>
  <c r="S464" i="6"/>
  <c r="S471" i="6"/>
  <c r="S478" i="6"/>
  <c r="S481" i="6"/>
  <c r="S498" i="6"/>
  <c r="S508" i="6"/>
  <c r="S630" i="6"/>
  <c r="S668" i="6"/>
  <c r="S672" i="6"/>
  <c r="S676" i="6"/>
  <c r="S680" i="6"/>
  <c r="S685" i="6"/>
  <c r="S697" i="6"/>
  <c r="S701" i="6"/>
  <c r="S752" i="6"/>
  <c r="S757" i="6"/>
  <c r="S798" i="6"/>
  <c r="S803" i="6"/>
  <c r="S809" i="6"/>
  <c r="S813" i="6"/>
  <c r="S821" i="6"/>
  <c r="S827" i="6"/>
  <c r="S830" i="6"/>
  <c r="S837" i="6"/>
  <c r="S840" i="6"/>
  <c r="S853" i="6"/>
  <c r="S867" i="6"/>
  <c r="S870" i="6"/>
  <c r="S873" i="6"/>
  <c r="S879" i="6"/>
  <c r="S890" i="6"/>
  <c r="S901" i="6"/>
  <c r="S907" i="6"/>
  <c r="S912" i="6"/>
  <c r="S936" i="6"/>
  <c r="S939" i="6"/>
  <c r="S943" i="6"/>
  <c r="S947" i="6"/>
  <c r="S967" i="6"/>
  <c r="S973" i="6"/>
  <c r="S981" i="6"/>
  <c r="S986" i="6"/>
  <c r="S992" i="6"/>
  <c r="S1001" i="6"/>
  <c r="S1006" i="6"/>
  <c r="S1010" i="6"/>
  <c r="S1016" i="6"/>
  <c r="S1027" i="6"/>
  <c r="S1032" i="6"/>
  <c r="S1038" i="6"/>
  <c r="S1048" i="6"/>
  <c r="S1049" i="6" s="1"/>
  <c r="S1202" i="6"/>
  <c r="S1254" i="6"/>
  <c r="S1281" i="6"/>
  <c r="S1302" i="6"/>
  <c r="S1305" i="6"/>
  <c r="S1311" i="6"/>
  <c r="S1319" i="6"/>
  <c r="S1351" i="6"/>
  <c r="I3182" i="2"/>
  <c r="K3614" i="2"/>
  <c r="L3614" i="2"/>
  <c r="K2632" i="2"/>
  <c r="L2632" i="2"/>
  <c r="M2632" i="2"/>
  <c r="H2576" i="2"/>
  <c r="I2576" i="2"/>
  <c r="K2576" i="2"/>
  <c r="L2576" i="2"/>
  <c r="M2576" i="2"/>
  <c r="I2550" i="2"/>
  <c r="K2550" i="2"/>
  <c r="L2550" i="2"/>
  <c r="M2550" i="2"/>
  <c r="H2496" i="2"/>
  <c r="I2496" i="2"/>
  <c r="K2496" i="2"/>
  <c r="L2496" i="2"/>
  <c r="M2496" i="2"/>
  <c r="H1351" i="2"/>
  <c r="I1351" i="2"/>
  <c r="K1351" i="2"/>
  <c r="L1351" i="2"/>
  <c r="M1351" i="2"/>
  <c r="H1347" i="2"/>
  <c r="I1347" i="2"/>
  <c r="K1347" i="2"/>
  <c r="L1347" i="2"/>
  <c r="M1347" i="2"/>
  <c r="H1319" i="2"/>
  <c r="I1319" i="2"/>
  <c r="K1319" i="2"/>
  <c r="L1319" i="2"/>
  <c r="M1319" i="2"/>
  <c r="H1259" i="2"/>
  <c r="I1259" i="2"/>
  <c r="K1259" i="2"/>
  <c r="L1259" i="2"/>
  <c r="M1259" i="2"/>
  <c r="H1251" i="2"/>
  <c r="I1251" i="2"/>
  <c r="K1251" i="2"/>
  <c r="L1251" i="2"/>
  <c r="M1251" i="2"/>
  <c r="H1176" i="2"/>
  <c r="I1176" i="2"/>
  <c r="K1176" i="2"/>
  <c r="L1176" i="2"/>
  <c r="M1176" i="2"/>
  <c r="H1170" i="2"/>
  <c r="I1170" i="2"/>
  <c r="K1170" i="2"/>
  <c r="L1170" i="2"/>
  <c r="M1170" i="2"/>
  <c r="H1145" i="2"/>
  <c r="I1145" i="2"/>
  <c r="K1145" i="2"/>
  <c r="L1145" i="2"/>
  <c r="M1145" i="2"/>
  <c r="H1142" i="2"/>
  <c r="I1142" i="2"/>
  <c r="K1142" i="2"/>
  <c r="L1142" i="2"/>
  <c r="M1142" i="2"/>
  <c r="H1083" i="2"/>
  <c r="I1083" i="2"/>
  <c r="K1083" i="2"/>
  <c r="L1083" i="2"/>
  <c r="M1083" i="2"/>
  <c r="H818" i="2"/>
  <c r="I818" i="2"/>
  <c r="K818" i="2"/>
  <c r="L818" i="2"/>
  <c r="M818" i="2"/>
  <c r="H566" i="2"/>
  <c r="I566" i="2"/>
  <c r="K566" i="2"/>
  <c r="L566" i="2"/>
  <c r="M566" i="2"/>
  <c r="H595" i="2"/>
  <c r="I595" i="2"/>
  <c r="K595" i="2"/>
  <c r="L595" i="2"/>
  <c r="M595" i="2"/>
  <c r="H599" i="2"/>
  <c r="I599" i="2"/>
  <c r="K599" i="2"/>
  <c r="L599" i="2"/>
  <c r="M599" i="2"/>
  <c r="H608" i="2"/>
  <c r="I608" i="2"/>
  <c r="K608" i="2"/>
  <c r="L608" i="2"/>
  <c r="M608" i="2"/>
  <c r="H643" i="2"/>
  <c r="I643" i="2"/>
  <c r="K643" i="2"/>
  <c r="L643" i="2"/>
  <c r="M643" i="2"/>
  <c r="H687" i="2"/>
  <c r="I687" i="2"/>
  <c r="K687" i="2"/>
  <c r="L687" i="2"/>
  <c r="M687" i="2"/>
  <c r="H695" i="2"/>
  <c r="I695" i="2"/>
  <c r="K695" i="2"/>
  <c r="L695" i="2"/>
  <c r="M695" i="2"/>
  <c r="H699" i="2"/>
  <c r="I699" i="2"/>
  <c r="K699" i="2"/>
  <c r="L699" i="2"/>
  <c r="M699" i="2"/>
  <c r="H708" i="2"/>
  <c r="I708" i="2"/>
  <c r="K708" i="2"/>
  <c r="L708" i="2"/>
  <c r="M708" i="2"/>
  <c r="H773" i="2"/>
  <c r="I773" i="2"/>
  <c r="K773" i="2"/>
  <c r="L773" i="2"/>
  <c r="M773" i="2"/>
  <c r="H778" i="2"/>
  <c r="I778" i="2"/>
  <c r="K778" i="2"/>
  <c r="L778" i="2"/>
  <c r="M778" i="2"/>
  <c r="H785" i="2"/>
  <c r="I785" i="2"/>
  <c r="K785" i="2"/>
  <c r="L785" i="2"/>
  <c r="M785" i="2"/>
  <c r="H812" i="2"/>
  <c r="I812" i="2"/>
  <c r="K812" i="2"/>
  <c r="L812" i="2"/>
  <c r="M812" i="2"/>
  <c r="S28" i="6" l="1"/>
  <c r="S968" i="6"/>
  <c r="S891" i="6"/>
  <c r="S472" i="6"/>
  <c r="S364" i="6"/>
  <c r="S1282" i="6"/>
  <c r="S993" i="6"/>
  <c r="S449" i="6"/>
  <c r="S258" i="6"/>
  <c r="S54" i="6"/>
  <c r="S1352" i="6"/>
  <c r="S753" i="6"/>
  <c r="S509" i="6"/>
  <c r="S144" i="6"/>
  <c r="S1039" i="6"/>
  <c r="S804" i="6"/>
  <c r="K1352" i="2"/>
  <c r="L1352" i="2"/>
  <c r="I1352" i="2"/>
  <c r="M1352" i="2"/>
  <c r="H1352" i="2"/>
  <c r="M813" i="2"/>
  <c r="I813" i="2"/>
  <c r="L813" i="2"/>
  <c r="H813" i="2"/>
  <c r="K813" i="2"/>
  <c r="J2497" i="2"/>
  <c r="J2229" i="2"/>
  <c r="J1987" i="2"/>
  <c r="J1986" i="2"/>
  <c r="J1887" i="2"/>
  <c r="J1891" i="2"/>
  <c r="J1844" i="2"/>
  <c r="J1852" i="2"/>
  <c r="J1861" i="2"/>
  <c r="J1869" i="2"/>
  <c r="J1872" i="2"/>
  <c r="J1875" i="2"/>
  <c r="J1878" i="2"/>
  <c r="J1881" i="2"/>
  <c r="J1366" i="2"/>
  <c r="J1371" i="2"/>
  <c r="J1383" i="2"/>
  <c r="J1410" i="2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T169" i="6"/>
  <c r="U169" i="6"/>
  <c r="V169" i="6"/>
  <c r="E1254" i="6"/>
  <c r="F1254" i="6"/>
  <c r="G1254" i="6"/>
  <c r="H1254" i="6"/>
  <c r="I1254" i="6"/>
  <c r="J1254" i="6"/>
  <c r="K1254" i="6"/>
  <c r="L1254" i="6"/>
  <c r="M1254" i="6"/>
  <c r="O1254" i="6"/>
  <c r="Q1254" i="6"/>
  <c r="T1254" i="6"/>
  <c r="U1254" i="6"/>
  <c r="V1254" i="6"/>
  <c r="W1254" i="6"/>
  <c r="E771" i="4"/>
  <c r="F771" i="4"/>
  <c r="G771" i="4"/>
  <c r="H771" i="4"/>
  <c r="I771" i="4"/>
  <c r="J771" i="4"/>
  <c r="K771" i="4"/>
  <c r="L771" i="4"/>
  <c r="M771" i="4"/>
  <c r="N771" i="4"/>
  <c r="O771" i="4"/>
  <c r="P771" i="4"/>
  <c r="Q771" i="4"/>
  <c r="R771" i="4"/>
  <c r="S771" i="4"/>
  <c r="T771" i="4"/>
  <c r="U771" i="4"/>
  <c r="V771" i="4"/>
  <c r="W771" i="4"/>
  <c r="W2786" i="5"/>
  <c r="D2786" i="5"/>
  <c r="W2781" i="5"/>
  <c r="D2781" i="5"/>
  <c r="W2768" i="5"/>
  <c r="D2768" i="5"/>
  <c r="W2708" i="5"/>
  <c r="D2708" i="5"/>
  <c r="P2502" i="5"/>
  <c r="W2266" i="5"/>
  <c r="D2266" i="5"/>
  <c r="W2260" i="5"/>
  <c r="D2260" i="5"/>
  <c r="W2247" i="5"/>
  <c r="D2247" i="5"/>
  <c r="W2245" i="5"/>
  <c r="D2245" i="5"/>
  <c r="D1687" i="5"/>
  <c r="C1687" i="5" s="1"/>
  <c r="D1689" i="5"/>
  <c r="C1673" i="5"/>
  <c r="D1672" i="5"/>
  <c r="C462" i="6"/>
  <c r="C463" i="6"/>
  <c r="D457" i="6"/>
  <c r="C457" i="6" s="1"/>
  <c r="D458" i="6"/>
  <c r="C458" i="6" s="1"/>
  <c r="D459" i="6"/>
  <c r="C459" i="6" s="1"/>
  <c r="D460" i="6"/>
  <c r="C460" i="6" s="1"/>
  <c r="D461" i="6"/>
  <c r="C461" i="6" s="1"/>
  <c r="W1282" i="5"/>
  <c r="D1282" i="5"/>
  <c r="W1265" i="5"/>
  <c r="D1265" i="5"/>
  <c r="W1264" i="5"/>
  <c r="D1264" i="5"/>
  <c r="W1262" i="5"/>
  <c r="D1262" i="5"/>
  <c r="W1218" i="5"/>
  <c r="D1218" i="5"/>
  <c r="W1197" i="5"/>
  <c r="D1197" i="5"/>
  <c r="W1195" i="5"/>
  <c r="D1195" i="5"/>
  <c r="W1188" i="5"/>
  <c r="D1188" i="5"/>
  <c r="W1181" i="5"/>
  <c r="D1181" i="5"/>
  <c r="W945" i="5"/>
  <c r="D945" i="5"/>
  <c r="W944" i="5"/>
  <c r="D944" i="5"/>
  <c r="W938" i="5"/>
  <c r="D938" i="5"/>
  <c r="W928" i="5"/>
  <c r="D928" i="5"/>
  <c r="W925" i="5"/>
  <c r="D925" i="5"/>
  <c r="W930" i="5"/>
  <c r="D930" i="5"/>
  <c r="W926" i="5"/>
  <c r="D926" i="5"/>
  <c r="S1353" i="6" l="1"/>
  <c r="C1262" i="5"/>
  <c r="C2708" i="5"/>
  <c r="C930" i="5"/>
  <c r="C2768" i="5"/>
  <c r="C928" i="5"/>
  <c r="C944" i="5"/>
  <c r="C2247" i="5"/>
  <c r="C2245" i="5"/>
  <c r="C2260" i="5"/>
  <c r="C926" i="5"/>
  <c r="C945" i="5"/>
  <c r="N1525" i="2"/>
  <c r="J1525" i="2" s="1"/>
  <c r="C1265" i="5"/>
  <c r="C1195" i="5"/>
  <c r="C1218" i="5"/>
  <c r="C938" i="5"/>
  <c r="C2781" i="5"/>
  <c r="C925" i="5"/>
  <c r="C1181" i="5"/>
  <c r="C1264" i="5"/>
  <c r="C1282" i="5"/>
  <c r="C1188" i="5"/>
  <c r="C1197" i="5"/>
  <c r="C2266" i="5"/>
  <c r="C2786" i="5"/>
  <c r="R249" i="6"/>
  <c r="D249" i="6"/>
  <c r="W490" i="5"/>
  <c r="D490" i="5"/>
  <c r="D183" i="4"/>
  <c r="C183" i="4" s="1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W288" i="5"/>
  <c r="D288" i="5"/>
  <c r="R72" i="6"/>
  <c r="R67" i="6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D52" i="4"/>
  <c r="C52" i="4" s="1"/>
  <c r="P111" i="5"/>
  <c r="W2472" i="5"/>
  <c r="D2472" i="5"/>
  <c r="W2471" i="5"/>
  <c r="D2471" i="5"/>
  <c r="W2470" i="5"/>
  <c r="D2470" i="5"/>
  <c r="W2469" i="5"/>
  <c r="D2469" i="5"/>
  <c r="W2468" i="5"/>
  <c r="D2468" i="5"/>
  <c r="W2467" i="5"/>
  <c r="D2467" i="5"/>
  <c r="W2466" i="5"/>
  <c r="D2466" i="5"/>
  <c r="W2465" i="5"/>
  <c r="D2465" i="5"/>
  <c r="W2464" i="5"/>
  <c r="D2464" i="5"/>
  <c r="W2463" i="5"/>
  <c r="D2463" i="5"/>
  <c r="W2462" i="5"/>
  <c r="D2462" i="5"/>
  <c r="W2461" i="5"/>
  <c r="D2461" i="5"/>
  <c r="W2460" i="5"/>
  <c r="D2460" i="5"/>
  <c r="W2459" i="5"/>
  <c r="D2459" i="5"/>
  <c r="W2458" i="5"/>
  <c r="D2458" i="5"/>
  <c r="W2457" i="5"/>
  <c r="D2457" i="5"/>
  <c r="W2456" i="5"/>
  <c r="D2456" i="5"/>
  <c r="W2455" i="5"/>
  <c r="D2455" i="5"/>
  <c r="W2454" i="5"/>
  <c r="D2454" i="5"/>
  <c r="W2453" i="5"/>
  <c r="D2453" i="5"/>
  <c r="W2452" i="5"/>
  <c r="D2452" i="5"/>
  <c r="W2451" i="5"/>
  <c r="D2451" i="5"/>
  <c r="W2450" i="5"/>
  <c r="D2450" i="5"/>
  <c r="W2449" i="5"/>
  <c r="D2449" i="5"/>
  <c r="W2448" i="5"/>
  <c r="D2448" i="5"/>
  <c r="W2447" i="5"/>
  <c r="D2447" i="5"/>
  <c r="W2446" i="5"/>
  <c r="D2446" i="5"/>
  <c r="W2445" i="5"/>
  <c r="D2445" i="5"/>
  <c r="W2444" i="5"/>
  <c r="D2444" i="5"/>
  <c r="W2443" i="5"/>
  <c r="D2443" i="5"/>
  <c r="W2442" i="5"/>
  <c r="D2442" i="5"/>
  <c r="W2441" i="5"/>
  <c r="D2441" i="5"/>
  <c r="D2440" i="5"/>
  <c r="C2440" i="5" s="1"/>
  <c r="W2439" i="5"/>
  <c r="D2439" i="5"/>
  <c r="W2438" i="5"/>
  <c r="D2438" i="5"/>
  <c r="W2437" i="5"/>
  <c r="D2437" i="5"/>
  <c r="W2436" i="5"/>
  <c r="D2436" i="5"/>
  <c r="W2435" i="5"/>
  <c r="D2435" i="5"/>
  <c r="W2434" i="5"/>
  <c r="D2434" i="5"/>
  <c r="W2433" i="5"/>
  <c r="D2433" i="5"/>
  <c r="W2432" i="5"/>
  <c r="D2432" i="5"/>
  <c r="W2431" i="5"/>
  <c r="D2431" i="5"/>
  <c r="W2430" i="5"/>
  <c r="D2430" i="5"/>
  <c r="W2429" i="5"/>
  <c r="D2429" i="5"/>
  <c r="W2428" i="5"/>
  <c r="D2428" i="5"/>
  <c r="W2427" i="5"/>
  <c r="D2427" i="5"/>
  <c r="W2426" i="5"/>
  <c r="D2426" i="5"/>
  <c r="W2425" i="5"/>
  <c r="D2425" i="5"/>
  <c r="W2424" i="5"/>
  <c r="D2424" i="5"/>
  <c r="W2423" i="5"/>
  <c r="D2423" i="5"/>
  <c r="W2422" i="5"/>
  <c r="D2422" i="5"/>
  <c r="W2421" i="5"/>
  <c r="D2421" i="5"/>
  <c r="W2420" i="5"/>
  <c r="D2420" i="5"/>
  <c r="W2419" i="5"/>
  <c r="D2419" i="5"/>
  <c r="D2418" i="5"/>
  <c r="C2418" i="5" s="1"/>
  <c r="W2417" i="5"/>
  <c r="D2417" i="5"/>
  <c r="W2416" i="5"/>
  <c r="D2416" i="5"/>
  <c r="D2415" i="5"/>
  <c r="C2415" i="5" s="1"/>
  <c r="W2414" i="5"/>
  <c r="D2414" i="5"/>
  <c r="W2413" i="5"/>
  <c r="D2413" i="5"/>
  <c r="W2412" i="5"/>
  <c r="D2412" i="5"/>
  <c r="W2411" i="5"/>
  <c r="D2411" i="5"/>
  <c r="W2410" i="5"/>
  <c r="D2410" i="5"/>
  <c r="D2409" i="5"/>
  <c r="C2409" i="5" s="1"/>
  <c r="W2408" i="5"/>
  <c r="D2408" i="5"/>
  <c r="W2407" i="5"/>
  <c r="D2407" i="5"/>
  <c r="W2406" i="5"/>
  <c r="D2406" i="5"/>
  <c r="W2405" i="5"/>
  <c r="D2405" i="5"/>
  <c r="D2404" i="5"/>
  <c r="C2404" i="5" s="1"/>
  <c r="W2403" i="5"/>
  <c r="D2403" i="5"/>
  <c r="W2402" i="5"/>
  <c r="D2402" i="5"/>
  <c r="D2401" i="5"/>
  <c r="C2401" i="5" s="1"/>
  <c r="W2400" i="5"/>
  <c r="D2400" i="5"/>
  <c r="W2399" i="5"/>
  <c r="D2399" i="5"/>
  <c r="W2398" i="5"/>
  <c r="D2398" i="5"/>
  <c r="W2397" i="5"/>
  <c r="D2397" i="5"/>
  <c r="W2396" i="5"/>
  <c r="D2396" i="5"/>
  <c r="W2395" i="5"/>
  <c r="D2395" i="5"/>
  <c r="W2394" i="5"/>
  <c r="D2394" i="5"/>
  <c r="W2393" i="5"/>
  <c r="D2393" i="5"/>
  <c r="D2392" i="5"/>
  <c r="C2392" i="5" s="1"/>
  <c r="W2391" i="5"/>
  <c r="D2391" i="5"/>
  <c r="W2390" i="5"/>
  <c r="D2390" i="5"/>
  <c r="W2389" i="5"/>
  <c r="D2389" i="5"/>
  <c r="W2388" i="5"/>
  <c r="D2388" i="5"/>
  <c r="W2387" i="5"/>
  <c r="D2387" i="5"/>
  <c r="D2386" i="5"/>
  <c r="C2386" i="5" s="1"/>
  <c r="P2385" i="5"/>
  <c r="E2382" i="5"/>
  <c r="D2382" i="5" s="1"/>
  <c r="W2382" i="5"/>
  <c r="W2381" i="5"/>
  <c r="D2381" i="5"/>
  <c r="D2380" i="5"/>
  <c r="C2380" i="5" s="1"/>
  <c r="W2379" i="5"/>
  <c r="D2379" i="5"/>
  <c r="W2378" i="5"/>
  <c r="D2378" i="5"/>
  <c r="W2377" i="5"/>
  <c r="D2377" i="5"/>
  <c r="W2376" i="5"/>
  <c r="D2376" i="5"/>
  <c r="W2375" i="5"/>
  <c r="D2375" i="5"/>
  <c r="W2374" i="5"/>
  <c r="D2374" i="5"/>
  <c r="D2373" i="5"/>
  <c r="C2373" i="5" s="1"/>
  <c r="W2372" i="5"/>
  <c r="D2372" i="5"/>
  <c r="W2371" i="5"/>
  <c r="D2371" i="5"/>
  <c r="W2370" i="5"/>
  <c r="D2370" i="5"/>
  <c r="W2369" i="5"/>
  <c r="D2369" i="5"/>
  <c r="W2367" i="5"/>
  <c r="D2367" i="5"/>
  <c r="W2366" i="5"/>
  <c r="D2366" i="5"/>
  <c r="W2365" i="5"/>
  <c r="D2365" i="5"/>
  <c r="W2364" i="5"/>
  <c r="D2364" i="5"/>
  <c r="W2363" i="5"/>
  <c r="D2363" i="5"/>
  <c r="W2362" i="5"/>
  <c r="D2362" i="5"/>
  <c r="W2361" i="5"/>
  <c r="D2361" i="5"/>
  <c r="E2346" i="5"/>
  <c r="F2346" i="5"/>
  <c r="G2346" i="5"/>
  <c r="H2346" i="5"/>
  <c r="I2346" i="5"/>
  <c r="J2346" i="5"/>
  <c r="K2346" i="5"/>
  <c r="L2346" i="5"/>
  <c r="M2346" i="5"/>
  <c r="N2346" i="5"/>
  <c r="O2346" i="5"/>
  <c r="P2346" i="5"/>
  <c r="Q2346" i="5"/>
  <c r="R2346" i="5"/>
  <c r="S2346" i="5"/>
  <c r="T2346" i="5"/>
  <c r="U2346" i="5"/>
  <c r="V2346" i="5"/>
  <c r="E2358" i="5"/>
  <c r="F2358" i="5"/>
  <c r="G2358" i="5"/>
  <c r="H2358" i="5"/>
  <c r="I2358" i="5"/>
  <c r="J2358" i="5"/>
  <c r="K2358" i="5"/>
  <c r="L2358" i="5"/>
  <c r="M2358" i="5"/>
  <c r="N2358" i="5"/>
  <c r="O2358" i="5"/>
  <c r="P2358" i="5"/>
  <c r="Q2358" i="5"/>
  <c r="R2358" i="5"/>
  <c r="S2358" i="5"/>
  <c r="T2358" i="5"/>
  <c r="U2358" i="5"/>
  <c r="V2358" i="5"/>
  <c r="W2357" i="5"/>
  <c r="D2357" i="5"/>
  <c r="W2356" i="5"/>
  <c r="D2356" i="5"/>
  <c r="W2355" i="5"/>
  <c r="D2355" i="5"/>
  <c r="W2354" i="5"/>
  <c r="D2354" i="5"/>
  <c r="W2353" i="5"/>
  <c r="D2353" i="5"/>
  <c r="W2352" i="5"/>
  <c r="D2352" i="5"/>
  <c r="W2351" i="5"/>
  <c r="D2351" i="5"/>
  <c r="W2350" i="5"/>
  <c r="D2350" i="5"/>
  <c r="W2349" i="5"/>
  <c r="D2349" i="5"/>
  <c r="W2348" i="5"/>
  <c r="D2348" i="5"/>
  <c r="R456" i="6"/>
  <c r="D456" i="6"/>
  <c r="D470" i="6"/>
  <c r="C470" i="6" s="1"/>
  <c r="D469" i="6"/>
  <c r="C469" i="6" s="1"/>
  <c r="D468" i="6"/>
  <c r="C468" i="6" s="1"/>
  <c r="D467" i="6"/>
  <c r="C467" i="6" s="1"/>
  <c r="D466" i="6"/>
  <c r="C466" i="6" s="1"/>
  <c r="W1658" i="5"/>
  <c r="W1657" i="5"/>
  <c r="W1656" i="5"/>
  <c r="W1655" i="5"/>
  <c r="W1654" i="5"/>
  <c r="W1653" i="5"/>
  <c r="W1652" i="5"/>
  <c r="W1651" i="5"/>
  <c r="W1650" i="5"/>
  <c r="W1649" i="5"/>
  <c r="W1648" i="5"/>
  <c r="W1647" i="5"/>
  <c r="W1646" i="5"/>
  <c r="W1645" i="5"/>
  <c r="W1644" i="5"/>
  <c r="W1643" i="5"/>
  <c r="W1642" i="5"/>
  <c r="W1641" i="5"/>
  <c r="W1640" i="5"/>
  <c r="W1639" i="5"/>
  <c r="W1638" i="5"/>
  <c r="W1637" i="5"/>
  <c r="W1636" i="5"/>
  <c r="W1635" i="5"/>
  <c r="W1634" i="5"/>
  <c r="W1631" i="5"/>
  <c r="D1631" i="5"/>
  <c r="W1630" i="5"/>
  <c r="D1630" i="5"/>
  <c r="W1629" i="5"/>
  <c r="D1629" i="5"/>
  <c r="W1628" i="5"/>
  <c r="D1628" i="5"/>
  <c r="D1627" i="5"/>
  <c r="C1627" i="5" s="1"/>
  <c r="W1626" i="5"/>
  <c r="D1626" i="5"/>
  <c r="W402" i="4"/>
  <c r="V402" i="4"/>
  <c r="U402" i="4"/>
  <c r="T402" i="4"/>
  <c r="S402" i="4"/>
  <c r="R402" i="4"/>
  <c r="Q402" i="4"/>
  <c r="P402" i="4"/>
  <c r="O402" i="4"/>
  <c r="M402" i="4"/>
  <c r="L402" i="4"/>
  <c r="K402" i="4"/>
  <c r="J402" i="4"/>
  <c r="I402" i="4"/>
  <c r="H402" i="4"/>
  <c r="G402" i="4"/>
  <c r="F402" i="4"/>
  <c r="E402" i="4"/>
  <c r="N401" i="4"/>
  <c r="N402" i="4" s="1"/>
  <c r="D401" i="4"/>
  <c r="D400" i="4"/>
  <c r="C400" i="4" s="1"/>
  <c r="C249" i="6" l="1"/>
  <c r="C1626" i="5"/>
  <c r="C2388" i="5"/>
  <c r="C2396" i="5"/>
  <c r="C2400" i="5"/>
  <c r="C471" i="6"/>
  <c r="C456" i="6"/>
  <c r="C464" i="6" s="1"/>
  <c r="C1628" i="5"/>
  <c r="C2372" i="5"/>
  <c r="C2417" i="5"/>
  <c r="C2454" i="5"/>
  <c r="C2458" i="5"/>
  <c r="C2470" i="5"/>
  <c r="C2416" i="5"/>
  <c r="C2459" i="5"/>
  <c r="C2461" i="5"/>
  <c r="C2463" i="5"/>
  <c r="C2465" i="5"/>
  <c r="C2442" i="5"/>
  <c r="C2460" i="5"/>
  <c r="C2464" i="5"/>
  <c r="C1629" i="5"/>
  <c r="C1631" i="5"/>
  <c r="C2446" i="5"/>
  <c r="C2450" i="5"/>
  <c r="C2394" i="5"/>
  <c r="C2398" i="5"/>
  <c r="C2369" i="5"/>
  <c r="C2389" i="5"/>
  <c r="C2391" i="5"/>
  <c r="C2393" i="5"/>
  <c r="C2395" i="5"/>
  <c r="C2397" i="5"/>
  <c r="C2399" i="5"/>
  <c r="C2438" i="5"/>
  <c r="C2444" i="5"/>
  <c r="C2448" i="5"/>
  <c r="C2419" i="5"/>
  <c r="C2421" i="5"/>
  <c r="C2423" i="5"/>
  <c r="C2425" i="5"/>
  <c r="C2427" i="5"/>
  <c r="C2429" i="5"/>
  <c r="C2431" i="5"/>
  <c r="C2433" i="5"/>
  <c r="C2435" i="5"/>
  <c r="C2437" i="5"/>
  <c r="C2443" i="5"/>
  <c r="C2445" i="5"/>
  <c r="C2447" i="5"/>
  <c r="C2449" i="5"/>
  <c r="C2462" i="5"/>
  <c r="C2466" i="5"/>
  <c r="C2351" i="5"/>
  <c r="C2355" i="5"/>
  <c r="C2439" i="5"/>
  <c r="C2468" i="5"/>
  <c r="D2358" i="5"/>
  <c r="C2420" i="5"/>
  <c r="C2422" i="5"/>
  <c r="C2424" i="5"/>
  <c r="C2426" i="5"/>
  <c r="C2428" i="5"/>
  <c r="C2430" i="5"/>
  <c r="C2432" i="5"/>
  <c r="C2434" i="5"/>
  <c r="C2436" i="5"/>
  <c r="C2451" i="5"/>
  <c r="C2453" i="5"/>
  <c r="C2456" i="5"/>
  <c r="C2467" i="5"/>
  <c r="C2469" i="5"/>
  <c r="C2472" i="5"/>
  <c r="C490" i="5"/>
  <c r="C2349" i="5"/>
  <c r="C2353" i="5"/>
  <c r="C2357" i="5"/>
  <c r="C2452" i="5"/>
  <c r="C2348" i="5"/>
  <c r="C2350" i="5"/>
  <c r="C2352" i="5"/>
  <c r="C2354" i="5"/>
  <c r="C2356" i="5"/>
  <c r="C2387" i="5"/>
  <c r="C2390" i="5"/>
  <c r="C2441" i="5"/>
  <c r="C2455" i="5"/>
  <c r="C2457" i="5"/>
  <c r="C2471" i="5"/>
  <c r="C288" i="5"/>
  <c r="C401" i="4"/>
  <c r="C402" i="4" s="1"/>
  <c r="C1630" i="5"/>
  <c r="W1659" i="5"/>
  <c r="W2358" i="5"/>
  <c r="C2361" i="5"/>
  <c r="C2363" i="5"/>
  <c r="C2365" i="5"/>
  <c r="C2367" i="5"/>
  <c r="C2370" i="5"/>
  <c r="C2374" i="5"/>
  <c r="C2376" i="5"/>
  <c r="C2378" i="5"/>
  <c r="C2403" i="5"/>
  <c r="C2405" i="5"/>
  <c r="C2407" i="5"/>
  <c r="C2411" i="5"/>
  <c r="C2413" i="5"/>
  <c r="C2362" i="5"/>
  <c r="C2364" i="5"/>
  <c r="C2366" i="5"/>
  <c r="C2371" i="5"/>
  <c r="C2375" i="5"/>
  <c r="C2377" i="5"/>
  <c r="C2379" i="5"/>
  <c r="C2381" i="5"/>
  <c r="C2402" i="5"/>
  <c r="C2406" i="5"/>
  <c r="C2408" i="5"/>
  <c r="C2410" i="5"/>
  <c r="C2412" i="5"/>
  <c r="C2414" i="5"/>
  <c r="C2382" i="5"/>
  <c r="D402" i="4"/>
  <c r="E404" i="5" l="1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H390" i="5"/>
  <c r="J390" i="5"/>
  <c r="K390" i="5"/>
  <c r="L390" i="5"/>
  <c r="M390" i="5"/>
  <c r="O390" i="5"/>
  <c r="Q390" i="5"/>
  <c r="R390" i="5"/>
  <c r="S390" i="5"/>
  <c r="T390" i="5"/>
  <c r="U390" i="5"/>
  <c r="H1781" i="5"/>
  <c r="J1781" i="5"/>
  <c r="K1781" i="5"/>
  <c r="L1781" i="5"/>
  <c r="M1781" i="5"/>
  <c r="N1781" i="5"/>
  <c r="O1781" i="5"/>
  <c r="P1781" i="5"/>
  <c r="Q1781" i="5"/>
  <c r="R1781" i="5"/>
  <c r="S1781" i="5"/>
  <c r="T1781" i="5"/>
  <c r="U1781" i="5"/>
  <c r="V1781" i="5"/>
  <c r="W1781" i="5"/>
  <c r="F2748" i="5"/>
  <c r="G2748" i="5"/>
  <c r="H2748" i="5"/>
  <c r="I2748" i="5"/>
  <c r="J2748" i="5"/>
  <c r="K2748" i="5"/>
  <c r="L2748" i="5"/>
  <c r="M2748" i="5"/>
  <c r="O2748" i="5"/>
  <c r="P2748" i="5"/>
  <c r="Q2748" i="5"/>
  <c r="R2748" i="5"/>
  <c r="S2748" i="5"/>
  <c r="T2748" i="5"/>
  <c r="U2748" i="5"/>
  <c r="V2748" i="5"/>
  <c r="C26" i="7"/>
  <c r="E399" i="5" l="1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E1693" i="5"/>
  <c r="G1693" i="5"/>
  <c r="H1693" i="5"/>
  <c r="I1693" i="5"/>
  <c r="J1693" i="5"/>
  <c r="K1693" i="5"/>
  <c r="L1693" i="5"/>
  <c r="M1693" i="5"/>
  <c r="N1693" i="5"/>
  <c r="O1693" i="5"/>
  <c r="P1693" i="5"/>
  <c r="Q1693" i="5"/>
  <c r="R1693" i="5"/>
  <c r="S1693" i="5"/>
  <c r="T1693" i="5"/>
  <c r="U1693" i="5"/>
  <c r="N3677" i="2" l="1"/>
  <c r="J3677" i="2" s="1"/>
  <c r="N2740" i="2" l="1"/>
  <c r="J2740" i="2" s="1"/>
  <c r="H175" i="2" l="1"/>
  <c r="I175" i="2"/>
  <c r="K175" i="2"/>
  <c r="L175" i="2"/>
  <c r="N322" i="2"/>
  <c r="N273" i="2"/>
  <c r="N137" i="2"/>
  <c r="A13" i="5"/>
  <c r="A14" i="5" s="1"/>
  <c r="A15" i="5" s="1"/>
  <c r="A16" i="5" s="1"/>
  <c r="A17" i="5" s="1"/>
  <c r="A18" i="5" s="1"/>
  <c r="A19" i="5" s="1"/>
  <c r="A20" i="5" s="1"/>
  <c r="A21" i="5" l="1"/>
  <c r="A22" i="5" s="1"/>
  <c r="A23" i="5" s="1"/>
  <c r="A24" i="5" s="1"/>
  <c r="A25" i="5" s="1"/>
  <c r="A26" i="5" s="1"/>
  <c r="A27" i="5" s="1"/>
  <c r="A28" i="5" s="1"/>
  <c r="A29" i="5" s="1"/>
  <c r="A30" i="5" s="1"/>
  <c r="N2018" i="2"/>
  <c r="J2018" i="2" s="1"/>
  <c r="N1990" i="2"/>
  <c r="J1990" i="2" s="1"/>
  <c r="N1957" i="2"/>
  <c r="J1957" i="2" s="1"/>
  <c r="N1956" i="2"/>
  <c r="J1956" i="2" s="1"/>
  <c r="N1952" i="2"/>
  <c r="J1952" i="2" s="1"/>
  <c r="N1951" i="2"/>
  <c r="J1951" i="2" s="1"/>
  <c r="N1944" i="2"/>
  <c r="J1944" i="2" s="1"/>
  <c r="N1208" i="2"/>
  <c r="H190" i="2" l="1"/>
  <c r="I190" i="2"/>
  <c r="K190" i="2"/>
  <c r="L190" i="2"/>
  <c r="M190" i="2"/>
  <c r="H194" i="2"/>
  <c r="I194" i="2"/>
  <c r="K194" i="2"/>
  <c r="L194" i="2"/>
  <c r="M194" i="2"/>
  <c r="H202" i="2"/>
  <c r="I202" i="2"/>
  <c r="K202" i="2"/>
  <c r="L202" i="2"/>
  <c r="M202" i="2"/>
  <c r="H205" i="2"/>
  <c r="I205" i="2"/>
  <c r="K205" i="2"/>
  <c r="L205" i="2"/>
  <c r="M205" i="2"/>
  <c r="H217" i="2"/>
  <c r="I217" i="2"/>
  <c r="K217" i="2"/>
  <c r="L217" i="2"/>
  <c r="M217" i="2"/>
  <c r="H227" i="2"/>
  <c r="I227" i="2"/>
  <c r="K227" i="2"/>
  <c r="L227" i="2"/>
  <c r="M227" i="2"/>
  <c r="H236" i="2"/>
  <c r="I236" i="2"/>
  <c r="K236" i="2"/>
  <c r="L236" i="2"/>
  <c r="M236" i="2"/>
  <c r="H240" i="2"/>
  <c r="I240" i="2"/>
  <c r="K240" i="2"/>
  <c r="L240" i="2"/>
  <c r="M240" i="2"/>
  <c r="H244" i="2"/>
  <c r="I244" i="2"/>
  <c r="K244" i="2"/>
  <c r="L244" i="2"/>
  <c r="M244" i="2"/>
  <c r="H251" i="2"/>
  <c r="I251" i="2"/>
  <c r="K251" i="2"/>
  <c r="L251" i="2"/>
  <c r="M251" i="2"/>
  <c r="H256" i="2"/>
  <c r="I256" i="2"/>
  <c r="K256" i="2"/>
  <c r="L256" i="2"/>
  <c r="H265" i="2"/>
  <c r="I265" i="2"/>
  <c r="K265" i="2"/>
  <c r="L265" i="2"/>
  <c r="H276" i="2"/>
  <c r="I276" i="2"/>
  <c r="K276" i="2"/>
  <c r="L276" i="2"/>
  <c r="H295" i="2"/>
  <c r="I295" i="2"/>
  <c r="K295" i="2"/>
  <c r="L295" i="2"/>
  <c r="H301" i="2"/>
  <c r="I301" i="2"/>
  <c r="K301" i="2"/>
  <c r="L301" i="2"/>
  <c r="H319" i="2"/>
  <c r="I319" i="2"/>
  <c r="K319" i="2"/>
  <c r="L319" i="2"/>
  <c r="H449" i="2"/>
  <c r="I449" i="2"/>
  <c r="K449" i="2"/>
  <c r="L449" i="2"/>
  <c r="H468" i="2"/>
  <c r="I468" i="2"/>
  <c r="K468" i="2"/>
  <c r="L468" i="2"/>
  <c r="H473" i="2"/>
  <c r="I473" i="2"/>
  <c r="K473" i="2"/>
  <c r="L473" i="2"/>
  <c r="H481" i="2"/>
  <c r="I481" i="2"/>
  <c r="K481" i="2"/>
  <c r="L481" i="2"/>
  <c r="H487" i="2"/>
  <c r="I487" i="2"/>
  <c r="K487" i="2"/>
  <c r="L487" i="2"/>
  <c r="H490" i="2"/>
  <c r="I490" i="2"/>
  <c r="K490" i="2"/>
  <c r="L490" i="2"/>
  <c r="H502" i="2"/>
  <c r="I502" i="2"/>
  <c r="K502" i="2"/>
  <c r="L502" i="2"/>
  <c r="H511" i="2"/>
  <c r="H512" i="2" s="1"/>
  <c r="I511" i="2"/>
  <c r="I512" i="2" s="1"/>
  <c r="K511" i="2"/>
  <c r="L511" i="2"/>
  <c r="I257" i="2" l="1"/>
  <c r="L257" i="2"/>
  <c r="H257" i="2"/>
  <c r="K257" i="2"/>
  <c r="I3749" i="2"/>
  <c r="H3749" i="2"/>
  <c r="H3733" i="2"/>
  <c r="H3725" i="2"/>
  <c r="I3704" i="2"/>
  <c r="H3704" i="2"/>
  <c r="I3694" i="2"/>
  <c r="H3694" i="2"/>
  <c r="I3678" i="2"/>
  <c r="H3678" i="2"/>
  <c r="I3670" i="2"/>
  <c r="H3670" i="2"/>
  <c r="I3665" i="2"/>
  <c r="H3665" i="2"/>
  <c r="I3613" i="2"/>
  <c r="H3613" i="2"/>
  <c r="I3586" i="2"/>
  <c r="H3586" i="2"/>
  <c r="I3360" i="2"/>
  <c r="H3360" i="2"/>
  <c r="I3350" i="2"/>
  <c r="H3350" i="2"/>
  <c r="I3342" i="2"/>
  <c r="H3342" i="2"/>
  <c r="H3182" i="2"/>
  <c r="L3067" i="2"/>
  <c r="L3183" i="2" s="1"/>
  <c r="K3067" i="2"/>
  <c r="K3183" i="2" s="1"/>
  <c r="I3067" i="2"/>
  <c r="H3067" i="2"/>
  <c r="I3055" i="2"/>
  <c r="H3055" i="2"/>
  <c r="I3050" i="2"/>
  <c r="H3050" i="2"/>
  <c r="I3018" i="2"/>
  <c r="H3018" i="2"/>
  <c r="I3014" i="2"/>
  <c r="H3014" i="2"/>
  <c r="I2986" i="2"/>
  <c r="H2986" i="2"/>
  <c r="I2974" i="2"/>
  <c r="H2974" i="2"/>
  <c r="I2935" i="2"/>
  <c r="H2935" i="2"/>
  <c r="I2921" i="2"/>
  <c r="H2921" i="2"/>
  <c r="I2915" i="2"/>
  <c r="H2915" i="2"/>
  <c r="I2909" i="2"/>
  <c r="H2909" i="2"/>
  <c r="I2904" i="2"/>
  <c r="H2904" i="2"/>
  <c r="I2895" i="2"/>
  <c r="H2895" i="2"/>
  <c r="I2885" i="2"/>
  <c r="H2885" i="2"/>
  <c r="I2879" i="2"/>
  <c r="H2879" i="2"/>
  <c r="I2870" i="2"/>
  <c r="H2870" i="2"/>
  <c r="L2621" i="2"/>
  <c r="K2621" i="2"/>
  <c r="I2621" i="2"/>
  <c r="H2621" i="2"/>
  <c r="I2610" i="2"/>
  <c r="H2610" i="2"/>
  <c r="M2604" i="2"/>
  <c r="L2604" i="2"/>
  <c r="K2604" i="2"/>
  <c r="I2604" i="2"/>
  <c r="H2604" i="2"/>
  <c r="I2595" i="2"/>
  <c r="H2595" i="2"/>
  <c r="I2591" i="2"/>
  <c r="H2591" i="2"/>
  <c r="L2566" i="2"/>
  <c r="K2566" i="2"/>
  <c r="I2566" i="2"/>
  <c r="H2566" i="2"/>
  <c r="I2553" i="2"/>
  <c r="H2553" i="2"/>
  <c r="H2550" i="2"/>
  <c r="K2543" i="2"/>
  <c r="H2543" i="2"/>
  <c r="I2525" i="2"/>
  <c r="H2525" i="2"/>
  <c r="I2519" i="2"/>
  <c r="H2519" i="2"/>
  <c r="I2511" i="2"/>
  <c r="H2511" i="2"/>
  <c r="I2489" i="2"/>
  <c r="H2489" i="2"/>
  <c r="I2484" i="2"/>
  <c r="H2484" i="2"/>
  <c r="I2324" i="2"/>
  <c r="H2324" i="2"/>
  <c r="I2319" i="2"/>
  <c r="H2319" i="2"/>
  <c r="I2267" i="2"/>
  <c r="H2267" i="2"/>
  <c r="I2259" i="2"/>
  <c r="H2259" i="2"/>
  <c r="I2247" i="2"/>
  <c r="H2247" i="2"/>
  <c r="I2240" i="2"/>
  <c r="H2240" i="2"/>
  <c r="I2236" i="2"/>
  <c r="H2236" i="2"/>
  <c r="I2232" i="2"/>
  <c r="H2232" i="2"/>
  <c r="I2228" i="2"/>
  <c r="H2228" i="2"/>
  <c r="I2183" i="2"/>
  <c r="H2183" i="2"/>
  <c r="L2176" i="2"/>
  <c r="L2320" i="2" s="1"/>
  <c r="K2176" i="2"/>
  <c r="K2320" i="2" s="1"/>
  <c r="I2176" i="2"/>
  <c r="H2176" i="2"/>
  <c r="I2057" i="2"/>
  <c r="H2057" i="2"/>
  <c r="I2045" i="2"/>
  <c r="H2045" i="2"/>
  <c r="L2036" i="2"/>
  <c r="L2058" i="2" s="1"/>
  <c r="K2036" i="2"/>
  <c r="K2058" i="2" s="1"/>
  <c r="I2036" i="2"/>
  <c r="H2036" i="2"/>
  <c r="I1998" i="2"/>
  <c r="H1998" i="2"/>
  <c r="I1984" i="2"/>
  <c r="H1984" i="2"/>
  <c r="L1977" i="2"/>
  <c r="K1977" i="2"/>
  <c r="I1977" i="2"/>
  <c r="H1977" i="2"/>
  <c r="L1968" i="2"/>
  <c r="K1968" i="2"/>
  <c r="I1968" i="2"/>
  <c r="H1968" i="2"/>
  <c r="I1964" i="2"/>
  <c r="H1964" i="2"/>
  <c r="I1919" i="2"/>
  <c r="H1919" i="2"/>
  <c r="I1909" i="2"/>
  <c r="H1909" i="2"/>
  <c r="I1890" i="2"/>
  <c r="H1890" i="2"/>
  <c r="M1886" i="2"/>
  <c r="L1886" i="2"/>
  <c r="K1886" i="2"/>
  <c r="I1886" i="2"/>
  <c r="H1886" i="2"/>
  <c r="I1880" i="2"/>
  <c r="H1880" i="2"/>
  <c r="I1877" i="2"/>
  <c r="H1877" i="2"/>
  <c r="M1874" i="2"/>
  <c r="L1874" i="2"/>
  <c r="K1874" i="2"/>
  <c r="I1874" i="2"/>
  <c r="H1874" i="2"/>
  <c r="I1871" i="2"/>
  <c r="H1871" i="2"/>
  <c r="M1868" i="2"/>
  <c r="L1868" i="2"/>
  <c r="K1868" i="2"/>
  <c r="I1868" i="2"/>
  <c r="H1868" i="2"/>
  <c r="I1860" i="2"/>
  <c r="H1860" i="2"/>
  <c r="I1851" i="2"/>
  <c r="H1851" i="2"/>
  <c r="I1843" i="2"/>
  <c r="H1843" i="2"/>
  <c r="I1409" i="2"/>
  <c r="H1409" i="2"/>
  <c r="M1382" i="2"/>
  <c r="L1382" i="2"/>
  <c r="K1382" i="2"/>
  <c r="I1382" i="2"/>
  <c r="H1382" i="2"/>
  <c r="I1370" i="2"/>
  <c r="H1370" i="2"/>
  <c r="I1365" i="2"/>
  <c r="H1365" i="2"/>
  <c r="L1910" i="2" l="1"/>
  <c r="H1910" i="2"/>
  <c r="K1978" i="2"/>
  <c r="H2058" i="2"/>
  <c r="H2622" i="2"/>
  <c r="H2896" i="2"/>
  <c r="I3183" i="2"/>
  <c r="H3614" i="2"/>
  <c r="M1910" i="2"/>
  <c r="I1910" i="2"/>
  <c r="L1978" i="2"/>
  <c r="I2058" i="2"/>
  <c r="K2622" i="2"/>
  <c r="I2896" i="2"/>
  <c r="I3614" i="2"/>
  <c r="H2320" i="2"/>
  <c r="K1910" i="2"/>
  <c r="I2320" i="2"/>
  <c r="H3183" i="2"/>
  <c r="I150" i="2"/>
  <c r="K150" i="2"/>
  <c r="L150" i="2"/>
  <c r="H150" i="2"/>
  <c r="I144" i="2"/>
  <c r="K144" i="2"/>
  <c r="L144" i="2"/>
  <c r="H144" i="2"/>
  <c r="I124" i="2"/>
  <c r="K124" i="2"/>
  <c r="L124" i="2"/>
  <c r="H124" i="2"/>
  <c r="I121" i="2"/>
  <c r="K121" i="2"/>
  <c r="L121" i="2"/>
  <c r="H121" i="2"/>
  <c r="J1208" i="2"/>
  <c r="L176" i="2" l="1"/>
  <c r="K176" i="2"/>
  <c r="H176" i="2"/>
  <c r="I176" i="2"/>
  <c r="J322" i="2"/>
  <c r="J137" i="2"/>
  <c r="AB1353" i="6"/>
  <c r="V1351" i="6"/>
  <c r="U1351" i="6"/>
  <c r="T1351" i="6"/>
  <c r="R1351" i="6"/>
  <c r="Q1351" i="6"/>
  <c r="P1351" i="6"/>
  <c r="O1351" i="6"/>
  <c r="N1351" i="6"/>
  <c r="M1351" i="6"/>
  <c r="L1351" i="6"/>
  <c r="K1351" i="6"/>
  <c r="J1351" i="6"/>
  <c r="I1351" i="6"/>
  <c r="H1351" i="6"/>
  <c r="G1351" i="6"/>
  <c r="F1351" i="6"/>
  <c r="E1351" i="6"/>
  <c r="W1350" i="6"/>
  <c r="D1350" i="6"/>
  <c r="W1349" i="6"/>
  <c r="D1349" i="6"/>
  <c r="W1348" i="6"/>
  <c r="D1348" i="6"/>
  <c r="W1347" i="6"/>
  <c r="D1347" i="6"/>
  <c r="W1346" i="6"/>
  <c r="D1346" i="6"/>
  <c r="W1345" i="6"/>
  <c r="D1345" i="6"/>
  <c r="W1344" i="6"/>
  <c r="D1344" i="6"/>
  <c r="W1343" i="6"/>
  <c r="D1343" i="6"/>
  <c r="W1342" i="6"/>
  <c r="D1342" i="6"/>
  <c r="W1341" i="6"/>
  <c r="D1341" i="6"/>
  <c r="W1340" i="6"/>
  <c r="D1340" i="6"/>
  <c r="W1339" i="6"/>
  <c r="D1339" i="6"/>
  <c r="W1338" i="6"/>
  <c r="D1338" i="6"/>
  <c r="W1337" i="6"/>
  <c r="D1337" i="6"/>
  <c r="W1336" i="6"/>
  <c r="D1336" i="6"/>
  <c r="W1335" i="6"/>
  <c r="D1335" i="6"/>
  <c r="W1334" i="6"/>
  <c r="D1334" i="6"/>
  <c r="W1333" i="6"/>
  <c r="D1333" i="6"/>
  <c r="W1332" i="6"/>
  <c r="D1332" i="6"/>
  <c r="W1331" i="6"/>
  <c r="D1331" i="6"/>
  <c r="W1330" i="6"/>
  <c r="D1330" i="6"/>
  <c r="W1329" i="6"/>
  <c r="D1329" i="6"/>
  <c r="W1328" i="6"/>
  <c r="D1328" i="6"/>
  <c r="W1327" i="6"/>
  <c r="D1327" i="6"/>
  <c r="W1326" i="6"/>
  <c r="D1326" i="6"/>
  <c r="W1325" i="6"/>
  <c r="D1325" i="6"/>
  <c r="W1324" i="6"/>
  <c r="D1324" i="6"/>
  <c r="W1323" i="6"/>
  <c r="D1323" i="6"/>
  <c r="W1322" i="6"/>
  <c r="D1322" i="6"/>
  <c r="W1321" i="6"/>
  <c r="D1321" i="6"/>
  <c r="V1319" i="6"/>
  <c r="U1319" i="6"/>
  <c r="T1319" i="6"/>
  <c r="R1319" i="6"/>
  <c r="Q1319" i="6"/>
  <c r="P1319" i="6"/>
  <c r="O1319" i="6"/>
  <c r="N1319" i="6"/>
  <c r="M1319" i="6"/>
  <c r="L1319" i="6"/>
  <c r="K1319" i="6"/>
  <c r="J1319" i="6"/>
  <c r="I1319" i="6"/>
  <c r="H1319" i="6"/>
  <c r="G1319" i="6"/>
  <c r="F1319" i="6"/>
  <c r="E1319" i="6"/>
  <c r="W1318" i="6"/>
  <c r="D1318" i="6"/>
  <c r="W1317" i="6"/>
  <c r="D1317" i="6"/>
  <c r="W1316" i="6"/>
  <c r="D1316" i="6"/>
  <c r="W1315" i="6"/>
  <c r="D1315" i="6"/>
  <c r="W1314" i="6"/>
  <c r="D1314" i="6"/>
  <c r="W1313" i="6"/>
  <c r="D1313" i="6"/>
  <c r="W1311" i="6"/>
  <c r="V1311" i="6"/>
  <c r="U1311" i="6"/>
  <c r="T1311" i="6"/>
  <c r="D1310" i="6"/>
  <c r="C1310" i="6" s="1"/>
  <c r="R1309" i="6"/>
  <c r="R1311" i="6" s="1"/>
  <c r="D1309" i="6"/>
  <c r="D1308" i="6"/>
  <c r="C1308" i="6" s="1"/>
  <c r="N3707" i="2" s="1"/>
  <c r="J3707" i="2" s="1"/>
  <c r="D1307" i="6"/>
  <c r="W1305" i="6"/>
  <c r="V1305" i="6"/>
  <c r="U1305" i="6"/>
  <c r="T1305" i="6"/>
  <c r="R1305" i="6"/>
  <c r="Q1305" i="6"/>
  <c r="P1305" i="6"/>
  <c r="O1305" i="6"/>
  <c r="N1305" i="6"/>
  <c r="M1305" i="6"/>
  <c r="L1305" i="6"/>
  <c r="K1305" i="6"/>
  <c r="J1305" i="6"/>
  <c r="I1305" i="6"/>
  <c r="H1305" i="6"/>
  <c r="G1305" i="6"/>
  <c r="F1305" i="6"/>
  <c r="E1305" i="6"/>
  <c r="D1304" i="6"/>
  <c r="W1302" i="6"/>
  <c r="V1302" i="6"/>
  <c r="U1302" i="6"/>
  <c r="T1302" i="6"/>
  <c r="Q1302" i="6"/>
  <c r="P1302" i="6"/>
  <c r="O1302" i="6"/>
  <c r="N1302" i="6"/>
  <c r="M1302" i="6"/>
  <c r="L1302" i="6"/>
  <c r="K1302" i="6"/>
  <c r="J1302" i="6"/>
  <c r="I1302" i="6"/>
  <c r="H1302" i="6"/>
  <c r="G1302" i="6"/>
  <c r="F1302" i="6"/>
  <c r="E1302" i="6"/>
  <c r="D1301" i="6"/>
  <c r="C1301" i="6" s="1"/>
  <c r="D1300" i="6"/>
  <c r="C1300" i="6" s="1"/>
  <c r="R1299" i="6"/>
  <c r="R1302" i="6" s="1"/>
  <c r="D1299" i="6"/>
  <c r="D1298" i="6"/>
  <c r="C1298" i="6" s="1"/>
  <c r="W1296" i="6"/>
  <c r="K1296" i="6"/>
  <c r="J1296" i="6"/>
  <c r="I1296" i="6"/>
  <c r="H1296" i="6"/>
  <c r="G1296" i="6"/>
  <c r="F1296" i="6"/>
  <c r="E1296" i="6"/>
  <c r="D1295" i="6"/>
  <c r="C1295" i="6" s="1"/>
  <c r="D1294" i="6"/>
  <c r="C1294" i="6" s="1"/>
  <c r="D1293" i="6"/>
  <c r="C1293" i="6" s="1"/>
  <c r="D1292" i="6"/>
  <c r="C1292" i="6" s="1"/>
  <c r="N3676" i="2" s="1"/>
  <c r="J3676" i="2" s="1"/>
  <c r="D1291" i="6"/>
  <c r="C1291" i="6" s="1"/>
  <c r="N3674" i="2" s="1"/>
  <c r="J3674" i="2" s="1"/>
  <c r="D1290" i="6"/>
  <c r="C1290" i="6" s="1"/>
  <c r="N3673" i="2" s="1"/>
  <c r="J3673" i="2" s="1"/>
  <c r="V1288" i="6"/>
  <c r="U1288" i="6"/>
  <c r="T1288" i="6"/>
  <c r="M1288" i="6"/>
  <c r="L1288" i="6"/>
  <c r="K1288" i="6"/>
  <c r="J1288" i="6"/>
  <c r="I1288" i="6"/>
  <c r="H1288" i="6"/>
  <c r="G1288" i="6"/>
  <c r="F1288" i="6"/>
  <c r="E1288" i="6"/>
  <c r="W1287" i="6"/>
  <c r="D1287" i="6"/>
  <c r="W1286" i="6"/>
  <c r="D1286" i="6"/>
  <c r="D1285" i="6"/>
  <c r="W1281" i="6"/>
  <c r="W1282" i="6" s="1"/>
  <c r="V1281" i="6"/>
  <c r="V1282" i="6" s="1"/>
  <c r="U1281" i="6"/>
  <c r="U1282" i="6" s="1"/>
  <c r="T1281" i="6"/>
  <c r="T1282" i="6" s="1"/>
  <c r="R1281" i="6"/>
  <c r="Q1281" i="6"/>
  <c r="Q1282" i="6" s="1"/>
  <c r="P1281" i="6"/>
  <c r="O1281" i="6"/>
  <c r="O1282" i="6" s="1"/>
  <c r="N1281" i="6"/>
  <c r="M1281" i="6"/>
  <c r="M1282" i="6" s="1"/>
  <c r="L1281" i="6"/>
  <c r="L1282" i="6" s="1"/>
  <c r="K1281" i="6"/>
  <c r="K1282" i="6" s="1"/>
  <c r="J1281" i="6"/>
  <c r="J1282" i="6" s="1"/>
  <c r="I1281" i="6"/>
  <c r="I1282" i="6" s="1"/>
  <c r="H1281" i="6"/>
  <c r="H1282" i="6" s="1"/>
  <c r="G1281" i="6"/>
  <c r="G1282" i="6" s="1"/>
  <c r="F1281" i="6"/>
  <c r="F1282" i="6" s="1"/>
  <c r="E1281" i="6"/>
  <c r="E1282" i="6" s="1"/>
  <c r="D1280" i="6"/>
  <c r="C1280" i="6" s="1"/>
  <c r="D1279" i="6"/>
  <c r="C1279" i="6" s="1"/>
  <c r="D1278" i="6"/>
  <c r="C1278" i="6" s="1"/>
  <c r="N3610" i="2" s="1"/>
  <c r="J3610" i="2" s="1"/>
  <c r="D1277" i="6"/>
  <c r="C1277" i="6" s="1"/>
  <c r="D1276" i="6"/>
  <c r="C1276" i="6" s="1"/>
  <c r="D1275" i="6"/>
  <c r="C1275" i="6" s="1"/>
  <c r="N3607" i="2" s="1"/>
  <c r="J3607" i="2" s="1"/>
  <c r="D1274" i="6"/>
  <c r="C1274" i="6" s="1"/>
  <c r="N3606" i="2" s="1"/>
  <c r="J3606" i="2" s="1"/>
  <c r="D1273" i="6"/>
  <c r="C1273" i="6" s="1"/>
  <c r="D1272" i="6"/>
  <c r="C1272" i="6" s="1"/>
  <c r="N3604" i="2" s="1"/>
  <c r="J3604" i="2" s="1"/>
  <c r="D1271" i="6"/>
  <c r="C1271" i="6" s="1"/>
  <c r="N3603" i="2" s="1"/>
  <c r="J3603" i="2" s="1"/>
  <c r="D1270" i="6"/>
  <c r="C1270" i="6" s="1"/>
  <c r="D1269" i="6"/>
  <c r="C1269" i="6" s="1"/>
  <c r="N3601" i="2" s="1"/>
  <c r="J3601" i="2" s="1"/>
  <c r="D1268" i="6"/>
  <c r="C1268" i="6" s="1"/>
  <c r="N3600" i="2" s="1"/>
  <c r="J3600" i="2" s="1"/>
  <c r="D1267" i="6"/>
  <c r="C1267" i="6" s="1"/>
  <c r="N3599" i="2" s="1"/>
  <c r="J3599" i="2" s="1"/>
  <c r="D1266" i="6"/>
  <c r="C1266" i="6" s="1"/>
  <c r="N3598" i="2" s="1"/>
  <c r="J3598" i="2" s="1"/>
  <c r="D1265" i="6"/>
  <c r="C1265" i="6" s="1"/>
  <c r="N3597" i="2" s="1"/>
  <c r="J3597" i="2" s="1"/>
  <c r="D1264" i="6"/>
  <c r="C1264" i="6" s="1"/>
  <c r="N3596" i="2" s="1"/>
  <c r="J3596" i="2" s="1"/>
  <c r="D1263" i="6"/>
  <c r="C1263" i="6" s="1"/>
  <c r="N3595" i="2" s="1"/>
  <c r="J3595" i="2" s="1"/>
  <c r="D1262" i="6"/>
  <c r="C1262" i="6" s="1"/>
  <c r="N3594" i="2" s="1"/>
  <c r="J3594" i="2" s="1"/>
  <c r="D1261" i="6"/>
  <c r="C1261" i="6" s="1"/>
  <c r="D1260" i="6"/>
  <c r="C1260" i="6" s="1"/>
  <c r="N3592" i="2" s="1"/>
  <c r="J3592" i="2" s="1"/>
  <c r="D1259" i="6"/>
  <c r="C1259" i="6" s="1"/>
  <c r="N3591" i="2" s="1"/>
  <c r="J3591" i="2" s="1"/>
  <c r="D1258" i="6"/>
  <c r="C1258" i="6" s="1"/>
  <c r="N3590" i="2" s="1"/>
  <c r="J3590" i="2" s="1"/>
  <c r="D1257" i="6"/>
  <c r="C1257" i="6" s="1"/>
  <c r="N3589" i="2" s="1"/>
  <c r="J3589" i="2" s="1"/>
  <c r="D1256" i="6"/>
  <c r="W1255" i="6"/>
  <c r="D1253" i="6"/>
  <c r="C1253" i="6" s="1"/>
  <c r="D1252" i="6"/>
  <c r="C1252" i="6" s="1"/>
  <c r="D1251" i="6"/>
  <c r="C1251" i="6" s="1"/>
  <c r="D1250" i="6"/>
  <c r="C1250" i="6" s="1"/>
  <c r="R1249" i="6"/>
  <c r="R1254" i="6" s="1"/>
  <c r="D1249" i="6"/>
  <c r="D1248" i="6"/>
  <c r="C1248" i="6" s="1"/>
  <c r="D1247" i="6"/>
  <c r="C1247" i="6" s="1"/>
  <c r="D1246" i="6"/>
  <c r="C1246" i="6" s="1"/>
  <c r="N3561" i="2" s="1"/>
  <c r="J3561" i="2" s="1"/>
  <c r="D1245" i="6"/>
  <c r="C1245" i="6" s="1"/>
  <c r="D1244" i="6"/>
  <c r="C1244" i="6" s="1"/>
  <c r="D1243" i="6"/>
  <c r="C1243" i="6" s="1"/>
  <c r="D1242" i="6"/>
  <c r="C1242" i="6" s="1"/>
  <c r="N3523" i="2" s="1"/>
  <c r="J3523" i="2" s="1"/>
  <c r="D1241" i="6"/>
  <c r="C1241" i="6" s="1"/>
  <c r="D1240" i="6"/>
  <c r="C1240" i="6" s="1"/>
  <c r="D1239" i="6"/>
  <c r="C1239" i="6" s="1"/>
  <c r="P1238" i="6"/>
  <c r="D1238" i="6"/>
  <c r="D1237" i="6"/>
  <c r="C1237" i="6" s="1"/>
  <c r="N1236" i="6"/>
  <c r="N1254" i="6" s="1"/>
  <c r="D1236" i="6"/>
  <c r="D1235" i="6"/>
  <c r="C1235" i="6" s="1"/>
  <c r="D1234" i="6"/>
  <c r="P1233" i="6"/>
  <c r="D1233" i="6"/>
  <c r="D1232" i="6"/>
  <c r="C1232" i="6" s="1"/>
  <c r="D1231" i="6"/>
  <c r="C1231" i="6" s="1"/>
  <c r="P1230" i="6"/>
  <c r="D1230" i="6"/>
  <c r="D1229" i="6"/>
  <c r="C1229" i="6" s="1"/>
  <c r="D1228" i="6"/>
  <c r="C1228" i="6" s="1"/>
  <c r="D1227" i="6"/>
  <c r="C1227" i="6" s="1"/>
  <c r="D1226" i="6"/>
  <c r="C1226" i="6" s="1"/>
  <c r="D1225" i="6"/>
  <c r="C1225" i="6" s="1"/>
  <c r="D1224" i="6"/>
  <c r="C1224" i="6" s="1"/>
  <c r="D1223" i="6"/>
  <c r="C1223" i="6" s="1"/>
  <c r="D1222" i="6"/>
  <c r="C1222" i="6" s="1"/>
  <c r="D1221" i="6"/>
  <c r="C1221" i="6" s="1"/>
  <c r="D1220" i="6"/>
  <c r="C1220" i="6" s="1"/>
  <c r="D1219" i="6"/>
  <c r="C1219" i="6" s="1"/>
  <c r="P1218" i="6"/>
  <c r="D1218" i="6"/>
  <c r="D1217" i="6"/>
  <c r="C1217" i="6" s="1"/>
  <c r="D1216" i="6"/>
  <c r="C1216" i="6" s="1"/>
  <c r="D1215" i="6"/>
  <c r="C1215" i="6" s="1"/>
  <c r="D1214" i="6"/>
  <c r="C1214" i="6" s="1"/>
  <c r="D1213" i="6"/>
  <c r="C1213" i="6" s="1"/>
  <c r="D1212" i="6"/>
  <c r="C1212" i="6" s="1"/>
  <c r="D1211" i="6"/>
  <c r="C1211" i="6" s="1"/>
  <c r="D1210" i="6"/>
  <c r="C1210" i="6" s="1"/>
  <c r="D1209" i="6"/>
  <c r="D1208" i="6"/>
  <c r="C1208" i="6" s="1"/>
  <c r="D1207" i="6"/>
  <c r="C1207" i="6" s="1"/>
  <c r="P1206" i="6"/>
  <c r="D1206" i="6"/>
  <c r="P1205" i="6"/>
  <c r="D1205" i="6"/>
  <c r="Z1202" i="6"/>
  <c r="Y1202" i="6"/>
  <c r="X1202" i="6"/>
  <c r="V1202" i="6"/>
  <c r="U1202" i="6"/>
  <c r="T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W1201" i="6"/>
  <c r="D1201" i="6"/>
  <c r="W1200" i="6"/>
  <c r="D1200" i="6"/>
  <c r="W1199" i="6"/>
  <c r="D1199" i="6"/>
  <c r="W1198" i="6"/>
  <c r="D1198" i="6"/>
  <c r="W1197" i="6"/>
  <c r="D1197" i="6"/>
  <c r="W1196" i="6"/>
  <c r="D1196" i="6"/>
  <c r="W1195" i="6"/>
  <c r="D1195" i="6"/>
  <c r="W1194" i="6"/>
  <c r="D1194" i="6"/>
  <c r="W1193" i="6"/>
  <c r="D1193" i="6"/>
  <c r="W1192" i="6"/>
  <c r="D1192" i="6"/>
  <c r="W1191" i="6"/>
  <c r="D1191" i="6"/>
  <c r="W1190" i="6"/>
  <c r="D1190" i="6"/>
  <c r="W1189" i="6"/>
  <c r="D1189" i="6"/>
  <c r="W1188" i="6"/>
  <c r="D1188" i="6"/>
  <c r="W1187" i="6"/>
  <c r="D1187" i="6"/>
  <c r="W1186" i="6"/>
  <c r="D1186" i="6"/>
  <c r="W1185" i="6"/>
  <c r="D1185" i="6"/>
  <c r="W1184" i="6"/>
  <c r="D1184" i="6"/>
  <c r="W1183" i="6"/>
  <c r="D1183" i="6"/>
  <c r="W1182" i="6"/>
  <c r="D1182" i="6"/>
  <c r="W1181" i="6"/>
  <c r="D1181" i="6"/>
  <c r="W1180" i="6"/>
  <c r="D1180" i="6"/>
  <c r="W1179" i="6"/>
  <c r="D1179" i="6"/>
  <c r="W1178" i="6"/>
  <c r="D1178" i="6"/>
  <c r="W1177" i="6"/>
  <c r="D1177" i="6"/>
  <c r="W1176" i="6"/>
  <c r="D1176" i="6"/>
  <c r="W1175" i="6"/>
  <c r="D1175" i="6"/>
  <c r="W1174" i="6"/>
  <c r="D1174" i="6"/>
  <c r="W1173" i="6"/>
  <c r="D1173" i="6"/>
  <c r="W1172" i="6"/>
  <c r="D1172" i="6"/>
  <c r="W1171" i="6"/>
  <c r="D1171" i="6"/>
  <c r="W1170" i="6"/>
  <c r="D1170" i="6"/>
  <c r="W1169" i="6"/>
  <c r="D1169" i="6"/>
  <c r="W1168" i="6"/>
  <c r="D1168" i="6"/>
  <c r="W1167" i="6"/>
  <c r="D1167" i="6"/>
  <c r="W1166" i="6"/>
  <c r="D1166" i="6"/>
  <c r="W1165" i="6"/>
  <c r="D1165" i="6"/>
  <c r="W1164" i="6"/>
  <c r="D1164" i="6"/>
  <c r="W1163" i="6"/>
  <c r="D1163" i="6"/>
  <c r="W1162" i="6"/>
  <c r="D1162" i="6"/>
  <c r="W1161" i="6"/>
  <c r="D1161" i="6"/>
  <c r="W1160" i="6"/>
  <c r="D1160" i="6"/>
  <c r="W1159" i="6"/>
  <c r="D1159" i="6"/>
  <c r="W1158" i="6"/>
  <c r="D1158" i="6"/>
  <c r="W1157" i="6"/>
  <c r="D1157" i="6"/>
  <c r="W1156" i="6"/>
  <c r="D1156" i="6"/>
  <c r="W1155" i="6"/>
  <c r="D1155" i="6"/>
  <c r="W1154" i="6"/>
  <c r="D1154" i="6"/>
  <c r="W1153" i="6"/>
  <c r="D1153" i="6"/>
  <c r="W1152" i="6"/>
  <c r="D1152" i="6"/>
  <c r="W1151" i="6"/>
  <c r="D1151" i="6"/>
  <c r="W1150" i="6"/>
  <c r="D1150" i="6"/>
  <c r="W1149" i="6"/>
  <c r="D1149" i="6"/>
  <c r="W1148" i="6"/>
  <c r="D1148" i="6"/>
  <c r="W1147" i="6"/>
  <c r="D1147" i="6"/>
  <c r="W1146" i="6"/>
  <c r="D1146" i="6"/>
  <c r="W1145" i="6"/>
  <c r="D1145" i="6"/>
  <c r="W1144" i="6"/>
  <c r="D1144" i="6"/>
  <c r="W1143" i="6"/>
  <c r="D1143" i="6"/>
  <c r="W1142" i="6"/>
  <c r="D1142" i="6"/>
  <c r="W1141" i="6"/>
  <c r="D1141" i="6"/>
  <c r="W1140" i="6"/>
  <c r="D1140" i="6"/>
  <c r="W1139" i="6"/>
  <c r="D1139" i="6"/>
  <c r="W1138" i="6"/>
  <c r="D1138" i="6"/>
  <c r="W1137" i="6"/>
  <c r="D1137" i="6"/>
  <c r="W1136" i="6"/>
  <c r="D1136" i="6"/>
  <c r="W1135" i="6"/>
  <c r="D1135" i="6"/>
  <c r="W1134" i="6"/>
  <c r="D1134" i="6"/>
  <c r="W1133" i="6"/>
  <c r="D1133" i="6"/>
  <c r="W1132" i="6"/>
  <c r="D1132" i="6"/>
  <c r="W1131" i="6"/>
  <c r="D1131" i="6"/>
  <c r="W1130" i="6"/>
  <c r="D1130" i="6"/>
  <c r="W1129" i="6"/>
  <c r="D1129" i="6"/>
  <c r="W1128" i="6"/>
  <c r="D1128" i="6"/>
  <c r="W1127" i="6"/>
  <c r="D1127" i="6"/>
  <c r="W1126" i="6"/>
  <c r="D1126" i="6"/>
  <c r="W1125" i="6"/>
  <c r="D1125" i="6"/>
  <c r="W1124" i="6"/>
  <c r="D1124" i="6"/>
  <c r="W1123" i="6"/>
  <c r="D1123" i="6"/>
  <c r="W1122" i="6"/>
  <c r="D1122" i="6"/>
  <c r="W1121" i="6"/>
  <c r="D1121" i="6"/>
  <c r="W1120" i="6"/>
  <c r="D1120" i="6"/>
  <c r="W1119" i="6"/>
  <c r="D1119" i="6"/>
  <c r="W1118" i="6"/>
  <c r="D1118" i="6"/>
  <c r="W1117" i="6"/>
  <c r="D1117" i="6"/>
  <c r="W1116" i="6"/>
  <c r="D1116" i="6"/>
  <c r="W1115" i="6"/>
  <c r="D1115" i="6"/>
  <c r="W1114" i="6"/>
  <c r="D1114" i="6"/>
  <c r="W1113" i="6"/>
  <c r="D1113" i="6"/>
  <c r="W1112" i="6"/>
  <c r="D1112" i="6"/>
  <c r="W1111" i="6"/>
  <c r="D1111" i="6"/>
  <c r="W1110" i="6"/>
  <c r="D1110" i="6"/>
  <c r="D1109" i="6"/>
  <c r="C1109" i="6" s="1"/>
  <c r="N3246" i="2" s="1"/>
  <c r="J3246" i="2" s="1"/>
  <c r="W1108" i="6"/>
  <c r="D1108" i="6"/>
  <c r="W1107" i="6"/>
  <c r="D1107" i="6"/>
  <c r="W1106" i="6"/>
  <c r="D1106" i="6"/>
  <c r="W1105" i="6"/>
  <c r="D1105" i="6"/>
  <c r="W1104" i="6"/>
  <c r="D1104" i="6"/>
  <c r="W1103" i="6"/>
  <c r="D1103" i="6"/>
  <c r="W1102" i="6"/>
  <c r="D1102" i="6"/>
  <c r="W1101" i="6"/>
  <c r="D1101" i="6"/>
  <c r="W1100" i="6"/>
  <c r="D1100" i="6"/>
  <c r="W1099" i="6"/>
  <c r="D1099" i="6"/>
  <c r="W1098" i="6"/>
  <c r="D1098" i="6"/>
  <c r="W1097" i="6"/>
  <c r="D1097" i="6"/>
  <c r="W1096" i="6"/>
  <c r="D1096" i="6"/>
  <c r="W1095" i="6"/>
  <c r="D1095" i="6"/>
  <c r="W1094" i="6"/>
  <c r="D1094" i="6"/>
  <c r="W1093" i="6"/>
  <c r="D1093" i="6"/>
  <c r="W1092" i="6"/>
  <c r="D1092" i="6"/>
  <c r="W1091" i="6"/>
  <c r="D1091" i="6"/>
  <c r="W1090" i="6"/>
  <c r="D1090" i="6"/>
  <c r="W1089" i="6"/>
  <c r="D1089" i="6"/>
  <c r="W1088" i="6"/>
  <c r="D1088" i="6"/>
  <c r="W1087" i="6"/>
  <c r="D1087" i="6"/>
  <c r="W1086" i="6"/>
  <c r="D1086" i="6"/>
  <c r="W1085" i="6"/>
  <c r="D1085" i="6"/>
  <c r="W1084" i="6"/>
  <c r="D1084" i="6"/>
  <c r="W1083" i="6"/>
  <c r="D1083" i="6"/>
  <c r="W1082" i="6"/>
  <c r="D1082" i="6"/>
  <c r="W1081" i="6"/>
  <c r="D1081" i="6"/>
  <c r="W1080" i="6"/>
  <c r="D1080" i="6"/>
  <c r="W1079" i="6"/>
  <c r="D1079" i="6"/>
  <c r="W1078" i="6"/>
  <c r="D1078" i="6"/>
  <c r="W1077" i="6"/>
  <c r="D1077" i="6"/>
  <c r="W1076" i="6"/>
  <c r="D1076" i="6"/>
  <c r="W1075" i="6"/>
  <c r="D1075" i="6"/>
  <c r="W1074" i="6"/>
  <c r="D1074" i="6"/>
  <c r="W1073" i="6"/>
  <c r="D1073" i="6"/>
  <c r="W1072" i="6"/>
  <c r="D1072" i="6"/>
  <c r="W1071" i="6"/>
  <c r="D1071" i="6"/>
  <c r="W1070" i="6"/>
  <c r="D1070" i="6"/>
  <c r="W1069" i="6"/>
  <c r="D1069" i="6"/>
  <c r="W1068" i="6"/>
  <c r="D1068" i="6"/>
  <c r="W1067" i="6"/>
  <c r="D1067" i="6"/>
  <c r="W1066" i="6"/>
  <c r="D1066" i="6"/>
  <c r="W1065" i="6"/>
  <c r="D1065" i="6"/>
  <c r="W1064" i="6"/>
  <c r="D1064" i="6"/>
  <c r="W1063" i="6"/>
  <c r="D1063" i="6"/>
  <c r="W1062" i="6"/>
  <c r="D1062" i="6"/>
  <c r="W1061" i="6"/>
  <c r="D1061" i="6"/>
  <c r="W1060" i="6"/>
  <c r="D1060" i="6"/>
  <c r="W1059" i="6"/>
  <c r="D1059" i="6"/>
  <c r="W1058" i="6"/>
  <c r="D1058" i="6"/>
  <c r="W1057" i="6"/>
  <c r="D1057" i="6"/>
  <c r="W1056" i="6"/>
  <c r="D1056" i="6"/>
  <c r="W1055" i="6"/>
  <c r="D1055" i="6"/>
  <c r="W1054" i="6"/>
  <c r="D1054" i="6"/>
  <c r="W1053" i="6"/>
  <c r="D1053" i="6"/>
  <c r="W1052" i="6"/>
  <c r="D1052" i="6"/>
  <c r="W1051" i="6"/>
  <c r="D1051" i="6"/>
  <c r="W1048" i="6"/>
  <c r="W1049" i="6" s="1"/>
  <c r="V1048" i="6"/>
  <c r="V1049" i="6" s="1"/>
  <c r="U1048" i="6"/>
  <c r="U1049" i="6" s="1"/>
  <c r="T1048" i="6"/>
  <c r="T1049" i="6" s="1"/>
  <c r="Q1048" i="6"/>
  <c r="Q1049" i="6" s="1"/>
  <c r="P1048" i="6"/>
  <c r="P1049" i="6" s="1"/>
  <c r="O1048" i="6"/>
  <c r="O1049" i="6" s="1"/>
  <c r="N1048" i="6"/>
  <c r="N1049" i="6" s="1"/>
  <c r="M1048" i="6"/>
  <c r="M1049" i="6" s="1"/>
  <c r="L1048" i="6"/>
  <c r="L1049" i="6" s="1"/>
  <c r="K1048" i="6"/>
  <c r="K1049" i="6" s="1"/>
  <c r="J1048" i="6"/>
  <c r="J1049" i="6" s="1"/>
  <c r="I1048" i="6"/>
  <c r="I1049" i="6" s="1"/>
  <c r="H1048" i="6"/>
  <c r="H1049" i="6" s="1"/>
  <c r="G1048" i="6"/>
  <c r="G1049" i="6" s="1"/>
  <c r="F1048" i="6"/>
  <c r="F1049" i="6" s="1"/>
  <c r="E1048" i="6"/>
  <c r="E1049" i="6" s="1"/>
  <c r="R1047" i="6"/>
  <c r="D1047" i="6"/>
  <c r="R1046" i="6"/>
  <c r="D1046" i="6"/>
  <c r="R1045" i="6"/>
  <c r="D1045" i="6"/>
  <c r="R1044" i="6"/>
  <c r="D1044" i="6"/>
  <c r="R1043" i="6"/>
  <c r="D1043" i="6"/>
  <c r="W1038" i="6"/>
  <c r="V1038" i="6"/>
  <c r="U1038" i="6"/>
  <c r="T1038" i="6"/>
  <c r="Q1038" i="6"/>
  <c r="P1038" i="6"/>
  <c r="O1038" i="6"/>
  <c r="M1038" i="6"/>
  <c r="L1038" i="6"/>
  <c r="K1038" i="6"/>
  <c r="J1038" i="6"/>
  <c r="I1038" i="6"/>
  <c r="H1038" i="6"/>
  <c r="G1038" i="6"/>
  <c r="F1038" i="6"/>
  <c r="E1038" i="6"/>
  <c r="AH1037" i="6"/>
  <c r="R1037" i="6"/>
  <c r="N1037" i="6"/>
  <c r="D1037" i="6"/>
  <c r="AH1036" i="6"/>
  <c r="R1036" i="6"/>
  <c r="R1038" i="6" s="1"/>
  <c r="N1036" i="6"/>
  <c r="N1038" i="6" s="1"/>
  <c r="D1036" i="6"/>
  <c r="D1035" i="6"/>
  <c r="C1035" i="6" s="1"/>
  <c r="D1034" i="6"/>
  <c r="C1034" i="6" s="1"/>
  <c r="W1032" i="6"/>
  <c r="V1032" i="6"/>
  <c r="U1032" i="6"/>
  <c r="T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1" i="6"/>
  <c r="C1031" i="6" s="1"/>
  <c r="D1030" i="6"/>
  <c r="C1030" i="6" s="1"/>
  <c r="N2989" i="2" s="1"/>
  <c r="J2989" i="2" s="1"/>
  <c r="D1029" i="6"/>
  <c r="V1027" i="6"/>
  <c r="U1027" i="6"/>
  <c r="T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W1026" i="6"/>
  <c r="D1026" i="6"/>
  <c r="W1025" i="6"/>
  <c r="D1025" i="6"/>
  <c r="W1024" i="6"/>
  <c r="D1024" i="6"/>
  <c r="W1023" i="6"/>
  <c r="D1023" i="6"/>
  <c r="W1022" i="6"/>
  <c r="D1022" i="6"/>
  <c r="W1021" i="6"/>
  <c r="D1021" i="6"/>
  <c r="W1020" i="6"/>
  <c r="D1020" i="6"/>
  <c r="W1019" i="6"/>
  <c r="D1019" i="6"/>
  <c r="W1018" i="6"/>
  <c r="D1018" i="6"/>
  <c r="V1016" i="6"/>
  <c r="U1016" i="6"/>
  <c r="T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W1015" i="6"/>
  <c r="D1015" i="6"/>
  <c r="W1014" i="6"/>
  <c r="D1014" i="6"/>
  <c r="W1013" i="6"/>
  <c r="D1013" i="6"/>
  <c r="W1012" i="6"/>
  <c r="D1012" i="6"/>
  <c r="W1010" i="6"/>
  <c r="V1010" i="6"/>
  <c r="U1010" i="6"/>
  <c r="T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09" i="6"/>
  <c r="D1008" i="6"/>
  <c r="C1008" i="6" s="1"/>
  <c r="N2911" i="2" s="1"/>
  <c r="J2911" i="2" s="1"/>
  <c r="V1006" i="6"/>
  <c r="U1006" i="6"/>
  <c r="T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W1005" i="6"/>
  <c r="D1005" i="6"/>
  <c r="W1004" i="6"/>
  <c r="D1004" i="6"/>
  <c r="W1003" i="6"/>
  <c r="D1003" i="6"/>
  <c r="V1001" i="6"/>
  <c r="U1001" i="6"/>
  <c r="T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W1000" i="6"/>
  <c r="D1000" i="6"/>
  <c r="W999" i="6"/>
  <c r="D999" i="6"/>
  <c r="W998" i="6"/>
  <c r="D998" i="6"/>
  <c r="W997" i="6"/>
  <c r="D997" i="6"/>
  <c r="R996" i="6"/>
  <c r="R1001" i="6" s="1"/>
  <c r="D996" i="6"/>
  <c r="V992" i="6"/>
  <c r="U992" i="6"/>
  <c r="T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W991" i="6"/>
  <c r="D991" i="6"/>
  <c r="W990" i="6"/>
  <c r="D990" i="6"/>
  <c r="W989" i="6"/>
  <c r="D989" i="6"/>
  <c r="Y988" i="6"/>
  <c r="W988" i="6" s="1"/>
  <c r="D988" i="6"/>
  <c r="V986" i="6"/>
  <c r="U986" i="6"/>
  <c r="T986" i="6"/>
  <c r="R986" i="6"/>
  <c r="Q986" i="6"/>
  <c r="P986" i="6"/>
  <c r="O986" i="6"/>
  <c r="N986" i="6"/>
  <c r="M986" i="6"/>
  <c r="L986" i="6"/>
  <c r="K986" i="6"/>
  <c r="J986" i="6"/>
  <c r="I986" i="6"/>
  <c r="H986" i="6"/>
  <c r="G986" i="6"/>
  <c r="F986" i="6"/>
  <c r="E986" i="6"/>
  <c r="W985" i="6"/>
  <c r="D985" i="6"/>
  <c r="D984" i="6"/>
  <c r="C984" i="6" s="1"/>
  <c r="N2882" i="2" s="1"/>
  <c r="J2882" i="2" s="1"/>
  <c r="D983" i="6"/>
  <c r="V981" i="6"/>
  <c r="U981" i="6"/>
  <c r="T981" i="6"/>
  <c r="R981" i="6"/>
  <c r="Q981" i="6"/>
  <c r="P981" i="6"/>
  <c r="O981" i="6"/>
  <c r="N981" i="6"/>
  <c r="M981" i="6"/>
  <c r="L981" i="6"/>
  <c r="K981" i="6"/>
  <c r="J981" i="6"/>
  <c r="I981" i="6"/>
  <c r="H981" i="6"/>
  <c r="G981" i="6"/>
  <c r="F981" i="6"/>
  <c r="E981" i="6"/>
  <c r="Y980" i="6"/>
  <c r="W980" i="6" s="1"/>
  <c r="D980" i="6"/>
  <c r="W979" i="6"/>
  <c r="D979" i="6"/>
  <c r="W978" i="6"/>
  <c r="D978" i="6"/>
  <c r="D977" i="6"/>
  <c r="C977" i="6" s="1"/>
  <c r="N2874" i="2" s="1"/>
  <c r="J2874" i="2" s="1"/>
  <c r="W976" i="6"/>
  <c r="D976" i="6"/>
  <c r="W975" i="6"/>
  <c r="D975" i="6"/>
  <c r="V973" i="6"/>
  <c r="U973" i="6"/>
  <c r="T973" i="6"/>
  <c r="R973" i="6"/>
  <c r="Q973" i="6"/>
  <c r="P973" i="6"/>
  <c r="O973" i="6"/>
  <c r="N973" i="6"/>
  <c r="M973" i="6"/>
  <c r="L973" i="6"/>
  <c r="K973" i="6"/>
  <c r="J973" i="6"/>
  <c r="I973" i="6"/>
  <c r="H973" i="6"/>
  <c r="G973" i="6"/>
  <c r="F973" i="6"/>
  <c r="E973" i="6"/>
  <c r="W972" i="6"/>
  <c r="W973" i="6" s="1"/>
  <c r="D972" i="6"/>
  <c r="V967" i="6"/>
  <c r="U967" i="6"/>
  <c r="T967" i="6"/>
  <c r="R967" i="6"/>
  <c r="Q967" i="6"/>
  <c r="P967" i="6"/>
  <c r="O967" i="6"/>
  <c r="N967" i="6"/>
  <c r="M967" i="6"/>
  <c r="L967" i="6"/>
  <c r="K967" i="6"/>
  <c r="J967" i="6"/>
  <c r="I967" i="6"/>
  <c r="H967" i="6"/>
  <c r="G967" i="6"/>
  <c r="F967" i="6"/>
  <c r="E967" i="6"/>
  <c r="W966" i="6"/>
  <c r="D966" i="6"/>
  <c r="W965" i="6"/>
  <c r="D965" i="6"/>
  <c r="W964" i="6"/>
  <c r="D964" i="6"/>
  <c r="W963" i="6"/>
  <c r="D963" i="6"/>
  <c r="W962" i="6"/>
  <c r="D962" i="6"/>
  <c r="W961" i="6"/>
  <c r="D961" i="6"/>
  <c r="W960" i="6"/>
  <c r="D960" i="6"/>
  <c r="W959" i="6"/>
  <c r="D959" i="6"/>
  <c r="W958" i="6"/>
  <c r="D958" i="6"/>
  <c r="W957" i="6"/>
  <c r="D957" i="6"/>
  <c r="W956" i="6"/>
  <c r="D956" i="6"/>
  <c r="W955" i="6"/>
  <c r="D955" i="6"/>
  <c r="W954" i="6"/>
  <c r="D954" i="6"/>
  <c r="W953" i="6"/>
  <c r="D953" i="6"/>
  <c r="W952" i="6"/>
  <c r="D952" i="6"/>
  <c r="W951" i="6"/>
  <c r="D951" i="6"/>
  <c r="W950" i="6"/>
  <c r="D950" i="6"/>
  <c r="D949" i="6"/>
  <c r="C949" i="6" s="1"/>
  <c r="W947" i="6"/>
  <c r="V947" i="6"/>
  <c r="U947" i="6"/>
  <c r="T947" i="6"/>
  <c r="R947" i="6"/>
  <c r="Q947" i="6"/>
  <c r="P947" i="6"/>
  <c r="O947" i="6"/>
  <c r="N947" i="6"/>
  <c r="M947" i="6"/>
  <c r="L947" i="6"/>
  <c r="K947" i="6"/>
  <c r="J947" i="6"/>
  <c r="I947" i="6"/>
  <c r="H947" i="6"/>
  <c r="G947" i="6"/>
  <c r="F947" i="6"/>
  <c r="E947" i="6"/>
  <c r="D946" i="6"/>
  <c r="C946" i="6" s="1"/>
  <c r="N2840" i="2" s="1"/>
  <c r="J2840" i="2" s="1"/>
  <c r="D945" i="6"/>
  <c r="W943" i="6"/>
  <c r="V943" i="6"/>
  <c r="U943" i="6"/>
  <c r="T943" i="6"/>
  <c r="R943" i="6"/>
  <c r="Q943" i="6"/>
  <c r="P943" i="6"/>
  <c r="O943" i="6"/>
  <c r="N943" i="6"/>
  <c r="M943" i="6"/>
  <c r="L943" i="6"/>
  <c r="K943" i="6"/>
  <c r="J943" i="6"/>
  <c r="I943" i="6"/>
  <c r="H943" i="6"/>
  <c r="G943" i="6"/>
  <c r="F943" i="6"/>
  <c r="E943" i="6"/>
  <c r="D942" i="6"/>
  <c r="C942" i="6" s="1"/>
  <c r="N2833" i="2" s="1"/>
  <c r="J2833" i="2" s="1"/>
  <c r="D941" i="6"/>
  <c r="C941" i="6" s="1"/>
  <c r="W939" i="6"/>
  <c r="V939" i="6"/>
  <c r="U939" i="6"/>
  <c r="T939" i="6"/>
  <c r="R939" i="6"/>
  <c r="Q939" i="6"/>
  <c r="P939" i="6"/>
  <c r="O939" i="6"/>
  <c r="N939" i="6"/>
  <c r="M939" i="6"/>
  <c r="L939" i="6"/>
  <c r="K939" i="6"/>
  <c r="J939" i="6"/>
  <c r="I939" i="6"/>
  <c r="H939" i="6"/>
  <c r="G939" i="6"/>
  <c r="F939" i="6"/>
  <c r="E939" i="6"/>
  <c r="D938" i="6"/>
  <c r="D939" i="6" s="1"/>
  <c r="V936" i="6"/>
  <c r="U936" i="6"/>
  <c r="T936" i="6"/>
  <c r="R936" i="6"/>
  <c r="Q936" i="6"/>
  <c r="P936" i="6"/>
  <c r="O936" i="6"/>
  <c r="N936" i="6"/>
  <c r="M936" i="6"/>
  <c r="L936" i="6"/>
  <c r="K936" i="6"/>
  <c r="J936" i="6"/>
  <c r="I936" i="6"/>
  <c r="H936" i="6"/>
  <c r="G936" i="6"/>
  <c r="F936" i="6"/>
  <c r="E936" i="6"/>
  <c r="D935" i="6"/>
  <c r="C935" i="6" s="1"/>
  <c r="N2789" i="2" s="1"/>
  <c r="J2789" i="2" s="1"/>
  <c r="D934" i="6"/>
  <c r="C934" i="6" s="1"/>
  <c r="D933" i="6"/>
  <c r="C933" i="6" s="1"/>
  <c r="N2787" i="2" s="1"/>
  <c r="J2787" i="2" s="1"/>
  <c r="D932" i="6"/>
  <c r="C932" i="6" s="1"/>
  <c r="N2786" i="2" s="1"/>
  <c r="J2786" i="2" s="1"/>
  <c r="D931" i="6"/>
  <c r="C931" i="6" s="1"/>
  <c r="N2785" i="2" s="1"/>
  <c r="J2785" i="2" s="1"/>
  <c r="D930" i="6"/>
  <c r="C930" i="6" s="1"/>
  <c r="D929" i="6"/>
  <c r="C929" i="6" s="1"/>
  <c r="D928" i="6"/>
  <c r="C928" i="6" s="1"/>
  <c r="D927" i="6"/>
  <c r="C927" i="6" s="1"/>
  <c r="D926" i="6"/>
  <c r="C926" i="6" s="1"/>
  <c r="D925" i="6"/>
  <c r="C925" i="6" s="1"/>
  <c r="D924" i="6"/>
  <c r="C924" i="6" s="1"/>
  <c r="N2778" i="2" s="1"/>
  <c r="J2778" i="2" s="1"/>
  <c r="D923" i="6"/>
  <c r="C923" i="6" s="1"/>
  <c r="D922" i="6"/>
  <c r="C922" i="6" s="1"/>
  <c r="D921" i="6"/>
  <c r="C921" i="6" s="1"/>
  <c r="D920" i="6"/>
  <c r="C920" i="6" s="1"/>
  <c r="N2774" i="2" s="1"/>
  <c r="J2774" i="2" s="1"/>
  <c r="W919" i="6"/>
  <c r="D919" i="6"/>
  <c r="W918" i="6"/>
  <c r="D918" i="6"/>
  <c r="W917" i="6"/>
  <c r="D917" i="6"/>
  <c r="W916" i="6"/>
  <c r="D916" i="6"/>
  <c r="W915" i="6"/>
  <c r="D915" i="6"/>
  <c r="W914" i="6"/>
  <c r="D914" i="6"/>
  <c r="W912" i="6"/>
  <c r="V912" i="6"/>
  <c r="U912" i="6"/>
  <c r="T912" i="6"/>
  <c r="R912" i="6"/>
  <c r="Q912" i="6"/>
  <c r="P912" i="6"/>
  <c r="O912" i="6"/>
  <c r="N912" i="6"/>
  <c r="M912" i="6"/>
  <c r="L912" i="6"/>
  <c r="K912" i="6"/>
  <c r="J912" i="6"/>
  <c r="I912" i="6"/>
  <c r="H912" i="6"/>
  <c r="G912" i="6"/>
  <c r="F912" i="6"/>
  <c r="E912" i="6"/>
  <c r="D911" i="6"/>
  <c r="C911" i="6" s="1"/>
  <c r="D910" i="6"/>
  <c r="C910" i="6" s="1"/>
  <c r="N2764" i="2" s="1"/>
  <c r="J2764" i="2" s="1"/>
  <c r="D909" i="6"/>
  <c r="C909" i="6" s="1"/>
  <c r="W907" i="6"/>
  <c r="V907" i="6"/>
  <c r="U907" i="6"/>
  <c r="T907" i="6"/>
  <c r="R907" i="6"/>
  <c r="Q907" i="6"/>
  <c r="P907" i="6"/>
  <c r="O907" i="6"/>
  <c r="N907" i="6"/>
  <c r="M907" i="6"/>
  <c r="L907" i="6"/>
  <c r="K907" i="6"/>
  <c r="J907" i="6"/>
  <c r="I907" i="6"/>
  <c r="H907" i="6"/>
  <c r="G907" i="6"/>
  <c r="F907" i="6"/>
  <c r="E907" i="6"/>
  <c r="D906" i="6"/>
  <c r="C906" i="6" s="1"/>
  <c r="N2728" i="2" s="1"/>
  <c r="J2728" i="2" s="1"/>
  <c r="D905" i="6"/>
  <c r="C905" i="6" s="1"/>
  <c r="N2727" i="2" s="1"/>
  <c r="J2727" i="2" s="1"/>
  <c r="D904" i="6"/>
  <c r="D903" i="6"/>
  <c r="C903" i="6" s="1"/>
  <c r="N2716" i="2" s="1"/>
  <c r="J2716" i="2" s="1"/>
  <c r="V901" i="6"/>
  <c r="U901" i="6"/>
  <c r="T901" i="6"/>
  <c r="R901" i="6"/>
  <c r="Q901" i="6"/>
  <c r="P901" i="6"/>
  <c r="O901" i="6"/>
  <c r="N901" i="6"/>
  <c r="M901" i="6"/>
  <c r="L901" i="6"/>
  <c r="K901" i="6"/>
  <c r="J901" i="6"/>
  <c r="I901" i="6"/>
  <c r="H901" i="6"/>
  <c r="G901" i="6"/>
  <c r="F901" i="6"/>
  <c r="E901" i="6"/>
  <c r="W900" i="6"/>
  <c r="D900" i="6"/>
  <c r="W899" i="6"/>
  <c r="D899" i="6"/>
  <c r="W898" i="6"/>
  <c r="D898" i="6"/>
  <c r="W897" i="6"/>
  <c r="D897" i="6"/>
  <c r="W896" i="6"/>
  <c r="D896" i="6"/>
  <c r="W895" i="6"/>
  <c r="D895" i="6"/>
  <c r="W894" i="6"/>
  <c r="D894" i="6"/>
  <c r="W890" i="6"/>
  <c r="V890" i="6"/>
  <c r="U890" i="6"/>
  <c r="T890" i="6"/>
  <c r="R890" i="6"/>
  <c r="Q890" i="6"/>
  <c r="P890" i="6"/>
  <c r="O890" i="6"/>
  <c r="N890" i="6"/>
  <c r="M890" i="6"/>
  <c r="L890" i="6"/>
  <c r="K890" i="6"/>
  <c r="J890" i="6"/>
  <c r="I890" i="6"/>
  <c r="H890" i="6"/>
  <c r="G890" i="6"/>
  <c r="F890" i="6"/>
  <c r="E890" i="6"/>
  <c r="D889" i="6"/>
  <c r="C889" i="6" s="1"/>
  <c r="D888" i="6"/>
  <c r="C888" i="6" s="1"/>
  <c r="D887" i="6"/>
  <c r="C887" i="6" s="1"/>
  <c r="D886" i="6"/>
  <c r="C886" i="6" s="1"/>
  <c r="D885" i="6"/>
  <c r="C885" i="6" s="1"/>
  <c r="D884" i="6"/>
  <c r="C884" i="6" s="1"/>
  <c r="D883" i="6"/>
  <c r="C883" i="6" s="1"/>
  <c r="D882" i="6"/>
  <c r="D881" i="6"/>
  <c r="C881" i="6" s="1"/>
  <c r="V879" i="6"/>
  <c r="U879" i="6"/>
  <c r="T879" i="6"/>
  <c r="R879" i="6"/>
  <c r="Q879" i="6"/>
  <c r="P879" i="6"/>
  <c r="O879" i="6"/>
  <c r="N879" i="6"/>
  <c r="M879" i="6"/>
  <c r="L879" i="6"/>
  <c r="K879" i="6"/>
  <c r="J879" i="6"/>
  <c r="I879" i="6"/>
  <c r="H879" i="6"/>
  <c r="G879" i="6"/>
  <c r="F879" i="6"/>
  <c r="E879" i="6"/>
  <c r="X878" i="6"/>
  <c r="W878" i="6" s="1"/>
  <c r="D878" i="6"/>
  <c r="X877" i="6"/>
  <c r="W877" i="6" s="1"/>
  <c r="D877" i="6"/>
  <c r="W876" i="6"/>
  <c r="D876" i="6"/>
  <c r="W875" i="6"/>
  <c r="D875" i="6"/>
  <c r="W873" i="6"/>
  <c r="V873" i="6"/>
  <c r="U873" i="6"/>
  <c r="T873" i="6"/>
  <c r="R873" i="6"/>
  <c r="Q873" i="6"/>
  <c r="P873" i="6"/>
  <c r="O873" i="6"/>
  <c r="N873" i="6"/>
  <c r="M873" i="6"/>
  <c r="L873" i="6"/>
  <c r="K873" i="6"/>
  <c r="J873" i="6"/>
  <c r="I873" i="6"/>
  <c r="H873" i="6"/>
  <c r="G873" i="6"/>
  <c r="F873" i="6"/>
  <c r="E873" i="6"/>
  <c r="D872" i="6"/>
  <c r="C872" i="6" s="1"/>
  <c r="C873" i="6" s="1"/>
  <c r="V870" i="6"/>
  <c r="U870" i="6"/>
  <c r="T870" i="6"/>
  <c r="R870" i="6"/>
  <c r="Q870" i="6"/>
  <c r="P870" i="6"/>
  <c r="O870" i="6"/>
  <c r="N870" i="6"/>
  <c r="M870" i="6"/>
  <c r="L870" i="6"/>
  <c r="K870" i="6"/>
  <c r="J870" i="6"/>
  <c r="I870" i="6"/>
  <c r="H870" i="6"/>
  <c r="G870" i="6"/>
  <c r="F870" i="6"/>
  <c r="E870" i="6"/>
  <c r="W869" i="6"/>
  <c r="W870" i="6" s="1"/>
  <c r="D869" i="6"/>
  <c r="V867" i="6"/>
  <c r="U867" i="6"/>
  <c r="T867" i="6"/>
  <c r="R867" i="6"/>
  <c r="Q867" i="6"/>
  <c r="P867" i="6"/>
  <c r="O867" i="6"/>
  <c r="N867" i="6"/>
  <c r="M867" i="6"/>
  <c r="L867" i="6"/>
  <c r="K867" i="6"/>
  <c r="J867" i="6"/>
  <c r="I867" i="6"/>
  <c r="H867" i="6"/>
  <c r="G867" i="6"/>
  <c r="F867" i="6"/>
  <c r="E867" i="6"/>
  <c r="D866" i="6"/>
  <c r="C866" i="6" s="1"/>
  <c r="W865" i="6"/>
  <c r="D865" i="6"/>
  <c r="W864" i="6"/>
  <c r="D864" i="6"/>
  <c r="W863" i="6"/>
  <c r="D863" i="6"/>
  <c r="W862" i="6"/>
  <c r="D862" i="6"/>
  <c r="W861" i="6"/>
  <c r="D861" i="6"/>
  <c r="W860" i="6"/>
  <c r="D860" i="6"/>
  <c r="D859" i="6"/>
  <c r="C859" i="6" s="1"/>
  <c r="N2583" i="2" s="1"/>
  <c r="J2583" i="2" s="1"/>
  <c r="D858" i="6"/>
  <c r="W857" i="6"/>
  <c r="D857" i="6"/>
  <c r="D856" i="6"/>
  <c r="C856" i="6" s="1"/>
  <c r="N2580" i="2" s="1"/>
  <c r="J2580" i="2" s="1"/>
  <c r="W855" i="6"/>
  <c r="D855" i="6"/>
  <c r="V853" i="6"/>
  <c r="U853" i="6"/>
  <c r="T853" i="6"/>
  <c r="R853" i="6"/>
  <c r="Q853" i="6"/>
  <c r="P853" i="6"/>
  <c r="O853" i="6"/>
  <c r="N853" i="6"/>
  <c r="M853" i="6"/>
  <c r="L853" i="6"/>
  <c r="K853" i="6"/>
  <c r="J853" i="6"/>
  <c r="I853" i="6"/>
  <c r="H853" i="6"/>
  <c r="G853" i="6"/>
  <c r="F853" i="6"/>
  <c r="E853" i="6"/>
  <c r="W852" i="6"/>
  <c r="D852" i="6"/>
  <c r="X851" i="6"/>
  <c r="W851" i="6" s="1"/>
  <c r="D851" i="6"/>
  <c r="X850" i="6"/>
  <c r="W850" i="6" s="1"/>
  <c r="D850" i="6"/>
  <c r="X849" i="6"/>
  <c r="W849" i="6" s="1"/>
  <c r="D849" i="6"/>
  <c r="X848" i="6"/>
  <c r="W848" i="6" s="1"/>
  <c r="D848" i="6"/>
  <c r="W847" i="6"/>
  <c r="D847" i="6"/>
  <c r="W846" i="6"/>
  <c r="D846" i="6"/>
  <c r="W845" i="6"/>
  <c r="D845" i="6"/>
  <c r="W844" i="6"/>
  <c r="D844" i="6"/>
  <c r="W843" i="6"/>
  <c r="D843" i="6"/>
  <c r="W842" i="6"/>
  <c r="D842" i="6"/>
  <c r="W840" i="6"/>
  <c r="V840" i="6"/>
  <c r="U840" i="6"/>
  <c r="T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39" i="6"/>
  <c r="W837" i="6"/>
  <c r="V837" i="6"/>
  <c r="U837" i="6"/>
  <c r="T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6" i="6"/>
  <c r="C836" i="6" s="1"/>
  <c r="D835" i="6"/>
  <c r="C835" i="6" s="1"/>
  <c r="D834" i="6"/>
  <c r="C834" i="6" s="1"/>
  <c r="X833" i="6"/>
  <c r="D833" i="6"/>
  <c r="C833" i="6" s="1"/>
  <c r="D832" i="6"/>
  <c r="A832" i="6"/>
  <c r="A833" i="6" s="1"/>
  <c r="A834" i="6" s="1"/>
  <c r="A835" i="6" s="1"/>
  <c r="A836" i="6" s="1"/>
  <c r="W830" i="6"/>
  <c r="V830" i="6"/>
  <c r="U830" i="6"/>
  <c r="T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29" i="6"/>
  <c r="C829" i="6" s="1"/>
  <c r="C830" i="6" s="1"/>
  <c r="W827" i="6"/>
  <c r="V827" i="6"/>
  <c r="U827" i="6"/>
  <c r="T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6" i="6"/>
  <c r="C826" i="6" s="1"/>
  <c r="N2524" i="2" s="1"/>
  <c r="J2524" i="2" s="1"/>
  <c r="D825" i="6"/>
  <c r="C825" i="6" s="1"/>
  <c r="N2523" i="2" s="1"/>
  <c r="J2523" i="2" s="1"/>
  <c r="D824" i="6"/>
  <c r="C824" i="6" s="1"/>
  <c r="N2522" i="2" s="1"/>
  <c r="J2522" i="2" s="1"/>
  <c r="D823" i="6"/>
  <c r="D822" i="6"/>
  <c r="W821" i="6"/>
  <c r="V821" i="6"/>
  <c r="U821" i="6"/>
  <c r="T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X820" i="6"/>
  <c r="D820" i="6"/>
  <c r="C820" i="6" s="1"/>
  <c r="X819" i="6"/>
  <c r="D819" i="6"/>
  <c r="C819" i="6" s="1"/>
  <c r="X818" i="6"/>
  <c r="D818" i="6"/>
  <c r="C818" i="6" s="1"/>
  <c r="X817" i="6"/>
  <c r="D817" i="6"/>
  <c r="C817" i="6" s="1"/>
  <c r="X816" i="6"/>
  <c r="D816" i="6"/>
  <c r="C816" i="6" s="1"/>
  <c r="D815" i="6"/>
  <c r="C815" i="6" s="1"/>
  <c r="W813" i="6"/>
  <c r="V813" i="6"/>
  <c r="U813" i="6"/>
  <c r="T813" i="6"/>
  <c r="R813" i="6"/>
  <c r="Q813" i="6"/>
  <c r="P813" i="6"/>
  <c r="O813" i="6"/>
  <c r="N813" i="6"/>
  <c r="M813" i="6"/>
  <c r="L813" i="6"/>
  <c r="K813" i="6"/>
  <c r="J813" i="6"/>
  <c r="I813" i="6"/>
  <c r="H813" i="6"/>
  <c r="G813" i="6"/>
  <c r="F813" i="6"/>
  <c r="E813" i="6"/>
  <c r="D812" i="6"/>
  <c r="C812" i="6" s="1"/>
  <c r="N2510" i="2" s="1"/>
  <c r="J2510" i="2" s="1"/>
  <c r="D811" i="6"/>
  <c r="C811" i="6" s="1"/>
  <c r="N2507" i="2" s="1"/>
  <c r="J2507" i="2" s="1"/>
  <c r="W809" i="6"/>
  <c r="V809" i="6"/>
  <c r="U809" i="6"/>
  <c r="T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8" i="6"/>
  <c r="D807" i="6"/>
  <c r="C807" i="6" s="1"/>
  <c r="V803" i="6"/>
  <c r="U803" i="6"/>
  <c r="T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W802" i="6"/>
  <c r="D802" i="6"/>
  <c r="W801" i="6"/>
  <c r="D801" i="6"/>
  <c r="W800" i="6"/>
  <c r="D800" i="6"/>
  <c r="W798" i="6"/>
  <c r="V798" i="6"/>
  <c r="T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R797" i="6"/>
  <c r="D797" i="6"/>
  <c r="R796" i="6"/>
  <c r="D796" i="6"/>
  <c r="R795" i="6"/>
  <c r="D795" i="6"/>
  <c r="R794" i="6"/>
  <c r="D794" i="6"/>
  <c r="R793" i="6"/>
  <c r="D793" i="6"/>
  <c r="D792" i="6"/>
  <c r="C792" i="6" s="1"/>
  <c r="R791" i="6"/>
  <c r="D791" i="6"/>
  <c r="Y790" i="6"/>
  <c r="D790" i="6"/>
  <c r="C790" i="6" s="1"/>
  <c r="D789" i="6"/>
  <c r="C789" i="6" s="1"/>
  <c r="R788" i="6"/>
  <c r="D788" i="6"/>
  <c r="Y787" i="6"/>
  <c r="R787" i="6"/>
  <c r="D787" i="6"/>
  <c r="Y786" i="6"/>
  <c r="R786" i="6"/>
  <c r="D786" i="6"/>
  <c r="Y785" i="6"/>
  <c r="R785" i="6"/>
  <c r="D785" i="6"/>
  <c r="R784" i="6"/>
  <c r="D784" i="6"/>
  <c r="Y783" i="6"/>
  <c r="U783" i="6"/>
  <c r="U798" i="6" s="1"/>
  <c r="D783" i="6"/>
  <c r="R782" i="6"/>
  <c r="D782" i="6"/>
  <c r="R781" i="6"/>
  <c r="D781" i="6"/>
  <c r="R780" i="6"/>
  <c r="D780" i="6"/>
  <c r="R779" i="6"/>
  <c r="D779" i="6"/>
  <c r="R778" i="6"/>
  <c r="D778" i="6"/>
  <c r="R777" i="6"/>
  <c r="D777" i="6"/>
  <c r="R776" i="6"/>
  <c r="D776" i="6"/>
  <c r="R775" i="6"/>
  <c r="D775" i="6"/>
  <c r="R774" i="6"/>
  <c r="D774" i="6"/>
  <c r="R773" i="6"/>
  <c r="D773" i="6"/>
  <c r="Y772" i="6"/>
  <c r="D772" i="6"/>
  <c r="C772" i="6" s="1"/>
  <c r="Y771" i="6"/>
  <c r="D771" i="6"/>
  <c r="C771" i="6" s="1"/>
  <c r="R770" i="6"/>
  <c r="D770" i="6"/>
  <c r="R769" i="6"/>
  <c r="D769" i="6"/>
  <c r="D768" i="6"/>
  <c r="C768" i="6" s="1"/>
  <c r="R767" i="6"/>
  <c r="D767" i="6"/>
  <c r="R766" i="6"/>
  <c r="D766" i="6"/>
  <c r="R765" i="6"/>
  <c r="D765" i="6"/>
  <c r="Y764" i="6"/>
  <c r="R764" i="6"/>
  <c r="D764" i="6"/>
  <c r="Y763" i="6"/>
  <c r="R763" i="6"/>
  <c r="D763" i="6"/>
  <c r="Y762" i="6"/>
  <c r="R762" i="6"/>
  <c r="D762" i="6"/>
  <c r="R761" i="6"/>
  <c r="D761" i="6"/>
  <c r="R760" i="6"/>
  <c r="D760" i="6"/>
  <c r="R759" i="6"/>
  <c r="D759" i="6"/>
  <c r="W757" i="6"/>
  <c r="V757" i="6"/>
  <c r="U757" i="6"/>
  <c r="T757" i="6"/>
  <c r="R757" i="6"/>
  <c r="Q757" i="6"/>
  <c r="P757" i="6"/>
  <c r="O757" i="6"/>
  <c r="N757" i="6"/>
  <c r="M757" i="6"/>
  <c r="L757" i="6"/>
  <c r="K757" i="6"/>
  <c r="J757" i="6"/>
  <c r="I757" i="6"/>
  <c r="H757" i="6"/>
  <c r="G757" i="6"/>
  <c r="F757" i="6"/>
  <c r="E757" i="6"/>
  <c r="D756" i="6"/>
  <c r="X752" i="6"/>
  <c r="V752" i="6"/>
  <c r="U752" i="6"/>
  <c r="T752" i="6"/>
  <c r="R752" i="6"/>
  <c r="Q752" i="6"/>
  <c r="P752" i="6"/>
  <c r="O752" i="6"/>
  <c r="N752" i="6"/>
  <c r="M752" i="6"/>
  <c r="L752" i="6"/>
  <c r="K752" i="6"/>
  <c r="J752" i="6"/>
  <c r="I752" i="6"/>
  <c r="H752" i="6"/>
  <c r="G752" i="6"/>
  <c r="F752" i="6"/>
  <c r="E752" i="6"/>
  <c r="W751" i="6"/>
  <c r="D751" i="6"/>
  <c r="W750" i="6"/>
  <c r="D750" i="6"/>
  <c r="W749" i="6"/>
  <c r="D749" i="6"/>
  <c r="W748" i="6"/>
  <c r="D748" i="6"/>
  <c r="W747" i="6"/>
  <c r="D747" i="6"/>
  <c r="W746" i="6"/>
  <c r="D746" i="6"/>
  <c r="W745" i="6"/>
  <c r="D745" i="6"/>
  <c r="W744" i="6"/>
  <c r="D744" i="6"/>
  <c r="W743" i="6"/>
  <c r="D743" i="6"/>
  <c r="W742" i="6"/>
  <c r="D742" i="6"/>
  <c r="W741" i="6"/>
  <c r="D741" i="6"/>
  <c r="W740" i="6"/>
  <c r="D740" i="6"/>
  <c r="W739" i="6"/>
  <c r="D739" i="6"/>
  <c r="W738" i="6"/>
  <c r="D738" i="6"/>
  <c r="W737" i="6"/>
  <c r="D737" i="6"/>
  <c r="W736" i="6"/>
  <c r="D736" i="6"/>
  <c r="W735" i="6"/>
  <c r="D735" i="6"/>
  <c r="W734" i="6"/>
  <c r="D734" i="6"/>
  <c r="W733" i="6"/>
  <c r="D733" i="6"/>
  <c r="W732" i="6"/>
  <c r="D732" i="6"/>
  <c r="W731" i="6"/>
  <c r="D731" i="6"/>
  <c r="W730" i="6"/>
  <c r="D730" i="6"/>
  <c r="W729" i="6"/>
  <c r="D729" i="6"/>
  <c r="W728" i="6"/>
  <c r="D728" i="6"/>
  <c r="W727" i="6"/>
  <c r="D727" i="6"/>
  <c r="W726" i="6"/>
  <c r="D726" i="6"/>
  <c r="W725" i="6"/>
  <c r="D725" i="6"/>
  <c r="W724" i="6"/>
  <c r="D724" i="6"/>
  <c r="W723" i="6"/>
  <c r="D723" i="6"/>
  <c r="W722" i="6"/>
  <c r="D722" i="6"/>
  <c r="W721" i="6"/>
  <c r="D721" i="6"/>
  <c r="W720" i="6"/>
  <c r="D720" i="6"/>
  <c r="W719" i="6"/>
  <c r="D719" i="6"/>
  <c r="W718" i="6"/>
  <c r="D718" i="6"/>
  <c r="W717" i="6"/>
  <c r="D717" i="6"/>
  <c r="W716" i="6"/>
  <c r="D716" i="6"/>
  <c r="W715" i="6"/>
  <c r="D715" i="6"/>
  <c r="W714" i="6"/>
  <c r="D714" i="6"/>
  <c r="D713" i="6"/>
  <c r="C713" i="6" s="1"/>
  <c r="W712" i="6"/>
  <c r="D712" i="6"/>
  <c r="W711" i="6"/>
  <c r="D711" i="6"/>
  <c r="W710" i="6"/>
  <c r="D710" i="6"/>
  <c r="W709" i="6"/>
  <c r="D709" i="6"/>
  <c r="W708" i="6"/>
  <c r="D708" i="6"/>
  <c r="W707" i="6"/>
  <c r="D707" i="6"/>
  <c r="W706" i="6"/>
  <c r="D706" i="6"/>
  <c r="W705" i="6"/>
  <c r="D705" i="6"/>
  <c r="W704" i="6"/>
  <c r="D704" i="6"/>
  <c r="W703" i="6"/>
  <c r="D703" i="6"/>
  <c r="X701" i="6"/>
  <c r="W701" i="6"/>
  <c r="V701" i="6"/>
  <c r="U701" i="6"/>
  <c r="T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F701" i="6"/>
  <c r="E701" i="6"/>
  <c r="D700" i="6"/>
  <c r="C700" i="6" s="1"/>
  <c r="N2264" i="2" s="1"/>
  <c r="J2264" i="2" s="1"/>
  <c r="D699" i="6"/>
  <c r="C699" i="6" s="1"/>
  <c r="X697" i="6"/>
  <c r="W697" i="6"/>
  <c r="V697" i="6"/>
  <c r="U697" i="6"/>
  <c r="T697" i="6"/>
  <c r="R697" i="6"/>
  <c r="Q697" i="6"/>
  <c r="P697" i="6"/>
  <c r="O697" i="6"/>
  <c r="N697" i="6"/>
  <c r="M697" i="6"/>
  <c r="L697" i="6"/>
  <c r="K697" i="6"/>
  <c r="J697" i="6"/>
  <c r="I697" i="6"/>
  <c r="H697" i="6"/>
  <c r="G697" i="6"/>
  <c r="F697" i="6"/>
  <c r="E697" i="6"/>
  <c r="D696" i="6"/>
  <c r="C696" i="6" s="1"/>
  <c r="D695" i="6"/>
  <c r="C695" i="6" s="1"/>
  <c r="D694" i="6"/>
  <c r="C694" i="6" s="1"/>
  <c r="D693" i="6"/>
  <c r="C693" i="6" s="1"/>
  <c r="D692" i="6"/>
  <c r="C692" i="6" s="1"/>
  <c r="D691" i="6"/>
  <c r="C691" i="6" s="1"/>
  <c r="D690" i="6"/>
  <c r="C690" i="6" s="1"/>
  <c r="D689" i="6"/>
  <c r="C689" i="6" s="1"/>
  <c r="D688" i="6"/>
  <c r="C688" i="6" s="1"/>
  <c r="D687" i="6"/>
  <c r="C687" i="6" s="1"/>
  <c r="A687" i="6"/>
  <c r="A688" i="6" s="1"/>
  <c r="A689" i="6" s="1"/>
  <c r="A690" i="6" s="1"/>
  <c r="A691" i="6" s="1"/>
  <c r="A692" i="6" s="1"/>
  <c r="A693" i="6" s="1"/>
  <c r="A694" i="6" s="1"/>
  <c r="A695" i="6" s="1"/>
  <c r="A696" i="6" s="1"/>
  <c r="X685" i="6"/>
  <c r="V685" i="6"/>
  <c r="U685" i="6"/>
  <c r="T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F685" i="6"/>
  <c r="E685" i="6"/>
  <c r="W684" i="6"/>
  <c r="D684" i="6"/>
  <c r="W683" i="6"/>
  <c r="D683" i="6"/>
  <c r="W682" i="6"/>
  <c r="D682" i="6"/>
  <c r="X680" i="6"/>
  <c r="V680" i="6"/>
  <c r="U680" i="6"/>
  <c r="T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F680" i="6"/>
  <c r="E680" i="6"/>
  <c r="W679" i="6"/>
  <c r="D679" i="6"/>
  <c r="W678" i="6"/>
  <c r="D678" i="6"/>
  <c r="X676" i="6"/>
  <c r="W676" i="6"/>
  <c r="V676" i="6"/>
  <c r="T676" i="6"/>
  <c r="Q676" i="6"/>
  <c r="P676" i="6"/>
  <c r="O676" i="6"/>
  <c r="M676" i="6"/>
  <c r="L676" i="6"/>
  <c r="K676" i="6"/>
  <c r="J676" i="6"/>
  <c r="I676" i="6"/>
  <c r="H676" i="6"/>
  <c r="G676" i="6"/>
  <c r="F676" i="6"/>
  <c r="E676" i="6"/>
  <c r="N675" i="6"/>
  <c r="D675" i="6"/>
  <c r="U674" i="6"/>
  <c r="U676" i="6" s="1"/>
  <c r="R674" i="6"/>
  <c r="R676" i="6" s="1"/>
  <c r="D674" i="6"/>
  <c r="X672" i="6"/>
  <c r="W672" i="6"/>
  <c r="V672" i="6"/>
  <c r="U672" i="6"/>
  <c r="T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F672" i="6"/>
  <c r="E672" i="6"/>
  <c r="D671" i="6"/>
  <c r="C671" i="6" s="1"/>
  <c r="D670" i="6"/>
  <c r="C670" i="6" s="1"/>
  <c r="A670" i="6"/>
  <c r="A671" i="6" s="1"/>
  <c r="X669" i="6"/>
  <c r="X668" i="6"/>
  <c r="V668" i="6"/>
  <c r="U668" i="6"/>
  <c r="T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F668" i="6"/>
  <c r="E668" i="6"/>
  <c r="W667" i="6"/>
  <c r="D667" i="6"/>
  <c r="W666" i="6"/>
  <c r="D666" i="6"/>
  <c r="W665" i="6"/>
  <c r="D665" i="6"/>
  <c r="W664" i="6"/>
  <c r="D664" i="6"/>
  <c r="W663" i="6"/>
  <c r="D663" i="6"/>
  <c r="W662" i="6"/>
  <c r="D662" i="6"/>
  <c r="W661" i="6"/>
  <c r="D661" i="6"/>
  <c r="W660" i="6"/>
  <c r="D660" i="6"/>
  <c r="D659" i="6"/>
  <c r="C659" i="6" s="1"/>
  <c r="W658" i="6"/>
  <c r="D658" i="6"/>
  <c r="W657" i="6"/>
  <c r="D657" i="6"/>
  <c r="W656" i="6"/>
  <c r="D656" i="6"/>
  <c r="W655" i="6"/>
  <c r="D655" i="6"/>
  <c r="W654" i="6"/>
  <c r="D654" i="6"/>
  <c r="W653" i="6"/>
  <c r="D653" i="6"/>
  <c r="W652" i="6"/>
  <c r="D652" i="6"/>
  <c r="W651" i="6"/>
  <c r="D651" i="6"/>
  <c r="W650" i="6"/>
  <c r="D650" i="6"/>
  <c r="W649" i="6"/>
  <c r="D649" i="6"/>
  <c r="W648" i="6"/>
  <c r="D648" i="6"/>
  <c r="W647" i="6"/>
  <c r="D647" i="6"/>
  <c r="W646" i="6"/>
  <c r="D646" i="6"/>
  <c r="W645" i="6"/>
  <c r="D645" i="6"/>
  <c r="W644" i="6"/>
  <c r="D644" i="6"/>
  <c r="W643" i="6"/>
  <c r="D643" i="6"/>
  <c r="W642" i="6"/>
  <c r="D642" i="6"/>
  <c r="W641" i="6"/>
  <c r="D641" i="6"/>
  <c r="W640" i="6"/>
  <c r="D640" i="6"/>
  <c r="W639" i="6"/>
  <c r="D639" i="6"/>
  <c r="W638" i="6"/>
  <c r="D638" i="6"/>
  <c r="W637" i="6"/>
  <c r="D637" i="6"/>
  <c r="W636" i="6"/>
  <c r="D636" i="6"/>
  <c r="W635" i="6"/>
  <c r="D635" i="6"/>
  <c r="W634" i="6"/>
  <c r="D634" i="6"/>
  <c r="W633" i="6"/>
  <c r="D633" i="6"/>
  <c r="W632" i="6"/>
  <c r="D632" i="6"/>
  <c r="X630" i="6"/>
  <c r="W630" i="6"/>
  <c r="V630" i="6"/>
  <c r="U630" i="6"/>
  <c r="T630" i="6"/>
  <c r="Q630" i="6"/>
  <c r="P630" i="6"/>
  <c r="O630" i="6"/>
  <c r="N630" i="6"/>
  <c r="M630" i="6"/>
  <c r="L630" i="6"/>
  <c r="K630" i="6"/>
  <c r="J630" i="6"/>
  <c r="I630" i="6"/>
  <c r="H630" i="6"/>
  <c r="G630" i="6"/>
  <c r="F630" i="6"/>
  <c r="E630" i="6"/>
  <c r="R629" i="6"/>
  <c r="R630" i="6" s="1"/>
  <c r="D629" i="6"/>
  <c r="X627" i="6"/>
  <c r="W626" i="6"/>
  <c r="D626" i="6"/>
  <c r="D625" i="6"/>
  <c r="C625" i="6" s="1"/>
  <c r="N2174" i="2" s="1"/>
  <c r="J2174" i="2" s="1"/>
  <c r="W624" i="6"/>
  <c r="D624" i="6"/>
  <c r="W623" i="6"/>
  <c r="D623" i="6"/>
  <c r="W622" i="6"/>
  <c r="D622" i="6"/>
  <c r="W621" i="6"/>
  <c r="D621" i="6"/>
  <c r="W620" i="6"/>
  <c r="D620" i="6"/>
  <c r="W619" i="6"/>
  <c r="D619" i="6"/>
  <c r="W618" i="6"/>
  <c r="D618" i="6"/>
  <c r="W617" i="6"/>
  <c r="D617" i="6"/>
  <c r="W616" i="6"/>
  <c r="D616" i="6"/>
  <c r="W615" i="6"/>
  <c r="D615" i="6"/>
  <c r="W614" i="6"/>
  <c r="D614" i="6"/>
  <c r="W613" i="6"/>
  <c r="D613" i="6"/>
  <c r="W612" i="6"/>
  <c r="D612" i="6"/>
  <c r="W611" i="6"/>
  <c r="D611" i="6"/>
  <c r="W610" i="6"/>
  <c r="D610" i="6"/>
  <c r="W609" i="6"/>
  <c r="D609" i="6"/>
  <c r="W608" i="6"/>
  <c r="D608" i="6"/>
  <c r="W607" i="6"/>
  <c r="D607" i="6"/>
  <c r="W606" i="6"/>
  <c r="D606" i="6"/>
  <c r="W605" i="6"/>
  <c r="D605" i="6"/>
  <c r="W604" i="6"/>
  <c r="D604" i="6"/>
  <c r="W603" i="6"/>
  <c r="D603" i="6"/>
  <c r="W602" i="6"/>
  <c r="D602" i="6"/>
  <c r="W601" i="6"/>
  <c r="D601" i="6"/>
  <c r="W600" i="6"/>
  <c r="D600" i="6"/>
  <c r="W599" i="6"/>
  <c r="D599" i="6"/>
  <c r="W598" i="6"/>
  <c r="D598" i="6"/>
  <c r="W597" i="6"/>
  <c r="D597" i="6"/>
  <c r="W596" i="6"/>
  <c r="D596" i="6"/>
  <c r="W595" i="6"/>
  <c r="D595" i="6"/>
  <c r="W594" i="6"/>
  <c r="D594" i="6"/>
  <c r="W593" i="6"/>
  <c r="D593" i="6"/>
  <c r="W592" i="6"/>
  <c r="D592" i="6"/>
  <c r="W591" i="6"/>
  <c r="D591" i="6"/>
  <c r="W590" i="6"/>
  <c r="D590" i="6"/>
  <c r="W589" i="6"/>
  <c r="D589" i="6"/>
  <c r="W588" i="6"/>
  <c r="D588" i="6"/>
  <c r="W587" i="6"/>
  <c r="D587" i="6"/>
  <c r="W586" i="6"/>
  <c r="D586" i="6"/>
  <c r="W585" i="6"/>
  <c r="D585" i="6"/>
  <c r="W584" i="6"/>
  <c r="D584" i="6"/>
  <c r="W583" i="6"/>
  <c r="D583" i="6"/>
  <c r="W582" i="6"/>
  <c r="D582" i="6"/>
  <c r="W581" i="6"/>
  <c r="D581" i="6"/>
  <c r="D580" i="6"/>
  <c r="C580" i="6" s="1"/>
  <c r="N2129" i="2" s="1"/>
  <c r="J2129" i="2" s="1"/>
  <c r="W579" i="6"/>
  <c r="D579" i="6"/>
  <c r="W578" i="6"/>
  <c r="D578" i="6"/>
  <c r="W577" i="6"/>
  <c r="D577" i="6"/>
  <c r="W576" i="6"/>
  <c r="D576" i="6"/>
  <c r="D575" i="6"/>
  <c r="C575" i="6" s="1"/>
  <c r="W574" i="6"/>
  <c r="D574" i="6"/>
  <c r="W573" i="6"/>
  <c r="D573" i="6"/>
  <c r="W572" i="6"/>
  <c r="D572" i="6"/>
  <c r="W571" i="6"/>
  <c r="D571" i="6"/>
  <c r="W570" i="6"/>
  <c r="D570" i="6"/>
  <c r="W569" i="6"/>
  <c r="D569" i="6"/>
  <c r="W568" i="6"/>
  <c r="D568" i="6"/>
  <c r="W567" i="6"/>
  <c r="D567" i="6"/>
  <c r="W566" i="6"/>
  <c r="D566" i="6"/>
  <c r="W565" i="6"/>
  <c r="D565" i="6"/>
  <c r="W564" i="6"/>
  <c r="D564" i="6"/>
  <c r="W563" i="6"/>
  <c r="D563" i="6"/>
  <c r="W562" i="6"/>
  <c r="D562" i="6"/>
  <c r="W561" i="6"/>
  <c r="D561" i="6"/>
  <c r="W560" i="6"/>
  <c r="D560" i="6"/>
  <c r="W559" i="6"/>
  <c r="D559" i="6"/>
  <c r="W558" i="6"/>
  <c r="D558" i="6"/>
  <c r="W557" i="6"/>
  <c r="D557" i="6"/>
  <c r="W556" i="6"/>
  <c r="D556" i="6"/>
  <c r="W555" i="6"/>
  <c r="D555" i="6"/>
  <c r="W554" i="6"/>
  <c r="D554" i="6"/>
  <c r="W553" i="6"/>
  <c r="D553" i="6"/>
  <c r="W552" i="6"/>
  <c r="D552" i="6"/>
  <c r="W551" i="6"/>
  <c r="D551" i="6"/>
  <c r="W550" i="6"/>
  <c r="D550" i="6"/>
  <c r="W549" i="6"/>
  <c r="D549" i="6"/>
  <c r="W548" i="6"/>
  <c r="D548" i="6"/>
  <c r="W547" i="6"/>
  <c r="D547" i="6"/>
  <c r="W546" i="6"/>
  <c r="D546" i="6"/>
  <c r="W545" i="6"/>
  <c r="D545" i="6"/>
  <c r="W544" i="6"/>
  <c r="D544" i="6"/>
  <c r="W543" i="6"/>
  <c r="D543" i="6"/>
  <c r="W542" i="6"/>
  <c r="D542" i="6"/>
  <c r="W541" i="6"/>
  <c r="D541" i="6"/>
  <c r="D540" i="6"/>
  <c r="C540" i="6" s="1"/>
  <c r="W539" i="6"/>
  <c r="D539" i="6"/>
  <c r="W538" i="6"/>
  <c r="D538" i="6"/>
  <c r="W537" i="6"/>
  <c r="D537" i="6"/>
  <c r="W536" i="6"/>
  <c r="D536" i="6"/>
  <c r="W535" i="6"/>
  <c r="D535" i="6"/>
  <c r="W534" i="6"/>
  <c r="D534" i="6"/>
  <c r="W533" i="6"/>
  <c r="D533" i="6"/>
  <c r="W532" i="6"/>
  <c r="D532" i="6"/>
  <c r="W531" i="6"/>
  <c r="D531" i="6"/>
  <c r="W530" i="6"/>
  <c r="D530" i="6"/>
  <c r="W529" i="6"/>
  <c r="D529" i="6"/>
  <c r="W528" i="6"/>
  <c r="D528" i="6"/>
  <c r="W527" i="6"/>
  <c r="D527" i="6"/>
  <c r="W526" i="6"/>
  <c r="D526" i="6"/>
  <c r="W525" i="6"/>
  <c r="D525" i="6"/>
  <c r="W524" i="6"/>
  <c r="D524" i="6"/>
  <c r="W523" i="6"/>
  <c r="D523" i="6"/>
  <c r="W522" i="6"/>
  <c r="D522" i="6"/>
  <c r="W521" i="6"/>
  <c r="D521" i="6"/>
  <c r="W520" i="6"/>
  <c r="D520" i="6"/>
  <c r="W519" i="6"/>
  <c r="D519" i="6"/>
  <c r="W518" i="6"/>
  <c r="D518" i="6"/>
  <c r="W517" i="6"/>
  <c r="D517" i="6"/>
  <c r="W516" i="6"/>
  <c r="D516" i="6"/>
  <c r="W515" i="6"/>
  <c r="D515" i="6"/>
  <c r="W514" i="6"/>
  <c r="D514" i="6"/>
  <c r="D513" i="6"/>
  <c r="C513" i="6" s="1"/>
  <c r="N2062" i="2" s="1"/>
  <c r="J2062" i="2" s="1"/>
  <c r="W512" i="6"/>
  <c r="D512" i="6"/>
  <c r="W508" i="6"/>
  <c r="V508" i="6"/>
  <c r="U508" i="6"/>
  <c r="T508" i="6"/>
  <c r="R508" i="6"/>
  <c r="Q508" i="6"/>
  <c r="P508" i="6"/>
  <c r="O508" i="6"/>
  <c r="N508" i="6"/>
  <c r="M508" i="6"/>
  <c r="L508" i="6"/>
  <c r="K508" i="6"/>
  <c r="J508" i="6"/>
  <c r="I508" i="6"/>
  <c r="H508" i="6"/>
  <c r="G508" i="6"/>
  <c r="F508" i="6"/>
  <c r="E508" i="6"/>
  <c r="X507" i="6"/>
  <c r="D507" i="6"/>
  <c r="X506" i="6"/>
  <c r="D506" i="6"/>
  <c r="X505" i="6"/>
  <c r="D505" i="6"/>
  <c r="X504" i="6"/>
  <c r="D504" i="6"/>
  <c r="X503" i="6"/>
  <c r="D503" i="6"/>
  <c r="X502" i="6"/>
  <c r="D502" i="6"/>
  <c r="X501" i="6"/>
  <c r="D501" i="6"/>
  <c r="X498" i="6"/>
  <c r="W498" i="6"/>
  <c r="V498" i="6"/>
  <c r="U498" i="6"/>
  <c r="T498" i="6"/>
  <c r="R498" i="6"/>
  <c r="Q498" i="6"/>
  <c r="P498" i="6"/>
  <c r="O498" i="6"/>
  <c r="N498" i="6"/>
  <c r="M498" i="6"/>
  <c r="L498" i="6"/>
  <c r="K498" i="6"/>
  <c r="J498" i="6"/>
  <c r="I498" i="6"/>
  <c r="H498" i="6"/>
  <c r="G498" i="6"/>
  <c r="F498" i="6"/>
  <c r="E498" i="6"/>
  <c r="D497" i="6"/>
  <c r="C497" i="6" s="1"/>
  <c r="N2035" i="2" s="1"/>
  <c r="J2035" i="2" s="1"/>
  <c r="D496" i="6"/>
  <c r="C496" i="6" s="1"/>
  <c r="N2034" i="2" s="1"/>
  <c r="J2034" i="2" s="1"/>
  <c r="D495" i="6"/>
  <c r="C495" i="6" s="1"/>
  <c r="N2030" i="2" s="1"/>
  <c r="J2030" i="2" s="1"/>
  <c r="D494" i="6"/>
  <c r="C494" i="6" s="1"/>
  <c r="N2027" i="2" s="1"/>
  <c r="J2027" i="2" s="1"/>
  <c r="D493" i="6"/>
  <c r="C493" i="6" s="1"/>
  <c r="N2026" i="2" s="1"/>
  <c r="J2026" i="2" s="1"/>
  <c r="D492" i="6"/>
  <c r="C492" i="6" s="1"/>
  <c r="N2019" i="2" s="1"/>
  <c r="J2019" i="2" s="1"/>
  <c r="D491" i="6"/>
  <c r="C491" i="6" s="1"/>
  <c r="N2014" i="2" s="1"/>
  <c r="J2014" i="2" s="1"/>
  <c r="D490" i="6"/>
  <c r="C490" i="6" s="1"/>
  <c r="N2013" i="2" s="1"/>
  <c r="J2013" i="2" s="1"/>
  <c r="D489" i="6"/>
  <c r="C489" i="6" s="1"/>
  <c r="N2010" i="2" s="1"/>
  <c r="J2010" i="2" s="1"/>
  <c r="D488" i="6"/>
  <c r="C488" i="6" s="1"/>
  <c r="N2009" i="2" s="1"/>
  <c r="J2009" i="2" s="1"/>
  <c r="D487" i="6"/>
  <c r="C487" i="6" s="1"/>
  <c r="N2008" i="2" s="1"/>
  <c r="J2008" i="2" s="1"/>
  <c r="D486" i="6"/>
  <c r="C486" i="6" s="1"/>
  <c r="N2005" i="2" s="1"/>
  <c r="J2005" i="2" s="1"/>
  <c r="D485" i="6"/>
  <c r="C485" i="6" s="1"/>
  <c r="N2004" i="2" s="1"/>
  <c r="J2004" i="2" s="1"/>
  <c r="D484" i="6"/>
  <c r="C484" i="6" s="1"/>
  <c r="N2003" i="2" s="1"/>
  <c r="J2003" i="2" s="1"/>
  <c r="D483" i="6"/>
  <c r="X481" i="6"/>
  <c r="W481" i="6"/>
  <c r="V481" i="6"/>
  <c r="U481" i="6"/>
  <c r="T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F481" i="6"/>
  <c r="E481" i="6"/>
  <c r="D480" i="6"/>
  <c r="W478" i="6"/>
  <c r="V478" i="6"/>
  <c r="U478" i="6"/>
  <c r="T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X477" i="6"/>
  <c r="D477" i="6"/>
  <c r="X476" i="6"/>
  <c r="D476" i="6"/>
  <c r="X475" i="6"/>
  <c r="D475" i="6"/>
  <c r="W471" i="6"/>
  <c r="V471" i="6"/>
  <c r="U471" i="6"/>
  <c r="T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F471" i="6"/>
  <c r="E471" i="6"/>
  <c r="W464" i="6"/>
  <c r="V464" i="6"/>
  <c r="U464" i="6"/>
  <c r="T464" i="6"/>
  <c r="Q464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R464" i="6"/>
  <c r="W454" i="6"/>
  <c r="V454" i="6"/>
  <c r="U454" i="6"/>
  <c r="T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3" i="6"/>
  <c r="C453" i="6" s="1"/>
  <c r="D452" i="6"/>
  <c r="V448" i="6"/>
  <c r="U448" i="6"/>
  <c r="T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W447" i="6"/>
  <c r="W448" i="6" s="1"/>
  <c r="D447" i="6"/>
  <c r="V445" i="6"/>
  <c r="U445" i="6"/>
  <c r="T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W444" i="6"/>
  <c r="D444" i="6"/>
  <c r="W443" i="6"/>
  <c r="D443" i="6"/>
  <c r="W442" i="6"/>
  <c r="W441" i="6"/>
  <c r="V441" i="6"/>
  <c r="U441" i="6"/>
  <c r="T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D440" i="6"/>
  <c r="C440" i="6" s="1"/>
  <c r="C441" i="6" s="1"/>
  <c r="W438" i="6"/>
  <c r="V438" i="6"/>
  <c r="U438" i="6"/>
  <c r="T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D437" i="6"/>
  <c r="C437" i="6" s="1"/>
  <c r="C438" i="6" s="1"/>
  <c r="W435" i="6"/>
  <c r="V435" i="6"/>
  <c r="U435" i="6"/>
  <c r="T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D434" i="6"/>
  <c r="C434" i="6" s="1"/>
  <c r="C435" i="6" s="1"/>
  <c r="V432" i="6"/>
  <c r="U432" i="6"/>
  <c r="T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W431" i="6"/>
  <c r="D431" i="6"/>
  <c r="W430" i="6"/>
  <c r="D430" i="6"/>
  <c r="W429" i="6"/>
  <c r="D429" i="6"/>
  <c r="W428" i="6"/>
  <c r="D428" i="6"/>
  <c r="W427" i="6"/>
  <c r="D427" i="6"/>
  <c r="W426" i="6"/>
  <c r="D426" i="6"/>
  <c r="W425" i="6"/>
  <c r="D425" i="6"/>
  <c r="W423" i="6"/>
  <c r="V423" i="6"/>
  <c r="U423" i="6"/>
  <c r="T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D422" i="6"/>
  <c r="C422" i="6" s="1"/>
  <c r="D421" i="6"/>
  <c r="C421" i="6" s="1"/>
  <c r="X420" i="6"/>
  <c r="D420" i="6"/>
  <c r="C420" i="6" s="1"/>
  <c r="X419" i="6"/>
  <c r="D419" i="6"/>
  <c r="C419" i="6" s="1"/>
  <c r="X418" i="6"/>
  <c r="D418" i="6"/>
  <c r="C418" i="6" s="1"/>
  <c r="D417" i="6"/>
  <c r="C417" i="6" s="1"/>
  <c r="D416" i="6"/>
  <c r="C416" i="6" s="1"/>
  <c r="D415" i="6"/>
  <c r="C415" i="6" s="1"/>
  <c r="D414" i="6"/>
  <c r="C414" i="6" s="1"/>
  <c r="D413" i="6"/>
  <c r="C413" i="6" s="1"/>
  <c r="D412" i="6"/>
  <c r="C412" i="6" s="1"/>
  <c r="D411" i="6"/>
  <c r="C411" i="6" s="1"/>
  <c r="R410" i="6"/>
  <c r="D410" i="6"/>
  <c r="X409" i="6"/>
  <c r="D409" i="6"/>
  <c r="C409" i="6" s="1"/>
  <c r="D408" i="6"/>
  <c r="C408" i="6" s="1"/>
  <c r="D407" i="6"/>
  <c r="C407" i="6" s="1"/>
  <c r="D406" i="6"/>
  <c r="C406" i="6" s="1"/>
  <c r="D405" i="6"/>
  <c r="C405" i="6" s="1"/>
  <c r="D404" i="6"/>
  <c r="C404" i="6" s="1"/>
  <c r="D403" i="6"/>
  <c r="C403" i="6" s="1"/>
  <c r="R402" i="6"/>
  <c r="D402" i="6"/>
  <c r="R401" i="6"/>
  <c r="D401" i="6"/>
  <c r="D400" i="6"/>
  <c r="C400" i="6" s="1"/>
  <c r="X399" i="6"/>
  <c r="R399" i="6"/>
  <c r="D399" i="6"/>
  <c r="R398" i="6"/>
  <c r="D398" i="6"/>
  <c r="D397" i="6"/>
  <c r="C397" i="6" s="1"/>
  <c r="X396" i="6"/>
  <c r="D396" i="6"/>
  <c r="C396" i="6" s="1"/>
  <c r="D395" i="6"/>
  <c r="C395" i="6" s="1"/>
  <c r="R394" i="6"/>
  <c r="D394" i="6"/>
  <c r="R393" i="6"/>
  <c r="D393" i="6"/>
  <c r="R392" i="6"/>
  <c r="D392" i="6"/>
  <c r="D391" i="6"/>
  <c r="C391" i="6" s="1"/>
  <c r="D390" i="6"/>
  <c r="C390" i="6" s="1"/>
  <c r="D389" i="6"/>
  <c r="C389" i="6" s="1"/>
  <c r="D388" i="6"/>
  <c r="C388" i="6" s="1"/>
  <c r="X387" i="6"/>
  <c r="R387" i="6"/>
  <c r="D387" i="6"/>
  <c r="D386" i="6"/>
  <c r="C386" i="6" s="1"/>
  <c r="D385" i="6"/>
  <c r="C385" i="6" s="1"/>
  <c r="D384" i="6"/>
  <c r="C384" i="6" s="1"/>
  <c r="D383" i="6"/>
  <c r="C383" i="6" s="1"/>
  <c r="D382" i="6"/>
  <c r="C382" i="6" s="1"/>
  <c r="D381" i="6"/>
  <c r="C381" i="6" s="1"/>
  <c r="D380" i="6"/>
  <c r="C380" i="6" s="1"/>
  <c r="D379" i="6"/>
  <c r="C379" i="6" s="1"/>
  <c r="N1441" i="2" s="1"/>
  <c r="J1441" i="2" s="1"/>
  <c r="D378" i="6"/>
  <c r="C378" i="6" s="1"/>
  <c r="N1437" i="2" s="1"/>
  <c r="J1437" i="2" s="1"/>
  <c r="D377" i="6"/>
  <c r="W375" i="6"/>
  <c r="V375" i="6"/>
  <c r="U375" i="6"/>
  <c r="T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4" i="6"/>
  <c r="W373" i="6"/>
  <c r="W372" i="6"/>
  <c r="V372" i="6"/>
  <c r="U372" i="6"/>
  <c r="T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1" i="6"/>
  <c r="C371" i="6" s="1"/>
  <c r="D370" i="6"/>
  <c r="C370" i="6" s="1"/>
  <c r="D369" i="6"/>
  <c r="C369" i="6" s="1"/>
  <c r="D368" i="6"/>
  <c r="C368" i="6" s="1"/>
  <c r="D367" i="6"/>
  <c r="V363" i="6"/>
  <c r="U363" i="6"/>
  <c r="T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W362" i="6"/>
  <c r="D362" i="6"/>
  <c r="W361" i="6"/>
  <c r="D361" i="6"/>
  <c r="W360" i="6"/>
  <c r="D360" i="6"/>
  <c r="W359" i="6"/>
  <c r="D359" i="6"/>
  <c r="W358" i="6"/>
  <c r="D358" i="6"/>
  <c r="W357" i="6"/>
  <c r="D357" i="6"/>
  <c r="W356" i="6"/>
  <c r="D356" i="6"/>
  <c r="W355" i="6"/>
  <c r="D355" i="6"/>
  <c r="W354" i="6"/>
  <c r="D354" i="6"/>
  <c r="W353" i="6"/>
  <c r="D353" i="6"/>
  <c r="W352" i="6"/>
  <c r="D352" i="6"/>
  <c r="W351" i="6"/>
  <c r="D351" i="6"/>
  <c r="D350" i="6"/>
  <c r="C350" i="6" s="1"/>
  <c r="W349" i="6"/>
  <c r="D349" i="6"/>
  <c r="W348" i="6"/>
  <c r="D348" i="6"/>
  <c r="W347" i="6"/>
  <c r="D347" i="6"/>
  <c r="W346" i="6"/>
  <c r="D346" i="6"/>
  <c r="D345" i="6"/>
  <c r="C345" i="6" s="1"/>
  <c r="N1328" i="2" s="1"/>
  <c r="J1328" i="2" s="1"/>
  <c r="W344" i="6"/>
  <c r="D344" i="6"/>
  <c r="W343" i="6"/>
  <c r="D343" i="6"/>
  <c r="W342" i="6"/>
  <c r="D342" i="6"/>
  <c r="W341" i="6"/>
  <c r="D341" i="6"/>
  <c r="W340" i="6"/>
  <c r="D340" i="6"/>
  <c r="D339" i="6"/>
  <c r="D338" i="6"/>
  <c r="C338" i="6" s="1"/>
  <c r="N1321" i="2" s="1"/>
  <c r="J1321" i="2" s="1"/>
  <c r="V336" i="6"/>
  <c r="U336" i="6"/>
  <c r="T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W335" i="6"/>
  <c r="D335" i="6"/>
  <c r="W334" i="6"/>
  <c r="D334" i="6"/>
  <c r="W333" i="6"/>
  <c r="D333" i="6"/>
  <c r="W332" i="6"/>
  <c r="D332" i="6"/>
  <c r="W331" i="6"/>
  <c r="D331" i="6"/>
  <c r="W330" i="6"/>
  <c r="D330" i="6"/>
  <c r="W329" i="6"/>
  <c r="D329" i="6"/>
  <c r="W328" i="6"/>
  <c r="D328" i="6"/>
  <c r="W327" i="6"/>
  <c r="D327" i="6"/>
  <c r="W326" i="6"/>
  <c r="D326" i="6"/>
  <c r="W325" i="6"/>
  <c r="D325" i="6"/>
  <c r="W324" i="6"/>
  <c r="D324" i="6"/>
  <c r="W323" i="6"/>
  <c r="D323" i="6"/>
  <c r="W322" i="6"/>
  <c r="D322" i="6"/>
  <c r="W321" i="6"/>
  <c r="D321" i="6"/>
  <c r="W320" i="6"/>
  <c r="D320" i="6"/>
  <c r="W319" i="6"/>
  <c r="D319" i="6"/>
  <c r="W318" i="6"/>
  <c r="D318" i="6"/>
  <c r="W317" i="6"/>
  <c r="D317" i="6"/>
  <c r="W316" i="6"/>
  <c r="D316" i="6"/>
  <c r="W315" i="6"/>
  <c r="D315" i="6"/>
  <c r="W314" i="6"/>
  <c r="D314" i="6"/>
  <c r="W313" i="6"/>
  <c r="D313" i="6"/>
  <c r="W312" i="6"/>
  <c r="D312" i="6"/>
  <c r="W311" i="6"/>
  <c r="D311" i="6"/>
  <c r="W310" i="6"/>
  <c r="D310" i="6"/>
  <c r="W309" i="6"/>
  <c r="D309" i="6"/>
  <c r="W308" i="6"/>
  <c r="D308" i="6"/>
  <c r="W307" i="6"/>
  <c r="D307" i="6"/>
  <c r="W306" i="6"/>
  <c r="D306" i="6"/>
  <c r="W305" i="6"/>
  <c r="D305" i="6"/>
  <c r="W304" i="6"/>
  <c r="D304" i="6"/>
  <c r="W303" i="6"/>
  <c r="D303" i="6"/>
  <c r="W302" i="6"/>
  <c r="D302" i="6"/>
  <c r="W301" i="6"/>
  <c r="D301" i="6"/>
  <c r="W300" i="6"/>
  <c r="D300" i="6"/>
  <c r="W299" i="6"/>
  <c r="D299" i="6"/>
  <c r="W298" i="6"/>
  <c r="D298" i="6"/>
  <c r="W297" i="6"/>
  <c r="D297" i="6"/>
  <c r="W296" i="6"/>
  <c r="D296" i="6"/>
  <c r="W295" i="6"/>
  <c r="D295" i="6"/>
  <c r="W294" i="6"/>
  <c r="D294" i="6"/>
  <c r="W293" i="6"/>
  <c r="D293" i="6"/>
  <c r="W292" i="6"/>
  <c r="D292" i="6"/>
  <c r="W291" i="6"/>
  <c r="D291" i="6"/>
  <c r="W290" i="6"/>
  <c r="D290" i="6"/>
  <c r="W289" i="6"/>
  <c r="D289" i="6"/>
  <c r="W288" i="6"/>
  <c r="D288" i="6"/>
  <c r="W287" i="6"/>
  <c r="D287" i="6"/>
  <c r="W286" i="6"/>
  <c r="D286" i="6"/>
  <c r="W285" i="6"/>
  <c r="D285" i="6"/>
  <c r="W283" i="6"/>
  <c r="V283" i="6"/>
  <c r="U283" i="6"/>
  <c r="T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2" i="6"/>
  <c r="C282" i="6" s="1"/>
  <c r="D281" i="6"/>
  <c r="W279" i="6"/>
  <c r="V279" i="6"/>
  <c r="U279" i="6"/>
  <c r="M279" i="6"/>
  <c r="L279" i="6"/>
  <c r="K279" i="6"/>
  <c r="J279" i="6"/>
  <c r="I279" i="6"/>
  <c r="H279" i="6"/>
  <c r="G279" i="6"/>
  <c r="F279" i="6"/>
  <c r="E279" i="6"/>
  <c r="D278" i="6"/>
  <c r="C278" i="6" s="1"/>
  <c r="N1175" i="2" s="1"/>
  <c r="J1175" i="2" s="1"/>
  <c r="D277" i="6"/>
  <c r="C277" i="6" s="1"/>
  <c r="N1174" i="2" s="1"/>
  <c r="R276" i="6"/>
  <c r="N276" i="6"/>
  <c r="D276" i="6"/>
  <c r="R275" i="6"/>
  <c r="N275" i="6"/>
  <c r="D275" i="6"/>
  <c r="W273" i="6"/>
  <c r="V273" i="6"/>
  <c r="U273" i="6"/>
  <c r="T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2" i="6"/>
  <c r="C272" i="6" s="1"/>
  <c r="W270" i="6"/>
  <c r="V270" i="6"/>
  <c r="U270" i="6"/>
  <c r="T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69" i="6"/>
  <c r="C269" i="6" s="1"/>
  <c r="D268" i="6"/>
  <c r="C268" i="6" s="1"/>
  <c r="D267" i="6"/>
  <c r="C267" i="6" s="1"/>
  <c r="D266" i="6"/>
  <c r="W264" i="6"/>
  <c r="V264" i="6"/>
  <c r="U264" i="6"/>
  <c r="T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3" i="6"/>
  <c r="C263" i="6" s="1"/>
  <c r="D262" i="6"/>
  <c r="C262" i="6" s="1"/>
  <c r="D261" i="6"/>
  <c r="W257" i="6"/>
  <c r="V257" i="6"/>
  <c r="U257" i="6"/>
  <c r="T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6" i="6"/>
  <c r="C256" i="6" s="1"/>
  <c r="D255" i="6"/>
  <c r="C255" i="6" s="1"/>
  <c r="D254" i="6"/>
  <c r="C254" i="6" s="1"/>
  <c r="D253" i="6"/>
  <c r="C253" i="6" s="1"/>
  <c r="N801" i="2" s="1"/>
  <c r="J801" i="2" s="1"/>
  <c r="D252" i="6"/>
  <c r="C252" i="6" s="1"/>
  <c r="W250" i="6"/>
  <c r="V250" i="6"/>
  <c r="U250" i="6"/>
  <c r="T250" i="6"/>
  <c r="R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N777" i="2"/>
  <c r="J777" i="2" s="1"/>
  <c r="Q248" i="6"/>
  <c r="Q250" i="6" s="1"/>
  <c r="D248" i="6"/>
  <c r="C248" i="6" s="1"/>
  <c r="D247" i="6"/>
  <c r="W245" i="6"/>
  <c r="V245" i="6"/>
  <c r="U245" i="6"/>
  <c r="T245" i="6"/>
  <c r="R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Q244" i="6"/>
  <c r="D244" i="6"/>
  <c r="C244" i="6" s="1"/>
  <c r="D243" i="6"/>
  <c r="C243" i="6" s="1"/>
  <c r="D242" i="6"/>
  <c r="C242" i="6" s="1"/>
  <c r="Q241" i="6"/>
  <c r="D241" i="6"/>
  <c r="C241" i="6" s="1"/>
  <c r="Q240" i="6"/>
  <c r="D240" i="6"/>
  <c r="C240" i="6" s="1"/>
  <c r="D239" i="6"/>
  <c r="C239" i="6" s="1"/>
  <c r="D238" i="6"/>
  <c r="C238" i="6" s="1"/>
  <c r="Q237" i="6"/>
  <c r="D237" i="6"/>
  <c r="C237" i="6" s="1"/>
  <c r="Q236" i="6"/>
  <c r="D236" i="6"/>
  <c r="C236" i="6" s="1"/>
  <c r="D235" i="6"/>
  <c r="C235" i="6" s="1"/>
  <c r="D234" i="6"/>
  <c r="C234" i="6" s="1"/>
  <c r="W232" i="6"/>
  <c r="V232" i="6"/>
  <c r="U232" i="6"/>
  <c r="T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1" i="6"/>
  <c r="C231" i="6" s="1"/>
  <c r="D230" i="6"/>
  <c r="C230" i="6" s="1"/>
  <c r="D229" i="6"/>
  <c r="C229" i="6" s="1"/>
  <c r="V227" i="6"/>
  <c r="U227" i="6"/>
  <c r="T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W226" i="6"/>
  <c r="W227" i="6" s="1"/>
  <c r="D226" i="6"/>
  <c r="D225" i="6"/>
  <c r="C225" i="6" s="1"/>
  <c r="V223" i="6"/>
  <c r="U223" i="6"/>
  <c r="T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W222" i="6"/>
  <c r="D222" i="6"/>
  <c r="W221" i="6"/>
  <c r="D221" i="6"/>
  <c r="W220" i="6"/>
  <c r="D220" i="6"/>
  <c r="W219" i="6"/>
  <c r="D219" i="6"/>
  <c r="W218" i="6"/>
  <c r="D218" i="6"/>
  <c r="W217" i="6"/>
  <c r="D217" i="6"/>
  <c r="W216" i="6"/>
  <c r="D216" i="6"/>
  <c r="W215" i="6"/>
  <c r="D215" i="6"/>
  <c r="W214" i="6"/>
  <c r="D214" i="6"/>
  <c r="W213" i="6"/>
  <c r="D213" i="6"/>
  <c r="W212" i="6"/>
  <c r="D212" i="6"/>
  <c r="W211" i="6"/>
  <c r="D211" i="6"/>
  <c r="W210" i="6"/>
  <c r="D210" i="6"/>
  <c r="W209" i="6"/>
  <c r="D209" i="6"/>
  <c r="W208" i="6"/>
  <c r="D208" i="6"/>
  <c r="W207" i="6"/>
  <c r="D207" i="6"/>
  <c r="D206" i="6"/>
  <c r="C206" i="6" s="1"/>
  <c r="N662" i="2" s="1"/>
  <c r="J662" i="2" s="1"/>
  <c r="W205" i="6"/>
  <c r="D205" i="6"/>
  <c r="W204" i="6"/>
  <c r="D204" i="6"/>
  <c r="W203" i="6"/>
  <c r="D203" i="6"/>
  <c r="W202" i="6"/>
  <c r="D202" i="6"/>
  <c r="W201" i="6"/>
  <c r="D201" i="6"/>
  <c r="W200" i="6"/>
  <c r="D200" i="6"/>
  <c r="W199" i="6"/>
  <c r="D199" i="6"/>
  <c r="W198" i="6"/>
  <c r="D198" i="6"/>
  <c r="W197" i="6"/>
  <c r="D197" i="6"/>
  <c r="W196" i="6"/>
  <c r="D196" i="6"/>
  <c r="W195" i="6"/>
  <c r="D195" i="6"/>
  <c r="D194" i="6"/>
  <c r="C194" i="6" s="1"/>
  <c r="N650" i="2" s="1"/>
  <c r="J650" i="2" s="1"/>
  <c r="W193" i="6"/>
  <c r="D193" i="6"/>
  <c r="W192" i="6"/>
  <c r="D192" i="6"/>
  <c r="W191" i="6"/>
  <c r="D191" i="6"/>
  <c r="W190" i="6"/>
  <c r="D190" i="6"/>
  <c r="W189" i="6"/>
  <c r="D189" i="6"/>
  <c r="V187" i="6"/>
  <c r="U187" i="6"/>
  <c r="T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W186" i="6"/>
  <c r="D186" i="6"/>
  <c r="W185" i="6"/>
  <c r="D185" i="6"/>
  <c r="W184" i="6"/>
  <c r="D184" i="6"/>
  <c r="W183" i="6"/>
  <c r="D183" i="6"/>
  <c r="W182" i="6"/>
  <c r="D182" i="6"/>
  <c r="W181" i="6"/>
  <c r="D181" i="6"/>
  <c r="W180" i="6"/>
  <c r="D180" i="6"/>
  <c r="W179" i="6"/>
  <c r="D179" i="6"/>
  <c r="W178" i="6"/>
  <c r="D178" i="6"/>
  <c r="W177" i="6"/>
  <c r="D177" i="6"/>
  <c r="W176" i="6"/>
  <c r="D176" i="6"/>
  <c r="W175" i="6"/>
  <c r="D175" i="6"/>
  <c r="W174" i="6"/>
  <c r="D174" i="6"/>
  <c r="W173" i="6"/>
  <c r="D173" i="6"/>
  <c r="W172" i="6"/>
  <c r="D172" i="6"/>
  <c r="W171" i="6"/>
  <c r="D171" i="6"/>
  <c r="D168" i="6"/>
  <c r="C168" i="6" s="1"/>
  <c r="N607" i="2" s="1"/>
  <c r="J607" i="2" s="1"/>
  <c r="W167" i="6"/>
  <c r="D167" i="6"/>
  <c r="W166" i="6"/>
  <c r="D166" i="6"/>
  <c r="W165" i="6"/>
  <c r="D165" i="6"/>
  <c r="W164" i="6"/>
  <c r="D164" i="6"/>
  <c r="W163" i="6"/>
  <c r="D163" i="6"/>
  <c r="D160" i="6"/>
  <c r="C160" i="6" s="1"/>
  <c r="N598" i="2" s="1"/>
  <c r="J598" i="2" s="1"/>
  <c r="D159" i="6"/>
  <c r="C159" i="6" s="1"/>
  <c r="N597" i="2" s="1"/>
  <c r="W157" i="6"/>
  <c r="V157" i="6"/>
  <c r="U157" i="6"/>
  <c r="T157" i="6"/>
  <c r="R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6" i="6"/>
  <c r="C156" i="6" s="1"/>
  <c r="D155" i="6"/>
  <c r="C155" i="6" s="1"/>
  <c r="D154" i="6"/>
  <c r="C154" i="6" s="1"/>
  <c r="D153" i="6"/>
  <c r="C153" i="6" s="1"/>
  <c r="D152" i="6"/>
  <c r="C152" i="6" s="1"/>
  <c r="D151" i="6"/>
  <c r="C151" i="6" s="1"/>
  <c r="Q150" i="6"/>
  <c r="D150" i="6"/>
  <c r="C150" i="6" s="1"/>
  <c r="D149" i="6"/>
  <c r="C149" i="6" s="1"/>
  <c r="Q148" i="6"/>
  <c r="D148" i="6"/>
  <c r="C148" i="6" s="1"/>
  <c r="AA144" i="6"/>
  <c r="AA1353" i="6" s="1"/>
  <c r="Z144" i="6"/>
  <c r="Y144" i="6"/>
  <c r="X144" i="6"/>
  <c r="W143" i="6"/>
  <c r="V143" i="6"/>
  <c r="U143" i="6"/>
  <c r="T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2" i="6"/>
  <c r="C142" i="6" s="1"/>
  <c r="D141" i="6"/>
  <c r="C141" i="6" s="1"/>
  <c r="D140" i="6"/>
  <c r="C140" i="6" s="1"/>
  <c r="W138" i="6"/>
  <c r="V138" i="6"/>
  <c r="U138" i="6"/>
  <c r="T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E138" i="6"/>
  <c r="F137" i="6"/>
  <c r="F138" i="6" s="1"/>
  <c r="V135" i="6"/>
  <c r="U135" i="6"/>
  <c r="T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W134" i="6"/>
  <c r="D134" i="6"/>
  <c r="D135" i="6" s="1"/>
  <c r="V132" i="6"/>
  <c r="U132" i="6"/>
  <c r="T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W131" i="6"/>
  <c r="D131" i="6"/>
  <c r="W130" i="6"/>
  <c r="D130" i="6"/>
  <c r="W129" i="6"/>
  <c r="D129" i="6"/>
  <c r="W128" i="6"/>
  <c r="D128" i="6"/>
  <c r="W127" i="6"/>
  <c r="D127" i="6"/>
  <c r="D126" i="6"/>
  <c r="C126" i="6" s="1"/>
  <c r="N475" i="2" s="1"/>
  <c r="V124" i="6"/>
  <c r="U124" i="6"/>
  <c r="T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W123" i="6"/>
  <c r="D123" i="6"/>
  <c r="W122" i="6"/>
  <c r="D122" i="6"/>
  <c r="W121" i="6"/>
  <c r="D121" i="6"/>
  <c r="W120" i="6"/>
  <c r="D120" i="6"/>
  <c r="W119" i="6"/>
  <c r="D119" i="6"/>
  <c r="W118" i="6"/>
  <c r="D118" i="6"/>
  <c r="W117" i="6"/>
  <c r="D117" i="6"/>
  <c r="W116" i="6"/>
  <c r="D116" i="6"/>
  <c r="W115" i="6"/>
  <c r="D115" i="6"/>
  <c r="W114" i="6"/>
  <c r="D114" i="6"/>
  <c r="W113" i="6"/>
  <c r="D113" i="6"/>
  <c r="W112" i="6"/>
  <c r="D112" i="6"/>
  <c r="W111" i="6"/>
  <c r="D111" i="6"/>
  <c r="W110" i="6"/>
  <c r="D110" i="6"/>
  <c r="W109" i="6"/>
  <c r="D109" i="6"/>
  <c r="W108" i="6"/>
  <c r="D108" i="6"/>
  <c r="W107" i="6"/>
  <c r="D107" i="6"/>
  <c r="W105" i="6"/>
  <c r="V105" i="6"/>
  <c r="T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4" i="6"/>
  <c r="C104" i="6" s="1"/>
  <c r="D103" i="6"/>
  <c r="C103" i="6" s="1"/>
  <c r="U102" i="6"/>
  <c r="D102" i="6"/>
  <c r="D101" i="6"/>
  <c r="C101" i="6" s="1"/>
  <c r="D100" i="6"/>
  <c r="C100" i="6" s="1"/>
  <c r="D99" i="6"/>
  <c r="C99" i="6" s="1"/>
  <c r="D98" i="6"/>
  <c r="C98" i="6" s="1"/>
  <c r="D97" i="6"/>
  <c r="C97" i="6" s="1"/>
  <c r="D96" i="6"/>
  <c r="C96" i="6" s="1"/>
  <c r="D95" i="6"/>
  <c r="C95" i="6" s="1"/>
  <c r="U94" i="6"/>
  <c r="D94" i="6"/>
  <c r="D93" i="6"/>
  <c r="C93" i="6" s="1"/>
  <c r="D92" i="6"/>
  <c r="C92" i="6" s="1"/>
  <c r="D91" i="6"/>
  <c r="C91" i="6" s="1"/>
  <c r="D90" i="6"/>
  <c r="C90" i="6" s="1"/>
  <c r="D89" i="6"/>
  <c r="C89" i="6" s="1"/>
  <c r="D88" i="6"/>
  <c r="C88" i="6" s="1"/>
  <c r="D87" i="6"/>
  <c r="C87" i="6" s="1"/>
  <c r="D86" i="6"/>
  <c r="C86" i="6" s="1"/>
  <c r="D85" i="6"/>
  <c r="C85" i="6" s="1"/>
  <c r="U84" i="6"/>
  <c r="D84" i="6"/>
  <c r="U83" i="6"/>
  <c r="D83" i="6"/>
  <c r="D82" i="6"/>
  <c r="C82" i="6" s="1"/>
  <c r="U81" i="6"/>
  <c r="D81" i="6"/>
  <c r="U80" i="6"/>
  <c r="D80" i="6"/>
  <c r="U79" i="6"/>
  <c r="D79" i="6"/>
  <c r="W77" i="6"/>
  <c r="V77" i="6"/>
  <c r="U77" i="6"/>
  <c r="T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R76" i="6"/>
  <c r="D76" i="6"/>
  <c r="R75" i="6"/>
  <c r="D75" i="6"/>
  <c r="W73" i="6"/>
  <c r="V73" i="6"/>
  <c r="U73" i="6"/>
  <c r="T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R73" i="6"/>
  <c r="D72" i="6"/>
  <c r="C72" i="6" s="1"/>
  <c r="N300" i="2" s="1"/>
  <c r="D71" i="6"/>
  <c r="C71" i="6" s="1"/>
  <c r="N298" i="2" s="1"/>
  <c r="D70" i="6"/>
  <c r="C70" i="6" s="1"/>
  <c r="N297" i="2" s="1"/>
  <c r="W68" i="6"/>
  <c r="V68" i="6"/>
  <c r="U68" i="6"/>
  <c r="T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7" i="6"/>
  <c r="C67" i="6" s="1"/>
  <c r="D66" i="6"/>
  <c r="C66" i="6" s="1"/>
  <c r="D65" i="6"/>
  <c r="W63" i="6"/>
  <c r="V63" i="6"/>
  <c r="U63" i="6"/>
  <c r="T63" i="6"/>
  <c r="R63" i="6"/>
  <c r="Q63" i="6"/>
  <c r="P63" i="6"/>
  <c r="O63" i="6"/>
  <c r="N63" i="6"/>
  <c r="M63" i="6"/>
  <c r="L63" i="6"/>
  <c r="K63" i="6"/>
  <c r="J63" i="6"/>
  <c r="D62" i="6"/>
  <c r="C62" i="6" s="1"/>
  <c r="I61" i="6"/>
  <c r="H61" i="6"/>
  <c r="H63" i="6" s="1"/>
  <c r="G61" i="6"/>
  <c r="F61" i="6"/>
  <c r="I60" i="6"/>
  <c r="G60" i="6"/>
  <c r="F60" i="6"/>
  <c r="I59" i="6"/>
  <c r="E58" i="6"/>
  <c r="D58" i="6" s="1"/>
  <c r="C58" i="6" s="1"/>
  <c r="E57" i="6"/>
  <c r="D57" i="6" s="1"/>
  <c r="C57" i="6" s="1"/>
  <c r="V53" i="6"/>
  <c r="U53" i="6"/>
  <c r="T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B52" i="6"/>
  <c r="W52" i="6" s="1"/>
  <c r="D52" i="6"/>
  <c r="AB51" i="6"/>
  <c r="W51" i="6" s="1"/>
  <c r="D51" i="6"/>
  <c r="AB50" i="6"/>
  <c r="W50" i="6" s="1"/>
  <c r="D50" i="6"/>
  <c r="W48" i="6"/>
  <c r="V48" i="6"/>
  <c r="U48" i="6"/>
  <c r="T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AB47" i="6"/>
  <c r="R47" i="6"/>
  <c r="R48" i="6" s="1"/>
  <c r="D47" i="6"/>
  <c r="W45" i="6"/>
  <c r="V45" i="6"/>
  <c r="U45" i="6"/>
  <c r="T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4" i="6"/>
  <c r="D43" i="6"/>
  <c r="C43" i="6" s="1"/>
  <c r="W41" i="6"/>
  <c r="V41" i="6"/>
  <c r="U41" i="6"/>
  <c r="T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0" i="6"/>
  <c r="D41" i="6" s="1"/>
  <c r="V38" i="6"/>
  <c r="U38" i="6"/>
  <c r="T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W37" i="6"/>
  <c r="D37" i="6"/>
  <c r="W36" i="6"/>
  <c r="D36" i="6"/>
  <c r="W35" i="6"/>
  <c r="D35" i="6"/>
  <c r="W34" i="6"/>
  <c r="D34" i="6"/>
  <c r="V32" i="6"/>
  <c r="U32" i="6"/>
  <c r="T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W31" i="6"/>
  <c r="W32" i="6" s="1"/>
  <c r="D31" i="6"/>
  <c r="D32" i="6" s="1"/>
  <c r="W27" i="6"/>
  <c r="V27" i="6"/>
  <c r="U27" i="6"/>
  <c r="T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R26" i="6"/>
  <c r="R27" i="6" s="1"/>
  <c r="D26" i="6"/>
  <c r="W24" i="6"/>
  <c r="V24" i="6"/>
  <c r="U24" i="6"/>
  <c r="T24" i="6"/>
  <c r="T28" i="6" s="1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3" i="6"/>
  <c r="C23" i="6" s="1"/>
  <c r="D22" i="6"/>
  <c r="C22" i="6" s="1"/>
  <c r="D21" i="6"/>
  <c r="C21" i="6" s="1"/>
  <c r="D20" i="6"/>
  <c r="C20" i="6" s="1"/>
  <c r="D19" i="6"/>
  <c r="C19" i="6" s="1"/>
  <c r="D18" i="6"/>
  <c r="C18" i="6" s="1"/>
  <c r="D17" i="6"/>
  <c r="C17" i="6" s="1"/>
  <c r="R16" i="6"/>
  <c r="R24" i="6" s="1"/>
  <c r="D16" i="6"/>
  <c r="D15" i="6"/>
  <c r="C15" i="6" s="1"/>
  <c r="D14" i="6"/>
  <c r="C14" i="6" s="1"/>
  <c r="D13" i="6"/>
  <c r="C13" i="6" s="1"/>
  <c r="A14" i="6"/>
  <c r="A15" i="6" s="1"/>
  <c r="A16" i="6" s="1"/>
  <c r="A17" i="6" s="1"/>
  <c r="A18" i="6" s="1"/>
  <c r="A19" i="6" s="1"/>
  <c r="A20" i="6" s="1"/>
  <c r="A21" i="6" s="1"/>
  <c r="A22" i="6" s="1"/>
  <c r="A23" i="6" s="1"/>
  <c r="A26" i="6" s="1"/>
  <c r="A31" i="6" s="1"/>
  <c r="A34" i="6" s="1"/>
  <c r="A35" i="6" s="1"/>
  <c r="A36" i="6" s="1"/>
  <c r="A37" i="6" s="1"/>
  <c r="A40" i="6" s="1"/>
  <c r="A43" i="6" s="1"/>
  <c r="A44" i="6" s="1"/>
  <c r="A47" i="6" s="1"/>
  <c r="A50" i="6" s="1"/>
  <c r="A51" i="6" s="1"/>
  <c r="A52" i="6" s="1"/>
  <c r="A57" i="6" s="1"/>
  <c r="A58" i="6" s="1"/>
  <c r="A59" i="6" s="1"/>
  <c r="A60" i="6" s="1"/>
  <c r="A61" i="6" s="1"/>
  <c r="A62" i="6" s="1"/>
  <c r="A65" i="6" s="1"/>
  <c r="A66" i="6" s="1"/>
  <c r="A67" i="6" s="1"/>
  <c r="A70" i="6" s="1"/>
  <c r="A71" i="6" s="1"/>
  <c r="A72" i="6" s="1"/>
  <c r="A75" i="6" s="1"/>
  <c r="A76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6" i="6" s="1"/>
  <c r="A127" i="6" s="1"/>
  <c r="A128" i="6" s="1"/>
  <c r="A129" i="6" s="1"/>
  <c r="A130" i="6" s="1"/>
  <c r="A131" i="6" s="1"/>
  <c r="A134" i="6" s="1"/>
  <c r="A137" i="6" s="1"/>
  <c r="A140" i="6" s="1"/>
  <c r="A141" i="6" s="1"/>
  <c r="A142" i="6" s="1"/>
  <c r="A148" i="6" s="1"/>
  <c r="A149" i="6" s="1"/>
  <c r="A150" i="6" s="1"/>
  <c r="A151" i="6" s="1"/>
  <c r="A152" i="6" s="1"/>
  <c r="A153" i="6" s="1"/>
  <c r="V2868" i="5"/>
  <c r="T2868" i="5"/>
  <c r="S2868" i="5"/>
  <c r="R2868" i="5"/>
  <c r="Q2868" i="5"/>
  <c r="P2868" i="5"/>
  <c r="O2868" i="5"/>
  <c r="M2868" i="5"/>
  <c r="L2868" i="5"/>
  <c r="K2868" i="5"/>
  <c r="J2868" i="5"/>
  <c r="I2868" i="5"/>
  <c r="H2868" i="5"/>
  <c r="G2868" i="5"/>
  <c r="F2868" i="5"/>
  <c r="W2867" i="5"/>
  <c r="D2867" i="5"/>
  <c r="W2866" i="5"/>
  <c r="D2866" i="5"/>
  <c r="W2865" i="5"/>
  <c r="D2865" i="5"/>
  <c r="W2864" i="5"/>
  <c r="D2864" i="5"/>
  <c r="E2863" i="5"/>
  <c r="D2863" i="5" s="1"/>
  <c r="C2863" i="5" s="1"/>
  <c r="E2862" i="5"/>
  <c r="D2862" i="5" s="1"/>
  <c r="C2862" i="5" s="1"/>
  <c r="E2861" i="5"/>
  <c r="D2861" i="5" s="1"/>
  <c r="C2861" i="5" s="1"/>
  <c r="E2860" i="5"/>
  <c r="W2859" i="5"/>
  <c r="D2859" i="5"/>
  <c r="W2858" i="5"/>
  <c r="D2858" i="5"/>
  <c r="D2857" i="5"/>
  <c r="C2857" i="5" s="1"/>
  <c r="N3783" i="2" s="1"/>
  <c r="J3783" i="2" s="1"/>
  <c r="E2856" i="5"/>
  <c r="D2856" i="5" s="1"/>
  <c r="C2856" i="5" s="1"/>
  <c r="E2855" i="5"/>
  <c r="D2855" i="5" s="1"/>
  <c r="C2855" i="5" s="1"/>
  <c r="U2854" i="5"/>
  <c r="N2854" i="5"/>
  <c r="N2868" i="5" s="1"/>
  <c r="D2854" i="5"/>
  <c r="U2853" i="5"/>
  <c r="D2853" i="5"/>
  <c r="U2852" i="5"/>
  <c r="D2852" i="5"/>
  <c r="W2849" i="5"/>
  <c r="D2849" i="5"/>
  <c r="D2848" i="5"/>
  <c r="C2848" i="5" s="1"/>
  <c r="N3747" i="2" s="1"/>
  <c r="J3747" i="2" s="1"/>
  <c r="W2847" i="5"/>
  <c r="D2847" i="5"/>
  <c r="W2846" i="5"/>
  <c r="D2846" i="5"/>
  <c r="W2845" i="5"/>
  <c r="D2845" i="5"/>
  <c r="W2844" i="5"/>
  <c r="D2844" i="5"/>
  <c r="D2843" i="5"/>
  <c r="C2843" i="5" s="1"/>
  <c r="D2842" i="5"/>
  <c r="C2842" i="5" s="1"/>
  <c r="N3741" i="2" s="1"/>
  <c r="J3741" i="2" s="1"/>
  <c r="D2841" i="5"/>
  <c r="C2841" i="5" s="1"/>
  <c r="D2840" i="5"/>
  <c r="C2840" i="5" s="1"/>
  <c r="N3739" i="2" s="1"/>
  <c r="J3739" i="2" s="1"/>
  <c r="W2839" i="5"/>
  <c r="D2839" i="5"/>
  <c r="W2838" i="5"/>
  <c r="D2838" i="5"/>
  <c r="D2837" i="5"/>
  <c r="C2837" i="5" s="1"/>
  <c r="D2836" i="5"/>
  <c r="C2836" i="5" s="1"/>
  <c r="N3735" i="2" s="1"/>
  <c r="J3735" i="2" s="1"/>
  <c r="V2834" i="5"/>
  <c r="U2834" i="5"/>
  <c r="T2834" i="5"/>
  <c r="S2834" i="5"/>
  <c r="R2834" i="5"/>
  <c r="Q2834" i="5"/>
  <c r="P2834" i="5"/>
  <c r="O2834" i="5"/>
  <c r="N2834" i="5"/>
  <c r="M2834" i="5"/>
  <c r="L2834" i="5"/>
  <c r="K2834" i="5"/>
  <c r="J2834" i="5"/>
  <c r="I2834" i="5"/>
  <c r="H2834" i="5"/>
  <c r="G2834" i="5"/>
  <c r="F2834" i="5"/>
  <c r="E2834" i="5"/>
  <c r="D2833" i="5"/>
  <c r="C2833" i="5" s="1"/>
  <c r="W2832" i="5"/>
  <c r="D2832" i="5"/>
  <c r="W2831" i="5"/>
  <c r="D2831" i="5"/>
  <c r="V2829" i="5"/>
  <c r="U2829" i="5"/>
  <c r="T2829" i="5"/>
  <c r="S2829" i="5"/>
  <c r="R2829" i="5"/>
  <c r="Q2829" i="5"/>
  <c r="P2829" i="5"/>
  <c r="O2829" i="5"/>
  <c r="N2829" i="5"/>
  <c r="M2829" i="5"/>
  <c r="L2829" i="5"/>
  <c r="K2829" i="5"/>
  <c r="J2829" i="5"/>
  <c r="I2829" i="5"/>
  <c r="H2829" i="5"/>
  <c r="G2829" i="5"/>
  <c r="F2829" i="5"/>
  <c r="E2829" i="5"/>
  <c r="W2828" i="5"/>
  <c r="D2828" i="5"/>
  <c r="W2827" i="5"/>
  <c r="D2827" i="5"/>
  <c r="W2826" i="5"/>
  <c r="D2826" i="5"/>
  <c r="W2825" i="5"/>
  <c r="D2825" i="5"/>
  <c r="W2824" i="5"/>
  <c r="D2824" i="5"/>
  <c r="W2823" i="5"/>
  <c r="D2823" i="5"/>
  <c r="W2822" i="5"/>
  <c r="D2822" i="5"/>
  <c r="V2820" i="5"/>
  <c r="U2820" i="5"/>
  <c r="T2820" i="5"/>
  <c r="S2820" i="5"/>
  <c r="R2820" i="5"/>
  <c r="Q2820" i="5"/>
  <c r="P2820" i="5"/>
  <c r="O2820" i="5"/>
  <c r="N2820" i="5"/>
  <c r="M2820" i="5"/>
  <c r="L2820" i="5"/>
  <c r="K2820" i="5"/>
  <c r="J2820" i="5"/>
  <c r="I2820" i="5"/>
  <c r="H2820" i="5"/>
  <c r="G2820" i="5"/>
  <c r="F2820" i="5"/>
  <c r="E2820" i="5"/>
  <c r="W2819" i="5"/>
  <c r="D2819" i="5"/>
  <c r="W2818" i="5"/>
  <c r="D2818" i="5"/>
  <c r="W2817" i="5"/>
  <c r="D2817" i="5"/>
  <c r="D2816" i="5"/>
  <c r="C2816" i="5" s="1"/>
  <c r="W2815" i="5"/>
  <c r="D2815" i="5"/>
  <c r="W2814" i="5"/>
  <c r="D2814" i="5"/>
  <c r="W2813" i="5"/>
  <c r="D2813" i="5"/>
  <c r="W2812" i="5"/>
  <c r="D2812" i="5"/>
  <c r="W2811" i="5"/>
  <c r="D2811" i="5"/>
  <c r="W2810" i="5"/>
  <c r="D2810" i="5"/>
  <c r="W2809" i="5"/>
  <c r="D2809" i="5"/>
  <c r="V2807" i="5"/>
  <c r="U2807" i="5"/>
  <c r="T2807" i="5"/>
  <c r="S2807" i="5"/>
  <c r="R2807" i="5"/>
  <c r="Q2807" i="5"/>
  <c r="P2807" i="5"/>
  <c r="O2807" i="5"/>
  <c r="N2807" i="5"/>
  <c r="M2807" i="5"/>
  <c r="L2807" i="5"/>
  <c r="K2807" i="5"/>
  <c r="J2807" i="5"/>
  <c r="I2807" i="5"/>
  <c r="H2807" i="5"/>
  <c r="G2807" i="5"/>
  <c r="F2807" i="5"/>
  <c r="E2807" i="5"/>
  <c r="W2806" i="5"/>
  <c r="D2806" i="5"/>
  <c r="W2805" i="5"/>
  <c r="D2805" i="5"/>
  <c r="W2804" i="5"/>
  <c r="D2804" i="5"/>
  <c r="W2803" i="5"/>
  <c r="D2803" i="5"/>
  <c r="W2802" i="5"/>
  <c r="D2802" i="5"/>
  <c r="W2801" i="5"/>
  <c r="D2801" i="5"/>
  <c r="W2800" i="5"/>
  <c r="D2800" i="5"/>
  <c r="W2799" i="5"/>
  <c r="D2799" i="5"/>
  <c r="W2798" i="5"/>
  <c r="D2798" i="5"/>
  <c r="W2797" i="5"/>
  <c r="D2797" i="5"/>
  <c r="W2796" i="5"/>
  <c r="D2796" i="5"/>
  <c r="W2795" i="5"/>
  <c r="D2795" i="5"/>
  <c r="W2794" i="5"/>
  <c r="D2794" i="5"/>
  <c r="W2793" i="5"/>
  <c r="D2793" i="5"/>
  <c r="W2792" i="5"/>
  <c r="D2792" i="5"/>
  <c r="W2791" i="5"/>
  <c r="D2791" i="5"/>
  <c r="W2790" i="5"/>
  <c r="D2790" i="5"/>
  <c r="W2789" i="5"/>
  <c r="D2789" i="5"/>
  <c r="W2788" i="5"/>
  <c r="D2788" i="5"/>
  <c r="W2787" i="5"/>
  <c r="D2787" i="5"/>
  <c r="W2785" i="5"/>
  <c r="D2785" i="5"/>
  <c r="W2784" i="5"/>
  <c r="D2784" i="5"/>
  <c r="W2783" i="5"/>
  <c r="D2783" i="5"/>
  <c r="W2782" i="5"/>
  <c r="D2782" i="5"/>
  <c r="W2780" i="5"/>
  <c r="D2780" i="5"/>
  <c r="W2779" i="5"/>
  <c r="D2779" i="5"/>
  <c r="W2778" i="5"/>
  <c r="D2778" i="5"/>
  <c r="W2777" i="5"/>
  <c r="D2777" i="5"/>
  <c r="W2776" i="5"/>
  <c r="D2776" i="5"/>
  <c r="W2775" i="5"/>
  <c r="D2775" i="5"/>
  <c r="W2774" i="5"/>
  <c r="D2774" i="5"/>
  <c r="W2773" i="5"/>
  <c r="D2773" i="5"/>
  <c r="W2772" i="5"/>
  <c r="D2772" i="5"/>
  <c r="W2771" i="5"/>
  <c r="D2771" i="5"/>
  <c r="W2770" i="5"/>
  <c r="D2770" i="5"/>
  <c r="W2769" i="5"/>
  <c r="D2769" i="5"/>
  <c r="W2767" i="5"/>
  <c r="D2767" i="5"/>
  <c r="W2766" i="5"/>
  <c r="D2766" i="5"/>
  <c r="W2765" i="5"/>
  <c r="D2765" i="5"/>
  <c r="W2764" i="5"/>
  <c r="D2764" i="5"/>
  <c r="W2763" i="5"/>
  <c r="D2763" i="5"/>
  <c r="W2762" i="5"/>
  <c r="D2762" i="5"/>
  <c r="W2761" i="5"/>
  <c r="D2761" i="5"/>
  <c r="W2760" i="5"/>
  <c r="D2760" i="5"/>
  <c r="W2759" i="5"/>
  <c r="D2759" i="5"/>
  <c r="V2755" i="5"/>
  <c r="U2755" i="5"/>
  <c r="T2755" i="5"/>
  <c r="S2755" i="5"/>
  <c r="R2755" i="5"/>
  <c r="Q2755" i="5"/>
  <c r="P2755" i="5"/>
  <c r="O2755" i="5"/>
  <c r="N2755" i="5"/>
  <c r="M2755" i="5"/>
  <c r="L2755" i="5"/>
  <c r="K2755" i="5"/>
  <c r="J2755" i="5"/>
  <c r="H2755" i="5"/>
  <c r="G2755" i="5"/>
  <c r="E2755" i="5"/>
  <c r="W2754" i="5"/>
  <c r="I2754" i="5"/>
  <c r="D2754" i="5" s="1"/>
  <c r="W2753" i="5"/>
  <c r="I2753" i="5"/>
  <c r="D2753" i="5" s="1"/>
  <c r="W2752" i="5"/>
  <c r="I2752" i="5"/>
  <c r="D2752" i="5" s="1"/>
  <c r="W2751" i="5"/>
  <c r="I2751" i="5"/>
  <c r="F2751" i="5"/>
  <c r="W2750" i="5"/>
  <c r="I2750" i="5"/>
  <c r="W2749" i="5"/>
  <c r="W2747" i="5"/>
  <c r="E2747" i="5"/>
  <c r="D2747" i="5" s="1"/>
  <c r="W2746" i="5"/>
  <c r="E2746" i="5"/>
  <c r="D2746" i="5" s="1"/>
  <c r="D2745" i="5"/>
  <c r="C2745" i="5" s="1"/>
  <c r="D2744" i="5"/>
  <c r="C2744" i="5" s="1"/>
  <c r="W2743" i="5"/>
  <c r="D2743" i="5"/>
  <c r="W2742" i="5"/>
  <c r="D2742" i="5"/>
  <c r="W2741" i="5"/>
  <c r="D2741" i="5"/>
  <c r="W2740" i="5"/>
  <c r="D2740" i="5"/>
  <c r="W2739" i="5"/>
  <c r="D2739" i="5"/>
  <c r="W2738" i="5"/>
  <c r="D2738" i="5"/>
  <c r="W2737" i="5"/>
  <c r="D2737" i="5"/>
  <c r="W2736" i="5"/>
  <c r="N2736" i="5"/>
  <c r="D2736" i="5"/>
  <c r="W2735" i="5"/>
  <c r="D2735" i="5"/>
  <c r="W2734" i="5"/>
  <c r="D2734" i="5"/>
  <c r="W2733" i="5"/>
  <c r="D2733" i="5"/>
  <c r="W2732" i="5"/>
  <c r="D2732" i="5"/>
  <c r="W2731" i="5"/>
  <c r="D2731" i="5"/>
  <c r="W2730" i="5"/>
  <c r="D2730" i="5"/>
  <c r="W2729" i="5"/>
  <c r="D2729" i="5"/>
  <c r="W2728" i="5"/>
  <c r="D2728" i="5"/>
  <c r="W2727" i="5"/>
  <c r="D2727" i="5"/>
  <c r="W2726" i="5"/>
  <c r="D2726" i="5"/>
  <c r="W2725" i="5"/>
  <c r="D2725" i="5"/>
  <c r="D2724" i="5"/>
  <c r="C2724" i="5" s="1"/>
  <c r="D2723" i="5"/>
  <c r="C2723" i="5" s="1"/>
  <c r="D2722" i="5"/>
  <c r="C2722" i="5" s="1"/>
  <c r="E2721" i="5"/>
  <c r="D2721" i="5" s="1"/>
  <c r="C2721" i="5" s="1"/>
  <c r="E2720" i="5"/>
  <c r="D2720" i="5" s="1"/>
  <c r="C2720" i="5" s="1"/>
  <c r="W2719" i="5"/>
  <c r="D2719" i="5"/>
  <c r="W2718" i="5"/>
  <c r="D2718" i="5"/>
  <c r="W2717" i="5"/>
  <c r="D2717" i="5"/>
  <c r="W2716" i="5"/>
  <c r="D2716" i="5"/>
  <c r="W2715" i="5"/>
  <c r="D2715" i="5"/>
  <c r="W2714" i="5"/>
  <c r="D2714" i="5"/>
  <c r="W2713" i="5"/>
  <c r="D2713" i="5"/>
  <c r="W2712" i="5"/>
  <c r="D2712" i="5"/>
  <c r="W2711" i="5"/>
  <c r="D2711" i="5"/>
  <c r="W2710" i="5"/>
  <c r="D2710" i="5"/>
  <c r="W2709" i="5"/>
  <c r="D2709" i="5"/>
  <c r="W2707" i="5"/>
  <c r="D2707" i="5"/>
  <c r="W2706" i="5"/>
  <c r="E2706" i="5"/>
  <c r="D2706" i="5" s="1"/>
  <c r="W2705" i="5"/>
  <c r="D2705" i="5"/>
  <c r="W2704" i="5"/>
  <c r="D2704" i="5"/>
  <c r="W2703" i="5"/>
  <c r="D2703" i="5"/>
  <c r="W2702" i="5"/>
  <c r="D2702" i="5"/>
  <c r="W2701" i="5"/>
  <c r="D2701" i="5"/>
  <c r="W2700" i="5"/>
  <c r="E2700" i="5"/>
  <c r="D2700" i="5" s="1"/>
  <c r="W2699" i="5"/>
  <c r="D2699" i="5"/>
  <c r="W2698" i="5"/>
  <c r="D2698" i="5"/>
  <c r="W2697" i="5"/>
  <c r="D2697" i="5"/>
  <c r="W2696" i="5"/>
  <c r="D2696" i="5"/>
  <c r="W2695" i="5"/>
  <c r="D2695" i="5"/>
  <c r="W2694" i="5"/>
  <c r="D2694" i="5"/>
  <c r="W2693" i="5"/>
  <c r="D2693" i="5"/>
  <c r="W2692" i="5"/>
  <c r="D2692" i="5"/>
  <c r="W2691" i="5"/>
  <c r="D2691" i="5"/>
  <c r="W2690" i="5"/>
  <c r="E2690" i="5"/>
  <c r="W2689" i="5"/>
  <c r="E2689" i="5"/>
  <c r="D2689" i="5" s="1"/>
  <c r="W2688" i="5"/>
  <c r="D2688" i="5"/>
  <c r="W2687" i="5"/>
  <c r="D2687" i="5"/>
  <c r="D2686" i="5"/>
  <c r="C2686" i="5" s="1"/>
  <c r="W2685" i="5"/>
  <c r="D2685" i="5"/>
  <c r="W2684" i="5"/>
  <c r="E2684" i="5"/>
  <c r="D2684" i="5" s="1"/>
  <c r="W2683" i="5"/>
  <c r="D2683" i="5"/>
  <c r="W2682" i="5"/>
  <c r="D2682" i="5"/>
  <c r="W2681" i="5"/>
  <c r="D2681" i="5"/>
  <c r="W2680" i="5"/>
  <c r="D2680" i="5"/>
  <c r="W2679" i="5"/>
  <c r="E2679" i="5"/>
  <c r="D2679" i="5" s="1"/>
  <c r="W2678" i="5"/>
  <c r="D2678" i="5"/>
  <c r="W2677" i="5"/>
  <c r="D2677" i="5"/>
  <c r="W2676" i="5"/>
  <c r="E2676" i="5"/>
  <c r="D2676" i="5" s="1"/>
  <c r="W2675" i="5"/>
  <c r="D2675" i="5"/>
  <c r="W2674" i="5"/>
  <c r="D2674" i="5"/>
  <c r="W2673" i="5"/>
  <c r="N2673" i="5"/>
  <c r="D2673" i="5"/>
  <c r="W2672" i="5"/>
  <c r="D2672" i="5"/>
  <c r="W2671" i="5"/>
  <c r="N2671" i="5"/>
  <c r="D2671" i="5"/>
  <c r="W2670" i="5"/>
  <c r="D2670" i="5"/>
  <c r="W2669" i="5"/>
  <c r="D2669" i="5"/>
  <c r="W2668" i="5"/>
  <c r="D2668" i="5"/>
  <c r="W2667" i="5"/>
  <c r="D2667" i="5"/>
  <c r="W2666" i="5"/>
  <c r="D2666" i="5"/>
  <c r="W2665" i="5"/>
  <c r="D2665" i="5"/>
  <c r="D2664" i="5"/>
  <c r="C2664" i="5" s="1"/>
  <c r="N3501" i="2" s="1"/>
  <c r="J3501" i="2" s="1"/>
  <c r="W2663" i="5"/>
  <c r="D2663" i="5"/>
  <c r="W2662" i="5"/>
  <c r="D2662" i="5"/>
  <c r="W2661" i="5"/>
  <c r="D2661" i="5"/>
  <c r="W2660" i="5"/>
  <c r="D2660" i="5"/>
  <c r="W2659" i="5"/>
  <c r="D2659" i="5"/>
  <c r="W2658" i="5"/>
  <c r="D2658" i="5"/>
  <c r="W2657" i="5"/>
  <c r="D2657" i="5"/>
  <c r="W2656" i="5"/>
  <c r="D2656" i="5"/>
  <c r="W2655" i="5"/>
  <c r="D2655" i="5"/>
  <c r="W2654" i="5"/>
  <c r="D2654" i="5"/>
  <c r="W2653" i="5"/>
  <c r="D2653" i="5"/>
  <c r="W2652" i="5"/>
  <c r="D2652" i="5"/>
  <c r="W2651" i="5"/>
  <c r="D2651" i="5"/>
  <c r="W2650" i="5"/>
  <c r="D2650" i="5"/>
  <c r="W2649" i="5"/>
  <c r="D2649" i="5"/>
  <c r="W2648" i="5"/>
  <c r="D2648" i="5"/>
  <c r="W2647" i="5"/>
  <c r="D2647" i="5"/>
  <c r="W2646" i="5"/>
  <c r="D2646" i="5"/>
  <c r="W2645" i="5"/>
  <c r="D2645" i="5"/>
  <c r="W2643" i="5"/>
  <c r="D2643" i="5"/>
  <c r="W2642" i="5"/>
  <c r="D2642" i="5"/>
  <c r="N2641" i="5"/>
  <c r="D2641" i="5"/>
  <c r="N2640" i="5"/>
  <c r="D2640" i="5"/>
  <c r="W2639" i="5"/>
  <c r="D2639" i="5"/>
  <c r="W2638" i="5"/>
  <c r="D2638" i="5"/>
  <c r="W2637" i="5"/>
  <c r="D2637" i="5"/>
  <c r="W2636" i="5"/>
  <c r="D2636" i="5"/>
  <c r="W2635" i="5"/>
  <c r="D2635" i="5"/>
  <c r="W2634" i="5"/>
  <c r="D2634" i="5"/>
  <c r="W2633" i="5"/>
  <c r="D2633" i="5"/>
  <c r="W2632" i="5"/>
  <c r="D2632" i="5"/>
  <c r="W2631" i="5"/>
  <c r="D2631" i="5"/>
  <c r="W2630" i="5"/>
  <c r="D2630" i="5"/>
  <c r="W2629" i="5"/>
  <c r="D2629" i="5"/>
  <c r="W2628" i="5"/>
  <c r="D2628" i="5"/>
  <c r="W2627" i="5"/>
  <c r="D2627" i="5"/>
  <c r="W2626" i="5"/>
  <c r="D2626" i="5"/>
  <c r="W2625" i="5"/>
  <c r="D2625" i="5"/>
  <c r="W2624" i="5"/>
  <c r="D2624" i="5"/>
  <c r="W2623" i="5"/>
  <c r="D2623" i="5"/>
  <c r="W2622" i="5"/>
  <c r="D2622" i="5"/>
  <c r="W2621" i="5"/>
  <c r="D2621" i="5"/>
  <c r="W2620" i="5"/>
  <c r="D2620" i="5"/>
  <c r="W2619" i="5"/>
  <c r="D2619" i="5"/>
  <c r="W2618" i="5"/>
  <c r="N2618" i="5"/>
  <c r="D2618" i="5"/>
  <c r="W2617" i="5"/>
  <c r="D2617" i="5"/>
  <c r="W2616" i="5"/>
  <c r="D2616" i="5"/>
  <c r="W2615" i="5"/>
  <c r="N2615" i="5"/>
  <c r="D2615" i="5"/>
  <c r="W2614" i="5"/>
  <c r="D2614" i="5"/>
  <c r="W2613" i="5"/>
  <c r="D2613" i="5"/>
  <c r="W2612" i="5"/>
  <c r="D2612" i="5"/>
  <c r="W2611" i="5"/>
  <c r="D2611" i="5"/>
  <c r="W2610" i="5"/>
  <c r="D2610" i="5"/>
  <c r="W2609" i="5"/>
  <c r="D2609" i="5"/>
  <c r="W2608" i="5"/>
  <c r="D2608" i="5"/>
  <c r="W2607" i="5"/>
  <c r="D2607" i="5"/>
  <c r="W2606" i="5"/>
  <c r="D2606" i="5"/>
  <c r="W2605" i="5"/>
  <c r="D2605" i="5"/>
  <c r="W2604" i="5"/>
  <c r="D2604" i="5"/>
  <c r="W2603" i="5"/>
  <c r="D2603" i="5"/>
  <c r="W2602" i="5"/>
  <c r="D2602" i="5"/>
  <c r="E2601" i="5"/>
  <c r="D2601" i="5" s="1"/>
  <c r="C2601" i="5" s="1"/>
  <c r="W2600" i="5"/>
  <c r="N2600" i="5"/>
  <c r="D2600" i="5"/>
  <c r="W2599" i="5"/>
  <c r="D2599" i="5"/>
  <c r="W2598" i="5"/>
  <c r="D2598" i="5"/>
  <c r="W2597" i="5"/>
  <c r="D2597" i="5"/>
  <c r="W2596" i="5"/>
  <c r="D2596" i="5"/>
  <c r="W2595" i="5"/>
  <c r="D2595" i="5"/>
  <c r="W2594" i="5"/>
  <c r="D2594" i="5"/>
  <c r="E2593" i="5"/>
  <c r="D2593" i="5" s="1"/>
  <c r="C2593" i="5" s="1"/>
  <c r="D2592" i="5"/>
  <c r="C2592" i="5" s="1"/>
  <c r="W2591" i="5"/>
  <c r="D2591" i="5"/>
  <c r="W2590" i="5"/>
  <c r="D2590" i="5"/>
  <c r="W2589" i="5"/>
  <c r="D2589" i="5"/>
  <c r="W2588" i="5"/>
  <c r="D2588" i="5"/>
  <c r="W2587" i="5"/>
  <c r="D2587" i="5"/>
  <c r="W2586" i="5"/>
  <c r="D2586" i="5"/>
  <c r="W2585" i="5"/>
  <c r="D2585" i="5"/>
  <c r="W2584" i="5"/>
  <c r="D2584" i="5"/>
  <c r="W2583" i="5"/>
  <c r="D2583" i="5"/>
  <c r="W2582" i="5"/>
  <c r="D2582" i="5"/>
  <c r="W2581" i="5"/>
  <c r="D2581" i="5"/>
  <c r="W2580" i="5"/>
  <c r="D2580" i="5"/>
  <c r="W2579" i="5"/>
  <c r="D2579" i="5"/>
  <c r="W2578" i="5"/>
  <c r="D2578" i="5"/>
  <c r="W2577" i="5"/>
  <c r="D2577" i="5"/>
  <c r="W2576" i="5"/>
  <c r="N2576" i="5"/>
  <c r="D2576" i="5"/>
  <c r="W2575" i="5"/>
  <c r="N2575" i="5"/>
  <c r="D2575" i="5"/>
  <c r="D2574" i="5"/>
  <c r="C2574" i="5" s="1"/>
  <c r="W2573" i="5"/>
  <c r="D2573" i="5"/>
  <c r="W2572" i="5"/>
  <c r="D2572" i="5"/>
  <c r="W2571" i="5"/>
  <c r="D2571" i="5"/>
  <c r="W2570" i="5"/>
  <c r="D2570" i="5"/>
  <c r="W2569" i="5"/>
  <c r="D2569" i="5"/>
  <c r="W2568" i="5"/>
  <c r="D2568" i="5"/>
  <c r="W2567" i="5"/>
  <c r="D2567" i="5"/>
  <c r="W2566" i="5"/>
  <c r="D2566" i="5"/>
  <c r="W2565" i="5"/>
  <c r="D2565" i="5"/>
  <c r="W2564" i="5"/>
  <c r="D2564" i="5"/>
  <c r="W2563" i="5"/>
  <c r="D2563" i="5"/>
  <c r="W2562" i="5"/>
  <c r="D2562" i="5"/>
  <c r="W2561" i="5"/>
  <c r="D2561" i="5"/>
  <c r="W2560" i="5"/>
  <c r="D2560" i="5"/>
  <c r="W2559" i="5"/>
  <c r="D2559" i="5"/>
  <c r="W2558" i="5"/>
  <c r="D2558" i="5"/>
  <c r="W2557" i="5"/>
  <c r="D2557" i="5"/>
  <c r="W2556" i="5"/>
  <c r="D2556" i="5"/>
  <c r="W2555" i="5"/>
  <c r="D2555" i="5"/>
  <c r="W2554" i="5"/>
  <c r="D2554" i="5"/>
  <c r="W2553" i="5"/>
  <c r="D2553" i="5"/>
  <c r="W2552" i="5"/>
  <c r="D2552" i="5"/>
  <c r="W2551" i="5"/>
  <c r="D2551" i="5"/>
  <c r="W2550" i="5"/>
  <c r="D2550" i="5"/>
  <c r="D2549" i="5"/>
  <c r="C2549" i="5" s="1"/>
  <c r="D2548" i="5"/>
  <c r="C2548" i="5" s="1"/>
  <c r="D2547" i="5"/>
  <c r="C2547" i="5" s="1"/>
  <c r="D2546" i="5"/>
  <c r="C2546" i="5" s="1"/>
  <c r="D2545" i="5"/>
  <c r="C2545" i="5" s="1"/>
  <c r="D2544" i="5"/>
  <c r="C2544" i="5" s="1"/>
  <c r="D2543" i="5"/>
  <c r="C2543" i="5" s="1"/>
  <c r="D2542" i="5"/>
  <c r="C2542" i="5" s="1"/>
  <c r="D2541" i="5"/>
  <c r="C2541" i="5" s="1"/>
  <c r="D2540" i="5"/>
  <c r="C2540" i="5" s="1"/>
  <c r="D2539" i="5"/>
  <c r="C2539" i="5" s="1"/>
  <c r="D2538" i="5"/>
  <c r="C2538" i="5" s="1"/>
  <c r="D2537" i="5"/>
  <c r="C2537" i="5" s="1"/>
  <c r="D2536" i="5"/>
  <c r="C2536" i="5" s="1"/>
  <c r="D2535" i="5"/>
  <c r="C2535" i="5" s="1"/>
  <c r="D2534" i="5"/>
  <c r="C2534" i="5" s="1"/>
  <c r="D2533" i="5"/>
  <c r="C2533" i="5" s="1"/>
  <c r="D2532" i="5"/>
  <c r="C2532" i="5" s="1"/>
  <c r="D2531" i="5"/>
  <c r="C2531" i="5" s="1"/>
  <c r="D2530" i="5"/>
  <c r="C2530" i="5" s="1"/>
  <c r="E2529" i="5"/>
  <c r="D2529" i="5" s="1"/>
  <c r="C2529" i="5" s="1"/>
  <c r="E2528" i="5"/>
  <c r="D2528" i="5" s="1"/>
  <c r="C2528" i="5" s="1"/>
  <c r="E2527" i="5"/>
  <c r="W2526" i="5"/>
  <c r="V2525" i="5"/>
  <c r="U2525" i="5"/>
  <c r="T2525" i="5"/>
  <c r="S2525" i="5"/>
  <c r="R2525" i="5"/>
  <c r="Q2525" i="5"/>
  <c r="P2525" i="5"/>
  <c r="O2525" i="5"/>
  <c r="N2525" i="5"/>
  <c r="M2525" i="5"/>
  <c r="L2525" i="5"/>
  <c r="K2525" i="5"/>
  <c r="J2525" i="5"/>
  <c r="I2525" i="5"/>
  <c r="H2525" i="5"/>
  <c r="G2525" i="5"/>
  <c r="F2525" i="5"/>
  <c r="E2525" i="5"/>
  <c r="W2524" i="5"/>
  <c r="D2524" i="5"/>
  <c r="W2523" i="5"/>
  <c r="D2523" i="5"/>
  <c r="W2522" i="5"/>
  <c r="D2522" i="5"/>
  <c r="W2521" i="5"/>
  <c r="D2521" i="5"/>
  <c r="W2520" i="5"/>
  <c r="D2520" i="5"/>
  <c r="W2519" i="5"/>
  <c r="D2519" i="5"/>
  <c r="D2518" i="5"/>
  <c r="C2518" i="5" s="1"/>
  <c r="D2517" i="5"/>
  <c r="C2517" i="5" s="1"/>
  <c r="V2515" i="5"/>
  <c r="U2515" i="5"/>
  <c r="T2515" i="5"/>
  <c r="S2515" i="5"/>
  <c r="R2515" i="5"/>
  <c r="Q2515" i="5"/>
  <c r="P2515" i="5"/>
  <c r="O2515" i="5"/>
  <c r="N2515" i="5"/>
  <c r="M2515" i="5"/>
  <c r="L2515" i="5"/>
  <c r="K2515" i="5"/>
  <c r="J2515" i="5"/>
  <c r="I2515" i="5"/>
  <c r="H2515" i="5"/>
  <c r="G2515" i="5"/>
  <c r="F2515" i="5"/>
  <c r="E2515" i="5"/>
  <c r="W2514" i="5"/>
  <c r="D2514" i="5"/>
  <c r="W2513" i="5"/>
  <c r="D2513" i="5"/>
  <c r="Z2510" i="5"/>
  <c r="Y2510" i="5"/>
  <c r="X2510" i="5"/>
  <c r="W2510" i="5"/>
  <c r="V2510" i="5"/>
  <c r="U2510" i="5"/>
  <c r="T2510" i="5"/>
  <c r="S2510" i="5"/>
  <c r="R2510" i="5"/>
  <c r="P2510" i="5"/>
  <c r="O2510" i="5"/>
  <c r="L2510" i="5"/>
  <c r="K2510" i="5"/>
  <c r="J2510" i="5"/>
  <c r="I2510" i="5"/>
  <c r="N2509" i="5"/>
  <c r="D2509" i="5"/>
  <c r="D2508" i="5"/>
  <c r="C2508" i="5" s="1"/>
  <c r="D2507" i="5"/>
  <c r="C2507" i="5" s="1"/>
  <c r="D2506" i="5"/>
  <c r="C2506" i="5" s="1"/>
  <c r="N3323" i="2" s="1"/>
  <c r="J3323" i="2" s="1"/>
  <c r="D2505" i="5"/>
  <c r="C2505" i="5" s="1"/>
  <c r="Q2504" i="5"/>
  <c r="D2504" i="5"/>
  <c r="C2504" i="5" s="1"/>
  <c r="Q2503" i="5"/>
  <c r="D2503" i="5"/>
  <c r="C2503" i="5" s="1"/>
  <c r="D2502" i="5"/>
  <c r="C2502" i="5" s="1"/>
  <c r="N3283" i="2" s="1"/>
  <c r="J3283" i="2" s="1"/>
  <c r="E2501" i="5"/>
  <c r="D2501" i="5" s="1"/>
  <c r="C2501" i="5" s="1"/>
  <c r="D2500" i="5"/>
  <c r="C2500" i="5" s="1"/>
  <c r="D2499" i="5"/>
  <c r="C2499" i="5" s="1"/>
  <c r="D2498" i="5"/>
  <c r="C2498" i="5" s="1"/>
  <c r="M2497" i="5"/>
  <c r="M2510" i="5" s="1"/>
  <c r="D2497" i="5"/>
  <c r="C2497" i="5" s="1"/>
  <c r="Q2496" i="5"/>
  <c r="D2496" i="5"/>
  <c r="C2496" i="5" s="1"/>
  <c r="D2495" i="5"/>
  <c r="C2495" i="5" s="1"/>
  <c r="D2494" i="5"/>
  <c r="C2494" i="5" s="1"/>
  <c r="D2493" i="5"/>
  <c r="C2493" i="5" s="1"/>
  <c r="D2492" i="5"/>
  <c r="C2492" i="5" s="1"/>
  <c r="D2491" i="5"/>
  <c r="C2491" i="5" s="1"/>
  <c r="D2490" i="5"/>
  <c r="C2490" i="5" s="1"/>
  <c r="D2489" i="5"/>
  <c r="C2489" i="5" s="1"/>
  <c r="H2488" i="5"/>
  <c r="H2510" i="5" s="1"/>
  <c r="G2488" i="5"/>
  <c r="G2510" i="5" s="1"/>
  <c r="F2488" i="5"/>
  <c r="D2487" i="5"/>
  <c r="C2487" i="5" s="1"/>
  <c r="D2486" i="5"/>
  <c r="C2486" i="5" s="1"/>
  <c r="N2485" i="5"/>
  <c r="E2485" i="5"/>
  <c r="D2484" i="5"/>
  <c r="C2484" i="5" s="1"/>
  <c r="D2483" i="5"/>
  <c r="C2483" i="5" s="1"/>
  <c r="D2482" i="5"/>
  <c r="C2482" i="5" s="1"/>
  <c r="D2481" i="5"/>
  <c r="C2481" i="5" s="1"/>
  <c r="D2480" i="5"/>
  <c r="C2480" i="5" s="1"/>
  <c r="D2479" i="5"/>
  <c r="C2479" i="5" s="1"/>
  <c r="Q2478" i="5"/>
  <c r="D2478" i="5"/>
  <c r="C2478" i="5" s="1"/>
  <c r="N3189" i="2" s="1"/>
  <c r="J3189" i="2" s="1"/>
  <c r="D2477" i="5"/>
  <c r="V2474" i="5"/>
  <c r="U2474" i="5"/>
  <c r="T2474" i="5"/>
  <c r="S2474" i="5"/>
  <c r="R2474" i="5"/>
  <c r="Q2474" i="5"/>
  <c r="P2474" i="5"/>
  <c r="O2474" i="5"/>
  <c r="M2474" i="5"/>
  <c r="L2474" i="5"/>
  <c r="K2474" i="5"/>
  <c r="J2474" i="5"/>
  <c r="I2474" i="5"/>
  <c r="H2474" i="5"/>
  <c r="G2474" i="5"/>
  <c r="F2474" i="5"/>
  <c r="W2473" i="5"/>
  <c r="E2473" i="5"/>
  <c r="D2473" i="5" s="1"/>
  <c r="N3148" i="2"/>
  <c r="J3148" i="2" s="1"/>
  <c r="N3126" i="2"/>
  <c r="J3126" i="2" s="1"/>
  <c r="N3123" i="2"/>
  <c r="J3123" i="2" s="1"/>
  <c r="N3117" i="2"/>
  <c r="J3117" i="2" s="1"/>
  <c r="N3112" i="2"/>
  <c r="J3112" i="2" s="1"/>
  <c r="N3109" i="2"/>
  <c r="J3109" i="2" s="1"/>
  <c r="N3100" i="2"/>
  <c r="J3100" i="2" s="1"/>
  <c r="N3093" i="2"/>
  <c r="J3093" i="2" s="1"/>
  <c r="D2385" i="5"/>
  <c r="C2385" i="5" s="1"/>
  <c r="N2384" i="5"/>
  <c r="D2384" i="5"/>
  <c r="N2383" i="5"/>
  <c r="D2383" i="5"/>
  <c r="N3088" i="2"/>
  <c r="J3088" i="2" s="1"/>
  <c r="N3081" i="2"/>
  <c r="J3081" i="2" s="1"/>
  <c r="N2368" i="5"/>
  <c r="D2368" i="5"/>
  <c r="N2360" i="5"/>
  <c r="D2360" i="5"/>
  <c r="W2345" i="5"/>
  <c r="W2346" i="5" s="1"/>
  <c r="D2345" i="5"/>
  <c r="D2346" i="5" s="1"/>
  <c r="V2341" i="5"/>
  <c r="U2341" i="5"/>
  <c r="T2341" i="5"/>
  <c r="S2341" i="5"/>
  <c r="R2341" i="5"/>
  <c r="Q2341" i="5"/>
  <c r="P2341" i="5"/>
  <c r="O2341" i="5"/>
  <c r="N2341" i="5"/>
  <c r="M2341" i="5"/>
  <c r="L2341" i="5"/>
  <c r="K2341" i="5"/>
  <c r="J2341" i="5"/>
  <c r="I2341" i="5"/>
  <c r="H2341" i="5"/>
  <c r="G2341" i="5"/>
  <c r="F2341" i="5"/>
  <c r="E2341" i="5"/>
  <c r="W2340" i="5"/>
  <c r="D2340" i="5"/>
  <c r="W2339" i="5"/>
  <c r="D2339" i="5"/>
  <c r="W2338" i="5"/>
  <c r="D2338" i="5"/>
  <c r="W2337" i="5"/>
  <c r="D2337" i="5"/>
  <c r="W2336" i="5"/>
  <c r="D2336" i="5"/>
  <c r="W2335" i="5"/>
  <c r="D2335" i="5"/>
  <c r="W2334" i="5"/>
  <c r="D2334" i="5"/>
  <c r="W2333" i="5"/>
  <c r="D2333" i="5"/>
  <c r="W2332" i="5"/>
  <c r="D2332" i="5"/>
  <c r="W2331" i="5"/>
  <c r="D2331" i="5"/>
  <c r="W2330" i="5"/>
  <c r="D2330" i="5"/>
  <c r="W2329" i="5"/>
  <c r="D2329" i="5"/>
  <c r="W2328" i="5"/>
  <c r="D2328" i="5"/>
  <c r="W2327" i="5"/>
  <c r="D2327" i="5"/>
  <c r="W2326" i="5"/>
  <c r="D2326" i="5"/>
  <c r="W2325" i="5"/>
  <c r="D2325" i="5"/>
  <c r="W2324" i="5"/>
  <c r="D2324" i="5"/>
  <c r="W2323" i="5"/>
  <c r="D2323" i="5"/>
  <c r="W2322" i="5"/>
  <c r="D2322" i="5"/>
  <c r="W2321" i="5"/>
  <c r="D2321" i="5"/>
  <c r="W2320" i="5"/>
  <c r="D2320" i="5"/>
  <c r="W2319" i="5"/>
  <c r="D2319" i="5"/>
  <c r="W2318" i="5"/>
  <c r="D2318" i="5"/>
  <c r="W2317" i="5"/>
  <c r="D2317" i="5"/>
  <c r="W2316" i="5"/>
  <c r="D2316" i="5"/>
  <c r="W2315" i="5"/>
  <c r="D2315" i="5"/>
  <c r="W2314" i="5"/>
  <c r="D2314" i="5"/>
  <c r="W2313" i="5"/>
  <c r="D2313" i="5"/>
  <c r="W2312" i="5"/>
  <c r="D2312" i="5"/>
  <c r="W2311" i="5"/>
  <c r="D2311" i="5"/>
  <c r="V2309" i="5"/>
  <c r="U2309" i="5"/>
  <c r="T2309" i="5"/>
  <c r="S2309" i="5"/>
  <c r="R2309" i="5"/>
  <c r="Q2309" i="5"/>
  <c r="P2309" i="5"/>
  <c r="O2309" i="5"/>
  <c r="N2309" i="5"/>
  <c r="M2309" i="5"/>
  <c r="L2309" i="5"/>
  <c r="K2309" i="5"/>
  <c r="J2309" i="5"/>
  <c r="I2309" i="5"/>
  <c r="H2309" i="5"/>
  <c r="G2309" i="5"/>
  <c r="F2309" i="5"/>
  <c r="E2309" i="5"/>
  <c r="W2308" i="5"/>
  <c r="D2308" i="5"/>
  <c r="W2307" i="5"/>
  <c r="D2307" i="5"/>
  <c r="D2306" i="5"/>
  <c r="V2305" i="5"/>
  <c r="U2305" i="5"/>
  <c r="T2305" i="5"/>
  <c r="S2305" i="5"/>
  <c r="R2305" i="5"/>
  <c r="Q2305" i="5"/>
  <c r="P2305" i="5"/>
  <c r="O2305" i="5"/>
  <c r="N2305" i="5"/>
  <c r="M2305" i="5"/>
  <c r="L2305" i="5"/>
  <c r="K2305" i="5"/>
  <c r="J2305" i="5"/>
  <c r="H2305" i="5"/>
  <c r="E2305" i="5"/>
  <c r="W2304" i="5"/>
  <c r="I2304" i="5"/>
  <c r="I2305" i="5" s="1"/>
  <c r="G2304" i="5"/>
  <c r="F2304" i="5"/>
  <c r="W2303" i="5"/>
  <c r="G2303" i="5"/>
  <c r="F2303" i="5"/>
  <c r="W2302" i="5"/>
  <c r="D2302" i="5"/>
  <c r="W2301" i="5"/>
  <c r="D2301" i="5"/>
  <c r="W2300" i="5"/>
  <c r="G2300" i="5"/>
  <c r="F2300" i="5"/>
  <c r="W2299" i="5"/>
  <c r="D2299" i="5"/>
  <c r="W2298" i="5"/>
  <c r="D2298" i="5"/>
  <c r="W2297" i="5"/>
  <c r="D2297" i="5"/>
  <c r="W2296" i="5"/>
  <c r="D2296" i="5"/>
  <c r="W2295" i="5"/>
  <c r="D2295" i="5"/>
  <c r="W2294" i="5"/>
  <c r="D2294" i="5"/>
  <c r="W2293" i="5"/>
  <c r="D2293" i="5"/>
  <c r="W2292" i="5"/>
  <c r="D2292" i="5"/>
  <c r="W2291" i="5"/>
  <c r="D2291" i="5"/>
  <c r="W2290" i="5"/>
  <c r="D2290" i="5"/>
  <c r="W2289" i="5"/>
  <c r="D2289" i="5"/>
  <c r="W2288" i="5"/>
  <c r="D2288" i="5"/>
  <c r="W2287" i="5"/>
  <c r="D2287" i="5"/>
  <c r="W2286" i="5"/>
  <c r="D2286" i="5"/>
  <c r="W2285" i="5"/>
  <c r="D2285" i="5"/>
  <c r="W2284" i="5"/>
  <c r="D2284" i="5"/>
  <c r="W2283" i="5"/>
  <c r="D2283" i="5"/>
  <c r="W2282" i="5"/>
  <c r="D2282" i="5"/>
  <c r="V2280" i="5"/>
  <c r="U2280" i="5"/>
  <c r="T2280" i="5"/>
  <c r="S2280" i="5"/>
  <c r="R2280" i="5"/>
  <c r="Q2280" i="5"/>
  <c r="P2280" i="5"/>
  <c r="O2280" i="5"/>
  <c r="N2280" i="5"/>
  <c r="M2280" i="5"/>
  <c r="L2280" i="5"/>
  <c r="K2280" i="5"/>
  <c r="J2280" i="5"/>
  <c r="I2280" i="5"/>
  <c r="H2280" i="5"/>
  <c r="G2280" i="5"/>
  <c r="F2280" i="5"/>
  <c r="E2280" i="5"/>
  <c r="W2279" i="5"/>
  <c r="D2279" i="5"/>
  <c r="W2278" i="5"/>
  <c r="D2278" i="5"/>
  <c r="W2277" i="5"/>
  <c r="D2277" i="5"/>
  <c r="W2276" i="5"/>
  <c r="D2276" i="5"/>
  <c r="W2275" i="5"/>
  <c r="D2275" i="5"/>
  <c r="W2274" i="5"/>
  <c r="D2274" i="5"/>
  <c r="W2273" i="5"/>
  <c r="D2273" i="5"/>
  <c r="W2272" i="5"/>
  <c r="D2272" i="5"/>
  <c r="W2271" i="5"/>
  <c r="D2271" i="5"/>
  <c r="W2270" i="5"/>
  <c r="D2270" i="5"/>
  <c r="V2268" i="5"/>
  <c r="U2268" i="5"/>
  <c r="T2268" i="5"/>
  <c r="S2268" i="5"/>
  <c r="R2268" i="5"/>
  <c r="Q2268" i="5"/>
  <c r="P2268" i="5"/>
  <c r="O2268" i="5"/>
  <c r="N2268" i="5"/>
  <c r="M2268" i="5"/>
  <c r="L2268" i="5"/>
  <c r="K2268" i="5"/>
  <c r="J2268" i="5"/>
  <c r="I2268" i="5"/>
  <c r="H2268" i="5"/>
  <c r="G2268" i="5"/>
  <c r="F2268" i="5"/>
  <c r="E2268" i="5"/>
  <c r="W2267" i="5"/>
  <c r="D2267" i="5"/>
  <c r="W2265" i="5"/>
  <c r="D2265" i="5"/>
  <c r="W2264" i="5"/>
  <c r="D2264" i="5"/>
  <c r="W2263" i="5"/>
  <c r="D2263" i="5"/>
  <c r="W2262" i="5"/>
  <c r="D2262" i="5"/>
  <c r="W2261" i="5"/>
  <c r="D2261" i="5"/>
  <c r="W2259" i="5"/>
  <c r="D2259" i="5"/>
  <c r="W2258" i="5"/>
  <c r="D2258" i="5"/>
  <c r="W2257" i="5"/>
  <c r="D2257" i="5"/>
  <c r="W2256" i="5"/>
  <c r="D2256" i="5"/>
  <c r="W2255" i="5"/>
  <c r="D2255" i="5"/>
  <c r="W2254" i="5"/>
  <c r="D2254" i="5"/>
  <c r="W2253" i="5"/>
  <c r="D2253" i="5"/>
  <c r="W2252" i="5"/>
  <c r="D2252" i="5"/>
  <c r="W2251" i="5"/>
  <c r="D2251" i="5"/>
  <c r="W2250" i="5"/>
  <c r="D2250" i="5"/>
  <c r="W2249" i="5"/>
  <c r="D2249" i="5"/>
  <c r="W2248" i="5"/>
  <c r="D2248" i="5"/>
  <c r="W2246" i="5"/>
  <c r="D2246" i="5"/>
  <c r="W2244" i="5"/>
  <c r="D2244" i="5"/>
  <c r="W2243" i="5"/>
  <c r="D2243" i="5"/>
  <c r="W2242" i="5"/>
  <c r="D2242" i="5"/>
  <c r="W2241" i="5"/>
  <c r="D2241" i="5"/>
  <c r="W2240" i="5"/>
  <c r="D2240" i="5"/>
  <c r="W2237" i="5"/>
  <c r="D2237" i="5"/>
  <c r="W2236" i="5"/>
  <c r="D2236" i="5"/>
  <c r="W2235" i="5"/>
  <c r="D2235" i="5"/>
  <c r="W2234" i="5"/>
  <c r="D2234" i="5"/>
  <c r="W2233" i="5"/>
  <c r="D2233" i="5"/>
  <c r="W2232" i="5"/>
  <c r="D2232" i="5"/>
  <c r="W2231" i="5"/>
  <c r="D2231" i="5"/>
  <c r="W2229" i="5"/>
  <c r="V2229" i="5"/>
  <c r="U2229" i="5"/>
  <c r="T2229" i="5"/>
  <c r="S2229" i="5"/>
  <c r="R2229" i="5"/>
  <c r="Q2229" i="5"/>
  <c r="P2229" i="5"/>
  <c r="O2229" i="5"/>
  <c r="N2229" i="5"/>
  <c r="M2229" i="5"/>
  <c r="L2229" i="5"/>
  <c r="K2229" i="5"/>
  <c r="J2229" i="5"/>
  <c r="I2229" i="5"/>
  <c r="H2229" i="5"/>
  <c r="G2229" i="5"/>
  <c r="F2229" i="5"/>
  <c r="E2229" i="5"/>
  <c r="D2228" i="5"/>
  <c r="D2229" i="5" s="1"/>
  <c r="W2226" i="5"/>
  <c r="V2226" i="5"/>
  <c r="U2226" i="5"/>
  <c r="T2226" i="5"/>
  <c r="S2226" i="5"/>
  <c r="R2226" i="5"/>
  <c r="Q2226" i="5"/>
  <c r="P2226" i="5"/>
  <c r="O2226" i="5"/>
  <c r="N2226" i="5"/>
  <c r="M2226" i="5"/>
  <c r="L2226" i="5"/>
  <c r="K2226" i="5"/>
  <c r="J2226" i="5"/>
  <c r="I2226" i="5"/>
  <c r="H2226" i="5"/>
  <c r="G2226" i="5"/>
  <c r="F2226" i="5"/>
  <c r="E2225" i="5"/>
  <c r="N2222" i="5"/>
  <c r="D2222" i="5"/>
  <c r="W2218" i="5"/>
  <c r="V2218" i="5"/>
  <c r="U2218" i="5"/>
  <c r="T2218" i="5"/>
  <c r="S2218" i="5"/>
  <c r="R2218" i="5"/>
  <c r="Q2218" i="5"/>
  <c r="P2218" i="5"/>
  <c r="O2218" i="5"/>
  <c r="N2218" i="5"/>
  <c r="M2218" i="5"/>
  <c r="L2218" i="5"/>
  <c r="K2218" i="5"/>
  <c r="J2218" i="5"/>
  <c r="I2218" i="5"/>
  <c r="H2218" i="5"/>
  <c r="G2218" i="5"/>
  <c r="E2218" i="5"/>
  <c r="F2217" i="5"/>
  <c r="F2218" i="5" s="1"/>
  <c r="D2216" i="5"/>
  <c r="C2216" i="5" s="1"/>
  <c r="N2893" i="2" s="1"/>
  <c r="J2893" i="2" s="1"/>
  <c r="D2215" i="5"/>
  <c r="C2215" i="5" s="1"/>
  <c r="N2889" i="2" s="1"/>
  <c r="J2889" i="2" s="1"/>
  <c r="D2214" i="5"/>
  <c r="W2212" i="5"/>
  <c r="U2212" i="5"/>
  <c r="T2212" i="5"/>
  <c r="S2212" i="5"/>
  <c r="R2212" i="5"/>
  <c r="Q2212" i="5"/>
  <c r="P2212" i="5"/>
  <c r="O2212" i="5"/>
  <c r="N2212" i="5"/>
  <c r="M2212" i="5"/>
  <c r="L2212" i="5"/>
  <c r="K2212" i="5"/>
  <c r="J2212" i="5"/>
  <c r="I2212" i="5"/>
  <c r="H2212" i="5"/>
  <c r="E2212" i="5"/>
  <c r="V2211" i="5"/>
  <c r="V2212" i="5" s="1"/>
  <c r="G2211" i="5"/>
  <c r="F2211" i="5"/>
  <c r="F2212" i="5" s="1"/>
  <c r="W2209" i="5"/>
  <c r="V2209" i="5"/>
  <c r="U2209" i="5"/>
  <c r="T2209" i="5"/>
  <c r="S2209" i="5"/>
  <c r="R2209" i="5"/>
  <c r="Q2209" i="5"/>
  <c r="P2209" i="5"/>
  <c r="O2209" i="5"/>
  <c r="N2209" i="5"/>
  <c r="M2209" i="5"/>
  <c r="L2209" i="5"/>
  <c r="K2209" i="5"/>
  <c r="J2209" i="5"/>
  <c r="I2209" i="5"/>
  <c r="H2209" i="5"/>
  <c r="G2209" i="5"/>
  <c r="F2209" i="5"/>
  <c r="E2209" i="5"/>
  <c r="D2208" i="5"/>
  <c r="C2208" i="5" s="1"/>
  <c r="D2207" i="5"/>
  <c r="C2207" i="5" s="1"/>
  <c r="D2206" i="5"/>
  <c r="C2206" i="5" s="1"/>
  <c r="D2205" i="5"/>
  <c r="W2201" i="5"/>
  <c r="V2201" i="5"/>
  <c r="U2201" i="5"/>
  <c r="T2201" i="5"/>
  <c r="S2201" i="5"/>
  <c r="R2201" i="5"/>
  <c r="Q2201" i="5"/>
  <c r="P2201" i="5"/>
  <c r="O2201" i="5"/>
  <c r="N2201" i="5"/>
  <c r="M2201" i="5"/>
  <c r="L2201" i="5"/>
  <c r="K2201" i="5"/>
  <c r="J2201" i="5"/>
  <c r="I2201" i="5"/>
  <c r="H2201" i="5"/>
  <c r="G2201" i="5"/>
  <c r="F2201" i="5"/>
  <c r="E2201" i="5"/>
  <c r="D2200" i="5"/>
  <c r="C2200" i="5" s="1"/>
  <c r="D2199" i="5"/>
  <c r="C2199" i="5" s="1"/>
  <c r="D2198" i="5"/>
  <c r="C2198" i="5" s="1"/>
  <c r="D2197" i="5"/>
  <c r="C2197" i="5" s="1"/>
  <c r="D2196" i="5"/>
  <c r="C2196" i="5" s="1"/>
  <c r="D2195" i="5"/>
  <c r="C2195" i="5" s="1"/>
  <c r="D2194" i="5"/>
  <c r="C2194" i="5" s="1"/>
  <c r="D2193" i="5"/>
  <c r="C2193" i="5" s="1"/>
  <c r="D2192" i="5"/>
  <c r="C2192" i="5" s="1"/>
  <c r="D2191" i="5"/>
  <c r="C2191" i="5" s="1"/>
  <c r="D2190" i="5"/>
  <c r="C2190" i="5" s="1"/>
  <c r="D2189" i="5"/>
  <c r="C2189" i="5" s="1"/>
  <c r="D2188" i="5"/>
  <c r="C2188" i="5" s="1"/>
  <c r="D2187" i="5"/>
  <c r="C2187" i="5" s="1"/>
  <c r="D2186" i="5"/>
  <c r="C2186" i="5" s="1"/>
  <c r="D2185" i="5"/>
  <c r="D2184" i="5"/>
  <c r="C2184" i="5" s="1"/>
  <c r="D2183" i="5"/>
  <c r="C2183" i="5" s="1"/>
  <c r="V2181" i="5"/>
  <c r="U2181" i="5"/>
  <c r="T2181" i="5"/>
  <c r="S2181" i="5"/>
  <c r="R2181" i="5"/>
  <c r="Q2181" i="5"/>
  <c r="P2181" i="5"/>
  <c r="O2181" i="5"/>
  <c r="N2181" i="5"/>
  <c r="M2181" i="5"/>
  <c r="L2181" i="5"/>
  <c r="K2181" i="5"/>
  <c r="J2181" i="5"/>
  <c r="I2181" i="5"/>
  <c r="H2181" i="5"/>
  <c r="G2181" i="5"/>
  <c r="F2181" i="5"/>
  <c r="E2181" i="5"/>
  <c r="W2180" i="5"/>
  <c r="D2180" i="5"/>
  <c r="W2179" i="5"/>
  <c r="D2179" i="5"/>
  <c r="V2177" i="5"/>
  <c r="U2177" i="5"/>
  <c r="T2177" i="5"/>
  <c r="S2177" i="5"/>
  <c r="R2177" i="5"/>
  <c r="Q2177" i="5"/>
  <c r="P2177" i="5"/>
  <c r="O2177" i="5"/>
  <c r="N2177" i="5"/>
  <c r="M2177" i="5"/>
  <c r="L2177" i="5"/>
  <c r="K2177" i="5"/>
  <c r="J2177" i="5"/>
  <c r="I2177" i="5"/>
  <c r="H2177" i="5"/>
  <c r="G2177" i="5"/>
  <c r="F2177" i="5"/>
  <c r="E2177" i="5"/>
  <c r="W2176" i="5"/>
  <c r="D2176" i="5"/>
  <c r="W2175" i="5"/>
  <c r="D2175" i="5"/>
  <c r="W2174" i="5"/>
  <c r="D2174" i="5"/>
  <c r="W2172" i="5"/>
  <c r="V2172" i="5"/>
  <c r="U2172" i="5"/>
  <c r="T2172" i="5"/>
  <c r="S2172" i="5"/>
  <c r="R2172" i="5"/>
  <c r="Q2172" i="5"/>
  <c r="P2172" i="5"/>
  <c r="O2172" i="5"/>
  <c r="N2172" i="5"/>
  <c r="M2172" i="5"/>
  <c r="L2172" i="5"/>
  <c r="K2172" i="5"/>
  <c r="J2172" i="5"/>
  <c r="I2172" i="5"/>
  <c r="H2172" i="5"/>
  <c r="G2172" i="5"/>
  <c r="F2172" i="5"/>
  <c r="E2172" i="5"/>
  <c r="D2171" i="5"/>
  <c r="C2171" i="5" s="1"/>
  <c r="D2170" i="5"/>
  <c r="V2168" i="5"/>
  <c r="U2168" i="5"/>
  <c r="T2168" i="5"/>
  <c r="S2168" i="5"/>
  <c r="R2168" i="5"/>
  <c r="Q2168" i="5"/>
  <c r="P2168" i="5"/>
  <c r="O2168" i="5"/>
  <c r="N2168" i="5"/>
  <c r="M2168" i="5"/>
  <c r="L2168" i="5"/>
  <c r="K2168" i="5"/>
  <c r="J2168" i="5"/>
  <c r="I2168" i="5"/>
  <c r="H2168" i="5"/>
  <c r="G2168" i="5"/>
  <c r="F2168" i="5"/>
  <c r="E2168" i="5"/>
  <c r="D2167" i="5"/>
  <c r="C2167" i="5" s="1"/>
  <c r="W2166" i="5"/>
  <c r="D2166" i="5"/>
  <c r="D2165" i="5"/>
  <c r="C2165" i="5" s="1"/>
  <c r="D2164" i="5"/>
  <c r="C2164" i="5" s="1"/>
  <c r="N2814" i="2" s="1"/>
  <c r="J2814" i="2" s="1"/>
  <c r="W2163" i="5"/>
  <c r="D2163" i="5"/>
  <c r="W2162" i="5"/>
  <c r="D2162" i="5"/>
  <c r="V2160" i="5"/>
  <c r="U2160" i="5"/>
  <c r="T2160" i="5"/>
  <c r="S2160" i="5"/>
  <c r="R2160" i="5"/>
  <c r="Q2160" i="5"/>
  <c r="P2160" i="5"/>
  <c r="O2160" i="5"/>
  <c r="N2160" i="5"/>
  <c r="M2160" i="5"/>
  <c r="L2160" i="5"/>
  <c r="K2160" i="5"/>
  <c r="J2160" i="5"/>
  <c r="I2160" i="5"/>
  <c r="H2160" i="5"/>
  <c r="G2160" i="5"/>
  <c r="F2160" i="5"/>
  <c r="E2160" i="5"/>
  <c r="W2159" i="5"/>
  <c r="D2159" i="5"/>
  <c r="W2158" i="5"/>
  <c r="D2158" i="5"/>
  <c r="W2157" i="5"/>
  <c r="D2157" i="5"/>
  <c r="W2156" i="5"/>
  <c r="D2156" i="5"/>
  <c r="V2154" i="5"/>
  <c r="U2154" i="5"/>
  <c r="T2154" i="5"/>
  <c r="S2154" i="5"/>
  <c r="R2154" i="5"/>
  <c r="Q2154" i="5"/>
  <c r="P2154" i="5"/>
  <c r="O2154" i="5"/>
  <c r="N2154" i="5"/>
  <c r="M2154" i="5"/>
  <c r="L2154" i="5"/>
  <c r="K2154" i="5"/>
  <c r="J2154" i="5"/>
  <c r="I2154" i="5"/>
  <c r="H2154" i="5"/>
  <c r="G2154" i="5"/>
  <c r="F2154" i="5"/>
  <c r="E2154" i="5"/>
  <c r="W2153" i="5"/>
  <c r="D2153" i="5"/>
  <c r="D2154" i="5" s="1"/>
  <c r="W2151" i="5"/>
  <c r="V2151" i="5"/>
  <c r="U2151" i="5"/>
  <c r="T2151" i="5"/>
  <c r="S2151" i="5"/>
  <c r="R2151" i="5"/>
  <c r="Q2151" i="5"/>
  <c r="P2151" i="5"/>
  <c r="O2151" i="5"/>
  <c r="N2151" i="5"/>
  <c r="M2151" i="5"/>
  <c r="L2151" i="5"/>
  <c r="K2151" i="5"/>
  <c r="J2151" i="5"/>
  <c r="I2151" i="5"/>
  <c r="H2151" i="5"/>
  <c r="G2151" i="5"/>
  <c r="F2151" i="5"/>
  <c r="E2151" i="5"/>
  <c r="D2150" i="5"/>
  <c r="C2150" i="5" s="1"/>
  <c r="D2149" i="5"/>
  <c r="D2148" i="5"/>
  <c r="C2148" i="5" s="1"/>
  <c r="V2146" i="5"/>
  <c r="U2146" i="5"/>
  <c r="T2146" i="5"/>
  <c r="S2146" i="5"/>
  <c r="R2146" i="5"/>
  <c r="Q2146" i="5"/>
  <c r="P2146" i="5"/>
  <c r="O2146" i="5"/>
  <c r="N2146" i="5"/>
  <c r="M2146" i="5"/>
  <c r="L2146" i="5"/>
  <c r="K2146" i="5"/>
  <c r="J2146" i="5"/>
  <c r="I2146" i="5"/>
  <c r="H2146" i="5"/>
  <c r="G2146" i="5"/>
  <c r="F2146" i="5"/>
  <c r="E2146" i="5"/>
  <c r="W2145" i="5"/>
  <c r="D2145" i="5"/>
  <c r="W2144" i="5"/>
  <c r="D2144" i="5"/>
  <c r="D2143" i="5"/>
  <c r="C2143" i="5" s="1"/>
  <c r="N2759" i="2" s="1"/>
  <c r="J2759" i="2" s="1"/>
  <c r="W2142" i="5"/>
  <c r="D2142" i="5"/>
  <c r="D2141" i="5"/>
  <c r="C2141" i="5" s="1"/>
  <c r="N2757" i="2" s="1"/>
  <c r="J2757" i="2" s="1"/>
  <c r="D2140" i="5"/>
  <c r="C2140" i="5" s="1"/>
  <c r="N2756" i="2" s="1"/>
  <c r="J2756" i="2" s="1"/>
  <c r="V2138" i="5"/>
  <c r="U2138" i="5"/>
  <c r="T2138" i="5"/>
  <c r="S2138" i="5"/>
  <c r="R2138" i="5"/>
  <c r="Q2138" i="5"/>
  <c r="P2138" i="5"/>
  <c r="O2138" i="5"/>
  <c r="N2138" i="5"/>
  <c r="M2138" i="5"/>
  <c r="L2138" i="5"/>
  <c r="K2138" i="5"/>
  <c r="J2138" i="5"/>
  <c r="F2138" i="5"/>
  <c r="E2138" i="5"/>
  <c r="W2137" i="5"/>
  <c r="D2137" i="5"/>
  <c r="W2136" i="5"/>
  <c r="D2136" i="5"/>
  <c r="W2135" i="5"/>
  <c r="D2135" i="5"/>
  <c r="W2134" i="5"/>
  <c r="D2134" i="5"/>
  <c r="W2133" i="5"/>
  <c r="D2133" i="5"/>
  <c r="W2132" i="5"/>
  <c r="D2132" i="5"/>
  <c r="W2131" i="5"/>
  <c r="D2131" i="5"/>
  <c r="W2130" i="5"/>
  <c r="D2130" i="5"/>
  <c r="W2129" i="5"/>
  <c r="D2129" i="5"/>
  <c r="W2128" i="5"/>
  <c r="D2128" i="5"/>
  <c r="W2126" i="5"/>
  <c r="D2126" i="5"/>
  <c r="W2125" i="5"/>
  <c r="D2125" i="5"/>
  <c r="W2124" i="5"/>
  <c r="D2124" i="5"/>
  <c r="D2123" i="5"/>
  <c r="W2122" i="5"/>
  <c r="D2122" i="5"/>
  <c r="D2121" i="5"/>
  <c r="C2121" i="5" s="1"/>
  <c r="D2120" i="5"/>
  <c r="C2120" i="5" s="1"/>
  <c r="W2119" i="5"/>
  <c r="D2119" i="5"/>
  <c r="W2118" i="5"/>
  <c r="D2118" i="5"/>
  <c r="W2117" i="5"/>
  <c r="D2117" i="5"/>
  <c r="W2116" i="5"/>
  <c r="D2116" i="5"/>
  <c r="W2115" i="5"/>
  <c r="D2115" i="5"/>
  <c r="W2114" i="5"/>
  <c r="D2114" i="5"/>
  <c r="W2113" i="5"/>
  <c r="D2113" i="5"/>
  <c r="W2112" i="5"/>
  <c r="D2112" i="5"/>
  <c r="D2111" i="5"/>
  <c r="C2111" i="5" s="1"/>
  <c r="N2722" i="2" s="1"/>
  <c r="J2722" i="2" s="1"/>
  <c r="W2110" i="5"/>
  <c r="D2110" i="5"/>
  <c r="W2109" i="5"/>
  <c r="D2109" i="5"/>
  <c r="D2108" i="5"/>
  <c r="C2108" i="5" s="1"/>
  <c r="W2107" i="5"/>
  <c r="D2107" i="5"/>
  <c r="W2106" i="5"/>
  <c r="D2106" i="5"/>
  <c r="W2105" i="5"/>
  <c r="D2105" i="5"/>
  <c r="W2104" i="5"/>
  <c r="D2104" i="5"/>
  <c r="W2103" i="5"/>
  <c r="D2103" i="5"/>
  <c r="W2102" i="5"/>
  <c r="D2102" i="5"/>
  <c r="W2101" i="5"/>
  <c r="I2101" i="5"/>
  <c r="I2138" i="5" s="1"/>
  <c r="H2101" i="5"/>
  <c r="G2101" i="5"/>
  <c r="G2138" i="5" s="1"/>
  <c r="W2100" i="5"/>
  <c r="D2100" i="5"/>
  <c r="W2099" i="5"/>
  <c r="D2099" i="5"/>
  <c r="D2098" i="5"/>
  <c r="C2098" i="5" s="1"/>
  <c r="D2097" i="5"/>
  <c r="C2097" i="5" s="1"/>
  <c r="W2096" i="5"/>
  <c r="D2096" i="5"/>
  <c r="W2095" i="5"/>
  <c r="D2095" i="5"/>
  <c r="W2094" i="5"/>
  <c r="D2094" i="5"/>
  <c r="W2093" i="5"/>
  <c r="D2093" i="5"/>
  <c r="W2092" i="5"/>
  <c r="D2092" i="5"/>
  <c r="W2091" i="5"/>
  <c r="D2091" i="5"/>
  <c r="D2090" i="5"/>
  <c r="C2090" i="5" s="1"/>
  <c r="W2089" i="5"/>
  <c r="D2089" i="5"/>
  <c r="W2088" i="5"/>
  <c r="D2088" i="5"/>
  <c r="W2087" i="5"/>
  <c r="D2087" i="5"/>
  <c r="W2086" i="5"/>
  <c r="D2086" i="5"/>
  <c r="W2085" i="5"/>
  <c r="D2085" i="5"/>
  <c r="W2084" i="5"/>
  <c r="D2084" i="5"/>
  <c r="W2083" i="5"/>
  <c r="D2083" i="5"/>
  <c r="W2082" i="5"/>
  <c r="D2082" i="5"/>
  <c r="V2080" i="5"/>
  <c r="U2080" i="5"/>
  <c r="T2080" i="5"/>
  <c r="S2080" i="5"/>
  <c r="R2080" i="5"/>
  <c r="Q2080" i="5"/>
  <c r="P2080" i="5"/>
  <c r="O2080" i="5"/>
  <c r="N2080" i="5"/>
  <c r="M2080" i="5"/>
  <c r="L2080" i="5"/>
  <c r="K2080" i="5"/>
  <c r="J2080" i="5"/>
  <c r="I2080" i="5"/>
  <c r="H2080" i="5"/>
  <c r="G2080" i="5"/>
  <c r="F2080" i="5"/>
  <c r="E2080" i="5"/>
  <c r="W2079" i="5"/>
  <c r="D2079" i="5"/>
  <c r="D2078" i="5"/>
  <c r="C2078" i="5" s="1"/>
  <c r="D2077" i="5"/>
  <c r="C2077" i="5" s="1"/>
  <c r="W2076" i="5"/>
  <c r="D2076" i="5"/>
  <c r="W2075" i="5"/>
  <c r="D2075" i="5"/>
  <c r="W2074" i="5"/>
  <c r="D2074" i="5"/>
  <c r="W2073" i="5"/>
  <c r="D2073" i="5"/>
  <c r="W2072" i="5"/>
  <c r="D2072" i="5"/>
  <c r="D2071" i="5"/>
  <c r="C2071" i="5" s="1"/>
  <c r="W2070" i="5"/>
  <c r="D2070" i="5"/>
  <c r="D2069" i="5"/>
  <c r="C2069" i="5" s="1"/>
  <c r="W2068" i="5"/>
  <c r="D2068" i="5"/>
  <c r="D2067" i="5"/>
  <c r="C2067" i="5" s="1"/>
  <c r="D2066" i="5"/>
  <c r="C2066" i="5" s="1"/>
  <c r="D2065" i="5"/>
  <c r="C2065" i="5" s="1"/>
  <c r="D2064" i="5"/>
  <c r="C2064" i="5" s="1"/>
  <c r="D2063" i="5"/>
  <c r="C2063" i="5" s="1"/>
  <c r="D2062" i="5"/>
  <c r="C2062" i="5" s="1"/>
  <c r="D2061" i="5"/>
  <c r="C2061" i="5" s="1"/>
  <c r="D2060" i="5"/>
  <c r="C2060" i="5" s="1"/>
  <c r="V2058" i="5"/>
  <c r="U2058" i="5"/>
  <c r="T2058" i="5"/>
  <c r="S2058" i="5"/>
  <c r="R2058" i="5"/>
  <c r="Q2058" i="5"/>
  <c r="P2058" i="5"/>
  <c r="O2058" i="5"/>
  <c r="N2058" i="5"/>
  <c r="M2058" i="5"/>
  <c r="L2058" i="5"/>
  <c r="K2058" i="5"/>
  <c r="J2058" i="5"/>
  <c r="I2058" i="5"/>
  <c r="H2058" i="5"/>
  <c r="G2058" i="5"/>
  <c r="F2058" i="5"/>
  <c r="E2058" i="5"/>
  <c r="W2057" i="5"/>
  <c r="D2057" i="5"/>
  <c r="W2056" i="5"/>
  <c r="D2056" i="5"/>
  <c r="W2055" i="5"/>
  <c r="D2055" i="5"/>
  <c r="W2054" i="5"/>
  <c r="D2054" i="5"/>
  <c r="W2053" i="5"/>
  <c r="D2053" i="5"/>
  <c r="W2052" i="5"/>
  <c r="D2052" i="5"/>
  <c r="W2051" i="5"/>
  <c r="D2051" i="5"/>
  <c r="W2050" i="5"/>
  <c r="D2050" i="5"/>
  <c r="W2049" i="5"/>
  <c r="D2049" i="5"/>
  <c r="W2048" i="5"/>
  <c r="D2048" i="5"/>
  <c r="W2047" i="5"/>
  <c r="D2047" i="5"/>
  <c r="W2046" i="5"/>
  <c r="D2046" i="5"/>
  <c r="W2045" i="5"/>
  <c r="D2045" i="5"/>
  <c r="W2044" i="5"/>
  <c r="D2044" i="5"/>
  <c r="W2043" i="5"/>
  <c r="D2043" i="5"/>
  <c r="W2042" i="5"/>
  <c r="D2042" i="5"/>
  <c r="W2041" i="5"/>
  <c r="D2041" i="5"/>
  <c r="W2040" i="5"/>
  <c r="D2040" i="5"/>
  <c r="W2039" i="5"/>
  <c r="D2039" i="5"/>
  <c r="W2037" i="5"/>
  <c r="D2037" i="5"/>
  <c r="W2036" i="5"/>
  <c r="D2036" i="5"/>
  <c r="W2035" i="5"/>
  <c r="D2035" i="5"/>
  <c r="W2034" i="5"/>
  <c r="D2034" i="5"/>
  <c r="W2033" i="5"/>
  <c r="D2033" i="5"/>
  <c r="W2032" i="5"/>
  <c r="D2032" i="5"/>
  <c r="W2031" i="5"/>
  <c r="D2031" i="5"/>
  <c r="V2027" i="5"/>
  <c r="U2027" i="5"/>
  <c r="T2027" i="5"/>
  <c r="S2027" i="5"/>
  <c r="R2027" i="5"/>
  <c r="Q2027" i="5"/>
  <c r="P2027" i="5"/>
  <c r="O2027" i="5"/>
  <c r="N2027" i="5"/>
  <c r="M2027" i="5"/>
  <c r="L2027" i="5"/>
  <c r="K2027" i="5"/>
  <c r="J2027" i="5"/>
  <c r="I2027" i="5"/>
  <c r="H2027" i="5"/>
  <c r="G2027" i="5"/>
  <c r="F2027" i="5"/>
  <c r="E2027" i="5"/>
  <c r="W2026" i="5"/>
  <c r="D2026" i="5"/>
  <c r="W2025" i="5"/>
  <c r="D2025" i="5"/>
  <c r="W2024" i="5"/>
  <c r="D2024" i="5"/>
  <c r="W2023" i="5"/>
  <c r="D2023" i="5"/>
  <c r="W2022" i="5"/>
  <c r="D2022" i="5"/>
  <c r="W2021" i="5"/>
  <c r="D2021" i="5"/>
  <c r="W2020" i="5"/>
  <c r="D2020" i="5"/>
  <c r="W2019" i="5"/>
  <c r="D2019" i="5"/>
  <c r="W2018" i="5"/>
  <c r="D2018" i="5"/>
  <c r="V2016" i="5"/>
  <c r="U2016" i="5"/>
  <c r="T2016" i="5"/>
  <c r="S2016" i="5"/>
  <c r="R2016" i="5"/>
  <c r="Q2016" i="5"/>
  <c r="P2016" i="5"/>
  <c r="O2016" i="5"/>
  <c r="N2016" i="5"/>
  <c r="M2016" i="5"/>
  <c r="L2016" i="5"/>
  <c r="K2016" i="5"/>
  <c r="J2016" i="5"/>
  <c r="I2016" i="5"/>
  <c r="H2016" i="5"/>
  <c r="G2016" i="5"/>
  <c r="F2016" i="5"/>
  <c r="E2016" i="5"/>
  <c r="D2015" i="5"/>
  <c r="C2015" i="5" s="1"/>
  <c r="N2603" i="2" s="1"/>
  <c r="J2603" i="2" s="1"/>
  <c r="D2014" i="5"/>
  <c r="C2014" i="5" s="1"/>
  <c r="N2602" i="2" s="1"/>
  <c r="J2602" i="2" s="1"/>
  <c r="W2013" i="5"/>
  <c r="D2013" i="5"/>
  <c r="D2012" i="5"/>
  <c r="C2012" i="5" s="1"/>
  <c r="N2600" i="2" s="1"/>
  <c r="J2600" i="2" s="1"/>
  <c r="D2011" i="5"/>
  <c r="C2011" i="5" s="1"/>
  <c r="W2010" i="5"/>
  <c r="D2010" i="5"/>
  <c r="W2009" i="5"/>
  <c r="D2009" i="5"/>
  <c r="W2007" i="5"/>
  <c r="V2007" i="5"/>
  <c r="U2007" i="5"/>
  <c r="T2007" i="5"/>
  <c r="S2007" i="5"/>
  <c r="R2007" i="5"/>
  <c r="Q2007" i="5"/>
  <c r="P2007" i="5"/>
  <c r="O2007" i="5"/>
  <c r="N2007" i="5"/>
  <c r="M2007" i="5"/>
  <c r="L2007" i="5"/>
  <c r="K2007" i="5"/>
  <c r="J2007" i="5"/>
  <c r="I2007" i="5"/>
  <c r="H2007" i="5"/>
  <c r="G2007" i="5"/>
  <c r="F2007" i="5"/>
  <c r="E2007" i="5"/>
  <c r="D2006" i="5"/>
  <c r="C2006" i="5" s="1"/>
  <c r="W2004" i="5"/>
  <c r="V2004" i="5"/>
  <c r="U2004" i="5"/>
  <c r="T2004" i="5"/>
  <c r="S2004" i="5"/>
  <c r="R2004" i="5"/>
  <c r="Q2004" i="5"/>
  <c r="P2004" i="5"/>
  <c r="O2004" i="5"/>
  <c r="M2004" i="5"/>
  <c r="L2004" i="5"/>
  <c r="K2004" i="5"/>
  <c r="J2004" i="5"/>
  <c r="I2004" i="5"/>
  <c r="H2004" i="5"/>
  <c r="G2004" i="5"/>
  <c r="F2004" i="5"/>
  <c r="E2004" i="5"/>
  <c r="D2003" i="5"/>
  <c r="C2003" i="5" s="1"/>
  <c r="N2002" i="5"/>
  <c r="N2004" i="5" s="1"/>
  <c r="D2002" i="5"/>
  <c r="T2000" i="5"/>
  <c r="S2000" i="5"/>
  <c r="R2000" i="5"/>
  <c r="Q2000" i="5"/>
  <c r="P2000" i="5"/>
  <c r="O2000" i="5"/>
  <c r="N2000" i="5"/>
  <c r="M2000" i="5"/>
  <c r="L2000" i="5"/>
  <c r="K2000" i="5"/>
  <c r="J2000" i="5"/>
  <c r="I2000" i="5"/>
  <c r="H2000" i="5"/>
  <c r="G2000" i="5"/>
  <c r="F2000" i="5"/>
  <c r="E2000" i="5"/>
  <c r="D1999" i="5"/>
  <c r="C1999" i="5" s="1"/>
  <c r="N2575" i="2" s="1"/>
  <c r="J2575" i="2" s="1"/>
  <c r="V1998" i="5"/>
  <c r="D1998" i="5"/>
  <c r="V1997" i="5"/>
  <c r="D1997" i="5"/>
  <c r="V1996" i="5"/>
  <c r="D1996" i="5"/>
  <c r="X1995" i="5"/>
  <c r="W1995" i="5" s="1"/>
  <c r="W2000" i="5" s="1"/>
  <c r="U1995" i="5"/>
  <c r="D1995" i="5"/>
  <c r="D1994" i="5"/>
  <c r="C1994" i="5" s="1"/>
  <c r="N2570" i="2" s="1"/>
  <c r="J2570" i="2" s="1"/>
  <c r="D1993" i="5"/>
  <c r="C1993" i="5" s="1"/>
  <c r="N2569" i="2" s="1"/>
  <c r="J2569" i="2" s="1"/>
  <c r="D1992" i="5"/>
  <c r="C1992" i="5" s="1"/>
  <c r="N2568" i="2" s="1"/>
  <c r="J2568" i="2" s="1"/>
  <c r="W1990" i="5"/>
  <c r="V1990" i="5"/>
  <c r="U1990" i="5"/>
  <c r="T1990" i="5"/>
  <c r="S1990" i="5"/>
  <c r="R1990" i="5"/>
  <c r="Q1990" i="5"/>
  <c r="P1990" i="5"/>
  <c r="O1990" i="5"/>
  <c r="N1990" i="5"/>
  <c r="M1990" i="5"/>
  <c r="L1990" i="5"/>
  <c r="K1990" i="5"/>
  <c r="J1990" i="5"/>
  <c r="I1990" i="5"/>
  <c r="H1990" i="5"/>
  <c r="G1990" i="5"/>
  <c r="F1990" i="5"/>
  <c r="E1990" i="5"/>
  <c r="D1989" i="5"/>
  <c r="V1987" i="5"/>
  <c r="U1987" i="5"/>
  <c r="T1987" i="5"/>
  <c r="S1987" i="5"/>
  <c r="R1987" i="5"/>
  <c r="Q1987" i="5"/>
  <c r="P1987" i="5"/>
  <c r="O1987" i="5"/>
  <c r="N1987" i="5"/>
  <c r="M1987" i="5"/>
  <c r="L1987" i="5"/>
  <c r="K1987" i="5"/>
  <c r="J1987" i="5"/>
  <c r="I1987" i="5"/>
  <c r="H1987" i="5"/>
  <c r="G1987" i="5"/>
  <c r="F1987" i="5"/>
  <c r="E1987" i="5"/>
  <c r="X1986" i="5"/>
  <c r="W1986" i="5" s="1"/>
  <c r="D1986" i="5"/>
  <c r="W1984" i="5"/>
  <c r="V1984" i="5"/>
  <c r="U1984" i="5"/>
  <c r="T1984" i="5"/>
  <c r="S1984" i="5"/>
  <c r="R1984" i="5"/>
  <c r="Q1984" i="5"/>
  <c r="P1984" i="5"/>
  <c r="O1984" i="5"/>
  <c r="N1984" i="5"/>
  <c r="M1984" i="5"/>
  <c r="L1984" i="5"/>
  <c r="K1984" i="5"/>
  <c r="J1984" i="5"/>
  <c r="I1984" i="5"/>
  <c r="H1984" i="5"/>
  <c r="G1984" i="5"/>
  <c r="F1984" i="5"/>
  <c r="E1984" i="5"/>
  <c r="D1983" i="5"/>
  <c r="C1983" i="5" s="1"/>
  <c r="N2542" i="2" s="1"/>
  <c r="J2542" i="2" s="1"/>
  <c r="D1982" i="5"/>
  <c r="C1982" i="5" s="1"/>
  <c r="N2541" i="2" s="1"/>
  <c r="J2541" i="2" s="1"/>
  <c r="D1981" i="5"/>
  <c r="C1981" i="5" s="1"/>
  <c r="N2540" i="2" s="1"/>
  <c r="J2540" i="2" s="1"/>
  <c r="D1980" i="5"/>
  <c r="C1980" i="5" s="1"/>
  <c r="N2539" i="2" s="1"/>
  <c r="J2539" i="2" s="1"/>
  <c r="D1979" i="5"/>
  <c r="C1979" i="5" s="1"/>
  <c r="D1978" i="5"/>
  <c r="C1978" i="5" s="1"/>
  <c r="N2537" i="2" s="1"/>
  <c r="J2537" i="2" s="1"/>
  <c r="D1977" i="5"/>
  <c r="C1977" i="5" s="1"/>
  <c r="N2536" i="2" s="1"/>
  <c r="J2536" i="2" s="1"/>
  <c r="D1976" i="5"/>
  <c r="C1976" i="5" s="1"/>
  <c r="N2535" i="2" s="1"/>
  <c r="J2535" i="2" s="1"/>
  <c r="D1975" i="5"/>
  <c r="C1975" i="5" s="1"/>
  <c r="N2534" i="2" s="1"/>
  <c r="J2534" i="2" s="1"/>
  <c r="D1974" i="5"/>
  <c r="C1974" i="5" s="1"/>
  <c r="N2533" i="2" s="1"/>
  <c r="J2533" i="2" s="1"/>
  <c r="D1973" i="5"/>
  <c r="C1973" i="5" s="1"/>
  <c r="N2532" i="2" s="1"/>
  <c r="J2532" i="2" s="1"/>
  <c r="D1972" i="5"/>
  <c r="C1972" i="5" s="1"/>
  <c r="N2531" i="2" s="1"/>
  <c r="J2531" i="2" s="1"/>
  <c r="D1971" i="5"/>
  <c r="C1971" i="5" s="1"/>
  <c r="N2530" i="2" s="1"/>
  <c r="J2530" i="2" s="1"/>
  <c r="D1970" i="5"/>
  <c r="C1970" i="5" s="1"/>
  <c r="N2529" i="2" s="1"/>
  <c r="J2529" i="2" s="1"/>
  <c r="D1969" i="5"/>
  <c r="D1968" i="5"/>
  <c r="C1968" i="5" s="1"/>
  <c r="N2527" i="2" s="1"/>
  <c r="J2527" i="2" s="1"/>
  <c r="V1966" i="5"/>
  <c r="U1966" i="5"/>
  <c r="T1966" i="5"/>
  <c r="S1966" i="5"/>
  <c r="R1966" i="5"/>
  <c r="Q1966" i="5"/>
  <c r="P1966" i="5"/>
  <c r="O1966" i="5"/>
  <c r="N1966" i="5"/>
  <c r="M1966" i="5"/>
  <c r="L1966" i="5"/>
  <c r="K1966" i="5"/>
  <c r="J1966" i="5"/>
  <c r="I1966" i="5"/>
  <c r="H1966" i="5"/>
  <c r="G1966" i="5"/>
  <c r="F1966" i="5"/>
  <c r="E1966" i="5"/>
  <c r="X1965" i="5"/>
  <c r="W1965" i="5" s="1"/>
  <c r="D1965" i="5"/>
  <c r="X1964" i="5"/>
  <c r="W1964" i="5" s="1"/>
  <c r="D1964" i="5"/>
  <c r="X1963" i="5"/>
  <c r="W1963" i="5" s="1"/>
  <c r="D1963" i="5"/>
  <c r="X1962" i="5"/>
  <c r="W1962" i="5" s="1"/>
  <c r="D1962" i="5"/>
  <c r="X1961" i="5"/>
  <c r="W1961" i="5" s="1"/>
  <c r="D1961" i="5"/>
  <c r="W1960" i="5"/>
  <c r="D1960" i="5"/>
  <c r="W1958" i="5"/>
  <c r="U1958" i="5"/>
  <c r="T1958" i="5"/>
  <c r="S1958" i="5"/>
  <c r="R1958" i="5"/>
  <c r="Q1958" i="5"/>
  <c r="P1958" i="5"/>
  <c r="O1958" i="5"/>
  <c r="N1958" i="5"/>
  <c r="M1958" i="5"/>
  <c r="L1958" i="5"/>
  <c r="K1958" i="5"/>
  <c r="J1958" i="5"/>
  <c r="D1957" i="5"/>
  <c r="C1957" i="5" s="1"/>
  <c r="V1956" i="5"/>
  <c r="D1956" i="5"/>
  <c r="V1955" i="5"/>
  <c r="I1955" i="5"/>
  <c r="I1958" i="5" s="1"/>
  <c r="H1955" i="5"/>
  <c r="H1958" i="5" s="1"/>
  <c r="G1955" i="5"/>
  <c r="F1955" i="5"/>
  <c r="F1958" i="5" s="1"/>
  <c r="E1955" i="5"/>
  <c r="E1958" i="5" s="1"/>
  <c r="D1954" i="5"/>
  <c r="C1954" i="5" s="1"/>
  <c r="D1953" i="5"/>
  <c r="C1953" i="5" s="1"/>
  <c r="V1952" i="5"/>
  <c r="D1952" i="5"/>
  <c r="V1951" i="5"/>
  <c r="D1951" i="5"/>
  <c r="W1949" i="5"/>
  <c r="V1949" i="5"/>
  <c r="U1949" i="5"/>
  <c r="T1949" i="5"/>
  <c r="S1949" i="5"/>
  <c r="Q1949" i="5"/>
  <c r="P1949" i="5"/>
  <c r="O1949" i="5"/>
  <c r="N1949" i="5"/>
  <c r="M1949" i="5"/>
  <c r="L1949" i="5"/>
  <c r="K1949" i="5"/>
  <c r="J1949" i="5"/>
  <c r="I1949" i="5"/>
  <c r="H1949" i="5"/>
  <c r="G1949" i="5"/>
  <c r="F1949" i="5"/>
  <c r="E1949" i="5"/>
  <c r="R1948" i="5"/>
  <c r="D1948" i="5"/>
  <c r="R1947" i="5"/>
  <c r="D1947" i="5"/>
  <c r="N1946" i="5"/>
  <c r="D1946" i="5"/>
  <c r="U1942" i="5"/>
  <c r="U1943" i="5" s="1"/>
  <c r="T1942" i="5"/>
  <c r="T1943" i="5" s="1"/>
  <c r="S1942" i="5"/>
  <c r="S1943" i="5" s="1"/>
  <c r="R1942" i="5"/>
  <c r="R1943" i="5" s="1"/>
  <c r="Q1942" i="5"/>
  <c r="Q1943" i="5" s="1"/>
  <c r="O1942" i="5"/>
  <c r="O1943" i="5" s="1"/>
  <c r="M1942" i="5"/>
  <c r="M1943" i="5" s="1"/>
  <c r="L1942" i="5"/>
  <c r="L1943" i="5" s="1"/>
  <c r="K1942" i="5"/>
  <c r="K1943" i="5" s="1"/>
  <c r="J1942" i="5"/>
  <c r="J1943" i="5" s="1"/>
  <c r="H1942" i="5"/>
  <c r="H1943" i="5" s="1"/>
  <c r="W1941" i="5"/>
  <c r="D1941" i="5"/>
  <c r="W1940" i="5"/>
  <c r="D1940" i="5"/>
  <c r="W1939" i="5"/>
  <c r="D1939" i="5"/>
  <c r="W1938" i="5"/>
  <c r="D1938" i="5"/>
  <c r="W1937" i="5"/>
  <c r="E1937" i="5"/>
  <c r="D1937" i="5" s="1"/>
  <c r="W1936" i="5"/>
  <c r="D1936" i="5"/>
  <c r="Y1935" i="5"/>
  <c r="W1935" i="5" s="1"/>
  <c r="D1935" i="5"/>
  <c r="W1934" i="5"/>
  <c r="D1934" i="5"/>
  <c r="W1933" i="5"/>
  <c r="D1933" i="5"/>
  <c r="Y1932" i="5"/>
  <c r="W1932" i="5" s="1"/>
  <c r="D1932" i="5"/>
  <c r="D1931" i="5"/>
  <c r="C1931" i="5" s="1"/>
  <c r="N2473" i="2" s="1"/>
  <c r="J2473" i="2" s="1"/>
  <c r="W1930" i="5"/>
  <c r="D1930" i="5"/>
  <c r="W1929" i="5"/>
  <c r="D1929" i="5"/>
  <c r="W1928" i="5"/>
  <c r="D1928" i="5"/>
  <c r="W1927" i="5"/>
  <c r="D1927" i="5"/>
  <c r="Y1926" i="5"/>
  <c r="W1926" i="5" s="1"/>
  <c r="D1926" i="5"/>
  <c r="W1925" i="5"/>
  <c r="D1925" i="5"/>
  <c r="W1924" i="5"/>
  <c r="D1924" i="5"/>
  <c r="W1923" i="5"/>
  <c r="D1923" i="5"/>
  <c r="W1922" i="5"/>
  <c r="D1922" i="5"/>
  <c r="W1921" i="5"/>
  <c r="D1921" i="5"/>
  <c r="D1920" i="5"/>
  <c r="C1920" i="5" s="1"/>
  <c r="W1919" i="5"/>
  <c r="D1919" i="5"/>
  <c r="W1918" i="5"/>
  <c r="D1918" i="5"/>
  <c r="Y1917" i="5"/>
  <c r="W1917" i="5" s="1"/>
  <c r="D1917" i="5"/>
  <c r="Y1916" i="5"/>
  <c r="W1916" i="5" s="1"/>
  <c r="D1916" i="5"/>
  <c r="Y1915" i="5"/>
  <c r="W1915" i="5" s="1"/>
  <c r="F1915" i="5"/>
  <c r="D1915" i="5" s="1"/>
  <c r="W1914" i="5"/>
  <c r="D1914" i="5"/>
  <c r="W1913" i="5"/>
  <c r="D1913" i="5"/>
  <c r="W1912" i="5"/>
  <c r="I1912" i="5"/>
  <c r="G1912" i="5"/>
  <c r="F1912" i="5"/>
  <c r="E1912" i="5"/>
  <c r="N1911" i="5"/>
  <c r="I1911" i="5"/>
  <c r="G1911" i="5"/>
  <c r="F1911" i="5"/>
  <c r="E1911" i="5"/>
  <c r="Y1910" i="5"/>
  <c r="W1910" i="5" s="1"/>
  <c r="D1910" i="5"/>
  <c r="W1909" i="5"/>
  <c r="V1909" i="5"/>
  <c r="G1909" i="5"/>
  <c r="D1909" i="5" s="1"/>
  <c r="W1908" i="5"/>
  <c r="I1908" i="5"/>
  <c r="G1908" i="5"/>
  <c r="F1908" i="5"/>
  <c r="W1907" i="5"/>
  <c r="I1907" i="5"/>
  <c r="G1907" i="5"/>
  <c r="W1906" i="5"/>
  <c r="D1906" i="5"/>
  <c r="W1905" i="5"/>
  <c r="D1905" i="5"/>
  <c r="W1904" i="5"/>
  <c r="D1904" i="5"/>
  <c r="W1903" i="5"/>
  <c r="D1903" i="5"/>
  <c r="W1902" i="5"/>
  <c r="D1902" i="5"/>
  <c r="W1901" i="5"/>
  <c r="D1901" i="5"/>
  <c r="W1900" i="5"/>
  <c r="D1900" i="5"/>
  <c r="W1899" i="5"/>
  <c r="D1899" i="5"/>
  <c r="Y1898" i="5"/>
  <c r="W1898" i="5" s="1"/>
  <c r="D1898" i="5"/>
  <c r="Y1897" i="5"/>
  <c r="W1897" i="5" s="1"/>
  <c r="N1897" i="5"/>
  <c r="D1897" i="5"/>
  <c r="Y1896" i="5"/>
  <c r="W1896" i="5" s="1"/>
  <c r="D1896" i="5"/>
  <c r="Y1895" i="5"/>
  <c r="W1895" i="5" s="1"/>
  <c r="D1895" i="5"/>
  <c r="Y1894" i="5"/>
  <c r="W1894" i="5" s="1"/>
  <c r="N1894" i="5"/>
  <c r="D1894" i="5"/>
  <c r="D1893" i="5"/>
  <c r="W1892" i="5"/>
  <c r="D1892" i="5"/>
  <c r="Y1891" i="5"/>
  <c r="W1891" i="5" s="1"/>
  <c r="D1891" i="5"/>
  <c r="Y1890" i="5"/>
  <c r="W1890" i="5" s="1"/>
  <c r="D1890" i="5"/>
  <c r="Y1889" i="5"/>
  <c r="W1889" i="5" s="1"/>
  <c r="D1889" i="5"/>
  <c r="W1888" i="5"/>
  <c r="D1888" i="5"/>
  <c r="Y1887" i="5"/>
  <c r="W1887" i="5" s="1"/>
  <c r="D1887" i="5"/>
  <c r="Y1886" i="5"/>
  <c r="W1886" i="5" s="1"/>
  <c r="F1886" i="5"/>
  <c r="D1886" i="5" s="1"/>
  <c r="Y1885" i="5"/>
  <c r="W1885" i="5" s="1"/>
  <c r="D1885" i="5"/>
  <c r="W1884" i="5"/>
  <c r="D1884" i="5"/>
  <c r="N1883" i="5"/>
  <c r="D1883" i="5"/>
  <c r="W1882" i="5"/>
  <c r="N1882" i="5"/>
  <c r="D1882" i="5"/>
  <c r="W1881" i="5"/>
  <c r="D1881" i="5"/>
  <c r="W1880" i="5"/>
  <c r="D1880" i="5"/>
  <c r="W1879" i="5"/>
  <c r="D1879" i="5"/>
  <c r="W1878" i="5"/>
  <c r="N1878" i="5"/>
  <c r="D1878" i="5"/>
  <c r="W1877" i="5"/>
  <c r="E1877" i="5"/>
  <c r="D1877" i="5" s="1"/>
  <c r="D1876" i="5"/>
  <c r="C1876" i="5" s="1"/>
  <c r="D1875" i="5"/>
  <c r="C1875" i="5" s="1"/>
  <c r="N1874" i="5"/>
  <c r="D1874" i="5"/>
  <c r="W1873" i="5"/>
  <c r="D1873" i="5"/>
  <c r="W1872" i="5"/>
  <c r="D1872" i="5"/>
  <c r="W1871" i="5"/>
  <c r="D1871" i="5"/>
  <c r="W1870" i="5"/>
  <c r="D1870" i="5"/>
  <c r="Y1869" i="5"/>
  <c r="W1869" i="5" s="1"/>
  <c r="D1869" i="5"/>
  <c r="W1868" i="5"/>
  <c r="D1868" i="5"/>
  <c r="W1867" i="5"/>
  <c r="D1867" i="5"/>
  <c r="W1866" i="5"/>
  <c r="D1866" i="5"/>
  <c r="W1865" i="5"/>
  <c r="D1865" i="5"/>
  <c r="W1864" i="5"/>
  <c r="D1864" i="5"/>
  <c r="W1863" i="5"/>
  <c r="D1863" i="5"/>
  <c r="Y1862" i="5"/>
  <c r="W1862" i="5" s="1"/>
  <c r="D1862" i="5"/>
  <c r="W1861" i="5"/>
  <c r="P1861" i="5"/>
  <c r="P1942" i="5" s="1"/>
  <c r="P1943" i="5" s="1"/>
  <c r="D1861" i="5"/>
  <c r="Y1860" i="5"/>
  <c r="W1860" i="5" s="1"/>
  <c r="D1860" i="5"/>
  <c r="Y1859" i="5"/>
  <c r="W1859" i="5" s="1"/>
  <c r="N1859" i="5"/>
  <c r="D1859" i="5"/>
  <c r="Y1858" i="5"/>
  <c r="W1858" i="5" s="1"/>
  <c r="V1858" i="5"/>
  <c r="G1858" i="5"/>
  <c r="F1858" i="5"/>
  <c r="Y1857" i="5"/>
  <c r="W1857" i="5" s="1"/>
  <c r="D1857" i="5"/>
  <c r="Y1856" i="5"/>
  <c r="W1856" i="5" s="1"/>
  <c r="V1856" i="5"/>
  <c r="F1856" i="5"/>
  <c r="D1856" i="5" s="1"/>
  <c r="Y1855" i="5"/>
  <c r="W1855" i="5" s="1"/>
  <c r="N1855" i="5"/>
  <c r="D1855" i="5"/>
  <c r="Y1854" i="5"/>
  <c r="W1854" i="5" s="1"/>
  <c r="V1854" i="5"/>
  <c r="G1854" i="5"/>
  <c r="F1854" i="5"/>
  <c r="Y1853" i="5"/>
  <c r="W1853" i="5" s="1"/>
  <c r="D1853" i="5"/>
  <c r="Y1852" i="5"/>
  <c r="W1852" i="5" s="1"/>
  <c r="D1852" i="5"/>
  <c r="Y1851" i="5"/>
  <c r="W1851" i="5" s="1"/>
  <c r="D1851" i="5"/>
  <c r="Y1850" i="5"/>
  <c r="W1850" i="5" s="1"/>
  <c r="D1850" i="5"/>
  <c r="W1849" i="5"/>
  <c r="G1849" i="5"/>
  <c r="E1849" i="5"/>
  <c r="W1848" i="5"/>
  <c r="D1848" i="5"/>
  <c r="Y1847" i="5"/>
  <c r="W1847" i="5" s="1"/>
  <c r="N1847" i="5"/>
  <c r="D1847" i="5"/>
  <c r="Y1846" i="5"/>
  <c r="W1846" i="5" s="1"/>
  <c r="D1846" i="5"/>
  <c r="Y1845" i="5"/>
  <c r="W1845" i="5" s="1"/>
  <c r="D1845" i="5"/>
  <c r="Y1844" i="5"/>
  <c r="W1844" i="5" s="1"/>
  <c r="D1844" i="5"/>
  <c r="Y1843" i="5"/>
  <c r="W1843" i="5" s="1"/>
  <c r="G1843" i="5"/>
  <c r="F1843" i="5"/>
  <c r="Y1842" i="5"/>
  <c r="W1842" i="5" s="1"/>
  <c r="G1842" i="5"/>
  <c r="F1842" i="5"/>
  <c r="Y1841" i="5"/>
  <c r="W1841" i="5" s="1"/>
  <c r="G1841" i="5"/>
  <c r="F1841" i="5"/>
  <c r="D1840" i="5"/>
  <c r="C1840" i="5" s="1"/>
  <c r="N2381" i="2" s="1"/>
  <c r="J2381" i="2" s="1"/>
  <c r="Y1839" i="5"/>
  <c r="W1839" i="5" s="1"/>
  <c r="D1839" i="5"/>
  <c r="D1838" i="5"/>
  <c r="C1838" i="5" s="1"/>
  <c r="N2379" i="2" s="1"/>
  <c r="J2379" i="2" s="1"/>
  <c r="W1837" i="5"/>
  <c r="G1837" i="5"/>
  <c r="F1837" i="5"/>
  <c r="E1837" i="5"/>
  <c r="W1836" i="5"/>
  <c r="D1836" i="5"/>
  <c r="W1835" i="5"/>
  <c r="D1835" i="5"/>
  <c r="W1834" i="5"/>
  <c r="D1834" i="5"/>
  <c r="Y1833" i="5"/>
  <c r="W1833" i="5" s="1"/>
  <c r="D1833" i="5"/>
  <c r="W1832" i="5"/>
  <c r="D1832" i="5"/>
  <c r="Y1831" i="5"/>
  <c r="W1831" i="5" s="1"/>
  <c r="G1831" i="5"/>
  <c r="F1831" i="5"/>
  <c r="W1830" i="5"/>
  <c r="D1830" i="5"/>
  <c r="Y1829" i="5"/>
  <c r="W1829" i="5" s="1"/>
  <c r="D1829" i="5"/>
  <c r="Y1828" i="5"/>
  <c r="W1828" i="5" s="1"/>
  <c r="D1828" i="5"/>
  <c r="Y1827" i="5"/>
  <c r="W1827" i="5" s="1"/>
  <c r="N1827" i="5"/>
  <c r="D1827" i="5"/>
  <c r="Y1826" i="5"/>
  <c r="W1826" i="5" s="1"/>
  <c r="D1826" i="5"/>
  <c r="W1825" i="5"/>
  <c r="D1825" i="5"/>
  <c r="W1824" i="5"/>
  <c r="D1824" i="5"/>
  <c r="Y1823" i="5"/>
  <c r="W1823" i="5" s="1"/>
  <c r="D1823" i="5"/>
  <c r="Y1822" i="5"/>
  <c r="W1822" i="5" s="1"/>
  <c r="D1822" i="5"/>
  <c r="D1821" i="5"/>
  <c r="C1821" i="5" s="1"/>
  <c r="D1820" i="5"/>
  <c r="C1820" i="5" s="1"/>
  <c r="Y1819" i="5"/>
  <c r="W1819" i="5" s="1"/>
  <c r="D1819" i="5"/>
  <c r="W1818" i="5"/>
  <c r="D1818" i="5"/>
  <c r="Y1817" i="5"/>
  <c r="W1817" i="5" s="1"/>
  <c r="D1817" i="5"/>
  <c r="W1816" i="5"/>
  <c r="G1816" i="5"/>
  <c r="F1816" i="5"/>
  <c r="W1815" i="5"/>
  <c r="G1815" i="5"/>
  <c r="F1815" i="5"/>
  <c r="Y1814" i="5"/>
  <c r="W1814" i="5" s="1"/>
  <c r="D1814" i="5"/>
  <c r="Y1813" i="5"/>
  <c r="W1813" i="5" s="1"/>
  <c r="D1813" i="5"/>
  <c r="W1812" i="5"/>
  <c r="E1812" i="5"/>
  <c r="W1811" i="5"/>
  <c r="D1811" i="5"/>
  <c r="W1810" i="5"/>
  <c r="D1810" i="5"/>
  <c r="W1809" i="5"/>
  <c r="D1809" i="5"/>
  <c r="Y1808" i="5"/>
  <c r="W1808" i="5" s="1"/>
  <c r="D1808" i="5"/>
  <c r="W1807" i="5"/>
  <c r="D1807" i="5"/>
  <c r="W1806" i="5"/>
  <c r="D1806" i="5"/>
  <c r="W1805" i="5"/>
  <c r="D1805" i="5"/>
  <c r="W1804" i="5"/>
  <c r="D1804" i="5"/>
  <c r="Y1803" i="5"/>
  <c r="W1803" i="5" s="1"/>
  <c r="N1803" i="5"/>
  <c r="D1803" i="5"/>
  <c r="W1802" i="5"/>
  <c r="D1802" i="5"/>
  <c r="W1801" i="5"/>
  <c r="D1801" i="5"/>
  <c r="Y1800" i="5"/>
  <c r="W1800" i="5" s="1"/>
  <c r="D1800" i="5"/>
  <c r="Y1799" i="5"/>
  <c r="W1799" i="5" s="1"/>
  <c r="V1799" i="5"/>
  <c r="I1799" i="5"/>
  <c r="G1799" i="5"/>
  <c r="F1799" i="5"/>
  <c r="Y1798" i="5"/>
  <c r="W1798" i="5" s="1"/>
  <c r="D1798" i="5"/>
  <c r="Y1797" i="5"/>
  <c r="W1797" i="5" s="1"/>
  <c r="D1797" i="5"/>
  <c r="Y1796" i="5"/>
  <c r="W1796" i="5" s="1"/>
  <c r="D1796" i="5"/>
  <c r="Y1795" i="5"/>
  <c r="W1795" i="5" s="1"/>
  <c r="D1795" i="5"/>
  <c r="W1794" i="5"/>
  <c r="D1794" i="5"/>
  <c r="W1793" i="5"/>
  <c r="D1793" i="5"/>
  <c r="W1792" i="5"/>
  <c r="D1792" i="5"/>
  <c r="W1791" i="5"/>
  <c r="D1791" i="5"/>
  <c r="W1790" i="5"/>
  <c r="D1790" i="5"/>
  <c r="W1789" i="5"/>
  <c r="D1789" i="5"/>
  <c r="W1788" i="5"/>
  <c r="D1788" i="5"/>
  <c r="N1787" i="5"/>
  <c r="D1787" i="5"/>
  <c r="W1786" i="5"/>
  <c r="D1786" i="5"/>
  <c r="W1785" i="5"/>
  <c r="D1785" i="5"/>
  <c r="X1781" i="5"/>
  <c r="E1780" i="5"/>
  <c r="E1781" i="5" s="1"/>
  <c r="I1779" i="5"/>
  <c r="I1778" i="5"/>
  <c r="G1778" i="5"/>
  <c r="F1778" i="5"/>
  <c r="I1777" i="5"/>
  <c r="G1777" i="5"/>
  <c r="F1777" i="5"/>
  <c r="I1776" i="5"/>
  <c r="G1776" i="5"/>
  <c r="F1776" i="5"/>
  <c r="I1775" i="5"/>
  <c r="G1775" i="5"/>
  <c r="F1775" i="5"/>
  <c r="X1773" i="5"/>
  <c r="W1773" i="5"/>
  <c r="V1773" i="5"/>
  <c r="U1773" i="5"/>
  <c r="T1773" i="5"/>
  <c r="S1773" i="5"/>
  <c r="R1773" i="5"/>
  <c r="Q1773" i="5"/>
  <c r="P1773" i="5"/>
  <c r="O1773" i="5"/>
  <c r="N1773" i="5"/>
  <c r="M1773" i="5"/>
  <c r="L1773" i="5"/>
  <c r="K1773" i="5"/>
  <c r="J1773" i="5"/>
  <c r="I1773" i="5"/>
  <c r="H1773" i="5"/>
  <c r="G1773" i="5"/>
  <c r="F1773" i="5"/>
  <c r="E1773" i="5"/>
  <c r="D1772" i="5"/>
  <c r="C1772" i="5" s="1"/>
  <c r="N2266" i="2" s="1"/>
  <c r="J2266" i="2" s="1"/>
  <c r="D1771" i="5"/>
  <c r="C1771" i="5" s="1"/>
  <c r="D1770" i="5"/>
  <c r="C1770" i="5" s="1"/>
  <c r="X1768" i="5"/>
  <c r="W1768" i="5"/>
  <c r="V1768" i="5"/>
  <c r="U1768" i="5"/>
  <c r="T1768" i="5"/>
  <c r="S1768" i="5"/>
  <c r="R1768" i="5"/>
  <c r="Q1768" i="5"/>
  <c r="P1768" i="5"/>
  <c r="O1768" i="5"/>
  <c r="N1768" i="5"/>
  <c r="M1768" i="5"/>
  <c r="L1768" i="5"/>
  <c r="K1768" i="5"/>
  <c r="J1768" i="5"/>
  <c r="I1768" i="5"/>
  <c r="H1768" i="5"/>
  <c r="G1768" i="5"/>
  <c r="F1768" i="5"/>
  <c r="E1768" i="5"/>
  <c r="D1767" i="5"/>
  <c r="C1767" i="5" s="1"/>
  <c r="D1766" i="5"/>
  <c r="C1766" i="5" s="1"/>
  <c r="D1765" i="5"/>
  <c r="C1765" i="5" s="1"/>
  <c r="D1764" i="5"/>
  <c r="C1764" i="5" s="1"/>
  <c r="D1763" i="5"/>
  <c r="C1763" i="5" s="1"/>
  <c r="D1762" i="5"/>
  <c r="C1762" i="5" s="1"/>
  <c r="D1761" i="5"/>
  <c r="C1761" i="5" s="1"/>
  <c r="D1760" i="5"/>
  <c r="C1760" i="5" s="1"/>
  <c r="D1759" i="5"/>
  <c r="C1759" i="5" s="1"/>
  <c r="D1758" i="5"/>
  <c r="C1758" i="5" s="1"/>
  <c r="X1756" i="5"/>
  <c r="W1756" i="5"/>
  <c r="V1756" i="5"/>
  <c r="U1756" i="5"/>
  <c r="T1756" i="5"/>
  <c r="S1756" i="5"/>
  <c r="R1756" i="5"/>
  <c r="Q1756" i="5"/>
  <c r="P1756" i="5"/>
  <c r="O1756" i="5"/>
  <c r="N1756" i="5"/>
  <c r="M1756" i="5"/>
  <c r="L1756" i="5"/>
  <c r="K1756" i="5"/>
  <c r="J1756" i="5"/>
  <c r="I1756" i="5"/>
  <c r="H1756" i="5"/>
  <c r="G1756" i="5"/>
  <c r="F1756" i="5"/>
  <c r="E1756" i="5"/>
  <c r="D1755" i="5"/>
  <c r="C1755" i="5" s="1"/>
  <c r="D1754" i="5"/>
  <c r="D1753" i="5"/>
  <c r="C1753" i="5" s="1"/>
  <c r="X1751" i="5"/>
  <c r="W1751" i="5"/>
  <c r="V1751" i="5"/>
  <c r="U1751" i="5"/>
  <c r="T1751" i="5"/>
  <c r="S1751" i="5"/>
  <c r="R1751" i="5"/>
  <c r="Q1751" i="5"/>
  <c r="P1751" i="5"/>
  <c r="O1751" i="5"/>
  <c r="N1751" i="5"/>
  <c r="M1751" i="5"/>
  <c r="L1751" i="5"/>
  <c r="K1751" i="5"/>
  <c r="J1751" i="5"/>
  <c r="I1751" i="5"/>
  <c r="H1751" i="5"/>
  <c r="G1751" i="5"/>
  <c r="F1751" i="5"/>
  <c r="E1750" i="5"/>
  <c r="D1749" i="5"/>
  <c r="C1749" i="5" s="1"/>
  <c r="X1748" i="5"/>
  <c r="X1747" i="5"/>
  <c r="W1747" i="5"/>
  <c r="V1747" i="5"/>
  <c r="T1747" i="5"/>
  <c r="S1747" i="5"/>
  <c r="Q1747" i="5"/>
  <c r="O1747" i="5"/>
  <c r="M1747" i="5"/>
  <c r="L1747" i="5"/>
  <c r="K1747" i="5"/>
  <c r="J1747" i="5"/>
  <c r="U1746" i="5"/>
  <c r="R1746" i="5"/>
  <c r="D1746" i="5"/>
  <c r="P1745" i="5"/>
  <c r="P1747" i="5" s="1"/>
  <c r="D1745" i="5"/>
  <c r="E1744" i="5"/>
  <c r="D1744" i="5" s="1"/>
  <c r="C1744" i="5" s="1"/>
  <c r="H1743" i="5"/>
  <c r="G1743" i="5"/>
  <c r="F1743" i="5"/>
  <c r="E1743" i="5"/>
  <c r="U1742" i="5"/>
  <c r="N1742" i="5"/>
  <c r="N1747" i="5" s="1"/>
  <c r="I1742" i="5"/>
  <c r="H1742" i="5"/>
  <c r="G1742" i="5"/>
  <c r="F1742" i="5"/>
  <c r="E1742" i="5"/>
  <c r="H1741" i="5"/>
  <c r="G1741" i="5"/>
  <c r="F1741" i="5"/>
  <c r="E1741" i="5"/>
  <c r="D1740" i="5"/>
  <c r="C1740" i="5" s="1"/>
  <c r="D1739" i="5"/>
  <c r="C1739" i="5" s="1"/>
  <c r="I1738" i="5"/>
  <c r="D1737" i="5"/>
  <c r="C1737" i="5" s="1"/>
  <c r="N2201" i="2" s="1"/>
  <c r="J2201" i="2" s="1"/>
  <c r="D1736" i="5"/>
  <c r="C1736" i="5" s="1"/>
  <c r="N2199" i="2" s="1"/>
  <c r="J2199" i="2" s="1"/>
  <c r="D1735" i="5"/>
  <c r="C1735" i="5" s="1"/>
  <c r="D1734" i="5"/>
  <c r="C1734" i="5" s="1"/>
  <c r="D1733" i="5"/>
  <c r="C1733" i="5" s="1"/>
  <c r="D1732" i="5"/>
  <c r="C1732" i="5" s="1"/>
  <c r="R1731" i="5"/>
  <c r="D1731" i="5"/>
  <c r="X1729" i="5"/>
  <c r="W1729" i="5"/>
  <c r="V1729" i="5"/>
  <c r="U1729" i="5"/>
  <c r="T1729" i="5"/>
  <c r="S1729" i="5"/>
  <c r="R1729" i="5"/>
  <c r="Q1729" i="5"/>
  <c r="P1729" i="5"/>
  <c r="O1729" i="5"/>
  <c r="N1729" i="5"/>
  <c r="M1729" i="5"/>
  <c r="L1729" i="5"/>
  <c r="K1729" i="5"/>
  <c r="J1729" i="5"/>
  <c r="I1729" i="5"/>
  <c r="H1729" i="5"/>
  <c r="G1729" i="5"/>
  <c r="F1729" i="5"/>
  <c r="E1729" i="5"/>
  <c r="D1728" i="5"/>
  <c r="C1728" i="5" s="1"/>
  <c r="N2182" i="2" s="1"/>
  <c r="J2182" i="2" s="1"/>
  <c r="D1727" i="5"/>
  <c r="C1727" i="5" s="1"/>
  <c r="N2181" i="2" s="1"/>
  <c r="J2181" i="2" s="1"/>
  <c r="D1726" i="5"/>
  <c r="C1726" i="5" s="1"/>
  <c r="N2180" i="2" s="1"/>
  <c r="J2180" i="2" s="1"/>
  <c r="D1725" i="5"/>
  <c r="X1723" i="5"/>
  <c r="W1723" i="5"/>
  <c r="U1723" i="5"/>
  <c r="T1723" i="5"/>
  <c r="S1723" i="5"/>
  <c r="Q1723" i="5"/>
  <c r="O1723" i="5"/>
  <c r="N1723" i="5"/>
  <c r="M1723" i="5"/>
  <c r="L1723" i="5"/>
  <c r="K1723" i="5"/>
  <c r="J1723" i="5"/>
  <c r="G1723" i="5"/>
  <c r="F1723" i="5"/>
  <c r="D1722" i="5"/>
  <c r="C1722" i="5" s="1"/>
  <c r="V1721" i="5"/>
  <c r="D1721" i="5"/>
  <c r="V1720" i="5"/>
  <c r="H1720" i="5"/>
  <c r="H1723" i="5" s="1"/>
  <c r="E1720" i="5"/>
  <c r="R1719" i="5"/>
  <c r="D1719" i="5"/>
  <c r="D1718" i="5"/>
  <c r="C1718" i="5" s="1"/>
  <c r="D1717" i="5"/>
  <c r="C1717" i="5" s="1"/>
  <c r="D1716" i="5"/>
  <c r="C1716" i="5" s="1"/>
  <c r="D1715" i="5"/>
  <c r="C1715" i="5" s="1"/>
  <c r="P1714" i="5"/>
  <c r="D1714" i="5"/>
  <c r="R1713" i="5"/>
  <c r="D1713" i="5"/>
  <c r="E1712" i="5"/>
  <c r="D1712" i="5" s="1"/>
  <c r="C1712" i="5" s="1"/>
  <c r="I1711" i="5"/>
  <c r="R1710" i="5"/>
  <c r="D1710" i="5"/>
  <c r="E1709" i="5"/>
  <c r="V1705" i="5"/>
  <c r="U1705" i="5"/>
  <c r="T1705" i="5"/>
  <c r="S1705" i="5"/>
  <c r="R1705" i="5"/>
  <c r="Q1705" i="5"/>
  <c r="P1705" i="5"/>
  <c r="O1705" i="5"/>
  <c r="N1705" i="5"/>
  <c r="M1705" i="5"/>
  <c r="L1705" i="5"/>
  <c r="K1705" i="5"/>
  <c r="J1705" i="5"/>
  <c r="I1705" i="5"/>
  <c r="H1705" i="5"/>
  <c r="G1705" i="5"/>
  <c r="F1705" i="5"/>
  <c r="E1705" i="5"/>
  <c r="W1704" i="5"/>
  <c r="D1704" i="5"/>
  <c r="W1703" i="5"/>
  <c r="D1703" i="5"/>
  <c r="W1702" i="5"/>
  <c r="D1702" i="5"/>
  <c r="W1701" i="5"/>
  <c r="D1701" i="5"/>
  <c r="W1700" i="5"/>
  <c r="D1700" i="5"/>
  <c r="W1699" i="5"/>
  <c r="D1699" i="5"/>
  <c r="W1698" i="5"/>
  <c r="D1698" i="5"/>
  <c r="W1697" i="5"/>
  <c r="D1697" i="5"/>
  <c r="W1696" i="5"/>
  <c r="D1696" i="5"/>
  <c r="W1695" i="5"/>
  <c r="D1695" i="5"/>
  <c r="D1692" i="5"/>
  <c r="D1691" i="5"/>
  <c r="W1689" i="5"/>
  <c r="V1688" i="5"/>
  <c r="F1688" i="5"/>
  <c r="D1688" i="5" s="1"/>
  <c r="V1690" i="5"/>
  <c r="F1690" i="5"/>
  <c r="D1690" i="5" s="1"/>
  <c r="V1686" i="5"/>
  <c r="D1686" i="5"/>
  <c r="V1685" i="5"/>
  <c r="F1685" i="5"/>
  <c r="D1685" i="5" s="1"/>
  <c r="V1684" i="5"/>
  <c r="F1684" i="5"/>
  <c r="V1683" i="5"/>
  <c r="D1683" i="5"/>
  <c r="V1681" i="5"/>
  <c r="U1681" i="5"/>
  <c r="T1681" i="5"/>
  <c r="S1681" i="5"/>
  <c r="R1681" i="5"/>
  <c r="Q1681" i="5"/>
  <c r="P1681" i="5"/>
  <c r="O1681" i="5"/>
  <c r="N1681" i="5"/>
  <c r="M1681" i="5"/>
  <c r="L1681" i="5"/>
  <c r="K1681" i="5"/>
  <c r="J1681" i="5"/>
  <c r="I1681" i="5"/>
  <c r="H1681" i="5"/>
  <c r="G1681" i="5"/>
  <c r="F1681" i="5"/>
  <c r="E1681" i="5"/>
  <c r="W1680" i="5"/>
  <c r="D1680" i="5"/>
  <c r="W1679" i="5"/>
  <c r="D1679" i="5"/>
  <c r="W1678" i="5"/>
  <c r="D1678" i="5"/>
  <c r="W1677" i="5"/>
  <c r="D1677" i="5"/>
  <c r="W1676" i="5"/>
  <c r="D1676" i="5"/>
  <c r="W1675" i="5"/>
  <c r="D1675" i="5"/>
  <c r="W1674" i="5"/>
  <c r="D1674" i="5"/>
  <c r="W1672" i="5"/>
  <c r="W1671" i="5"/>
  <c r="D1671" i="5"/>
  <c r="W1670" i="5"/>
  <c r="D1670" i="5"/>
  <c r="W1669" i="5"/>
  <c r="D1669" i="5"/>
  <c r="V1665" i="5"/>
  <c r="U1665" i="5"/>
  <c r="T1665" i="5"/>
  <c r="S1665" i="5"/>
  <c r="R1665" i="5"/>
  <c r="Q1665" i="5"/>
  <c r="P1665" i="5"/>
  <c r="O1665" i="5"/>
  <c r="N1665" i="5"/>
  <c r="M1665" i="5"/>
  <c r="L1665" i="5"/>
  <c r="K1665" i="5"/>
  <c r="J1665" i="5"/>
  <c r="I1665" i="5"/>
  <c r="H1665" i="5"/>
  <c r="G1665" i="5"/>
  <c r="F1665" i="5"/>
  <c r="E1665" i="5"/>
  <c r="W1664" i="5"/>
  <c r="D1664" i="5"/>
  <c r="W1663" i="5"/>
  <c r="D1663" i="5"/>
  <c r="W1662" i="5"/>
  <c r="D1662" i="5"/>
  <c r="W1661" i="5"/>
  <c r="D1661" i="5"/>
  <c r="N1966" i="2"/>
  <c r="J1966" i="2" s="1"/>
  <c r="V1659" i="5"/>
  <c r="U1659" i="5"/>
  <c r="T1659" i="5"/>
  <c r="S1659" i="5"/>
  <c r="R1659" i="5"/>
  <c r="Q1659" i="5"/>
  <c r="P1659" i="5"/>
  <c r="O1659" i="5"/>
  <c r="N1659" i="5"/>
  <c r="M1659" i="5"/>
  <c r="L1659" i="5"/>
  <c r="J1659" i="5"/>
  <c r="I1659" i="5"/>
  <c r="H1659" i="5"/>
  <c r="G1659" i="5"/>
  <c r="F1659" i="5"/>
  <c r="E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/>
  <c r="D1638" i="5"/>
  <c r="D1637" i="5"/>
  <c r="D1636" i="5"/>
  <c r="D1635" i="5"/>
  <c r="D1634" i="5"/>
  <c r="V1632" i="5"/>
  <c r="U1632" i="5"/>
  <c r="T1632" i="5"/>
  <c r="S1632" i="5"/>
  <c r="R1632" i="5"/>
  <c r="Q1632" i="5"/>
  <c r="P1632" i="5"/>
  <c r="O1632" i="5"/>
  <c r="N1632" i="5"/>
  <c r="M1632" i="5"/>
  <c r="L1632" i="5"/>
  <c r="K1632" i="5"/>
  <c r="J1632" i="5"/>
  <c r="I1632" i="5"/>
  <c r="H1632" i="5"/>
  <c r="G1632" i="5"/>
  <c r="F1632" i="5"/>
  <c r="E1632" i="5"/>
  <c r="V1622" i="5"/>
  <c r="U1622" i="5"/>
  <c r="T1622" i="5"/>
  <c r="S1622" i="5"/>
  <c r="R1622" i="5"/>
  <c r="Q1622" i="5"/>
  <c r="P1622" i="5"/>
  <c r="O1622" i="5"/>
  <c r="N1622" i="5"/>
  <c r="M1622" i="5"/>
  <c r="L1622" i="5"/>
  <c r="K1622" i="5"/>
  <c r="J1622" i="5"/>
  <c r="I1622" i="5"/>
  <c r="H1622" i="5"/>
  <c r="G1622" i="5"/>
  <c r="F1622" i="5"/>
  <c r="E1622" i="5"/>
  <c r="W1621" i="5"/>
  <c r="D1621" i="5"/>
  <c r="W1620" i="5"/>
  <c r="D1620" i="5"/>
  <c r="W1619" i="5"/>
  <c r="D1619" i="5"/>
  <c r="W1618" i="5"/>
  <c r="D1618" i="5"/>
  <c r="W1617" i="5"/>
  <c r="D1617" i="5"/>
  <c r="W1616" i="5"/>
  <c r="D1616" i="5"/>
  <c r="W1615" i="5"/>
  <c r="D1615" i="5"/>
  <c r="W1614" i="5"/>
  <c r="D1614" i="5"/>
  <c r="W1613" i="5"/>
  <c r="D1613" i="5"/>
  <c r="W1612" i="5"/>
  <c r="D1612" i="5"/>
  <c r="W1611" i="5"/>
  <c r="D1611" i="5"/>
  <c r="W1610" i="5"/>
  <c r="D1610" i="5"/>
  <c r="W1609" i="5"/>
  <c r="D1609" i="5"/>
  <c r="W1608" i="5"/>
  <c r="D1608" i="5"/>
  <c r="W1607" i="5"/>
  <c r="D1607" i="5"/>
  <c r="W1606" i="5"/>
  <c r="D1606" i="5"/>
  <c r="W1605" i="5"/>
  <c r="D1605" i="5"/>
  <c r="W1604" i="5"/>
  <c r="W1603" i="5"/>
  <c r="V1603" i="5"/>
  <c r="U1603" i="5"/>
  <c r="T1603" i="5"/>
  <c r="S1603" i="5"/>
  <c r="R1603" i="5"/>
  <c r="Q1603" i="5"/>
  <c r="P1603" i="5"/>
  <c r="O1603" i="5"/>
  <c r="N1603" i="5"/>
  <c r="M1603" i="5"/>
  <c r="L1603" i="5"/>
  <c r="K1603" i="5"/>
  <c r="J1603" i="5"/>
  <c r="I1603" i="5"/>
  <c r="H1603" i="5"/>
  <c r="G1603" i="5"/>
  <c r="F1603" i="5"/>
  <c r="E1603" i="5"/>
  <c r="D1602" i="5"/>
  <c r="W1600" i="5"/>
  <c r="V1600" i="5"/>
  <c r="U1600" i="5"/>
  <c r="T1600" i="5"/>
  <c r="S1600" i="5"/>
  <c r="R1600" i="5"/>
  <c r="Q1600" i="5"/>
  <c r="P1600" i="5"/>
  <c r="O1600" i="5"/>
  <c r="N1600" i="5"/>
  <c r="M1600" i="5"/>
  <c r="L1600" i="5"/>
  <c r="K1600" i="5"/>
  <c r="J1600" i="5"/>
  <c r="I1600" i="5"/>
  <c r="H1600" i="5"/>
  <c r="G1600" i="5"/>
  <c r="F1600" i="5"/>
  <c r="E1600" i="5"/>
  <c r="D1599" i="5"/>
  <c r="C1599" i="5" s="1"/>
  <c r="D1598" i="5"/>
  <c r="C1598" i="5" s="1"/>
  <c r="N1884" i="2" s="1"/>
  <c r="J1884" i="2" s="1"/>
  <c r="D1597" i="5"/>
  <c r="W1596" i="5"/>
  <c r="V1595" i="5"/>
  <c r="U1595" i="5"/>
  <c r="T1595" i="5"/>
  <c r="S1595" i="5"/>
  <c r="R1595" i="5"/>
  <c r="Q1595" i="5"/>
  <c r="P1595" i="5"/>
  <c r="O1595" i="5"/>
  <c r="N1595" i="5"/>
  <c r="M1595" i="5"/>
  <c r="L1595" i="5"/>
  <c r="K1595" i="5"/>
  <c r="J1595" i="5"/>
  <c r="I1595" i="5"/>
  <c r="H1595" i="5"/>
  <c r="G1595" i="5"/>
  <c r="F1595" i="5"/>
  <c r="E1595" i="5"/>
  <c r="W1594" i="5"/>
  <c r="W1595" i="5" s="1"/>
  <c r="D1594" i="5"/>
  <c r="D1595" i="5" s="1"/>
  <c r="W1593" i="5"/>
  <c r="V1592" i="5"/>
  <c r="U1592" i="5"/>
  <c r="T1592" i="5"/>
  <c r="S1592" i="5"/>
  <c r="R1592" i="5"/>
  <c r="Q1592" i="5"/>
  <c r="P1592" i="5"/>
  <c r="O1592" i="5"/>
  <c r="N1592" i="5"/>
  <c r="M1592" i="5"/>
  <c r="L1592" i="5"/>
  <c r="K1592" i="5"/>
  <c r="J1592" i="5"/>
  <c r="I1592" i="5"/>
  <c r="H1592" i="5"/>
  <c r="G1592" i="5"/>
  <c r="F1592" i="5"/>
  <c r="E1592" i="5"/>
  <c r="W1591" i="5"/>
  <c r="W1592" i="5" s="1"/>
  <c r="D1591" i="5"/>
  <c r="V1589" i="5"/>
  <c r="U1589" i="5"/>
  <c r="T1589" i="5"/>
  <c r="S1589" i="5"/>
  <c r="Q1589" i="5"/>
  <c r="P1589" i="5"/>
  <c r="O1589" i="5"/>
  <c r="N1589" i="5"/>
  <c r="M1589" i="5"/>
  <c r="L1589" i="5"/>
  <c r="K1589" i="5"/>
  <c r="J1589" i="5"/>
  <c r="I1589" i="5"/>
  <c r="H1589" i="5"/>
  <c r="G1589" i="5"/>
  <c r="F1589" i="5"/>
  <c r="E1589" i="5"/>
  <c r="D1588" i="5"/>
  <c r="W1587" i="5"/>
  <c r="R1587" i="5"/>
  <c r="R1589" i="5" s="1"/>
  <c r="D1587" i="5"/>
  <c r="W1586" i="5"/>
  <c r="D1586" i="5"/>
  <c r="W1585" i="5"/>
  <c r="D1585" i="5"/>
  <c r="W1584" i="5"/>
  <c r="D1584" i="5"/>
  <c r="X1583" i="5"/>
  <c r="W1583" i="5" s="1"/>
  <c r="D1583" i="5"/>
  <c r="W1581" i="5"/>
  <c r="V1581" i="5"/>
  <c r="U1581" i="5"/>
  <c r="T1581" i="5"/>
  <c r="S1581" i="5"/>
  <c r="R1581" i="5"/>
  <c r="Q1581" i="5"/>
  <c r="P1581" i="5"/>
  <c r="O1581" i="5"/>
  <c r="N1581" i="5"/>
  <c r="M1581" i="5"/>
  <c r="L1581" i="5"/>
  <c r="K1581" i="5"/>
  <c r="J1581" i="5"/>
  <c r="I1581" i="5"/>
  <c r="H1581" i="5"/>
  <c r="G1581" i="5"/>
  <c r="F1581" i="5"/>
  <c r="E1581" i="5"/>
  <c r="D1580" i="5"/>
  <c r="V1578" i="5"/>
  <c r="U1578" i="5"/>
  <c r="T1578" i="5"/>
  <c r="S1578" i="5"/>
  <c r="R1578" i="5"/>
  <c r="Q1578" i="5"/>
  <c r="P1578" i="5"/>
  <c r="O1578" i="5"/>
  <c r="N1578" i="5"/>
  <c r="M1578" i="5"/>
  <c r="L1578" i="5"/>
  <c r="K1578" i="5"/>
  <c r="J1578" i="5"/>
  <c r="I1578" i="5"/>
  <c r="H1578" i="5"/>
  <c r="G1578" i="5"/>
  <c r="F1578" i="5"/>
  <c r="E1578" i="5"/>
  <c r="W1577" i="5"/>
  <c r="W1578" i="5" s="1"/>
  <c r="D1577" i="5"/>
  <c r="D1576" i="5"/>
  <c r="C1576" i="5" s="1"/>
  <c r="V1574" i="5"/>
  <c r="T1574" i="5"/>
  <c r="S1574" i="5"/>
  <c r="R1574" i="5"/>
  <c r="Q1574" i="5"/>
  <c r="O1574" i="5"/>
  <c r="M1574" i="5"/>
  <c r="L1574" i="5"/>
  <c r="J1574" i="5"/>
  <c r="H1574" i="5"/>
  <c r="X1573" i="5"/>
  <c r="W1573" i="5" s="1"/>
  <c r="U1573" i="5"/>
  <c r="D1573" i="5"/>
  <c r="N1572" i="5"/>
  <c r="D1572" i="5"/>
  <c r="X1570" i="5"/>
  <c r="W1570" i="5" s="1"/>
  <c r="D1570" i="5"/>
  <c r="D1569" i="5"/>
  <c r="C1569" i="5" s="1"/>
  <c r="D1568" i="5"/>
  <c r="C1568" i="5" s="1"/>
  <c r="X1567" i="5"/>
  <c r="W1567" i="5" s="1"/>
  <c r="D1567" i="5"/>
  <c r="W1566" i="5"/>
  <c r="D1566" i="5"/>
  <c r="X1565" i="5"/>
  <c r="W1565" i="5" s="1"/>
  <c r="N1565" i="5"/>
  <c r="D1565" i="5"/>
  <c r="X1564" i="5"/>
  <c r="W1564" i="5" s="1"/>
  <c r="N1564" i="5"/>
  <c r="D1564" i="5"/>
  <c r="X1563" i="5"/>
  <c r="W1563" i="5" s="1"/>
  <c r="N1563" i="5"/>
  <c r="D1563" i="5"/>
  <c r="X1562" i="5"/>
  <c r="W1562" i="5" s="1"/>
  <c r="D1562" i="5"/>
  <c r="X1561" i="5"/>
  <c r="W1561" i="5" s="1"/>
  <c r="D1561" i="5"/>
  <c r="X1560" i="5"/>
  <c r="W1560" i="5" s="1"/>
  <c r="D1560" i="5"/>
  <c r="X1559" i="5"/>
  <c r="W1559" i="5" s="1"/>
  <c r="D1559" i="5"/>
  <c r="X1558" i="5"/>
  <c r="W1558" i="5" s="1"/>
  <c r="D1558" i="5"/>
  <c r="X1557" i="5"/>
  <c r="W1557" i="5" s="1"/>
  <c r="D1557" i="5"/>
  <c r="X1556" i="5"/>
  <c r="W1556" i="5" s="1"/>
  <c r="D1556" i="5"/>
  <c r="X1555" i="5"/>
  <c r="W1555" i="5" s="1"/>
  <c r="D1555" i="5"/>
  <c r="X1554" i="5"/>
  <c r="W1554" i="5" s="1"/>
  <c r="D1554" i="5"/>
  <c r="X1553" i="5"/>
  <c r="W1553" i="5" s="1"/>
  <c r="D1553" i="5"/>
  <c r="X1552" i="5"/>
  <c r="W1552" i="5" s="1"/>
  <c r="D1552" i="5"/>
  <c r="X1551" i="5"/>
  <c r="W1551" i="5" s="1"/>
  <c r="D1551" i="5"/>
  <c r="X1550" i="5"/>
  <c r="W1550" i="5" s="1"/>
  <c r="D1550" i="5"/>
  <c r="X1549" i="5"/>
  <c r="W1549" i="5" s="1"/>
  <c r="D1549" i="5"/>
  <c r="X1548" i="5"/>
  <c r="W1548" i="5" s="1"/>
  <c r="D1548" i="5"/>
  <c r="X1547" i="5"/>
  <c r="W1547" i="5" s="1"/>
  <c r="D1547" i="5"/>
  <c r="W1546" i="5"/>
  <c r="D1546" i="5"/>
  <c r="X1545" i="5"/>
  <c r="W1545" i="5" s="1"/>
  <c r="D1545" i="5"/>
  <c r="X1544" i="5"/>
  <c r="W1544" i="5" s="1"/>
  <c r="D1544" i="5"/>
  <c r="W1543" i="5"/>
  <c r="D1543" i="5"/>
  <c r="W1542" i="5"/>
  <c r="D1542" i="5"/>
  <c r="W1541" i="5"/>
  <c r="D1541" i="5"/>
  <c r="W1540" i="5"/>
  <c r="D1540" i="5"/>
  <c r="W1538" i="5"/>
  <c r="W1537" i="5"/>
  <c r="D1537" i="5"/>
  <c r="X1536" i="5"/>
  <c r="W1536" i="5" s="1"/>
  <c r="D1536" i="5"/>
  <c r="W1535" i="5"/>
  <c r="D1535" i="5"/>
  <c r="X1534" i="5"/>
  <c r="W1534" i="5" s="1"/>
  <c r="D1534" i="5"/>
  <c r="W1533" i="5"/>
  <c r="D1533" i="5"/>
  <c r="W1532" i="5"/>
  <c r="D1532" i="5"/>
  <c r="X1531" i="5"/>
  <c r="W1531" i="5" s="1"/>
  <c r="D1531" i="5"/>
  <c r="X1530" i="5"/>
  <c r="W1530" i="5" s="1"/>
  <c r="D1530" i="5"/>
  <c r="X1529" i="5"/>
  <c r="W1529" i="5" s="1"/>
  <c r="D1529" i="5"/>
  <c r="X1528" i="5"/>
  <c r="W1528" i="5" s="1"/>
  <c r="D1528" i="5"/>
  <c r="X1527" i="5"/>
  <c r="W1527" i="5" s="1"/>
  <c r="D1527" i="5"/>
  <c r="W1526" i="5"/>
  <c r="D1526" i="5"/>
  <c r="W1525" i="5"/>
  <c r="D1525" i="5"/>
  <c r="W1524" i="5"/>
  <c r="D1524" i="5"/>
  <c r="W1523" i="5"/>
  <c r="D1523" i="5"/>
  <c r="W1522" i="5"/>
  <c r="D1522" i="5"/>
  <c r="X1521" i="5"/>
  <c r="W1521" i="5" s="1"/>
  <c r="D1521" i="5"/>
  <c r="W1520" i="5"/>
  <c r="D1520" i="5"/>
  <c r="W1519" i="5"/>
  <c r="D1519" i="5"/>
  <c r="W1518" i="5"/>
  <c r="D1518" i="5"/>
  <c r="W1517" i="5"/>
  <c r="D1517" i="5"/>
  <c r="W1516" i="5"/>
  <c r="D1516" i="5"/>
  <c r="X1515" i="5"/>
  <c r="W1515" i="5" s="1"/>
  <c r="D1515" i="5"/>
  <c r="X1514" i="5"/>
  <c r="W1514" i="5" s="1"/>
  <c r="D1514" i="5"/>
  <c r="D1513" i="5"/>
  <c r="C1513" i="5" s="1"/>
  <c r="N1782" i="2" s="1"/>
  <c r="J1782" i="2" s="1"/>
  <c r="W1512" i="5"/>
  <c r="D1512" i="5"/>
  <c r="D1511" i="5"/>
  <c r="C1511" i="5" s="1"/>
  <c r="W1510" i="5"/>
  <c r="D1510" i="5"/>
  <c r="X1509" i="5"/>
  <c r="W1509" i="5" s="1"/>
  <c r="D1509" i="5"/>
  <c r="W1508" i="5"/>
  <c r="D1508" i="5"/>
  <c r="W1507" i="5"/>
  <c r="D1507" i="5"/>
  <c r="X1505" i="5"/>
  <c r="W1505" i="5" s="1"/>
  <c r="D1505" i="5"/>
  <c r="W1504" i="5"/>
  <c r="D1504" i="5"/>
  <c r="W1503" i="5"/>
  <c r="D1503" i="5"/>
  <c r="X1502" i="5"/>
  <c r="W1502" i="5" s="1"/>
  <c r="D1502" i="5"/>
  <c r="X1500" i="5"/>
  <c r="W1500" i="5" s="1"/>
  <c r="W1499" i="5"/>
  <c r="D1499" i="5"/>
  <c r="W1498" i="5"/>
  <c r="N1498" i="5"/>
  <c r="I1498" i="5"/>
  <c r="I1574" i="5" s="1"/>
  <c r="G1498" i="5"/>
  <c r="F1498" i="5"/>
  <c r="X1497" i="5"/>
  <c r="W1497" i="5" s="1"/>
  <c r="D1497" i="5"/>
  <c r="X1496" i="5"/>
  <c r="W1496" i="5" s="1"/>
  <c r="D1496" i="5"/>
  <c r="W1495" i="5"/>
  <c r="D1495" i="5"/>
  <c r="W1494" i="5"/>
  <c r="D1494" i="5"/>
  <c r="D1493" i="5"/>
  <c r="C1493" i="5" s="1"/>
  <c r="X1492" i="5"/>
  <c r="W1492" i="5" s="1"/>
  <c r="D1492" i="5"/>
  <c r="X1491" i="5"/>
  <c r="W1491" i="5" s="1"/>
  <c r="D1491" i="5"/>
  <c r="X1490" i="5"/>
  <c r="W1490" i="5" s="1"/>
  <c r="D1490" i="5"/>
  <c r="D1489" i="5"/>
  <c r="C1489" i="5" s="1"/>
  <c r="W1488" i="5"/>
  <c r="D1488" i="5"/>
  <c r="W1487" i="5"/>
  <c r="D1487" i="5"/>
  <c r="W1486" i="5"/>
  <c r="D1486" i="5"/>
  <c r="W1485" i="5"/>
  <c r="D1485" i="5"/>
  <c r="X1484" i="5"/>
  <c r="W1484" i="5" s="1"/>
  <c r="D1484" i="5"/>
  <c r="W1483" i="5"/>
  <c r="D1483" i="5"/>
  <c r="W1482" i="5"/>
  <c r="D1482" i="5"/>
  <c r="X1481" i="5"/>
  <c r="W1481" i="5" s="1"/>
  <c r="D1481" i="5"/>
  <c r="X1480" i="5"/>
  <c r="W1480" i="5" s="1"/>
  <c r="D1480" i="5"/>
  <c r="X1479" i="5"/>
  <c r="W1479" i="5" s="1"/>
  <c r="D1479" i="5"/>
  <c r="W1478" i="5"/>
  <c r="D1478" i="5"/>
  <c r="X1477" i="5"/>
  <c r="W1477" i="5" s="1"/>
  <c r="D1477" i="5"/>
  <c r="X1476" i="5"/>
  <c r="W1476" i="5" s="1"/>
  <c r="F1476" i="5"/>
  <c r="D1476" i="5" s="1"/>
  <c r="E1475" i="5"/>
  <c r="D1475" i="5" s="1"/>
  <c r="C1475" i="5" s="1"/>
  <c r="D1474" i="5"/>
  <c r="C1474" i="5" s="1"/>
  <c r="X1473" i="5"/>
  <c r="W1473" i="5" s="1"/>
  <c r="D1473" i="5"/>
  <c r="X1472" i="5"/>
  <c r="W1472" i="5" s="1"/>
  <c r="E1472" i="5"/>
  <c r="D1472" i="5" s="1"/>
  <c r="X1471" i="5"/>
  <c r="W1471" i="5" s="1"/>
  <c r="E1471" i="5"/>
  <c r="D1471" i="5" s="1"/>
  <c r="W1470" i="5"/>
  <c r="D1470" i="5"/>
  <c r="X1469" i="5"/>
  <c r="W1469" i="5" s="1"/>
  <c r="D1469" i="5"/>
  <c r="W1468" i="5"/>
  <c r="D1468" i="5"/>
  <c r="X1467" i="5"/>
  <c r="W1467" i="5" s="1"/>
  <c r="D1467" i="5"/>
  <c r="D1466" i="5"/>
  <c r="C1466" i="5" s="1"/>
  <c r="X1465" i="5"/>
  <c r="W1465" i="5" s="1"/>
  <c r="D1465" i="5"/>
  <c r="X1464" i="5"/>
  <c r="W1464" i="5" s="1"/>
  <c r="D1464" i="5"/>
  <c r="X1463" i="5"/>
  <c r="W1463" i="5" s="1"/>
  <c r="D1463" i="5"/>
  <c r="X1462" i="5"/>
  <c r="W1462" i="5" s="1"/>
  <c r="D1462" i="5"/>
  <c r="X1461" i="5"/>
  <c r="W1461" i="5" s="1"/>
  <c r="D1461" i="5"/>
  <c r="X1460" i="5"/>
  <c r="W1460" i="5" s="1"/>
  <c r="D1460" i="5"/>
  <c r="X1459" i="5"/>
  <c r="W1459" i="5" s="1"/>
  <c r="D1459" i="5"/>
  <c r="X1458" i="5"/>
  <c r="W1458" i="5" s="1"/>
  <c r="D1458" i="5"/>
  <c r="X1457" i="5"/>
  <c r="W1457" i="5" s="1"/>
  <c r="D1457" i="5"/>
  <c r="X1456" i="5"/>
  <c r="W1456" i="5" s="1"/>
  <c r="D1456" i="5"/>
  <c r="X1455" i="5"/>
  <c r="W1455" i="5" s="1"/>
  <c r="D1455" i="5"/>
  <c r="X1454" i="5"/>
  <c r="W1454" i="5" s="1"/>
  <c r="D1454" i="5"/>
  <c r="X1453" i="5"/>
  <c r="W1453" i="5" s="1"/>
  <c r="D1453" i="5"/>
  <c r="X1452" i="5"/>
  <c r="W1452" i="5" s="1"/>
  <c r="D1452" i="5"/>
  <c r="X1451" i="5"/>
  <c r="W1451" i="5" s="1"/>
  <c r="D1451" i="5"/>
  <c r="X1450" i="5"/>
  <c r="W1450" i="5" s="1"/>
  <c r="D1450" i="5"/>
  <c r="X1449" i="5"/>
  <c r="W1449" i="5" s="1"/>
  <c r="D1449" i="5"/>
  <c r="X1448" i="5"/>
  <c r="W1448" i="5" s="1"/>
  <c r="D1448" i="5"/>
  <c r="X1447" i="5"/>
  <c r="W1447" i="5" s="1"/>
  <c r="D1447" i="5"/>
  <c r="X1446" i="5"/>
  <c r="W1446" i="5" s="1"/>
  <c r="D1446" i="5"/>
  <c r="X1445" i="5"/>
  <c r="W1445" i="5" s="1"/>
  <c r="D1445" i="5"/>
  <c r="X1444" i="5"/>
  <c r="W1444" i="5" s="1"/>
  <c r="D1444" i="5"/>
  <c r="W1443" i="5"/>
  <c r="D1443" i="5"/>
  <c r="X1442" i="5"/>
  <c r="W1442" i="5" s="1"/>
  <c r="D1442" i="5"/>
  <c r="X1441" i="5"/>
  <c r="W1441" i="5" s="1"/>
  <c r="D1441" i="5"/>
  <c r="W1440" i="5"/>
  <c r="D1440" i="5"/>
  <c r="W1439" i="5"/>
  <c r="D1439" i="5"/>
  <c r="W1438" i="5"/>
  <c r="D1438" i="5"/>
  <c r="W1437" i="5"/>
  <c r="D1437" i="5"/>
  <c r="W1436" i="5"/>
  <c r="D1436" i="5"/>
  <c r="X1435" i="5"/>
  <c r="W1435" i="5" s="1"/>
  <c r="D1435" i="5"/>
  <c r="W1434" i="5"/>
  <c r="D1434" i="5"/>
  <c r="X1433" i="5"/>
  <c r="W1433" i="5" s="1"/>
  <c r="D1433" i="5"/>
  <c r="W1432" i="5"/>
  <c r="D1432" i="5"/>
  <c r="X1431" i="5"/>
  <c r="W1431" i="5" s="1"/>
  <c r="D1431" i="5"/>
  <c r="W1430" i="5"/>
  <c r="D1430" i="5"/>
  <c r="W1429" i="5"/>
  <c r="D1429" i="5"/>
  <c r="W1428" i="5"/>
  <c r="D1428" i="5"/>
  <c r="W1427" i="5"/>
  <c r="D1427" i="5"/>
  <c r="W1426" i="5"/>
  <c r="D1426" i="5"/>
  <c r="W1425" i="5"/>
  <c r="D1425" i="5"/>
  <c r="W1424" i="5"/>
  <c r="D1424" i="5"/>
  <c r="W1423" i="5"/>
  <c r="D1423" i="5"/>
  <c r="W1422" i="5"/>
  <c r="D1422" i="5"/>
  <c r="W1421" i="5"/>
  <c r="D1421" i="5"/>
  <c r="W1420" i="5"/>
  <c r="D1420" i="5"/>
  <c r="W1419" i="5"/>
  <c r="D1419" i="5"/>
  <c r="W1418" i="5"/>
  <c r="D1418" i="5"/>
  <c r="W1417" i="5"/>
  <c r="D1417" i="5"/>
  <c r="W1416" i="5"/>
  <c r="D1416" i="5"/>
  <c r="W1415" i="5"/>
  <c r="D1415" i="5"/>
  <c r="W1414" i="5"/>
  <c r="D1414" i="5"/>
  <c r="W1413" i="5"/>
  <c r="D1413" i="5"/>
  <c r="X1412" i="5"/>
  <c r="W1412" i="5" s="1"/>
  <c r="D1412" i="5"/>
  <c r="X1411" i="5"/>
  <c r="W1411" i="5" s="1"/>
  <c r="D1411" i="5"/>
  <c r="X1410" i="5"/>
  <c r="W1410" i="5" s="1"/>
  <c r="D1410" i="5"/>
  <c r="X1409" i="5"/>
  <c r="W1409" i="5" s="1"/>
  <c r="D1409" i="5"/>
  <c r="D1408" i="5"/>
  <c r="C1408" i="5" s="1"/>
  <c r="X1407" i="5"/>
  <c r="W1407" i="5" s="1"/>
  <c r="D1407" i="5"/>
  <c r="W1406" i="5"/>
  <c r="D1406" i="5"/>
  <c r="W1405" i="5"/>
  <c r="D1405" i="5"/>
  <c r="W1404" i="5"/>
  <c r="D1404" i="5"/>
  <c r="W1403" i="5"/>
  <c r="D1403" i="5"/>
  <c r="W1402" i="5"/>
  <c r="D1402" i="5"/>
  <c r="W1401" i="5"/>
  <c r="D1401" i="5"/>
  <c r="W1400" i="5"/>
  <c r="D1400" i="5"/>
  <c r="W1399" i="5"/>
  <c r="D1399" i="5"/>
  <c r="W1398" i="5"/>
  <c r="D1398" i="5"/>
  <c r="X1397" i="5"/>
  <c r="W1397" i="5" s="1"/>
  <c r="D1397" i="5"/>
  <c r="W1396" i="5"/>
  <c r="E1396" i="5"/>
  <c r="D1396" i="5" s="1"/>
  <c r="W1395" i="5"/>
  <c r="D1395" i="5"/>
  <c r="X1394" i="5"/>
  <c r="W1394" i="5" s="1"/>
  <c r="D1394" i="5"/>
  <c r="X1393" i="5"/>
  <c r="W1393" i="5" s="1"/>
  <c r="D1393" i="5"/>
  <c r="X1392" i="5"/>
  <c r="W1392" i="5" s="1"/>
  <c r="D1392" i="5"/>
  <c r="X1391" i="5"/>
  <c r="W1391" i="5" s="1"/>
  <c r="D1391" i="5"/>
  <c r="X1390" i="5"/>
  <c r="W1390" i="5" s="1"/>
  <c r="D1390" i="5"/>
  <c r="X1389" i="5"/>
  <c r="W1389" i="5" s="1"/>
  <c r="D1389" i="5"/>
  <c r="X1388" i="5"/>
  <c r="W1388" i="5" s="1"/>
  <c r="D1388" i="5"/>
  <c r="W1387" i="5"/>
  <c r="D1387" i="5"/>
  <c r="X1386" i="5"/>
  <c r="W1386" i="5" s="1"/>
  <c r="D1386" i="5"/>
  <c r="W1385" i="5"/>
  <c r="D1385" i="5"/>
  <c r="W1384" i="5"/>
  <c r="D1384" i="5"/>
  <c r="W1383" i="5"/>
  <c r="D1383" i="5"/>
  <c r="W1382" i="5"/>
  <c r="D1382" i="5"/>
  <c r="W1381" i="5"/>
  <c r="D1381" i="5"/>
  <c r="W1380" i="5"/>
  <c r="D1380" i="5"/>
  <c r="W1379" i="5"/>
  <c r="D1379" i="5"/>
  <c r="W1378" i="5"/>
  <c r="D1378" i="5"/>
  <c r="W1377" i="5"/>
  <c r="D1377" i="5"/>
  <c r="W1376" i="5"/>
  <c r="D1376" i="5"/>
  <c r="W1375" i="5"/>
  <c r="D1375" i="5"/>
  <c r="X1374" i="5"/>
  <c r="W1374" i="5" s="1"/>
  <c r="D1374" i="5"/>
  <c r="W1373" i="5"/>
  <c r="D1373" i="5"/>
  <c r="X1372" i="5"/>
  <c r="W1372" i="5" s="1"/>
  <c r="D1372" i="5"/>
  <c r="X1371" i="5"/>
  <c r="W1371" i="5" s="1"/>
  <c r="D1371" i="5"/>
  <c r="X1370" i="5"/>
  <c r="W1370" i="5" s="1"/>
  <c r="D1370" i="5"/>
  <c r="W1369" i="5"/>
  <c r="D1369" i="5"/>
  <c r="W1368" i="5"/>
  <c r="D1368" i="5"/>
  <c r="W1367" i="5"/>
  <c r="D1367" i="5"/>
  <c r="W1366" i="5"/>
  <c r="D1366" i="5"/>
  <c r="W1365" i="5"/>
  <c r="D1365" i="5"/>
  <c r="W1364" i="5"/>
  <c r="D1364" i="5"/>
  <c r="W1363" i="5"/>
  <c r="D1363" i="5"/>
  <c r="W1362" i="5"/>
  <c r="D1362" i="5"/>
  <c r="W1361" i="5"/>
  <c r="D1361" i="5"/>
  <c r="W1360" i="5"/>
  <c r="D1360" i="5"/>
  <c r="W1359" i="5"/>
  <c r="D1359" i="5"/>
  <c r="W1358" i="5"/>
  <c r="D1358" i="5"/>
  <c r="X1357" i="5"/>
  <c r="W1357" i="5" s="1"/>
  <c r="D1357" i="5"/>
  <c r="W1356" i="5"/>
  <c r="D1356" i="5"/>
  <c r="W1355" i="5"/>
  <c r="D1355" i="5"/>
  <c r="D1354" i="5"/>
  <c r="X1353" i="5"/>
  <c r="W1353" i="5" s="1"/>
  <c r="D1353" i="5"/>
  <c r="D1352" i="5"/>
  <c r="C1352" i="5" s="1"/>
  <c r="N1619" i="2" s="1"/>
  <c r="J1619" i="2" s="1"/>
  <c r="X1351" i="5"/>
  <c r="W1351" i="5" s="1"/>
  <c r="D1351" i="5"/>
  <c r="W1350" i="5"/>
  <c r="D1350" i="5"/>
  <c r="W1349" i="5"/>
  <c r="D1349" i="5"/>
  <c r="W1348" i="5"/>
  <c r="D1348" i="5"/>
  <c r="W1347" i="5"/>
  <c r="D1347" i="5"/>
  <c r="X1346" i="5"/>
  <c r="W1346" i="5" s="1"/>
  <c r="D1346" i="5"/>
  <c r="X1345" i="5"/>
  <c r="W1345" i="5" s="1"/>
  <c r="D1345" i="5"/>
  <c r="X1344" i="5"/>
  <c r="W1344" i="5" s="1"/>
  <c r="D1344" i="5"/>
  <c r="X1343" i="5"/>
  <c r="W1343" i="5" s="1"/>
  <c r="D1343" i="5"/>
  <c r="W1342" i="5"/>
  <c r="D1342" i="5"/>
  <c r="X1341" i="5"/>
  <c r="W1341" i="5" s="1"/>
  <c r="D1341" i="5"/>
  <c r="D1340" i="5"/>
  <c r="C1340" i="5" s="1"/>
  <c r="N1607" i="2" s="1"/>
  <c r="J1607" i="2" s="1"/>
  <c r="D1339" i="5"/>
  <c r="C1339" i="5" s="1"/>
  <c r="N1606" i="2" s="1"/>
  <c r="J1606" i="2" s="1"/>
  <c r="X1338" i="5"/>
  <c r="W1338" i="5" s="1"/>
  <c r="D1338" i="5"/>
  <c r="X1337" i="5"/>
  <c r="W1337" i="5" s="1"/>
  <c r="D1337" i="5"/>
  <c r="X1336" i="5"/>
  <c r="W1336" i="5" s="1"/>
  <c r="D1336" i="5"/>
  <c r="W1335" i="5"/>
  <c r="D1335" i="5"/>
  <c r="W1334" i="5"/>
  <c r="D1334" i="5"/>
  <c r="W1333" i="5"/>
  <c r="D1333" i="5"/>
  <c r="W1332" i="5"/>
  <c r="D1332" i="5"/>
  <c r="W1331" i="5"/>
  <c r="D1331" i="5"/>
  <c r="W1330" i="5"/>
  <c r="D1330" i="5"/>
  <c r="W1329" i="5"/>
  <c r="D1329" i="5"/>
  <c r="W1328" i="5"/>
  <c r="D1328" i="5"/>
  <c r="W1327" i="5"/>
  <c r="N1327" i="5"/>
  <c r="D1327" i="5"/>
  <c r="W1326" i="5"/>
  <c r="F1326" i="5"/>
  <c r="D1326" i="5" s="1"/>
  <c r="U1325" i="5"/>
  <c r="N1325" i="5"/>
  <c r="D1325" i="5"/>
  <c r="X1324" i="5"/>
  <c r="W1324" i="5" s="1"/>
  <c r="D1324" i="5"/>
  <c r="X1323" i="5"/>
  <c r="W1323" i="5" s="1"/>
  <c r="N1323" i="5"/>
  <c r="D1323" i="5"/>
  <c r="W1322" i="5"/>
  <c r="D1322" i="5"/>
  <c r="X1321" i="5"/>
  <c r="W1321" i="5" s="1"/>
  <c r="D1321" i="5"/>
  <c r="W1320" i="5"/>
  <c r="D1320" i="5"/>
  <c r="W1319" i="5"/>
  <c r="N1319" i="5"/>
  <c r="D1319" i="5"/>
  <c r="X1318" i="5"/>
  <c r="W1318" i="5" s="1"/>
  <c r="D1318" i="5"/>
  <c r="X1317" i="5"/>
  <c r="W1317" i="5" s="1"/>
  <c r="D1317" i="5"/>
  <c r="D1316" i="5"/>
  <c r="C1316" i="5" s="1"/>
  <c r="N1583" i="2" s="1"/>
  <c r="J1583" i="2" s="1"/>
  <c r="W1315" i="5"/>
  <c r="D1315" i="5"/>
  <c r="X1314" i="5"/>
  <c r="W1314" i="5" s="1"/>
  <c r="D1314" i="5"/>
  <c r="W1313" i="5"/>
  <c r="D1313" i="5"/>
  <c r="X1312" i="5"/>
  <c r="W1312" i="5" s="1"/>
  <c r="D1312" i="5"/>
  <c r="X1311" i="5"/>
  <c r="W1311" i="5" s="1"/>
  <c r="D1311" i="5"/>
  <c r="W1310" i="5"/>
  <c r="D1310" i="5"/>
  <c r="D1309" i="5"/>
  <c r="C1309" i="5" s="1"/>
  <c r="N1574" i="2" s="1"/>
  <c r="J1574" i="2" s="1"/>
  <c r="X1308" i="5"/>
  <c r="W1308" i="5" s="1"/>
  <c r="D1308" i="5"/>
  <c r="X1307" i="5"/>
  <c r="W1307" i="5" s="1"/>
  <c r="D1307" i="5"/>
  <c r="X1306" i="5"/>
  <c r="W1306" i="5" s="1"/>
  <c r="D1306" i="5"/>
  <c r="X1305" i="5"/>
  <c r="W1305" i="5" s="1"/>
  <c r="D1305" i="5"/>
  <c r="X1304" i="5"/>
  <c r="W1304" i="5" s="1"/>
  <c r="D1304" i="5"/>
  <c r="X1303" i="5"/>
  <c r="W1303" i="5" s="1"/>
  <c r="D1303" i="5"/>
  <c r="X1302" i="5"/>
  <c r="W1302" i="5" s="1"/>
  <c r="D1302" i="5"/>
  <c r="X1301" i="5"/>
  <c r="W1301" i="5" s="1"/>
  <c r="D1301" i="5"/>
  <c r="X1300" i="5"/>
  <c r="W1300" i="5" s="1"/>
  <c r="D1300" i="5"/>
  <c r="X1299" i="5"/>
  <c r="W1299" i="5" s="1"/>
  <c r="D1299" i="5"/>
  <c r="W1298" i="5"/>
  <c r="D1298" i="5"/>
  <c r="W1297" i="5"/>
  <c r="D1297" i="5"/>
  <c r="W1296" i="5"/>
  <c r="D1296" i="5"/>
  <c r="X1295" i="5"/>
  <c r="W1295" i="5" s="1"/>
  <c r="D1295" i="5"/>
  <c r="X1294" i="5"/>
  <c r="W1294" i="5" s="1"/>
  <c r="D1294" i="5"/>
  <c r="U1293" i="5"/>
  <c r="N1293" i="5"/>
  <c r="D1293" i="5"/>
  <c r="X1292" i="5"/>
  <c r="W1292" i="5" s="1"/>
  <c r="D1292" i="5"/>
  <c r="X1291" i="5"/>
  <c r="W1291" i="5" s="1"/>
  <c r="D1291" i="5"/>
  <c r="X1290" i="5"/>
  <c r="W1290" i="5" s="1"/>
  <c r="D1290" i="5"/>
  <c r="U1289" i="5"/>
  <c r="N1289" i="5"/>
  <c r="D1289" i="5"/>
  <c r="U1288" i="5"/>
  <c r="D1288" i="5"/>
  <c r="W1287" i="5"/>
  <c r="D1287" i="5"/>
  <c r="W1286" i="5"/>
  <c r="D1286" i="5"/>
  <c r="W1285" i="5"/>
  <c r="D1285" i="5"/>
  <c r="X1284" i="5"/>
  <c r="W1284" i="5" s="1"/>
  <c r="D1284" i="5"/>
  <c r="W1283" i="5"/>
  <c r="D1283" i="5"/>
  <c r="W1281" i="5"/>
  <c r="N1281" i="5"/>
  <c r="D1281" i="5"/>
  <c r="W1280" i="5"/>
  <c r="D1280" i="5"/>
  <c r="X1279" i="5"/>
  <c r="W1279" i="5" s="1"/>
  <c r="D1279" i="5"/>
  <c r="X1278" i="5"/>
  <c r="W1278" i="5" s="1"/>
  <c r="D1278" i="5"/>
  <c r="X1277" i="5"/>
  <c r="W1277" i="5" s="1"/>
  <c r="D1277" i="5"/>
  <c r="W1276" i="5"/>
  <c r="D1276" i="5"/>
  <c r="W1275" i="5"/>
  <c r="D1275" i="5"/>
  <c r="X1274" i="5"/>
  <c r="W1274" i="5" s="1"/>
  <c r="D1274" i="5"/>
  <c r="W1273" i="5"/>
  <c r="D1273" i="5"/>
  <c r="X1272" i="5"/>
  <c r="W1272" i="5" s="1"/>
  <c r="D1272" i="5"/>
  <c r="X1271" i="5"/>
  <c r="W1271" i="5" s="1"/>
  <c r="D1271" i="5"/>
  <c r="W1270" i="5"/>
  <c r="D1270" i="5"/>
  <c r="X1269" i="5"/>
  <c r="W1269" i="5" s="1"/>
  <c r="D1269" i="5"/>
  <c r="W1268" i="5"/>
  <c r="D1268" i="5"/>
  <c r="W1266" i="5"/>
  <c r="X1263" i="5"/>
  <c r="W1263" i="5" s="1"/>
  <c r="D1263" i="5"/>
  <c r="N1261" i="5"/>
  <c r="D1261" i="5"/>
  <c r="X1259" i="5"/>
  <c r="W1259" i="5" s="1"/>
  <c r="D1259" i="5"/>
  <c r="X1258" i="5"/>
  <c r="W1258" i="5" s="1"/>
  <c r="D1258" i="5"/>
  <c r="X1257" i="5"/>
  <c r="W1257" i="5" s="1"/>
  <c r="N1257" i="5"/>
  <c r="D1257" i="5"/>
  <c r="X1256" i="5"/>
  <c r="W1256" i="5" s="1"/>
  <c r="D1256" i="5"/>
  <c r="W1255" i="5"/>
  <c r="D1255" i="5"/>
  <c r="X1254" i="5"/>
  <c r="W1254" i="5" s="1"/>
  <c r="D1254" i="5"/>
  <c r="X1253" i="5"/>
  <c r="W1253" i="5" s="1"/>
  <c r="D1253" i="5"/>
  <c r="X1252" i="5"/>
  <c r="W1252" i="5" s="1"/>
  <c r="D1252" i="5"/>
  <c r="W1251" i="5"/>
  <c r="D1251" i="5"/>
  <c r="W1250" i="5"/>
  <c r="D1250" i="5"/>
  <c r="X1249" i="5"/>
  <c r="W1249" i="5" s="1"/>
  <c r="P1249" i="5"/>
  <c r="P1574" i="5" s="1"/>
  <c r="D1249" i="5"/>
  <c r="X1248" i="5"/>
  <c r="W1248" i="5" s="1"/>
  <c r="D1248" i="5"/>
  <c r="X1247" i="5"/>
  <c r="W1247" i="5" s="1"/>
  <c r="D1247" i="5"/>
  <c r="W1246" i="5"/>
  <c r="D1246" i="5"/>
  <c r="W1245" i="5"/>
  <c r="D1245" i="5"/>
  <c r="N1244" i="5"/>
  <c r="D1244" i="5"/>
  <c r="W1243" i="5"/>
  <c r="D1243" i="5"/>
  <c r="X1242" i="5"/>
  <c r="W1242" i="5" s="1"/>
  <c r="D1242" i="5"/>
  <c r="X1241" i="5"/>
  <c r="W1241" i="5" s="1"/>
  <c r="N1241" i="5"/>
  <c r="D1241" i="5"/>
  <c r="X1240" i="5"/>
  <c r="W1240" i="5" s="1"/>
  <c r="D1240" i="5"/>
  <c r="W1239" i="5"/>
  <c r="D1239" i="5"/>
  <c r="W1238" i="5"/>
  <c r="D1238" i="5"/>
  <c r="W1237" i="5"/>
  <c r="D1237" i="5"/>
  <c r="W1236" i="5"/>
  <c r="D1236" i="5"/>
  <c r="W1235" i="5"/>
  <c r="D1235" i="5"/>
  <c r="W1234" i="5"/>
  <c r="G1234" i="5"/>
  <c r="D1234" i="5" s="1"/>
  <c r="W1233" i="5"/>
  <c r="F1233" i="5"/>
  <c r="W1232" i="5"/>
  <c r="D1232" i="5"/>
  <c r="W1231" i="5"/>
  <c r="D1231" i="5"/>
  <c r="W1230" i="5"/>
  <c r="D1230" i="5"/>
  <c r="W1229" i="5"/>
  <c r="D1229" i="5"/>
  <c r="W1228" i="5"/>
  <c r="G1228" i="5"/>
  <c r="W1227" i="5"/>
  <c r="D1227" i="5"/>
  <c r="W1226" i="5"/>
  <c r="D1226" i="5"/>
  <c r="W1225" i="5"/>
  <c r="D1225" i="5"/>
  <c r="W1224" i="5"/>
  <c r="D1224" i="5"/>
  <c r="W1223" i="5"/>
  <c r="D1223" i="5"/>
  <c r="W1222" i="5"/>
  <c r="D1222" i="5"/>
  <c r="X1221" i="5"/>
  <c r="W1221" i="5" s="1"/>
  <c r="D1221" i="5"/>
  <c r="W1220" i="5"/>
  <c r="D1220" i="5"/>
  <c r="X1219" i="5"/>
  <c r="W1219" i="5" s="1"/>
  <c r="D1219" i="5"/>
  <c r="X1217" i="5"/>
  <c r="W1217" i="5" s="1"/>
  <c r="D1217" i="5"/>
  <c r="X1216" i="5"/>
  <c r="W1216" i="5" s="1"/>
  <c r="D1216" i="5"/>
  <c r="X1215" i="5"/>
  <c r="W1215" i="5" s="1"/>
  <c r="D1215" i="5"/>
  <c r="X1214" i="5"/>
  <c r="W1214" i="5" s="1"/>
  <c r="D1214" i="5"/>
  <c r="W1213" i="5"/>
  <c r="D1213" i="5"/>
  <c r="W1212" i="5"/>
  <c r="D1212" i="5"/>
  <c r="W1211" i="5"/>
  <c r="D1211" i="5"/>
  <c r="W1210" i="5"/>
  <c r="D1210" i="5"/>
  <c r="W1209" i="5"/>
  <c r="D1209" i="5"/>
  <c r="X1208" i="5"/>
  <c r="W1208" i="5" s="1"/>
  <c r="D1208" i="5"/>
  <c r="W1207" i="5"/>
  <c r="D1207" i="5"/>
  <c r="W1206" i="5"/>
  <c r="D1206" i="5"/>
  <c r="W1205" i="5"/>
  <c r="D1205" i="5"/>
  <c r="W1204" i="5"/>
  <c r="D1204" i="5"/>
  <c r="W1203" i="5"/>
  <c r="D1203" i="5"/>
  <c r="N1202" i="5"/>
  <c r="E1202" i="5"/>
  <c r="W1201" i="5"/>
  <c r="D1201" i="5"/>
  <c r="X1200" i="5"/>
  <c r="W1200" i="5" s="1"/>
  <c r="D1200" i="5"/>
  <c r="X1199" i="5"/>
  <c r="W1199" i="5" s="1"/>
  <c r="D1199" i="5"/>
  <c r="X1198" i="5"/>
  <c r="W1198" i="5" s="1"/>
  <c r="D1198" i="5"/>
  <c r="W1196" i="5"/>
  <c r="D1196" i="5"/>
  <c r="X1194" i="5"/>
  <c r="W1194" i="5" s="1"/>
  <c r="D1194" i="5"/>
  <c r="X1193" i="5"/>
  <c r="W1193" i="5" s="1"/>
  <c r="D1193" i="5"/>
  <c r="D1192" i="5"/>
  <c r="C1192" i="5" s="1"/>
  <c r="W1191" i="5"/>
  <c r="D1191" i="5"/>
  <c r="W1190" i="5"/>
  <c r="D1190" i="5"/>
  <c r="D1189" i="5"/>
  <c r="C1189" i="5" s="1"/>
  <c r="X1187" i="5"/>
  <c r="W1187" i="5" s="1"/>
  <c r="D1187" i="5"/>
  <c r="W1186" i="5"/>
  <c r="D1186" i="5"/>
  <c r="X1185" i="5"/>
  <c r="W1185" i="5" s="1"/>
  <c r="D1185" i="5"/>
  <c r="X1184" i="5"/>
  <c r="W1184" i="5" s="1"/>
  <c r="D1184" i="5"/>
  <c r="D1183" i="5"/>
  <c r="C1183" i="5" s="1"/>
  <c r="X1182" i="5"/>
  <c r="W1182" i="5" s="1"/>
  <c r="D1182" i="5"/>
  <c r="X1180" i="5"/>
  <c r="W1180" i="5" s="1"/>
  <c r="D1180" i="5"/>
  <c r="W1179" i="5"/>
  <c r="D1179" i="5"/>
  <c r="W1178" i="5"/>
  <c r="D1178" i="5"/>
  <c r="W1177" i="5"/>
  <c r="D1177" i="5"/>
  <c r="X1176" i="5"/>
  <c r="W1176" i="5" s="1"/>
  <c r="D1176" i="5"/>
  <c r="W1175" i="5"/>
  <c r="D1175" i="5"/>
  <c r="W1174" i="5"/>
  <c r="D1174" i="5"/>
  <c r="X1173" i="5"/>
  <c r="W1173" i="5" s="1"/>
  <c r="D1173" i="5"/>
  <c r="W1172" i="5"/>
  <c r="D1172" i="5"/>
  <c r="D1171" i="5"/>
  <c r="C1171" i="5" s="1"/>
  <c r="N1427" i="2" s="1"/>
  <c r="J1427" i="2" s="1"/>
  <c r="X1170" i="5"/>
  <c r="W1170" i="5" s="1"/>
  <c r="D1170" i="5"/>
  <c r="X1169" i="5"/>
  <c r="W1169" i="5" s="1"/>
  <c r="D1169" i="5"/>
  <c r="W1168" i="5"/>
  <c r="U1168" i="5"/>
  <c r="D1168" i="5"/>
  <c r="U1167" i="5"/>
  <c r="D1167" i="5"/>
  <c r="D1166" i="5"/>
  <c r="C1166" i="5" s="1"/>
  <c r="N1165" i="5"/>
  <c r="D1165" i="5"/>
  <c r="D1164" i="5"/>
  <c r="C1164" i="5" s="1"/>
  <c r="D1163" i="5"/>
  <c r="C1163" i="5" s="1"/>
  <c r="W1162" i="5"/>
  <c r="D1162" i="5"/>
  <c r="W1161" i="5"/>
  <c r="D1161" i="5"/>
  <c r="W1160" i="5"/>
  <c r="D1160" i="5"/>
  <c r="W1159" i="5"/>
  <c r="D1159" i="5"/>
  <c r="W1158" i="5"/>
  <c r="D1158" i="5"/>
  <c r="W1157" i="5"/>
  <c r="D1157" i="5"/>
  <c r="D1156" i="5"/>
  <c r="C1156" i="5" s="1"/>
  <c r="N1412" i="2" s="1"/>
  <c r="J1412" i="2" s="1"/>
  <c r="D1155" i="5"/>
  <c r="V1153" i="5"/>
  <c r="U1153" i="5"/>
  <c r="T1153" i="5"/>
  <c r="S1153" i="5"/>
  <c r="R1153" i="5"/>
  <c r="Q1153" i="5"/>
  <c r="P1153" i="5"/>
  <c r="O1153" i="5"/>
  <c r="N1153" i="5"/>
  <c r="M1153" i="5"/>
  <c r="L1153" i="5"/>
  <c r="K1153" i="5"/>
  <c r="J1153" i="5"/>
  <c r="I1153" i="5"/>
  <c r="H1153" i="5"/>
  <c r="G1153" i="5"/>
  <c r="F1153" i="5"/>
  <c r="E1153" i="5"/>
  <c r="W1152" i="5"/>
  <c r="D1152" i="5"/>
  <c r="W1151" i="5"/>
  <c r="D1151" i="5"/>
  <c r="W1150" i="5"/>
  <c r="D1150" i="5"/>
  <c r="W1149" i="5"/>
  <c r="D1149" i="5"/>
  <c r="W1148" i="5"/>
  <c r="D1148" i="5"/>
  <c r="W1147" i="5"/>
  <c r="D1147" i="5"/>
  <c r="W1146" i="5"/>
  <c r="D1146" i="5"/>
  <c r="W1145" i="5"/>
  <c r="D1145" i="5"/>
  <c r="W1144" i="5"/>
  <c r="D1144" i="5"/>
  <c r="W1143" i="5"/>
  <c r="D1143" i="5"/>
  <c r="W1142" i="5"/>
  <c r="D1142" i="5"/>
  <c r="W1141" i="5"/>
  <c r="D1141" i="5"/>
  <c r="W1140" i="5"/>
  <c r="D1140" i="5"/>
  <c r="W1139" i="5"/>
  <c r="D1139" i="5"/>
  <c r="W1138" i="5"/>
  <c r="D1138" i="5"/>
  <c r="W1137" i="5"/>
  <c r="D1137" i="5"/>
  <c r="W1136" i="5"/>
  <c r="D1136" i="5"/>
  <c r="W1135" i="5"/>
  <c r="D1135" i="5"/>
  <c r="W1134" i="5"/>
  <c r="D1134" i="5"/>
  <c r="W1133" i="5"/>
  <c r="D1133" i="5"/>
  <c r="W1132" i="5"/>
  <c r="D1132" i="5"/>
  <c r="W1131" i="5"/>
  <c r="D1131" i="5"/>
  <c r="W1130" i="5"/>
  <c r="D1130" i="5"/>
  <c r="W1129" i="5"/>
  <c r="D1129" i="5"/>
  <c r="W1128" i="5"/>
  <c r="D1128" i="5"/>
  <c r="W1127" i="5"/>
  <c r="V1126" i="5"/>
  <c r="U1126" i="5"/>
  <c r="T1126" i="5"/>
  <c r="S1126" i="5"/>
  <c r="R1126" i="5"/>
  <c r="Q1126" i="5"/>
  <c r="P1126" i="5"/>
  <c r="O1126" i="5"/>
  <c r="N1126" i="5"/>
  <c r="M1126" i="5"/>
  <c r="L1126" i="5"/>
  <c r="K1126" i="5"/>
  <c r="J1126" i="5"/>
  <c r="I1126" i="5"/>
  <c r="H1126" i="5"/>
  <c r="G1126" i="5"/>
  <c r="F1126" i="5"/>
  <c r="E1126" i="5"/>
  <c r="W1125" i="5"/>
  <c r="D1125" i="5"/>
  <c r="X1124" i="5"/>
  <c r="W1124" i="5" s="1"/>
  <c r="D1124" i="5"/>
  <c r="X1123" i="5"/>
  <c r="W1123" i="5" s="1"/>
  <c r="D1123" i="5"/>
  <c r="X1122" i="5"/>
  <c r="W1122" i="5" s="1"/>
  <c r="D1122" i="5"/>
  <c r="X1121" i="5"/>
  <c r="W1121" i="5" s="1"/>
  <c r="D1121" i="5"/>
  <c r="X1120" i="5"/>
  <c r="W1120" i="5" s="1"/>
  <c r="D1120" i="5"/>
  <c r="X1119" i="5"/>
  <c r="W1119" i="5" s="1"/>
  <c r="D1119" i="5"/>
  <c r="X1118" i="5"/>
  <c r="W1118" i="5" s="1"/>
  <c r="D1118" i="5"/>
  <c r="X1117" i="5"/>
  <c r="W1117" i="5" s="1"/>
  <c r="D1117" i="5"/>
  <c r="X1116" i="5"/>
  <c r="W1116" i="5" s="1"/>
  <c r="D1116" i="5"/>
  <c r="W1114" i="5"/>
  <c r="V1114" i="5"/>
  <c r="U1114" i="5"/>
  <c r="T1114" i="5"/>
  <c r="S1114" i="5"/>
  <c r="R1114" i="5"/>
  <c r="Q1114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D1113" i="5"/>
  <c r="V1111" i="5"/>
  <c r="T1111" i="5"/>
  <c r="S1111" i="5"/>
  <c r="R1111" i="5"/>
  <c r="Q1111" i="5"/>
  <c r="P1111" i="5"/>
  <c r="O1111" i="5"/>
  <c r="N1111" i="5"/>
  <c r="M1111" i="5"/>
  <c r="L1111" i="5"/>
  <c r="K1111" i="5"/>
  <c r="J1111" i="5"/>
  <c r="I1111" i="5"/>
  <c r="H1111" i="5"/>
  <c r="G1111" i="5"/>
  <c r="F1111" i="5"/>
  <c r="E1111" i="5"/>
  <c r="U1110" i="5"/>
  <c r="D1110" i="5"/>
  <c r="U1109" i="5"/>
  <c r="D1109" i="5"/>
  <c r="U1108" i="5"/>
  <c r="D1108" i="5"/>
  <c r="U1107" i="5"/>
  <c r="D1107" i="5"/>
  <c r="X1106" i="5"/>
  <c r="W1106" i="5" s="1"/>
  <c r="D1106" i="5"/>
  <c r="D1105" i="5"/>
  <c r="C1105" i="5" s="1"/>
  <c r="W1104" i="5"/>
  <c r="D1104" i="5"/>
  <c r="W1103" i="5"/>
  <c r="D1103" i="5"/>
  <c r="W1102" i="5"/>
  <c r="D1102" i="5"/>
  <c r="W1101" i="5"/>
  <c r="D1101" i="5"/>
  <c r="W1097" i="5"/>
  <c r="V1097" i="5"/>
  <c r="U1097" i="5"/>
  <c r="T1097" i="5"/>
  <c r="S1097" i="5"/>
  <c r="R1097" i="5"/>
  <c r="Q1097" i="5"/>
  <c r="P1097" i="5"/>
  <c r="O1097" i="5"/>
  <c r="N1097" i="5"/>
  <c r="M1097" i="5"/>
  <c r="L1097" i="5"/>
  <c r="K1097" i="5"/>
  <c r="J1097" i="5"/>
  <c r="I1097" i="5"/>
  <c r="H1097" i="5"/>
  <c r="G1097" i="5"/>
  <c r="F1097" i="5"/>
  <c r="E1097" i="5"/>
  <c r="D1096" i="5"/>
  <c r="C1096" i="5" s="1"/>
  <c r="D1095" i="5"/>
  <c r="C1095" i="5" s="1"/>
  <c r="W1093" i="5"/>
  <c r="V1093" i="5"/>
  <c r="U1093" i="5"/>
  <c r="T1093" i="5"/>
  <c r="S1093" i="5"/>
  <c r="R1093" i="5"/>
  <c r="Q1093" i="5"/>
  <c r="P1093" i="5"/>
  <c r="O1093" i="5"/>
  <c r="N1093" i="5"/>
  <c r="M1093" i="5"/>
  <c r="L1093" i="5"/>
  <c r="K1093" i="5"/>
  <c r="J1093" i="5"/>
  <c r="I1093" i="5"/>
  <c r="H1093" i="5"/>
  <c r="G1093" i="5"/>
  <c r="F1093" i="5"/>
  <c r="E1093" i="5"/>
  <c r="D1092" i="5"/>
  <c r="C1092" i="5" s="1"/>
  <c r="N1338" i="2" s="1"/>
  <c r="J1338" i="2" s="1"/>
  <c r="D1091" i="5"/>
  <c r="C1091" i="5" s="1"/>
  <c r="D1090" i="5"/>
  <c r="D1089" i="5"/>
  <c r="C1089" i="5" s="1"/>
  <c r="W1087" i="5"/>
  <c r="V1087" i="5"/>
  <c r="U1087" i="5"/>
  <c r="T1087" i="5"/>
  <c r="S1087" i="5"/>
  <c r="R1087" i="5"/>
  <c r="Q1087" i="5"/>
  <c r="P1087" i="5"/>
  <c r="O1087" i="5"/>
  <c r="N1087" i="5"/>
  <c r="M1087" i="5"/>
  <c r="L1087" i="5"/>
  <c r="K1087" i="5"/>
  <c r="J1087" i="5"/>
  <c r="I1087" i="5"/>
  <c r="H1087" i="5"/>
  <c r="G1087" i="5"/>
  <c r="F1087" i="5"/>
  <c r="E1087" i="5"/>
  <c r="D1086" i="5"/>
  <c r="C1086" i="5" s="1"/>
  <c r="N1318" i="2" s="1"/>
  <c r="J1318" i="2" s="1"/>
  <c r="D1085" i="5"/>
  <c r="C1085" i="5" s="1"/>
  <c r="D1084" i="5"/>
  <c r="C1084" i="5" s="1"/>
  <c r="D1083" i="5"/>
  <c r="C1083" i="5" s="1"/>
  <c r="D1082" i="5"/>
  <c r="C1082" i="5" s="1"/>
  <c r="D1081" i="5"/>
  <c r="C1081" i="5" s="1"/>
  <c r="D1080" i="5"/>
  <c r="C1080" i="5" s="1"/>
  <c r="N1262" i="2" s="1"/>
  <c r="V1078" i="5"/>
  <c r="U1078" i="5"/>
  <c r="T1078" i="5"/>
  <c r="S1078" i="5"/>
  <c r="R1078" i="5"/>
  <c r="Q1078" i="5"/>
  <c r="P1078" i="5"/>
  <c r="O1078" i="5"/>
  <c r="N1078" i="5"/>
  <c r="M1078" i="5"/>
  <c r="L1078" i="5"/>
  <c r="K1078" i="5"/>
  <c r="J1078" i="5"/>
  <c r="I1078" i="5"/>
  <c r="H1078" i="5"/>
  <c r="G1078" i="5"/>
  <c r="F1078" i="5"/>
  <c r="E1078" i="5"/>
  <c r="W1077" i="5"/>
  <c r="D1077" i="5"/>
  <c r="W1076" i="5"/>
  <c r="D1076" i="5"/>
  <c r="W1075" i="5"/>
  <c r="D1075" i="5"/>
  <c r="D1074" i="5"/>
  <c r="C1074" i="5" s="1"/>
  <c r="W1073" i="5"/>
  <c r="D1073" i="5"/>
  <c r="W1072" i="5"/>
  <c r="D1072" i="5"/>
  <c r="V1070" i="5"/>
  <c r="U1070" i="5"/>
  <c r="T1070" i="5"/>
  <c r="S1070" i="5"/>
  <c r="R1070" i="5"/>
  <c r="Q1070" i="5"/>
  <c r="P1070" i="5"/>
  <c r="O1070" i="5"/>
  <c r="N1070" i="5"/>
  <c r="M1070" i="5"/>
  <c r="L1070" i="5"/>
  <c r="K1070" i="5"/>
  <c r="J1070" i="5"/>
  <c r="I1070" i="5"/>
  <c r="H1070" i="5"/>
  <c r="G1070" i="5"/>
  <c r="F1070" i="5"/>
  <c r="E1070" i="5"/>
  <c r="W1069" i="5"/>
  <c r="D1069" i="5"/>
  <c r="W1068" i="5"/>
  <c r="D1068" i="5"/>
  <c r="W1067" i="5"/>
  <c r="D1067" i="5"/>
  <c r="W1066" i="5"/>
  <c r="D1066" i="5"/>
  <c r="W1065" i="5"/>
  <c r="D1065" i="5"/>
  <c r="W1064" i="5"/>
  <c r="D1064" i="5"/>
  <c r="W1063" i="5"/>
  <c r="D1063" i="5"/>
  <c r="W1062" i="5"/>
  <c r="D1062" i="5"/>
  <c r="W1061" i="5"/>
  <c r="D1061" i="5"/>
  <c r="W1060" i="5"/>
  <c r="D1060" i="5"/>
  <c r="W1059" i="5"/>
  <c r="D1059" i="5"/>
  <c r="W1058" i="5"/>
  <c r="D1058" i="5"/>
  <c r="W1057" i="5"/>
  <c r="D1057" i="5"/>
  <c r="W1056" i="5"/>
  <c r="D1056" i="5"/>
  <c r="W1055" i="5"/>
  <c r="D1055" i="5"/>
  <c r="W1054" i="5"/>
  <c r="D1054" i="5"/>
  <c r="W1053" i="5"/>
  <c r="D1053" i="5"/>
  <c r="W1052" i="5"/>
  <c r="D1052" i="5"/>
  <c r="W1051" i="5"/>
  <c r="D1051" i="5"/>
  <c r="W1050" i="5"/>
  <c r="D1050" i="5"/>
  <c r="W1049" i="5"/>
  <c r="D1049" i="5"/>
  <c r="W1048" i="5"/>
  <c r="D1048" i="5"/>
  <c r="W1047" i="5"/>
  <c r="D1047" i="5"/>
  <c r="W1046" i="5"/>
  <c r="D1046" i="5"/>
  <c r="W1045" i="5"/>
  <c r="D1045" i="5"/>
  <c r="W1044" i="5"/>
  <c r="D1044" i="5"/>
  <c r="W1043" i="5"/>
  <c r="D1043" i="5"/>
  <c r="W1042" i="5"/>
  <c r="D1042" i="5"/>
  <c r="W1041" i="5"/>
  <c r="D1041" i="5"/>
  <c r="W1040" i="5"/>
  <c r="D1040" i="5"/>
  <c r="W1039" i="5"/>
  <c r="D1039" i="5"/>
  <c r="W1038" i="5"/>
  <c r="D1038" i="5"/>
  <c r="W1037" i="5"/>
  <c r="D1037" i="5"/>
  <c r="W1036" i="5"/>
  <c r="D1036" i="5"/>
  <c r="W1035" i="5"/>
  <c r="D1035" i="5"/>
  <c r="W1034" i="5"/>
  <c r="D1034" i="5"/>
  <c r="W1033" i="5"/>
  <c r="D1033" i="5"/>
  <c r="W1032" i="5"/>
  <c r="D1032" i="5"/>
  <c r="W1031" i="5"/>
  <c r="D1031" i="5"/>
  <c r="W1030" i="5"/>
  <c r="D1030" i="5"/>
  <c r="W1028" i="5"/>
  <c r="D1028" i="5"/>
  <c r="W1027" i="5"/>
  <c r="D1027" i="5"/>
  <c r="W1026" i="5"/>
  <c r="D1026" i="5"/>
  <c r="W1025" i="5"/>
  <c r="D1025" i="5"/>
  <c r="W1024" i="5"/>
  <c r="D1024" i="5"/>
  <c r="W1023" i="5"/>
  <c r="D1023" i="5"/>
  <c r="W1022" i="5"/>
  <c r="D1022" i="5"/>
  <c r="W1021" i="5"/>
  <c r="D1021" i="5"/>
  <c r="W1020" i="5"/>
  <c r="D1020" i="5"/>
  <c r="W1019" i="5"/>
  <c r="D1019" i="5"/>
  <c r="W1018" i="5"/>
  <c r="D1018" i="5"/>
  <c r="W1017" i="5"/>
  <c r="D1017" i="5"/>
  <c r="W1016" i="5"/>
  <c r="D1016" i="5"/>
  <c r="W1015" i="5"/>
  <c r="D1015" i="5"/>
  <c r="W1014" i="5"/>
  <c r="D1014" i="5"/>
  <c r="W1013" i="5"/>
  <c r="D1013" i="5"/>
  <c r="W1012" i="5"/>
  <c r="D1012" i="5"/>
  <c r="W1011" i="5"/>
  <c r="D1011" i="5"/>
  <c r="W1010" i="5"/>
  <c r="D1010" i="5"/>
  <c r="W1009" i="5"/>
  <c r="D1009" i="5"/>
  <c r="W1008" i="5"/>
  <c r="D1008" i="5"/>
  <c r="W1007" i="5"/>
  <c r="D1007" i="5"/>
  <c r="W1006" i="5"/>
  <c r="D1006" i="5"/>
  <c r="W1005" i="5"/>
  <c r="D1005" i="5"/>
  <c r="W1004" i="5"/>
  <c r="D1004" i="5"/>
  <c r="W1003" i="5"/>
  <c r="D1003" i="5"/>
  <c r="W1002" i="5"/>
  <c r="D1002" i="5"/>
  <c r="W1001" i="5"/>
  <c r="D1001" i="5"/>
  <c r="W1000" i="5"/>
  <c r="D1000" i="5"/>
  <c r="W999" i="5"/>
  <c r="D999" i="5"/>
  <c r="W998" i="5"/>
  <c r="D998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W995" i="5"/>
  <c r="D995" i="5"/>
  <c r="W994" i="5"/>
  <c r="D994" i="5"/>
  <c r="W993" i="5"/>
  <c r="D993" i="5"/>
  <c r="W992" i="5"/>
  <c r="D992" i="5"/>
  <c r="W991" i="5"/>
  <c r="D991" i="5"/>
  <c r="W990" i="5"/>
  <c r="D990" i="5"/>
  <c r="W989" i="5"/>
  <c r="D989" i="5"/>
  <c r="W988" i="5"/>
  <c r="D988" i="5"/>
  <c r="D987" i="5"/>
  <c r="C987" i="5" s="1"/>
  <c r="N1161" i="2" s="1"/>
  <c r="J1161" i="2" s="1"/>
  <c r="D986" i="5"/>
  <c r="C986" i="5" s="1"/>
  <c r="N1160" i="2" s="1"/>
  <c r="J1160" i="2" s="1"/>
  <c r="D985" i="5"/>
  <c r="C985" i="5" s="1"/>
  <c r="N1159" i="2" s="1"/>
  <c r="J1159" i="2" s="1"/>
  <c r="W984" i="5"/>
  <c r="D984" i="5"/>
  <c r="W983" i="5"/>
  <c r="D983" i="5"/>
  <c r="W982" i="5"/>
  <c r="D982" i="5"/>
  <c r="W981" i="5"/>
  <c r="D981" i="5"/>
  <c r="W980" i="5"/>
  <c r="D980" i="5"/>
  <c r="W979" i="5"/>
  <c r="D979" i="5"/>
  <c r="W978" i="5"/>
  <c r="D978" i="5"/>
  <c r="W977" i="5"/>
  <c r="D977" i="5"/>
  <c r="W976" i="5"/>
  <c r="D976" i="5"/>
  <c r="W975" i="5"/>
  <c r="D975" i="5"/>
  <c r="W974" i="5"/>
  <c r="D974" i="5"/>
  <c r="W973" i="5"/>
  <c r="D973" i="5"/>
  <c r="D972" i="5"/>
  <c r="C972" i="5" s="1"/>
  <c r="N1144" i="2" s="1"/>
  <c r="D971" i="5"/>
  <c r="C971" i="5" s="1"/>
  <c r="W970" i="5"/>
  <c r="D970" i="5"/>
  <c r="W969" i="5"/>
  <c r="D969" i="5"/>
  <c r="V967" i="5"/>
  <c r="U967" i="5"/>
  <c r="T967" i="5"/>
  <c r="S967" i="5"/>
  <c r="R967" i="5"/>
  <c r="Q967" i="5"/>
  <c r="P967" i="5"/>
  <c r="O967" i="5"/>
  <c r="N967" i="5"/>
  <c r="M967" i="5"/>
  <c r="L967" i="5"/>
  <c r="K967" i="5"/>
  <c r="J967" i="5"/>
  <c r="I967" i="5"/>
  <c r="H967" i="5"/>
  <c r="G967" i="5"/>
  <c r="F967" i="5"/>
  <c r="E967" i="5"/>
  <c r="W966" i="5"/>
  <c r="D966" i="5"/>
  <c r="W965" i="5"/>
  <c r="D965" i="5"/>
  <c r="W964" i="5"/>
  <c r="D964" i="5"/>
  <c r="W963" i="5"/>
  <c r="D963" i="5"/>
  <c r="W962" i="5"/>
  <c r="D962" i="5"/>
  <c r="W961" i="5"/>
  <c r="D961" i="5"/>
  <c r="W960" i="5"/>
  <c r="D960" i="5"/>
  <c r="W959" i="5"/>
  <c r="D959" i="5"/>
  <c r="W958" i="5"/>
  <c r="D958" i="5"/>
  <c r="W957" i="5"/>
  <c r="D957" i="5"/>
  <c r="W956" i="5"/>
  <c r="D956" i="5"/>
  <c r="W955" i="5"/>
  <c r="D955" i="5"/>
  <c r="W954" i="5"/>
  <c r="D954" i="5"/>
  <c r="W953" i="5"/>
  <c r="D953" i="5"/>
  <c r="W952" i="5"/>
  <c r="D952" i="5"/>
  <c r="W951" i="5"/>
  <c r="D951" i="5"/>
  <c r="W950" i="5"/>
  <c r="D950" i="5"/>
  <c r="W949" i="5"/>
  <c r="D949" i="5"/>
  <c r="W948" i="5"/>
  <c r="D948" i="5"/>
  <c r="W947" i="5"/>
  <c r="D947" i="5"/>
  <c r="W946" i="5"/>
  <c r="D946" i="5"/>
  <c r="W943" i="5"/>
  <c r="D943" i="5"/>
  <c r="W942" i="5"/>
  <c r="D942" i="5"/>
  <c r="W941" i="5"/>
  <c r="D941" i="5"/>
  <c r="W940" i="5"/>
  <c r="D940" i="5"/>
  <c r="W939" i="5"/>
  <c r="D939" i="5"/>
  <c r="W937" i="5"/>
  <c r="D937" i="5"/>
  <c r="W936" i="5"/>
  <c r="D936" i="5"/>
  <c r="W935" i="5"/>
  <c r="D935" i="5"/>
  <c r="W934" i="5"/>
  <c r="D934" i="5"/>
  <c r="W933" i="5"/>
  <c r="D933" i="5"/>
  <c r="W932" i="5"/>
  <c r="D932" i="5"/>
  <c r="W931" i="5"/>
  <c r="D931" i="5"/>
  <c r="W929" i="5"/>
  <c r="D929" i="5"/>
  <c r="W927" i="5"/>
  <c r="D927" i="5"/>
  <c r="W924" i="5"/>
  <c r="D924" i="5"/>
  <c r="W923" i="5"/>
  <c r="D923" i="5"/>
  <c r="W922" i="5"/>
  <c r="D922" i="5"/>
  <c r="W921" i="5"/>
  <c r="D921" i="5"/>
  <c r="W920" i="5"/>
  <c r="D920" i="5"/>
  <c r="W919" i="5"/>
  <c r="D919" i="5"/>
  <c r="V917" i="5"/>
  <c r="U917" i="5"/>
  <c r="T917" i="5"/>
  <c r="S917" i="5"/>
  <c r="R917" i="5"/>
  <c r="Q917" i="5"/>
  <c r="P917" i="5"/>
  <c r="O917" i="5"/>
  <c r="N917" i="5"/>
  <c r="M917" i="5"/>
  <c r="J917" i="5"/>
  <c r="I917" i="5"/>
  <c r="H917" i="5"/>
  <c r="G917" i="5"/>
  <c r="F917" i="5"/>
  <c r="E917" i="5"/>
  <c r="D916" i="5"/>
  <c r="C916" i="5" s="1"/>
  <c r="N1082" i="2" s="1"/>
  <c r="J1082" i="2" s="1"/>
  <c r="D915" i="5"/>
  <c r="C915" i="5" s="1"/>
  <c r="N1081" i="2" s="1"/>
  <c r="J1081" i="2" s="1"/>
  <c r="W914" i="5"/>
  <c r="D914" i="5"/>
  <c r="W913" i="5"/>
  <c r="D913" i="5"/>
  <c r="W912" i="5"/>
  <c r="D912" i="5"/>
  <c r="W911" i="5"/>
  <c r="D911" i="5"/>
  <c r="W910" i="5"/>
  <c r="D910" i="5"/>
  <c r="D909" i="5"/>
  <c r="C909" i="5" s="1"/>
  <c r="N1075" i="2" s="1"/>
  <c r="J1075" i="2" s="1"/>
  <c r="W908" i="5"/>
  <c r="D908" i="5"/>
  <c r="W907" i="5"/>
  <c r="D907" i="5"/>
  <c r="W906" i="5"/>
  <c r="D906" i="5"/>
  <c r="W905" i="5"/>
  <c r="D905" i="5"/>
  <c r="W904" i="5"/>
  <c r="D904" i="5"/>
  <c r="W903" i="5"/>
  <c r="D903" i="5"/>
  <c r="W902" i="5"/>
  <c r="D902" i="5"/>
  <c r="W901" i="5"/>
  <c r="D901" i="5"/>
  <c r="W900" i="5"/>
  <c r="D900" i="5"/>
  <c r="W899" i="5"/>
  <c r="D899" i="5"/>
  <c r="W898" i="5"/>
  <c r="D898" i="5"/>
  <c r="W897" i="5"/>
  <c r="D897" i="5"/>
  <c r="D896" i="5"/>
  <c r="C896" i="5" s="1"/>
  <c r="N1062" i="2" s="1"/>
  <c r="J1062" i="2" s="1"/>
  <c r="W895" i="5"/>
  <c r="D895" i="5"/>
  <c r="W894" i="5"/>
  <c r="D894" i="5"/>
  <c r="W893" i="5"/>
  <c r="D893" i="5"/>
  <c r="W892" i="5"/>
  <c r="D892" i="5"/>
  <c r="W891" i="5"/>
  <c r="D891" i="5"/>
  <c r="W890" i="5"/>
  <c r="D890" i="5"/>
  <c r="D889" i="5"/>
  <c r="C889" i="5" s="1"/>
  <c r="N1055" i="2" s="1"/>
  <c r="J1055" i="2" s="1"/>
  <c r="W888" i="5"/>
  <c r="D888" i="5"/>
  <c r="W887" i="5"/>
  <c r="D887" i="5"/>
  <c r="W886" i="5"/>
  <c r="D886" i="5"/>
  <c r="D885" i="5"/>
  <c r="C885" i="5" s="1"/>
  <c r="N1051" i="2" s="1"/>
  <c r="J1051" i="2" s="1"/>
  <c r="W884" i="5"/>
  <c r="D884" i="5"/>
  <c r="W883" i="5"/>
  <c r="D883" i="5"/>
  <c r="D882" i="5"/>
  <c r="C882" i="5" s="1"/>
  <c r="N1048" i="2" s="1"/>
  <c r="J1048" i="2" s="1"/>
  <c r="W881" i="5"/>
  <c r="D881" i="5"/>
  <c r="W880" i="5"/>
  <c r="D880" i="5"/>
  <c r="W879" i="5"/>
  <c r="D879" i="5"/>
  <c r="W878" i="5"/>
  <c r="D878" i="5"/>
  <c r="D877" i="5"/>
  <c r="W876" i="5"/>
  <c r="D876" i="5"/>
  <c r="W875" i="5"/>
  <c r="D875" i="5"/>
  <c r="W874" i="5"/>
  <c r="D874" i="5"/>
  <c r="D873" i="5"/>
  <c r="C873" i="5" s="1"/>
  <c r="N1039" i="2" s="1"/>
  <c r="J1039" i="2" s="1"/>
  <c r="W872" i="5"/>
  <c r="D872" i="5"/>
  <c r="W871" i="5"/>
  <c r="D871" i="5"/>
  <c r="D870" i="5"/>
  <c r="C870" i="5" s="1"/>
  <c r="N1036" i="2" s="1"/>
  <c r="J1036" i="2" s="1"/>
  <c r="D869" i="5"/>
  <c r="C869" i="5" s="1"/>
  <c r="N1035" i="2" s="1"/>
  <c r="J1035" i="2" s="1"/>
  <c r="D868" i="5"/>
  <c r="C868" i="5" s="1"/>
  <c r="N1034" i="2" s="1"/>
  <c r="J1034" i="2" s="1"/>
  <c r="W867" i="5"/>
  <c r="D867" i="5"/>
  <c r="W866" i="5"/>
  <c r="D866" i="5"/>
  <c r="W865" i="5"/>
  <c r="D865" i="5"/>
  <c r="W864" i="5"/>
  <c r="D864" i="5"/>
  <c r="W863" i="5"/>
  <c r="D863" i="5"/>
  <c r="W862" i="5"/>
  <c r="D862" i="5"/>
  <c r="W861" i="5"/>
  <c r="D861" i="5"/>
  <c r="W860" i="5"/>
  <c r="D860" i="5"/>
  <c r="W859" i="5"/>
  <c r="D859" i="5"/>
  <c r="W858" i="5"/>
  <c r="D858" i="5"/>
  <c r="W857" i="5"/>
  <c r="D857" i="5"/>
  <c r="W856" i="5"/>
  <c r="D856" i="5"/>
  <c r="W855" i="5"/>
  <c r="D855" i="5"/>
  <c r="D854" i="5"/>
  <c r="C854" i="5" s="1"/>
  <c r="W853" i="5"/>
  <c r="D853" i="5"/>
  <c r="W852" i="5"/>
  <c r="D852" i="5"/>
  <c r="W851" i="5"/>
  <c r="D851" i="5"/>
  <c r="L917" i="5"/>
  <c r="K917" i="5"/>
  <c r="D850" i="5"/>
  <c r="W849" i="5"/>
  <c r="D849" i="5"/>
  <c r="D848" i="5"/>
  <c r="C848" i="5" s="1"/>
  <c r="N1014" i="2" s="1"/>
  <c r="J1014" i="2" s="1"/>
  <c r="D847" i="5"/>
  <c r="C847" i="5" s="1"/>
  <c r="N1013" i="2" s="1"/>
  <c r="J1013" i="2" s="1"/>
  <c r="W846" i="5"/>
  <c r="D846" i="5"/>
  <c r="W845" i="5"/>
  <c r="D845" i="5"/>
  <c r="D844" i="5"/>
  <c r="C844" i="5" s="1"/>
  <c r="N1010" i="2" s="1"/>
  <c r="J1010" i="2" s="1"/>
  <c r="D843" i="5"/>
  <c r="C843" i="5" s="1"/>
  <c r="N1009" i="2" s="1"/>
  <c r="J1009" i="2" s="1"/>
  <c r="W842" i="5"/>
  <c r="D842" i="5"/>
  <c r="W841" i="5"/>
  <c r="D841" i="5"/>
  <c r="W840" i="5"/>
  <c r="D840" i="5"/>
  <c r="W839" i="5"/>
  <c r="D839" i="5"/>
  <c r="W838" i="5"/>
  <c r="D838" i="5"/>
  <c r="W837" i="5"/>
  <c r="D837" i="5"/>
  <c r="W836" i="5"/>
  <c r="D836" i="5"/>
  <c r="W835" i="5"/>
  <c r="D835" i="5"/>
  <c r="W834" i="5"/>
  <c r="D834" i="5"/>
  <c r="W833" i="5"/>
  <c r="D833" i="5"/>
  <c r="W832" i="5"/>
  <c r="D832" i="5"/>
  <c r="W831" i="5"/>
  <c r="D831" i="5"/>
  <c r="W830" i="5"/>
  <c r="D830" i="5"/>
  <c r="W829" i="5"/>
  <c r="D829" i="5"/>
  <c r="W828" i="5"/>
  <c r="D828" i="5"/>
  <c r="W827" i="5"/>
  <c r="D827" i="5"/>
  <c r="W826" i="5"/>
  <c r="D826" i="5"/>
  <c r="D825" i="5"/>
  <c r="C825" i="5" s="1"/>
  <c r="N991" i="2" s="1"/>
  <c r="J991" i="2" s="1"/>
  <c r="D824" i="5"/>
  <c r="C824" i="5" s="1"/>
  <c r="N990" i="2" s="1"/>
  <c r="J990" i="2" s="1"/>
  <c r="W823" i="5"/>
  <c r="D823" i="5"/>
  <c r="W822" i="5"/>
  <c r="D822" i="5"/>
  <c r="W821" i="5"/>
  <c r="D821" i="5"/>
  <c r="D820" i="5"/>
  <c r="W819" i="5"/>
  <c r="D819" i="5"/>
  <c r="D818" i="5"/>
  <c r="C818" i="5" s="1"/>
  <c r="W817" i="5"/>
  <c r="D817" i="5"/>
  <c r="W816" i="5"/>
  <c r="D816" i="5"/>
  <c r="W815" i="5"/>
  <c r="D815" i="5"/>
  <c r="D814" i="5"/>
  <c r="C814" i="5" s="1"/>
  <c r="W813" i="5"/>
  <c r="D813" i="5"/>
  <c r="W812" i="5"/>
  <c r="D812" i="5"/>
  <c r="W811" i="5"/>
  <c r="D811" i="5"/>
  <c r="W810" i="5"/>
  <c r="D810" i="5"/>
  <c r="D809" i="5"/>
  <c r="C809" i="5" s="1"/>
  <c r="D808" i="5"/>
  <c r="C808" i="5" s="1"/>
  <c r="N974" i="2" s="1"/>
  <c r="J974" i="2" s="1"/>
  <c r="W807" i="5"/>
  <c r="D807" i="5"/>
  <c r="W806" i="5"/>
  <c r="D806" i="5"/>
  <c r="W805" i="5"/>
  <c r="D805" i="5"/>
  <c r="D804" i="5"/>
  <c r="C804" i="5" s="1"/>
  <c r="N970" i="2" s="1"/>
  <c r="J970" i="2" s="1"/>
  <c r="W803" i="5"/>
  <c r="D803" i="5"/>
  <c r="W802" i="5"/>
  <c r="D802" i="5"/>
  <c r="W801" i="5"/>
  <c r="D801" i="5"/>
  <c r="W800" i="5"/>
  <c r="D800" i="5"/>
  <c r="W799" i="5"/>
  <c r="D799" i="5"/>
  <c r="W798" i="5"/>
  <c r="D798" i="5"/>
  <c r="D797" i="5"/>
  <c r="C797" i="5" s="1"/>
  <c r="N963" i="2" s="1"/>
  <c r="J963" i="2" s="1"/>
  <c r="W796" i="5"/>
  <c r="D796" i="5"/>
  <c r="W795" i="5"/>
  <c r="D795" i="5"/>
  <c r="W794" i="5"/>
  <c r="D794" i="5"/>
  <c r="W793" i="5"/>
  <c r="D793" i="5"/>
  <c r="W792" i="5"/>
  <c r="D792" i="5"/>
  <c r="W791" i="5"/>
  <c r="D791" i="5"/>
  <c r="W790" i="5"/>
  <c r="D790" i="5"/>
  <c r="W789" i="5"/>
  <c r="D789" i="5"/>
  <c r="W788" i="5"/>
  <c r="D788" i="5"/>
  <c r="W787" i="5"/>
  <c r="D787" i="5"/>
  <c r="W786" i="5"/>
  <c r="D786" i="5"/>
  <c r="W785" i="5"/>
  <c r="D785" i="5"/>
  <c r="W784" i="5"/>
  <c r="D784" i="5"/>
  <c r="W783" i="5"/>
  <c r="D783" i="5"/>
  <c r="W782" i="5"/>
  <c r="D782" i="5"/>
  <c r="W781" i="5"/>
  <c r="D781" i="5"/>
  <c r="W780" i="5"/>
  <c r="D780" i="5"/>
  <c r="W779" i="5"/>
  <c r="D779" i="5"/>
  <c r="W778" i="5"/>
  <c r="D778" i="5"/>
  <c r="W777" i="5"/>
  <c r="D777" i="5"/>
  <c r="W776" i="5"/>
  <c r="D776" i="5"/>
  <c r="W775" i="5"/>
  <c r="D775" i="5"/>
  <c r="W774" i="5"/>
  <c r="D774" i="5"/>
  <c r="W773" i="5"/>
  <c r="D773" i="5"/>
  <c r="W772" i="5"/>
  <c r="D772" i="5"/>
  <c r="W771" i="5"/>
  <c r="D771" i="5"/>
  <c r="W770" i="5"/>
  <c r="D770" i="5"/>
  <c r="W769" i="5"/>
  <c r="D769" i="5"/>
  <c r="W768" i="5"/>
  <c r="D768" i="5"/>
  <c r="W767" i="5"/>
  <c r="D767" i="5"/>
  <c r="W766" i="5"/>
  <c r="D766" i="5"/>
  <c r="W765" i="5"/>
  <c r="D765" i="5"/>
  <c r="D764" i="5"/>
  <c r="C764" i="5" s="1"/>
  <c r="N930" i="2" s="1"/>
  <c r="J930" i="2" s="1"/>
  <c r="D763" i="5"/>
  <c r="C763" i="5" s="1"/>
  <c r="N929" i="2" s="1"/>
  <c r="J929" i="2" s="1"/>
  <c r="W762" i="5"/>
  <c r="D762" i="5"/>
  <c r="W761" i="5"/>
  <c r="D761" i="5"/>
  <c r="W760" i="5"/>
  <c r="D760" i="5"/>
  <c r="W759" i="5"/>
  <c r="D759" i="5"/>
  <c r="W758" i="5"/>
  <c r="D758" i="5"/>
  <c r="W757" i="5"/>
  <c r="D757" i="5"/>
  <c r="W756" i="5"/>
  <c r="D756" i="5"/>
  <c r="W755" i="5"/>
  <c r="D755" i="5"/>
  <c r="D754" i="5"/>
  <c r="C754" i="5" s="1"/>
  <c r="N920" i="2" s="1"/>
  <c r="J920" i="2" s="1"/>
  <c r="W753" i="5"/>
  <c r="D753" i="5"/>
  <c r="W752" i="5"/>
  <c r="D752" i="5"/>
  <c r="W751" i="5"/>
  <c r="D751" i="5"/>
  <c r="W750" i="5"/>
  <c r="D750" i="5"/>
  <c r="W749" i="5"/>
  <c r="D749" i="5"/>
  <c r="W748" i="5"/>
  <c r="D748" i="5"/>
  <c r="W747" i="5"/>
  <c r="D747" i="5"/>
  <c r="W746" i="5"/>
  <c r="D746" i="5"/>
  <c r="W745" i="5"/>
  <c r="D745" i="5"/>
  <c r="W744" i="5"/>
  <c r="D744" i="5"/>
  <c r="D743" i="5"/>
  <c r="C743" i="5" s="1"/>
  <c r="N909" i="2" s="1"/>
  <c r="J909" i="2" s="1"/>
  <c r="D742" i="5"/>
  <c r="C742" i="5" s="1"/>
  <c r="N908" i="2" s="1"/>
  <c r="J908" i="2" s="1"/>
  <c r="W741" i="5"/>
  <c r="D741" i="5"/>
  <c r="W740" i="5"/>
  <c r="D740" i="5"/>
  <c r="W739" i="5"/>
  <c r="D739" i="5"/>
  <c r="W738" i="5"/>
  <c r="D738" i="5"/>
  <c r="W737" i="5"/>
  <c r="D737" i="5"/>
  <c r="W736" i="5"/>
  <c r="D736" i="5"/>
  <c r="W735" i="5"/>
  <c r="D735" i="5"/>
  <c r="W734" i="5"/>
  <c r="D734" i="5"/>
  <c r="W733" i="5"/>
  <c r="D733" i="5"/>
  <c r="W732" i="5"/>
  <c r="D732" i="5"/>
  <c r="W731" i="5"/>
  <c r="D731" i="5"/>
  <c r="D730" i="5"/>
  <c r="C730" i="5" s="1"/>
  <c r="N896" i="2" s="1"/>
  <c r="J896" i="2" s="1"/>
  <c r="W729" i="5"/>
  <c r="D729" i="5"/>
  <c r="W728" i="5"/>
  <c r="D728" i="5"/>
  <c r="D727" i="5"/>
  <c r="C727" i="5" s="1"/>
  <c r="N893" i="2" s="1"/>
  <c r="J893" i="2" s="1"/>
  <c r="D726" i="5"/>
  <c r="C726" i="5" s="1"/>
  <c r="N892" i="2" s="1"/>
  <c r="J892" i="2" s="1"/>
  <c r="D725" i="5"/>
  <c r="C725" i="5" s="1"/>
  <c r="N891" i="2" s="1"/>
  <c r="J891" i="2" s="1"/>
  <c r="W724" i="5"/>
  <c r="D724" i="5"/>
  <c r="W723" i="5"/>
  <c r="D723" i="5"/>
  <c r="W722" i="5"/>
  <c r="D722" i="5"/>
  <c r="D721" i="5"/>
  <c r="C721" i="5" s="1"/>
  <c r="N887" i="2" s="1"/>
  <c r="J887" i="2" s="1"/>
  <c r="W720" i="5"/>
  <c r="D720" i="5"/>
  <c r="W719" i="5"/>
  <c r="D719" i="5"/>
  <c r="W718" i="5"/>
  <c r="D718" i="5"/>
  <c r="W717" i="5"/>
  <c r="D717" i="5"/>
  <c r="W716" i="5"/>
  <c r="D716" i="5"/>
  <c r="W715" i="5"/>
  <c r="D715" i="5"/>
  <c r="W714" i="5"/>
  <c r="D714" i="5"/>
  <c r="W713" i="5"/>
  <c r="D713" i="5"/>
  <c r="W712" i="5"/>
  <c r="D712" i="5"/>
  <c r="W711" i="5"/>
  <c r="D711" i="5"/>
  <c r="W710" i="5"/>
  <c r="D710" i="5"/>
  <c r="W709" i="5"/>
  <c r="D709" i="5"/>
  <c r="W708" i="5"/>
  <c r="D708" i="5"/>
  <c r="W707" i="5"/>
  <c r="D707" i="5"/>
  <c r="W706" i="5"/>
  <c r="D706" i="5"/>
  <c r="W705" i="5"/>
  <c r="D705" i="5"/>
  <c r="W704" i="5"/>
  <c r="D704" i="5"/>
  <c r="W703" i="5"/>
  <c r="D703" i="5"/>
  <c r="W702" i="5"/>
  <c r="D702" i="5"/>
  <c r="W701" i="5"/>
  <c r="D701" i="5"/>
  <c r="W700" i="5"/>
  <c r="D700" i="5"/>
  <c r="W699" i="5"/>
  <c r="D699" i="5"/>
  <c r="W698" i="5"/>
  <c r="D698" i="5"/>
  <c r="W697" i="5"/>
  <c r="D697" i="5"/>
  <c r="W696" i="5"/>
  <c r="D696" i="5"/>
  <c r="W695" i="5"/>
  <c r="D695" i="5"/>
  <c r="W694" i="5"/>
  <c r="D694" i="5"/>
  <c r="W693" i="5"/>
  <c r="D693" i="5"/>
  <c r="W692" i="5"/>
  <c r="D692" i="5"/>
  <c r="W691" i="5"/>
  <c r="D691" i="5"/>
  <c r="W690" i="5"/>
  <c r="D690" i="5"/>
  <c r="W689" i="5"/>
  <c r="D689" i="5"/>
  <c r="W688" i="5"/>
  <c r="D688" i="5"/>
  <c r="W687" i="5"/>
  <c r="D687" i="5"/>
  <c r="W686" i="5"/>
  <c r="D686" i="5"/>
  <c r="W685" i="5"/>
  <c r="D685" i="5"/>
  <c r="W684" i="5"/>
  <c r="D684" i="5"/>
  <c r="W683" i="5"/>
  <c r="D683" i="5"/>
  <c r="W682" i="5"/>
  <c r="D682" i="5"/>
  <c r="W681" i="5"/>
  <c r="D681" i="5"/>
  <c r="W680" i="5"/>
  <c r="D680" i="5"/>
  <c r="W679" i="5"/>
  <c r="D679" i="5"/>
  <c r="D678" i="5"/>
  <c r="C678" i="5" s="1"/>
  <c r="N844" i="2" s="1"/>
  <c r="J844" i="2" s="1"/>
  <c r="W677" i="5"/>
  <c r="D677" i="5"/>
  <c r="W676" i="5"/>
  <c r="D676" i="5"/>
  <c r="W675" i="5"/>
  <c r="D675" i="5"/>
  <c r="W674" i="5"/>
  <c r="D674" i="5"/>
  <c r="W673" i="5"/>
  <c r="D673" i="5"/>
  <c r="W672" i="5"/>
  <c r="D672" i="5"/>
  <c r="W671" i="5"/>
  <c r="D671" i="5"/>
  <c r="W670" i="5"/>
  <c r="D670" i="5"/>
  <c r="W669" i="5"/>
  <c r="D669" i="5"/>
  <c r="W668" i="5"/>
  <c r="D668" i="5"/>
  <c r="W667" i="5"/>
  <c r="D667" i="5"/>
  <c r="W666" i="5"/>
  <c r="D666" i="5"/>
  <c r="W665" i="5"/>
  <c r="D665" i="5"/>
  <c r="W664" i="5"/>
  <c r="D664" i="5"/>
  <c r="W663" i="5"/>
  <c r="D663" i="5"/>
  <c r="W662" i="5"/>
  <c r="D662" i="5"/>
  <c r="W661" i="5"/>
  <c r="D661" i="5"/>
  <c r="W660" i="5"/>
  <c r="D660" i="5"/>
  <c r="W659" i="5"/>
  <c r="D659" i="5"/>
  <c r="W658" i="5"/>
  <c r="D658" i="5"/>
  <c r="W657" i="5"/>
  <c r="D657" i="5"/>
  <c r="D656" i="5"/>
  <c r="C656" i="5" s="1"/>
  <c r="N821" i="2" s="1"/>
  <c r="J821" i="2" s="1"/>
  <c r="W655" i="5"/>
  <c r="D655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W652" i="5"/>
  <c r="D652" i="5"/>
  <c r="W651" i="5"/>
  <c r="D651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W646" i="5"/>
  <c r="D646" i="5"/>
  <c r="W645" i="5"/>
  <c r="D645" i="5"/>
  <c r="W644" i="5"/>
  <c r="D644" i="5"/>
  <c r="W643" i="5"/>
  <c r="D643" i="5"/>
  <c r="W642" i="5"/>
  <c r="D642" i="5"/>
  <c r="W641" i="5"/>
  <c r="D641" i="5"/>
  <c r="W640" i="5"/>
  <c r="D640" i="5"/>
  <c r="W639" i="5"/>
  <c r="D639" i="5"/>
  <c r="W638" i="5"/>
  <c r="D638" i="5"/>
  <c r="W637" i="5"/>
  <c r="D637" i="5"/>
  <c r="W636" i="5"/>
  <c r="D636" i="5"/>
  <c r="W635" i="5"/>
  <c r="D635" i="5"/>
  <c r="D634" i="5"/>
  <c r="C634" i="5" s="1"/>
  <c r="W633" i="5"/>
  <c r="D633" i="5"/>
  <c r="W632" i="5"/>
  <c r="D632" i="5"/>
  <c r="W631" i="5"/>
  <c r="D631" i="5"/>
  <c r="W630" i="5"/>
  <c r="D630" i="5"/>
  <c r="W629" i="5"/>
  <c r="D629" i="5"/>
  <c r="W628" i="5"/>
  <c r="D628" i="5"/>
  <c r="W627" i="5"/>
  <c r="D627" i="5"/>
  <c r="W626" i="5"/>
  <c r="D626" i="5"/>
  <c r="W625" i="5"/>
  <c r="D625" i="5"/>
  <c r="W624" i="5"/>
  <c r="D624" i="5"/>
  <c r="W623" i="5"/>
  <c r="D623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D620" i="5"/>
  <c r="C620" i="5" s="1"/>
  <c r="D619" i="5"/>
  <c r="C619" i="5" s="1"/>
  <c r="D618" i="5"/>
  <c r="C618" i="5" s="1"/>
  <c r="D617" i="5"/>
  <c r="C617" i="5" s="1"/>
  <c r="D616" i="5"/>
  <c r="W614" i="5"/>
  <c r="V614" i="5"/>
  <c r="U614" i="5"/>
  <c r="T614" i="5"/>
  <c r="S614" i="5"/>
  <c r="R614" i="5"/>
  <c r="Q614" i="5"/>
  <c r="P614" i="5"/>
  <c r="O614" i="5"/>
  <c r="N614" i="5"/>
  <c r="L614" i="5"/>
  <c r="K614" i="5"/>
  <c r="J614" i="5"/>
  <c r="I614" i="5"/>
  <c r="H614" i="5"/>
  <c r="G614" i="5"/>
  <c r="F614" i="5"/>
  <c r="E614" i="5"/>
  <c r="M613" i="5"/>
  <c r="M614" i="5" s="1"/>
  <c r="D613" i="5"/>
  <c r="D614" i="5" s="1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W610" i="5"/>
  <c r="D610" i="5"/>
  <c r="W609" i="5"/>
  <c r="D609" i="5"/>
  <c r="W608" i="5"/>
  <c r="D608" i="5"/>
  <c r="W607" i="5"/>
  <c r="D607" i="5"/>
  <c r="W606" i="5"/>
  <c r="D606" i="5"/>
  <c r="W605" i="5"/>
  <c r="D605" i="5"/>
  <c r="W604" i="5"/>
  <c r="D604" i="5"/>
  <c r="W603" i="5"/>
  <c r="D603" i="5"/>
  <c r="W602" i="5"/>
  <c r="D602" i="5"/>
  <c r="W601" i="5"/>
  <c r="D601" i="5"/>
  <c r="W600" i="5"/>
  <c r="D600" i="5"/>
  <c r="W599" i="5"/>
  <c r="D599" i="5"/>
  <c r="W598" i="5"/>
  <c r="D598" i="5"/>
  <c r="W597" i="5"/>
  <c r="D597" i="5"/>
  <c r="W596" i="5"/>
  <c r="D596" i="5"/>
  <c r="W595" i="5"/>
  <c r="D595" i="5"/>
  <c r="W594" i="5"/>
  <c r="D594" i="5"/>
  <c r="W593" i="5"/>
  <c r="D593" i="5"/>
  <c r="W592" i="5"/>
  <c r="D592" i="5"/>
  <c r="W591" i="5"/>
  <c r="D591" i="5"/>
  <c r="W590" i="5"/>
  <c r="D590" i="5"/>
  <c r="W589" i="5"/>
  <c r="D589" i="5"/>
  <c r="W588" i="5"/>
  <c r="D588" i="5"/>
  <c r="W587" i="5"/>
  <c r="D587" i="5"/>
  <c r="W586" i="5"/>
  <c r="D586" i="5"/>
  <c r="W585" i="5"/>
  <c r="D585" i="5"/>
  <c r="W584" i="5"/>
  <c r="D584" i="5"/>
  <c r="W583" i="5"/>
  <c r="D583" i="5"/>
  <c r="W582" i="5"/>
  <c r="D582" i="5"/>
  <c r="W581" i="5"/>
  <c r="D581" i="5"/>
  <c r="W580" i="5"/>
  <c r="D580" i="5"/>
  <c r="W579" i="5"/>
  <c r="D579" i="5"/>
  <c r="W578" i="5"/>
  <c r="D578" i="5"/>
  <c r="W577" i="5"/>
  <c r="D577" i="5"/>
  <c r="W576" i="5"/>
  <c r="D576" i="5"/>
  <c r="W575" i="5"/>
  <c r="D575" i="5"/>
  <c r="W574" i="5"/>
  <c r="D574" i="5"/>
  <c r="W573" i="5"/>
  <c r="D573" i="5"/>
  <c r="W572" i="5"/>
  <c r="D572" i="5"/>
  <c r="W571" i="5"/>
  <c r="D571" i="5"/>
  <c r="W570" i="5"/>
  <c r="D570" i="5"/>
  <c r="W569" i="5"/>
  <c r="D569" i="5"/>
  <c r="W568" i="5"/>
  <c r="D568" i="5"/>
  <c r="W567" i="5"/>
  <c r="D567" i="5"/>
  <c r="W566" i="5"/>
  <c r="D566" i="5"/>
  <c r="W565" i="5"/>
  <c r="D565" i="5"/>
  <c r="W564" i="5"/>
  <c r="D564" i="5"/>
  <c r="W563" i="5"/>
  <c r="D563" i="5"/>
  <c r="W562" i="5"/>
  <c r="D562" i="5"/>
  <c r="W561" i="5"/>
  <c r="D561" i="5"/>
  <c r="W560" i="5"/>
  <c r="D560" i="5"/>
  <c r="W559" i="5"/>
  <c r="D559" i="5"/>
  <c r="W558" i="5"/>
  <c r="D558" i="5"/>
  <c r="W557" i="5"/>
  <c r="D557" i="5"/>
  <c r="W556" i="5"/>
  <c r="D556" i="5"/>
  <c r="W555" i="5"/>
  <c r="D555" i="5"/>
  <c r="W554" i="5"/>
  <c r="D554" i="5"/>
  <c r="W553" i="5"/>
  <c r="D553" i="5"/>
  <c r="W552" i="5"/>
  <c r="D552" i="5"/>
  <c r="W551" i="5"/>
  <c r="D551" i="5"/>
  <c r="W550" i="5"/>
  <c r="D550" i="5"/>
  <c r="W549" i="5"/>
  <c r="D549" i="5"/>
  <c r="W548" i="5"/>
  <c r="D548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W545" i="5"/>
  <c r="D545" i="5"/>
  <c r="W544" i="5"/>
  <c r="D544" i="5"/>
  <c r="D543" i="5"/>
  <c r="C543" i="5" s="1"/>
  <c r="N705" i="2" s="1"/>
  <c r="J705" i="2" s="1"/>
  <c r="D542" i="5"/>
  <c r="C542" i="5" s="1"/>
  <c r="D541" i="5"/>
  <c r="D540" i="5"/>
  <c r="C540" i="5" s="1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W537" i="5"/>
  <c r="D537" i="5"/>
  <c r="W536" i="5"/>
  <c r="D536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3" i="5"/>
  <c r="C533" i="5" s="1"/>
  <c r="D532" i="5"/>
  <c r="C532" i="5" s="1"/>
  <c r="D531" i="5"/>
  <c r="C531" i="5" s="1"/>
  <c r="D530" i="5"/>
  <c r="C530" i="5" s="1"/>
  <c r="N690" i="2" s="1"/>
  <c r="J690" i="2" s="1"/>
  <c r="D529" i="5"/>
  <c r="C529" i="5" s="1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6" i="5"/>
  <c r="C526" i="5" s="1"/>
  <c r="N686" i="2" s="1"/>
  <c r="J686" i="2" s="1"/>
  <c r="W525" i="5"/>
  <c r="D525" i="5"/>
  <c r="W524" i="5"/>
  <c r="D524" i="5"/>
  <c r="W523" i="5"/>
  <c r="D523" i="5"/>
  <c r="W522" i="5"/>
  <c r="D522" i="5"/>
  <c r="W521" i="5"/>
  <c r="D521" i="5"/>
  <c r="W520" i="5"/>
  <c r="D520" i="5"/>
  <c r="W519" i="5"/>
  <c r="D519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W516" i="5"/>
  <c r="D516" i="5"/>
  <c r="W515" i="5"/>
  <c r="D515" i="5"/>
  <c r="W514" i="5"/>
  <c r="D514" i="5"/>
  <c r="W513" i="5"/>
  <c r="D513" i="5"/>
  <c r="W512" i="5"/>
  <c r="D512" i="5"/>
  <c r="W511" i="5"/>
  <c r="D511" i="5"/>
  <c r="W510" i="5"/>
  <c r="D510" i="5"/>
  <c r="W509" i="5"/>
  <c r="D509" i="5"/>
  <c r="W508" i="5"/>
  <c r="D508" i="5"/>
  <c r="W507" i="5"/>
  <c r="D507" i="5"/>
  <c r="W506" i="5"/>
  <c r="D506" i="5"/>
  <c r="W505" i="5"/>
  <c r="D505" i="5"/>
  <c r="W504" i="5"/>
  <c r="D504" i="5"/>
  <c r="W503" i="5"/>
  <c r="D503" i="5"/>
  <c r="W502" i="5"/>
  <c r="D502" i="5"/>
  <c r="W501" i="5"/>
  <c r="D501" i="5"/>
  <c r="W500" i="5"/>
  <c r="D500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W497" i="5"/>
  <c r="D497" i="5"/>
  <c r="W496" i="5"/>
  <c r="D496" i="5"/>
  <c r="W495" i="5"/>
  <c r="D495" i="5"/>
  <c r="W494" i="5"/>
  <c r="D494" i="5"/>
  <c r="W493" i="5"/>
  <c r="D493" i="5"/>
  <c r="W492" i="5"/>
  <c r="D492" i="5"/>
  <c r="W491" i="5"/>
  <c r="D491" i="5"/>
  <c r="W489" i="5"/>
  <c r="D489" i="5"/>
  <c r="W488" i="5"/>
  <c r="D488" i="5"/>
  <c r="W487" i="5"/>
  <c r="D487" i="5"/>
  <c r="W486" i="5"/>
  <c r="D486" i="5"/>
  <c r="W485" i="5"/>
  <c r="D485" i="5"/>
  <c r="W484" i="5"/>
  <c r="D484" i="5"/>
  <c r="W483" i="5"/>
  <c r="D483" i="5"/>
  <c r="W482" i="5"/>
  <c r="D482" i="5"/>
  <c r="W481" i="5"/>
  <c r="D481" i="5"/>
  <c r="W480" i="5"/>
  <c r="D480" i="5"/>
  <c r="D479" i="5"/>
  <c r="C479" i="5" s="1"/>
  <c r="W478" i="5"/>
  <c r="D478" i="5"/>
  <c r="W477" i="5"/>
  <c r="D477" i="5"/>
  <c r="W476" i="5"/>
  <c r="D476" i="5"/>
  <c r="W475" i="5"/>
  <c r="D475" i="5"/>
  <c r="W474" i="5"/>
  <c r="D474" i="5"/>
  <c r="W473" i="5"/>
  <c r="D473" i="5"/>
  <c r="W472" i="5"/>
  <c r="D472" i="5"/>
  <c r="W471" i="5"/>
  <c r="D471" i="5"/>
  <c r="V469" i="5"/>
  <c r="U469" i="5"/>
  <c r="T469" i="5"/>
  <c r="S469" i="5"/>
  <c r="R469" i="5"/>
  <c r="Q469" i="5"/>
  <c r="P469" i="5"/>
  <c r="N469" i="5"/>
  <c r="M469" i="5"/>
  <c r="L469" i="5"/>
  <c r="K469" i="5"/>
  <c r="J469" i="5"/>
  <c r="I469" i="5"/>
  <c r="H469" i="5"/>
  <c r="G469" i="5"/>
  <c r="F469" i="5"/>
  <c r="E469" i="5"/>
  <c r="W468" i="5"/>
  <c r="D468" i="5"/>
  <c r="W467" i="5"/>
  <c r="D467" i="5"/>
  <c r="W466" i="5"/>
  <c r="D466" i="5"/>
  <c r="W465" i="5"/>
  <c r="D465" i="5"/>
  <c r="W464" i="5"/>
  <c r="D464" i="5"/>
  <c r="W463" i="5"/>
  <c r="D463" i="5"/>
  <c r="D462" i="5"/>
  <c r="C462" i="5" s="1"/>
  <c r="W461" i="5"/>
  <c r="D461" i="5"/>
  <c r="W460" i="5"/>
  <c r="D460" i="5"/>
  <c r="W459" i="5"/>
  <c r="D459" i="5"/>
  <c r="W458" i="5"/>
  <c r="D458" i="5"/>
  <c r="W457" i="5"/>
  <c r="O457" i="5"/>
  <c r="O469" i="5" s="1"/>
  <c r="D457" i="5"/>
  <c r="W456" i="5"/>
  <c r="D456" i="5"/>
  <c r="D455" i="5"/>
  <c r="C455" i="5" s="1"/>
  <c r="N552" i="2" s="1"/>
  <c r="J552" i="2" s="1"/>
  <c r="W454" i="5"/>
  <c r="D454" i="5"/>
  <c r="W453" i="5"/>
  <c r="D453" i="5"/>
  <c r="W452" i="5"/>
  <c r="D452" i="5"/>
  <c r="D451" i="5"/>
  <c r="C451" i="5" s="1"/>
  <c r="N548" i="2" s="1"/>
  <c r="J548" i="2" s="1"/>
  <c r="W450" i="5"/>
  <c r="D450" i="5"/>
  <c r="W449" i="5"/>
  <c r="D449" i="5"/>
  <c r="D448" i="5"/>
  <c r="C448" i="5" s="1"/>
  <c r="D447" i="5"/>
  <c r="C447" i="5" s="1"/>
  <c r="W446" i="5"/>
  <c r="D446" i="5"/>
  <c r="W445" i="5"/>
  <c r="D445" i="5"/>
  <c r="W444" i="5"/>
  <c r="D444" i="5"/>
  <c r="W443" i="5"/>
  <c r="D443" i="5"/>
  <c r="W442" i="5"/>
  <c r="D442" i="5"/>
  <c r="W441" i="5"/>
  <c r="D441" i="5"/>
  <c r="W440" i="5"/>
  <c r="D440" i="5"/>
  <c r="W439" i="5"/>
  <c r="D439" i="5"/>
  <c r="W438" i="5"/>
  <c r="D438" i="5"/>
  <c r="W437" i="5"/>
  <c r="D437" i="5"/>
  <c r="W436" i="5"/>
  <c r="D436" i="5"/>
  <c r="W435" i="5"/>
  <c r="D435" i="5"/>
  <c r="D434" i="5"/>
  <c r="C434" i="5" s="1"/>
  <c r="W433" i="5"/>
  <c r="D433" i="5"/>
  <c r="W432" i="5"/>
  <c r="D432" i="5"/>
  <c r="W431" i="5"/>
  <c r="D431" i="5"/>
  <c r="W430" i="5"/>
  <c r="D430" i="5"/>
  <c r="W429" i="5"/>
  <c r="D429" i="5"/>
  <c r="W428" i="5"/>
  <c r="D428" i="5"/>
  <c r="W427" i="5"/>
  <c r="D427" i="5"/>
  <c r="W426" i="5"/>
  <c r="D426" i="5"/>
  <c r="W425" i="5"/>
  <c r="D425" i="5"/>
  <c r="W424" i="5"/>
  <c r="D424" i="5"/>
  <c r="W423" i="5"/>
  <c r="D423" i="5"/>
  <c r="W422" i="5"/>
  <c r="D422" i="5"/>
  <c r="W421" i="5"/>
  <c r="D421" i="5"/>
  <c r="W420" i="5"/>
  <c r="D420" i="5"/>
  <c r="W419" i="5"/>
  <c r="D419" i="5"/>
  <c r="W418" i="5"/>
  <c r="D418" i="5"/>
  <c r="X414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W412" i="5"/>
  <c r="D412" i="5"/>
  <c r="W411" i="5"/>
  <c r="D411" i="5"/>
  <c r="E410" i="5"/>
  <c r="D410" i="5" s="1"/>
  <c r="C410" i="5" s="1"/>
  <c r="D409" i="5"/>
  <c r="C409" i="5" s="1"/>
  <c r="W408" i="5"/>
  <c r="D408" i="5"/>
  <c r="W407" i="5"/>
  <c r="D407" i="5"/>
  <c r="W406" i="5"/>
  <c r="D406" i="5"/>
  <c r="D403" i="5"/>
  <c r="C403" i="5" s="1"/>
  <c r="D402" i="5"/>
  <c r="C402" i="5" s="1"/>
  <c r="D401" i="5"/>
  <c r="C401" i="5" s="1"/>
  <c r="D398" i="5"/>
  <c r="C398" i="5" s="1"/>
  <c r="D397" i="5"/>
  <c r="C397" i="5" s="1"/>
  <c r="D396" i="5"/>
  <c r="C396" i="5" s="1"/>
  <c r="W394" i="5"/>
  <c r="V394" i="5"/>
  <c r="U394" i="5"/>
  <c r="T394" i="5"/>
  <c r="S394" i="5"/>
  <c r="R394" i="5"/>
  <c r="Q394" i="5"/>
  <c r="P394" i="5"/>
  <c r="O394" i="5"/>
  <c r="M394" i="5"/>
  <c r="L394" i="5"/>
  <c r="K394" i="5"/>
  <c r="J394" i="5"/>
  <c r="I394" i="5"/>
  <c r="H394" i="5"/>
  <c r="G394" i="5"/>
  <c r="F394" i="5"/>
  <c r="E394" i="5"/>
  <c r="N393" i="5"/>
  <c r="D393" i="5"/>
  <c r="N392" i="5"/>
  <c r="D392" i="5"/>
  <c r="W389" i="5"/>
  <c r="D389" i="5"/>
  <c r="W388" i="5"/>
  <c r="D388" i="5"/>
  <c r="W387" i="5"/>
  <c r="D387" i="5"/>
  <c r="W386" i="5"/>
  <c r="D386" i="5"/>
  <c r="W385" i="5"/>
  <c r="I385" i="5"/>
  <c r="D385" i="5" s="1"/>
  <c r="W384" i="5"/>
  <c r="D384" i="5"/>
  <c r="W383" i="5"/>
  <c r="D383" i="5"/>
  <c r="W382" i="5"/>
  <c r="D382" i="5"/>
  <c r="W381" i="5"/>
  <c r="I381" i="5"/>
  <c r="D381" i="5" s="1"/>
  <c r="W380" i="5"/>
  <c r="I380" i="5"/>
  <c r="D380" i="5" s="1"/>
  <c r="W379" i="5"/>
  <c r="D379" i="5"/>
  <c r="W378" i="5"/>
  <c r="D378" i="5"/>
  <c r="W377" i="5"/>
  <c r="D377" i="5"/>
  <c r="W376" i="5"/>
  <c r="D376" i="5"/>
  <c r="W375" i="5"/>
  <c r="D375" i="5"/>
  <c r="W374" i="5"/>
  <c r="D374" i="5"/>
  <c r="W373" i="5"/>
  <c r="D373" i="5"/>
  <c r="W372" i="5"/>
  <c r="D372" i="5"/>
  <c r="W371" i="5"/>
  <c r="D371" i="5"/>
  <c r="W370" i="5"/>
  <c r="D370" i="5"/>
  <c r="W369" i="5"/>
  <c r="D369" i="5"/>
  <c r="W368" i="5"/>
  <c r="D368" i="5"/>
  <c r="D367" i="5"/>
  <c r="C367" i="5" s="1"/>
  <c r="D366" i="5"/>
  <c r="C366" i="5" s="1"/>
  <c r="D365" i="5"/>
  <c r="C365" i="5" s="1"/>
  <c r="W364" i="5"/>
  <c r="D364" i="5"/>
  <c r="W363" i="5"/>
  <c r="D363" i="5"/>
  <c r="W362" i="5"/>
  <c r="D362" i="5"/>
  <c r="W361" i="5"/>
  <c r="D361" i="5"/>
  <c r="W360" i="5"/>
  <c r="D360" i="5"/>
  <c r="W359" i="5"/>
  <c r="D359" i="5"/>
  <c r="W358" i="5"/>
  <c r="D358" i="5"/>
  <c r="W357" i="5"/>
  <c r="D357" i="5"/>
  <c r="W356" i="5"/>
  <c r="D356" i="5"/>
  <c r="W355" i="5"/>
  <c r="D355" i="5"/>
  <c r="W354" i="5"/>
  <c r="D354" i="5"/>
  <c r="W353" i="5"/>
  <c r="D353" i="5"/>
  <c r="W352" i="5"/>
  <c r="D352" i="5"/>
  <c r="V351" i="5"/>
  <c r="V390" i="5" s="1"/>
  <c r="I351" i="5"/>
  <c r="G351" i="5"/>
  <c r="F351" i="5"/>
  <c r="E351" i="5"/>
  <c r="N350" i="5"/>
  <c r="D350" i="5"/>
  <c r="W349" i="5"/>
  <c r="D349" i="5"/>
  <c r="W348" i="5"/>
  <c r="D348" i="5"/>
  <c r="W347" i="5"/>
  <c r="D347" i="5"/>
  <c r="W346" i="5"/>
  <c r="D346" i="5"/>
  <c r="W345" i="5"/>
  <c r="D345" i="5"/>
  <c r="W344" i="5"/>
  <c r="D344" i="5"/>
  <c r="D343" i="5"/>
  <c r="C343" i="5" s="1"/>
  <c r="W342" i="5"/>
  <c r="D342" i="5"/>
  <c r="AB341" i="5"/>
  <c r="W341" i="5" s="1"/>
  <c r="D341" i="5"/>
  <c r="W340" i="5"/>
  <c r="D340" i="5"/>
  <c r="W339" i="5"/>
  <c r="D339" i="5"/>
  <c r="W338" i="5"/>
  <c r="D338" i="5"/>
  <c r="W337" i="5"/>
  <c r="D337" i="5"/>
  <c r="W336" i="5"/>
  <c r="D336" i="5"/>
  <c r="W335" i="5"/>
  <c r="D335" i="5"/>
  <c r="W334" i="5"/>
  <c r="D334" i="5"/>
  <c r="W333" i="5"/>
  <c r="D333" i="5"/>
  <c r="W332" i="5"/>
  <c r="D332" i="5"/>
  <c r="W331" i="5"/>
  <c r="D331" i="5"/>
  <c r="W330" i="5"/>
  <c r="D330" i="5"/>
  <c r="W329" i="5"/>
  <c r="D329" i="5"/>
  <c r="W328" i="5"/>
  <c r="D328" i="5"/>
  <c r="W327" i="5"/>
  <c r="D327" i="5"/>
  <c r="W326" i="5"/>
  <c r="D326" i="5"/>
  <c r="W325" i="5"/>
  <c r="D325" i="5"/>
  <c r="W324" i="5"/>
  <c r="D324" i="5"/>
  <c r="W323" i="5"/>
  <c r="D323" i="5"/>
  <c r="W322" i="5"/>
  <c r="D322" i="5"/>
  <c r="W321" i="5"/>
  <c r="D321" i="5"/>
  <c r="W320" i="5"/>
  <c r="D320" i="5"/>
  <c r="W319" i="5"/>
  <c r="D319" i="5"/>
  <c r="W318" i="5"/>
  <c r="D318" i="5"/>
  <c r="W317" i="5"/>
  <c r="I317" i="5"/>
  <c r="D317" i="5" s="1"/>
  <c r="W316" i="5"/>
  <c r="E316" i="5"/>
  <c r="D316" i="5" s="1"/>
  <c r="W315" i="5"/>
  <c r="D315" i="5"/>
  <c r="W314" i="5"/>
  <c r="D314" i="5"/>
  <c r="W313" i="5"/>
  <c r="D313" i="5"/>
  <c r="D312" i="5"/>
  <c r="C312" i="5" s="1"/>
  <c r="I311" i="5"/>
  <c r="G311" i="5"/>
  <c r="F311" i="5"/>
  <c r="W310" i="5"/>
  <c r="D310" i="5"/>
  <c r="D309" i="5"/>
  <c r="C309" i="5" s="1"/>
  <c r="W308" i="5"/>
  <c r="N308" i="5"/>
  <c r="G308" i="5"/>
  <c r="F308" i="5"/>
  <c r="E308" i="5"/>
  <c r="G307" i="5"/>
  <c r="F307" i="5"/>
  <c r="E307" i="5"/>
  <c r="W306" i="5"/>
  <c r="D306" i="5"/>
  <c r="D305" i="5"/>
  <c r="C305" i="5" s="1"/>
  <c r="W304" i="5"/>
  <c r="D304" i="5"/>
  <c r="W303" i="5"/>
  <c r="D303" i="5"/>
  <c r="W302" i="5"/>
  <c r="N302" i="5"/>
  <c r="D302" i="5"/>
  <c r="D301" i="5"/>
  <c r="C301" i="5" s="1"/>
  <c r="W300" i="5"/>
  <c r="N300" i="5"/>
  <c r="D300" i="5"/>
  <c r="D299" i="5"/>
  <c r="C299" i="5" s="1"/>
  <c r="W298" i="5"/>
  <c r="D298" i="5"/>
  <c r="W297" i="5"/>
  <c r="D297" i="5"/>
  <c r="W296" i="5"/>
  <c r="D296" i="5"/>
  <c r="W295" i="5"/>
  <c r="D295" i="5"/>
  <c r="W294" i="5"/>
  <c r="D294" i="5"/>
  <c r="W293" i="5"/>
  <c r="N293" i="5"/>
  <c r="D293" i="5"/>
  <c r="W292" i="5"/>
  <c r="D292" i="5"/>
  <c r="D291" i="5"/>
  <c r="C291" i="5" s="1"/>
  <c r="W290" i="5"/>
  <c r="D290" i="5"/>
  <c r="P289" i="5"/>
  <c r="P390" i="5" s="1"/>
  <c r="D289" i="5"/>
  <c r="W287" i="5"/>
  <c r="D287" i="5"/>
  <c r="W286" i="5"/>
  <c r="D286" i="5"/>
  <c r="W285" i="5"/>
  <c r="D285" i="5"/>
  <c r="D284" i="5"/>
  <c r="C284" i="5" s="1"/>
  <c r="D283" i="5"/>
  <c r="C283" i="5" s="1"/>
  <c r="D282" i="5"/>
  <c r="C282" i="5" s="1"/>
  <c r="D281" i="5"/>
  <c r="C281" i="5" s="1"/>
  <c r="W280" i="5"/>
  <c r="D280" i="5"/>
  <c r="D279" i="5"/>
  <c r="C279" i="5" s="1"/>
  <c r="D278" i="5"/>
  <c r="C278" i="5" s="1"/>
  <c r="D277" i="5"/>
  <c r="C277" i="5" s="1"/>
  <c r="W275" i="5"/>
  <c r="D275" i="5"/>
  <c r="W274" i="5"/>
  <c r="D274" i="5"/>
  <c r="W273" i="5"/>
  <c r="D273" i="5"/>
  <c r="W272" i="5"/>
  <c r="N272" i="5"/>
  <c r="G272" i="5"/>
  <c r="F272" i="5"/>
  <c r="N271" i="5"/>
  <c r="E271" i="5"/>
  <c r="D271" i="5" s="1"/>
  <c r="W270" i="5"/>
  <c r="E270" i="5"/>
  <c r="D270" i="5" s="1"/>
  <c r="E269" i="5"/>
  <c r="D269" i="5" s="1"/>
  <c r="C269" i="5" s="1"/>
  <c r="E268" i="5"/>
  <c r="D268" i="5" s="1"/>
  <c r="C268" i="5" s="1"/>
  <c r="N267" i="5"/>
  <c r="I267" i="5"/>
  <c r="G267" i="5"/>
  <c r="F267" i="5"/>
  <c r="E267" i="5"/>
  <c r="E266" i="5"/>
  <c r="D266" i="5" s="1"/>
  <c r="C266" i="5" s="1"/>
  <c r="E265" i="5"/>
  <c r="D265" i="5" s="1"/>
  <c r="C265" i="5" s="1"/>
  <c r="E264" i="5"/>
  <c r="D264" i="5" s="1"/>
  <c r="C264" i="5" s="1"/>
  <c r="E263" i="5"/>
  <c r="D263" i="5" s="1"/>
  <c r="C263" i="5" s="1"/>
  <c r="E262" i="5"/>
  <c r="V260" i="5"/>
  <c r="U260" i="5"/>
  <c r="T260" i="5"/>
  <c r="S260" i="5"/>
  <c r="R260" i="5"/>
  <c r="Q260" i="5"/>
  <c r="O260" i="5"/>
  <c r="M260" i="5"/>
  <c r="L260" i="5"/>
  <c r="K260" i="5"/>
  <c r="J260" i="5"/>
  <c r="I260" i="5"/>
  <c r="H260" i="5"/>
  <c r="G260" i="5"/>
  <c r="F260" i="5"/>
  <c r="E260" i="5"/>
  <c r="W259" i="5"/>
  <c r="D259" i="5"/>
  <c r="W258" i="5"/>
  <c r="D258" i="5"/>
  <c r="W257" i="5"/>
  <c r="D257" i="5"/>
  <c r="W256" i="5"/>
  <c r="P256" i="5"/>
  <c r="P260" i="5" s="1"/>
  <c r="D256" i="5"/>
  <c r="W255" i="5"/>
  <c r="D255" i="5"/>
  <c r="W254" i="5"/>
  <c r="D254" i="5"/>
  <c r="N253" i="5"/>
  <c r="D253" i="5"/>
  <c r="W252" i="5"/>
  <c r="D252" i="5"/>
  <c r="W251" i="5"/>
  <c r="D251" i="5"/>
  <c r="W250" i="5"/>
  <c r="N250" i="5"/>
  <c r="D250" i="5"/>
  <c r="W249" i="5"/>
  <c r="N249" i="5"/>
  <c r="D249" i="5"/>
  <c r="W248" i="5"/>
  <c r="D248" i="5"/>
  <c r="W247" i="5"/>
  <c r="D247" i="5"/>
  <c r="W246" i="5"/>
  <c r="D246" i="5"/>
  <c r="W245" i="5"/>
  <c r="D245" i="5"/>
  <c r="W244" i="5"/>
  <c r="D244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H242" i="5"/>
  <c r="E242" i="5"/>
  <c r="W241" i="5"/>
  <c r="D241" i="5"/>
  <c r="W240" i="5"/>
  <c r="D240" i="5"/>
  <c r="F239" i="5"/>
  <c r="F242" i="5" s="1"/>
  <c r="W238" i="5"/>
  <c r="D238" i="5"/>
  <c r="D237" i="5"/>
  <c r="C237" i="5" s="1"/>
  <c r="D236" i="5"/>
  <c r="C236" i="5" s="1"/>
  <c r="W235" i="5"/>
  <c r="D235" i="5"/>
  <c r="D234" i="5"/>
  <c r="C234" i="5" s="1"/>
  <c r="G233" i="5"/>
  <c r="D233" i="5" s="1"/>
  <c r="C233" i="5" s="1"/>
  <c r="G232" i="5"/>
  <c r="D232" i="5" s="1"/>
  <c r="C232" i="5" s="1"/>
  <c r="G231" i="5"/>
  <c r="D231" i="5" s="1"/>
  <c r="C231" i="5" s="1"/>
  <c r="W230" i="5"/>
  <c r="D230" i="5"/>
  <c r="W229" i="5"/>
  <c r="D229" i="5"/>
  <c r="W228" i="5"/>
  <c r="D228" i="5"/>
  <c r="W227" i="5"/>
  <c r="I227" i="5"/>
  <c r="D227" i="5" s="1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W224" i="5"/>
  <c r="D224" i="5"/>
  <c r="W223" i="5"/>
  <c r="D223" i="5"/>
  <c r="W221" i="5"/>
  <c r="D221" i="5"/>
  <c r="W220" i="5"/>
  <c r="D220" i="5"/>
  <c r="V216" i="5"/>
  <c r="U216" i="5"/>
  <c r="T216" i="5"/>
  <c r="S216" i="5"/>
  <c r="R216" i="5"/>
  <c r="Q216" i="5"/>
  <c r="P216" i="5"/>
  <c r="O216" i="5"/>
  <c r="M216" i="5"/>
  <c r="L216" i="5"/>
  <c r="K216" i="5"/>
  <c r="J216" i="5"/>
  <c r="I216" i="5"/>
  <c r="H216" i="5"/>
  <c r="G216" i="5"/>
  <c r="F216" i="5"/>
  <c r="E216" i="5"/>
  <c r="AB215" i="5"/>
  <c r="W215" i="5" s="1"/>
  <c r="D215" i="5"/>
  <c r="AB214" i="5"/>
  <c r="W214" i="5" s="1"/>
  <c r="N214" i="5"/>
  <c r="D214" i="5"/>
  <c r="W213" i="5"/>
  <c r="D213" i="5"/>
  <c r="W212" i="5"/>
  <c r="D212" i="5"/>
  <c r="AB211" i="5"/>
  <c r="W211" i="5" s="1"/>
  <c r="N211" i="5"/>
  <c r="D211" i="5"/>
  <c r="V209" i="5"/>
  <c r="U209" i="5"/>
  <c r="T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W208" i="5"/>
  <c r="W209" i="5" s="1"/>
  <c r="D208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5" i="5"/>
  <c r="C205" i="5" s="1"/>
  <c r="W204" i="5"/>
  <c r="D204" i="5"/>
  <c r="W203" i="5"/>
  <c r="D203" i="5"/>
  <c r="W202" i="5"/>
  <c r="D202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W199" i="5"/>
  <c r="D199" i="5"/>
  <c r="W198" i="5"/>
  <c r="D198" i="5"/>
  <c r="AB197" i="5"/>
  <c r="W197" i="5" s="1"/>
  <c r="D197" i="5"/>
  <c r="W196" i="5"/>
  <c r="D196" i="5"/>
  <c r="W195" i="5"/>
  <c r="D195" i="5"/>
  <c r="W194" i="5"/>
  <c r="D194" i="5"/>
  <c r="W193" i="5"/>
  <c r="D193" i="5"/>
  <c r="AB192" i="5"/>
  <c r="W192" i="5" s="1"/>
  <c r="D192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AB189" i="5"/>
  <c r="W189" i="5" s="1"/>
  <c r="D189" i="5"/>
  <c r="AB188" i="5"/>
  <c r="W188" i="5" s="1"/>
  <c r="D188" i="5"/>
  <c r="W187" i="5"/>
  <c r="D187" i="5"/>
  <c r="W186" i="5"/>
  <c r="D186" i="5"/>
  <c r="W185" i="5"/>
  <c r="D185" i="5"/>
  <c r="W184" i="5"/>
  <c r="D184" i="5"/>
  <c r="W183" i="5"/>
  <c r="D183" i="5"/>
  <c r="W182" i="5"/>
  <c r="D182" i="5"/>
  <c r="W181" i="5"/>
  <c r="D181" i="5"/>
  <c r="W180" i="5"/>
  <c r="D180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7" i="5"/>
  <c r="D178" i="5" s="1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AB174" i="5"/>
  <c r="W174" i="5" s="1"/>
  <c r="D174" i="5"/>
  <c r="W173" i="5"/>
  <c r="D173" i="5"/>
  <c r="W172" i="5"/>
  <c r="D172" i="5"/>
  <c r="W171" i="5"/>
  <c r="D171" i="5"/>
  <c r="W170" i="5"/>
  <c r="D170" i="5"/>
  <c r="W169" i="5"/>
  <c r="D169" i="5"/>
  <c r="W168" i="5"/>
  <c r="D168" i="5"/>
  <c r="W167" i="5"/>
  <c r="D167" i="5"/>
  <c r="W166" i="5"/>
  <c r="D166" i="5"/>
  <c r="W165" i="5"/>
  <c r="D165" i="5"/>
  <c r="W164" i="5"/>
  <c r="D164" i="5"/>
  <c r="V160" i="5"/>
  <c r="U160" i="5"/>
  <c r="T160" i="5"/>
  <c r="S160" i="5"/>
  <c r="R160" i="5"/>
  <c r="Q160" i="5"/>
  <c r="P160" i="5"/>
  <c r="O160" i="5"/>
  <c r="M160" i="5"/>
  <c r="L160" i="5"/>
  <c r="K160" i="5"/>
  <c r="J160" i="5"/>
  <c r="I160" i="5"/>
  <c r="H160" i="5"/>
  <c r="G160" i="5"/>
  <c r="F160" i="5"/>
  <c r="E160" i="5"/>
  <c r="W159" i="5"/>
  <c r="D159" i="5"/>
  <c r="W158" i="5"/>
  <c r="D158" i="5"/>
  <c r="D157" i="5"/>
  <c r="C157" i="5" s="1"/>
  <c r="N172" i="2" s="1"/>
  <c r="W156" i="5"/>
  <c r="N156" i="5"/>
  <c r="N160" i="5" s="1"/>
  <c r="D156" i="5"/>
  <c r="D155" i="5"/>
  <c r="C155" i="5" s="1"/>
  <c r="D154" i="5"/>
  <c r="C154" i="5" s="1"/>
  <c r="D153" i="5"/>
  <c r="C153" i="5" s="1"/>
  <c r="W152" i="5"/>
  <c r="D152" i="5"/>
  <c r="W151" i="5"/>
  <c r="D151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F149" i="5"/>
  <c r="E149" i="5"/>
  <c r="W148" i="5"/>
  <c r="D148" i="5"/>
  <c r="W147" i="5"/>
  <c r="D147" i="5"/>
  <c r="W146" i="5"/>
  <c r="D146" i="5"/>
  <c r="W145" i="5"/>
  <c r="D145" i="5"/>
  <c r="W144" i="5"/>
  <c r="H144" i="5"/>
  <c r="H149" i="5" s="1"/>
  <c r="G144" i="5"/>
  <c r="G149" i="5" s="1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1" i="5"/>
  <c r="C141" i="5" s="1"/>
  <c r="D140" i="5"/>
  <c r="C140" i="5" s="1"/>
  <c r="N148" i="2" s="1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W137" i="5"/>
  <c r="D137" i="5"/>
  <c r="W136" i="5"/>
  <c r="D136" i="5"/>
  <c r="D135" i="5"/>
  <c r="C135" i="5" s="1"/>
  <c r="W134" i="5"/>
  <c r="D134" i="5"/>
  <c r="W133" i="5"/>
  <c r="D133" i="5"/>
  <c r="W132" i="5"/>
  <c r="D132" i="5"/>
  <c r="W131" i="5"/>
  <c r="D131" i="5"/>
  <c r="W130" i="5"/>
  <c r="D130" i="5"/>
  <c r="D129" i="5"/>
  <c r="C129" i="5" s="1"/>
  <c r="W128" i="5"/>
  <c r="D128" i="5"/>
  <c r="W127" i="5"/>
  <c r="D127" i="5"/>
  <c r="W126" i="5"/>
  <c r="D126" i="5"/>
  <c r="D125" i="5"/>
  <c r="C125" i="5" s="1"/>
  <c r="D124" i="5"/>
  <c r="C124" i="5" s="1"/>
  <c r="N126" i="2" s="1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1" i="5"/>
  <c r="D122" i="5" s="1"/>
  <c r="V119" i="5"/>
  <c r="U119" i="5"/>
  <c r="T119" i="5"/>
  <c r="S119" i="5"/>
  <c r="R119" i="5"/>
  <c r="Q119" i="5"/>
  <c r="O119" i="5"/>
  <c r="N119" i="5"/>
  <c r="M119" i="5"/>
  <c r="L119" i="5"/>
  <c r="K119" i="5"/>
  <c r="J119" i="5"/>
  <c r="I119" i="5"/>
  <c r="H119" i="5"/>
  <c r="G119" i="5"/>
  <c r="F119" i="5"/>
  <c r="E119" i="5"/>
  <c r="D118" i="5"/>
  <c r="C118" i="5" s="1"/>
  <c r="W117" i="5"/>
  <c r="D117" i="5"/>
  <c r="W116" i="5"/>
  <c r="D116" i="5"/>
  <c r="W115" i="5"/>
  <c r="D115" i="5"/>
  <c r="D114" i="5"/>
  <c r="C114" i="5" s="1"/>
  <c r="D113" i="5"/>
  <c r="C113" i="5" s="1"/>
  <c r="D112" i="5"/>
  <c r="C112" i="5" s="1"/>
  <c r="D111" i="5"/>
  <c r="C111" i="5" s="1"/>
  <c r="N113" i="2" s="1"/>
  <c r="J113" i="2" s="1"/>
  <c r="D110" i="5"/>
  <c r="C110" i="5" s="1"/>
  <c r="W109" i="5"/>
  <c r="D109" i="5"/>
  <c r="W108" i="5"/>
  <c r="D108" i="5"/>
  <c r="W107" i="5"/>
  <c r="D107" i="5"/>
  <c r="W106" i="5"/>
  <c r="D106" i="5"/>
  <c r="W105" i="5"/>
  <c r="D105" i="5"/>
  <c r="W104" i="5"/>
  <c r="D104" i="5"/>
  <c r="W103" i="5"/>
  <c r="D103" i="5"/>
  <c r="W102" i="5"/>
  <c r="D102" i="5"/>
  <c r="W101" i="5"/>
  <c r="D101" i="5"/>
  <c r="W100" i="5"/>
  <c r="D100" i="5"/>
  <c r="D99" i="5"/>
  <c r="C99" i="5" s="1"/>
  <c r="D98" i="5"/>
  <c r="C98" i="5" s="1"/>
  <c r="D97" i="5"/>
  <c r="C97" i="5" s="1"/>
  <c r="W96" i="5"/>
  <c r="D96" i="5"/>
  <c r="W95" i="5"/>
  <c r="D95" i="5"/>
  <c r="W94" i="5"/>
  <c r="D94" i="5"/>
  <c r="W93" i="5"/>
  <c r="D93" i="5"/>
  <c r="W92" i="5"/>
  <c r="D92" i="5"/>
  <c r="W91" i="5"/>
  <c r="D91" i="5"/>
  <c r="W90" i="5"/>
  <c r="D90" i="5"/>
  <c r="W89" i="5"/>
  <c r="D89" i="5"/>
  <c r="W88" i="5"/>
  <c r="D88" i="5"/>
  <c r="W87" i="5"/>
  <c r="D87" i="5"/>
  <c r="W86" i="5"/>
  <c r="D86" i="5"/>
  <c r="D85" i="5"/>
  <c r="C85" i="5" s="1"/>
  <c r="W84" i="5"/>
  <c r="D84" i="5"/>
  <c r="W83" i="5"/>
  <c r="D83" i="5"/>
  <c r="D82" i="5"/>
  <c r="C82" i="5" s="1"/>
  <c r="D81" i="5"/>
  <c r="C81" i="5" s="1"/>
  <c r="W80" i="5"/>
  <c r="D80" i="5"/>
  <c r="W79" i="5"/>
  <c r="D79" i="5"/>
  <c r="W78" i="5"/>
  <c r="D78" i="5"/>
  <c r="W77" i="5"/>
  <c r="D77" i="5"/>
  <c r="D76" i="5"/>
  <c r="C76" i="5" s="1"/>
  <c r="W75" i="5"/>
  <c r="D75" i="5"/>
  <c r="W74" i="5"/>
  <c r="D74" i="5"/>
  <c r="W73" i="5"/>
  <c r="D73" i="5"/>
  <c r="W72" i="5"/>
  <c r="D72" i="5"/>
  <c r="W71" i="5"/>
  <c r="D71" i="5"/>
  <c r="D70" i="5"/>
  <c r="C70" i="5" s="1"/>
  <c r="D69" i="5"/>
  <c r="C69" i="5" s="1"/>
  <c r="W68" i="5"/>
  <c r="D68" i="5"/>
  <c r="W67" i="5"/>
  <c r="D67" i="5"/>
  <c r="W66" i="5"/>
  <c r="D66" i="5"/>
  <c r="W65" i="5"/>
  <c r="D65" i="5"/>
  <c r="W64" i="5"/>
  <c r="D64" i="5"/>
  <c r="W63" i="5"/>
  <c r="D63" i="5"/>
  <c r="W62" i="5"/>
  <c r="D62" i="5"/>
  <c r="D61" i="5"/>
  <c r="C61" i="5" s="1"/>
  <c r="D60" i="5"/>
  <c r="C60" i="5" s="1"/>
  <c r="W59" i="5"/>
  <c r="D59" i="5"/>
  <c r="D58" i="5"/>
  <c r="C58" i="5" s="1"/>
  <c r="W57" i="5"/>
  <c r="D57" i="5"/>
  <c r="D56" i="5"/>
  <c r="C56" i="5" s="1"/>
  <c r="W55" i="5"/>
  <c r="D55" i="5"/>
  <c r="W54" i="5"/>
  <c r="D54" i="5"/>
  <c r="W53" i="5"/>
  <c r="D53" i="5"/>
  <c r="W52" i="5"/>
  <c r="D52" i="5"/>
  <c r="D51" i="5"/>
  <c r="C51" i="5" s="1"/>
  <c r="W50" i="5"/>
  <c r="D50" i="5"/>
  <c r="W49" i="5"/>
  <c r="D49" i="5"/>
  <c r="W48" i="5"/>
  <c r="D48" i="5"/>
  <c r="W47" i="5"/>
  <c r="D47" i="5"/>
  <c r="W46" i="5"/>
  <c r="D46" i="5"/>
  <c r="D45" i="5"/>
  <c r="C45" i="5" s="1"/>
  <c r="W44" i="5"/>
  <c r="D44" i="5"/>
  <c r="W43" i="5"/>
  <c r="D43" i="5"/>
  <c r="D42" i="5"/>
  <c r="C42" i="5" s="1"/>
  <c r="W41" i="5"/>
  <c r="D41" i="5"/>
  <c r="W40" i="5"/>
  <c r="D40" i="5"/>
  <c r="W39" i="5"/>
  <c r="D39" i="5"/>
  <c r="W38" i="5"/>
  <c r="D38" i="5"/>
  <c r="W37" i="5"/>
  <c r="D37" i="5"/>
  <c r="W36" i="5"/>
  <c r="D36" i="5"/>
  <c r="W35" i="5"/>
  <c r="D35" i="5"/>
  <c r="W34" i="5"/>
  <c r="D34" i="5"/>
  <c r="W33" i="5"/>
  <c r="D33" i="5"/>
  <c r="W32" i="5"/>
  <c r="D32" i="5"/>
  <c r="W31" i="5"/>
  <c r="D31" i="5"/>
  <c r="W30" i="5"/>
  <c r="D30" i="5"/>
  <c r="W29" i="5"/>
  <c r="D29" i="5"/>
  <c r="W28" i="5"/>
  <c r="D28" i="5"/>
  <c r="W27" i="5"/>
  <c r="D27" i="5"/>
  <c r="W26" i="5"/>
  <c r="D26" i="5"/>
  <c r="D25" i="5"/>
  <c r="C25" i="5" s="1"/>
  <c r="W24" i="5"/>
  <c r="D24" i="5"/>
  <c r="D23" i="5"/>
  <c r="C23" i="5" s="1"/>
  <c r="W22" i="5"/>
  <c r="D22" i="5"/>
  <c r="W21" i="5"/>
  <c r="D21" i="5"/>
  <c r="D20" i="5"/>
  <c r="C20" i="5" s="1"/>
  <c r="W19" i="5"/>
  <c r="P19" i="5"/>
  <c r="P119" i="5" s="1"/>
  <c r="D19" i="5"/>
  <c r="W18" i="5"/>
  <c r="D18" i="5"/>
  <c r="W17" i="5"/>
  <c r="D17" i="5"/>
  <c r="W16" i="5"/>
  <c r="D16" i="5"/>
  <c r="W15" i="5"/>
  <c r="D15" i="5"/>
  <c r="W14" i="5"/>
  <c r="D14" i="5"/>
  <c r="W13" i="5"/>
  <c r="D13" i="5"/>
  <c r="A31" i="5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W12" i="5"/>
  <c r="D12" i="5"/>
  <c r="W822" i="4"/>
  <c r="V822" i="4"/>
  <c r="U822" i="4"/>
  <c r="T822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1" i="4"/>
  <c r="C821" i="4" s="1"/>
  <c r="D820" i="4"/>
  <c r="C820" i="4" s="1"/>
  <c r="W818" i="4"/>
  <c r="V818" i="4"/>
  <c r="U818" i="4"/>
  <c r="T818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E818" i="4"/>
  <c r="F817" i="4"/>
  <c r="D817" i="4" s="1"/>
  <c r="C817" i="4" s="1"/>
  <c r="N3724" i="2" s="1"/>
  <c r="J3724" i="2" s="1"/>
  <c r="F816" i="4"/>
  <c r="D816" i="4" s="1"/>
  <c r="C816" i="4" s="1"/>
  <c r="N3723" i="2" s="1"/>
  <c r="J3723" i="2" s="1"/>
  <c r="F815" i="4"/>
  <c r="D815" i="4" s="1"/>
  <c r="C815" i="4" s="1"/>
  <c r="N3722" i="2" s="1"/>
  <c r="J3722" i="2" s="1"/>
  <c r="F814" i="4"/>
  <c r="D814" i="4" s="1"/>
  <c r="C814" i="4" s="1"/>
  <c r="N3721" i="2" s="1"/>
  <c r="J3721" i="2" s="1"/>
  <c r="D813" i="4"/>
  <c r="C813" i="4" s="1"/>
  <c r="N3720" i="2" s="1"/>
  <c r="J3720" i="2" s="1"/>
  <c r="D812" i="4"/>
  <c r="C812" i="4" s="1"/>
  <c r="D811" i="4"/>
  <c r="C811" i="4" s="1"/>
  <c r="N3718" i="2" s="1"/>
  <c r="J3718" i="2" s="1"/>
  <c r="D810" i="4"/>
  <c r="C810" i="4" s="1"/>
  <c r="N3717" i="2" s="1"/>
  <c r="J3717" i="2" s="1"/>
  <c r="D809" i="4"/>
  <c r="C809" i="4" s="1"/>
  <c r="N3716" i="2" s="1"/>
  <c r="J3716" i="2" s="1"/>
  <c r="D808" i="4"/>
  <c r="C808" i="4" s="1"/>
  <c r="N3715" i="2" s="1"/>
  <c r="J3715" i="2" s="1"/>
  <c r="D807" i="4"/>
  <c r="C807" i="4" s="1"/>
  <c r="N3714" i="2" s="1"/>
  <c r="J3714" i="2" s="1"/>
  <c r="D806" i="4"/>
  <c r="C806" i="4" s="1"/>
  <c r="D805" i="4"/>
  <c r="C805" i="4" s="1"/>
  <c r="N3712" i="2" s="1"/>
  <c r="J3712" i="2" s="1"/>
  <c r="D804" i="4"/>
  <c r="C804" i="4" s="1"/>
  <c r="N3711" i="2" s="1"/>
  <c r="J3711" i="2" s="1"/>
  <c r="D803" i="4"/>
  <c r="C803" i="4" s="1"/>
  <c r="D802" i="4"/>
  <c r="C802" i="4" s="1"/>
  <c r="D801" i="4"/>
  <c r="C801" i="4" s="1"/>
  <c r="N3710" i="2" s="1"/>
  <c r="J3710" i="2" s="1"/>
  <c r="D800" i="4"/>
  <c r="C800" i="4" s="1"/>
  <c r="W798" i="4"/>
  <c r="V798" i="4"/>
  <c r="U798" i="4"/>
  <c r="T798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7" i="4"/>
  <c r="D798" i="4" s="1"/>
  <c r="W795" i="4"/>
  <c r="V795" i="4"/>
  <c r="U795" i="4"/>
  <c r="T795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4" i="4"/>
  <c r="C794" i="4" s="1"/>
  <c r="D793" i="4"/>
  <c r="C793" i="4" s="1"/>
  <c r="D792" i="4"/>
  <c r="C792" i="4" s="1"/>
  <c r="D791" i="4"/>
  <c r="C791" i="4" s="1"/>
  <c r="W789" i="4"/>
  <c r="V789" i="4"/>
  <c r="U789" i="4"/>
  <c r="T789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8" i="4"/>
  <c r="C788" i="4" s="1"/>
  <c r="D787" i="4"/>
  <c r="C787" i="4" s="1"/>
  <c r="D786" i="4"/>
  <c r="C786" i="4" s="1"/>
  <c r="W784" i="4"/>
  <c r="V784" i="4"/>
  <c r="U784" i="4"/>
  <c r="T784" i="4"/>
  <c r="M784" i="4"/>
  <c r="L784" i="4"/>
  <c r="K784" i="4"/>
  <c r="J784" i="4"/>
  <c r="I784" i="4"/>
  <c r="H784" i="4"/>
  <c r="G784" i="4"/>
  <c r="F784" i="4"/>
  <c r="E784" i="4"/>
  <c r="D783" i="4"/>
  <c r="D784" i="4" s="1"/>
  <c r="W781" i="4"/>
  <c r="V781" i="4"/>
  <c r="U781" i="4"/>
  <c r="T781" i="4"/>
  <c r="S781" i="4"/>
  <c r="R781" i="4"/>
  <c r="Q781" i="4"/>
  <c r="P781" i="4"/>
  <c r="O781" i="4"/>
  <c r="N781" i="4"/>
  <c r="M781" i="4"/>
  <c r="L781" i="4"/>
  <c r="K781" i="4"/>
  <c r="J781" i="4"/>
  <c r="H781" i="4"/>
  <c r="G781" i="4"/>
  <c r="F781" i="4"/>
  <c r="E781" i="4"/>
  <c r="I780" i="4"/>
  <c r="I781" i="4" s="1"/>
  <c r="D779" i="4"/>
  <c r="C779" i="4" s="1"/>
  <c r="D778" i="4"/>
  <c r="C778" i="4" s="1"/>
  <c r="V774" i="4"/>
  <c r="U774" i="4"/>
  <c r="T774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W773" i="4"/>
  <c r="W774" i="4" s="1"/>
  <c r="D773" i="4"/>
  <c r="D774" i="4" s="1"/>
  <c r="W772" i="4"/>
  <c r="D770" i="4"/>
  <c r="C770" i="4" s="1"/>
  <c r="D769" i="4"/>
  <c r="C769" i="4" s="1"/>
  <c r="D768" i="4"/>
  <c r="C768" i="4" s="1"/>
  <c r="D767" i="4"/>
  <c r="C767" i="4" s="1"/>
  <c r="D766" i="4"/>
  <c r="C766" i="4" s="1"/>
  <c r="D765" i="4"/>
  <c r="C765" i="4" s="1"/>
  <c r="D764" i="4"/>
  <c r="C764" i="4" s="1"/>
  <c r="D763" i="4"/>
  <c r="C763" i="4" s="1"/>
  <c r="D762" i="4"/>
  <c r="C762" i="4" s="1"/>
  <c r="D761" i="4"/>
  <c r="C761" i="4" s="1"/>
  <c r="D760" i="4"/>
  <c r="C760" i="4" s="1"/>
  <c r="D759" i="4"/>
  <c r="C759" i="4" s="1"/>
  <c r="D758" i="4"/>
  <c r="C758" i="4" s="1"/>
  <c r="D757" i="4"/>
  <c r="C757" i="4" s="1"/>
  <c r="D756" i="4"/>
  <c r="C756" i="4" s="1"/>
  <c r="D755" i="4"/>
  <c r="C755" i="4" s="1"/>
  <c r="D754" i="4"/>
  <c r="C754" i="4" s="1"/>
  <c r="D753" i="4"/>
  <c r="C753" i="4" s="1"/>
  <c r="D752" i="4"/>
  <c r="C752" i="4" s="1"/>
  <c r="D751" i="4"/>
  <c r="C751" i="4" s="1"/>
  <c r="D750" i="4"/>
  <c r="C750" i="4" s="1"/>
  <c r="D749" i="4"/>
  <c r="W748" i="4"/>
  <c r="W747" i="4"/>
  <c r="V747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6" i="4"/>
  <c r="D747" i="4" s="1"/>
  <c r="W745" i="4"/>
  <c r="W744" i="4"/>
  <c r="V744" i="4"/>
  <c r="U744" i="4"/>
  <c r="T744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3" i="4"/>
  <c r="C743" i="4" s="1"/>
  <c r="D742" i="4"/>
  <c r="C742" i="4" s="1"/>
  <c r="D741" i="4"/>
  <c r="W738" i="4"/>
  <c r="V738" i="4"/>
  <c r="U738" i="4"/>
  <c r="T738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7" i="4"/>
  <c r="C737" i="4" s="1"/>
  <c r="D736" i="4"/>
  <c r="C736" i="4" s="1"/>
  <c r="D735" i="4"/>
  <c r="C735" i="4" s="1"/>
  <c r="D734" i="4"/>
  <c r="C734" i="4" s="1"/>
  <c r="D733" i="4"/>
  <c r="C733" i="4" s="1"/>
  <c r="D732" i="4"/>
  <c r="C732" i="4" s="1"/>
  <c r="D731" i="4"/>
  <c r="C731" i="4" s="1"/>
  <c r="D730" i="4"/>
  <c r="C730" i="4" s="1"/>
  <c r="D729" i="4"/>
  <c r="C729" i="4" s="1"/>
  <c r="D728" i="4"/>
  <c r="C728" i="4" s="1"/>
  <c r="D727" i="4"/>
  <c r="C727" i="4" s="1"/>
  <c r="D726" i="4"/>
  <c r="C726" i="4" s="1"/>
  <c r="D725" i="4"/>
  <c r="C725" i="4" s="1"/>
  <c r="D724" i="4"/>
  <c r="C724" i="4" s="1"/>
  <c r="D723" i="4"/>
  <c r="C723" i="4" s="1"/>
  <c r="D722" i="4"/>
  <c r="C722" i="4" s="1"/>
  <c r="D721" i="4"/>
  <c r="C721" i="4" s="1"/>
  <c r="D720" i="4"/>
  <c r="C720" i="4" s="1"/>
  <c r="D719" i="4"/>
  <c r="C719" i="4" s="1"/>
  <c r="D718" i="4"/>
  <c r="C718" i="4" s="1"/>
  <c r="D717" i="4"/>
  <c r="C717" i="4" s="1"/>
  <c r="D716" i="4"/>
  <c r="C716" i="4" s="1"/>
  <c r="D715" i="4"/>
  <c r="C715" i="4" s="1"/>
  <c r="D714" i="4"/>
  <c r="C714" i="4" s="1"/>
  <c r="D713" i="4"/>
  <c r="C713" i="4" s="1"/>
  <c r="D712" i="4"/>
  <c r="C712" i="4" s="1"/>
  <c r="D711" i="4"/>
  <c r="C711" i="4" s="1"/>
  <c r="D710" i="4"/>
  <c r="C710" i="4" s="1"/>
  <c r="W706" i="4"/>
  <c r="W707" i="4" s="1"/>
  <c r="V706" i="4"/>
  <c r="V707" i="4" s="1"/>
  <c r="U706" i="4"/>
  <c r="U707" i="4" s="1"/>
  <c r="T706" i="4"/>
  <c r="T707" i="4" s="1"/>
  <c r="S706" i="4"/>
  <c r="S707" i="4" s="1"/>
  <c r="R706" i="4"/>
  <c r="R707" i="4" s="1"/>
  <c r="Q706" i="4"/>
  <c r="Q707" i="4" s="1"/>
  <c r="P706" i="4"/>
  <c r="P707" i="4" s="1"/>
  <c r="O706" i="4"/>
  <c r="O707" i="4" s="1"/>
  <c r="N706" i="4"/>
  <c r="N707" i="4" s="1"/>
  <c r="M706" i="4"/>
  <c r="M707" i="4" s="1"/>
  <c r="L706" i="4"/>
  <c r="L707" i="4" s="1"/>
  <c r="K706" i="4"/>
  <c r="K707" i="4" s="1"/>
  <c r="J706" i="4"/>
  <c r="J707" i="4" s="1"/>
  <c r="I706" i="4"/>
  <c r="I707" i="4" s="1"/>
  <c r="H706" i="4"/>
  <c r="H707" i="4" s="1"/>
  <c r="G706" i="4"/>
  <c r="G707" i="4" s="1"/>
  <c r="F706" i="4"/>
  <c r="F707" i="4" s="1"/>
  <c r="E706" i="4"/>
  <c r="E707" i="4" s="1"/>
  <c r="D705" i="4"/>
  <c r="C705" i="4" s="1"/>
  <c r="D704" i="4"/>
  <c r="C704" i="4" s="1"/>
  <c r="D703" i="4"/>
  <c r="C703" i="4" s="1"/>
  <c r="D702" i="4"/>
  <c r="C702" i="4" s="1"/>
  <c r="D701" i="4"/>
  <c r="C701" i="4" s="1"/>
  <c r="W696" i="4"/>
  <c r="V696" i="4"/>
  <c r="U696" i="4"/>
  <c r="T696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5" i="4"/>
  <c r="C695" i="4" s="1"/>
  <c r="D694" i="4"/>
  <c r="C694" i="4" s="1"/>
  <c r="W692" i="4"/>
  <c r="V692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1" i="4"/>
  <c r="C691" i="4" s="1"/>
  <c r="D690" i="4"/>
  <c r="C690" i="4" s="1"/>
  <c r="D689" i="4"/>
  <c r="C689" i="4" s="1"/>
  <c r="W687" i="4"/>
  <c r="V687" i="4"/>
  <c r="U687" i="4"/>
  <c r="T687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6" i="4"/>
  <c r="C686" i="4" s="1"/>
  <c r="D685" i="4"/>
  <c r="C685" i="4" s="1"/>
  <c r="W683" i="4"/>
  <c r="V683" i="4"/>
  <c r="U683" i="4"/>
  <c r="T683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2" i="4"/>
  <c r="C682" i="4" s="1"/>
  <c r="N2933" i="2" s="1"/>
  <c r="J2933" i="2" s="1"/>
  <c r="D681" i="4"/>
  <c r="C681" i="4" s="1"/>
  <c r="N2932" i="2" s="1"/>
  <c r="J2932" i="2" s="1"/>
  <c r="W679" i="4"/>
  <c r="V679" i="4"/>
  <c r="U679" i="4"/>
  <c r="T679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8" i="4"/>
  <c r="C678" i="4" s="1"/>
  <c r="D677" i="4"/>
  <c r="C677" i="4" s="1"/>
  <c r="N2913" i="2" s="1"/>
  <c r="J2913" i="2" s="1"/>
  <c r="W675" i="4"/>
  <c r="V675" i="4"/>
  <c r="U675" i="4"/>
  <c r="T675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4" i="4"/>
  <c r="C674" i="4" s="1"/>
  <c r="C675" i="4" s="1"/>
  <c r="W672" i="4"/>
  <c r="V672" i="4"/>
  <c r="U672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1" i="4"/>
  <c r="C671" i="4" s="1"/>
  <c r="C672" i="4" s="1"/>
  <c r="W664" i="4"/>
  <c r="W668" i="4" s="1"/>
  <c r="U664" i="4"/>
  <c r="U668" i="4" s="1"/>
  <c r="T664" i="4"/>
  <c r="T668" i="4" s="1"/>
  <c r="S664" i="4"/>
  <c r="S668" i="4" s="1"/>
  <c r="R664" i="4"/>
  <c r="R668" i="4" s="1"/>
  <c r="Q664" i="4"/>
  <c r="Q668" i="4" s="1"/>
  <c r="P664" i="4"/>
  <c r="P668" i="4" s="1"/>
  <c r="O664" i="4"/>
  <c r="O668" i="4" s="1"/>
  <c r="N664" i="4"/>
  <c r="N668" i="4" s="1"/>
  <c r="M664" i="4"/>
  <c r="M668" i="4" s="1"/>
  <c r="L664" i="4"/>
  <c r="L668" i="4" s="1"/>
  <c r="K664" i="4"/>
  <c r="K668" i="4" s="1"/>
  <c r="J664" i="4"/>
  <c r="J668" i="4" s="1"/>
  <c r="I664" i="4"/>
  <c r="I668" i="4" s="1"/>
  <c r="H664" i="4"/>
  <c r="H668" i="4" s="1"/>
  <c r="G664" i="4"/>
  <c r="G668" i="4" s="1"/>
  <c r="F664" i="4"/>
  <c r="F668" i="4" s="1"/>
  <c r="E664" i="4"/>
  <c r="E668" i="4" s="1"/>
  <c r="D663" i="4"/>
  <c r="C663" i="4" s="1"/>
  <c r="D662" i="4"/>
  <c r="C662" i="4" s="1"/>
  <c r="V661" i="4"/>
  <c r="V664" i="4" s="1"/>
  <c r="V668" i="4" s="1"/>
  <c r="D661" i="4"/>
  <c r="D660" i="4"/>
  <c r="C660" i="4" s="1"/>
  <c r="N2866" i="2" s="1"/>
  <c r="J2866" i="2" s="1"/>
  <c r="W656" i="4"/>
  <c r="V656" i="4"/>
  <c r="U656" i="4"/>
  <c r="T656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5" i="4"/>
  <c r="C655" i="4" s="1"/>
  <c r="N2830" i="2" s="1"/>
  <c r="J2830" i="2" s="1"/>
  <c r="D654" i="4"/>
  <c r="C654" i="4" s="1"/>
  <c r="N2829" i="2" s="1"/>
  <c r="J2829" i="2" s="1"/>
  <c r="D653" i="4"/>
  <c r="D652" i="4"/>
  <c r="C652" i="4" s="1"/>
  <c r="W650" i="4"/>
  <c r="V650" i="4"/>
  <c r="U650" i="4"/>
  <c r="T650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49" i="4"/>
  <c r="C649" i="4" s="1"/>
  <c r="D648" i="4"/>
  <c r="C648" i="4" s="1"/>
  <c r="D647" i="4"/>
  <c r="C647" i="4" s="1"/>
  <c r="W645" i="4"/>
  <c r="V645" i="4"/>
  <c r="U645" i="4"/>
  <c r="T645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4" i="4"/>
  <c r="C644" i="4" s="1"/>
  <c r="D643" i="4"/>
  <c r="C643" i="4" s="1"/>
  <c r="N2818" i="2" s="1"/>
  <c r="J2818" i="2" s="1"/>
  <c r="D642" i="4"/>
  <c r="C642" i="4" s="1"/>
  <c r="N2817" i="2" s="1"/>
  <c r="J2817" i="2" s="1"/>
  <c r="D641" i="4"/>
  <c r="C641" i="4" s="1"/>
  <c r="D640" i="4"/>
  <c r="C640" i="4" s="1"/>
  <c r="N2812" i="2" s="1"/>
  <c r="J2812" i="2" s="1"/>
  <c r="D639" i="4"/>
  <c r="C639" i="4" s="1"/>
  <c r="N2811" i="2" s="1"/>
  <c r="J2811" i="2" s="1"/>
  <c r="D638" i="4"/>
  <c r="C638" i="4" s="1"/>
  <c r="N2810" i="2" s="1"/>
  <c r="J2810" i="2" s="1"/>
  <c r="D637" i="4"/>
  <c r="C637" i="4" s="1"/>
  <c r="N2809" i="2" s="1"/>
  <c r="J2809" i="2" s="1"/>
  <c r="D636" i="4"/>
  <c r="C636" i="4" s="1"/>
  <c r="N2808" i="2" s="1"/>
  <c r="J2808" i="2" s="1"/>
  <c r="D635" i="4"/>
  <c r="C635" i="4" s="1"/>
  <c r="N2807" i="2" s="1"/>
  <c r="J2807" i="2" s="1"/>
  <c r="W633" i="4"/>
  <c r="V633" i="4"/>
  <c r="U633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2" i="4"/>
  <c r="C632" i="4" s="1"/>
  <c r="C633" i="4" s="1"/>
  <c r="W630" i="4"/>
  <c r="V630" i="4"/>
  <c r="U630" i="4"/>
  <c r="T630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29" i="4"/>
  <c r="C629" i="4" s="1"/>
  <c r="D628" i="4"/>
  <c r="W626" i="4"/>
  <c r="V626" i="4"/>
  <c r="U626" i="4"/>
  <c r="T626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D625" i="4"/>
  <c r="C625" i="4" s="1"/>
  <c r="D624" i="4"/>
  <c r="C624" i="4" s="1"/>
  <c r="D623" i="4"/>
  <c r="C623" i="4" s="1"/>
  <c r="D622" i="4"/>
  <c r="C622" i="4" s="1"/>
  <c r="E621" i="4"/>
  <c r="E626" i="4" s="1"/>
  <c r="D620" i="4"/>
  <c r="C620" i="4" s="1"/>
  <c r="D619" i="4"/>
  <c r="C619" i="4" s="1"/>
  <c r="D618" i="4"/>
  <c r="C618" i="4" s="1"/>
  <c r="D617" i="4"/>
  <c r="C617" i="4" s="1"/>
  <c r="D616" i="4"/>
  <c r="C616" i="4" s="1"/>
  <c r="D615" i="4"/>
  <c r="C615" i="4" s="1"/>
  <c r="D614" i="4"/>
  <c r="C614" i="4" s="1"/>
  <c r="D613" i="4"/>
  <c r="C613" i="4" s="1"/>
  <c r="W611" i="4"/>
  <c r="V611" i="4"/>
  <c r="U611" i="4"/>
  <c r="T611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0" i="4"/>
  <c r="C610" i="4" s="1"/>
  <c r="D609" i="4"/>
  <c r="C609" i="4" s="1"/>
  <c r="N2763" i="2" s="1"/>
  <c r="J2763" i="2" s="1"/>
  <c r="D608" i="4"/>
  <c r="C608" i="4" s="1"/>
  <c r="V606" i="4"/>
  <c r="U606" i="4"/>
  <c r="T606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5" i="4"/>
  <c r="C605" i="4" s="1"/>
  <c r="N2753" i="2" s="1"/>
  <c r="J2753" i="2" s="1"/>
  <c r="D604" i="4"/>
  <c r="C604" i="4" s="1"/>
  <c r="D603" i="4"/>
  <c r="C603" i="4" s="1"/>
  <c r="D602" i="4"/>
  <c r="C602" i="4" s="1"/>
  <c r="D601" i="4"/>
  <c r="C601" i="4" s="1"/>
  <c r="D600" i="4"/>
  <c r="C600" i="4" s="1"/>
  <c r="D599" i="4"/>
  <c r="C599" i="4" s="1"/>
  <c r="D598" i="4"/>
  <c r="C598" i="4" s="1"/>
  <c r="N2743" i="2" s="1"/>
  <c r="J2743" i="2" s="1"/>
  <c r="D597" i="4"/>
  <c r="C597" i="4" s="1"/>
  <c r="N2742" i="2" s="1"/>
  <c r="J2742" i="2" s="1"/>
  <c r="D596" i="4"/>
  <c r="C596" i="4" s="1"/>
  <c r="W595" i="4"/>
  <c r="D595" i="4"/>
  <c r="W594" i="4"/>
  <c r="D594" i="4"/>
  <c r="W593" i="4"/>
  <c r="D593" i="4"/>
  <c r="D592" i="4"/>
  <c r="C592" i="4" s="1"/>
  <c r="D591" i="4"/>
  <c r="C591" i="4" s="1"/>
  <c r="N2717" i="2" s="1"/>
  <c r="J2717" i="2" s="1"/>
  <c r="D590" i="4"/>
  <c r="C590" i="4" s="1"/>
  <c r="W589" i="4"/>
  <c r="D589" i="4"/>
  <c r="D588" i="4"/>
  <c r="C588" i="4" s="1"/>
  <c r="D587" i="4"/>
  <c r="C587" i="4" s="1"/>
  <c r="N2704" i="2" s="1"/>
  <c r="J2704" i="2" s="1"/>
  <c r="D586" i="4"/>
  <c r="C586" i="4" s="1"/>
  <c r="N2703" i="2" s="1"/>
  <c r="J2703" i="2" s="1"/>
  <c r="D585" i="4"/>
  <c r="C585" i="4" s="1"/>
  <c r="W584" i="4"/>
  <c r="D584" i="4"/>
  <c r="D583" i="4"/>
  <c r="C583" i="4" s="1"/>
  <c r="W581" i="4"/>
  <c r="V581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0" i="4"/>
  <c r="D581" i="4" s="1"/>
  <c r="W576" i="4"/>
  <c r="U576" i="4"/>
  <c r="T576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V575" i="4"/>
  <c r="V576" i="4" s="1"/>
  <c r="D575" i="4"/>
  <c r="W573" i="4"/>
  <c r="V573" i="4"/>
  <c r="U573" i="4"/>
  <c r="T573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2" i="4"/>
  <c r="C572" i="4" s="1"/>
  <c r="C573" i="4" s="1"/>
  <c r="V570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W569" i="4"/>
  <c r="D569" i="4"/>
  <c r="D568" i="4"/>
  <c r="W566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X565" i="4"/>
  <c r="V565" i="4"/>
  <c r="V566" i="4" s="1"/>
  <c r="D565" i="4"/>
  <c r="W563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E563" i="4"/>
  <c r="V562" i="4"/>
  <c r="V563" i="4" s="1"/>
  <c r="F562" i="4"/>
  <c r="F563" i="4" s="1"/>
  <c r="W560" i="4"/>
  <c r="V560" i="4"/>
  <c r="U560" i="4"/>
  <c r="T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59" i="4"/>
  <c r="D558" i="4"/>
  <c r="D557" i="4"/>
  <c r="D556" i="4"/>
  <c r="W554" i="4"/>
  <c r="V554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3" i="4"/>
  <c r="D554" i="4" s="1"/>
  <c r="W551" i="4"/>
  <c r="U551" i="4"/>
  <c r="T551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D550" i="4"/>
  <c r="C550" i="4" s="1"/>
  <c r="V549" i="4"/>
  <c r="E549" i="4"/>
  <c r="E551" i="4" s="1"/>
  <c r="V548" i="4"/>
  <c r="D548" i="4"/>
  <c r="V547" i="4"/>
  <c r="D547" i="4"/>
  <c r="V546" i="4"/>
  <c r="D546" i="4"/>
  <c r="D545" i="4"/>
  <c r="C545" i="4" s="1"/>
  <c r="D544" i="4"/>
  <c r="C544" i="4" s="1"/>
  <c r="W540" i="4"/>
  <c r="W541" i="4" s="1"/>
  <c r="V540" i="4"/>
  <c r="V541" i="4" s="1"/>
  <c r="U540" i="4"/>
  <c r="U541" i="4" s="1"/>
  <c r="T540" i="4"/>
  <c r="T541" i="4" s="1"/>
  <c r="S540" i="4"/>
  <c r="S541" i="4" s="1"/>
  <c r="R540" i="4"/>
  <c r="R541" i="4" s="1"/>
  <c r="Q540" i="4"/>
  <c r="Q541" i="4" s="1"/>
  <c r="P540" i="4"/>
  <c r="P541" i="4" s="1"/>
  <c r="O540" i="4"/>
  <c r="O541" i="4" s="1"/>
  <c r="N540" i="4"/>
  <c r="N541" i="4" s="1"/>
  <c r="M540" i="4"/>
  <c r="M541" i="4" s="1"/>
  <c r="L540" i="4"/>
  <c r="L541" i="4" s="1"/>
  <c r="K540" i="4"/>
  <c r="K541" i="4" s="1"/>
  <c r="J540" i="4"/>
  <c r="J541" i="4" s="1"/>
  <c r="I540" i="4"/>
  <c r="I541" i="4" s="1"/>
  <c r="H540" i="4"/>
  <c r="H541" i="4" s="1"/>
  <c r="F540" i="4"/>
  <c r="F541" i="4" s="1"/>
  <c r="E540" i="4"/>
  <c r="E541" i="4" s="1"/>
  <c r="Y539" i="4"/>
  <c r="D539" i="4"/>
  <c r="C539" i="4" s="1"/>
  <c r="D538" i="4"/>
  <c r="C538" i="4" s="1"/>
  <c r="Y537" i="4"/>
  <c r="D537" i="4"/>
  <c r="C537" i="4" s="1"/>
  <c r="D536" i="4"/>
  <c r="C536" i="4" s="1"/>
  <c r="D535" i="4"/>
  <c r="C535" i="4" s="1"/>
  <c r="D534" i="4"/>
  <c r="C534" i="4" s="1"/>
  <c r="D533" i="4"/>
  <c r="C533" i="4" s="1"/>
  <c r="D532" i="4"/>
  <c r="C532" i="4" s="1"/>
  <c r="D531" i="4"/>
  <c r="C531" i="4" s="1"/>
  <c r="D530" i="4"/>
  <c r="C530" i="4" s="1"/>
  <c r="D529" i="4"/>
  <c r="C529" i="4" s="1"/>
  <c r="Y528" i="4"/>
  <c r="D528" i="4"/>
  <c r="C528" i="4" s="1"/>
  <c r="D527" i="4"/>
  <c r="C527" i="4" s="1"/>
  <c r="D526" i="4"/>
  <c r="C526" i="4" s="1"/>
  <c r="G525" i="4"/>
  <c r="G540" i="4" s="1"/>
  <c r="G541" i="4" s="1"/>
  <c r="Y524" i="4"/>
  <c r="D524" i="4"/>
  <c r="C524" i="4" s="1"/>
  <c r="Y523" i="4"/>
  <c r="D523" i="4"/>
  <c r="C523" i="4" s="1"/>
  <c r="Y519" i="4"/>
  <c r="W519" i="4"/>
  <c r="V519" i="4"/>
  <c r="U519" i="4"/>
  <c r="T519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8" i="4"/>
  <c r="C518" i="4" s="1"/>
  <c r="D517" i="4"/>
  <c r="C517" i="4" s="1"/>
  <c r="D516" i="4"/>
  <c r="C516" i="4" s="1"/>
  <c r="D515" i="4"/>
  <c r="C515" i="4" s="1"/>
  <c r="D514" i="4"/>
  <c r="C514" i="4" s="1"/>
  <c r="D513" i="4"/>
  <c r="C513" i="4" s="1"/>
  <c r="D512" i="4"/>
  <c r="C512" i="4" s="1"/>
  <c r="D511" i="4"/>
  <c r="C511" i="4" s="1"/>
  <c r="D510" i="4"/>
  <c r="C510" i="4" s="1"/>
  <c r="D509" i="4"/>
  <c r="C509" i="4" s="1"/>
  <c r="D508" i="4"/>
  <c r="C508" i="4" s="1"/>
  <c r="D507" i="4"/>
  <c r="C507" i="4" s="1"/>
  <c r="D506" i="4"/>
  <c r="C506" i="4" s="1"/>
  <c r="D505" i="4"/>
  <c r="C505" i="4" s="1"/>
  <c r="D504" i="4"/>
  <c r="C504" i="4" s="1"/>
  <c r="D503" i="4"/>
  <c r="C503" i="4" s="1"/>
  <c r="D502" i="4"/>
  <c r="C502" i="4" s="1"/>
  <c r="D501" i="4"/>
  <c r="C501" i="4" s="1"/>
  <c r="D500" i="4"/>
  <c r="C500" i="4" s="1"/>
  <c r="Y498" i="4"/>
  <c r="W498" i="4"/>
  <c r="V498" i="4"/>
  <c r="U498" i="4"/>
  <c r="T498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7" i="4"/>
  <c r="C497" i="4" s="1"/>
  <c r="D496" i="4"/>
  <c r="C496" i="4" s="1"/>
  <c r="D495" i="4"/>
  <c r="C495" i="4" s="1"/>
  <c r="Y493" i="4"/>
  <c r="W493" i="4"/>
  <c r="V493" i="4"/>
  <c r="U493" i="4"/>
  <c r="T493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2" i="4"/>
  <c r="C492" i="4" s="1"/>
  <c r="C493" i="4" s="1"/>
  <c r="Y490" i="4"/>
  <c r="W490" i="4"/>
  <c r="V490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89" i="4"/>
  <c r="C489" i="4" s="1"/>
  <c r="D488" i="4"/>
  <c r="C488" i="4" s="1"/>
  <c r="D487" i="4"/>
  <c r="C487" i="4" s="1"/>
  <c r="D486" i="4"/>
  <c r="C486" i="4" s="1"/>
  <c r="D485" i="4"/>
  <c r="C485" i="4" s="1"/>
  <c r="Y483" i="4"/>
  <c r="V483" i="4"/>
  <c r="U483" i="4"/>
  <c r="T483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W482" i="4"/>
  <c r="D482" i="4"/>
  <c r="W481" i="4"/>
  <c r="D481" i="4"/>
  <c r="Y479" i="4"/>
  <c r="W479" i="4"/>
  <c r="V479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8" i="4"/>
  <c r="C478" i="4" s="1"/>
  <c r="D477" i="4"/>
  <c r="C477" i="4" s="1"/>
  <c r="D476" i="4"/>
  <c r="C476" i="4" s="1"/>
  <c r="D475" i="4"/>
  <c r="C475" i="4" s="1"/>
  <c r="D474" i="4"/>
  <c r="C474" i="4" s="1"/>
  <c r="Y472" i="4"/>
  <c r="X472" i="4"/>
  <c r="W472" i="4"/>
  <c r="V472" i="4"/>
  <c r="U472" i="4"/>
  <c r="T472" i="4"/>
  <c r="S472" i="4"/>
  <c r="R472" i="4"/>
  <c r="Q472" i="4"/>
  <c r="P472" i="4"/>
  <c r="O472" i="4"/>
  <c r="M472" i="4"/>
  <c r="L472" i="4"/>
  <c r="K472" i="4"/>
  <c r="J472" i="4"/>
  <c r="I472" i="4"/>
  <c r="H472" i="4"/>
  <c r="G472" i="4"/>
  <c r="F472" i="4"/>
  <c r="D471" i="4"/>
  <c r="C471" i="4" s="1"/>
  <c r="D470" i="4"/>
  <c r="C470" i="4" s="1"/>
  <c r="D469" i="4"/>
  <c r="C469" i="4" s="1"/>
  <c r="D468" i="4"/>
  <c r="C468" i="4" s="1"/>
  <c r="D467" i="4"/>
  <c r="C467" i="4" s="1"/>
  <c r="D466" i="4"/>
  <c r="C466" i="4" s="1"/>
  <c r="D465" i="4"/>
  <c r="C465" i="4" s="1"/>
  <c r="D464" i="4"/>
  <c r="C464" i="4" s="1"/>
  <c r="D463" i="4"/>
  <c r="C463" i="4" s="1"/>
  <c r="D462" i="4"/>
  <c r="C462" i="4" s="1"/>
  <c r="E461" i="4"/>
  <c r="D460" i="4"/>
  <c r="C460" i="4" s="1"/>
  <c r="D459" i="4"/>
  <c r="C459" i="4" s="1"/>
  <c r="E458" i="4"/>
  <c r="D458" i="4" s="1"/>
  <c r="C458" i="4" s="1"/>
  <c r="D457" i="4"/>
  <c r="C457" i="4" s="1"/>
  <c r="D456" i="4"/>
  <c r="C456" i="4" s="1"/>
  <c r="D455" i="4"/>
  <c r="C455" i="4" s="1"/>
  <c r="D454" i="4"/>
  <c r="C454" i="4" s="1"/>
  <c r="D453" i="4"/>
  <c r="C453" i="4" s="1"/>
  <c r="D452" i="4"/>
  <c r="C452" i="4" s="1"/>
  <c r="D451" i="4"/>
  <c r="C451" i="4" s="1"/>
  <c r="D450" i="4"/>
  <c r="C450" i="4" s="1"/>
  <c r="D449" i="4"/>
  <c r="C449" i="4" s="1"/>
  <c r="N448" i="4"/>
  <c r="N472" i="4" s="1"/>
  <c r="D448" i="4"/>
  <c r="D447" i="4"/>
  <c r="C447" i="4" s="1"/>
  <c r="D446" i="4"/>
  <c r="C446" i="4" s="1"/>
  <c r="D445" i="4"/>
  <c r="C445" i="4" s="1"/>
  <c r="D444" i="4"/>
  <c r="C444" i="4" s="1"/>
  <c r="D443" i="4"/>
  <c r="C443" i="4" s="1"/>
  <c r="D442" i="4"/>
  <c r="C442" i="4" s="1"/>
  <c r="D441" i="4"/>
  <c r="C441" i="4" s="1"/>
  <c r="D440" i="4"/>
  <c r="C440" i="4" s="1"/>
  <c r="D439" i="4"/>
  <c r="C439" i="4" s="1"/>
  <c r="D438" i="4"/>
  <c r="C438" i="4" s="1"/>
  <c r="D437" i="4"/>
  <c r="C437" i="4" s="1"/>
  <c r="D436" i="4"/>
  <c r="C436" i="4" s="1"/>
  <c r="D435" i="4"/>
  <c r="C435" i="4" s="1"/>
  <c r="W431" i="4"/>
  <c r="V431" i="4"/>
  <c r="U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0" i="4"/>
  <c r="C430" i="4" s="1"/>
  <c r="D429" i="4"/>
  <c r="C429" i="4" s="1"/>
  <c r="D428" i="4"/>
  <c r="C428" i="4" s="1"/>
  <c r="D427" i="4"/>
  <c r="C427" i="4" s="1"/>
  <c r="W425" i="4"/>
  <c r="V425" i="4"/>
  <c r="U425" i="4"/>
  <c r="T425" i="4"/>
  <c r="S425" i="4"/>
  <c r="R425" i="4"/>
  <c r="Q425" i="4"/>
  <c r="P425" i="4"/>
  <c r="O425" i="4"/>
  <c r="N425" i="4"/>
  <c r="M425" i="4"/>
  <c r="I425" i="4"/>
  <c r="H425" i="4"/>
  <c r="G425" i="4"/>
  <c r="E425" i="4"/>
  <c r="D424" i="4"/>
  <c r="C424" i="4" s="1"/>
  <c r="N2033" i="2" s="1"/>
  <c r="J2033" i="2" s="1"/>
  <c r="D423" i="4"/>
  <c r="C423" i="4" s="1"/>
  <c r="N2032" i="2" s="1"/>
  <c r="J2032" i="2" s="1"/>
  <c r="D422" i="4"/>
  <c r="C422" i="4" s="1"/>
  <c r="N2031" i="2" s="1"/>
  <c r="J2031" i="2" s="1"/>
  <c r="D421" i="4"/>
  <c r="C421" i="4" s="1"/>
  <c r="D420" i="4"/>
  <c r="C420" i="4" s="1"/>
  <c r="N2028" i="2" s="1"/>
  <c r="J2028" i="2" s="1"/>
  <c r="D419" i="4"/>
  <c r="C419" i="4" s="1"/>
  <c r="N2024" i="2" s="1"/>
  <c r="J2024" i="2" s="1"/>
  <c r="D418" i="4"/>
  <c r="C418" i="4" s="1"/>
  <c r="N2023" i="2" s="1"/>
  <c r="J2023" i="2" s="1"/>
  <c r="F417" i="4"/>
  <c r="D417" i="4" s="1"/>
  <c r="C417" i="4" s="1"/>
  <c r="N2022" i="2" s="1"/>
  <c r="J2022" i="2" s="1"/>
  <c r="D416" i="4"/>
  <c r="C416" i="4" s="1"/>
  <c r="N2016" i="2" s="1"/>
  <c r="J2016" i="2" s="1"/>
  <c r="D415" i="4"/>
  <c r="C415" i="4" s="1"/>
  <c r="N2015" i="2" s="1"/>
  <c r="J2015" i="2" s="1"/>
  <c r="D414" i="4"/>
  <c r="C414" i="4" s="1"/>
  <c r="W412" i="4"/>
  <c r="V412" i="4"/>
  <c r="U412" i="4"/>
  <c r="T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1" i="4"/>
  <c r="D412" i="4" s="1"/>
  <c r="W407" i="4"/>
  <c r="V407" i="4"/>
  <c r="U407" i="4"/>
  <c r="T407" i="4"/>
  <c r="S407" i="4"/>
  <c r="R407" i="4"/>
  <c r="Q407" i="4"/>
  <c r="P407" i="4"/>
  <c r="O407" i="4"/>
  <c r="N407" i="4"/>
  <c r="M407" i="4"/>
  <c r="L407" i="4"/>
  <c r="K407" i="4"/>
  <c r="K408" i="4" s="1"/>
  <c r="J407" i="4"/>
  <c r="J408" i="4" s="1"/>
  <c r="I407" i="4"/>
  <c r="H407" i="4"/>
  <c r="G407" i="4"/>
  <c r="F407" i="4"/>
  <c r="E407" i="4"/>
  <c r="D406" i="4"/>
  <c r="C406" i="4" s="1"/>
  <c r="D405" i="4"/>
  <c r="C405" i="4" s="1"/>
  <c r="D404" i="4"/>
  <c r="C404" i="4" s="1"/>
  <c r="V398" i="4"/>
  <c r="U398" i="4"/>
  <c r="T398" i="4"/>
  <c r="S398" i="4"/>
  <c r="R398" i="4"/>
  <c r="Q398" i="4"/>
  <c r="P398" i="4"/>
  <c r="O398" i="4"/>
  <c r="N398" i="4"/>
  <c r="M398" i="4"/>
  <c r="L398" i="4"/>
  <c r="I398" i="4"/>
  <c r="H398" i="4"/>
  <c r="G398" i="4"/>
  <c r="F398" i="4"/>
  <c r="E398" i="4"/>
  <c r="W397" i="4"/>
  <c r="D397" i="4"/>
  <c r="W396" i="4"/>
  <c r="D396" i="4"/>
  <c r="W395" i="4"/>
  <c r="D395" i="4"/>
  <c r="W394" i="4"/>
  <c r="D394" i="4"/>
  <c r="W393" i="4"/>
  <c r="D393" i="4"/>
  <c r="W392" i="4"/>
  <c r="D392" i="4"/>
  <c r="W391" i="4"/>
  <c r="D391" i="4"/>
  <c r="W390" i="4"/>
  <c r="D390" i="4"/>
  <c r="W389" i="4"/>
  <c r="D389" i="4"/>
  <c r="W388" i="4"/>
  <c r="D388" i="4"/>
  <c r="AB385" i="4"/>
  <c r="AA385" i="4"/>
  <c r="Z385" i="4"/>
  <c r="Y385" i="4"/>
  <c r="X385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3" i="4"/>
  <c r="C383" i="4" s="1"/>
  <c r="C384" i="4" s="1"/>
  <c r="W382" i="4"/>
  <c r="V381" i="4"/>
  <c r="U381" i="4"/>
  <c r="T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W380" i="4"/>
  <c r="W381" i="4" s="1"/>
  <c r="D380" i="4"/>
  <c r="D379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6" i="4"/>
  <c r="C376" i="4" s="1"/>
  <c r="D375" i="4"/>
  <c r="C375" i="4" s="1"/>
  <c r="D374" i="4"/>
  <c r="C374" i="4" s="1"/>
  <c r="D373" i="4"/>
  <c r="C373" i="4" s="1"/>
  <c r="D372" i="4"/>
  <c r="W370" i="4"/>
  <c r="V370" i="4"/>
  <c r="U370" i="4"/>
  <c r="T370" i="4"/>
  <c r="S370" i="4"/>
  <c r="R370" i="4"/>
  <c r="Q370" i="4"/>
  <c r="P370" i="4"/>
  <c r="O370" i="4"/>
  <c r="N370" i="4"/>
  <c r="M370" i="4"/>
  <c r="L370" i="4"/>
  <c r="K370" i="4"/>
  <c r="J370" i="4"/>
  <c r="I370" i="4"/>
  <c r="G370" i="4"/>
  <c r="F370" i="4"/>
  <c r="D369" i="4"/>
  <c r="C369" i="4" s="1"/>
  <c r="D368" i="4"/>
  <c r="C368" i="4" s="1"/>
  <c r="D367" i="4"/>
  <c r="C367" i="4" s="1"/>
  <c r="D366" i="4"/>
  <c r="C366" i="4" s="1"/>
  <c r="D365" i="4"/>
  <c r="C365" i="4" s="1"/>
  <c r="X364" i="4"/>
  <c r="D364" i="4"/>
  <c r="C364" i="4" s="1"/>
  <c r="X363" i="4"/>
  <c r="D363" i="4"/>
  <c r="C363" i="4" s="1"/>
  <c r="D362" i="4"/>
  <c r="C362" i="4" s="1"/>
  <c r="X361" i="4"/>
  <c r="D361" i="4"/>
  <c r="C361" i="4" s="1"/>
  <c r="D360" i="4"/>
  <c r="C360" i="4" s="1"/>
  <c r="D359" i="4"/>
  <c r="C359" i="4" s="1"/>
  <c r="D358" i="4"/>
  <c r="C358" i="4" s="1"/>
  <c r="D357" i="4"/>
  <c r="C357" i="4" s="1"/>
  <c r="E356" i="4"/>
  <c r="E370" i="4" s="1"/>
  <c r="X355" i="4"/>
  <c r="D355" i="4"/>
  <c r="C355" i="4" s="1"/>
  <c r="D354" i="4"/>
  <c r="C354" i="4" s="1"/>
  <c r="X353" i="4"/>
  <c r="D353" i="4"/>
  <c r="C353" i="4" s="1"/>
  <c r="D352" i="4"/>
  <c r="C352" i="4" s="1"/>
  <c r="D351" i="4"/>
  <c r="C351" i="4" s="1"/>
  <c r="D350" i="4"/>
  <c r="C350" i="4" s="1"/>
  <c r="D349" i="4"/>
  <c r="C349" i="4" s="1"/>
  <c r="D348" i="4"/>
  <c r="C348" i="4" s="1"/>
  <c r="D347" i="4"/>
  <c r="C347" i="4" s="1"/>
  <c r="D346" i="4"/>
  <c r="C346" i="4" s="1"/>
  <c r="D345" i="4"/>
  <c r="C345" i="4" s="1"/>
  <c r="D344" i="4"/>
  <c r="C344" i="4" s="1"/>
  <c r="D343" i="4"/>
  <c r="C343" i="4" s="1"/>
  <c r="D342" i="4"/>
  <c r="C342" i="4" s="1"/>
  <c r="D341" i="4"/>
  <c r="C341" i="4" s="1"/>
  <c r="D340" i="4"/>
  <c r="C340" i="4" s="1"/>
  <c r="X339" i="4"/>
  <c r="D339" i="4"/>
  <c r="C339" i="4" s="1"/>
  <c r="X338" i="4"/>
  <c r="D338" i="4"/>
  <c r="C338" i="4" s="1"/>
  <c r="X337" i="4"/>
  <c r="D337" i="4"/>
  <c r="C337" i="4" s="1"/>
  <c r="D336" i="4"/>
  <c r="C336" i="4" s="1"/>
  <c r="X335" i="4"/>
  <c r="D335" i="4"/>
  <c r="C335" i="4" s="1"/>
  <c r="D334" i="4"/>
  <c r="C334" i="4" s="1"/>
  <c r="X333" i="4"/>
  <c r="D333" i="4"/>
  <c r="C333" i="4" s="1"/>
  <c r="X332" i="4"/>
  <c r="D332" i="4"/>
  <c r="C332" i="4" s="1"/>
  <c r="D331" i="4"/>
  <c r="C331" i="4" s="1"/>
  <c r="X330" i="4"/>
  <c r="D330" i="4"/>
  <c r="C330" i="4" s="1"/>
  <c r="X329" i="4"/>
  <c r="D329" i="4"/>
  <c r="C329" i="4" s="1"/>
  <c r="D328" i="4"/>
  <c r="C328" i="4" s="1"/>
  <c r="D327" i="4"/>
  <c r="C327" i="4" s="1"/>
  <c r="D326" i="4"/>
  <c r="C326" i="4" s="1"/>
  <c r="D325" i="4"/>
  <c r="C325" i="4" s="1"/>
  <c r="D324" i="4"/>
  <c r="C324" i="4" s="1"/>
  <c r="D323" i="4"/>
  <c r="C323" i="4" s="1"/>
  <c r="X322" i="4"/>
  <c r="D322" i="4"/>
  <c r="C322" i="4" s="1"/>
  <c r="X321" i="4"/>
  <c r="D321" i="4"/>
  <c r="C321" i="4" s="1"/>
  <c r="D320" i="4"/>
  <c r="C320" i="4" s="1"/>
  <c r="X319" i="4"/>
  <c r="D319" i="4"/>
  <c r="C319" i="4" s="1"/>
  <c r="D318" i="4"/>
  <c r="C318" i="4" s="1"/>
  <c r="D317" i="4"/>
  <c r="C317" i="4" s="1"/>
  <c r="D316" i="4"/>
  <c r="C316" i="4" s="1"/>
  <c r="D315" i="4"/>
  <c r="C315" i="4" s="1"/>
  <c r="D314" i="4"/>
  <c r="C314" i="4" s="1"/>
  <c r="D313" i="4"/>
  <c r="C313" i="4" s="1"/>
  <c r="D312" i="4"/>
  <c r="C312" i="4" s="1"/>
  <c r="D311" i="4"/>
  <c r="C311" i="4" s="1"/>
  <c r="H310" i="4"/>
  <c r="D310" i="4" s="1"/>
  <c r="C310" i="4" s="1"/>
  <c r="H309" i="4"/>
  <c r="D309" i="4" s="1"/>
  <c r="C309" i="4" s="1"/>
  <c r="H308" i="4"/>
  <c r="W306" i="4"/>
  <c r="V306" i="4"/>
  <c r="U306" i="4"/>
  <c r="T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5" i="4"/>
  <c r="C305" i="4" s="1"/>
  <c r="C306" i="4" s="1"/>
  <c r="W304" i="4"/>
  <c r="W303" i="4"/>
  <c r="V303" i="4"/>
  <c r="U303" i="4"/>
  <c r="T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2" i="4"/>
  <c r="C302" i="4" s="1"/>
  <c r="D301" i="4"/>
  <c r="W299" i="4"/>
  <c r="V299" i="4"/>
  <c r="U299" i="4"/>
  <c r="T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8" i="4"/>
  <c r="C298" i="4" s="1"/>
  <c r="D297" i="4"/>
  <c r="C297" i="4" s="1"/>
  <c r="D296" i="4"/>
  <c r="C296" i="4" s="1"/>
  <c r="D295" i="4"/>
  <c r="C295" i="4" s="1"/>
  <c r="D294" i="4"/>
  <c r="C294" i="4" s="1"/>
  <c r="W290" i="4"/>
  <c r="V290" i="4"/>
  <c r="U290" i="4"/>
  <c r="T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E290" i="4"/>
  <c r="D289" i="4"/>
  <c r="C289" i="4" s="1"/>
  <c r="D288" i="4"/>
  <c r="C288" i="4" s="1"/>
  <c r="F287" i="4"/>
  <c r="D287" i="4" s="1"/>
  <c r="C287" i="4" s="1"/>
  <c r="F286" i="4"/>
  <c r="D286" i="4" s="1"/>
  <c r="C286" i="4" s="1"/>
  <c r="F285" i="4"/>
  <c r="D285" i="4" s="1"/>
  <c r="C285" i="4" s="1"/>
  <c r="D284" i="4"/>
  <c r="C284" i="4" s="1"/>
  <c r="D283" i="4"/>
  <c r="C283" i="4" s="1"/>
  <c r="F282" i="4"/>
  <c r="D281" i="4"/>
  <c r="C281" i="4" s="1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8" i="4"/>
  <c r="C278" i="4" s="1"/>
  <c r="D277" i="4"/>
  <c r="C277" i="4" s="1"/>
  <c r="D276" i="4"/>
  <c r="C276" i="4" s="1"/>
  <c r="D275" i="4"/>
  <c r="C275" i="4" s="1"/>
  <c r="D274" i="4"/>
  <c r="C274" i="4" s="1"/>
  <c r="W272" i="4"/>
  <c r="V272" i="4"/>
  <c r="U272" i="4"/>
  <c r="T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1" i="4"/>
  <c r="C271" i="4" s="1"/>
  <c r="D270" i="4"/>
  <c r="C270" i="4" s="1"/>
  <c r="D269" i="4"/>
  <c r="C269" i="4" s="1"/>
  <c r="D268" i="4"/>
  <c r="C268" i="4" s="1"/>
  <c r="D267" i="4"/>
  <c r="C267" i="4" s="1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4" i="4"/>
  <c r="C264" i="4" s="1"/>
  <c r="D263" i="4"/>
  <c r="W261" i="4"/>
  <c r="V261" i="4"/>
  <c r="U261" i="4"/>
  <c r="T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0" i="4"/>
  <c r="C260" i="4" s="1"/>
  <c r="D259" i="4"/>
  <c r="W257" i="4"/>
  <c r="V257" i="4"/>
  <c r="U257" i="4"/>
  <c r="T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6" i="4"/>
  <c r="C256" i="4" s="1"/>
  <c r="D255" i="4"/>
  <c r="C255" i="4" s="1"/>
  <c r="D254" i="4"/>
  <c r="C254" i="4" s="1"/>
  <c r="D253" i="4"/>
  <c r="C253" i="4" s="1"/>
  <c r="D252" i="4"/>
  <c r="C252" i="4" s="1"/>
  <c r="D251" i="4"/>
  <c r="C251" i="4" s="1"/>
  <c r="D250" i="4"/>
  <c r="C250" i="4" s="1"/>
  <c r="D249" i="4"/>
  <c r="C249" i="4" s="1"/>
  <c r="D248" i="4"/>
  <c r="C248" i="4" s="1"/>
  <c r="D247" i="4"/>
  <c r="C247" i="4" s="1"/>
  <c r="D246" i="4"/>
  <c r="C246" i="4" s="1"/>
  <c r="D245" i="4"/>
  <c r="C245" i="4" s="1"/>
  <c r="D244" i="4"/>
  <c r="C244" i="4" s="1"/>
  <c r="D243" i="4"/>
  <c r="C243" i="4" s="1"/>
  <c r="D242" i="4"/>
  <c r="C242" i="4" s="1"/>
  <c r="D241" i="4"/>
  <c r="C241" i="4" s="1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E239" i="4"/>
  <c r="W238" i="4"/>
  <c r="D238" i="4"/>
  <c r="F237" i="4"/>
  <c r="D237" i="4" s="1"/>
  <c r="C237" i="4" s="1"/>
  <c r="D236" i="4"/>
  <c r="C236" i="4" s="1"/>
  <c r="F235" i="4"/>
  <c r="D235" i="4" s="1"/>
  <c r="C235" i="4" s="1"/>
  <c r="D234" i="4"/>
  <c r="C234" i="4" s="1"/>
  <c r="W233" i="4"/>
  <c r="D233" i="4"/>
  <c r="D232" i="4"/>
  <c r="C232" i="4" s="1"/>
  <c r="W231" i="4"/>
  <c r="D231" i="4"/>
  <c r="D230" i="4"/>
  <c r="C230" i="4" s="1"/>
  <c r="D229" i="4"/>
  <c r="C229" i="4" s="1"/>
  <c r="D228" i="4"/>
  <c r="C228" i="4" s="1"/>
  <c r="F227" i="4"/>
  <c r="D227" i="4" s="1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4" i="4"/>
  <c r="C224" i="4" s="1"/>
  <c r="D223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E219" i="4"/>
  <c r="D218" i="4"/>
  <c r="C218" i="4" s="1"/>
  <c r="G217" i="4"/>
  <c r="G219" i="4" s="1"/>
  <c r="F217" i="4"/>
  <c r="F219" i="4" s="1"/>
  <c r="D216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3" i="4"/>
  <c r="C213" i="4" s="1"/>
  <c r="D212" i="4"/>
  <c r="C212" i="4" s="1"/>
  <c r="W210" i="4"/>
  <c r="V210" i="4"/>
  <c r="U210" i="4"/>
  <c r="T210" i="4"/>
  <c r="S210" i="4"/>
  <c r="R210" i="4"/>
  <c r="Q210" i="4"/>
  <c r="P210" i="4"/>
  <c r="O210" i="4"/>
  <c r="N210" i="4"/>
  <c r="L210" i="4"/>
  <c r="K210" i="4"/>
  <c r="J210" i="4"/>
  <c r="I210" i="4"/>
  <c r="H210" i="4"/>
  <c r="G210" i="4"/>
  <c r="F210" i="4"/>
  <c r="E210" i="4"/>
  <c r="M209" i="4"/>
  <c r="D209" i="4"/>
  <c r="C209" i="4" s="1"/>
  <c r="M208" i="4"/>
  <c r="D208" i="4"/>
  <c r="W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5" i="4"/>
  <c r="C205" i="4" s="1"/>
  <c r="V204" i="4"/>
  <c r="D204" i="4"/>
  <c r="D203" i="4"/>
  <c r="C203" i="4" s="1"/>
  <c r="D202" i="4"/>
  <c r="C202" i="4" s="1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199" i="4"/>
  <c r="C199" i="4" s="1"/>
  <c r="D198" i="4"/>
  <c r="C198" i="4" s="1"/>
  <c r="D197" i="4"/>
  <c r="D196" i="4"/>
  <c r="C196" i="4" s="1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3" i="4"/>
  <c r="C193" i="4" s="1"/>
  <c r="C194" i="4" s="1"/>
  <c r="W191" i="4"/>
  <c r="V191" i="4"/>
  <c r="U191" i="4"/>
  <c r="T191" i="4"/>
  <c r="S191" i="4"/>
  <c r="R191" i="4"/>
  <c r="Q191" i="4"/>
  <c r="P191" i="4"/>
  <c r="O191" i="4"/>
  <c r="N191" i="4"/>
  <c r="L191" i="4"/>
  <c r="K191" i="4"/>
  <c r="J191" i="4"/>
  <c r="I191" i="4"/>
  <c r="H191" i="4"/>
  <c r="G191" i="4"/>
  <c r="F191" i="4"/>
  <c r="E191" i="4"/>
  <c r="M190" i="4"/>
  <c r="D190" i="4"/>
  <c r="C190" i="4" s="1"/>
  <c r="M189" i="4"/>
  <c r="D189" i="4"/>
  <c r="C189" i="4" s="1"/>
  <c r="M188" i="4"/>
  <c r="D188" i="4"/>
  <c r="D182" i="4"/>
  <c r="C182" i="4" s="1"/>
  <c r="D181" i="4"/>
  <c r="C181" i="4" s="1"/>
  <c r="D180" i="4"/>
  <c r="C180" i="4" s="1"/>
  <c r="D179" i="4"/>
  <c r="C179" i="4" s="1"/>
  <c r="D178" i="4"/>
  <c r="C178" i="4" s="1"/>
  <c r="D177" i="4"/>
  <c r="C177" i="4" s="1"/>
  <c r="D176" i="4"/>
  <c r="C176" i="4" s="1"/>
  <c r="D175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2" i="4"/>
  <c r="C172" i="4" s="1"/>
  <c r="W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V169" i="4"/>
  <c r="V170" i="4" s="1"/>
  <c r="D169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H167" i="4"/>
  <c r="F167" i="4"/>
  <c r="E167" i="4"/>
  <c r="D166" i="4"/>
  <c r="C166" i="4" s="1"/>
  <c r="D165" i="4"/>
  <c r="C165" i="4" s="1"/>
  <c r="D164" i="4"/>
  <c r="C164" i="4" s="1"/>
  <c r="D163" i="4"/>
  <c r="C163" i="4" s="1"/>
  <c r="D162" i="4"/>
  <c r="C162" i="4" s="1"/>
  <c r="D161" i="4"/>
  <c r="C161" i="4" s="1"/>
  <c r="D160" i="4"/>
  <c r="C160" i="4" s="1"/>
  <c r="D159" i="4"/>
  <c r="C159" i="4" s="1"/>
  <c r="D158" i="4"/>
  <c r="C158" i="4" s="1"/>
  <c r="D157" i="4"/>
  <c r="C157" i="4" s="1"/>
  <c r="D156" i="4"/>
  <c r="C156" i="4" s="1"/>
  <c r="D155" i="4"/>
  <c r="C155" i="4" s="1"/>
  <c r="I154" i="4"/>
  <c r="I167" i="4" s="1"/>
  <c r="D153" i="4"/>
  <c r="C153" i="4" s="1"/>
  <c r="D152" i="4"/>
  <c r="C152" i="4" s="1"/>
  <c r="D151" i="4"/>
  <c r="C151" i="4" s="1"/>
  <c r="D150" i="4"/>
  <c r="C150" i="4" s="1"/>
  <c r="D149" i="4"/>
  <c r="C149" i="4" s="1"/>
  <c r="D148" i="4"/>
  <c r="C148" i="4" s="1"/>
  <c r="D147" i="4"/>
  <c r="C147" i="4" s="1"/>
  <c r="G146" i="4"/>
  <c r="G167" i="4" s="1"/>
  <c r="D145" i="4"/>
  <c r="C145" i="4" s="1"/>
  <c r="D144" i="4"/>
  <c r="C144" i="4" s="1"/>
  <c r="D143" i="4"/>
  <c r="C143" i="4" s="1"/>
  <c r="D142" i="4"/>
  <c r="C142" i="4" s="1"/>
  <c r="D141" i="4"/>
  <c r="C141" i="4" s="1"/>
  <c r="D140" i="4"/>
  <c r="C140" i="4" s="1"/>
  <c r="D139" i="4"/>
  <c r="C139" i="4" s="1"/>
  <c r="D138" i="4"/>
  <c r="C138" i="4" s="1"/>
  <c r="D137" i="4"/>
  <c r="C137" i="4" s="1"/>
  <c r="D136" i="4"/>
  <c r="C136" i="4" s="1"/>
  <c r="D135" i="4"/>
  <c r="C135" i="4" s="1"/>
  <c r="D134" i="4"/>
  <c r="C134" i="4" s="1"/>
  <c r="D133" i="4"/>
  <c r="C133" i="4" s="1"/>
  <c r="D132" i="4"/>
  <c r="C132" i="4" s="1"/>
  <c r="D131" i="4"/>
  <c r="C131" i="4" s="1"/>
  <c r="D130" i="4"/>
  <c r="C130" i="4" s="1"/>
  <c r="D129" i="4"/>
  <c r="C129" i="4" s="1"/>
  <c r="D128" i="4"/>
  <c r="C128" i="4" s="1"/>
  <c r="D127" i="4"/>
  <c r="C127" i="4" s="1"/>
  <c r="D126" i="4"/>
  <c r="C126" i="4" s="1"/>
  <c r="D125" i="4"/>
  <c r="C125" i="4" s="1"/>
  <c r="D124" i="4"/>
  <c r="C124" i="4" s="1"/>
  <c r="D123" i="4"/>
  <c r="C123" i="4" s="1"/>
  <c r="D122" i="4"/>
  <c r="C122" i="4" s="1"/>
  <c r="D121" i="4"/>
  <c r="C121" i="4" s="1"/>
  <c r="D120" i="4"/>
  <c r="C120" i="4" s="1"/>
  <c r="D119" i="4"/>
  <c r="C119" i="4" s="1"/>
  <c r="D118" i="4"/>
  <c r="C118" i="4" s="1"/>
  <c r="D117" i="4"/>
  <c r="C117" i="4" s="1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W114" i="4"/>
  <c r="D114" i="4"/>
  <c r="D115" i="4" s="1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G112" i="4"/>
  <c r="F112" i="4"/>
  <c r="E112" i="4"/>
  <c r="H111" i="4"/>
  <c r="D111" i="4" s="1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8" i="4"/>
  <c r="C108" i="4" s="1"/>
  <c r="D107" i="4"/>
  <c r="C107" i="4" s="1"/>
  <c r="D106" i="4"/>
  <c r="C106" i="4" s="1"/>
  <c r="D105" i="4"/>
  <c r="C105" i="4" s="1"/>
  <c r="D104" i="4"/>
  <c r="C104" i="4" s="1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AB99" i="4"/>
  <c r="D99" i="4"/>
  <c r="C99" i="4" s="1"/>
  <c r="AB98" i="4"/>
  <c r="D98" i="4"/>
  <c r="C98" i="4" s="1"/>
  <c r="AB97" i="4"/>
  <c r="D97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AB94" i="4"/>
  <c r="D94" i="4"/>
  <c r="D95" i="4" s="1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W91" i="4"/>
  <c r="D91" i="4"/>
  <c r="W90" i="4"/>
  <c r="D90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W87" i="4"/>
  <c r="W88" i="4" s="1"/>
  <c r="D87" i="4"/>
  <c r="D88" i="4" s="1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W84" i="4"/>
  <c r="W85" i="4" s="1"/>
  <c r="D84" i="4"/>
  <c r="D85" i="4" s="1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AB81" i="4"/>
  <c r="D81" i="4"/>
  <c r="D82" i="4" s="1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8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W75" i="4"/>
  <c r="D75" i="4"/>
  <c r="W74" i="4"/>
  <c r="D74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W71" i="4"/>
  <c r="D71" i="4"/>
  <c r="D72" i="4" s="1"/>
  <c r="Y68" i="4"/>
  <c r="X68" i="4"/>
  <c r="W67" i="4"/>
  <c r="V67" i="4"/>
  <c r="U67" i="4"/>
  <c r="T67" i="4"/>
  <c r="S67" i="4"/>
  <c r="R67" i="4"/>
  <c r="Q67" i="4"/>
  <c r="O67" i="4"/>
  <c r="M67" i="4"/>
  <c r="L67" i="4"/>
  <c r="K67" i="4"/>
  <c r="J67" i="4"/>
  <c r="I67" i="4"/>
  <c r="H67" i="4"/>
  <c r="G67" i="4"/>
  <c r="F67" i="4"/>
  <c r="E67" i="4"/>
  <c r="P66" i="4"/>
  <c r="P67" i="4" s="1"/>
  <c r="D66" i="4"/>
  <c r="N65" i="4"/>
  <c r="N67" i="4" s="1"/>
  <c r="D65" i="4"/>
  <c r="W63" i="4"/>
  <c r="V63" i="4"/>
  <c r="U63" i="4"/>
  <c r="T63" i="4"/>
  <c r="S63" i="4"/>
  <c r="R63" i="4"/>
  <c r="Q63" i="4"/>
  <c r="P63" i="4"/>
  <c r="O63" i="4"/>
  <c r="M63" i="4"/>
  <c r="L63" i="4"/>
  <c r="K63" i="4"/>
  <c r="J63" i="4"/>
  <c r="I63" i="4"/>
  <c r="E63" i="4"/>
  <c r="N62" i="4"/>
  <c r="D62" i="4"/>
  <c r="N61" i="4"/>
  <c r="D61" i="4"/>
  <c r="H60" i="4"/>
  <c r="G60" i="4"/>
  <c r="F60" i="4"/>
  <c r="H59" i="4"/>
  <c r="G59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6" i="4"/>
  <c r="C56" i="4" s="1"/>
  <c r="D55" i="4"/>
  <c r="D51" i="4"/>
  <c r="C51" i="4" s="1"/>
  <c r="D50" i="4"/>
  <c r="C50" i="4" s="1"/>
  <c r="D49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6" i="4"/>
  <c r="C46" i="4" s="1"/>
  <c r="D45" i="4"/>
  <c r="C45" i="4" s="1"/>
  <c r="D44" i="4"/>
  <c r="C44" i="4" s="1"/>
  <c r="D43" i="4"/>
  <c r="C43" i="4" s="1"/>
  <c r="D42" i="4"/>
  <c r="C42" i="4" s="1"/>
  <c r="D41" i="4"/>
  <c r="C41" i="4" s="1"/>
  <c r="D40" i="4"/>
  <c r="C40" i="4" s="1"/>
  <c r="D39" i="4"/>
  <c r="C39" i="4" s="1"/>
  <c r="D38" i="4"/>
  <c r="C38" i="4" s="1"/>
  <c r="D37" i="4"/>
  <c r="C37" i="4" s="1"/>
  <c r="D36" i="4"/>
  <c r="C36" i="4" s="1"/>
  <c r="D35" i="4"/>
  <c r="C35" i="4" s="1"/>
  <c r="D34" i="4"/>
  <c r="C34" i="4" s="1"/>
  <c r="D33" i="4"/>
  <c r="C33" i="4" s="1"/>
  <c r="D32" i="4"/>
  <c r="C32" i="4" s="1"/>
  <c r="D31" i="4"/>
  <c r="C31" i="4" s="1"/>
  <c r="D30" i="4"/>
  <c r="C30" i="4" s="1"/>
  <c r="D29" i="4"/>
  <c r="C29" i="4" s="1"/>
  <c r="D28" i="4"/>
  <c r="C28" i="4" s="1"/>
  <c r="D27" i="4"/>
  <c r="C27" i="4" s="1"/>
  <c r="D26" i="4"/>
  <c r="C26" i="4" s="1"/>
  <c r="D25" i="4"/>
  <c r="C25" i="4" s="1"/>
  <c r="D24" i="4"/>
  <c r="C24" i="4" s="1"/>
  <c r="D23" i="4"/>
  <c r="C23" i="4" s="1"/>
  <c r="D22" i="4"/>
  <c r="C22" i="4" s="1"/>
  <c r="D21" i="4"/>
  <c r="C21" i="4" s="1"/>
  <c r="D20" i="4"/>
  <c r="C20" i="4" s="1"/>
  <c r="D19" i="4"/>
  <c r="C19" i="4" s="1"/>
  <c r="D18" i="4"/>
  <c r="C18" i="4" s="1"/>
  <c r="D17" i="4"/>
  <c r="C17" i="4" s="1"/>
  <c r="D16" i="4"/>
  <c r="C16" i="4" s="1"/>
  <c r="D15" i="4"/>
  <c r="C15" i="4" s="1"/>
  <c r="D14" i="4"/>
  <c r="C14" i="4" s="1"/>
  <c r="D13" i="4"/>
  <c r="C13" i="4" s="1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9" i="4" s="1"/>
  <c r="A50" i="4" s="1"/>
  <c r="A51" i="4" s="1"/>
  <c r="D12" i="4"/>
  <c r="C12" i="4" s="1"/>
  <c r="C2577" i="5" l="1"/>
  <c r="C2579" i="5"/>
  <c r="C2581" i="5"/>
  <c r="C2583" i="5"/>
  <c r="C2585" i="5"/>
  <c r="C2587" i="5"/>
  <c r="C2589" i="5"/>
  <c r="C2591" i="5"/>
  <c r="C2594" i="5"/>
  <c r="C2596" i="5"/>
  <c r="C2598" i="5"/>
  <c r="C2602" i="5"/>
  <c r="C2604" i="5"/>
  <c r="C2606" i="5"/>
  <c r="C2608" i="5"/>
  <c r="C2610" i="5"/>
  <c r="C2612" i="5"/>
  <c r="C2614" i="5"/>
  <c r="C2619" i="5"/>
  <c r="C2621" i="5"/>
  <c r="C2623" i="5"/>
  <c r="C2625" i="5"/>
  <c r="C2627" i="5"/>
  <c r="C2629" i="5"/>
  <c r="C2631" i="5"/>
  <c r="C2633" i="5"/>
  <c r="C2635" i="5"/>
  <c r="C2637" i="5"/>
  <c r="C2639" i="5"/>
  <c r="C2641" i="5"/>
  <c r="C2643" i="5"/>
  <c r="C2646" i="5"/>
  <c r="C2648" i="5"/>
  <c r="C2650" i="5"/>
  <c r="C2652" i="5"/>
  <c r="C2654" i="5"/>
  <c r="C2656" i="5"/>
  <c r="C2658" i="5"/>
  <c r="C2660" i="5"/>
  <c r="C2662" i="5"/>
  <c r="C1261" i="5"/>
  <c r="C2600" i="5"/>
  <c r="V28" i="6"/>
  <c r="C2240" i="5"/>
  <c r="C1268" i="5"/>
  <c r="C1269" i="5"/>
  <c r="C821" i="5"/>
  <c r="C2672" i="5"/>
  <c r="C2688" i="5"/>
  <c r="C2692" i="5"/>
  <c r="C2694" i="5"/>
  <c r="C2696" i="5"/>
  <c r="C2698" i="5"/>
  <c r="C2700" i="5"/>
  <c r="C2702" i="5"/>
  <c r="C2704" i="5"/>
  <c r="C2706" i="5"/>
  <c r="C2709" i="5"/>
  <c r="C2711" i="5"/>
  <c r="C2713" i="5"/>
  <c r="C2715" i="5"/>
  <c r="C2717" i="5"/>
  <c r="C2719" i="5"/>
  <c r="C2737" i="5"/>
  <c r="C2739" i="5"/>
  <c r="C2741" i="5"/>
  <c r="C2743" i="5"/>
  <c r="C2746" i="5"/>
  <c r="C819" i="5"/>
  <c r="C820" i="5"/>
  <c r="N986" i="2" s="1"/>
  <c r="J986" i="2" s="1"/>
  <c r="W697" i="4"/>
  <c r="C749" i="4"/>
  <c r="C771" i="4" s="1"/>
  <c r="D771" i="4"/>
  <c r="C2550" i="5"/>
  <c r="C2552" i="5"/>
  <c r="C2554" i="5"/>
  <c r="C2556" i="5"/>
  <c r="C2558" i="5"/>
  <c r="C2560" i="5"/>
  <c r="C2562" i="5"/>
  <c r="C2564" i="5"/>
  <c r="C2566" i="5"/>
  <c r="C2568" i="5"/>
  <c r="C2570" i="5"/>
  <c r="C2572" i="5"/>
  <c r="C2616" i="5"/>
  <c r="C2665" i="5"/>
  <c r="C2667" i="5"/>
  <c r="N3503" i="2" s="1"/>
  <c r="J3503" i="2" s="1"/>
  <c r="C2669" i="5"/>
  <c r="C2674" i="5"/>
  <c r="C2676" i="5"/>
  <c r="C2678" i="5"/>
  <c r="C2680" i="5"/>
  <c r="C2682" i="5"/>
  <c r="C2684" i="5"/>
  <c r="C2726" i="5"/>
  <c r="C2728" i="5"/>
  <c r="C2730" i="5"/>
  <c r="C2732" i="5"/>
  <c r="C2734" i="5"/>
  <c r="C2551" i="5"/>
  <c r="C2553" i="5"/>
  <c r="C2555" i="5"/>
  <c r="C2557" i="5"/>
  <c r="C2559" i="5"/>
  <c r="C2561" i="5"/>
  <c r="C2563" i="5"/>
  <c r="C2565" i="5"/>
  <c r="C2567" i="5"/>
  <c r="C2569" i="5"/>
  <c r="C2571" i="5"/>
  <c r="C2573" i="5"/>
  <c r="C2617" i="5"/>
  <c r="C2666" i="5"/>
  <c r="N3502" i="2" s="1"/>
  <c r="J3502" i="2" s="1"/>
  <c r="C2668" i="5"/>
  <c r="N3504" i="2" s="1"/>
  <c r="C2670" i="5"/>
  <c r="C2675" i="5"/>
  <c r="C2677" i="5"/>
  <c r="C2679" i="5"/>
  <c r="C2681" i="5"/>
  <c r="C2683" i="5"/>
  <c r="C2685" i="5"/>
  <c r="C2725" i="5"/>
  <c r="C2727" i="5"/>
  <c r="C2729" i="5"/>
  <c r="C2731" i="5"/>
  <c r="C2733" i="5"/>
  <c r="C2735" i="5"/>
  <c r="E28" i="6"/>
  <c r="I28" i="6"/>
  <c r="M28" i="6"/>
  <c r="Q28" i="6"/>
  <c r="C2576" i="5"/>
  <c r="C2618" i="5"/>
  <c r="C2671" i="5"/>
  <c r="C2736" i="5"/>
  <c r="C2575" i="5"/>
  <c r="C2578" i="5"/>
  <c r="C2580" i="5"/>
  <c r="C2582" i="5"/>
  <c r="C2584" i="5"/>
  <c r="C2586" i="5"/>
  <c r="C2588" i="5"/>
  <c r="C2590" i="5"/>
  <c r="C2595" i="5"/>
  <c r="C2597" i="5"/>
  <c r="C2599" i="5"/>
  <c r="C2603" i="5"/>
  <c r="C2605" i="5"/>
  <c r="C2607" i="5"/>
  <c r="C2609" i="5"/>
  <c r="C2611" i="5"/>
  <c r="C2613" i="5"/>
  <c r="C2615" i="5"/>
  <c r="C2620" i="5"/>
  <c r="C2622" i="5"/>
  <c r="C2624" i="5"/>
  <c r="C2626" i="5"/>
  <c r="C2628" i="5"/>
  <c r="C2630" i="5"/>
  <c r="C2632" i="5"/>
  <c r="C2634" i="5"/>
  <c r="C2636" i="5"/>
  <c r="C2638" i="5"/>
  <c r="C2640" i="5"/>
  <c r="C2642" i="5"/>
  <c r="C2645" i="5"/>
  <c r="C2647" i="5"/>
  <c r="C2649" i="5"/>
  <c r="C2651" i="5"/>
  <c r="C2653" i="5"/>
  <c r="C2655" i="5"/>
  <c r="C2657" i="5"/>
  <c r="C2659" i="5"/>
  <c r="C2661" i="5"/>
  <c r="C2663" i="5"/>
  <c r="C2673" i="5"/>
  <c r="C2687" i="5"/>
  <c r="C2689" i="5"/>
  <c r="C2691" i="5"/>
  <c r="C2693" i="5"/>
  <c r="C2695" i="5"/>
  <c r="C2697" i="5"/>
  <c r="C2699" i="5"/>
  <c r="C2701" i="5"/>
  <c r="C2703" i="5"/>
  <c r="C2705" i="5"/>
  <c r="C2707" i="5"/>
  <c r="C2710" i="5"/>
  <c r="C2712" i="5"/>
  <c r="C2714" i="5"/>
  <c r="C2716" i="5"/>
  <c r="C2718" i="5"/>
  <c r="C2738" i="5"/>
  <c r="C2740" i="5"/>
  <c r="C2742" i="5"/>
  <c r="C2747" i="5"/>
  <c r="N3367" i="2"/>
  <c r="J3367" i="2" s="1"/>
  <c r="N3371" i="2"/>
  <c r="J3371" i="2" s="1"/>
  <c r="N3437" i="2"/>
  <c r="J3437" i="2" s="1"/>
  <c r="N3583" i="2"/>
  <c r="J3583" i="2" s="1"/>
  <c r="N3362" i="2"/>
  <c r="J3362" i="2" s="1"/>
  <c r="N3368" i="2"/>
  <c r="J3368" i="2" s="1"/>
  <c r="N3372" i="2"/>
  <c r="J3372" i="2" s="1"/>
  <c r="N3365" i="2"/>
  <c r="J3365" i="2" s="1"/>
  <c r="N3369" i="2"/>
  <c r="J3369" i="2" s="1"/>
  <c r="N3373" i="2"/>
  <c r="J3373" i="2" s="1"/>
  <c r="N3410" i="2"/>
  <c r="J3410" i="2" s="1"/>
  <c r="N3524" i="2"/>
  <c r="J3524" i="2" s="1"/>
  <c r="N3366" i="2"/>
  <c r="J3366" i="2" s="1"/>
  <c r="N3370" i="2"/>
  <c r="J3370" i="2" s="1"/>
  <c r="N3374" i="2"/>
  <c r="J3374" i="2" s="1"/>
  <c r="N3428" i="2"/>
  <c r="J3428" i="2" s="1"/>
  <c r="N3562" i="2"/>
  <c r="J3562" i="2" s="1"/>
  <c r="N3582" i="2"/>
  <c r="J3582" i="2" s="1"/>
  <c r="G1352" i="6"/>
  <c r="K1352" i="6"/>
  <c r="O1352" i="6"/>
  <c r="L1352" i="6"/>
  <c r="P1352" i="6"/>
  <c r="V1352" i="6"/>
  <c r="H1352" i="6"/>
  <c r="E1352" i="6"/>
  <c r="I1352" i="6"/>
  <c r="M1352" i="6"/>
  <c r="Q1352" i="6"/>
  <c r="T1352" i="6"/>
  <c r="F1352" i="6"/>
  <c r="J1352" i="6"/>
  <c r="N1352" i="6"/>
  <c r="R1352" i="6"/>
  <c r="U1352" i="6"/>
  <c r="A52" i="4"/>
  <c r="A55" i="4" s="1"/>
  <c r="A56" i="4" s="1"/>
  <c r="A59" i="4" s="1"/>
  <c r="A60" i="4" s="1"/>
  <c r="A61" i="4" s="1"/>
  <c r="A62" i="4" s="1"/>
  <c r="A65" i="4" s="1"/>
  <c r="A66" i="4" s="1"/>
  <c r="A71" i="4" s="1"/>
  <c r="A74" i="4" s="1"/>
  <c r="A75" i="4" s="1"/>
  <c r="A78" i="4" s="1"/>
  <c r="A81" i="4" s="1"/>
  <c r="A84" i="4" s="1"/>
  <c r="A87" i="4" s="1"/>
  <c r="A90" i="4" s="1"/>
  <c r="A91" i="4" s="1"/>
  <c r="A94" i="4" s="1"/>
  <c r="A97" i="4" s="1"/>
  <c r="A98" i="4" s="1"/>
  <c r="A99" i="4" s="1"/>
  <c r="A104" i="4" s="1"/>
  <c r="A105" i="4" s="1"/>
  <c r="A106" i="4" s="1"/>
  <c r="I2869" i="5"/>
  <c r="M2869" i="5"/>
  <c r="Q2869" i="5"/>
  <c r="T2869" i="5"/>
  <c r="E2028" i="5"/>
  <c r="I2028" i="5"/>
  <c r="M2028" i="5"/>
  <c r="Q2028" i="5"/>
  <c r="T2028" i="5"/>
  <c r="F2028" i="5"/>
  <c r="J2028" i="5"/>
  <c r="N2028" i="5"/>
  <c r="F2869" i="5"/>
  <c r="J2869" i="5"/>
  <c r="N2869" i="5"/>
  <c r="R2869" i="5"/>
  <c r="G2869" i="5"/>
  <c r="K2869" i="5"/>
  <c r="O2869" i="5"/>
  <c r="V2869" i="5"/>
  <c r="K2028" i="5"/>
  <c r="O2028" i="5"/>
  <c r="H2028" i="5"/>
  <c r="L2028" i="5"/>
  <c r="P2028" i="5"/>
  <c r="S2028" i="5"/>
  <c r="H2869" i="5"/>
  <c r="L2869" i="5"/>
  <c r="P2869" i="5"/>
  <c r="S2869" i="5"/>
  <c r="N1282" i="6"/>
  <c r="R1282" i="6"/>
  <c r="H1039" i="6"/>
  <c r="L1039" i="6"/>
  <c r="P1039" i="6"/>
  <c r="U1039" i="6"/>
  <c r="E1039" i="6"/>
  <c r="I1039" i="6"/>
  <c r="M1039" i="6"/>
  <c r="Q1039" i="6"/>
  <c r="V1039" i="6"/>
  <c r="H968" i="6"/>
  <c r="L968" i="6"/>
  <c r="P968" i="6"/>
  <c r="F1039" i="6"/>
  <c r="J1039" i="6"/>
  <c r="N1039" i="6"/>
  <c r="G1039" i="6"/>
  <c r="K1039" i="6"/>
  <c r="O1039" i="6"/>
  <c r="T1039" i="6"/>
  <c r="E968" i="6"/>
  <c r="I968" i="6"/>
  <c r="M968" i="6"/>
  <c r="Q968" i="6"/>
  <c r="T968" i="6"/>
  <c r="F968" i="6"/>
  <c r="J968" i="6"/>
  <c r="N968" i="6"/>
  <c r="R968" i="6"/>
  <c r="U968" i="6"/>
  <c r="G968" i="6"/>
  <c r="K968" i="6"/>
  <c r="O968" i="6"/>
  <c r="V968" i="6"/>
  <c r="G509" i="6"/>
  <c r="K509" i="6"/>
  <c r="O509" i="6"/>
  <c r="V509" i="6"/>
  <c r="D169" i="6"/>
  <c r="W169" i="6"/>
  <c r="E509" i="6"/>
  <c r="I509" i="6"/>
  <c r="M509" i="6"/>
  <c r="Q509" i="6"/>
  <c r="T509" i="6"/>
  <c r="A154" i="6"/>
  <c r="A155" i="6" s="1"/>
  <c r="A156" i="6" s="1"/>
  <c r="A159" i="6"/>
  <c r="A160" i="6" s="1"/>
  <c r="A163" i="6" s="1"/>
  <c r="A164" i="6" s="1"/>
  <c r="A165" i="6" s="1"/>
  <c r="A166" i="6" s="1"/>
  <c r="A167" i="6" s="1"/>
  <c r="A168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5" i="6" s="1"/>
  <c r="A226" i="6" s="1"/>
  <c r="A229" i="6" s="1"/>
  <c r="A230" i="6" s="1"/>
  <c r="A231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7" i="6" s="1"/>
  <c r="A248" i="6" s="1"/>
  <c r="F509" i="6"/>
  <c r="J509" i="6"/>
  <c r="N509" i="6"/>
  <c r="R509" i="6"/>
  <c r="U509" i="6"/>
  <c r="H509" i="6"/>
  <c r="L509" i="6"/>
  <c r="P509" i="6"/>
  <c r="W509" i="6"/>
  <c r="C1324" i="6"/>
  <c r="N3754" i="2" s="1"/>
  <c r="J3754" i="2" s="1"/>
  <c r="C1328" i="6"/>
  <c r="N3758" i="2" s="1"/>
  <c r="J3758" i="2" s="1"/>
  <c r="C1332" i="6"/>
  <c r="C1336" i="6"/>
  <c r="N3353" i="2"/>
  <c r="J3353" i="2" s="1"/>
  <c r="N3375" i="2"/>
  <c r="J3375" i="2" s="1"/>
  <c r="N3383" i="2"/>
  <c r="J3383" i="2" s="1"/>
  <c r="C1139" i="6"/>
  <c r="N3276" i="2" s="1"/>
  <c r="J3276" i="2" s="1"/>
  <c r="C1187" i="6"/>
  <c r="N3326" i="2" s="1"/>
  <c r="J3326" i="2" s="1"/>
  <c r="C1199" i="6"/>
  <c r="N3338" i="2" s="1"/>
  <c r="J3338" i="2" s="1"/>
  <c r="N2599" i="2"/>
  <c r="J2599" i="2" s="1"/>
  <c r="N2672" i="2"/>
  <c r="J2672" i="2" s="1"/>
  <c r="F891" i="6"/>
  <c r="J891" i="6"/>
  <c r="N891" i="6"/>
  <c r="R891" i="6"/>
  <c r="U891" i="6"/>
  <c r="G891" i="6"/>
  <c r="K891" i="6"/>
  <c r="O891" i="6"/>
  <c r="V891" i="6"/>
  <c r="H891" i="6"/>
  <c r="L891" i="6"/>
  <c r="P891" i="6"/>
  <c r="E891" i="6"/>
  <c r="I891" i="6"/>
  <c r="M891" i="6"/>
  <c r="Q891" i="6"/>
  <c r="T891" i="6"/>
  <c r="N2251" i="2"/>
  <c r="J2251" i="2" s="1"/>
  <c r="N2255" i="2"/>
  <c r="J2255" i="2" s="1"/>
  <c r="N2261" i="2"/>
  <c r="J2261" i="2" s="1"/>
  <c r="G449" i="6"/>
  <c r="K449" i="6"/>
  <c r="O449" i="6"/>
  <c r="V449" i="6"/>
  <c r="H449" i="6"/>
  <c r="L449" i="6"/>
  <c r="P449" i="6"/>
  <c r="E449" i="6"/>
  <c r="I449" i="6"/>
  <c r="M449" i="6"/>
  <c r="Q449" i="6"/>
  <c r="T449" i="6"/>
  <c r="F449" i="6"/>
  <c r="J449" i="6"/>
  <c r="N449" i="6"/>
  <c r="U449" i="6"/>
  <c r="F364" i="6"/>
  <c r="J364" i="6"/>
  <c r="N364" i="6"/>
  <c r="R364" i="6"/>
  <c r="U364" i="6"/>
  <c r="G364" i="6"/>
  <c r="K364" i="6"/>
  <c r="O364" i="6"/>
  <c r="V364" i="6"/>
  <c r="H364" i="6"/>
  <c r="L364" i="6"/>
  <c r="P364" i="6"/>
  <c r="E364" i="6"/>
  <c r="I364" i="6"/>
  <c r="M364" i="6"/>
  <c r="Q364" i="6"/>
  <c r="T364" i="6"/>
  <c r="C1022" i="6"/>
  <c r="N2927" i="2" s="1"/>
  <c r="J2927" i="2" s="1"/>
  <c r="C1169" i="6"/>
  <c r="N3307" i="2" s="1"/>
  <c r="J3307" i="2" s="1"/>
  <c r="N3742" i="2"/>
  <c r="J3742" i="2" s="1"/>
  <c r="N3690" i="2"/>
  <c r="J3690" i="2" s="1"/>
  <c r="K144" i="6"/>
  <c r="O144" i="6"/>
  <c r="V144" i="6"/>
  <c r="H144" i="6"/>
  <c r="L144" i="6"/>
  <c r="P144" i="6"/>
  <c r="M144" i="6"/>
  <c r="Q144" i="6"/>
  <c r="T144" i="6"/>
  <c r="J144" i="6"/>
  <c r="N144" i="6"/>
  <c r="F54" i="6"/>
  <c r="J54" i="6"/>
  <c r="N54" i="6"/>
  <c r="R54" i="6"/>
  <c r="U54" i="6"/>
  <c r="H54" i="6"/>
  <c r="L54" i="6"/>
  <c r="P54" i="6"/>
  <c r="N531" i="2"/>
  <c r="J531" i="2" s="1"/>
  <c r="N559" i="2"/>
  <c r="J559" i="2" s="1"/>
  <c r="E54" i="6"/>
  <c r="I54" i="6"/>
  <c r="M54" i="6"/>
  <c r="Q54" i="6"/>
  <c r="T54" i="6"/>
  <c r="G54" i="6"/>
  <c r="K54" i="6"/>
  <c r="O54" i="6"/>
  <c r="V54" i="6"/>
  <c r="N784" i="2"/>
  <c r="J784" i="2" s="1"/>
  <c r="N1255" i="2"/>
  <c r="J1255" i="2" s="1"/>
  <c r="N1743" i="2"/>
  <c r="J1743" i="2" s="1"/>
  <c r="N2663" i="2"/>
  <c r="J2663" i="2" s="1"/>
  <c r="N2667" i="2"/>
  <c r="J2667" i="2" s="1"/>
  <c r="C1013" i="6"/>
  <c r="N2918" i="2" s="1"/>
  <c r="J2918" i="2" s="1"/>
  <c r="C1015" i="6"/>
  <c r="N2920" i="2" s="1"/>
  <c r="J2920" i="2" s="1"/>
  <c r="N1350" i="2"/>
  <c r="J1350" i="2" s="1"/>
  <c r="C477" i="6"/>
  <c r="N1983" i="2" s="1"/>
  <c r="J1983" i="2" s="1"/>
  <c r="C597" i="6"/>
  <c r="N2146" i="2" s="1"/>
  <c r="J2146" i="2" s="1"/>
  <c r="C599" i="6"/>
  <c r="N2148" i="2" s="1"/>
  <c r="J2148" i="2" s="1"/>
  <c r="C605" i="6"/>
  <c r="N2154" i="2" s="1"/>
  <c r="J2154" i="2" s="1"/>
  <c r="C660" i="6"/>
  <c r="N2216" i="2" s="1"/>
  <c r="J2216" i="2" s="1"/>
  <c r="D676" i="6"/>
  <c r="C895" i="6"/>
  <c r="N2626" i="2" s="1"/>
  <c r="J2626" i="2" s="1"/>
  <c r="C1043" i="6"/>
  <c r="C1046" i="6"/>
  <c r="C1157" i="6"/>
  <c r="N3295" i="2" s="1"/>
  <c r="J3295" i="2" s="1"/>
  <c r="N2124" i="2"/>
  <c r="J2124" i="2" s="1"/>
  <c r="N2231" i="2"/>
  <c r="J2231" i="2" s="1"/>
  <c r="C75" i="6"/>
  <c r="C592" i="6"/>
  <c r="N2141" i="2" s="1"/>
  <c r="J2141" i="2" s="1"/>
  <c r="C600" i="6"/>
  <c r="N2149" i="2" s="1"/>
  <c r="J2149" i="2" s="1"/>
  <c r="C602" i="6"/>
  <c r="N2151" i="2" s="1"/>
  <c r="J2151" i="2" s="1"/>
  <c r="C606" i="6"/>
  <c r="N2155" i="2" s="1"/>
  <c r="J2155" i="2" s="1"/>
  <c r="C624" i="6"/>
  <c r="N2173" i="2" s="1"/>
  <c r="J2173" i="2" s="1"/>
  <c r="N2680" i="2"/>
  <c r="J2680" i="2" s="1"/>
  <c r="C1160" i="6"/>
  <c r="N3298" i="2" s="1"/>
  <c r="J3298" i="2" s="1"/>
  <c r="C1166" i="6"/>
  <c r="N3304" i="2" s="1"/>
  <c r="J3304" i="2" s="1"/>
  <c r="C1168" i="6"/>
  <c r="N3306" i="2" s="1"/>
  <c r="J3306" i="2" s="1"/>
  <c r="N782" i="2"/>
  <c r="J782" i="2" s="1"/>
  <c r="C1147" i="6"/>
  <c r="N3285" i="2" s="1"/>
  <c r="J3285" i="2" s="1"/>
  <c r="C1155" i="6"/>
  <c r="N3293" i="2" s="1"/>
  <c r="J3293" i="2" s="1"/>
  <c r="N2029" i="2"/>
  <c r="J2029" i="2" s="1"/>
  <c r="N2249" i="2"/>
  <c r="J2249" i="2" s="1"/>
  <c r="N2253" i="2"/>
  <c r="J2253" i="2" s="1"/>
  <c r="N2257" i="2"/>
  <c r="J2257" i="2" s="1"/>
  <c r="N2665" i="2"/>
  <c r="J2665" i="2" s="1"/>
  <c r="N2669" i="2"/>
  <c r="J2669" i="2" s="1"/>
  <c r="W803" i="6"/>
  <c r="C938" i="6"/>
  <c r="C939" i="6" s="1"/>
  <c r="C1130" i="6"/>
  <c r="N3267" i="2" s="1"/>
  <c r="J3267" i="2" s="1"/>
  <c r="C1136" i="6"/>
  <c r="N3273" i="2" s="1"/>
  <c r="J3273" i="2" s="1"/>
  <c r="C1138" i="6"/>
  <c r="N3275" i="2" s="1"/>
  <c r="J3275" i="2" s="1"/>
  <c r="C1156" i="6"/>
  <c r="N3294" i="2" s="1"/>
  <c r="J3294" i="2" s="1"/>
  <c r="N2843" i="2"/>
  <c r="J2843" i="2" s="1"/>
  <c r="N1349" i="2"/>
  <c r="N2254" i="2"/>
  <c r="J2254" i="2" s="1"/>
  <c r="N2258" i="2"/>
  <c r="J2258" i="2" s="1"/>
  <c r="N2666" i="2"/>
  <c r="J2666" i="2" s="1"/>
  <c r="N3378" i="2"/>
  <c r="J3378" i="2" s="1"/>
  <c r="N3382" i="2"/>
  <c r="J3382" i="2" s="1"/>
  <c r="C222" i="6"/>
  <c r="N678" i="2" s="1"/>
  <c r="J678" i="2" s="1"/>
  <c r="C583" i="6"/>
  <c r="N2132" i="2" s="1"/>
  <c r="J2132" i="2" s="1"/>
  <c r="C608" i="6"/>
  <c r="N2157" i="2" s="1"/>
  <c r="J2157" i="2" s="1"/>
  <c r="C612" i="6"/>
  <c r="C667" i="6"/>
  <c r="N2225" i="2" s="1"/>
  <c r="J2225" i="2" s="1"/>
  <c r="C710" i="6"/>
  <c r="N2276" i="2" s="1"/>
  <c r="J2276" i="2" s="1"/>
  <c r="C727" i="6"/>
  <c r="N2294" i="2" s="1"/>
  <c r="J2294" i="2" s="1"/>
  <c r="C729" i="6"/>
  <c r="N2296" i="2" s="1"/>
  <c r="J2296" i="2" s="1"/>
  <c r="C763" i="6"/>
  <c r="C791" i="6"/>
  <c r="C951" i="6"/>
  <c r="C953" i="6"/>
  <c r="N2847" i="2" s="1"/>
  <c r="J2847" i="2" s="1"/>
  <c r="C955" i="6"/>
  <c r="N2849" i="2" s="1"/>
  <c r="J2849" i="2" s="1"/>
  <c r="C957" i="6"/>
  <c r="N2851" i="2" s="1"/>
  <c r="J2851" i="2" s="1"/>
  <c r="C959" i="6"/>
  <c r="N2884" i="2"/>
  <c r="J2884" i="2" s="1"/>
  <c r="C1173" i="6"/>
  <c r="N3311" i="2" s="1"/>
  <c r="J3311" i="2" s="1"/>
  <c r="C1238" i="6"/>
  <c r="N2853" i="2"/>
  <c r="J2853" i="2" s="1"/>
  <c r="N783" i="2"/>
  <c r="J783" i="2" s="1"/>
  <c r="N2252" i="2"/>
  <c r="J2252" i="2" s="1"/>
  <c r="N2256" i="2"/>
  <c r="J2256" i="2" s="1"/>
  <c r="N3376" i="2"/>
  <c r="J3376" i="2" s="1"/>
  <c r="N3380" i="2"/>
  <c r="J3380" i="2" s="1"/>
  <c r="N3384" i="2"/>
  <c r="J3384" i="2" s="1"/>
  <c r="N3429" i="2"/>
  <c r="J3429" i="2" s="1"/>
  <c r="C427" i="6"/>
  <c r="N1855" i="2" s="1"/>
  <c r="J1855" i="2" s="1"/>
  <c r="C703" i="6"/>
  <c r="N2269" i="2" s="1"/>
  <c r="J2269" i="2" s="1"/>
  <c r="C1119" i="6"/>
  <c r="N3256" i="2" s="1"/>
  <c r="J3256" i="2" s="1"/>
  <c r="C1123" i="6"/>
  <c r="N3260" i="2" s="1"/>
  <c r="J3260" i="2" s="1"/>
  <c r="C1127" i="6"/>
  <c r="N3264" i="2" s="1"/>
  <c r="J3264" i="2" s="1"/>
  <c r="C1135" i="6"/>
  <c r="N3272" i="2" s="1"/>
  <c r="J3272" i="2" s="1"/>
  <c r="C1148" i="6"/>
  <c r="N3286" i="2" s="1"/>
  <c r="J3286" i="2" s="1"/>
  <c r="C1152" i="6"/>
  <c r="N3290" i="2" s="1"/>
  <c r="J3290" i="2" s="1"/>
  <c r="C1182" i="6"/>
  <c r="N3320" i="2" s="1"/>
  <c r="J3320" i="2" s="1"/>
  <c r="C1317" i="6"/>
  <c r="N3731" i="2" s="1"/>
  <c r="J3731" i="2" s="1"/>
  <c r="G472" i="6"/>
  <c r="K472" i="6"/>
  <c r="O472" i="6"/>
  <c r="N2590" i="2"/>
  <c r="J2590" i="2" s="1"/>
  <c r="C1205" i="6"/>
  <c r="P1254" i="6"/>
  <c r="P1282" i="6" s="1"/>
  <c r="N2668" i="2"/>
  <c r="J2668" i="2" s="1"/>
  <c r="N2674" i="2"/>
  <c r="J2674" i="2" s="1"/>
  <c r="N2681" i="2"/>
  <c r="J2681" i="2" s="1"/>
  <c r="C143" i="6"/>
  <c r="D478" i="6"/>
  <c r="C16" i="6"/>
  <c r="H28" i="6"/>
  <c r="L28" i="6"/>
  <c r="P28" i="6"/>
  <c r="U28" i="6"/>
  <c r="A249" i="6"/>
  <c r="A252" i="6" s="1"/>
  <c r="A253" i="6" s="1"/>
  <c r="A254" i="6" s="1"/>
  <c r="A255" i="6" s="1"/>
  <c r="A256" i="6" s="1"/>
  <c r="A261" i="6" s="1"/>
  <c r="A262" i="6" s="1"/>
  <c r="A263" i="6" s="1"/>
  <c r="A266" i="6" s="1"/>
  <c r="A267" i="6" s="1"/>
  <c r="A268" i="6" s="1"/>
  <c r="A269" i="6" s="1"/>
  <c r="A272" i="6" s="1"/>
  <c r="A275" i="6" s="1"/>
  <c r="A276" i="6" s="1"/>
  <c r="A277" i="6" s="1"/>
  <c r="A278" i="6" s="1"/>
  <c r="C290" i="6"/>
  <c r="N1267" i="2" s="1"/>
  <c r="J1267" i="2" s="1"/>
  <c r="C349" i="6"/>
  <c r="N1332" i="2" s="1"/>
  <c r="J1332" i="2" s="1"/>
  <c r="F472" i="6"/>
  <c r="N472" i="6"/>
  <c r="R472" i="6"/>
  <c r="C596" i="6"/>
  <c r="C616" i="6"/>
  <c r="N2165" i="2" s="1"/>
  <c r="J2165" i="2" s="1"/>
  <c r="C618" i="6"/>
  <c r="N2167" i="2" s="1"/>
  <c r="J2167" i="2" s="1"/>
  <c r="C622" i="6"/>
  <c r="N2171" i="2" s="1"/>
  <c r="J2171" i="2" s="1"/>
  <c r="C626" i="6"/>
  <c r="N2175" i="2" s="1"/>
  <c r="J2175" i="2" s="1"/>
  <c r="C654" i="6"/>
  <c r="N2210" i="2" s="1"/>
  <c r="J2210" i="2" s="1"/>
  <c r="C760" i="6"/>
  <c r="C775" i="6"/>
  <c r="N2416" i="2" s="1"/>
  <c r="J2416" i="2" s="1"/>
  <c r="C800" i="6"/>
  <c r="N2486" i="2" s="1"/>
  <c r="J2486" i="2" s="1"/>
  <c r="C802" i="6"/>
  <c r="N2488" i="2" s="1"/>
  <c r="J2488" i="2" s="1"/>
  <c r="C1142" i="6"/>
  <c r="C1191" i="6"/>
  <c r="N3330" i="2" s="1"/>
  <c r="J3330" i="2" s="1"/>
  <c r="W1006" i="6"/>
  <c r="C1141" i="6"/>
  <c r="N3278" i="2" s="1"/>
  <c r="J3278" i="2" s="1"/>
  <c r="C1143" i="6"/>
  <c r="N3280" i="2" s="1"/>
  <c r="J3280" i="2" s="1"/>
  <c r="C1188" i="6"/>
  <c r="N3327" i="2" s="1"/>
  <c r="J3327" i="2" s="1"/>
  <c r="C1192" i="6"/>
  <c r="N3331" i="2" s="1"/>
  <c r="J3331" i="2" s="1"/>
  <c r="C1296" i="6"/>
  <c r="N2670" i="2"/>
  <c r="J2670" i="2" s="1"/>
  <c r="N2780" i="2"/>
  <c r="J2780" i="2" s="1"/>
  <c r="N3381" i="2"/>
  <c r="J3381" i="2" s="1"/>
  <c r="N3385" i="2"/>
  <c r="J3385" i="2" s="1"/>
  <c r="N3740" i="2"/>
  <c r="J3740" i="2" s="1"/>
  <c r="F28" i="6"/>
  <c r="J28" i="6"/>
  <c r="N28" i="6"/>
  <c r="W28" i="6"/>
  <c r="C80" i="6"/>
  <c r="C210" i="6"/>
  <c r="N666" i="2" s="1"/>
  <c r="J666" i="2" s="1"/>
  <c r="C302" i="6"/>
  <c r="N1284" i="2" s="1"/>
  <c r="J1284" i="2" s="1"/>
  <c r="C330" i="6"/>
  <c r="N1312" i="2" s="1"/>
  <c r="J1312" i="2" s="1"/>
  <c r="C360" i="6"/>
  <c r="N1344" i="2" s="1"/>
  <c r="J1344" i="2" s="1"/>
  <c r="C362" i="6"/>
  <c r="N1346" i="2" s="1"/>
  <c r="J1346" i="2" s="1"/>
  <c r="C401" i="6"/>
  <c r="C516" i="6"/>
  <c r="N2065" i="2" s="1"/>
  <c r="J2065" i="2" s="1"/>
  <c r="C520" i="6"/>
  <c r="N2069" i="2" s="1"/>
  <c r="J2069" i="2" s="1"/>
  <c r="C522" i="6"/>
  <c r="N2071" i="2" s="1"/>
  <c r="J2071" i="2" s="1"/>
  <c r="C536" i="6"/>
  <c r="C538" i="6"/>
  <c r="N2087" i="2" s="1"/>
  <c r="J2087" i="2" s="1"/>
  <c r="C542" i="6"/>
  <c r="N2091" i="2" s="1"/>
  <c r="J2091" i="2" s="1"/>
  <c r="C544" i="6"/>
  <c r="N2093" i="2" s="1"/>
  <c r="J2093" i="2" s="1"/>
  <c r="C546" i="6"/>
  <c r="C548" i="6"/>
  <c r="C550" i="6"/>
  <c r="N2099" i="2" s="1"/>
  <c r="J2099" i="2" s="1"/>
  <c r="C552" i="6"/>
  <c r="N2101" i="2" s="1"/>
  <c r="J2101" i="2" s="1"/>
  <c r="C554" i="6"/>
  <c r="C556" i="6"/>
  <c r="N2105" i="2" s="1"/>
  <c r="J2105" i="2" s="1"/>
  <c r="C558" i="6"/>
  <c r="C560" i="6"/>
  <c r="N2109" i="2" s="1"/>
  <c r="J2109" i="2" s="1"/>
  <c r="C562" i="6"/>
  <c r="C564" i="6"/>
  <c r="N2113" i="2" s="1"/>
  <c r="J2113" i="2" s="1"/>
  <c r="C566" i="6"/>
  <c r="N2115" i="2" s="1"/>
  <c r="J2115" i="2" s="1"/>
  <c r="C568" i="6"/>
  <c r="N2117" i="2" s="1"/>
  <c r="J2117" i="2" s="1"/>
  <c r="C570" i="6"/>
  <c r="N2119" i="2" s="1"/>
  <c r="J2119" i="2" s="1"/>
  <c r="C572" i="6"/>
  <c r="N2121" i="2" s="1"/>
  <c r="J2121" i="2" s="1"/>
  <c r="C574" i="6"/>
  <c r="N2123" i="2" s="1"/>
  <c r="J2123" i="2" s="1"/>
  <c r="C581" i="6"/>
  <c r="N2130" i="2" s="1"/>
  <c r="J2130" i="2" s="1"/>
  <c r="C588" i="6"/>
  <c r="N2137" i="2" s="1"/>
  <c r="J2137" i="2" s="1"/>
  <c r="C590" i="6"/>
  <c r="N2139" i="2" s="1"/>
  <c r="J2139" i="2" s="1"/>
  <c r="C613" i="6"/>
  <c r="C615" i="6"/>
  <c r="N2164" i="2" s="1"/>
  <c r="J2164" i="2" s="1"/>
  <c r="C621" i="6"/>
  <c r="N2170" i="2" s="1"/>
  <c r="J2170" i="2" s="1"/>
  <c r="C663" i="6"/>
  <c r="N2221" i="2" s="1"/>
  <c r="J2221" i="2" s="1"/>
  <c r="D809" i="6"/>
  <c r="C898" i="6"/>
  <c r="N2629" i="2" s="1"/>
  <c r="J2629" i="2" s="1"/>
  <c r="W967" i="6"/>
  <c r="C978" i="6"/>
  <c r="N2875" i="2" s="1"/>
  <c r="J2875" i="2" s="1"/>
  <c r="W986" i="6"/>
  <c r="C1004" i="6"/>
  <c r="N2907" i="2" s="1"/>
  <c r="J2907" i="2" s="1"/>
  <c r="C1019" i="6"/>
  <c r="N2924" i="2" s="1"/>
  <c r="J2924" i="2" s="1"/>
  <c r="C1037" i="6"/>
  <c r="C1058" i="6"/>
  <c r="N3194" i="2" s="1"/>
  <c r="J3194" i="2" s="1"/>
  <c r="C1066" i="6"/>
  <c r="N3202" i="2" s="1"/>
  <c r="J3202" i="2" s="1"/>
  <c r="C1074" i="6"/>
  <c r="N3210" i="2" s="1"/>
  <c r="J3210" i="2" s="1"/>
  <c r="C1149" i="6"/>
  <c r="N3287" i="2" s="1"/>
  <c r="J3287" i="2" s="1"/>
  <c r="C1175" i="6"/>
  <c r="N3313" i="2" s="1"/>
  <c r="J3313" i="2" s="1"/>
  <c r="D1254" i="6"/>
  <c r="K2342" i="5"/>
  <c r="O2342" i="5"/>
  <c r="S2342" i="5"/>
  <c r="H2342" i="5"/>
  <c r="L2342" i="5"/>
  <c r="P2342" i="5"/>
  <c r="T2342" i="5"/>
  <c r="I2342" i="5"/>
  <c r="M2342" i="5"/>
  <c r="Q2342" i="5"/>
  <c r="U2342" i="5"/>
  <c r="J2342" i="5"/>
  <c r="N2342" i="5"/>
  <c r="R2342" i="5"/>
  <c r="V2342" i="5"/>
  <c r="F2219" i="5"/>
  <c r="J2219" i="5"/>
  <c r="N2219" i="5"/>
  <c r="R2219" i="5"/>
  <c r="U2219" i="5"/>
  <c r="K2219" i="5"/>
  <c r="O2219" i="5"/>
  <c r="V2219" i="5"/>
  <c r="H2219" i="5"/>
  <c r="L2219" i="5"/>
  <c r="P2219" i="5"/>
  <c r="S2219" i="5"/>
  <c r="W2219" i="5"/>
  <c r="E2202" i="5"/>
  <c r="I2202" i="5"/>
  <c r="M2202" i="5"/>
  <c r="Q2202" i="5"/>
  <c r="T2202" i="5"/>
  <c r="E2219" i="5"/>
  <c r="I2219" i="5"/>
  <c r="M2219" i="5"/>
  <c r="Q2219" i="5"/>
  <c r="T2219" i="5"/>
  <c r="G2202" i="5"/>
  <c r="K2202" i="5"/>
  <c r="O2202" i="5"/>
  <c r="V2202" i="5"/>
  <c r="L2202" i="5"/>
  <c r="P2202" i="5"/>
  <c r="S2202" i="5"/>
  <c r="F2202" i="5"/>
  <c r="J2202" i="5"/>
  <c r="N2202" i="5"/>
  <c r="R2202" i="5"/>
  <c r="U2202" i="5"/>
  <c r="M1782" i="5"/>
  <c r="S1782" i="5"/>
  <c r="K1782" i="5"/>
  <c r="O1782" i="5"/>
  <c r="L1782" i="5"/>
  <c r="Q1782" i="5"/>
  <c r="W1782" i="5"/>
  <c r="J1782" i="5"/>
  <c r="N1782" i="5"/>
  <c r="T1782" i="5"/>
  <c r="E1706" i="5"/>
  <c r="I1706" i="5"/>
  <c r="M1706" i="5"/>
  <c r="Q1706" i="5"/>
  <c r="T1706" i="5"/>
  <c r="H1706" i="5"/>
  <c r="L1706" i="5"/>
  <c r="P1706" i="5"/>
  <c r="S1706" i="5"/>
  <c r="J1706" i="5"/>
  <c r="N1706" i="5"/>
  <c r="R1706" i="5"/>
  <c r="U1706" i="5"/>
  <c r="G1706" i="5"/>
  <c r="K1706" i="5"/>
  <c r="O1706" i="5"/>
  <c r="H1623" i="5"/>
  <c r="L1623" i="5"/>
  <c r="P1623" i="5"/>
  <c r="S1623" i="5"/>
  <c r="I1623" i="5"/>
  <c r="M1623" i="5"/>
  <c r="Q1623" i="5"/>
  <c r="T1623" i="5"/>
  <c r="J1623" i="5"/>
  <c r="R1623" i="5"/>
  <c r="O1623" i="5"/>
  <c r="V1623" i="5"/>
  <c r="H1098" i="5"/>
  <c r="P1098" i="5"/>
  <c r="S1098" i="5"/>
  <c r="G1098" i="5"/>
  <c r="K1098" i="5"/>
  <c r="O1098" i="5"/>
  <c r="V1098" i="5"/>
  <c r="L1098" i="5"/>
  <c r="E1098" i="5"/>
  <c r="I1098" i="5"/>
  <c r="M1098" i="5"/>
  <c r="Q1098" i="5"/>
  <c r="T1098" i="5"/>
  <c r="F1098" i="5"/>
  <c r="J1098" i="5"/>
  <c r="N1098" i="5"/>
  <c r="R1098" i="5"/>
  <c r="U1098" i="5"/>
  <c r="C1690" i="5"/>
  <c r="H414" i="5"/>
  <c r="L414" i="5"/>
  <c r="P414" i="5"/>
  <c r="H648" i="5"/>
  <c r="L648" i="5"/>
  <c r="P648" i="5"/>
  <c r="S648" i="5"/>
  <c r="G648" i="5"/>
  <c r="K648" i="5"/>
  <c r="O648" i="5"/>
  <c r="V648" i="5"/>
  <c r="E648" i="5"/>
  <c r="I648" i="5"/>
  <c r="M648" i="5"/>
  <c r="Q648" i="5"/>
  <c r="T648" i="5"/>
  <c r="F648" i="5"/>
  <c r="J648" i="5"/>
  <c r="N648" i="5"/>
  <c r="R648" i="5"/>
  <c r="U648" i="5"/>
  <c r="L217" i="5"/>
  <c r="P217" i="5"/>
  <c r="M414" i="5"/>
  <c r="Q414" i="5"/>
  <c r="T414" i="5"/>
  <c r="H217" i="5"/>
  <c r="S217" i="5"/>
  <c r="J414" i="5"/>
  <c r="R414" i="5"/>
  <c r="U414" i="5"/>
  <c r="K414" i="5"/>
  <c r="O414" i="5"/>
  <c r="V414" i="5"/>
  <c r="S414" i="5"/>
  <c r="E217" i="5"/>
  <c r="I217" i="5"/>
  <c r="M217" i="5"/>
  <c r="Q217" i="5"/>
  <c r="T217" i="5"/>
  <c r="F217" i="5"/>
  <c r="J217" i="5"/>
  <c r="R217" i="5"/>
  <c r="U217" i="5"/>
  <c r="G217" i="5"/>
  <c r="K217" i="5"/>
  <c r="O217" i="5"/>
  <c r="V217" i="5"/>
  <c r="C1370" i="5"/>
  <c r="N1637" i="2" s="1"/>
  <c r="J1637" i="2" s="1"/>
  <c r="F1666" i="5"/>
  <c r="J1666" i="5"/>
  <c r="N1666" i="5"/>
  <c r="R1666" i="5"/>
  <c r="U1666" i="5"/>
  <c r="C877" i="5"/>
  <c r="C1688" i="5"/>
  <c r="W1693" i="5"/>
  <c r="C1689" i="5"/>
  <c r="O1666" i="5"/>
  <c r="V1666" i="5"/>
  <c r="C1675" i="5"/>
  <c r="C1691" i="5"/>
  <c r="N2020" i="2" s="1"/>
  <c r="J2020" i="2" s="1"/>
  <c r="C1692" i="5"/>
  <c r="N2025" i="2" s="1"/>
  <c r="J2025" i="2" s="1"/>
  <c r="M1666" i="5"/>
  <c r="Q1666" i="5"/>
  <c r="T1666" i="5"/>
  <c r="C1674" i="5"/>
  <c r="D146" i="4"/>
  <c r="C146" i="4" s="1"/>
  <c r="G657" i="4"/>
  <c r="K657" i="4"/>
  <c r="O657" i="4"/>
  <c r="V657" i="4"/>
  <c r="H657" i="4"/>
  <c r="L657" i="4"/>
  <c r="P657" i="4"/>
  <c r="S657" i="4"/>
  <c r="F657" i="4"/>
  <c r="J657" i="4"/>
  <c r="N657" i="4"/>
  <c r="R657" i="4"/>
  <c r="U657" i="4"/>
  <c r="T68" i="4"/>
  <c r="E657" i="4"/>
  <c r="I657" i="4"/>
  <c r="M657" i="4"/>
  <c r="Q657" i="4"/>
  <c r="T657" i="4"/>
  <c r="L432" i="4"/>
  <c r="N604" i="2"/>
  <c r="J604" i="2" s="1"/>
  <c r="H291" i="4"/>
  <c r="L291" i="4"/>
  <c r="P291" i="4"/>
  <c r="S291" i="4"/>
  <c r="M210" i="4"/>
  <c r="E291" i="4"/>
  <c r="I291" i="4"/>
  <c r="M291" i="4"/>
  <c r="Q291" i="4"/>
  <c r="T291" i="4"/>
  <c r="D570" i="4"/>
  <c r="J291" i="4"/>
  <c r="N291" i="4"/>
  <c r="R291" i="4"/>
  <c r="U291" i="4"/>
  <c r="G291" i="4"/>
  <c r="K291" i="4"/>
  <c r="O291" i="4"/>
  <c r="V291" i="4"/>
  <c r="L408" i="4"/>
  <c r="P408" i="4"/>
  <c r="S408" i="4"/>
  <c r="M408" i="4"/>
  <c r="Q408" i="4"/>
  <c r="T408" i="4"/>
  <c r="N2250" i="2"/>
  <c r="J2250" i="2" s="1"/>
  <c r="C546" i="4"/>
  <c r="N2502" i="2" s="1"/>
  <c r="J2502" i="2" s="1"/>
  <c r="C548" i="4"/>
  <c r="N2505" i="2" s="1"/>
  <c r="J2505" i="2" s="1"/>
  <c r="D560" i="4"/>
  <c r="C575" i="4"/>
  <c r="C576" i="4" s="1"/>
  <c r="N426" i="2"/>
  <c r="L68" i="4"/>
  <c r="L185" i="4"/>
  <c r="P185" i="4"/>
  <c r="S185" i="4"/>
  <c r="E408" i="4"/>
  <c r="I408" i="4"/>
  <c r="D100" i="4"/>
  <c r="I185" i="4"/>
  <c r="Q185" i="4"/>
  <c r="D191" i="4"/>
  <c r="U408" i="4"/>
  <c r="D687" i="4"/>
  <c r="J823" i="4"/>
  <c r="N823" i="4"/>
  <c r="R823" i="4"/>
  <c r="U823" i="4"/>
  <c r="G823" i="4"/>
  <c r="N21" i="2"/>
  <c r="K185" i="4"/>
  <c r="E185" i="4"/>
  <c r="M185" i="4"/>
  <c r="T185" i="4"/>
  <c r="C407" i="4"/>
  <c r="F408" i="4"/>
  <c r="N408" i="4"/>
  <c r="R408" i="4"/>
  <c r="N263" i="2"/>
  <c r="J263" i="2" s="1"/>
  <c r="N1422" i="2"/>
  <c r="J1422" i="2" s="1"/>
  <c r="N1449" i="2"/>
  <c r="J1449" i="2" s="1"/>
  <c r="N2823" i="2"/>
  <c r="J2823" i="2" s="1"/>
  <c r="D60" i="4"/>
  <c r="C60" i="4" s="1"/>
  <c r="N157" i="2" s="1"/>
  <c r="J157" i="2" s="1"/>
  <c r="C75" i="4"/>
  <c r="C91" i="4"/>
  <c r="F185" i="4"/>
  <c r="J185" i="4"/>
  <c r="N185" i="4"/>
  <c r="R185" i="4"/>
  <c r="U185" i="4"/>
  <c r="D356" i="4"/>
  <c r="C356" i="4" s="1"/>
  <c r="G408" i="4"/>
  <c r="O408" i="4"/>
  <c r="V408" i="4"/>
  <c r="C589" i="4"/>
  <c r="N2706" i="2" s="1"/>
  <c r="J2706" i="2" s="1"/>
  <c r="E775" i="4"/>
  <c r="I775" i="4"/>
  <c r="M775" i="4"/>
  <c r="Q775" i="4"/>
  <c r="U775" i="4"/>
  <c r="C746" i="4"/>
  <c r="C747" i="4" s="1"/>
  <c r="N260" i="2"/>
  <c r="N264" i="2"/>
  <c r="J264" i="2" s="1"/>
  <c r="N704" i="2"/>
  <c r="J704" i="2" s="1"/>
  <c r="N1780" i="2"/>
  <c r="J1780" i="2" s="1"/>
  <c r="N2718" i="2"/>
  <c r="J2718" i="2" s="1"/>
  <c r="V185" i="4"/>
  <c r="N2776" i="2"/>
  <c r="J2776" i="2" s="1"/>
  <c r="G185" i="4"/>
  <c r="O185" i="4"/>
  <c r="H408" i="4"/>
  <c r="P68" i="4"/>
  <c r="C49" i="4"/>
  <c r="D53" i="4"/>
  <c r="I520" i="4"/>
  <c r="M520" i="4"/>
  <c r="N2246" i="2"/>
  <c r="J2246" i="2" s="1"/>
  <c r="N2362" i="2"/>
  <c r="J2362" i="2" s="1"/>
  <c r="N1676" i="2"/>
  <c r="J1676" i="2" s="1"/>
  <c r="C112" i="6"/>
  <c r="N456" i="2" s="1"/>
  <c r="J456" i="2" s="1"/>
  <c r="C128" i="6"/>
  <c r="N477" i="2" s="1"/>
  <c r="J477" i="2" s="1"/>
  <c r="C172" i="6"/>
  <c r="N628" i="2" s="1"/>
  <c r="J628" i="2" s="1"/>
  <c r="C176" i="6"/>
  <c r="N632" i="2" s="1"/>
  <c r="J632" i="2" s="1"/>
  <c r="C180" i="6"/>
  <c r="N636" i="2" s="1"/>
  <c r="J636" i="2" s="1"/>
  <c r="C209" i="6"/>
  <c r="N665" i="2" s="1"/>
  <c r="J665" i="2" s="1"/>
  <c r="N1742" i="2"/>
  <c r="J1742" i="2" s="1"/>
  <c r="C109" i="6"/>
  <c r="N453" i="2" s="1"/>
  <c r="J453" i="2" s="1"/>
  <c r="C113" i="6"/>
  <c r="N457" i="2" s="1"/>
  <c r="J457" i="2" s="1"/>
  <c r="C173" i="6"/>
  <c r="N629" i="2" s="1"/>
  <c r="J629" i="2" s="1"/>
  <c r="C185" i="6"/>
  <c r="N641" i="2" s="1"/>
  <c r="J641" i="2" s="1"/>
  <c r="C196" i="6"/>
  <c r="N652" i="2" s="1"/>
  <c r="J652" i="2" s="1"/>
  <c r="C200" i="6"/>
  <c r="N656" i="2" s="1"/>
  <c r="J656" i="2" s="1"/>
  <c r="C204" i="6"/>
  <c r="N660" i="2" s="1"/>
  <c r="J660" i="2" s="1"/>
  <c r="C315" i="6"/>
  <c r="N1297" i="2" s="1"/>
  <c r="J1297" i="2" s="1"/>
  <c r="C317" i="6"/>
  <c r="N1299" i="2" s="1"/>
  <c r="J1299" i="2" s="1"/>
  <c r="C319" i="6"/>
  <c r="N1301" i="2" s="1"/>
  <c r="J1301" i="2" s="1"/>
  <c r="C327" i="6"/>
  <c r="N1309" i="2" s="1"/>
  <c r="J1309" i="2" s="1"/>
  <c r="C331" i="6"/>
  <c r="N1313" i="2" s="1"/>
  <c r="J1313" i="2" s="1"/>
  <c r="C333" i="6"/>
  <c r="N1315" i="2" s="1"/>
  <c r="J1315" i="2" s="1"/>
  <c r="C335" i="6"/>
  <c r="N1317" i="2" s="1"/>
  <c r="J1317" i="2" s="1"/>
  <c r="C431" i="6"/>
  <c r="N1859" i="2" s="1"/>
  <c r="J1859" i="2" s="1"/>
  <c r="C102" i="6"/>
  <c r="C184" i="6"/>
  <c r="N640" i="2" s="1"/>
  <c r="J640" i="2" s="1"/>
  <c r="C217" i="6"/>
  <c r="N673" i="2" s="1"/>
  <c r="J673" i="2" s="1"/>
  <c r="C221" i="6"/>
  <c r="N677" i="2" s="1"/>
  <c r="J677" i="2" s="1"/>
  <c r="N576" i="2"/>
  <c r="J576" i="2" s="1"/>
  <c r="C208" i="6"/>
  <c r="N664" i="2" s="1"/>
  <c r="J664" i="2" s="1"/>
  <c r="C394" i="6"/>
  <c r="N1575" i="2" s="1"/>
  <c r="J1575" i="2" s="1"/>
  <c r="C174" i="6"/>
  <c r="N630" i="2" s="1"/>
  <c r="J630" i="2" s="1"/>
  <c r="C182" i="6"/>
  <c r="N638" i="2" s="1"/>
  <c r="J638" i="2" s="1"/>
  <c r="C207" i="6"/>
  <c r="N663" i="2" s="1"/>
  <c r="J663" i="2" s="1"/>
  <c r="C218" i="6"/>
  <c r="N674" i="2" s="1"/>
  <c r="J674" i="2" s="1"/>
  <c r="C294" i="6"/>
  <c r="N1271" i="2" s="1"/>
  <c r="J1271" i="2" s="1"/>
  <c r="C341" i="6"/>
  <c r="N1324" i="2" s="1"/>
  <c r="J1324" i="2" s="1"/>
  <c r="C343" i="6"/>
  <c r="N1326" i="2" s="1"/>
  <c r="J1326" i="2" s="1"/>
  <c r="C361" i="6"/>
  <c r="N1345" i="2" s="1"/>
  <c r="J1345" i="2" s="1"/>
  <c r="N798" i="2"/>
  <c r="J798" i="2" s="1"/>
  <c r="H1666" i="5"/>
  <c r="L1666" i="5"/>
  <c r="P1666" i="5"/>
  <c r="S1666" i="5"/>
  <c r="C1434" i="5"/>
  <c r="N1703" i="2" s="1"/>
  <c r="J1703" i="2" s="1"/>
  <c r="D184" i="4"/>
  <c r="N371" i="2"/>
  <c r="J371" i="2" s="1"/>
  <c r="N425" i="2"/>
  <c r="J472" i="6"/>
  <c r="E472" i="6"/>
  <c r="I472" i="6"/>
  <c r="M472" i="6"/>
  <c r="Q472" i="6"/>
  <c r="T472" i="6"/>
  <c r="U472" i="6"/>
  <c r="V472" i="6"/>
  <c r="H472" i="6"/>
  <c r="L472" i="6"/>
  <c r="P472" i="6"/>
  <c r="W472" i="6"/>
  <c r="V1693" i="5"/>
  <c r="V1706" i="5" s="1"/>
  <c r="E1666" i="5"/>
  <c r="I1666" i="5"/>
  <c r="C2123" i="5"/>
  <c r="N501" i="2"/>
  <c r="J501" i="2" s="1"/>
  <c r="G1666" i="5"/>
  <c r="I390" i="5"/>
  <c r="C1361" i="5"/>
  <c r="N1628" i="2" s="1"/>
  <c r="J1628" i="2" s="1"/>
  <c r="C1365" i="5"/>
  <c r="N1632" i="2" s="1"/>
  <c r="J1632" i="2" s="1"/>
  <c r="C1369" i="5"/>
  <c r="N1636" i="2" s="1"/>
  <c r="J1636" i="2" s="1"/>
  <c r="G1781" i="5"/>
  <c r="C2810" i="5"/>
  <c r="N3681" i="2" s="1"/>
  <c r="J3681" i="2" s="1"/>
  <c r="C2817" i="5"/>
  <c r="N3691" i="2" s="1"/>
  <c r="J3691" i="2" s="1"/>
  <c r="N70" i="2"/>
  <c r="D262" i="5"/>
  <c r="E390" i="5"/>
  <c r="N1275" i="2"/>
  <c r="J1275" i="2" s="1"/>
  <c r="N1281" i="2"/>
  <c r="J1281" i="2" s="1"/>
  <c r="I1781" i="5"/>
  <c r="E68" i="4"/>
  <c r="I68" i="4"/>
  <c r="M68" i="4"/>
  <c r="Q68" i="4"/>
  <c r="U68" i="4"/>
  <c r="N142" i="2"/>
  <c r="J142" i="2" s="1"/>
  <c r="N2012" i="2"/>
  <c r="J2012" i="2" s="1"/>
  <c r="C425" i="4"/>
  <c r="N497" i="2"/>
  <c r="J497" i="2" s="1"/>
  <c r="J68" i="4"/>
  <c r="R68" i="4"/>
  <c r="V68" i="4"/>
  <c r="N143" i="2"/>
  <c r="J143" i="2" s="1"/>
  <c r="D217" i="4"/>
  <c r="C217" i="4" s="1"/>
  <c r="C399" i="5"/>
  <c r="D399" i="5"/>
  <c r="N494" i="2"/>
  <c r="J494" i="2" s="1"/>
  <c r="N692" i="2"/>
  <c r="J692" i="2" s="1"/>
  <c r="N980" i="2"/>
  <c r="J980" i="2" s="1"/>
  <c r="N1020" i="2"/>
  <c r="J1020" i="2" s="1"/>
  <c r="N1276" i="2"/>
  <c r="J1276" i="2" s="1"/>
  <c r="C706" i="4"/>
  <c r="N71" i="2"/>
  <c r="N390" i="5"/>
  <c r="W390" i="5"/>
  <c r="N402" i="2"/>
  <c r="N498" i="2"/>
  <c r="J498" i="2" s="1"/>
  <c r="K68" i="4"/>
  <c r="O68" i="4"/>
  <c r="S68" i="4"/>
  <c r="W68" i="4"/>
  <c r="N147" i="2"/>
  <c r="J147" i="2" s="1"/>
  <c r="G63" i="4"/>
  <c r="G68" i="4" s="1"/>
  <c r="C62" i="4"/>
  <c r="D67" i="4"/>
  <c r="M191" i="4"/>
  <c r="C204" i="4"/>
  <c r="N703" i="2" s="1"/>
  <c r="J703" i="2" s="1"/>
  <c r="D630" i="4"/>
  <c r="D744" i="4"/>
  <c r="C797" i="4"/>
  <c r="C798" i="4" s="1"/>
  <c r="N84" i="2"/>
  <c r="J84" i="2" s="1"/>
  <c r="N2245" i="2"/>
  <c r="J2245" i="2" s="1"/>
  <c r="N2775" i="2"/>
  <c r="J2775" i="2" s="1"/>
  <c r="E472" i="4"/>
  <c r="N57" i="2"/>
  <c r="N83" i="2"/>
  <c r="N261" i="2"/>
  <c r="J261" i="2" s="1"/>
  <c r="F390" i="5"/>
  <c r="F414" i="5" s="1"/>
  <c r="N495" i="2"/>
  <c r="J495" i="2" s="1"/>
  <c r="N499" i="2"/>
  <c r="J499" i="2" s="1"/>
  <c r="N544" i="2"/>
  <c r="J544" i="2" s="1"/>
  <c r="N689" i="2"/>
  <c r="J689" i="2" s="1"/>
  <c r="N693" i="2"/>
  <c r="J693" i="2" s="1"/>
  <c r="N701" i="2"/>
  <c r="J701" i="2" s="1"/>
  <c r="N1141" i="2"/>
  <c r="J1141" i="2" s="1"/>
  <c r="N1277" i="2"/>
  <c r="J1277" i="2" s="1"/>
  <c r="N1420" i="2"/>
  <c r="J1420" i="2" s="1"/>
  <c r="N1443" i="2"/>
  <c r="J1443" i="2" s="1"/>
  <c r="N1450" i="2"/>
  <c r="J1450" i="2" s="1"/>
  <c r="N1734" i="2"/>
  <c r="J1734" i="2" s="1"/>
  <c r="N1762" i="2"/>
  <c r="J1762" i="2" s="1"/>
  <c r="N1838" i="2"/>
  <c r="J1838" i="2" s="1"/>
  <c r="N1849" i="2"/>
  <c r="J1849" i="2" s="1"/>
  <c r="D1831" i="5"/>
  <c r="C1893" i="5"/>
  <c r="N2435" i="2" s="1"/>
  <c r="J2435" i="2" s="1"/>
  <c r="N2500" i="2"/>
  <c r="J2500" i="2" s="1"/>
  <c r="C2074" i="5"/>
  <c r="N2677" i="2" s="1"/>
  <c r="J2677" i="2" s="1"/>
  <c r="N2868" i="2"/>
  <c r="J2868" i="2" s="1"/>
  <c r="C2231" i="5"/>
  <c r="N2937" i="2" s="1"/>
  <c r="J2937" i="2" s="1"/>
  <c r="C2233" i="5"/>
  <c r="N2939" i="2" s="1"/>
  <c r="J2939" i="2" s="1"/>
  <c r="N2941" i="2"/>
  <c r="J2941" i="2" s="1"/>
  <c r="C2235" i="5"/>
  <c r="N2943" i="2" s="1"/>
  <c r="J2943" i="2" s="1"/>
  <c r="C2237" i="5"/>
  <c r="N2945" i="2" s="1"/>
  <c r="J2945" i="2" s="1"/>
  <c r="C2241" i="5"/>
  <c r="N2947" i="2" s="1"/>
  <c r="J2947" i="2" s="1"/>
  <c r="C2324" i="5"/>
  <c r="N3033" i="2" s="1"/>
  <c r="J3033" i="2" s="1"/>
  <c r="C2332" i="5"/>
  <c r="N3066" i="2"/>
  <c r="J3066" i="2" s="1"/>
  <c r="C2368" i="5"/>
  <c r="N3076" i="2" s="1"/>
  <c r="J3076" i="2" s="1"/>
  <c r="N3129" i="2"/>
  <c r="J3129" i="2" s="1"/>
  <c r="W2748" i="5"/>
  <c r="N3560" i="2"/>
  <c r="J3560" i="2" s="1"/>
  <c r="N3688" i="2"/>
  <c r="J3688" i="2" s="1"/>
  <c r="N485" i="2"/>
  <c r="J485" i="2" s="1"/>
  <c r="N1973" i="2"/>
  <c r="J1973" i="2" s="1"/>
  <c r="N2262" i="2"/>
  <c r="J2262" i="2" s="1"/>
  <c r="N2762" i="2"/>
  <c r="J2762" i="2" s="1"/>
  <c r="N2782" i="2"/>
  <c r="J2782" i="2" s="1"/>
  <c r="N3672" i="2"/>
  <c r="J3672" i="2" s="1"/>
  <c r="N3762" i="2"/>
  <c r="J3762" i="2" s="1"/>
  <c r="D381" i="4"/>
  <c r="D483" i="4"/>
  <c r="C519" i="4"/>
  <c r="N262" i="2"/>
  <c r="J262" i="2" s="1"/>
  <c r="G390" i="5"/>
  <c r="N424" i="2"/>
  <c r="C404" i="5"/>
  <c r="D404" i="5"/>
  <c r="N496" i="2"/>
  <c r="J496" i="2" s="1"/>
  <c r="N500" i="2"/>
  <c r="J500" i="2" s="1"/>
  <c r="C407" i="5"/>
  <c r="N545" i="2"/>
  <c r="J545" i="2" s="1"/>
  <c r="C988" i="5"/>
  <c r="N1162" i="2" s="1"/>
  <c r="J1162" i="2" s="1"/>
  <c r="C992" i="5"/>
  <c r="N1166" i="2" s="1"/>
  <c r="J1166" i="2" s="1"/>
  <c r="N1278" i="2"/>
  <c r="J1278" i="2" s="1"/>
  <c r="N1453" i="2"/>
  <c r="J1453" i="2" s="1"/>
  <c r="C1223" i="5"/>
  <c r="N1484" i="2" s="1"/>
  <c r="J1484" i="2" s="1"/>
  <c r="C1227" i="5"/>
  <c r="N1488" i="2" s="1"/>
  <c r="J1488" i="2" s="1"/>
  <c r="C1229" i="5"/>
  <c r="N1490" i="2" s="1"/>
  <c r="J1490" i="2" s="1"/>
  <c r="N1496" i="2"/>
  <c r="J1496" i="2" s="1"/>
  <c r="C1242" i="5"/>
  <c r="N1504" i="2" s="1"/>
  <c r="J1504" i="2" s="1"/>
  <c r="C1276" i="5"/>
  <c r="N1540" i="2" s="1"/>
  <c r="J1540" i="2" s="1"/>
  <c r="N1577" i="2"/>
  <c r="J1577" i="2" s="1"/>
  <c r="N1758" i="2"/>
  <c r="J1758" i="2" s="1"/>
  <c r="N1839" i="2"/>
  <c r="J1839" i="2" s="1"/>
  <c r="N2263" i="2"/>
  <c r="J2263" i="2" s="1"/>
  <c r="F1781" i="5"/>
  <c r="D1911" i="5"/>
  <c r="C1911" i="5" s="1"/>
  <c r="C1914" i="5"/>
  <c r="N2456" i="2" s="1"/>
  <c r="J2456" i="2" s="1"/>
  <c r="N2501" i="2"/>
  <c r="J2501" i="2" s="1"/>
  <c r="N2819" i="2"/>
  <c r="J2819" i="2" s="1"/>
  <c r="D2527" i="5"/>
  <c r="C2527" i="5" s="1"/>
  <c r="E2748" i="5"/>
  <c r="N2748" i="5"/>
  <c r="W2834" i="5"/>
  <c r="N3719" i="2"/>
  <c r="J3719" i="2" s="1"/>
  <c r="C2846" i="5"/>
  <c r="N3745" i="2" s="1"/>
  <c r="J3745" i="2" s="1"/>
  <c r="N1368" i="2"/>
  <c r="J1368" i="2" s="1"/>
  <c r="N1846" i="2"/>
  <c r="J1846" i="2" s="1"/>
  <c r="N1970" i="2"/>
  <c r="J1970" i="2" s="1"/>
  <c r="N2779" i="2"/>
  <c r="J2779" i="2" s="1"/>
  <c r="N2783" i="2"/>
  <c r="J2783" i="2" s="1"/>
  <c r="N3279" i="2"/>
  <c r="J3279" i="2" s="1"/>
  <c r="N1847" i="2"/>
  <c r="J1847" i="2" s="1"/>
  <c r="N2161" i="2"/>
  <c r="J2161" i="2" s="1"/>
  <c r="N2784" i="2"/>
  <c r="J2784" i="2" s="1"/>
  <c r="N2794" i="2"/>
  <c r="J2794" i="2" s="1"/>
  <c r="N2824" i="2"/>
  <c r="J2824" i="2" s="1"/>
  <c r="N3522" i="2"/>
  <c r="J3522" i="2" s="1"/>
  <c r="N2593" i="2"/>
  <c r="J2593" i="2" s="1"/>
  <c r="N2705" i="2"/>
  <c r="J2705" i="2" s="1"/>
  <c r="N3687" i="2"/>
  <c r="J3687" i="2" s="1"/>
  <c r="N1333" i="2"/>
  <c r="J1333" i="2" s="1"/>
  <c r="N1673" i="2"/>
  <c r="J1673" i="2" s="1"/>
  <c r="N1848" i="2"/>
  <c r="J1848" i="2" s="1"/>
  <c r="N1972" i="2"/>
  <c r="J1972" i="2" s="1"/>
  <c r="N2089" i="2"/>
  <c r="J2089" i="2" s="1"/>
  <c r="N2095" i="2"/>
  <c r="J2095" i="2" s="1"/>
  <c r="N2097" i="2"/>
  <c r="J2097" i="2" s="1"/>
  <c r="N2107" i="2"/>
  <c r="J2107" i="2" s="1"/>
  <c r="N2111" i="2"/>
  <c r="J2111" i="2" s="1"/>
  <c r="N2162" i="2"/>
  <c r="J2162" i="2" s="1"/>
  <c r="N2265" i="2"/>
  <c r="J2265" i="2" s="1"/>
  <c r="N2509" i="2"/>
  <c r="J2509" i="2" s="1"/>
  <c r="N2765" i="2"/>
  <c r="J2765" i="2" s="1"/>
  <c r="N2788" i="2"/>
  <c r="J2788" i="2" s="1"/>
  <c r="N2827" i="2"/>
  <c r="J2827" i="2" s="1"/>
  <c r="N3675" i="2"/>
  <c r="J3675" i="2" s="1"/>
  <c r="N270" i="2"/>
  <c r="J270" i="2" s="1"/>
  <c r="R28" i="6"/>
  <c r="Q157" i="6"/>
  <c r="C181" i="6"/>
  <c r="N637" i="2" s="1"/>
  <c r="J637" i="2" s="1"/>
  <c r="C213" i="6"/>
  <c r="N669" i="2" s="1"/>
  <c r="J669" i="2" s="1"/>
  <c r="C215" i="6"/>
  <c r="N671" i="2" s="1"/>
  <c r="J671" i="2" s="1"/>
  <c r="C314" i="6"/>
  <c r="N1296" i="2" s="1"/>
  <c r="J1296" i="2" s="1"/>
  <c r="C392" i="6"/>
  <c r="N1557" i="2" s="1"/>
  <c r="J1557" i="2" s="1"/>
  <c r="C402" i="6"/>
  <c r="C428" i="6"/>
  <c r="N1856" i="2" s="1"/>
  <c r="J1856" i="2" s="1"/>
  <c r="C524" i="6"/>
  <c r="N2073" i="2" s="1"/>
  <c r="J2073" i="2" s="1"/>
  <c r="C609" i="6"/>
  <c r="N2158" i="2" s="1"/>
  <c r="J2158" i="2" s="1"/>
  <c r="C611" i="6"/>
  <c r="N2160" i="2" s="1"/>
  <c r="J2160" i="2" s="1"/>
  <c r="C620" i="6"/>
  <c r="N2169" i="2" s="1"/>
  <c r="J2169" i="2" s="1"/>
  <c r="C711" i="6"/>
  <c r="N2277" i="2" s="1"/>
  <c r="J2277" i="2" s="1"/>
  <c r="N267" i="2"/>
  <c r="J267" i="2" s="1"/>
  <c r="N283" i="2"/>
  <c r="J283" i="2" s="1"/>
  <c r="C79" i="6"/>
  <c r="C120" i="6"/>
  <c r="C131" i="6"/>
  <c r="N480" i="2" s="1"/>
  <c r="J480" i="2" s="1"/>
  <c r="C178" i="6"/>
  <c r="N634" i="2" s="1"/>
  <c r="J634" i="2" s="1"/>
  <c r="C289" i="6"/>
  <c r="N1266" i="2" s="1"/>
  <c r="J1266" i="2" s="1"/>
  <c r="C291" i="6"/>
  <c r="N1268" i="2" s="1"/>
  <c r="J1268" i="2" s="1"/>
  <c r="C584" i="6"/>
  <c r="N2133" i="2" s="1"/>
  <c r="J2133" i="2" s="1"/>
  <c r="C586" i="6"/>
  <c r="C593" i="6"/>
  <c r="C595" i="6"/>
  <c r="N2144" i="2" s="1"/>
  <c r="J2144" i="2" s="1"/>
  <c r="C604" i="6"/>
  <c r="N2153" i="2" s="1"/>
  <c r="J2153" i="2" s="1"/>
  <c r="C635" i="6"/>
  <c r="N2188" i="2" s="1"/>
  <c r="J2188" i="2" s="1"/>
  <c r="C643" i="6"/>
  <c r="N2196" i="2" s="1"/>
  <c r="J2196" i="2" s="1"/>
  <c r="C706" i="6"/>
  <c r="N2272" i="2" s="1"/>
  <c r="J2272" i="2" s="1"/>
  <c r="C715" i="6"/>
  <c r="N2282" i="2" s="1"/>
  <c r="J2282" i="2" s="1"/>
  <c r="W804" i="6"/>
  <c r="C1340" i="6"/>
  <c r="N3770" i="2" s="1"/>
  <c r="J3770" i="2" s="1"/>
  <c r="C1344" i="6"/>
  <c r="N3774" i="2" s="1"/>
  <c r="J3774" i="2" s="1"/>
  <c r="C1348" i="6"/>
  <c r="N3778" i="2" s="1"/>
  <c r="J3778" i="2" s="1"/>
  <c r="C731" i="6"/>
  <c r="N2298" i="2" s="1"/>
  <c r="J2298" i="2" s="1"/>
  <c r="C735" i="6"/>
  <c r="N2302" i="2" s="1"/>
  <c r="J2302" i="2" s="1"/>
  <c r="G804" i="6"/>
  <c r="O804" i="6"/>
  <c r="C976" i="6"/>
  <c r="N2873" i="2" s="1"/>
  <c r="J2873" i="2" s="1"/>
  <c r="C990" i="6"/>
  <c r="N2891" i="2" s="1"/>
  <c r="J2891" i="2" s="1"/>
  <c r="C1018" i="6"/>
  <c r="N2923" i="2" s="1"/>
  <c r="J2923" i="2" s="1"/>
  <c r="C1025" i="6"/>
  <c r="N2930" i="2" s="1"/>
  <c r="J2930" i="2" s="1"/>
  <c r="C1131" i="6"/>
  <c r="N3268" i="2" s="1"/>
  <c r="J3268" i="2" s="1"/>
  <c r="C1172" i="6"/>
  <c r="N3310" i="2" s="1"/>
  <c r="J3310" i="2" s="1"/>
  <c r="C1181" i="6"/>
  <c r="N3319" i="2" s="1"/>
  <c r="J3319" i="2" s="1"/>
  <c r="C1287" i="6"/>
  <c r="N3669" i="2" s="1"/>
  <c r="J3669" i="2" s="1"/>
  <c r="C359" i="6"/>
  <c r="N1343" i="2" s="1"/>
  <c r="J1343" i="2" s="1"/>
  <c r="C505" i="6"/>
  <c r="N2042" i="2" s="1"/>
  <c r="J2042" i="2" s="1"/>
  <c r="C515" i="6"/>
  <c r="N2064" i="2" s="1"/>
  <c r="J2064" i="2" s="1"/>
  <c r="C517" i="6"/>
  <c r="N2066" i="2" s="1"/>
  <c r="J2066" i="2" s="1"/>
  <c r="C519" i="6"/>
  <c r="N2068" i="2" s="1"/>
  <c r="J2068" i="2" s="1"/>
  <c r="C521" i="6"/>
  <c r="N2070" i="2" s="1"/>
  <c r="J2070" i="2" s="1"/>
  <c r="C525" i="6"/>
  <c r="N2074" i="2" s="1"/>
  <c r="J2074" i="2" s="1"/>
  <c r="C527" i="6"/>
  <c r="N2076" i="2" s="1"/>
  <c r="J2076" i="2" s="1"/>
  <c r="C529" i="6"/>
  <c r="N2078" i="2" s="1"/>
  <c r="J2078" i="2" s="1"/>
  <c r="C531" i="6"/>
  <c r="N2080" i="2" s="1"/>
  <c r="J2080" i="2" s="1"/>
  <c r="C587" i="6"/>
  <c r="C589" i="6"/>
  <c r="N2138" i="2" s="1"/>
  <c r="J2138" i="2" s="1"/>
  <c r="C594" i="6"/>
  <c r="C601" i="6"/>
  <c r="N2150" i="2" s="1"/>
  <c r="J2150" i="2" s="1"/>
  <c r="C603" i="6"/>
  <c r="N2152" i="2" s="1"/>
  <c r="J2152" i="2" s="1"/>
  <c r="C610" i="6"/>
  <c r="N2159" i="2" s="1"/>
  <c r="J2159" i="2" s="1"/>
  <c r="C617" i="6"/>
  <c r="N2166" i="2" s="1"/>
  <c r="J2166" i="2" s="1"/>
  <c r="C619" i="6"/>
  <c r="N2168" i="2" s="1"/>
  <c r="J2168" i="2" s="1"/>
  <c r="D685" i="6"/>
  <c r="C684" i="6"/>
  <c r="N2244" i="2" s="1"/>
  <c r="J2244" i="2" s="1"/>
  <c r="C709" i="6"/>
  <c r="N2275" i="2" s="1"/>
  <c r="J2275" i="2" s="1"/>
  <c r="C732" i="6"/>
  <c r="N2299" i="2" s="1"/>
  <c r="J2299" i="2" s="1"/>
  <c r="C734" i="6"/>
  <c r="N2301" i="2" s="1"/>
  <c r="J2301" i="2" s="1"/>
  <c r="C736" i="6"/>
  <c r="N2303" i="2" s="1"/>
  <c r="J2303" i="2" s="1"/>
  <c r="C738" i="6"/>
  <c r="C740" i="6"/>
  <c r="N2307" i="2" s="1"/>
  <c r="J2307" i="2" s="1"/>
  <c r="C742" i="6"/>
  <c r="N2309" i="2" s="1"/>
  <c r="J2309" i="2" s="1"/>
  <c r="C748" i="6"/>
  <c r="N2315" i="2" s="1"/>
  <c r="J2315" i="2" s="1"/>
  <c r="C750" i="6"/>
  <c r="N2317" i="2" s="1"/>
  <c r="J2317" i="2" s="1"/>
  <c r="C759" i="6"/>
  <c r="C779" i="6"/>
  <c r="C842" i="6"/>
  <c r="N2555" i="2" s="1"/>
  <c r="J2555" i="2" s="1"/>
  <c r="C850" i="6"/>
  <c r="N2563" i="2" s="1"/>
  <c r="J2563" i="2" s="1"/>
  <c r="C916" i="6"/>
  <c r="N2770" i="2" s="1"/>
  <c r="J2770" i="2" s="1"/>
  <c r="C918" i="6"/>
  <c r="N2772" i="2" s="1"/>
  <c r="J2772" i="2" s="1"/>
  <c r="C1024" i="6"/>
  <c r="N2929" i="2" s="1"/>
  <c r="J2929" i="2" s="1"/>
  <c r="C1118" i="6"/>
  <c r="N3255" i="2" s="1"/>
  <c r="J3255" i="2" s="1"/>
  <c r="C1120" i="6"/>
  <c r="N3257" i="2" s="1"/>
  <c r="J3257" i="2" s="1"/>
  <c r="C1124" i="6"/>
  <c r="N3261" i="2" s="1"/>
  <c r="J3261" i="2" s="1"/>
  <c r="C1132" i="6"/>
  <c r="N3269" i="2" s="1"/>
  <c r="J3269" i="2" s="1"/>
  <c r="C1161" i="6"/>
  <c r="N3299" i="2" s="1"/>
  <c r="J3299" i="2" s="1"/>
  <c r="C1171" i="6"/>
  <c r="N3309" i="2" s="1"/>
  <c r="J3309" i="2" s="1"/>
  <c r="C1174" i="6"/>
  <c r="N3312" i="2" s="1"/>
  <c r="J3312" i="2" s="1"/>
  <c r="C1178" i="6"/>
  <c r="N3316" i="2" s="1"/>
  <c r="J3316" i="2" s="1"/>
  <c r="C1180" i="6"/>
  <c r="N3318" i="2" s="1"/>
  <c r="J3318" i="2" s="1"/>
  <c r="C1196" i="6"/>
  <c r="N3335" i="2" s="1"/>
  <c r="J3335" i="2" s="1"/>
  <c r="C1198" i="6"/>
  <c r="N3337" i="2" s="1"/>
  <c r="J3337" i="2" s="1"/>
  <c r="C1200" i="6"/>
  <c r="N3339" i="2" s="1"/>
  <c r="J3339" i="2" s="1"/>
  <c r="N231" i="2"/>
  <c r="J231" i="2" s="1"/>
  <c r="E63" i="6"/>
  <c r="E144" i="6" s="1"/>
  <c r="N285" i="2"/>
  <c r="J285" i="2" s="1"/>
  <c r="C83" i="6"/>
  <c r="C166" i="6"/>
  <c r="N605" i="2" s="1"/>
  <c r="J605" i="2" s="1"/>
  <c r="C177" i="6"/>
  <c r="N633" i="2" s="1"/>
  <c r="J633" i="2" s="1"/>
  <c r="C186" i="6"/>
  <c r="N642" i="2" s="1"/>
  <c r="J642" i="2" s="1"/>
  <c r="C199" i="6"/>
  <c r="N655" i="2" s="1"/>
  <c r="J655" i="2" s="1"/>
  <c r="C203" i="6"/>
  <c r="N659" i="2" s="1"/>
  <c r="J659" i="2" s="1"/>
  <c r="C214" i="6"/>
  <c r="N670" i="2" s="1"/>
  <c r="J670" i="2" s="1"/>
  <c r="C216" i="6"/>
  <c r="N672" i="2" s="1"/>
  <c r="J672" i="2" s="1"/>
  <c r="C286" i="6"/>
  <c r="N1263" i="2" s="1"/>
  <c r="J1263" i="2" s="1"/>
  <c r="C288" i="6"/>
  <c r="N1265" i="2" s="1"/>
  <c r="J1265" i="2" s="1"/>
  <c r="C296" i="6"/>
  <c r="N1273" i="2" s="1"/>
  <c r="J1273" i="2" s="1"/>
  <c r="C299" i="6"/>
  <c r="N1280" i="2" s="1"/>
  <c r="J1280" i="2" s="1"/>
  <c r="C304" i="6"/>
  <c r="N1286" i="2" s="1"/>
  <c r="J1286" i="2" s="1"/>
  <c r="C310" i="6"/>
  <c r="N1292" i="2" s="1"/>
  <c r="J1292" i="2" s="1"/>
  <c r="C312" i="6"/>
  <c r="N1294" i="2" s="1"/>
  <c r="J1294" i="2" s="1"/>
  <c r="C358" i="6"/>
  <c r="N1342" i="2" s="1"/>
  <c r="J1342" i="2" s="1"/>
  <c r="C398" i="6"/>
  <c r="X508" i="6"/>
  <c r="C512" i="6"/>
  <c r="N2061" i="2" s="1"/>
  <c r="J2061" i="2" s="1"/>
  <c r="C576" i="6"/>
  <c r="N2125" i="2" s="1"/>
  <c r="J2125" i="2" s="1"/>
  <c r="C591" i="6"/>
  <c r="N2140" i="2" s="1"/>
  <c r="J2140" i="2" s="1"/>
  <c r="C598" i="6"/>
  <c r="C607" i="6"/>
  <c r="N2156" i="2" s="1"/>
  <c r="J2156" i="2" s="1"/>
  <c r="C614" i="6"/>
  <c r="N2163" i="2" s="1"/>
  <c r="J2163" i="2" s="1"/>
  <c r="C623" i="6"/>
  <c r="N2172" i="2" s="1"/>
  <c r="J2172" i="2" s="1"/>
  <c r="C661" i="6"/>
  <c r="N2219" i="2" s="1"/>
  <c r="J2219" i="2" s="1"/>
  <c r="C678" i="6"/>
  <c r="N2238" i="2" s="1"/>
  <c r="J2238" i="2" s="1"/>
  <c r="C708" i="6"/>
  <c r="C717" i="6"/>
  <c r="N2284" i="2" s="1"/>
  <c r="J2284" i="2" s="1"/>
  <c r="C723" i="6"/>
  <c r="N2290" i="2" s="1"/>
  <c r="J2290" i="2" s="1"/>
  <c r="C725" i="6"/>
  <c r="N2292" i="2" s="1"/>
  <c r="J2292" i="2" s="1"/>
  <c r="C762" i="6"/>
  <c r="C985" i="6"/>
  <c r="N2883" i="2" s="1"/>
  <c r="J2883" i="2" s="1"/>
  <c r="W1016" i="6"/>
  <c r="C1117" i="6"/>
  <c r="N3254" i="2" s="1"/>
  <c r="J3254" i="2" s="1"/>
  <c r="C1144" i="6"/>
  <c r="N3281" i="2" s="1"/>
  <c r="J3281" i="2" s="1"/>
  <c r="C1162" i="6"/>
  <c r="N3300" i="2" s="1"/>
  <c r="J3300" i="2" s="1"/>
  <c r="C1195" i="6"/>
  <c r="N3334" i="2" s="1"/>
  <c r="J3334" i="2" s="1"/>
  <c r="C1197" i="6"/>
  <c r="N3336" i="2" s="1"/>
  <c r="J3336" i="2" s="1"/>
  <c r="C1299" i="6"/>
  <c r="C595" i="4"/>
  <c r="C117" i="5"/>
  <c r="N119" i="2" s="1"/>
  <c r="J119" i="2" s="1"/>
  <c r="C924" i="5"/>
  <c r="N1090" i="2" s="1"/>
  <c r="J1090" i="2" s="1"/>
  <c r="C943" i="5"/>
  <c r="N1110" i="2" s="1"/>
  <c r="J1110" i="2" s="1"/>
  <c r="N1120" i="2"/>
  <c r="J1120" i="2" s="1"/>
  <c r="C956" i="5"/>
  <c r="N1128" i="2" s="1"/>
  <c r="J1128" i="2" s="1"/>
  <c r="C966" i="5"/>
  <c r="N1138" i="2" s="1"/>
  <c r="J1138" i="2" s="1"/>
  <c r="C1347" i="5"/>
  <c r="N1614" i="2" s="1"/>
  <c r="J1614" i="2" s="1"/>
  <c r="H1747" i="5"/>
  <c r="H1782" i="5" s="1"/>
  <c r="C1891" i="5"/>
  <c r="N2433" i="2" s="1"/>
  <c r="J2433" i="2" s="1"/>
  <c r="C2088" i="5"/>
  <c r="N2694" i="2" s="1"/>
  <c r="J2694" i="2" s="1"/>
  <c r="C2321" i="5"/>
  <c r="N3030" i="2" s="1"/>
  <c r="J3030" i="2" s="1"/>
  <c r="C2337" i="5"/>
  <c r="N3046" i="2" s="1"/>
  <c r="J3046" i="2" s="1"/>
  <c r="C724" i="5"/>
  <c r="N890" i="2" s="1"/>
  <c r="J890" i="2" s="1"/>
  <c r="C732" i="5"/>
  <c r="N898" i="2" s="1"/>
  <c r="J898" i="2" s="1"/>
  <c r="C1104" i="5"/>
  <c r="N1358" i="2" s="1"/>
  <c r="J1358" i="2" s="1"/>
  <c r="C1485" i="5"/>
  <c r="N1754" i="2" s="1"/>
  <c r="J1754" i="2" s="1"/>
  <c r="C1494" i="5"/>
  <c r="N1763" i="2" s="1"/>
  <c r="J1763" i="2" s="1"/>
  <c r="N1948" i="2"/>
  <c r="J1948" i="2" s="1"/>
  <c r="C1655" i="5"/>
  <c r="N1950" i="2" s="1"/>
  <c r="J1950" i="2" s="1"/>
  <c r="D1776" i="5"/>
  <c r="C1776" i="5" s="1"/>
  <c r="C1786" i="5"/>
  <c r="C1798" i="5"/>
  <c r="N2339" i="2" s="1"/>
  <c r="J2339" i="2" s="1"/>
  <c r="C1804" i="5"/>
  <c r="N2345" i="2" s="1"/>
  <c r="J2345" i="2" s="1"/>
  <c r="C1808" i="5"/>
  <c r="N2349" i="2" s="1"/>
  <c r="J2349" i="2" s="1"/>
  <c r="C1835" i="5"/>
  <c r="N2376" i="2" s="1"/>
  <c r="J2376" i="2" s="1"/>
  <c r="C1864" i="5"/>
  <c r="N2405" i="2" s="1"/>
  <c r="J2405" i="2" s="1"/>
  <c r="C1877" i="5"/>
  <c r="C2034" i="5"/>
  <c r="N2637" i="2" s="1"/>
  <c r="J2637" i="2" s="1"/>
  <c r="C2036" i="5"/>
  <c r="N2639" i="2" s="1"/>
  <c r="J2639" i="2" s="1"/>
  <c r="N2641" i="2"/>
  <c r="J2641" i="2" s="1"/>
  <c r="C1371" i="5"/>
  <c r="N1638" i="2" s="1"/>
  <c r="J1638" i="2" s="1"/>
  <c r="D1684" i="5"/>
  <c r="D1693" i="5" s="1"/>
  <c r="F1693" i="5"/>
  <c r="F1706" i="5" s="1"/>
  <c r="D1816" i="5"/>
  <c r="N599" i="2"/>
  <c r="J597" i="2"/>
  <c r="J599" i="2" s="1"/>
  <c r="A111" i="5"/>
  <c r="A112" i="5" s="1"/>
  <c r="A113" i="5" s="1"/>
  <c r="A114" i="5" s="1"/>
  <c r="A115" i="5" s="1"/>
  <c r="A116" i="5" s="1"/>
  <c r="A117" i="5" s="1"/>
  <c r="A118" i="5" s="1"/>
  <c r="A121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40" i="5" s="1"/>
  <c r="A141" i="5" s="1"/>
  <c r="A144" i="5" s="1"/>
  <c r="A145" i="5" s="1"/>
  <c r="A146" i="5" s="1"/>
  <c r="A147" i="5" s="1"/>
  <c r="N99" i="2"/>
  <c r="J99" i="2" s="1"/>
  <c r="N168" i="2"/>
  <c r="J168" i="2" s="1"/>
  <c r="N287" i="2"/>
  <c r="J287" i="2" s="1"/>
  <c r="N339" i="2"/>
  <c r="J339" i="2" s="1"/>
  <c r="N343" i="2"/>
  <c r="J343" i="2" s="1"/>
  <c r="N326" i="2"/>
  <c r="J326" i="2" s="1"/>
  <c r="N333" i="2"/>
  <c r="J333" i="2" s="1"/>
  <c r="N368" i="2"/>
  <c r="J368" i="2" s="1"/>
  <c r="N26" i="2"/>
  <c r="J26" i="2" s="1"/>
  <c r="N61" i="2"/>
  <c r="J61" i="2" s="1"/>
  <c r="N77" i="2"/>
  <c r="J77" i="2" s="1"/>
  <c r="N87" i="2"/>
  <c r="J87" i="2" s="1"/>
  <c r="N100" i="2"/>
  <c r="J100" i="2" s="1"/>
  <c r="N114" i="2"/>
  <c r="J114" i="2" s="1"/>
  <c r="N127" i="2"/>
  <c r="J127" i="2" s="1"/>
  <c r="N149" i="2"/>
  <c r="N169" i="2"/>
  <c r="J169" i="2" s="1"/>
  <c r="N286" i="2"/>
  <c r="J286" i="2" s="1"/>
  <c r="N290" i="2"/>
  <c r="J290" i="2" s="1"/>
  <c r="C240" i="5"/>
  <c r="C253" i="5"/>
  <c r="N340" i="2"/>
  <c r="J340" i="2" s="1"/>
  <c r="N344" i="2"/>
  <c r="J344" i="2" s="1"/>
  <c r="N327" i="2"/>
  <c r="J327" i="2" s="1"/>
  <c r="N330" i="2"/>
  <c r="J330" i="2" s="1"/>
  <c r="N349" i="2"/>
  <c r="J349" i="2" s="1"/>
  <c r="N357" i="2"/>
  <c r="J357" i="2" s="1"/>
  <c r="N359" i="2"/>
  <c r="J359" i="2" s="1"/>
  <c r="N471" i="2"/>
  <c r="J471" i="2" s="1"/>
  <c r="C472" i="5"/>
  <c r="N569" i="2" s="1"/>
  <c r="J569" i="2" s="1"/>
  <c r="C476" i="5"/>
  <c r="N573" i="2" s="1"/>
  <c r="J573" i="2" s="1"/>
  <c r="C478" i="5"/>
  <c r="N575" i="2" s="1"/>
  <c r="J575" i="2" s="1"/>
  <c r="C502" i="5"/>
  <c r="N613" i="2" s="1"/>
  <c r="J613" i="2" s="1"/>
  <c r="C504" i="5"/>
  <c r="N615" i="2" s="1"/>
  <c r="J615" i="2" s="1"/>
  <c r="C506" i="5"/>
  <c r="N617" i="2" s="1"/>
  <c r="J617" i="2" s="1"/>
  <c r="C508" i="5"/>
  <c r="N619" i="2" s="1"/>
  <c r="J619" i="2" s="1"/>
  <c r="C510" i="5"/>
  <c r="N621" i="2" s="1"/>
  <c r="J621" i="2" s="1"/>
  <c r="C512" i="5"/>
  <c r="N623" i="2" s="1"/>
  <c r="J623" i="2" s="1"/>
  <c r="C514" i="5"/>
  <c r="N625" i="2" s="1"/>
  <c r="J625" i="2" s="1"/>
  <c r="C516" i="5"/>
  <c r="N627" i="2" s="1"/>
  <c r="J627" i="2" s="1"/>
  <c r="C524" i="5"/>
  <c r="N684" i="2" s="1"/>
  <c r="J684" i="2" s="1"/>
  <c r="C550" i="5"/>
  <c r="N712" i="2" s="1"/>
  <c r="J712" i="2" s="1"/>
  <c r="C552" i="5"/>
  <c r="N714" i="2" s="1"/>
  <c r="J714" i="2" s="1"/>
  <c r="C554" i="5"/>
  <c r="N716" i="2" s="1"/>
  <c r="J716" i="2" s="1"/>
  <c r="C556" i="5"/>
  <c r="N718" i="2" s="1"/>
  <c r="J718" i="2" s="1"/>
  <c r="C558" i="5"/>
  <c r="N720" i="2" s="1"/>
  <c r="J720" i="2" s="1"/>
  <c r="C560" i="5"/>
  <c r="N722" i="2" s="1"/>
  <c r="J722" i="2" s="1"/>
  <c r="C562" i="5"/>
  <c r="N724" i="2" s="1"/>
  <c r="J724" i="2" s="1"/>
  <c r="C564" i="5"/>
  <c r="N726" i="2" s="1"/>
  <c r="J726" i="2" s="1"/>
  <c r="C566" i="5"/>
  <c r="N728" i="2" s="1"/>
  <c r="J728" i="2" s="1"/>
  <c r="C568" i="5"/>
  <c r="N730" i="2" s="1"/>
  <c r="J730" i="2" s="1"/>
  <c r="C570" i="5"/>
  <c r="N732" i="2" s="1"/>
  <c r="J732" i="2" s="1"/>
  <c r="C572" i="5"/>
  <c r="N734" i="2" s="1"/>
  <c r="J734" i="2" s="1"/>
  <c r="C574" i="5"/>
  <c r="C576" i="5"/>
  <c r="N738" i="2" s="1"/>
  <c r="J738" i="2" s="1"/>
  <c r="C578" i="5"/>
  <c r="N740" i="2" s="1"/>
  <c r="J740" i="2" s="1"/>
  <c r="C580" i="5"/>
  <c r="N742" i="2" s="1"/>
  <c r="J742" i="2" s="1"/>
  <c r="C582" i="5"/>
  <c r="N744" i="2" s="1"/>
  <c r="J744" i="2" s="1"/>
  <c r="C584" i="5"/>
  <c r="N746" i="2" s="1"/>
  <c r="J746" i="2" s="1"/>
  <c r="C586" i="5"/>
  <c r="N748" i="2" s="1"/>
  <c r="J748" i="2" s="1"/>
  <c r="C588" i="5"/>
  <c r="N750" i="2" s="1"/>
  <c r="J750" i="2" s="1"/>
  <c r="C590" i="5"/>
  <c r="N752" i="2" s="1"/>
  <c r="J752" i="2" s="1"/>
  <c r="C592" i="5"/>
  <c r="N754" i="2" s="1"/>
  <c r="J754" i="2" s="1"/>
  <c r="C594" i="5"/>
  <c r="N756" i="2" s="1"/>
  <c r="J756" i="2" s="1"/>
  <c r="C596" i="5"/>
  <c r="N758" i="2" s="1"/>
  <c r="J758" i="2" s="1"/>
  <c r="C598" i="5"/>
  <c r="N760" i="2" s="1"/>
  <c r="J760" i="2" s="1"/>
  <c r="C600" i="5"/>
  <c r="N762" i="2" s="1"/>
  <c r="J762" i="2" s="1"/>
  <c r="C602" i="5"/>
  <c r="N764" i="2" s="1"/>
  <c r="J764" i="2" s="1"/>
  <c r="C604" i="5"/>
  <c r="N766" i="2" s="1"/>
  <c r="J766" i="2" s="1"/>
  <c r="C606" i="5"/>
  <c r="N768" i="2" s="1"/>
  <c r="J768" i="2" s="1"/>
  <c r="C608" i="5"/>
  <c r="N770" i="2" s="1"/>
  <c r="J770" i="2" s="1"/>
  <c r="C610" i="5"/>
  <c r="N772" i="2" s="1"/>
  <c r="J772" i="2" s="1"/>
  <c r="C633" i="5"/>
  <c r="N797" i="2" s="1"/>
  <c r="J797" i="2" s="1"/>
  <c r="C785" i="5"/>
  <c r="N951" i="2" s="1"/>
  <c r="J951" i="2" s="1"/>
  <c r="C815" i="5"/>
  <c r="N981" i="2" s="1"/>
  <c r="J981" i="2" s="1"/>
  <c r="C817" i="5"/>
  <c r="N983" i="2" s="1"/>
  <c r="J983" i="2" s="1"/>
  <c r="C1072" i="5"/>
  <c r="C1180" i="5"/>
  <c r="N1438" i="2" s="1"/>
  <c r="J1438" i="2" s="1"/>
  <c r="C1290" i="5"/>
  <c r="N1554" i="2" s="1"/>
  <c r="J1554" i="2" s="1"/>
  <c r="C1562" i="5"/>
  <c r="N1831" i="2" s="1"/>
  <c r="J1831" i="2" s="1"/>
  <c r="C1609" i="5"/>
  <c r="N1896" i="2" s="1"/>
  <c r="J1896" i="2" s="1"/>
  <c r="C1613" i="5"/>
  <c r="N1900" i="2" s="1"/>
  <c r="J1900" i="2" s="1"/>
  <c r="R1747" i="5"/>
  <c r="C1904" i="5"/>
  <c r="N2446" i="2" s="1"/>
  <c r="J2446" i="2" s="1"/>
  <c r="C1906" i="5"/>
  <c r="N2448" i="2" s="1"/>
  <c r="J2448" i="2" s="1"/>
  <c r="C2072" i="5"/>
  <c r="N2675" i="2" s="1"/>
  <c r="J2675" i="2" s="1"/>
  <c r="T2756" i="5"/>
  <c r="N3389" i="2"/>
  <c r="J3389" i="2" s="1"/>
  <c r="N3395" i="2"/>
  <c r="J3395" i="2" s="1"/>
  <c r="N3403" i="2"/>
  <c r="J3403" i="2" s="1"/>
  <c r="N3409" i="2"/>
  <c r="J3409" i="2" s="1"/>
  <c r="N3420" i="2"/>
  <c r="J3420" i="2" s="1"/>
  <c r="N3559" i="2"/>
  <c r="J3559" i="2" s="1"/>
  <c r="J300" i="2"/>
  <c r="N82" i="2"/>
  <c r="J82" i="2" s="1"/>
  <c r="N101" i="2"/>
  <c r="J101" i="2" s="1"/>
  <c r="N115" i="2"/>
  <c r="J115" i="2" s="1"/>
  <c r="N120" i="2"/>
  <c r="J120" i="2" s="1"/>
  <c r="N341" i="2"/>
  <c r="J341" i="2" s="1"/>
  <c r="N328" i="2"/>
  <c r="J328" i="2" s="1"/>
  <c r="N331" i="2"/>
  <c r="J331" i="2" s="1"/>
  <c r="N508" i="2"/>
  <c r="J508" i="2" s="1"/>
  <c r="N1145" i="2"/>
  <c r="J1144" i="2"/>
  <c r="J1145" i="2" s="1"/>
  <c r="N24" i="2"/>
  <c r="J24" i="2" s="1"/>
  <c r="N43" i="2"/>
  <c r="J43" i="2" s="1"/>
  <c r="N52" i="2"/>
  <c r="J52" i="2" s="1"/>
  <c r="N59" i="2"/>
  <c r="J59" i="2" s="1"/>
  <c r="N62" i="2"/>
  <c r="J62" i="2" s="1"/>
  <c r="N505" i="2"/>
  <c r="J505" i="2" s="1"/>
  <c r="N46" i="2"/>
  <c r="J46" i="2" s="1"/>
  <c r="N112" i="2"/>
  <c r="J112" i="2" s="1"/>
  <c r="N116" i="2"/>
  <c r="J116" i="2" s="1"/>
  <c r="I161" i="5"/>
  <c r="M161" i="5"/>
  <c r="N167" i="2"/>
  <c r="J167" i="2" s="1"/>
  <c r="C167" i="5"/>
  <c r="C171" i="5"/>
  <c r="C193" i="5"/>
  <c r="C199" i="5"/>
  <c r="N235" i="2"/>
  <c r="J235" i="2" s="1"/>
  <c r="N284" i="2"/>
  <c r="J284" i="2" s="1"/>
  <c r="N338" i="2"/>
  <c r="J338" i="2" s="1"/>
  <c r="N332" i="2"/>
  <c r="J332" i="2" s="1"/>
  <c r="N484" i="2"/>
  <c r="J484" i="2" s="1"/>
  <c r="N506" i="2"/>
  <c r="C473" i="5"/>
  <c r="N570" i="2" s="1"/>
  <c r="J570" i="2" s="1"/>
  <c r="C523" i="5"/>
  <c r="N683" i="2" s="1"/>
  <c r="J683" i="2" s="1"/>
  <c r="C549" i="5"/>
  <c r="N711" i="2" s="1"/>
  <c r="J711" i="2" s="1"/>
  <c r="C551" i="5"/>
  <c r="N713" i="2" s="1"/>
  <c r="J713" i="2" s="1"/>
  <c r="C553" i="5"/>
  <c r="N715" i="2" s="1"/>
  <c r="J715" i="2" s="1"/>
  <c r="C555" i="5"/>
  <c r="N717" i="2" s="1"/>
  <c r="J717" i="2" s="1"/>
  <c r="C557" i="5"/>
  <c r="N719" i="2" s="1"/>
  <c r="J719" i="2" s="1"/>
  <c r="C559" i="5"/>
  <c r="N721" i="2" s="1"/>
  <c r="J721" i="2" s="1"/>
  <c r="C561" i="5"/>
  <c r="N723" i="2" s="1"/>
  <c r="J723" i="2" s="1"/>
  <c r="C563" i="5"/>
  <c r="N725" i="2" s="1"/>
  <c r="J725" i="2" s="1"/>
  <c r="C565" i="5"/>
  <c r="N727" i="2" s="1"/>
  <c r="J727" i="2" s="1"/>
  <c r="C567" i="5"/>
  <c r="N729" i="2" s="1"/>
  <c r="J729" i="2" s="1"/>
  <c r="C569" i="5"/>
  <c r="N731" i="2" s="1"/>
  <c r="J731" i="2" s="1"/>
  <c r="C571" i="5"/>
  <c r="N733" i="2" s="1"/>
  <c r="J733" i="2" s="1"/>
  <c r="C573" i="5"/>
  <c r="N735" i="2" s="1"/>
  <c r="J735" i="2" s="1"/>
  <c r="C575" i="5"/>
  <c r="N737" i="2" s="1"/>
  <c r="J737" i="2" s="1"/>
  <c r="C577" i="5"/>
  <c r="N739" i="2" s="1"/>
  <c r="J739" i="2" s="1"/>
  <c r="C579" i="5"/>
  <c r="N741" i="2" s="1"/>
  <c r="J741" i="2" s="1"/>
  <c r="C581" i="5"/>
  <c r="N743" i="2" s="1"/>
  <c r="J743" i="2" s="1"/>
  <c r="C768" i="5"/>
  <c r="N934" i="2" s="1"/>
  <c r="J934" i="2" s="1"/>
  <c r="J1174" i="2"/>
  <c r="J1262" i="2"/>
  <c r="C1789" i="5"/>
  <c r="N2330" i="2" s="1"/>
  <c r="J2330" i="2" s="1"/>
  <c r="C1865" i="5"/>
  <c r="N2406" i="2" s="1"/>
  <c r="J2406" i="2" s="1"/>
  <c r="C1869" i="5"/>
  <c r="N2410" i="2" s="1"/>
  <c r="J2410" i="2" s="1"/>
  <c r="C1871" i="5"/>
  <c r="N2412" i="2" s="1"/>
  <c r="J2412" i="2" s="1"/>
  <c r="C1888" i="5"/>
  <c r="N2430" i="2" s="1"/>
  <c r="J2430" i="2" s="1"/>
  <c r="D1912" i="5"/>
  <c r="C1912" i="5" s="1"/>
  <c r="N2454" i="2" s="1"/>
  <c r="J2454" i="2" s="1"/>
  <c r="C1956" i="5"/>
  <c r="N2506" i="2" s="1"/>
  <c r="J2506" i="2" s="1"/>
  <c r="C2070" i="5"/>
  <c r="N2673" i="2" s="1"/>
  <c r="J2673" i="2" s="1"/>
  <c r="C2079" i="5"/>
  <c r="N2682" i="2" s="1"/>
  <c r="J2682" i="2" s="1"/>
  <c r="C2258" i="5"/>
  <c r="N2964" i="2" s="1"/>
  <c r="J2964" i="2" s="1"/>
  <c r="N2972" i="2"/>
  <c r="J2972" i="2" s="1"/>
  <c r="N3101" i="2"/>
  <c r="J3101" i="2" s="1"/>
  <c r="N3105" i="2"/>
  <c r="J3105" i="2" s="1"/>
  <c r="N3413" i="2"/>
  <c r="J3413" i="2" s="1"/>
  <c r="N3417" i="2"/>
  <c r="J3417" i="2" s="1"/>
  <c r="C380" i="4"/>
  <c r="N131" i="2"/>
  <c r="J131" i="2" s="1"/>
  <c r="N139" i="2"/>
  <c r="J139" i="2" s="1"/>
  <c r="N486" i="2"/>
  <c r="J486" i="2" s="1"/>
  <c r="J1349" i="2"/>
  <c r="J1351" i="2" s="1"/>
  <c r="W2181" i="5"/>
  <c r="N3511" i="2"/>
  <c r="J3511" i="2" s="1"/>
  <c r="N3515" i="2"/>
  <c r="J3515" i="2" s="1"/>
  <c r="J298" i="2"/>
  <c r="C626" i="5"/>
  <c r="N790" i="2" s="1"/>
  <c r="J790" i="2" s="1"/>
  <c r="C630" i="5"/>
  <c r="N794" i="2" s="1"/>
  <c r="J794" i="2" s="1"/>
  <c r="C723" i="5"/>
  <c r="N889" i="2" s="1"/>
  <c r="J889" i="2" s="1"/>
  <c r="C766" i="5"/>
  <c r="N932" i="2" s="1"/>
  <c r="J932" i="2" s="1"/>
  <c r="C891" i="5"/>
  <c r="N1057" i="2" s="1"/>
  <c r="J1057" i="2" s="1"/>
  <c r="C1108" i="5"/>
  <c r="N1362" i="2" s="1"/>
  <c r="J1362" i="2" s="1"/>
  <c r="C1121" i="5"/>
  <c r="N1377" i="2" s="1"/>
  <c r="J1377" i="2" s="1"/>
  <c r="C1145" i="5"/>
  <c r="N1401" i="2" s="1"/>
  <c r="J1401" i="2" s="1"/>
  <c r="C1147" i="5"/>
  <c r="N1403" i="2" s="1"/>
  <c r="J1403" i="2" s="1"/>
  <c r="C1160" i="5"/>
  <c r="N1416" i="2" s="1"/>
  <c r="J1416" i="2" s="1"/>
  <c r="C1226" i="5"/>
  <c r="N1487" i="2" s="1"/>
  <c r="J1487" i="2" s="1"/>
  <c r="C1245" i="5"/>
  <c r="N1507" i="2" s="1"/>
  <c r="J1507" i="2" s="1"/>
  <c r="C1254" i="5"/>
  <c r="N1516" i="2" s="1"/>
  <c r="J1516" i="2" s="1"/>
  <c r="C1356" i="5"/>
  <c r="N1623" i="2" s="1"/>
  <c r="J1623" i="2" s="1"/>
  <c r="C1437" i="5"/>
  <c r="N1705" i="2" s="1"/>
  <c r="J1705" i="2" s="1"/>
  <c r="C1454" i="5"/>
  <c r="N1722" i="2" s="1"/>
  <c r="J1722" i="2" s="1"/>
  <c r="C1661" i="5"/>
  <c r="N1971" i="2" s="1"/>
  <c r="J1971" i="2" s="1"/>
  <c r="C1677" i="5"/>
  <c r="N1994" i="2" s="1"/>
  <c r="J1994" i="2" s="1"/>
  <c r="C1679" i="5"/>
  <c r="N1996" i="2" s="1"/>
  <c r="J1996" i="2" s="1"/>
  <c r="C1901" i="5"/>
  <c r="C1919" i="5"/>
  <c r="N2461" i="2" s="1"/>
  <c r="J2461" i="2" s="1"/>
  <c r="W2016" i="5"/>
  <c r="N2953" i="2"/>
  <c r="J2953" i="2" s="1"/>
  <c r="C2255" i="5"/>
  <c r="N2961" i="2" s="1"/>
  <c r="J2961" i="2" s="1"/>
  <c r="C2263" i="5"/>
  <c r="N2969" i="2" s="1"/>
  <c r="J2969" i="2" s="1"/>
  <c r="C2307" i="5"/>
  <c r="C2314" i="5"/>
  <c r="N3023" i="2" s="1"/>
  <c r="J3023" i="2" s="1"/>
  <c r="C2318" i="5"/>
  <c r="N3027" i="2" s="1"/>
  <c r="J3027" i="2" s="1"/>
  <c r="N3539" i="2"/>
  <c r="J3539" i="2" s="1"/>
  <c r="N3563" i="2"/>
  <c r="J3563" i="2" s="1"/>
  <c r="N3565" i="2"/>
  <c r="J3565" i="2" s="1"/>
  <c r="N3567" i="2"/>
  <c r="J3567" i="2" s="1"/>
  <c r="N3569" i="2"/>
  <c r="J3569" i="2" s="1"/>
  <c r="N3571" i="2"/>
  <c r="J3571" i="2" s="1"/>
  <c r="C2754" i="5"/>
  <c r="N3608" i="2" s="1"/>
  <c r="J3608" i="2" s="1"/>
  <c r="N3626" i="2"/>
  <c r="J3626" i="2" s="1"/>
  <c r="C2800" i="5"/>
  <c r="N3658" i="2" s="1"/>
  <c r="J3658" i="2" s="1"/>
  <c r="C772" i="5"/>
  <c r="N938" i="2" s="1"/>
  <c r="J938" i="2" s="1"/>
  <c r="C774" i="5"/>
  <c r="N940" i="2" s="1"/>
  <c r="J940" i="2" s="1"/>
  <c r="C780" i="5"/>
  <c r="N946" i="2" s="1"/>
  <c r="J946" i="2" s="1"/>
  <c r="N987" i="2"/>
  <c r="J987" i="2" s="1"/>
  <c r="N1091" i="2"/>
  <c r="J1091" i="2" s="1"/>
  <c r="C937" i="5"/>
  <c r="N1103" i="2" s="1"/>
  <c r="J1103" i="2" s="1"/>
  <c r="C1204" i="5"/>
  <c r="N1465" i="2" s="1"/>
  <c r="J1465" i="2" s="1"/>
  <c r="C1236" i="5"/>
  <c r="N1498" i="2" s="1"/>
  <c r="J1498" i="2" s="1"/>
  <c r="C1238" i="5"/>
  <c r="N1500" i="2" s="1"/>
  <c r="J1500" i="2" s="1"/>
  <c r="C1263" i="5"/>
  <c r="N1526" i="2" s="1"/>
  <c r="J1526" i="2" s="1"/>
  <c r="C1280" i="5"/>
  <c r="N1544" i="2" s="1"/>
  <c r="J1544" i="2" s="1"/>
  <c r="C1373" i="5"/>
  <c r="N1640" i="2" s="1"/>
  <c r="J1640" i="2" s="1"/>
  <c r="C1386" i="5"/>
  <c r="N1652" i="2" s="1"/>
  <c r="J1652" i="2" s="1"/>
  <c r="C1432" i="5"/>
  <c r="N1701" i="2" s="1"/>
  <c r="J1701" i="2" s="1"/>
  <c r="C1504" i="5"/>
  <c r="N1773" i="2" s="1"/>
  <c r="J1773" i="2" s="1"/>
  <c r="C1686" i="5"/>
  <c r="N2011" i="2" s="1"/>
  <c r="J2011" i="2" s="1"/>
  <c r="C1704" i="5"/>
  <c r="N2056" i="2" s="1"/>
  <c r="J2056" i="2" s="1"/>
  <c r="C2046" i="5"/>
  <c r="N2649" i="2" s="1"/>
  <c r="J2649" i="2" s="1"/>
  <c r="C2317" i="5"/>
  <c r="N3026" i="2" s="1"/>
  <c r="J3026" i="2" s="1"/>
  <c r="N3080" i="2"/>
  <c r="J3080" i="2" s="1"/>
  <c r="N3131" i="2"/>
  <c r="J3131" i="2" s="1"/>
  <c r="C2473" i="5"/>
  <c r="N3181" i="2" s="1"/>
  <c r="J3181" i="2" s="1"/>
  <c r="C680" i="5"/>
  <c r="N846" i="2" s="1"/>
  <c r="J846" i="2" s="1"/>
  <c r="C682" i="5"/>
  <c r="N848" i="2" s="1"/>
  <c r="J848" i="2" s="1"/>
  <c r="C684" i="5"/>
  <c r="N850" i="2" s="1"/>
  <c r="J850" i="2" s="1"/>
  <c r="C686" i="5"/>
  <c r="N852" i="2" s="1"/>
  <c r="J852" i="2" s="1"/>
  <c r="C688" i="5"/>
  <c r="N854" i="2" s="1"/>
  <c r="J854" i="2" s="1"/>
  <c r="C690" i="5"/>
  <c r="N856" i="2" s="1"/>
  <c r="J856" i="2" s="1"/>
  <c r="C692" i="5"/>
  <c r="N858" i="2" s="1"/>
  <c r="J858" i="2" s="1"/>
  <c r="C694" i="5"/>
  <c r="N860" i="2" s="1"/>
  <c r="J860" i="2" s="1"/>
  <c r="C696" i="5"/>
  <c r="N862" i="2" s="1"/>
  <c r="J862" i="2" s="1"/>
  <c r="C698" i="5"/>
  <c r="N864" i="2" s="1"/>
  <c r="J864" i="2" s="1"/>
  <c r="C700" i="5"/>
  <c r="N866" i="2" s="1"/>
  <c r="J866" i="2" s="1"/>
  <c r="C702" i="5"/>
  <c r="N868" i="2" s="1"/>
  <c r="J868" i="2" s="1"/>
  <c r="C704" i="5"/>
  <c r="N870" i="2" s="1"/>
  <c r="J870" i="2" s="1"/>
  <c r="C706" i="5"/>
  <c r="N872" i="2" s="1"/>
  <c r="J872" i="2" s="1"/>
  <c r="C708" i="5"/>
  <c r="N874" i="2" s="1"/>
  <c r="J874" i="2" s="1"/>
  <c r="C710" i="5"/>
  <c r="N876" i="2" s="1"/>
  <c r="J876" i="2" s="1"/>
  <c r="C712" i="5"/>
  <c r="N878" i="2" s="1"/>
  <c r="J878" i="2" s="1"/>
  <c r="C714" i="5"/>
  <c r="N880" i="2" s="1"/>
  <c r="J880" i="2" s="1"/>
  <c r="C716" i="5"/>
  <c r="N882" i="2" s="1"/>
  <c r="J882" i="2" s="1"/>
  <c r="C718" i="5"/>
  <c r="N884" i="2" s="1"/>
  <c r="J884" i="2" s="1"/>
  <c r="C720" i="5"/>
  <c r="N886" i="2" s="1"/>
  <c r="J886" i="2" s="1"/>
  <c r="N985" i="2"/>
  <c r="J985" i="2" s="1"/>
  <c r="C1345" i="5"/>
  <c r="N1612" i="2" s="1"/>
  <c r="J1612" i="2" s="1"/>
  <c r="C1372" i="5"/>
  <c r="N1639" i="2" s="1"/>
  <c r="J1639" i="2" s="1"/>
  <c r="C1393" i="5"/>
  <c r="N1659" i="2" s="1"/>
  <c r="J1659" i="2" s="1"/>
  <c r="C1395" i="5"/>
  <c r="N1661" i="2" s="1"/>
  <c r="J1661" i="2" s="1"/>
  <c r="C1396" i="5"/>
  <c r="N1663" i="2" s="1"/>
  <c r="J1663" i="2" s="1"/>
  <c r="C1400" i="5"/>
  <c r="N1667" i="2" s="1"/>
  <c r="J1667" i="2" s="1"/>
  <c r="C1404" i="5"/>
  <c r="N1671" i="2" s="1"/>
  <c r="J1671" i="2" s="1"/>
  <c r="C1446" i="5"/>
  <c r="N1714" i="2" s="1"/>
  <c r="J1714" i="2" s="1"/>
  <c r="C1505" i="5"/>
  <c r="N1774" i="2" s="1"/>
  <c r="J1774" i="2" s="1"/>
  <c r="C1520" i="5"/>
  <c r="N1789" i="2" s="1"/>
  <c r="J1789" i="2" s="1"/>
  <c r="C1541" i="5"/>
  <c r="N1810" i="2" s="1"/>
  <c r="J1810" i="2" s="1"/>
  <c r="C1616" i="5"/>
  <c r="N1903" i="2" s="1"/>
  <c r="J1903" i="2" s="1"/>
  <c r="C1620" i="5"/>
  <c r="N1907" i="2" s="1"/>
  <c r="J1907" i="2" s="1"/>
  <c r="N1918" i="2"/>
  <c r="J1918" i="2" s="1"/>
  <c r="C1713" i="5"/>
  <c r="N2135" i="2" s="1"/>
  <c r="J2135" i="2" s="1"/>
  <c r="C1787" i="5"/>
  <c r="N2328" i="2" s="1"/>
  <c r="J2328" i="2" s="1"/>
  <c r="C2009" i="5"/>
  <c r="N2597" i="2" s="1"/>
  <c r="J2597" i="2" s="1"/>
  <c r="C2043" i="5"/>
  <c r="N2646" i="2" s="1"/>
  <c r="J2646" i="2" s="1"/>
  <c r="C2103" i="5"/>
  <c r="N2711" i="2" s="1"/>
  <c r="J2711" i="2" s="1"/>
  <c r="F2475" i="5"/>
  <c r="N3443" i="2"/>
  <c r="J3443" i="2" s="1"/>
  <c r="N3447" i="2"/>
  <c r="J3447" i="2" s="1"/>
  <c r="N3449" i="2"/>
  <c r="J3449" i="2" s="1"/>
  <c r="N3456" i="2"/>
  <c r="J3456" i="2" s="1"/>
  <c r="N3458" i="2"/>
  <c r="J3458" i="2" s="1"/>
  <c r="N3460" i="2"/>
  <c r="J3460" i="2" s="1"/>
  <c r="N3462" i="2"/>
  <c r="J3462" i="2" s="1"/>
  <c r="N3464" i="2"/>
  <c r="J3464" i="2" s="1"/>
  <c r="N3466" i="2"/>
  <c r="J3466" i="2" s="1"/>
  <c r="N3468" i="2"/>
  <c r="J3468" i="2" s="1"/>
  <c r="N3470" i="2"/>
  <c r="J3470" i="2" s="1"/>
  <c r="N3472" i="2"/>
  <c r="J3472" i="2" s="1"/>
  <c r="N3474" i="2"/>
  <c r="J3474" i="2" s="1"/>
  <c r="N3478" i="2"/>
  <c r="J3478" i="2" s="1"/>
  <c r="N3480" i="2"/>
  <c r="J3480" i="2" s="1"/>
  <c r="N3482" i="2"/>
  <c r="J3482" i="2" s="1"/>
  <c r="N3484" i="2"/>
  <c r="J3484" i="2" s="1"/>
  <c r="N3486" i="2"/>
  <c r="J3486" i="2" s="1"/>
  <c r="N3535" i="2"/>
  <c r="J3535" i="2" s="1"/>
  <c r="C624" i="5"/>
  <c r="N788" i="2" s="1"/>
  <c r="J788" i="2" s="1"/>
  <c r="C629" i="5"/>
  <c r="N793" i="2" s="1"/>
  <c r="J793" i="2" s="1"/>
  <c r="C657" i="5"/>
  <c r="N822" i="2" s="1"/>
  <c r="J822" i="2" s="1"/>
  <c r="C659" i="5"/>
  <c r="N824" i="2" s="1"/>
  <c r="J824" i="2" s="1"/>
  <c r="C661" i="5"/>
  <c r="N826" i="2" s="1"/>
  <c r="J826" i="2" s="1"/>
  <c r="C663" i="5"/>
  <c r="N828" i="2" s="1"/>
  <c r="J828" i="2" s="1"/>
  <c r="C665" i="5"/>
  <c r="C667" i="5"/>
  <c r="N832" i="2" s="1"/>
  <c r="J832" i="2" s="1"/>
  <c r="C669" i="5"/>
  <c r="N834" i="2" s="1"/>
  <c r="J834" i="2" s="1"/>
  <c r="C671" i="5"/>
  <c r="N836" i="2" s="1"/>
  <c r="J836" i="2" s="1"/>
  <c r="C673" i="5"/>
  <c r="N838" i="2" s="1"/>
  <c r="J838" i="2" s="1"/>
  <c r="C675" i="5"/>
  <c r="N840" i="2" s="1"/>
  <c r="J840" i="2" s="1"/>
  <c r="C676" i="5"/>
  <c r="N842" i="2" s="1"/>
  <c r="J842" i="2" s="1"/>
  <c r="C737" i="5"/>
  <c r="N903" i="2" s="1"/>
  <c r="J903" i="2" s="1"/>
  <c r="C739" i="5"/>
  <c r="N905" i="2" s="1"/>
  <c r="J905" i="2" s="1"/>
  <c r="C741" i="5"/>
  <c r="N907" i="2" s="1"/>
  <c r="J907" i="2" s="1"/>
  <c r="C765" i="5"/>
  <c r="N931" i="2" s="1"/>
  <c r="J931" i="2" s="1"/>
  <c r="C852" i="5"/>
  <c r="N1018" i="2" s="1"/>
  <c r="J1018" i="2" s="1"/>
  <c r="C888" i="5"/>
  <c r="N1054" i="2" s="1"/>
  <c r="J1054" i="2" s="1"/>
  <c r="C919" i="5"/>
  <c r="N1085" i="2" s="1"/>
  <c r="C921" i="5"/>
  <c r="N1087" i="2" s="1"/>
  <c r="J1087" i="2" s="1"/>
  <c r="N1111" i="2"/>
  <c r="J1111" i="2" s="1"/>
  <c r="C946" i="5"/>
  <c r="N1113" i="2" s="1"/>
  <c r="J1113" i="2" s="1"/>
  <c r="C948" i="5"/>
  <c r="N1115" i="2" s="1"/>
  <c r="J1115" i="2" s="1"/>
  <c r="N1119" i="2"/>
  <c r="J1119" i="2" s="1"/>
  <c r="C950" i="5"/>
  <c r="N1121" i="2" s="1"/>
  <c r="J1121" i="2" s="1"/>
  <c r="C952" i="5"/>
  <c r="N1123" i="2" s="1"/>
  <c r="J1123" i="2" s="1"/>
  <c r="N1127" i="2"/>
  <c r="J1127" i="2" s="1"/>
  <c r="C957" i="5"/>
  <c r="N1129" i="2" s="1"/>
  <c r="J1129" i="2" s="1"/>
  <c r="C959" i="5"/>
  <c r="N1131" i="2" s="1"/>
  <c r="J1131" i="2" s="1"/>
  <c r="C974" i="5"/>
  <c r="N1148" i="2" s="1"/>
  <c r="J1148" i="2" s="1"/>
  <c r="C976" i="5"/>
  <c r="N1150" i="2" s="1"/>
  <c r="J1150" i="2" s="1"/>
  <c r="C978" i="5"/>
  <c r="N1152" i="2" s="1"/>
  <c r="J1152" i="2" s="1"/>
  <c r="C980" i="5"/>
  <c r="N1154" i="2" s="1"/>
  <c r="J1154" i="2" s="1"/>
  <c r="C982" i="5"/>
  <c r="N1156" i="2" s="1"/>
  <c r="J1156" i="2" s="1"/>
  <c r="C984" i="5"/>
  <c r="N1158" i="2" s="1"/>
  <c r="J1158" i="2" s="1"/>
  <c r="D1581" i="5"/>
  <c r="C1580" i="5"/>
  <c r="C71" i="5"/>
  <c r="N72" i="2" s="1"/>
  <c r="J72" i="2" s="1"/>
  <c r="C73" i="5"/>
  <c r="C75" i="5"/>
  <c r="C408" i="5"/>
  <c r="C681" i="5"/>
  <c r="N847" i="2" s="1"/>
  <c r="J847" i="2" s="1"/>
  <c r="C683" i="5"/>
  <c r="N849" i="2" s="1"/>
  <c r="J849" i="2" s="1"/>
  <c r="C685" i="5"/>
  <c r="N851" i="2" s="1"/>
  <c r="J851" i="2" s="1"/>
  <c r="C687" i="5"/>
  <c r="N853" i="2" s="1"/>
  <c r="J853" i="2" s="1"/>
  <c r="C689" i="5"/>
  <c r="N855" i="2" s="1"/>
  <c r="J855" i="2" s="1"/>
  <c r="C691" i="5"/>
  <c r="N857" i="2" s="1"/>
  <c r="J857" i="2" s="1"/>
  <c r="C693" i="5"/>
  <c r="N859" i="2" s="1"/>
  <c r="J859" i="2" s="1"/>
  <c r="C695" i="5"/>
  <c r="N861" i="2" s="1"/>
  <c r="J861" i="2" s="1"/>
  <c r="C697" i="5"/>
  <c r="N863" i="2" s="1"/>
  <c r="J863" i="2" s="1"/>
  <c r="C699" i="5"/>
  <c r="N865" i="2" s="1"/>
  <c r="J865" i="2" s="1"/>
  <c r="C701" i="5"/>
  <c r="N867" i="2" s="1"/>
  <c r="J867" i="2" s="1"/>
  <c r="C703" i="5"/>
  <c r="N869" i="2" s="1"/>
  <c r="J869" i="2" s="1"/>
  <c r="C705" i="5"/>
  <c r="N871" i="2" s="1"/>
  <c r="J871" i="2" s="1"/>
  <c r="C707" i="5"/>
  <c r="C709" i="5"/>
  <c r="N875" i="2" s="1"/>
  <c r="J875" i="2" s="1"/>
  <c r="C711" i="5"/>
  <c r="N877" i="2" s="1"/>
  <c r="J877" i="2" s="1"/>
  <c r="C777" i="5"/>
  <c r="N943" i="2" s="1"/>
  <c r="J943" i="2" s="1"/>
  <c r="C17" i="5"/>
  <c r="C21" i="5"/>
  <c r="N22" i="2" s="1"/>
  <c r="J22" i="2" s="1"/>
  <c r="C146" i="5"/>
  <c r="C168" i="5"/>
  <c r="C170" i="5"/>
  <c r="C172" i="5"/>
  <c r="C188" i="5"/>
  <c r="C194" i="5"/>
  <c r="C196" i="5"/>
  <c r="C198" i="5"/>
  <c r="C223" i="5"/>
  <c r="C385" i="5"/>
  <c r="C387" i="5"/>
  <c r="N446" i="2" s="1"/>
  <c r="J446" i="2" s="1"/>
  <c r="C734" i="5"/>
  <c r="N900" i="2" s="1"/>
  <c r="J900" i="2" s="1"/>
  <c r="C736" i="5"/>
  <c r="N902" i="2" s="1"/>
  <c r="J902" i="2" s="1"/>
  <c r="C745" i="5"/>
  <c r="N911" i="2" s="1"/>
  <c r="J911" i="2" s="1"/>
  <c r="C790" i="5"/>
  <c r="N956" i="2" s="1"/>
  <c r="J956" i="2" s="1"/>
  <c r="C794" i="5"/>
  <c r="N960" i="2" s="1"/>
  <c r="J960" i="2" s="1"/>
  <c r="C856" i="5"/>
  <c r="N1022" i="2" s="1"/>
  <c r="J1022" i="2" s="1"/>
  <c r="C858" i="5"/>
  <c r="N1024" i="2" s="1"/>
  <c r="J1024" i="2" s="1"/>
  <c r="C860" i="5"/>
  <c r="N1026" i="2" s="1"/>
  <c r="J1026" i="2" s="1"/>
  <c r="C862" i="5"/>
  <c r="N1028" i="2" s="1"/>
  <c r="J1028" i="2" s="1"/>
  <c r="C864" i="5"/>
  <c r="N1030" i="2" s="1"/>
  <c r="J1030" i="2" s="1"/>
  <c r="C866" i="5"/>
  <c r="N1032" i="2" s="1"/>
  <c r="J1032" i="2" s="1"/>
  <c r="C893" i="5"/>
  <c r="N1059" i="2" s="1"/>
  <c r="J1059" i="2" s="1"/>
  <c r="C939" i="5"/>
  <c r="N1106" i="2" s="1"/>
  <c r="J1106" i="2" s="1"/>
  <c r="C993" i="5"/>
  <c r="N1167" i="2" s="1"/>
  <c r="J1167" i="2" s="1"/>
  <c r="C1120" i="5"/>
  <c r="N1376" i="2" s="1"/>
  <c r="J1376" i="2" s="1"/>
  <c r="C1138" i="5"/>
  <c r="N1394" i="2" s="1"/>
  <c r="J1394" i="2" s="1"/>
  <c r="C1146" i="5"/>
  <c r="N1402" i="2" s="1"/>
  <c r="J1402" i="2" s="1"/>
  <c r="C1159" i="5"/>
  <c r="N1415" i="2" s="1"/>
  <c r="J1415" i="2" s="1"/>
  <c r="C1161" i="5"/>
  <c r="N1417" i="2" s="1"/>
  <c r="J1417" i="2" s="1"/>
  <c r="N1439" i="2"/>
  <c r="J1439" i="2" s="1"/>
  <c r="C1277" i="5"/>
  <c r="N1541" i="2" s="1"/>
  <c r="J1541" i="2" s="1"/>
  <c r="C1285" i="5"/>
  <c r="N1549" i="2" s="1"/>
  <c r="J1549" i="2" s="1"/>
  <c r="C1333" i="5"/>
  <c r="N1600" i="2" s="1"/>
  <c r="J1600" i="2" s="1"/>
  <c r="C1335" i="5"/>
  <c r="N1602" i="2" s="1"/>
  <c r="J1602" i="2" s="1"/>
  <c r="C1344" i="5"/>
  <c r="N1611" i="2" s="1"/>
  <c r="J1611" i="2" s="1"/>
  <c r="C1390" i="5"/>
  <c r="N1656" i="2" s="1"/>
  <c r="J1656" i="2" s="1"/>
  <c r="C1392" i="5"/>
  <c r="N1658" i="2" s="1"/>
  <c r="J1658" i="2" s="1"/>
  <c r="C1399" i="5"/>
  <c r="N1666" i="2" s="1"/>
  <c r="J1666" i="2" s="1"/>
  <c r="C1401" i="5"/>
  <c r="N1668" i="2" s="1"/>
  <c r="J1668" i="2" s="1"/>
  <c r="C1405" i="5"/>
  <c r="N1672" i="2" s="1"/>
  <c r="J1672" i="2" s="1"/>
  <c r="C1415" i="5"/>
  <c r="N1683" i="2" s="1"/>
  <c r="J1683" i="2" s="1"/>
  <c r="C1441" i="5"/>
  <c r="N1709" i="2" s="1"/>
  <c r="J1709" i="2" s="1"/>
  <c r="C1462" i="5"/>
  <c r="N1730" i="2" s="1"/>
  <c r="J1730" i="2" s="1"/>
  <c r="C1525" i="5"/>
  <c r="N1794" i="2" s="1"/>
  <c r="J1794" i="2" s="1"/>
  <c r="C1538" i="5"/>
  <c r="N1807" i="2" s="1"/>
  <c r="J1807" i="2" s="1"/>
  <c r="C1540" i="5"/>
  <c r="N1809" i="2" s="1"/>
  <c r="J1809" i="2" s="1"/>
  <c r="C1548" i="5"/>
  <c r="N1817" i="2" s="1"/>
  <c r="J1817" i="2" s="1"/>
  <c r="C1556" i="5"/>
  <c r="N1825" i="2" s="1"/>
  <c r="J1825" i="2" s="1"/>
  <c r="C1567" i="5"/>
  <c r="N1837" i="2" s="1"/>
  <c r="J1837" i="2" s="1"/>
  <c r="C1586" i="5"/>
  <c r="N1865" i="2" s="1"/>
  <c r="J1865" i="2" s="1"/>
  <c r="C1612" i="5"/>
  <c r="N1899" i="2" s="1"/>
  <c r="J1899" i="2" s="1"/>
  <c r="C1614" i="5"/>
  <c r="N1901" i="2" s="1"/>
  <c r="J1901" i="2" s="1"/>
  <c r="C1619" i="5"/>
  <c r="N1906" i="2" s="1"/>
  <c r="J1906" i="2" s="1"/>
  <c r="N1917" i="2"/>
  <c r="J1917" i="2" s="1"/>
  <c r="C1643" i="5"/>
  <c r="N1930" i="2" s="1"/>
  <c r="J1930" i="2" s="1"/>
  <c r="C1791" i="5"/>
  <c r="N2332" i="2" s="1"/>
  <c r="J2332" i="2" s="1"/>
  <c r="C1793" i="5"/>
  <c r="N2334" i="2" s="1"/>
  <c r="J2334" i="2" s="1"/>
  <c r="C1807" i="5"/>
  <c r="N2348" i="2" s="1"/>
  <c r="J2348" i="2" s="1"/>
  <c r="C1816" i="5"/>
  <c r="C1839" i="5"/>
  <c r="N2380" i="2" s="1"/>
  <c r="J2380" i="2" s="1"/>
  <c r="C2086" i="5"/>
  <c r="N2692" i="2" s="1"/>
  <c r="J2692" i="2" s="1"/>
  <c r="C2096" i="5"/>
  <c r="N2702" i="2" s="1"/>
  <c r="J2702" i="2" s="1"/>
  <c r="C2110" i="5"/>
  <c r="N2721" i="2" s="1"/>
  <c r="J2721" i="2" s="1"/>
  <c r="C2112" i="5"/>
  <c r="N2723" i="2" s="1"/>
  <c r="J2723" i="2" s="1"/>
  <c r="C2243" i="5"/>
  <c r="N2949" i="2" s="1"/>
  <c r="J2949" i="2" s="1"/>
  <c r="C2333" i="5"/>
  <c r="N3042" i="2" s="1"/>
  <c r="J3042" i="2" s="1"/>
  <c r="C2335" i="5"/>
  <c r="N3044" i="2" s="1"/>
  <c r="J3044" i="2" s="1"/>
  <c r="C2360" i="5"/>
  <c r="N3106" i="2"/>
  <c r="J3106" i="2" s="1"/>
  <c r="N3390" i="2"/>
  <c r="J3390" i="2" s="1"/>
  <c r="N3392" i="2"/>
  <c r="J3392" i="2" s="1"/>
  <c r="N3402" i="2"/>
  <c r="J3402" i="2" s="1"/>
  <c r="N3404" i="2"/>
  <c r="J3404" i="2" s="1"/>
  <c r="N3425" i="2"/>
  <c r="J3425" i="2" s="1"/>
  <c r="N3427" i="2"/>
  <c r="J3427" i="2" s="1"/>
  <c r="N3431" i="2"/>
  <c r="J3431" i="2" s="1"/>
  <c r="N3433" i="2"/>
  <c r="J3433" i="2" s="1"/>
  <c r="N3435" i="2"/>
  <c r="J3435" i="2" s="1"/>
  <c r="N3448" i="2"/>
  <c r="J3448" i="2" s="1"/>
  <c r="N3512" i="2"/>
  <c r="J3512" i="2" s="1"/>
  <c r="N3536" i="2"/>
  <c r="J3536" i="2" s="1"/>
  <c r="C2847" i="5"/>
  <c r="N3746" i="2" s="1"/>
  <c r="J3746" i="2" s="1"/>
  <c r="C1279" i="5"/>
  <c r="N1543" i="2" s="1"/>
  <c r="J1543" i="2" s="1"/>
  <c r="C1314" i="5"/>
  <c r="N1581" i="2" s="1"/>
  <c r="J1581" i="2" s="1"/>
  <c r="C1438" i="5"/>
  <c r="N1706" i="2" s="1"/>
  <c r="J1706" i="2" s="1"/>
  <c r="C1440" i="5"/>
  <c r="N1708" i="2" s="1"/>
  <c r="J1708" i="2" s="1"/>
  <c r="C1442" i="5"/>
  <c r="N1710" i="2" s="1"/>
  <c r="J1710" i="2" s="1"/>
  <c r="C1479" i="5"/>
  <c r="N1748" i="2" s="1"/>
  <c r="J1748" i="2" s="1"/>
  <c r="C1481" i="5"/>
  <c r="N1750" i="2" s="1"/>
  <c r="J1750" i="2" s="1"/>
  <c r="C1483" i="5"/>
  <c r="N1752" i="2" s="1"/>
  <c r="J1752" i="2" s="1"/>
  <c r="C1496" i="5"/>
  <c r="N1765" i="2" s="1"/>
  <c r="J1765" i="2" s="1"/>
  <c r="C1800" i="5"/>
  <c r="N2341" i="2" s="1"/>
  <c r="J2341" i="2" s="1"/>
  <c r="C1850" i="5"/>
  <c r="N2391" i="2" s="1"/>
  <c r="J2391" i="2" s="1"/>
  <c r="C1903" i="5"/>
  <c r="N2445" i="2" s="1"/>
  <c r="J2445" i="2" s="1"/>
  <c r="C1948" i="5"/>
  <c r="C2083" i="5"/>
  <c r="N2689" i="2" s="1"/>
  <c r="J2689" i="2" s="1"/>
  <c r="C2087" i="5"/>
  <c r="N2693" i="2" s="1"/>
  <c r="J2693" i="2" s="1"/>
  <c r="C2095" i="5"/>
  <c r="N2701" i="2" s="1"/>
  <c r="J2701" i="2" s="1"/>
  <c r="C2102" i="5"/>
  <c r="N2710" i="2" s="1"/>
  <c r="J2710" i="2" s="1"/>
  <c r="C2109" i="5"/>
  <c r="N2720" i="2" s="1"/>
  <c r="J2720" i="2" s="1"/>
  <c r="C2113" i="5"/>
  <c r="N2724" i="2" s="1"/>
  <c r="J2724" i="2" s="1"/>
  <c r="C2246" i="5"/>
  <c r="N2952" i="2" s="1"/>
  <c r="J2952" i="2" s="1"/>
  <c r="C2249" i="5"/>
  <c r="N2955" i="2" s="1"/>
  <c r="J2955" i="2" s="1"/>
  <c r="C2251" i="5"/>
  <c r="N2957" i="2" s="1"/>
  <c r="J2957" i="2" s="1"/>
  <c r="C2253" i="5"/>
  <c r="N2959" i="2" s="1"/>
  <c r="J2959" i="2" s="1"/>
  <c r="C2259" i="5"/>
  <c r="N2965" i="2" s="1"/>
  <c r="J2965" i="2" s="1"/>
  <c r="C2261" i="5"/>
  <c r="N2967" i="2" s="1"/>
  <c r="J2967" i="2" s="1"/>
  <c r="N3120" i="2"/>
  <c r="J3120" i="2" s="1"/>
  <c r="N3122" i="2"/>
  <c r="J3122" i="2" s="1"/>
  <c r="N3133" i="2"/>
  <c r="J3133" i="2" s="1"/>
  <c r="N3422" i="2"/>
  <c r="J3422" i="2" s="1"/>
  <c r="N3426" i="2"/>
  <c r="J3426" i="2" s="1"/>
  <c r="N3430" i="2"/>
  <c r="J3430" i="2" s="1"/>
  <c r="N3488" i="2"/>
  <c r="J3488" i="2" s="1"/>
  <c r="C1207" i="5"/>
  <c r="N1468" i="2" s="1"/>
  <c r="J1468" i="2" s="1"/>
  <c r="C1213" i="5"/>
  <c r="N1474" i="2" s="1"/>
  <c r="J1474" i="2" s="1"/>
  <c r="C1250" i="5"/>
  <c r="N1512" i="2" s="1"/>
  <c r="J1512" i="2" s="1"/>
  <c r="N1531" i="2"/>
  <c r="J1531" i="2" s="1"/>
  <c r="C1278" i="5"/>
  <c r="N1542" i="2" s="1"/>
  <c r="J1542" i="2" s="1"/>
  <c r="C1377" i="5"/>
  <c r="N1643" i="2" s="1"/>
  <c r="J1643" i="2" s="1"/>
  <c r="C1379" i="5"/>
  <c r="N1645" i="2" s="1"/>
  <c r="J1645" i="2" s="1"/>
  <c r="C1381" i="5"/>
  <c r="N1647" i="2" s="1"/>
  <c r="J1647" i="2" s="1"/>
  <c r="C1416" i="5"/>
  <c r="N1684" i="2" s="1"/>
  <c r="J1684" i="2" s="1"/>
  <c r="C1418" i="5"/>
  <c r="N1686" i="2" s="1"/>
  <c r="J1686" i="2" s="1"/>
  <c r="N1688" i="2"/>
  <c r="J1688" i="2" s="1"/>
  <c r="C1421" i="5"/>
  <c r="N1690" i="2" s="1"/>
  <c r="J1690" i="2" s="1"/>
  <c r="C1490" i="5"/>
  <c r="N1759" i="2" s="1"/>
  <c r="J1759" i="2" s="1"/>
  <c r="C1530" i="5"/>
  <c r="N1799" i="2" s="1"/>
  <c r="J1799" i="2" s="1"/>
  <c r="C1896" i="5"/>
  <c r="N2438" i="2" s="1"/>
  <c r="J2438" i="2" s="1"/>
  <c r="C1916" i="5"/>
  <c r="N2458" i="2" s="1"/>
  <c r="J2458" i="2" s="1"/>
  <c r="J2475" i="5"/>
  <c r="N2510" i="5"/>
  <c r="C62" i="5"/>
  <c r="C64" i="5"/>
  <c r="C315" i="5"/>
  <c r="C331" i="5"/>
  <c r="C46" i="5"/>
  <c r="C379" i="5"/>
  <c r="C203" i="5"/>
  <c r="C63" i="5"/>
  <c r="C67" i="5"/>
  <c r="C152" i="5"/>
  <c r="N216" i="5"/>
  <c r="N217" i="5" s="1"/>
  <c r="C326" i="5"/>
  <c r="C330" i="5"/>
  <c r="C384" i="5"/>
  <c r="C386" i="5"/>
  <c r="C388" i="5"/>
  <c r="N260" i="5"/>
  <c r="C296" i="5"/>
  <c r="C321" i="5"/>
  <c r="C358" i="5"/>
  <c r="C362" i="5"/>
  <c r="V520" i="4"/>
  <c r="D57" i="4"/>
  <c r="W76" i="4"/>
  <c r="C114" i="4"/>
  <c r="D173" i="4"/>
  <c r="P432" i="4"/>
  <c r="S432" i="4"/>
  <c r="W432" i="4"/>
  <c r="E520" i="4"/>
  <c r="D576" i="4"/>
  <c r="R520" i="4"/>
  <c r="W398" i="4"/>
  <c r="W408" i="4" s="1"/>
  <c r="E432" i="4"/>
  <c r="I432" i="4"/>
  <c r="M432" i="4"/>
  <c r="Q432" i="4"/>
  <c r="T432" i="4"/>
  <c r="C448" i="4"/>
  <c r="N2085" i="2" s="1"/>
  <c r="J2085" i="2" s="1"/>
  <c r="C61" i="4"/>
  <c r="W92" i="4"/>
  <c r="C90" i="4"/>
  <c r="C92" i="4" s="1"/>
  <c r="C97" i="4"/>
  <c r="C100" i="4" s="1"/>
  <c r="U220" i="4"/>
  <c r="D265" i="4"/>
  <c r="C263" i="4"/>
  <c r="D79" i="4"/>
  <c r="C78" i="4"/>
  <c r="C55" i="4"/>
  <c r="N146" i="2" s="1"/>
  <c r="J146" i="2" s="1"/>
  <c r="C65" i="4"/>
  <c r="G432" i="4"/>
  <c r="K432" i="4"/>
  <c r="O432" i="4"/>
  <c r="V432" i="4"/>
  <c r="C431" i="4"/>
  <c r="S560" i="4"/>
  <c r="S577" i="4" s="1"/>
  <c r="D656" i="4"/>
  <c r="C687" i="4"/>
  <c r="D261" i="4"/>
  <c r="H432" i="4"/>
  <c r="Q520" i="4"/>
  <c r="U520" i="4"/>
  <c r="H520" i="4"/>
  <c r="L520" i="4"/>
  <c r="P520" i="4"/>
  <c r="T520" i="4"/>
  <c r="D493" i="4"/>
  <c r="C584" i="4"/>
  <c r="N2696" i="2" s="1"/>
  <c r="J2696" i="2" s="1"/>
  <c r="E697" i="4"/>
  <c r="I697" i="4"/>
  <c r="M697" i="4"/>
  <c r="Q697" i="4"/>
  <c r="U697" i="4"/>
  <c r="K101" i="4"/>
  <c r="G101" i="4"/>
  <c r="O101" i="4"/>
  <c r="V101" i="4"/>
  <c r="D219" i="4"/>
  <c r="C66" i="4"/>
  <c r="C71" i="4"/>
  <c r="C72" i="4" s="1"/>
  <c r="D76" i="4"/>
  <c r="D92" i="4"/>
  <c r="D194" i="4"/>
  <c r="D206" i="4"/>
  <c r="C214" i="4"/>
  <c r="D225" i="4"/>
  <c r="C231" i="4"/>
  <c r="N975" i="2" s="1"/>
  <c r="J975" i="2" s="1"/>
  <c r="D303" i="4"/>
  <c r="C389" i="4"/>
  <c r="C391" i="4"/>
  <c r="C393" i="4"/>
  <c r="C395" i="4"/>
  <c r="C397" i="4"/>
  <c r="N520" i="4"/>
  <c r="F520" i="4"/>
  <c r="J520" i="4"/>
  <c r="G697" i="4"/>
  <c r="K697" i="4"/>
  <c r="O697" i="4"/>
  <c r="S697" i="4"/>
  <c r="C109" i="4"/>
  <c r="D47" i="4"/>
  <c r="N63" i="4"/>
  <c r="N68" i="4" s="1"/>
  <c r="H101" i="4"/>
  <c r="L101" i="4"/>
  <c r="P101" i="4"/>
  <c r="S101" i="4"/>
  <c r="C74" i="4"/>
  <c r="W115" i="4"/>
  <c r="W185" i="4" s="1"/>
  <c r="C173" i="4"/>
  <c r="D239" i="4"/>
  <c r="C227" i="4"/>
  <c r="E101" i="4"/>
  <c r="I101" i="4"/>
  <c r="M101" i="4"/>
  <c r="Q101" i="4"/>
  <c r="T101" i="4"/>
  <c r="C84" i="4"/>
  <c r="N229" i="2" s="1"/>
  <c r="D200" i="4"/>
  <c r="C197" i="4"/>
  <c r="C200" i="4" s="1"/>
  <c r="H63" i="4"/>
  <c r="H68" i="4" s="1"/>
  <c r="F101" i="4"/>
  <c r="J101" i="4"/>
  <c r="N101" i="4"/>
  <c r="R101" i="4"/>
  <c r="U101" i="4"/>
  <c r="C169" i="4"/>
  <c r="C170" i="4" s="1"/>
  <c r="D170" i="4"/>
  <c r="R220" i="4"/>
  <c r="D210" i="4"/>
  <c r="C216" i="4"/>
  <c r="C219" i="4" s="1"/>
  <c r="F220" i="4"/>
  <c r="C272" i="4"/>
  <c r="F290" i="4"/>
  <c r="H370" i="4"/>
  <c r="H385" i="4" s="1"/>
  <c r="D377" i="4"/>
  <c r="C379" i="4"/>
  <c r="W385" i="4"/>
  <c r="F385" i="4"/>
  <c r="J385" i="4"/>
  <c r="N385" i="4"/>
  <c r="R385" i="4"/>
  <c r="U385" i="4"/>
  <c r="D398" i="4"/>
  <c r="C390" i="4"/>
  <c r="C392" i="4"/>
  <c r="C394" i="4"/>
  <c r="C396" i="4"/>
  <c r="C411" i="4"/>
  <c r="C412" i="4" s="1"/>
  <c r="W483" i="4"/>
  <c r="W520" i="4" s="1"/>
  <c r="V551" i="4"/>
  <c r="V577" i="4" s="1"/>
  <c r="G577" i="4"/>
  <c r="K577" i="4"/>
  <c r="O577" i="4"/>
  <c r="D633" i="4"/>
  <c r="C661" i="4"/>
  <c r="N2867" i="2" s="1"/>
  <c r="J2867" i="2" s="1"/>
  <c r="C683" i="4"/>
  <c r="C741" i="4"/>
  <c r="C744" i="4" s="1"/>
  <c r="G775" i="4"/>
  <c r="K775" i="4"/>
  <c r="O775" i="4"/>
  <c r="S775" i="4"/>
  <c r="W775" i="4"/>
  <c r="C783" i="4"/>
  <c r="C784" i="4" s="1"/>
  <c r="D789" i="4"/>
  <c r="F818" i="4"/>
  <c r="F823" i="4" s="1"/>
  <c r="C13" i="5"/>
  <c r="C15" i="5"/>
  <c r="J57" i="2"/>
  <c r="C68" i="5"/>
  <c r="J71" i="2"/>
  <c r="C72" i="5"/>
  <c r="C74" i="5"/>
  <c r="C77" i="5"/>
  <c r="C116" i="5"/>
  <c r="C127" i="5"/>
  <c r="C156" i="5"/>
  <c r="C159" i="5"/>
  <c r="D190" i="5"/>
  <c r="W225" i="5"/>
  <c r="C241" i="5"/>
  <c r="C254" i="5"/>
  <c r="D272" i="5"/>
  <c r="C272" i="5" s="1"/>
  <c r="N360" i="2" s="1"/>
  <c r="J360" i="2" s="1"/>
  <c r="C273" i="5"/>
  <c r="N321" i="2" s="1"/>
  <c r="C285" i="5"/>
  <c r="C293" i="5"/>
  <c r="D214" i="4"/>
  <c r="G220" i="4"/>
  <c r="E220" i="4"/>
  <c r="C223" i="4"/>
  <c r="C259" i="4"/>
  <c r="C261" i="4" s="1"/>
  <c r="D279" i="4"/>
  <c r="L385" i="4"/>
  <c r="P385" i="4"/>
  <c r="S385" i="4"/>
  <c r="G385" i="4"/>
  <c r="K385" i="4"/>
  <c r="O385" i="4"/>
  <c r="V385" i="4"/>
  <c r="D431" i="4"/>
  <c r="D461" i="4"/>
  <c r="C461" i="4" s="1"/>
  <c r="Y520" i="4"/>
  <c r="G520" i="4"/>
  <c r="K520" i="4"/>
  <c r="O520" i="4"/>
  <c r="S520" i="4"/>
  <c r="C482" i="4"/>
  <c r="D519" i="4"/>
  <c r="C547" i="4"/>
  <c r="N2504" i="2" s="1"/>
  <c r="J2504" i="2" s="1"/>
  <c r="D549" i="4"/>
  <c r="C549" i="4" s="1"/>
  <c r="N2508" i="2" s="1"/>
  <c r="J2508" i="2" s="1"/>
  <c r="C553" i="4"/>
  <c r="C554" i="4" s="1"/>
  <c r="C558" i="4"/>
  <c r="N2548" i="2" s="1"/>
  <c r="J2548" i="2" s="1"/>
  <c r="D562" i="4"/>
  <c r="C568" i="4"/>
  <c r="H577" i="4"/>
  <c r="L577" i="4"/>
  <c r="P577" i="4"/>
  <c r="C580" i="4"/>
  <c r="C581" i="4" s="1"/>
  <c r="D606" i="4"/>
  <c r="C594" i="4"/>
  <c r="N2734" i="2" s="1"/>
  <c r="J2734" i="2" s="1"/>
  <c r="C611" i="4"/>
  <c r="C653" i="4"/>
  <c r="H697" i="4"/>
  <c r="L697" i="4"/>
  <c r="P697" i="4"/>
  <c r="T697" i="4"/>
  <c r="H775" i="4"/>
  <c r="L775" i="4"/>
  <c r="P775" i="4"/>
  <c r="T775" i="4"/>
  <c r="E823" i="4"/>
  <c r="M823" i="4"/>
  <c r="Q823" i="4"/>
  <c r="T823" i="4"/>
  <c r="C822" i="4"/>
  <c r="C12" i="5"/>
  <c r="N13" i="2" s="1"/>
  <c r="J13" i="2" s="1"/>
  <c r="C18" i="5"/>
  <c r="C48" i="5"/>
  <c r="C59" i="5"/>
  <c r="J83" i="2"/>
  <c r="W216" i="5"/>
  <c r="H220" i="4"/>
  <c r="L220" i="4"/>
  <c r="P220" i="4"/>
  <c r="S220" i="4"/>
  <c r="W220" i="4"/>
  <c r="W239" i="4"/>
  <c r="W291" i="4" s="1"/>
  <c r="C299" i="4"/>
  <c r="E385" i="4"/>
  <c r="I385" i="4"/>
  <c r="M385" i="4"/>
  <c r="Q385" i="4"/>
  <c r="T385" i="4"/>
  <c r="C490" i="4"/>
  <c r="E577" i="4"/>
  <c r="I577" i="4"/>
  <c r="M577" i="4"/>
  <c r="Q577" i="4"/>
  <c r="T577" i="4"/>
  <c r="C650" i="4"/>
  <c r="C696" i="4"/>
  <c r="K823" i="4"/>
  <c r="O823" i="4"/>
  <c r="V823" i="4"/>
  <c r="J21" i="2"/>
  <c r="J70" i="2"/>
  <c r="C258" i="5"/>
  <c r="J220" i="4"/>
  <c r="N220" i="4"/>
  <c r="K220" i="4"/>
  <c r="O220" i="4"/>
  <c r="I220" i="4"/>
  <c r="M220" i="4"/>
  <c r="Q220" i="4"/>
  <c r="T220" i="4"/>
  <c r="D282" i="4"/>
  <c r="C282" i="4" s="1"/>
  <c r="C301" i="4"/>
  <c r="C303" i="4" s="1"/>
  <c r="D308" i="4"/>
  <c r="C372" i="4"/>
  <c r="J432" i="4"/>
  <c r="N432" i="4"/>
  <c r="R432" i="4"/>
  <c r="U432" i="4"/>
  <c r="D479" i="4"/>
  <c r="C498" i="4"/>
  <c r="D525" i="4"/>
  <c r="C525" i="4" s="1"/>
  <c r="C540" i="4" s="1"/>
  <c r="C541" i="4" s="1"/>
  <c r="D13" i="7" s="1"/>
  <c r="C557" i="4"/>
  <c r="N2547" i="2" s="1"/>
  <c r="J2547" i="2" s="1"/>
  <c r="C559" i="4"/>
  <c r="N2549" i="2" s="1"/>
  <c r="J2549" i="2" s="1"/>
  <c r="C565" i="4"/>
  <c r="C566" i="4" s="1"/>
  <c r="J577" i="4"/>
  <c r="N577" i="4"/>
  <c r="R577" i="4"/>
  <c r="U577" i="4"/>
  <c r="C593" i="4"/>
  <c r="N2733" i="2" s="1"/>
  <c r="J2733" i="2" s="1"/>
  <c r="C628" i="4"/>
  <c r="N2793" i="2" s="1"/>
  <c r="J2793" i="2" s="1"/>
  <c r="D664" i="4"/>
  <c r="D668" i="4" s="1"/>
  <c r="F697" i="4"/>
  <c r="J697" i="4"/>
  <c r="N697" i="4"/>
  <c r="R697" i="4"/>
  <c r="V697" i="4"/>
  <c r="D679" i="4"/>
  <c r="D692" i="4"/>
  <c r="C692" i="4" s="1"/>
  <c r="D706" i="4"/>
  <c r="D707" i="4" s="1"/>
  <c r="F775" i="4"/>
  <c r="J775" i="4"/>
  <c r="N775" i="4"/>
  <c r="R775" i="4"/>
  <c r="V775" i="4"/>
  <c r="C789" i="4"/>
  <c r="H823" i="4"/>
  <c r="L823" i="4"/>
  <c r="P823" i="4"/>
  <c r="S823" i="4"/>
  <c r="W823" i="4"/>
  <c r="C49" i="5"/>
  <c r="C55" i="5"/>
  <c r="C78" i="5"/>
  <c r="C80" i="5"/>
  <c r="D216" i="5"/>
  <c r="C246" i="5"/>
  <c r="C316" i="5"/>
  <c r="C337" i="5"/>
  <c r="J402" i="2"/>
  <c r="C345" i="5"/>
  <c r="C347" i="5"/>
  <c r="C354" i="5"/>
  <c r="C356" i="5"/>
  <c r="J426" i="2"/>
  <c r="C375" i="5"/>
  <c r="C381" i="5"/>
  <c r="C436" i="5"/>
  <c r="N533" i="2" s="1"/>
  <c r="J533" i="2" s="1"/>
  <c r="C438" i="5"/>
  <c r="N535" i="2" s="1"/>
  <c r="J535" i="2" s="1"/>
  <c r="C440" i="5"/>
  <c r="N537" i="2" s="1"/>
  <c r="J537" i="2" s="1"/>
  <c r="C442" i="5"/>
  <c r="N539" i="2" s="1"/>
  <c r="J539" i="2" s="1"/>
  <c r="C444" i="5"/>
  <c r="N541" i="2" s="1"/>
  <c r="J541" i="2" s="1"/>
  <c r="C446" i="5"/>
  <c r="N543" i="2" s="1"/>
  <c r="J543" i="2" s="1"/>
  <c r="W527" i="5"/>
  <c r="C521" i="5"/>
  <c r="N681" i="2" s="1"/>
  <c r="J681" i="2" s="1"/>
  <c r="C635" i="5"/>
  <c r="N799" i="2" s="1"/>
  <c r="J799" i="2" s="1"/>
  <c r="C637" i="5"/>
  <c r="N802" i="2" s="1"/>
  <c r="J802" i="2" s="1"/>
  <c r="C639" i="5"/>
  <c r="N804" i="2" s="1"/>
  <c r="J804" i="2" s="1"/>
  <c r="C641" i="5"/>
  <c r="N806" i="2" s="1"/>
  <c r="J806" i="2" s="1"/>
  <c r="C643" i="5"/>
  <c r="N808" i="2" s="1"/>
  <c r="J808" i="2" s="1"/>
  <c r="C645" i="5"/>
  <c r="N810" i="2" s="1"/>
  <c r="J810" i="2" s="1"/>
  <c r="C713" i="5"/>
  <c r="N879" i="2" s="1"/>
  <c r="J879" i="2" s="1"/>
  <c r="C715" i="5"/>
  <c r="N881" i="2" s="1"/>
  <c r="J881" i="2" s="1"/>
  <c r="C717" i="5"/>
  <c r="N883" i="2" s="1"/>
  <c r="J883" i="2" s="1"/>
  <c r="C719" i="5"/>
  <c r="N885" i="2" s="1"/>
  <c r="J885" i="2" s="1"/>
  <c r="C747" i="5"/>
  <c r="N913" i="2" s="1"/>
  <c r="J913" i="2" s="1"/>
  <c r="C749" i="5"/>
  <c r="N915" i="2" s="1"/>
  <c r="J915" i="2" s="1"/>
  <c r="C751" i="5"/>
  <c r="N917" i="2" s="1"/>
  <c r="J917" i="2" s="1"/>
  <c r="C753" i="5"/>
  <c r="N919" i="2" s="1"/>
  <c r="J919" i="2" s="1"/>
  <c r="C755" i="5"/>
  <c r="N921" i="2" s="1"/>
  <c r="J921" i="2" s="1"/>
  <c r="C757" i="5"/>
  <c r="N923" i="2" s="1"/>
  <c r="J923" i="2" s="1"/>
  <c r="C759" i="5"/>
  <c r="N925" i="2" s="1"/>
  <c r="J925" i="2" s="1"/>
  <c r="C761" i="5"/>
  <c r="N927" i="2" s="1"/>
  <c r="J927" i="2" s="1"/>
  <c r="C782" i="5"/>
  <c r="N948" i="2" s="1"/>
  <c r="J948" i="2" s="1"/>
  <c r="C784" i="5"/>
  <c r="N950" i="2" s="1"/>
  <c r="J950" i="2" s="1"/>
  <c r="C793" i="5"/>
  <c r="N959" i="2" s="1"/>
  <c r="J959" i="2" s="1"/>
  <c r="C922" i="5"/>
  <c r="N1088" i="2" s="1"/>
  <c r="J1088" i="2" s="1"/>
  <c r="N1094" i="2"/>
  <c r="J1094" i="2" s="1"/>
  <c r="N1096" i="2"/>
  <c r="J1096" i="2" s="1"/>
  <c r="C941" i="5"/>
  <c r="N1108" i="2" s="1"/>
  <c r="J1108" i="2" s="1"/>
  <c r="C963" i="5"/>
  <c r="N1135" i="2" s="1"/>
  <c r="J1135" i="2" s="1"/>
  <c r="C1076" i="5"/>
  <c r="N1257" i="2" s="1"/>
  <c r="J1257" i="2" s="1"/>
  <c r="C1097" i="5"/>
  <c r="C1102" i="5"/>
  <c r="N1356" i="2" s="1"/>
  <c r="J1356" i="2" s="1"/>
  <c r="C1130" i="5"/>
  <c r="N1386" i="2" s="1"/>
  <c r="J1386" i="2" s="1"/>
  <c r="C1175" i="5"/>
  <c r="N1431" i="2" s="1"/>
  <c r="J1431" i="2" s="1"/>
  <c r="N1458" i="2"/>
  <c r="J1458" i="2" s="1"/>
  <c r="C1199" i="5"/>
  <c r="N1460" i="2" s="1"/>
  <c r="J1460" i="2" s="1"/>
  <c r="C1220" i="5"/>
  <c r="N1481" i="2" s="1"/>
  <c r="J1481" i="2" s="1"/>
  <c r="C1222" i="5"/>
  <c r="N1483" i="2" s="1"/>
  <c r="J1483" i="2" s="1"/>
  <c r="C1240" i="5"/>
  <c r="N1502" i="2" s="1"/>
  <c r="J1502" i="2" s="1"/>
  <c r="C1247" i="5"/>
  <c r="N1509" i="2" s="1"/>
  <c r="J1509" i="2" s="1"/>
  <c r="C1251" i="5"/>
  <c r="N1513" i="2" s="1"/>
  <c r="J1513" i="2" s="1"/>
  <c r="N1520" i="2"/>
  <c r="J1520" i="2" s="1"/>
  <c r="N1528" i="2"/>
  <c r="J1528" i="2" s="1"/>
  <c r="C1297" i="5"/>
  <c r="N1562" i="2" s="1"/>
  <c r="J1562" i="2" s="1"/>
  <c r="C1337" i="5"/>
  <c r="N1604" i="2" s="1"/>
  <c r="J1604" i="2" s="1"/>
  <c r="C1358" i="5"/>
  <c r="N1625" i="2" s="1"/>
  <c r="J1625" i="2" s="1"/>
  <c r="C1387" i="5"/>
  <c r="N1653" i="2" s="1"/>
  <c r="J1653" i="2" s="1"/>
  <c r="C1389" i="5"/>
  <c r="N1655" i="2" s="1"/>
  <c r="J1655" i="2" s="1"/>
  <c r="C1407" i="5"/>
  <c r="N1675" i="2" s="1"/>
  <c r="J1675" i="2" s="1"/>
  <c r="C1422" i="5"/>
  <c r="N1691" i="2" s="1"/>
  <c r="J1691" i="2" s="1"/>
  <c r="C1426" i="5"/>
  <c r="N1695" i="2" s="1"/>
  <c r="J1695" i="2" s="1"/>
  <c r="C1430" i="5"/>
  <c r="N1699" i="2" s="1"/>
  <c r="J1699" i="2" s="1"/>
  <c r="C1468" i="5"/>
  <c r="N1736" i="2" s="1"/>
  <c r="J1736" i="2" s="1"/>
  <c r="C1497" i="5"/>
  <c r="N1766" i="2" s="1"/>
  <c r="J1766" i="2" s="1"/>
  <c r="C1507" i="5"/>
  <c r="N1775" i="2" s="1"/>
  <c r="J1775" i="2" s="1"/>
  <c r="C1508" i="5"/>
  <c r="N1777" i="2" s="1"/>
  <c r="J1777" i="2" s="1"/>
  <c r="C1519" i="5"/>
  <c r="N1788" i="2" s="1"/>
  <c r="J1788" i="2" s="1"/>
  <c r="C813" i="5"/>
  <c r="N979" i="2" s="1"/>
  <c r="J979" i="2" s="1"/>
  <c r="C846" i="5"/>
  <c r="N1012" i="2" s="1"/>
  <c r="J1012" i="2" s="1"/>
  <c r="C886" i="5"/>
  <c r="N1052" i="2" s="1"/>
  <c r="J1052" i="2" s="1"/>
  <c r="C973" i="5"/>
  <c r="N1147" i="2" s="1"/>
  <c r="C975" i="5"/>
  <c r="N1149" i="2" s="1"/>
  <c r="J1149" i="2" s="1"/>
  <c r="C977" i="5"/>
  <c r="N1151" i="2" s="1"/>
  <c r="J1151" i="2" s="1"/>
  <c r="C979" i="5"/>
  <c r="N1153" i="2" s="1"/>
  <c r="J1153" i="2" s="1"/>
  <c r="C981" i="5"/>
  <c r="N1155" i="2" s="1"/>
  <c r="J1155" i="2" s="1"/>
  <c r="C983" i="5"/>
  <c r="N1157" i="2" s="1"/>
  <c r="J1157" i="2" s="1"/>
  <c r="C1249" i="5"/>
  <c r="N1511" i="2" s="1"/>
  <c r="J1511" i="2" s="1"/>
  <c r="C1488" i="5"/>
  <c r="N1757" i="2" s="1"/>
  <c r="J1757" i="2" s="1"/>
  <c r="C304" i="5"/>
  <c r="C334" i="5"/>
  <c r="C338" i="5"/>
  <c r="C340" i="5"/>
  <c r="C350" i="5"/>
  <c r="C353" i="5"/>
  <c r="J424" i="2"/>
  <c r="C382" i="5"/>
  <c r="C419" i="5"/>
  <c r="N516" i="2" s="1"/>
  <c r="J516" i="2" s="1"/>
  <c r="C421" i="5"/>
  <c r="N518" i="2" s="1"/>
  <c r="J518" i="2" s="1"/>
  <c r="C423" i="5"/>
  <c r="N520" i="2" s="1"/>
  <c r="J520" i="2" s="1"/>
  <c r="C425" i="5"/>
  <c r="N522" i="2" s="1"/>
  <c r="J522" i="2" s="1"/>
  <c r="C427" i="5"/>
  <c r="N524" i="2" s="1"/>
  <c r="J524" i="2" s="1"/>
  <c r="C429" i="5"/>
  <c r="N526" i="2" s="1"/>
  <c r="J526" i="2" s="1"/>
  <c r="C431" i="5"/>
  <c r="N528" i="2" s="1"/>
  <c r="J528" i="2" s="1"/>
  <c r="C433" i="5"/>
  <c r="N530" i="2" s="1"/>
  <c r="J530" i="2" s="1"/>
  <c r="C435" i="5"/>
  <c r="N532" i="2" s="1"/>
  <c r="J532" i="2" s="1"/>
  <c r="C437" i="5"/>
  <c r="N534" i="2" s="1"/>
  <c r="J534" i="2" s="1"/>
  <c r="C439" i="5"/>
  <c r="N536" i="2" s="1"/>
  <c r="J536" i="2" s="1"/>
  <c r="C441" i="5"/>
  <c r="N538" i="2" s="1"/>
  <c r="J538" i="2" s="1"/>
  <c r="C443" i="5"/>
  <c r="N540" i="2" s="1"/>
  <c r="J540" i="2" s="1"/>
  <c r="C445" i="5"/>
  <c r="N542" i="2" s="1"/>
  <c r="J542" i="2" s="1"/>
  <c r="C450" i="5"/>
  <c r="N547" i="2" s="1"/>
  <c r="J547" i="2" s="1"/>
  <c r="C738" i="5"/>
  <c r="N904" i="2" s="1"/>
  <c r="J904" i="2" s="1"/>
  <c r="C744" i="5"/>
  <c r="N910" i="2" s="1"/>
  <c r="J910" i="2" s="1"/>
  <c r="C746" i="5"/>
  <c r="N912" i="2" s="1"/>
  <c r="J912" i="2" s="1"/>
  <c r="C748" i="5"/>
  <c r="N914" i="2" s="1"/>
  <c r="J914" i="2" s="1"/>
  <c r="C750" i="5"/>
  <c r="N916" i="2" s="1"/>
  <c r="J916" i="2" s="1"/>
  <c r="C752" i="5"/>
  <c r="N918" i="2" s="1"/>
  <c r="J918" i="2" s="1"/>
  <c r="C756" i="5"/>
  <c r="N922" i="2" s="1"/>
  <c r="J922" i="2" s="1"/>
  <c r="C758" i="5"/>
  <c r="N924" i="2" s="1"/>
  <c r="J924" i="2" s="1"/>
  <c r="C760" i="5"/>
  <c r="N926" i="2" s="1"/>
  <c r="J926" i="2" s="1"/>
  <c r="C762" i="5"/>
  <c r="N928" i="2" s="1"/>
  <c r="J928" i="2" s="1"/>
  <c r="C796" i="5"/>
  <c r="N962" i="2" s="1"/>
  <c r="J962" i="2" s="1"/>
  <c r="C929" i="5"/>
  <c r="N1095" i="2" s="1"/>
  <c r="J1095" i="2" s="1"/>
  <c r="C931" i="5"/>
  <c r="N1097" i="2" s="1"/>
  <c r="J1097" i="2" s="1"/>
  <c r="C933" i="5"/>
  <c r="N1099" i="2" s="1"/>
  <c r="J1099" i="2" s="1"/>
  <c r="C935" i="5"/>
  <c r="N1101" i="2" s="1"/>
  <c r="J1101" i="2" s="1"/>
  <c r="C949" i="5"/>
  <c r="N1116" i="2" s="1"/>
  <c r="J1116" i="2" s="1"/>
  <c r="N1118" i="2"/>
  <c r="J1118" i="2" s="1"/>
  <c r="C955" i="5"/>
  <c r="N1126" i="2" s="1"/>
  <c r="J1126" i="2" s="1"/>
  <c r="C1075" i="5"/>
  <c r="N1256" i="2" s="1"/>
  <c r="J1256" i="2" s="1"/>
  <c r="C1101" i="5"/>
  <c r="N1355" i="2" s="1"/>
  <c r="J1355" i="2" s="1"/>
  <c r="C1131" i="5"/>
  <c r="N1387" i="2" s="1"/>
  <c r="J1387" i="2" s="1"/>
  <c r="C1170" i="5"/>
  <c r="N1426" i="2" s="1"/>
  <c r="J1426" i="2" s="1"/>
  <c r="C1172" i="5"/>
  <c r="N1428" i="2" s="1"/>
  <c r="J1428" i="2" s="1"/>
  <c r="C1176" i="5"/>
  <c r="N1432" i="2" s="1"/>
  <c r="J1432" i="2" s="1"/>
  <c r="C1184" i="5"/>
  <c r="N1444" i="2" s="1"/>
  <c r="J1444" i="2" s="1"/>
  <c r="C1191" i="5"/>
  <c r="N1452" i="2" s="1"/>
  <c r="J1452" i="2" s="1"/>
  <c r="C1196" i="5"/>
  <c r="N1457" i="2" s="1"/>
  <c r="J1457" i="2" s="1"/>
  <c r="C1198" i="5"/>
  <c r="N1459" i="2" s="1"/>
  <c r="J1459" i="2" s="1"/>
  <c r="C1219" i="5"/>
  <c r="N1480" i="2" s="1"/>
  <c r="J1480" i="2" s="1"/>
  <c r="C1231" i="5"/>
  <c r="N1492" i="2" s="1"/>
  <c r="J1492" i="2" s="1"/>
  <c r="C1235" i="5"/>
  <c r="N1497" i="2" s="1"/>
  <c r="J1497" i="2" s="1"/>
  <c r="C1298" i="5"/>
  <c r="N1563" i="2" s="1"/>
  <c r="J1563" i="2" s="1"/>
  <c r="C1330" i="5"/>
  <c r="N1597" i="2" s="1"/>
  <c r="J1597" i="2" s="1"/>
  <c r="C1332" i="5"/>
  <c r="N1599" i="2" s="1"/>
  <c r="J1599" i="2" s="1"/>
  <c r="C1343" i="5"/>
  <c r="N1610" i="2" s="1"/>
  <c r="J1610" i="2" s="1"/>
  <c r="C1359" i="5"/>
  <c r="N1626" i="2" s="1"/>
  <c r="J1626" i="2" s="1"/>
  <c r="C1409" i="5"/>
  <c r="N1677" i="2" s="1"/>
  <c r="J1677" i="2" s="1"/>
  <c r="C1423" i="5"/>
  <c r="N1692" i="2" s="1"/>
  <c r="J1692" i="2" s="1"/>
  <c r="C1527" i="5"/>
  <c r="N1796" i="2" s="1"/>
  <c r="J1796" i="2" s="1"/>
  <c r="C1529" i="5"/>
  <c r="N1798" i="2" s="1"/>
  <c r="J1798" i="2" s="1"/>
  <c r="C1531" i="5"/>
  <c r="N1800" i="2" s="1"/>
  <c r="J1800" i="2" s="1"/>
  <c r="C1546" i="5"/>
  <c r="N1815" i="2" s="1"/>
  <c r="J1815" i="2" s="1"/>
  <c r="C1554" i="5"/>
  <c r="N1823" i="2" s="1"/>
  <c r="J1823" i="2" s="1"/>
  <c r="C1651" i="5"/>
  <c r="N1942" i="2" s="1"/>
  <c r="J1942" i="2" s="1"/>
  <c r="C1657" i="5"/>
  <c r="N1954" i="2" s="1"/>
  <c r="J1954" i="2" s="1"/>
  <c r="C1897" i="5"/>
  <c r="J425" i="2"/>
  <c r="W546" i="5"/>
  <c r="C583" i="5"/>
  <c r="N745" i="2" s="1"/>
  <c r="J745" i="2" s="1"/>
  <c r="C585" i="5"/>
  <c r="N747" i="2" s="1"/>
  <c r="J747" i="2" s="1"/>
  <c r="C587" i="5"/>
  <c r="N749" i="2" s="1"/>
  <c r="J749" i="2" s="1"/>
  <c r="C589" i="5"/>
  <c r="N751" i="2" s="1"/>
  <c r="J751" i="2" s="1"/>
  <c r="C591" i="5"/>
  <c r="N753" i="2" s="1"/>
  <c r="J753" i="2" s="1"/>
  <c r="C593" i="5"/>
  <c r="N755" i="2" s="1"/>
  <c r="J755" i="2" s="1"/>
  <c r="C595" i="5"/>
  <c r="N757" i="2" s="1"/>
  <c r="J757" i="2" s="1"/>
  <c r="C597" i="5"/>
  <c r="N759" i="2" s="1"/>
  <c r="J759" i="2" s="1"/>
  <c r="C599" i="5"/>
  <c r="N761" i="2" s="1"/>
  <c r="J761" i="2" s="1"/>
  <c r="C601" i="5"/>
  <c r="N763" i="2" s="1"/>
  <c r="J763" i="2" s="1"/>
  <c r="C603" i="5"/>
  <c r="N765" i="2" s="1"/>
  <c r="J765" i="2" s="1"/>
  <c r="C605" i="5"/>
  <c r="N767" i="2" s="1"/>
  <c r="J767" i="2" s="1"/>
  <c r="C607" i="5"/>
  <c r="N769" i="2" s="1"/>
  <c r="J769" i="2" s="1"/>
  <c r="C609" i="5"/>
  <c r="N771" i="2" s="1"/>
  <c r="J771" i="2" s="1"/>
  <c r="C613" i="5"/>
  <c r="C625" i="5"/>
  <c r="N789" i="2" s="1"/>
  <c r="J789" i="2" s="1"/>
  <c r="C731" i="5"/>
  <c r="N897" i="2" s="1"/>
  <c r="J897" i="2" s="1"/>
  <c r="C989" i="5"/>
  <c r="N1163" i="2" s="1"/>
  <c r="J1163" i="2" s="1"/>
  <c r="C1549" i="5"/>
  <c r="N1818" i="2" s="1"/>
  <c r="J1818" i="2" s="1"/>
  <c r="C1551" i="5"/>
  <c r="N1820" i="2" s="1"/>
  <c r="J1820" i="2" s="1"/>
  <c r="C1553" i="5"/>
  <c r="N1822" i="2" s="1"/>
  <c r="J1822" i="2" s="1"/>
  <c r="C1557" i="5"/>
  <c r="N1826" i="2" s="1"/>
  <c r="J1826" i="2" s="1"/>
  <c r="C1559" i="5"/>
  <c r="N1828" i="2" s="1"/>
  <c r="J1828" i="2" s="1"/>
  <c r="C1561" i="5"/>
  <c r="N1830" i="2" s="1"/>
  <c r="J1830" i="2" s="1"/>
  <c r="C1572" i="5"/>
  <c r="C1585" i="5"/>
  <c r="N1864" i="2" s="1"/>
  <c r="J1864" i="2" s="1"/>
  <c r="C1621" i="5"/>
  <c r="N1908" i="2" s="1"/>
  <c r="J1908" i="2" s="1"/>
  <c r="C1652" i="5"/>
  <c r="N1943" i="2" s="1"/>
  <c r="J1943" i="2" s="1"/>
  <c r="C1832" i="5"/>
  <c r="N2373" i="2" s="1"/>
  <c r="J2373" i="2" s="1"/>
  <c r="C1836" i="5"/>
  <c r="N2377" i="2" s="1"/>
  <c r="J2377" i="2" s="1"/>
  <c r="C1846" i="5"/>
  <c r="N2387" i="2" s="1"/>
  <c r="J2387" i="2" s="1"/>
  <c r="C1879" i="5"/>
  <c r="N2420" i="2" s="1"/>
  <c r="J2420" i="2" s="1"/>
  <c r="C1881" i="5"/>
  <c r="N2422" i="2" s="1"/>
  <c r="J2422" i="2" s="1"/>
  <c r="C1899" i="5"/>
  <c r="N2441" i="2" s="1"/>
  <c r="J2441" i="2" s="1"/>
  <c r="C1933" i="5"/>
  <c r="N2475" i="2" s="1"/>
  <c r="J2475" i="2" s="1"/>
  <c r="C1937" i="5"/>
  <c r="C1939" i="5"/>
  <c r="N2481" i="2" s="1"/>
  <c r="J2481" i="2" s="1"/>
  <c r="C1941" i="5"/>
  <c r="N2483" i="2" s="1"/>
  <c r="J2483" i="2" s="1"/>
  <c r="C1946" i="5"/>
  <c r="C1964" i="5"/>
  <c r="N2517" i="2" s="1"/>
  <c r="J2517" i="2" s="1"/>
  <c r="W2027" i="5"/>
  <c r="Q2475" i="5"/>
  <c r="C326" i="6"/>
  <c r="N1308" i="2" s="1"/>
  <c r="J1308" i="2" s="1"/>
  <c r="W1665" i="5"/>
  <c r="N2002" i="2"/>
  <c r="J2002" i="2" s="1"/>
  <c r="C1697" i="5"/>
  <c r="N2049" i="2" s="1"/>
  <c r="J2049" i="2" s="1"/>
  <c r="C1790" i="5"/>
  <c r="N2331" i="2" s="1"/>
  <c r="J2331" i="2" s="1"/>
  <c r="C1795" i="5"/>
  <c r="N2336" i="2" s="1"/>
  <c r="J2336" i="2" s="1"/>
  <c r="C1802" i="5"/>
  <c r="N2343" i="2" s="1"/>
  <c r="J2343" i="2" s="1"/>
  <c r="C1806" i="5"/>
  <c r="N2347" i="2" s="1"/>
  <c r="J2347" i="2" s="1"/>
  <c r="D1858" i="5"/>
  <c r="C1905" i="5"/>
  <c r="N2447" i="2" s="1"/>
  <c r="J2447" i="2" s="1"/>
  <c r="D1907" i="5"/>
  <c r="C1907" i="5" s="1"/>
  <c r="N2449" i="2" s="1"/>
  <c r="J2449" i="2" s="1"/>
  <c r="C1918" i="5"/>
  <c r="N2460" i="2" s="1"/>
  <c r="J2460" i="2" s="1"/>
  <c r="C1922" i="5"/>
  <c r="N2464" i="2" s="1"/>
  <c r="J2464" i="2" s="1"/>
  <c r="C1924" i="5"/>
  <c r="C1926" i="5"/>
  <c r="N2468" i="2" s="1"/>
  <c r="J2468" i="2" s="1"/>
  <c r="C1930" i="5"/>
  <c r="N2472" i="2" s="1"/>
  <c r="J2472" i="2" s="1"/>
  <c r="C1934" i="5"/>
  <c r="N2476" i="2" s="1"/>
  <c r="J2476" i="2" s="1"/>
  <c r="C2033" i="5"/>
  <c r="N2636" i="2" s="1"/>
  <c r="J2636" i="2" s="1"/>
  <c r="C2049" i="5"/>
  <c r="N2652" i="2" s="1"/>
  <c r="J2652" i="2" s="1"/>
  <c r="C2051" i="5"/>
  <c r="N2654" i="2" s="1"/>
  <c r="J2654" i="2" s="1"/>
  <c r="C2055" i="5"/>
  <c r="N2658" i="2" s="1"/>
  <c r="J2658" i="2" s="1"/>
  <c r="C2082" i="5"/>
  <c r="C2099" i="5"/>
  <c r="N2707" i="2" s="1"/>
  <c r="J2707" i="2" s="1"/>
  <c r="C2250" i="5"/>
  <c r="N2956" i="2" s="1"/>
  <c r="J2956" i="2" s="1"/>
  <c r="C2254" i="5"/>
  <c r="N2960" i="2" s="1"/>
  <c r="J2960" i="2" s="1"/>
  <c r="C2257" i="5"/>
  <c r="N2963" i="2" s="1"/>
  <c r="J2963" i="2" s="1"/>
  <c r="C2312" i="5"/>
  <c r="N3021" i="2" s="1"/>
  <c r="J3021" i="2" s="1"/>
  <c r="C2326" i="5"/>
  <c r="N3035" i="2" s="1"/>
  <c r="J3035" i="2" s="1"/>
  <c r="N3072" i="2"/>
  <c r="J3072" i="2" s="1"/>
  <c r="N3074" i="2"/>
  <c r="J3074" i="2" s="1"/>
  <c r="N3079" i="2"/>
  <c r="J3079" i="2" s="1"/>
  <c r="N3104" i="2"/>
  <c r="J3104" i="2" s="1"/>
  <c r="N3145" i="2"/>
  <c r="J3145" i="2" s="1"/>
  <c r="N3177" i="2"/>
  <c r="J3177" i="2" s="1"/>
  <c r="C1672" i="5"/>
  <c r="N1989" i="2" s="1"/>
  <c r="J1989" i="2" s="1"/>
  <c r="C1700" i="5"/>
  <c r="N2052" i="2" s="1"/>
  <c r="J2052" i="2" s="1"/>
  <c r="C1702" i="5"/>
  <c r="N2054" i="2" s="1"/>
  <c r="J2054" i="2" s="1"/>
  <c r="C1773" i="5"/>
  <c r="C1801" i="5"/>
  <c r="N2342" i="2" s="1"/>
  <c r="J2342" i="2" s="1"/>
  <c r="C1803" i="5"/>
  <c r="N2344" i="2" s="1"/>
  <c r="J2344" i="2" s="1"/>
  <c r="C1823" i="5"/>
  <c r="N2364" i="2" s="1"/>
  <c r="J2364" i="2" s="1"/>
  <c r="C1828" i="5"/>
  <c r="N2369" i="2" s="1"/>
  <c r="J2369" i="2" s="1"/>
  <c r="C1830" i="5"/>
  <c r="C1965" i="5"/>
  <c r="N2518" i="2" s="1"/>
  <c r="J2518" i="2" s="1"/>
  <c r="C1996" i="5"/>
  <c r="N2572" i="2" s="1"/>
  <c r="J2572" i="2" s="1"/>
  <c r="C2042" i="5"/>
  <c r="N2645" i="2" s="1"/>
  <c r="J2645" i="2" s="1"/>
  <c r="C2050" i="5"/>
  <c r="N2653" i="2" s="1"/>
  <c r="J2653" i="2" s="1"/>
  <c r="C2054" i="5"/>
  <c r="N2657" i="2" s="1"/>
  <c r="J2657" i="2" s="1"/>
  <c r="C2056" i="5"/>
  <c r="N2659" i="2" s="1"/>
  <c r="J2659" i="2" s="1"/>
  <c r="C2158" i="5"/>
  <c r="N2799" i="2" s="1"/>
  <c r="J2799" i="2" s="1"/>
  <c r="D2217" i="5"/>
  <c r="C2217" i="5" s="1"/>
  <c r="N2894" i="2" s="1"/>
  <c r="J2894" i="2" s="1"/>
  <c r="C2228" i="5"/>
  <c r="C2234" i="5"/>
  <c r="N2940" i="2" s="1"/>
  <c r="J2940" i="2" s="1"/>
  <c r="C2236" i="5"/>
  <c r="N2944" i="2" s="1"/>
  <c r="J2944" i="2" s="1"/>
  <c r="C2242" i="5"/>
  <c r="N2948" i="2" s="1"/>
  <c r="J2948" i="2" s="1"/>
  <c r="N2951" i="2"/>
  <c r="J2951" i="2" s="1"/>
  <c r="C2262" i="5"/>
  <c r="N2968" i="2" s="1"/>
  <c r="J2968" i="2" s="1"/>
  <c r="C2265" i="5"/>
  <c r="N2971" i="2" s="1"/>
  <c r="J2971" i="2" s="1"/>
  <c r="C2267" i="5"/>
  <c r="N2973" i="2" s="1"/>
  <c r="J2973" i="2" s="1"/>
  <c r="D2280" i="5"/>
  <c r="C2277" i="5"/>
  <c r="N2983" i="2" s="1"/>
  <c r="J2983" i="2" s="1"/>
  <c r="C2279" i="5"/>
  <c r="N2985" i="2" s="1"/>
  <c r="J2985" i="2" s="1"/>
  <c r="C2284" i="5"/>
  <c r="N2992" i="2" s="1"/>
  <c r="J2992" i="2" s="1"/>
  <c r="C2286" i="5"/>
  <c r="N2994" i="2" s="1"/>
  <c r="J2994" i="2" s="1"/>
  <c r="C2288" i="5"/>
  <c r="N2996" i="2" s="1"/>
  <c r="J2996" i="2" s="1"/>
  <c r="C2290" i="5"/>
  <c r="N2998" i="2" s="1"/>
  <c r="J2998" i="2" s="1"/>
  <c r="C2291" i="5"/>
  <c r="N3000" i="2" s="1"/>
  <c r="J3000" i="2" s="1"/>
  <c r="C2293" i="5"/>
  <c r="N3002" i="2" s="1"/>
  <c r="J3002" i="2" s="1"/>
  <c r="C2295" i="5"/>
  <c r="N3004" i="2" s="1"/>
  <c r="J3004" i="2" s="1"/>
  <c r="C2297" i="5"/>
  <c r="N3006" i="2" s="1"/>
  <c r="J3006" i="2" s="1"/>
  <c r="C2299" i="5"/>
  <c r="N3008" i="2" s="1"/>
  <c r="J3008" i="2" s="1"/>
  <c r="C2302" i="5"/>
  <c r="C2329" i="5"/>
  <c r="N3038" i="2" s="1"/>
  <c r="J3038" i="2" s="1"/>
  <c r="C2331" i="5"/>
  <c r="N3040" i="2" s="1"/>
  <c r="J3040" i="2" s="1"/>
  <c r="C2336" i="5"/>
  <c r="N3045" i="2" s="1"/>
  <c r="J3045" i="2" s="1"/>
  <c r="C2338" i="5"/>
  <c r="N3047" i="2" s="1"/>
  <c r="J3047" i="2" s="1"/>
  <c r="N3069" i="2"/>
  <c r="J3069" i="2" s="1"/>
  <c r="N3073" i="2"/>
  <c r="J3073" i="2" s="1"/>
  <c r="N3134" i="2"/>
  <c r="J3134" i="2" s="1"/>
  <c r="N3136" i="2"/>
  <c r="J3136" i="2" s="1"/>
  <c r="N3138" i="2"/>
  <c r="J3138" i="2" s="1"/>
  <c r="N3140" i="2"/>
  <c r="J3140" i="2" s="1"/>
  <c r="N3146" i="2"/>
  <c r="J3146" i="2" s="1"/>
  <c r="N3178" i="2"/>
  <c r="J3178" i="2" s="1"/>
  <c r="N3180" i="2"/>
  <c r="J3180" i="2" s="1"/>
  <c r="N3542" i="2"/>
  <c r="J3542" i="2" s="1"/>
  <c r="W135" i="6"/>
  <c r="C134" i="6"/>
  <c r="N3490" i="2"/>
  <c r="J3490" i="2" s="1"/>
  <c r="N3492" i="2"/>
  <c r="J3492" i="2" s="1"/>
  <c r="N3494" i="2"/>
  <c r="J3494" i="2" s="1"/>
  <c r="N3496" i="2"/>
  <c r="J3496" i="2" s="1"/>
  <c r="N3498" i="2"/>
  <c r="J3498" i="2" s="1"/>
  <c r="J3504" i="2"/>
  <c r="N3531" i="2"/>
  <c r="J3531" i="2" s="1"/>
  <c r="N3533" i="2"/>
  <c r="J3533" i="2" s="1"/>
  <c r="C2814" i="5"/>
  <c r="N3685" i="2" s="1"/>
  <c r="J3685" i="2" s="1"/>
  <c r="C117" i="6"/>
  <c r="C212" i="6"/>
  <c r="N668" i="2" s="1"/>
  <c r="J668" i="2" s="1"/>
  <c r="C220" i="6"/>
  <c r="N676" i="2" s="1"/>
  <c r="J676" i="2" s="1"/>
  <c r="C226" i="6"/>
  <c r="N694" i="2" s="1"/>
  <c r="J694" i="2" s="1"/>
  <c r="C306" i="6"/>
  <c r="N1288" i="2" s="1"/>
  <c r="J1288" i="2" s="1"/>
  <c r="C322" i="6"/>
  <c r="N1304" i="2" s="1"/>
  <c r="J1304" i="2" s="1"/>
  <c r="D471" i="6"/>
  <c r="X478" i="6"/>
  <c r="W627" i="6"/>
  <c r="D668" i="6"/>
  <c r="C719" i="6"/>
  <c r="N2286" i="2" s="1"/>
  <c r="J2286" i="2" s="1"/>
  <c r="L804" i="6"/>
  <c r="C1165" i="6"/>
  <c r="N3303" i="2" s="1"/>
  <c r="J3303" i="2" s="1"/>
  <c r="N3421" i="2"/>
  <c r="J3421" i="2" s="1"/>
  <c r="N3424" i="2"/>
  <c r="J3424" i="2" s="1"/>
  <c r="N3439" i="2"/>
  <c r="J3439" i="2" s="1"/>
  <c r="N3548" i="2"/>
  <c r="J3548" i="2" s="1"/>
  <c r="N3552" i="2"/>
  <c r="J3552" i="2" s="1"/>
  <c r="N3556" i="2"/>
  <c r="J3556" i="2" s="1"/>
  <c r="C2752" i="5"/>
  <c r="N3602" i="2" s="1"/>
  <c r="J3602" i="2" s="1"/>
  <c r="C2771" i="5"/>
  <c r="N3629" i="2" s="1"/>
  <c r="J3629" i="2" s="1"/>
  <c r="C2775" i="5"/>
  <c r="N3633" i="2" s="1"/>
  <c r="J3633" i="2" s="1"/>
  <c r="C2779" i="5"/>
  <c r="N3637" i="2" s="1"/>
  <c r="J3637" i="2" s="1"/>
  <c r="C2783" i="5"/>
  <c r="N3641" i="2" s="1"/>
  <c r="J3641" i="2" s="1"/>
  <c r="C2787" i="5"/>
  <c r="N3645" i="2" s="1"/>
  <c r="J3645" i="2" s="1"/>
  <c r="C2791" i="5"/>
  <c r="N3649" i="2" s="1"/>
  <c r="J3649" i="2" s="1"/>
  <c r="C2795" i="5"/>
  <c r="C2799" i="5"/>
  <c r="N3657" i="2" s="1"/>
  <c r="J3657" i="2" s="1"/>
  <c r="C2803" i="5"/>
  <c r="N3661" i="2" s="1"/>
  <c r="J3661" i="2" s="1"/>
  <c r="C2811" i="5"/>
  <c r="N3682" i="2" s="1"/>
  <c r="J3682" i="2" s="1"/>
  <c r="C2813" i="5"/>
  <c r="N3684" i="2" s="1"/>
  <c r="J3684" i="2" s="1"/>
  <c r="C2815" i="5"/>
  <c r="N3686" i="2" s="1"/>
  <c r="J3686" i="2" s="1"/>
  <c r="C2825" i="5"/>
  <c r="N3700" i="2" s="1"/>
  <c r="J3700" i="2" s="1"/>
  <c r="C2827" i="5"/>
  <c r="N3702" i="2" s="1"/>
  <c r="J3702" i="2" s="1"/>
  <c r="G28" i="6"/>
  <c r="K28" i="6"/>
  <c r="O28" i="6"/>
  <c r="F63" i="6"/>
  <c r="F144" i="6" s="1"/>
  <c r="C94" i="6"/>
  <c r="C108" i="6"/>
  <c r="C116" i="6"/>
  <c r="J475" i="2"/>
  <c r="C165" i="6"/>
  <c r="N603" i="2" s="1"/>
  <c r="J603" i="2" s="1"/>
  <c r="D187" i="6"/>
  <c r="C175" i="6"/>
  <c r="N631" i="2" s="1"/>
  <c r="J631" i="2" s="1"/>
  <c r="C183" i="6"/>
  <c r="N639" i="2" s="1"/>
  <c r="J639" i="2" s="1"/>
  <c r="C211" i="6"/>
  <c r="N667" i="2" s="1"/>
  <c r="J667" i="2" s="1"/>
  <c r="C219" i="6"/>
  <c r="N675" i="2" s="1"/>
  <c r="J675" i="2" s="1"/>
  <c r="C292" i="6"/>
  <c r="N1269" i="2" s="1"/>
  <c r="J1269" i="2" s="1"/>
  <c r="C303" i="6"/>
  <c r="N1285" i="2" s="1"/>
  <c r="J1285" i="2" s="1"/>
  <c r="C307" i="6"/>
  <c r="N1289" i="2" s="1"/>
  <c r="J1289" i="2" s="1"/>
  <c r="C309" i="6"/>
  <c r="N1291" i="2" s="1"/>
  <c r="J1291" i="2" s="1"/>
  <c r="C311" i="6"/>
  <c r="N1293" i="2" s="1"/>
  <c r="J1293" i="2" s="1"/>
  <c r="C318" i="6"/>
  <c r="N1300" i="2" s="1"/>
  <c r="J1300" i="2" s="1"/>
  <c r="C328" i="6"/>
  <c r="N1310" i="2" s="1"/>
  <c r="J1310" i="2" s="1"/>
  <c r="C334" i="6"/>
  <c r="N1316" i="2" s="1"/>
  <c r="J1316" i="2" s="1"/>
  <c r="C342" i="6"/>
  <c r="C352" i="6"/>
  <c r="N1335" i="2" s="1"/>
  <c r="J1335" i="2" s="1"/>
  <c r="C354" i="6"/>
  <c r="N1337" i="2" s="1"/>
  <c r="J1337" i="2" s="1"/>
  <c r="R423" i="6"/>
  <c r="R449" i="6" s="1"/>
  <c r="D441" i="6"/>
  <c r="C501" i="6"/>
  <c r="N2038" i="2" s="1"/>
  <c r="J2038" i="2" s="1"/>
  <c r="C503" i="6"/>
  <c r="N2040" i="2" s="1"/>
  <c r="J2040" i="2" s="1"/>
  <c r="C528" i="6"/>
  <c r="N2077" i="2" s="1"/>
  <c r="J2077" i="2" s="1"/>
  <c r="C532" i="6"/>
  <c r="N2081" i="2" s="1"/>
  <c r="J2081" i="2" s="1"/>
  <c r="C534" i="6"/>
  <c r="N2083" i="2" s="1"/>
  <c r="J2083" i="2" s="1"/>
  <c r="C582" i="6"/>
  <c r="N2131" i="2" s="1"/>
  <c r="J2131" i="2" s="1"/>
  <c r="C585" i="6"/>
  <c r="N2134" i="2" s="1"/>
  <c r="J2134" i="2" s="1"/>
  <c r="C646" i="6"/>
  <c r="N2200" i="2" s="1"/>
  <c r="J2200" i="2" s="1"/>
  <c r="C664" i="6"/>
  <c r="N2222" i="2" s="1"/>
  <c r="J2222" i="2" s="1"/>
  <c r="C666" i="6"/>
  <c r="N2224" i="2" s="1"/>
  <c r="J2224" i="2" s="1"/>
  <c r="C705" i="6"/>
  <c r="C707" i="6"/>
  <c r="N2273" i="2" s="1"/>
  <c r="J2273" i="2" s="1"/>
  <c r="C720" i="6"/>
  <c r="N2287" i="2" s="1"/>
  <c r="J2287" i="2" s="1"/>
  <c r="C722" i="6"/>
  <c r="N2289" i="2" s="1"/>
  <c r="J2289" i="2" s="1"/>
  <c r="C724" i="6"/>
  <c r="N2291" i="2" s="1"/>
  <c r="J2291" i="2" s="1"/>
  <c r="C726" i="6"/>
  <c r="N2293" i="2" s="1"/>
  <c r="J2293" i="2" s="1"/>
  <c r="C733" i="6"/>
  <c r="N2300" i="2" s="1"/>
  <c r="J2300" i="2" s="1"/>
  <c r="C743" i="6"/>
  <c r="N2310" i="2" s="1"/>
  <c r="J2310" i="2" s="1"/>
  <c r="C745" i="6"/>
  <c r="N2312" i="2" s="1"/>
  <c r="J2312" i="2" s="1"/>
  <c r="C747" i="6"/>
  <c r="N2314" i="2" s="1"/>
  <c r="J2314" i="2" s="1"/>
  <c r="C751" i="6"/>
  <c r="N2318" i="2" s="1"/>
  <c r="J2318" i="2" s="1"/>
  <c r="C761" i="6"/>
  <c r="C1128" i="6"/>
  <c r="N3265" i="2" s="1"/>
  <c r="J3265" i="2" s="1"/>
  <c r="N3397" i="2"/>
  <c r="J3397" i="2" s="1"/>
  <c r="N3401" i="2"/>
  <c r="J3401" i="2" s="1"/>
  <c r="N3405" i="2"/>
  <c r="J3405" i="2" s="1"/>
  <c r="N3414" i="2"/>
  <c r="J3414" i="2" s="1"/>
  <c r="N3442" i="2"/>
  <c r="J3442" i="2" s="1"/>
  <c r="N3444" i="2"/>
  <c r="J3444" i="2" s="1"/>
  <c r="N3446" i="2"/>
  <c r="J3446" i="2" s="1"/>
  <c r="C31" i="6"/>
  <c r="N192" i="2" s="1"/>
  <c r="D45" i="6"/>
  <c r="C127" i="6"/>
  <c r="C167" i="6"/>
  <c r="N606" i="2" s="1"/>
  <c r="J606" i="2" s="1"/>
  <c r="C179" i="6"/>
  <c r="N635" i="2" s="1"/>
  <c r="J635" i="2" s="1"/>
  <c r="C323" i="6"/>
  <c r="N1305" i="2" s="1"/>
  <c r="J1305" i="2" s="1"/>
  <c r="R753" i="6"/>
  <c r="F753" i="6"/>
  <c r="T804" i="6"/>
  <c r="C839" i="6"/>
  <c r="C840" i="6" s="1"/>
  <c r="D840" i="6"/>
  <c r="W981" i="6"/>
  <c r="C794" i="6"/>
  <c r="D813" i="6"/>
  <c r="C1045" i="6"/>
  <c r="N3099" i="2" s="1"/>
  <c r="J3099" i="2" s="1"/>
  <c r="C1082" i="6"/>
  <c r="N3218" i="2" s="1"/>
  <c r="J3218" i="2" s="1"/>
  <c r="C1090" i="6"/>
  <c r="N3226" i="2" s="1"/>
  <c r="J3226" i="2" s="1"/>
  <c r="C1126" i="6"/>
  <c r="N3263" i="2" s="1"/>
  <c r="J3263" i="2" s="1"/>
  <c r="C1133" i="6"/>
  <c r="N3270" i="2" s="1"/>
  <c r="J3270" i="2" s="1"/>
  <c r="C1151" i="6"/>
  <c r="N3289" i="2" s="1"/>
  <c r="J3289" i="2" s="1"/>
  <c r="C1153" i="6"/>
  <c r="N3291" i="2" s="1"/>
  <c r="J3291" i="2" s="1"/>
  <c r="C1158" i="6"/>
  <c r="N3296" i="2" s="1"/>
  <c r="J3296" i="2" s="1"/>
  <c r="C1163" i="6"/>
  <c r="N3301" i="2" s="1"/>
  <c r="J3301" i="2" s="1"/>
  <c r="C1177" i="6"/>
  <c r="N3315" i="2" s="1"/>
  <c r="J3315" i="2" s="1"/>
  <c r="C1179" i="6"/>
  <c r="N3317" i="2" s="1"/>
  <c r="J3317" i="2" s="1"/>
  <c r="C1194" i="6"/>
  <c r="N3333" i="2" s="1"/>
  <c r="J3333" i="2" s="1"/>
  <c r="W1319" i="6"/>
  <c r="C780" i="6"/>
  <c r="N2423" i="2" s="1"/>
  <c r="J2423" i="2" s="1"/>
  <c r="C782" i="6"/>
  <c r="C793" i="6"/>
  <c r="N2462" i="2" s="1"/>
  <c r="J2462" i="2" s="1"/>
  <c r="C797" i="6"/>
  <c r="D830" i="6"/>
  <c r="C861" i="6"/>
  <c r="N2585" i="2" s="1"/>
  <c r="J2585" i="2" s="1"/>
  <c r="C863" i="6"/>
  <c r="N2587" i="2" s="1"/>
  <c r="J2587" i="2" s="1"/>
  <c r="C865" i="6"/>
  <c r="N2589" i="2" s="1"/>
  <c r="J2589" i="2" s="1"/>
  <c r="C877" i="6"/>
  <c r="N2608" i="2" s="1"/>
  <c r="J2608" i="2" s="1"/>
  <c r="C991" i="6"/>
  <c r="N2892" i="2" s="1"/>
  <c r="J2892" i="2" s="1"/>
  <c r="C1014" i="6"/>
  <c r="N2919" i="2" s="1"/>
  <c r="J2919" i="2" s="1"/>
  <c r="C1021" i="6"/>
  <c r="N2926" i="2" s="1"/>
  <c r="J2926" i="2" s="1"/>
  <c r="C1023" i="6"/>
  <c r="N2928" i="2" s="1"/>
  <c r="J2928" i="2" s="1"/>
  <c r="C1026" i="6"/>
  <c r="N2934" i="2" s="1"/>
  <c r="J2934" i="2" s="1"/>
  <c r="C1057" i="6"/>
  <c r="N3193" i="2" s="1"/>
  <c r="J3193" i="2" s="1"/>
  <c r="C1094" i="6"/>
  <c r="N3231" i="2" s="1"/>
  <c r="J3231" i="2" s="1"/>
  <c r="C1125" i="6"/>
  <c r="N3262" i="2" s="1"/>
  <c r="J3262" i="2" s="1"/>
  <c r="C1140" i="6"/>
  <c r="N3277" i="2" s="1"/>
  <c r="J3277" i="2" s="1"/>
  <c r="C1170" i="6"/>
  <c r="N3308" i="2" s="1"/>
  <c r="J3308" i="2" s="1"/>
  <c r="C1183" i="6"/>
  <c r="N3321" i="2" s="1"/>
  <c r="J3321" i="2" s="1"/>
  <c r="C1186" i="6"/>
  <c r="N3325" i="2" s="1"/>
  <c r="J3325" i="2" s="1"/>
  <c r="H804" i="6"/>
  <c r="P804" i="6"/>
  <c r="C813" i="6"/>
  <c r="C851" i="6"/>
  <c r="N2564" i="2" s="1"/>
  <c r="J2564" i="2" s="1"/>
  <c r="C961" i="6"/>
  <c r="N2855" i="2" s="1"/>
  <c r="J2855" i="2" s="1"/>
  <c r="C963" i="6"/>
  <c r="N2857" i="2" s="1"/>
  <c r="J2857" i="2" s="1"/>
  <c r="C965" i="6"/>
  <c r="N2859" i="2" s="1"/>
  <c r="J2859" i="2" s="1"/>
  <c r="C975" i="6"/>
  <c r="N2872" i="2" s="1"/>
  <c r="J2872" i="2" s="1"/>
  <c r="C1111" i="6"/>
  <c r="N3248" i="2" s="1"/>
  <c r="J3248" i="2" s="1"/>
  <c r="C1113" i="6"/>
  <c r="N3250" i="2" s="1"/>
  <c r="J3250" i="2" s="1"/>
  <c r="C1115" i="6"/>
  <c r="C1122" i="6"/>
  <c r="N3259" i="2" s="1"/>
  <c r="J3259" i="2" s="1"/>
  <c r="C1134" i="6"/>
  <c r="N3271" i="2" s="1"/>
  <c r="J3271" i="2" s="1"/>
  <c r="C1164" i="6"/>
  <c r="N3302" i="2" s="1"/>
  <c r="J3302" i="2" s="1"/>
  <c r="C1190" i="6"/>
  <c r="N3329" i="2" s="1"/>
  <c r="J3329" i="2" s="1"/>
  <c r="P824" i="4"/>
  <c r="C14" i="5"/>
  <c r="C16" i="5"/>
  <c r="P161" i="5"/>
  <c r="C47" i="5"/>
  <c r="C50" i="5"/>
  <c r="C53" i="5"/>
  <c r="C66" i="5"/>
  <c r="C79" i="5"/>
  <c r="C87" i="5"/>
  <c r="C89" i="5"/>
  <c r="C91" i="5"/>
  <c r="C93" i="5"/>
  <c r="C95" i="5"/>
  <c r="C121" i="5"/>
  <c r="C137" i="5"/>
  <c r="C148" i="5"/>
  <c r="W175" i="5"/>
  <c r="C214" i="5"/>
  <c r="C221" i="5"/>
  <c r="C229" i="5"/>
  <c r="C235" i="5"/>
  <c r="C244" i="5"/>
  <c r="N303" i="2" s="1"/>
  <c r="C248" i="5"/>
  <c r="C251" i="5"/>
  <c r="C270" i="5"/>
  <c r="C286" i="5"/>
  <c r="C290" i="5"/>
  <c r="C298" i="5"/>
  <c r="C313" i="5"/>
  <c r="C318" i="5"/>
  <c r="C320" i="5"/>
  <c r="C323" i="5"/>
  <c r="C325" i="5"/>
  <c r="C327" i="5"/>
  <c r="C329" i="5"/>
  <c r="C333" i="5"/>
  <c r="C342" i="5"/>
  <c r="C349" i="5"/>
  <c r="D351" i="5"/>
  <c r="C351" i="5" s="1"/>
  <c r="C359" i="5"/>
  <c r="C363" i="5"/>
  <c r="C370" i="5"/>
  <c r="C376" i="5"/>
  <c r="C389" i="5"/>
  <c r="C411" i="5"/>
  <c r="E413" i="5"/>
  <c r="E414" i="5" s="1"/>
  <c r="C449" i="5"/>
  <c r="N546" i="2" s="1"/>
  <c r="J546" i="2" s="1"/>
  <c r="C474" i="5"/>
  <c r="N571" i="2" s="1"/>
  <c r="J571" i="2" s="1"/>
  <c r="C520" i="5"/>
  <c r="N680" i="2" s="1"/>
  <c r="J680" i="2" s="1"/>
  <c r="C522" i="5"/>
  <c r="N682" i="2" s="1"/>
  <c r="J682" i="2" s="1"/>
  <c r="C525" i="5"/>
  <c r="N685" i="2" s="1"/>
  <c r="J685" i="2" s="1"/>
  <c r="C545" i="5"/>
  <c r="N707" i="2" s="1"/>
  <c r="J707" i="2" s="1"/>
  <c r="C770" i="5"/>
  <c r="N936" i="2" s="1"/>
  <c r="J936" i="2" s="1"/>
  <c r="C776" i="5"/>
  <c r="N942" i="2" s="1"/>
  <c r="J942" i="2" s="1"/>
  <c r="C778" i="5"/>
  <c r="N944" i="2" s="1"/>
  <c r="J944" i="2" s="1"/>
  <c r="C787" i="5"/>
  <c r="N953" i="2" s="1"/>
  <c r="J953" i="2" s="1"/>
  <c r="C789" i="5"/>
  <c r="N955" i="2" s="1"/>
  <c r="J955" i="2" s="1"/>
  <c r="C799" i="5"/>
  <c r="N965" i="2" s="1"/>
  <c r="J965" i="2" s="1"/>
  <c r="C801" i="5"/>
  <c r="N967" i="2" s="1"/>
  <c r="J967" i="2" s="1"/>
  <c r="C803" i="5"/>
  <c r="N969" i="2" s="1"/>
  <c r="J969" i="2" s="1"/>
  <c r="C805" i="5"/>
  <c r="N971" i="2" s="1"/>
  <c r="J971" i="2" s="1"/>
  <c r="C807" i="5"/>
  <c r="N973" i="2" s="1"/>
  <c r="J973" i="2" s="1"/>
  <c r="C810" i="5"/>
  <c r="N976" i="2" s="1"/>
  <c r="J976" i="2" s="1"/>
  <c r="C812" i="5"/>
  <c r="N978" i="2" s="1"/>
  <c r="J978" i="2" s="1"/>
  <c r="C823" i="5"/>
  <c r="N989" i="2" s="1"/>
  <c r="J989" i="2" s="1"/>
  <c r="C827" i="5"/>
  <c r="N993" i="2" s="1"/>
  <c r="J993" i="2" s="1"/>
  <c r="C829" i="5"/>
  <c r="N995" i="2" s="1"/>
  <c r="J995" i="2" s="1"/>
  <c r="C831" i="5"/>
  <c r="N997" i="2" s="1"/>
  <c r="J997" i="2" s="1"/>
  <c r="C833" i="5"/>
  <c r="N999" i="2" s="1"/>
  <c r="J999" i="2" s="1"/>
  <c r="C835" i="5"/>
  <c r="N1001" i="2" s="1"/>
  <c r="J1001" i="2" s="1"/>
  <c r="C837" i="5"/>
  <c r="N1003" i="2" s="1"/>
  <c r="J1003" i="2" s="1"/>
  <c r="C839" i="5"/>
  <c r="N1005" i="2" s="1"/>
  <c r="J1005" i="2" s="1"/>
  <c r="C841" i="5"/>
  <c r="N1007" i="2" s="1"/>
  <c r="J1007" i="2" s="1"/>
  <c r="C875" i="5"/>
  <c r="N1041" i="2" s="1"/>
  <c r="J1041" i="2" s="1"/>
  <c r="C1185" i="5"/>
  <c r="N1445" i="2" s="1"/>
  <c r="J1445" i="2" s="1"/>
  <c r="C1336" i="5"/>
  <c r="N1603" i="2" s="1"/>
  <c r="J1603" i="2" s="1"/>
  <c r="W1632" i="5"/>
  <c r="W2850" i="5"/>
  <c r="I242" i="5"/>
  <c r="C317" i="5"/>
  <c r="C380" i="5"/>
  <c r="C519" i="5"/>
  <c r="N679" i="2" s="1"/>
  <c r="C1241" i="5"/>
  <c r="N1503" i="2" s="1"/>
  <c r="J1503" i="2" s="1"/>
  <c r="C1289" i="5"/>
  <c r="N1553" i="2" s="1"/>
  <c r="J1553" i="2" s="1"/>
  <c r="C1573" i="5"/>
  <c r="N1842" i="2" s="1"/>
  <c r="J1842" i="2" s="1"/>
  <c r="C1859" i="5"/>
  <c r="N2400" i="2" s="1"/>
  <c r="J2400" i="2" s="1"/>
  <c r="C22" i="5"/>
  <c r="C52" i="5"/>
  <c r="C86" i="5"/>
  <c r="C88" i="5"/>
  <c r="C90" i="5"/>
  <c r="C92" i="5"/>
  <c r="C94" i="5"/>
  <c r="C96" i="5"/>
  <c r="C115" i="5"/>
  <c r="U161" i="5"/>
  <c r="C128" i="5"/>
  <c r="C136" i="5"/>
  <c r="C147" i="5"/>
  <c r="J161" i="5"/>
  <c r="C158" i="5"/>
  <c r="N199" i="2"/>
  <c r="W206" i="5"/>
  <c r="D206" i="5"/>
  <c r="C213" i="5"/>
  <c r="C247" i="5"/>
  <c r="C257" i="5"/>
  <c r="C275" i="5"/>
  <c r="C280" i="5"/>
  <c r="C295" i="5"/>
  <c r="C303" i="5"/>
  <c r="C306" i="5"/>
  <c r="C319" i="5"/>
  <c r="C341" i="5"/>
  <c r="C346" i="5"/>
  <c r="C360" i="5"/>
  <c r="C371" i="5"/>
  <c r="C373" i="5"/>
  <c r="C377" i="5"/>
  <c r="C477" i="5"/>
  <c r="N574" i="2" s="1"/>
  <c r="J574" i="2" s="1"/>
  <c r="D527" i="5"/>
  <c r="W611" i="5"/>
  <c r="C632" i="5"/>
  <c r="N796" i="2" s="1"/>
  <c r="J796" i="2" s="1"/>
  <c r="D653" i="5"/>
  <c r="C652" i="5"/>
  <c r="N817" i="2" s="1"/>
  <c r="J817" i="2" s="1"/>
  <c r="C729" i="5"/>
  <c r="N895" i="2" s="1"/>
  <c r="J895" i="2" s="1"/>
  <c r="C733" i="5"/>
  <c r="N899" i="2" s="1"/>
  <c r="J899" i="2" s="1"/>
  <c r="C740" i="5"/>
  <c r="N906" i="2" s="1"/>
  <c r="J906" i="2" s="1"/>
  <c r="C769" i="5"/>
  <c r="N935" i="2" s="1"/>
  <c r="J935" i="2" s="1"/>
  <c r="C771" i="5"/>
  <c r="N937" i="2" s="1"/>
  <c r="J937" i="2" s="1"/>
  <c r="C775" i="5"/>
  <c r="N941" i="2" s="1"/>
  <c r="J941" i="2" s="1"/>
  <c r="C779" i="5"/>
  <c r="N945" i="2" s="1"/>
  <c r="J945" i="2" s="1"/>
  <c r="C781" i="5"/>
  <c r="N947" i="2" s="1"/>
  <c r="J947" i="2" s="1"/>
  <c r="C788" i="5"/>
  <c r="N954" i="2" s="1"/>
  <c r="J954" i="2" s="1"/>
  <c r="C811" i="5"/>
  <c r="N977" i="2" s="1"/>
  <c r="J977" i="2" s="1"/>
  <c r="C822" i="5"/>
  <c r="N988" i="2" s="1"/>
  <c r="J988" i="2" s="1"/>
  <c r="C851" i="5"/>
  <c r="N1017" i="2" s="1"/>
  <c r="J1017" i="2" s="1"/>
  <c r="C872" i="5"/>
  <c r="N1038" i="2" s="1"/>
  <c r="J1038" i="2" s="1"/>
  <c r="C892" i="5"/>
  <c r="N1058" i="2" s="1"/>
  <c r="J1058" i="2" s="1"/>
  <c r="C894" i="5"/>
  <c r="N1060" i="2" s="1"/>
  <c r="J1060" i="2" s="1"/>
  <c r="C900" i="5"/>
  <c r="N1066" i="2" s="1"/>
  <c r="J1066" i="2" s="1"/>
  <c r="C902" i="5"/>
  <c r="N1068" i="2" s="1"/>
  <c r="J1068" i="2" s="1"/>
  <c r="C904" i="5"/>
  <c r="N1070" i="2" s="1"/>
  <c r="J1070" i="2" s="1"/>
  <c r="C908" i="5"/>
  <c r="N1074" i="2" s="1"/>
  <c r="J1074" i="2" s="1"/>
  <c r="C910" i="5"/>
  <c r="N1076" i="2" s="1"/>
  <c r="J1076" i="2" s="1"/>
  <c r="C912" i="5"/>
  <c r="N1078" i="2" s="1"/>
  <c r="J1078" i="2" s="1"/>
  <c r="C914" i="5"/>
  <c r="N1080" i="2" s="1"/>
  <c r="J1080" i="2" s="1"/>
  <c r="W996" i="5"/>
  <c r="U1574" i="5"/>
  <c r="C1217" i="5"/>
  <c r="N1478" i="2" s="1"/>
  <c r="J1478" i="2" s="1"/>
  <c r="C1252" i="5"/>
  <c r="N1514" i="2" s="1"/>
  <c r="J1514" i="2" s="1"/>
  <c r="C1431" i="5"/>
  <c r="N1700" i="2" s="1"/>
  <c r="J1700" i="2" s="1"/>
  <c r="N1915" i="2"/>
  <c r="J1915" i="2" s="1"/>
  <c r="D1742" i="5"/>
  <c r="C1742" i="5" s="1"/>
  <c r="N2217" i="2" s="1"/>
  <c r="J2217" i="2" s="1"/>
  <c r="C1819" i="5"/>
  <c r="N2360" i="2" s="1"/>
  <c r="J2360" i="2" s="1"/>
  <c r="C1827" i="5"/>
  <c r="N2368" i="2" s="1"/>
  <c r="J2368" i="2" s="1"/>
  <c r="D1837" i="5"/>
  <c r="C1837" i="5" s="1"/>
  <c r="N2378" i="2" s="1"/>
  <c r="J2378" i="2" s="1"/>
  <c r="N1092" i="2"/>
  <c r="J1092" i="2" s="1"/>
  <c r="N1105" i="2"/>
  <c r="J1105" i="2" s="1"/>
  <c r="C940" i="5"/>
  <c r="N1107" i="2" s="1"/>
  <c r="J1107" i="2" s="1"/>
  <c r="C951" i="5"/>
  <c r="N1122" i="2" s="1"/>
  <c r="J1122" i="2" s="1"/>
  <c r="C953" i="5"/>
  <c r="N1124" i="2" s="1"/>
  <c r="J1124" i="2" s="1"/>
  <c r="C965" i="5"/>
  <c r="N1137" i="2" s="1"/>
  <c r="J1137" i="2" s="1"/>
  <c r="C990" i="5"/>
  <c r="N1164" i="2" s="1"/>
  <c r="J1164" i="2" s="1"/>
  <c r="C1073" i="5"/>
  <c r="N1254" i="2" s="1"/>
  <c r="J1254" i="2" s="1"/>
  <c r="C1077" i="5"/>
  <c r="N1258" i="2" s="1"/>
  <c r="J1258" i="2" s="1"/>
  <c r="C1129" i="5"/>
  <c r="N1385" i="2" s="1"/>
  <c r="J1385" i="2" s="1"/>
  <c r="C1133" i="5"/>
  <c r="N1389" i="2" s="1"/>
  <c r="J1389" i="2" s="1"/>
  <c r="C1137" i="5"/>
  <c r="N1393" i="2" s="1"/>
  <c r="J1393" i="2" s="1"/>
  <c r="C1141" i="5"/>
  <c r="N1397" i="2" s="1"/>
  <c r="J1397" i="2" s="1"/>
  <c r="C1152" i="5"/>
  <c r="N1408" i="2" s="1"/>
  <c r="J1408" i="2" s="1"/>
  <c r="C1169" i="5"/>
  <c r="N1425" i="2" s="1"/>
  <c r="J1425" i="2" s="1"/>
  <c r="C1179" i="5"/>
  <c r="N1436" i="2" s="1"/>
  <c r="J1436" i="2" s="1"/>
  <c r="C1190" i="5"/>
  <c r="N1451" i="2" s="1"/>
  <c r="J1451" i="2" s="1"/>
  <c r="C1194" i="5"/>
  <c r="N1455" i="2" s="1"/>
  <c r="J1455" i="2" s="1"/>
  <c r="C1203" i="5"/>
  <c r="N1464" i="2" s="1"/>
  <c r="J1464" i="2" s="1"/>
  <c r="C1209" i="5"/>
  <c r="N1470" i="2" s="1"/>
  <c r="J1470" i="2" s="1"/>
  <c r="C1214" i="5"/>
  <c r="C1239" i="5"/>
  <c r="N1501" i="2" s="1"/>
  <c r="J1501" i="2" s="1"/>
  <c r="C1244" i="5"/>
  <c r="N1506" i="2" s="1"/>
  <c r="J1506" i="2" s="1"/>
  <c r="C1246" i="5"/>
  <c r="N1508" i="2" s="1"/>
  <c r="J1508" i="2" s="1"/>
  <c r="C1248" i="5"/>
  <c r="N1510" i="2" s="1"/>
  <c r="J1510" i="2" s="1"/>
  <c r="C1255" i="5"/>
  <c r="N1517" i="2" s="1"/>
  <c r="J1517" i="2" s="1"/>
  <c r="N1533" i="2"/>
  <c r="J1533" i="2" s="1"/>
  <c r="C1286" i="5"/>
  <c r="N1550" i="2" s="1"/>
  <c r="J1550" i="2" s="1"/>
  <c r="C1292" i="5"/>
  <c r="N1556" i="2" s="1"/>
  <c r="J1556" i="2" s="1"/>
  <c r="C1299" i="5"/>
  <c r="N1564" i="2" s="1"/>
  <c r="J1564" i="2" s="1"/>
  <c r="C1307" i="5"/>
  <c r="N1572" i="2" s="1"/>
  <c r="J1572" i="2" s="1"/>
  <c r="C1310" i="5"/>
  <c r="N1576" i="2" s="1"/>
  <c r="J1576" i="2" s="1"/>
  <c r="C1320" i="5"/>
  <c r="N1587" i="2" s="1"/>
  <c r="J1587" i="2" s="1"/>
  <c r="C1323" i="5"/>
  <c r="C1325" i="5"/>
  <c r="N1592" i="2" s="1"/>
  <c r="J1592" i="2" s="1"/>
  <c r="C1328" i="5"/>
  <c r="N1595" i="2" s="1"/>
  <c r="J1595" i="2" s="1"/>
  <c r="C1351" i="5"/>
  <c r="N1618" i="2" s="1"/>
  <c r="J1618" i="2" s="1"/>
  <c r="C1353" i="5"/>
  <c r="N1620" i="2" s="1"/>
  <c r="J1620" i="2" s="1"/>
  <c r="C1362" i="5"/>
  <c r="N1629" i="2" s="1"/>
  <c r="J1629" i="2" s="1"/>
  <c r="C1383" i="5"/>
  <c r="N1649" i="2" s="1"/>
  <c r="J1649" i="2" s="1"/>
  <c r="C1388" i="5"/>
  <c r="N1654" i="2" s="1"/>
  <c r="J1654" i="2" s="1"/>
  <c r="C1398" i="5"/>
  <c r="N1665" i="2" s="1"/>
  <c r="J1665" i="2" s="1"/>
  <c r="C1420" i="5"/>
  <c r="N1689" i="2" s="1"/>
  <c r="J1689" i="2" s="1"/>
  <c r="C1427" i="5"/>
  <c r="N1696" i="2" s="1"/>
  <c r="J1696" i="2" s="1"/>
  <c r="C1429" i="5"/>
  <c r="N1698" i="2" s="1"/>
  <c r="J1698" i="2" s="1"/>
  <c r="C1436" i="5"/>
  <c r="C1449" i="5"/>
  <c r="N1717" i="2" s="1"/>
  <c r="J1717" i="2" s="1"/>
  <c r="C1457" i="5"/>
  <c r="N1725" i="2" s="1"/>
  <c r="J1725" i="2" s="1"/>
  <c r="C1465" i="5"/>
  <c r="N1733" i="2" s="1"/>
  <c r="J1733" i="2" s="1"/>
  <c r="C1478" i="5"/>
  <c r="N1747" i="2" s="1"/>
  <c r="J1747" i="2" s="1"/>
  <c r="C1502" i="5"/>
  <c r="N1771" i="2" s="1"/>
  <c r="J1771" i="2" s="1"/>
  <c r="C1509" i="5"/>
  <c r="N1778" i="2" s="1"/>
  <c r="J1778" i="2" s="1"/>
  <c r="C1516" i="5"/>
  <c r="N1785" i="2" s="1"/>
  <c r="J1785" i="2" s="1"/>
  <c r="C1523" i="5"/>
  <c r="N1792" i="2" s="1"/>
  <c r="J1792" i="2" s="1"/>
  <c r="C1536" i="5"/>
  <c r="N1805" i="2" s="1"/>
  <c r="J1805" i="2" s="1"/>
  <c r="C1547" i="5"/>
  <c r="N1816" i="2" s="1"/>
  <c r="J1816" i="2" s="1"/>
  <c r="C1550" i="5"/>
  <c r="N1819" i="2" s="1"/>
  <c r="J1819" i="2" s="1"/>
  <c r="C1552" i="5"/>
  <c r="N1821" i="2" s="1"/>
  <c r="J1821" i="2" s="1"/>
  <c r="C1608" i="5"/>
  <c r="N1895" i="2" s="1"/>
  <c r="J1895" i="2" s="1"/>
  <c r="C1611" i="5"/>
  <c r="N1898" i="2" s="1"/>
  <c r="J1898" i="2" s="1"/>
  <c r="N1916" i="2"/>
  <c r="J1916" i="2" s="1"/>
  <c r="C1639" i="5"/>
  <c r="N1926" i="2" s="1"/>
  <c r="J1926" i="2" s="1"/>
  <c r="C1641" i="5"/>
  <c r="N1928" i="2" s="1"/>
  <c r="J1928" i="2" s="1"/>
  <c r="C1646" i="5"/>
  <c r="N1933" i="2" s="1"/>
  <c r="J1933" i="2" s="1"/>
  <c r="C1648" i="5"/>
  <c r="N1935" i="2" s="1"/>
  <c r="J1935" i="2" s="1"/>
  <c r="C1649" i="5"/>
  <c r="N1937" i="2" s="1"/>
  <c r="J1937" i="2" s="1"/>
  <c r="N1939" i="2"/>
  <c r="J1939" i="2" s="1"/>
  <c r="N1960" i="2"/>
  <c r="J1960" i="2" s="1"/>
  <c r="N1962" i="2"/>
  <c r="J1962" i="2" s="1"/>
  <c r="C1669" i="5"/>
  <c r="N1991" i="2"/>
  <c r="J1991" i="2" s="1"/>
  <c r="C1721" i="5"/>
  <c r="N2147" i="2" s="1"/>
  <c r="J2147" i="2" s="1"/>
  <c r="C1745" i="5"/>
  <c r="N2226" i="2" s="1"/>
  <c r="J2226" i="2" s="1"/>
  <c r="C1794" i="5"/>
  <c r="N2335" i="2" s="1"/>
  <c r="J2335" i="2" s="1"/>
  <c r="C1805" i="5"/>
  <c r="N2346" i="2" s="1"/>
  <c r="J2346" i="2" s="1"/>
  <c r="C1817" i="5"/>
  <c r="N2358" i="2" s="1"/>
  <c r="J2358" i="2" s="1"/>
  <c r="D1842" i="5"/>
  <c r="C1848" i="5"/>
  <c r="N2389" i="2" s="1"/>
  <c r="J2389" i="2" s="1"/>
  <c r="C1853" i="5"/>
  <c r="N2394" i="2" s="1"/>
  <c r="J2394" i="2" s="1"/>
  <c r="C1935" i="5"/>
  <c r="N2477" i="2" s="1"/>
  <c r="J2477" i="2" s="1"/>
  <c r="C1963" i="5"/>
  <c r="N2516" i="2" s="1"/>
  <c r="J2516" i="2" s="1"/>
  <c r="W2160" i="5"/>
  <c r="W2168" i="5"/>
  <c r="D2177" i="5"/>
  <c r="I2475" i="5"/>
  <c r="M2475" i="5"/>
  <c r="N3538" i="2"/>
  <c r="J3538" i="2" s="1"/>
  <c r="W967" i="5"/>
  <c r="C932" i="5"/>
  <c r="N1098" i="2" s="1"/>
  <c r="J1098" i="2" s="1"/>
  <c r="C934" i="5"/>
  <c r="N1100" i="2" s="1"/>
  <c r="J1100" i="2" s="1"/>
  <c r="C936" i="5"/>
  <c r="N1102" i="2" s="1"/>
  <c r="J1102" i="2" s="1"/>
  <c r="N1104" i="2"/>
  <c r="J1104" i="2" s="1"/>
  <c r="C947" i="5"/>
  <c r="N1114" i="2" s="1"/>
  <c r="J1114" i="2" s="1"/>
  <c r="C958" i="5"/>
  <c r="N1130" i="2" s="1"/>
  <c r="J1130" i="2" s="1"/>
  <c r="C960" i="5"/>
  <c r="N1132" i="2" s="1"/>
  <c r="J1132" i="2" s="1"/>
  <c r="C962" i="5"/>
  <c r="N1134" i="2" s="1"/>
  <c r="J1134" i="2" s="1"/>
  <c r="C964" i="5"/>
  <c r="N1136" i="2" s="1"/>
  <c r="J1136" i="2" s="1"/>
  <c r="C991" i="5"/>
  <c r="N1165" i="2" s="1"/>
  <c r="J1165" i="2" s="1"/>
  <c r="C994" i="5"/>
  <c r="N1168" i="2" s="1"/>
  <c r="J1168" i="2" s="1"/>
  <c r="C1001" i="5"/>
  <c r="N1181" i="2" s="1"/>
  <c r="J1181" i="2" s="1"/>
  <c r="C1009" i="5"/>
  <c r="N1189" i="2" s="1"/>
  <c r="J1189" i="2" s="1"/>
  <c r="C1013" i="5"/>
  <c r="N1193" i="2" s="1"/>
  <c r="J1193" i="2" s="1"/>
  <c r="C1017" i="5"/>
  <c r="N1197" i="2" s="1"/>
  <c r="J1197" i="2" s="1"/>
  <c r="C1021" i="5"/>
  <c r="N1201" i="2" s="1"/>
  <c r="J1201" i="2" s="1"/>
  <c r="C1025" i="5"/>
  <c r="N1205" i="2" s="1"/>
  <c r="J1205" i="2" s="1"/>
  <c r="N1207" i="2"/>
  <c r="J1207" i="2" s="1"/>
  <c r="C1050" i="5"/>
  <c r="N1231" i="2" s="1"/>
  <c r="J1231" i="2" s="1"/>
  <c r="C1052" i="5"/>
  <c r="N1233" i="2" s="1"/>
  <c r="J1233" i="2" s="1"/>
  <c r="C1054" i="5"/>
  <c r="N1235" i="2" s="1"/>
  <c r="J1235" i="2" s="1"/>
  <c r="C1056" i="5"/>
  <c r="N1237" i="2" s="1"/>
  <c r="J1237" i="2" s="1"/>
  <c r="C1058" i="5"/>
  <c r="N1239" i="2" s="1"/>
  <c r="J1239" i="2" s="1"/>
  <c r="C1060" i="5"/>
  <c r="N1241" i="2" s="1"/>
  <c r="J1241" i="2" s="1"/>
  <c r="C1062" i="5"/>
  <c r="N1243" i="2" s="1"/>
  <c r="J1243" i="2" s="1"/>
  <c r="C1064" i="5"/>
  <c r="N1245" i="2" s="1"/>
  <c r="J1245" i="2" s="1"/>
  <c r="C1066" i="5"/>
  <c r="N1247" i="2" s="1"/>
  <c r="J1247" i="2" s="1"/>
  <c r="C1068" i="5"/>
  <c r="N1249" i="2" s="1"/>
  <c r="J1249" i="2" s="1"/>
  <c r="C1107" i="5"/>
  <c r="N1361" i="2" s="1"/>
  <c r="J1361" i="2" s="1"/>
  <c r="C1109" i="5"/>
  <c r="N1363" i="2" s="1"/>
  <c r="J1363" i="2" s="1"/>
  <c r="W1126" i="5"/>
  <c r="C1136" i="5"/>
  <c r="N1392" i="2" s="1"/>
  <c r="J1392" i="2" s="1"/>
  <c r="C1142" i="5"/>
  <c r="N1398" i="2" s="1"/>
  <c r="J1398" i="2" s="1"/>
  <c r="C1149" i="5"/>
  <c r="N1405" i="2" s="1"/>
  <c r="J1405" i="2" s="1"/>
  <c r="C1165" i="5"/>
  <c r="N1421" i="2" s="1"/>
  <c r="J1421" i="2" s="1"/>
  <c r="C1168" i="5"/>
  <c r="N1424" i="2" s="1"/>
  <c r="J1424" i="2" s="1"/>
  <c r="C1174" i="5"/>
  <c r="N1430" i="2" s="1"/>
  <c r="J1430" i="2" s="1"/>
  <c r="C1206" i="5"/>
  <c r="N1467" i="2" s="1"/>
  <c r="J1467" i="2" s="1"/>
  <c r="C1210" i="5"/>
  <c r="N1471" i="2" s="1"/>
  <c r="J1471" i="2" s="1"/>
  <c r="C1253" i="5"/>
  <c r="N1515" i="2" s="1"/>
  <c r="J1515" i="2" s="1"/>
  <c r="N1530" i="2"/>
  <c r="J1530" i="2" s="1"/>
  <c r="N1532" i="2"/>
  <c r="J1532" i="2" s="1"/>
  <c r="C1287" i="5"/>
  <c r="N1551" i="2" s="1"/>
  <c r="J1551" i="2" s="1"/>
  <c r="C1291" i="5"/>
  <c r="N1555" i="2" s="1"/>
  <c r="J1555" i="2" s="1"/>
  <c r="C1296" i="5"/>
  <c r="N1561" i="2" s="1"/>
  <c r="J1561" i="2" s="1"/>
  <c r="C1306" i="5"/>
  <c r="N1571" i="2" s="1"/>
  <c r="J1571" i="2" s="1"/>
  <c r="C1315" i="5"/>
  <c r="N1582" i="2" s="1"/>
  <c r="J1582" i="2" s="1"/>
  <c r="C1324" i="5"/>
  <c r="N1591" i="2" s="1"/>
  <c r="J1591" i="2" s="1"/>
  <c r="C1331" i="5"/>
  <c r="N1598" i="2" s="1"/>
  <c r="J1598" i="2" s="1"/>
  <c r="C1346" i="5"/>
  <c r="N1613" i="2" s="1"/>
  <c r="J1613" i="2" s="1"/>
  <c r="C1348" i="5"/>
  <c r="N1615" i="2" s="1"/>
  <c r="J1615" i="2" s="1"/>
  <c r="C1363" i="5"/>
  <c r="N1630" i="2" s="1"/>
  <c r="J1630" i="2" s="1"/>
  <c r="C1368" i="5"/>
  <c r="N1635" i="2" s="1"/>
  <c r="J1635" i="2" s="1"/>
  <c r="C1378" i="5"/>
  <c r="N1644" i="2" s="1"/>
  <c r="J1644" i="2" s="1"/>
  <c r="C1391" i="5"/>
  <c r="N1657" i="2" s="1"/>
  <c r="J1657" i="2" s="1"/>
  <c r="C1394" i="5"/>
  <c r="N1660" i="2" s="1"/>
  <c r="J1660" i="2" s="1"/>
  <c r="C1403" i="5"/>
  <c r="N1670" i="2" s="1"/>
  <c r="J1670" i="2" s="1"/>
  <c r="C1414" i="5"/>
  <c r="N1682" i="2" s="1"/>
  <c r="J1682" i="2" s="1"/>
  <c r="C1448" i="5"/>
  <c r="N1716" i="2" s="1"/>
  <c r="J1716" i="2" s="1"/>
  <c r="C1456" i="5"/>
  <c r="N1724" i="2" s="1"/>
  <c r="J1724" i="2" s="1"/>
  <c r="C1464" i="5"/>
  <c r="N1732" i="2" s="1"/>
  <c r="J1732" i="2" s="1"/>
  <c r="C1470" i="5"/>
  <c r="N1738" i="2" s="1"/>
  <c r="J1738" i="2" s="1"/>
  <c r="C1471" i="5"/>
  <c r="N1739" i="2" s="1"/>
  <c r="J1739" i="2" s="1"/>
  <c r="C1482" i="5"/>
  <c r="N1751" i="2" s="1"/>
  <c r="J1751" i="2" s="1"/>
  <c r="C1484" i="5"/>
  <c r="N1753" i="2" s="1"/>
  <c r="J1753" i="2" s="1"/>
  <c r="C1499" i="5"/>
  <c r="N1768" i="2" s="1"/>
  <c r="J1768" i="2" s="1"/>
  <c r="N1770" i="2"/>
  <c r="J1770" i="2" s="1"/>
  <c r="C1503" i="5"/>
  <c r="N1772" i="2" s="1"/>
  <c r="J1772" i="2" s="1"/>
  <c r="C1517" i="5"/>
  <c r="N1786" i="2" s="1"/>
  <c r="J1786" i="2" s="1"/>
  <c r="C1526" i="5"/>
  <c r="N1795" i="2" s="1"/>
  <c r="J1795" i="2" s="1"/>
  <c r="C1533" i="5"/>
  <c r="N1802" i="2" s="1"/>
  <c r="J1802" i="2" s="1"/>
  <c r="C1535" i="5"/>
  <c r="N1804" i="2" s="1"/>
  <c r="J1804" i="2" s="1"/>
  <c r="C1537" i="5"/>
  <c r="N1806" i="2" s="1"/>
  <c r="J1806" i="2" s="1"/>
  <c r="C1555" i="5"/>
  <c r="N1824" i="2" s="1"/>
  <c r="J1824" i="2" s="1"/>
  <c r="C1558" i="5"/>
  <c r="N1827" i="2" s="1"/>
  <c r="J1827" i="2" s="1"/>
  <c r="C1560" i="5"/>
  <c r="N1829" i="2" s="1"/>
  <c r="J1829" i="2" s="1"/>
  <c r="C1566" i="5"/>
  <c r="N1835" i="2" s="1"/>
  <c r="J1835" i="2" s="1"/>
  <c r="C1577" i="5"/>
  <c r="N1850" i="2" s="1"/>
  <c r="J1850" i="2" s="1"/>
  <c r="C1632" i="5"/>
  <c r="C1636" i="5"/>
  <c r="N1923" i="2" s="1"/>
  <c r="J1923" i="2" s="1"/>
  <c r="C1640" i="5"/>
  <c r="N1927" i="2" s="1"/>
  <c r="J1927" i="2" s="1"/>
  <c r="N1940" i="2"/>
  <c r="J1940" i="2" s="1"/>
  <c r="C1656" i="5"/>
  <c r="N1953" i="2" s="1"/>
  <c r="J1953" i="2" s="1"/>
  <c r="C1658" i="5"/>
  <c r="N1955" i="2" s="1"/>
  <c r="J1955" i="2" s="1"/>
  <c r="N1961" i="2"/>
  <c r="J1961" i="2" s="1"/>
  <c r="C1670" i="5"/>
  <c r="C1680" i="5"/>
  <c r="N1997" i="2" s="1"/>
  <c r="J1997" i="2" s="1"/>
  <c r="C1683" i="5"/>
  <c r="C1685" i="5"/>
  <c r="N2007" i="2" s="1"/>
  <c r="J2007" i="2" s="1"/>
  <c r="N2021" i="2"/>
  <c r="J2021" i="2" s="1"/>
  <c r="C1696" i="5"/>
  <c r="N2048" i="2" s="1"/>
  <c r="J2048" i="2" s="1"/>
  <c r="C1699" i="5"/>
  <c r="N2051" i="2" s="1"/>
  <c r="J2051" i="2" s="1"/>
  <c r="C1701" i="5"/>
  <c r="N2053" i="2" s="1"/>
  <c r="J2053" i="2" s="1"/>
  <c r="C1703" i="5"/>
  <c r="N2055" i="2" s="1"/>
  <c r="J2055" i="2" s="1"/>
  <c r="C1719" i="5"/>
  <c r="N2142" i="2" s="1"/>
  <c r="J2142" i="2" s="1"/>
  <c r="D1778" i="5"/>
  <c r="C1778" i="5" s="1"/>
  <c r="C1785" i="5"/>
  <c r="N2326" i="2" s="1"/>
  <c r="J2326" i="2" s="1"/>
  <c r="C1809" i="5"/>
  <c r="N2350" i="2" s="1"/>
  <c r="J2350" i="2" s="1"/>
  <c r="C1811" i="5"/>
  <c r="N2352" i="2" s="1"/>
  <c r="J2352" i="2" s="1"/>
  <c r="D1815" i="5"/>
  <c r="C1815" i="5" s="1"/>
  <c r="C1818" i="5"/>
  <c r="N2359" i="2" s="1"/>
  <c r="J2359" i="2" s="1"/>
  <c r="C1857" i="5"/>
  <c r="N2398" i="2" s="1"/>
  <c r="J2398" i="2" s="1"/>
  <c r="C1862" i="5"/>
  <c r="N2403" i="2" s="1"/>
  <c r="J2403" i="2" s="1"/>
  <c r="C1867" i="5"/>
  <c r="N2408" i="2" s="1"/>
  <c r="J2408" i="2" s="1"/>
  <c r="E2226" i="5"/>
  <c r="E2342" i="5" s="1"/>
  <c r="D2225" i="5"/>
  <c r="U2475" i="5"/>
  <c r="C1873" i="5"/>
  <c r="C1882" i="5"/>
  <c r="C1883" i="5"/>
  <c r="N2425" i="2" s="1"/>
  <c r="J2425" i="2" s="1"/>
  <c r="C1885" i="5"/>
  <c r="N2427" i="2" s="1"/>
  <c r="J2427" i="2" s="1"/>
  <c r="C1961" i="5"/>
  <c r="N2514" i="2" s="1"/>
  <c r="J2514" i="2" s="1"/>
  <c r="C1997" i="5"/>
  <c r="N2573" i="2" s="1"/>
  <c r="J2573" i="2" s="1"/>
  <c r="C2010" i="5"/>
  <c r="N2598" i="2" s="1"/>
  <c r="J2598" i="2" s="1"/>
  <c r="C2031" i="5"/>
  <c r="N2634" i="2" s="1"/>
  <c r="J2634" i="2" s="1"/>
  <c r="C2045" i="5"/>
  <c r="N2648" i="2" s="1"/>
  <c r="J2648" i="2" s="1"/>
  <c r="C2047" i="5"/>
  <c r="N2650" i="2" s="1"/>
  <c r="J2650" i="2" s="1"/>
  <c r="C2091" i="5"/>
  <c r="N2697" i="2" s="1"/>
  <c r="J2697" i="2" s="1"/>
  <c r="C2093" i="5"/>
  <c r="N2699" i="2" s="1"/>
  <c r="J2699" i="2" s="1"/>
  <c r="C2117" i="5"/>
  <c r="N2730" i="2" s="1"/>
  <c r="J2730" i="2" s="1"/>
  <c r="C2119" i="5"/>
  <c r="N2732" i="2" s="1"/>
  <c r="J2732" i="2" s="1"/>
  <c r="C2122" i="5"/>
  <c r="N2735" i="2" s="1"/>
  <c r="J2735" i="2" s="1"/>
  <c r="C2157" i="5"/>
  <c r="N2798" i="2" s="1"/>
  <c r="J2798" i="2" s="1"/>
  <c r="C2159" i="5"/>
  <c r="N2800" i="2" s="1"/>
  <c r="J2800" i="2" s="1"/>
  <c r="C2175" i="5"/>
  <c r="N2832" i="2" s="1"/>
  <c r="J2832" i="2" s="1"/>
  <c r="C2179" i="5"/>
  <c r="N2838" i="2" s="1"/>
  <c r="J2838" i="2" s="1"/>
  <c r="C2313" i="5"/>
  <c r="N3022" i="2" s="1"/>
  <c r="J3022" i="2" s="1"/>
  <c r="C2315" i="5"/>
  <c r="N3024" i="2" s="1"/>
  <c r="J3024" i="2" s="1"/>
  <c r="C2320" i="5"/>
  <c r="N3029" i="2" s="1"/>
  <c r="J3029" i="2" s="1"/>
  <c r="C2322" i="5"/>
  <c r="N3031" i="2" s="1"/>
  <c r="J3031" i="2" s="1"/>
  <c r="C2340" i="5"/>
  <c r="N3049" i="2" s="1"/>
  <c r="J3049" i="2" s="1"/>
  <c r="C2345" i="5"/>
  <c r="N3062" i="2"/>
  <c r="J3062" i="2" s="1"/>
  <c r="N3064" i="2"/>
  <c r="J3064" i="2" s="1"/>
  <c r="N3094" i="2"/>
  <c r="J3094" i="2" s="1"/>
  <c r="N3096" i="2"/>
  <c r="J3096" i="2" s="1"/>
  <c r="W2820" i="5"/>
  <c r="C2831" i="5"/>
  <c r="N3708" i="2" s="1"/>
  <c r="J3708" i="2" s="1"/>
  <c r="C1868" i="5"/>
  <c r="N2409" i="2" s="1"/>
  <c r="J2409" i="2" s="1"/>
  <c r="C1870" i="5"/>
  <c r="N2411" i="2" s="1"/>
  <c r="J2411" i="2" s="1"/>
  <c r="C1872" i="5"/>
  <c r="N2413" i="2" s="1"/>
  <c r="J2413" i="2" s="1"/>
  <c r="C1874" i="5"/>
  <c r="C1900" i="5"/>
  <c r="N2442" i="2" s="1"/>
  <c r="J2442" i="2" s="1"/>
  <c r="D1908" i="5"/>
  <c r="C1910" i="5"/>
  <c r="N2452" i="2" s="1"/>
  <c r="J2452" i="2" s="1"/>
  <c r="C1917" i="5"/>
  <c r="N2459" i="2" s="1"/>
  <c r="J2459" i="2" s="1"/>
  <c r="C1928" i="5"/>
  <c r="N2470" i="2" s="1"/>
  <c r="J2470" i="2" s="1"/>
  <c r="C1936" i="5"/>
  <c r="N2478" i="2" s="1"/>
  <c r="J2478" i="2" s="1"/>
  <c r="C1947" i="5"/>
  <c r="N2494" i="2" s="1"/>
  <c r="J2494" i="2" s="1"/>
  <c r="C1998" i="5"/>
  <c r="N2574" i="2" s="1"/>
  <c r="J2574" i="2" s="1"/>
  <c r="C2013" i="5"/>
  <c r="N2601" i="2" s="1"/>
  <c r="J2601" i="2" s="1"/>
  <c r="C2037" i="5"/>
  <c r="N2640" i="2" s="1"/>
  <c r="J2640" i="2" s="1"/>
  <c r="C2039" i="5"/>
  <c r="N2642" i="2" s="1"/>
  <c r="J2642" i="2" s="1"/>
  <c r="C2041" i="5"/>
  <c r="N2644" i="2" s="1"/>
  <c r="J2644" i="2" s="1"/>
  <c r="C2085" i="5"/>
  <c r="N2691" i="2" s="1"/>
  <c r="J2691" i="2" s="1"/>
  <c r="C2092" i="5"/>
  <c r="N2698" i="2" s="1"/>
  <c r="J2698" i="2" s="1"/>
  <c r="C2094" i="5"/>
  <c r="N2700" i="2" s="1"/>
  <c r="J2700" i="2" s="1"/>
  <c r="C2105" i="5"/>
  <c r="N2713" i="2" s="1"/>
  <c r="J2713" i="2" s="1"/>
  <c r="C2107" i="5"/>
  <c r="N2715" i="2" s="1"/>
  <c r="J2715" i="2" s="1"/>
  <c r="C2145" i="5"/>
  <c r="N2761" i="2" s="1"/>
  <c r="J2761" i="2" s="1"/>
  <c r="C2156" i="5"/>
  <c r="N2797" i="2" s="1"/>
  <c r="J2797" i="2" s="1"/>
  <c r="C2166" i="5"/>
  <c r="N2816" i="2" s="1"/>
  <c r="J2816" i="2" s="1"/>
  <c r="C2180" i="5"/>
  <c r="N2839" i="2" s="1"/>
  <c r="J2839" i="2" s="1"/>
  <c r="D2268" i="5"/>
  <c r="N2942" i="2"/>
  <c r="J2942" i="2" s="1"/>
  <c r="C2244" i="5"/>
  <c r="N2950" i="2" s="1"/>
  <c r="J2950" i="2" s="1"/>
  <c r="C2252" i="5"/>
  <c r="N2958" i="2" s="1"/>
  <c r="J2958" i="2" s="1"/>
  <c r="N2966" i="2"/>
  <c r="J2966" i="2" s="1"/>
  <c r="C2301" i="5"/>
  <c r="N3010" i="2" s="1"/>
  <c r="J3010" i="2" s="1"/>
  <c r="C2325" i="5"/>
  <c r="N3034" i="2" s="1"/>
  <c r="J3034" i="2" s="1"/>
  <c r="C2334" i="5"/>
  <c r="N3043" i="2" s="1"/>
  <c r="J3043" i="2" s="1"/>
  <c r="N3071" i="2"/>
  <c r="J3071" i="2" s="1"/>
  <c r="N3077" i="2"/>
  <c r="J3077" i="2" s="1"/>
  <c r="N3085" i="2"/>
  <c r="J3085" i="2" s="1"/>
  <c r="N3087" i="2"/>
  <c r="J3087" i="2" s="1"/>
  <c r="N3102" i="2"/>
  <c r="J3102" i="2" s="1"/>
  <c r="N3107" i="2"/>
  <c r="J3107" i="2" s="1"/>
  <c r="N3111" i="2"/>
  <c r="J3111" i="2" s="1"/>
  <c r="N3124" i="2"/>
  <c r="J3124" i="2" s="1"/>
  <c r="N3128" i="2"/>
  <c r="J3128" i="2" s="1"/>
  <c r="N3130" i="2"/>
  <c r="J3130" i="2" s="1"/>
  <c r="T2475" i="5"/>
  <c r="C2520" i="5"/>
  <c r="N3355" i="2" s="1"/>
  <c r="J3355" i="2" s="1"/>
  <c r="C2524" i="5"/>
  <c r="N3359" i="2" s="1"/>
  <c r="J3359" i="2" s="1"/>
  <c r="K2756" i="5"/>
  <c r="N3387" i="2"/>
  <c r="J3387" i="2" s="1"/>
  <c r="N3394" i="2"/>
  <c r="J3394" i="2" s="1"/>
  <c r="N3398" i="2"/>
  <c r="J3398" i="2" s="1"/>
  <c r="N3400" i="2"/>
  <c r="J3400" i="2" s="1"/>
  <c r="N3407" i="2"/>
  <c r="J3407" i="2" s="1"/>
  <c r="N3416" i="2"/>
  <c r="J3416" i="2" s="1"/>
  <c r="N3418" i="2"/>
  <c r="J3418" i="2" s="1"/>
  <c r="N3432" i="2"/>
  <c r="J3432" i="2" s="1"/>
  <c r="N3441" i="2"/>
  <c r="J3441" i="2" s="1"/>
  <c r="N3453" i="2"/>
  <c r="J3453" i="2" s="1"/>
  <c r="N3508" i="2"/>
  <c r="J3508" i="2" s="1"/>
  <c r="N3514" i="2"/>
  <c r="J3514" i="2" s="1"/>
  <c r="N3530" i="2"/>
  <c r="J3530" i="2" s="1"/>
  <c r="N3541" i="2"/>
  <c r="J3541" i="2" s="1"/>
  <c r="N3543" i="2"/>
  <c r="J3543" i="2" s="1"/>
  <c r="N3580" i="2"/>
  <c r="J3580" i="2" s="1"/>
  <c r="N3585" i="2"/>
  <c r="J3585" i="2" s="1"/>
  <c r="D2834" i="5"/>
  <c r="C2838" i="5"/>
  <c r="N3737" i="2" s="1"/>
  <c r="J3737" i="2" s="1"/>
  <c r="C2323" i="5"/>
  <c r="N3032" i="2" s="1"/>
  <c r="J3032" i="2" s="1"/>
  <c r="C2328" i="5"/>
  <c r="N3037" i="2" s="1"/>
  <c r="J3037" i="2" s="1"/>
  <c r="C2330" i="5"/>
  <c r="N3039" i="2" s="1"/>
  <c r="J3039" i="2" s="1"/>
  <c r="C2339" i="5"/>
  <c r="N3048" i="2" s="1"/>
  <c r="J3048" i="2" s="1"/>
  <c r="N3070" i="2"/>
  <c r="J3070" i="2" s="1"/>
  <c r="N3075" i="2"/>
  <c r="J3075" i="2" s="1"/>
  <c r="N3084" i="2"/>
  <c r="J3084" i="2" s="1"/>
  <c r="C2384" i="5"/>
  <c r="N3108" i="2"/>
  <c r="J3108" i="2" s="1"/>
  <c r="N3113" i="2"/>
  <c r="J3113" i="2" s="1"/>
  <c r="N3115" i="2"/>
  <c r="J3115" i="2" s="1"/>
  <c r="N3141" i="2"/>
  <c r="J3141" i="2" s="1"/>
  <c r="N3143" i="2"/>
  <c r="J3143" i="2" s="1"/>
  <c r="N3399" i="2"/>
  <c r="J3399" i="2" s="1"/>
  <c r="N3412" i="2"/>
  <c r="J3412" i="2" s="1"/>
  <c r="N3419" i="2"/>
  <c r="J3419" i="2" s="1"/>
  <c r="N3438" i="2"/>
  <c r="J3438" i="2" s="1"/>
  <c r="N3440" i="2"/>
  <c r="J3440" i="2" s="1"/>
  <c r="N3450" i="2"/>
  <c r="J3450" i="2" s="1"/>
  <c r="N3499" i="2"/>
  <c r="J3499" i="2" s="1"/>
  <c r="N3529" i="2"/>
  <c r="J3529" i="2" s="1"/>
  <c r="N3544" i="2"/>
  <c r="J3544" i="2" s="1"/>
  <c r="N3575" i="2"/>
  <c r="J3575" i="2" s="1"/>
  <c r="N3577" i="2"/>
  <c r="J3577" i="2" s="1"/>
  <c r="N3579" i="2"/>
  <c r="J3579" i="2" s="1"/>
  <c r="C2819" i="5"/>
  <c r="N3693" i="2" s="1"/>
  <c r="J3693" i="2" s="1"/>
  <c r="C2832" i="5"/>
  <c r="N3709" i="2" s="1"/>
  <c r="J3709" i="2" s="1"/>
  <c r="C2839" i="5"/>
  <c r="N3738" i="2" s="1"/>
  <c r="J3738" i="2" s="1"/>
  <c r="C2845" i="5"/>
  <c r="N3744" i="2" s="1"/>
  <c r="J3744" i="2" s="1"/>
  <c r="C2849" i="5"/>
  <c r="N3748" i="2" s="1"/>
  <c r="J3748" i="2" s="1"/>
  <c r="W119" i="5"/>
  <c r="J172" i="2"/>
  <c r="W200" i="5"/>
  <c r="C2149" i="5"/>
  <c r="N2777" i="2" s="1"/>
  <c r="J2777" i="2" s="1"/>
  <c r="D2151" i="5"/>
  <c r="C27" i="5"/>
  <c r="C29" i="5"/>
  <c r="C31" i="5"/>
  <c r="C33" i="5"/>
  <c r="C35" i="5"/>
  <c r="C37" i="5"/>
  <c r="C39" i="5"/>
  <c r="C41" i="5"/>
  <c r="C43" i="5"/>
  <c r="C54" i="5"/>
  <c r="C65" i="5"/>
  <c r="C84" i="5"/>
  <c r="C102" i="5"/>
  <c r="C106" i="5"/>
  <c r="W138" i="5"/>
  <c r="C130" i="5"/>
  <c r="C132" i="5"/>
  <c r="C134" i="5"/>
  <c r="W149" i="5"/>
  <c r="C166" i="5"/>
  <c r="C177" i="5"/>
  <c r="W190" i="5"/>
  <c r="C182" i="5"/>
  <c r="C184" i="5"/>
  <c r="C186" i="5"/>
  <c r="C204" i="5"/>
  <c r="C215" i="5"/>
  <c r="D225" i="5"/>
  <c r="D239" i="5"/>
  <c r="C239" i="5" s="1"/>
  <c r="C250" i="5"/>
  <c r="C259" i="5"/>
  <c r="D267" i="5"/>
  <c r="C267" i="5" s="1"/>
  <c r="C274" i="5"/>
  <c r="C287" i="5"/>
  <c r="C289" i="5"/>
  <c r="C294" i="5"/>
  <c r="C302" i="5"/>
  <c r="D311" i="5"/>
  <c r="C311" i="5" s="1"/>
  <c r="C328" i="5"/>
  <c r="C336" i="5"/>
  <c r="C339" i="5"/>
  <c r="C361" i="5"/>
  <c r="C369" i="5"/>
  <c r="C372" i="5"/>
  <c r="C374" i="5"/>
  <c r="D394" i="5"/>
  <c r="C453" i="5"/>
  <c r="N550" i="2" s="1"/>
  <c r="J550" i="2" s="1"/>
  <c r="C459" i="5"/>
  <c r="N556" i="2" s="1"/>
  <c r="J556" i="2" s="1"/>
  <c r="C461" i="5"/>
  <c r="N558" i="2" s="1"/>
  <c r="J558" i="2" s="1"/>
  <c r="C463" i="5"/>
  <c r="N560" i="2" s="1"/>
  <c r="J560" i="2" s="1"/>
  <c r="C465" i="5"/>
  <c r="N562" i="2" s="1"/>
  <c r="J562" i="2" s="1"/>
  <c r="C467" i="5"/>
  <c r="N564" i="2" s="1"/>
  <c r="J564" i="2" s="1"/>
  <c r="C475" i="5"/>
  <c r="N572" i="2" s="1"/>
  <c r="J572" i="2" s="1"/>
  <c r="C480" i="5"/>
  <c r="N577" i="2" s="1"/>
  <c r="J577" i="2" s="1"/>
  <c r="C482" i="5"/>
  <c r="N579" i="2" s="1"/>
  <c r="J579" i="2" s="1"/>
  <c r="C484" i="5"/>
  <c r="N581" i="2" s="1"/>
  <c r="J581" i="2" s="1"/>
  <c r="C486" i="5"/>
  <c r="N583" i="2" s="1"/>
  <c r="J583" i="2" s="1"/>
  <c r="C488" i="5"/>
  <c r="N585" i="2" s="1"/>
  <c r="J585" i="2" s="1"/>
  <c r="N587" i="2"/>
  <c r="J587" i="2" s="1"/>
  <c r="C492" i="5"/>
  <c r="N589" i="2" s="1"/>
  <c r="J589" i="2" s="1"/>
  <c r="C494" i="5"/>
  <c r="N591" i="2" s="1"/>
  <c r="J591" i="2" s="1"/>
  <c r="C496" i="5"/>
  <c r="N593" i="2" s="1"/>
  <c r="J593" i="2" s="1"/>
  <c r="D534" i="5"/>
  <c r="D647" i="5"/>
  <c r="C628" i="5"/>
  <c r="N792" i="2" s="1"/>
  <c r="J792" i="2" s="1"/>
  <c r="C631" i="5"/>
  <c r="C636" i="5"/>
  <c r="N800" i="2" s="1"/>
  <c r="J800" i="2" s="1"/>
  <c r="C638" i="5"/>
  <c r="N803" i="2" s="1"/>
  <c r="J803" i="2" s="1"/>
  <c r="C640" i="5"/>
  <c r="N805" i="2" s="1"/>
  <c r="J805" i="2" s="1"/>
  <c r="C642" i="5"/>
  <c r="N807" i="2" s="1"/>
  <c r="J807" i="2" s="1"/>
  <c r="C644" i="5"/>
  <c r="N809" i="2" s="1"/>
  <c r="J809" i="2" s="1"/>
  <c r="C646" i="5"/>
  <c r="N811" i="2" s="1"/>
  <c r="J811" i="2" s="1"/>
  <c r="C658" i="5"/>
  <c r="N823" i="2" s="1"/>
  <c r="J823" i="2" s="1"/>
  <c r="C660" i="5"/>
  <c r="N825" i="2" s="1"/>
  <c r="J825" i="2" s="1"/>
  <c r="C662" i="5"/>
  <c r="N827" i="2" s="1"/>
  <c r="J827" i="2" s="1"/>
  <c r="C664" i="5"/>
  <c r="N829" i="2" s="1"/>
  <c r="J829" i="2" s="1"/>
  <c r="C666" i="5"/>
  <c r="N831" i="2" s="1"/>
  <c r="J831" i="2" s="1"/>
  <c r="C668" i="5"/>
  <c r="N833" i="2" s="1"/>
  <c r="J833" i="2" s="1"/>
  <c r="C670" i="5"/>
  <c r="N835" i="2" s="1"/>
  <c r="J835" i="2" s="1"/>
  <c r="C672" i="5"/>
  <c r="N837" i="2" s="1"/>
  <c r="J837" i="2" s="1"/>
  <c r="C674" i="5"/>
  <c r="N839" i="2" s="1"/>
  <c r="J839" i="2" s="1"/>
  <c r="N841" i="2"/>
  <c r="J841" i="2" s="1"/>
  <c r="C677" i="5"/>
  <c r="N843" i="2" s="1"/>
  <c r="J843" i="2" s="1"/>
  <c r="C679" i="5"/>
  <c r="N845" i="2" s="1"/>
  <c r="J845" i="2" s="1"/>
  <c r="C728" i="5"/>
  <c r="N894" i="2" s="1"/>
  <c r="J894" i="2" s="1"/>
  <c r="C735" i="5"/>
  <c r="N901" i="2" s="1"/>
  <c r="J901" i="2" s="1"/>
  <c r="C773" i="5"/>
  <c r="N939" i="2" s="1"/>
  <c r="J939" i="2" s="1"/>
  <c r="C792" i="5"/>
  <c r="N958" i="2" s="1"/>
  <c r="J958" i="2" s="1"/>
  <c r="C795" i="5"/>
  <c r="N961" i="2" s="1"/>
  <c r="J961" i="2" s="1"/>
  <c r="C845" i="5"/>
  <c r="N1011" i="2" s="1"/>
  <c r="J1011" i="2" s="1"/>
  <c r="C849" i="5"/>
  <c r="N1015" i="2" s="1"/>
  <c r="J1015" i="2" s="1"/>
  <c r="C887" i="5"/>
  <c r="N1053" i="2" s="1"/>
  <c r="J1053" i="2" s="1"/>
  <c r="D1114" i="5"/>
  <c r="C1113" i="5"/>
  <c r="C1173" i="5"/>
  <c r="N1429" i="2" s="1"/>
  <c r="J1429" i="2" s="1"/>
  <c r="C1477" i="5"/>
  <c r="N1745" i="2" s="1"/>
  <c r="J1745" i="2" s="1"/>
  <c r="C1858" i="5"/>
  <c r="N2399" i="2" s="1"/>
  <c r="J2399" i="2" s="1"/>
  <c r="C1894" i="5"/>
  <c r="D967" i="5"/>
  <c r="W1078" i="5"/>
  <c r="D2004" i="5"/>
  <c r="C2002" i="5"/>
  <c r="C233" i="4"/>
  <c r="N984" i="2" s="1"/>
  <c r="J984" i="2" s="1"/>
  <c r="F161" i="5"/>
  <c r="R161" i="5"/>
  <c r="V161" i="5"/>
  <c r="K161" i="5"/>
  <c r="S161" i="5"/>
  <c r="C192" i="5"/>
  <c r="N219" i="2" s="1"/>
  <c r="C197" i="5"/>
  <c r="C202" i="5"/>
  <c r="N230" i="2" s="1"/>
  <c r="W242" i="5"/>
  <c r="C256" i="5"/>
  <c r="C271" i="5"/>
  <c r="D307" i="5"/>
  <c r="C307" i="5" s="1"/>
  <c r="D498" i="5"/>
  <c r="C534" i="5"/>
  <c r="C544" i="5"/>
  <c r="N706" i="2" s="1"/>
  <c r="J706" i="2" s="1"/>
  <c r="C920" i="5"/>
  <c r="N1086" i="2" s="1"/>
  <c r="J1086" i="2" s="1"/>
  <c r="C1594" i="5"/>
  <c r="C1856" i="5"/>
  <c r="N2397" i="2" s="1"/>
  <c r="J2397" i="2" s="1"/>
  <c r="G2212" i="5"/>
  <c r="G2219" i="5" s="1"/>
  <c r="D2211" i="5"/>
  <c r="C2211" i="5" s="1"/>
  <c r="W606" i="4"/>
  <c r="W657" i="4" s="1"/>
  <c r="J126" i="2"/>
  <c r="C142" i="5"/>
  <c r="D160" i="5"/>
  <c r="C381" i="4"/>
  <c r="N161" i="5"/>
  <c r="O161" i="5"/>
  <c r="W160" i="5"/>
  <c r="D260" i="5"/>
  <c r="N394" i="5"/>
  <c r="N414" i="5" s="1"/>
  <c r="C457" i="5"/>
  <c r="N554" i="2" s="1"/>
  <c r="J554" i="2" s="1"/>
  <c r="D1720" i="5"/>
  <c r="C1720" i="5" s="1"/>
  <c r="N2145" i="2" s="1"/>
  <c r="J2145" i="2" s="1"/>
  <c r="C2185" i="5"/>
  <c r="D2201" i="5"/>
  <c r="C2311" i="5"/>
  <c r="N3020" i="2" s="1"/>
  <c r="J3020" i="2" s="1"/>
  <c r="D2341" i="5"/>
  <c r="C2316" i="5"/>
  <c r="N3025" i="2" s="1"/>
  <c r="J3025" i="2" s="1"/>
  <c r="W2341" i="5"/>
  <c r="O824" i="4"/>
  <c r="C24" i="5"/>
  <c r="C26" i="5"/>
  <c r="C30" i="5"/>
  <c r="C34" i="5"/>
  <c r="C38" i="5"/>
  <c r="C44" i="5"/>
  <c r="C101" i="5"/>
  <c r="C103" i="5"/>
  <c r="C105" i="5"/>
  <c r="C107" i="5"/>
  <c r="C109" i="5"/>
  <c r="H161" i="5"/>
  <c r="L161" i="5"/>
  <c r="T161" i="5"/>
  <c r="D138" i="5"/>
  <c r="C131" i="5"/>
  <c r="G161" i="5"/>
  <c r="C145" i="5"/>
  <c r="C164" i="5"/>
  <c r="N179" i="2" s="1"/>
  <c r="C181" i="5"/>
  <c r="C183" i="5"/>
  <c r="C185" i="5"/>
  <c r="C187" i="5"/>
  <c r="C224" i="5"/>
  <c r="C228" i="5"/>
  <c r="C230" i="5"/>
  <c r="C238" i="5"/>
  <c r="W260" i="5"/>
  <c r="C252" i="5"/>
  <c r="C292" i="5"/>
  <c r="C310" i="5"/>
  <c r="C322" i="5"/>
  <c r="C324" i="5"/>
  <c r="C335" i="5"/>
  <c r="C344" i="5"/>
  <c r="C352" i="5"/>
  <c r="C355" i="5"/>
  <c r="C357" i="5"/>
  <c r="C368" i="5"/>
  <c r="C378" i="5"/>
  <c r="C393" i="5"/>
  <c r="C452" i="5"/>
  <c r="N549" i="2" s="1"/>
  <c r="J549" i="2" s="1"/>
  <c r="C454" i="5"/>
  <c r="N551" i="2" s="1"/>
  <c r="J551" i="2" s="1"/>
  <c r="C456" i="5"/>
  <c r="N553" i="2" s="1"/>
  <c r="J553" i="2" s="1"/>
  <c r="C458" i="5"/>
  <c r="N555" i="2" s="1"/>
  <c r="J555" i="2" s="1"/>
  <c r="C460" i="5"/>
  <c r="N557" i="2" s="1"/>
  <c r="J557" i="2" s="1"/>
  <c r="C464" i="5"/>
  <c r="N561" i="2" s="1"/>
  <c r="J561" i="2" s="1"/>
  <c r="C466" i="5"/>
  <c r="N563" i="2" s="1"/>
  <c r="J563" i="2" s="1"/>
  <c r="C468" i="5"/>
  <c r="N565" i="2" s="1"/>
  <c r="J565" i="2" s="1"/>
  <c r="D546" i="5"/>
  <c r="C627" i="5"/>
  <c r="N791" i="2" s="1"/>
  <c r="J791" i="2" s="1"/>
  <c r="D917" i="5"/>
  <c r="C722" i="5"/>
  <c r="N888" i="2" s="1"/>
  <c r="J888" i="2" s="1"/>
  <c r="C786" i="5"/>
  <c r="N952" i="2" s="1"/>
  <c r="J952" i="2" s="1"/>
  <c r="C791" i="5"/>
  <c r="N957" i="2" s="1"/>
  <c r="J957" i="2" s="1"/>
  <c r="C853" i="5"/>
  <c r="N1019" i="2" s="1"/>
  <c r="J1019" i="2" s="1"/>
  <c r="C855" i="5"/>
  <c r="N1021" i="2" s="1"/>
  <c r="J1021" i="2" s="1"/>
  <c r="C857" i="5"/>
  <c r="N1023" i="2" s="1"/>
  <c r="J1023" i="2" s="1"/>
  <c r="C859" i="5"/>
  <c r="N1025" i="2" s="1"/>
  <c r="J1025" i="2" s="1"/>
  <c r="C861" i="5"/>
  <c r="N1027" i="2" s="1"/>
  <c r="J1027" i="2" s="1"/>
  <c r="C863" i="5"/>
  <c r="N1029" i="2" s="1"/>
  <c r="J1029" i="2" s="1"/>
  <c r="C865" i="5"/>
  <c r="N1031" i="2" s="1"/>
  <c r="J1031" i="2" s="1"/>
  <c r="C867" i="5"/>
  <c r="N1033" i="2" s="1"/>
  <c r="J1033" i="2" s="1"/>
  <c r="C878" i="5"/>
  <c r="N1044" i="2" s="1"/>
  <c r="J1044" i="2" s="1"/>
  <c r="C884" i="5"/>
  <c r="N1050" i="2" s="1"/>
  <c r="J1050" i="2" s="1"/>
  <c r="C923" i="5"/>
  <c r="N1089" i="2" s="1"/>
  <c r="J1089" i="2" s="1"/>
  <c r="N1112" i="2"/>
  <c r="J1112" i="2" s="1"/>
  <c r="C1118" i="5"/>
  <c r="N1374" i="2" s="1"/>
  <c r="J1374" i="2" s="1"/>
  <c r="C1304" i="5"/>
  <c r="N1569" i="2" s="1"/>
  <c r="J1569" i="2" s="1"/>
  <c r="C1397" i="5"/>
  <c r="N1664" i="2" s="1"/>
  <c r="J1664" i="2" s="1"/>
  <c r="C1435" i="5"/>
  <c r="N1704" i="2" s="1"/>
  <c r="J1704" i="2" s="1"/>
  <c r="C1563" i="5"/>
  <c r="N1832" i="2" s="1"/>
  <c r="J1832" i="2" s="1"/>
  <c r="I1747" i="5"/>
  <c r="D1738" i="5"/>
  <c r="C1738" i="5" s="1"/>
  <c r="N2215" i="2" s="1"/>
  <c r="J2215" i="2" s="1"/>
  <c r="D1779" i="5"/>
  <c r="C1779" i="5" s="1"/>
  <c r="N2305" i="2" s="1"/>
  <c r="J2305" i="2" s="1"/>
  <c r="D2223" i="5"/>
  <c r="C2222" i="5"/>
  <c r="C2223" i="5" s="1"/>
  <c r="N1117" i="2"/>
  <c r="J1117" i="2" s="1"/>
  <c r="C961" i="5"/>
  <c r="N1133" i="2" s="1"/>
  <c r="J1133" i="2" s="1"/>
  <c r="C995" i="5"/>
  <c r="N1169" i="2" s="1"/>
  <c r="J1169" i="2" s="1"/>
  <c r="C1027" i="5"/>
  <c r="N1209" i="2" s="1"/>
  <c r="J1209" i="2" s="1"/>
  <c r="C1030" i="5"/>
  <c r="N1211" i="2" s="1"/>
  <c r="J1211" i="2" s="1"/>
  <c r="C1032" i="5"/>
  <c r="N1213" i="2" s="1"/>
  <c r="J1213" i="2" s="1"/>
  <c r="C1034" i="5"/>
  <c r="N1215" i="2" s="1"/>
  <c r="J1215" i="2" s="1"/>
  <c r="C1036" i="5"/>
  <c r="N1217" i="2" s="1"/>
  <c r="J1217" i="2" s="1"/>
  <c r="C1038" i="5"/>
  <c r="N1219" i="2" s="1"/>
  <c r="J1219" i="2" s="1"/>
  <c r="C1040" i="5"/>
  <c r="N1221" i="2" s="1"/>
  <c r="J1221" i="2" s="1"/>
  <c r="C1042" i="5"/>
  <c r="N1223" i="2" s="1"/>
  <c r="J1223" i="2" s="1"/>
  <c r="C1044" i="5"/>
  <c r="N1225" i="2" s="1"/>
  <c r="J1225" i="2" s="1"/>
  <c r="C1046" i="5"/>
  <c r="N1227" i="2" s="1"/>
  <c r="J1227" i="2" s="1"/>
  <c r="C1048" i="5"/>
  <c r="N1229" i="2" s="1"/>
  <c r="J1229" i="2" s="1"/>
  <c r="C1106" i="5"/>
  <c r="N1360" i="2" s="1"/>
  <c r="J1360" i="2" s="1"/>
  <c r="U1111" i="5"/>
  <c r="C1122" i="5"/>
  <c r="N1378" i="2" s="1"/>
  <c r="J1378" i="2" s="1"/>
  <c r="C1125" i="5"/>
  <c r="N1381" i="2" s="1"/>
  <c r="J1381" i="2" s="1"/>
  <c r="C1150" i="5"/>
  <c r="N1406" i="2" s="1"/>
  <c r="J1406" i="2" s="1"/>
  <c r="C1157" i="5"/>
  <c r="N1413" i="2" s="1"/>
  <c r="J1413" i="2" s="1"/>
  <c r="C1162" i="5"/>
  <c r="N1418" i="2" s="1"/>
  <c r="J1418" i="2" s="1"/>
  <c r="N1479" i="2"/>
  <c r="J1479" i="2" s="1"/>
  <c r="C1232" i="5"/>
  <c r="N1493" i="2" s="1"/>
  <c r="J1493" i="2" s="1"/>
  <c r="C1234" i="5"/>
  <c r="N1495" i="2" s="1"/>
  <c r="J1495" i="2" s="1"/>
  <c r="C1237" i="5"/>
  <c r="N1499" i="2" s="1"/>
  <c r="J1499" i="2" s="1"/>
  <c r="N1523" i="2"/>
  <c r="J1523" i="2" s="1"/>
  <c r="N1527" i="2"/>
  <c r="J1527" i="2" s="1"/>
  <c r="C1271" i="5"/>
  <c r="N1535" i="2" s="1"/>
  <c r="J1535" i="2" s="1"/>
  <c r="C1274" i="5"/>
  <c r="N1538" i="2" s="1"/>
  <c r="J1538" i="2" s="1"/>
  <c r="C1284" i="5"/>
  <c r="N1548" i="2" s="1"/>
  <c r="J1548" i="2" s="1"/>
  <c r="C1302" i="5"/>
  <c r="N1567" i="2" s="1"/>
  <c r="J1567" i="2" s="1"/>
  <c r="C1308" i="5"/>
  <c r="N1573" i="2" s="1"/>
  <c r="J1573" i="2" s="1"/>
  <c r="C1311" i="5"/>
  <c r="N1578" i="2" s="1"/>
  <c r="J1578" i="2" s="1"/>
  <c r="C1319" i="5"/>
  <c r="N1586" i="2" s="1"/>
  <c r="J1586" i="2" s="1"/>
  <c r="C1322" i="5"/>
  <c r="N1589" i="2" s="1"/>
  <c r="J1589" i="2" s="1"/>
  <c r="C1329" i="5"/>
  <c r="N1596" i="2" s="1"/>
  <c r="J1596" i="2" s="1"/>
  <c r="C1334" i="5"/>
  <c r="N1601" i="2" s="1"/>
  <c r="J1601" i="2" s="1"/>
  <c r="C1342" i="5"/>
  <c r="N1609" i="2" s="1"/>
  <c r="J1609" i="2" s="1"/>
  <c r="C1350" i="5"/>
  <c r="N1617" i="2" s="1"/>
  <c r="J1617" i="2" s="1"/>
  <c r="C1382" i="5"/>
  <c r="N1648" i="2" s="1"/>
  <c r="J1648" i="2" s="1"/>
  <c r="C1384" i="5"/>
  <c r="N1650" i="2" s="1"/>
  <c r="J1650" i="2" s="1"/>
  <c r="C1410" i="5"/>
  <c r="N1678" i="2" s="1"/>
  <c r="J1678" i="2" s="1"/>
  <c r="C1413" i="5"/>
  <c r="N1681" i="2" s="1"/>
  <c r="J1681" i="2" s="1"/>
  <c r="C1425" i="5"/>
  <c r="N1694" i="2" s="1"/>
  <c r="J1694" i="2" s="1"/>
  <c r="C1443" i="5"/>
  <c r="N1711" i="2" s="1"/>
  <c r="J1711" i="2" s="1"/>
  <c r="C1445" i="5"/>
  <c r="N1713" i="2" s="1"/>
  <c r="J1713" i="2" s="1"/>
  <c r="C1452" i="5"/>
  <c r="N1720" i="2" s="1"/>
  <c r="J1720" i="2" s="1"/>
  <c r="C1458" i="5"/>
  <c r="N1726" i="2" s="1"/>
  <c r="J1726" i="2" s="1"/>
  <c r="C1461" i="5"/>
  <c r="N1729" i="2" s="1"/>
  <c r="J1729" i="2" s="1"/>
  <c r="C1467" i="5"/>
  <c r="N1735" i="2" s="1"/>
  <c r="J1735" i="2" s="1"/>
  <c r="C1469" i="5"/>
  <c r="N1737" i="2" s="1"/>
  <c r="J1737" i="2" s="1"/>
  <c r="C1472" i="5"/>
  <c r="N1740" i="2" s="1"/>
  <c r="J1740" i="2" s="1"/>
  <c r="C1492" i="5"/>
  <c r="N1761" i="2" s="1"/>
  <c r="J1761" i="2" s="1"/>
  <c r="C1515" i="5"/>
  <c r="N1784" i="2" s="1"/>
  <c r="J1784" i="2" s="1"/>
  <c r="C1518" i="5"/>
  <c r="N1787" i="2" s="1"/>
  <c r="J1787" i="2" s="1"/>
  <c r="C1528" i="5"/>
  <c r="N1797" i="2" s="1"/>
  <c r="J1797" i="2" s="1"/>
  <c r="C1543" i="5"/>
  <c r="N1812" i="2" s="1"/>
  <c r="J1812" i="2" s="1"/>
  <c r="C1545" i="5"/>
  <c r="N1814" i="2" s="1"/>
  <c r="J1814" i="2" s="1"/>
  <c r="C1565" i="5"/>
  <c r="N1834" i="2" s="1"/>
  <c r="J1834" i="2" s="1"/>
  <c r="C1617" i="5"/>
  <c r="N1904" i="2" s="1"/>
  <c r="J1904" i="2" s="1"/>
  <c r="D1632" i="5"/>
  <c r="C1647" i="5"/>
  <c r="C1650" i="5"/>
  <c r="N1941" i="2" s="1"/>
  <c r="J1941" i="2" s="1"/>
  <c r="C1664" i="5"/>
  <c r="N1976" i="2" s="1"/>
  <c r="J1976" i="2" s="1"/>
  <c r="W1681" i="5"/>
  <c r="C1671" i="5"/>
  <c r="C1731" i="5"/>
  <c r="C1746" i="5"/>
  <c r="N2227" i="2" s="1"/>
  <c r="J2227" i="2" s="1"/>
  <c r="D1773" i="5"/>
  <c r="C1788" i="5"/>
  <c r="N2329" i="2" s="1"/>
  <c r="J2329" i="2" s="1"/>
  <c r="I1942" i="5"/>
  <c r="I1943" i="5" s="1"/>
  <c r="D1843" i="5"/>
  <c r="C1843" i="5" s="1"/>
  <c r="N2384" i="2" s="1"/>
  <c r="J2384" i="2" s="1"/>
  <c r="C1847" i="5"/>
  <c r="N2388" i="2" s="1"/>
  <c r="J2388" i="2" s="1"/>
  <c r="C1866" i="5"/>
  <c r="N2407" i="2" s="1"/>
  <c r="J2407" i="2" s="1"/>
  <c r="C1890" i="5"/>
  <c r="C1927" i="5"/>
  <c r="C1929" i="5"/>
  <c r="N2471" i="2" s="1"/>
  <c r="J2471" i="2" s="1"/>
  <c r="C2035" i="5"/>
  <c r="N2638" i="2" s="1"/>
  <c r="J2638" i="2" s="1"/>
  <c r="C2040" i="5"/>
  <c r="N2643" i="2" s="1"/>
  <c r="J2643" i="2" s="1"/>
  <c r="C2075" i="5"/>
  <c r="N2678" i="2" s="1"/>
  <c r="J2678" i="2" s="1"/>
  <c r="C2106" i="5"/>
  <c r="N2714" i="2" s="1"/>
  <c r="J2714" i="2" s="1"/>
  <c r="C2270" i="5"/>
  <c r="C2272" i="5"/>
  <c r="N2978" i="2" s="1"/>
  <c r="J2978" i="2" s="1"/>
  <c r="C2274" i="5"/>
  <c r="N2980" i="2" s="1"/>
  <c r="J2980" i="2" s="1"/>
  <c r="C2276" i="5"/>
  <c r="N2982" i="2" s="1"/>
  <c r="J2982" i="2" s="1"/>
  <c r="N3078" i="2"/>
  <c r="J3078" i="2" s="1"/>
  <c r="C927" i="5"/>
  <c r="C942" i="5"/>
  <c r="N1109" i="2" s="1"/>
  <c r="J1109" i="2" s="1"/>
  <c r="C954" i="5"/>
  <c r="N1125" i="2" s="1"/>
  <c r="J1125" i="2" s="1"/>
  <c r="C1117" i="5"/>
  <c r="N1373" i="2" s="1"/>
  <c r="J1373" i="2" s="1"/>
  <c r="C1124" i="5"/>
  <c r="N1380" i="2" s="1"/>
  <c r="J1380" i="2" s="1"/>
  <c r="C1134" i="5"/>
  <c r="N1390" i="2" s="1"/>
  <c r="J1390" i="2" s="1"/>
  <c r="C1139" i="5"/>
  <c r="N1395" i="2" s="1"/>
  <c r="J1395" i="2" s="1"/>
  <c r="C1144" i="5"/>
  <c r="C1186" i="5"/>
  <c r="N1446" i="2" s="1"/>
  <c r="J1446" i="2" s="1"/>
  <c r="N1448" i="2"/>
  <c r="J1448" i="2" s="1"/>
  <c r="C1205" i="5"/>
  <c r="N1466" i="2" s="1"/>
  <c r="J1466" i="2" s="1"/>
  <c r="C1212" i="5"/>
  <c r="N1473" i="2" s="1"/>
  <c r="J1473" i="2" s="1"/>
  <c r="C1221" i="5"/>
  <c r="N1482" i="2" s="1"/>
  <c r="J1482" i="2" s="1"/>
  <c r="C1224" i="5"/>
  <c r="N1485" i="2" s="1"/>
  <c r="J1485" i="2" s="1"/>
  <c r="C1243" i="5"/>
  <c r="N1505" i="2" s="1"/>
  <c r="J1505" i="2" s="1"/>
  <c r="C1258" i="5"/>
  <c r="N1521" i="2" s="1"/>
  <c r="J1521" i="2" s="1"/>
  <c r="C1270" i="5"/>
  <c r="N1534" i="2" s="1"/>
  <c r="J1534" i="2" s="1"/>
  <c r="C1275" i="5"/>
  <c r="N1539" i="2" s="1"/>
  <c r="J1539" i="2" s="1"/>
  <c r="C1294" i="5"/>
  <c r="N1559" i="2" s="1"/>
  <c r="J1559" i="2" s="1"/>
  <c r="C1300" i="5"/>
  <c r="N1565" i="2" s="1"/>
  <c r="J1565" i="2" s="1"/>
  <c r="C1303" i="5"/>
  <c r="N1568" i="2" s="1"/>
  <c r="J1568" i="2" s="1"/>
  <c r="C1321" i="5"/>
  <c r="N1588" i="2" s="1"/>
  <c r="J1588" i="2" s="1"/>
  <c r="C1338" i="5"/>
  <c r="N1605" i="2" s="1"/>
  <c r="J1605" i="2" s="1"/>
  <c r="C1341" i="5"/>
  <c r="N1608" i="2" s="1"/>
  <c r="J1608" i="2" s="1"/>
  <c r="C1355" i="5"/>
  <c r="N1622" i="2" s="1"/>
  <c r="J1622" i="2" s="1"/>
  <c r="C1357" i="5"/>
  <c r="N1624" i="2" s="1"/>
  <c r="J1624" i="2" s="1"/>
  <c r="C1360" i="5"/>
  <c r="N1627" i="2" s="1"/>
  <c r="J1627" i="2" s="1"/>
  <c r="C1367" i="5"/>
  <c r="N1634" i="2" s="1"/>
  <c r="J1634" i="2" s="1"/>
  <c r="C1376" i="5"/>
  <c r="C1402" i="5"/>
  <c r="N1669" i="2" s="1"/>
  <c r="J1669" i="2" s="1"/>
  <c r="C1412" i="5"/>
  <c r="N1680" i="2" s="1"/>
  <c r="J1680" i="2" s="1"/>
  <c r="C1419" i="5"/>
  <c r="N1687" i="2" s="1"/>
  <c r="J1687" i="2" s="1"/>
  <c r="C1428" i="5"/>
  <c r="N1697" i="2" s="1"/>
  <c r="J1697" i="2" s="1"/>
  <c r="C1444" i="5"/>
  <c r="N1712" i="2" s="1"/>
  <c r="J1712" i="2" s="1"/>
  <c r="C1450" i="5"/>
  <c r="N1718" i="2" s="1"/>
  <c r="J1718" i="2" s="1"/>
  <c r="C1453" i="5"/>
  <c r="N1721" i="2" s="1"/>
  <c r="J1721" i="2" s="1"/>
  <c r="C1460" i="5"/>
  <c r="N1728" i="2" s="1"/>
  <c r="J1728" i="2" s="1"/>
  <c r="C1473" i="5"/>
  <c r="N1741" i="2" s="1"/>
  <c r="J1741" i="2" s="1"/>
  <c r="C1476" i="5"/>
  <c r="N1744" i="2" s="1"/>
  <c r="J1744" i="2" s="1"/>
  <c r="C1487" i="5"/>
  <c r="N1756" i="2" s="1"/>
  <c r="J1756" i="2" s="1"/>
  <c r="C1491" i="5"/>
  <c r="N1760" i="2" s="1"/>
  <c r="J1760" i="2" s="1"/>
  <c r="C1500" i="5"/>
  <c r="N1769" i="2" s="1"/>
  <c r="J1769" i="2" s="1"/>
  <c r="C1514" i="5"/>
  <c r="N1783" i="2" s="1"/>
  <c r="J1783" i="2" s="1"/>
  <c r="C1524" i="5"/>
  <c r="N1793" i="2" s="1"/>
  <c r="J1793" i="2" s="1"/>
  <c r="C1532" i="5"/>
  <c r="N1801" i="2" s="1"/>
  <c r="J1801" i="2" s="1"/>
  <c r="C1534" i="5"/>
  <c r="N1803" i="2" s="1"/>
  <c r="J1803" i="2" s="1"/>
  <c r="C1584" i="5"/>
  <c r="N1863" i="2" s="1"/>
  <c r="J1863" i="2" s="1"/>
  <c r="C1653" i="5"/>
  <c r="N1946" i="2" s="1"/>
  <c r="J1946" i="2" s="1"/>
  <c r="P1723" i="5"/>
  <c r="P1782" i="5" s="1"/>
  <c r="C1714" i="5"/>
  <c r="N2136" i="2" s="1"/>
  <c r="J2136" i="2" s="1"/>
  <c r="C1796" i="5"/>
  <c r="N2337" i="2" s="1"/>
  <c r="J2337" i="2" s="1"/>
  <c r="C1842" i="5"/>
  <c r="N2383" i="2" s="1"/>
  <c r="J2383" i="2" s="1"/>
  <c r="C1852" i="5"/>
  <c r="N2393" i="2" s="1"/>
  <c r="J2393" i="2" s="1"/>
  <c r="C1861" i="5"/>
  <c r="N2402" i="2" s="1"/>
  <c r="J2402" i="2" s="1"/>
  <c r="C1902" i="5"/>
  <c r="N2444" i="2" s="1"/>
  <c r="J2444" i="2" s="1"/>
  <c r="C1908" i="5"/>
  <c r="N2450" i="2" s="1"/>
  <c r="J2450" i="2" s="1"/>
  <c r="C1989" i="5"/>
  <c r="D1990" i="5"/>
  <c r="C1995" i="5"/>
  <c r="U2000" i="5"/>
  <c r="U2028" i="5" s="1"/>
  <c r="C2019" i="5"/>
  <c r="C2021" i="5"/>
  <c r="N2615" i="2" s="1"/>
  <c r="J2615" i="2" s="1"/>
  <c r="C2023" i="5"/>
  <c r="N2617" i="2" s="1"/>
  <c r="J2617" i="2" s="1"/>
  <c r="C2025" i="5"/>
  <c r="N2619" i="2" s="1"/>
  <c r="J2619" i="2" s="1"/>
  <c r="C2044" i="5"/>
  <c r="N2647" i="2" s="1"/>
  <c r="J2647" i="2" s="1"/>
  <c r="C2053" i="5"/>
  <c r="N2656" i="2" s="1"/>
  <c r="J2656" i="2" s="1"/>
  <c r="C2084" i="5"/>
  <c r="N2690" i="2" s="1"/>
  <c r="J2690" i="2" s="1"/>
  <c r="C2089" i="5"/>
  <c r="N2695" i="2" s="1"/>
  <c r="J2695" i="2" s="1"/>
  <c r="C2114" i="5"/>
  <c r="N2725" i="2" s="1"/>
  <c r="J2725" i="2" s="1"/>
  <c r="D2168" i="5"/>
  <c r="D2172" i="5"/>
  <c r="C2170" i="5"/>
  <c r="C2319" i="5"/>
  <c r="N3028" i="2" s="1"/>
  <c r="J3028" i="2" s="1"/>
  <c r="G2475" i="5"/>
  <c r="K2475" i="5"/>
  <c r="F2510" i="5"/>
  <c r="D2488" i="5"/>
  <c r="C2488" i="5" s="1"/>
  <c r="N3252" i="2" s="1"/>
  <c r="J3252" i="2" s="1"/>
  <c r="W647" i="5"/>
  <c r="C767" i="5"/>
  <c r="N933" i="2" s="1"/>
  <c r="J933" i="2" s="1"/>
  <c r="C783" i="5"/>
  <c r="N949" i="2" s="1"/>
  <c r="J949" i="2" s="1"/>
  <c r="C806" i="5"/>
  <c r="N972" i="2" s="1"/>
  <c r="J972" i="2" s="1"/>
  <c r="C850" i="5"/>
  <c r="N1016" i="2" s="1"/>
  <c r="J1016" i="2" s="1"/>
  <c r="C871" i="5"/>
  <c r="N1037" i="2" s="1"/>
  <c r="J1037" i="2" s="1"/>
  <c r="C879" i="5"/>
  <c r="N1045" i="2" s="1"/>
  <c r="J1045" i="2" s="1"/>
  <c r="C881" i="5"/>
  <c r="N1047" i="2" s="1"/>
  <c r="J1047" i="2" s="1"/>
  <c r="C883" i="5"/>
  <c r="N1049" i="2" s="1"/>
  <c r="J1049" i="2" s="1"/>
  <c r="C890" i="5"/>
  <c r="N1056" i="2" s="1"/>
  <c r="J1056" i="2" s="1"/>
  <c r="C895" i="5"/>
  <c r="N1061" i="2" s="1"/>
  <c r="J1061" i="2" s="1"/>
  <c r="C897" i="5"/>
  <c r="N1063" i="2" s="1"/>
  <c r="J1063" i="2" s="1"/>
  <c r="C901" i="5"/>
  <c r="N1067" i="2" s="1"/>
  <c r="J1067" i="2" s="1"/>
  <c r="C905" i="5"/>
  <c r="N1071" i="2" s="1"/>
  <c r="J1071" i="2" s="1"/>
  <c r="C911" i="5"/>
  <c r="N1077" i="2" s="1"/>
  <c r="J1077" i="2" s="1"/>
  <c r="C913" i="5"/>
  <c r="N1079" i="2" s="1"/>
  <c r="J1079" i="2" s="1"/>
  <c r="C969" i="5"/>
  <c r="N1139" i="2" s="1"/>
  <c r="J1139" i="2" s="1"/>
  <c r="C1000" i="5"/>
  <c r="N1180" i="2" s="1"/>
  <c r="J1180" i="2" s="1"/>
  <c r="C1002" i="5"/>
  <c r="N1182" i="2" s="1"/>
  <c r="J1182" i="2" s="1"/>
  <c r="C1004" i="5"/>
  <c r="N1184" i="2" s="1"/>
  <c r="J1184" i="2" s="1"/>
  <c r="C1006" i="5"/>
  <c r="C1008" i="5"/>
  <c r="N1188" i="2" s="1"/>
  <c r="J1188" i="2" s="1"/>
  <c r="C1010" i="5"/>
  <c r="N1190" i="2" s="1"/>
  <c r="J1190" i="2" s="1"/>
  <c r="C1012" i="5"/>
  <c r="N1192" i="2" s="1"/>
  <c r="J1192" i="2" s="1"/>
  <c r="C1016" i="5"/>
  <c r="N1196" i="2" s="1"/>
  <c r="J1196" i="2" s="1"/>
  <c r="C1018" i="5"/>
  <c r="N1198" i="2" s="1"/>
  <c r="J1198" i="2" s="1"/>
  <c r="C1020" i="5"/>
  <c r="N1200" i="2" s="1"/>
  <c r="J1200" i="2" s="1"/>
  <c r="C1024" i="5"/>
  <c r="N1204" i="2" s="1"/>
  <c r="J1204" i="2" s="1"/>
  <c r="C1026" i="5"/>
  <c r="N1206" i="2" s="1"/>
  <c r="J1206" i="2" s="1"/>
  <c r="C1049" i="5"/>
  <c r="N1230" i="2" s="1"/>
  <c r="J1230" i="2" s="1"/>
  <c r="C1051" i="5"/>
  <c r="N1232" i="2" s="1"/>
  <c r="J1232" i="2" s="1"/>
  <c r="C1053" i="5"/>
  <c r="N1234" i="2" s="1"/>
  <c r="J1234" i="2" s="1"/>
  <c r="C1055" i="5"/>
  <c r="N1236" i="2" s="1"/>
  <c r="J1236" i="2" s="1"/>
  <c r="C1057" i="5"/>
  <c r="N1238" i="2" s="1"/>
  <c r="J1238" i="2" s="1"/>
  <c r="C1059" i="5"/>
  <c r="N1240" i="2" s="1"/>
  <c r="J1240" i="2" s="1"/>
  <c r="C1061" i="5"/>
  <c r="N1242" i="2" s="1"/>
  <c r="J1242" i="2" s="1"/>
  <c r="C1063" i="5"/>
  <c r="N1244" i="2" s="1"/>
  <c r="J1244" i="2" s="1"/>
  <c r="C1065" i="5"/>
  <c r="N1246" i="2" s="1"/>
  <c r="J1246" i="2" s="1"/>
  <c r="C1067" i="5"/>
  <c r="N1248" i="2" s="1"/>
  <c r="J1248" i="2" s="1"/>
  <c r="C1069" i="5"/>
  <c r="N1250" i="2" s="1"/>
  <c r="J1250" i="2" s="1"/>
  <c r="D1087" i="5"/>
  <c r="W1111" i="5"/>
  <c r="C1103" i="5"/>
  <c r="C1110" i="5"/>
  <c r="N1364" i="2" s="1"/>
  <c r="J1364" i="2" s="1"/>
  <c r="C1119" i="5"/>
  <c r="N1375" i="2" s="1"/>
  <c r="J1375" i="2" s="1"/>
  <c r="C1123" i="5"/>
  <c r="N1379" i="2" s="1"/>
  <c r="J1379" i="2" s="1"/>
  <c r="D1153" i="5"/>
  <c r="C1132" i="5"/>
  <c r="N1388" i="2" s="1"/>
  <c r="J1388" i="2" s="1"/>
  <c r="C1140" i="5"/>
  <c r="N1396" i="2" s="1"/>
  <c r="J1396" i="2" s="1"/>
  <c r="C1148" i="5"/>
  <c r="N1404" i="2" s="1"/>
  <c r="J1404" i="2" s="1"/>
  <c r="C1158" i="5"/>
  <c r="N1414" i="2" s="1"/>
  <c r="J1414" i="2" s="1"/>
  <c r="C1167" i="5"/>
  <c r="N1423" i="2" s="1"/>
  <c r="J1423" i="2" s="1"/>
  <c r="C1177" i="5"/>
  <c r="N1433" i="2" s="1"/>
  <c r="J1433" i="2" s="1"/>
  <c r="C1182" i="5"/>
  <c r="N1440" i="2" s="1"/>
  <c r="J1440" i="2" s="1"/>
  <c r="K1574" i="5"/>
  <c r="K1623" i="5" s="1"/>
  <c r="C1193" i="5"/>
  <c r="N1454" i="2" s="1"/>
  <c r="J1454" i="2" s="1"/>
  <c r="N1456" i="2"/>
  <c r="J1456" i="2" s="1"/>
  <c r="C1201" i="5"/>
  <c r="N1462" i="2" s="1"/>
  <c r="J1462" i="2" s="1"/>
  <c r="C1208" i="5"/>
  <c r="N1469" i="2" s="1"/>
  <c r="J1469" i="2" s="1"/>
  <c r="C1215" i="5"/>
  <c r="N1476" i="2" s="1"/>
  <c r="J1476" i="2" s="1"/>
  <c r="C1225" i="5"/>
  <c r="N1486" i="2" s="1"/>
  <c r="J1486" i="2" s="1"/>
  <c r="C1230" i="5"/>
  <c r="N1491" i="2" s="1"/>
  <c r="J1491" i="2" s="1"/>
  <c r="C1256" i="5"/>
  <c r="N1518" i="2" s="1"/>
  <c r="J1518" i="2" s="1"/>
  <c r="C1259" i="5"/>
  <c r="N1522" i="2" s="1"/>
  <c r="J1522" i="2" s="1"/>
  <c r="C1283" i="5"/>
  <c r="N1547" i="2" s="1"/>
  <c r="J1547" i="2" s="1"/>
  <c r="C1288" i="5"/>
  <c r="N1552" i="2" s="1"/>
  <c r="J1552" i="2" s="1"/>
  <c r="C1295" i="5"/>
  <c r="N1560" i="2" s="1"/>
  <c r="J1560" i="2" s="1"/>
  <c r="C1301" i="5"/>
  <c r="N1566" i="2" s="1"/>
  <c r="J1566" i="2" s="1"/>
  <c r="C1305" i="5"/>
  <c r="N1570" i="2" s="1"/>
  <c r="J1570" i="2" s="1"/>
  <c r="C1312" i="5"/>
  <c r="N1579" i="2" s="1"/>
  <c r="J1579" i="2" s="1"/>
  <c r="C1317" i="5"/>
  <c r="N1584" i="2" s="1"/>
  <c r="J1584" i="2" s="1"/>
  <c r="C1327" i="5"/>
  <c r="N1594" i="2" s="1"/>
  <c r="J1594" i="2" s="1"/>
  <c r="C1364" i="5"/>
  <c r="N1631" i="2" s="1"/>
  <c r="J1631" i="2" s="1"/>
  <c r="C1366" i="5"/>
  <c r="N1633" i="2" s="1"/>
  <c r="J1633" i="2" s="1"/>
  <c r="C1374" i="5"/>
  <c r="N1641" i="2" s="1"/>
  <c r="J1641" i="2" s="1"/>
  <c r="C1380" i="5"/>
  <c r="N1646" i="2" s="1"/>
  <c r="J1646" i="2" s="1"/>
  <c r="C1385" i="5"/>
  <c r="N1651" i="2" s="1"/>
  <c r="J1651" i="2" s="1"/>
  <c r="C1406" i="5"/>
  <c r="N1674" i="2" s="1"/>
  <c r="J1674" i="2" s="1"/>
  <c r="C1447" i="5"/>
  <c r="N1715" i="2" s="1"/>
  <c r="J1715" i="2" s="1"/>
  <c r="C1451" i="5"/>
  <c r="N1719" i="2" s="1"/>
  <c r="J1719" i="2" s="1"/>
  <c r="C1455" i="5"/>
  <c r="N1723" i="2" s="1"/>
  <c r="J1723" i="2" s="1"/>
  <c r="C1459" i="5"/>
  <c r="N1727" i="2" s="1"/>
  <c r="J1727" i="2" s="1"/>
  <c r="C1463" i="5"/>
  <c r="N1731" i="2" s="1"/>
  <c r="J1731" i="2" s="1"/>
  <c r="C1480" i="5"/>
  <c r="N1749" i="2" s="1"/>
  <c r="J1749" i="2" s="1"/>
  <c r="C1486" i="5"/>
  <c r="N1755" i="2" s="1"/>
  <c r="J1755" i="2" s="1"/>
  <c r="N1776" i="2"/>
  <c r="J1776" i="2" s="1"/>
  <c r="C1510" i="5"/>
  <c r="N1779" i="2" s="1"/>
  <c r="J1779" i="2" s="1"/>
  <c r="N1808" i="2"/>
  <c r="J1808" i="2" s="1"/>
  <c r="C1544" i="5"/>
  <c r="N1813" i="2" s="1"/>
  <c r="J1813" i="2" s="1"/>
  <c r="C1564" i="5"/>
  <c r="N1833" i="2" s="1"/>
  <c r="J1833" i="2" s="1"/>
  <c r="N1836" i="2"/>
  <c r="J1836" i="2" s="1"/>
  <c r="C1570" i="5"/>
  <c r="N1840" i="2" s="1"/>
  <c r="J1840" i="2" s="1"/>
  <c r="C1606" i="5"/>
  <c r="N1893" i="2" s="1"/>
  <c r="J1893" i="2" s="1"/>
  <c r="D1659" i="5"/>
  <c r="C1635" i="5"/>
  <c r="N1922" i="2" s="1"/>
  <c r="J1922" i="2" s="1"/>
  <c r="C1637" i="5"/>
  <c r="N1924" i="2" s="1"/>
  <c r="J1924" i="2" s="1"/>
  <c r="C1642" i="5"/>
  <c r="N1929" i="2" s="1"/>
  <c r="J1929" i="2" s="1"/>
  <c r="C1644" i="5"/>
  <c r="N1931" i="2" s="1"/>
  <c r="J1931" i="2" s="1"/>
  <c r="N1959" i="2"/>
  <c r="J1959" i="2" s="1"/>
  <c r="C1662" i="5"/>
  <c r="N1974" i="2" s="1"/>
  <c r="J1974" i="2" s="1"/>
  <c r="C1678" i="5"/>
  <c r="N1995" i="2" s="1"/>
  <c r="J1995" i="2" s="1"/>
  <c r="D1705" i="5"/>
  <c r="V1723" i="5"/>
  <c r="V1782" i="5" s="1"/>
  <c r="U1747" i="5"/>
  <c r="U1782" i="5" s="1"/>
  <c r="E1751" i="5"/>
  <c r="D1750" i="5"/>
  <c r="C1750" i="5" s="1"/>
  <c r="C1792" i="5"/>
  <c r="N2333" i="2" s="1"/>
  <c r="J2333" i="2" s="1"/>
  <c r="C1797" i="5"/>
  <c r="N2338" i="2" s="1"/>
  <c r="J2338" i="2" s="1"/>
  <c r="N1942" i="5"/>
  <c r="N1943" i="5" s="1"/>
  <c r="C1810" i="5"/>
  <c r="N2351" i="2" s="1"/>
  <c r="J2351" i="2" s="1"/>
  <c r="C1814" i="5"/>
  <c r="C1822" i="5"/>
  <c r="N2363" i="2" s="1"/>
  <c r="J2363" i="2" s="1"/>
  <c r="C1829" i="5"/>
  <c r="N2370" i="2" s="1"/>
  <c r="J2370" i="2" s="1"/>
  <c r="C1845" i="5"/>
  <c r="N2386" i="2" s="1"/>
  <c r="J2386" i="2" s="1"/>
  <c r="D1849" i="5"/>
  <c r="C1849" i="5" s="1"/>
  <c r="N2390" i="2" s="1"/>
  <c r="J2390" i="2" s="1"/>
  <c r="C1860" i="5"/>
  <c r="N2401" i="2" s="1"/>
  <c r="J2401" i="2" s="1"/>
  <c r="C1863" i="5"/>
  <c r="N2404" i="2" s="1"/>
  <c r="J2404" i="2" s="1"/>
  <c r="C1886" i="5"/>
  <c r="N2428" i="2" s="1"/>
  <c r="J2428" i="2" s="1"/>
  <c r="C1892" i="5"/>
  <c r="C1895" i="5"/>
  <c r="N2437" i="2" s="1"/>
  <c r="J2437" i="2" s="1"/>
  <c r="C1915" i="5"/>
  <c r="N2457" i="2" s="1"/>
  <c r="J2457" i="2" s="1"/>
  <c r="C1952" i="5"/>
  <c r="N2499" i="2" s="1"/>
  <c r="J2499" i="2" s="1"/>
  <c r="C2032" i="5"/>
  <c r="N2635" i="2" s="1"/>
  <c r="J2635" i="2" s="1"/>
  <c r="C2048" i="5"/>
  <c r="N2651" i="2" s="1"/>
  <c r="J2651" i="2" s="1"/>
  <c r="C2100" i="5"/>
  <c r="N2708" i="2" s="1"/>
  <c r="J2708" i="2" s="1"/>
  <c r="C2104" i="5"/>
  <c r="N2712" i="2" s="1"/>
  <c r="J2712" i="2" s="1"/>
  <c r="W2268" i="5"/>
  <c r="C2327" i="5"/>
  <c r="N3036" i="2" s="1"/>
  <c r="J3036" i="2" s="1"/>
  <c r="E2474" i="5"/>
  <c r="E2475" i="5" s="1"/>
  <c r="N3090" i="2"/>
  <c r="J3090" i="2" s="1"/>
  <c r="N3137" i="2"/>
  <c r="J3137" i="2" s="1"/>
  <c r="N3098" i="2"/>
  <c r="J3098" i="2" s="1"/>
  <c r="D2485" i="5"/>
  <c r="C2485" i="5" s="1"/>
  <c r="N3227" i="2" s="1"/>
  <c r="J3227" i="2" s="1"/>
  <c r="E2510" i="5"/>
  <c r="C1610" i="5"/>
  <c r="N1897" i="2" s="1"/>
  <c r="J1897" i="2" s="1"/>
  <c r="C1615" i="5"/>
  <c r="N1902" i="2" s="1"/>
  <c r="J1902" i="2" s="1"/>
  <c r="C1638" i="5"/>
  <c r="N1925" i="2" s="1"/>
  <c r="J1925" i="2" s="1"/>
  <c r="C1645" i="5"/>
  <c r="N1932" i="2" s="1"/>
  <c r="J1932" i="2" s="1"/>
  <c r="C1654" i="5"/>
  <c r="N1947" i="2" s="1"/>
  <c r="J1947" i="2" s="1"/>
  <c r="N1949" i="2"/>
  <c r="J1949" i="2" s="1"/>
  <c r="N1963" i="2"/>
  <c r="J1963" i="2" s="1"/>
  <c r="C1663" i="5"/>
  <c r="N1975" i="2" s="1"/>
  <c r="J1975" i="2" s="1"/>
  <c r="C1676" i="5"/>
  <c r="N1993" i="2" s="1"/>
  <c r="J1993" i="2" s="1"/>
  <c r="N2017" i="2"/>
  <c r="J2017" i="2" s="1"/>
  <c r="G1747" i="5"/>
  <c r="G1782" i="5" s="1"/>
  <c r="E1747" i="5"/>
  <c r="D1743" i="5"/>
  <c r="C1743" i="5" s="1"/>
  <c r="N2218" i="2" s="1"/>
  <c r="J2218" i="2" s="1"/>
  <c r="D1768" i="5"/>
  <c r="D1777" i="5"/>
  <c r="C1777" i="5" s="1"/>
  <c r="N2279" i="2" s="1"/>
  <c r="J2279" i="2" s="1"/>
  <c r="C1825" i="5"/>
  <c r="C1834" i="5"/>
  <c r="N2375" i="2" s="1"/>
  <c r="J2375" i="2" s="1"/>
  <c r="D1841" i="5"/>
  <c r="C1841" i="5" s="1"/>
  <c r="N2382" i="2" s="1"/>
  <c r="J2382" i="2" s="1"/>
  <c r="C1878" i="5"/>
  <c r="C1880" i="5"/>
  <c r="N2421" i="2" s="1"/>
  <c r="J2421" i="2" s="1"/>
  <c r="C1884" i="5"/>
  <c r="N2426" i="2" s="1"/>
  <c r="J2426" i="2" s="1"/>
  <c r="C1887" i="5"/>
  <c r="N2429" i="2" s="1"/>
  <c r="J2429" i="2" s="1"/>
  <c r="C1889" i="5"/>
  <c r="N2431" i="2" s="1"/>
  <c r="J2431" i="2" s="1"/>
  <c r="V1942" i="5"/>
  <c r="V1943" i="5" s="1"/>
  <c r="C1913" i="5"/>
  <c r="N2455" i="2" s="1"/>
  <c r="J2455" i="2" s="1"/>
  <c r="C1938" i="5"/>
  <c r="N2480" i="2" s="1"/>
  <c r="J2480" i="2" s="1"/>
  <c r="C1940" i="5"/>
  <c r="N2482" i="2" s="1"/>
  <c r="J2482" i="2" s="1"/>
  <c r="R1949" i="5"/>
  <c r="R2028" i="5" s="1"/>
  <c r="C1962" i="5"/>
  <c r="N2515" i="2" s="1"/>
  <c r="J2515" i="2" s="1"/>
  <c r="V2000" i="5"/>
  <c r="D2016" i="5"/>
  <c r="C2052" i="5"/>
  <c r="N2655" i="2" s="1"/>
  <c r="J2655" i="2" s="1"/>
  <c r="C2057" i="5"/>
  <c r="N2660" i="2" s="1"/>
  <c r="J2660" i="2" s="1"/>
  <c r="C2073" i="5"/>
  <c r="N2676" i="2" s="1"/>
  <c r="J2676" i="2" s="1"/>
  <c r="C2076" i="5"/>
  <c r="N2679" i="2" s="1"/>
  <c r="J2679" i="2" s="1"/>
  <c r="C2116" i="5"/>
  <c r="N2729" i="2" s="1"/>
  <c r="J2729" i="2" s="1"/>
  <c r="C2118" i="5"/>
  <c r="N2731" i="2" s="1"/>
  <c r="J2731" i="2" s="1"/>
  <c r="C2232" i="5"/>
  <c r="N2938" i="2" s="1"/>
  <c r="J2938" i="2" s="1"/>
  <c r="N2946" i="2"/>
  <c r="J2946" i="2" s="1"/>
  <c r="C2248" i="5"/>
  <c r="N2954" i="2" s="1"/>
  <c r="J2954" i="2" s="1"/>
  <c r="C2256" i="5"/>
  <c r="N2962" i="2" s="1"/>
  <c r="J2962" i="2" s="1"/>
  <c r="C2264" i="5"/>
  <c r="N2970" i="2" s="1"/>
  <c r="J2970" i="2" s="1"/>
  <c r="D2300" i="5"/>
  <c r="C2300" i="5" s="1"/>
  <c r="N3009" i="2" s="1"/>
  <c r="J3009" i="2" s="1"/>
  <c r="N3063" i="2"/>
  <c r="J3063" i="2" s="1"/>
  <c r="N3065" i="2"/>
  <c r="J3065" i="2" s="1"/>
  <c r="R2475" i="5"/>
  <c r="C2383" i="5"/>
  <c r="N3091" i="2" s="1"/>
  <c r="J3091" i="2" s="1"/>
  <c r="N3103" i="2"/>
  <c r="J3103" i="2" s="1"/>
  <c r="N3110" i="2"/>
  <c r="J3110" i="2" s="1"/>
  <c r="N3125" i="2"/>
  <c r="J3125" i="2" s="1"/>
  <c r="R2756" i="5"/>
  <c r="U2868" i="5"/>
  <c r="U2869" i="5" s="1"/>
  <c r="C2115" i="5"/>
  <c r="N2726" i="2" s="1"/>
  <c r="J2726" i="2" s="1"/>
  <c r="C2125" i="5"/>
  <c r="N2738" i="2" s="1"/>
  <c r="J2738" i="2" s="1"/>
  <c r="C2129" i="5"/>
  <c r="N2744" i="2" s="1"/>
  <c r="J2744" i="2" s="1"/>
  <c r="C2131" i="5"/>
  <c r="N2746" i="2" s="1"/>
  <c r="J2746" i="2" s="1"/>
  <c r="C2133" i="5"/>
  <c r="N2748" i="2" s="1"/>
  <c r="J2748" i="2" s="1"/>
  <c r="C2135" i="5"/>
  <c r="N2750" i="2" s="1"/>
  <c r="J2750" i="2" s="1"/>
  <c r="C2137" i="5"/>
  <c r="N2752" i="2" s="1"/>
  <c r="J2752" i="2" s="1"/>
  <c r="C2142" i="5"/>
  <c r="N2758" i="2" s="1"/>
  <c r="J2758" i="2" s="1"/>
  <c r="C2144" i="5"/>
  <c r="N2760" i="2" s="1"/>
  <c r="J2760" i="2" s="1"/>
  <c r="C2278" i="5"/>
  <c r="N2984" i="2" s="1"/>
  <c r="J2984" i="2" s="1"/>
  <c r="W2305" i="5"/>
  <c r="W2309" i="5"/>
  <c r="N3095" i="2"/>
  <c r="J3095" i="2" s="1"/>
  <c r="N3119" i="2"/>
  <c r="J3119" i="2" s="1"/>
  <c r="W2515" i="5"/>
  <c r="C2162" i="5"/>
  <c r="N2806" i="2" s="1"/>
  <c r="J2806" i="2" s="1"/>
  <c r="C2176" i="5"/>
  <c r="N2834" i="2" s="1"/>
  <c r="J2834" i="2" s="1"/>
  <c r="C2271" i="5"/>
  <c r="N2977" i="2" s="1"/>
  <c r="J2977" i="2" s="1"/>
  <c r="C2273" i="5"/>
  <c r="N2979" i="2" s="1"/>
  <c r="J2979" i="2" s="1"/>
  <c r="C2275" i="5"/>
  <c r="N2981" i="2" s="1"/>
  <c r="J2981" i="2" s="1"/>
  <c r="C2283" i="5"/>
  <c r="N2991" i="2" s="1"/>
  <c r="J2991" i="2" s="1"/>
  <c r="C2285" i="5"/>
  <c r="N2993" i="2" s="1"/>
  <c r="J2993" i="2" s="1"/>
  <c r="C2287" i="5"/>
  <c r="N2995" i="2" s="1"/>
  <c r="J2995" i="2" s="1"/>
  <c r="C2289" i="5"/>
  <c r="N2997" i="2" s="1"/>
  <c r="J2997" i="2" s="1"/>
  <c r="N2999" i="2"/>
  <c r="J2999" i="2" s="1"/>
  <c r="C2292" i="5"/>
  <c r="N3001" i="2" s="1"/>
  <c r="J3001" i="2" s="1"/>
  <c r="C2294" i="5"/>
  <c r="N3003" i="2" s="1"/>
  <c r="J3003" i="2" s="1"/>
  <c r="C2296" i="5"/>
  <c r="N3005" i="2" s="1"/>
  <c r="J3005" i="2" s="1"/>
  <c r="C2298" i="5"/>
  <c r="N3007" i="2" s="1"/>
  <c r="J3007" i="2" s="1"/>
  <c r="C2308" i="5"/>
  <c r="N3057" i="2"/>
  <c r="J3057" i="2" s="1"/>
  <c r="N3061" i="2"/>
  <c r="J3061" i="2" s="1"/>
  <c r="N2474" i="5"/>
  <c r="N2475" i="5" s="1"/>
  <c r="N3086" i="2"/>
  <c r="J3086" i="2" s="1"/>
  <c r="N3097" i="2"/>
  <c r="J3097" i="2" s="1"/>
  <c r="N3118" i="2"/>
  <c r="J3118" i="2" s="1"/>
  <c r="N3121" i="2"/>
  <c r="J3121" i="2" s="1"/>
  <c r="N3135" i="2"/>
  <c r="J3135" i="2" s="1"/>
  <c r="N3142" i="2"/>
  <c r="J3142" i="2" s="1"/>
  <c r="N3144" i="2"/>
  <c r="J3144" i="2" s="1"/>
  <c r="N3147" i="2"/>
  <c r="J3147" i="2" s="1"/>
  <c r="J2756" i="5"/>
  <c r="N3393" i="2"/>
  <c r="J3393" i="2" s="1"/>
  <c r="N3516" i="2"/>
  <c r="J3516" i="2" s="1"/>
  <c r="N3520" i="2"/>
  <c r="J3520" i="2" s="1"/>
  <c r="N3581" i="2"/>
  <c r="J3581" i="2" s="1"/>
  <c r="C2809" i="5"/>
  <c r="N3680" i="2" s="1"/>
  <c r="J3680" i="2" s="1"/>
  <c r="C2812" i="5"/>
  <c r="N3683" i="2" s="1"/>
  <c r="J3683" i="2" s="1"/>
  <c r="C2823" i="5"/>
  <c r="N3697" i="2" s="1"/>
  <c r="J3697" i="2" s="1"/>
  <c r="C857" i="6"/>
  <c r="N2581" i="2" s="1"/>
  <c r="J2581" i="2" s="1"/>
  <c r="N3127" i="2"/>
  <c r="J3127" i="2" s="1"/>
  <c r="N3132" i="2"/>
  <c r="J3132" i="2" s="1"/>
  <c r="N3139" i="2"/>
  <c r="J3139" i="2" s="1"/>
  <c r="N3179" i="2"/>
  <c r="J3179" i="2" s="1"/>
  <c r="C2514" i="5"/>
  <c r="N3346" i="2" s="1"/>
  <c r="J3346" i="2" s="1"/>
  <c r="G2756" i="5"/>
  <c r="O2756" i="5"/>
  <c r="N3386" i="2"/>
  <c r="J3386" i="2" s="1"/>
  <c r="N3388" i="2"/>
  <c r="J3388" i="2" s="1"/>
  <c r="N3415" i="2"/>
  <c r="J3415" i="2" s="1"/>
  <c r="N3423" i="2"/>
  <c r="J3423" i="2" s="1"/>
  <c r="N3436" i="2"/>
  <c r="J3436" i="2" s="1"/>
  <c r="N3445" i="2"/>
  <c r="J3445" i="2" s="1"/>
  <c r="N3513" i="2"/>
  <c r="J3513" i="2" s="1"/>
  <c r="N3540" i="2"/>
  <c r="J3540" i="2" s="1"/>
  <c r="N3576" i="2"/>
  <c r="J3576" i="2" s="1"/>
  <c r="N3578" i="2"/>
  <c r="J3578" i="2" s="1"/>
  <c r="D2807" i="5"/>
  <c r="C2818" i="5"/>
  <c r="N3692" i="2" s="1"/>
  <c r="J3692" i="2" s="1"/>
  <c r="C2844" i="5"/>
  <c r="N3743" i="2" s="1"/>
  <c r="J3743" i="2" s="1"/>
  <c r="W2755" i="5"/>
  <c r="N3391" i="2"/>
  <c r="J3391" i="2" s="1"/>
  <c r="N3396" i="2"/>
  <c r="J3396" i="2" s="1"/>
  <c r="N3406" i="2"/>
  <c r="J3406" i="2" s="1"/>
  <c r="N3434" i="2"/>
  <c r="J3434" i="2" s="1"/>
  <c r="N3451" i="2"/>
  <c r="J3451" i="2" s="1"/>
  <c r="N3505" i="2"/>
  <c r="J3505" i="2" s="1"/>
  <c r="N3510" i="2"/>
  <c r="J3510" i="2" s="1"/>
  <c r="N3525" i="2"/>
  <c r="J3525" i="2" s="1"/>
  <c r="N3532" i="2"/>
  <c r="J3532" i="2" s="1"/>
  <c r="N3534" i="2"/>
  <c r="J3534" i="2" s="1"/>
  <c r="N3537" i="2"/>
  <c r="J3537" i="2" s="1"/>
  <c r="N3549" i="2"/>
  <c r="J3549" i="2" s="1"/>
  <c r="N3609" i="2"/>
  <c r="J3609" i="2" s="1"/>
  <c r="C2763" i="5"/>
  <c r="N3621" i="2" s="1"/>
  <c r="J3621" i="2" s="1"/>
  <c r="C2767" i="5"/>
  <c r="N3625" i="2" s="1"/>
  <c r="J3625" i="2" s="1"/>
  <c r="D2850" i="5"/>
  <c r="W187" i="6"/>
  <c r="R824" i="4"/>
  <c r="C858" i="6"/>
  <c r="W570" i="4"/>
  <c r="W577" i="4" s="1"/>
  <c r="C569" i="4"/>
  <c r="D77" i="6"/>
  <c r="D59" i="6"/>
  <c r="C59" i="6" s="1"/>
  <c r="I63" i="6"/>
  <c r="I144" i="6" s="1"/>
  <c r="D53" i="6"/>
  <c r="C84" i="6"/>
  <c r="N364" i="2" s="1"/>
  <c r="C121" i="6"/>
  <c r="C123" i="6"/>
  <c r="D161" i="6"/>
  <c r="C164" i="6"/>
  <c r="N602" i="2" s="1"/>
  <c r="J602" i="2" s="1"/>
  <c r="C191" i="6"/>
  <c r="N647" i="2" s="1"/>
  <c r="J647" i="2" s="1"/>
  <c r="C193" i="6"/>
  <c r="N649" i="2" s="1"/>
  <c r="J649" i="2" s="1"/>
  <c r="C195" i="6"/>
  <c r="N651" i="2" s="1"/>
  <c r="J651" i="2" s="1"/>
  <c r="C295" i="6"/>
  <c r="N1272" i="2" s="1"/>
  <c r="J1272" i="2" s="1"/>
  <c r="C298" i="6"/>
  <c r="N1279" i="2" s="1"/>
  <c r="J1279" i="2" s="1"/>
  <c r="C301" i="6"/>
  <c r="N1283" i="2" s="1"/>
  <c r="J1283" i="2" s="1"/>
  <c r="C320" i="6"/>
  <c r="N1302" i="2" s="1"/>
  <c r="J1302" i="2" s="1"/>
  <c r="C325" i="6"/>
  <c r="N1307" i="2" s="1"/>
  <c r="J1307" i="2" s="1"/>
  <c r="C340" i="6"/>
  <c r="N1323" i="2" s="1"/>
  <c r="J1323" i="2" s="1"/>
  <c r="C355" i="6"/>
  <c r="N1339" i="2" s="1"/>
  <c r="J1339" i="2" s="1"/>
  <c r="C426" i="6"/>
  <c r="N1854" i="2" s="1"/>
  <c r="J1854" i="2" s="1"/>
  <c r="C506" i="6"/>
  <c r="N2043" i="2" s="1"/>
  <c r="J2043" i="2" s="1"/>
  <c r="C523" i="6"/>
  <c r="N2072" i="2" s="1"/>
  <c r="J2072" i="2" s="1"/>
  <c r="C530" i="6"/>
  <c r="N2079" i="2" s="1"/>
  <c r="J2079" i="2" s="1"/>
  <c r="C537" i="6"/>
  <c r="N2086" i="2" s="1"/>
  <c r="J2086" i="2" s="1"/>
  <c r="C539" i="6"/>
  <c r="C577" i="6"/>
  <c r="N2126" i="2" s="1"/>
  <c r="J2126" i="2" s="1"/>
  <c r="C638" i="6"/>
  <c r="C642" i="6"/>
  <c r="N2195" i="2" s="1"/>
  <c r="J2195" i="2" s="1"/>
  <c r="C650" i="6"/>
  <c r="N2205" i="2" s="1"/>
  <c r="J2205" i="2" s="1"/>
  <c r="C655" i="6"/>
  <c r="N2211" i="2" s="1"/>
  <c r="J2211" i="2" s="1"/>
  <c r="J753" i="6"/>
  <c r="C704" i="6"/>
  <c r="N2270" i="2" s="1"/>
  <c r="J2270" i="2" s="1"/>
  <c r="C712" i="6"/>
  <c r="C714" i="6"/>
  <c r="C716" i="6"/>
  <c r="N2283" i="2" s="1"/>
  <c r="J2283" i="2" s="1"/>
  <c r="C718" i="6"/>
  <c r="N2285" i="2" s="1"/>
  <c r="J2285" i="2" s="1"/>
  <c r="C739" i="6"/>
  <c r="N2306" i="2" s="1"/>
  <c r="J2306" i="2" s="1"/>
  <c r="C741" i="6"/>
  <c r="N2308" i="2" s="1"/>
  <c r="J2308" i="2" s="1"/>
  <c r="C784" i="6"/>
  <c r="R798" i="6"/>
  <c r="R804" i="6" s="1"/>
  <c r="F804" i="6"/>
  <c r="J804" i="6"/>
  <c r="N804" i="6"/>
  <c r="C843" i="6"/>
  <c r="N2556" i="2" s="1"/>
  <c r="J2556" i="2" s="1"/>
  <c r="D853" i="6"/>
  <c r="C1047" i="6"/>
  <c r="N3176" i="2" s="1"/>
  <c r="J3176" i="2" s="1"/>
  <c r="C1077" i="6"/>
  <c r="N3213" i="2" s="1"/>
  <c r="J3213" i="2" s="1"/>
  <c r="C1081" i="6"/>
  <c r="N3217" i="2" s="1"/>
  <c r="J3217" i="2" s="1"/>
  <c r="C1085" i="6"/>
  <c r="N3221" i="2" s="1"/>
  <c r="J3221" i="2" s="1"/>
  <c r="C1089" i="6"/>
  <c r="N3225" i="2" s="1"/>
  <c r="J3225" i="2" s="1"/>
  <c r="C1150" i="6"/>
  <c r="N3288" i="2" s="1"/>
  <c r="J3288" i="2" s="1"/>
  <c r="C1189" i="6"/>
  <c r="N3328" i="2" s="1"/>
  <c r="J3328" i="2" s="1"/>
  <c r="D879" i="6"/>
  <c r="W53" i="6"/>
  <c r="D60" i="6"/>
  <c r="C60" i="6" s="1"/>
  <c r="N272" i="2" s="1"/>
  <c r="R77" i="6"/>
  <c r="R144" i="6" s="1"/>
  <c r="D124" i="6"/>
  <c r="D143" i="6"/>
  <c r="D279" i="6"/>
  <c r="C357" i="6"/>
  <c r="N1341" i="2" s="1"/>
  <c r="J1341" i="2" s="1"/>
  <c r="W668" i="6"/>
  <c r="C876" i="6"/>
  <c r="N2607" i="2" s="1"/>
  <c r="J2607" i="2" s="1"/>
  <c r="W1027" i="6"/>
  <c r="N676" i="6"/>
  <c r="N753" i="6" s="1"/>
  <c r="C675" i="6"/>
  <c r="C36" i="6"/>
  <c r="C40" i="6"/>
  <c r="C41" i="6" s="1"/>
  <c r="C52" i="6"/>
  <c r="G63" i="6"/>
  <c r="G144" i="6" s="1"/>
  <c r="D73" i="6"/>
  <c r="C76" i="6"/>
  <c r="C77" i="6" s="1"/>
  <c r="W124" i="6"/>
  <c r="C161" i="6"/>
  <c r="C227" i="6"/>
  <c r="D232" i="6"/>
  <c r="D245" i="6"/>
  <c r="C275" i="6"/>
  <c r="C351" i="6"/>
  <c r="N1334" i="2" s="1"/>
  <c r="J1334" i="2" s="1"/>
  <c r="C353" i="6"/>
  <c r="C356" i="6"/>
  <c r="N1340" i="2" s="1"/>
  <c r="J1340" i="2" s="1"/>
  <c r="W432" i="6"/>
  <c r="C429" i="6"/>
  <c r="D435" i="6"/>
  <c r="D438" i="6"/>
  <c r="D454" i="6"/>
  <c r="D498" i="6"/>
  <c r="C502" i="6"/>
  <c r="N2039" i="2" s="1"/>
  <c r="J2039" i="2" s="1"/>
  <c r="C514" i="6"/>
  <c r="N2063" i="2" s="1"/>
  <c r="J2063" i="2" s="1"/>
  <c r="C526" i="6"/>
  <c r="N2075" i="2" s="1"/>
  <c r="J2075" i="2" s="1"/>
  <c r="C533" i="6"/>
  <c r="N2082" i="2" s="1"/>
  <c r="J2082" i="2" s="1"/>
  <c r="C535" i="6"/>
  <c r="N2084" i="2" s="1"/>
  <c r="J2084" i="2" s="1"/>
  <c r="C634" i="6"/>
  <c r="N2187" i="2" s="1"/>
  <c r="J2187" i="2" s="1"/>
  <c r="C658" i="6"/>
  <c r="N2214" i="2" s="1"/>
  <c r="J2214" i="2" s="1"/>
  <c r="C662" i="6"/>
  <c r="N2220" i="2" s="1"/>
  <c r="J2220" i="2" s="1"/>
  <c r="C665" i="6"/>
  <c r="N2223" i="2" s="1"/>
  <c r="J2223" i="2" s="1"/>
  <c r="C674" i="6"/>
  <c r="W680" i="6"/>
  <c r="C744" i="6"/>
  <c r="C746" i="6"/>
  <c r="N2313" i="2" s="1"/>
  <c r="J2313" i="2" s="1"/>
  <c r="C785" i="6"/>
  <c r="C786" i="6"/>
  <c r="C808" i="6"/>
  <c r="C809" i="6" s="1"/>
  <c r="C1020" i="6"/>
  <c r="N2925" i="2" s="1"/>
  <c r="J2925" i="2" s="1"/>
  <c r="D1027" i="6"/>
  <c r="G753" i="6"/>
  <c r="K753" i="6"/>
  <c r="O753" i="6"/>
  <c r="C679" i="6"/>
  <c r="C680" i="6" s="1"/>
  <c r="N2281" i="2"/>
  <c r="J2281" i="2" s="1"/>
  <c r="C721" i="6"/>
  <c r="N2288" i="2" s="1"/>
  <c r="J2288" i="2" s="1"/>
  <c r="C728" i="6"/>
  <c r="N2295" i="2" s="1"/>
  <c r="J2295" i="2" s="1"/>
  <c r="C730" i="6"/>
  <c r="N2297" i="2" s="1"/>
  <c r="J2297" i="2" s="1"/>
  <c r="C737" i="6"/>
  <c r="N2304" i="2" s="1"/>
  <c r="J2304" i="2" s="1"/>
  <c r="C749" i="6"/>
  <c r="N2316" i="2" s="1"/>
  <c r="J2316" i="2" s="1"/>
  <c r="C783" i="6"/>
  <c r="C788" i="6"/>
  <c r="C801" i="6"/>
  <c r="N2487" i="2" s="1"/>
  <c r="D821" i="6"/>
  <c r="C846" i="6"/>
  <c r="N2559" i="2" s="1"/>
  <c r="J2559" i="2" s="1"/>
  <c r="C852" i="6"/>
  <c r="N2565" i="2" s="1"/>
  <c r="J2565" i="2" s="1"/>
  <c r="C860" i="6"/>
  <c r="N2584" i="2" s="1"/>
  <c r="J2584" i="2" s="1"/>
  <c r="C862" i="6"/>
  <c r="N2586" i="2" s="1"/>
  <c r="J2586" i="2" s="1"/>
  <c r="C864" i="6"/>
  <c r="N2588" i="2" s="1"/>
  <c r="J2588" i="2" s="1"/>
  <c r="D873" i="6"/>
  <c r="C899" i="6"/>
  <c r="N2630" i="2" s="1"/>
  <c r="J2630" i="2" s="1"/>
  <c r="C915" i="6"/>
  <c r="N2769" i="2" s="1"/>
  <c r="J2769" i="2" s="1"/>
  <c r="C919" i="6"/>
  <c r="N2773" i="2" s="1"/>
  <c r="J2773" i="2" s="1"/>
  <c r="W992" i="6"/>
  <c r="W993" i="6" s="1"/>
  <c r="C1003" i="6"/>
  <c r="C1005" i="6"/>
  <c r="N2908" i="2" s="1"/>
  <c r="J2908" i="2" s="1"/>
  <c r="C1121" i="6"/>
  <c r="N3258" i="2" s="1"/>
  <c r="J3258" i="2" s="1"/>
  <c r="C1129" i="6"/>
  <c r="N3266" i="2" s="1"/>
  <c r="J3266" i="2" s="1"/>
  <c r="C1137" i="6"/>
  <c r="N3274" i="2" s="1"/>
  <c r="J3274" i="2" s="1"/>
  <c r="C1145" i="6"/>
  <c r="N3282" i="2" s="1"/>
  <c r="J3282" i="2" s="1"/>
  <c r="C1159" i="6"/>
  <c r="N3297" i="2" s="1"/>
  <c r="J3297" i="2" s="1"/>
  <c r="C1167" i="6"/>
  <c r="N3305" i="2" s="1"/>
  <c r="J3305" i="2" s="1"/>
  <c r="C1176" i="6"/>
  <c r="N3314" i="2" s="1"/>
  <c r="J3314" i="2" s="1"/>
  <c r="C1184" i="6"/>
  <c r="N3322" i="2" s="1"/>
  <c r="J3322" i="2" s="1"/>
  <c r="C672" i="6"/>
  <c r="V753" i="6"/>
  <c r="W685" i="6"/>
  <c r="C697" i="6"/>
  <c r="W752" i="6"/>
  <c r="U753" i="6"/>
  <c r="C766" i="6"/>
  <c r="C781" i="6"/>
  <c r="K804" i="6"/>
  <c r="W936" i="6"/>
  <c r="F993" i="6"/>
  <c r="C983" i="6"/>
  <c r="C986" i="6" s="1"/>
  <c r="D986" i="6"/>
  <c r="D992" i="6"/>
  <c r="D1010" i="6"/>
  <c r="C1009" i="6"/>
  <c r="C1053" i="6"/>
  <c r="N3188" i="2" s="1"/>
  <c r="J3188" i="2" s="1"/>
  <c r="C1097" i="6"/>
  <c r="N3234" i="2" s="1"/>
  <c r="J3234" i="2" s="1"/>
  <c r="C1101" i="6"/>
  <c r="N3238" i="2" s="1"/>
  <c r="J3238" i="2" s="1"/>
  <c r="C1105" i="6"/>
  <c r="N3242" i="2" s="1"/>
  <c r="J3242" i="2" s="1"/>
  <c r="C1146" i="6"/>
  <c r="N3284" i="2" s="1"/>
  <c r="J3284" i="2" s="1"/>
  <c r="C1154" i="6"/>
  <c r="N3292" i="2" s="1"/>
  <c r="J3292" i="2" s="1"/>
  <c r="C1185" i="6"/>
  <c r="N3324" i="2" s="1"/>
  <c r="J3324" i="2" s="1"/>
  <c r="C1193" i="6"/>
  <c r="N3332" i="2" s="1"/>
  <c r="J3332" i="2" s="1"/>
  <c r="C1201" i="6"/>
  <c r="N3340" i="2" s="1"/>
  <c r="J3340" i="2" s="1"/>
  <c r="D1311" i="6"/>
  <c r="C1307" i="6"/>
  <c r="N3706" i="2" s="1"/>
  <c r="J3706" i="2" s="1"/>
  <c r="K993" i="6"/>
  <c r="R1048" i="6"/>
  <c r="R1049" i="6" s="1"/>
  <c r="C1110" i="6"/>
  <c r="N3247" i="2" s="1"/>
  <c r="J3247" i="2" s="1"/>
  <c r="C1112" i="6"/>
  <c r="N3249" i="2" s="1"/>
  <c r="J3249" i="2" s="1"/>
  <c r="C1114" i="6"/>
  <c r="N3251" i="2" s="1"/>
  <c r="J3251" i="2" s="1"/>
  <c r="C1116" i="6"/>
  <c r="N3253" i="2" s="1"/>
  <c r="J3253" i="2" s="1"/>
  <c r="C1249" i="6"/>
  <c r="D1351" i="6"/>
  <c r="C1325" i="6"/>
  <c r="N3755" i="2" s="1"/>
  <c r="J3755" i="2" s="1"/>
  <c r="C917" i="6"/>
  <c r="N2771" i="2" s="1"/>
  <c r="J2771" i="2" s="1"/>
  <c r="J993" i="6"/>
  <c r="N993" i="6"/>
  <c r="R993" i="6"/>
  <c r="U993" i="6"/>
  <c r="C1061" i="6"/>
  <c r="N3197" i="2" s="1"/>
  <c r="J3197" i="2" s="1"/>
  <c r="C1065" i="6"/>
  <c r="N3201" i="2" s="1"/>
  <c r="J3201" i="2" s="1"/>
  <c r="C1069" i="6"/>
  <c r="N3205" i="2" s="1"/>
  <c r="J3205" i="2" s="1"/>
  <c r="C1073" i="6"/>
  <c r="N3209" i="2" s="1"/>
  <c r="J3209" i="2" s="1"/>
  <c r="C1093" i="6"/>
  <c r="N3230" i="2" s="1"/>
  <c r="J3230" i="2" s="1"/>
  <c r="Z1353" i="6"/>
  <c r="C1230" i="6"/>
  <c r="C1233" i="6"/>
  <c r="C1333" i="6"/>
  <c r="N3763" i="2" s="1"/>
  <c r="J3763" i="2" s="1"/>
  <c r="C1341" i="6"/>
  <c r="N3771" i="2" s="1"/>
  <c r="J3771" i="2" s="1"/>
  <c r="C1349" i="6"/>
  <c r="N3779" i="2" s="1"/>
  <c r="J3779" i="2" s="1"/>
  <c r="C912" i="6"/>
  <c r="D112" i="4"/>
  <c r="C111" i="4"/>
  <c r="C112" i="4" s="1"/>
  <c r="C551" i="4"/>
  <c r="C738" i="4"/>
  <c r="D18" i="7" s="1"/>
  <c r="I823" i="4"/>
  <c r="C47" i="4"/>
  <c r="D220" i="4"/>
  <c r="C377" i="4"/>
  <c r="C472" i="4"/>
  <c r="C679" i="4"/>
  <c r="C697" i="4" s="1"/>
  <c r="D17" i="7" s="1"/>
  <c r="C707" i="4"/>
  <c r="D19" i="7" s="1"/>
  <c r="C818" i="4"/>
  <c r="C206" i="4"/>
  <c r="C257" i="4"/>
  <c r="D425" i="4"/>
  <c r="C645" i="4"/>
  <c r="C795" i="4"/>
  <c r="D101" i="4"/>
  <c r="C225" i="4"/>
  <c r="C279" i="4"/>
  <c r="C290" i="4"/>
  <c r="C479" i="4"/>
  <c r="F577" i="4"/>
  <c r="C630" i="4"/>
  <c r="V206" i="4"/>
  <c r="V220" i="4" s="1"/>
  <c r="F239" i="4"/>
  <c r="F291" i="4" s="1"/>
  <c r="D257" i="4"/>
  <c r="D299" i="4"/>
  <c r="F425" i="4"/>
  <c r="F432" i="4" s="1"/>
  <c r="D498" i="4"/>
  <c r="D566" i="4"/>
  <c r="D611" i="4"/>
  <c r="D795" i="4"/>
  <c r="D413" i="5"/>
  <c r="C616" i="5"/>
  <c r="D621" i="5"/>
  <c r="W1354" i="5"/>
  <c r="C1354" i="5" s="1"/>
  <c r="N1621" i="2" s="1"/>
  <c r="J1621" i="2" s="1"/>
  <c r="D1665" i="5"/>
  <c r="C2282" i="5"/>
  <c r="N2990" i="2" s="1"/>
  <c r="J2990" i="2" s="1"/>
  <c r="D645" i="4"/>
  <c r="D696" i="4"/>
  <c r="D738" i="4"/>
  <c r="D822" i="4"/>
  <c r="E161" i="5"/>
  <c r="D209" i="5"/>
  <c r="C208" i="5"/>
  <c r="N238" i="2" s="1"/>
  <c r="C211" i="5"/>
  <c r="N246" i="2" s="1"/>
  <c r="C1090" i="5"/>
  <c r="D1093" i="5"/>
  <c r="D1126" i="5"/>
  <c r="C1116" i="5"/>
  <c r="N1372" i="2" s="1"/>
  <c r="J1372" i="2" s="1"/>
  <c r="F1574" i="5"/>
  <c r="F1623" i="5" s="1"/>
  <c r="D1233" i="5"/>
  <c r="C1233" i="5" s="1"/>
  <c r="N1494" i="2" s="1"/>
  <c r="J1494" i="2" s="1"/>
  <c r="C1607" i="5"/>
  <c r="N1894" i="2" s="1"/>
  <c r="J1894" i="2" s="1"/>
  <c r="W1622" i="5"/>
  <c r="D59" i="4"/>
  <c r="F63" i="4"/>
  <c r="F68" i="4" s="1"/>
  <c r="W72" i="4"/>
  <c r="W101" i="4" s="1"/>
  <c r="H112" i="4"/>
  <c r="H185" i="4" s="1"/>
  <c r="C238" i="4"/>
  <c r="N1043" i="2" s="1"/>
  <c r="J1043" i="2" s="1"/>
  <c r="D306" i="4"/>
  <c r="D384" i="4"/>
  <c r="C556" i="4"/>
  <c r="C560" i="4" s="1"/>
  <c r="D573" i="4"/>
  <c r="D672" i="4"/>
  <c r="D675" i="4"/>
  <c r="C773" i="4"/>
  <c r="C774" i="4" s="1"/>
  <c r="C126" i="5"/>
  <c r="C151" i="5"/>
  <c r="N165" i="2" s="1"/>
  <c r="C174" i="5"/>
  <c r="C180" i="5"/>
  <c r="D200" i="5"/>
  <c r="C249" i="5"/>
  <c r="C300" i="5"/>
  <c r="D308" i="5"/>
  <c r="C308" i="5" s="1"/>
  <c r="C418" i="5"/>
  <c r="N515" i="2" s="1"/>
  <c r="D469" i="5"/>
  <c r="W517" i="5"/>
  <c r="W538" i="5"/>
  <c r="W653" i="5"/>
  <c r="C651" i="5"/>
  <c r="D996" i="5"/>
  <c r="W1070" i="5"/>
  <c r="N1574" i="5"/>
  <c r="N1623" i="5" s="1"/>
  <c r="C1602" i="5"/>
  <c r="D1603" i="5"/>
  <c r="K1659" i="5"/>
  <c r="K1666" i="5" s="1"/>
  <c r="N2271" i="2"/>
  <c r="J2271" i="2" s="1"/>
  <c r="D1799" i="5"/>
  <c r="C1799" i="5" s="1"/>
  <c r="N2340" i="2" s="1"/>
  <c r="J2340" i="2" s="1"/>
  <c r="G1942" i="5"/>
  <c r="G1943" i="5" s="1"/>
  <c r="D68" i="6"/>
  <c r="C65" i="6"/>
  <c r="C68" i="6" s="1"/>
  <c r="D752" i="6"/>
  <c r="D109" i="4"/>
  <c r="D290" i="4"/>
  <c r="D407" i="4"/>
  <c r="D408" i="4" s="1"/>
  <c r="D490" i="4"/>
  <c r="D650" i="4"/>
  <c r="D775" i="4"/>
  <c r="D119" i="5"/>
  <c r="D611" i="5"/>
  <c r="C548" i="5"/>
  <c r="C1605" i="5"/>
  <c r="N1892" i="2" s="1"/>
  <c r="J1892" i="2" s="1"/>
  <c r="D1622" i="5"/>
  <c r="D683" i="4"/>
  <c r="D818" i="4"/>
  <c r="C19" i="5"/>
  <c r="N20" i="2" s="1"/>
  <c r="Q161" i="5"/>
  <c r="D142" i="5"/>
  <c r="D175" i="5"/>
  <c r="G242" i="5"/>
  <c r="W413" i="5"/>
  <c r="W414" i="5" s="1"/>
  <c r="W498" i="5"/>
  <c r="D517" i="5"/>
  <c r="C500" i="5"/>
  <c r="N611" i="2" s="1"/>
  <c r="J611" i="2" s="1"/>
  <c r="D538" i="5"/>
  <c r="C536" i="5"/>
  <c r="N697" i="2" s="1"/>
  <c r="W917" i="5"/>
  <c r="X1782" i="5"/>
  <c r="C1209" i="6"/>
  <c r="N3377" i="2" s="1"/>
  <c r="J3377" i="2" s="1"/>
  <c r="D272" i="4"/>
  <c r="C81" i="4"/>
  <c r="C82" i="4" s="1"/>
  <c r="C87" i="4"/>
  <c r="C94" i="4"/>
  <c r="C95" i="4" s="1"/>
  <c r="D154" i="4"/>
  <c r="C154" i="4" s="1"/>
  <c r="C167" i="4" s="1"/>
  <c r="C175" i="4"/>
  <c r="C184" i="4" s="1"/>
  <c r="C188" i="4"/>
  <c r="C191" i="4" s="1"/>
  <c r="C208" i="4"/>
  <c r="C210" i="4" s="1"/>
  <c r="C388" i="4"/>
  <c r="C398" i="4" s="1"/>
  <c r="C481" i="4"/>
  <c r="C483" i="4" s="1"/>
  <c r="D621" i="4"/>
  <c r="C621" i="4" s="1"/>
  <c r="C626" i="4" s="1"/>
  <c r="D780" i="4"/>
  <c r="C780" i="4" s="1"/>
  <c r="C781" i="4" s="1"/>
  <c r="C28" i="5"/>
  <c r="C32" i="5"/>
  <c r="C36" i="5"/>
  <c r="C40" i="5"/>
  <c r="C57" i="5"/>
  <c r="C83" i="5"/>
  <c r="C100" i="5"/>
  <c r="C104" i="5"/>
  <c r="C108" i="5"/>
  <c r="C133" i="5"/>
  <c r="N135" i="2" s="1"/>
  <c r="D144" i="5"/>
  <c r="C165" i="5"/>
  <c r="C169" i="5"/>
  <c r="C173" i="5"/>
  <c r="N188" i="2" s="1"/>
  <c r="N201" i="2"/>
  <c r="J201" i="2" s="1"/>
  <c r="C189" i="5"/>
  <c r="C195" i="5"/>
  <c r="N222" i="2" s="1"/>
  <c r="C212" i="5"/>
  <c r="C220" i="5"/>
  <c r="C227" i="5"/>
  <c r="C245" i="5"/>
  <c r="N304" i="2" s="1"/>
  <c r="C255" i="5"/>
  <c r="C297" i="5"/>
  <c r="C314" i="5"/>
  <c r="C332" i="5"/>
  <c r="C348" i="5"/>
  <c r="C364" i="5"/>
  <c r="C383" i="5"/>
  <c r="C392" i="5"/>
  <c r="C406" i="5"/>
  <c r="C412" i="5"/>
  <c r="W469" i="5"/>
  <c r="C420" i="5"/>
  <c r="N517" i="2" s="1"/>
  <c r="J517" i="2" s="1"/>
  <c r="C422" i="5"/>
  <c r="N519" i="2" s="1"/>
  <c r="J519" i="2" s="1"/>
  <c r="C424" i="5"/>
  <c r="N521" i="2" s="1"/>
  <c r="J521" i="2" s="1"/>
  <c r="C426" i="5"/>
  <c r="C428" i="5"/>
  <c r="N525" i="2" s="1"/>
  <c r="J525" i="2" s="1"/>
  <c r="C430" i="5"/>
  <c r="N527" i="2" s="1"/>
  <c r="J527" i="2" s="1"/>
  <c r="C432" i="5"/>
  <c r="N529" i="2" s="1"/>
  <c r="J529" i="2" s="1"/>
  <c r="C471" i="5"/>
  <c r="N568" i="2" s="1"/>
  <c r="C481" i="5"/>
  <c r="N578" i="2" s="1"/>
  <c r="J578" i="2" s="1"/>
  <c r="C483" i="5"/>
  <c r="N580" i="2" s="1"/>
  <c r="J580" i="2" s="1"/>
  <c r="C485" i="5"/>
  <c r="N582" i="2" s="1"/>
  <c r="J582" i="2" s="1"/>
  <c r="C487" i="5"/>
  <c r="N584" i="2" s="1"/>
  <c r="J584" i="2" s="1"/>
  <c r="C489" i="5"/>
  <c r="N586" i="2" s="1"/>
  <c r="J586" i="2" s="1"/>
  <c r="C491" i="5"/>
  <c r="N588" i="2" s="1"/>
  <c r="J588" i="2" s="1"/>
  <c r="C493" i="5"/>
  <c r="N590" i="2" s="1"/>
  <c r="J590" i="2" s="1"/>
  <c r="C495" i="5"/>
  <c r="N592" i="2" s="1"/>
  <c r="J592" i="2" s="1"/>
  <c r="C497" i="5"/>
  <c r="N594" i="2" s="1"/>
  <c r="J594" i="2" s="1"/>
  <c r="C501" i="5"/>
  <c r="N612" i="2" s="1"/>
  <c r="J612" i="2" s="1"/>
  <c r="C503" i="5"/>
  <c r="N614" i="2" s="1"/>
  <c r="J614" i="2" s="1"/>
  <c r="C505" i="5"/>
  <c r="N616" i="2" s="1"/>
  <c r="J616" i="2" s="1"/>
  <c r="C507" i="5"/>
  <c r="N618" i="2" s="1"/>
  <c r="J618" i="2" s="1"/>
  <c r="C509" i="5"/>
  <c r="N620" i="2" s="1"/>
  <c r="J620" i="2" s="1"/>
  <c r="C511" i="5"/>
  <c r="N622" i="2" s="1"/>
  <c r="J622" i="2" s="1"/>
  <c r="C513" i="5"/>
  <c r="N624" i="2" s="1"/>
  <c r="J624" i="2" s="1"/>
  <c r="C515" i="5"/>
  <c r="N626" i="2" s="1"/>
  <c r="J626" i="2" s="1"/>
  <c r="C537" i="5"/>
  <c r="C541" i="5"/>
  <c r="C623" i="5"/>
  <c r="N787" i="2" s="1"/>
  <c r="C655" i="5"/>
  <c r="N820" i="2" s="1"/>
  <c r="C798" i="5"/>
  <c r="N964" i="2" s="1"/>
  <c r="J964" i="2" s="1"/>
  <c r="C800" i="5"/>
  <c r="N966" i="2" s="1"/>
  <c r="J966" i="2" s="1"/>
  <c r="C802" i="5"/>
  <c r="N968" i="2" s="1"/>
  <c r="J968" i="2" s="1"/>
  <c r="C816" i="5"/>
  <c r="N982" i="2" s="1"/>
  <c r="J982" i="2" s="1"/>
  <c r="C826" i="5"/>
  <c r="N992" i="2" s="1"/>
  <c r="J992" i="2" s="1"/>
  <c r="C828" i="5"/>
  <c r="N994" i="2" s="1"/>
  <c r="J994" i="2" s="1"/>
  <c r="C830" i="5"/>
  <c r="N996" i="2" s="1"/>
  <c r="J996" i="2" s="1"/>
  <c r="C832" i="5"/>
  <c r="N998" i="2" s="1"/>
  <c r="J998" i="2" s="1"/>
  <c r="C834" i="5"/>
  <c r="N1000" i="2" s="1"/>
  <c r="J1000" i="2" s="1"/>
  <c r="C836" i="5"/>
  <c r="N1002" i="2" s="1"/>
  <c r="J1002" i="2" s="1"/>
  <c r="C838" i="5"/>
  <c r="N1004" i="2" s="1"/>
  <c r="J1004" i="2" s="1"/>
  <c r="C840" i="5"/>
  <c r="N1006" i="2" s="1"/>
  <c r="J1006" i="2" s="1"/>
  <c r="C842" i="5"/>
  <c r="N1008" i="2" s="1"/>
  <c r="J1008" i="2" s="1"/>
  <c r="C874" i="5"/>
  <c r="N1040" i="2" s="1"/>
  <c r="J1040" i="2" s="1"/>
  <c r="C876" i="5"/>
  <c r="N1042" i="2" s="1"/>
  <c r="J1042" i="2" s="1"/>
  <c r="C898" i="5"/>
  <c r="N1064" i="2" s="1"/>
  <c r="J1064" i="2" s="1"/>
  <c r="C906" i="5"/>
  <c r="N1072" i="2" s="1"/>
  <c r="J1072" i="2" s="1"/>
  <c r="D1078" i="5"/>
  <c r="W1589" i="5"/>
  <c r="C1583" i="5"/>
  <c r="N1862" i="2" s="1"/>
  <c r="J1862" i="2" s="1"/>
  <c r="C1695" i="5"/>
  <c r="W1705" i="5"/>
  <c r="D1709" i="5"/>
  <c r="E1723" i="5"/>
  <c r="C1754" i="5"/>
  <c r="D1756" i="5"/>
  <c r="C1844" i="5"/>
  <c r="N2385" i="2" s="1"/>
  <c r="J2385" i="2" s="1"/>
  <c r="G1958" i="5"/>
  <c r="G2028" i="5" s="1"/>
  <c r="D1955" i="5"/>
  <c r="C1969" i="5"/>
  <c r="D1984" i="5"/>
  <c r="E1574" i="5"/>
  <c r="E1623" i="5" s="1"/>
  <c r="D1202" i="5"/>
  <c r="C1202" i="5" s="1"/>
  <c r="N1463" i="2" s="1"/>
  <c r="J1463" i="2" s="1"/>
  <c r="D1711" i="5"/>
  <c r="C1711" i="5" s="1"/>
  <c r="N2103" i="2" s="1"/>
  <c r="J2103" i="2" s="1"/>
  <c r="I1723" i="5"/>
  <c r="D1780" i="5"/>
  <c r="C1780" i="5" s="1"/>
  <c r="C1831" i="5"/>
  <c r="N2372" i="2" s="1"/>
  <c r="J2372" i="2" s="1"/>
  <c r="W1987" i="5"/>
  <c r="C1986" i="5"/>
  <c r="N2546" i="2" s="1"/>
  <c r="J2546" i="2" s="1"/>
  <c r="C2477" i="5"/>
  <c r="W2525" i="5"/>
  <c r="C2521" i="5"/>
  <c r="N3356" i="2" s="1"/>
  <c r="J3356" i="2" s="1"/>
  <c r="C880" i="5"/>
  <c r="N1046" i="2" s="1"/>
  <c r="J1046" i="2" s="1"/>
  <c r="C899" i="5"/>
  <c r="N1065" i="2" s="1"/>
  <c r="J1065" i="2" s="1"/>
  <c r="C903" i="5"/>
  <c r="N1069" i="2" s="1"/>
  <c r="J1069" i="2" s="1"/>
  <c r="C907" i="5"/>
  <c r="N1073" i="2" s="1"/>
  <c r="J1073" i="2" s="1"/>
  <c r="D1070" i="5"/>
  <c r="C998" i="5"/>
  <c r="N1178" i="2" s="1"/>
  <c r="C1005" i="5"/>
  <c r="N1185" i="2" s="1"/>
  <c r="J1185" i="2" s="1"/>
  <c r="C1014" i="5"/>
  <c r="N1194" i="2" s="1"/>
  <c r="J1194" i="2" s="1"/>
  <c r="C1022" i="5"/>
  <c r="N1202" i="2" s="1"/>
  <c r="J1202" i="2" s="1"/>
  <c r="N1442" i="2"/>
  <c r="J1442" i="2" s="1"/>
  <c r="G1574" i="5"/>
  <c r="G1623" i="5" s="1"/>
  <c r="D1228" i="5"/>
  <c r="C1228" i="5" s="1"/>
  <c r="N1489" i="2" s="1"/>
  <c r="J1489" i="2" s="1"/>
  <c r="C1266" i="5"/>
  <c r="N1529" i="2" s="1"/>
  <c r="J1529" i="2" s="1"/>
  <c r="C1272" i="5"/>
  <c r="N1536" i="2" s="1"/>
  <c r="J1536" i="2" s="1"/>
  <c r="C1281" i="5"/>
  <c r="N1545" i="2" s="1"/>
  <c r="J1545" i="2" s="1"/>
  <c r="C1349" i="5"/>
  <c r="N1616" i="2" s="1"/>
  <c r="J1616" i="2" s="1"/>
  <c r="C1521" i="5"/>
  <c r="N1790" i="2" s="1"/>
  <c r="J1790" i="2" s="1"/>
  <c r="C1618" i="5"/>
  <c r="N1905" i="2" s="1"/>
  <c r="J1905" i="2" s="1"/>
  <c r="N1958" i="2"/>
  <c r="J1958" i="2" s="1"/>
  <c r="W1942" i="5"/>
  <c r="W1943" i="5" s="1"/>
  <c r="C1813" i="5"/>
  <c r="N2354" i="2" s="1"/>
  <c r="J2354" i="2" s="1"/>
  <c r="D2027" i="5"/>
  <c r="C2018" i="5"/>
  <c r="N2612" i="2" s="1"/>
  <c r="J2612" i="2" s="1"/>
  <c r="C2020" i="5"/>
  <c r="N2614" i="2" s="1"/>
  <c r="J2614" i="2" s="1"/>
  <c r="C2022" i="5"/>
  <c r="N2616" i="2" s="1"/>
  <c r="J2616" i="2" s="1"/>
  <c r="C2024" i="5"/>
  <c r="N2618" i="2" s="1"/>
  <c r="J2618" i="2" s="1"/>
  <c r="C2026" i="5"/>
  <c r="N2620" i="2" s="1"/>
  <c r="J2620" i="2" s="1"/>
  <c r="W2080" i="5"/>
  <c r="C2068" i="5"/>
  <c r="N2671" i="2" s="1"/>
  <c r="J2671" i="2" s="1"/>
  <c r="H2475" i="5"/>
  <c r="L2475" i="5"/>
  <c r="C2776" i="5"/>
  <c r="N3634" i="2" s="1"/>
  <c r="J3634" i="2" s="1"/>
  <c r="C24" i="6"/>
  <c r="C163" i="6"/>
  <c r="W1153" i="5"/>
  <c r="C1128" i="5"/>
  <c r="N1384" i="2" s="1"/>
  <c r="J1384" i="2" s="1"/>
  <c r="D1589" i="5"/>
  <c r="C1588" i="5"/>
  <c r="E1942" i="5"/>
  <c r="E1943" i="5" s="1"/>
  <c r="D1812" i="5"/>
  <c r="C1812" i="5" s="1"/>
  <c r="N2353" i="2" s="1"/>
  <c r="J2353" i="2" s="1"/>
  <c r="D1949" i="5"/>
  <c r="W2058" i="5"/>
  <c r="N3689" i="2"/>
  <c r="J3689" i="2" s="1"/>
  <c r="D2820" i="5"/>
  <c r="D2860" i="5"/>
  <c r="C2860" i="5" s="1"/>
  <c r="E2868" i="5"/>
  <c r="E2869" i="5" s="1"/>
  <c r="D105" i="6"/>
  <c r="D464" i="6"/>
  <c r="D680" i="6"/>
  <c r="D901" i="6"/>
  <c r="C894" i="6"/>
  <c r="N2625" i="2" s="1"/>
  <c r="J2625" i="2" s="1"/>
  <c r="C970" i="5"/>
  <c r="N1140" i="2" s="1"/>
  <c r="J1140" i="2" s="1"/>
  <c r="C999" i="5"/>
  <c r="N1179" i="2" s="1"/>
  <c r="J1179" i="2" s="1"/>
  <c r="C1003" i="5"/>
  <c r="N1183" i="2" s="1"/>
  <c r="J1183" i="2" s="1"/>
  <c r="C1007" i="5"/>
  <c r="N1187" i="2" s="1"/>
  <c r="J1187" i="2" s="1"/>
  <c r="C1011" i="5"/>
  <c r="N1191" i="2" s="1"/>
  <c r="J1191" i="2" s="1"/>
  <c r="C1015" i="5"/>
  <c r="N1195" i="2" s="1"/>
  <c r="J1195" i="2" s="1"/>
  <c r="C1019" i="5"/>
  <c r="N1199" i="2" s="1"/>
  <c r="J1199" i="2" s="1"/>
  <c r="C1023" i="5"/>
  <c r="N1203" i="2" s="1"/>
  <c r="J1203" i="2" s="1"/>
  <c r="C1028" i="5"/>
  <c r="N1210" i="2" s="1"/>
  <c r="J1210" i="2" s="1"/>
  <c r="C1031" i="5"/>
  <c r="N1212" i="2" s="1"/>
  <c r="J1212" i="2" s="1"/>
  <c r="C1033" i="5"/>
  <c r="N1214" i="2" s="1"/>
  <c r="J1214" i="2" s="1"/>
  <c r="C1035" i="5"/>
  <c r="N1216" i="2" s="1"/>
  <c r="J1216" i="2" s="1"/>
  <c r="C1037" i="5"/>
  <c r="N1218" i="2" s="1"/>
  <c r="J1218" i="2" s="1"/>
  <c r="C1039" i="5"/>
  <c r="N1220" i="2" s="1"/>
  <c r="J1220" i="2" s="1"/>
  <c r="C1041" i="5"/>
  <c r="N1222" i="2" s="1"/>
  <c r="J1222" i="2" s="1"/>
  <c r="C1043" i="5"/>
  <c r="N1224" i="2" s="1"/>
  <c r="J1224" i="2" s="1"/>
  <c r="C1045" i="5"/>
  <c r="N1226" i="2" s="1"/>
  <c r="J1226" i="2" s="1"/>
  <c r="C1047" i="5"/>
  <c r="N1228" i="2" s="1"/>
  <c r="J1228" i="2" s="1"/>
  <c r="C1087" i="5"/>
  <c r="D1097" i="5"/>
  <c r="D1111" i="5"/>
  <c r="C1135" i="5"/>
  <c r="N1391" i="2" s="1"/>
  <c r="J1391" i="2" s="1"/>
  <c r="C1143" i="5"/>
  <c r="N1399" i="2" s="1"/>
  <c r="J1399" i="2" s="1"/>
  <c r="C1151" i="5"/>
  <c r="N1407" i="2" s="1"/>
  <c r="J1407" i="2" s="1"/>
  <c r="C1155" i="5"/>
  <c r="N1411" i="2" s="1"/>
  <c r="J1411" i="2" s="1"/>
  <c r="C1178" i="5"/>
  <c r="N1434" i="2" s="1"/>
  <c r="J1434" i="2" s="1"/>
  <c r="C1187" i="5"/>
  <c r="N1447" i="2" s="1"/>
  <c r="J1447" i="2" s="1"/>
  <c r="C1200" i="5"/>
  <c r="N1461" i="2" s="1"/>
  <c r="J1461" i="2" s="1"/>
  <c r="C1211" i="5"/>
  <c r="N1472" i="2" s="1"/>
  <c r="J1472" i="2" s="1"/>
  <c r="C1216" i="5"/>
  <c r="N1477" i="2" s="1"/>
  <c r="J1477" i="2" s="1"/>
  <c r="C1257" i="5"/>
  <c r="N1524" i="2"/>
  <c r="J1524" i="2" s="1"/>
  <c r="C1273" i="5"/>
  <c r="N1537" i="2" s="1"/>
  <c r="J1537" i="2" s="1"/>
  <c r="N1546" i="2"/>
  <c r="J1546" i="2" s="1"/>
  <c r="C1293" i="5"/>
  <c r="C1313" i="5"/>
  <c r="N1580" i="2" s="1"/>
  <c r="J1580" i="2" s="1"/>
  <c r="C1318" i="5"/>
  <c r="N1585" i="2" s="1"/>
  <c r="J1585" i="2" s="1"/>
  <c r="C1326" i="5"/>
  <c r="N1593" i="2" s="1"/>
  <c r="J1593" i="2" s="1"/>
  <c r="C1375" i="5"/>
  <c r="N1642" i="2" s="1"/>
  <c r="J1642" i="2" s="1"/>
  <c r="N1662" i="2"/>
  <c r="J1662" i="2" s="1"/>
  <c r="C1411" i="5"/>
  <c r="N1679" i="2" s="1"/>
  <c r="J1679" i="2" s="1"/>
  <c r="C1417" i="5"/>
  <c r="N1685" i="2" s="1"/>
  <c r="J1685" i="2" s="1"/>
  <c r="C1424" i="5"/>
  <c r="N1693" i="2" s="1"/>
  <c r="J1693" i="2" s="1"/>
  <c r="C1433" i="5"/>
  <c r="N1702" i="2" s="1"/>
  <c r="J1702" i="2" s="1"/>
  <c r="C1439" i="5"/>
  <c r="N1707" i="2" s="1"/>
  <c r="J1707" i="2" s="1"/>
  <c r="C1495" i="5"/>
  <c r="N1764" i="2" s="1"/>
  <c r="J1764" i="2" s="1"/>
  <c r="D1498" i="5"/>
  <c r="C1498" i="5" s="1"/>
  <c r="N1767" i="2" s="1"/>
  <c r="J1767" i="2" s="1"/>
  <c r="C1512" i="5"/>
  <c r="N1781" i="2" s="1"/>
  <c r="J1781" i="2" s="1"/>
  <c r="C1522" i="5"/>
  <c r="N1791" i="2" s="1"/>
  <c r="J1791" i="2" s="1"/>
  <c r="C1542" i="5"/>
  <c r="N1811" i="2" s="1"/>
  <c r="J1811" i="2" s="1"/>
  <c r="D1578" i="5"/>
  <c r="C1587" i="5"/>
  <c r="N1866" i="2" s="1"/>
  <c r="J1866" i="2" s="1"/>
  <c r="D1592" i="5"/>
  <c r="C1591" i="5"/>
  <c r="C1597" i="5"/>
  <c r="D1600" i="5"/>
  <c r="C1634" i="5"/>
  <c r="D1681" i="5"/>
  <c r="N1992" i="2"/>
  <c r="J1992" i="2" s="1"/>
  <c r="C1684" i="5"/>
  <c r="N2006" i="2" s="1"/>
  <c r="J2006" i="2" s="1"/>
  <c r="C1698" i="5"/>
  <c r="N2050" i="2" s="1"/>
  <c r="J2050" i="2" s="1"/>
  <c r="R1723" i="5"/>
  <c r="R1782" i="5" s="1"/>
  <c r="C1710" i="5"/>
  <c r="D1729" i="5"/>
  <c r="C1725" i="5"/>
  <c r="F1747" i="5"/>
  <c r="F1782" i="5" s="1"/>
  <c r="D1741" i="5"/>
  <c r="C1768" i="5"/>
  <c r="D1775" i="5"/>
  <c r="F1942" i="5"/>
  <c r="F1943" i="5" s="1"/>
  <c r="C1833" i="5"/>
  <c r="N2374" i="2" s="1"/>
  <c r="J2374" i="2" s="1"/>
  <c r="C1851" i="5"/>
  <c r="N2392" i="2" s="1"/>
  <c r="J2392" i="2" s="1"/>
  <c r="D1854" i="5"/>
  <c r="C1854" i="5" s="1"/>
  <c r="N2395" i="2" s="1"/>
  <c r="J2395" i="2" s="1"/>
  <c r="C1909" i="5"/>
  <c r="N2451" i="2" s="1"/>
  <c r="J2451" i="2" s="1"/>
  <c r="C1921" i="5"/>
  <c r="N2463" i="2" s="1"/>
  <c r="J2463" i="2" s="1"/>
  <c r="C1923" i="5"/>
  <c r="N2465" i="2" s="1"/>
  <c r="J2465" i="2" s="1"/>
  <c r="C1925" i="5"/>
  <c r="N2467" i="2" s="1"/>
  <c r="J2467" i="2" s="1"/>
  <c r="V1958" i="5"/>
  <c r="C1951" i="5"/>
  <c r="N2498" i="2" s="1"/>
  <c r="J2498" i="2" s="1"/>
  <c r="W1966" i="5"/>
  <c r="C1960" i="5"/>
  <c r="N2513" i="2" s="1"/>
  <c r="J2513" i="2" s="1"/>
  <c r="D1987" i="5"/>
  <c r="D2000" i="5"/>
  <c r="C2007" i="5"/>
  <c r="D2058" i="5"/>
  <c r="C2214" i="5"/>
  <c r="D2218" i="5"/>
  <c r="D2304" i="5"/>
  <c r="C2304" i="5" s="1"/>
  <c r="N3013" i="2" s="1"/>
  <c r="J3013" i="2" s="1"/>
  <c r="F2305" i="5"/>
  <c r="F2342" i="5" s="1"/>
  <c r="N3082" i="2"/>
  <c r="J3082" i="2" s="1"/>
  <c r="W2474" i="5"/>
  <c r="W2475" i="5" s="1"/>
  <c r="Q2510" i="5"/>
  <c r="S2756" i="5"/>
  <c r="C26" i="6"/>
  <c r="D27" i="6"/>
  <c r="C47" i="6"/>
  <c r="C48" i="6" s="1"/>
  <c r="D48" i="6"/>
  <c r="N781" i="2"/>
  <c r="J781" i="2" s="1"/>
  <c r="D2007" i="5"/>
  <c r="D2160" i="5"/>
  <c r="D2303" i="5"/>
  <c r="C2303" i="5" s="1"/>
  <c r="G2305" i="5"/>
  <c r="G2342" i="5" s="1"/>
  <c r="D2309" i="5"/>
  <c r="N3149" i="2"/>
  <c r="J3149" i="2" s="1"/>
  <c r="N3151" i="2"/>
  <c r="J3151" i="2" s="1"/>
  <c r="N3153" i="2"/>
  <c r="J3153" i="2" s="1"/>
  <c r="N3155" i="2"/>
  <c r="J3155" i="2" s="1"/>
  <c r="N3157" i="2"/>
  <c r="J3157" i="2" s="1"/>
  <c r="N3159" i="2"/>
  <c r="J3159" i="2" s="1"/>
  <c r="N3161" i="2"/>
  <c r="J3161" i="2" s="1"/>
  <c r="N3163" i="2"/>
  <c r="J3163" i="2" s="1"/>
  <c r="N3165" i="2"/>
  <c r="J3165" i="2" s="1"/>
  <c r="N3167" i="2"/>
  <c r="J3167" i="2" s="1"/>
  <c r="N3169" i="2"/>
  <c r="J3169" i="2" s="1"/>
  <c r="N3171" i="2"/>
  <c r="J3171" i="2" s="1"/>
  <c r="N3173" i="2"/>
  <c r="J3173" i="2" s="1"/>
  <c r="N3175" i="2"/>
  <c r="J3175" i="2" s="1"/>
  <c r="V2756" i="5"/>
  <c r="D2690" i="5"/>
  <c r="C2690" i="5" s="1"/>
  <c r="D2750" i="5"/>
  <c r="I2755" i="5"/>
  <c r="I2756" i="5" s="1"/>
  <c r="C2760" i="5"/>
  <c r="N3618" i="2" s="1"/>
  <c r="J3618" i="2" s="1"/>
  <c r="C2792" i="5"/>
  <c r="N3650" i="2" s="1"/>
  <c r="J3650" i="2" s="1"/>
  <c r="D38" i="6"/>
  <c r="C34" i="6"/>
  <c r="D250" i="6"/>
  <c r="C247" i="6"/>
  <c r="D257" i="6"/>
  <c r="C1824" i="5"/>
  <c r="N2365" i="2" s="1"/>
  <c r="J2365" i="2" s="1"/>
  <c r="C1826" i="5"/>
  <c r="N2367" i="2" s="1"/>
  <c r="J2367" i="2" s="1"/>
  <c r="C1855" i="5"/>
  <c r="N2396" i="2" s="1"/>
  <c r="J2396" i="2" s="1"/>
  <c r="C1898" i="5"/>
  <c r="C1932" i="5"/>
  <c r="N2474" i="2" s="1"/>
  <c r="J2474" i="2" s="1"/>
  <c r="D1966" i="5"/>
  <c r="C2124" i="5"/>
  <c r="N2737" i="2" s="1"/>
  <c r="J2737" i="2" s="1"/>
  <c r="C2126" i="5"/>
  <c r="N2739" i="2" s="1"/>
  <c r="J2739" i="2" s="1"/>
  <c r="C2130" i="5"/>
  <c r="N2745" i="2" s="1"/>
  <c r="J2745" i="2" s="1"/>
  <c r="C2132" i="5"/>
  <c r="N2747" i="2" s="1"/>
  <c r="J2747" i="2" s="1"/>
  <c r="C2134" i="5"/>
  <c r="N2749" i="2" s="1"/>
  <c r="J2749" i="2" s="1"/>
  <c r="C2136" i="5"/>
  <c r="N2751" i="2" s="1"/>
  <c r="J2751" i="2" s="1"/>
  <c r="W2146" i="5"/>
  <c r="D2181" i="5"/>
  <c r="D2209" i="5"/>
  <c r="C2205" i="5"/>
  <c r="P2475" i="5"/>
  <c r="S2475" i="5"/>
  <c r="N3500" i="2"/>
  <c r="J3500" i="2" s="1"/>
  <c r="N3557" i="2"/>
  <c r="J3557" i="2" s="1"/>
  <c r="C2784" i="5"/>
  <c r="N3642" i="2" s="1"/>
  <c r="J3642" i="2" s="1"/>
  <c r="C2852" i="5"/>
  <c r="C2854" i="5"/>
  <c r="N3766" i="2" s="1"/>
  <c r="J3766" i="2" s="1"/>
  <c r="C2864" i="5"/>
  <c r="N3784" i="2" s="1"/>
  <c r="J3784" i="2" s="1"/>
  <c r="C2866" i="5"/>
  <c r="N3786" i="2" s="1"/>
  <c r="J3786" i="2" s="1"/>
  <c r="C110" i="6"/>
  <c r="Q245" i="6"/>
  <c r="W132" i="6"/>
  <c r="C157" i="6"/>
  <c r="D157" i="6"/>
  <c r="D223" i="6"/>
  <c r="C189" i="6"/>
  <c r="N645" i="2" s="1"/>
  <c r="J645" i="2" s="1"/>
  <c r="D363" i="6"/>
  <c r="C339" i="6"/>
  <c r="N1322" i="2" s="1"/>
  <c r="J1322" i="2" s="1"/>
  <c r="D837" i="6"/>
  <c r="C832" i="6"/>
  <c r="C837" i="6" s="1"/>
  <c r="N3517" i="2"/>
  <c r="J3517" i="2" s="1"/>
  <c r="N3545" i="2"/>
  <c r="J3545" i="2" s="1"/>
  <c r="N3553" i="2"/>
  <c r="J3553" i="2" s="1"/>
  <c r="F2755" i="5"/>
  <c r="F2756" i="5" s="1"/>
  <c r="D2751" i="5"/>
  <c r="C2751" i="5" s="1"/>
  <c r="N3593" i="2" s="1"/>
  <c r="J3593" i="2" s="1"/>
  <c r="C2753" i="5"/>
  <c r="N3605" i="2" s="1"/>
  <c r="J3605" i="2" s="1"/>
  <c r="C2764" i="5"/>
  <c r="N3622" i="2" s="1"/>
  <c r="J3622" i="2" s="1"/>
  <c r="C2772" i="5"/>
  <c r="N3630" i="2" s="1"/>
  <c r="J3630" i="2" s="1"/>
  <c r="C2780" i="5"/>
  <c r="N3638" i="2" s="1"/>
  <c r="J3638" i="2" s="1"/>
  <c r="C2788" i="5"/>
  <c r="N3646" i="2" s="1"/>
  <c r="J3646" i="2" s="1"/>
  <c r="C2796" i="5"/>
  <c r="N3654" i="2" s="1"/>
  <c r="J3654" i="2" s="1"/>
  <c r="C2804" i="5"/>
  <c r="N3662" i="2" s="1"/>
  <c r="J3662" i="2" s="1"/>
  <c r="C2859" i="5"/>
  <c r="N3782" i="2" s="1"/>
  <c r="J3782" i="2" s="1"/>
  <c r="C37" i="6"/>
  <c r="C50" i="6"/>
  <c r="N253" i="2" s="1"/>
  <c r="C73" i="6"/>
  <c r="C115" i="6"/>
  <c r="C118" i="6"/>
  <c r="C130" i="6"/>
  <c r="D270" i="6"/>
  <c r="C266" i="6"/>
  <c r="C270" i="6" s="1"/>
  <c r="D273" i="6"/>
  <c r="D336" i="6"/>
  <c r="C285" i="6"/>
  <c r="N1261" i="2" s="1"/>
  <c r="J1261" i="2" s="1"/>
  <c r="C518" i="6"/>
  <c r="N2067" i="2" s="1"/>
  <c r="J2067" i="2" s="1"/>
  <c r="D627" i="6"/>
  <c r="D890" i="6"/>
  <c r="C882" i="6"/>
  <c r="C890" i="6" s="1"/>
  <c r="C943" i="6"/>
  <c r="W2138" i="5"/>
  <c r="C2151" i="5"/>
  <c r="C2172" i="5"/>
  <c r="W2177" i="5"/>
  <c r="C2174" i="5"/>
  <c r="N2831" i="2" s="1"/>
  <c r="J2831" i="2" s="1"/>
  <c r="D2226" i="5"/>
  <c r="C2225" i="5"/>
  <c r="W2280" i="5"/>
  <c r="W2342" i="5" s="1"/>
  <c r="N3150" i="2"/>
  <c r="J3150" i="2" s="1"/>
  <c r="N3152" i="2"/>
  <c r="J3152" i="2" s="1"/>
  <c r="N3154" i="2"/>
  <c r="J3154" i="2" s="1"/>
  <c r="N3156" i="2"/>
  <c r="J3156" i="2" s="1"/>
  <c r="N3158" i="2"/>
  <c r="J3158" i="2" s="1"/>
  <c r="N3160" i="2"/>
  <c r="J3160" i="2" s="1"/>
  <c r="N3162" i="2"/>
  <c r="J3162" i="2" s="1"/>
  <c r="N3164" i="2"/>
  <c r="J3164" i="2" s="1"/>
  <c r="N3166" i="2"/>
  <c r="J3166" i="2" s="1"/>
  <c r="N3168" i="2"/>
  <c r="J3168" i="2" s="1"/>
  <c r="N3170" i="2"/>
  <c r="J3170" i="2" s="1"/>
  <c r="N3172" i="2"/>
  <c r="J3172" i="2" s="1"/>
  <c r="N3174" i="2"/>
  <c r="J3174" i="2" s="1"/>
  <c r="D2515" i="5"/>
  <c r="C2513" i="5"/>
  <c r="N3345" i="2" s="1"/>
  <c r="J3345" i="2" s="1"/>
  <c r="H2756" i="5"/>
  <c r="L2756" i="5"/>
  <c r="P2756" i="5"/>
  <c r="C2519" i="5"/>
  <c r="N3354" i="2" s="1"/>
  <c r="J3354" i="2" s="1"/>
  <c r="C2523" i="5"/>
  <c r="N3358" i="2" s="1"/>
  <c r="J3358" i="2" s="1"/>
  <c r="N3411" i="2"/>
  <c r="J3411" i="2" s="1"/>
  <c r="N3452" i="2"/>
  <c r="J3452" i="2" s="1"/>
  <c r="N3507" i="2"/>
  <c r="J3507" i="2" s="1"/>
  <c r="N3519" i="2"/>
  <c r="J3519" i="2" s="1"/>
  <c r="N3527" i="2"/>
  <c r="J3527" i="2" s="1"/>
  <c r="N3547" i="2"/>
  <c r="J3547" i="2" s="1"/>
  <c r="N3551" i="2"/>
  <c r="J3551" i="2" s="1"/>
  <c r="N3555" i="2"/>
  <c r="J3555" i="2" s="1"/>
  <c r="W2807" i="5"/>
  <c r="C2762" i="5"/>
  <c r="N3620" i="2" s="1"/>
  <c r="J3620" i="2" s="1"/>
  <c r="C2766" i="5"/>
  <c r="N3624" i="2" s="1"/>
  <c r="J3624" i="2" s="1"/>
  <c r="C2770" i="5"/>
  <c r="N3628" i="2" s="1"/>
  <c r="J3628" i="2" s="1"/>
  <c r="C2774" i="5"/>
  <c r="N3632" i="2" s="1"/>
  <c r="J3632" i="2" s="1"/>
  <c r="C2778" i="5"/>
  <c r="N3636" i="2" s="1"/>
  <c r="J3636" i="2" s="1"/>
  <c r="C2782" i="5"/>
  <c r="N3640" i="2" s="1"/>
  <c r="J3640" i="2" s="1"/>
  <c r="N3644" i="2"/>
  <c r="J3644" i="2" s="1"/>
  <c r="C2790" i="5"/>
  <c r="N3648" i="2" s="1"/>
  <c r="J3648" i="2" s="1"/>
  <c r="C2794" i="5"/>
  <c r="N3652" i="2" s="1"/>
  <c r="J3652" i="2" s="1"/>
  <c r="C2798" i="5"/>
  <c r="N3656" i="2" s="1"/>
  <c r="J3656" i="2" s="1"/>
  <c r="C2802" i="5"/>
  <c r="N3660" i="2" s="1"/>
  <c r="J3660" i="2" s="1"/>
  <c r="C2806" i="5"/>
  <c r="N3664" i="2" s="1"/>
  <c r="J3664" i="2" s="1"/>
  <c r="D2829" i="5"/>
  <c r="C2822" i="5"/>
  <c r="N3696" i="2" s="1"/>
  <c r="J3696" i="2" s="1"/>
  <c r="C2824" i="5"/>
  <c r="N3698" i="2" s="1"/>
  <c r="J3698" i="2" s="1"/>
  <c r="C2853" i="5"/>
  <c r="C2858" i="5"/>
  <c r="N3781" i="2" s="1"/>
  <c r="J3781" i="2" s="1"/>
  <c r="C2865" i="5"/>
  <c r="N3785" i="2" s="1"/>
  <c r="J3785" i="2" s="1"/>
  <c r="C2867" i="5"/>
  <c r="N3787" i="2" s="1"/>
  <c r="J3787" i="2" s="1"/>
  <c r="D24" i="6"/>
  <c r="W38" i="6"/>
  <c r="C44" i="6"/>
  <c r="N232" i="2" s="1"/>
  <c r="C111" i="6"/>
  <c r="C114" i="6"/>
  <c r="C119" i="6"/>
  <c r="C122" i="6"/>
  <c r="C129" i="6"/>
  <c r="N478" i="2" s="1"/>
  <c r="D132" i="6"/>
  <c r="C171" i="6"/>
  <c r="W223" i="6"/>
  <c r="C198" i="6"/>
  <c r="N654" i="2" s="1"/>
  <c r="J654" i="2" s="1"/>
  <c r="C202" i="6"/>
  <c r="N658" i="2" s="1"/>
  <c r="J658" i="2" s="1"/>
  <c r="C273" i="6"/>
  <c r="C287" i="6"/>
  <c r="N1264" i="2" s="1"/>
  <c r="J1264" i="2" s="1"/>
  <c r="C293" i="6"/>
  <c r="N1270" i="2" s="1"/>
  <c r="J1270" i="2" s="1"/>
  <c r="C297" i="6"/>
  <c r="N1274" i="2" s="1"/>
  <c r="J1274" i="2" s="1"/>
  <c r="W363" i="6"/>
  <c r="C367" i="6"/>
  <c r="C372" i="6" s="1"/>
  <c r="D372" i="6"/>
  <c r="D448" i="6"/>
  <c r="C447" i="6"/>
  <c r="C483" i="6"/>
  <c r="C701" i="6"/>
  <c r="C821" i="6"/>
  <c r="W853" i="6"/>
  <c r="W879" i="6"/>
  <c r="C875" i="6"/>
  <c r="N2606" i="2" s="1"/>
  <c r="J2606" i="2" s="1"/>
  <c r="D1048" i="6"/>
  <c r="D1049" i="6" s="1"/>
  <c r="C1044" i="6"/>
  <c r="D2080" i="5"/>
  <c r="H2138" i="5"/>
  <c r="H2202" i="5" s="1"/>
  <c r="D2101" i="5"/>
  <c r="C2101" i="5" s="1"/>
  <c r="N2709" i="2" s="1"/>
  <c r="J2709" i="2" s="1"/>
  <c r="C2128" i="5"/>
  <c r="N2741" i="2" s="1"/>
  <c r="J2741" i="2" s="1"/>
  <c r="D2146" i="5"/>
  <c r="W2154" i="5"/>
  <c r="C2153" i="5"/>
  <c r="C2163" i="5"/>
  <c r="N2813" i="2" s="1"/>
  <c r="J2813" i="2" s="1"/>
  <c r="N3058" i="2"/>
  <c r="J3058" i="2" s="1"/>
  <c r="N3089" i="2"/>
  <c r="J3089" i="2" s="1"/>
  <c r="N3114" i="2"/>
  <c r="J3114" i="2" s="1"/>
  <c r="N3116" i="2"/>
  <c r="J3116" i="2" s="1"/>
  <c r="O2475" i="5"/>
  <c r="V2475" i="5"/>
  <c r="C2509" i="5"/>
  <c r="N3341" i="2" s="1"/>
  <c r="J3341" i="2" s="1"/>
  <c r="E2756" i="5"/>
  <c r="M2756" i="5"/>
  <c r="Q2756" i="5"/>
  <c r="U2756" i="5"/>
  <c r="D2525" i="5"/>
  <c r="C2522" i="5"/>
  <c r="N3357" i="2" s="1"/>
  <c r="J3357" i="2" s="1"/>
  <c r="N2756" i="5"/>
  <c r="N3455" i="2"/>
  <c r="J3455" i="2" s="1"/>
  <c r="N3457" i="2"/>
  <c r="J3457" i="2" s="1"/>
  <c r="N3459" i="2"/>
  <c r="J3459" i="2" s="1"/>
  <c r="N3461" i="2"/>
  <c r="J3461" i="2" s="1"/>
  <c r="N3463" i="2"/>
  <c r="J3463" i="2" s="1"/>
  <c r="N3465" i="2"/>
  <c r="J3465" i="2" s="1"/>
  <c r="N3467" i="2"/>
  <c r="J3467" i="2" s="1"/>
  <c r="N3469" i="2"/>
  <c r="J3469" i="2" s="1"/>
  <c r="N3471" i="2"/>
  <c r="J3471" i="2" s="1"/>
  <c r="N3473" i="2"/>
  <c r="J3473" i="2" s="1"/>
  <c r="N3477" i="2"/>
  <c r="J3477" i="2" s="1"/>
  <c r="N3481" i="2"/>
  <c r="J3481" i="2" s="1"/>
  <c r="N3483" i="2"/>
  <c r="J3483" i="2" s="1"/>
  <c r="N3485" i="2"/>
  <c r="J3485" i="2" s="1"/>
  <c r="N3487" i="2"/>
  <c r="J3487" i="2" s="1"/>
  <c r="N3489" i="2"/>
  <c r="J3489" i="2" s="1"/>
  <c r="N3491" i="2"/>
  <c r="J3491" i="2" s="1"/>
  <c r="N3493" i="2"/>
  <c r="J3493" i="2" s="1"/>
  <c r="N3495" i="2"/>
  <c r="J3495" i="2" s="1"/>
  <c r="N3497" i="2"/>
  <c r="J3497" i="2" s="1"/>
  <c r="N3506" i="2"/>
  <c r="J3506" i="2" s="1"/>
  <c r="N3509" i="2"/>
  <c r="J3509" i="2" s="1"/>
  <c r="N3518" i="2"/>
  <c r="J3518" i="2" s="1"/>
  <c r="N3521" i="2"/>
  <c r="J3521" i="2" s="1"/>
  <c r="N3526" i="2"/>
  <c r="J3526" i="2" s="1"/>
  <c r="N3546" i="2"/>
  <c r="J3546" i="2" s="1"/>
  <c r="N3550" i="2"/>
  <c r="J3550" i="2" s="1"/>
  <c r="N3554" i="2"/>
  <c r="J3554" i="2" s="1"/>
  <c r="N3558" i="2"/>
  <c r="J3558" i="2" s="1"/>
  <c r="N3564" i="2"/>
  <c r="J3564" i="2" s="1"/>
  <c r="N3566" i="2"/>
  <c r="J3566" i="2" s="1"/>
  <c r="N3568" i="2"/>
  <c r="J3568" i="2" s="1"/>
  <c r="N3570" i="2"/>
  <c r="J3570" i="2" s="1"/>
  <c r="N3572" i="2"/>
  <c r="J3572" i="2" s="1"/>
  <c r="N3574" i="2"/>
  <c r="J3574" i="2" s="1"/>
  <c r="N3584" i="2"/>
  <c r="J3584" i="2" s="1"/>
  <c r="C2761" i="5"/>
  <c r="N3619" i="2" s="1"/>
  <c r="J3619" i="2" s="1"/>
  <c r="C2765" i="5"/>
  <c r="N3623" i="2" s="1"/>
  <c r="J3623" i="2" s="1"/>
  <c r="C2769" i="5"/>
  <c r="N3627" i="2" s="1"/>
  <c r="J3627" i="2" s="1"/>
  <c r="C2773" i="5"/>
  <c r="N3631" i="2" s="1"/>
  <c r="J3631" i="2" s="1"/>
  <c r="C2777" i="5"/>
  <c r="N3635" i="2" s="1"/>
  <c r="J3635" i="2" s="1"/>
  <c r="N3639" i="2"/>
  <c r="J3639" i="2" s="1"/>
  <c r="C2785" i="5"/>
  <c r="N3643" i="2" s="1"/>
  <c r="J3643" i="2" s="1"/>
  <c r="C2789" i="5"/>
  <c r="N3647" i="2" s="1"/>
  <c r="J3647" i="2" s="1"/>
  <c r="C2793" i="5"/>
  <c r="N3651" i="2" s="1"/>
  <c r="J3651" i="2" s="1"/>
  <c r="C2797" i="5"/>
  <c r="N3655" i="2" s="1"/>
  <c r="J3655" i="2" s="1"/>
  <c r="C2801" i="5"/>
  <c r="N3659" i="2" s="1"/>
  <c r="J3659" i="2" s="1"/>
  <c r="C2805" i="5"/>
  <c r="N3663" i="2" s="1"/>
  <c r="J3663" i="2" s="1"/>
  <c r="W2829" i="5"/>
  <c r="C2826" i="5"/>
  <c r="N3701" i="2" s="1"/>
  <c r="J3701" i="2" s="1"/>
  <c r="C2828" i="5"/>
  <c r="N3703" i="2" s="1"/>
  <c r="J3703" i="2" s="1"/>
  <c r="W2868" i="5"/>
  <c r="C35" i="6"/>
  <c r="C51" i="6"/>
  <c r="D61" i="6"/>
  <c r="C61" i="6" s="1"/>
  <c r="U105" i="6"/>
  <c r="U144" i="6" s="1"/>
  <c r="C81" i="6"/>
  <c r="C190" i="6"/>
  <c r="N646" i="2" s="1"/>
  <c r="J646" i="2" s="1"/>
  <c r="C192" i="6"/>
  <c r="N648" i="2" s="1"/>
  <c r="J648" i="2" s="1"/>
  <c r="C197" i="6"/>
  <c r="N653" i="2" s="1"/>
  <c r="J653" i="2" s="1"/>
  <c r="C201" i="6"/>
  <c r="N657" i="2" s="1"/>
  <c r="J657" i="2" s="1"/>
  <c r="C205" i="6"/>
  <c r="N661" i="2" s="1"/>
  <c r="J661" i="2" s="1"/>
  <c r="D227" i="6"/>
  <c r="C232" i="6"/>
  <c r="C245" i="6"/>
  <c r="D264" i="6"/>
  <c r="C276" i="6"/>
  <c r="C279" i="6" s="1"/>
  <c r="D283" i="6"/>
  <c r="W336" i="6"/>
  <c r="C300" i="6"/>
  <c r="N1282" i="2" s="1"/>
  <c r="J1282" i="2" s="1"/>
  <c r="C305" i="6"/>
  <c r="N1287" i="2" s="1"/>
  <c r="J1287" i="2" s="1"/>
  <c r="C308" i="6"/>
  <c r="N1290" i="2" s="1"/>
  <c r="J1290" i="2" s="1"/>
  <c r="C313" i="6"/>
  <c r="N1295" i="2" s="1"/>
  <c r="J1295" i="2" s="1"/>
  <c r="C316" i="6"/>
  <c r="N1298" i="2" s="1"/>
  <c r="J1298" i="2" s="1"/>
  <c r="C321" i="6"/>
  <c r="N1303" i="2" s="1"/>
  <c r="J1303" i="2" s="1"/>
  <c r="C324" i="6"/>
  <c r="N1306" i="2" s="1"/>
  <c r="J1306" i="2" s="1"/>
  <c r="C329" i="6"/>
  <c r="N1311" i="2" s="1"/>
  <c r="J1311" i="2" s="1"/>
  <c r="C332" i="6"/>
  <c r="N1314" i="2" s="1"/>
  <c r="J1314" i="2" s="1"/>
  <c r="C344" i="6"/>
  <c r="N1327" i="2" s="1"/>
  <c r="J1327" i="2" s="1"/>
  <c r="C346" i="6"/>
  <c r="N1329" i="2" s="1"/>
  <c r="J1329" i="2" s="1"/>
  <c r="C374" i="6"/>
  <c r="C375" i="6" s="1"/>
  <c r="D375" i="6"/>
  <c r="C647" i="6"/>
  <c r="N2202" i="2" s="1"/>
  <c r="J2202" i="2" s="1"/>
  <c r="C897" i="6"/>
  <c r="N2628" i="2" s="1"/>
  <c r="J2628" i="2" s="1"/>
  <c r="C900" i="6"/>
  <c r="N2631" i="2" s="1"/>
  <c r="J2631" i="2" s="1"/>
  <c r="C2759" i="5"/>
  <c r="C107" i="6"/>
  <c r="D137" i="6"/>
  <c r="C257" i="6"/>
  <c r="C261" i="6"/>
  <c r="C264" i="6" s="1"/>
  <c r="C281" i="6"/>
  <c r="C283" i="6" s="1"/>
  <c r="C348" i="6"/>
  <c r="N1331" i="2" s="1"/>
  <c r="J1331" i="2" s="1"/>
  <c r="C377" i="6"/>
  <c r="N1435" i="2" s="1"/>
  <c r="J1435" i="2" s="1"/>
  <c r="D423" i="6"/>
  <c r="C393" i="6"/>
  <c r="C410" i="6"/>
  <c r="C443" i="6"/>
  <c r="N1883" i="2" s="1"/>
  <c r="J1883" i="2" s="1"/>
  <c r="D445" i="6"/>
  <c r="C475" i="6"/>
  <c r="C480" i="6"/>
  <c r="C481" i="6" s="1"/>
  <c r="D481" i="6"/>
  <c r="C651" i="6"/>
  <c r="N2206" i="2" s="1"/>
  <c r="J2206" i="2" s="1"/>
  <c r="D757" i="6"/>
  <c r="C756" i="6"/>
  <c r="C757" i="6" s="1"/>
  <c r="C787" i="6"/>
  <c r="D803" i="6"/>
  <c r="D827" i="6"/>
  <c r="C823" i="6"/>
  <c r="C827" i="6" s="1"/>
  <c r="C847" i="6"/>
  <c r="N2560" i="2" s="1"/>
  <c r="J2560" i="2" s="1"/>
  <c r="D867" i="6"/>
  <c r="C855" i="6"/>
  <c r="N2578" i="2" s="1"/>
  <c r="J2578" i="2" s="1"/>
  <c r="W867" i="6"/>
  <c r="W901" i="6"/>
  <c r="W968" i="6" s="1"/>
  <c r="D947" i="6"/>
  <c r="C945" i="6"/>
  <c r="D1006" i="6"/>
  <c r="C347" i="6"/>
  <c r="N1330" i="2" s="1"/>
  <c r="J1330" i="2" s="1"/>
  <c r="C387" i="6"/>
  <c r="C399" i="6"/>
  <c r="D432" i="6"/>
  <c r="N1945" i="2"/>
  <c r="J1945" i="2" s="1"/>
  <c r="X509" i="6"/>
  <c r="C629" i="6"/>
  <c r="D630" i="6"/>
  <c r="T753" i="6"/>
  <c r="C639" i="6"/>
  <c r="N2192" i="2" s="1"/>
  <c r="J2192" i="2" s="1"/>
  <c r="C776" i="6"/>
  <c r="N2417" i="2" s="1"/>
  <c r="J2417" i="2" s="1"/>
  <c r="D981" i="6"/>
  <c r="C979" i="6"/>
  <c r="N2876" i="2" s="1"/>
  <c r="J2876" i="2" s="1"/>
  <c r="W445" i="6"/>
  <c r="C476" i="6"/>
  <c r="N1982" i="2" s="1"/>
  <c r="J1982" i="2" s="1"/>
  <c r="C579" i="6"/>
  <c r="N2128" i="2" s="1"/>
  <c r="J2128" i="2" s="1"/>
  <c r="X753" i="6"/>
  <c r="H753" i="6"/>
  <c r="L753" i="6"/>
  <c r="P753" i="6"/>
  <c r="C633" i="6"/>
  <c r="N2186" i="2" s="1"/>
  <c r="J2186" i="2" s="1"/>
  <c r="C637" i="6"/>
  <c r="N2190" i="2" s="1"/>
  <c r="J2190" i="2" s="1"/>
  <c r="C641" i="6"/>
  <c r="N2194" i="2" s="1"/>
  <c r="J2194" i="2" s="1"/>
  <c r="C645" i="6"/>
  <c r="N2198" i="2" s="1"/>
  <c r="J2198" i="2" s="1"/>
  <c r="C649" i="6"/>
  <c r="N2204" i="2" s="1"/>
  <c r="J2204" i="2" s="1"/>
  <c r="C653" i="6"/>
  <c r="N2209" i="2" s="1"/>
  <c r="J2209" i="2" s="1"/>
  <c r="C657" i="6"/>
  <c r="N2213" i="2" s="1"/>
  <c r="J2213" i="2" s="1"/>
  <c r="D672" i="6"/>
  <c r="C683" i="6"/>
  <c r="D697" i="6"/>
  <c r="D701" i="6"/>
  <c r="D798" i="6"/>
  <c r="C765" i="6"/>
  <c r="C770" i="6"/>
  <c r="C774" i="6"/>
  <c r="C778" i="6"/>
  <c r="C796" i="6"/>
  <c r="V804" i="6"/>
  <c r="C845" i="6"/>
  <c r="N2558" i="2" s="1"/>
  <c r="J2558" i="2" s="1"/>
  <c r="C849" i="6"/>
  <c r="N2562" i="2" s="1"/>
  <c r="J2562" i="2" s="1"/>
  <c r="C896" i="6"/>
  <c r="N2627" i="2" s="1"/>
  <c r="J2627" i="2" s="1"/>
  <c r="D973" i="6"/>
  <c r="C972" i="6"/>
  <c r="C973" i="6" s="1"/>
  <c r="C980" i="6"/>
  <c r="N2877" i="2" s="1"/>
  <c r="J2877" i="2" s="1"/>
  <c r="G993" i="6"/>
  <c r="O993" i="6"/>
  <c r="V993" i="6"/>
  <c r="D1016" i="6"/>
  <c r="D1202" i="6"/>
  <c r="C1102" i="6"/>
  <c r="N3239" i="2" s="1"/>
  <c r="J3239" i="2" s="1"/>
  <c r="D1305" i="6"/>
  <c r="C1304" i="6"/>
  <c r="C425" i="6"/>
  <c r="N1853" i="2" s="1"/>
  <c r="J1853" i="2" s="1"/>
  <c r="C430" i="6"/>
  <c r="N1858" i="2" s="1"/>
  <c r="J1858" i="2" s="1"/>
  <c r="C444" i="6"/>
  <c r="N1885" i="2" s="1"/>
  <c r="J1885" i="2" s="1"/>
  <c r="D508" i="6"/>
  <c r="C504" i="6"/>
  <c r="C507" i="6"/>
  <c r="N2044" i="2" s="1"/>
  <c r="J2044" i="2" s="1"/>
  <c r="C541" i="6"/>
  <c r="C543" i="6"/>
  <c r="N2092" i="2" s="1"/>
  <c r="J2092" i="2" s="1"/>
  <c r="C545" i="6"/>
  <c r="N2094" i="2" s="1"/>
  <c r="J2094" i="2" s="1"/>
  <c r="C547" i="6"/>
  <c r="N2096" i="2" s="1"/>
  <c r="J2096" i="2" s="1"/>
  <c r="C549" i="6"/>
  <c r="N2098" i="2" s="1"/>
  <c r="J2098" i="2" s="1"/>
  <c r="C551" i="6"/>
  <c r="N2100" i="2" s="1"/>
  <c r="J2100" i="2" s="1"/>
  <c r="C553" i="6"/>
  <c r="N2102" i="2" s="1"/>
  <c r="J2102" i="2" s="1"/>
  <c r="C555" i="6"/>
  <c r="N2104" i="2" s="1"/>
  <c r="J2104" i="2" s="1"/>
  <c r="C557" i="6"/>
  <c r="N2106" i="2" s="1"/>
  <c r="J2106" i="2" s="1"/>
  <c r="C559" i="6"/>
  <c r="N2108" i="2" s="1"/>
  <c r="J2108" i="2" s="1"/>
  <c r="C561" i="6"/>
  <c r="N2110" i="2" s="1"/>
  <c r="J2110" i="2" s="1"/>
  <c r="C563" i="6"/>
  <c r="N2112" i="2" s="1"/>
  <c r="J2112" i="2" s="1"/>
  <c r="C565" i="6"/>
  <c r="N2114" i="2" s="1"/>
  <c r="J2114" i="2" s="1"/>
  <c r="C567" i="6"/>
  <c r="N2116" i="2" s="1"/>
  <c r="J2116" i="2" s="1"/>
  <c r="C569" i="6"/>
  <c r="N2118" i="2" s="1"/>
  <c r="J2118" i="2" s="1"/>
  <c r="C571" i="6"/>
  <c r="N2120" i="2" s="1"/>
  <c r="J2120" i="2" s="1"/>
  <c r="C573" i="6"/>
  <c r="N2122" i="2" s="1"/>
  <c r="J2122" i="2" s="1"/>
  <c r="C578" i="6"/>
  <c r="N2127" i="2" s="1"/>
  <c r="J2127" i="2" s="1"/>
  <c r="E753" i="6"/>
  <c r="I753" i="6"/>
  <c r="M753" i="6"/>
  <c r="Q753" i="6"/>
  <c r="C632" i="6"/>
  <c r="N2185" i="2" s="1"/>
  <c r="J2185" i="2" s="1"/>
  <c r="C636" i="6"/>
  <c r="N2189" i="2" s="1"/>
  <c r="J2189" i="2" s="1"/>
  <c r="C640" i="6"/>
  <c r="N2193" i="2" s="1"/>
  <c r="J2193" i="2" s="1"/>
  <c r="C644" i="6"/>
  <c r="N2197" i="2" s="1"/>
  <c r="J2197" i="2" s="1"/>
  <c r="C648" i="6"/>
  <c r="N2203" i="2" s="1"/>
  <c r="J2203" i="2" s="1"/>
  <c r="C652" i="6"/>
  <c r="N2208" i="2" s="1"/>
  <c r="J2208" i="2" s="1"/>
  <c r="C656" i="6"/>
  <c r="N2212" i="2" s="1"/>
  <c r="J2212" i="2" s="1"/>
  <c r="C764" i="6"/>
  <c r="C767" i="6"/>
  <c r="N2361" i="2" s="1"/>
  <c r="J2361" i="2" s="1"/>
  <c r="C769" i="6"/>
  <c r="C773" i="6"/>
  <c r="C777" i="6"/>
  <c r="C795" i="6"/>
  <c r="E804" i="6"/>
  <c r="I804" i="6"/>
  <c r="M804" i="6"/>
  <c r="Q804" i="6"/>
  <c r="U804" i="6"/>
  <c r="C844" i="6"/>
  <c r="N2557" i="2" s="1"/>
  <c r="J2557" i="2" s="1"/>
  <c r="C848" i="6"/>
  <c r="N2561" i="2" s="1"/>
  <c r="J2561" i="2" s="1"/>
  <c r="C904" i="6"/>
  <c r="D907" i="6"/>
  <c r="D936" i="6"/>
  <c r="C998" i="6"/>
  <c r="N2901" i="2" s="1"/>
  <c r="J2901" i="2" s="1"/>
  <c r="C1000" i="6"/>
  <c r="N2903" i="2" s="1"/>
  <c r="J2903" i="2" s="1"/>
  <c r="C452" i="6"/>
  <c r="C454" i="6" s="1"/>
  <c r="C472" i="6" s="1"/>
  <c r="C682" i="6"/>
  <c r="D912" i="6"/>
  <c r="C914" i="6"/>
  <c r="N2768" i="2" s="1"/>
  <c r="J2768" i="2" s="1"/>
  <c r="D943" i="6"/>
  <c r="D967" i="6"/>
  <c r="H993" i="6"/>
  <c r="L993" i="6"/>
  <c r="P993" i="6"/>
  <c r="C988" i="6"/>
  <c r="N2887" i="2" s="1"/>
  <c r="J2887" i="2" s="1"/>
  <c r="C989" i="6"/>
  <c r="N2890" i="2" s="1"/>
  <c r="J2890" i="2" s="1"/>
  <c r="C997" i="6"/>
  <c r="N2900" i="2" s="1"/>
  <c r="J2900" i="2" s="1"/>
  <c r="C999" i="6"/>
  <c r="N2902" i="2" s="1"/>
  <c r="J2902" i="2" s="1"/>
  <c r="C1012" i="6"/>
  <c r="C1016" i="6" s="1"/>
  <c r="C1098" i="6"/>
  <c r="N3235" i="2" s="1"/>
  <c r="J3235" i="2" s="1"/>
  <c r="C1106" i="6"/>
  <c r="N3243" i="2" s="1"/>
  <c r="J3243" i="2" s="1"/>
  <c r="D870" i="6"/>
  <c r="C869" i="6"/>
  <c r="C870" i="6" s="1"/>
  <c r="C878" i="6"/>
  <c r="N2609" i="2" s="1"/>
  <c r="J2609" i="2" s="1"/>
  <c r="C950" i="6"/>
  <c r="N2844" i="2" s="1"/>
  <c r="J2844" i="2" s="1"/>
  <c r="C952" i="6"/>
  <c r="N2846" i="2" s="1"/>
  <c r="J2846" i="2" s="1"/>
  <c r="C954" i="6"/>
  <c r="N2848" i="2" s="1"/>
  <c r="J2848" i="2" s="1"/>
  <c r="C956" i="6"/>
  <c r="N2850" i="2" s="1"/>
  <c r="J2850" i="2" s="1"/>
  <c r="C958" i="6"/>
  <c r="N2852" i="2" s="1"/>
  <c r="J2852" i="2" s="1"/>
  <c r="C960" i="6"/>
  <c r="N2854" i="2" s="1"/>
  <c r="J2854" i="2" s="1"/>
  <c r="C962" i="6"/>
  <c r="N2856" i="2" s="1"/>
  <c r="J2856" i="2" s="1"/>
  <c r="C964" i="6"/>
  <c r="N2858" i="2" s="1"/>
  <c r="J2858" i="2" s="1"/>
  <c r="C966" i="6"/>
  <c r="N2860" i="2" s="1"/>
  <c r="J2860" i="2" s="1"/>
  <c r="E993" i="6"/>
  <c r="I993" i="6"/>
  <c r="M993" i="6"/>
  <c r="Q993" i="6"/>
  <c r="T993" i="6"/>
  <c r="D1001" i="6"/>
  <c r="C996" i="6"/>
  <c r="W1001" i="6"/>
  <c r="W1039" i="6" s="1"/>
  <c r="D1032" i="6"/>
  <c r="C1029" i="6"/>
  <c r="N2988" i="2" s="1"/>
  <c r="J2988" i="2" s="1"/>
  <c r="R1032" i="6"/>
  <c r="R1039" i="6" s="1"/>
  <c r="W1202" i="6"/>
  <c r="C1054" i="6"/>
  <c r="N3190" i="2" s="1"/>
  <c r="J3190" i="2" s="1"/>
  <c r="C1062" i="6"/>
  <c r="N3198" i="2" s="1"/>
  <c r="J3198" i="2" s="1"/>
  <c r="C1070" i="6"/>
  <c r="N3206" i="2" s="1"/>
  <c r="J3206" i="2" s="1"/>
  <c r="C1078" i="6"/>
  <c r="N3214" i="2" s="1"/>
  <c r="J3214" i="2" s="1"/>
  <c r="C1086" i="6"/>
  <c r="N3222" i="2" s="1"/>
  <c r="J3222" i="2" s="1"/>
  <c r="C1206" i="6"/>
  <c r="N3364" i="2" s="1"/>
  <c r="J3364" i="2" s="1"/>
  <c r="D1281" i="6"/>
  <c r="C1256" i="6"/>
  <c r="D1038" i="6"/>
  <c r="C1036" i="6"/>
  <c r="C1038" i="6" s="1"/>
  <c r="C1052" i="6"/>
  <c r="N3187" i="2" s="1"/>
  <c r="J3187" i="2" s="1"/>
  <c r="C1056" i="6"/>
  <c r="N3192" i="2" s="1"/>
  <c r="J3192" i="2" s="1"/>
  <c r="C1060" i="6"/>
  <c r="N3196" i="2" s="1"/>
  <c r="J3196" i="2" s="1"/>
  <c r="C1064" i="6"/>
  <c r="N3200" i="2" s="1"/>
  <c r="J3200" i="2" s="1"/>
  <c r="C1068" i="6"/>
  <c r="N3204" i="2" s="1"/>
  <c r="J3204" i="2" s="1"/>
  <c r="C1072" i="6"/>
  <c r="N3208" i="2" s="1"/>
  <c r="J3208" i="2" s="1"/>
  <c r="C1076" i="6"/>
  <c r="N3212" i="2" s="1"/>
  <c r="J3212" i="2" s="1"/>
  <c r="C1080" i="6"/>
  <c r="N3216" i="2" s="1"/>
  <c r="J3216" i="2" s="1"/>
  <c r="C1084" i="6"/>
  <c r="N3220" i="2" s="1"/>
  <c r="J3220" i="2" s="1"/>
  <c r="C1088" i="6"/>
  <c r="N3224" i="2" s="1"/>
  <c r="J3224" i="2" s="1"/>
  <c r="C1092" i="6"/>
  <c r="N3229" i="2" s="1"/>
  <c r="J3229" i="2" s="1"/>
  <c r="C1096" i="6"/>
  <c r="N3233" i="2" s="1"/>
  <c r="J3233" i="2" s="1"/>
  <c r="C1100" i="6"/>
  <c r="N3237" i="2" s="1"/>
  <c r="J3237" i="2" s="1"/>
  <c r="C1104" i="6"/>
  <c r="N3241" i="2" s="1"/>
  <c r="J3241" i="2" s="1"/>
  <c r="C1108" i="6"/>
  <c r="N3245" i="2" s="1"/>
  <c r="J3245" i="2" s="1"/>
  <c r="N3349" i="2"/>
  <c r="J3349" i="2" s="1"/>
  <c r="C1234" i="6"/>
  <c r="C1236" i="6"/>
  <c r="C1285" i="6"/>
  <c r="D1288" i="6"/>
  <c r="C1051" i="6"/>
  <c r="N3186" i="2" s="1"/>
  <c r="J3186" i="2" s="1"/>
  <c r="C1055" i="6"/>
  <c r="N3191" i="2" s="1"/>
  <c r="J3191" i="2" s="1"/>
  <c r="C1059" i="6"/>
  <c r="N3195" i="2" s="1"/>
  <c r="J3195" i="2" s="1"/>
  <c r="C1063" i="6"/>
  <c r="N3199" i="2" s="1"/>
  <c r="J3199" i="2" s="1"/>
  <c r="C1067" i="6"/>
  <c r="N3203" i="2" s="1"/>
  <c r="J3203" i="2" s="1"/>
  <c r="C1071" i="6"/>
  <c r="N3207" i="2" s="1"/>
  <c r="J3207" i="2" s="1"/>
  <c r="C1075" i="6"/>
  <c r="N3211" i="2" s="1"/>
  <c r="J3211" i="2" s="1"/>
  <c r="C1079" i="6"/>
  <c r="N3215" i="2" s="1"/>
  <c r="J3215" i="2" s="1"/>
  <c r="C1083" i="6"/>
  <c r="N3219" i="2" s="1"/>
  <c r="J3219" i="2" s="1"/>
  <c r="C1087" i="6"/>
  <c r="N3223" i="2" s="1"/>
  <c r="J3223" i="2" s="1"/>
  <c r="C1091" i="6"/>
  <c r="N3228" i="2" s="1"/>
  <c r="J3228" i="2" s="1"/>
  <c r="C1095" i="6"/>
  <c r="N3232" i="2" s="1"/>
  <c r="J3232" i="2" s="1"/>
  <c r="C1099" i="6"/>
  <c r="N3236" i="2" s="1"/>
  <c r="J3236" i="2" s="1"/>
  <c r="C1103" i="6"/>
  <c r="N3240" i="2" s="1"/>
  <c r="J3240" i="2" s="1"/>
  <c r="C1107" i="6"/>
  <c r="N3244" i="2" s="1"/>
  <c r="J3244" i="2" s="1"/>
  <c r="N3348" i="2"/>
  <c r="J3348" i="2" s="1"/>
  <c r="C1218" i="6"/>
  <c r="C1302" i="6"/>
  <c r="W1351" i="6"/>
  <c r="N3347" i="2"/>
  <c r="J3347" i="2" s="1"/>
  <c r="W1288" i="6"/>
  <c r="C1286" i="6"/>
  <c r="N3668" i="2" s="1"/>
  <c r="J3668" i="2" s="1"/>
  <c r="Y1353" i="6"/>
  <c r="C1309" i="6"/>
  <c r="N3713" i="2" s="1"/>
  <c r="J3713" i="2" s="1"/>
  <c r="D1319" i="6"/>
  <c r="C1313" i="6"/>
  <c r="N3727" i="2" s="1"/>
  <c r="J3727" i="2" s="1"/>
  <c r="C1315" i="6"/>
  <c r="N3729" i="2" s="1"/>
  <c r="J3729" i="2" s="1"/>
  <c r="C1318" i="6"/>
  <c r="N3732" i="2" s="1"/>
  <c r="J3732" i="2" s="1"/>
  <c r="C1329" i="6"/>
  <c r="N3759" i="2" s="1"/>
  <c r="J3759" i="2" s="1"/>
  <c r="C1337" i="6"/>
  <c r="N3767" i="2" s="1"/>
  <c r="J3767" i="2" s="1"/>
  <c r="C1345" i="6"/>
  <c r="N3775" i="2" s="1"/>
  <c r="J3775" i="2" s="1"/>
  <c r="D1296" i="6"/>
  <c r="D1302" i="6"/>
  <c r="C1314" i="6"/>
  <c r="N3728" i="2" s="1"/>
  <c r="J3728" i="2" s="1"/>
  <c r="C1323" i="6"/>
  <c r="N3753" i="2" s="1"/>
  <c r="J3753" i="2" s="1"/>
  <c r="C1327" i="6"/>
  <c r="N3757" i="2" s="1"/>
  <c r="J3757" i="2" s="1"/>
  <c r="C1331" i="6"/>
  <c r="N3761" i="2" s="1"/>
  <c r="J3761" i="2" s="1"/>
  <c r="C1335" i="6"/>
  <c r="C1339" i="6"/>
  <c r="N3769" i="2" s="1"/>
  <c r="J3769" i="2" s="1"/>
  <c r="C1343" i="6"/>
  <c r="N3773" i="2" s="1"/>
  <c r="J3773" i="2" s="1"/>
  <c r="C1347" i="6"/>
  <c r="N3777" i="2" s="1"/>
  <c r="J3777" i="2" s="1"/>
  <c r="C1316" i="6"/>
  <c r="N3730" i="2" s="1"/>
  <c r="J3730" i="2" s="1"/>
  <c r="C1322" i="6"/>
  <c r="N3752" i="2" s="1"/>
  <c r="J3752" i="2" s="1"/>
  <c r="C1326" i="6"/>
  <c r="C1330" i="6"/>
  <c r="N3760" i="2" s="1"/>
  <c r="J3760" i="2" s="1"/>
  <c r="C1334" i="6"/>
  <c r="C1338" i="6"/>
  <c r="N3768" i="2" s="1"/>
  <c r="J3768" i="2" s="1"/>
  <c r="C1342" i="6"/>
  <c r="N3772" i="2" s="1"/>
  <c r="J3772" i="2" s="1"/>
  <c r="C1346" i="6"/>
  <c r="N3776" i="2" s="1"/>
  <c r="J3776" i="2" s="1"/>
  <c r="C1350" i="6"/>
  <c r="N3780" i="2" s="1"/>
  <c r="J3780" i="2" s="1"/>
  <c r="C1321" i="6"/>
  <c r="N3751" i="2" s="1"/>
  <c r="J3751" i="2" s="1"/>
  <c r="N2453" i="2" l="1"/>
  <c r="J2453" i="2" s="1"/>
  <c r="N1325" i="2"/>
  <c r="J1325" i="2" s="1"/>
  <c r="N2736" i="2"/>
  <c r="J2736" i="2" s="1"/>
  <c r="C775" i="4"/>
  <c r="W1574" i="5"/>
  <c r="W1623" i="5" s="1"/>
  <c r="N1475" i="2"/>
  <c r="J1475" i="2" s="1"/>
  <c r="N2327" i="2"/>
  <c r="J2327" i="2" s="1"/>
  <c r="J2632" i="2"/>
  <c r="J1319" i="2"/>
  <c r="N3528" i="2"/>
  <c r="J3528" i="2" s="1"/>
  <c r="N2489" i="2"/>
  <c r="J2489" i="2" s="1"/>
  <c r="J2487" i="2"/>
  <c r="D1039" i="6"/>
  <c r="D1352" i="6"/>
  <c r="D1282" i="6"/>
  <c r="W1352" i="6"/>
  <c r="D968" i="6"/>
  <c r="A111" i="4"/>
  <c r="A114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9" i="4" s="1"/>
  <c r="A172" i="4" s="1"/>
  <c r="A175" i="4" s="1"/>
  <c r="A176" i="4" s="1"/>
  <c r="A177" i="4" s="1"/>
  <c r="A178" i="4" s="1"/>
  <c r="A179" i="4" s="1"/>
  <c r="A180" i="4" s="1"/>
  <c r="A181" i="4" s="1"/>
  <c r="A182" i="4" s="1"/>
  <c r="A188" i="4" s="1"/>
  <c r="A189" i="4" s="1"/>
  <c r="A190" i="4" s="1"/>
  <c r="A193" i="4" s="1"/>
  <c r="A196" i="4" s="1"/>
  <c r="A197" i="4" s="1"/>
  <c r="A198" i="4" s="1"/>
  <c r="A199" i="4" s="1"/>
  <c r="A202" i="4" s="1"/>
  <c r="A203" i="4" s="1"/>
  <c r="A204" i="4" s="1"/>
  <c r="A205" i="4" s="1"/>
  <c r="A208" i="4" s="1"/>
  <c r="A209" i="4" s="1"/>
  <c r="A212" i="4" s="1"/>
  <c r="A213" i="4" s="1"/>
  <c r="A216" i="4" s="1"/>
  <c r="A217" i="4" s="1"/>
  <c r="A218" i="4" s="1"/>
  <c r="A223" i="4" s="1"/>
  <c r="A224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9" i="4" s="1"/>
  <c r="A260" i="4" s="1"/>
  <c r="A263" i="4" s="1"/>
  <c r="A264" i="4" s="1"/>
  <c r="A265" i="4" s="1"/>
  <c r="A267" i="4" s="1"/>
  <c r="A268" i="4" s="1"/>
  <c r="A269" i="4" s="1"/>
  <c r="A270" i="4" s="1"/>
  <c r="A271" i="4" s="1"/>
  <c r="A107" i="4"/>
  <c r="A108" i="4" s="1"/>
  <c r="C664" i="4"/>
  <c r="W824" i="4"/>
  <c r="V2028" i="5"/>
  <c r="K2870" i="5"/>
  <c r="W2028" i="5"/>
  <c r="A148" i="5"/>
  <c r="A151" i="5" s="1"/>
  <c r="A152" i="5" s="1"/>
  <c r="A153" i="5" s="1"/>
  <c r="A154" i="5" s="1"/>
  <c r="A155" i="5" s="1"/>
  <c r="A156" i="5" s="1"/>
  <c r="A157" i="5" s="1"/>
  <c r="A158" i="5" s="1"/>
  <c r="A159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R2870" i="5"/>
  <c r="M2870" i="5"/>
  <c r="L2870" i="5"/>
  <c r="W2869" i="5"/>
  <c r="V2870" i="5"/>
  <c r="J2870" i="5"/>
  <c r="H2870" i="5"/>
  <c r="T2870" i="5"/>
  <c r="S2870" i="5"/>
  <c r="N2870" i="5"/>
  <c r="F2870" i="5"/>
  <c r="O2870" i="5"/>
  <c r="Q2870" i="5"/>
  <c r="P2870" i="5"/>
  <c r="W449" i="6"/>
  <c r="N610" i="2"/>
  <c r="J610" i="2" s="1"/>
  <c r="J643" i="2" s="1"/>
  <c r="C187" i="6"/>
  <c r="N601" i="2"/>
  <c r="N608" i="2" s="1"/>
  <c r="C169" i="6"/>
  <c r="A279" i="6"/>
  <c r="A281" i="6"/>
  <c r="A282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7" i="6" s="1"/>
  <c r="A368" i="6" s="1"/>
  <c r="A369" i="6" s="1"/>
  <c r="A370" i="6" s="1"/>
  <c r="A371" i="6" s="1"/>
  <c r="A374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5" i="6" s="1"/>
  <c r="A426" i="6" s="1"/>
  <c r="A427" i="6" s="1"/>
  <c r="A428" i="6" s="1"/>
  <c r="A429" i="6" s="1"/>
  <c r="A430" i="6" s="1"/>
  <c r="A431" i="6" s="1"/>
  <c r="A434" i="6" s="1"/>
  <c r="A437" i="6" s="1"/>
  <c r="A440" i="6" s="1"/>
  <c r="A443" i="6" s="1"/>
  <c r="A444" i="6" s="1"/>
  <c r="A447" i="6" s="1"/>
  <c r="A452" i="6" s="1"/>
  <c r="A453" i="6" s="1"/>
  <c r="A456" i="6" s="1"/>
  <c r="A457" i="6" s="1"/>
  <c r="A458" i="6" s="1"/>
  <c r="A459" i="6" s="1"/>
  <c r="A460" i="6" s="1"/>
  <c r="A461" i="6" s="1"/>
  <c r="A462" i="6" s="1"/>
  <c r="A463" i="6" s="1"/>
  <c r="A466" i="6" s="1"/>
  <c r="A467" i="6" s="1"/>
  <c r="A468" i="6" s="1"/>
  <c r="A469" i="6" s="1"/>
  <c r="A470" i="6" s="1"/>
  <c r="A475" i="6" s="1"/>
  <c r="A476" i="6" s="1"/>
  <c r="A477" i="6" s="1"/>
  <c r="A480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500" i="6" s="1"/>
  <c r="A501" i="6" s="1"/>
  <c r="A502" i="6" s="1"/>
  <c r="A503" i="6" s="1"/>
  <c r="A504" i="6" s="1"/>
  <c r="A505" i="6" s="1"/>
  <c r="A506" i="6" s="1"/>
  <c r="A507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9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74" i="6" s="1"/>
  <c r="A675" i="6" s="1"/>
  <c r="A678" i="6" s="1"/>
  <c r="A679" i="6" s="1"/>
  <c r="A682" i="6" s="1"/>
  <c r="A683" i="6" s="1"/>
  <c r="A684" i="6" s="1"/>
  <c r="A699" i="6" s="1"/>
  <c r="A700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6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800" i="6" s="1"/>
  <c r="A801" i="6" s="1"/>
  <c r="A802" i="6" s="1"/>
  <c r="A807" i="6" s="1"/>
  <c r="A808" i="6" s="1"/>
  <c r="A811" i="6" s="1"/>
  <c r="A812" i="6" s="1"/>
  <c r="A815" i="6" s="1"/>
  <c r="A816" i="6" s="1"/>
  <c r="A817" i="6" s="1"/>
  <c r="A818" i="6" s="1"/>
  <c r="A819" i="6" s="1"/>
  <c r="A820" i="6" s="1"/>
  <c r="A823" i="6" s="1"/>
  <c r="A824" i="6" s="1"/>
  <c r="A825" i="6" s="1"/>
  <c r="A826" i="6" s="1"/>
  <c r="A829" i="6" s="1"/>
  <c r="A839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9" i="6" s="1"/>
  <c r="A872" i="6" s="1"/>
  <c r="A875" i="6" s="1"/>
  <c r="A876" i="6" s="1"/>
  <c r="A877" i="6" s="1"/>
  <c r="A878" i="6" s="1"/>
  <c r="D509" i="6"/>
  <c r="N2267" i="2"/>
  <c r="M2267" i="2" s="1"/>
  <c r="J2267" i="2" s="1"/>
  <c r="N2815" i="2"/>
  <c r="J2815" i="2" s="1"/>
  <c r="N2259" i="2"/>
  <c r="M2259" i="2" s="1"/>
  <c r="J2259" i="2" s="1"/>
  <c r="W891" i="6"/>
  <c r="D891" i="6"/>
  <c r="D449" i="6"/>
  <c r="W364" i="6"/>
  <c r="W54" i="6"/>
  <c r="C105" i="6"/>
  <c r="D364" i="6"/>
  <c r="D54" i="6"/>
  <c r="C803" i="6"/>
  <c r="W753" i="6"/>
  <c r="C63" i="6"/>
  <c r="C1048" i="6"/>
  <c r="C1049" i="6" s="1"/>
  <c r="N3475" i="2"/>
  <c r="J3475" i="2" s="1"/>
  <c r="C685" i="6"/>
  <c r="W144" i="6"/>
  <c r="D28" i="6"/>
  <c r="C676" i="6"/>
  <c r="N2235" i="2"/>
  <c r="J2235" i="2" s="1"/>
  <c r="N1173" i="2"/>
  <c r="J1173" i="2" s="1"/>
  <c r="N3363" i="2"/>
  <c r="J3363" i="2" s="1"/>
  <c r="C1254" i="6"/>
  <c r="W2202" i="5"/>
  <c r="E1782" i="5"/>
  <c r="E2870" i="5" s="1"/>
  <c r="D1706" i="5"/>
  <c r="I1782" i="5"/>
  <c r="C2834" i="5"/>
  <c r="W1706" i="5"/>
  <c r="U1623" i="5"/>
  <c r="U2870" i="5" s="1"/>
  <c r="W1098" i="5"/>
  <c r="D217" i="5"/>
  <c r="D1098" i="5"/>
  <c r="W648" i="5"/>
  <c r="G414" i="5"/>
  <c r="G2870" i="5" s="1"/>
  <c r="I414" i="5"/>
  <c r="D648" i="5"/>
  <c r="W217" i="5"/>
  <c r="C1659" i="5"/>
  <c r="D291" i="4"/>
  <c r="N523" i="2"/>
  <c r="J523" i="2" s="1"/>
  <c r="D472" i="4"/>
  <c r="D520" i="4" s="1"/>
  <c r="N138" i="2"/>
  <c r="J138" i="2" s="1"/>
  <c r="C53" i="4"/>
  <c r="C408" i="4"/>
  <c r="D12" i="7" s="1"/>
  <c r="C132" i="6"/>
  <c r="N451" i="2"/>
  <c r="C124" i="6"/>
  <c r="N2519" i="2"/>
  <c r="C1578" i="5"/>
  <c r="M824" i="4"/>
  <c r="D472" i="6"/>
  <c r="C1987" i="5"/>
  <c r="W1666" i="5"/>
  <c r="D1666" i="5"/>
  <c r="C1775" i="5"/>
  <c r="D1781" i="5"/>
  <c r="N278" i="2"/>
  <c r="C242" i="5"/>
  <c r="C823" i="4"/>
  <c r="C656" i="4"/>
  <c r="N2828" i="2"/>
  <c r="C57" i="4"/>
  <c r="N1936" i="2"/>
  <c r="J1936" i="2" s="1"/>
  <c r="N193" i="2"/>
  <c r="J193" i="2" s="1"/>
  <c r="N736" i="2"/>
  <c r="J736" i="2" s="1"/>
  <c r="N2143" i="2"/>
  <c r="J2143" i="2" s="1"/>
  <c r="N3612" i="2"/>
  <c r="J3612" i="2" s="1"/>
  <c r="N691" i="2"/>
  <c r="J691" i="2" s="1"/>
  <c r="J695" i="2" s="1"/>
  <c r="N504" i="2"/>
  <c r="J504" i="2" s="1"/>
  <c r="C413" i="5"/>
  <c r="N268" i="2"/>
  <c r="C225" i="5"/>
  <c r="N250" i="2"/>
  <c r="J250" i="2" s="1"/>
  <c r="C432" i="4"/>
  <c r="D10" i="7" s="1"/>
  <c r="C2748" i="5"/>
  <c r="D2748" i="5"/>
  <c r="N3653" i="2"/>
  <c r="J3653" i="2" s="1"/>
  <c r="C115" i="4"/>
  <c r="C185" i="4" s="1"/>
  <c r="D6" i="7" s="1"/>
  <c r="C265" i="4"/>
  <c r="N1172" i="2"/>
  <c r="N873" i="2"/>
  <c r="J873" i="2" s="1"/>
  <c r="N289" i="2"/>
  <c r="N2538" i="2"/>
  <c r="J2538" i="2" s="1"/>
  <c r="C262" i="5"/>
  <c r="D390" i="5"/>
  <c r="N461" i="2"/>
  <c r="J461" i="2" s="1"/>
  <c r="C394" i="5"/>
  <c r="N422" i="2"/>
  <c r="J422" i="2" s="1"/>
  <c r="N150" i="2"/>
  <c r="M150" i="2" s="1"/>
  <c r="N2781" i="2"/>
  <c r="N472" i="2"/>
  <c r="J472" i="2" s="1"/>
  <c r="N299" i="2"/>
  <c r="J299" i="2" s="1"/>
  <c r="N1382" i="2"/>
  <c r="J1382" i="2" s="1"/>
  <c r="N1934" i="2"/>
  <c r="J1934" i="2" s="1"/>
  <c r="N2610" i="2"/>
  <c r="J2610" i="2" s="1"/>
  <c r="N2566" i="2"/>
  <c r="J2566" i="2" s="1"/>
  <c r="N3733" i="2"/>
  <c r="I3733" i="2"/>
  <c r="N2632" i="2"/>
  <c r="N1367" i="2"/>
  <c r="J1367" i="2" s="1"/>
  <c r="N466" i="2"/>
  <c r="J466" i="2" s="1"/>
  <c r="N3765" i="2"/>
  <c r="J3765" i="2" s="1"/>
  <c r="N3350" i="2"/>
  <c r="J3350" i="2" s="1"/>
  <c r="N2090" i="2"/>
  <c r="J2090" i="2" s="1"/>
  <c r="N2047" i="2"/>
  <c r="N467" i="2"/>
  <c r="J467" i="2" s="1"/>
  <c r="C570" i="4"/>
  <c r="N2582" i="2"/>
  <c r="J2582" i="2" s="1"/>
  <c r="N3059" i="2"/>
  <c r="J3059" i="2" s="1"/>
  <c r="N2366" i="2"/>
  <c r="J2366" i="2" s="1"/>
  <c r="N1186" i="2"/>
  <c r="J1186" i="2" s="1"/>
  <c r="N2822" i="2"/>
  <c r="N1093" i="2"/>
  <c r="J1093" i="2" s="1"/>
  <c r="N2432" i="2"/>
  <c r="J2432" i="2" s="1"/>
  <c r="N2191" i="2"/>
  <c r="J2191" i="2" s="1"/>
  <c r="N345" i="2"/>
  <c r="N3454" i="2"/>
  <c r="J3454" i="2" s="1"/>
  <c r="N3092" i="2"/>
  <c r="J3092" i="2" s="1"/>
  <c r="N200" i="2"/>
  <c r="J200" i="2" s="1"/>
  <c r="N452" i="2"/>
  <c r="J452" i="2" s="1"/>
  <c r="N3011" i="2"/>
  <c r="J3011" i="2" s="1"/>
  <c r="N2495" i="2"/>
  <c r="J2495" i="2" s="1"/>
  <c r="N2357" i="2"/>
  <c r="J2357" i="2" s="1"/>
  <c r="N274" i="2"/>
  <c r="J274" i="2" s="1"/>
  <c r="N2418" i="2"/>
  <c r="J2418" i="2" s="1"/>
  <c r="N3476" i="2"/>
  <c r="J3476" i="2" s="1"/>
  <c r="N464" i="2"/>
  <c r="J464" i="2" s="1"/>
  <c r="N1359" i="2"/>
  <c r="J1359" i="2" s="1"/>
  <c r="N2917" i="2"/>
  <c r="N483" i="2"/>
  <c r="N3736" i="2"/>
  <c r="N2594" i="2"/>
  <c r="C630" i="6"/>
  <c r="N2178" i="2"/>
  <c r="J2178" i="2" s="1"/>
  <c r="C508" i="6"/>
  <c r="C1305" i="6"/>
  <c r="N3699" i="2"/>
  <c r="N3479" i="2"/>
  <c r="J3479" i="2" s="1"/>
  <c r="C498" i="6"/>
  <c r="N2001" i="2"/>
  <c r="J2001" i="2" s="1"/>
  <c r="N1845" i="2"/>
  <c r="N463" i="2"/>
  <c r="J463" i="2" s="1"/>
  <c r="N459" i="2"/>
  <c r="J459" i="2" s="1"/>
  <c r="N2440" i="2"/>
  <c r="J2440" i="2" s="1"/>
  <c r="N3756" i="2"/>
  <c r="J3756" i="2" s="1"/>
  <c r="N3185" i="2"/>
  <c r="N197" i="2"/>
  <c r="J197" i="2" s="1"/>
  <c r="N196" i="2"/>
  <c r="J196" i="2" s="1"/>
  <c r="N239" i="2"/>
  <c r="J239" i="2" s="1"/>
  <c r="N465" i="2"/>
  <c r="J465" i="2" s="1"/>
  <c r="N271" i="2"/>
  <c r="J271" i="2" s="1"/>
  <c r="N2419" i="2"/>
  <c r="J2419" i="2" s="1"/>
  <c r="N2434" i="2"/>
  <c r="J2434" i="2" s="1"/>
  <c r="N2355" i="2"/>
  <c r="J2355" i="2" s="1"/>
  <c r="N1400" i="2"/>
  <c r="N2976" i="2"/>
  <c r="N1746" i="2"/>
  <c r="J1746" i="2" s="1"/>
  <c r="N2436" i="2"/>
  <c r="J2436" i="2" s="1"/>
  <c r="N2415" i="2"/>
  <c r="J2415" i="2" s="1"/>
  <c r="N198" i="2"/>
  <c r="J198" i="2" s="1"/>
  <c r="N2371" i="2"/>
  <c r="J2371" i="2" s="1"/>
  <c r="N2466" i="2"/>
  <c r="J2466" i="2" s="1"/>
  <c r="N2439" i="2"/>
  <c r="J2439" i="2" s="1"/>
  <c r="N243" i="2"/>
  <c r="J243" i="2" s="1"/>
  <c r="N3573" i="2"/>
  <c r="J3573" i="2" s="1"/>
  <c r="N1319" i="2"/>
  <c r="N2242" i="2"/>
  <c r="J2242" i="2" s="1"/>
  <c r="N2041" i="2"/>
  <c r="N255" i="2"/>
  <c r="J255" i="2" s="1"/>
  <c r="N470" i="2"/>
  <c r="C947" i="6"/>
  <c r="N2837" i="2"/>
  <c r="N3617" i="2"/>
  <c r="J3617" i="2" s="1"/>
  <c r="C1281" i="6"/>
  <c r="N3588" i="2"/>
  <c r="J3588" i="2" s="1"/>
  <c r="C907" i="6"/>
  <c r="N2719" i="2"/>
  <c r="J2719" i="2" s="1"/>
  <c r="M256" i="2"/>
  <c r="M257" i="2" s="1"/>
  <c r="N458" i="2"/>
  <c r="J458" i="2" s="1"/>
  <c r="N454" i="2"/>
  <c r="J454" i="2" s="1"/>
  <c r="N3764" i="2"/>
  <c r="J3764" i="2" s="1"/>
  <c r="N1558" i="2"/>
  <c r="J1558" i="2" s="1"/>
  <c r="N1519" i="2"/>
  <c r="J1519" i="2" s="1"/>
  <c r="N698" i="2"/>
  <c r="J698" i="2" s="1"/>
  <c r="N207" i="2"/>
  <c r="J207" i="2" s="1"/>
  <c r="C1027" i="6"/>
  <c r="J364" i="2"/>
  <c r="N1988" i="2"/>
  <c r="J1988" i="2" s="1"/>
  <c r="N795" i="2"/>
  <c r="J795" i="2" s="1"/>
  <c r="N2424" i="2"/>
  <c r="J2424" i="2" s="1"/>
  <c r="N1590" i="2"/>
  <c r="J1590" i="2" s="1"/>
  <c r="N2479" i="2"/>
  <c r="J2479" i="2" s="1"/>
  <c r="N1841" i="2"/>
  <c r="J1841" i="2" s="1"/>
  <c r="N3016" i="2"/>
  <c r="J3016" i="2" s="1"/>
  <c r="N2443" i="2"/>
  <c r="J2443" i="2" s="1"/>
  <c r="N1253" i="2"/>
  <c r="J1253" i="2" s="1"/>
  <c r="J1259" i="2" s="1"/>
  <c r="N1938" i="2"/>
  <c r="J1938" i="2" s="1"/>
  <c r="N3352" i="2"/>
  <c r="N1914" i="2"/>
  <c r="J1914" i="2" s="1"/>
  <c r="N2881" i="2"/>
  <c r="N2869" i="2"/>
  <c r="J2869" i="2" s="1"/>
  <c r="N2545" i="2"/>
  <c r="N2239" i="2"/>
  <c r="N282" i="2"/>
  <c r="J282" i="2" s="1"/>
  <c r="C448" i="6"/>
  <c r="N1888" i="2"/>
  <c r="J1888" i="2" s="1"/>
  <c r="N455" i="2"/>
  <c r="J455" i="2" s="1"/>
  <c r="C250" i="6"/>
  <c r="N775" i="2"/>
  <c r="J775" i="2" s="1"/>
  <c r="N3012" i="2"/>
  <c r="J3012" i="2" s="1"/>
  <c r="C27" i="6"/>
  <c r="C28" i="6" s="1"/>
  <c r="F4" i="7" s="1"/>
  <c r="N171" i="2"/>
  <c r="J171" i="2" s="1"/>
  <c r="C1010" i="6"/>
  <c r="N2912" i="2"/>
  <c r="J2912" i="2" s="1"/>
  <c r="N3408" i="2"/>
  <c r="J3408" i="2" s="1"/>
  <c r="N2613" i="2"/>
  <c r="N2469" i="2"/>
  <c r="J2469" i="2" s="1"/>
  <c r="N462" i="2"/>
  <c r="J462" i="2" s="1"/>
  <c r="N2414" i="2"/>
  <c r="J2414" i="2" s="1"/>
  <c r="N2356" i="2"/>
  <c r="J2356" i="2" s="1"/>
  <c r="N2280" i="2"/>
  <c r="J2280" i="2" s="1"/>
  <c r="N249" i="2"/>
  <c r="J249" i="2" s="1"/>
  <c r="N460" i="2"/>
  <c r="J460" i="2" s="1"/>
  <c r="N409" i="2"/>
  <c r="J409" i="2" s="1"/>
  <c r="N313" i="2"/>
  <c r="J313" i="2" s="1"/>
  <c r="N830" i="2"/>
  <c r="J830" i="2" s="1"/>
  <c r="N2278" i="2"/>
  <c r="J2278" i="2" s="1"/>
  <c r="N2664" i="2"/>
  <c r="N479" i="2"/>
  <c r="J479" i="2" s="1"/>
  <c r="N2521" i="2"/>
  <c r="N2234" i="2"/>
  <c r="N476" i="2"/>
  <c r="J476" i="2" s="1"/>
  <c r="N3041" i="2"/>
  <c r="N1921" i="2"/>
  <c r="J1921" i="2" s="1"/>
  <c r="N1913" i="2"/>
  <c r="J1913" i="2" s="1"/>
  <c r="N2493" i="2"/>
  <c r="J2493" i="2" s="1"/>
  <c r="J2496" i="2" s="1"/>
  <c r="C1949" i="5"/>
  <c r="C2004" i="5"/>
  <c r="N2579" i="2"/>
  <c r="J2579" i="2" s="1"/>
  <c r="C1681" i="5"/>
  <c r="N2000" i="2"/>
  <c r="C1693" i="5"/>
  <c r="N2688" i="2"/>
  <c r="J2688" i="2" s="1"/>
  <c r="C2138" i="5"/>
  <c r="N2766" i="2"/>
  <c r="N2801" i="2"/>
  <c r="J2801" i="2" s="1"/>
  <c r="I2801" i="2" s="1"/>
  <c r="H2801" i="2" s="1"/>
  <c r="N2974" i="2"/>
  <c r="J2974" i="2" s="1"/>
  <c r="C2218" i="5"/>
  <c r="N2888" i="2"/>
  <c r="C1729" i="5"/>
  <c r="N2179" i="2"/>
  <c r="J2179" i="2" s="1"/>
  <c r="C1592" i="5"/>
  <c r="N1870" i="2"/>
  <c r="C1756" i="5"/>
  <c r="N2243" i="2"/>
  <c r="J2243" i="2" s="1"/>
  <c r="N407" i="2"/>
  <c r="J407" i="2" s="1"/>
  <c r="N314" i="2"/>
  <c r="J314" i="2" s="1"/>
  <c r="N247" i="2"/>
  <c r="J247" i="2" s="1"/>
  <c r="N216" i="2"/>
  <c r="J216" i="2" s="1"/>
  <c r="N184" i="2"/>
  <c r="J184" i="2" s="1"/>
  <c r="N85" i="2"/>
  <c r="J85" i="2" s="1"/>
  <c r="N33" i="2"/>
  <c r="J33" i="2" s="1"/>
  <c r="N308" i="2"/>
  <c r="J308" i="2" s="1"/>
  <c r="C621" i="5"/>
  <c r="N780" i="2"/>
  <c r="N2685" i="2"/>
  <c r="N416" i="2"/>
  <c r="J416" i="2" s="1"/>
  <c r="N394" i="2"/>
  <c r="J394" i="2" s="1"/>
  <c r="N350" i="2"/>
  <c r="J350" i="2" s="1"/>
  <c r="N281" i="2"/>
  <c r="J281" i="2" s="1"/>
  <c r="N212" i="2"/>
  <c r="J212" i="2" s="1"/>
  <c r="N107" i="2"/>
  <c r="J107" i="2" s="1"/>
  <c r="N39" i="2"/>
  <c r="J39" i="2" s="1"/>
  <c r="N25" i="2"/>
  <c r="J25" i="2" s="1"/>
  <c r="N1879" i="2"/>
  <c r="N224" i="2"/>
  <c r="J224" i="2" s="1"/>
  <c r="N433" i="2"/>
  <c r="J433" i="2" s="1"/>
  <c r="N398" i="2"/>
  <c r="J398" i="2" s="1"/>
  <c r="N361" i="2"/>
  <c r="J361" i="2" s="1"/>
  <c r="N323" i="2"/>
  <c r="J323" i="2" s="1"/>
  <c r="N292" i="2"/>
  <c r="J292" i="2" s="1"/>
  <c r="N234" i="2"/>
  <c r="J234" i="2" s="1"/>
  <c r="N134" i="2"/>
  <c r="J134" i="2" s="1"/>
  <c r="N104" i="2"/>
  <c r="J104" i="2" s="1"/>
  <c r="N44" i="2"/>
  <c r="J44" i="2" s="1"/>
  <c r="N36" i="2"/>
  <c r="J36" i="2" s="1"/>
  <c r="N28" i="2"/>
  <c r="J28" i="2" s="1"/>
  <c r="N3725" i="2"/>
  <c r="I3725" i="2"/>
  <c r="N436" i="2"/>
  <c r="J436" i="2" s="1"/>
  <c r="N405" i="2"/>
  <c r="J405" i="2" s="1"/>
  <c r="N362" i="2"/>
  <c r="J362" i="2" s="1"/>
  <c r="N316" i="2"/>
  <c r="J316" i="2" s="1"/>
  <c r="N161" i="2"/>
  <c r="J161" i="2" s="1"/>
  <c r="N130" i="2"/>
  <c r="J130" i="2" s="1"/>
  <c r="N96" i="2"/>
  <c r="J96" i="2" s="1"/>
  <c r="N88" i="2"/>
  <c r="J88" i="2" s="1"/>
  <c r="N439" i="2"/>
  <c r="J439" i="2" s="1"/>
  <c r="N509" i="2"/>
  <c r="J509" i="2" s="1"/>
  <c r="N401" i="2"/>
  <c r="J401" i="2" s="1"/>
  <c r="N384" i="2"/>
  <c r="J384" i="2" s="1"/>
  <c r="N372" i="2"/>
  <c r="J372" i="2" s="1"/>
  <c r="N337" i="2"/>
  <c r="J337" i="2" s="1"/>
  <c r="N307" i="2"/>
  <c r="J307" i="2" s="1"/>
  <c r="N269" i="2"/>
  <c r="J269" i="2" s="1"/>
  <c r="N141" i="2"/>
  <c r="J141" i="2" s="1"/>
  <c r="N93" i="2"/>
  <c r="J93" i="2" s="1"/>
  <c r="N67" i="2"/>
  <c r="J67" i="2" s="1"/>
  <c r="N412" i="2"/>
  <c r="J412" i="2" s="1"/>
  <c r="N393" i="2"/>
  <c r="J393" i="2" s="1"/>
  <c r="N434" i="2"/>
  <c r="J434" i="2" s="1"/>
  <c r="N406" i="2"/>
  <c r="J406" i="2" s="1"/>
  <c r="N375" i="2"/>
  <c r="J375" i="2" s="1"/>
  <c r="N56" i="2"/>
  <c r="J56" i="2" s="1"/>
  <c r="N129" i="2"/>
  <c r="J129" i="2" s="1"/>
  <c r="N73" i="2"/>
  <c r="J73" i="2" s="1"/>
  <c r="N16" i="2"/>
  <c r="J16" i="2" s="1"/>
  <c r="N421" i="2"/>
  <c r="J421" i="2" s="1"/>
  <c r="N443" i="2"/>
  <c r="J443" i="2" s="1"/>
  <c r="N166" i="2"/>
  <c r="J166" i="2" s="1"/>
  <c r="N438" i="2"/>
  <c r="J438" i="2" s="1"/>
  <c r="N65" i="2"/>
  <c r="J65" i="2" s="1"/>
  <c r="N215" i="2"/>
  <c r="J215" i="2" s="1"/>
  <c r="N154" i="2"/>
  <c r="J154" i="2" s="1"/>
  <c r="J506" i="2"/>
  <c r="N507" i="2"/>
  <c r="J507" i="2" s="1"/>
  <c r="C1581" i="5"/>
  <c r="N1857" i="2"/>
  <c r="N2604" i="2"/>
  <c r="J2604" i="2" s="1"/>
  <c r="N312" i="2"/>
  <c r="J312" i="2" s="1"/>
  <c r="N2899" i="2"/>
  <c r="C2209" i="5"/>
  <c r="N2865" i="2"/>
  <c r="J2865" i="2" s="1"/>
  <c r="J1178" i="2"/>
  <c r="J1251" i="2" s="1"/>
  <c r="J787" i="2"/>
  <c r="N595" i="2"/>
  <c r="J568" i="2"/>
  <c r="J595" i="2" s="1"/>
  <c r="N391" i="2"/>
  <c r="J391" i="2" s="1"/>
  <c r="N242" i="2"/>
  <c r="J242" i="2" s="1"/>
  <c r="N180" i="2"/>
  <c r="J180" i="2" s="1"/>
  <c r="N110" i="2"/>
  <c r="J110" i="2" s="1"/>
  <c r="N58" i="2"/>
  <c r="J58" i="2" s="1"/>
  <c r="N29" i="2"/>
  <c r="J29" i="2" s="1"/>
  <c r="N367" i="2"/>
  <c r="J367" i="2" s="1"/>
  <c r="N189" i="2"/>
  <c r="J189" i="2" s="1"/>
  <c r="C1093" i="5"/>
  <c r="N1336" i="2"/>
  <c r="C2309" i="5"/>
  <c r="N3017" i="2"/>
  <c r="J3017" i="2" s="1"/>
  <c r="C2000" i="5"/>
  <c r="N2571" i="2"/>
  <c r="J2571" i="2" s="1"/>
  <c r="J2576" i="2" s="1"/>
  <c r="N414" i="2"/>
  <c r="J414" i="2" s="1"/>
  <c r="N383" i="2"/>
  <c r="J383" i="2" s="1"/>
  <c r="N311" i="2"/>
  <c r="J311" i="2" s="1"/>
  <c r="N279" i="2"/>
  <c r="J279" i="2" s="1"/>
  <c r="N210" i="2"/>
  <c r="J210" i="2" s="1"/>
  <c r="N133" i="2"/>
  <c r="J133" i="2" s="1"/>
  <c r="N105" i="2"/>
  <c r="J105" i="2" s="1"/>
  <c r="N35" i="2"/>
  <c r="J35" i="2" s="1"/>
  <c r="C2201" i="5"/>
  <c r="N2845" i="2"/>
  <c r="C2212" i="5"/>
  <c r="N2878" i="2"/>
  <c r="N366" i="2"/>
  <c r="J366" i="2" s="1"/>
  <c r="N1981" i="2"/>
  <c r="N431" i="2"/>
  <c r="J431" i="2" s="1"/>
  <c r="N395" i="2"/>
  <c r="J395" i="2" s="1"/>
  <c r="N352" i="2"/>
  <c r="J352" i="2" s="1"/>
  <c r="N342" i="2"/>
  <c r="J342" i="2" s="1"/>
  <c r="N213" i="2"/>
  <c r="J213" i="2" s="1"/>
  <c r="C178" i="5"/>
  <c r="N204" i="2"/>
  <c r="N205" i="2" s="1"/>
  <c r="N181" i="2"/>
  <c r="J181" i="2" s="1"/>
  <c r="N132" i="2"/>
  <c r="J132" i="2" s="1"/>
  <c r="N86" i="2"/>
  <c r="J86" i="2" s="1"/>
  <c r="N42" i="2"/>
  <c r="J42" i="2" s="1"/>
  <c r="N34" i="2"/>
  <c r="J34" i="2" s="1"/>
  <c r="N2661" i="2"/>
  <c r="N432" i="2"/>
  <c r="J432" i="2" s="1"/>
  <c r="N400" i="2"/>
  <c r="J400" i="2" s="1"/>
  <c r="N353" i="2"/>
  <c r="J353" i="2" s="1"/>
  <c r="N306" i="2"/>
  <c r="J306" i="2" s="1"/>
  <c r="N159" i="2"/>
  <c r="J159" i="2" s="1"/>
  <c r="N94" i="2"/>
  <c r="J94" i="2" s="1"/>
  <c r="N53" i="2"/>
  <c r="J53" i="2" s="1"/>
  <c r="N2323" i="2"/>
  <c r="N376" i="2"/>
  <c r="J376" i="2" s="1"/>
  <c r="N448" i="2"/>
  <c r="J448" i="2" s="1"/>
  <c r="N418" i="2"/>
  <c r="J418" i="2" s="1"/>
  <c r="N392" i="2"/>
  <c r="J392" i="2" s="1"/>
  <c r="N382" i="2"/>
  <c r="J382" i="2" s="1"/>
  <c r="N335" i="2"/>
  <c r="J335" i="2" s="1"/>
  <c r="N162" i="2"/>
  <c r="J162" i="2" s="1"/>
  <c r="C122" i="5"/>
  <c r="N91" i="2"/>
  <c r="J91" i="2" s="1"/>
  <c r="N54" i="2"/>
  <c r="J54" i="2" s="1"/>
  <c r="N17" i="2"/>
  <c r="J17" i="2" s="1"/>
  <c r="N363" i="2"/>
  <c r="J363" i="2" s="1"/>
  <c r="N1170" i="2"/>
  <c r="J1147" i="2"/>
  <c r="J1170" i="2" s="1"/>
  <c r="N404" i="2"/>
  <c r="J404" i="2" s="1"/>
  <c r="N305" i="2"/>
  <c r="J305" i="2" s="1"/>
  <c r="N50" i="2"/>
  <c r="J50" i="2" s="1"/>
  <c r="L824" i="4"/>
  <c r="N60" i="2"/>
  <c r="J60" i="2" s="1"/>
  <c r="N118" i="2"/>
  <c r="J118" i="2" s="1"/>
  <c r="N14" i="2"/>
  <c r="J14" i="2" s="1"/>
  <c r="N417" i="2"/>
  <c r="J417" i="2" s="1"/>
  <c r="N389" i="2"/>
  <c r="J389" i="2" s="1"/>
  <c r="N68" i="2"/>
  <c r="J68" i="2" s="1"/>
  <c r="N47" i="2"/>
  <c r="J47" i="2" s="1"/>
  <c r="N63" i="2"/>
  <c r="J63" i="2" s="1"/>
  <c r="N225" i="2"/>
  <c r="J225" i="2" s="1"/>
  <c r="N187" i="2"/>
  <c r="J187" i="2" s="1"/>
  <c r="N76" i="2"/>
  <c r="J76" i="2" s="1"/>
  <c r="N1977" i="2"/>
  <c r="N186" i="2"/>
  <c r="J186" i="2" s="1"/>
  <c r="N293" i="2"/>
  <c r="J293" i="2" s="1"/>
  <c r="J149" i="2"/>
  <c r="C2226" i="5"/>
  <c r="N2914" i="2"/>
  <c r="J2914" i="2" s="1"/>
  <c r="N2906" i="2"/>
  <c r="N2311" i="2"/>
  <c r="J2311" i="2" s="1"/>
  <c r="C546" i="5"/>
  <c r="N702" i="2"/>
  <c r="N510" i="2"/>
  <c r="J510" i="2" s="1"/>
  <c r="N442" i="2"/>
  <c r="J442" i="2" s="1"/>
  <c r="N373" i="2"/>
  <c r="J373" i="2" s="1"/>
  <c r="N160" i="2"/>
  <c r="J160" i="2" s="1"/>
  <c r="N106" i="2"/>
  <c r="J106" i="2" s="1"/>
  <c r="N41" i="2"/>
  <c r="J41" i="2" s="1"/>
  <c r="J697" i="2"/>
  <c r="J699" i="2" s="1"/>
  <c r="N1909" i="2"/>
  <c r="C1603" i="5"/>
  <c r="N1889" i="2"/>
  <c r="J1889" i="2" s="1"/>
  <c r="J515" i="2"/>
  <c r="J566" i="2" s="1"/>
  <c r="N2820" i="2"/>
  <c r="N3667" i="2"/>
  <c r="C1751" i="5"/>
  <c r="N2230" i="2"/>
  <c r="C1111" i="5"/>
  <c r="N1357" i="2"/>
  <c r="J1357" i="2" s="1"/>
  <c r="N437" i="2"/>
  <c r="J437" i="2" s="1"/>
  <c r="N411" i="2"/>
  <c r="J411" i="2" s="1"/>
  <c r="N381" i="2"/>
  <c r="J381" i="2" s="1"/>
  <c r="N275" i="2"/>
  <c r="J275" i="2" s="1"/>
  <c r="N208" i="2"/>
  <c r="J208" i="2" s="1"/>
  <c r="N111" i="2"/>
  <c r="J111" i="2" s="1"/>
  <c r="N103" i="2"/>
  <c r="J103" i="2" s="1"/>
  <c r="N31" i="2"/>
  <c r="J31" i="2" s="1"/>
  <c r="C1595" i="5"/>
  <c r="N1873" i="2"/>
  <c r="N347" i="2"/>
  <c r="J347" i="2" s="1"/>
  <c r="N428" i="2"/>
  <c r="J428" i="2" s="1"/>
  <c r="N387" i="2"/>
  <c r="J387" i="2" s="1"/>
  <c r="N318" i="2"/>
  <c r="J318" i="2" s="1"/>
  <c r="N211" i="2"/>
  <c r="J211" i="2" s="1"/>
  <c r="N66" i="2"/>
  <c r="J66" i="2" s="1"/>
  <c r="N40" i="2"/>
  <c r="J40" i="2" s="1"/>
  <c r="N32" i="2"/>
  <c r="J32" i="2" s="1"/>
  <c r="C2346" i="5"/>
  <c r="N3054" i="2"/>
  <c r="N430" i="2"/>
  <c r="J430" i="2" s="1"/>
  <c r="N378" i="2"/>
  <c r="J378" i="2" s="1"/>
  <c r="N329" i="2"/>
  <c r="J329" i="2" s="1"/>
  <c r="N248" i="2"/>
  <c r="J248" i="2" s="1"/>
  <c r="N173" i="2"/>
  <c r="J173" i="2" s="1"/>
  <c r="N155" i="2"/>
  <c r="J155" i="2" s="1"/>
  <c r="N117" i="2"/>
  <c r="J117" i="2" s="1"/>
  <c r="N92" i="2"/>
  <c r="J92" i="2" s="1"/>
  <c r="N23" i="2"/>
  <c r="J23" i="2" s="1"/>
  <c r="N435" i="2"/>
  <c r="J435" i="2" s="1"/>
  <c r="N410" i="2"/>
  <c r="J410" i="2" s="1"/>
  <c r="N388" i="2"/>
  <c r="J388" i="2" s="1"/>
  <c r="N379" i="2"/>
  <c r="J379" i="2" s="1"/>
  <c r="N356" i="2"/>
  <c r="J356" i="2" s="1"/>
  <c r="N346" i="2"/>
  <c r="J346" i="2" s="1"/>
  <c r="N288" i="2"/>
  <c r="J288" i="2" s="1"/>
  <c r="N158" i="2"/>
  <c r="J158" i="2" s="1"/>
  <c r="N97" i="2"/>
  <c r="J97" i="2" s="1"/>
  <c r="N89" i="2"/>
  <c r="J89" i="2" s="1"/>
  <c r="N51" i="2"/>
  <c r="J51" i="2" s="1"/>
  <c r="N15" i="2"/>
  <c r="J15" i="2" s="1"/>
  <c r="C2229" i="5"/>
  <c r="N2931" i="2"/>
  <c r="C614" i="5"/>
  <c r="N776" i="2"/>
  <c r="N441" i="2"/>
  <c r="J441" i="2" s="1"/>
  <c r="N399" i="2"/>
  <c r="J399" i="2" s="1"/>
  <c r="N415" i="2"/>
  <c r="J415" i="2" s="1"/>
  <c r="N81" i="2"/>
  <c r="J81" i="2" s="1"/>
  <c r="N49" i="2"/>
  <c r="J49" i="2" s="1"/>
  <c r="N351" i="2"/>
  <c r="J351" i="2" s="1"/>
  <c r="N174" i="2"/>
  <c r="J174" i="2" s="1"/>
  <c r="N78" i="2"/>
  <c r="J78" i="2" s="1"/>
  <c r="N69" i="2"/>
  <c r="J69" i="2" s="1"/>
  <c r="N380" i="2"/>
  <c r="J380" i="2" s="1"/>
  <c r="N447" i="2"/>
  <c r="J447" i="2" s="1"/>
  <c r="N385" i="2"/>
  <c r="J385" i="2" s="1"/>
  <c r="N64" i="2"/>
  <c r="J64" i="2" s="1"/>
  <c r="N390" i="2"/>
  <c r="J390" i="2" s="1"/>
  <c r="N223" i="2"/>
  <c r="J223" i="2" s="1"/>
  <c r="N185" i="2"/>
  <c r="J185" i="2" s="1"/>
  <c r="N18" i="2"/>
  <c r="J18" i="2" s="1"/>
  <c r="N74" i="2"/>
  <c r="J74" i="2" s="1"/>
  <c r="J1085" i="2"/>
  <c r="J1142" i="2" s="1"/>
  <c r="N226" i="2"/>
  <c r="J226" i="2" s="1"/>
  <c r="N182" i="2"/>
  <c r="J182" i="2" s="1"/>
  <c r="C2154" i="5"/>
  <c r="N2792" i="2"/>
  <c r="C1600" i="5"/>
  <c r="N1882" i="2"/>
  <c r="C1984" i="5"/>
  <c r="N2528" i="2"/>
  <c r="J2528" i="2" s="1"/>
  <c r="I2543" i="2" s="1"/>
  <c r="I2622" i="2" s="1"/>
  <c r="J820" i="2"/>
  <c r="J1083" i="2" s="1"/>
  <c r="N423" i="2"/>
  <c r="J423" i="2" s="1"/>
  <c r="N355" i="2"/>
  <c r="J355" i="2" s="1"/>
  <c r="N102" i="2"/>
  <c r="J102" i="2" s="1"/>
  <c r="N37" i="2"/>
  <c r="J37" i="2" s="1"/>
  <c r="C611" i="5"/>
  <c r="N710" i="2"/>
  <c r="C653" i="5"/>
  <c r="N816" i="2"/>
  <c r="N358" i="2"/>
  <c r="J358" i="2" s="1"/>
  <c r="N128" i="2"/>
  <c r="N3694" i="2"/>
  <c r="N2803" i="2"/>
  <c r="C1990" i="5"/>
  <c r="N492" i="2"/>
  <c r="N427" i="2"/>
  <c r="J427" i="2" s="1"/>
  <c r="N403" i="2"/>
  <c r="J403" i="2" s="1"/>
  <c r="N369" i="2"/>
  <c r="J369" i="2" s="1"/>
  <c r="N291" i="2"/>
  <c r="J291" i="2" s="1"/>
  <c r="N214" i="2"/>
  <c r="J214" i="2" s="1"/>
  <c r="N153" i="2"/>
  <c r="J153" i="2" s="1"/>
  <c r="N109" i="2"/>
  <c r="J109" i="2" s="1"/>
  <c r="N45" i="2"/>
  <c r="J45" i="2" s="1"/>
  <c r="N27" i="2"/>
  <c r="J27" i="2" s="1"/>
  <c r="N315" i="2"/>
  <c r="J315" i="2" s="1"/>
  <c r="N1876" i="2"/>
  <c r="C1114" i="5"/>
  <c r="N1369" i="2"/>
  <c r="N420" i="2"/>
  <c r="J420" i="2" s="1"/>
  <c r="N370" i="2"/>
  <c r="J370" i="2" s="1"/>
  <c r="N336" i="2"/>
  <c r="J336" i="2" s="1"/>
  <c r="N309" i="2"/>
  <c r="J309" i="2" s="1"/>
  <c r="N209" i="2"/>
  <c r="J209" i="2" s="1"/>
  <c r="N136" i="2"/>
  <c r="J136" i="2" s="1"/>
  <c r="N108" i="2"/>
  <c r="J108" i="2" s="1"/>
  <c r="N55" i="2"/>
  <c r="J55" i="2" s="1"/>
  <c r="N38" i="2"/>
  <c r="J38" i="2" s="1"/>
  <c r="N30" i="2"/>
  <c r="J30" i="2" s="1"/>
  <c r="N419" i="2"/>
  <c r="J419" i="2" s="1"/>
  <c r="N365" i="2"/>
  <c r="J365" i="2" s="1"/>
  <c r="N324" i="2"/>
  <c r="J324" i="2" s="1"/>
  <c r="N140" i="2"/>
  <c r="J140" i="2" s="1"/>
  <c r="N98" i="2"/>
  <c r="J98" i="2" s="1"/>
  <c r="N90" i="2"/>
  <c r="J90" i="2" s="1"/>
  <c r="N1967" i="2"/>
  <c r="N687" i="2"/>
  <c r="J679" i="2"/>
  <c r="J687" i="2" s="1"/>
  <c r="N429" i="2"/>
  <c r="J429" i="2" s="1"/>
  <c r="N408" i="2"/>
  <c r="J408" i="2" s="1"/>
  <c r="N386" i="2"/>
  <c r="J386" i="2" s="1"/>
  <c r="N377" i="2"/>
  <c r="J377" i="2" s="1"/>
  <c r="N348" i="2"/>
  <c r="J348" i="2" s="1"/>
  <c r="N310" i="2"/>
  <c r="J310" i="2" s="1"/>
  <c r="N280" i="2"/>
  <c r="J280" i="2" s="1"/>
  <c r="N95" i="2"/>
  <c r="J95" i="2" s="1"/>
  <c r="N80" i="2"/>
  <c r="J80" i="2" s="1"/>
  <c r="N48" i="2"/>
  <c r="J48" i="2" s="1"/>
  <c r="N397" i="2"/>
  <c r="J397" i="2" s="1"/>
  <c r="N440" i="2"/>
  <c r="J440" i="2" s="1"/>
  <c r="N413" i="2"/>
  <c r="J413" i="2" s="1"/>
  <c r="N396" i="2"/>
  <c r="J396" i="2" s="1"/>
  <c r="N79" i="2"/>
  <c r="J79" i="2" s="1"/>
  <c r="N317" i="2"/>
  <c r="J317" i="2" s="1"/>
  <c r="N19" i="2"/>
  <c r="J19" i="2" s="1"/>
  <c r="N334" i="2"/>
  <c r="J334" i="2" s="1"/>
  <c r="N294" i="2"/>
  <c r="J294" i="2" s="1"/>
  <c r="N170" i="2"/>
  <c r="N75" i="2"/>
  <c r="J75" i="2" s="1"/>
  <c r="N354" i="2"/>
  <c r="J354" i="2" s="1"/>
  <c r="N445" i="2"/>
  <c r="J445" i="2" s="1"/>
  <c r="N233" i="2"/>
  <c r="J233" i="2" s="1"/>
  <c r="N374" i="2"/>
  <c r="J374" i="2" s="1"/>
  <c r="C2474" i="5"/>
  <c r="N3083" i="2"/>
  <c r="J3083" i="2" s="1"/>
  <c r="N444" i="2"/>
  <c r="J444" i="2" s="1"/>
  <c r="N221" i="2"/>
  <c r="J221" i="2" s="1"/>
  <c r="N183" i="2"/>
  <c r="J183" i="2" s="1"/>
  <c r="N1867" i="2"/>
  <c r="N220" i="2"/>
  <c r="J220" i="2" s="1"/>
  <c r="N643" i="2"/>
  <c r="D1751" i="5"/>
  <c r="C2280" i="5"/>
  <c r="C2168" i="5"/>
  <c r="D2510" i="5"/>
  <c r="C2146" i="5"/>
  <c r="N123" i="2"/>
  <c r="J123" i="2" s="1"/>
  <c r="J124" i="2" s="1"/>
  <c r="C67" i="4"/>
  <c r="U824" i="4"/>
  <c r="K824" i="4"/>
  <c r="C606" i="4"/>
  <c r="C239" i="4"/>
  <c r="D432" i="4"/>
  <c r="S824" i="4"/>
  <c r="C79" i="4"/>
  <c r="J824" i="4"/>
  <c r="J253" i="2"/>
  <c r="J478" i="2"/>
  <c r="C45" i="6"/>
  <c r="J232" i="2"/>
  <c r="D20" i="7"/>
  <c r="C220" i="4"/>
  <c r="D7" i="7" s="1"/>
  <c r="C1078" i="5"/>
  <c r="D563" i="4"/>
  <c r="C562" i="4"/>
  <c r="C563" i="4" s="1"/>
  <c r="C752" i="6"/>
  <c r="J179" i="2"/>
  <c r="J219" i="2"/>
  <c r="J303" i="2"/>
  <c r="J289" i="2"/>
  <c r="D540" i="4"/>
  <c r="D541" i="4" s="1"/>
  <c r="J321" i="2"/>
  <c r="N265" i="2"/>
  <c r="J260" i="2"/>
  <c r="J265" i="2" s="1"/>
  <c r="C1288" i="6"/>
  <c r="C853" i="6"/>
  <c r="J451" i="2"/>
  <c r="J273" i="2"/>
  <c r="J272" i="2"/>
  <c r="C2058" i="5"/>
  <c r="J345" i="2"/>
  <c r="J297" i="2"/>
  <c r="C2160" i="5"/>
  <c r="D370" i="4"/>
  <c r="D385" i="4" s="1"/>
  <c r="C308" i="4"/>
  <c r="D551" i="4"/>
  <c r="C85" i="4"/>
  <c r="C76" i="4"/>
  <c r="J199" i="2"/>
  <c r="X1353" i="6"/>
  <c r="C88" i="4"/>
  <c r="H824" i="4"/>
  <c r="J246" i="2"/>
  <c r="C2016" i="5"/>
  <c r="C527" i="5"/>
  <c r="C32" i="6"/>
  <c r="C135" i="6"/>
  <c r="N489" i="2"/>
  <c r="C2820" i="5"/>
  <c r="C967" i="5"/>
  <c r="D2212" i="5"/>
  <c r="D2219" i="5" s="1"/>
  <c r="D1574" i="5"/>
  <c r="D1623" i="5" s="1"/>
  <c r="C647" i="5"/>
  <c r="C2850" i="5"/>
  <c r="C2268" i="5"/>
  <c r="C1126" i="5"/>
  <c r="Q824" i="4"/>
  <c r="C2181" i="5"/>
  <c r="J148" i="2"/>
  <c r="C2177" i="5"/>
  <c r="D2474" i="5"/>
  <c r="C1966" i="5"/>
  <c r="C138" i="5"/>
  <c r="J135" i="2"/>
  <c r="T824" i="4"/>
  <c r="C1665" i="5"/>
  <c r="D242" i="5"/>
  <c r="W161" i="5"/>
  <c r="C175" i="5"/>
  <c r="J188" i="2"/>
  <c r="C160" i="5"/>
  <c r="J165" i="2"/>
  <c r="C1942" i="5"/>
  <c r="C1943" i="5" s="1"/>
  <c r="C200" i="5"/>
  <c r="J222" i="2"/>
  <c r="C2080" i="5"/>
  <c r="D2138" i="5"/>
  <c r="D2202" i="5" s="1"/>
  <c r="C260" i="5"/>
  <c r="J304" i="2"/>
  <c r="C2341" i="5"/>
  <c r="C2525" i="5"/>
  <c r="C2515" i="5"/>
  <c r="C996" i="5"/>
  <c r="C2510" i="5"/>
  <c r="E18" i="7" s="1"/>
  <c r="C538" i="5"/>
  <c r="C119" i="5"/>
  <c r="C209" i="5"/>
  <c r="V824" i="4"/>
  <c r="N824" i="4"/>
  <c r="I824" i="4"/>
  <c r="C206" i="5"/>
  <c r="J230" i="2"/>
  <c r="C1319" i="6"/>
  <c r="J3733" i="2" s="1"/>
  <c r="C936" i="6"/>
  <c r="C867" i="6"/>
  <c r="C1351" i="6"/>
  <c r="C1311" i="6"/>
  <c r="C879" i="6"/>
  <c r="C363" i="6"/>
  <c r="C967" i="6"/>
  <c r="C445" i="6"/>
  <c r="E824" i="4"/>
  <c r="C1006" i="6"/>
  <c r="C798" i="6"/>
  <c r="C804" i="6" s="1"/>
  <c r="F13" i="7" s="1"/>
  <c r="C627" i="6"/>
  <c r="C981" i="6"/>
  <c r="G824" i="4"/>
  <c r="C423" i="6"/>
  <c r="D21" i="7"/>
  <c r="C992" i="6"/>
  <c r="C2868" i="5"/>
  <c r="D1958" i="5"/>
  <c r="C1958" i="5" s="1"/>
  <c r="C1955" i="5"/>
  <c r="N2503" i="2" s="1"/>
  <c r="C1709" i="5"/>
  <c r="D1723" i="5"/>
  <c r="C469" i="5"/>
  <c r="C216" i="5"/>
  <c r="D993" i="6"/>
  <c r="F19" i="7"/>
  <c r="D804" i="6"/>
  <c r="D753" i="6"/>
  <c r="D2868" i="5"/>
  <c r="D2869" i="5" s="1"/>
  <c r="C38" i="6"/>
  <c r="C2750" i="5"/>
  <c r="D2755" i="5"/>
  <c r="C1574" i="5"/>
  <c r="F12" i="7"/>
  <c r="C1153" i="5"/>
  <c r="C1589" i="5"/>
  <c r="C917" i="5"/>
  <c r="C517" i="5"/>
  <c r="D697" i="4"/>
  <c r="F824" i="4"/>
  <c r="C2305" i="5"/>
  <c r="D167" i="4"/>
  <c r="D185" i="4" s="1"/>
  <c r="D781" i="4"/>
  <c r="D823" i="4" s="1"/>
  <c r="C2829" i="5"/>
  <c r="C1741" i="5"/>
  <c r="D1747" i="5"/>
  <c r="C1070" i="5"/>
  <c r="W2756" i="5"/>
  <c r="C498" i="5"/>
  <c r="D149" i="5"/>
  <c r="D161" i="5" s="1"/>
  <c r="C144" i="5"/>
  <c r="N152" i="2" s="1"/>
  <c r="C1001" i="6"/>
  <c r="C2807" i="5"/>
  <c r="C336" i="6"/>
  <c r="C53" i="6"/>
  <c r="D2305" i="5"/>
  <c r="D2342" i="5" s="1"/>
  <c r="C1032" i="6"/>
  <c r="C668" i="6"/>
  <c r="C432" i="6"/>
  <c r="C1202" i="6"/>
  <c r="F18" i="7" s="1"/>
  <c r="C478" i="6"/>
  <c r="D138" i="6"/>
  <c r="C137" i="6"/>
  <c r="N493" i="2" s="1"/>
  <c r="D63" i="6"/>
  <c r="C223" i="6"/>
  <c r="C901" i="6"/>
  <c r="C2027" i="5"/>
  <c r="D1942" i="5"/>
  <c r="D1943" i="5" s="1"/>
  <c r="C1705" i="5"/>
  <c r="C1622" i="5"/>
  <c r="C190" i="5"/>
  <c r="C59" i="4"/>
  <c r="C63" i="4" s="1"/>
  <c r="D63" i="4"/>
  <c r="D68" i="4" s="1"/>
  <c r="D626" i="4"/>
  <c r="D657" i="4" s="1"/>
  <c r="C520" i="4"/>
  <c r="D11" i="7" s="1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3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C668" i="4" l="1"/>
  <c r="D16" i="7" s="1"/>
  <c r="J812" i="2"/>
  <c r="J601" i="2"/>
  <c r="J608" i="2" s="1"/>
  <c r="J1909" i="2"/>
  <c r="N2511" i="2"/>
  <c r="M2511" i="2" s="1"/>
  <c r="J2511" i="2" s="1"/>
  <c r="J2503" i="2"/>
  <c r="N1868" i="2"/>
  <c r="J1868" i="2" s="1"/>
  <c r="J1867" i="2"/>
  <c r="N1877" i="2"/>
  <c r="J1877" i="2" s="1"/>
  <c r="J1876" i="2"/>
  <c r="N1886" i="2"/>
  <c r="J1886" i="2" s="1"/>
  <c r="J1882" i="2"/>
  <c r="N1874" i="2"/>
  <c r="J1874" i="2" s="1"/>
  <c r="J1873" i="2"/>
  <c r="N2232" i="2"/>
  <c r="M2232" i="2" s="1"/>
  <c r="J2232" i="2" s="1"/>
  <c r="J2230" i="2"/>
  <c r="N1860" i="2"/>
  <c r="J1860" i="2" s="1"/>
  <c r="J1857" i="2"/>
  <c r="N3050" i="2"/>
  <c r="J3050" i="2" s="1"/>
  <c r="J3041" i="2"/>
  <c r="N3342" i="2"/>
  <c r="J3342" i="2" s="1"/>
  <c r="J3185" i="2"/>
  <c r="N1968" i="2"/>
  <c r="M1968" i="2" s="1"/>
  <c r="J1968" i="2" s="1"/>
  <c r="J1967" i="2"/>
  <c r="N2804" i="2"/>
  <c r="J2804" i="2" s="1"/>
  <c r="I2804" i="2" s="1"/>
  <c r="H2804" i="2" s="1"/>
  <c r="J2803" i="2"/>
  <c r="N2879" i="2"/>
  <c r="J2879" i="2" s="1"/>
  <c r="J2878" i="2"/>
  <c r="N2904" i="2"/>
  <c r="J2904" i="2" s="1"/>
  <c r="J2899" i="2"/>
  <c r="N1880" i="2"/>
  <c r="J1880" i="2" s="1"/>
  <c r="J1879" i="2"/>
  <c r="N2683" i="2"/>
  <c r="M2683" i="2" s="1"/>
  <c r="J2683" i="2" s="1"/>
  <c r="I2683" i="2" s="1"/>
  <c r="H2683" i="2" s="1"/>
  <c r="J2664" i="2"/>
  <c r="N2621" i="2"/>
  <c r="M2621" i="2" s="1"/>
  <c r="J2613" i="2"/>
  <c r="N2885" i="2"/>
  <c r="J2885" i="2" s="1"/>
  <c r="J2881" i="2"/>
  <c r="N1851" i="2"/>
  <c r="J1851" i="2" s="1"/>
  <c r="J1845" i="2"/>
  <c r="N3704" i="2"/>
  <c r="J3704" i="2" s="1"/>
  <c r="J3699" i="2"/>
  <c r="N2921" i="2"/>
  <c r="J2921" i="2" s="1"/>
  <c r="J2917" i="2"/>
  <c r="N2057" i="2"/>
  <c r="J2057" i="2" s="1"/>
  <c r="J2047" i="2"/>
  <c r="N2790" i="2"/>
  <c r="M2790" i="2" s="1"/>
  <c r="J2790" i="2" s="1"/>
  <c r="I2790" i="2" s="1"/>
  <c r="H2790" i="2" s="1"/>
  <c r="J2781" i="2"/>
  <c r="N1370" i="2"/>
  <c r="J1370" i="2" s="1"/>
  <c r="J1369" i="2"/>
  <c r="N2795" i="2"/>
  <c r="M2795" i="2" s="1"/>
  <c r="J2795" i="2" s="1"/>
  <c r="I2795" i="2" s="1"/>
  <c r="H2795" i="2" s="1"/>
  <c r="J2792" i="2"/>
  <c r="N3055" i="2"/>
  <c r="J3054" i="2"/>
  <c r="N3670" i="2"/>
  <c r="J3670" i="2" s="1"/>
  <c r="J3667" i="2"/>
  <c r="N2909" i="2"/>
  <c r="J2909" i="2" s="1"/>
  <c r="J2906" i="2"/>
  <c r="N2324" i="2"/>
  <c r="J2324" i="2" s="1"/>
  <c r="J2323" i="2"/>
  <c r="N2686" i="2"/>
  <c r="J2686" i="2" s="1"/>
  <c r="I2686" i="2" s="1"/>
  <c r="H2686" i="2" s="1"/>
  <c r="J2685" i="2"/>
  <c r="N2236" i="2"/>
  <c r="J2236" i="2" s="1"/>
  <c r="J2234" i="2"/>
  <c r="N2240" i="2"/>
  <c r="J2240" i="2" s="1"/>
  <c r="J2239" i="2"/>
  <c r="N2841" i="2"/>
  <c r="J2841" i="2" s="1"/>
  <c r="I2841" i="2" s="1"/>
  <c r="H2841" i="2" s="1"/>
  <c r="J2837" i="2"/>
  <c r="N2045" i="2"/>
  <c r="J2045" i="2" s="1"/>
  <c r="J2041" i="2"/>
  <c r="N2986" i="2"/>
  <c r="J2986" i="2" s="1"/>
  <c r="J2976" i="2"/>
  <c r="N2595" i="2"/>
  <c r="M2595" i="2" s="1"/>
  <c r="J2595" i="2" s="1"/>
  <c r="J2594" i="2"/>
  <c r="N2825" i="2"/>
  <c r="J2825" i="2" s="1"/>
  <c r="I2825" i="2" s="1"/>
  <c r="H2825" i="2" s="1"/>
  <c r="J2822" i="2"/>
  <c r="N2835" i="2"/>
  <c r="J2835" i="2" s="1"/>
  <c r="I2835" i="2" s="1"/>
  <c r="H2835" i="2" s="1"/>
  <c r="J2828" i="2"/>
  <c r="N2935" i="2"/>
  <c r="J2935" i="2" s="1"/>
  <c r="J2931" i="2"/>
  <c r="N1984" i="2"/>
  <c r="J1984" i="2" s="1"/>
  <c r="J1981" i="2"/>
  <c r="N2861" i="2"/>
  <c r="J2861" i="2" s="1"/>
  <c r="I2861" i="2" s="1"/>
  <c r="H2861" i="2" s="1"/>
  <c r="J2845" i="2"/>
  <c r="N1871" i="2"/>
  <c r="J1871" i="2" s="1"/>
  <c r="J1870" i="2"/>
  <c r="N2895" i="2"/>
  <c r="J2888" i="2"/>
  <c r="J2895" i="2" s="1"/>
  <c r="N2525" i="2"/>
  <c r="J2525" i="2" s="1"/>
  <c r="J2521" i="2"/>
  <c r="N2550" i="2"/>
  <c r="J2545" i="2"/>
  <c r="J2550" i="2" s="1"/>
  <c r="N3360" i="2"/>
  <c r="J3360" i="2" s="1"/>
  <c r="J3352" i="2"/>
  <c r="N1409" i="2"/>
  <c r="J1409" i="2" s="1"/>
  <c r="J1400" i="2"/>
  <c r="N3749" i="2"/>
  <c r="J3749" i="2" s="1"/>
  <c r="J3736" i="2"/>
  <c r="A274" i="4"/>
  <c r="A275" i="4" s="1"/>
  <c r="A276" i="4" s="1"/>
  <c r="A277" i="4" s="1"/>
  <c r="I2870" i="5"/>
  <c r="A177" i="5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2" i="5" s="1"/>
  <c r="A193" i="5" s="1"/>
  <c r="A194" i="5" s="1"/>
  <c r="A195" i="5" s="1"/>
  <c r="A196" i="5" s="1"/>
  <c r="A197" i="5" s="1"/>
  <c r="A198" i="5" s="1"/>
  <c r="A199" i="5" s="1"/>
  <c r="A202" i="5" s="1"/>
  <c r="A203" i="5" s="1"/>
  <c r="A204" i="5" s="1"/>
  <c r="A205" i="5" s="1"/>
  <c r="A208" i="5" s="1"/>
  <c r="C2869" i="5"/>
  <c r="E21" i="7" s="1"/>
  <c r="D2028" i="5"/>
  <c r="W2870" i="5"/>
  <c r="C1039" i="6"/>
  <c r="C1282" i="6"/>
  <c r="F20" i="7" s="1"/>
  <c r="C577" i="4"/>
  <c r="D14" i="7" s="1"/>
  <c r="C968" i="6"/>
  <c r="A894" i="6"/>
  <c r="A895" i="6" s="1"/>
  <c r="A896" i="6" s="1"/>
  <c r="A897" i="6" s="1"/>
  <c r="A898" i="6" s="1"/>
  <c r="A899" i="6" s="1"/>
  <c r="A900" i="6" s="1"/>
  <c r="A881" i="6"/>
  <c r="A882" i="6" s="1"/>
  <c r="A883" i="6" s="1"/>
  <c r="A884" i="6" s="1"/>
  <c r="A885" i="6" s="1"/>
  <c r="A886" i="6" s="1"/>
  <c r="A887" i="6" s="1"/>
  <c r="C509" i="6"/>
  <c r="F10" i="7" s="1"/>
  <c r="N1365" i="2"/>
  <c r="J1365" i="2" s="1"/>
  <c r="C891" i="6"/>
  <c r="F14" i="7" s="1"/>
  <c r="C364" i="6"/>
  <c r="C449" i="6"/>
  <c r="F9" i="7" s="1"/>
  <c r="D144" i="6"/>
  <c r="C54" i="6"/>
  <c r="F5" i="7" s="1"/>
  <c r="C1352" i="6"/>
  <c r="F21" i="7" s="1"/>
  <c r="C993" i="6"/>
  <c r="F16" i="7" s="1"/>
  <c r="C2342" i="5"/>
  <c r="C2219" i="5"/>
  <c r="C2202" i="5"/>
  <c r="E15" i="7" s="1"/>
  <c r="M2519" i="2"/>
  <c r="J2519" i="2" s="1"/>
  <c r="N301" i="2"/>
  <c r="C2028" i="5"/>
  <c r="E14" i="7" s="1"/>
  <c r="N566" i="2"/>
  <c r="D1782" i="5"/>
  <c r="N2754" i="2"/>
  <c r="M2754" i="2" s="1"/>
  <c r="J2754" i="2" s="1"/>
  <c r="I2754" i="2" s="1"/>
  <c r="H2754" i="2" s="1"/>
  <c r="C1706" i="5"/>
  <c r="E10" i="7" s="1"/>
  <c r="C1623" i="5"/>
  <c r="E9" i="7" s="1"/>
  <c r="N1142" i="2"/>
  <c r="C1098" i="5"/>
  <c r="E8" i="7" s="1"/>
  <c r="E13" i="7"/>
  <c r="C13" i="7" s="1"/>
  <c r="D414" i="5"/>
  <c r="C648" i="5"/>
  <c r="E7" i="7" s="1"/>
  <c r="C217" i="5"/>
  <c r="E5" i="7" s="1"/>
  <c r="N1259" i="2"/>
  <c r="C657" i="4"/>
  <c r="D15" i="7" s="1"/>
  <c r="N3014" i="2"/>
  <c r="J3014" i="2" s="1"/>
  <c r="N1251" i="2"/>
  <c r="C291" i="4"/>
  <c r="D8" i="7" s="1"/>
  <c r="C101" i="4"/>
  <c r="C68" i="4"/>
  <c r="D4" i="7" s="1"/>
  <c r="N699" i="2"/>
  <c r="N3788" i="2"/>
  <c r="J3788" i="2" s="1"/>
  <c r="N3182" i="2"/>
  <c r="M3182" i="2" s="1"/>
  <c r="N2183" i="2"/>
  <c r="M2183" i="2" s="1"/>
  <c r="J2183" i="2" s="1"/>
  <c r="N511" i="2"/>
  <c r="M511" i="2" s="1"/>
  <c r="J244" i="2"/>
  <c r="N2247" i="2"/>
  <c r="M2247" i="2" s="1"/>
  <c r="J2247" i="2" s="1"/>
  <c r="N3665" i="2"/>
  <c r="J3665" i="2" s="1"/>
  <c r="N481" i="2"/>
  <c r="N244" i="2"/>
  <c r="N1083" i="2"/>
  <c r="N695" i="2"/>
  <c r="N1890" i="2"/>
  <c r="J1890" i="2" s="1"/>
  <c r="C1666" i="5"/>
  <c r="E12" i="7" s="1"/>
  <c r="D2475" i="5"/>
  <c r="N2552" i="2"/>
  <c r="N2553" i="2" s="1"/>
  <c r="J2553" i="2" s="1"/>
  <c r="N1351" i="2"/>
  <c r="N156" i="2"/>
  <c r="N163" i="2" s="1"/>
  <c r="J301" i="2"/>
  <c r="C390" i="5"/>
  <c r="C414" i="5" s="1"/>
  <c r="N325" i="2"/>
  <c r="J325" i="2" s="1"/>
  <c r="J449" i="2" s="1"/>
  <c r="N3379" i="2"/>
  <c r="J1172" i="2"/>
  <c r="J1176" i="2" s="1"/>
  <c r="N1176" i="2"/>
  <c r="D5" i="7"/>
  <c r="C370" i="4"/>
  <c r="C385" i="4" s="1"/>
  <c r="D9" i="7" s="1"/>
  <c r="N1419" i="2"/>
  <c r="N2274" i="2"/>
  <c r="J2274" i="2" s="1"/>
  <c r="C1781" i="5"/>
  <c r="N2496" i="2"/>
  <c r="N1919" i="2"/>
  <c r="J1919" i="2" s="1"/>
  <c r="N812" i="2"/>
  <c r="N2591" i="2"/>
  <c r="M2591" i="2" s="1"/>
  <c r="J2591" i="2" s="1"/>
  <c r="N1998" i="2"/>
  <c r="M1998" i="2" s="1"/>
  <c r="J1998" i="2" s="1"/>
  <c r="N2915" i="2"/>
  <c r="J2915" i="2" s="1"/>
  <c r="N2036" i="2"/>
  <c r="N3018" i="2"/>
  <c r="J3018" i="2" s="1"/>
  <c r="N2484" i="2"/>
  <c r="N1964" i="2"/>
  <c r="J150" i="2"/>
  <c r="N175" i="2"/>
  <c r="N2870" i="2"/>
  <c r="N256" i="2"/>
  <c r="J481" i="2"/>
  <c r="N473" i="2"/>
  <c r="J470" i="2"/>
  <c r="J473" i="2" s="1"/>
  <c r="J3725" i="2"/>
  <c r="J254" i="2"/>
  <c r="J256" i="2" s="1"/>
  <c r="F8" i="7"/>
  <c r="N487" i="2"/>
  <c r="J483" i="2"/>
  <c r="J487" i="2" s="1"/>
  <c r="M2766" i="2"/>
  <c r="J2766" i="2" s="1"/>
  <c r="I2766" i="2" s="1"/>
  <c r="H2766" i="2" s="1"/>
  <c r="J2000" i="2"/>
  <c r="E16" i="7"/>
  <c r="J3694" i="2"/>
  <c r="J2820" i="2"/>
  <c r="I2820" i="2" s="1"/>
  <c r="H2820" i="2" s="1"/>
  <c r="M2661" i="2"/>
  <c r="J2661" i="2" s="1"/>
  <c r="I2661" i="2" s="1"/>
  <c r="H2661" i="2" s="1"/>
  <c r="M1977" i="2"/>
  <c r="N3678" i="2"/>
  <c r="J3678" i="2" s="1"/>
  <c r="J170" i="2"/>
  <c r="J175" i="2" s="1"/>
  <c r="J511" i="2"/>
  <c r="J512" i="2" s="1"/>
  <c r="N121" i="2"/>
  <c r="M121" i="2" s="1"/>
  <c r="N785" i="2"/>
  <c r="J780" i="2"/>
  <c r="J785" i="2" s="1"/>
  <c r="J217" i="2"/>
  <c r="N773" i="2"/>
  <c r="J710" i="2"/>
  <c r="J773" i="2" s="1"/>
  <c r="C2358" i="5"/>
  <c r="C2475" i="5" s="1"/>
  <c r="E19" i="7" s="1"/>
  <c r="C19" i="7" s="1"/>
  <c r="N3060" i="2"/>
  <c r="C1723" i="5"/>
  <c r="N2088" i="2"/>
  <c r="N124" i="2"/>
  <c r="M124" i="2" s="1"/>
  <c r="J3055" i="2"/>
  <c r="J702" i="2"/>
  <c r="J708" i="2" s="1"/>
  <c r="N708" i="2"/>
  <c r="N2576" i="2"/>
  <c r="N144" i="2"/>
  <c r="M144" i="2" s="1"/>
  <c r="N2543" i="2"/>
  <c r="M2543" i="2" s="1"/>
  <c r="L2543" i="2" s="1"/>
  <c r="L2622" i="2" s="1"/>
  <c r="J1336" i="2"/>
  <c r="J1347" i="2" s="1"/>
  <c r="N1347" i="2"/>
  <c r="N818" i="2"/>
  <c r="J816" i="2"/>
  <c r="J818" i="2" s="1"/>
  <c r="C18" i="7"/>
  <c r="C1747" i="5"/>
  <c r="N2207" i="2"/>
  <c r="C2755" i="5"/>
  <c r="N3611" i="2"/>
  <c r="N217" i="2"/>
  <c r="J128" i="2"/>
  <c r="J144" i="2" s="1"/>
  <c r="N778" i="2"/>
  <c r="J776" i="2"/>
  <c r="J778" i="2" s="1"/>
  <c r="J204" i="2"/>
  <c r="J205" i="2" s="1"/>
  <c r="E17" i="7"/>
  <c r="D577" i="4"/>
  <c r="D824" i="4" s="1"/>
  <c r="J251" i="2"/>
  <c r="J468" i="2"/>
  <c r="J319" i="2"/>
  <c r="J190" i="2"/>
  <c r="J492" i="2"/>
  <c r="J238" i="2"/>
  <c r="J240" i="2" s="1"/>
  <c r="N240" i="2"/>
  <c r="J278" i="2"/>
  <c r="J295" i="2" s="1"/>
  <c r="N295" i="2"/>
  <c r="M295" i="2" s="1"/>
  <c r="N194" i="2"/>
  <c r="J192" i="2"/>
  <c r="J194" i="2" s="1"/>
  <c r="N468" i="2"/>
  <c r="M468" i="2" s="1"/>
  <c r="N227" i="2"/>
  <c r="J202" i="2"/>
  <c r="C138" i="6"/>
  <c r="C144" i="6" s="1"/>
  <c r="J493" i="2"/>
  <c r="C753" i="6"/>
  <c r="F11" i="7" s="1"/>
  <c r="J268" i="2"/>
  <c r="J276" i="2" s="1"/>
  <c r="N276" i="2"/>
  <c r="M276" i="2" s="1"/>
  <c r="N490" i="2"/>
  <c r="J489" i="2"/>
  <c r="J490" i="2" s="1"/>
  <c r="J227" i="2"/>
  <c r="N202" i="2"/>
  <c r="N251" i="2"/>
  <c r="N236" i="2"/>
  <c r="J229" i="2"/>
  <c r="J236" i="2" s="1"/>
  <c r="N319" i="2"/>
  <c r="M319" i="2" s="1"/>
  <c r="N190" i="2"/>
  <c r="D2756" i="5"/>
  <c r="D2870" i="5" s="1"/>
  <c r="C149" i="5"/>
  <c r="C161" i="5" s="1"/>
  <c r="J152" i="2"/>
  <c r="J20" i="2"/>
  <c r="J121" i="2" s="1"/>
  <c r="F15" i="7"/>
  <c r="F17" i="7"/>
  <c r="F6" i="7"/>
  <c r="A146" i="2"/>
  <c r="A147" i="2" s="1"/>
  <c r="A148" i="2" s="1"/>
  <c r="A149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2" i="2" s="1"/>
  <c r="A193" i="2" s="1"/>
  <c r="A196" i="2" s="1"/>
  <c r="A197" i="2" s="1"/>
  <c r="A198" i="2" s="1"/>
  <c r="A199" i="2" s="1"/>
  <c r="A200" i="2" s="1"/>
  <c r="A201" i="2" s="1"/>
  <c r="A204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9" i="2" s="1"/>
  <c r="A220" i="2" s="1"/>
  <c r="A221" i="2" s="1"/>
  <c r="A222" i="2" s="1"/>
  <c r="A223" i="2" s="1"/>
  <c r="A224" i="2" s="1"/>
  <c r="A225" i="2" s="1"/>
  <c r="A226" i="2" s="1"/>
  <c r="A229" i="2" s="1"/>
  <c r="A230" i="2" s="1"/>
  <c r="A231" i="2" s="1"/>
  <c r="A232" i="2" s="1"/>
  <c r="A233" i="2" s="1"/>
  <c r="A234" i="2" s="1"/>
  <c r="A235" i="2" s="1"/>
  <c r="A238" i="2" s="1"/>
  <c r="A239" i="2" s="1"/>
  <c r="A242" i="2" s="1"/>
  <c r="A243" i="2" s="1"/>
  <c r="A246" i="2" s="1"/>
  <c r="A247" i="2" s="1"/>
  <c r="A248" i="2" s="1"/>
  <c r="A249" i="2" s="1"/>
  <c r="A250" i="2" s="1"/>
  <c r="A253" i="2" s="1"/>
  <c r="A254" i="2" s="1"/>
  <c r="A255" i="2" s="1"/>
  <c r="A260" i="2" s="1"/>
  <c r="A261" i="2" s="1"/>
  <c r="A262" i="2" s="1"/>
  <c r="A263" i="2" s="1"/>
  <c r="A264" i="2" s="1"/>
  <c r="A267" i="2" s="1"/>
  <c r="A268" i="2" s="1"/>
  <c r="A269" i="2" s="1"/>
  <c r="A270" i="2" s="1"/>
  <c r="A271" i="2" s="1"/>
  <c r="A272" i="2" s="1"/>
  <c r="A273" i="2" s="1"/>
  <c r="A274" i="2" s="1"/>
  <c r="A275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7" i="2" s="1"/>
  <c r="A298" i="2" s="1"/>
  <c r="A299" i="2" s="1"/>
  <c r="A300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70" i="2" s="1"/>
  <c r="A471" i="2" s="1"/>
  <c r="A472" i="2" s="1"/>
  <c r="A475" i="2" s="1"/>
  <c r="A476" i="2" s="1"/>
  <c r="A477" i="2" s="1"/>
  <c r="A478" i="2" s="1"/>
  <c r="A479" i="2" s="1"/>
  <c r="A480" i="2" s="1"/>
  <c r="A483" i="2" s="1"/>
  <c r="A484" i="2" s="1"/>
  <c r="A485" i="2" s="1"/>
  <c r="A486" i="2" s="1"/>
  <c r="A489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4" i="2" s="1"/>
  <c r="A505" i="2" s="1"/>
  <c r="A506" i="2" s="1"/>
  <c r="A507" i="2" s="1"/>
  <c r="A508" i="2" s="1"/>
  <c r="A509" i="2" s="1"/>
  <c r="A510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7" i="2" s="1"/>
  <c r="A598" i="2" s="1"/>
  <c r="A601" i="2" s="1"/>
  <c r="A602" i="2" s="1"/>
  <c r="A603" i="2" s="1"/>
  <c r="A604" i="2" s="1"/>
  <c r="A605" i="2" s="1"/>
  <c r="A606" i="2" s="1"/>
  <c r="A607" i="2" s="1"/>
  <c r="A610" i="2" s="1"/>
  <c r="A611" i="2" s="1"/>
  <c r="G18" i="7" l="1"/>
  <c r="J1352" i="2"/>
  <c r="J3182" i="2"/>
  <c r="J2036" i="2"/>
  <c r="J2058" i="2" s="1"/>
  <c r="M2058" i="2"/>
  <c r="J1977" i="2"/>
  <c r="J2621" i="2"/>
  <c r="M2622" i="2"/>
  <c r="J813" i="2"/>
  <c r="J257" i="2"/>
  <c r="J2543" i="2"/>
  <c r="N2896" i="2"/>
  <c r="N3613" i="2"/>
  <c r="J3611" i="2"/>
  <c r="N2176" i="2"/>
  <c r="M2176" i="2" s="1"/>
  <c r="J2088" i="2"/>
  <c r="J2176" i="2" s="1"/>
  <c r="N2490" i="2"/>
  <c r="J2490" i="2" s="1"/>
  <c r="I2490" i="2" s="1"/>
  <c r="H2490" i="2" s="1"/>
  <c r="J2484" i="2"/>
  <c r="N1843" i="2"/>
  <c r="J1843" i="2" s="1"/>
  <c r="J1910" i="2" s="1"/>
  <c r="J1419" i="2"/>
  <c r="N2228" i="2"/>
  <c r="M2228" i="2" s="1"/>
  <c r="J2228" i="2" s="1"/>
  <c r="J2207" i="2"/>
  <c r="N3067" i="2"/>
  <c r="N3183" i="2" s="1"/>
  <c r="G19" i="7" s="1"/>
  <c r="J3060" i="2"/>
  <c r="N3586" i="2"/>
  <c r="J3379" i="2"/>
  <c r="A888" i="6"/>
  <c r="A889" i="6" s="1"/>
  <c r="A903" i="6"/>
  <c r="A904" i="6" s="1"/>
  <c r="A905" i="6" s="1"/>
  <c r="A906" i="6" s="1"/>
  <c r="A909" i="6" s="1"/>
  <c r="A910" i="6" s="1"/>
  <c r="A911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8" i="6" s="1"/>
  <c r="A941" i="6" s="1"/>
  <c r="A942" i="6" s="1"/>
  <c r="A945" i="6" s="1"/>
  <c r="A946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72" i="6" s="1"/>
  <c r="A975" i="6" s="1"/>
  <c r="A976" i="6" s="1"/>
  <c r="A977" i="6" s="1"/>
  <c r="A978" i="6" s="1"/>
  <c r="A979" i="6" s="1"/>
  <c r="A980" i="6" s="1"/>
  <c r="A983" i="6" s="1"/>
  <c r="A984" i="6" s="1"/>
  <c r="A985" i="6" s="1"/>
  <c r="A278" i="4"/>
  <c r="A281" i="4" s="1"/>
  <c r="A211" i="5"/>
  <c r="A212" i="5" s="1"/>
  <c r="A213" i="5" s="1"/>
  <c r="A214" i="5" s="1"/>
  <c r="A215" i="5" s="1"/>
  <c r="C10" i="7"/>
  <c r="C16" i="7"/>
  <c r="G16" i="7" s="1"/>
  <c r="N2862" i="2"/>
  <c r="J2862" i="2" s="1"/>
  <c r="C1782" i="5"/>
  <c r="E11" i="7" s="1"/>
  <c r="C11" i="7" s="1"/>
  <c r="C824" i="4"/>
  <c r="C828" i="4" s="1"/>
  <c r="C5" i="7"/>
  <c r="D24" i="7"/>
  <c r="C8" i="7"/>
  <c r="C2756" i="5"/>
  <c r="E20" i="7" s="1"/>
  <c r="C20" i="7" s="1"/>
  <c r="J2552" i="2"/>
  <c r="J156" i="2"/>
  <c r="E6" i="7"/>
  <c r="C6" i="7" s="1"/>
  <c r="N3051" i="2"/>
  <c r="J3051" i="2" s="1"/>
  <c r="J2870" i="2"/>
  <c r="J2896" i="2" s="1"/>
  <c r="N449" i="2"/>
  <c r="M449" i="2" s="1"/>
  <c r="N1978" i="2"/>
  <c r="C14" i="7"/>
  <c r="N2319" i="2"/>
  <c r="M2319" i="2" s="1"/>
  <c r="N2058" i="2"/>
  <c r="M175" i="2"/>
  <c r="N176" i="2"/>
  <c r="J1964" i="2"/>
  <c r="N813" i="2"/>
  <c r="N1352" i="2"/>
  <c r="C12" i="7"/>
  <c r="N2622" i="2"/>
  <c r="N3789" i="2"/>
  <c r="J176" i="2"/>
  <c r="E4" i="7"/>
  <c r="C4" i="7" s="1"/>
  <c r="N257" i="2"/>
  <c r="C17" i="7"/>
  <c r="C15" i="7"/>
  <c r="C21" i="7"/>
  <c r="J502" i="2"/>
  <c r="N502" i="2"/>
  <c r="C9" i="7"/>
  <c r="A612" i="2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9" i="2" s="1"/>
  <c r="A690" i="2" s="1"/>
  <c r="A691" i="2" s="1"/>
  <c r="A692" i="2" s="1"/>
  <c r="A693" i="2" s="1"/>
  <c r="A694" i="2" s="1"/>
  <c r="A697" i="2" s="1"/>
  <c r="A698" i="2" s="1"/>
  <c r="A701" i="2" s="1"/>
  <c r="A702" i="2" s="1"/>
  <c r="A703" i="2" s="1"/>
  <c r="A704" i="2" s="1"/>
  <c r="A705" i="2" s="1"/>
  <c r="A706" i="2" s="1"/>
  <c r="A707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5" i="2" s="1"/>
  <c r="A776" i="2" s="1"/>
  <c r="A777" i="2" s="1"/>
  <c r="A780" i="2" s="1"/>
  <c r="A781" i="2" s="1"/>
  <c r="A782" i="2" s="1"/>
  <c r="A783" i="2" s="1"/>
  <c r="A784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6" i="2" s="1"/>
  <c r="A817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988" i="6" l="1"/>
  <c r="A989" i="6" s="1"/>
  <c r="A990" i="6" s="1"/>
  <c r="A991" i="6" s="1"/>
  <c r="A996" i="6" s="1"/>
  <c r="A997" i="6" s="1"/>
  <c r="A998" i="6" s="1"/>
  <c r="A999" i="6" s="1"/>
  <c r="A1000" i="6" s="1"/>
  <c r="A1003" i="6" s="1"/>
  <c r="A1004" i="6" s="1"/>
  <c r="A1005" i="6" s="1"/>
  <c r="A1008" i="6" s="1"/>
  <c r="A1009" i="6" s="1"/>
  <c r="A1012" i="6" s="1"/>
  <c r="A1013" i="6" s="1"/>
  <c r="A1014" i="6" s="1"/>
  <c r="A1015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9" i="6" s="1"/>
  <c r="A1030" i="6" s="1"/>
  <c r="A1031" i="6" s="1"/>
  <c r="A1034" i="6" s="1"/>
  <c r="A1035" i="6" s="1"/>
  <c r="A1036" i="6" s="1"/>
  <c r="A1037" i="6" s="1"/>
  <c r="A1043" i="6" s="1"/>
  <c r="A1044" i="6" s="1"/>
  <c r="A1045" i="6" s="1"/>
  <c r="A1046" i="6" s="1"/>
  <c r="A1047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5" i="6" s="1"/>
  <c r="G13" i="7"/>
  <c r="M3067" i="2"/>
  <c r="J3067" i="2" s="1"/>
  <c r="J3183" i="2" s="1"/>
  <c r="J2622" i="2"/>
  <c r="J1978" i="2"/>
  <c r="J3613" i="2"/>
  <c r="N1910" i="2"/>
  <c r="G9" i="7" s="1"/>
  <c r="J2319" i="2"/>
  <c r="J2320" i="2" s="1"/>
  <c r="M2320" i="2"/>
  <c r="J3789" i="2"/>
  <c r="M1978" i="2"/>
  <c r="J3586" i="2"/>
  <c r="C825" i="4"/>
  <c r="C826" i="4" s="1"/>
  <c r="D29" i="7" s="1"/>
  <c r="D31" i="7" s="1"/>
  <c r="N3614" i="2"/>
  <c r="G20" i="7" s="1"/>
  <c r="A282" i="4"/>
  <c r="A283" i="4" s="1"/>
  <c r="A284" i="4"/>
  <c r="A220" i="5"/>
  <c r="A221" i="5" s="1"/>
  <c r="G15" i="7"/>
  <c r="C2870" i="5"/>
  <c r="C2873" i="5" s="1"/>
  <c r="G8" i="7"/>
  <c r="G5" i="7"/>
  <c r="G17" i="7"/>
  <c r="E24" i="7"/>
  <c r="G12" i="7"/>
  <c r="N2320" i="2"/>
  <c r="G10" i="7"/>
  <c r="N512" i="2"/>
  <c r="G4" i="7"/>
  <c r="G14" i="7"/>
  <c r="M176" i="2"/>
  <c r="G21" i="7"/>
  <c r="A1139" i="2"/>
  <c r="A1140" i="2" s="1"/>
  <c r="A1141" i="2" s="1"/>
  <c r="A1286" i="6" l="1"/>
  <c r="A1287" i="6" s="1"/>
  <c r="A1290" i="6"/>
  <c r="A1291" i="6" s="1"/>
  <c r="A1292" i="6" s="1"/>
  <c r="A1293" i="6" s="1"/>
  <c r="M3183" i="2"/>
  <c r="A222" i="5"/>
  <c r="A223" i="5" s="1"/>
  <c r="A224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N3790" i="2"/>
  <c r="J3790" i="2" s="1"/>
  <c r="M3614" i="2"/>
  <c r="J3614" i="2"/>
  <c r="C2871" i="5"/>
  <c r="C2872" i="5" s="1"/>
  <c r="E29" i="7" s="1"/>
  <c r="A1298" i="6"/>
  <c r="A1299" i="6" s="1"/>
  <c r="A1300" i="6" s="1"/>
  <c r="A1301" i="6" s="1"/>
  <c r="A1304" i="6" s="1"/>
  <c r="A1307" i="6" s="1"/>
  <c r="A1308" i="6" s="1"/>
  <c r="A1309" i="6" s="1"/>
  <c r="A1310" i="6" s="1"/>
  <c r="A1313" i="6" s="1"/>
  <c r="A1314" i="6" s="1"/>
  <c r="A1315" i="6" s="1"/>
  <c r="A1316" i="6" s="1"/>
  <c r="A1317" i="6" s="1"/>
  <c r="A1318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294" i="6"/>
  <c r="A1295" i="6" s="1"/>
  <c r="A285" i="4"/>
  <c r="A286" i="4" s="1"/>
  <c r="A287" i="4"/>
  <c r="A288" i="4" s="1"/>
  <c r="A289" i="4" s="1"/>
  <c r="G11" i="7"/>
  <c r="G6" i="7"/>
  <c r="A1144" i="2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2" i="2" s="1"/>
  <c r="A1173" i="2" s="1"/>
  <c r="A1174" i="2" s="1"/>
  <c r="A1175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E31" i="7" l="1"/>
  <c r="A1229" i="2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3" i="2" s="1"/>
  <c r="A1254" i="2" s="1"/>
  <c r="A1255" i="2" s="1"/>
  <c r="A1256" i="2" s="1"/>
  <c r="A1257" i="2" s="1"/>
  <c r="A1258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9" i="2" s="1"/>
  <c r="A1350" i="2" s="1"/>
  <c r="A1355" i="2" s="1"/>
  <c r="A276" i="5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2" i="5" s="1"/>
  <c r="A393" i="5" s="1"/>
  <c r="A396" i="5" s="1"/>
  <c r="A397" i="5" s="1"/>
  <c r="A398" i="5" s="1"/>
  <c r="A401" i="5" s="1"/>
  <c r="A402" i="5" s="1"/>
  <c r="A403" i="5" s="1"/>
  <c r="A406" i="5" s="1"/>
  <c r="A407" i="5" s="1"/>
  <c r="A408" i="5" s="1"/>
  <c r="A409" i="5" s="1"/>
  <c r="A410" i="5" s="1"/>
  <c r="A411" i="5" s="1"/>
  <c r="A412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9" i="5" s="1"/>
  <c r="A520" i="5" s="1"/>
  <c r="A521" i="5" s="1"/>
  <c r="A522" i="5" s="1"/>
  <c r="A523" i="5" s="1"/>
  <c r="A524" i="5" s="1"/>
  <c r="A525" i="5" s="1"/>
  <c r="A526" i="5" s="1"/>
  <c r="A529" i="5" s="1"/>
  <c r="A530" i="5" s="1"/>
  <c r="A531" i="5" s="1"/>
  <c r="A532" i="5" s="1"/>
  <c r="A533" i="5" s="1"/>
  <c r="A536" i="5" s="1"/>
  <c r="A537" i="5" s="1"/>
  <c r="A540" i="5" s="1"/>
  <c r="A541" i="5" s="1"/>
  <c r="A542" i="5" s="1"/>
  <c r="A543" i="5" s="1"/>
  <c r="A544" i="5" s="1"/>
  <c r="A545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3" i="5" s="1"/>
  <c r="A616" i="5" s="1"/>
  <c r="A617" i="5" s="1"/>
  <c r="A618" i="5" s="1"/>
  <c r="A619" i="5" s="1"/>
  <c r="A620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51" i="5" s="1"/>
  <c r="A652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294" i="4"/>
  <c r="A295" i="4" s="1"/>
  <c r="A296" i="4" s="1"/>
  <c r="A297" i="4" s="1"/>
  <c r="A298" i="4" s="1"/>
  <c r="A301" i="4" s="1"/>
  <c r="A302" i="4" s="1"/>
  <c r="A305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2" i="4" s="1"/>
  <c r="A373" i="4" s="1"/>
  <c r="A374" i="4" s="1"/>
  <c r="A375" i="4" s="1"/>
  <c r="A376" i="4" s="1"/>
  <c r="A379" i="4" s="1"/>
  <c r="A380" i="4" s="1"/>
  <c r="A383" i="4" s="1"/>
  <c r="A388" i="4" s="1"/>
  <c r="A389" i="4" s="1"/>
  <c r="A390" i="4" s="1"/>
  <c r="A391" i="4" s="1"/>
  <c r="A392" i="4" s="1"/>
  <c r="A393" i="4" s="1"/>
  <c r="A394" i="4" s="1"/>
  <c r="A395" i="4" s="1"/>
  <c r="A400" i="4" l="1"/>
  <c r="A401" i="4" s="1"/>
  <c r="A404" i="4" s="1"/>
  <c r="A405" i="4" s="1"/>
  <c r="A406" i="4" s="1"/>
  <c r="A411" i="4" s="1"/>
  <c r="A396" i="4"/>
  <c r="A397" i="4" s="1"/>
  <c r="A895" i="5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9" i="5" s="1"/>
  <c r="A920" i="5" s="1"/>
  <c r="A1356" i="2"/>
  <c r="A1358" i="2" s="1"/>
  <c r="A1360" i="2" s="1"/>
  <c r="A1362" i="2" s="1"/>
  <c r="A1364" i="2" s="1"/>
  <c r="A1367" i="2" s="1"/>
  <c r="A1368" i="2" s="1"/>
  <c r="A1357" i="2"/>
  <c r="A1359" i="2" s="1"/>
  <c r="A1361" i="2" s="1"/>
  <c r="A1363" i="2" s="1"/>
  <c r="A414" i="4" l="1"/>
  <c r="A415" i="4" s="1"/>
  <c r="A416" i="4" s="1"/>
  <c r="A417" i="4" s="1"/>
  <c r="A418" i="4" s="1"/>
  <c r="A419" i="4" s="1"/>
  <c r="A420" i="4" s="1"/>
  <c r="A421" i="4" s="1"/>
  <c r="A921" i="5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8" i="5" s="1"/>
  <c r="A999" i="5" s="1"/>
  <c r="A1369" i="2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l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422" i="4"/>
  <c r="A423" i="4" s="1"/>
  <c r="A424" i="4" s="1"/>
  <c r="A427" i="4" s="1"/>
  <c r="A428" i="4" s="1"/>
  <c r="A429" i="4" s="1"/>
  <c r="A430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1000" i="5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475" i="2" l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024" i="5"/>
  <c r="A1025" i="5" s="1"/>
  <c r="A1026" i="5" s="1"/>
  <c r="A1027" i="5" s="1"/>
  <c r="A1028" i="5" s="1"/>
  <c r="A470" i="4"/>
  <c r="A471" i="4" s="1"/>
  <c r="A474" i="4"/>
  <c r="A475" i="4" s="1"/>
  <c r="A476" i="4" s="1"/>
  <c r="A477" i="4" s="1"/>
  <c r="A478" i="4" s="1"/>
  <c r="A481" i="4" s="1"/>
  <c r="A482" i="4" s="1"/>
  <c r="A485" i="4" s="1"/>
  <c r="A486" i="4" s="1"/>
  <c r="A487" i="4" s="1"/>
  <c r="A488" i="4" s="1"/>
  <c r="A489" i="4" s="1"/>
  <c r="A492" i="4" s="1"/>
  <c r="A495" i="4" s="1"/>
  <c r="A496" i="4" s="1"/>
  <c r="A497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4" i="4" s="1"/>
  <c r="A545" i="4" s="1"/>
  <c r="A546" i="4" s="1"/>
  <c r="A547" i="4" s="1"/>
  <c r="A548" i="4" s="1"/>
  <c r="A549" i="4" s="1"/>
  <c r="A550" i="4" s="1"/>
  <c r="A553" i="4" s="1"/>
  <c r="A556" i="4" s="1"/>
  <c r="A557" i="4" s="1"/>
  <c r="A558" i="4" s="1"/>
  <c r="A559" i="4" s="1"/>
  <c r="A562" i="4" s="1"/>
  <c r="A565" i="4" s="1"/>
  <c r="A568" i="4" s="1"/>
  <c r="A569" i="4" s="1"/>
  <c r="A572" i="4" s="1"/>
  <c r="A575" i="4" s="1"/>
  <c r="A580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8" i="4" s="1"/>
  <c r="A609" i="4" s="1"/>
  <c r="A610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8" i="4" s="1"/>
  <c r="A629" i="4" s="1"/>
  <c r="A1029" i="5" l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2" i="5" s="1"/>
  <c r="A1073" i="5" s="1"/>
  <c r="A1074" i="5" s="1"/>
  <c r="A1075" i="5" s="1"/>
  <c r="A1076" i="5" s="1"/>
  <c r="A1077" i="5" s="1"/>
  <c r="A1080" i="5" s="1"/>
  <c r="A1081" i="5" s="1"/>
  <c r="A1082" i="5" s="1"/>
  <c r="A1083" i="5" s="1"/>
  <c r="A1084" i="5" s="1"/>
  <c r="A1085" i="5" s="1"/>
  <c r="A1086" i="5" s="1"/>
  <c r="A1089" i="5" s="1"/>
  <c r="A1090" i="5" s="1"/>
  <c r="A1091" i="5" s="1"/>
  <c r="A1092" i="5" s="1"/>
  <c r="A1095" i="5" s="1"/>
  <c r="A1096" i="5" s="1"/>
  <c r="A1101" i="5" s="1"/>
  <c r="A1102" i="5" s="1"/>
  <c r="A1705" i="2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5" i="2" s="1"/>
  <c r="A1846" i="2" s="1"/>
  <c r="A1847" i="2" s="1"/>
  <c r="A1848" i="2" s="1"/>
  <c r="A1849" i="2" s="1"/>
  <c r="A1850" i="2" s="1"/>
  <c r="A1853" i="2" s="1"/>
  <c r="A1854" i="2" s="1"/>
  <c r="A1855" i="2" s="1"/>
  <c r="A1856" i="2" s="1"/>
  <c r="A1857" i="2" s="1"/>
  <c r="A1858" i="2" s="1"/>
  <c r="A1859" i="2" s="1"/>
  <c r="A1862" i="2" s="1"/>
  <c r="A1863" i="2" s="1"/>
  <c r="A1864" i="2" s="1"/>
  <c r="A1865" i="2" s="1"/>
  <c r="A1866" i="2" s="1"/>
  <c r="A1867" i="2" s="1"/>
  <c r="A1870" i="2" s="1"/>
  <c r="A1873" i="2" s="1"/>
  <c r="A1876" i="2" s="1"/>
  <c r="A1879" i="2" s="1"/>
  <c r="A1882" i="2" s="1"/>
  <c r="A1883" i="2" s="1"/>
  <c r="A1884" i="2" s="1"/>
  <c r="A1885" i="2" s="1"/>
  <c r="A632" i="4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7" i="4" s="1"/>
  <c r="A648" i="4" s="1"/>
  <c r="A649" i="4" s="1"/>
  <c r="A652" i="4" s="1"/>
  <c r="A653" i="4" s="1"/>
  <c r="A654" i="4" s="1"/>
  <c r="A655" i="4" s="1"/>
  <c r="A660" i="4" s="1"/>
  <c r="A661" i="4" s="1"/>
  <c r="A662" i="4" s="1"/>
  <c r="A663" i="4" s="1"/>
  <c r="A666" i="4" s="1"/>
  <c r="A671" i="4" s="1"/>
  <c r="C258" i="6"/>
  <c r="C1353" i="6" s="1"/>
  <c r="A674" i="4" l="1"/>
  <c r="A677" i="4" s="1"/>
  <c r="A678" i="4" s="1"/>
  <c r="A681" i="4" s="1"/>
  <c r="A682" i="4" s="1"/>
  <c r="A685" i="4" s="1"/>
  <c r="A686" i="4" s="1"/>
  <c r="A689" i="4" s="1"/>
  <c r="A690" i="4" s="1"/>
  <c r="A691" i="4" s="1"/>
  <c r="A694" i="4" s="1"/>
  <c r="A695" i="4" s="1"/>
  <c r="A701" i="4" s="1"/>
  <c r="A702" i="4" s="1"/>
  <c r="A703" i="4" s="1"/>
  <c r="A704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1888" i="2"/>
  <c r="A1889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13" i="2" s="1"/>
  <c r="A1914" i="2" s="1"/>
  <c r="A1915" i="2" s="1"/>
  <c r="A1916" i="2" s="1"/>
  <c r="A1917" i="2" s="1"/>
  <c r="A1918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6" i="2" s="1"/>
  <c r="A1967" i="2" s="1"/>
  <c r="A1970" i="2" s="1"/>
  <c r="A1971" i="2" s="1"/>
  <c r="A1972" i="2" s="1"/>
  <c r="A1973" i="2" s="1"/>
  <c r="A1974" i="2" s="1"/>
  <c r="A1975" i="2" s="1"/>
  <c r="A1976" i="2" s="1"/>
  <c r="A1981" i="2" s="1"/>
  <c r="A1103" i="5"/>
  <c r="A1104" i="5" s="1"/>
  <c r="A1105" i="5" s="1"/>
  <c r="A1106" i="5" s="1"/>
  <c r="A1107" i="5" s="1"/>
  <c r="A1108" i="5" s="1"/>
  <c r="A1109" i="5" s="1"/>
  <c r="A1110" i="5" s="1"/>
  <c r="A1113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8" i="5" s="1"/>
  <c r="A1129" i="5" s="1"/>
  <c r="F7" i="7"/>
  <c r="A705" i="4" l="1"/>
  <c r="A1982" i="2"/>
  <c r="A1983" i="2" s="1"/>
  <c r="A1986" i="2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736" i="4"/>
  <c r="A737" i="4" s="1"/>
  <c r="A741" i="4" s="1"/>
  <c r="A742" i="4" s="1"/>
  <c r="A743" i="4" s="1"/>
  <c r="A746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3" i="4" s="1"/>
  <c r="A778" i="4" s="1"/>
  <c r="A779" i="4" s="1"/>
  <c r="A780" i="4" s="1"/>
  <c r="A783" i="4" s="1"/>
  <c r="A786" i="4" s="1"/>
  <c r="A787" i="4" s="1"/>
  <c r="A788" i="4" s="1"/>
  <c r="A791" i="4" s="1"/>
  <c r="A792" i="4" s="1"/>
  <c r="A793" i="4" s="1"/>
  <c r="A1130" i="5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C7" i="7"/>
  <c r="C24" i="7" s="1"/>
  <c r="G24" i="7" s="1"/>
  <c r="F24" i="7"/>
  <c r="A1180" i="5" l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2000" i="2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794" i="4"/>
  <c r="A797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20" i="4" s="1"/>
  <c r="A821" i="4" s="1"/>
  <c r="G7" i="7"/>
  <c r="A1212" i="5" l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2038" i="2"/>
  <c r="A2039" i="2" s="1"/>
  <c r="A2040" i="2" s="1"/>
  <c r="A2041" i="2" s="1"/>
  <c r="A2042" i="2" s="1"/>
  <c r="A2043" i="2" s="1"/>
  <c r="A2044" i="2" s="1"/>
  <c r="I258" i="6"/>
  <c r="I1353" i="6" s="1"/>
  <c r="N258" i="6"/>
  <c r="N1353" i="6" s="1"/>
  <c r="L258" i="6"/>
  <c r="L1353" i="6" s="1"/>
  <c r="P258" i="6"/>
  <c r="P1353" i="6" s="1"/>
  <c r="M258" i="6"/>
  <c r="M1353" i="6" s="1"/>
  <c r="T258" i="6"/>
  <c r="T1353" i="6" s="1"/>
  <c r="U258" i="6"/>
  <c r="U1353" i="6" s="1"/>
  <c r="V258" i="6"/>
  <c r="V1353" i="6" s="1"/>
  <c r="F258" i="6"/>
  <c r="F1353" i="6" s="1"/>
  <c r="H258" i="6"/>
  <c r="H1353" i="6" s="1"/>
  <c r="R258" i="6"/>
  <c r="R1353" i="6" s="1"/>
  <c r="G258" i="6"/>
  <c r="G1353" i="6" s="1"/>
  <c r="Q258" i="6"/>
  <c r="Q1353" i="6" s="1"/>
  <c r="D258" i="6"/>
  <c r="D1353" i="6" s="1"/>
  <c r="K258" i="6"/>
  <c r="K1353" i="6" s="1"/>
  <c r="W258" i="6"/>
  <c r="W1353" i="6" s="1"/>
  <c r="C1354" i="6" s="1"/>
  <c r="O258" i="6"/>
  <c r="O1353" i="6" s="1"/>
  <c r="E258" i="6"/>
  <c r="E1353" i="6" s="1"/>
  <c r="J258" i="6"/>
  <c r="J1353" i="6" s="1"/>
  <c r="A1260" i="5" l="1"/>
  <c r="A1261" i="5" s="1"/>
  <c r="A1262" i="5" s="1"/>
  <c r="A1263" i="5" s="1"/>
  <c r="A1264" i="5" s="1"/>
  <c r="A1265" i="5" s="1"/>
  <c r="A1266" i="5" s="1"/>
  <c r="A2047" i="2"/>
  <c r="A2048" i="2" s="1"/>
  <c r="A2049" i="2" s="1"/>
  <c r="A2050" i="2" s="1"/>
  <c r="A2051" i="2" s="1"/>
  <c r="A2052" i="2" s="1"/>
  <c r="A2053" i="2" s="1"/>
  <c r="A2054" i="2" s="1"/>
  <c r="A2055" i="2" s="1"/>
  <c r="A2056" i="2" s="1"/>
  <c r="A2061" i="2" s="1"/>
  <c r="A2062" i="2" s="1"/>
  <c r="J3791" i="2"/>
  <c r="C1355" i="6"/>
  <c r="A2063" i="2" l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8" i="2" s="1"/>
  <c r="A2179" i="2" s="1"/>
  <c r="A2180" i="2" s="1"/>
  <c r="A2181" i="2" s="1"/>
  <c r="A2182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30" i="2" s="1"/>
  <c r="A2231" i="2" s="1"/>
  <c r="A2234" i="2" s="1"/>
  <c r="A2235" i="2" s="1"/>
  <c r="A2238" i="2" s="1"/>
  <c r="A2239" i="2" s="1"/>
  <c r="A2242" i="2" s="1"/>
  <c r="A2243" i="2" s="1"/>
  <c r="A2244" i="2" s="1"/>
  <c r="A2245" i="2" s="1"/>
  <c r="A2246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61" i="2" s="1"/>
  <c r="A2262" i="2" s="1"/>
  <c r="A2263" i="2" s="1"/>
  <c r="A2264" i="2" s="1"/>
  <c r="A2265" i="2" s="1"/>
  <c r="A2266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23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6" i="2" s="1"/>
  <c r="A2487" i="2" s="1"/>
  <c r="A2488" i="2" s="1"/>
  <c r="A2493" i="2" s="1"/>
  <c r="A2494" i="2" s="1"/>
  <c r="A2495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3" i="2" s="1"/>
  <c r="A2514" i="2" s="1"/>
  <c r="A2515" i="2" s="1"/>
  <c r="A2516" i="2" s="1"/>
  <c r="A2517" i="2" s="1"/>
  <c r="A2518" i="2" s="1"/>
  <c r="A2521" i="2" s="1"/>
  <c r="A2522" i="2" s="1"/>
  <c r="A2523" i="2" s="1"/>
  <c r="A2524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5" i="2" s="1"/>
  <c r="A2546" i="2" s="1"/>
  <c r="A2547" i="2" s="1"/>
  <c r="A2548" i="2" s="1"/>
  <c r="A2549" i="2" s="1"/>
  <c r="A2552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8" i="2" s="1"/>
  <c r="A2569" i="2" s="1"/>
  <c r="A2570" i="2" s="1"/>
  <c r="A2571" i="2" s="1"/>
  <c r="A2572" i="2" s="1"/>
  <c r="A2573" i="2" s="1"/>
  <c r="A2574" i="2" s="1"/>
  <c r="A2575" i="2" s="1"/>
  <c r="A2578" i="2" s="1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J3792" i="2"/>
  <c r="F29" i="7"/>
  <c r="F31" i="7" l="1"/>
  <c r="C29" i="7"/>
  <c r="C31" i="7" s="1"/>
  <c r="A1506" i="5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2579" i="2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3" i="2" s="1"/>
  <c r="A2594" i="2" s="1"/>
  <c r="A2597" i="2" s="1"/>
  <c r="A2598" i="2" s="1"/>
  <c r="A2599" i="2" s="1"/>
  <c r="A2600" i="2" s="1"/>
  <c r="A2601" i="2" s="1"/>
  <c r="A2602" i="2" s="1"/>
  <c r="A2603" i="2" s="1"/>
  <c r="A2606" i="2" s="1"/>
  <c r="A2607" i="2" s="1"/>
  <c r="A2608" i="2" s="1"/>
  <c r="A2609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5" i="2" s="1"/>
  <c r="A2626" i="2" s="1"/>
  <c r="A2627" i="2" s="1"/>
  <c r="A2628" i="2" s="1"/>
  <c r="A2629" i="2" s="1"/>
  <c r="A2630" i="2" s="1"/>
  <c r="A2631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5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1539" i="5" l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2704" i="2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2" i="2" s="1"/>
  <c r="A2793" i="2" s="1"/>
  <c r="A2794" i="2" s="1"/>
  <c r="A2797" i="2" s="1"/>
  <c r="A2798" i="2" s="1"/>
  <c r="A2799" i="2" s="1"/>
  <c r="A2800" i="2" s="1"/>
  <c r="A2803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2" i="2" s="1"/>
  <c r="A2823" i="2" s="1"/>
  <c r="A2824" i="2" s="1"/>
  <c r="A2827" i="2" s="1"/>
  <c r="A2828" i="2" s="1"/>
  <c r="A2829" i="2" s="1"/>
  <c r="A2830" i="2" s="1"/>
  <c r="A2831" i="2" s="1"/>
  <c r="A2832" i="2" s="1"/>
  <c r="A2833" i="2" s="1"/>
  <c r="A2834" i="2" s="1"/>
  <c r="A2837" i="2" s="1"/>
  <c r="A2838" i="2" s="1"/>
  <c r="A2839" i="2" s="1"/>
  <c r="A2840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5" i="2" s="1"/>
  <c r="A2866" i="2" s="1"/>
  <c r="A2867" i="2" s="1"/>
  <c r="A2868" i="2" s="1"/>
  <c r="A2869" i="2" s="1"/>
  <c r="A2872" i="2" s="1"/>
  <c r="A2873" i="2" s="1"/>
  <c r="A2874" i="2" s="1"/>
  <c r="A2875" i="2" s="1"/>
  <c r="A2876" i="2" s="1"/>
  <c r="A2877" i="2" s="1"/>
  <c r="A2878" i="2" s="1"/>
  <c r="A2881" i="2" s="1"/>
  <c r="A2882" i="2" s="1"/>
  <c r="A2883" i="2" s="1"/>
  <c r="A2884" i="2" s="1"/>
  <c r="A2887" i="2" s="1"/>
  <c r="A2888" i="2" s="1"/>
  <c r="A2889" i="2" s="1"/>
  <c r="A2890" i="2" s="1"/>
  <c r="A2891" i="2" s="1"/>
  <c r="A2892" i="2" s="1"/>
  <c r="A2893" i="2" s="1"/>
  <c r="A2894" i="2" s="1"/>
  <c r="A2899" i="2" s="1"/>
  <c r="A2900" i="2" s="1"/>
  <c r="A2901" i="2" s="1"/>
  <c r="A2902" i="2" s="1"/>
  <c r="A2903" i="2" s="1"/>
  <c r="A2906" i="2" s="1"/>
  <c r="A2907" i="2" s="1"/>
  <c r="A2908" i="2" s="1"/>
  <c r="A2911" i="2" s="1"/>
  <c r="A2912" i="2" s="1"/>
  <c r="A2913" i="2" s="1"/>
  <c r="A2914" i="2" s="1"/>
  <c r="A2917" i="2" s="1"/>
  <c r="A2918" i="2" s="1"/>
  <c r="A2919" i="2" s="1"/>
  <c r="A2920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1571" i="5" l="1"/>
  <c r="A1572" i="5" s="1"/>
  <c r="A1573" i="5" s="1"/>
  <c r="A1576" i="5" s="1"/>
  <c r="A1577" i="5" s="1"/>
  <c r="A1580" i="5" s="1"/>
  <c r="A1583" i="5" s="1"/>
  <c r="A1584" i="5" s="1"/>
  <c r="A1585" i="5" s="1"/>
  <c r="A1586" i="5" s="1"/>
  <c r="A1587" i="5" s="1"/>
  <c r="A1588" i="5" s="1"/>
  <c r="A1591" i="5" s="1"/>
  <c r="A1594" i="5" s="1"/>
  <c r="A1597" i="5" s="1"/>
  <c r="A1598" i="5" s="1"/>
  <c r="A1599" i="5" s="1"/>
  <c r="A1602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6" i="5" s="1"/>
  <c r="A1627" i="5" s="1"/>
  <c r="A1628" i="5" s="1"/>
  <c r="A1629" i="5" s="1"/>
  <c r="A1630" i="5" s="1"/>
  <c r="A1631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61" i="5" s="1"/>
  <c r="A1662" i="5" s="1"/>
  <c r="A1663" i="5" s="1"/>
  <c r="A1664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5" i="5" s="1"/>
  <c r="A1726" i="5" s="1"/>
  <c r="A1727" i="5" s="1"/>
  <c r="A1728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9" i="5" s="1"/>
  <c r="A1750" i="5" s="1"/>
  <c r="A1753" i="5" s="1"/>
  <c r="A1754" i="5" s="1"/>
  <c r="A1755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70" i="5" s="1"/>
  <c r="A1771" i="5" s="1"/>
  <c r="A1772" i="5" s="1"/>
  <c r="A1775" i="5" s="1"/>
  <c r="A1776" i="5" s="1"/>
  <c r="A1777" i="5" s="1"/>
  <c r="A1778" i="5" s="1"/>
  <c r="A1779" i="5" s="1"/>
  <c r="A1780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6" i="5" s="1"/>
  <c r="A1947" i="5" s="1"/>
  <c r="A1948" i="5" s="1"/>
  <c r="A1951" i="5" s="1"/>
  <c r="A1952" i="5" s="1"/>
  <c r="A1953" i="5" s="1"/>
  <c r="A1954" i="5" s="1"/>
  <c r="A1955" i="5" s="1"/>
  <c r="A1956" i="5" s="1"/>
  <c r="A1957" i="5" s="1"/>
  <c r="A1960" i="5" s="1"/>
  <c r="A1961" i="5" s="1"/>
  <c r="A1962" i="5" s="1"/>
  <c r="A1963" i="5" s="1"/>
  <c r="A1964" i="5" s="1"/>
  <c r="A1965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6" i="5" s="1"/>
  <c r="A1989" i="5" s="1"/>
  <c r="A1992" i="5" s="1"/>
  <c r="A1993" i="5" s="1"/>
  <c r="A1994" i="5" s="1"/>
  <c r="A1995" i="5" s="1"/>
  <c r="A1996" i="5" s="1"/>
  <c r="A1997" i="5" s="1"/>
  <c r="A1998" i="5" s="1"/>
  <c r="A1999" i="5" s="1"/>
  <c r="A2003" i="5" s="1"/>
  <c r="A2006" i="5" s="1"/>
  <c r="A2009" i="5" s="1"/>
  <c r="A2010" i="5" s="1"/>
  <c r="A2011" i="5" s="1"/>
  <c r="A2012" i="5" s="1"/>
  <c r="A2013" i="5" s="1"/>
  <c r="A2014" i="5" s="1"/>
  <c r="A2015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31" i="5" s="1"/>
  <c r="A2032" i="5" s="1"/>
  <c r="A2033" i="5" s="1"/>
  <c r="A2034" i="5" s="1"/>
  <c r="A2035" i="5" s="1"/>
  <c r="A2036" i="5" s="1"/>
  <c r="A2037" i="5" s="1"/>
  <c r="A2976" i="2"/>
  <c r="A2977" i="2" s="1"/>
  <c r="A2978" i="2" s="1"/>
  <c r="A2979" i="2" s="1"/>
  <c r="A2980" i="2" s="1"/>
  <c r="A2981" i="2" s="1"/>
  <c r="A2982" i="2" s="1"/>
  <c r="A2983" i="2" s="1"/>
  <c r="A2984" i="2" s="1"/>
  <c r="A2985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6" i="2" s="1"/>
  <c r="A3017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4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9" i="2" s="1"/>
  <c r="A3070" i="2" s="1"/>
  <c r="A3071" i="2" s="1"/>
  <c r="A3072" i="2" s="1"/>
  <c r="A3073" i="2" s="1"/>
  <c r="A3074" i="2" s="1"/>
  <c r="A3075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2038" i="5" l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3297" i="2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5" i="2" s="1"/>
  <c r="A3346" i="2" s="1"/>
  <c r="A3347" i="2" s="1"/>
  <c r="A3348" i="2" s="1"/>
  <c r="A3349" i="2" s="1"/>
  <c r="A3352" i="2" s="1"/>
  <c r="A3353" i="2" s="1"/>
  <c r="A3354" i="2" s="1"/>
  <c r="A3355" i="2" s="1"/>
  <c r="A3356" i="2" s="1"/>
  <c r="A3357" i="2" s="1"/>
  <c r="A3358" i="2" s="1"/>
  <c r="A3359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2127" i="5" l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40" i="5" s="1"/>
  <c r="A2141" i="5" s="1"/>
  <c r="A2142" i="5" s="1"/>
  <c r="A2143" i="5" s="1"/>
  <c r="A2144" i="5" s="1"/>
  <c r="A2145" i="5" s="1"/>
  <c r="A2148" i="5" s="1"/>
  <c r="A2149" i="5" s="1"/>
  <c r="A2150" i="5" s="1"/>
  <c r="A2153" i="5" s="1"/>
  <c r="A2156" i="5" s="1"/>
  <c r="A2157" i="5" s="1"/>
  <c r="A2158" i="5" s="1"/>
  <c r="A2159" i="5" s="1"/>
  <c r="A2162" i="5" s="1"/>
  <c r="A2163" i="5" s="1"/>
  <c r="A2164" i="5" s="1"/>
  <c r="A2165" i="5" s="1"/>
  <c r="A2166" i="5" s="1"/>
  <c r="A2167" i="5" s="1"/>
  <c r="A2170" i="5" s="1"/>
  <c r="A2171" i="5" s="1"/>
  <c r="A2174" i="5" s="1"/>
  <c r="A2175" i="5" s="1"/>
  <c r="A2176" i="5" s="1"/>
  <c r="A2179" i="5" s="1"/>
  <c r="A2180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5" i="5" s="1"/>
  <c r="A2206" i="5" s="1"/>
  <c r="A3499" i="2"/>
  <c r="A3500" i="2" s="1"/>
  <c r="A2207" i="5" l="1"/>
  <c r="A2208" i="5" s="1"/>
  <c r="A2211" i="5"/>
  <c r="A2214" i="5" s="1"/>
  <c r="A2215" i="5" s="1"/>
  <c r="A2216" i="5" s="1"/>
  <c r="A2217" i="5" s="1"/>
  <c r="A2222" i="5" s="1"/>
  <c r="A2225" i="5" s="1"/>
  <c r="A2228" i="5" s="1"/>
  <c r="A2231" i="5" s="1"/>
  <c r="A2232" i="5" s="1"/>
  <c r="A2233" i="5" s="1"/>
  <c r="A2234" i="5" s="1"/>
  <c r="A2235" i="5" s="1"/>
  <c r="A2236" i="5" s="1"/>
  <c r="A2237" i="5" s="1"/>
  <c r="A3501" i="2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7" i="2" s="1"/>
  <c r="A3668" i="2" s="1"/>
  <c r="A3669" i="2" s="1"/>
  <c r="A3672" i="2" s="1"/>
  <c r="A3673" i="2" s="1"/>
  <c r="A3674" i="2" s="1"/>
  <c r="A3675" i="2" s="1"/>
  <c r="A3676" i="2" s="1"/>
  <c r="A3677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6" i="2" s="1"/>
  <c r="A3697" i="2" s="1"/>
  <c r="A3698" i="2" s="1"/>
  <c r="A3699" i="2" s="1"/>
  <c r="A3700" i="2" s="1"/>
  <c r="A3701" i="2" s="1"/>
  <c r="A3702" i="2" s="1"/>
  <c r="A3703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7" i="2" s="1"/>
  <c r="A3728" i="2" s="1"/>
  <c r="A3729" i="2" s="1"/>
  <c r="A2238" i="5" l="1"/>
  <c r="A3730" i="2"/>
  <c r="A3731" i="2" s="1"/>
  <c r="A3732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2239" i="5" l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7" i="5" s="1"/>
  <c r="A2308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5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3" i="5" s="1"/>
  <c r="A2514" i="5" s="1"/>
  <c r="A2517" i="5" s="1"/>
  <c r="A2518" i="5" s="1"/>
  <c r="A2519" i="5" s="1"/>
  <c r="A2520" i="5" s="1"/>
  <c r="A2521" i="5" s="1"/>
  <c r="A2522" i="5" s="1"/>
  <c r="A2523" i="5" s="1"/>
  <c r="A2524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3781" i="2"/>
  <c r="A3782" i="2" s="1"/>
  <c r="A3783" i="2" s="1"/>
  <c r="A3784" i="2" s="1"/>
  <c r="A3785" i="2" s="1"/>
  <c r="A3786" i="2" s="1"/>
  <c r="A3787" i="2" s="1"/>
  <c r="B24" i="7" s="1"/>
  <c r="A2644" i="5" l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50" i="5" s="1"/>
  <c r="A2751" i="5" s="1"/>
  <c r="A2752" i="5" s="1"/>
  <c r="A2753" i="5" s="1"/>
  <c r="A2754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2" i="5" s="1"/>
  <c r="A2823" i="5" s="1"/>
  <c r="A2824" i="5" s="1"/>
  <c r="A2825" i="5" s="1"/>
  <c r="A2826" i="5" s="1"/>
  <c r="A2827" i="5" s="1"/>
  <c r="A2828" i="5" s="1"/>
  <c r="A2831" i="5" s="1"/>
  <c r="A2832" i="5" s="1"/>
  <c r="A2833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</calcChain>
</file>

<file path=xl/comments1.xml><?xml version="1.0" encoding="utf-8"?>
<comments xmlns="http://schemas.openxmlformats.org/spreadsheetml/2006/main">
  <authors>
    <author>Автор</author>
    <author>Анна Роландовна Фомина</author>
  </authors>
  <commentList>
    <comment ref="N6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N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M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V16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AC22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AC2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22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G22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ОКН</t>
        </r>
      </text>
    </comment>
    <comment ref="F23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E2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2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2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ОКН</t>
        </r>
      </text>
    </comment>
    <comment ref="F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ОКН
ИТП + ТС</t>
        </r>
      </text>
    </comment>
    <comment ref="G2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ОКН</t>
        </r>
      </text>
    </comment>
    <comment ref="F2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4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2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D25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D25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взять из КРП2019</t>
        </r>
      </text>
    </comment>
    <comment ref="AD2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неверные данные по объему подвала</t>
        </r>
      </text>
    </comment>
    <comment ref="N26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27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N2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2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E28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28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28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28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28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28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28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28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28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E28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Z362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W366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41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ИТП-1723564,80</t>
        </r>
      </text>
    </comment>
    <comment ref="F42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F575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 смету входит УУТЭ
</t>
        </r>
      </text>
    </comment>
    <comment ref="N58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</t>
        </r>
      </text>
    </comment>
    <comment ref="N5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M59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почему такая разница по стоимости? Кровля рулонная</t>
        </r>
      </text>
    </comment>
    <comment ref="AA61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есть проект</t>
        </r>
      </text>
    </comment>
    <comment ref="N6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64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N6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</commentList>
</comments>
</file>

<file path=xl/comments2.xml><?xml version="1.0" encoding="utf-8"?>
<comments xmlns="http://schemas.openxmlformats.org/spreadsheetml/2006/main">
  <authors>
    <author>Автор</author>
    <author>Анна Роландовна Фомина</author>
    <author>Анна Роландовна Петракова</author>
  </authors>
  <commentList>
    <comment ref="M1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аукцион</t>
        </r>
      </text>
    </comment>
    <comment ref="M1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epd47</t>
        </r>
      </text>
    </comment>
    <comment ref="O16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epd47</t>
        </r>
      </text>
    </comment>
    <comment ref="V39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УУТЭ+УУХВС</t>
        </r>
      </text>
    </comment>
    <comment ref="AC6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AC6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R6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6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W6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неточные данные по объемам</t>
        </r>
      </text>
    </comment>
    <comment ref="W69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AD70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 ошибка в объеме подвала</t>
        </r>
      </text>
    </comment>
    <comment ref="F70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G70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ОКН</t>
        </r>
      </text>
    </comment>
    <comment ref="W73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AD74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</t>
        </r>
      </text>
    </comment>
    <comment ref="N75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7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7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AD7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вероятна ошибка в предоставленных данных объема подвала</t>
        </r>
      </text>
    </comment>
    <comment ref="AD7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вероятна ошибка в предоставленных данных объема подвала</t>
        </r>
      </text>
    </comment>
    <comment ref="W78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дому взяты из аис</t>
        </r>
      </text>
    </comment>
    <comment ref="AD79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 подвала</t>
        </r>
      </text>
    </comment>
    <comment ref="AD80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 ошибка в предоставленном объеме подвала</t>
        </r>
      </text>
    </comment>
    <comment ref="AD81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вероятна ошибка в предоставленном объеме подвала</t>
        </r>
      </text>
    </comment>
    <comment ref="W81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 дома</t>
        </r>
      </text>
    </comment>
    <comment ref="F82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ТС+узел теплового ввода</t>
        </r>
      </text>
    </comment>
    <comment ref="AD82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 подвала</t>
        </r>
      </text>
    </comment>
    <comment ref="AD8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</t>
        </r>
      </text>
    </comment>
    <comment ref="AD83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возможна ошибка в предоставленном объеме подвала</t>
        </r>
      </text>
    </comment>
    <comment ref="E8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8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8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8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8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8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N86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87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ОКН</t>
        </r>
      </text>
    </comment>
    <comment ref="F87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ОКН
ИТП + ТС</t>
        </r>
      </text>
    </comment>
    <comment ref="G87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ОКН</t>
        </r>
      </text>
    </comment>
    <comment ref="AD90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возможно ошибка в предоставленном объеме подвала</t>
        </r>
      </text>
    </comment>
    <comment ref="AD90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вероятна ошибка в предоставленном объеме подвала</t>
        </r>
      </text>
    </comment>
    <comment ref="W90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дома взяты из аис</t>
        </r>
      </text>
    </comment>
    <comment ref="N91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92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D92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</t>
        </r>
      </text>
    </comment>
    <comment ref="AD93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
</t>
        </r>
      </text>
    </comment>
    <comment ref="I94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D9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уточнить объем подвала</t>
        </r>
      </text>
    </comment>
    <comment ref="AD95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уточнить объем подвала</t>
        </r>
      </text>
    </comment>
    <comment ref="AD95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данных по V подвала нет, сделано по аналогии с д. 2</t>
        </r>
      </text>
    </comment>
    <comment ref="AD96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неверный объем подвала</t>
        </r>
      </text>
    </comment>
    <comment ref="AD9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неверный объем подвала</t>
        </r>
      </text>
    </comment>
    <comment ref="AD96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D96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</t>
        </r>
      </text>
    </comment>
    <comment ref="AD9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взять из КРП2019</t>
        </r>
      </text>
    </comment>
    <comment ref="AD96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подвала взяты из КРП2019
</t>
        </r>
      </text>
    </comment>
    <comment ref="AD97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неверные данные по объему подвала</t>
        </r>
      </text>
    </comment>
    <comment ref="R97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U97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9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U9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E9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F98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W98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дома взяты из аис</t>
        </r>
      </text>
    </comment>
    <comment ref="W9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98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98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99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аис</t>
        </r>
      </text>
    </comment>
    <comment ref="W99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W101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103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103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103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
</t>
        </r>
      </text>
    </comment>
    <comment ref="W103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103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103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W103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данных по высоте дома</t>
        </r>
      </text>
    </comment>
    <comment ref="N10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105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W105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N105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105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R108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108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G1233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превышение</t>
        </r>
      </text>
    </comment>
    <comment ref="X1471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ВО-выгребная яма</t>
        </r>
      </text>
    </comment>
    <comment ref="Z1476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подвала</t>
        </r>
      </text>
    </comment>
    <comment ref="X1484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ВО-выгребная яма</t>
        </r>
      </text>
    </comment>
    <comment ref="Z1491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 предоставлен объем подвала</t>
        </r>
      </text>
    </comment>
    <comment ref="Z1519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данных</t>
        </r>
      </text>
    </comment>
    <comment ref="Z1532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Z1547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вероятна ошибка в объеме подвала</t>
        </r>
      </text>
    </comment>
    <comment ref="W1566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F168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ИТП-2979420,00
</t>
        </r>
      </text>
    </comment>
    <comment ref="F168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ИТП-2984389,20
</t>
        </r>
      </text>
    </comment>
    <comment ref="F168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ИТП-2039818,80
</t>
        </r>
      </text>
    </comment>
    <comment ref="F168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F169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плюс ИТП-1726029,60
</t>
        </r>
      </text>
    </comment>
    <comment ref="F169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ИТП</t>
        </r>
      </text>
    </comment>
    <comment ref="AG17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инженерка вкл. по смр!
</t>
        </r>
      </text>
    </comment>
    <comment ref="N1947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N1948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N212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не проверена, превышение пред.стоимости</t>
        </r>
      </text>
    </comment>
    <comment ref="N21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216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N216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смета проверена и согласована</t>
        </r>
      </text>
    </comment>
    <comment ref="R2215" authorId="0">
      <text>
        <r>
          <rPr>
            <sz val="9"/>
            <color indexed="81"/>
            <rFont val="Tahoma"/>
            <family val="2"/>
            <charset val="204"/>
          </rPr>
          <t xml:space="preserve">
PDF
</t>
        </r>
      </text>
    </comment>
  </commentList>
</comments>
</file>

<file path=xl/comments3.xml><?xml version="1.0" encoding="utf-8"?>
<comments xmlns="http://schemas.openxmlformats.org/spreadsheetml/2006/main">
  <authors>
    <author>Автор</author>
    <author>Анна Роландовна Фомина</author>
    <author>Анна Роландовна Петракова</author>
    <author>Маркова Ольга Дмитриевна</author>
  </authors>
  <commentList>
    <comment ref="N2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N2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2019-11 УМИАТ</t>
        </r>
      </text>
    </comment>
    <comment ref="R26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26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по объему из аис</t>
        </r>
      </text>
    </comment>
    <comment ref="W2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объем дома взят из аис</t>
        </r>
      </text>
    </comment>
    <comment ref="AD26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техподполье</t>
        </r>
      </text>
    </comment>
    <comment ref="R26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R2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U2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AE2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AF27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полных данных по дому</t>
        </r>
      </text>
    </comment>
    <comment ref="B275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Проверить есть ли фасад
</t>
        </r>
      </text>
    </comment>
    <comment ref="E3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F3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ТС+УУТЭ
Сумма не согласована</t>
        </r>
      </text>
    </comment>
    <comment ref="G3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H3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I3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W34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W34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данные из аис</t>
        </r>
      </text>
    </comment>
    <comment ref="F347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
</t>
        </r>
      </text>
    </comment>
    <comment ref="F34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F34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ТС+УУТС</t>
        </r>
      </text>
    </comment>
    <comment ref="R35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E362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сумма не согласована</t>
        </r>
      </text>
    </comment>
    <comment ref="Z417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W421" authorId="1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Фомина:</t>
        </r>
        <r>
          <rPr>
            <sz val="9"/>
            <color indexed="81"/>
            <rFont val="Tahoma"/>
            <family val="2"/>
            <charset val="204"/>
          </rPr>
          <t xml:space="preserve">
нет объема дома</t>
        </r>
      </text>
    </comment>
    <comment ref="R483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вент.фасад</t>
        </r>
      </text>
    </comment>
    <comment ref="R48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вент.фасад</t>
        </r>
      </text>
    </comment>
    <comment ref="R48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вент.ф</t>
        </r>
      </text>
    </comment>
    <comment ref="R490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утепл.</t>
        </r>
      </text>
    </comment>
    <comment ref="R491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утепл.</t>
        </r>
      </text>
    </comment>
    <comment ref="AF659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инженерка вкл. по смр!
</t>
        </r>
      </text>
    </comment>
    <comment ref="N807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N808" authorId="2">
      <text>
        <r>
          <rPr>
            <b/>
            <i/>
            <sz val="9"/>
            <color indexed="81"/>
            <rFont val="Tahoma"/>
            <family val="2"/>
            <charset val="204"/>
          </rPr>
          <t>Анна Роландовна Петракова:</t>
        </r>
        <r>
          <rPr>
            <sz val="9"/>
            <color indexed="81"/>
            <rFont val="Tahoma"/>
            <family val="2"/>
            <charset val="204"/>
          </rPr>
          <t xml:space="preserve">
по данным из аис</t>
        </r>
      </text>
    </comment>
    <comment ref="AA914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есть проект</t>
        </r>
      </text>
    </comment>
    <comment ref="N9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938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R946" authorId="0">
      <text>
        <r>
          <rPr>
            <b/>
            <i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нет дефлятора</t>
        </r>
      </text>
    </comment>
    <comment ref="I1291" authorId="3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выгребная яма
</t>
        </r>
      </text>
    </comment>
    <comment ref="I1318" authorId="3">
      <text>
        <r>
          <rPr>
            <b/>
            <i/>
            <sz val="9"/>
            <color indexed="81"/>
            <rFont val="Tahoma"/>
            <family val="2"/>
            <charset val="204"/>
          </rPr>
          <t>Маркова Ольга Дмитриевна:</t>
        </r>
        <r>
          <rPr>
            <sz val="9"/>
            <color indexed="81"/>
            <rFont val="Tahoma"/>
            <family val="2"/>
            <charset val="204"/>
          </rPr>
          <t xml:space="preserve">
+выгребная яма
</t>
        </r>
      </text>
    </comment>
  </commentList>
</comments>
</file>

<file path=xl/sharedStrings.xml><?xml version="1.0" encoding="utf-8"?>
<sst xmlns="http://schemas.openxmlformats.org/spreadsheetml/2006/main" count="91783" uniqueCount="4202">
  <si>
    <t>Расшифровка ПИР</t>
  </si>
  <si>
    <t>№ п\п</t>
  </si>
  <si>
    <t>Адрес МКД</t>
  </si>
  <si>
    <t>Стоимость капитального ремонта ВСЕГО</t>
  </si>
  <si>
    <t>Виды работ</t>
  </si>
  <si>
    <t>Ремонт внутридомовых инженерных систем</t>
  </si>
  <si>
    <t>Ремонт или замена лифтового оборудования, в том числе</t>
  </si>
  <si>
    <t>Ремонт крыши</t>
  </si>
  <si>
    <t>Ремонт подвальных помещений</t>
  </si>
  <si>
    <t>Ремонт фасада</t>
  </si>
  <si>
    <t>Ремонт фундамента</t>
  </si>
  <si>
    <t>Установка коллективных (общедомовых) ПУ и УУ</t>
  </si>
  <si>
    <t>Проектные работы(ФОНД)</t>
  </si>
  <si>
    <t>крыша</t>
  </si>
  <si>
    <t>подвал</t>
  </si>
  <si>
    <t>фасад</t>
  </si>
  <si>
    <t>Всего работ по инженерным системам</t>
  </si>
  <si>
    <t>Ремонт сетей электроснабжения</t>
  </si>
  <si>
    <t>Ремонт сетей теплоснабжения</t>
  </si>
  <si>
    <t>Ремонт сетей холодного водоснабжения</t>
  </si>
  <si>
    <t>Ремонт сетей горячего водоснабжения</t>
  </si>
  <si>
    <t>Ремонт систем водоотведения</t>
  </si>
  <si>
    <t>Ремонт или замена лифтового оборудования</t>
  </si>
  <si>
    <t>Техническое освидетельствование</t>
  </si>
  <si>
    <t>Подъезд</t>
  </si>
  <si>
    <t>ВО</t>
  </si>
  <si>
    <t>ТС</t>
  </si>
  <si>
    <t>ХВС, ГВС</t>
  </si>
  <si>
    <t>ГВС</t>
  </si>
  <si>
    <t>Электрика</t>
  </si>
  <si>
    <t>руб.</t>
  </si>
  <si>
    <t>ед.</t>
  </si>
  <si>
    <t>кв.м.</t>
  </si>
  <si>
    <t>куб.м.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</si>
  <si>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</si>
  <si>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</si>
  <si>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</si>
  <si>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</si>
  <si>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</si>
  <si>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</si>
  <si>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</si>
  <si>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30</t>
  </si>
  <si>
    <t>Г. Бокситогорск, ул. Вишнякова, д. 32</t>
  </si>
  <si>
    <t>Г. Бокситогорск, ул. Заводская, д. 11/2</t>
  </si>
  <si>
    <t>Г. Бокситогорск, ул. Заводская, д. 13/1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</si>
  <si>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</si>
  <si>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</si>
  <si>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</si>
  <si>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</si>
  <si>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</si>
  <si>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</si>
  <si>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</si>
  <si>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</si>
  <si>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</si>
  <si>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</si>
  <si>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</si>
  <si>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</si>
  <si>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</si>
  <si>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</si>
  <si>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</si>
  <si>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</si>
  <si>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</si>
  <si>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</si>
  <si>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</si>
  <si>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</si>
  <si>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</si>
  <si>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Красных Следопытов, д. 1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</si>
  <si>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</si>
  <si>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</si>
  <si>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</si>
  <si>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</si>
  <si>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</si>
  <si>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</si>
  <si>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</si>
  <si>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17</t>
  </si>
  <si>
    <t>Г. Бокситогорск, ул. Павлова, д. 18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</si>
  <si>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</si>
  <si>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</si>
  <si>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</si>
  <si>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</si>
  <si>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</si>
  <si>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</si>
  <si>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</si>
  <si>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</si>
  <si>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</si>
  <si>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</si>
  <si>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</si>
  <si>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</si>
  <si>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</si>
  <si>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</si>
  <si>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</si>
  <si>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</si>
  <si>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</si>
  <si>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</si>
  <si>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</si>
  <si>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</si>
  <si>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</si>
  <si>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</si>
  <si>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</si>
  <si>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</si>
  <si>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</si>
  <si>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</si>
  <si>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</si>
  <si>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</si>
  <si>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</si>
  <si>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</si>
  <si>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</si>
  <si>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</si>
  <si>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</si>
  <si>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</si>
  <si>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</si>
  <si>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</si>
  <si>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</si>
  <si>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</si>
  <si>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</si>
  <si>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</si>
  <si>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</si>
  <si>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4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</si>
  <si>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</si>
  <si>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</si>
  <si>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</si>
  <si>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</si>
  <si>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</si>
  <si>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</si>
  <si>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4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</si>
  <si>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</si>
  <si>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</si>
  <si>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</si>
  <si>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</si>
  <si>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24/8</t>
  </si>
  <si>
    <t>Г. Бокситогорск, ул. Школьная, д. 28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</si>
  <si>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</si>
  <si>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</si>
  <si>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</si>
  <si>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</si>
  <si>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</si>
  <si>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д.15</t>
  </si>
  <si>
    <t>Г. Бокситогорск, ул. Южная, д.15/2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</si>
  <si>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</si>
  <si>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</si>
  <si>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</si>
  <si>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д.7</t>
  </si>
  <si>
    <t>Г. Бокситогорск, ш. Дымское, д. 3</t>
  </si>
  <si>
    <t>Г. Бокситогорск, ш. Дымское, д. 4</t>
  </si>
  <si>
    <t xml:space="preserve">Итого по муниципальному образованию </t>
  </si>
  <si>
    <t>Муниципальное образование Борское сельское поселение</t>
  </si>
  <si>
    <t>Дер. Бор, д. 1</t>
  </si>
  <si>
    <t>Муниципальное образование Город Пикалево</t>
  </si>
  <si>
    <t>Г. Пикалево, микрорайон 6, д. 17</t>
  </si>
  <si>
    <t>Г. Пикалево, микрорайон 6, д. 18</t>
  </si>
  <si>
    <t>Г. Пикалево, пер. 1 Театральный, д. 2</t>
  </si>
  <si>
    <t>Г. Пикалево, ул. Вокзальная, д. 3</t>
  </si>
  <si>
    <t>Г. Пикалево, ул. Вокзальная, д. 7</t>
  </si>
  <si>
    <t>Г. Пикалево, ул. Горняков, д. 2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</si>
  <si>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</si>
  <si>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</si>
  <si>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</si>
  <si>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</si>
  <si>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</si>
  <si>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Металлургов, д. 27</t>
  </si>
  <si>
    <t>Г. Пикалево, ул. Советская, д. 3</t>
  </si>
  <si>
    <t>Г. Пикалево, ул. Советская, д. 30</t>
  </si>
  <si>
    <t>Г. Пикалево, ул. Строительная, д. 18</t>
  </si>
  <si>
    <t>Г. Пикалево, ул. Строительная, д. 22</t>
  </si>
  <si>
    <t>Г. Пикалево, ул. Школьная, д. 17</t>
  </si>
  <si>
    <t>Г. Пикалево, ул. Школьная, д. 50</t>
  </si>
  <si>
    <t>Муниципальное образование Ефимовское городское поселение</t>
  </si>
  <si>
    <t>Г.п. Ефимовский, микрорайон 1, д. 2</t>
  </si>
  <si>
    <t>Г.п. Ефимовский, микрорайон 1, д. 8</t>
  </si>
  <si>
    <t>Г.п. Ефимовский, ул. Красноармейская, д. 17</t>
  </si>
  <si>
    <t>Г.п. Ефимовский, ул. Северная, д. 3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</si>
  <si>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</si>
  <si>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</si>
  <si>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</si>
  <si>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</si>
  <si>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</si>
  <si>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</si>
  <si>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</si>
  <si>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</si>
  <si>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</si>
  <si>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</si>
  <si>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</si>
  <si>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</si>
  <si>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</si>
  <si>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</si>
  <si>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</si>
  <si>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</si>
  <si>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6</t>
  </si>
  <si>
    <t>Пос. Совхозный, д. 1</t>
  </si>
  <si>
    <t>Пос. Совхозный, д. 2</t>
  </si>
  <si>
    <t>Пос. Совхозный, д. 4</t>
  </si>
  <si>
    <t>Пос. Совхозный, д. 5</t>
  </si>
  <si>
    <t>Пос. Совхозный, д. 6</t>
  </si>
  <si>
    <t>Пос. Совхозный, д. 7</t>
  </si>
  <si>
    <t>Итого по Бокситогорскому муниципальному району</t>
  </si>
  <si>
    <t>Волосовский муниципальный район</t>
  </si>
  <si>
    <t>расшифровать</t>
  </si>
  <si>
    <t>Муниципальное образование Бегуницкое сельское поселение</t>
  </si>
  <si>
    <t>Дер. Бегуницы, д. 12</t>
  </si>
  <si>
    <t>Дер. Бегуницы, д. 13</t>
  </si>
  <si>
    <t>электрика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</si>
  <si>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</si>
  <si>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</si>
  <si>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</si>
  <si>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</si>
  <si>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</si>
  <si>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</si>
  <si>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</si>
  <si>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</si>
  <si>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27</t>
  </si>
  <si>
    <t>Эл,ХВС,ГВС,ТС</t>
  </si>
  <si>
    <t>Итого по муниципальному образованию</t>
  </si>
  <si>
    <t>Муниципальное образование Большеврудское сельское поселение</t>
  </si>
  <si>
    <t>Дер. Большая Вруда, д. 1</t>
  </si>
  <si>
    <t>Дер. Большая Вруда, д. 5</t>
  </si>
  <si>
    <t>Муниципальное образование   Волосовское городское поселение</t>
  </si>
  <si>
    <t>Г. Волосово, пр. Вингиссара, д. 101</t>
  </si>
  <si>
    <t>Г. Волосово, пр. Вингиссара, д. 53</t>
  </si>
  <si>
    <t>Г. Волосово, ул. Красногвардейская, д. 7</t>
  </si>
  <si>
    <t>Г. Волосово, ул. Ленинградская, д. 5</t>
  </si>
  <si>
    <t>Г. Волосово, ул. Лесная, д. 12</t>
  </si>
  <si>
    <t>Г. Волосово, ш. Гатчинское, д. 6</t>
  </si>
  <si>
    <t>Муниципальное образование  Губаницкое сельское поселение</t>
  </si>
  <si>
    <t>Пос. Сумино, д. 70</t>
  </si>
  <si>
    <t>Муниципальное образование Изварское сельское поселение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</si>
  <si>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</si>
  <si>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</si>
  <si>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</si>
  <si>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</si>
  <si>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</si>
  <si>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</si>
  <si>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</si>
  <si>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</si>
  <si>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</si>
  <si>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эл.ВО</t>
  </si>
  <si>
    <t>Дер. Извара, ул. ВИЗ, д. 8</t>
  </si>
  <si>
    <t>Муниципальное образование  Каложеское сельское поселение</t>
  </si>
  <si>
    <t>Дер. Глумицы, д. 60</t>
  </si>
  <si>
    <t>Дер. Курковицы, д. 5</t>
  </si>
  <si>
    <t>Дер. Ущевицы, д. 13</t>
  </si>
  <si>
    <t>Дер. Ущевицы, д. 14</t>
  </si>
  <si>
    <t>Дер. Ущевицы, д. 15</t>
  </si>
  <si>
    <t>Дер. Ущевицы, д. 16</t>
  </si>
  <si>
    <t>эл.ТС,ХВС,ГВС</t>
  </si>
  <si>
    <t>Дер. Ущевицы, д. 17</t>
  </si>
  <si>
    <t>Пос. Каложицы, д. 15</t>
  </si>
  <si>
    <t>Муниципальное образование  Кикеринское сельское поселение</t>
  </si>
  <si>
    <t>Пос. Кикерино, пер. Гатчинский, д. 9а</t>
  </si>
  <si>
    <t>Пос. Кикерино, ул. Ломакина, д. 13</t>
  </si>
  <si>
    <t>Пос. Кикерино, ул. Ломакина, д. 21</t>
  </si>
  <si>
    <t>Пос. Кикерино, ул. Ломакина, д. 25</t>
  </si>
  <si>
    <t>Пос. Кикерино, ул. Ломакина, д. 5</t>
  </si>
  <si>
    <t>Пос. Кикерино, ул. Ломакина, д. 9</t>
  </si>
  <si>
    <t>Пос. Кикерино, ш. Гатчинское, д. 21</t>
  </si>
  <si>
    <t>Муниципальное образование  Клопицкое сельское поселение</t>
  </si>
  <si>
    <t>Дер. Клопицы, д. 15</t>
  </si>
  <si>
    <t>Пос. Жилгородок, д. 5</t>
  </si>
  <si>
    <t>Муниципальное образование  Курское сельское поселение</t>
  </si>
  <si>
    <t>Пос. Курск, д. 7</t>
  </si>
  <si>
    <t>Дер. Рабитицы, д. 10</t>
  </si>
  <si>
    <t>Муниципальное образование  Сабское сельское поселение</t>
  </si>
  <si>
    <t>Дер. Большой Сабск, д. 1</t>
  </si>
  <si>
    <t>эл.ТС,ХВС,ВО</t>
  </si>
  <si>
    <t>Дер. Большой Сабск, д. 10</t>
  </si>
  <si>
    <t>Дер. Большой Сабск, д. 11</t>
  </si>
  <si>
    <t>Дер. Большой Сабск, д. 2</t>
  </si>
  <si>
    <t>Дер. Большой Сабск, д. 3</t>
  </si>
  <si>
    <t>Муниципальное образование  Сельцовское сельское поселение</t>
  </si>
  <si>
    <t>Пос. Сельцо, д. 2</t>
  </si>
  <si>
    <t>эл.ТС,ХВС,ГВС,ВО</t>
  </si>
  <si>
    <t>Пос. Сельцо, д. 3</t>
  </si>
  <si>
    <t>Пос. Сельцо, д. 4</t>
  </si>
  <si>
    <t>Итого по Волосовскому муниципальному району</t>
  </si>
  <si>
    <t>нет данных</t>
  </si>
  <si>
    <t>Муниципальное образование Бережковское сельское поселение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</si>
  <si>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</si>
  <si>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</si>
  <si>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</si>
  <si>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</si>
  <si>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</si>
  <si>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</si>
  <si>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</si>
  <si>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</si>
  <si>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</si>
  <si>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</si>
  <si>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</si>
  <si>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</si>
  <si>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</si>
  <si>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</si>
  <si>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</si>
  <si>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</si>
  <si>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просп. Волховский, д. 29</t>
  </si>
  <si>
    <t>Г. Волхов, просп. Волховский, д. 41</t>
  </si>
  <si>
    <t>Г. Волхов, просп. Державина, д. 55</t>
  </si>
  <si>
    <t>Г. Волхов, просп. Кировский, д. 47</t>
  </si>
  <si>
    <t>Г. Волхов, ул. Вали Голубевой, д. 17</t>
  </si>
  <si>
    <t>Г. Волхов, ул. Вали Голубевой, д. 7</t>
  </si>
  <si>
    <t>Г. Волхов, ул. Ломоносова, д. 25</t>
  </si>
  <si>
    <t>Г. Волхов, ул. Молодежная, д. 11</t>
  </si>
  <si>
    <t>Г. Волхов, ул. Молодежная, д. 23б</t>
  </si>
  <si>
    <t>Г. Волхов, ул. Нахимова, д. 5</t>
  </si>
  <si>
    <t>Г. Волхов, ул. Новгородская, д. 12а</t>
  </si>
  <si>
    <t>Г. Волхов, ул. Пирогова, д.5</t>
  </si>
  <si>
    <t>Г. Волхов, ул. Работниц, д. 5</t>
  </si>
  <si>
    <t>Документы поданы в Комиссию для исключения из  региональной программы</t>
  </si>
  <si>
    <t>Г. Волхов, ул. Советская, д. 9</t>
  </si>
  <si>
    <t>Г. Волхов, ул. Фрунзе, д. 7</t>
  </si>
  <si>
    <t>Г. Волхов, ул. Юрия Гагарина, д. 11</t>
  </si>
  <si>
    <t>Г. Волхов, ул. Юрия Гагарина, д. 17</t>
  </si>
  <si>
    <t>Муниципальное образование Иссадское сельское поселение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</si>
  <si>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</si>
  <si>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</si>
  <si>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20</t>
  </si>
  <si>
    <t>Дер. Иссад, микрорайон Центральный, д. 23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</si>
  <si>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</si>
  <si>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</si>
  <si>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</si>
  <si>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</si>
  <si>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</si>
  <si>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</si>
  <si>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</si>
  <si>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</si>
  <si>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</si>
  <si>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</si>
  <si>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</si>
  <si>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</si>
  <si>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</si>
  <si>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</si>
  <si>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</si>
  <si>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</si>
  <si>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</si>
  <si>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Новоладожское городское поселение</t>
  </si>
  <si>
    <t>Г. Новая Ладога, микрорайон В, д. 1</t>
  </si>
  <si>
    <t>Г. Новая Ладога, микрорайон В, д. 14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</si>
  <si>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</si>
  <si>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</si>
  <si>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</si>
  <si>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</si>
  <si>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</si>
  <si>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</si>
  <si>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</si>
  <si>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</si>
  <si>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</si>
  <si>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</si>
  <si>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</si>
  <si>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</si>
  <si>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</si>
  <si>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</si>
  <si>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</si>
  <si>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</si>
  <si>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</si>
  <si>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</si>
  <si>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9</t>
  </si>
  <si>
    <t>Г. Новая Ладога, Наб. Ладожской Флотилии, д. 13</t>
  </si>
  <si>
    <t>Г. Новая Ладога, Наб. Ладожской Флотилии, д. 14</t>
  </si>
  <si>
    <t>Г. Новая Ладога, Наб. Ладожской Флотилии, д. 18</t>
  </si>
  <si>
    <t>Г. Новая Ладога, Наб. Ладожской Флотилии, д. 22</t>
  </si>
  <si>
    <t>Г. Новая Ладога, Наб. Ладожской Флотилии, д. 24</t>
  </si>
  <si>
    <t>Г. Новая Ладога, Наб. Ладожской Флотилии, д. 38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</si>
  <si>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</si>
  <si>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</si>
  <si>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</si>
  <si>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</si>
  <si>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</si>
  <si>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</si>
  <si>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</si>
  <si>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</si>
  <si>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</si>
  <si>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Рыбацкий, д. 3</t>
  </si>
  <si>
    <t>Г. Новая Ладога, пер. Суворова, д. 26</t>
  </si>
  <si>
    <t>Г. Новая Ладога, пер. Суворова, д. 33</t>
  </si>
  <si>
    <t>Г. Новая Ладога, просп. К. Маркса, д. 19/4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</si>
  <si>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</si>
  <si>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</si>
  <si>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</si>
  <si>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</si>
  <si>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</si>
  <si>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</si>
  <si>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Г. Новая Ладога, просп. К. Маркса, д. 58/1</t>
  </si>
  <si>
    <t xml:space="preserve"> 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</si>
  <si>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</si>
  <si>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</si>
  <si>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</si>
  <si>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</si>
  <si>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</si>
  <si>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</si>
  <si>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</si>
  <si>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</si>
  <si>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</si>
  <si>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</si>
  <si>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</si>
  <si>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18/8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</si>
  <si>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</si>
  <si>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</si>
  <si>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</si>
  <si>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</si>
  <si>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</si>
  <si>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</si>
  <si>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</si>
  <si>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</si>
  <si>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</si>
  <si>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</si>
  <si>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</si>
  <si>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</si>
  <si>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</si>
  <si>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</si>
  <si>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</si>
  <si>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</si>
  <si>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</si>
  <si>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</si>
  <si>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</si>
  <si>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</si>
  <si>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7/9</t>
  </si>
  <si>
    <t>Г. Новая Ладога, ул. М. Горького, д. 7А</t>
  </si>
  <si>
    <t>Г. Новая Ладога, ул. М. Горького, д. 9/6</t>
  </si>
  <si>
    <t>Г. Новая Ладога, ул. Новая Слобода, д. 2</t>
  </si>
  <si>
    <t>Г. Новая Ладога, ул. Новая Слобода, д. 4</t>
  </si>
  <si>
    <t>Г. Новая Ладога, ул. Новая Слобода, д. 6</t>
  </si>
  <si>
    <t>Г. Новая Ладога, ул. Новый Канал, д. 10</t>
  </si>
  <si>
    <t>Г. Новая Ладога, ул. Пионерская, д. 11/33</t>
  </si>
  <si>
    <t>Г. Новая Ладога, ул. Пионерская, д. 16А</t>
  </si>
  <si>
    <t>Г. Новая Ладога, ул. Пионерская, д. 18/А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</si>
  <si>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</si>
  <si>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</si>
  <si>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</si>
  <si>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</si>
  <si>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</si>
  <si>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</si>
  <si>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Г. Новая Ладога, ул. Пролетарский канал, д. 14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</si>
  <si>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</si>
  <si>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</si>
  <si>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</si>
  <si>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</si>
  <si>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</si>
  <si>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</si>
  <si>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</si>
  <si>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</si>
  <si>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</si>
  <si>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</si>
  <si>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</si>
  <si>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</si>
  <si>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</si>
  <si>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</si>
  <si>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4</t>
  </si>
  <si>
    <t>Г. Новая Ладога, ул. Староладожская, д. 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</si>
  <si>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</si>
  <si>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</si>
  <si>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</si>
  <si>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</si>
  <si>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</si>
  <si>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</si>
  <si>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</si>
  <si>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</si>
  <si>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</si>
  <si>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Суворова, д. 8А</t>
  </si>
  <si>
    <t>Г. Новая Ладога, ул. Урицкого, д. 10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</si>
  <si>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</si>
  <si>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</si>
  <si>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</si>
  <si>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</si>
  <si>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</si>
  <si>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</si>
  <si>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</si>
  <si>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</si>
  <si>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Вокзальная, д. 77</t>
  </si>
  <si>
    <t>С. Паша, ул. Набережная, д. 52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</si>
  <si>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</si>
  <si>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</si>
  <si>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</si>
  <si>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</si>
  <si>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121</t>
  </si>
  <si>
    <t>С. Паша, ул. Советская, д. 128</t>
  </si>
  <si>
    <t>С. Паша, ул. Советская, д. 194</t>
  </si>
  <si>
    <t>С. Паша, ул. Советская, д. 196</t>
  </si>
  <si>
    <t>С. Паша, ул. Советская, д. 73</t>
  </si>
  <si>
    <t>С. Паша, ул. Советская, д. 95</t>
  </si>
  <si>
    <t>С. Паша, ул. Советская, д. 98</t>
  </si>
  <si>
    <t>С. Паша, ул. Школьная, д. 2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</si>
  <si>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</si>
  <si>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</si>
  <si>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</si>
  <si>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3</t>
  </si>
  <si>
    <t>Дер. Потанино, д. 5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</si>
  <si>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</si>
  <si>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</si>
  <si>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</si>
  <si>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</si>
  <si>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36</t>
  </si>
  <si>
    <t>Пос. Свирица, ул. Новая Свирица, д. 39</t>
  </si>
  <si>
    <t>Пос. Свирица, ул. Птичий остров, д. 22</t>
  </si>
  <si>
    <t>Муниципальное образование Селивановское сельское поселение</t>
  </si>
  <si>
    <t>Пос. Селиваново, ул. Первомайская, д. 12</t>
  </si>
  <si>
    <t>Пос. Селиваново, ул. Первомайская, д. 19</t>
  </si>
  <si>
    <t>Пос. Селиваново, ул. Первомайская, д. 8</t>
  </si>
  <si>
    <t>Пос. Селиваново, ул. Торфяников, д. 12</t>
  </si>
  <si>
    <t>Муниципальное образование Староладожское сельское поселение</t>
  </si>
  <si>
    <t>С. Старая Ладога, просп. Волховский, д. 23</t>
  </si>
  <si>
    <t>Муниципальное образование Сясьстройское городское поселение</t>
  </si>
  <si>
    <t>Г. Сясьстрой, ул. 1 Мая, д. 35</t>
  </si>
  <si>
    <t>Г. Сясьстрой, ул. 1 Мая, д. 37</t>
  </si>
  <si>
    <t>Г. Сясьстрой, ул. Петра Лаврова, д. 4</t>
  </si>
  <si>
    <t>Г. Сясьстрой, ул. Петрозаводская, д. 5</t>
  </si>
  <si>
    <t>Г. Сясьстрой, ул. Советская, д. 24</t>
  </si>
  <si>
    <t>Г. Сясьстрой, ул. Советская, д. 26</t>
  </si>
  <si>
    <t>Г. Сясьстрой, ул. Советская, д. 28</t>
  </si>
  <si>
    <t>Г. Сясьстрой, ул. Строителей, д. 9</t>
  </si>
  <si>
    <t>Пос. Аврово, ул. Набережная, д. 1</t>
  </si>
  <si>
    <t>Пос. Аврово, ул. Центральная, д. 4</t>
  </si>
  <si>
    <t>Муниципальное образование Хваловское сельское поселение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</si>
  <si>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</si>
  <si>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</si>
  <si>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</si>
  <si>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</si>
  <si>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</si>
  <si>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</si>
  <si>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</si>
  <si>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Итого по Волховскому району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</si>
  <si>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</si>
  <si>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</si>
  <si>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</si>
  <si>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</si>
  <si>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</si>
  <si>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</si>
  <si>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</si>
  <si>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</si>
  <si>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</si>
  <si>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</si>
  <si>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</si>
  <si>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</si>
  <si>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</si>
  <si>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</si>
  <si>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</si>
  <si>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</si>
  <si>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</si>
  <si>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</si>
  <si>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микрорайон Сертолово-2, ул. Березовая, д. 11</t>
  </si>
  <si>
    <t xml:space="preserve">Г. Сертолово, микрорайон Сертолово-1, ул. Заречная, д. 11  </t>
  </si>
  <si>
    <t>Г. Сертолово, микрорайон Сертолово-1, ул. Заречная, д. 11, корп. 2</t>
  </si>
  <si>
    <t xml:space="preserve">Г. Сертолово, микрорайон Сертолово-1, ул. Заречная, д. 13  </t>
  </si>
  <si>
    <t xml:space="preserve">Г. Сертолово, микрорайон Сертолово-1, ул. Заречная, д. 15  </t>
  </si>
  <si>
    <t xml:space="preserve">Г. Сертолово, микрорайон Сертолово-1, ул. Заречная, д. 17  </t>
  </si>
  <si>
    <t xml:space="preserve">Г. Сертолово, микрорайон Сертолово-1, ул. Заречная, д. 5  </t>
  </si>
  <si>
    <t>Г. Сертолово, микрорайон Сертолово-1, ул. Заречная, д. 5, корп. 2</t>
  </si>
  <si>
    <t xml:space="preserve">Г. Сертолово, микрорайон Сертолово-1, ул. Заречная, д. 7  </t>
  </si>
  <si>
    <t>Г. Сертолово, микрорайон Сертолово-1, ул. Заречная, д. 7, корп. 2</t>
  </si>
  <si>
    <t xml:space="preserve">Г. Сертолово, микрорайон Сертолово-1, ул. Заречная, д. 9  </t>
  </si>
  <si>
    <t>Г. Сертолово, микрорайон Сертолово-1, ул. Заречная, д. 9, корп. 2</t>
  </si>
  <si>
    <t xml:space="preserve">Г. Сертолово, микрорайон Сертолово-1, ул. Индустриальная, д. 1  </t>
  </si>
  <si>
    <t>Г. Сертолово, микрорайон Сертолово-1, ул. Кленовая, д. 5, корп. 1</t>
  </si>
  <si>
    <t>Г. Сертолово, микрорайон Сертолово-1, ул. Кленовая, д. 5, корп. 4</t>
  </si>
  <si>
    <t xml:space="preserve">Г. Сертолово, микрорайон Сертолово-1, ул. Ларина, д. 1  </t>
  </si>
  <si>
    <t xml:space="preserve">Г. Сертолово, микрорайон Сертолово-1, ул. Ларина, д. 2  </t>
  </si>
  <si>
    <t xml:space="preserve">Г. Сертолово, микрорайон Сертолово-1, ул. Ларина, д. 3  </t>
  </si>
  <si>
    <t xml:space="preserve">Г. Сертолово, микрорайон Сертолово-1, ул. Ларина, д. 3а  </t>
  </si>
  <si>
    <t xml:space="preserve">Г. Сертолово, микрорайон Сертолово-1, ул. Ларина, д. 4  </t>
  </si>
  <si>
    <t xml:space="preserve">Г. Сертолово, микрорайон Сертолово-1, ул. Ларина, д. 5  </t>
  </si>
  <si>
    <t xml:space="preserve">Г. Сертолово, микрорайон Сертолово-1, ул. Ларина, д. 6  </t>
  </si>
  <si>
    <t xml:space="preserve">Г. Сертолово, микрорайон Сертолово-1, ул. Молодежная, д. 4  </t>
  </si>
  <si>
    <t xml:space="preserve">Г. Сертолово, микрорайон Сертолово-1, ул. Молодцова, д. 6  </t>
  </si>
  <si>
    <t>Г. Сертолово, микрорайон Сертолово-1, ул. Молодцова, д. 7, корп. 2</t>
  </si>
  <si>
    <t xml:space="preserve">Г. Сертолово, микрорайон Сертолово-1, ул. Парковая, д. 1  </t>
  </si>
  <si>
    <t xml:space="preserve">Г. Сертолово, микрорайон Сертолово-1, ул. Сосновая, д. 1  </t>
  </si>
  <si>
    <t xml:space="preserve">Г. Сертолово, микрорайон Сертолово-1, ул. Сосновая, д. 2  </t>
  </si>
  <si>
    <t>Г. Сертолово, микрорайон Сертолово-1, ул. Центральная, д. 7, корп. 2</t>
  </si>
  <si>
    <t xml:space="preserve">Г. Сертолово, микрорайон Сертолово-1, ул. Школьная, д. 1  </t>
  </si>
  <si>
    <t xml:space="preserve">Г. Сертолово, микрорайон Сертолово-1, ул. Школьная, д. 3  </t>
  </si>
  <si>
    <t xml:space="preserve">Г. Сертолово, микрорайон Сертолово-1, ул. Школьная, д. 5  </t>
  </si>
  <si>
    <t xml:space="preserve">Г. Сертолово, микрорайон Сертолово-1, ш. Восточно-Выборгское, д. 1  </t>
  </si>
  <si>
    <t>Г. Сертолово, микрорайон Сертолово-1, ш. Восточно-Выборгское, д. 11</t>
  </si>
  <si>
    <t>Г. Сертолово, микрорайон Сертолово-1, ш. Восточно-Выборгское, д. 2</t>
  </si>
  <si>
    <t>Муниципальное образование Агалатовское сельское поселение</t>
  </si>
  <si>
    <t xml:space="preserve">Дер. Агалатово, д. 111  </t>
  </si>
  <si>
    <t xml:space="preserve">Дер. Агалатово, д. 112  </t>
  </si>
  <si>
    <t xml:space="preserve">Дер. Агалатово, д. 113  </t>
  </si>
  <si>
    <t xml:space="preserve">Дер. Агалатово, д. 114  </t>
  </si>
  <si>
    <t xml:space="preserve">Дер. Агалатово, д. 115  </t>
  </si>
  <si>
    <t xml:space="preserve">Дер. Агалатово, д. 119  </t>
  </si>
  <si>
    <t xml:space="preserve">Дер. Агалатово, д. 127  </t>
  </si>
  <si>
    <t xml:space="preserve">Дер. Агалатово, д. 128  </t>
  </si>
  <si>
    <t xml:space="preserve">Дер. Агалатово, д. 97  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</si>
  <si>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</si>
  <si>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</si>
  <si>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</si>
  <si>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</si>
  <si>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</si>
  <si>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</si>
  <si>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</si>
  <si>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</si>
  <si>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</si>
  <si>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</si>
  <si>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</si>
  <si>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</si>
  <si>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</si>
  <si>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</si>
  <si>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</si>
  <si>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</si>
  <si>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</si>
  <si>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</si>
  <si>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</si>
  <si>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Пос. Бугры, пер. Средний, д. 3  </t>
  </si>
  <si>
    <t>Пос. Бугры, ул. Парковая, д. 16А</t>
  </si>
  <si>
    <t>Муниципальное образование Город Всеволожск</t>
  </si>
  <si>
    <t xml:space="preserve">Г. Всеволожск, просп. Всеволожский, д. 15  </t>
  </si>
  <si>
    <t xml:space="preserve">Г. Всеволожск, ул. 1 линия, д. 25-г  </t>
  </si>
  <si>
    <t>Г. Всеволожск, ул. Гоголя, д. 43</t>
  </si>
  <si>
    <t xml:space="preserve">Г. Всеволожск, ул. Магистральная, д. 2  </t>
  </si>
  <si>
    <t>Г. Всеволожск, ул. Парковая, д. 11</t>
  </si>
  <si>
    <t>Г. Всеволожск, ул. Советская, д. 70А</t>
  </si>
  <si>
    <t xml:space="preserve">Г. Всеволожск, ш. Колтушское, д. 78  </t>
  </si>
  <si>
    <t xml:space="preserve">Г.п. Дубровка, ул. Ленинградская, д. 1 </t>
  </si>
  <si>
    <t>Муниципальное образование Дубровское городское поселение</t>
  </si>
  <si>
    <t xml:space="preserve">Г.п. Дубровка, ул. Ленинградская, д. 2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</si>
  <si>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</si>
  <si>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</si>
  <si>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</si>
  <si>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</si>
  <si>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</si>
  <si>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</si>
  <si>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</si>
  <si>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</si>
  <si>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</si>
  <si>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</si>
  <si>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</si>
  <si>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</si>
  <si>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</si>
  <si>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</si>
  <si>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</si>
  <si>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</si>
  <si>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 xml:space="preserve">Г.п. Дубровка, ул. Советская, д. 4 </t>
  </si>
  <si>
    <t xml:space="preserve">Г.п. Дубровка, ул. Томилина, д. 1 </t>
  </si>
  <si>
    <t xml:space="preserve">Г.п. Дубровка, ул. Школьная, д. 14 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</si>
  <si>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</si>
  <si>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</si>
  <si>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</si>
  <si>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</si>
  <si>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</si>
  <si>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</si>
  <si>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</si>
  <si>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</si>
  <si>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</si>
  <si>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</si>
  <si>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</si>
  <si>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</si>
  <si>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</si>
  <si>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</si>
  <si>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</si>
  <si>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</si>
  <si>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</si>
  <si>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42</t>
  </si>
  <si>
    <t>Дер. Мяглово, ул. Полевая, д. 1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</si>
  <si>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</si>
  <si>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</si>
  <si>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</si>
  <si>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</si>
  <si>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</si>
  <si>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</si>
  <si>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</si>
  <si>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</si>
  <si>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</si>
  <si>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</si>
  <si>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20</t>
  </si>
  <si>
    <t>Дер. Старая, ул. Верхняя, д. 16</t>
  </si>
  <si>
    <t>Пос. Воейково, д. 7</t>
  </si>
  <si>
    <t>Пос. Воейково, д. 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</si>
  <si>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</si>
  <si>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</si>
  <si>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</si>
  <si>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</si>
  <si>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</si>
  <si>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</si>
  <si>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</si>
  <si>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</si>
  <si>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</si>
  <si>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</si>
  <si>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</si>
  <si>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</si>
  <si>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</si>
  <si>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</si>
  <si>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</si>
  <si>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</si>
  <si>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</si>
  <si>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</si>
  <si>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</si>
  <si>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</si>
  <si>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</si>
  <si>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</si>
  <si>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</si>
  <si>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4  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</si>
  <si>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</si>
  <si>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</si>
  <si>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</si>
  <si>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</si>
  <si>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Победы, д. 11  </t>
  </si>
  <si>
    <t>Муниципальное образование Куйвозовское сельское поселение</t>
  </si>
  <si>
    <t xml:space="preserve">Дер. Гарболово, д. 1/34 </t>
  </si>
  <si>
    <t xml:space="preserve">Дер. Гарболово, д. 1/35 </t>
  </si>
  <si>
    <t>Муниципальное образование Лесколовское сельское поселение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</si>
  <si>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</si>
  <si>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</si>
  <si>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</si>
  <si>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</si>
  <si>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Н. Осельки, д. 34</t>
  </si>
  <si>
    <t>Пос. Осельки, д. 2</t>
  </si>
  <si>
    <t>Пос. Осельки, д. 3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</si>
  <si>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</si>
  <si>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</si>
  <si>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</si>
  <si>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</si>
  <si>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ул. Жука, д. 2</t>
  </si>
  <si>
    <t>Г.п. им. Морозова, ул. Жука, д. 4</t>
  </si>
  <si>
    <t>Г.п. им. Морозова, Площадь Культуры, д. 1</t>
  </si>
  <si>
    <t>Г.п. им. Морозова, Площадь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</si>
  <si>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</si>
  <si>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</si>
  <si>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</si>
  <si>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</si>
  <si>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</si>
  <si>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</si>
  <si>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</si>
  <si>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</si>
  <si>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</si>
  <si>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</si>
  <si>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</si>
  <si>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</si>
  <si>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</si>
  <si>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</si>
  <si>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</si>
  <si>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</si>
  <si>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</si>
  <si>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</si>
  <si>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</si>
  <si>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</si>
  <si>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</si>
  <si>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</si>
  <si>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</si>
  <si>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</si>
  <si>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</si>
  <si>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</si>
  <si>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</si>
  <si>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</si>
  <si>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</si>
  <si>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</si>
  <si>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6</t>
  </si>
  <si>
    <t>Г.п. им. Морозова, ул. Пионерская, д. 8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</si>
  <si>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</si>
  <si>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</si>
  <si>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</si>
  <si>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</si>
  <si>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</si>
  <si>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</si>
  <si>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</si>
  <si>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</si>
  <si>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</si>
  <si>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</si>
  <si>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</si>
  <si>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</si>
  <si>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</si>
  <si>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</si>
  <si>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</si>
  <si>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</si>
  <si>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</si>
  <si>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</si>
  <si>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</si>
  <si>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</si>
  <si>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</si>
  <si>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</si>
  <si>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</si>
  <si>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</si>
  <si>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Романовское  сельское поселение</t>
  </si>
  <si>
    <t>Пос. Романовка, д. 12</t>
  </si>
  <si>
    <t>Пос. Романовка, д. 31</t>
  </si>
  <si>
    <t>Пос. Углово, д. 5</t>
  </si>
  <si>
    <t>Муниципальное образование Свердловское городское поселение</t>
  </si>
  <si>
    <t>Пос. им. Свердлова, микрорайон 1, д. 2</t>
  </si>
  <si>
    <t>Пос. им. Свердлова, микрорайон 1, д. 39</t>
  </si>
  <si>
    <t>Пос. им. Свердлова, микрорайон 1, д. 4</t>
  </si>
  <si>
    <t>Пос. им. Свердлова, микрорайон 1, д. 5</t>
  </si>
  <si>
    <t>Пос. им. Свердлова, микрорайон 2, д. 49</t>
  </si>
  <si>
    <t>Муниципальное образование Токсовское городское поселение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</si>
  <si>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</si>
  <si>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</si>
  <si>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</si>
  <si>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</si>
  <si>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</si>
  <si>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</si>
  <si>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Центральная, д. 1</t>
  </si>
  <si>
    <t>Г.п. Токсово, ул. Гагарина, д. 30</t>
  </si>
  <si>
    <t>Г.п. Токсово, ул. Гагарина, д. 32</t>
  </si>
  <si>
    <t>Г.п. Токсово, ул. Дорожников, д. 5</t>
  </si>
  <si>
    <t>Г.п. Токсово, ул. Дорожников, д. 7</t>
  </si>
  <si>
    <t>Г.п. Токсово, ул. Инженерная, д. 1а</t>
  </si>
  <si>
    <t>Г.п. Токсово, ул. Инженерная, д. 2</t>
  </si>
  <si>
    <t>Г.п. Токсово, ул. Инженерная, д. 2а</t>
  </si>
  <si>
    <t>Г.п. Токсово, ул. Привокзальная, д. 12</t>
  </si>
  <si>
    <t>Г.п. Токсово, ул. Привокзальная, д. 13</t>
  </si>
  <si>
    <t>Г.п. Токсово, ул. Привокзальная, д. 14</t>
  </si>
  <si>
    <t>Г.п. Токсово, ул. Привокзальная, д. 15</t>
  </si>
  <si>
    <t>Г.п. Токсово, ул. Привокзальная, д. 16</t>
  </si>
  <si>
    <t>Г.п. Токсово, ул. Привокзальная, д. 17</t>
  </si>
  <si>
    <t>Г.п. Токсово, ул. Привокзальная, д. 19</t>
  </si>
  <si>
    <t>Г.п. Токсово, ул. Привокзальная, д. 20</t>
  </si>
  <si>
    <t>Г.п. Токсово, ул. Привокзальная, д. 22</t>
  </si>
  <si>
    <t>Г.п. Токсово, ул. Привокзальная, д. 4</t>
  </si>
  <si>
    <t>Выборгский район</t>
  </si>
  <si>
    <t>Муниципальное образование Высоцкое городское поселение</t>
  </si>
  <si>
    <t>Г. Высоцк, ул. Кировская, д. 2</t>
  </si>
  <si>
    <t>Г. Высоцк, ул. Кировская, д. 5</t>
  </si>
  <si>
    <t>Муниципальное образование Город Выборг</t>
  </si>
  <si>
    <t xml:space="preserve">Г. Выборг, бул. Кутузова, д. 10а  </t>
  </si>
  <si>
    <t xml:space="preserve">Г. Выборг, бул. Кутузова, д. 16  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</si>
  <si>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</si>
  <si>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</si>
  <si>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</si>
  <si>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</si>
  <si>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 xml:space="preserve">Г. Выборг, бул. Кутузова, д. 41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</si>
  <si>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</si>
  <si>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</si>
  <si>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</si>
  <si>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40-летия ВЛКСМ, д. 7  </t>
  </si>
  <si>
    <t xml:space="preserve">Г. Выборг, ул. Морская Набережная, д. 24  </t>
  </si>
  <si>
    <t xml:space="preserve">Г. Выборг, ул. Морская Набережная, д. 24а  </t>
  </si>
  <si>
    <t xml:space="preserve">Г. Выборг, ул. Морская Набережная, д. 30  </t>
  </si>
  <si>
    <t xml:space="preserve">Г. Выборг, ул. Морская Набережная, д. 36  </t>
  </si>
  <si>
    <t xml:space="preserve">Г. Выборг, ул. Морская Набережная, д. 38  </t>
  </si>
  <si>
    <t xml:space="preserve">Г. Выборг, ул. Морская Набережная, д. 7  </t>
  </si>
  <si>
    <t xml:space="preserve">Г. Выборг, пер. Дорожный, д. 1  </t>
  </si>
  <si>
    <t xml:space="preserve">Г. Выборг, пер. Дорожный, д. 6  </t>
  </si>
  <si>
    <t xml:space="preserve">Г. Выборг, пер. Малый, д. 2  </t>
  </si>
  <si>
    <t>Г. Выборг, пер. Рыбный, д. 2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</si>
  <si>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</si>
  <si>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</si>
  <si>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</si>
  <si>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</si>
  <si>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</si>
  <si>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</si>
  <si>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Школьная, д. 3/3а  </t>
  </si>
  <si>
    <t xml:space="preserve">Г. Выборг, пер. Школьный, д. 6  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</si>
  <si>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</si>
  <si>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</si>
  <si>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</si>
  <si>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2а  </t>
  </si>
  <si>
    <t xml:space="preserve">Г. Выборг, просп. Ленина, д. 4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</si>
  <si>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</si>
  <si>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</si>
  <si>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</si>
  <si>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</si>
  <si>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</si>
  <si>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</si>
  <si>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</si>
  <si>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</si>
  <si>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</si>
  <si>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31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</si>
  <si>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</si>
  <si>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</si>
  <si>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10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</si>
  <si>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</si>
  <si>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</si>
  <si>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</si>
  <si>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</si>
  <si>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</si>
  <si>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3  </t>
  </si>
  <si>
    <t xml:space="preserve">Г. Выборг, просп. Суворова, д. 9  </t>
  </si>
  <si>
    <t>г. Выборг, пр-т Ленина, д. 18</t>
  </si>
  <si>
    <t xml:space="preserve">Г. Выборг, ул. 1 Бригадная, д. 21  </t>
  </si>
  <si>
    <t xml:space="preserve">Г. Выборг, ул. 1 Бригадная, д. 8  </t>
  </si>
  <si>
    <t>Г. Выборг, ул. 2 Бригадная, д. 22</t>
  </si>
  <si>
    <t xml:space="preserve">Г. Выборг, ул. 2 Бригадная, д. 27  </t>
  </si>
  <si>
    <t xml:space="preserve">Г. Выборг, ул. 2 Бригадная, д. 4  </t>
  </si>
  <si>
    <t>Г. Выборг, ул. 2 Южная, д. 7</t>
  </si>
  <si>
    <t xml:space="preserve">Г. Выборг, ул. 3 Бригадная, д. 15  </t>
  </si>
  <si>
    <t>Г. Выборг, ул. 3 Бригадная, д. 31</t>
  </si>
  <si>
    <t xml:space="preserve">Г. Выборг, ул. 3 Бригадная, д. 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</si>
  <si>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</si>
  <si>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</si>
  <si>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</si>
  <si>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Андреевская, д. 4  </t>
  </si>
  <si>
    <t>Г. Выборг, ул. Андреевская, д. 9</t>
  </si>
  <si>
    <t>Г. Выборг, ул. Андреевская, д.10</t>
  </si>
  <si>
    <t xml:space="preserve">Г. Выборг, ул. Ардашева, д. 5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</si>
  <si>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</si>
  <si>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</si>
  <si>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</si>
  <si>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Большая Гвардейская, д. 2  </t>
  </si>
  <si>
    <t>Г. Выборг, ул. Большая Гвардейская, д.3</t>
  </si>
  <si>
    <t>Г. Выборг, ул. Большая Каменная, д. 3в</t>
  </si>
  <si>
    <t xml:space="preserve">Г. Выборг, ул. Михаила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</si>
  <si>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</si>
  <si>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</si>
  <si>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</si>
  <si>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20  </t>
  </si>
  <si>
    <t>Г. Выборг, ул. Весенняя Тропа, д. 7</t>
  </si>
  <si>
    <t xml:space="preserve">Г. Выборг, ул. Весенняя Тропа, д. 8  </t>
  </si>
  <si>
    <t xml:space="preserve">Г. Выборг, ул. Весенняя Тропа, д. 9  </t>
  </si>
  <si>
    <t>Г. Выборг, ул. Водной Заставы, д. 5</t>
  </si>
  <si>
    <t xml:space="preserve">Г. Выборг, ул. Водной Заставы, д. 6  </t>
  </si>
  <si>
    <t xml:space="preserve">Г. Выборг, ул. Вокзальная, д. 13  </t>
  </si>
  <si>
    <t>Г. Выборг, ул. Восстановительная, д. 19</t>
  </si>
  <si>
    <t>Г. Выборг, ул. Выборгская, д. 1</t>
  </si>
  <si>
    <t xml:space="preserve">Г. Выборг, ул. Выборгская, д. 13  </t>
  </si>
  <si>
    <t xml:space="preserve">Г. Выборг, ул. Выборгская, д. 17  </t>
  </si>
  <si>
    <t>Г. Выборг, ул. Выборгская, д. 18</t>
  </si>
  <si>
    <t xml:space="preserve">Г. Выборг, ул. Выборгская, д. 1а  </t>
  </si>
  <si>
    <t>Г. Выборг, ул. Выборгская, д. 20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</si>
  <si>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</si>
  <si>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</si>
  <si>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</si>
  <si>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</si>
  <si>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21  </t>
  </si>
  <si>
    <t>Г. Выборг, ул. Гагарина, д. 29а</t>
  </si>
  <si>
    <t xml:space="preserve">Г. Выборг, ул. Гагарина, д. 7  </t>
  </si>
  <si>
    <t xml:space="preserve">Г. Выборг, ул. Героев, д. 26  </t>
  </si>
  <si>
    <t>Г. Выборг, ул. Горная, д. 9</t>
  </si>
  <si>
    <t>Г. Выборг, ул. Госпитальная, д. 2</t>
  </si>
  <si>
    <t xml:space="preserve">Г. Выборг, ул. Данилова, д. 1  </t>
  </si>
  <si>
    <t xml:space="preserve">Г. Выборг, ул. Димитрова, д. 3  </t>
  </si>
  <si>
    <t xml:space="preserve">Г. Выборг, ул. Димитрова, д. 5б  </t>
  </si>
  <si>
    <t>Г. Выборг, ул. Димитрова, д. 9</t>
  </si>
  <si>
    <t>Г. Выборг, ул. Дремучий Остров, д. 4</t>
  </si>
  <si>
    <t xml:space="preserve">Г. Выборг, ул. Железнодорожная, д. 1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</si>
  <si>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</si>
  <si>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</si>
  <si>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Зеленая Аллея, д. 17  </t>
  </si>
  <si>
    <t>Г. Выборг, ул. Зеленая Аллея, д. 7</t>
  </si>
  <si>
    <t>Г. Выборг, ул. Зеленая Аллея, д. 9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</si>
  <si>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</si>
  <si>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</si>
  <si>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</si>
  <si>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>Г. Выборг, ул. Кировские Дачи, д. 3а</t>
  </si>
  <si>
    <t xml:space="preserve">Г. Выборг, ул. Комсомольская, д. 11  </t>
  </si>
  <si>
    <t xml:space="preserve">Г. Выборг, ул. Кооперативная, д. 5  </t>
  </si>
  <si>
    <t>Г. Выборг, ул. Кооперативная, д. 7</t>
  </si>
  <si>
    <t>Г. Выборг, ул. Красина, д. 2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</si>
  <si>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</si>
  <si>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</si>
  <si>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</si>
  <si>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</si>
  <si>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>Г. Выборг, ул. Краснофлотская, д. 3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</si>
  <si>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</si>
  <si>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</si>
  <si>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17  </t>
  </si>
  <si>
    <t xml:space="preserve">Г. Выборг, ул. Крепостная, д. 18  </t>
  </si>
  <si>
    <t>Г. Выборг, ул. Крепостная, д. 18а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</si>
  <si>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</si>
  <si>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</si>
  <si>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</si>
  <si>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</si>
  <si>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</si>
  <si>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</si>
  <si>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</si>
  <si>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47  </t>
  </si>
  <si>
    <t xml:space="preserve">Г. Выборг, ул. Крепостная, д. 49  </t>
  </si>
  <si>
    <t>Г. Выборг, ул. Крепостная, д. 5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</si>
  <si>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</si>
  <si>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</si>
  <si>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</si>
  <si>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>Г. Выборг, ул. Крепостная, д. 8</t>
  </si>
  <si>
    <t>Г. Выборг, ул. Крепостная, д. 8а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</si>
  <si>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</si>
  <si>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</si>
  <si>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</si>
  <si>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</si>
  <si>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</si>
  <si>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</si>
  <si>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</si>
  <si>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 xml:space="preserve">Г. Выборг, ул. Куйбышева, д. 4а  </t>
  </si>
  <si>
    <t>Г. Выборг, ул. Куйбышева, д. 7</t>
  </si>
  <si>
    <t xml:space="preserve">Г. Выборг, ул. Майорова, д. 2  </t>
  </si>
  <si>
    <t xml:space="preserve">Г. Выборг, ул. Майорова, д. 4  </t>
  </si>
  <si>
    <t xml:space="preserve">Г. Выборг, ул. Мира, д. 16  </t>
  </si>
  <si>
    <t xml:space="preserve">Г. Выборг, ул. Мира, д. 16а  </t>
  </si>
  <si>
    <t xml:space="preserve">Г. Выборг, ул. Мира, д. 24а  </t>
  </si>
  <si>
    <t xml:space="preserve">Г. Выборг, ул. Мира, д. 3  </t>
  </si>
  <si>
    <t xml:space="preserve">Г. Выборг, ул. Мира, д. 7а  </t>
  </si>
  <si>
    <t xml:space="preserve">Г. Выборг, ул. Мира, д. 9  </t>
  </si>
  <si>
    <t xml:space="preserve">Г. Выборг, ул. Некрасова, д. 1  </t>
  </si>
  <si>
    <t xml:space="preserve">Г. Выборг, ул. Некрасова, д. 10  </t>
  </si>
  <si>
    <t xml:space="preserve">Г. Выборг, ул. Некрасова, д. 19  </t>
  </si>
  <si>
    <t xml:space="preserve">Г. Выборг, ул. Некрасова, д. 3  </t>
  </si>
  <si>
    <t xml:space="preserve">Г. Выборг, ул. Некрасова, д. 31  </t>
  </si>
  <si>
    <t>Г. Выборг, ул. Некрасова, д. 4</t>
  </si>
  <si>
    <t xml:space="preserve">Г. Выборг, ул. Некрасова, д. 6  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</si>
  <si>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</si>
  <si>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</si>
  <si>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</si>
  <si>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>Г. Выборг, ул. Новокарьерная, д. 17</t>
  </si>
  <si>
    <t>Г. Выборг, ул. Новокарьерная, д. 5</t>
  </si>
  <si>
    <t xml:space="preserve">Г. Выборг, ул. Новопоселковая, д. 6  </t>
  </si>
  <si>
    <t>Г. Выборг, ул. Октябрьская, д. 26а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</si>
  <si>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</si>
  <si>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</si>
  <si>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</si>
  <si>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</si>
  <si>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</si>
  <si>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>Г. Выборг, ул. Островная, д. 6</t>
  </si>
  <si>
    <t>Г. Выборг, ул. Островная, д. 8</t>
  </si>
  <si>
    <t>Г. Выборг, ул. Офицерская, д. 13</t>
  </si>
  <si>
    <t>Г. Выборг, ул. Первомайская, д. 10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</si>
  <si>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</si>
  <si>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</si>
  <si>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Петровская, д. 2  </t>
  </si>
  <si>
    <t>Г. Выборг, ул. Петровская, д. 4</t>
  </si>
  <si>
    <t>Г. Выборг, ул. Подгорная, д. 12</t>
  </si>
  <si>
    <t>Г. Выборг, ул. Приморская, д. 43</t>
  </si>
  <si>
    <t xml:space="preserve">Г. Выборг, ул. Приморская, д. 46  </t>
  </si>
  <si>
    <t xml:space="preserve">Г. Выборг, ул. Приморская, д. 64  </t>
  </si>
  <si>
    <t xml:space="preserve">Г. Выборг, ул. Прогонная, д. 1  </t>
  </si>
  <si>
    <t>Г. Выборг, ул. Прогонная, д. 14</t>
  </si>
  <si>
    <t xml:space="preserve">Г. Выборг, ул. Прогонная, д. 6  </t>
  </si>
  <si>
    <t xml:space="preserve">Г. Выборг, ул. Промышленная, д. 2  </t>
  </si>
  <si>
    <t xml:space="preserve">Г. Выборг, ул. Резервная, д. 1  </t>
  </si>
  <si>
    <t>Г. Выборг, ул. Резервная, д. 2</t>
  </si>
  <si>
    <t>Г. Выборг, ул. Репина, д. 22</t>
  </si>
  <si>
    <t>Г. Выборг, ул. Репина, д.9</t>
  </si>
  <si>
    <t>Г. Выборг, ул. Ростовская, д. 5</t>
  </si>
  <si>
    <t xml:space="preserve">Г. Выборг, ул. Рубежная, д. 18  </t>
  </si>
  <si>
    <t xml:space="preserve">Г. Выборг, ул. Рубежная, д. 21  </t>
  </si>
  <si>
    <t xml:space="preserve">Г. Выборг, ул. Садовая, д. 3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</si>
  <si>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</si>
  <si>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</si>
  <si>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</si>
  <si>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</si>
  <si>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Сержантская, д. 4  </t>
  </si>
  <si>
    <t xml:space="preserve">Г. Выборг, ул. Симоняка, д. 3  </t>
  </si>
  <si>
    <t>Г. Выборг, ул. Станционная, д. 6</t>
  </si>
  <si>
    <t>Г. Выборг, ул. Станционная, д. 7</t>
  </si>
  <si>
    <t xml:space="preserve">Г. Выборг, ул. Сторожевой Башни, д. 10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</si>
  <si>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</si>
  <si>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</si>
  <si>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</si>
  <si>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 xml:space="preserve">Г. Выборг, ул. Сторожевой Башни, д. 18  </t>
  </si>
  <si>
    <t>Г. Выборг, ул. Сторожевой Башни, д. 3</t>
  </si>
  <si>
    <t xml:space="preserve">Г. Выборг, ул. Сторожевой Башни, д. 9  </t>
  </si>
  <si>
    <t>Г. Выборг, ул. Судостроительная, д. 26</t>
  </si>
  <si>
    <t>Г. Выборг, ул. Тенистая, д. 19</t>
  </si>
  <si>
    <t xml:space="preserve">Г. Выборг, ул. Тенистая, д. 20  </t>
  </si>
  <si>
    <t xml:space="preserve">Г. Выборг, ул. Тенистая, д. 25  </t>
  </si>
  <si>
    <t>Г. Выборг, ул. Тенистая, д. 57</t>
  </si>
  <si>
    <t xml:space="preserve">Г. Выборг, ул. Титова, д. 4  </t>
  </si>
  <si>
    <t xml:space="preserve">Г. Выборг, ул. Тургенева, д. 8  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</si>
  <si>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</si>
  <si>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</si>
  <si>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</si>
  <si>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</si>
  <si>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</si>
  <si>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</si>
  <si>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</si>
  <si>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</si>
  <si>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>Г. Выборг, ул. им. А.К. Харитонова, д. 1</t>
  </si>
  <si>
    <t>Г. Выборг, ул. им. А.К. Харитонова, д. 16</t>
  </si>
  <si>
    <t>Г. Выборг, ул. им. А.К. Харитонова, д. 3</t>
  </si>
  <si>
    <t>Г. Выборг, ул. Хвойная, д. 11</t>
  </si>
  <si>
    <t>Г. Выборг, ул. Центральная, д. 14</t>
  </si>
  <si>
    <t>Г. Выборг, ул. Центральная, д. 26</t>
  </si>
  <si>
    <t xml:space="preserve">Г. Выборг, пер. Черноморский, д. 8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</si>
  <si>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</si>
  <si>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</si>
  <si>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</si>
  <si>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17  </t>
  </si>
  <si>
    <t xml:space="preserve">Г. Выборг, ул. Школьная, д. 6  </t>
  </si>
  <si>
    <t xml:space="preserve">Г. Выборг, ул. Южный Вал, д. 18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</si>
  <si>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</si>
  <si>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</si>
  <si>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</si>
  <si>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</si>
  <si>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</si>
  <si>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</si>
  <si>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28  </t>
  </si>
  <si>
    <t xml:space="preserve">Г. Выборг, ш. Ленинградское, д. 3  </t>
  </si>
  <si>
    <t xml:space="preserve">Г. Выборг, ш. Ленинградское, д. 7  </t>
  </si>
  <si>
    <t>Г. Выборг, ш. Сайменское, д. 35</t>
  </si>
  <si>
    <t>Г. Выборг, ул. Судостроительная, д. 30</t>
  </si>
  <si>
    <t>Муниципальное образование Каменногорское городское поселение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</si>
  <si>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</si>
  <si>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</si>
  <si>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</si>
  <si>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Колхозная, д. 2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</si>
  <si>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</si>
  <si>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</si>
  <si>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</si>
  <si>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</si>
  <si>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</si>
  <si>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</si>
  <si>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</si>
  <si>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</si>
  <si>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</si>
  <si>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</si>
  <si>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</si>
  <si>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</si>
  <si>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</si>
  <si>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</si>
  <si>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</si>
  <si>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</si>
  <si>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</si>
  <si>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</si>
  <si>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40а</t>
  </si>
  <si>
    <t>Г. Каменногорск, ш. Ленинградское,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</si>
  <si>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</si>
  <si>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</si>
  <si>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</si>
  <si>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</si>
  <si>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</si>
  <si>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</si>
  <si>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</si>
  <si>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</si>
  <si>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</si>
  <si>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</si>
  <si>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</si>
  <si>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</si>
  <si>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</si>
  <si>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</si>
  <si>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</si>
  <si>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Пос. Возрождение, д. 5</t>
  </si>
  <si>
    <t>Пос. Возрождение, д. 6</t>
  </si>
  <si>
    <t>Пос. Возрождение, д. 7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</si>
  <si>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</si>
  <si>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</si>
  <si>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</si>
  <si>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</si>
  <si>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Михалево, ул. Новая, д. 1</t>
  </si>
  <si>
    <t>Пос. Михалево, ул. Новая, д. 3</t>
  </si>
  <si>
    <t>Пос. Пруды, ул. Заозерная, д. 1</t>
  </si>
  <si>
    <t>Пос. Пруды, ул. Заозерная, д. 3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</si>
  <si>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</si>
  <si>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</si>
  <si>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</si>
  <si>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</si>
  <si>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Муниципальное образование Первомайское сельское поселение</t>
  </si>
  <si>
    <t>Пос. Свободное, д. 173</t>
  </si>
  <si>
    <t>Пос. Свободное, д. 174</t>
  </si>
  <si>
    <t>Пос. Свободное, д. 180</t>
  </si>
  <si>
    <t xml:space="preserve">Пос. Кирилловское, ул. Пионерская, д. 1б  </t>
  </si>
  <si>
    <t>Пос. Ильичево, ул. Озерная, д. 1</t>
  </si>
  <si>
    <t>Пос. Ильичево, ул. Озерная, д. 2</t>
  </si>
  <si>
    <t>Пос. Ильичево, ул. Парковая, д. 3А</t>
  </si>
  <si>
    <t>Пос. Ильичево, ул. Парковая, д. 5</t>
  </si>
  <si>
    <t>Пос. Ильичево, ул. Парковая, д. 7</t>
  </si>
  <si>
    <t>Пос. Ильичево, ул. Садовая, д. 4</t>
  </si>
  <si>
    <t>Пос. Ленинское, ул. Заречная, д. 11</t>
  </si>
  <si>
    <t>Пос. Ольшаники, ул. Балтийская, д. 11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</si>
  <si>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</si>
  <si>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</si>
  <si>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</si>
  <si>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</si>
  <si>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</si>
  <si>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</si>
  <si>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</si>
  <si>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</si>
  <si>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</si>
  <si>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</si>
  <si>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</si>
  <si>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</si>
  <si>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</si>
  <si>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</si>
  <si>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</si>
  <si>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Муниципальное образование Полянское сельское поселение</t>
  </si>
  <si>
    <t>Пос. Поляны, ш. Выборгское, д. 64</t>
  </si>
  <si>
    <t>Пос. Поляны, ш. Выборгское, д. 65</t>
  </si>
  <si>
    <t>Пос. Приветнинское, ул. Верхняя, д. 24</t>
  </si>
  <si>
    <t>Пос. Приветнинское, ул. Смолячковская, д. 64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</si>
  <si>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</si>
  <si>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</si>
  <si>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</si>
  <si>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</si>
  <si>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</si>
  <si>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</si>
  <si>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</si>
  <si>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</si>
  <si>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</si>
  <si>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</si>
  <si>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</si>
  <si>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</si>
  <si>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</si>
  <si>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</si>
  <si>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</si>
  <si>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</si>
  <si>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</si>
  <si>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</si>
  <si>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</si>
  <si>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</si>
  <si>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</si>
  <si>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</si>
  <si>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</si>
  <si>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</si>
  <si>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</si>
  <si>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</si>
  <si>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</si>
  <si>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ш. Выборгское, д. 3</t>
  </si>
  <si>
    <t>Г. Приморск, ш. Выборгское, д. 5</t>
  </si>
  <si>
    <t>Г. Приморск, ш. Выборгское, д. 7</t>
  </si>
  <si>
    <t>Г. Приморск, ш. Выборгское, д. 7а</t>
  </si>
  <si>
    <t>Пос. Глебычево, ул. Мира, д. 1</t>
  </si>
  <si>
    <t>Пос. Глебычево, ул. Мира, д. 4</t>
  </si>
  <si>
    <t>Пос. Ермилово, пер. Заречный, д. 4</t>
  </si>
  <si>
    <t>Пос. Ермилово, пер. Заречный, д. 5</t>
  </si>
  <si>
    <t>Пос. Ермилово, пер. Заречный, д. 6</t>
  </si>
  <si>
    <t>Пос. Ермилово, пер. Заречный, д. 7</t>
  </si>
  <si>
    <t>Пос. Ермилово, ул. Физкультурная, д. 1</t>
  </si>
  <si>
    <t>Пос. Ермилово, ул. Физкультурная, д. 2</t>
  </si>
  <si>
    <t>Пос. Ермилово, ул. Физкультурная, д. 3</t>
  </si>
  <si>
    <t>Пос. Ермилово, ул. Физкультурная, д. 4</t>
  </si>
  <si>
    <t>Пос. Ермилово, ул. Школьная, д. 5</t>
  </si>
  <si>
    <t>Пос. Ермилово, ул. Школьная,  д. 6</t>
  </si>
  <si>
    <t>Пос. Ермилово, ул. Физкультурная, д. 7</t>
  </si>
  <si>
    <t>Пос. Ермилово, ул. Физкультурная, д. 8</t>
  </si>
  <si>
    <t>Д. Камышовка, ул. Поселковая, д. 1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</si>
  <si>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</si>
  <si>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</si>
  <si>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</si>
  <si>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</si>
  <si>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</si>
  <si>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</si>
  <si>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Пос. Красная Долина, ул. Центральное шоссе, д. 28</t>
  </si>
  <si>
    <t>Пос. Красная Долина, ул. Центральное шоссе, д. 29</t>
  </si>
  <si>
    <t xml:space="preserve">Пос. Красная Долина, ул. Центральное шоссе, д. 30 </t>
  </si>
  <si>
    <t>Пос. Красная Долина, ул. Центральное шоссе, д. 31</t>
  </si>
  <si>
    <t>Пос. Красная Долина, ул. Центральное шоссе, д. 32</t>
  </si>
  <si>
    <t>Пос. Красная Долина, ул. Центральное шоссе, д. 33</t>
  </si>
  <si>
    <t>Пос. Красная Долина, ул. Центральное шоссе, д. 34</t>
  </si>
  <si>
    <t>Пос. Красная Долина, ул. Центральное шоссе, д. 35</t>
  </si>
  <si>
    <t>Пос. Красная Долина, ул. Центральное шоссе, д. 36</t>
  </si>
  <si>
    <t>Пос. Красная Долина, ул. Центральное шоссе, д. 37</t>
  </si>
  <si>
    <t>Пос. Лужки, пер. Садовый, д. 1</t>
  </si>
  <si>
    <t>Пос. Лужки, пер. Садовый, д. 2</t>
  </si>
  <si>
    <t>Пос. Лужки, пер. Садовый, д. 3</t>
  </si>
  <si>
    <t>нет</t>
  </si>
  <si>
    <t>Пос. Рябово, ул. Каменная, д. 1</t>
  </si>
  <si>
    <t>Пос. Рябово, ул. Каменная, д. 10</t>
  </si>
  <si>
    <t>Пос. Рябово, ул. Каменная, д. 2</t>
  </si>
  <si>
    <t>Пос. Рябово, ул. Каменная,  д. 3</t>
  </si>
  <si>
    <t>Пос. Рябово, ул. Каменная, д. 4</t>
  </si>
  <si>
    <t>Пос. Рябово, ул. Каменная, д. 7</t>
  </si>
  <si>
    <t>Пос. Рябово, ул. Каменная, д. 8</t>
  </si>
  <si>
    <t>Пос. Рябово, ул. Каменная, д. 9</t>
  </si>
  <si>
    <t>Муниципальное образование Рощинское городское поселение</t>
  </si>
  <si>
    <t xml:space="preserve">Г.п. Рощино, ул. Лесная, д. 12  </t>
  </si>
  <si>
    <t xml:space="preserve">Г.п. Рощино, ул. Лесная, д. 8  </t>
  </si>
  <si>
    <t>Г.п. Рощино, ул. Садовая, д. 9а</t>
  </si>
  <si>
    <t xml:space="preserve">Г.п. Рощино, ул. Социалистическая, д. 121  </t>
  </si>
  <si>
    <t xml:space="preserve">Г.п. Рощино, ул. Социалистическая, д. 50  </t>
  </si>
  <si>
    <t xml:space="preserve">Пос. Цвелодубово, ул. Центральная, д. 40  </t>
  </si>
  <si>
    <t>Муниципальное образование Светогорское городское поселение</t>
  </si>
  <si>
    <t>Г. Светогорск, ул. Гарькавого, д. 3</t>
  </si>
  <si>
    <t>Г. Светогорск, ул. Гарькавого, д. 8</t>
  </si>
  <si>
    <t>Г. Светогорск, ул. Кирова, д. 17</t>
  </si>
  <si>
    <t>Г. Светогорск, ул. Кирова, д. 19</t>
  </si>
  <si>
    <t>Г. Светогорск, ул. Кирова, д. 27</t>
  </si>
  <si>
    <t>Г. Светогорск, ул. Кирова, д. 29</t>
  </si>
  <si>
    <t>Г. Светогорск, ул. Коробицына, д. 27</t>
  </si>
  <si>
    <t>Г. Светогорск, ул. Ленина, д. 14</t>
  </si>
  <si>
    <t>Г. Светогорск, ул. Ленина, д. 18</t>
  </si>
  <si>
    <t>Г. Светогорск, ул. Ленина, д. 35</t>
  </si>
  <si>
    <t>Г. Светогорск, ул. Ленина, д. 4</t>
  </si>
  <si>
    <t>Г. Светогорск, ул. Ленина, д. 6</t>
  </si>
  <si>
    <t>Г. Светогорск, ул. Парковая, д. 2</t>
  </si>
  <si>
    <t>Г. Светогорск, ул. Парковая, д. 4</t>
  </si>
  <si>
    <t>Г. Светогорск, ул. Победы, д. 21</t>
  </si>
  <si>
    <t>Г. Светогорск, ул. Победы, д. 23</t>
  </si>
  <si>
    <t>Г. Светогорск, ул. Победы, д. 29а</t>
  </si>
  <si>
    <t>Г. Светогорск, ул. Пограничная, д. 7</t>
  </si>
  <si>
    <t>Г. Светогорск, ул. Рощинская, д. 20</t>
  </si>
  <si>
    <t>Г. Светогорск, ул. Школьная, д. 7</t>
  </si>
  <si>
    <t>Пос. Лесогорский, ул. Гагарина, д. 13</t>
  </si>
  <si>
    <t>Пос. Лесогорский, ул. Генераторная, д. 17</t>
  </si>
  <si>
    <t>Пос. Лесогорский, ул. Гранитная, д. 3</t>
  </si>
  <si>
    <t>Пос. Лесогорский, ул. Еловая, д. 8</t>
  </si>
  <si>
    <t>Пос. Лесогорский, ул. Заречная, д. 14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</si>
  <si>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</si>
  <si>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</si>
  <si>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</si>
  <si>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</si>
  <si>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</si>
  <si>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42</t>
  </si>
  <si>
    <t>Пос. Лесогорский, ул. Ленинградская, д. 55</t>
  </si>
  <si>
    <t>Пос. Лесогорский, ул. Ленинградская, д. 69</t>
  </si>
  <si>
    <t>Пос. Лесогорский, ул. Лесная, д. 6</t>
  </si>
  <si>
    <t>Пос. Лесогорский, ул. Летчиков, д. 12</t>
  </si>
  <si>
    <t>Пос. Лесогорский, ул. Летчиков, д. 2</t>
  </si>
  <si>
    <t>Пос. Лесогорский, ул. Летчиков, д. 8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</si>
  <si>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</si>
  <si>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</si>
  <si>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</si>
  <si>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2</t>
  </si>
  <si>
    <t>Пос. Лесогорский, ул. Московская, д. 4</t>
  </si>
  <si>
    <t>Пос. Лесогорский, ул. Московская, д. 5</t>
  </si>
  <si>
    <t>Пос. Лесогорский, ул. Московская, д. 7</t>
  </si>
  <si>
    <t>Пос. Лесогорский, ул. Московская, д. 9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</si>
  <si>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</si>
  <si>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</si>
  <si>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</si>
  <si>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</si>
  <si>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</si>
  <si>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Октябрьская, д. 4</t>
  </si>
  <si>
    <t>Пос. Лесогорский, ул. Октябрьская, д. 6</t>
  </si>
  <si>
    <t>Пос. Лесогорский, ул. Подгорная, д. 6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</si>
  <si>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</si>
  <si>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</si>
  <si>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</si>
  <si>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Школьная, д. 5</t>
  </si>
  <si>
    <t>Пос. Лесогорский, ш. Ленинградское, д. 32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</si>
  <si>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</si>
  <si>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</si>
  <si>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</si>
  <si>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</si>
  <si>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</si>
  <si>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</si>
  <si>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</si>
  <si>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Кравцово, д. 3</t>
  </si>
  <si>
    <t>Пос. Кравцово, д. 4</t>
  </si>
  <si>
    <t>П/ст Лужайка, ул. Вокзальная, д. 10</t>
  </si>
  <si>
    <t>П/ст Лужайка, ул. Вокзальная д. 11</t>
  </si>
  <si>
    <t>П/ст Лужайка, ул. Вокзальная д. 12</t>
  </si>
  <si>
    <t>П/ст Лужайка,  ул. Вокзальная д. 13</t>
  </si>
  <si>
    <t>П/ст Лужайка, ул. Вокзальная д. 9</t>
  </si>
  <si>
    <t>Пос. Селезнево, пер. Свекловичный, д. 10</t>
  </si>
  <si>
    <t>Пос. Селезнево, пер. Свекловичный, д. 11</t>
  </si>
  <si>
    <t>Пос. Селезнево, ул. Центральная, д. 13</t>
  </si>
  <si>
    <t>Пос. Селезнево, ул. Центральная, д. 14</t>
  </si>
  <si>
    <t>Пос. Селезнево, ул. Центральная, д. 15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</si>
  <si>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</si>
  <si>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</si>
  <si>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</si>
  <si>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</si>
  <si>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</si>
  <si>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</si>
  <si>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</si>
  <si>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</si>
  <si>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</si>
  <si>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7</t>
  </si>
  <si>
    <t>пос. Дятлово, ул. Героев Танкистов, д. 9</t>
  </si>
  <si>
    <t>Итого по Выборгскому району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</si>
  <si>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</si>
  <si>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</si>
  <si>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30 лет Победы, д. 7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</si>
  <si>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</si>
  <si>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</si>
  <si>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</si>
  <si>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Корписалово, д. 39</t>
  </si>
  <si>
    <t>Дер. Малые Колпаны, ул. Западная, д. 15</t>
  </si>
  <si>
    <t>ЭС, ГВС, ХВС, ТС</t>
  </si>
  <si>
    <t>Дер. Тихковицы, Ул. Северная, д. 1</t>
  </si>
  <si>
    <t>Дер. Тихковицы, ул. Северная, д. 2</t>
  </si>
  <si>
    <t>Дер. Тихковицы, ул. Северная, д. 3</t>
  </si>
  <si>
    <t>Дер. Тихковицы, ул Северная, д. 4</t>
  </si>
  <si>
    <t>Муниципальное образование Веревское сельское поселение</t>
  </si>
  <si>
    <t>Дер. Зайцево, д. 10</t>
  </si>
  <si>
    <t>Дер. Зайцево, д. 12</t>
  </si>
  <si>
    <t>Дер. Зайцево, д. 8</t>
  </si>
  <si>
    <t>Муниципальное образование Войсковицкое сельское поселение</t>
  </si>
  <si>
    <t>Пос. Войсковицы, ул. Ростова, д.15</t>
  </si>
  <si>
    <t>ЭС, ТС, ХВС, ВО, фасад с утепл.</t>
  </si>
  <si>
    <t>Пос. Новый Учхоз, пл. Усова, д. 10</t>
  </si>
  <si>
    <t>Пос. Новый Учхоз, пл. Усова, д. 11</t>
  </si>
  <si>
    <t>Пос. Новый Учхоз, пл. Усова, д. 14</t>
  </si>
  <si>
    <t>Пос. Новый Учхоз, пл. Усова, д. 17</t>
  </si>
  <si>
    <t>ТС, ХВС, ВО, фасад с утепл.</t>
  </si>
  <si>
    <t>Пос. Новый Учхоз, пл. Усова, д. 18</t>
  </si>
  <si>
    <t>Пос. Новый Учхоз, пл. Усова, д. 19</t>
  </si>
  <si>
    <t>Пос. Новый Учхоз, пл. Усова, д. 20</t>
  </si>
  <si>
    <t>Пос. Новый Учхоз, пл. Усова, д. 24</t>
  </si>
  <si>
    <t>Пос. Новый Учхоз, пл. Усова, д. 25</t>
  </si>
  <si>
    <t>ЭС, фасад с утепл.</t>
  </si>
  <si>
    <t>Муниципальное образование Вырицкое городское поселение</t>
  </si>
  <si>
    <t>Г.п. Вырица, пер. Центральный, д. 3</t>
  </si>
  <si>
    <t>Г.п. Вырица, просп. Кирова, д. 12</t>
  </si>
  <si>
    <t xml:space="preserve">фасад с утепл. </t>
  </si>
  <si>
    <t>Г.п. Вырица, просп. Кирова, д. 43</t>
  </si>
  <si>
    <t>Г.п. Вырица, просп. Кирова, д. 56</t>
  </si>
  <si>
    <t>Г.п. Вырица, просп. Пильный, д. 15</t>
  </si>
  <si>
    <t>Г.п. Вырица, просп. Суворовский, д. 37</t>
  </si>
  <si>
    <t>Г.п. Вырица, просп. Урицкого, д. 7</t>
  </si>
  <si>
    <t>Г.п. Вырица, ул. Баркановская, д. 20/34</t>
  </si>
  <si>
    <t>Г.п. Вырица, ул. Боровая, д. 33</t>
  </si>
  <si>
    <t>Г.п. Вырица, ул. Красная, д. 39</t>
  </si>
  <si>
    <t>Г.п. Вырица, ул. Лесная, д. 2</t>
  </si>
  <si>
    <t>Г.п. Вырица, ул. Ломоносова, д. 14</t>
  </si>
  <si>
    <t>Г.п. Вырица, ул. М. Расковой, д. 33</t>
  </si>
  <si>
    <t>Г.п. Вырица, ул. Набережная, д. 2/7</t>
  </si>
  <si>
    <t>Г.п. Вырица, ул. Румянцева, д. 52</t>
  </si>
  <si>
    <t>Г.п. Вырица, ул. Самарская, д. 40</t>
  </si>
  <si>
    <t>Г.п. Вырица, ул. Симбирская, д. 2/1</t>
  </si>
  <si>
    <t>Г.п. Вырица, ул. Слуцкая, д. 24</t>
  </si>
  <si>
    <t>Г.п. Вырица, ул. Соболевского, д. 27</t>
  </si>
  <si>
    <t>Г.п. Вырица, ул. Советская, д. 43</t>
  </si>
  <si>
    <t>Г.п. Вырица, ул. Софийская, д. 11</t>
  </si>
  <si>
    <t>Г.п. Вырица, ул. Софийская, д. 13</t>
  </si>
  <si>
    <t>Г.п. Вырица, ул. Софийская, д. 15</t>
  </si>
  <si>
    <t>Г.п. Вырица, ул. Средняя, д. 15</t>
  </si>
  <si>
    <t>Г.п. Вырица, ш. Сиверское, д. 139</t>
  </si>
  <si>
    <t>Муниципальное образование Город Гатчина</t>
  </si>
  <si>
    <t>Г. Гатчина, бул. Авиаторов, д. 3</t>
  </si>
  <si>
    <t>нет данных ( м3 или м2)по подвалу</t>
  </si>
  <si>
    <t>Г. Гатчина, бул. Авиаторов, д. 3, кор. 2</t>
  </si>
  <si>
    <t>Г. Гатчина, пер. Инженерный, д. 1</t>
  </si>
  <si>
    <t>ЭС, фасад с утеплением</t>
  </si>
  <si>
    <t>Г. Гатчина, пер. Солнечный, д. 1</t>
  </si>
  <si>
    <t>ЭС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</si>
  <si>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</si>
  <si>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</si>
  <si>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</si>
  <si>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</si>
  <si>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фасад с утеплением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</si>
  <si>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</si>
  <si>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</si>
  <si>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</si>
  <si>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</si>
  <si>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</si>
  <si>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</si>
  <si>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28</t>
  </si>
  <si>
    <t>ЭС, ТС, ХВС</t>
  </si>
  <si>
    <t>Г. Гатчина, просп. 25 Октября, д. 31</t>
  </si>
  <si>
    <t>ХВС, ТС, ЭС</t>
  </si>
  <si>
    <t>Г. Гатчина, просп. 25 Октября, д. 32</t>
  </si>
  <si>
    <t>Г. Гатчина, просп. 25 Октября, д. 33</t>
  </si>
  <si>
    <t>По фото Дом -2 этажа. По данным УК - дом 3 этажа. Сметы на 2 этажа.</t>
  </si>
  <si>
    <t>Г. Гатчина, просп. 25 Октября, д. 34</t>
  </si>
  <si>
    <t>ТС,ЭС,ХВС</t>
  </si>
  <si>
    <t>Г. Гатчина, просп. 25 Октября, д. 36</t>
  </si>
  <si>
    <t>Г. Гатчина, просп. 25 Октября, д. 37</t>
  </si>
  <si>
    <t>Г. Гатчина, просп. 25 Октября, д. 41</t>
  </si>
  <si>
    <t>ЭС,ХВС,ТС</t>
  </si>
  <si>
    <t>Г. Гатчина, просп. 25 Октября, д. 43</t>
  </si>
  <si>
    <t>Г. Гатчина, просп. 25 Октября, д. 45</t>
  </si>
  <si>
    <t>Г. Гатчина, просп. 25 Октября, д. 46, кор. 1</t>
  </si>
  <si>
    <t>Г. Гатчина, просп. 25 Октября, д. 49</t>
  </si>
  <si>
    <t>Г. Гатчина, просп. 25 Октября, д. 50, кор. 1</t>
  </si>
  <si>
    <t>Г. Гатчина, просп. 25 Октября, д. 51</t>
  </si>
  <si>
    <t>ЭС, ХВС,ТС</t>
  </si>
  <si>
    <t>Г. Гатчина, просп. 25 Октября, д. 52</t>
  </si>
  <si>
    <t>Г. Гатчина, просп. 25 Октября, д. 53</t>
  </si>
  <si>
    <t>ЭС, ТС,ХВС</t>
  </si>
  <si>
    <t>Г. Гатчина, просп. 25 Октября, д. 59</t>
  </si>
  <si>
    <t>Г. Гатчина, просп. 25 Октября, д. 63</t>
  </si>
  <si>
    <t>Г. Гатчина, просп. Красноармейский, д. 11</t>
  </si>
  <si>
    <t>Г. Гатчина, просп. Красноармейский, д. 14</t>
  </si>
  <si>
    <t>ЭС,ХВС,ТС,ВО</t>
  </si>
  <si>
    <t>Г. Гатчина, просп. Красноармейский, д. 15</t>
  </si>
  <si>
    <t>ЭС,ТС,ХВС,ВО</t>
  </si>
  <si>
    <t>Г. Гатчина, просп. Красноармейский, д. 16</t>
  </si>
  <si>
    <t xml:space="preserve">ЭС </t>
  </si>
  <si>
    <t>Г. Гатчина, просп. Красноармейский, д. 17</t>
  </si>
  <si>
    <t>ТС,ЭС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</si>
  <si>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</si>
  <si>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</si>
  <si>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</si>
  <si>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</si>
  <si>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</si>
  <si>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36</t>
  </si>
  <si>
    <t>Г. Гатчина, просп. Красноармейский, д. 42</t>
  </si>
  <si>
    <t>ТС,ХВС</t>
  </si>
  <si>
    <t>Г. Гатчина, просп. Красноармейский, д. 44</t>
  </si>
  <si>
    <t>ХВС,ТС,ЭС,ВО</t>
  </si>
  <si>
    <t>Г. Гатчина, просп. Красноармейский, д. 46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</si>
  <si>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</si>
  <si>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</si>
  <si>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</si>
  <si>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</si>
  <si>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ТС,ЭС,ХВС,ВО</t>
  </si>
  <si>
    <t>Г. Гатчина, просп. Красноармейский, д. 8</t>
  </si>
  <si>
    <t>ВО,ЭС,ТС,ХВС</t>
  </si>
  <si>
    <t>Г. Гатчина, ул. 120 Гатчинской дивизии, д. 1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</si>
  <si>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</si>
  <si>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</si>
  <si>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</si>
  <si>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</si>
  <si>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</si>
  <si>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</si>
  <si>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Некорректные данны по подвалу - 10м2 ?</t>
  </si>
  <si>
    <t>Г. Гатчина, ул. 7 Армии, д. 21</t>
  </si>
  <si>
    <t>ХВС, ТС.     Некорректные данны по подвалу - 10м2 ?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</si>
  <si>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</si>
  <si>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</si>
  <si>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</si>
  <si>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</si>
  <si>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9</t>
  </si>
  <si>
    <t>Г. Гатчина, ул. Багажная, д. 1А</t>
  </si>
  <si>
    <t>ХВС, ВО</t>
  </si>
  <si>
    <t>Г. Гатчина, ул. Беляева, д. 20</t>
  </si>
  <si>
    <t>ЭС,ХВС, ТС. Фасад с утеплением</t>
  </si>
  <si>
    <t>Г. Гатчина, ул. Беляева, д. 24</t>
  </si>
  <si>
    <t>ТС, ЭС, ХВС. Фасад с утеплением</t>
  </si>
  <si>
    <t>Г. Гатчина, ул. Беляева, д. 28</t>
  </si>
  <si>
    <t>ХВС, ТС, ВО, ЭС. Фасад с утеплением</t>
  </si>
  <si>
    <t>Г. Гатчина, ул. Беляева, д. 32</t>
  </si>
  <si>
    <t>Г. Гатчина, ул. Беляева, д. 3А</t>
  </si>
  <si>
    <t>ЭС, ВО,ТС, ХВС. . Фасад с утеплением</t>
  </si>
  <si>
    <t>Г. Гатчина, ул. Беляева, д. 7</t>
  </si>
  <si>
    <t>Фасад с утеплением</t>
  </si>
  <si>
    <t>Г. Гатчина, ул. Беляева, д. 9</t>
  </si>
  <si>
    <t>ЭС,ТС,ВО, (ХВС+ГВС)</t>
  </si>
  <si>
    <t>Г. Гатчина, ул. Волкова, д. 1, кор. 1</t>
  </si>
  <si>
    <t>Г. Гатчина, ул. Волкова, д. 1, кор. 3</t>
  </si>
  <si>
    <t xml:space="preserve"> ЭС. Фасад с утеплением</t>
  </si>
  <si>
    <t>Г. Гатчина, ул. Володарского, д. 1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</si>
  <si>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</si>
  <si>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</si>
  <si>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</si>
  <si>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ЭС.Фасад с утеплением</t>
  </si>
  <si>
    <t>Г. Гатчина, ул. Володарского, д. 3</t>
  </si>
  <si>
    <t>Г. Гатчина, ул. Володарского, д. 30</t>
  </si>
  <si>
    <t>Г. Гатчина, ул. Володарского, д. 33</t>
  </si>
  <si>
    <t xml:space="preserve">ЭС. Фасад с утеплением
</t>
  </si>
  <si>
    <t>Г. Гатчина, ул. Володарского, д. 34</t>
  </si>
  <si>
    <t>Г. Гатчина, ул. Володарского, д. 35</t>
  </si>
  <si>
    <t>Г. Гатчина, ул. Володарского, д. 39</t>
  </si>
  <si>
    <t>Г. Гатчина, ул. Володарского, д. 3А</t>
  </si>
  <si>
    <t>Г. Гатчина, ул. Володарского, д. 5</t>
  </si>
  <si>
    <t>Г. Гатчина, ул. Володарского, д. 7</t>
  </si>
  <si>
    <t>ЭС. фасад с утеплением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</si>
  <si>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</si>
  <si>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</si>
  <si>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</si>
  <si>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</si>
  <si>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1/25</t>
  </si>
  <si>
    <t>ЭС. ТС, ХВС. Фасад с утеплением</t>
  </si>
  <si>
    <t>Г. Гатчина, ул. Гагарина, д. 11</t>
  </si>
  <si>
    <t>ЭС, (ГВС+ХВС), ТС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</si>
  <si>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</si>
  <si>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</si>
  <si>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</si>
  <si>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</si>
  <si>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</si>
  <si>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</si>
  <si>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</si>
  <si>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Гагарина, д. 22</t>
  </si>
  <si>
    <t>ХВС, ТС</t>
  </si>
  <si>
    <t>Г. Гатчина, ул. Гагарина, д. 24</t>
  </si>
  <si>
    <t>Г. Гатчина, ул. Гагарина, д. 25</t>
  </si>
  <si>
    <t>Г. Гатчина, ул. Гагарина, д. 3</t>
  </si>
  <si>
    <t>ЭС, ХВС,ТС, фасад с утеплением</t>
  </si>
  <si>
    <t>Г. Гатчина, ул. Гагарина, д. 4</t>
  </si>
  <si>
    <t>ЭС, ХВС,ТС. Фасад с утеплением</t>
  </si>
  <si>
    <t>Г. Гатчина, ул. Гагарина, д. 5</t>
  </si>
  <si>
    <t>ЭС,ХВС,ТС. Фасад с утеплением</t>
  </si>
  <si>
    <t>Г. Гатчина, ул. Гагарина, д. 5А</t>
  </si>
  <si>
    <t>Г. Гатчина, ул. Гагарина, д. 6</t>
  </si>
  <si>
    <t>Г. Гатчина, ул. Гагарина, д. 8</t>
  </si>
  <si>
    <t xml:space="preserve"> (ГВС+ХВС), ТС</t>
  </si>
  <si>
    <t>Г. Гатчина, ул. Герцена, д. 25А</t>
  </si>
  <si>
    <t>Г. Гатчина, ул. Герцена, д. 27</t>
  </si>
  <si>
    <t>ЭС, ВО. Фасад с утеплением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</si>
  <si>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</si>
  <si>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</si>
  <si>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</si>
  <si>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</si>
  <si>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5</t>
  </si>
  <si>
    <t>Г. Гатчина, ул. Гречишкина, д. 17</t>
  </si>
  <si>
    <t>Г. Гатчина, ул. Гречишкина, д. 19</t>
  </si>
  <si>
    <t>Г. Гатчина, ул. Григорина, д. 11</t>
  </si>
  <si>
    <t>ЭС. Фасад с утеплением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</si>
  <si>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</si>
  <si>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</si>
  <si>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</si>
  <si>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</si>
  <si>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ВО,ЭС. Фасад с утеплением</t>
  </si>
  <si>
    <t>Г. Гатчина, ул. Достоевского, д. 11</t>
  </si>
  <si>
    <t>Г. Гатчина, ул. Достоевского, д. 12</t>
  </si>
  <si>
    <t>ХВС,ТС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</si>
  <si>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</si>
  <si>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</si>
  <si>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</si>
  <si>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</si>
  <si>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</si>
  <si>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</si>
  <si>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ТС, ХВС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</si>
  <si>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</si>
  <si>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</si>
  <si>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</si>
  <si>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</si>
  <si>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 xml:space="preserve">ВО </t>
  </si>
  <si>
    <t>Г. Гатчина, ул. Карла Маркса, д. 11</t>
  </si>
  <si>
    <t>Г. Гатчина, ул. Карла Маркса, д. 12/5</t>
  </si>
  <si>
    <t>Г. Гатчина, ул. Карла Маркса, д. 13</t>
  </si>
  <si>
    <t>ТС,ВО,ЭС,ХВС. Фасад с утеплением.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</si>
  <si>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</si>
  <si>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</si>
  <si>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</si>
  <si>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ЭС. Фасад с утеплением.</t>
  </si>
  <si>
    <t>Г. Гатчина, ул. Карла Маркса, д. 17</t>
  </si>
  <si>
    <t>Г. Гатчина, ул. Карла Маркса, д. 18А</t>
  </si>
  <si>
    <t>Г. Гатчина, ул. Карла Маркса, д. 19</t>
  </si>
  <si>
    <t>ХВС,ВО,ЭС,ТС. Фасад с утеплением</t>
  </si>
  <si>
    <t>Г. Гатчина, ул. Карла Маркса, д. 20</t>
  </si>
  <si>
    <t>ЭС, ХВС, ТС. Фасад с утеплением.</t>
  </si>
  <si>
    <t>Г. Гатчина, ул. Карла Маркса, д. 21</t>
  </si>
  <si>
    <t>ЭС , ХВС, ТС</t>
  </si>
  <si>
    <t>Г. Гатчина, ул. Карла Маркса, д. 22</t>
  </si>
  <si>
    <t>Г. Гатчина, ул. Карла Маркса, д. 24</t>
  </si>
  <si>
    <t>Г. Гатчина, ул. Карла Маркса, д. 25</t>
  </si>
  <si>
    <t>ТС,ХВС,ВО,ЭС. Фасад с утеплением</t>
  </si>
  <si>
    <t>Г. Гатчина, ул. Карла Маркса, д. 25А</t>
  </si>
  <si>
    <t>ТС,ХВС,ВО,ЭС.Фасад с утеплением.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</si>
  <si>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</si>
  <si>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</si>
  <si>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</si>
  <si>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31А</t>
  </si>
  <si>
    <t>ВО,ХВС</t>
  </si>
  <si>
    <t>Г. Гатчина, ул. Карла Маркса, д. 32</t>
  </si>
  <si>
    <t>ТС,ВО,ХВС,ЭС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</si>
  <si>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</si>
  <si>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</si>
  <si>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</si>
  <si>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</si>
  <si>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37</t>
  </si>
  <si>
    <t>ЭС,ТС,ХВС. По данным от УК подвал- 6 м2.</t>
  </si>
  <si>
    <t>Г. Гатчина, ул. Карла Маркса, д. 37а</t>
  </si>
  <si>
    <t>ЭС,ТС,ХВС, ВО. Фасад с утеплением</t>
  </si>
  <si>
    <t>Г. Гатчина, ул. Карла Маркса, д. 38/7</t>
  </si>
  <si>
    <t>ЭС, ТС,ХВС. Фасад с утеплением</t>
  </si>
  <si>
    <t>Г. Гатчина, ул. Карла Маркса, д. 41</t>
  </si>
  <si>
    <t>ЭС,ТС,ХВС . По данным от УК подвал- 6 м2.</t>
  </si>
  <si>
    <t>Г. Гатчина, ул. Карла Маркса, д. 45</t>
  </si>
  <si>
    <t>Г. Гатчина, ул. Карла Маркса, д. 46</t>
  </si>
  <si>
    <t>Г. Гатчина, ул. Карла Маркса, д. 48</t>
  </si>
  <si>
    <t>Г. Гатчина, ул. Карла Маркса, д. 49/51</t>
  </si>
  <si>
    <t>Г. Гатчина, ул. Карла Маркса, д. 5</t>
  </si>
  <si>
    <t>ХВС,ТС,ВО</t>
  </si>
  <si>
    <t>Г. Гатчина, ул. Карла Маркса, д. 50</t>
  </si>
  <si>
    <t>Г. Гатчина, ул. Карла Маркса, д. 52</t>
  </si>
  <si>
    <t>Г. Гатчина, ул. Карла Маркса, д. 52а</t>
  </si>
  <si>
    <t>ТС,ХВС,ВО, ЭС. Фасад с утеплением.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</si>
  <si>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</si>
  <si>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</si>
  <si>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</si>
  <si>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61</t>
  </si>
  <si>
    <t>Г. Гатчина, ул. Карла Маркса, д. 62</t>
  </si>
  <si>
    <t>Г. Гатчина, ул. Карла Маркса, д. 66</t>
  </si>
  <si>
    <t>Г. Гатчина, ул. Карла Маркса, д. 67</t>
  </si>
  <si>
    <t>ЭС, ТС,ХВС. Фасад с утеплением.</t>
  </si>
  <si>
    <t>Г. Гатчина, ул. Карла Маркса, д. 69</t>
  </si>
  <si>
    <t>Г. Гатчина, ул. Карла Маркса, д. 71</t>
  </si>
  <si>
    <t>Г. Гатчина, ул. Карла Маркса, д. 73</t>
  </si>
  <si>
    <t>ХВС,ЭС,ТС. Фасад с утеплением.</t>
  </si>
  <si>
    <t>Г. Гатчина, ул. Карла Маркса, д. 75</t>
  </si>
  <si>
    <t>Г. Гатчина, ул. Карла Маркса, д. 8</t>
  </si>
  <si>
    <t>Г. Гатчина, ул. Карла Маркса, д. 8А</t>
  </si>
  <si>
    <t>Г. Гатчина, ул. Коли Подрядчикова, д. 1</t>
  </si>
  <si>
    <t xml:space="preserve"> Фасад с утеплением.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</si>
  <si>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</si>
  <si>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</si>
  <si>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14</t>
  </si>
  <si>
    <t>Г. Гатчина, ул. Коли Подрядчикова, д. 16</t>
  </si>
  <si>
    <t>Г. Гатчина, ул. Коли Подрядчикова, д. 3</t>
  </si>
  <si>
    <t>Г. Гатчина, ул. Коли  Подрядчикова, д. 4</t>
  </si>
  <si>
    <t>Г. Гатчина, ул. Коли Подрядчикова, д. 5</t>
  </si>
  <si>
    <t>Г. Гатчина, ул. Киевская, д. 1</t>
  </si>
  <si>
    <t>ТС,ХВС,ВО, ЭС</t>
  </si>
  <si>
    <t>Г. Гатчина, ул. Киевская, д. 23</t>
  </si>
  <si>
    <t>ВО, ЭС. Фасад с утеплением.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</si>
  <si>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</si>
  <si>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</si>
  <si>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</si>
  <si>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</si>
  <si>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ТС,ХВС, ЭС, ВО</t>
  </si>
  <si>
    <t>Г. Гатчина, ул. Киевская, д. 64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</si>
  <si>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</si>
  <si>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</si>
  <si>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</si>
  <si>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</si>
  <si>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ТС,ВО,ХВС, ЭС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</si>
  <si>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</si>
  <si>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</si>
  <si>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</si>
  <si>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</si>
  <si>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Фасад с утеплением.</t>
  </si>
  <si>
    <t>Г. Гатчина, ул. Киргетова, д. 2</t>
  </si>
  <si>
    <t>ЭС,ТС,ВО,ХВС. Фасад с утеплением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</si>
  <si>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</si>
  <si>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</si>
  <si>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</si>
  <si>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</si>
  <si>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</si>
  <si>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</si>
  <si>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6</t>
  </si>
  <si>
    <t xml:space="preserve">ЭС. 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</si>
  <si>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</si>
  <si>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</si>
  <si>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</si>
  <si>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Комсомольцев-Подпольщиков, д. 1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</si>
  <si>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</si>
  <si>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</si>
  <si>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</si>
  <si>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</si>
  <si>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</si>
  <si>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</si>
  <si>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</si>
  <si>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</si>
  <si>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ЭС, ХВС,ВО, ТС. Фасад с утеплением</t>
  </si>
  <si>
    <t>Г. Гатчина, ул. Красная, д. 13</t>
  </si>
  <si>
    <t>ВО,ХВС,ЭС,ТС</t>
  </si>
  <si>
    <t>Г. Гатчина, ул. Красная, д. 13а</t>
  </si>
  <si>
    <t>ЭС,ВО, ХВС, ТС. Фасад с утеплением</t>
  </si>
  <si>
    <t>Г. Гатчина, ул. Красная, д. 3</t>
  </si>
  <si>
    <t>Г. Гатчина, ул. Красная, д. 3А</t>
  </si>
  <si>
    <t>ХВС, ВО, ЭС, ТС</t>
  </si>
  <si>
    <t>Г. Гатчина, ул. Красная, д. 4</t>
  </si>
  <si>
    <t>Г. Гатчина, ул. Красных Военлётов, д. 9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</si>
  <si>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</si>
  <si>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</si>
  <si>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</si>
  <si>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</si>
  <si>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5</t>
  </si>
  <si>
    <t>Г. Гатчина, ул. Крупской, д. 5А</t>
  </si>
  <si>
    <t>Г. Гатчина, ул. Крупской, д. 6</t>
  </si>
  <si>
    <t>ЭС.</t>
  </si>
  <si>
    <t>Г. Гатчина, ул. Крупской, д. 6А</t>
  </si>
  <si>
    <t>Г. Гатчина, ул. Крупской, д. 7</t>
  </si>
  <si>
    <t>Г. Гатчина, ул. Куприна, д. 33А</t>
  </si>
  <si>
    <t>ЭС,ХВС,ТС. Фасад с утеплением.</t>
  </si>
  <si>
    <t>Г. Гатчина, ул. Куприна, д. 40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</si>
  <si>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</si>
  <si>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</si>
  <si>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</si>
  <si>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</si>
  <si>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ЭС,ХВС, ВО, ТС.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</si>
  <si>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</si>
  <si>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</si>
  <si>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</si>
  <si>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</si>
  <si>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</si>
  <si>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</si>
  <si>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</si>
  <si>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 xml:space="preserve">ЭС,ХВС,ТС. 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</si>
  <si>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</si>
  <si>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</si>
  <si>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</si>
  <si>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</si>
  <si>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23</t>
  </si>
  <si>
    <t>Г. Гатчина, ул. Леонова, д. 14</t>
  </si>
  <si>
    <t>Г. Гатчина, ул. Леонова, д. 15</t>
  </si>
  <si>
    <t xml:space="preserve">  Фасад с утеплением.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</si>
  <si>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</si>
  <si>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</si>
  <si>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</si>
  <si>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</si>
  <si>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ТС,ХВС,ЭС,ВО</t>
  </si>
  <si>
    <t>Г. Гатчина, ул. Матвеева, д. 14Б</t>
  </si>
  <si>
    <t>Г. Гатчина, ул. Матвеева, д. 34</t>
  </si>
  <si>
    <t xml:space="preserve">  ЭС,ХВС,ТС, ВО. Фасад с утеплением.</t>
  </si>
  <si>
    <t>Г. Гатчина, ул. Нади Федоровой, д. 6/9</t>
  </si>
  <si>
    <t>ЭС,ВО.  Фасад с утеплением.</t>
  </si>
  <si>
    <t>Г. Гатчина, ул. Нестерова, д. 11</t>
  </si>
  <si>
    <t xml:space="preserve">  ЭС,ХВС,ТС. Фасад с утеплением.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</si>
  <si>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</si>
  <si>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</si>
  <si>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</si>
  <si>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</si>
  <si>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</si>
  <si>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</si>
  <si>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</si>
  <si>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</si>
  <si>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</si>
  <si>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</si>
  <si>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</si>
  <si>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</si>
  <si>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</si>
  <si>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</si>
  <si>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</si>
  <si>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</si>
  <si>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</si>
  <si>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3</t>
  </si>
  <si>
    <t>Г. Гатчина, ул. Радищева, д. 30А</t>
  </si>
  <si>
    <t>Г. Гатчина, ул. Радищева, д. 5</t>
  </si>
  <si>
    <t>Г. Гатчина, ул. Радищева, д. 5А</t>
  </si>
  <si>
    <t>ХВС, ТС, ВО, ЭС. Фасад с утеплением.</t>
  </si>
  <si>
    <t>Г. Гатчина, ул. Радищева, д. 8</t>
  </si>
  <si>
    <t>Г. Гатчина, ул. Рошаля, д. 11</t>
  </si>
  <si>
    <t>ЭС, ТС, ВО,ХВС. Фасад с утеплением.</t>
  </si>
  <si>
    <t>Г. Гатчина, ул. Рошаля, д. 16</t>
  </si>
  <si>
    <t>Г. Гатчина, ул. Рошаля, д. 22</t>
  </si>
  <si>
    <t>Г. Гатчина, ул. Рощинская, д. 13, кор. 1</t>
  </si>
  <si>
    <t>Г. Гатчина, ул. Рощинская, д. 18</t>
  </si>
  <si>
    <t>Г. Гатчина, ул. Рощинская, д. 18А</t>
  </si>
  <si>
    <t>Г. Гатчина, ул. Рощинская, д. 2</t>
  </si>
  <si>
    <t>Г. Гатчина, ул. Рощинская, д. 20</t>
  </si>
  <si>
    <t>Г. Гатчина, ул. Рощинская, д. 26</t>
  </si>
  <si>
    <t xml:space="preserve">ЭС,ТС,ХВС. Фасад с утеплением. Подвал 4,8м2! </t>
  </si>
  <si>
    <t>Г. Гатчина, ул. Рощинская, д. 28</t>
  </si>
  <si>
    <t>Г. Гатчина, ул. Рощинская, д. 29</t>
  </si>
  <si>
    <t>Г. Гатчина, ул. Рощинская, д. 3, кор. 2</t>
  </si>
  <si>
    <t>ЭС,ТС,ХВС+ГВС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</si>
  <si>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</si>
  <si>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</si>
  <si>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</si>
  <si>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</si>
  <si>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</si>
  <si>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4</t>
  </si>
  <si>
    <t>ЭС,ТС,ХВС+ГВС,ВО</t>
  </si>
  <si>
    <t>Г. Гатчина, ул. Рощинская, д. 40</t>
  </si>
  <si>
    <t xml:space="preserve">ЭС,ТС,ХВС. Фасад с утеплением. Подвал 4м2! </t>
  </si>
  <si>
    <t>Г. Гатчина, ул. Профессора Л.И. Русинова, д. 10</t>
  </si>
  <si>
    <t>Г. Гатчина, ул. Профессора Л.И. Русинова, д. 12</t>
  </si>
  <si>
    <t xml:space="preserve">ЭС,ТС,ХВС. Фасад с утеплением.  </t>
  </si>
  <si>
    <t>Г. Гатчина, ул. Профессора Л.И. Русинова, д. 14</t>
  </si>
  <si>
    <t>Г. Гатчина, ул. Профессора Л.И. Русинова, д. 18</t>
  </si>
  <si>
    <t>ЭС,ТС,ХВС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</si>
  <si>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</si>
  <si>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</si>
  <si>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</si>
  <si>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 xml:space="preserve">ЭС,ТС,ХВС. Фасад с утеплением. </t>
  </si>
  <si>
    <t>Г. Гатчина, ул. Профессора Л.И. Русинова, д. 6</t>
  </si>
  <si>
    <t>Г. Гатчина, ул. Профессора Л.И. Русинова, д. 8</t>
  </si>
  <si>
    <t>Г. Гатчина, ул. Рыбакова, д. 17</t>
  </si>
  <si>
    <t>ЭС,ТС,ВО</t>
  </si>
  <si>
    <t>Г. Гатчина, ул. Рыбакова, д. 5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</si>
  <si>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</si>
  <si>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</si>
  <si>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</si>
  <si>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</si>
  <si>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</si>
  <si>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</si>
  <si>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ХВС</t>
  </si>
  <si>
    <t>Г. Гатчина, ул. Рысева, д. 55</t>
  </si>
  <si>
    <t>Г. Гатчина, ул. Рысева, д. 57</t>
  </si>
  <si>
    <t>фасад с утепл.</t>
  </si>
  <si>
    <t>Г. Гатчина, ул. Рысева, д. 7</t>
  </si>
  <si>
    <t>ЭС, ХВС, ВО, фасад с утепл.</t>
  </si>
  <si>
    <t>Г. Гатчина, ул. Соборная, д. 10</t>
  </si>
  <si>
    <t>ХВС, ВО, фасад с утепл.</t>
  </si>
  <si>
    <t>Г. Гатчина, ул. Соборная, д. 14</t>
  </si>
  <si>
    <t>ТС, ХВС, фасад с утепл.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</si>
  <si>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</si>
  <si>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</si>
  <si>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</si>
  <si>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</si>
  <si>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</si>
  <si>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</si>
  <si>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</si>
  <si>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</si>
  <si>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</si>
  <si>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</si>
  <si>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</si>
  <si>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</si>
  <si>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ЭС, ВО, фасад с утепл.</t>
  </si>
  <si>
    <t>Г. Гатчина, ул. Сойту, д. 79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</si>
  <si>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</si>
  <si>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</si>
  <si>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</si>
  <si>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Товарная-Балтийская, д. 1</t>
  </si>
  <si>
    <t>Г. Гатчина, ул. Товарная-Балтийская, д. 2</t>
  </si>
  <si>
    <t>Г. Гатчина, ул. Урицкого, д. 10</t>
  </si>
  <si>
    <t>Г. Гатчина, ул. Урицкого, д. 12</t>
  </si>
  <si>
    <t>ЭС, ТС, ХВС, фасад с утепл.</t>
  </si>
  <si>
    <t>Г. Гатчина, ул. Урицкого, д. 14</t>
  </si>
  <si>
    <t>Г. Гатчина, ул. Урицкого, д. 16</t>
  </si>
  <si>
    <t>Г. Гатчина, ул. Урицкого, д. 17</t>
  </si>
  <si>
    <t>Г. Гатчина, ул. Урицкого, д. 2</t>
  </si>
  <si>
    <t>ЭС, ТС, ХВС, ВО, фасад с утрепл.</t>
  </si>
  <si>
    <t>Г. Гатчина, ул. Урицкого, д. 20</t>
  </si>
  <si>
    <t>Г. Гатчина, ул. Урицкого, д. 20А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</si>
  <si>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</si>
  <si>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</si>
  <si>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</si>
  <si>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</si>
  <si>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</si>
  <si>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</si>
  <si>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</si>
  <si>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</si>
  <si>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</si>
  <si>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</si>
  <si>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34</t>
  </si>
  <si>
    <t>ТС, ХВС, ГВС</t>
  </si>
  <si>
    <t>Г. Гатчина, ул. Урицкого, д. 35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</si>
  <si>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</si>
  <si>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</si>
  <si>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</si>
  <si>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</si>
  <si>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</si>
  <si>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ЭС, ТС, ХВС, ВО фасад с утепл.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</si>
  <si>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</si>
  <si>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</si>
  <si>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</si>
  <si>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</si>
  <si>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</si>
  <si>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</si>
  <si>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 xml:space="preserve">ЭС, ТС, ХВС, фасад с утепл. 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</si>
  <si>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</si>
  <si>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</si>
  <si>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</si>
  <si>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</si>
  <si>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</si>
  <si>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</si>
  <si>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</si>
  <si>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</si>
  <si>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</si>
  <si>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</si>
  <si>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</si>
  <si>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</si>
  <si>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</si>
  <si>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</si>
  <si>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</si>
  <si>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</si>
  <si>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</si>
  <si>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14</t>
  </si>
  <si>
    <t>Г. Гатчина, ул. Чехова, д. 16</t>
  </si>
  <si>
    <t>Г. Гатчина, ул. Чехова, д. 18</t>
  </si>
  <si>
    <t>Г. Гатчина, ул. Чехова, д. 19</t>
  </si>
  <si>
    <t>Г. Гатчина, ул. Чехова, д. 8</t>
  </si>
  <si>
    <t>ГВС, ХВС, фасад с утепл.</t>
  </si>
  <si>
    <t>Г. Гатчина, ул. Чкалова, д. 1/2</t>
  </si>
  <si>
    <t>Г. Гатчина, ул. Чкалова, д. 11</t>
  </si>
  <si>
    <t>ЭС, ТС, ГВС, ХВС, ВО, фасад с утепл.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</si>
  <si>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</si>
  <si>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</si>
  <si>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</si>
  <si>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22</t>
  </si>
  <si>
    <t>Г. Гатчина, ул. Чкалова, д. 3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</si>
  <si>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</si>
  <si>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</si>
  <si>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</si>
  <si>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</si>
  <si>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</si>
  <si>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</si>
  <si>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</si>
  <si>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</si>
  <si>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</si>
  <si>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</si>
  <si>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</si>
  <si>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</si>
  <si>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</si>
  <si>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</si>
  <si>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</si>
  <si>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</si>
  <si>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</si>
  <si>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</si>
  <si>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</si>
  <si>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</si>
  <si>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</si>
  <si>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</si>
  <si>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ш. Красносельское, д. 3</t>
  </si>
  <si>
    <t>Муниципальное образование Дружногорское городское поселение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</si>
  <si>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</si>
  <si>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</si>
  <si>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</si>
  <si>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7</t>
  </si>
  <si>
    <t>Пос. Дружная Горка, ул. Садовая, д. 8</t>
  </si>
  <si>
    <t>С. Орлино, ул. Новая, д. 4</t>
  </si>
  <si>
    <t>Муниципальное образование Кобринское сельское поселение</t>
  </si>
  <si>
    <t>Пос. Высокоключевой, ул. Торговая, д. 2</t>
  </si>
  <si>
    <t>Пос. Высокоключевой, ул. Торговая, д. 6</t>
  </si>
  <si>
    <t>Пос. Карташевская, ул. Советская, д. 25</t>
  </si>
  <si>
    <t>Пос. Кобринское, ул. Советских воинов, д. 7</t>
  </si>
  <si>
    <t>Пос. Кобринское, ул. Центральная, д. 24</t>
  </si>
  <si>
    <t>Пос. Кобринское, ул. Центральная, д. 28</t>
  </si>
  <si>
    <t>Пос. Кобринское, ул. Центральная, д. 9</t>
  </si>
  <si>
    <t>Муниципальное образование Коммунарское городское поселение</t>
  </si>
  <si>
    <t>Г. Коммунар, ул. Ленинградская, д. 1</t>
  </si>
  <si>
    <t>ЭС, ТС, ГВС, ХВС, фас.с ут.</t>
  </si>
  <si>
    <t>Г. Коммунар, ул. Ленинградская, д. 3</t>
  </si>
  <si>
    <t>Г. Коммунар, ул. Ленинградская, д. 5</t>
  </si>
  <si>
    <t>Г. Коммунар, ул. Ленинградская, д. 8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</si>
  <si>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</si>
  <si>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</si>
  <si>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</si>
  <si>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Торфяное, д. 10</t>
  </si>
  <si>
    <t>Муниципальное образование Пудомягское сельское поселение</t>
  </si>
  <si>
    <t>Дер. Покровская, д. 4</t>
  </si>
  <si>
    <t>Муниципальное образование Пудостьское сельское поселение</t>
  </si>
  <si>
    <t>Дер. Черново, д. 46</t>
  </si>
  <si>
    <t>Муниципальное образование Рождественское сельское поселение</t>
  </si>
  <si>
    <t>Дер. Батово, д. 8</t>
  </si>
  <si>
    <t>Муниципальное образование Сиверское городское поселение</t>
  </si>
  <si>
    <t>Г.п. Сиверский, ул. Красная, д. 57</t>
  </si>
  <si>
    <t>Г.п. Сиверский, ул. Советская, д. 15</t>
  </si>
  <si>
    <t>Пос. Дружноселье, ул. ДПБ, д. 1</t>
  </si>
  <si>
    <t>Пос. Дружноселье, ул. ДПБ, д. 2</t>
  </si>
  <si>
    <t>Муниципальное образование Сяськелевское сельское поселение</t>
  </si>
  <si>
    <t>Дер. Тойворово, д. 2/5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</si>
  <si>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</si>
  <si>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</si>
  <si>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</si>
  <si>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</si>
  <si>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Дер. Большие Тайцы, д. 26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</si>
  <si>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</si>
  <si>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</si>
  <si>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</si>
  <si>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Колхозная, д. 11</t>
  </si>
  <si>
    <t>Г.п. Тайцы, ул. Красногвардейская, д. 17</t>
  </si>
  <si>
    <t>Г.п. Тайцы, ул. Красногвардейская, д. 22</t>
  </si>
  <si>
    <t>Г.п. Тайцы, ул. Красногвардейская, д. 24</t>
  </si>
  <si>
    <t>Г.п. Тайцы, ул. Островского, д. 41</t>
  </si>
  <si>
    <t>Г.п. Тайцы, ул. Пушкина, д. 2</t>
  </si>
  <si>
    <t>Г.п. Тайцы, ул. Юного Ленинца, д. 108</t>
  </si>
  <si>
    <t>Г.п. Тайцы, ул. Юного Ленинца, д. 33</t>
  </si>
  <si>
    <t>Г.п. Тайцы, ул. Юного Ленинца, д. 51</t>
  </si>
  <si>
    <t>Г.п. Тайцы, ул. Юного Ленинца, д. 52</t>
  </si>
  <si>
    <t>Г.п. Тайцы, ул. Юного Ленинца, д. 92</t>
  </si>
  <si>
    <t>Итого по Гатчинскому муниципальному району</t>
  </si>
  <si>
    <t>Кингисеппский муниципальный район</t>
  </si>
  <si>
    <t>Муниципальное образование Город Ивангород</t>
  </si>
  <si>
    <t>Г. Ивангород, ул. Котовского, д. 2</t>
  </si>
  <si>
    <t>Г. Ивангород, ул. Льнопрядильная, д. 1</t>
  </si>
  <si>
    <t>Г. Ивангород, ул. Пионерская, д. 8</t>
  </si>
  <si>
    <t>Г. Ивангород, ул. Садовая, д. 3</t>
  </si>
  <si>
    <t>Г. Ивангород, ул. Текстильщиков, д. 3</t>
  </si>
  <si>
    <t>Г. Ивангород, ул. Текстильщиков, д. 6</t>
  </si>
  <si>
    <t>Муниципальное образование Кингисеппское городское поселение</t>
  </si>
  <si>
    <t xml:space="preserve">Г. Кингисепп, микрорайон Лесобиржа, ул. Клубная, д. 15 </t>
  </si>
  <si>
    <t>Г. Кингисепп, микрорайон Лесобиржа, ул. Набережная, д. 1</t>
  </si>
  <si>
    <t>Г. Кингисепп, просп. Карла Маркса, д. 14/13</t>
  </si>
  <si>
    <t>Г. Кингисепп, просп. Карла Маркса, д. 18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</si>
  <si>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</si>
  <si>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</si>
  <si>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</si>
  <si>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</si>
  <si>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</si>
  <si>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</si>
  <si>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</si>
  <si>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</si>
  <si>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</si>
  <si>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</si>
  <si>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</si>
  <si>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51</t>
  </si>
  <si>
    <t>Г. Кингисепп, пер. Аптекарский, д. 4</t>
  </si>
  <si>
    <t>Г. Кингисепп, б-р Большой , д. 11</t>
  </si>
  <si>
    <t>Г. Кингисепп, б-р Большой, д. 15</t>
  </si>
  <si>
    <t>Г. Кингисепп, б-р Большой, д. 17</t>
  </si>
  <si>
    <t>Г. Кингисепп, ул. Воскова, д. 27/6</t>
  </si>
  <si>
    <t>Г. Кингисепп, ул. Граничная, д. 27</t>
  </si>
  <si>
    <t>Г. Кингисепп, ул. Доронина, д. 32/13</t>
  </si>
  <si>
    <t>Г. Кингисепп, ул. Железнодорожная, д. 6</t>
  </si>
  <si>
    <t>Г. Кингисепп, ул. Жукова, д. 10А</t>
  </si>
  <si>
    <t>Г. Кингисепп, ул. Жукова, д. 12</t>
  </si>
  <si>
    <t>Г. Кингисепп, ул. Жукова, д. 14</t>
  </si>
  <si>
    <t>Г. Кингисепп, ул. Жукова, д. 4А</t>
  </si>
  <si>
    <t>Г. Кингисепп, ул. Жукова, д. 8а</t>
  </si>
  <si>
    <t>Г. Кингисепп, ул. Заречная, д. 10</t>
  </si>
  <si>
    <t>Г. Кингисепп, ул. Иванова, д. 35\29</t>
  </si>
  <si>
    <t>Г. Кингисепп, ул. Малая, д. 4</t>
  </si>
  <si>
    <t>Г. Кингисепп, ул. Малая, д. 8</t>
  </si>
  <si>
    <t>Г. Кингисепп, ш. Нарвское, д. 20</t>
  </si>
  <si>
    <t>Г. Кингисепп, ул. Октябрьская, д. 8</t>
  </si>
  <si>
    <t>Г. Кингисепп, ул. Театральная, д. 7</t>
  </si>
  <si>
    <t>Г. Кингисепп, ул. Театральная, д. 9</t>
  </si>
  <si>
    <t>Г. Кингисепп, ш. Крикковское, д. 10а</t>
  </si>
  <si>
    <t>Г. Кингисепп, ш. Крикковское, д. 12</t>
  </si>
  <si>
    <t>Г. Кингисепп, ш. Крикковское, д. 14</t>
  </si>
  <si>
    <t>Г. Кингисепп, ш. Крикковское, д. 35</t>
  </si>
  <si>
    <t>Г. Кингисепп, ш. Крикковское, д. 39</t>
  </si>
  <si>
    <t>Г. Кингисепп, ш. Крикковское, д. 6</t>
  </si>
  <si>
    <t>Муниципальное образование Котельское сельское поселение</t>
  </si>
  <si>
    <t>Дер. Котлы, д. 229</t>
  </si>
  <si>
    <t>Пос. Неппово, д. 24</t>
  </si>
  <si>
    <t>ССРО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</si>
  <si>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</si>
  <si>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</si>
  <si>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</si>
  <si>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Оболенского, д.52/2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</si>
  <si>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</si>
  <si>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</si>
  <si>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</si>
  <si>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</si>
  <si>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 xml:space="preserve">Итого по Кингисеппскому муниципальному району </t>
  </si>
  <si>
    <t>Киришский муниципальный район</t>
  </si>
  <si>
    <t>Муниципальное образование Будогощское городское поселение</t>
  </si>
  <si>
    <t>Г.п. Будогощь, ул. Делегатская, д. 1</t>
  </si>
  <si>
    <t>нет хвс</t>
  </si>
  <si>
    <t>Г.п. Будогощь, ул. Советская, д. 21</t>
  </si>
  <si>
    <t>Г.п. Будогощь, ул. Советская, д. 39</t>
  </si>
  <si>
    <t>нет подвала</t>
  </si>
  <si>
    <t>Муниципальное образование Глажевское сельское поселение</t>
  </si>
  <si>
    <t>нет ГВС,ХВС</t>
  </si>
  <si>
    <t>Дер. Бор, д. 2</t>
  </si>
  <si>
    <t>П.ст. Андреево, д. 2</t>
  </si>
  <si>
    <t>Пос. Глажево, д. 10</t>
  </si>
  <si>
    <t>Пос. Глажево, д. 1А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</si>
  <si>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</si>
  <si>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</si>
  <si>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</si>
  <si>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</si>
  <si>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</si>
  <si>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</si>
  <si>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</si>
  <si>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</si>
  <si>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Волховская набережная, д. 2</t>
  </si>
  <si>
    <t>Г. Кириши, пер. Березовый, д. 10</t>
  </si>
  <si>
    <t>Г. Кириши, пер. Школьный, д. 1</t>
  </si>
  <si>
    <t>просят добавить ПУ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</si>
  <si>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</si>
  <si>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</si>
  <si>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</si>
  <si>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Ленина, д. 17а</t>
  </si>
  <si>
    <t>Г. Кириши, просп. Ленина, д. 17в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</si>
  <si>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</si>
  <si>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</si>
  <si>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9</t>
  </si>
  <si>
    <t>Г. Кириши, ул. Комсомольская, д. 2</t>
  </si>
  <si>
    <t>Г. Кириши, ул. Мира, д. 17</t>
  </si>
  <si>
    <t>Г. Кириши, ул. Мира, д. 3</t>
  </si>
  <si>
    <t>Г. Кириши, ул. Нефтехимиков, д. 25</t>
  </si>
  <si>
    <t>Г. Кириши, ул. Пионерская, д. 1</t>
  </si>
  <si>
    <t>Г. Кириши, ул. Пионерская, д. 11</t>
  </si>
  <si>
    <t>Г. Кириши, ул. Пионерская, д. 4</t>
  </si>
  <si>
    <t>Г. Кириши, ул. Пионерская, д. 8</t>
  </si>
  <si>
    <t>Г. Кириши, ул. Романтиков, д. 11</t>
  </si>
  <si>
    <t>Г. Кириши, ул. Романтиков, д. 15</t>
  </si>
  <si>
    <t>Г. Кириши, ул. Романтиков, д. 9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</si>
  <si>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</si>
  <si>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</si>
  <si>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</si>
  <si>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17</t>
  </si>
  <si>
    <t>Г. Кириши, ул. Строителей, д. 10</t>
  </si>
  <si>
    <t>Г. Кириши, ул. Строителей, д. 11</t>
  </si>
  <si>
    <t>Г. Кириши, ул. Строителей, д. 16</t>
  </si>
  <si>
    <t>Г. Кириши, ул. Строителей, д. 2</t>
  </si>
  <si>
    <t>Г. Кириши, ул. Строителей, д. 26</t>
  </si>
  <si>
    <t>Г. Кириши, ул. Строителей, д. 6</t>
  </si>
  <si>
    <t>Г. Кириши, ул. Строителей, д. 6а</t>
  </si>
  <si>
    <t>Г. Кириши, ул. Строителей, д. 8</t>
  </si>
  <si>
    <t>Г. Кириши, ул. Энергетиков, д. 18</t>
  </si>
  <si>
    <t>Г. Кириши, ул. Энергетиков, д. 23</t>
  </si>
  <si>
    <t>Муниципальное образование Кусинское сельское поселение</t>
  </si>
  <si>
    <t>Дер. Кусино, ул. Центральная, д. 1</t>
  </si>
  <si>
    <t>убрать дом, т.к работы по ЭС выли выполнены в 2010 году, будут переносить на более поздний срок</t>
  </si>
  <si>
    <t>Дер. Кусино, ул. Центральная, д. 10</t>
  </si>
  <si>
    <t>Дер. Кусино, ул. Центральная, д. 11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</si>
  <si>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</si>
  <si>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</si>
  <si>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</si>
  <si>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</si>
  <si>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</si>
  <si>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</si>
  <si>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23</t>
  </si>
  <si>
    <t>Пос. Пчевжа, ул. Гагарина, д. 1</t>
  </si>
  <si>
    <t>Пос. Пчевжа, ул. Гагарина, д. 7</t>
  </si>
  <si>
    <t>Пос. Пчевжа, ул. Лесная, д. 12</t>
  </si>
  <si>
    <t>Пос. Пчевжа, ул. Лесная, д. 2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</si>
  <si>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</si>
  <si>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</si>
  <si>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</si>
  <si>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</si>
  <si>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</si>
  <si>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Итого по Киришскому муниципальному району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</si>
  <si>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</si>
  <si>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</si>
  <si>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2</t>
  </si>
  <si>
    <t>Г. Кировск, бул. Партизанской Славы, д. 4/2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</si>
  <si>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</si>
  <si>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</si>
  <si>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</si>
  <si>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</si>
  <si>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</si>
  <si>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</si>
  <si>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включить ПУ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</si>
  <si>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</si>
  <si>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</si>
  <si>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</si>
  <si>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</si>
  <si>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</si>
  <si>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</si>
  <si>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</si>
  <si>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</si>
  <si>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</si>
  <si>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</si>
  <si>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</si>
  <si>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</si>
  <si>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ХВС нет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</si>
  <si>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</si>
  <si>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</si>
  <si>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</si>
  <si>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</si>
  <si>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</si>
  <si>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</si>
  <si>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</si>
  <si>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</si>
  <si>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</si>
  <si>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КР ГВС в 2010 году</t>
  </si>
  <si>
    <t>Г. Кировск, ул. Кирова, д. 6</t>
  </si>
  <si>
    <t>Г. Кировск, ул. Комсомольская, д. 10</t>
  </si>
  <si>
    <t>Г. Кировск, ул. Комсомольская, д. 11</t>
  </si>
  <si>
    <t>КР ГВС в 2008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</si>
  <si>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</si>
  <si>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</si>
  <si>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</si>
  <si>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</si>
  <si>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</si>
  <si>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</si>
  <si>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</si>
  <si>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</si>
  <si>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</si>
  <si>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</si>
  <si>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</si>
  <si>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</si>
  <si>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</si>
  <si>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</si>
  <si>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</si>
  <si>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</si>
  <si>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</si>
  <si>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</si>
  <si>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</si>
  <si>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КР ГВС В 2008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</si>
  <si>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</si>
  <si>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</si>
  <si>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</si>
  <si>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</si>
  <si>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9/15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</si>
  <si>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</si>
  <si>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</si>
  <si>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</si>
  <si>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</si>
  <si>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</si>
  <si>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3</t>
  </si>
  <si>
    <t>Г. Кировск, ул. Набережная, д. 9</t>
  </si>
  <si>
    <t>Г. Кировск, ул. Новая, д. 11</t>
  </si>
  <si>
    <t>Г. Кировск, ул. Новая, д. 16</t>
  </si>
  <si>
    <t>Г. Кировск, ул. Новая, д. 18</t>
  </si>
  <si>
    <t>Г. Кировск, ул. Новая, д. 19</t>
  </si>
  <si>
    <t>Г. Кировск, ул. Новая, д. 22</t>
  </si>
  <si>
    <t>Г. Кировск, ул. Новая, д. 28</t>
  </si>
  <si>
    <t>Г. Кировск, ул. Новая, д. 38</t>
  </si>
  <si>
    <t>Лифты не нужгы</t>
  </si>
  <si>
    <t>Г. Кировск, ул. Новая, д. 7</t>
  </si>
  <si>
    <t>Г. Кировск, ул. Пионерская, д. 1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</si>
  <si>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</si>
  <si>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</si>
  <si>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</si>
  <si>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</si>
  <si>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</si>
  <si>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</si>
  <si>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</si>
  <si>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</si>
  <si>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</si>
  <si>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</si>
  <si>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</si>
  <si>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</si>
  <si>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</si>
  <si>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</si>
  <si>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</si>
  <si>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</si>
  <si>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</si>
  <si>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</si>
  <si>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</si>
  <si>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</si>
  <si>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3</t>
  </si>
  <si>
    <t>Г. Кировск, ул. Северная, д. 5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</si>
  <si>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</si>
  <si>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</si>
  <si>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</si>
  <si>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</si>
  <si>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</si>
  <si>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</si>
  <si>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</si>
  <si>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</si>
  <si>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</si>
  <si>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</si>
  <si>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</si>
  <si>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</si>
  <si>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КР  ГВС был в 2008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</si>
  <si>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</si>
  <si>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</si>
  <si>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</si>
  <si>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</si>
  <si>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</si>
  <si>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2</t>
  </si>
  <si>
    <t>Пос. Молодцово, д. 1</t>
  </si>
  <si>
    <t>Пос. Молодцово, д. 2</t>
  </si>
  <si>
    <t>Пос. Молодцово, д. 3</t>
  </si>
  <si>
    <t>Муниципальное образование Мгинское городское поселение</t>
  </si>
  <si>
    <t>Г.п. Мга, просп. Комсомольский, д. 100</t>
  </si>
  <si>
    <t>Г.п. Мга, просп. Советский, д. 65</t>
  </si>
  <si>
    <t>Г.п. Мга, ул. Вокзальная, д. 3</t>
  </si>
  <si>
    <t>Г.п. Мга, ул. Вокзальная, д. 4</t>
  </si>
  <si>
    <t>Г.п. Мга, ул. Железнодорожная, д. 73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</si>
  <si>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</si>
  <si>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</si>
  <si>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</si>
  <si>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</si>
  <si>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</si>
  <si>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</si>
  <si>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</si>
  <si>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</si>
  <si>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</si>
  <si>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2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</si>
  <si>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</si>
  <si>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</si>
  <si>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</si>
  <si>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</si>
  <si>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</si>
  <si>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</si>
  <si>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15Б</t>
  </si>
  <si>
    <t>Пос. Назия, просп. Школьный, д. 27</t>
  </si>
  <si>
    <t>Пос. Назия, ул. Артеменко, д. 2</t>
  </si>
  <si>
    <t>Пос. Назия, ул. Артеменко, д. 4</t>
  </si>
  <si>
    <t>включила работы по крыши по комиссии от 13.02.2019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</si>
  <si>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</si>
  <si>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</si>
  <si>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</si>
  <si>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</si>
  <si>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</si>
  <si>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</si>
  <si>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</si>
  <si>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</si>
  <si>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</si>
  <si>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</si>
  <si>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</si>
  <si>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</si>
  <si>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</si>
  <si>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</si>
  <si>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</si>
  <si>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</si>
  <si>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</si>
  <si>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</si>
  <si>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</si>
  <si>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</si>
  <si>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</si>
  <si>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Строителей, д. 2</t>
  </si>
  <si>
    <t>Пос. Назия, ул. Строителей, д. 4</t>
  </si>
  <si>
    <t>Пос. Назия, ул. Торфяников, д. 6</t>
  </si>
  <si>
    <t>включить работы по подъезду, в прогамме нет указаний, но есть 2 подъезда</t>
  </si>
  <si>
    <t>Муниципальное образование Отрадненское городское поселение</t>
  </si>
  <si>
    <t>Г. Отрадное, ул. Вокзальная, д. 4</t>
  </si>
  <si>
    <t>Г. Отрадное, ул. Строителей, д. 3</t>
  </si>
  <si>
    <t>Муниципальное образование Павловское городское поселение</t>
  </si>
  <si>
    <t>Г.п. Павлово, ул. Невская, д. 9</t>
  </si>
  <si>
    <t>Г.п. Павлово, ул. Советская, д. 3</t>
  </si>
  <si>
    <t>Муниципальное образование Приладожское городское поселение</t>
  </si>
  <si>
    <t>Г.п. Приладожский, д. 1</t>
  </si>
  <si>
    <t>Г.п. Приладожский, д. 2</t>
  </si>
  <si>
    <t>Муниципальное образование Путиловское  сельское поселение</t>
  </si>
  <si>
    <t>Дер. Валовщина, ул. Новая, д. 1</t>
  </si>
  <si>
    <t>просят включить рапботы по фундаменту и УУ</t>
  </si>
  <si>
    <t>Дер. Валовщина, ул. Новая, д. 2</t>
  </si>
  <si>
    <t>Дер. Валовщина, ул. Новая, д. 3</t>
  </si>
  <si>
    <t>С. Путилово, ул. Братьев Пожарских, д. 22</t>
  </si>
  <si>
    <t>С. Путилово, ул. Братьев Пожарских, д. 23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</si>
  <si>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</si>
  <si>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</si>
  <si>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</si>
  <si>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</si>
  <si>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</si>
  <si>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</si>
  <si>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</si>
  <si>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Г.п. Синявино, ул. Победы, д. 1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</si>
  <si>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</si>
  <si>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</si>
  <si>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</si>
  <si>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</si>
  <si>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</si>
  <si>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ошибка в прог-ме, крыша была в этапе 2014-2016</t>
  </si>
  <si>
    <t>Дер. Выстав, д. 26</t>
  </si>
  <si>
    <t>Дер. Лаврово, ул. Центральная, д. 1</t>
  </si>
  <si>
    <t>Дер. Низово, д. 35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</si>
  <si>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</si>
  <si>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</si>
  <si>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</si>
  <si>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</si>
  <si>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</si>
  <si>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</si>
  <si>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</si>
  <si>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</si>
  <si>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</si>
  <si>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</si>
  <si>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</si>
  <si>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</si>
  <si>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</si>
  <si>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4</t>
  </si>
  <si>
    <t>Г. Шлиссельбург, ул. 1 Мая, д. 8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</si>
  <si>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</si>
  <si>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</si>
  <si>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</si>
  <si>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</si>
  <si>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</si>
  <si>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</si>
  <si>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</si>
  <si>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</si>
  <si>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</si>
  <si>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</si>
  <si>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</si>
  <si>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</si>
  <si>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</si>
  <si>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</si>
  <si>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Малоневский канал, д. 11</t>
  </si>
  <si>
    <t>Г. Шлиссельбург, ул. Малоневский канал, д. 13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</si>
  <si>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</si>
  <si>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</si>
  <si>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</si>
  <si>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</si>
  <si>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</si>
  <si>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</si>
  <si>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</si>
  <si>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</si>
  <si>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</si>
  <si>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</si>
  <si>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</si>
  <si>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</si>
  <si>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</si>
  <si>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</si>
  <si>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</si>
  <si>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</si>
  <si>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</si>
  <si>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</si>
  <si>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</si>
  <si>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</si>
  <si>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</si>
  <si>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</si>
  <si>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Итого по Кировскому району:</t>
  </si>
  <si>
    <t>Лодейнопольский муниципальный район</t>
  </si>
  <si>
    <t>Муниципальное образование Доможировское сельское поселение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</si>
  <si>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</si>
  <si>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</si>
  <si>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</si>
  <si>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</si>
  <si>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</si>
  <si>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</si>
  <si>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</si>
  <si>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</si>
  <si>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</si>
  <si>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</si>
  <si>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7</t>
  </si>
  <si>
    <t>Г. Лодейное Поле, пер. Рабочий, д. 8а</t>
  </si>
  <si>
    <t>Г. Лодейное Поле, ул. Гагарина, д. 11</t>
  </si>
  <si>
    <t>ХВС, ВО, ЭС</t>
  </si>
  <si>
    <t>Г. Лодейное Поле, ул. Гагарина, д. 12</t>
  </si>
  <si>
    <t>ЭС, ТС, ГВС+ХВС, ВО</t>
  </si>
  <si>
    <t>Г. Лодейное Поле, ул.  Гагарина, д. 13</t>
  </si>
  <si>
    <t>ТС, (ХВС+ГВС)</t>
  </si>
  <si>
    <t>Г. Лодейное Поле, ул. Гагарина, д. 16</t>
  </si>
  <si>
    <t>ЭС, ТС, ХВС+ГВС</t>
  </si>
  <si>
    <t>Г. Лодейное Поле, ул. Гагарина, д. 18</t>
  </si>
  <si>
    <t>Г. Лодейное Поле, ул.Гагарина, д. 20</t>
  </si>
  <si>
    <t>ЭС, ТС, ГВС+ХВС</t>
  </si>
  <si>
    <t>Г. Лодейное Поле, ул. Гагарина, д. 21</t>
  </si>
  <si>
    <t>ЭС; фасад с утеплением</t>
  </si>
  <si>
    <t>Г. Лодейное Поле, ул. Гагарина, д. 4</t>
  </si>
  <si>
    <t>Г. Лодейное Поле, ул. Гагарина, д. 6, кор. 1</t>
  </si>
  <si>
    <t>ЭС,ТС,(ХВС+ГВС) ; фасад с утеплением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</si>
  <si>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</si>
  <si>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</si>
  <si>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</si>
  <si>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</si>
  <si>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</si>
  <si>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ЭС,ТС,(ХВС+ГВС),ВО</t>
  </si>
  <si>
    <t>Г. Лодейное Поле, просп. Октябрьский, д. 69</t>
  </si>
  <si>
    <t>Г. Лодейное Поле, просп. Октябрьский, д. 91</t>
  </si>
  <si>
    <t>Г. Лодейное Поле, просп. Урицкого, д. 12</t>
  </si>
  <si>
    <t xml:space="preserve">По факту и сметы  - 4  эт.  По данным УК- 3 эт-это ошибка? уточнить! 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</si>
  <si>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</si>
  <si>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</si>
  <si>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</si>
  <si>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</si>
  <si>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</si>
  <si>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</si>
  <si>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</si>
  <si>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4</t>
  </si>
  <si>
    <t>ЭС,ТС,(ХВС+ГВС), ВО</t>
  </si>
  <si>
    <t>Г. Лодейное Поле, просп. Урицкого, д. 5</t>
  </si>
  <si>
    <t>Г. Лодейное Поле, просп. Урицкого, д. 7</t>
  </si>
  <si>
    <t>Г. Лодейное Поле, просп. Урицкого, д. 8, кор. А</t>
  </si>
  <si>
    <t>ЭС,ТС,(ХВС+ГВС)</t>
  </si>
  <si>
    <t>Г. Лодейное Поле, просп. Урицкого, д. 9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</si>
  <si>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</si>
  <si>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</si>
  <si>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</si>
  <si>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ЭС, (ХВС+ГВС)</t>
  </si>
  <si>
    <t>Г. Лодейное Поле, ул. Володарского, д. 30</t>
  </si>
  <si>
    <t>Г. Лодейное Поле, ул. Володарского, д. 33</t>
  </si>
  <si>
    <t>ЭС,ХВС,ВО,ТС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</si>
  <si>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</si>
  <si>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</si>
  <si>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</si>
  <si>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ЭС,ГВС+ХВС, ТС,ВО</t>
  </si>
  <si>
    <t>Г. Лодейное Поле, ул. Володарского, д. 40</t>
  </si>
  <si>
    <t>Г. Лодейное Поле, ул. Володарского, д. 49</t>
  </si>
  <si>
    <t>ЭС,ТС, ГВС+ХВС</t>
  </si>
  <si>
    <t>Г. Лодейное Поле, ул. имени Дмитрия Арсенова, д. 1</t>
  </si>
  <si>
    <t>Г. Лодейное Поле, ул. имени Дмитрия Арсенова, д. 2а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</si>
  <si>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</si>
  <si>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</si>
  <si>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</si>
  <si>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</si>
  <si>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</si>
  <si>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</si>
  <si>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ВО,ЭС, ТС, ХВС+ГВС</t>
  </si>
  <si>
    <t>Г. Лодейное Поле, ул. Карла Маркса, д. 33а</t>
  </si>
  <si>
    <t>ЭС,ТС,ВО,ХВС</t>
  </si>
  <si>
    <t>Г. Лодейное Поле, ул. Карла Маркса, д. 35</t>
  </si>
  <si>
    <t xml:space="preserve">ЭС, ТС, ХВС </t>
  </si>
  <si>
    <t>Г. Лодейное Поле, ул. Карла Маркса, д. 44</t>
  </si>
  <si>
    <t>ЭС, ХВС, ВО, ТС</t>
  </si>
  <si>
    <t>Г. Лодейное Поле, ул. Карла Маркса, д. 46</t>
  </si>
  <si>
    <t>Г. Лодейное Поле, ул. Карла Маркса, д. 48</t>
  </si>
  <si>
    <t>ЭС, ХВС, ВО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</si>
  <si>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</si>
  <si>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</si>
  <si>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</si>
  <si>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</si>
  <si>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24</t>
  </si>
  <si>
    <t>ЭС, ХВС, ТС, ВО</t>
  </si>
  <si>
    <t>Г. Лодейное Поле, пр. Ленина, д. 29</t>
  </si>
  <si>
    <t>Г. Лодейное Поле, пр. Ленина, д. 31</t>
  </si>
  <si>
    <t>Г. Лодейное Поле, пр. Ленина, д. 33</t>
  </si>
  <si>
    <t>ЭС, ТС, ХВС,ВО</t>
  </si>
  <si>
    <t>Г. Лодейное Поле, пр. Ленина, д. 37</t>
  </si>
  <si>
    <t>Г. Лодейное Поле, пр. Ленина, д. 38</t>
  </si>
  <si>
    <t>ЭС, ХВС, ТС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</si>
  <si>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</si>
  <si>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</si>
  <si>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</si>
  <si>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</si>
  <si>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ЭС, ХВС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</si>
  <si>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</si>
  <si>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</si>
  <si>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</si>
  <si>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</si>
  <si>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Г. Лодейное Поле, пр. Ленина, д. 98, кор. Б</t>
  </si>
  <si>
    <t>Г. Лодейное Поле, пр. Ленина, д. 98, кор. В</t>
  </si>
  <si>
    <t>Г. Лодейное Поле, пр. Ленина, д. 98, кор. Г</t>
  </si>
  <si>
    <t>Г. Лодейное Поле, ул. Ленина, д. 98, кор. Д</t>
  </si>
  <si>
    <t>Г. Лодейное Поле, ул. Лесная, д. 14</t>
  </si>
  <si>
    <t>ВО, ЭС. Фасад с утепл.</t>
  </si>
  <si>
    <t>Г. Лодейное Поле, ул. Набережная, д. 1</t>
  </si>
  <si>
    <t>Фасад с утепл.</t>
  </si>
  <si>
    <t>Г. Лодейное Поле, ул. Набережная, д. 17, кор. 1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</si>
  <si>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</si>
  <si>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</si>
  <si>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</si>
  <si>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</si>
  <si>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</si>
  <si>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</si>
  <si>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</si>
  <si>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</si>
  <si>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</si>
  <si>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</si>
  <si>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</si>
  <si>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</si>
  <si>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</si>
  <si>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</si>
  <si>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</si>
  <si>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</si>
  <si>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13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</si>
  <si>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</si>
  <si>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</si>
  <si>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</si>
  <si>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</si>
  <si>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</si>
  <si>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</si>
  <si>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</si>
  <si>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</si>
  <si>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</si>
  <si>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ЭС, ТС, ВО, ХВС</t>
  </si>
  <si>
    <t>Г. Лодейное Поле, ул. Республиканская, д. 5</t>
  </si>
  <si>
    <t>Г. Лодейное Поле, ул. Республиканская, д. 7</t>
  </si>
  <si>
    <t>ЭС ,ХВС,ВО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</si>
  <si>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</si>
  <si>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</si>
  <si>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</si>
  <si>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</si>
  <si>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</si>
  <si>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</si>
  <si>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</si>
  <si>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</si>
  <si>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</si>
  <si>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</si>
  <si>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</si>
  <si>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</si>
  <si>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</si>
  <si>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</si>
  <si>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</si>
  <si>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</si>
  <si>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</si>
  <si>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Ударника, д. 3</t>
  </si>
  <si>
    <t>ЭС,ВО</t>
  </si>
  <si>
    <t>Г. Лодейное Поле, ул. Ударника, д. 4</t>
  </si>
  <si>
    <t>Г. Лодейное Поле, ул. Ударника, д. 5</t>
  </si>
  <si>
    <t xml:space="preserve"> ВО</t>
  </si>
  <si>
    <t>Г. Лодейное Поле, ул. Ударника, д. 7</t>
  </si>
  <si>
    <t>Г. Лодейное Поле, ул. Ударника, д. 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</si>
  <si>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</si>
  <si>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</si>
  <si>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</si>
  <si>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</si>
  <si>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</si>
  <si>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</si>
  <si>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ВО,ЭС,ХВС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</si>
  <si>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</si>
  <si>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</si>
  <si>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</si>
  <si>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</si>
  <si>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</si>
  <si>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</si>
  <si>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ЭС,ХВС,ВО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</si>
  <si>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</si>
  <si>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</si>
  <si>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</si>
  <si>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ЭС,ХВС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</si>
  <si>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</si>
  <si>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</si>
  <si>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</si>
  <si>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</si>
  <si>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</si>
  <si>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</si>
  <si>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</si>
  <si>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</si>
  <si>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</si>
  <si>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</si>
  <si>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Итого по Лодейнопольскому муниципальному району</t>
  </si>
  <si>
    <t>Ломоносовский муниципальный район</t>
  </si>
  <si>
    <t>Муниципальное образование Низинское сельское поселение</t>
  </si>
  <si>
    <t>Дер. Низино, ш. Санинское, д. 3</t>
  </si>
  <si>
    <t>Дер. Низино, ш. Санинское, д. 5</t>
  </si>
  <si>
    <t>Дер. Низино, ш. Санинское, д. 7</t>
  </si>
  <si>
    <t>Муниципальное образование Аннинское городское поселение</t>
  </si>
  <si>
    <t>Г.п. Новоселье, д. 13</t>
  </si>
  <si>
    <t>Г.п. Новоселье, д. 15</t>
  </si>
  <si>
    <t>Г.п. Новоселье, д. 152</t>
  </si>
  <si>
    <t>Г.п. Новоселье, д. 155</t>
  </si>
  <si>
    <t>Г.п. Новоселье, д. 156</t>
  </si>
  <si>
    <t>Г.п. Новоселье, д. 157</t>
  </si>
  <si>
    <t>Г.п. Новоселье, д. 160</t>
  </si>
  <si>
    <t>Г.п. Новоселье, д. 167</t>
  </si>
  <si>
    <t>Г.п. Новоселье, д. 5</t>
  </si>
  <si>
    <t>Пос. Аннино, ул. 10 Пятилетки, д. 1</t>
  </si>
  <si>
    <t>Пос. Аннино, ул. 10 Пятилетки, д. 4</t>
  </si>
  <si>
    <t>Пос. Аннино, ул. Центральная, д. 2</t>
  </si>
  <si>
    <t>Пос. Аннино, ул. Центральная, д. 3</t>
  </si>
  <si>
    <t>Муниципальное образование Большеижорское городское поселение</t>
  </si>
  <si>
    <t>Пгт. Большая Ижора, ул. Луговая, д. 27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</si>
  <si>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</si>
  <si>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</si>
  <si>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</si>
  <si>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</si>
  <si>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72</t>
  </si>
  <si>
    <t>Муниципальное образование Виллозское городское поселение</t>
  </si>
  <si>
    <t>Г.п. Виллози, д. 14</t>
  </si>
  <si>
    <t>Дер. Малое Карлино, д. 10</t>
  </si>
  <si>
    <t>Дер. Малое Карлино, д. 12</t>
  </si>
  <si>
    <t>Дер. Малое Карлино, д. 20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</si>
  <si>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</si>
  <si>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</si>
  <si>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</si>
  <si>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12</t>
  </si>
  <si>
    <t>Дер. Горбунки, д. 14, кор. 1,2,3</t>
  </si>
  <si>
    <t>Дер. Горбунки, д. 2</t>
  </si>
  <si>
    <t>Дер. Горбунки, д. 3</t>
  </si>
  <si>
    <t>Дер. Горбунки, д. 4</t>
  </si>
  <si>
    <t>Дер. Горбунки, д. 5</t>
  </si>
  <si>
    <t>Дер. Горбунки, д. 6</t>
  </si>
  <si>
    <t>Дер. Горбунки, д. 7</t>
  </si>
  <si>
    <t>Дер. Горбунки, д. 8</t>
  </si>
  <si>
    <t>Дер. Разбегаево, д. 28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</si>
  <si>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</si>
  <si>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</si>
  <si>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</si>
  <si>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</si>
  <si>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</si>
  <si>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8</t>
  </si>
  <si>
    <t>Дер. Гостилицы, ул. Центральная, д. 9</t>
  </si>
  <si>
    <t>Дер. Гостилицы, ул. Школьная, д. 9</t>
  </si>
  <si>
    <t>Дер. Красный Бор, ул. Советская, д. 17</t>
  </si>
  <si>
    <t>Дер. Красный Бор, ул. Советская, д. 19</t>
  </si>
  <si>
    <t>Муниципальное образование Копорское сельское поселение</t>
  </si>
  <si>
    <t>Дер. Широково, д. 20</t>
  </si>
  <si>
    <t>Муниципальное образование Лаголовское сельское поселение</t>
  </si>
  <si>
    <t>Дер. Лаголово, ул. Садовая, д. 1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</si>
  <si>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</si>
  <si>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</si>
  <si>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</si>
  <si>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</si>
  <si>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</si>
  <si>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</si>
  <si>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</si>
  <si>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</si>
  <si>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</si>
  <si>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</si>
  <si>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</si>
  <si>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27</t>
  </si>
  <si>
    <t>Дер. Гора-Валдай, д. 59</t>
  </si>
  <si>
    <t>Пос. Лебяжье, ул. Комсомольская, д. 3</t>
  </si>
  <si>
    <t>Пос. Лебяжье, ул. Комсомольская, д. 7</t>
  </si>
  <si>
    <t>Пос. Лебяжье, ул. Пляжная, д. 24</t>
  </si>
  <si>
    <t>Пос. Лебяжье, ул. Пляжная, д. 5</t>
  </si>
  <si>
    <t>Пос. Лебяжье, ул. Пляжная, д. 7</t>
  </si>
  <si>
    <t>Пос. Лебяжье, ул. Степаняна, д. 8</t>
  </si>
  <si>
    <t>Муниципальное образование Лопухинское сельское поселение</t>
  </si>
  <si>
    <t>Дер. Глобицы, ул. Героев, д. 18а</t>
  </si>
  <si>
    <t>Дер. Глобицы, ул. Героев, д. 20б</t>
  </si>
  <si>
    <t>Дер. Глобицы, ул. Героев, д. 8</t>
  </si>
  <si>
    <t>Дер. Горки, д. 10</t>
  </si>
  <si>
    <t>Дер. Горки, д. 12</t>
  </si>
  <si>
    <t>Дер. Заостровье, д. 6</t>
  </si>
  <si>
    <t>Дер. Лопухинка, ул. Мира, д. 13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</si>
  <si>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</si>
  <si>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</si>
  <si>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</si>
  <si>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</si>
  <si>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11</t>
  </si>
  <si>
    <t>Муниципальное образование Оржицкое сельское поселение</t>
  </si>
  <si>
    <t>Дер. Оржицы, д. 14</t>
  </si>
  <si>
    <t>Дер. Оржицы, д. 24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</si>
  <si>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</si>
  <si>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</si>
  <si>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</si>
  <si>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</si>
  <si>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</si>
  <si>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</si>
  <si>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</si>
  <si>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</si>
  <si>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Муниципальное образование Ропшинское сельское поселение</t>
  </si>
  <si>
    <t>Пос. Ропша, д. 2/15</t>
  </si>
  <si>
    <t>Пос. Ропша, д. 2/16</t>
  </si>
  <si>
    <t>Пос. Ропша, д. 2/2</t>
  </si>
  <si>
    <t>Пос. Ропша, д. 2/3</t>
  </si>
  <si>
    <t>Муниципальное образование Русско-Высоцкое сельское поселение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</si>
  <si>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</si>
  <si>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</si>
  <si>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</si>
  <si>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</si>
  <si>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</si>
  <si>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</si>
  <si>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</si>
  <si>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</si>
  <si>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</si>
  <si>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Итого по Ломоносовскому муниципальному району</t>
  </si>
  <si>
    <t>Подпорожский муниципальный район</t>
  </si>
  <si>
    <t>Муниципальное образование Важинское городское поселение</t>
  </si>
  <si>
    <t>Г.п. Важины, ул. Осташева, д. 14</t>
  </si>
  <si>
    <t>Г.п. Важины, ул. Осташева, д. 7</t>
  </si>
  <si>
    <t>Г.п. Важины, ул. Школьная, д. 4</t>
  </si>
  <si>
    <t>Г.п. Важины, ул. Школьная, д. 5</t>
  </si>
  <si>
    <t>Г.п. Важины, ул. Школьная, д. 7а</t>
  </si>
  <si>
    <t>Муниципальное образование Винницкое сельское поселение</t>
  </si>
  <si>
    <t>С. Винницы, ул. 50 лет ВЛКСМ, д.8</t>
  </si>
  <si>
    <t>С. Винницы, ул. Коммунальная, д. 2</t>
  </si>
  <si>
    <t>С. Винницы, ул. Комсомольская, д. 4</t>
  </si>
  <si>
    <t>С. Винницы, ул. Лесная, д. 12</t>
  </si>
  <si>
    <t>С. Винницы, ул. Лесная, д. 14</t>
  </si>
  <si>
    <t>С. Винницы, ул. Советская, д. 83</t>
  </si>
  <si>
    <t>С. Винницы, ул. Советская, д. 96</t>
  </si>
  <si>
    <t>Муниципальное образование Никольское городское поселение</t>
  </si>
  <si>
    <t>Г. Никольский, ул. Новая, д. 2</t>
  </si>
  <si>
    <t>Г. Никольский, ул. Новая, д. 4</t>
  </si>
  <si>
    <t>Г. Никольский, ул. Новая, д. 5</t>
  </si>
  <si>
    <t>Г. Никольский, ул. Новая, д. 7</t>
  </si>
  <si>
    <t>Муниципальное образование Подпорожское городское поселение</t>
  </si>
  <si>
    <t>Г. Подпорожье, просп. Ленина, д. 14</t>
  </si>
  <si>
    <t>Г. Подпорожье, просп. Механический, д. 36</t>
  </si>
  <si>
    <t>Г. Подпорожье, ул. Красноармейская, д. 13</t>
  </si>
  <si>
    <t>Г. Подпорожье, ул. Свирская, д. 27</t>
  </si>
  <si>
    <t>Г. Подпорожье, ул. Свирская, д. 36</t>
  </si>
  <si>
    <t>Г. Подпорожье, ул. Свирская, д. 38</t>
  </si>
  <si>
    <t>Г. Подпорожье, ул. Свирская, д. 62</t>
  </si>
  <si>
    <t>Г. Подпорожье, ул. Свирская, д. 82</t>
  </si>
  <si>
    <t>Итого по Подпорожскому муниципальному району</t>
  </si>
  <si>
    <t>теплосн+хвс</t>
  </si>
  <si>
    <t>электр</t>
  </si>
  <si>
    <t>Приозерский муниципальный район</t>
  </si>
  <si>
    <t>Муниципальное образование Громовское сельское поселение</t>
  </si>
  <si>
    <t>Пос. Громово, ул. Центральная, д. 5</t>
  </si>
  <si>
    <t>Пос. станция Громово, ул. Строителей, д. 1</t>
  </si>
  <si>
    <t>Пос. станция Громово, ул. Строителей, д. 2</t>
  </si>
  <si>
    <t>Пос. станция Громово, ул. Строителей, д. 3</t>
  </si>
  <si>
    <t>Пос. станция Громово, ул. Шоссейная, д. 4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</si>
  <si>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</si>
  <si>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</si>
  <si>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</si>
  <si>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</si>
  <si>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Муниципальное образование Ларионовское сельское поселение</t>
  </si>
  <si>
    <t>Пос. Коммунары, ул. Садовая, д. 17</t>
  </si>
  <si>
    <t>Пос. Коммунары, ул. Центральная, д. 2</t>
  </si>
  <si>
    <t>Пос. Коммунары, ул. Центральная, д. 5</t>
  </si>
  <si>
    <t>Пос. Моторное, ул. Садовая, д. 3</t>
  </si>
  <si>
    <t>Муниципальное образование Мельниковское сельское поселение</t>
  </si>
  <si>
    <t>Пос. Мельниково, ул. Калинина, д. 6</t>
  </si>
  <si>
    <t>Пос. Мельниково, ул. Ленинградская, д. 34</t>
  </si>
  <si>
    <t>Пос. Мельниково, ул. Ленинградская, д. 34а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</si>
  <si>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</si>
  <si>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</si>
  <si>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</si>
  <si>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</si>
  <si>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</si>
  <si>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</si>
  <si>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</si>
  <si>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</si>
  <si>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</si>
  <si>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</si>
  <si>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</si>
  <si>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</si>
  <si>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</si>
  <si>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</si>
  <si>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Приозерское городское поселение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</si>
  <si>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</si>
  <si>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</si>
  <si>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</si>
  <si>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</si>
  <si>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Гагарина, д. 11</t>
  </si>
  <si>
    <t>Г. Приозерск, ул. Гагарина, д. 13</t>
  </si>
  <si>
    <t>Г. Приозерск, ул. Гагарина, д. 15</t>
  </si>
  <si>
    <t>Г. Приозерск, ул. Гагарина, д. 7</t>
  </si>
  <si>
    <t>Г. Приозерск, ул. Гагарина, д. 9</t>
  </si>
  <si>
    <t>Г. Приозерск, ул. Калинина, д. 32</t>
  </si>
  <si>
    <t>Г. Приозерск, ул. Кокорина, д. 3</t>
  </si>
  <si>
    <t>Г. Приозерск, ул. Крупской, д. 5</t>
  </si>
  <si>
    <t>Г. Приозерск, ул. Куйбышева, д. 3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</si>
  <si>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</si>
  <si>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</si>
  <si>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</si>
  <si>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</si>
  <si>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</si>
  <si>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</si>
  <si>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</si>
  <si>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</si>
  <si>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60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</si>
  <si>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</si>
  <si>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</si>
  <si>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</si>
  <si>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</si>
  <si>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</si>
  <si>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</si>
  <si>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</si>
  <si>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</si>
  <si>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</si>
  <si>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</si>
  <si>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</si>
  <si>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</si>
  <si>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</si>
  <si>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Советская, д. 11</t>
  </si>
  <si>
    <t>Г. Приозерск, ул. Советская, д. 3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</si>
  <si>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</si>
  <si>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</si>
  <si>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</si>
  <si>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2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</si>
  <si>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</si>
  <si>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</si>
  <si>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</si>
  <si>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</si>
  <si>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</si>
  <si>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</si>
  <si>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</si>
  <si>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поселение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</si>
  <si>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</si>
  <si>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</si>
  <si>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</si>
  <si>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</si>
  <si>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</si>
  <si>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</si>
  <si>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</si>
  <si>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</si>
  <si>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</si>
  <si>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</si>
  <si>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</si>
  <si>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</si>
  <si>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</si>
  <si>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</si>
  <si>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</si>
  <si>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</si>
  <si>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</si>
  <si>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</si>
  <si>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</si>
  <si>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</si>
  <si>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</si>
  <si>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</si>
  <si>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</si>
  <si>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</si>
  <si>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</si>
  <si>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7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</si>
  <si>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</si>
  <si>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</si>
  <si>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</si>
  <si>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Муниципальное образование Сосновское сельское поселение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</si>
  <si>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</si>
  <si>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</si>
  <si>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</si>
  <si>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</si>
  <si>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</si>
  <si>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</si>
  <si>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</si>
  <si>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</si>
  <si>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3</t>
  </si>
  <si>
    <t>Дер. Снегиревка, ул. Набережная, д. 10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</si>
  <si>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</si>
  <si>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</si>
  <si>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</si>
  <si>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</si>
  <si>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</si>
  <si>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</si>
  <si>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</si>
  <si>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Пос. Сосново, пер. Озерный, д. 1</t>
  </si>
  <si>
    <t>Пос. Сосново, пер. Станционный, д. 7</t>
  </si>
  <si>
    <t>Пос. Сосново, ул. Железнодорожная, д. 51</t>
  </si>
  <si>
    <t>Пос. Сосново, ул. Железнодорожная,   д. 55</t>
  </si>
  <si>
    <t>Пос. Сосново, ул. Ленинградская, д. 7</t>
  </si>
  <si>
    <t>Пос. Сосново, ул. Ленинградская, д. 9</t>
  </si>
  <si>
    <t>Пос. Сосново, ул. Механизаторов, д. 3</t>
  </si>
  <si>
    <t>Пос. Сосново, ул. Механизаторов, д. 5</t>
  </si>
  <si>
    <t>Пос. Сосново, ул. Никитина, д. 5</t>
  </si>
  <si>
    <t>Пос. Сосново, ул. Первомайская, д. 5</t>
  </si>
  <si>
    <t>Пос. Сосново, ул. Рощинская, д. 3</t>
  </si>
  <si>
    <t>Пос.Сосново, пер. Цветочный, д. 15а</t>
  </si>
  <si>
    <t>Пос.Сосново, пер. Цветочный, д. 2</t>
  </si>
  <si>
    <t>Итого по Приозерскому муниципальному району</t>
  </si>
  <si>
    <t>Сланцевский муниципальный район</t>
  </si>
  <si>
    <t>во</t>
  </si>
  <si>
    <t>гвс</t>
  </si>
  <si>
    <t>хвс</t>
  </si>
  <si>
    <t>тс</t>
  </si>
  <si>
    <t>ЭЛ</t>
  </si>
  <si>
    <t>Муниципальное образование Выскатское сельское поселение</t>
  </si>
  <si>
    <t>Дер. Выскатка, ул. Садовая, д. 28</t>
  </si>
  <si>
    <t>Муниципальное образование Гостицкое сельское поселение</t>
  </si>
  <si>
    <t>Дер. Гостицы, д. 1</t>
  </si>
  <si>
    <t>Дер. Гостицы, д. 3</t>
  </si>
  <si>
    <t>Дер. Гостицы, д. 4</t>
  </si>
  <si>
    <t>Дер. Гостицы, д. 5</t>
  </si>
  <si>
    <t>Дер. Демешкин Перевоз, д. 5</t>
  </si>
  <si>
    <t>Дер. Сельхозтехника, д. 2</t>
  </si>
  <si>
    <t>Дер. Сельхозтехника, д. 3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</si>
  <si>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</si>
  <si>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</si>
  <si>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</si>
  <si>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Сланцевское городское поселение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</si>
  <si>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</si>
  <si>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</si>
  <si>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</si>
  <si>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</si>
  <si>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</si>
  <si>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4</t>
  </si>
  <si>
    <t>Г. Сланцы, пер. Почтовый, д. 5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</si>
  <si>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</si>
  <si>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</si>
  <si>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</si>
  <si>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</si>
  <si>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</si>
  <si>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пер. Трестовский, д. 4/5</t>
  </si>
  <si>
    <t>Г. Сланцы, просп. Молодежный, д. 17</t>
  </si>
  <si>
    <t>Шахта N 3 поселок, 2-я линия, д.3</t>
  </si>
  <si>
    <t>Шахта N 3 поселок, 2-я линия, д.5</t>
  </si>
  <si>
    <t>Г. Сланцы, ул. Банковская, д. 7</t>
  </si>
  <si>
    <t>Г. Сланцы, ул. Баранова, д. 10</t>
  </si>
  <si>
    <t>Г. Сланцы, ул. Баранова, д. 6</t>
  </si>
  <si>
    <t>Г. Сланцы, ул. Баранова, д. 6а</t>
  </si>
  <si>
    <t>Г. Сланцы, ул. Баранова, д. 8</t>
  </si>
  <si>
    <t>Г. Сланцы, ул. Грибоедова, д. 12</t>
  </si>
  <si>
    <t>Г. Сланцы, ул. Грибоедова, д. 6</t>
  </si>
  <si>
    <t>Г. Сланцы, ул. Грибоедова, д. 7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</si>
  <si>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</si>
  <si>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</si>
  <si>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</si>
  <si>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</si>
  <si>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</si>
  <si>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Жуковского, д. 3а</t>
  </si>
  <si>
    <t>Г. Сланцы, ул. Кирова, д. 1/12</t>
  </si>
  <si>
    <t>Г. Сланцы, ул. Кирова, д. 12а</t>
  </si>
  <si>
    <t>Г. Сланцы, ул. Кирова, д. 14</t>
  </si>
  <si>
    <t>Г. Сланцы, ул. Кирова, д. 17</t>
  </si>
  <si>
    <t>Г. Сланцы, ул. Кирова, д. 21</t>
  </si>
  <si>
    <t>Г. Сланцы, ул. Кирова, д. 22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</si>
  <si>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</si>
  <si>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</si>
  <si>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</si>
  <si>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</si>
  <si>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</si>
  <si>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</si>
  <si>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</si>
  <si>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</si>
  <si>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43</t>
  </si>
  <si>
    <t>Г. Сланцы, ул. Кирова, д. 45</t>
  </si>
  <si>
    <t>Г. Сланцы, ул. Кирова, д. 47</t>
  </si>
  <si>
    <t>Г. Сланцы, ул. Кирова, д. 51 корпус 2</t>
  </si>
  <si>
    <t>Г. Сланцы, ул. Ленина, д. 1/1</t>
  </si>
  <si>
    <t>Г. Сланцы, ул. Ленина, д. 10</t>
  </si>
  <si>
    <t>Г. Сланцы, ул. Ленина, д. 12</t>
  </si>
  <si>
    <t>Г. Сланцы, ул. Ленина, д. 2</t>
  </si>
  <si>
    <t>Г. Сланцы, ул. Ленина, д. 3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</si>
  <si>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</si>
  <si>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</si>
  <si>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</si>
  <si>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</si>
  <si>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</si>
  <si>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</si>
  <si>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</si>
  <si>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</si>
  <si>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</si>
  <si>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</si>
  <si>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</si>
  <si>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</si>
  <si>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</si>
  <si>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26/28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</si>
  <si>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</si>
  <si>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</si>
  <si>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</si>
  <si>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</si>
  <si>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41/10</t>
  </si>
  <si>
    <t>Г. Сланцы, ул. Ломоносова, д. 49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</si>
  <si>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</si>
  <si>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</si>
  <si>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</si>
  <si>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</si>
  <si>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</si>
  <si>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</si>
  <si>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</si>
  <si>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Партизанская, д. 21</t>
  </si>
  <si>
    <t>Г. Сланцы, ул. Партизанская, д. 27</t>
  </si>
  <si>
    <t>Г. Сланцы, ул. Партизанская, д. 5</t>
  </si>
  <si>
    <t>Г. Сланцы, ул. Партизанская, д. 7/2</t>
  </si>
  <si>
    <t>Г. Сланцы, ул. Свердлова, д. 11</t>
  </si>
  <si>
    <t>Г. Сланцы, ул. Свердлова, д. 13</t>
  </si>
  <si>
    <t>Г. Сланцы, ул. Свердлова, д. 17/18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</si>
  <si>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</si>
  <si>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</si>
  <si>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</si>
  <si>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</si>
  <si>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</si>
  <si>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</si>
  <si>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</si>
  <si>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</si>
  <si>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</si>
  <si>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</si>
  <si>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8/40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</si>
  <si>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</si>
  <si>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</si>
  <si>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</si>
  <si>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</si>
  <si>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</si>
  <si>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</si>
  <si>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</si>
  <si>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Чкалова, д. 1</t>
  </si>
  <si>
    <t>Г. Сланцы, ул. Чкалова, д. 10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</si>
  <si>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</si>
  <si>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</si>
  <si>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</si>
  <si>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</si>
  <si>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</si>
  <si>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Итого по Сланцевскому муниципальному району</t>
  </si>
  <si>
    <t>Сосновоборский городской округ</t>
  </si>
  <si>
    <t>Г. Сосновый Бор, просп. Героев, д. 11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</si>
  <si>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</si>
  <si>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</si>
  <si>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</si>
  <si>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</si>
  <si>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</si>
  <si>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</si>
  <si>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</si>
  <si>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</si>
  <si>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</si>
  <si>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</si>
  <si>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</si>
  <si>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</si>
  <si>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</si>
  <si>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792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</si>
  <si>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</si>
  <si>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</si>
  <si>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</si>
  <si>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</si>
  <si>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</si>
  <si>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</si>
  <si>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</si>
  <si>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</si>
  <si>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</si>
  <si>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</si>
  <si>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</si>
  <si>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</si>
  <si>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8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</si>
  <si>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</si>
  <si>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</si>
  <si>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</si>
  <si>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714</t>
  </si>
  <si>
    <t>Г. Сосновый Бор, ул. 50 лет Октября, д. 15</t>
  </si>
  <si>
    <t>640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</si>
  <si>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</si>
  <si>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</si>
  <si>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</si>
  <si>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</si>
  <si>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</si>
  <si>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</si>
  <si>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540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</si>
  <si>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</si>
  <si>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</si>
  <si>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</si>
  <si>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7</t>
  </si>
  <si>
    <t>Г. Сосновый Бор, ул. Высотная, д. 9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</si>
  <si>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</si>
  <si>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</si>
  <si>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</si>
  <si>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</si>
  <si>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</si>
  <si>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</si>
  <si>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</si>
  <si>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3</t>
  </si>
  <si>
    <t>Г. Сосновый Бор, ул. Комсомольская, д. 4</t>
  </si>
  <si>
    <t>26,33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</si>
  <si>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</si>
  <si>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</si>
  <si>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</si>
  <si>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</si>
  <si>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</si>
  <si>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</si>
  <si>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</si>
  <si>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</si>
  <si>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</si>
  <si>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 д. 20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</si>
  <si>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</si>
  <si>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</si>
  <si>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</si>
  <si>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</si>
  <si>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</si>
  <si>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     д. 13</t>
  </si>
  <si>
    <t>1129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</si>
  <si>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</si>
  <si>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</si>
  <si>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</si>
  <si>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</si>
  <si>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д. 2</t>
  </si>
  <si>
    <t>Г. Сосновый Бор, ул. Красных Фортов,      д. 20</t>
  </si>
  <si>
    <t>771,6</t>
  </si>
  <si>
    <t>Г. Сосновый Бор, ул. Красных Фортов, д. 4</t>
  </si>
  <si>
    <t>Г. Сосновый Бор, ул. Красных Фортов, д. 5</t>
  </si>
  <si>
    <t xml:space="preserve">1099 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</si>
  <si>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</si>
  <si>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</si>
  <si>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</si>
  <si>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</si>
  <si>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</si>
  <si>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</si>
  <si>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</si>
  <si>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</si>
  <si>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702</t>
  </si>
  <si>
    <t>Г. Сосновый Бор, ул. Ленинградская, д. 16</t>
  </si>
  <si>
    <t>178,5</t>
  </si>
  <si>
    <t>Г. Сосновый Бор, ул. Ленинградская, д. 18</t>
  </si>
  <si>
    <t>150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</si>
  <si>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</si>
  <si>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</si>
  <si>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</si>
  <si>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</si>
  <si>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</si>
  <si>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4</t>
  </si>
  <si>
    <t>Г. Сосновый Бор, ул. Ленинградская, д. 6</t>
  </si>
  <si>
    <t xml:space="preserve">600 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</si>
  <si>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</si>
  <si>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</si>
  <si>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</si>
  <si>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</si>
  <si>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</si>
  <si>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</si>
  <si>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</si>
  <si>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</si>
  <si>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</si>
  <si>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</si>
  <si>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</si>
  <si>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</si>
  <si>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</si>
  <si>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</si>
  <si>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</si>
  <si>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</si>
  <si>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</si>
  <si>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</si>
  <si>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</si>
  <si>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</si>
  <si>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</si>
  <si>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</si>
  <si>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54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</si>
  <si>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</si>
  <si>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</si>
  <si>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</si>
  <si>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Набережная, д. 19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</si>
  <si>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</si>
  <si>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</si>
  <si>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</si>
  <si>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</si>
  <si>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</si>
  <si>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</si>
  <si>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</si>
  <si>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</si>
  <si>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</si>
  <si>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</si>
  <si>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</si>
  <si>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</si>
  <si>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</si>
  <si>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</si>
  <si>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</si>
  <si>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</si>
  <si>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</si>
  <si>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</si>
  <si>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</si>
  <si>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</si>
  <si>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</si>
  <si>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</si>
  <si>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</si>
  <si>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</si>
  <si>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</si>
  <si>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</si>
  <si>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</si>
  <si>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</si>
  <si>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</si>
  <si>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</si>
  <si>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</si>
  <si>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</si>
  <si>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</si>
  <si>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</si>
  <si>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</si>
  <si>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</si>
  <si>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</si>
  <si>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</si>
  <si>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Итого по Сосновоборскому городскому округу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</si>
  <si>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</si>
  <si>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</si>
  <si>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</si>
  <si>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</si>
  <si>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</si>
  <si>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</si>
  <si>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</si>
  <si>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</si>
  <si>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</si>
  <si>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</si>
  <si>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</si>
  <si>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</si>
  <si>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</si>
  <si>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</si>
  <si>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</si>
  <si>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</si>
  <si>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</si>
  <si>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</si>
  <si>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</si>
  <si>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</si>
  <si>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</si>
  <si>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</si>
  <si>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</si>
  <si>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</si>
  <si>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</si>
  <si>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</si>
  <si>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</si>
  <si>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</si>
  <si>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</si>
  <si>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</si>
  <si>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</si>
  <si>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</si>
  <si>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</si>
  <si>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</si>
  <si>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</si>
  <si>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</si>
  <si>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</si>
  <si>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</si>
  <si>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</si>
  <si>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</si>
  <si>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</si>
  <si>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</si>
  <si>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</si>
  <si>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50</t>
  </si>
  <si>
    <t>Г. Тихвин, микрорайон 1, д. 8</t>
  </si>
  <si>
    <t>Г. Тихвин, микрорайон 1, д. 9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</si>
  <si>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</si>
  <si>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</si>
  <si>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</si>
  <si>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</si>
  <si>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</si>
  <si>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</si>
  <si>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</si>
  <si>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</si>
  <si>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</si>
  <si>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</si>
  <si>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</si>
  <si>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</si>
  <si>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</si>
  <si>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</si>
  <si>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</si>
  <si>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</si>
  <si>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</si>
  <si>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</si>
  <si>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</si>
  <si>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</si>
  <si>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</si>
  <si>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</si>
  <si>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</si>
  <si>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</si>
  <si>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</si>
  <si>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</si>
  <si>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</si>
  <si>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</si>
  <si>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</si>
  <si>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</si>
  <si>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</si>
  <si>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</si>
  <si>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</si>
  <si>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</si>
  <si>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</si>
  <si>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</si>
  <si>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</si>
  <si>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41а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</si>
  <si>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</si>
  <si>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</si>
  <si>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</si>
  <si>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</si>
  <si>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</si>
  <si>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</si>
  <si>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</si>
  <si>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</si>
  <si>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</si>
  <si>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</si>
  <si>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</si>
  <si>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</si>
  <si>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</si>
  <si>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</si>
  <si>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</si>
  <si>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</si>
  <si>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</si>
  <si>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</si>
  <si>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</si>
  <si>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</si>
  <si>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</si>
  <si>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</si>
  <si>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</si>
  <si>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</si>
  <si>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</si>
  <si>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</si>
  <si>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</si>
  <si>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</si>
  <si>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</si>
  <si>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</si>
  <si>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</si>
  <si>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</si>
  <si>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</si>
  <si>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</si>
  <si>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</si>
  <si>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</si>
  <si>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</si>
  <si>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</si>
  <si>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</si>
  <si>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</si>
  <si>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</si>
  <si>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</si>
  <si>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</si>
  <si>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</si>
  <si>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</si>
  <si>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</si>
  <si>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41, кор. 1</t>
  </si>
  <si>
    <t>Г. Тихвин, микрорайон 5, д. 41, кор. 2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</si>
  <si>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</si>
  <si>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</si>
  <si>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</si>
  <si>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</si>
  <si>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</si>
  <si>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</si>
  <si>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</si>
  <si>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</si>
  <si>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</si>
  <si>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</si>
  <si>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</si>
  <si>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</si>
  <si>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24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</si>
  <si>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</si>
  <si>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</si>
  <si>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</si>
  <si>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</si>
  <si>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</si>
  <si>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пл. Свободы, д. 12</t>
  </si>
  <si>
    <t>Г. Тихвин, пр. Шведский, д. 3</t>
  </si>
  <si>
    <t>Г. Тихвин, ул. Борисова, д. 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</si>
  <si>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</si>
  <si>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</si>
  <si>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</si>
  <si>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</si>
  <si>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</si>
  <si>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4</t>
  </si>
  <si>
    <t>Г. Тихвин, ул. Коммунаров, д. 8</t>
  </si>
  <si>
    <t>Г. Тихвин, ул. Красная, д. 11</t>
  </si>
  <si>
    <t>Г. Тихвин, ул. Красная, д. 14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</si>
  <si>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</si>
  <si>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</si>
  <si>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</si>
  <si>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Московская, д. 5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</si>
  <si>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</si>
  <si>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</si>
  <si>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</si>
  <si>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</si>
  <si>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</si>
  <si>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</si>
  <si>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46</t>
  </si>
  <si>
    <t>Г. Тихвин, ул. Ново-Советская, д. 4а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</si>
  <si>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</si>
  <si>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</si>
  <si>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</si>
  <si>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</si>
  <si>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Пролетарской диктатуры, д. 22</t>
  </si>
  <si>
    <t>Г. Тихвин, ул. Пролетарской диктатуры, д. 29</t>
  </si>
  <si>
    <t>Г. Тихвин, ул. Ращупкина, д. 16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</si>
  <si>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</si>
  <si>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</si>
  <si>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7</t>
  </si>
  <si>
    <t>Г. Тихвин, ул. Связи, д. 34</t>
  </si>
  <si>
    <t>Г. Тихвин, ул. Советская, д. 141</t>
  </si>
  <si>
    <t>Г. Тихвин, ул. Советская, д. 143</t>
  </si>
  <si>
    <t>Г. Тихвин, ул. Советская, д. 25</t>
  </si>
  <si>
    <t>Г. Тихвин, ул. Советская, д. 26</t>
  </si>
  <si>
    <t>Г. Тихвин, ул. Советская, д. 33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</si>
  <si>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</si>
  <si>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</si>
  <si>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</si>
  <si>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</si>
  <si>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</si>
  <si>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</si>
  <si>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</si>
  <si>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</si>
  <si>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79</t>
  </si>
  <si>
    <t>Г. Тихвин, ул. Советская, д. 96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</si>
  <si>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</si>
  <si>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</si>
  <si>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</si>
  <si>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</si>
  <si>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</si>
  <si>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</si>
  <si>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</si>
  <si>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</si>
  <si>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Труда, д. 52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</si>
  <si>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</si>
  <si>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</si>
  <si>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</si>
  <si>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Юных разведчиков, д. 9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</si>
  <si>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</si>
  <si>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</si>
  <si>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</si>
  <si>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</si>
  <si>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Пос. Берёзовик, д. 34</t>
  </si>
  <si>
    <t>Пос. Берёзовик, ул. Подгаецкого, д. 10</t>
  </si>
  <si>
    <t>Пос. Берёзовик, ул. Подгаецкого, д. 2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</si>
  <si>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</si>
  <si>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</si>
  <si>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</si>
  <si>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</si>
  <si>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</si>
  <si>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</si>
  <si>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</si>
  <si>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Комсомольская, д. 9а</t>
  </si>
  <si>
    <t>Пос. Красава, ул. Комсомольская, д. 10а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</si>
  <si>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</si>
  <si>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</si>
  <si>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</si>
  <si>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</si>
  <si>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</si>
  <si>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</si>
  <si>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</si>
  <si>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</si>
  <si>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</si>
  <si>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</si>
  <si>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</si>
  <si>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</si>
  <si>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</si>
  <si>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</si>
  <si>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</si>
  <si>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</si>
  <si>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</si>
  <si>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</si>
  <si>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</si>
  <si>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</si>
  <si>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Советская, д. 121</t>
  </si>
  <si>
    <t>Пос. Шугозеро, ул. Советская, д. 16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</si>
  <si>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</si>
  <si>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</si>
  <si>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</si>
  <si>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</si>
  <si>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</si>
  <si>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</si>
  <si>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</si>
  <si>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</si>
  <si>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</si>
  <si>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</si>
  <si>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</si>
  <si>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</si>
  <si>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</si>
  <si>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</si>
  <si>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</si>
  <si>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Итого по Тихвинский муниципальному району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</si>
  <si>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</si>
  <si>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</si>
  <si>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</si>
  <si>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</si>
  <si>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</si>
  <si>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</si>
  <si>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</si>
  <si>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</si>
  <si>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</si>
  <si>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</si>
  <si>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</si>
  <si>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</si>
  <si>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</si>
  <si>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</si>
  <si>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</si>
  <si>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</si>
  <si>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</si>
  <si>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</si>
  <si>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</si>
  <si>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</si>
  <si>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Г.п. Красный Бор, ул. Комсомольская, д. 17, кор. 2</t>
  </si>
  <si>
    <t>Г.п. Красный Бор, ул. Комсомольская, д. 17, кор. 3</t>
  </si>
  <si>
    <t>Г.п. Красный Бор, ул. Комсомольская, д. 17, кор. 4</t>
  </si>
  <si>
    <t>Г.п. Красный Бор, ул. Комсомольская, д. 18</t>
  </si>
  <si>
    <t>Г.п. Красный Бор, ул. Комсомольская, д. 19, кор. 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</si>
  <si>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</si>
  <si>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</si>
  <si>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23</t>
  </si>
  <si>
    <t>Г.п. Красный Бор, ул. Комсомольская, д. 3</t>
  </si>
  <si>
    <t>Г.п. Красный Бор, ул. Комсомольская, д. 4, кор. 1</t>
  </si>
  <si>
    <t>Г.п. Красный Бор, ул. Комсомольская, д. 7</t>
  </si>
  <si>
    <t>Г.п. Красный Бор, ул. Комсомольская, д. 9, кор. 1</t>
  </si>
  <si>
    <t>Г.п. Красный Бор, ул. Комсомольская, д. 9, кор. 2</t>
  </si>
  <si>
    <t>Г.п. Красный Бор, ул. Комсомольская, д. 9, кор. 3</t>
  </si>
  <si>
    <t>Г.п. Красный Бор, ул. Комсомольская, д. 9, кор. 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</si>
  <si>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</si>
  <si>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</si>
  <si>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</si>
  <si>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</si>
  <si>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</si>
  <si>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</si>
  <si>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</si>
  <si>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</si>
  <si>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</si>
  <si>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</si>
  <si>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</si>
  <si>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</si>
  <si>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</si>
  <si>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</si>
  <si>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</si>
  <si>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</si>
  <si>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</si>
  <si>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</si>
  <si>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</si>
  <si>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</si>
  <si>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ул. Ленина, д. 16</t>
  </si>
  <si>
    <t>Г. Любань, ул. Торговая, д. 7</t>
  </si>
  <si>
    <t>Г. Любань, ш. Загородное, д. 1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</si>
  <si>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</si>
  <si>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</si>
  <si>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</si>
  <si>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</si>
  <si>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</si>
  <si>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Западная, д. 4</t>
  </si>
  <si>
    <t>нет ПУ</t>
  </si>
  <si>
    <t>Г. Никольское, ул. Зеленая, д. 18</t>
  </si>
  <si>
    <t>Г. Никольское, ул. Зеленая, д. 4</t>
  </si>
  <si>
    <t xml:space="preserve">внесла изм-я, т.к. ошибка в программе </t>
  </si>
  <si>
    <t>Г. Никольское, ул. Комсомольская, д. 16</t>
  </si>
  <si>
    <t>Г. Никольское, ул. Комсомольская, д. 18</t>
  </si>
  <si>
    <t>Г. Никольское, ул. Первомайская, д. 3</t>
  </si>
  <si>
    <t>Г. Никольское, ул. Школьная, д. 4</t>
  </si>
  <si>
    <t>Г. Никольское, ул. Школьная, д. 6</t>
  </si>
  <si>
    <t>Г. Никольское, ул. Школьная, д. 9</t>
  </si>
  <si>
    <t>Муниципальное образование Рябовское городское поселение</t>
  </si>
  <si>
    <t>Г.п. Рябово, ул. Школьная, д. 1</t>
  </si>
  <si>
    <t>Г.п. Рябово, ул. Школьная, д. 2</t>
  </si>
  <si>
    <t>Г.п. Рябово, ул. Школьная, д. 6</t>
  </si>
  <si>
    <t>Г.п. Рябово, ул. Школьная, д. 9</t>
  </si>
  <si>
    <t>ПИРы сделаны в 2016 году ООО " МироГрупп"</t>
  </si>
  <si>
    <t>Г.п. Рябово, ул. Южная, д. 14</t>
  </si>
  <si>
    <t>Г.п. Рябово, ул. Южная, д. 16</t>
  </si>
  <si>
    <t>Г.п. Рябово, ул. Южная, д. 6</t>
  </si>
  <si>
    <t>Г.п. Рябово, ул. Южная, д. 8</t>
  </si>
  <si>
    <t>Муниципальное образование Тосненское городское поселение</t>
  </si>
  <si>
    <t>Г. Тосно, ул. Боярова, д. 18</t>
  </si>
  <si>
    <t>Г. Тосно, ул. Боярова, д. 18а</t>
  </si>
  <si>
    <t>Г. Тосно, ул. Октябрьская, д. 77</t>
  </si>
  <si>
    <t>Г. Тосно, ул. Энергетиков, д. 5</t>
  </si>
  <si>
    <t>Г. Тосно, ш. Барыбина, д. 11</t>
  </si>
  <si>
    <t>ПРОСЯТ ФАСАД СМР, т.к ССРО</t>
  </si>
  <si>
    <t>Г. Тосно, ш. Московское, д. 11</t>
  </si>
  <si>
    <t>Г. Тосно, ш. Московское, д. 13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</si>
  <si>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</si>
  <si>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</si>
  <si>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</si>
  <si>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</si>
  <si>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</si>
  <si>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</si>
  <si>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2</t>
  </si>
  <si>
    <t>Дер. Тарасово, д. 4</t>
  </si>
  <si>
    <t>Пос. Ушаки, д. 1</t>
  </si>
  <si>
    <t>Пос. Ушаки, д. 2</t>
  </si>
  <si>
    <t>Пос. Ушаки, д. 3</t>
  </si>
  <si>
    <t>Пос. Ушаки, д. 5</t>
  </si>
  <si>
    <t>Муниципальное образование Ульяновское городское поселение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</si>
  <si>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</si>
  <si>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</si>
  <si>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</si>
  <si>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ул. Вокзальная, д. 1/1</t>
  </si>
  <si>
    <t>Г.п. Ульяновка, ул. Вокзальная, д. 2</t>
  </si>
  <si>
    <t>Г.п. Ульяновка, ул. Щербакова, д. 3</t>
  </si>
  <si>
    <t>Муниципальное образование Фёдоровское городское поселение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</si>
  <si>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</si>
  <si>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</si>
  <si>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</si>
  <si>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</si>
  <si>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</si>
  <si>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</si>
  <si>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</si>
  <si>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</si>
  <si>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Шоссейная, д. 10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</si>
  <si>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</si>
  <si>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</si>
  <si>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</si>
  <si>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5</t>
  </si>
  <si>
    <t>Гп. Федоровское, ул. Шоссейная, д. 8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</si>
  <si>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</si>
  <si>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</si>
  <si>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</si>
  <si>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</si>
  <si>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</si>
  <si>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</si>
  <si>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</si>
  <si>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</si>
  <si>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</si>
  <si>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</si>
  <si>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</si>
  <si>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</si>
  <si>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</si>
  <si>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</si>
  <si>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</si>
  <si>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</si>
  <si>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</si>
  <si>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</si>
  <si>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</si>
  <si>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</si>
  <si>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</si>
  <si>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</si>
  <si>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</si>
  <si>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</si>
  <si>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</si>
  <si>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</si>
  <si>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</si>
  <si>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</si>
  <si>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</si>
  <si>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</si>
  <si>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</si>
  <si>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25</t>
  </si>
  <si>
    <t>Г.п.Форносово, ул. Пионерская, д. 10</t>
  </si>
  <si>
    <t>Г.п. Форносово, ул. Вотчинская, д. 1</t>
  </si>
  <si>
    <t xml:space="preserve">нет данных 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</si>
  <si>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</si>
  <si>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</si>
  <si>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</si>
  <si>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</si>
  <si>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Итого по Ленинградской области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</si>
  <si>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</si>
  <si>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</si>
  <si>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</si>
  <si>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</si>
  <si>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</si>
  <si>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Количество жителей, зарегистрированных в МКД</t>
  </si>
  <si>
    <t>Стоимость капитального ремонта</t>
  </si>
  <si>
    <t>Плановая дата завершения работ</t>
  </si>
  <si>
    <t>способ формирования фонда капитального ремонта</t>
  </si>
  <si>
    <t>ввода в эксплуатацию</t>
  </si>
  <si>
    <t>завершение последнего капитального ремонта</t>
  </si>
  <si>
    <t>всего:</t>
  </si>
  <si>
    <t>федеральный бюджет</t>
  </si>
  <si>
    <t>областной бюджет</t>
  </si>
  <si>
    <t>за счет средств местного бюджета</t>
  </si>
  <si>
    <t>за счет средств собственников помещений в МКД</t>
  </si>
  <si>
    <t>кв.м</t>
  </si>
  <si>
    <t>чел.</t>
  </si>
  <si>
    <t>кирпичный</t>
  </si>
  <si>
    <t>шлакоблочный</t>
  </si>
  <si>
    <t>пенобетон</t>
  </si>
  <si>
    <t>3-4</t>
  </si>
  <si>
    <t>183</t>
  </si>
  <si>
    <t>128</t>
  </si>
  <si>
    <t>34</t>
  </si>
  <si>
    <t>127</t>
  </si>
  <si>
    <t>24</t>
  </si>
  <si>
    <t>182</t>
  </si>
  <si>
    <t>198</t>
  </si>
  <si>
    <t>105</t>
  </si>
  <si>
    <t>190</t>
  </si>
  <si>
    <t>91</t>
  </si>
  <si>
    <t>26</t>
  </si>
  <si>
    <t>88</t>
  </si>
  <si>
    <t>110</t>
  </si>
  <si>
    <t>44</t>
  </si>
  <si>
    <t>32</t>
  </si>
  <si>
    <t>85</t>
  </si>
  <si>
    <t>45</t>
  </si>
  <si>
    <t>52</t>
  </si>
  <si>
    <t>58</t>
  </si>
  <si>
    <t>64</t>
  </si>
  <si>
    <t>28</t>
  </si>
  <si>
    <t>38</t>
  </si>
  <si>
    <t>55</t>
  </si>
  <si>
    <t>184</t>
  </si>
  <si>
    <t>67</t>
  </si>
  <si>
    <t>25</t>
  </si>
  <si>
    <t>141</t>
  </si>
  <si>
    <t>224</t>
  </si>
  <si>
    <t>189</t>
  </si>
  <si>
    <t>193</t>
  </si>
  <si>
    <t>49</t>
  </si>
  <si>
    <t>39</t>
  </si>
  <si>
    <t>37</t>
  </si>
  <si>
    <t>33</t>
  </si>
  <si>
    <t>46</t>
  </si>
  <si>
    <t>79</t>
  </si>
  <si>
    <t>29</t>
  </si>
  <si>
    <t>164</t>
  </si>
  <si>
    <t>99</t>
  </si>
  <si>
    <t>156</t>
  </si>
  <si>
    <t>94</t>
  </si>
  <si>
    <t>125</t>
  </si>
  <si>
    <t>168</t>
  </si>
  <si>
    <t>41</t>
  </si>
  <si>
    <t>73</t>
  </si>
  <si>
    <t>68</t>
  </si>
  <si>
    <t>76</t>
  </si>
  <si>
    <t>60</t>
  </si>
  <si>
    <t>47</t>
  </si>
  <si>
    <t>90</t>
  </si>
  <si>
    <t>254</t>
  </si>
  <si>
    <t>108</t>
  </si>
  <si>
    <t>13</t>
  </si>
  <si>
    <t>27</t>
  </si>
  <si>
    <t>15</t>
  </si>
  <si>
    <t>42</t>
  </si>
  <si>
    <t>48</t>
  </si>
  <si>
    <t>17</t>
  </si>
  <si>
    <t>57</t>
  </si>
  <si>
    <t>63</t>
  </si>
  <si>
    <t>59</t>
  </si>
  <si>
    <t>102</t>
  </si>
  <si>
    <t>71</t>
  </si>
  <si>
    <t>75</t>
  </si>
  <si>
    <t>161</t>
  </si>
  <si>
    <t>20</t>
  </si>
  <si>
    <t>96</t>
  </si>
  <si>
    <t>104</t>
  </si>
  <si>
    <t>112</t>
  </si>
  <si>
    <t>36</t>
  </si>
  <si>
    <t>22</t>
  </si>
  <si>
    <t>18</t>
  </si>
  <si>
    <t>31</t>
  </si>
  <si>
    <t>30</t>
  </si>
  <si>
    <t>173</t>
  </si>
  <si>
    <t>209</t>
  </si>
  <si>
    <t>255</t>
  </si>
  <si>
    <t>200</t>
  </si>
  <si>
    <t>66</t>
  </si>
  <si>
    <t>РО</t>
  </si>
  <si>
    <t>панельный</t>
  </si>
  <si>
    <t>деревянный</t>
  </si>
  <si>
    <t>блочный</t>
  </si>
  <si>
    <t>ж/б панель</t>
  </si>
  <si>
    <t>кирпич</t>
  </si>
  <si>
    <t>Волховский муниципальный район</t>
  </si>
  <si>
    <t>Итого по Волховскому муниципальному району</t>
  </si>
  <si>
    <t xml:space="preserve"> панельный</t>
  </si>
  <si>
    <t>панели</t>
  </si>
  <si>
    <t>монолит</t>
  </si>
  <si>
    <t>панель</t>
  </si>
  <si>
    <t>деревянный/кирпичный</t>
  </si>
  <si>
    <t>1</t>
  </si>
  <si>
    <t>2</t>
  </si>
  <si>
    <t>3</t>
  </si>
  <si>
    <t>213</t>
  </si>
  <si>
    <t>220</t>
  </si>
  <si>
    <t>23</t>
  </si>
  <si>
    <t>21</t>
  </si>
  <si>
    <t>16</t>
  </si>
  <si>
    <t>10</t>
  </si>
  <si>
    <t>8</t>
  </si>
  <si>
    <t>11</t>
  </si>
  <si>
    <t>7</t>
  </si>
  <si>
    <t>50</t>
  </si>
  <si>
    <t>12</t>
  </si>
  <si>
    <t>14</t>
  </si>
  <si>
    <t>9</t>
  </si>
  <si>
    <t>6</t>
  </si>
  <si>
    <t>5</t>
  </si>
  <si>
    <t>19</t>
  </si>
  <si>
    <t>4</t>
  </si>
  <si>
    <t>62</t>
  </si>
  <si>
    <t>808.14</t>
  </si>
  <si>
    <t>808.65</t>
  </si>
  <si>
    <t>1029.29</t>
  </si>
  <si>
    <t>блочный (панельный)</t>
  </si>
  <si>
    <t>Итого по Всеволожскому муниципальному району</t>
  </si>
  <si>
    <t>сборно-щитовой</t>
  </si>
  <si>
    <t xml:space="preserve">4881.3 </t>
  </si>
  <si>
    <t xml:space="preserve">2147.7 </t>
  </si>
  <si>
    <t xml:space="preserve">2510.6 </t>
  </si>
  <si>
    <t xml:space="preserve">1984.1 </t>
  </si>
  <si>
    <t xml:space="preserve">711.14 </t>
  </si>
  <si>
    <t xml:space="preserve">711.58 </t>
  </si>
  <si>
    <t xml:space="preserve"> деревянный</t>
  </si>
  <si>
    <t xml:space="preserve"> кирпичный</t>
  </si>
  <si>
    <t>ж/б панели</t>
  </si>
  <si>
    <t>блочный/кирпичный</t>
  </si>
  <si>
    <t>132</t>
  </si>
  <si>
    <t>244</t>
  </si>
  <si>
    <t>292</t>
  </si>
  <si>
    <t>136</t>
  </si>
  <si>
    <t>Каркас\засып.</t>
  </si>
  <si>
    <t>Рублен.</t>
  </si>
  <si>
    <t>ж\б панель</t>
  </si>
  <si>
    <t>кирпично-деревянный</t>
  </si>
  <si>
    <t>шлакоблок/кирпичный</t>
  </si>
  <si>
    <t>СС</t>
  </si>
  <si>
    <t>4,5,6</t>
  </si>
  <si>
    <t>5-6</t>
  </si>
  <si>
    <t>7 и 8</t>
  </si>
  <si>
    <t>2 и 3</t>
  </si>
  <si>
    <t>3 и 4</t>
  </si>
  <si>
    <t>2777.1</t>
  </si>
  <si>
    <t>2005.54</t>
  </si>
  <si>
    <t>479 ,0</t>
  </si>
  <si>
    <t>471.8</t>
  </si>
  <si>
    <t>каркасно-засыпной</t>
  </si>
  <si>
    <t>134</t>
  </si>
  <si>
    <t>146</t>
  </si>
  <si>
    <t>56</t>
  </si>
  <si>
    <t>191</t>
  </si>
  <si>
    <t>235</t>
  </si>
  <si>
    <t>210</t>
  </si>
  <si>
    <t>143</t>
  </si>
  <si>
    <t>80</t>
  </si>
  <si>
    <t>69</t>
  </si>
  <si>
    <t>144</t>
  </si>
  <si>
    <t>138</t>
  </si>
  <si>
    <t>54</t>
  </si>
  <si>
    <t>139</t>
  </si>
  <si>
    <t>86</t>
  </si>
  <si>
    <t>43</t>
  </si>
  <si>
    <t>53</t>
  </si>
  <si>
    <t>Муниципальное образование Красносельское сельское поселение</t>
  </si>
  <si>
    <t>ш/блок</t>
  </si>
  <si>
    <t>Блочный</t>
  </si>
  <si>
    <t>к/бетон</t>
  </si>
  <si>
    <t>деревянные</t>
  </si>
  <si>
    <t>паналь</t>
  </si>
  <si>
    <t>Бетонные блоки</t>
  </si>
  <si>
    <t>шлакобетонный</t>
  </si>
  <si>
    <t>газоселекацитные блоки</t>
  </si>
  <si>
    <t>2 756,5</t>
  </si>
  <si>
    <t>1 315,0</t>
  </si>
  <si>
    <t>1 250,6</t>
  </si>
  <si>
    <t>3 427,7</t>
  </si>
  <si>
    <t>2 716,9</t>
  </si>
  <si>
    <t>2 712,2</t>
  </si>
  <si>
    <t>4 934,4</t>
  </si>
  <si>
    <t>1 598,1</t>
  </si>
  <si>
    <t>1 171,3</t>
  </si>
  <si>
    <t>Пос. Глебычево, ул. Заводская, д. 34</t>
  </si>
  <si>
    <t>кирпично монолитный</t>
  </si>
  <si>
    <t>кирпично-монолитный</t>
  </si>
  <si>
    <t>Дер. Глобицы, ул. Героев, д. 10</t>
  </si>
  <si>
    <t>Лужский муниципальный район</t>
  </si>
  <si>
    <t>Муниципальное образование Заклинское сельское поселение</t>
  </si>
  <si>
    <t>Дер. Турово, д. 1</t>
  </si>
  <si>
    <t>Муниципальное образование Лужское городское поселение</t>
  </si>
  <si>
    <t>Г. Луга, мкр. Городок, д. 5/26</t>
  </si>
  <si>
    <t>Г. Луга, мкр. Городок, д. 5/289</t>
  </si>
  <si>
    <t>Г. Луга, просп. Володарского, д. 26</t>
  </si>
  <si>
    <t>Г. Луга, просп. Володарского, д. 36</t>
  </si>
  <si>
    <t>Г. Луга, просп. Володарского, д. 40</t>
  </si>
  <si>
    <t>Нет ПУ</t>
  </si>
  <si>
    <t>Г. Луга, просп. Володарского, д. 42</t>
  </si>
  <si>
    <t>Г. Луга, просп. Володарского, д. 46/15</t>
  </si>
  <si>
    <t>Г. Луга, просп. Кирова, д. 45</t>
  </si>
  <si>
    <t>Г. Луга, просп. Урицкого, д. 64</t>
  </si>
  <si>
    <t>Г. Луга, просп. Урицкого, д. 66</t>
  </si>
  <si>
    <t>Г. Луга, ул. Миккели, д. 1, кор. 1</t>
  </si>
  <si>
    <t>Г. Луга, ул. Миккели, д. 11</t>
  </si>
  <si>
    <t>Г. Луга, ул. Партизанская, д. 9а</t>
  </si>
  <si>
    <t>Г. Луга, ул. Победы, д. 2а</t>
  </si>
  <si>
    <t>Г. Луга, ул. Победы, д. 4</t>
  </si>
  <si>
    <t>Г. Луга, ул. Победы, д. 7</t>
  </si>
  <si>
    <t>Г. Луга, ул. Мелиораторов, д. 13</t>
  </si>
  <si>
    <t>Г. Луга, ул. Мелиораторов, д. 7</t>
  </si>
  <si>
    <t>Г. Луга, тер. Луга-3, д. 3/33</t>
  </si>
  <si>
    <t>Г. Луга, тер. Луга-3, д. 3/35</t>
  </si>
  <si>
    <t>Г. Луга, тер. Луга-3, д. 3/40</t>
  </si>
  <si>
    <t>Г. Луга, тер. Луга-3, д. 3/45</t>
  </si>
  <si>
    <t>Г. Луга, тер. Луга-3, д. 4/7</t>
  </si>
  <si>
    <t>Г. Луга, тер. Луга-3, д. 8/12</t>
  </si>
  <si>
    <t>Г. Луга, тер. Луга-3, д. 8/47</t>
  </si>
  <si>
    <t>Муниципальное образование Мшинское сельское поселение</t>
  </si>
  <si>
    <t>Пос. Красный Маяк, д. 14а</t>
  </si>
  <si>
    <t>Пос. Красный Маяк, д. 14б</t>
  </si>
  <si>
    <t>Пос. Красный Маяк, д. 5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</si>
  <si>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</si>
  <si>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</si>
  <si>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</si>
  <si>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</si>
  <si>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</si>
  <si>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</si>
  <si>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12</t>
  </si>
  <si>
    <t>Пос. Оредеж, ул. Карла Маркса, д. 15/1</t>
  </si>
  <si>
    <t>Пос. Оредеж, ул. Комсомола, д. 4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</si>
  <si>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</si>
  <si>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</si>
  <si>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</si>
  <si>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Лермонтова, д. 10</t>
  </si>
  <si>
    <t>Пос. Оредеж, ул. Энгельса, д. 15</t>
  </si>
  <si>
    <t>Муниципальное образование Осьминское сельское поселение</t>
  </si>
  <si>
    <t>Пос. Осьмино, ул. Ленина, д. 55</t>
  </si>
  <si>
    <t>Пос. Осьмино, ул. Ленина, д. 61</t>
  </si>
  <si>
    <t>Муниципальное образование Ретюнское сельское поселение</t>
  </si>
  <si>
    <t>Дер. Ретюнь, ул. Центральная, д. 1</t>
  </si>
  <si>
    <t>Дер. Ретюнь, ул. Центральная, д. 2</t>
  </si>
  <si>
    <t>Дер. Ретюнь, ул. Центральная, д. 3</t>
  </si>
  <si>
    <t>Дер. Ретюнь, ул. Центральная, д. 4</t>
  </si>
  <si>
    <t>Муниципальное образование Серебрянское сельское поселение</t>
  </si>
  <si>
    <t>Пос. Серебрянский, ул. Лужская,  д. 4</t>
  </si>
  <si>
    <t>Муниципальное образование Скребловское сельское поселение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</si>
  <si>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</si>
  <si>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</si>
  <si>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</si>
  <si>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</si>
  <si>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</si>
  <si>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</si>
  <si>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Пос. Скреблово, д. 10</t>
  </si>
  <si>
    <t>Пос. Скреблово, д. 35</t>
  </si>
  <si>
    <t>Пос. Скреблово, д. 4</t>
  </si>
  <si>
    <t>Пос. Скреблово, д. 7</t>
  </si>
  <si>
    <t>Муниципальное образование Тесовское сельское поселение</t>
  </si>
  <si>
    <t>Дер. Мошковые Поляны, ул. Широкая, д. 1</t>
  </si>
  <si>
    <t>Дер. Мошковые Поляны, ул. Широкая, д. 2</t>
  </si>
  <si>
    <t>Пос. Тесово-4, ул. Гагарина, д. 9</t>
  </si>
  <si>
    <t>Муниципальное образование Толмачевское городское поселение</t>
  </si>
  <si>
    <t>Г.п. Толмачёво, пер. Новый, д. 7</t>
  </si>
  <si>
    <t>Г.п. Толмачёво, ул. Железнодорожная, д. 3</t>
  </si>
  <si>
    <t>Г.п. Толмачёво, ул. Молодежная, д. 3</t>
  </si>
  <si>
    <t>Г.п. Толмачёво, ул. Молодежная, д. 6</t>
  </si>
  <si>
    <t>Итого по Лужскому муниципальному району</t>
  </si>
  <si>
    <t>Муниципальное образование Кузнечнинское городское поселение</t>
  </si>
  <si>
    <t>Г.п. Кузнечное, ул. Приозерское шоссе, д. 16</t>
  </si>
  <si>
    <t>Г. Сланцы, пер. Почтовый, д. 11</t>
  </si>
  <si>
    <t>Г. Любань, ул. Заводская, д. 15а</t>
  </si>
  <si>
    <t>Г. Любань, ул. Ленина, д. 3</t>
  </si>
  <si>
    <t>Итого по Тосненскому району</t>
  </si>
  <si>
    <t xml:space="preserve">Итого по Волховскому муниципальному району 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</si>
  <si>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</si>
  <si>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</si>
  <si>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</si>
  <si>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</si>
  <si>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</si>
  <si>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</si>
  <si>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3</t>
  </si>
  <si>
    <t>Пос. Володарское, д. 4а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</si>
  <si>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</si>
  <si>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</si>
  <si>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</si>
  <si>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</si>
  <si>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</si>
  <si>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</si>
  <si>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</si>
  <si>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</si>
  <si>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</si>
  <si>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</si>
  <si>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</si>
  <si>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</si>
  <si>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</si>
  <si>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</si>
  <si>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</si>
  <si>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</si>
  <si>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</si>
  <si>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</si>
  <si>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</si>
  <si>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</si>
  <si>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</si>
  <si>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</si>
  <si>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</si>
  <si>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</si>
  <si>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</si>
  <si>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</si>
  <si>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</si>
  <si>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</si>
  <si>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</si>
  <si>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</si>
  <si>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</si>
  <si>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</si>
  <si>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</si>
  <si>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</si>
  <si>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</si>
  <si>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</si>
  <si>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</si>
  <si>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6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</si>
  <si>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</si>
  <si>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</si>
  <si>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</si>
  <si>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</si>
  <si>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</si>
  <si>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</si>
  <si>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</si>
  <si>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</si>
  <si>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</si>
  <si>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</si>
  <si>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</si>
  <si>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Г. Луга, мкр. Городок, д. 5/23</t>
  </si>
  <si>
    <t>Г. Луга, мкр. Городок, д. 5/24</t>
  </si>
  <si>
    <t>Г. Луга, мкр. Городок, д. 5/268</t>
  </si>
  <si>
    <t>Г. Луга, мкр. Городок, д. 5/269</t>
  </si>
  <si>
    <t>Г. Луга, мкр. Городок, д. 5/27</t>
  </si>
  <si>
    <t>Г. Луга, мкр. Городок, д. 5/270</t>
  </si>
  <si>
    <t>Г. Луга, мкр. Городок, д. 5/272</t>
  </si>
  <si>
    <t>Г. Луга, ул. Дача Черемушки, д. 25</t>
  </si>
  <si>
    <t>Г. Луга, пер. Советский, д. 2</t>
  </si>
  <si>
    <t>Г. Луга, пер. Советский, д. 4</t>
  </si>
  <si>
    <t>Г. Луга, просп. Володарского, д. 13б</t>
  </si>
  <si>
    <t>Г. Луга, просп. Володарского, д. 28</t>
  </si>
  <si>
    <t>Г. Луга, просп. Володарского, д. 52/3</t>
  </si>
  <si>
    <t>Г. Луга, просп. Володарского, д. 8</t>
  </si>
  <si>
    <t>Г. Луга, просп. Кирова, д. 31</t>
  </si>
  <si>
    <t>Г. Луга, просп. Кирова, д. 37</t>
  </si>
  <si>
    <t>Г. Луга, просп. Кирова, д. 65</t>
  </si>
  <si>
    <t>Г. Луга, просп. Кирова, д. 67</t>
  </si>
  <si>
    <t>Г. Луга, просп. Кирова, д. 77</t>
  </si>
  <si>
    <t>Г. Луга, просп. Кирова, д. 9</t>
  </si>
  <si>
    <t>Г. Луга, просп. Урицкого, д. 69</t>
  </si>
  <si>
    <t>Г. Луга, ул. Виктора Пислегина, д. 35</t>
  </si>
  <si>
    <t>Г. Луга, ул. Гагарина, д. 147</t>
  </si>
  <si>
    <t>Г. Луга, ул. Гагарина, д. 24</t>
  </si>
  <si>
    <t>Г. Луга, ул. Киевская, д. 31/6</t>
  </si>
  <si>
    <t>Г. Луга, ул. Киевская, д. 53</t>
  </si>
  <si>
    <t>Г. Луга, ул. Киевская, д. 74</t>
  </si>
  <si>
    <t>Г. Луга, ул. Красной Артиллерии, д. 3</t>
  </si>
  <si>
    <t>Г. Луга, ул. Красной Артиллерии, д. 32</t>
  </si>
  <si>
    <t>Г. Луга, ул. Красной Артиллерии, д. 32а</t>
  </si>
  <si>
    <t>Г. Луга, ул. Красной Артиллерии, д. 36</t>
  </si>
  <si>
    <t>Г. Луга, ул. Орловская, д. 25/21</t>
  </si>
  <si>
    <t>Г. Луга, ул. Тоси Петровой, д. 9</t>
  </si>
  <si>
    <t>Г. Луга, тер. Луга-3, д. 3/42</t>
  </si>
  <si>
    <t>Г. Луга, тер. Луга-3, д. 3/44</t>
  </si>
  <si>
    <t>Г. Луга, тер. Луга-3, д. 4/8</t>
  </si>
  <si>
    <t>Дер. Пехенец, ул. Молодежная, д. 1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</si>
  <si>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</si>
  <si>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</si>
  <si>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</si>
  <si>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</si>
  <si>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</si>
  <si>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Пос. Оредеж, ул. Карла Маркса, д. 9</t>
  </si>
  <si>
    <t>Пос. Оредеж, ул. Ленина, д. 10</t>
  </si>
  <si>
    <t>Пос. Осьмино, ул. Ленина, д. 53</t>
  </si>
  <si>
    <t>Дер. Домкино, д. 11</t>
  </si>
  <si>
    <t>Дер. Наволок, д. 12</t>
  </si>
  <si>
    <t>Пос. Межозерный, д. 6</t>
  </si>
  <si>
    <t>Пос. Скреблово, д. 20</t>
  </si>
  <si>
    <t>Г.п. Толмачёво, ул. Толмачёва, д. 29</t>
  </si>
  <si>
    <t>Г.п. Толмачёво, ул. Толмачёва, д. 31</t>
  </si>
  <si>
    <t>Пос. Плоское, ул. Речная, д. 11</t>
  </si>
  <si>
    <t>Муниципальное образование Торковичское сельское поселение</t>
  </si>
  <si>
    <t>Пос. Торковичи, ул. Торговая, д. 13</t>
  </si>
  <si>
    <t>Пос. Торковичи, ул. Торговая, д. 18</t>
  </si>
  <si>
    <t>Муниципальное образование Ям-Тесовское сельское поселение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</si>
  <si>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</si>
  <si>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</si>
  <si>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</si>
  <si>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</si>
  <si>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</si>
  <si>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</si>
  <si>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</si>
  <si>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</si>
  <si>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</si>
  <si>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</si>
  <si>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</si>
  <si>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</si>
  <si>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</si>
  <si>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</si>
  <si>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</si>
  <si>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</si>
  <si>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</si>
  <si>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</si>
  <si>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3793.4</t>
  </si>
  <si>
    <t>Г. Луга, просп. Урицкого, д. 58</t>
  </si>
  <si>
    <t>Г. Луга, просп. Урицкого, д. 67</t>
  </si>
  <si>
    <t>Г. Луга, ул. Кингисеппа, д. 1</t>
  </si>
  <si>
    <t>Г. Луга, ул. Красной Артиллерии, д. 26</t>
  </si>
  <si>
    <t>Пос. Красный Маяк, д. 14в</t>
  </si>
  <si>
    <t>Дер. Сокольники, ул. Лужская, д. 2</t>
  </si>
  <si>
    <t>Пос. Оредеж, ул. Карла Маркса, д. 10</t>
  </si>
  <si>
    <t>Пос. Оредеж, ул. Комсомола, д. 1а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</si>
  <si>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</si>
  <si>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</si>
  <si>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</si>
  <si>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Южная, д. 1а</t>
  </si>
  <si>
    <t>Дер. Жельцы, д. 9</t>
  </si>
  <si>
    <t>Пос. Торковичи, ул. 1 Железнодорожная, д. 7а</t>
  </si>
  <si>
    <t>Пос. Торковичи, ул. Торговая, д. 20</t>
  </si>
  <si>
    <t>Кол-во мкд</t>
  </si>
  <si>
    <t>ИТОГО</t>
  </si>
  <si>
    <t>Бокситогорский</t>
  </si>
  <si>
    <t>Волосовский</t>
  </si>
  <si>
    <t>Волховский</t>
  </si>
  <si>
    <t>Всеволожский</t>
  </si>
  <si>
    <t>Выборгский</t>
  </si>
  <si>
    <t>Гатчинский</t>
  </si>
  <si>
    <t>Киришский</t>
  </si>
  <si>
    <t>Кировский</t>
  </si>
  <si>
    <t>Кингисеппский</t>
  </si>
  <si>
    <t>Лодейнопольский</t>
  </si>
  <si>
    <t>Ломоносовский</t>
  </si>
  <si>
    <t>Лужский</t>
  </si>
  <si>
    <t>Подпорожский</t>
  </si>
  <si>
    <t>Приозерский</t>
  </si>
  <si>
    <t>Сосновоборский</t>
  </si>
  <si>
    <t>Сланцевский</t>
  </si>
  <si>
    <t>Тихвинский</t>
  </si>
  <si>
    <t>Тосненский</t>
  </si>
  <si>
    <t>Лифты</t>
  </si>
  <si>
    <t>дерево</t>
  </si>
  <si>
    <t>Кирпичный</t>
  </si>
  <si>
    <t>6,6,6,8</t>
  </si>
  <si>
    <t>Кирпич оштукатурен.</t>
  </si>
  <si>
    <t>Деревянный</t>
  </si>
  <si>
    <t>Кирпич оштукатур.</t>
  </si>
  <si>
    <t>Панельный</t>
  </si>
  <si>
    <t>Кирпич</t>
  </si>
  <si>
    <t>Деревянные</t>
  </si>
  <si>
    <t>2-4</t>
  </si>
  <si>
    <t>Кирпичный      Деревянный</t>
  </si>
  <si>
    <t>2-3</t>
  </si>
  <si>
    <t>Каменный</t>
  </si>
  <si>
    <t>Деревянный    Кирпичный</t>
  </si>
  <si>
    <t xml:space="preserve">монолит </t>
  </si>
  <si>
    <t xml:space="preserve">дерево </t>
  </si>
  <si>
    <t xml:space="preserve">панельный </t>
  </si>
  <si>
    <t>крупнопанельный</t>
  </si>
  <si>
    <t>арболит</t>
  </si>
  <si>
    <t xml:space="preserve">блочный </t>
  </si>
  <si>
    <t>шл\блочный</t>
  </si>
  <si>
    <t xml:space="preserve">кирпичный </t>
  </si>
  <si>
    <t>блочн</t>
  </si>
  <si>
    <t xml:space="preserve">кирпич </t>
  </si>
  <si>
    <t>шлакобетон (блочный)</t>
  </si>
  <si>
    <t>дернво</t>
  </si>
  <si>
    <t xml:space="preserve">крупнопанельный </t>
  </si>
  <si>
    <t>щит</t>
  </si>
  <si>
    <t>ж/б</t>
  </si>
  <si>
    <t>83</t>
  </si>
  <si>
    <t>70</t>
  </si>
  <si>
    <t>180</t>
  </si>
  <si>
    <t>101</t>
  </si>
  <si>
    <t>77</t>
  </si>
  <si>
    <t>203</t>
  </si>
  <si>
    <t>211</t>
  </si>
  <si>
    <t>230</t>
  </si>
  <si>
    <t>248</t>
  </si>
  <si>
    <t>247</t>
  </si>
  <si>
    <t>268</t>
  </si>
  <si>
    <t>95</t>
  </si>
  <si>
    <t>81</t>
  </si>
  <si>
    <t>87</t>
  </si>
  <si>
    <t>280</t>
  </si>
  <si>
    <t>137</t>
  </si>
  <si>
    <t>206</t>
  </si>
  <si>
    <t>74</t>
  </si>
  <si>
    <t>109</t>
  </si>
  <si>
    <t>97</t>
  </si>
  <si>
    <t>84</t>
  </si>
  <si>
    <t>443</t>
  </si>
  <si>
    <t>333</t>
  </si>
  <si>
    <t>170</t>
  </si>
  <si>
    <t>264</t>
  </si>
  <si>
    <t>380</t>
  </si>
  <si>
    <t>188</t>
  </si>
  <si>
    <t>145</t>
  </si>
  <si>
    <t>256</t>
  </si>
  <si>
    <t>232</t>
  </si>
  <si>
    <t>51</t>
  </si>
  <si>
    <t>218</t>
  </si>
  <si>
    <t>169</t>
  </si>
  <si>
    <t>72</t>
  </si>
  <si>
    <t>263</t>
  </si>
  <si>
    <t>228</t>
  </si>
  <si>
    <t>302</t>
  </si>
  <si>
    <t>272</t>
  </si>
  <si>
    <t>435</t>
  </si>
  <si>
    <t>324</t>
  </si>
  <si>
    <t>152</t>
  </si>
  <si>
    <t>221</t>
  </si>
  <si>
    <t>119</t>
  </si>
  <si>
    <t>245</t>
  </si>
  <si>
    <t>242</t>
  </si>
  <si>
    <t>357</t>
  </si>
  <si>
    <t>279</t>
  </si>
  <si>
    <t>225</t>
  </si>
  <si>
    <t>205</t>
  </si>
  <si>
    <t>231</t>
  </si>
  <si>
    <t>366</t>
  </si>
  <si>
    <t>253</t>
  </si>
  <si>
    <t>362</t>
  </si>
  <si>
    <t>407</t>
  </si>
  <si>
    <t>352</t>
  </si>
  <si>
    <t>187</t>
  </si>
  <si>
    <t>78</t>
  </si>
  <si>
    <t>газобетон</t>
  </si>
  <si>
    <t>брус</t>
  </si>
  <si>
    <t>щсщ</t>
  </si>
  <si>
    <t>разница с разделом 1</t>
  </si>
  <si>
    <t>Г. Луга, ул. Победы, д. 8</t>
  </si>
  <si>
    <t>Г.п. Токсово, ул. Офицерская, д. 1</t>
  </si>
  <si>
    <t>3316</t>
  </si>
  <si>
    <t>Строительный контроль</t>
  </si>
  <si>
    <t>Итого со строительным контролем по Ленинградской области</t>
  </si>
  <si>
    <t xml:space="preserve">со строительным контролем </t>
  </si>
  <si>
    <t>Краткосрочный план реализации в 2020-2022 годах Региональной программы капитального ремонта общего имущества в многоквартирных домах, расположенных на территории Ленинградской области</t>
  </si>
  <si>
    <t>5 и 9</t>
  </si>
  <si>
    <t>5719.0</t>
  </si>
  <si>
    <t>Панель</t>
  </si>
  <si>
    <t>бревно</t>
  </si>
  <si>
    <t>кр. панельн.</t>
  </si>
  <si>
    <t>кр.панел</t>
  </si>
  <si>
    <t>шлако-бетон</t>
  </si>
  <si>
    <t>Железобетон</t>
  </si>
  <si>
    <t>Приложение  1</t>
  </si>
  <si>
    <t xml:space="preserve">к постановлению Правительства Ленинградской области </t>
  </si>
  <si>
    <t>от  "_____"__________2019 года № _______</t>
  </si>
  <si>
    <t>Раздел I. Перечень многоквартирных домов, которые подлежат капитальному ремонту в 2020-2022 годах</t>
  </si>
  <si>
    <t>Раздел II. Реестр многоквартирных домов, которые подлежат капитальному ремонту в 2020 году</t>
  </si>
  <si>
    <t>Раздел III. Реестр многоквартирных домов, которые подлежат капитальному ремонту в 2021 году</t>
  </si>
  <si>
    <t>Раздел IV. Реестр многоквартирных домов, которые подлежат капитальному ремонту в 2022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</si>
</sst>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#,##0.0"/>
    <numFmt numFmtId="165" formatCode="_-* #,##0.00_р_._-;\-* #,##0.00_р_._-;_-* &quot;-&quot;??_р_._-;_-@_-"/>
    <numFmt numFmtId="166" formatCode="0.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rgb="FF64646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b/>
      <i/>
      <sz val="9"/>
      <color indexed="81"/>
      <name val="Tahoma"/>
      <family val="2"/>
      <charset val="204"/>
    </font>
    <font>
      <sz val="12"/>
      <name val="Calibri"/>
      <family val="2"/>
      <scheme val="minor"/>
    </font>
    <font>
      <u/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2"/>
      <color rgb="FF00000A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3F3F3F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Calibri"/>
      <family val="2"/>
      <scheme val="minor"/>
    </font>
    <font>
      <b/>
      <sz val="12"/>
      <name val="Arial"/>
      <family val="2"/>
      <charset val="204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1" fillId="2" borderId="0" applyNumberFormat="0" applyBorder="0" applyAlignment="0" applyProtection="0"/>
    <xf numFmtId="0" fontId="5" fillId="0" borderId="0"/>
    <xf numFmtId="0" fontId="11" fillId="0" borderId="0"/>
    <xf numFmtId="0" fontId="13" fillId="0" borderId="0"/>
    <xf numFmtId="0" fontId="14" fillId="0" borderId="0"/>
    <xf numFmtId="9" fontId="5" fillId="0" borderId="0" applyFont="0" applyFill="0" applyBorder="0" applyAlignment="0" applyProtection="0"/>
    <xf numFmtId="0" fontId="14" fillId="0" borderId="0"/>
    <xf numFmtId="0" fontId="1" fillId="0" borderId="0"/>
    <xf numFmtId="0" fontId="15" fillId="0" borderId="0"/>
    <xf numFmtId="0" fontId="15" fillId="0" borderId="0"/>
    <xf numFmtId="0" fontId="16" fillId="0" borderId="0"/>
    <xf numFmtId="0" fontId="1" fillId="0" borderId="0"/>
    <xf numFmtId="0" fontId="8" fillId="0" borderId="0"/>
    <xf numFmtId="0" fontId="11" fillId="0" borderId="0"/>
    <xf numFmtId="0" fontId="14" fillId="0" borderId="0"/>
    <xf numFmtId="0" fontId="1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20" fillId="5" borderId="17" applyNumberFormat="0" applyAlignment="0" applyProtection="0"/>
  </cellStyleXfs>
  <cellXfs count="548">
    <xf numFmtId="0" fontId="0" fillId="0" borderId="0" xfId="0"/>
    <xf numFmtId="0" fontId="0" fillId="0" borderId="0" xfId="0"/>
    <xf numFmtId="164" fontId="10" fillId="3" borderId="7" xfId="2" applyNumberFormat="1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49" fontId="10" fillId="3" borderId="7" xfId="2" applyNumberFormat="1" applyFont="1" applyFill="1" applyBorder="1" applyAlignment="1">
      <alignment horizontal="center" vertical="center" wrapText="1"/>
    </xf>
    <xf numFmtId="0" fontId="10" fillId="3" borderId="7" xfId="2" applyFont="1" applyFill="1" applyBorder="1" applyAlignment="1">
      <alignment horizontal="center" vertical="center" wrapText="1"/>
    </xf>
    <xf numFmtId="1" fontId="10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0" xfId="0" applyNumberFormat="1" applyFont="1" applyFill="1" applyAlignment="1">
      <alignment horizontal="center" vertical="center"/>
    </xf>
    <xf numFmtId="4" fontId="10" fillId="3" borderId="0" xfId="0" applyNumberFormat="1" applyFont="1" applyFill="1" applyAlignment="1">
      <alignment horizontal="center" vertical="center"/>
    </xf>
    <xf numFmtId="1" fontId="10" fillId="3" borderId="7" xfId="0" applyNumberFormat="1" applyFont="1" applyFill="1" applyBorder="1" applyAlignment="1">
      <alignment horizontal="center" vertical="center" wrapText="1"/>
    </xf>
    <xf numFmtId="1" fontId="10" fillId="3" borderId="7" xfId="0" applyNumberFormat="1" applyFont="1" applyFill="1" applyBorder="1" applyAlignment="1">
      <alignment horizontal="center" vertical="center"/>
    </xf>
    <xf numFmtId="0" fontId="10" fillId="3" borderId="7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0" fillId="3" borderId="7" xfId="2" applyNumberFormat="1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14" fontId="10" fillId="3" borderId="7" xfId="0" applyNumberFormat="1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4" fontId="10" fillId="3" borderId="7" xfId="0" applyNumberFormat="1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 wrapText="1"/>
    </xf>
    <xf numFmtId="0" fontId="10" fillId="3" borderId="7" xfId="2" applyFont="1" applyFill="1" applyBorder="1" applyAlignment="1">
      <alignment horizontal="left" vertical="center" wrapText="1"/>
    </xf>
    <xf numFmtId="1" fontId="10" fillId="3" borderId="7" xfId="2" applyNumberFormat="1" applyFont="1" applyFill="1" applyBorder="1" applyAlignment="1">
      <alignment horizontal="center" vertical="center" wrapText="1"/>
    </xf>
    <xf numFmtId="0" fontId="10" fillId="3" borderId="1" xfId="2" applyFont="1" applyFill="1" applyBorder="1" applyAlignment="1">
      <alignment horizontal="center" vertical="center" wrapText="1"/>
    </xf>
    <xf numFmtId="49" fontId="10" fillId="3" borderId="1" xfId="2" applyNumberFormat="1" applyFont="1" applyFill="1" applyBorder="1" applyAlignment="1">
      <alignment horizontal="center" vertical="center" wrapText="1"/>
    </xf>
    <xf numFmtId="0" fontId="10" fillId="3" borderId="16" xfId="0" applyNumberFormat="1" applyFont="1" applyFill="1" applyBorder="1" applyAlignment="1">
      <alignment horizontal="center" vertical="center"/>
    </xf>
    <xf numFmtId="0" fontId="12" fillId="3" borderId="7" xfId="0" applyNumberFormat="1" applyFont="1" applyFill="1" applyBorder="1" applyAlignment="1">
      <alignment horizontal="center" vertical="center"/>
    </xf>
    <xf numFmtId="2" fontId="4" fillId="3" borderId="0" xfId="0" applyNumberFormat="1" applyFont="1" applyFill="1" applyAlignment="1">
      <alignment horizontal="right" vertical="center"/>
    </xf>
    <xf numFmtId="2" fontId="4" fillId="3" borderId="20" xfId="0" applyNumberFormat="1" applyFont="1" applyFill="1" applyBorder="1" applyAlignment="1">
      <alignment horizontal="center" vertical="center"/>
    </xf>
    <xf numFmtId="4" fontId="4" fillId="3" borderId="16" xfId="0" applyNumberFormat="1" applyFont="1" applyFill="1" applyBorder="1" applyAlignment="1">
      <alignment horizontal="center" vertical="center" wrapText="1"/>
    </xf>
    <xf numFmtId="2" fontId="4" fillId="3" borderId="16" xfId="0" applyNumberFormat="1" applyFont="1" applyFill="1" applyBorder="1" applyAlignment="1">
      <alignment horizontal="center" vertical="center" wrapText="1"/>
    </xf>
    <xf numFmtId="1" fontId="4" fillId="3" borderId="16" xfId="0" applyNumberFormat="1" applyFont="1" applyFill="1" applyBorder="1" applyAlignment="1">
      <alignment horizontal="center" vertical="center" wrapText="1"/>
    </xf>
    <xf numFmtId="1" fontId="4" fillId="3" borderId="16" xfId="0" applyNumberFormat="1" applyFont="1" applyFill="1" applyBorder="1" applyAlignment="1">
      <alignment horizontal="center" vertical="center"/>
    </xf>
    <xf numFmtId="2" fontId="7" fillId="3" borderId="16" xfId="0" applyNumberFormat="1" applyFont="1" applyFill="1" applyBorder="1" applyAlignment="1">
      <alignment horizontal="center" vertical="center" wrapText="1"/>
    </xf>
    <xf numFmtId="4" fontId="4" fillId="3" borderId="16" xfId="0" applyNumberFormat="1" applyFont="1" applyFill="1" applyBorder="1" applyAlignment="1">
      <alignment horizontal="right" vertical="center" indent="1"/>
    </xf>
    <xf numFmtId="2" fontId="4" fillId="3" borderId="16" xfId="0" applyNumberFormat="1" applyFont="1" applyFill="1" applyBorder="1" applyAlignment="1">
      <alignment horizontal="right" vertical="center" indent="1"/>
    </xf>
    <xf numFmtId="4" fontId="4" fillId="3" borderId="16" xfId="0" applyNumberFormat="1" applyFont="1" applyFill="1" applyBorder="1" applyAlignment="1">
      <alignment vertical="center"/>
    </xf>
    <xf numFmtId="4" fontId="7" fillId="3" borderId="16" xfId="0" applyNumberFormat="1" applyFont="1" applyFill="1" applyBorder="1" applyAlignment="1">
      <alignment horizontal="right" vertical="center" indent="1"/>
    </xf>
    <xf numFmtId="2" fontId="7" fillId="3" borderId="16" xfId="0" applyNumberFormat="1" applyFont="1" applyFill="1" applyBorder="1" applyAlignment="1">
      <alignment horizontal="right" vertical="center" indent="1"/>
    </xf>
    <xf numFmtId="0" fontId="10" fillId="3" borderId="0" xfId="0" applyFont="1" applyFill="1" applyAlignment="1">
      <alignment horizontal="left" vertical="center"/>
    </xf>
    <xf numFmtId="0" fontId="10" fillId="3" borderId="0" xfId="0" applyFont="1" applyFill="1" applyAlignment="1">
      <alignment vertical="center" wrapText="1"/>
    </xf>
    <xf numFmtId="4" fontId="10" fillId="3" borderId="0" xfId="0" applyNumberFormat="1" applyFont="1" applyFill="1" applyAlignment="1">
      <alignment horizontal="right" vertical="center"/>
    </xf>
    <xf numFmtId="2" fontId="10" fillId="3" borderId="0" xfId="0" applyNumberFormat="1" applyFont="1" applyFill="1" applyAlignment="1">
      <alignment horizontal="right" vertical="center"/>
    </xf>
    <xf numFmtId="4" fontId="3" fillId="3" borderId="16" xfId="0" applyNumberFormat="1" applyFont="1" applyFill="1" applyBorder="1" applyAlignment="1">
      <alignment horizontal="center" vertical="center" wrapText="1"/>
    </xf>
    <xf numFmtId="0" fontId="10" fillId="3" borderId="16" xfId="0" applyNumberFormat="1" applyFont="1" applyFill="1" applyBorder="1" applyAlignment="1">
      <alignment horizontal="left" vertical="center" wrapText="1"/>
    </xf>
    <xf numFmtId="1" fontId="10" fillId="3" borderId="16" xfId="0" applyNumberFormat="1" applyFont="1" applyFill="1" applyBorder="1" applyAlignment="1">
      <alignment horizontal="left" vertical="center"/>
    </xf>
    <xf numFmtId="1" fontId="10" fillId="3" borderId="16" xfId="0" applyNumberFormat="1" applyFont="1" applyFill="1" applyBorder="1" applyAlignment="1">
      <alignment horizontal="center" vertical="center" wrapText="1"/>
    </xf>
    <xf numFmtId="1" fontId="10" fillId="3" borderId="16" xfId="0" applyNumberFormat="1" applyFont="1" applyFill="1" applyBorder="1" applyAlignment="1">
      <alignment horizontal="center" vertical="center"/>
    </xf>
    <xf numFmtId="4" fontId="10" fillId="3" borderId="16" xfId="0" applyNumberFormat="1" applyFont="1" applyFill="1" applyBorder="1" applyAlignment="1">
      <alignment horizontal="center" vertical="center"/>
    </xf>
    <xf numFmtId="2" fontId="9" fillId="3" borderId="16" xfId="0" applyNumberFormat="1" applyFont="1" applyFill="1" applyBorder="1" applyAlignment="1">
      <alignment horizontal="center" vertical="center" wrapText="1"/>
    </xf>
    <xf numFmtId="4" fontId="10" fillId="3" borderId="16" xfId="0" applyNumberFormat="1" applyFont="1" applyFill="1" applyBorder="1" applyAlignment="1">
      <alignment horizontal="right" vertical="center" indent="1"/>
    </xf>
    <xf numFmtId="2" fontId="10" fillId="3" borderId="16" xfId="0" applyNumberFormat="1" applyFont="1" applyFill="1" applyBorder="1" applyAlignment="1">
      <alignment horizontal="right" vertical="center" indent="1"/>
    </xf>
    <xf numFmtId="2" fontId="10" fillId="3" borderId="16" xfId="0" applyNumberFormat="1" applyFont="1" applyFill="1" applyBorder="1" applyAlignment="1">
      <alignment horizontal="center" vertical="center"/>
    </xf>
    <xf numFmtId="4" fontId="2" fillId="3" borderId="16" xfId="0" applyNumberFormat="1" applyFont="1" applyFill="1" applyBorder="1" applyAlignment="1">
      <alignment horizontal="center" vertical="center" wrapText="1"/>
    </xf>
    <xf numFmtId="4" fontId="3" fillId="3" borderId="16" xfId="0" applyNumberFormat="1" applyFont="1" applyFill="1" applyBorder="1" applyAlignment="1">
      <alignment vertical="center"/>
    </xf>
    <xf numFmtId="4" fontId="3" fillId="3" borderId="16" xfId="0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0" fillId="3" borderId="16" xfId="0" applyFont="1" applyFill="1" applyBorder="1" applyAlignment="1">
      <alignment vertical="center" wrapText="1"/>
    </xf>
    <xf numFmtId="0" fontId="10" fillId="3" borderId="16" xfId="0" applyFont="1" applyFill="1" applyBorder="1" applyAlignment="1">
      <alignment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9" xfId="2" applyFont="1" applyFill="1" applyBorder="1" applyAlignment="1">
      <alignment horizontal="left" vertical="center" wrapText="1"/>
    </xf>
    <xf numFmtId="4" fontId="10" fillId="3" borderId="16" xfId="0" applyNumberFormat="1" applyFont="1" applyFill="1" applyBorder="1" applyAlignment="1">
      <alignment vertical="center" wrapText="1"/>
    </xf>
    <xf numFmtId="4" fontId="10" fillId="3" borderId="16" xfId="0" applyNumberFormat="1" applyFont="1" applyFill="1" applyBorder="1" applyAlignment="1">
      <alignment vertical="center"/>
    </xf>
    <xf numFmtId="4" fontId="9" fillId="3" borderId="16" xfId="0" applyNumberFormat="1" applyFont="1" applyFill="1" applyBorder="1" applyAlignment="1">
      <alignment vertical="center"/>
    </xf>
    <xf numFmtId="4" fontId="9" fillId="3" borderId="16" xfId="0" applyNumberFormat="1" applyFont="1" applyFill="1" applyBorder="1" applyAlignment="1">
      <alignment vertical="center" wrapText="1"/>
    </xf>
    <xf numFmtId="0" fontId="9" fillId="3" borderId="16" xfId="0" applyFont="1" applyFill="1" applyBorder="1" applyAlignment="1">
      <alignment vertical="center"/>
    </xf>
    <xf numFmtId="0" fontId="10" fillId="3" borderId="16" xfId="2" applyFont="1" applyFill="1" applyBorder="1" applyAlignment="1">
      <alignment horizontal="left" vertical="center" wrapText="1"/>
    </xf>
    <xf numFmtId="4" fontId="9" fillId="3" borderId="16" xfId="0" applyNumberFormat="1" applyFont="1" applyFill="1" applyBorder="1" applyAlignment="1">
      <alignment horizontal="right" vertical="center" indent="1"/>
    </xf>
    <xf numFmtId="4" fontId="3" fillId="3" borderId="16" xfId="0" applyNumberFormat="1" applyFont="1" applyFill="1" applyBorder="1" applyAlignment="1">
      <alignment horizontal="right" vertical="center" indent="1"/>
    </xf>
    <xf numFmtId="4" fontId="0" fillId="0" borderId="0" xfId="0" applyNumberFormat="1"/>
    <xf numFmtId="4" fontId="10" fillId="3" borderId="16" xfId="2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3" borderId="7" xfId="2" applyNumberFormat="1" applyFont="1" applyFill="1" applyBorder="1" applyAlignment="1">
      <alignment horizontal="center" vertical="center" wrapText="1"/>
    </xf>
    <xf numFmtId="4" fontId="12" fillId="3" borderId="7" xfId="0" applyNumberFormat="1" applyFont="1" applyFill="1" applyBorder="1" applyAlignment="1">
      <alignment horizontal="center" vertical="center"/>
    </xf>
    <xf numFmtId="49" fontId="3" fillId="3" borderId="16" xfId="2" applyNumberFormat="1" applyFont="1" applyFill="1" applyBorder="1" applyAlignment="1">
      <alignment horizontal="center" vertical="center" wrapText="1"/>
    </xf>
    <xf numFmtId="4" fontId="0" fillId="4" borderId="0" xfId="0" applyNumberFormat="1" applyFill="1"/>
    <xf numFmtId="4" fontId="0" fillId="3" borderId="0" xfId="0" applyNumberFormat="1" applyFill="1"/>
    <xf numFmtId="4" fontId="10" fillId="3" borderId="7" xfId="0" applyNumberFormat="1" applyFont="1" applyFill="1" applyBorder="1" applyAlignment="1">
      <alignment horizontal="left" vertical="center"/>
    </xf>
    <xf numFmtId="4" fontId="9" fillId="3" borderId="16" xfId="0" applyNumberFormat="1" applyFont="1" applyFill="1" applyBorder="1" applyAlignment="1">
      <alignment horizontal="right" vertical="center" wrapText="1"/>
    </xf>
    <xf numFmtId="0" fontId="10" fillId="3" borderId="0" xfId="0" applyFont="1" applyFill="1" applyAlignment="1">
      <alignment horizontal="left" vertical="center" wrapText="1"/>
    </xf>
    <xf numFmtId="4" fontId="10" fillId="3" borderId="16" xfId="0" applyNumberFormat="1" applyFont="1" applyFill="1" applyBorder="1" applyAlignment="1">
      <alignment horizontal="right" vertical="center" wrapText="1" indent="1"/>
    </xf>
    <xf numFmtId="0" fontId="10" fillId="3" borderId="16" xfId="3" applyFont="1" applyFill="1" applyBorder="1" applyAlignment="1">
      <alignment horizontal="center" vertical="top" wrapText="1"/>
    </xf>
    <xf numFmtId="2" fontId="3" fillId="3" borderId="16" xfId="0" applyNumberFormat="1" applyFont="1" applyFill="1" applyBorder="1" applyAlignment="1">
      <alignment horizontal="right" vertical="center" indent="1"/>
    </xf>
    <xf numFmtId="49" fontId="10" fillId="3" borderId="16" xfId="2" applyNumberFormat="1" applyFont="1" applyFill="1" applyBorder="1" applyAlignment="1">
      <alignment horizontal="center" vertical="center" wrapText="1"/>
    </xf>
    <xf numFmtId="4" fontId="23" fillId="3" borderId="16" xfId="0" applyNumberFormat="1" applyFont="1" applyFill="1" applyBorder="1" applyAlignment="1">
      <alignment horizontal="center" vertical="center"/>
    </xf>
    <xf numFmtId="164" fontId="10" fillId="3" borderId="7" xfId="5" applyNumberFormat="1" applyFont="1" applyFill="1" applyBorder="1" applyAlignment="1">
      <alignment horizontal="center" vertical="center" wrapText="1"/>
    </xf>
    <xf numFmtId="49" fontId="10" fillId="3" borderId="7" xfId="5" applyNumberFormat="1" applyFont="1" applyFill="1" applyBorder="1" applyAlignment="1">
      <alignment horizontal="center" vertical="center" wrapText="1"/>
    </xf>
    <xf numFmtId="49" fontId="10" fillId="3" borderId="7" xfId="0" applyNumberFormat="1" applyFont="1" applyFill="1" applyBorder="1" applyAlignment="1">
      <alignment horizontal="center" vertical="center"/>
    </xf>
    <xf numFmtId="164" fontId="12" fillId="3" borderId="7" xfId="0" applyNumberFormat="1" applyFont="1" applyFill="1" applyBorder="1" applyAlignment="1">
      <alignment horizontal="center" vertical="center"/>
    </xf>
    <xf numFmtId="16" fontId="12" fillId="3" borderId="7" xfId="0" applyNumberFormat="1" applyFont="1" applyFill="1" applyBorder="1" applyAlignment="1">
      <alignment horizontal="center" vertical="center"/>
    </xf>
    <xf numFmtId="4" fontId="9" fillId="3" borderId="7" xfId="0" applyNumberFormat="1" applyFont="1" applyFill="1" applyBorder="1" applyAlignment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4" fontId="12" fillId="3" borderId="1" xfId="0" applyNumberFormat="1" applyFont="1" applyFill="1" applyBorder="1" applyAlignment="1">
      <alignment horizontal="center" vertical="center"/>
    </xf>
    <xf numFmtId="0" fontId="12" fillId="3" borderId="7" xfId="2" applyFont="1" applyFill="1" applyBorder="1" applyAlignment="1">
      <alignment horizontal="center" vertical="center"/>
    </xf>
    <xf numFmtId="0" fontId="12" fillId="3" borderId="7" xfId="2" applyNumberFormat="1" applyFont="1" applyFill="1" applyBorder="1" applyAlignment="1">
      <alignment horizontal="center" vertical="center"/>
    </xf>
    <xf numFmtId="0" fontId="12" fillId="3" borderId="7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2" applyNumberFormat="1" applyFont="1" applyFill="1" applyBorder="1" applyAlignment="1">
      <alignment horizontal="center" vertical="center" wrapText="1"/>
    </xf>
    <xf numFmtId="4" fontId="10" fillId="3" borderId="1" xfId="2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4" fontId="12" fillId="3" borderId="7" xfId="0" applyNumberFormat="1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4" fontId="10" fillId="3" borderId="1" xfId="0" applyNumberFormat="1" applyFont="1" applyFill="1" applyBorder="1" applyAlignment="1">
      <alignment horizontal="center" vertical="center" wrapText="1"/>
    </xf>
    <xf numFmtId="0" fontId="10" fillId="3" borderId="7" xfId="0" applyNumberFormat="1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19" fillId="3" borderId="16" xfId="0" applyFont="1" applyFill="1" applyBorder="1" applyAlignment="1">
      <alignment horizontal="center" vertical="center" wrapText="1"/>
    </xf>
    <xf numFmtId="3" fontId="19" fillId="3" borderId="16" xfId="0" applyNumberFormat="1" applyFont="1" applyFill="1" applyBorder="1" applyAlignment="1">
      <alignment horizontal="center" vertical="center" wrapText="1"/>
    </xf>
    <xf numFmtId="0" fontId="19" fillId="3" borderId="16" xfId="0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 wrapText="1"/>
    </xf>
    <xf numFmtId="49" fontId="10" fillId="3" borderId="2" xfId="2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4" fontId="12" fillId="3" borderId="7" xfId="0" applyNumberFormat="1" applyFont="1" applyFill="1" applyBorder="1"/>
    <xf numFmtId="4" fontId="3" fillId="3" borderId="16" xfId="0" applyNumberFormat="1" applyFont="1" applyFill="1" applyBorder="1" applyAlignment="1">
      <alignment horizontal="right" vertical="center" wrapText="1" indent="1"/>
    </xf>
    <xf numFmtId="4" fontId="3" fillId="3" borderId="16" xfId="2" applyNumberFormat="1" applyFont="1" applyFill="1" applyBorder="1" applyAlignment="1">
      <alignment horizontal="center" vertical="center" wrapText="1"/>
    </xf>
    <xf numFmtId="2" fontId="3" fillId="3" borderId="16" xfId="0" applyNumberFormat="1" applyFont="1" applyFill="1" applyBorder="1" applyAlignment="1">
      <alignment horizontal="center" vertical="center"/>
    </xf>
    <xf numFmtId="1" fontId="3" fillId="3" borderId="16" xfId="0" applyNumberFormat="1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left" vertical="center" wrapText="1"/>
    </xf>
    <xf numFmtId="4" fontId="2" fillId="3" borderId="16" xfId="0" applyNumberFormat="1" applyFont="1" applyFill="1" applyBorder="1" applyAlignment="1">
      <alignment horizontal="right" vertical="center" indent="1"/>
    </xf>
    <xf numFmtId="4" fontId="2" fillId="3" borderId="16" xfId="0" applyNumberFormat="1" applyFont="1" applyFill="1" applyBorder="1" applyAlignment="1">
      <alignment horizontal="center" vertical="center"/>
    </xf>
    <xf numFmtId="2" fontId="2" fillId="3" borderId="16" xfId="0" applyNumberFormat="1" applyFont="1" applyFill="1" applyBorder="1" applyAlignment="1">
      <alignment horizontal="right" vertical="center" indent="1"/>
    </xf>
    <xf numFmtId="0" fontId="9" fillId="3" borderId="31" xfId="0" applyFont="1" applyFill="1" applyBorder="1" applyAlignment="1">
      <alignment horizontal="left" vertical="center"/>
    </xf>
    <xf numFmtId="0" fontId="12" fillId="3" borderId="0" xfId="0" applyNumberFormat="1" applyFont="1" applyFill="1" applyAlignment="1">
      <alignment horizontal="center" vertical="center"/>
    </xf>
    <xf numFmtId="4" fontId="12" fillId="3" borderId="0" xfId="0" applyNumberFormat="1" applyFont="1" applyFill="1" applyAlignment="1">
      <alignment horizontal="center" vertical="center"/>
    </xf>
    <xf numFmtId="0" fontId="24" fillId="3" borderId="0" xfId="0" applyFont="1" applyFill="1"/>
    <xf numFmtId="0" fontId="4" fillId="3" borderId="0" xfId="0" applyFont="1" applyFill="1"/>
    <xf numFmtId="0" fontId="25" fillId="3" borderId="0" xfId="0" applyFont="1" applyFill="1"/>
    <xf numFmtId="4" fontId="10" fillId="3" borderId="33" xfId="0" applyNumberFormat="1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4" fillId="3" borderId="16" xfId="0" applyFont="1" applyFill="1" applyBorder="1"/>
    <xf numFmtId="4" fontId="9" fillId="3" borderId="33" xfId="0" applyNumberFormat="1" applyFont="1" applyFill="1" applyBorder="1" applyAlignment="1">
      <alignment horizontal="center" vertical="center"/>
    </xf>
    <xf numFmtId="4" fontId="10" fillId="3" borderId="16" xfId="0" applyNumberFormat="1" applyFont="1" applyFill="1" applyBorder="1"/>
    <xf numFmtId="1" fontId="10" fillId="3" borderId="16" xfId="0" applyNumberFormat="1" applyFont="1" applyFill="1" applyBorder="1" applyAlignment="1">
      <alignment horizontal="left" vertical="center" wrapText="1"/>
    </xf>
    <xf numFmtId="4" fontId="9" fillId="3" borderId="16" xfId="0" applyNumberFormat="1" applyFont="1" applyFill="1" applyBorder="1" applyAlignment="1">
      <alignment horizontal="left" vertical="center" wrapText="1"/>
    </xf>
    <xf numFmtId="0" fontId="9" fillId="3" borderId="16" xfId="0" applyFont="1" applyFill="1" applyBorder="1" applyAlignment="1">
      <alignment horizontal="left" vertical="center" wrapText="1"/>
    </xf>
    <xf numFmtId="0" fontId="10" fillId="3" borderId="0" xfId="0" applyFont="1" applyFill="1" applyAlignment="1"/>
    <xf numFmtId="0" fontId="10" fillId="3" borderId="0" xfId="0" applyFont="1" applyFill="1"/>
    <xf numFmtId="0" fontId="10" fillId="3" borderId="0" xfId="0" applyFont="1" applyFill="1" applyAlignment="1">
      <alignment wrapText="1"/>
    </xf>
    <xf numFmtId="4" fontId="10" fillId="3" borderId="0" xfId="0" applyNumberFormat="1" applyFont="1" applyFill="1"/>
    <xf numFmtId="0" fontId="26" fillId="3" borderId="7" xfId="0" applyFont="1" applyFill="1" applyBorder="1" applyAlignment="1">
      <alignment horizontal="center" vertical="center"/>
    </xf>
    <xf numFmtId="0" fontId="26" fillId="3" borderId="7" xfId="0" applyNumberFormat="1" applyFont="1" applyFill="1" applyBorder="1" applyAlignment="1">
      <alignment horizontal="center" vertical="center"/>
    </xf>
    <xf numFmtId="4" fontId="26" fillId="3" borderId="7" xfId="0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26" fillId="3" borderId="7" xfId="0" applyFont="1" applyFill="1" applyBorder="1" applyAlignment="1">
      <alignment horizontal="left"/>
    </xf>
    <xf numFmtId="0" fontId="9" fillId="3" borderId="7" xfId="0" applyFont="1" applyFill="1" applyBorder="1" applyAlignment="1">
      <alignment horizontal="center" vertical="center" wrapText="1"/>
    </xf>
    <xf numFmtId="0" fontId="9" fillId="3" borderId="7" xfId="0" applyNumberFormat="1" applyFont="1" applyFill="1" applyBorder="1" applyAlignment="1">
      <alignment horizontal="center" vertical="center" wrapText="1"/>
    </xf>
    <xf numFmtId="0" fontId="26" fillId="3" borderId="0" xfId="0" applyFont="1" applyFill="1"/>
    <xf numFmtId="0" fontId="9" fillId="3" borderId="7" xfId="2" applyFont="1" applyFill="1" applyBorder="1" applyAlignment="1">
      <alignment horizontal="left" vertical="center" wrapText="1"/>
    </xf>
    <xf numFmtId="4" fontId="9" fillId="3" borderId="7" xfId="0" applyNumberFormat="1" applyFont="1" applyFill="1" applyBorder="1" applyAlignment="1">
      <alignment horizontal="center" vertical="center"/>
    </xf>
    <xf numFmtId="0" fontId="9" fillId="3" borderId="0" xfId="2" applyFont="1" applyFill="1" applyBorder="1" applyAlignment="1">
      <alignment horizontal="left" vertical="center" wrapText="1"/>
    </xf>
    <xf numFmtId="0" fontId="9" fillId="3" borderId="20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left" wrapText="1"/>
    </xf>
    <xf numFmtId="0" fontId="9" fillId="3" borderId="16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4" fontId="10" fillId="3" borderId="7" xfId="0" applyNumberFormat="1" applyFont="1" applyFill="1" applyBorder="1" applyAlignment="1">
      <alignment horizontal="center" vertical="center" wrapText="1"/>
    </xf>
    <xf numFmtId="4" fontId="10" fillId="3" borderId="7" xfId="0" applyNumberFormat="1" applyFont="1" applyFill="1" applyBorder="1" applyAlignment="1">
      <alignment horizontal="center" vertical="center" textRotation="90" wrapText="1"/>
    </xf>
    <xf numFmtId="4" fontId="9" fillId="3" borderId="16" xfId="0" applyNumberFormat="1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left" vertical="center"/>
    </xf>
    <xf numFmtId="4" fontId="4" fillId="3" borderId="0" xfId="0" applyNumberFormat="1" applyFont="1" applyFill="1" applyAlignment="1">
      <alignment horizontal="center" vertical="center"/>
    </xf>
    <xf numFmtId="4" fontId="7" fillId="3" borderId="16" xfId="0" applyNumberFormat="1" applyFont="1" applyFill="1" applyBorder="1" applyAlignment="1">
      <alignment horizontal="center" vertical="center"/>
    </xf>
    <xf numFmtId="4" fontId="9" fillId="3" borderId="16" xfId="0" applyNumberFormat="1" applyFont="1" applyFill="1" applyBorder="1" applyAlignment="1">
      <alignment horizontal="left" vertical="center"/>
    </xf>
    <xf numFmtId="0" fontId="10" fillId="3" borderId="16" xfId="0" applyFont="1" applyFill="1" applyBorder="1" applyAlignment="1">
      <alignment horizontal="left" vertical="center"/>
    </xf>
    <xf numFmtId="4" fontId="4" fillId="3" borderId="16" xfId="0" applyNumberFormat="1" applyFont="1" applyFill="1" applyBorder="1" applyAlignment="1">
      <alignment horizontal="center" vertical="center"/>
    </xf>
    <xf numFmtId="4" fontId="9" fillId="3" borderId="16" xfId="0" applyNumberFormat="1" applyFont="1" applyFill="1" applyBorder="1" applyAlignment="1">
      <alignment horizontal="center" vertical="center" wrapText="1"/>
    </xf>
    <xf numFmtId="4" fontId="7" fillId="3" borderId="16" xfId="0" applyNumberFormat="1" applyFont="1" applyFill="1" applyBorder="1" applyAlignment="1">
      <alignment horizontal="center" vertical="center" wrapText="1"/>
    </xf>
    <xf numFmtId="2" fontId="4" fillId="3" borderId="16" xfId="0" applyNumberFormat="1" applyFont="1" applyFill="1" applyBorder="1" applyAlignment="1">
      <alignment horizontal="center" vertical="center"/>
    </xf>
    <xf numFmtId="4" fontId="10" fillId="3" borderId="4" xfId="0" applyNumberFormat="1" applyFont="1" applyFill="1" applyBorder="1" applyAlignment="1">
      <alignment horizontal="center" vertical="center" wrapText="1"/>
    </xf>
    <xf numFmtId="4" fontId="10" fillId="3" borderId="10" xfId="0" applyNumberFormat="1" applyFont="1" applyFill="1" applyBorder="1" applyAlignment="1">
      <alignment horizontal="center" vertical="center" wrapText="1"/>
    </xf>
    <xf numFmtId="0" fontId="10" fillId="3" borderId="16" xfId="2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2" fontId="10" fillId="3" borderId="16" xfId="0" applyNumberFormat="1" applyFont="1" applyFill="1" applyBorder="1" applyAlignment="1">
      <alignment horizontal="center" vertical="center" wrapText="1"/>
    </xf>
    <xf numFmtId="4" fontId="10" fillId="3" borderId="16" xfId="0" applyNumberFormat="1" applyFont="1" applyFill="1" applyBorder="1" applyAlignment="1">
      <alignment horizontal="center" vertical="center" wrapText="1"/>
    </xf>
    <xf numFmtId="4" fontId="9" fillId="3" borderId="21" xfId="0" applyNumberFormat="1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164" fontId="10" fillId="3" borderId="16" xfId="2" applyNumberFormat="1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0" fillId="3" borderId="16" xfId="2" applyNumberFormat="1" applyFont="1" applyFill="1" applyBorder="1" applyAlignment="1">
      <alignment horizontal="center" vertical="center" wrapText="1"/>
    </xf>
    <xf numFmtId="164" fontId="10" fillId="0" borderId="16" xfId="2" applyNumberFormat="1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 wrapText="1"/>
    </xf>
    <xf numFmtId="1" fontId="10" fillId="3" borderId="16" xfId="2" applyNumberFormat="1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/>
    </xf>
    <xf numFmtId="1" fontId="10" fillId="0" borderId="16" xfId="2" applyNumberFormat="1" applyFont="1" applyFill="1" applyBorder="1" applyAlignment="1">
      <alignment horizontal="center" vertical="center" wrapText="1"/>
    </xf>
    <xf numFmtId="4" fontId="12" fillId="0" borderId="16" xfId="0" applyNumberFormat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10" fillId="3" borderId="0" xfId="0" applyNumberFormat="1" applyFont="1" applyFill="1" applyAlignment="1">
      <alignment vertical="center"/>
    </xf>
    <xf numFmtId="0" fontId="9" fillId="3" borderId="0" xfId="0" applyFont="1" applyFill="1" applyBorder="1" applyAlignment="1">
      <alignment vertical="center" wrapText="1"/>
    </xf>
    <xf numFmtId="0" fontId="10" fillId="3" borderId="7" xfId="0" applyNumberFormat="1" applyFont="1" applyFill="1" applyBorder="1" applyAlignment="1">
      <alignment vertical="center" wrapText="1"/>
    </xf>
    <xf numFmtId="0" fontId="10" fillId="3" borderId="7" xfId="0" applyNumberFormat="1" applyFont="1" applyFill="1" applyBorder="1" applyAlignment="1">
      <alignment horizontal="left" vertical="center" wrapText="1"/>
    </xf>
    <xf numFmtId="0" fontId="10" fillId="3" borderId="7" xfId="0" applyNumberFormat="1" applyFont="1" applyFill="1" applyBorder="1" applyAlignment="1">
      <alignment vertical="center"/>
    </xf>
    <xf numFmtId="3" fontId="10" fillId="3" borderId="7" xfId="0" applyNumberFormat="1" applyFont="1" applyFill="1" applyBorder="1" applyAlignment="1">
      <alignment horizontal="left" vertical="center"/>
    </xf>
    <xf numFmtId="0" fontId="12" fillId="3" borderId="7" xfId="0" applyFont="1" applyFill="1" applyBorder="1" applyAlignment="1">
      <alignment horizontal="left"/>
    </xf>
    <xf numFmtId="0" fontId="10" fillId="3" borderId="7" xfId="0" applyFont="1" applyFill="1" applyBorder="1" applyAlignment="1">
      <alignment vertical="center"/>
    </xf>
    <xf numFmtId="4" fontId="10" fillId="3" borderId="7" xfId="0" applyNumberFormat="1" applyFont="1" applyFill="1" applyBorder="1" applyAlignment="1">
      <alignment vertical="center"/>
    </xf>
    <xf numFmtId="0" fontId="10" fillId="3" borderId="7" xfId="0" applyFont="1" applyFill="1" applyBorder="1" applyAlignment="1">
      <alignment horizontal="left" vertical="center"/>
    </xf>
    <xf numFmtId="4" fontId="9" fillId="3" borderId="7" xfId="0" applyNumberFormat="1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vertical="center"/>
    </xf>
    <xf numFmtId="0" fontId="9" fillId="3" borderId="7" xfId="0" applyFont="1" applyFill="1" applyBorder="1" applyAlignment="1">
      <alignment horizontal="left" vertical="center" wrapText="1"/>
    </xf>
    <xf numFmtId="0" fontId="10" fillId="3" borderId="1" xfId="2" applyFont="1" applyFill="1" applyBorder="1" applyAlignment="1">
      <alignment horizontal="left" vertical="center" wrapText="1"/>
    </xf>
    <xf numFmtId="0" fontId="10" fillId="3" borderId="7" xfId="0" applyFont="1" applyFill="1" applyBorder="1" applyAlignment="1">
      <alignment horizontal="left" vertical="center" wrapText="1"/>
    </xf>
    <xf numFmtId="3" fontId="10" fillId="3" borderId="16" xfId="0" applyNumberFormat="1" applyFont="1" applyFill="1" applyBorder="1" applyAlignment="1">
      <alignment horizontal="center" vertical="center"/>
    </xf>
    <xf numFmtId="14" fontId="10" fillId="3" borderId="16" xfId="0" applyNumberFormat="1" applyFont="1" applyFill="1" applyBorder="1" applyAlignment="1">
      <alignment horizontal="right" vertical="center" indent="1"/>
    </xf>
    <xf numFmtId="0" fontId="10" fillId="3" borderId="19" xfId="0" applyFont="1" applyFill="1" applyBorder="1" applyAlignment="1">
      <alignment horizontal="center" vertical="center"/>
    </xf>
    <xf numFmtId="164" fontId="10" fillId="3" borderId="16" xfId="0" applyNumberFormat="1" applyFont="1" applyFill="1" applyBorder="1" applyAlignment="1">
      <alignment horizontal="center" vertical="center"/>
    </xf>
    <xf numFmtId="0" fontId="10" fillId="3" borderId="18" xfId="2" applyFont="1" applyFill="1" applyBorder="1" applyAlignment="1">
      <alignment horizontal="center" vertical="center" wrapText="1"/>
    </xf>
    <xf numFmtId="1" fontId="10" fillId="3" borderId="18" xfId="2" applyNumberFormat="1" applyFont="1" applyFill="1" applyBorder="1" applyAlignment="1">
      <alignment horizontal="center" vertical="center" wrapText="1"/>
    </xf>
    <xf numFmtId="164" fontId="10" fillId="3" borderId="18" xfId="2" applyNumberFormat="1" applyFont="1" applyFill="1" applyBorder="1" applyAlignment="1">
      <alignment horizontal="center" vertical="center" wrapText="1"/>
    </xf>
    <xf numFmtId="1" fontId="10" fillId="3" borderId="16" xfId="2" applyNumberFormat="1" applyFont="1" applyFill="1" applyBorder="1" applyAlignment="1" applyProtection="1">
      <alignment horizontal="center" vertical="center" wrapText="1"/>
    </xf>
    <xf numFmtId="1" fontId="10" fillId="3" borderId="18" xfId="2" applyNumberFormat="1" applyFont="1" applyFill="1" applyBorder="1" applyAlignment="1" applyProtection="1">
      <alignment horizontal="center" vertical="center" wrapText="1"/>
    </xf>
    <xf numFmtId="44" fontId="10" fillId="3" borderId="18" xfId="30" applyFont="1" applyFill="1" applyBorder="1" applyAlignment="1">
      <alignment horizontal="center" vertical="center" wrapText="1"/>
    </xf>
    <xf numFmtId="4" fontId="29" fillId="3" borderId="16" xfId="0" applyNumberFormat="1" applyFont="1" applyFill="1" applyBorder="1" applyAlignment="1">
      <alignment horizontal="right" vertical="center" indent="1"/>
    </xf>
    <xf numFmtId="0" fontId="10" fillId="3" borderId="4" xfId="2" applyFont="1" applyFill="1" applyBorder="1" applyAlignment="1">
      <alignment horizontal="center" vertical="center" wrapText="1"/>
    </xf>
    <xf numFmtId="1" fontId="10" fillId="3" borderId="4" xfId="2" applyNumberFormat="1" applyFont="1" applyFill="1" applyBorder="1" applyAlignment="1">
      <alignment horizontal="center" vertical="center" wrapText="1"/>
    </xf>
    <xf numFmtId="164" fontId="10" fillId="3" borderId="4" xfId="2" applyNumberFormat="1" applyFont="1" applyFill="1" applyBorder="1" applyAlignment="1">
      <alignment horizontal="center" vertical="center" wrapText="1"/>
    </xf>
    <xf numFmtId="4" fontId="29" fillId="3" borderId="16" xfId="0" applyNumberFormat="1" applyFont="1" applyFill="1" applyBorder="1" applyAlignment="1">
      <alignment horizontal="right" vertical="center" wrapText="1" indent="1"/>
    </xf>
    <xf numFmtId="2" fontId="29" fillId="3" borderId="16" xfId="0" applyNumberFormat="1" applyFont="1" applyFill="1" applyBorder="1" applyAlignment="1">
      <alignment horizontal="right" vertical="center" indent="1"/>
    </xf>
    <xf numFmtId="0" fontId="12" fillId="3" borderId="16" xfId="2" applyFont="1" applyFill="1" applyBorder="1" applyAlignment="1">
      <alignment horizontal="center" vertical="center" wrapText="1"/>
    </xf>
    <xf numFmtId="0" fontId="12" fillId="3" borderId="16" xfId="8" applyFont="1" applyFill="1" applyBorder="1" applyAlignment="1">
      <alignment horizontal="center" vertical="center" wrapText="1"/>
    </xf>
    <xf numFmtId="0" fontId="10" fillId="3" borderId="16" xfId="8" applyFont="1" applyFill="1" applyBorder="1" applyAlignment="1">
      <alignment horizontal="center" vertical="center" wrapText="1"/>
    </xf>
    <xf numFmtId="0" fontId="17" fillId="3" borderId="16" xfId="8" applyFont="1" applyFill="1" applyBorder="1" applyAlignment="1">
      <alignment horizontal="center" vertical="center" wrapText="1"/>
    </xf>
    <xf numFmtId="0" fontId="12" fillId="3" borderId="0" xfId="0" applyNumberFormat="1" applyFont="1" applyFill="1" applyBorder="1" applyAlignment="1">
      <alignment horizontal="center"/>
    </xf>
    <xf numFmtId="4" fontId="12" fillId="3" borderId="0" xfId="0" applyNumberFormat="1" applyFont="1" applyFill="1"/>
    <xf numFmtId="0" fontId="9" fillId="3" borderId="0" xfId="0" applyFont="1" applyFill="1" applyAlignment="1">
      <alignment horizontal="left" vertical="center"/>
    </xf>
    <xf numFmtId="0" fontId="9" fillId="3" borderId="19" xfId="2" applyFont="1" applyFill="1" applyBorder="1" applyAlignment="1">
      <alignment horizontal="left" vertical="center" wrapText="1"/>
    </xf>
    <xf numFmtId="0" fontId="10" fillId="3" borderId="21" xfId="2" applyFont="1" applyFill="1" applyBorder="1" applyAlignment="1">
      <alignment horizontal="left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/>
    </xf>
    <xf numFmtId="49" fontId="10" fillId="3" borderId="18" xfId="2" applyNumberFormat="1" applyFont="1" applyFill="1" applyBorder="1" applyAlignment="1">
      <alignment horizontal="center" vertical="center" wrapText="1"/>
    </xf>
    <xf numFmtId="0" fontId="12" fillId="3" borderId="18" xfId="8" applyFont="1" applyFill="1" applyBorder="1" applyAlignment="1">
      <alignment horizontal="center" vertical="center"/>
    </xf>
    <xf numFmtId="166" fontId="12" fillId="3" borderId="18" xfId="0" applyNumberFormat="1" applyFont="1" applyFill="1" applyBorder="1" applyAlignment="1">
      <alignment horizontal="center" vertical="center" wrapText="1"/>
    </xf>
    <xf numFmtId="0" fontId="10" fillId="3" borderId="20" xfId="2" applyFont="1" applyFill="1" applyBorder="1" applyAlignment="1">
      <alignment horizontal="left" vertical="center" wrapText="1"/>
    </xf>
    <xf numFmtId="0" fontId="12" fillId="3" borderId="16" xfId="0" applyFont="1" applyFill="1" applyBorder="1" applyAlignment="1">
      <alignment horizontal="center"/>
    </xf>
    <xf numFmtId="0" fontId="12" fillId="3" borderId="10" xfId="0" applyFont="1" applyFill="1" applyBorder="1" applyAlignment="1">
      <alignment horizontal="center"/>
    </xf>
    <xf numFmtId="0" fontId="12" fillId="3" borderId="13" xfId="0" applyFont="1" applyFill="1" applyBorder="1" applyAlignment="1">
      <alignment horizontal="center"/>
    </xf>
    <xf numFmtId="0" fontId="17" fillId="3" borderId="23" xfId="9" applyFont="1" applyFill="1" applyBorder="1" applyAlignment="1">
      <alignment horizontal="center"/>
    </xf>
    <xf numFmtId="0" fontId="17" fillId="3" borderId="24" xfId="9" applyFont="1" applyFill="1" applyBorder="1" applyAlignment="1">
      <alignment horizontal="center"/>
    </xf>
    <xf numFmtId="4" fontId="12" fillId="3" borderId="16" xfId="0" applyNumberFormat="1" applyFont="1" applyFill="1" applyBorder="1" applyAlignment="1">
      <alignment horizontal="center" vertical="center"/>
    </xf>
    <xf numFmtId="3" fontId="9" fillId="3" borderId="16" xfId="0" applyNumberFormat="1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wrapText="1"/>
    </xf>
    <xf numFmtId="4" fontId="9" fillId="3" borderId="19" xfId="0" applyNumberFormat="1" applyFont="1" applyFill="1" applyBorder="1" applyAlignment="1">
      <alignment horizontal="left" vertical="center"/>
    </xf>
    <xf numFmtId="4" fontId="9" fillId="3" borderId="20" xfId="0" applyNumberFormat="1" applyFont="1" applyFill="1" applyBorder="1" applyAlignment="1">
      <alignment horizontal="left" vertical="center"/>
    </xf>
    <xf numFmtId="0" fontId="10" fillId="3" borderId="19" xfId="0" applyFont="1" applyFill="1" applyBorder="1" applyAlignment="1">
      <alignment horizontal="left" vertical="center"/>
    </xf>
    <xf numFmtId="0" fontId="10" fillId="3" borderId="20" xfId="0" applyFont="1" applyFill="1" applyBorder="1" applyAlignment="1">
      <alignment horizontal="left" vertical="center"/>
    </xf>
    <xf numFmtId="0" fontId="12" fillId="3" borderId="16" xfId="0" applyFont="1" applyFill="1" applyBorder="1"/>
    <xf numFmtId="2" fontId="29" fillId="3" borderId="16" xfId="0" applyNumberFormat="1" applyFont="1" applyFill="1" applyBorder="1" applyAlignment="1">
      <alignment horizontal="right" vertical="center" wrapText="1" indent="1"/>
    </xf>
    <xf numFmtId="2" fontId="9" fillId="3" borderId="16" xfId="0" applyNumberFormat="1" applyFont="1" applyFill="1" applyBorder="1" applyAlignment="1">
      <alignment horizontal="right" vertical="center" indent="1"/>
    </xf>
    <xf numFmtId="14" fontId="10" fillId="3" borderId="16" xfId="0" applyNumberFormat="1" applyFont="1" applyFill="1" applyBorder="1" applyAlignment="1">
      <alignment horizontal="center" vertical="center"/>
    </xf>
    <xf numFmtId="3" fontId="12" fillId="3" borderId="16" xfId="0" applyNumberFormat="1" applyFont="1" applyFill="1" applyBorder="1" applyAlignment="1">
      <alignment horizontal="center" vertical="center"/>
    </xf>
    <xf numFmtId="3" fontId="10" fillId="3" borderId="16" xfId="2" applyNumberFormat="1" applyFont="1" applyFill="1" applyBorder="1" applyAlignment="1">
      <alignment horizontal="center" vertical="center" wrapText="1"/>
    </xf>
    <xf numFmtId="3" fontId="10" fillId="3" borderId="10" xfId="2" applyNumberFormat="1" applyFont="1" applyFill="1" applyBorder="1" applyAlignment="1">
      <alignment horizontal="center" vertical="center" wrapText="1"/>
    </xf>
    <xf numFmtId="164" fontId="10" fillId="3" borderId="10" xfId="2" applyNumberFormat="1" applyFont="1" applyFill="1" applyBorder="1" applyAlignment="1">
      <alignment horizontal="center" vertical="center" wrapText="1"/>
    </xf>
    <xf numFmtId="164" fontId="12" fillId="3" borderId="16" xfId="1" applyNumberFormat="1" applyFont="1" applyFill="1" applyBorder="1" applyAlignment="1">
      <alignment horizontal="center" vertical="center" wrapText="1"/>
    </xf>
    <xf numFmtId="3" fontId="12" fillId="3" borderId="16" xfId="1" applyNumberFormat="1" applyFont="1" applyFill="1" applyBorder="1" applyAlignment="1">
      <alignment horizontal="center" vertical="center" wrapText="1"/>
    </xf>
    <xf numFmtId="3" fontId="30" fillId="3" borderId="16" xfId="31" applyNumberFormat="1" applyFont="1" applyFill="1" applyBorder="1" applyAlignment="1">
      <alignment horizontal="center" vertical="center" wrapText="1"/>
    </xf>
    <xf numFmtId="164" fontId="30" fillId="3" borderId="16" xfId="31" applyNumberFormat="1" applyFont="1" applyFill="1" applyBorder="1" applyAlignment="1">
      <alignment horizontal="center" vertical="center" wrapText="1"/>
    </xf>
    <xf numFmtId="0" fontId="29" fillId="3" borderId="16" xfId="2" applyFont="1" applyFill="1" applyBorder="1" applyAlignment="1">
      <alignment horizontal="left" vertical="center" wrapText="1"/>
    </xf>
    <xf numFmtId="2" fontId="12" fillId="3" borderId="16" xfId="0" applyNumberFormat="1" applyFont="1" applyFill="1" applyBorder="1" applyAlignment="1">
      <alignment horizontal="center" vertical="center"/>
    </xf>
    <xf numFmtId="49" fontId="10" fillId="3" borderId="16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horizontal="left"/>
    </xf>
    <xf numFmtId="0" fontId="10" fillId="3" borderId="18" xfId="0" applyNumberFormat="1" applyFont="1" applyFill="1" applyBorder="1" applyAlignment="1">
      <alignment horizontal="left" vertical="center"/>
    </xf>
    <xf numFmtId="0" fontId="10" fillId="3" borderId="18" xfId="0" applyNumberFormat="1" applyFont="1" applyFill="1" applyBorder="1" applyAlignment="1">
      <alignment horizontal="center" vertical="center" wrapText="1"/>
    </xf>
    <xf numFmtId="2" fontId="10" fillId="3" borderId="19" xfId="0" applyNumberFormat="1" applyFont="1" applyFill="1" applyBorder="1" applyAlignment="1">
      <alignment horizontal="center" vertical="center"/>
    </xf>
    <xf numFmtId="4" fontId="10" fillId="3" borderId="20" xfId="0" applyNumberFormat="1" applyFont="1" applyFill="1" applyBorder="1" applyAlignment="1">
      <alignment horizontal="center" vertical="center"/>
    </xf>
    <xf numFmtId="2" fontId="10" fillId="3" borderId="20" xfId="0" applyNumberFormat="1" applyFont="1" applyFill="1" applyBorder="1" applyAlignment="1">
      <alignment horizontal="center" vertical="center"/>
    </xf>
    <xf numFmtId="4" fontId="10" fillId="3" borderId="0" xfId="0" applyNumberFormat="1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>
      <alignment horizontal="center" vertical="center"/>
    </xf>
    <xf numFmtId="0" fontId="10" fillId="3" borderId="4" xfId="0" applyNumberFormat="1" applyFont="1" applyFill="1" applyBorder="1" applyAlignment="1">
      <alignment horizontal="left" vertical="center"/>
    </xf>
    <xf numFmtId="0" fontId="10" fillId="3" borderId="4" xfId="0" applyNumberFormat="1" applyFont="1" applyFill="1" applyBorder="1" applyAlignment="1">
      <alignment horizontal="left" vertical="center" wrapText="1"/>
    </xf>
    <xf numFmtId="4" fontId="10" fillId="3" borderId="22" xfId="0" applyNumberFormat="1" applyFont="1" applyFill="1" applyBorder="1" applyAlignment="1">
      <alignment horizontal="center" vertical="center" wrapText="1"/>
    </xf>
    <xf numFmtId="4" fontId="10" fillId="3" borderId="0" xfId="0" applyNumberFormat="1" applyFont="1" applyFill="1" applyBorder="1" applyAlignment="1">
      <alignment horizontal="center" vertical="center" wrapText="1"/>
    </xf>
    <xf numFmtId="0" fontId="10" fillId="3" borderId="10" xfId="0" applyNumberFormat="1" applyFont="1" applyFill="1" applyBorder="1" applyAlignment="1">
      <alignment horizontal="left" vertical="center"/>
    </xf>
    <xf numFmtId="0" fontId="10" fillId="3" borderId="10" xfId="0" applyNumberFormat="1" applyFont="1" applyFill="1" applyBorder="1" applyAlignment="1">
      <alignment horizontal="left" vertical="center" wrapText="1"/>
    </xf>
    <xf numFmtId="4" fontId="10" fillId="3" borderId="13" xfId="0" applyNumberFormat="1" applyFont="1" applyFill="1" applyBorder="1" applyAlignment="1">
      <alignment horizontal="center" vertical="center" wrapText="1"/>
    </xf>
    <xf numFmtId="0" fontId="10" fillId="3" borderId="16" xfId="0" applyNumberFormat="1" applyFont="1" applyFill="1" applyBorder="1" applyAlignment="1">
      <alignment horizontal="left" vertical="center"/>
    </xf>
    <xf numFmtId="4" fontId="9" fillId="3" borderId="0" xfId="0" applyNumberFormat="1" applyFont="1" applyFill="1" applyAlignment="1">
      <alignment vertical="center"/>
    </xf>
    <xf numFmtId="1" fontId="10" fillId="3" borderId="0" xfId="0" applyNumberFormat="1" applyFont="1" applyFill="1" applyBorder="1" applyAlignment="1">
      <alignment horizontal="center" vertical="center" wrapText="1"/>
    </xf>
    <xf numFmtId="1" fontId="10" fillId="3" borderId="0" xfId="0" applyNumberFormat="1" applyFont="1" applyFill="1" applyBorder="1" applyAlignment="1">
      <alignment horizontal="center" vertical="center"/>
    </xf>
    <xf numFmtId="4" fontId="9" fillId="3" borderId="0" xfId="0" applyNumberFormat="1" applyFont="1" applyFill="1" applyBorder="1" applyAlignment="1">
      <alignment horizontal="center" vertical="center"/>
    </xf>
    <xf numFmtId="4" fontId="9" fillId="3" borderId="0" xfId="0" applyNumberFormat="1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vertical="center"/>
    </xf>
    <xf numFmtId="4" fontId="10" fillId="3" borderId="0" xfId="0" applyNumberFormat="1" applyFont="1" applyFill="1" applyAlignment="1">
      <alignment vertical="center"/>
    </xf>
    <xf numFmtId="0" fontId="10" fillId="3" borderId="16" xfId="2" applyFont="1" applyFill="1" applyBorder="1" applyAlignment="1">
      <alignment horizontal="center" vertical="center"/>
    </xf>
    <xf numFmtId="4" fontId="10" fillId="3" borderId="33" xfId="0" applyNumberFormat="1" applyFont="1" applyFill="1" applyBorder="1" applyAlignment="1">
      <alignment horizontal="right" vertical="center" indent="1"/>
    </xf>
    <xf numFmtId="4" fontId="9" fillId="3" borderId="33" xfId="0" applyNumberFormat="1" applyFont="1" applyFill="1" applyBorder="1" applyAlignment="1">
      <alignment horizontal="center" vertical="center" wrapText="1"/>
    </xf>
    <xf numFmtId="4" fontId="10" fillId="3" borderId="0" xfId="0" applyNumberFormat="1" applyFont="1" applyFill="1" applyAlignment="1">
      <alignment vertical="center" wrapText="1"/>
    </xf>
    <xf numFmtId="4" fontId="9" fillId="3" borderId="0" xfId="0" applyNumberFormat="1" applyFont="1" applyFill="1" applyAlignment="1">
      <alignment horizontal="center" vertical="center" wrapText="1"/>
    </xf>
    <xf numFmtId="4" fontId="10" fillId="3" borderId="16" xfId="0" applyNumberFormat="1" applyFont="1" applyFill="1" applyBorder="1" applyAlignment="1">
      <alignment horizontal="center"/>
    </xf>
    <xf numFmtId="4" fontId="10" fillId="3" borderId="16" xfId="0" applyNumberFormat="1" applyFont="1" applyFill="1" applyBorder="1" applyAlignment="1">
      <alignment horizontal="center" wrapText="1"/>
    </xf>
    <xf numFmtId="4" fontId="10" fillId="3" borderId="0" xfId="0" applyNumberFormat="1" applyFont="1" applyFill="1" applyAlignment="1">
      <alignment horizontal="center" wrapText="1"/>
    </xf>
    <xf numFmtId="4" fontId="10" fillId="3" borderId="33" xfId="0" applyNumberFormat="1" applyFont="1" applyFill="1" applyBorder="1" applyAlignment="1">
      <alignment horizontal="center" wrapText="1"/>
    </xf>
    <xf numFmtId="0" fontId="10" fillId="3" borderId="16" xfId="0" applyFont="1" applyFill="1" applyBorder="1"/>
    <xf numFmtId="4" fontId="9" fillId="3" borderId="35" xfId="0" applyNumberFormat="1" applyFont="1" applyFill="1" applyBorder="1" applyAlignment="1">
      <alignment horizontal="center" vertical="center" wrapText="1"/>
    </xf>
    <xf numFmtId="4" fontId="9" fillId="3" borderId="18" xfId="0" applyNumberFormat="1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vertical="center"/>
    </xf>
    <xf numFmtId="4" fontId="10" fillId="3" borderId="0" xfId="0" applyNumberFormat="1" applyFont="1" applyFill="1" applyBorder="1" applyAlignment="1">
      <alignment horizontal="right" vertical="center"/>
    </xf>
    <xf numFmtId="4" fontId="10" fillId="3" borderId="0" xfId="0" applyNumberFormat="1" applyFont="1" applyFill="1" applyAlignment="1">
      <alignment horizontal="right" vertical="center" wrapText="1"/>
    </xf>
    <xf numFmtId="4" fontId="10" fillId="3" borderId="0" xfId="0" applyNumberFormat="1" applyFont="1" applyFill="1" applyAlignment="1">
      <alignment horizontal="center" vertical="center" wrapText="1"/>
    </xf>
    <xf numFmtId="0" fontId="9" fillId="3" borderId="16" xfId="2" applyFont="1" applyFill="1" applyBorder="1" applyAlignment="1">
      <alignment vertical="center"/>
    </xf>
    <xf numFmtId="0" fontId="9" fillId="3" borderId="16" xfId="2" applyFont="1" applyFill="1" applyBorder="1" applyAlignment="1">
      <alignment horizontal="left" vertical="center" wrapText="1"/>
    </xf>
    <xf numFmtId="0" fontId="10" fillId="3" borderId="16" xfId="2" applyFont="1" applyFill="1" applyBorder="1" applyAlignment="1">
      <alignment horizontal="left" vertical="center"/>
    </xf>
    <xf numFmtId="4" fontId="10" fillId="3" borderId="36" xfId="0" applyNumberFormat="1" applyFont="1" applyFill="1" applyBorder="1" applyAlignment="1">
      <alignment horizontal="center" vertical="center"/>
    </xf>
    <xf numFmtId="0" fontId="10" fillId="3" borderId="16" xfId="0" applyFont="1" applyFill="1" applyBorder="1" applyAlignment="1"/>
    <xf numFmtId="0" fontId="9" fillId="3" borderId="16" xfId="2" applyFont="1" applyFill="1" applyBorder="1" applyAlignment="1">
      <alignment horizontal="left" vertical="center"/>
    </xf>
    <xf numFmtId="0" fontId="10" fillId="3" borderId="16" xfId="2" applyFont="1" applyFill="1" applyBorder="1" applyAlignment="1">
      <alignment vertical="center"/>
    </xf>
    <xf numFmtId="0" fontId="9" fillId="3" borderId="16" xfId="2" applyFont="1" applyFill="1" applyBorder="1" applyAlignment="1">
      <alignment horizontal="center" vertical="center"/>
    </xf>
    <xf numFmtId="2" fontId="10" fillId="3" borderId="33" xfId="0" applyNumberFormat="1" applyFont="1" applyFill="1" applyBorder="1" applyAlignment="1">
      <alignment horizontal="right" vertical="center" indent="1"/>
    </xf>
    <xf numFmtId="4" fontId="9" fillId="3" borderId="33" xfId="0" applyNumberFormat="1" applyFont="1" applyFill="1" applyBorder="1" applyAlignment="1">
      <alignment horizontal="right" vertical="center" indent="1"/>
    </xf>
    <xf numFmtId="4" fontId="10" fillId="3" borderId="0" xfId="0" applyNumberFormat="1" applyFont="1" applyFill="1" applyBorder="1" applyAlignment="1">
      <alignment horizontal="right" vertical="center" indent="1"/>
    </xf>
    <xf numFmtId="4" fontId="9" fillId="3" borderId="34" xfId="0" applyNumberFormat="1" applyFont="1" applyFill="1" applyBorder="1" applyAlignment="1">
      <alignment horizontal="center" vertical="center" wrapText="1"/>
    </xf>
    <xf numFmtId="4" fontId="10" fillId="3" borderId="34" xfId="0" applyNumberFormat="1" applyFont="1" applyFill="1" applyBorder="1" applyAlignment="1">
      <alignment horizontal="center" vertical="center" wrapText="1"/>
    </xf>
    <xf numFmtId="2" fontId="27" fillId="3" borderId="0" xfId="0" applyNumberFormat="1" applyFont="1" applyFill="1" applyAlignment="1">
      <alignment horizontal="right" vertical="center"/>
    </xf>
    <xf numFmtId="2" fontId="27" fillId="3" borderId="20" xfId="0" applyNumberFormat="1" applyFont="1" applyFill="1" applyBorder="1" applyAlignment="1">
      <alignment horizontal="center" vertical="center"/>
    </xf>
    <xf numFmtId="2" fontId="27" fillId="3" borderId="16" xfId="0" applyNumberFormat="1" applyFont="1" applyFill="1" applyBorder="1" applyAlignment="1">
      <alignment horizontal="center" vertical="center" wrapText="1"/>
    </xf>
    <xf numFmtId="1" fontId="27" fillId="3" borderId="16" xfId="0" applyNumberFormat="1" applyFont="1" applyFill="1" applyBorder="1" applyAlignment="1">
      <alignment horizontal="center" vertical="center"/>
    </xf>
    <xf numFmtId="4" fontId="31" fillId="3" borderId="16" xfId="0" applyNumberFormat="1" applyFont="1" applyFill="1" applyBorder="1" applyAlignment="1">
      <alignment horizontal="center" vertical="center"/>
    </xf>
    <xf numFmtId="2" fontId="31" fillId="3" borderId="16" xfId="0" applyNumberFormat="1" applyFont="1" applyFill="1" applyBorder="1" applyAlignment="1">
      <alignment horizontal="center" vertical="center" wrapText="1"/>
    </xf>
    <xf numFmtId="2" fontId="27" fillId="3" borderId="16" xfId="0" applyNumberFormat="1" applyFont="1" applyFill="1" applyBorder="1" applyAlignment="1">
      <alignment horizontal="right" vertical="center" indent="1"/>
    </xf>
    <xf numFmtId="0" fontId="27" fillId="3" borderId="0" xfId="0" applyFont="1" applyFill="1"/>
    <xf numFmtId="2" fontId="3" fillId="3" borderId="0" xfId="0" applyNumberFormat="1" applyFont="1" applyFill="1" applyAlignment="1">
      <alignment horizontal="right" vertical="center"/>
    </xf>
    <xf numFmtId="2" fontId="3" fillId="3" borderId="20" xfId="0" applyNumberFormat="1" applyFont="1" applyFill="1" applyBorder="1" applyAlignment="1">
      <alignment horizontal="center" vertical="center"/>
    </xf>
    <xf numFmtId="2" fontId="3" fillId="3" borderId="16" xfId="0" applyNumberFormat="1" applyFont="1" applyFill="1" applyBorder="1" applyAlignment="1">
      <alignment horizontal="center" vertical="center" wrapText="1"/>
    </xf>
    <xf numFmtId="2" fontId="2" fillId="3" borderId="16" xfId="0" applyNumberFormat="1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/>
    </xf>
    <xf numFmtId="0" fontId="3" fillId="3" borderId="16" xfId="0" applyFont="1" applyFill="1" applyBorder="1"/>
    <xf numFmtId="4" fontId="3" fillId="3" borderId="16" xfId="1" applyNumberFormat="1" applyFont="1" applyFill="1" applyBorder="1" applyAlignment="1">
      <alignment horizontal="center" vertical="center" wrapText="1"/>
    </xf>
    <xf numFmtId="0" fontId="3" fillId="3" borderId="0" xfId="0" applyFont="1" applyFill="1"/>
    <xf numFmtId="4" fontId="10" fillId="3" borderId="18" xfId="0" applyNumberFormat="1" applyFont="1" applyFill="1" applyBorder="1" applyAlignment="1">
      <alignment horizontal="center" vertical="center" wrapText="1"/>
    </xf>
    <xf numFmtId="0" fontId="10" fillId="3" borderId="4" xfId="0" applyNumberFormat="1" applyFont="1" applyFill="1" applyBorder="1" applyAlignment="1">
      <alignment vertical="center" wrapText="1"/>
    </xf>
    <xf numFmtId="0" fontId="10" fillId="3" borderId="10" xfId="0" applyNumberFormat="1" applyFont="1" applyFill="1" applyBorder="1" applyAlignment="1">
      <alignment vertical="center" wrapText="1"/>
    </xf>
    <xf numFmtId="0" fontId="10" fillId="3" borderId="16" xfId="0" applyNumberFormat="1" applyFont="1" applyFill="1" applyBorder="1" applyAlignment="1">
      <alignment vertical="center" wrapText="1"/>
    </xf>
    <xf numFmtId="1" fontId="10" fillId="3" borderId="16" xfId="0" applyNumberFormat="1" applyFont="1" applyFill="1" applyBorder="1" applyAlignment="1">
      <alignment vertical="center" wrapText="1"/>
    </xf>
    <xf numFmtId="4" fontId="10" fillId="3" borderId="18" xfId="0" applyNumberFormat="1" applyFont="1" applyFill="1" applyBorder="1" applyAlignment="1">
      <alignment vertical="center" wrapText="1"/>
    </xf>
    <xf numFmtId="4" fontId="10" fillId="3" borderId="18" xfId="0" applyNumberFormat="1" applyFont="1" applyFill="1" applyBorder="1" applyAlignment="1">
      <alignment vertical="center"/>
    </xf>
    <xf numFmtId="4" fontId="10" fillId="3" borderId="38" xfId="0" applyNumberFormat="1" applyFont="1" applyFill="1" applyBorder="1" applyAlignment="1">
      <alignment horizontal="center" vertical="center"/>
    </xf>
    <xf numFmtId="4" fontId="10" fillId="3" borderId="33" xfId="0" applyNumberFormat="1" applyFont="1" applyFill="1" applyBorder="1" applyAlignment="1">
      <alignment horizontal="center" vertical="center" wrapText="1"/>
    </xf>
    <xf numFmtId="4" fontId="32" fillId="3" borderId="16" xfId="0" applyNumberFormat="1" applyFont="1" applyFill="1" applyBorder="1" applyAlignment="1">
      <alignment horizontal="center" wrapText="1"/>
    </xf>
    <xf numFmtId="4" fontId="32" fillId="3" borderId="0" xfId="0" applyNumberFormat="1" applyFont="1" applyFill="1" applyAlignment="1">
      <alignment horizontal="center" wrapText="1"/>
    </xf>
    <xf numFmtId="4" fontId="32" fillId="3" borderId="33" xfId="0" applyNumberFormat="1" applyFont="1" applyFill="1" applyBorder="1" applyAlignment="1">
      <alignment horizontal="center" wrapText="1"/>
    </xf>
    <xf numFmtId="4" fontId="10" fillId="3" borderId="0" xfId="0" applyNumberFormat="1" applyFont="1" applyFill="1" applyBorder="1" applyAlignment="1">
      <alignment vertical="center" wrapText="1"/>
    </xf>
    <xf numFmtId="4" fontId="10" fillId="3" borderId="0" xfId="0" applyNumberFormat="1" applyFont="1" applyFill="1" applyBorder="1" applyAlignment="1">
      <alignment vertical="center"/>
    </xf>
    <xf numFmtId="4" fontId="33" fillId="3" borderId="16" xfId="0" applyNumberFormat="1" applyFont="1" applyFill="1" applyBorder="1" applyAlignment="1">
      <alignment horizontal="center" vertical="center"/>
    </xf>
    <xf numFmtId="2" fontId="9" fillId="3" borderId="16" xfId="0" applyNumberFormat="1" applyFont="1" applyFill="1" applyBorder="1" applyAlignment="1">
      <alignment vertical="center"/>
    </xf>
    <xf numFmtId="2" fontId="10" fillId="3" borderId="16" xfId="0" applyNumberFormat="1" applyFont="1" applyFill="1" applyBorder="1" applyAlignment="1">
      <alignment horizontal="center" vertical="center"/>
    </xf>
    <xf numFmtId="4" fontId="32" fillId="3" borderId="0" xfId="0" applyNumberFormat="1" applyFont="1" applyFill="1" applyAlignment="1">
      <alignment horizontal="center" vertical="center" wrapText="1"/>
    </xf>
    <xf numFmtId="4" fontId="32" fillId="3" borderId="33" xfId="0" applyNumberFormat="1" applyFont="1" applyFill="1" applyBorder="1" applyAlignment="1">
      <alignment horizontal="center" vertical="center" wrapText="1"/>
    </xf>
    <xf numFmtId="4" fontId="32" fillId="3" borderId="16" xfId="0" applyNumberFormat="1" applyFont="1" applyFill="1" applyBorder="1" applyAlignment="1">
      <alignment horizontal="center" vertical="center" wrapText="1"/>
    </xf>
    <xf numFmtId="4" fontId="32" fillId="3" borderId="0" xfId="0" applyNumberFormat="1" applyFont="1" applyFill="1" applyAlignment="1">
      <alignment horizontal="right" vertical="center" wrapText="1"/>
    </xf>
    <xf numFmtId="4" fontId="10" fillId="4" borderId="16" xfId="0" applyNumberFormat="1" applyFont="1" applyFill="1" applyBorder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22" fillId="3" borderId="0" xfId="0" applyFont="1" applyFill="1"/>
    <xf numFmtId="4" fontId="32" fillId="3" borderId="16" xfId="0" applyNumberFormat="1" applyFont="1" applyFill="1" applyBorder="1" applyAlignment="1">
      <alignment horizontal="right" vertical="center" wrapText="1"/>
    </xf>
    <xf numFmtId="4" fontId="34" fillId="3" borderId="16" xfId="0" applyNumberFormat="1" applyFont="1" applyFill="1" applyBorder="1" applyAlignment="1">
      <alignment horizontal="right" vertical="center" wrapText="1"/>
    </xf>
    <xf numFmtId="4" fontId="10" fillId="3" borderId="34" xfId="0" applyNumberFormat="1" applyFont="1" applyFill="1" applyBorder="1" applyAlignment="1">
      <alignment horizontal="center" vertical="center"/>
    </xf>
    <xf numFmtId="4" fontId="10" fillId="3" borderId="19" xfId="0" applyNumberFormat="1" applyFont="1" applyFill="1" applyBorder="1" applyAlignment="1">
      <alignment horizontal="center" vertical="center"/>
    </xf>
    <xf numFmtId="0" fontId="25" fillId="3" borderId="0" xfId="0" applyFont="1" applyFill="1" applyAlignment="1"/>
    <xf numFmtId="0" fontId="3" fillId="3" borderId="16" xfId="0" applyNumberFormat="1" applyFont="1" applyFill="1" applyBorder="1" applyAlignment="1">
      <alignment horizontal="center"/>
    </xf>
    <xf numFmtId="2" fontId="3" fillId="3" borderId="16" xfId="0" applyNumberFormat="1" applyFont="1" applyFill="1" applyBorder="1" applyAlignment="1">
      <alignment vertical="center"/>
    </xf>
    <xf numFmtId="4" fontId="3" fillId="3" borderId="16" xfId="0" applyNumberFormat="1" applyFont="1" applyFill="1" applyBorder="1"/>
    <xf numFmtId="0" fontId="35" fillId="3" borderId="0" xfId="0" applyFont="1" applyFill="1"/>
    <xf numFmtId="2" fontId="3" fillId="3" borderId="16" xfId="0" applyNumberFormat="1" applyFont="1" applyFill="1" applyBorder="1" applyAlignment="1">
      <alignment horizontal="right" vertical="center" wrapText="1" indent="1"/>
    </xf>
    <xf numFmtId="0" fontId="10" fillId="3" borderId="16" xfId="0" applyFont="1" applyFill="1" applyBorder="1" applyAlignment="1">
      <alignment horizontal="left" wrapText="1"/>
    </xf>
    <xf numFmtId="4" fontId="10" fillId="3" borderId="0" xfId="0" applyNumberFormat="1" applyFont="1" applyFill="1" applyAlignment="1">
      <alignment horizontal="right" vertical="center" indent="1"/>
    </xf>
    <xf numFmtId="4" fontId="3" fillId="3" borderId="0" xfId="0" applyNumberFormat="1" applyFont="1" applyFill="1" applyAlignment="1">
      <alignment horizontal="right" vertical="center"/>
    </xf>
    <xf numFmtId="4" fontId="25" fillId="3" borderId="0" xfId="0" applyNumberFormat="1" applyFont="1" applyFill="1"/>
    <xf numFmtId="2" fontId="9" fillId="3" borderId="16" xfId="0" applyNumberFormat="1" applyFont="1" applyFill="1" applyBorder="1" applyAlignment="1">
      <alignment horizontal="center" vertical="center"/>
    </xf>
    <xf numFmtId="2" fontId="2" fillId="3" borderId="16" xfId="0" applyNumberFormat="1" applyFont="1" applyFill="1" applyBorder="1" applyAlignment="1">
      <alignment horizontal="center" vertical="center"/>
    </xf>
    <xf numFmtId="2" fontId="31" fillId="3" borderId="16" xfId="0" applyNumberFormat="1" applyFont="1" applyFill="1" applyBorder="1" applyAlignment="1">
      <alignment horizontal="center" vertical="center"/>
    </xf>
    <xf numFmtId="2" fontId="7" fillId="3" borderId="16" xfId="0" applyNumberFormat="1" applyFont="1" applyFill="1" applyBorder="1" applyAlignment="1">
      <alignment horizontal="center" vertical="center"/>
    </xf>
    <xf numFmtId="2" fontId="2" fillId="3" borderId="16" xfId="0" applyNumberFormat="1" applyFont="1" applyFill="1" applyBorder="1" applyAlignment="1">
      <alignment vertical="center"/>
    </xf>
    <xf numFmtId="2" fontId="31" fillId="3" borderId="16" xfId="0" applyNumberFormat="1" applyFont="1" applyFill="1" applyBorder="1" applyAlignment="1">
      <alignment vertical="center"/>
    </xf>
    <xf numFmtId="2" fontId="7" fillId="3" borderId="16" xfId="0" applyNumberFormat="1" applyFont="1" applyFill="1" applyBorder="1" applyAlignment="1">
      <alignment vertical="center"/>
    </xf>
    <xf numFmtId="2" fontId="10" fillId="3" borderId="16" xfId="0" applyNumberFormat="1" applyFont="1" applyFill="1" applyBorder="1"/>
    <xf numFmtId="2" fontId="4" fillId="3" borderId="16" xfId="0" applyNumberFormat="1" applyFont="1" applyFill="1" applyBorder="1"/>
    <xf numFmtId="2" fontId="3" fillId="3" borderId="16" xfId="0" applyNumberFormat="1" applyFont="1" applyFill="1" applyBorder="1"/>
    <xf numFmtId="2" fontId="27" fillId="3" borderId="16" xfId="0" applyNumberFormat="1" applyFont="1" applyFill="1" applyBorder="1"/>
    <xf numFmtId="2" fontId="10" fillId="3" borderId="16" xfId="0" applyNumberFormat="1" applyFont="1" applyFill="1" applyBorder="1" applyAlignment="1">
      <alignment horizontal="center"/>
    </xf>
    <xf numFmtId="2" fontId="10" fillId="3" borderId="16" xfId="0" applyNumberFormat="1" applyFont="1" applyFill="1" applyBorder="1" applyAlignment="1">
      <alignment vertical="center"/>
    </xf>
    <xf numFmtId="2" fontId="10" fillId="3" borderId="16" xfId="3" applyNumberFormat="1" applyFont="1" applyFill="1" applyBorder="1" applyAlignment="1">
      <alignment horizontal="center" vertical="top" wrapText="1"/>
    </xf>
    <xf numFmtId="2" fontId="3" fillId="3" borderId="16" xfId="0" applyNumberFormat="1" applyFont="1" applyFill="1" applyBorder="1" applyAlignment="1">
      <alignment horizontal="center"/>
    </xf>
    <xf numFmtId="2" fontId="27" fillId="3" borderId="16" xfId="0" applyNumberFormat="1" applyFont="1" applyFill="1" applyBorder="1" applyAlignment="1">
      <alignment vertical="center"/>
    </xf>
    <xf numFmtId="2" fontId="4" fillId="3" borderId="16" xfId="0" applyNumberFormat="1" applyFont="1" applyFill="1" applyBorder="1" applyAlignment="1">
      <alignment vertical="center"/>
    </xf>
    <xf numFmtId="2" fontId="31" fillId="3" borderId="16" xfId="0" applyNumberFormat="1" applyFont="1" applyFill="1" applyBorder="1" applyAlignment="1">
      <alignment horizontal="right" vertical="center" indent="1"/>
    </xf>
    <xf numFmtId="2" fontId="10" fillId="3" borderId="16" xfId="0" applyNumberFormat="1" applyFont="1" applyFill="1" applyBorder="1" applyAlignment="1">
      <alignment horizontal="right" vertical="center" wrapText="1" indent="1"/>
    </xf>
    <xf numFmtId="2" fontId="27" fillId="3" borderId="16" xfId="0" applyNumberFormat="1" applyFont="1" applyFill="1" applyBorder="1" applyAlignment="1">
      <alignment horizontal="center" vertical="center"/>
    </xf>
    <xf numFmtId="2" fontId="27" fillId="3" borderId="16" xfId="2" applyNumberFormat="1" applyFont="1" applyFill="1" applyBorder="1" applyAlignment="1">
      <alignment horizontal="center" vertical="center" wrapText="1"/>
    </xf>
    <xf numFmtId="2" fontId="27" fillId="3" borderId="16" xfId="1" applyNumberFormat="1" applyFont="1" applyFill="1" applyBorder="1" applyAlignment="1">
      <alignment horizontal="center" vertical="center" wrapText="1"/>
    </xf>
    <xf numFmtId="2" fontId="10" fillId="3" borderId="0" xfId="0" applyNumberFormat="1" applyFont="1" applyFill="1"/>
    <xf numFmtId="2" fontId="3" fillId="3" borderId="0" xfId="0" applyNumberFormat="1" applyFont="1" applyFill="1"/>
    <xf numFmtId="2" fontId="27" fillId="3" borderId="0" xfId="0" applyNumberFormat="1" applyFont="1" applyFill="1"/>
    <xf numFmtId="2" fontId="4" fillId="3" borderId="0" xfId="0" applyNumberFormat="1" applyFont="1" applyFill="1"/>
    <xf numFmtId="2" fontId="9" fillId="3" borderId="16" xfId="0" applyNumberFormat="1" applyFont="1" applyFill="1" applyBorder="1" applyAlignment="1">
      <alignment vertical="center" wrapText="1"/>
    </xf>
    <xf numFmtId="2" fontId="10" fillId="3" borderId="16" xfId="2" applyNumberFormat="1" applyFont="1" applyFill="1" applyBorder="1" applyAlignment="1">
      <alignment vertical="center" wrapText="1"/>
    </xf>
    <xf numFmtId="2" fontId="10" fillId="3" borderId="16" xfId="2" applyNumberFormat="1" applyFont="1" applyFill="1" applyBorder="1" applyAlignment="1">
      <alignment vertical="center"/>
    </xf>
    <xf numFmtId="2" fontId="10" fillId="3" borderId="16" xfId="0" applyNumberFormat="1" applyFont="1" applyFill="1" applyBorder="1" applyAlignment="1">
      <alignment vertical="center" wrapText="1"/>
    </xf>
    <xf numFmtId="2" fontId="10" fillId="3" borderId="7" xfId="2" applyNumberFormat="1" applyFont="1" applyFill="1" applyBorder="1" applyAlignment="1">
      <alignment vertical="center" wrapText="1"/>
    </xf>
    <xf numFmtId="2" fontId="25" fillId="3" borderId="16" xfId="0" applyNumberFormat="1" applyFont="1" applyFill="1" applyBorder="1"/>
    <xf numFmtId="2" fontId="35" fillId="3" borderId="16" xfId="0" applyNumberFormat="1" applyFont="1" applyFill="1" applyBorder="1"/>
    <xf numFmtId="2" fontId="9" fillId="3" borderId="16" xfId="2" applyNumberFormat="1" applyFont="1" applyFill="1" applyBorder="1" applyAlignment="1">
      <alignment vertical="center" wrapText="1"/>
    </xf>
    <xf numFmtId="2" fontId="10" fillId="0" borderId="16" xfId="0" applyNumberFormat="1" applyFont="1" applyFill="1" applyBorder="1" applyAlignment="1">
      <alignment horizontal="right" vertical="center" indent="1"/>
    </xf>
    <xf numFmtId="2" fontId="4" fillId="0" borderId="16" xfId="0" applyNumberFormat="1" applyFont="1" applyFill="1" applyBorder="1" applyAlignment="1">
      <alignment horizontal="right" vertical="center" indent="1"/>
    </xf>
    <xf numFmtId="2" fontId="3" fillId="0" borderId="16" xfId="0" applyNumberFormat="1" applyFont="1" applyFill="1" applyBorder="1" applyAlignment="1">
      <alignment horizontal="right" vertical="center" indent="1"/>
    </xf>
    <xf numFmtId="2" fontId="4" fillId="3" borderId="16" xfId="2" applyNumberFormat="1" applyFont="1" applyFill="1" applyBorder="1" applyAlignment="1">
      <alignment horizontal="center" vertical="center" wrapText="1"/>
    </xf>
    <xf numFmtId="2" fontId="24" fillId="3" borderId="16" xfId="0" applyNumberFormat="1" applyFont="1" applyFill="1" applyBorder="1"/>
    <xf numFmtId="2" fontId="22" fillId="3" borderId="16" xfId="0" applyNumberFormat="1" applyFont="1" applyFill="1" applyBorder="1"/>
    <xf numFmtId="2" fontId="10" fillId="3" borderId="0" xfId="0" applyNumberFormat="1" applyFont="1" applyFill="1" applyAlignment="1"/>
    <xf numFmtId="2" fontId="10" fillId="3" borderId="0" xfId="0" applyNumberFormat="1" applyFont="1" applyFill="1" applyAlignment="1">
      <alignment wrapText="1"/>
    </xf>
    <xf numFmtId="1" fontId="10" fillId="3" borderId="0" xfId="0" applyNumberFormat="1" applyFont="1" applyFill="1" applyAlignment="1">
      <alignment horizontal="left" vertical="center"/>
    </xf>
    <xf numFmtId="1" fontId="10" fillId="3" borderId="18" xfId="0" applyNumberFormat="1" applyFont="1" applyFill="1" applyBorder="1" applyAlignment="1">
      <alignment horizontal="center" vertical="center"/>
    </xf>
    <xf numFmtId="1" fontId="10" fillId="3" borderId="4" xfId="0" applyNumberFormat="1" applyFont="1" applyFill="1" applyBorder="1" applyAlignment="1">
      <alignment horizontal="center" vertical="center"/>
    </xf>
    <xf numFmtId="1" fontId="10" fillId="3" borderId="10" xfId="0" applyNumberFormat="1" applyFont="1" applyFill="1" applyBorder="1" applyAlignment="1">
      <alignment horizontal="center" vertical="center"/>
    </xf>
    <xf numFmtId="1" fontId="9" fillId="3" borderId="16" xfId="0" applyNumberFormat="1" applyFont="1" applyFill="1" applyBorder="1" applyAlignment="1">
      <alignment horizontal="left" vertical="center"/>
    </xf>
    <xf numFmtId="1" fontId="10" fillId="3" borderId="16" xfId="2" applyNumberFormat="1" applyFont="1" applyFill="1" applyBorder="1" applyAlignment="1">
      <alignment vertical="center"/>
    </xf>
    <xf numFmtId="1" fontId="9" fillId="3" borderId="16" xfId="0" applyNumberFormat="1" applyFont="1" applyFill="1" applyBorder="1" applyAlignment="1">
      <alignment vertical="center"/>
    </xf>
    <xf numFmtId="1" fontId="25" fillId="3" borderId="16" xfId="0" applyNumberFormat="1" applyFont="1" applyFill="1" applyBorder="1"/>
    <xf numFmtId="1" fontId="9" fillId="3" borderId="16" xfId="0" applyNumberFormat="1" applyFont="1" applyFill="1" applyBorder="1" applyAlignment="1">
      <alignment horizontal="center" vertical="center"/>
    </xf>
    <xf numFmtId="1" fontId="9" fillId="3" borderId="16" xfId="2" applyNumberFormat="1" applyFont="1" applyFill="1" applyBorder="1" applyAlignment="1">
      <alignment vertical="center"/>
    </xf>
    <xf numFmtId="1" fontId="10" fillId="3" borderId="16" xfId="0" applyNumberFormat="1" applyFont="1" applyFill="1" applyBorder="1" applyAlignment="1">
      <alignment vertical="center"/>
    </xf>
    <xf numFmtId="1" fontId="25" fillId="3" borderId="16" xfId="0" applyNumberFormat="1" applyFont="1" applyFill="1" applyBorder="1" applyAlignment="1"/>
    <xf numFmtId="1" fontId="10" fillId="3" borderId="0" xfId="0" applyNumberFormat="1" applyFont="1" applyFill="1" applyAlignment="1"/>
    <xf numFmtId="1" fontId="25" fillId="3" borderId="0" xfId="0" applyNumberFormat="1" applyFont="1" applyFill="1" applyAlignment="1"/>
    <xf numFmtId="2" fontId="36" fillId="3" borderId="16" xfId="0" applyNumberFormat="1" applyFont="1" applyFill="1" applyBorder="1"/>
    <xf numFmtId="2" fontId="27" fillId="0" borderId="16" xfId="0" applyNumberFormat="1" applyFont="1" applyFill="1" applyBorder="1" applyAlignment="1">
      <alignment horizontal="right" vertical="center" indent="1"/>
    </xf>
    <xf numFmtId="0" fontId="36" fillId="3" borderId="0" xfId="0" applyFont="1" applyFill="1"/>
    <xf numFmtId="0" fontId="9" fillId="3" borderId="37" xfId="0" applyFont="1" applyFill="1" applyBorder="1" applyAlignment="1">
      <alignment horizontal="center" vertical="center"/>
    </xf>
    <xf numFmtId="0" fontId="9" fillId="3" borderId="38" xfId="0" applyFont="1" applyFill="1" applyBorder="1" applyAlignment="1">
      <alignment horizontal="center" vertical="center"/>
    </xf>
    <xf numFmtId="4" fontId="9" fillId="3" borderId="16" xfId="0" applyNumberFormat="1" applyFont="1" applyFill="1" applyBorder="1" applyAlignment="1">
      <alignment horizontal="left" vertical="center"/>
    </xf>
    <xf numFmtId="0" fontId="10" fillId="3" borderId="16" xfId="0" applyFont="1" applyFill="1" applyBorder="1" applyAlignment="1">
      <alignment horizontal="left" vertical="center"/>
    </xf>
    <xf numFmtId="0" fontId="9" fillId="3" borderId="16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 vertical="top" wrapText="1"/>
    </xf>
    <xf numFmtId="0" fontId="9" fillId="3" borderId="0" xfId="0" applyFont="1" applyFill="1" applyBorder="1" applyAlignment="1">
      <alignment horizontal="center" vertical="center"/>
    </xf>
    <xf numFmtId="0" fontId="10" fillId="3" borderId="7" xfId="0" applyNumberFormat="1" applyFont="1" applyFill="1" applyBorder="1" applyAlignment="1">
      <alignment vertical="center" wrapText="1"/>
    </xf>
    <xf numFmtId="0" fontId="10" fillId="3" borderId="7" xfId="0" applyNumberFormat="1" applyFont="1" applyFill="1" applyBorder="1" applyAlignment="1">
      <alignment horizontal="left" vertical="center" wrapText="1"/>
    </xf>
    <xf numFmtId="0" fontId="10" fillId="3" borderId="7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 textRotation="90"/>
    </xf>
    <xf numFmtId="0" fontId="10" fillId="3" borderId="7" xfId="0" applyNumberFormat="1" applyFont="1" applyFill="1" applyBorder="1" applyAlignment="1">
      <alignment horizontal="center" vertical="center" textRotation="90"/>
    </xf>
    <xf numFmtId="0" fontId="10" fillId="3" borderId="7" xfId="0" applyFont="1" applyFill="1" applyBorder="1" applyAlignment="1">
      <alignment horizontal="center" vertical="center" textRotation="90" wrapText="1"/>
    </xf>
    <xf numFmtId="1" fontId="10" fillId="3" borderId="7" xfId="0" applyNumberFormat="1" applyFont="1" applyFill="1" applyBorder="1" applyAlignment="1">
      <alignment horizontal="center" vertical="center" textRotation="90" wrapText="1"/>
    </xf>
    <xf numFmtId="4" fontId="10" fillId="3" borderId="7" xfId="0" applyNumberFormat="1" applyFont="1" applyFill="1" applyBorder="1" applyAlignment="1">
      <alignment horizontal="center" vertical="center" wrapText="1"/>
    </xf>
    <xf numFmtId="0" fontId="10" fillId="3" borderId="19" xfId="2" applyFont="1" applyFill="1" applyBorder="1" applyAlignment="1">
      <alignment horizontal="center" vertical="center" wrapText="1"/>
    </xf>
    <xf numFmtId="0" fontId="10" fillId="3" borderId="21" xfId="2" applyFont="1" applyFill="1" applyBorder="1" applyAlignment="1">
      <alignment horizontal="center" vertical="center" wrapText="1"/>
    </xf>
    <xf numFmtId="0" fontId="10" fillId="3" borderId="16" xfId="2" applyFont="1" applyFill="1" applyBorder="1" applyAlignment="1">
      <alignment horizontal="center" vertical="center" wrapText="1"/>
    </xf>
    <xf numFmtId="0" fontId="9" fillId="3" borderId="19" xfId="2" applyFont="1" applyFill="1" applyBorder="1" applyAlignment="1">
      <alignment horizontal="center" vertical="center" wrapText="1"/>
    </xf>
    <xf numFmtId="0" fontId="9" fillId="3" borderId="20" xfId="2" applyFont="1" applyFill="1" applyBorder="1" applyAlignment="1">
      <alignment horizontal="center" vertical="center" wrapText="1"/>
    </xf>
    <xf numFmtId="0" fontId="9" fillId="3" borderId="21" xfId="2" applyFont="1" applyFill="1" applyBorder="1" applyAlignment="1">
      <alignment horizontal="center" vertical="center" wrapText="1"/>
    </xf>
    <xf numFmtId="4" fontId="9" fillId="3" borderId="2" xfId="0" applyNumberFormat="1" applyFont="1" applyFill="1" applyBorder="1" applyAlignment="1">
      <alignment horizontal="center" vertical="center"/>
    </xf>
    <xf numFmtId="4" fontId="9" fillId="3" borderId="3" xfId="0" applyNumberFormat="1" applyFont="1" applyFill="1" applyBorder="1" applyAlignment="1">
      <alignment horizontal="center" vertical="center"/>
    </xf>
    <xf numFmtId="4" fontId="9" fillId="3" borderId="5" xfId="0" applyNumberFormat="1" applyFont="1" applyFill="1" applyBorder="1" applyAlignment="1">
      <alignment horizontal="center" vertical="center"/>
    </xf>
    <xf numFmtId="4" fontId="10" fillId="3" borderId="7" xfId="0" applyNumberFormat="1" applyFont="1" applyFill="1" applyBorder="1" applyAlignment="1">
      <alignment horizontal="center" vertical="center" textRotation="90" wrapText="1"/>
    </xf>
    <xf numFmtId="0" fontId="10" fillId="3" borderId="20" xfId="2" applyFont="1" applyFill="1" applyBorder="1" applyAlignment="1">
      <alignment horizontal="center" vertical="center" wrapText="1"/>
    </xf>
    <xf numFmtId="4" fontId="9" fillId="3" borderId="19" xfId="0" applyNumberFormat="1" applyFont="1" applyFill="1" applyBorder="1" applyAlignment="1">
      <alignment horizontal="left" vertical="center"/>
    </xf>
    <xf numFmtId="4" fontId="9" fillId="3" borderId="21" xfId="0" applyNumberFormat="1" applyFont="1" applyFill="1" applyBorder="1" applyAlignment="1">
      <alignment horizontal="left" vertical="center"/>
    </xf>
    <xf numFmtId="0" fontId="10" fillId="3" borderId="19" xfId="0" applyFont="1" applyFill="1" applyBorder="1" applyAlignment="1">
      <alignment horizontal="left" vertical="center"/>
    </xf>
    <xf numFmtId="0" fontId="10" fillId="3" borderId="21" xfId="0" applyFont="1" applyFill="1" applyBorder="1" applyAlignment="1">
      <alignment horizontal="left" vertical="center"/>
    </xf>
    <xf numFmtId="4" fontId="9" fillId="3" borderId="19" xfId="0" applyNumberFormat="1" applyFont="1" applyFill="1" applyBorder="1" applyAlignment="1">
      <alignment horizontal="center" vertical="center"/>
    </xf>
    <xf numFmtId="4" fontId="9" fillId="3" borderId="20" xfId="0" applyNumberFormat="1" applyFont="1" applyFill="1" applyBorder="1" applyAlignment="1">
      <alignment horizontal="center" vertical="center"/>
    </xf>
    <xf numFmtId="4" fontId="9" fillId="3" borderId="16" xfId="0" applyNumberFormat="1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left" vertical="center"/>
    </xf>
    <xf numFmtId="0" fontId="9" fillId="3" borderId="21" xfId="0" applyFont="1" applyFill="1" applyBorder="1" applyAlignment="1">
      <alignment horizontal="left" vertical="center"/>
    </xf>
    <xf numFmtId="2" fontId="10" fillId="3" borderId="41" xfId="0" applyNumberFormat="1" applyFont="1" applyFill="1" applyBorder="1" applyAlignment="1">
      <alignment horizontal="center" vertical="center"/>
    </xf>
    <xf numFmtId="2" fontId="10" fillId="3" borderId="43" xfId="0" applyNumberFormat="1" applyFont="1" applyFill="1" applyBorder="1" applyAlignment="1">
      <alignment horizontal="center" vertical="center"/>
    </xf>
    <xf numFmtId="4" fontId="10" fillId="3" borderId="26" xfId="0" applyNumberFormat="1" applyFont="1" applyFill="1" applyBorder="1" applyAlignment="1">
      <alignment horizontal="center" vertical="center" wrapText="1"/>
    </xf>
    <xf numFmtId="4" fontId="10" fillId="3" borderId="4" xfId="0" applyNumberFormat="1" applyFont="1" applyFill="1" applyBorder="1" applyAlignment="1">
      <alignment horizontal="center" vertical="center" wrapText="1"/>
    </xf>
    <xf numFmtId="4" fontId="10" fillId="3" borderId="1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left" vertical="center" wrapText="1"/>
    </xf>
    <xf numFmtId="0" fontId="9" fillId="3" borderId="42" xfId="0" applyFont="1" applyFill="1" applyBorder="1" applyAlignment="1">
      <alignment horizontal="left" vertical="center" wrapText="1"/>
    </xf>
    <xf numFmtId="4" fontId="10" fillId="3" borderId="0" xfId="0" applyNumberFormat="1" applyFont="1" applyFill="1" applyAlignment="1">
      <alignment horizontal="center" vertical="center"/>
    </xf>
    <xf numFmtId="2" fontId="10" fillId="3" borderId="25" xfId="0" applyNumberFormat="1" applyFont="1" applyFill="1" applyBorder="1" applyAlignment="1">
      <alignment horizontal="center" vertical="center" wrapText="1"/>
    </xf>
    <xf numFmtId="2" fontId="10" fillId="3" borderId="29" xfId="0" applyNumberFormat="1" applyFont="1" applyFill="1" applyBorder="1" applyAlignment="1">
      <alignment horizontal="center" vertical="center" wrapText="1"/>
    </xf>
    <xf numFmtId="2" fontId="10" fillId="3" borderId="30" xfId="0" applyNumberFormat="1" applyFont="1" applyFill="1" applyBorder="1" applyAlignment="1">
      <alignment horizontal="center" vertical="center" wrapText="1"/>
    </xf>
    <xf numFmtId="2" fontId="10" fillId="3" borderId="27" xfId="0" applyNumberFormat="1" applyFont="1" applyFill="1" applyBorder="1" applyAlignment="1">
      <alignment horizontal="center" vertical="center" wrapText="1"/>
    </xf>
    <xf numFmtId="2" fontId="10" fillId="3" borderId="28" xfId="0" applyNumberFormat="1" applyFont="1" applyFill="1" applyBorder="1" applyAlignment="1">
      <alignment horizontal="center" vertical="center" wrapText="1"/>
    </xf>
    <xf numFmtId="2" fontId="10" fillId="3" borderId="8" xfId="0" applyNumberFormat="1" applyFont="1" applyFill="1" applyBorder="1" applyAlignment="1">
      <alignment horizontal="center" vertical="center" wrapText="1"/>
    </xf>
    <xf numFmtId="2" fontId="10" fillId="3" borderId="9" xfId="0" applyNumberFormat="1" applyFont="1" applyFill="1" applyBorder="1" applyAlignment="1">
      <alignment horizontal="center" vertical="center" wrapText="1"/>
    </xf>
    <xf numFmtId="2" fontId="10" fillId="3" borderId="11" xfId="0" applyNumberFormat="1" applyFont="1" applyFill="1" applyBorder="1" applyAlignment="1">
      <alignment horizontal="center" vertical="center" wrapText="1"/>
    </xf>
    <xf numFmtId="2" fontId="10" fillId="3" borderId="12" xfId="0" applyNumberFormat="1" applyFont="1" applyFill="1" applyBorder="1" applyAlignment="1">
      <alignment horizontal="center" vertical="center" wrapText="1"/>
    </xf>
    <xf numFmtId="2" fontId="10" fillId="3" borderId="26" xfId="0" applyNumberFormat="1" applyFont="1" applyFill="1" applyBorder="1" applyAlignment="1">
      <alignment horizontal="center" vertical="center" wrapText="1"/>
    </xf>
    <xf numFmtId="2" fontId="10" fillId="3" borderId="4" xfId="0" applyNumberFormat="1" applyFont="1" applyFill="1" applyBorder="1" applyAlignment="1">
      <alignment horizontal="center" vertical="center" wrapText="1"/>
    </xf>
    <xf numFmtId="2" fontId="10" fillId="3" borderId="10" xfId="0" applyNumberFormat="1" applyFont="1" applyFill="1" applyBorder="1" applyAlignment="1">
      <alignment horizontal="center" vertical="center" wrapText="1"/>
    </xf>
    <xf numFmtId="0" fontId="10" fillId="3" borderId="16" xfId="0" applyNumberFormat="1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2" fontId="9" fillId="3" borderId="16" xfId="0" applyNumberFormat="1" applyFont="1" applyFill="1" applyBorder="1" applyAlignment="1">
      <alignment horizontal="center" vertical="center"/>
    </xf>
    <xf numFmtId="4" fontId="10" fillId="3" borderId="0" xfId="0" applyNumberFormat="1" applyFont="1" applyFill="1" applyBorder="1" applyAlignment="1">
      <alignment horizontal="center" vertical="center"/>
    </xf>
    <xf numFmtId="2" fontId="10" fillId="3" borderId="16" xfId="0" applyNumberFormat="1" applyFont="1" applyFill="1" applyBorder="1" applyAlignment="1">
      <alignment horizontal="center" vertical="center"/>
    </xf>
    <xf numFmtId="2" fontId="3" fillId="3" borderId="26" xfId="0" applyNumberFormat="1" applyFont="1" applyFill="1" applyBorder="1" applyAlignment="1">
      <alignment horizontal="center" vertical="center" wrapText="1"/>
    </xf>
    <xf numFmtId="2" fontId="3" fillId="3" borderId="4" xfId="0" applyNumberFormat="1" applyFont="1" applyFill="1" applyBorder="1" applyAlignment="1">
      <alignment horizontal="center" vertical="center" wrapText="1"/>
    </xf>
    <xf numFmtId="2" fontId="3" fillId="3" borderId="10" xfId="0" applyNumberFormat="1" applyFont="1" applyFill="1" applyBorder="1" applyAlignment="1">
      <alignment horizontal="center" vertical="center" wrapText="1"/>
    </xf>
    <xf numFmtId="2" fontId="4" fillId="3" borderId="26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2" fontId="4" fillId="3" borderId="10" xfId="0" applyNumberFormat="1" applyFont="1" applyFill="1" applyBorder="1" applyAlignment="1">
      <alignment horizontal="center" vertical="center" wrapText="1"/>
    </xf>
    <xf numFmtId="2" fontId="22" fillId="3" borderId="26" xfId="0" applyNumberFormat="1" applyFont="1" applyFill="1" applyBorder="1" applyAlignment="1">
      <alignment horizontal="center" vertical="center" wrapText="1"/>
    </xf>
    <xf numFmtId="2" fontId="22" fillId="3" borderId="4" xfId="0" applyNumberFormat="1" applyFont="1" applyFill="1" applyBorder="1" applyAlignment="1">
      <alignment horizontal="center" vertical="center" wrapText="1"/>
    </xf>
    <xf numFmtId="2" fontId="22" fillId="3" borderId="10" xfId="0" applyNumberFormat="1" applyFont="1" applyFill="1" applyBorder="1" applyAlignment="1">
      <alignment horizontal="center" vertical="center" wrapText="1"/>
    </xf>
    <xf numFmtId="4" fontId="9" fillId="3" borderId="8" xfId="0" applyNumberFormat="1" applyFont="1" applyFill="1" applyBorder="1" applyAlignment="1">
      <alignment horizontal="center" vertical="center" wrapText="1"/>
    </xf>
    <xf numFmtId="4" fontId="9" fillId="3" borderId="33" xfId="0" applyNumberFormat="1" applyFont="1" applyFill="1" applyBorder="1" applyAlignment="1">
      <alignment horizontal="center" vertical="center" wrapText="1"/>
    </xf>
    <xf numFmtId="4" fontId="33" fillId="3" borderId="16" xfId="0" applyNumberFormat="1" applyFont="1" applyFill="1" applyBorder="1" applyAlignment="1">
      <alignment horizontal="center" vertical="center"/>
    </xf>
    <xf numFmtId="2" fontId="9" fillId="3" borderId="16" xfId="0" applyNumberFormat="1" applyFont="1" applyFill="1" applyBorder="1" applyAlignment="1">
      <alignment horizontal="center" vertical="center" wrapText="1"/>
    </xf>
    <xf numFmtId="4" fontId="9" fillId="3" borderId="16" xfId="0" applyNumberFormat="1" applyFont="1" applyFill="1" applyBorder="1" applyAlignment="1">
      <alignment horizontal="center" vertical="center" wrapText="1"/>
    </xf>
    <xf numFmtId="4" fontId="9" fillId="3" borderId="16" xfId="0" applyNumberFormat="1" applyFont="1" applyFill="1" applyBorder="1" applyAlignment="1">
      <alignment vertical="center"/>
    </xf>
    <xf numFmtId="4" fontId="33" fillId="3" borderId="16" xfId="0" applyNumberFormat="1" applyFont="1" applyFill="1" applyBorder="1" applyAlignment="1">
      <alignment vertical="center"/>
    </xf>
    <xf numFmtId="4" fontId="10" fillId="3" borderId="16" xfId="0" applyNumberFormat="1" applyFont="1" applyFill="1" applyBorder="1" applyAlignment="1">
      <alignment horizontal="center" vertical="center"/>
    </xf>
    <xf numFmtId="4" fontId="25" fillId="3" borderId="16" xfId="0" applyNumberFormat="1" applyFont="1" applyFill="1" applyBorder="1" applyAlignment="1">
      <alignment horizontal="center" vertical="center"/>
    </xf>
    <xf numFmtId="4" fontId="9" fillId="3" borderId="21" xfId="0" applyNumberFormat="1" applyFont="1" applyFill="1" applyBorder="1" applyAlignment="1">
      <alignment horizontal="center" vertical="center"/>
    </xf>
    <xf numFmtId="1" fontId="9" fillId="3" borderId="44" xfId="0" applyNumberFormat="1" applyFont="1" applyFill="1" applyBorder="1" applyAlignment="1">
      <alignment horizontal="center" vertical="center" wrapText="1"/>
    </xf>
    <xf numFmtId="1" fontId="9" fillId="3" borderId="45" xfId="0" applyNumberFormat="1" applyFont="1" applyFill="1" applyBorder="1" applyAlignment="1">
      <alignment horizontal="center" vertical="center" wrapText="1"/>
    </xf>
    <xf numFmtId="4" fontId="34" fillId="3" borderId="8" xfId="0" applyNumberFormat="1" applyFont="1" applyFill="1" applyBorder="1" applyAlignment="1">
      <alignment horizontal="center" vertical="center" wrapText="1"/>
    </xf>
    <xf numFmtId="4" fontId="34" fillId="3" borderId="0" xfId="0" applyNumberFormat="1" applyFont="1" applyFill="1" applyBorder="1" applyAlignment="1">
      <alignment horizontal="center" vertical="center" wrapText="1"/>
    </xf>
    <xf numFmtId="4" fontId="10" fillId="3" borderId="39" xfId="0" applyNumberFormat="1" applyFont="1" applyFill="1" applyBorder="1" applyAlignment="1">
      <alignment horizontal="center" vertical="center" wrapText="1"/>
    </xf>
    <xf numFmtId="0" fontId="10" fillId="3" borderId="39" xfId="0" applyNumberFormat="1" applyFont="1" applyFill="1" applyBorder="1" applyAlignment="1">
      <alignment horizontal="center" vertical="center" wrapText="1"/>
    </xf>
    <xf numFmtId="0" fontId="10" fillId="3" borderId="4" xfId="0" applyNumberFormat="1" applyFont="1" applyFill="1" applyBorder="1" applyAlignment="1">
      <alignment horizontal="center" vertical="center" wrapText="1"/>
    </xf>
    <xf numFmtId="0" fontId="10" fillId="3" borderId="10" xfId="0" applyNumberFormat="1" applyFont="1" applyFill="1" applyBorder="1" applyAlignment="1">
      <alignment horizontal="center" vertical="center" wrapText="1"/>
    </xf>
    <xf numFmtId="2" fontId="9" fillId="3" borderId="40" xfId="0" applyNumberFormat="1" applyFont="1" applyFill="1" applyBorder="1" applyAlignment="1">
      <alignment horizontal="center" vertical="center"/>
    </xf>
    <xf numFmtId="2" fontId="9" fillId="3" borderId="38" xfId="0" applyNumberFormat="1" applyFont="1" applyFill="1" applyBorder="1" applyAlignment="1">
      <alignment horizontal="center" vertical="center"/>
    </xf>
    <xf numFmtId="4" fontId="3" fillId="3" borderId="39" xfId="0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4" fontId="3" fillId="3" borderId="10" xfId="0" applyNumberFormat="1" applyFont="1" applyFill="1" applyBorder="1" applyAlignment="1">
      <alignment horizontal="center" vertical="center" wrapText="1"/>
    </xf>
    <xf numFmtId="2" fontId="10" fillId="3" borderId="16" xfId="0" applyNumberFormat="1" applyFont="1" applyFill="1" applyBorder="1" applyAlignment="1">
      <alignment horizontal="center" vertical="center" wrapText="1"/>
    </xf>
    <xf numFmtId="0" fontId="9" fillId="3" borderId="16" xfId="2" applyFont="1" applyFill="1" applyBorder="1" applyAlignment="1">
      <alignment horizontal="center" vertical="center" wrapText="1"/>
    </xf>
    <xf numFmtId="4" fontId="9" fillId="3" borderId="0" xfId="0" applyNumberFormat="1" applyFont="1" applyFill="1" applyAlignment="1">
      <alignment horizontal="center" vertical="center"/>
    </xf>
    <xf numFmtId="4" fontId="10" fillId="3" borderId="16" xfId="0" applyNumberFormat="1" applyFont="1" applyFill="1" applyBorder="1" applyAlignment="1">
      <alignment horizontal="center" vertical="center" wrapText="1"/>
    </xf>
    <xf numFmtId="4" fontId="4" fillId="3" borderId="16" xfId="0" applyNumberFormat="1" applyFont="1" applyFill="1" applyBorder="1" applyAlignment="1">
      <alignment horizontal="center" vertical="center" wrapText="1"/>
    </xf>
    <xf numFmtId="2" fontId="10" fillId="3" borderId="32" xfId="0" applyNumberFormat="1" applyFont="1" applyFill="1" applyBorder="1" applyAlignment="1">
      <alignment horizontal="center" vertical="center"/>
    </xf>
    <xf numFmtId="2" fontId="10" fillId="3" borderId="34" xfId="0" applyNumberFormat="1" applyFont="1" applyFill="1" applyBorder="1" applyAlignment="1">
      <alignment horizontal="center" vertical="center"/>
    </xf>
    <xf numFmtId="2" fontId="10" fillId="3" borderId="33" xfId="0" applyNumberFormat="1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/>
    </xf>
  </cellXfs>
  <cellStyles count="32">
    <cellStyle name="40% - Акцент3" xfId="1" builtinId="39"/>
    <cellStyle name="Excel Built-in Normal" xfId="9"/>
    <cellStyle name="Excel Built-in Normal 2 2" xfId="10"/>
    <cellStyle name="TableStyleLight1" xfId="11"/>
    <cellStyle name="Вывод" xfId="31" builtinId="21"/>
    <cellStyle name="Денежный" xfId="30" builtinId="4"/>
    <cellStyle name="Обычный" xfId="0" builtinId="0"/>
    <cellStyle name="Обычный 13" xfId="12"/>
    <cellStyle name="Обычный 13 2" xfId="20"/>
    <cellStyle name="Обычный 13 2 2" xfId="27"/>
    <cellStyle name="Обычный 13 3" xfId="24"/>
    <cellStyle name="Обычный 2" xfId="4"/>
    <cellStyle name="Обычный 2 2" xfId="3"/>
    <cellStyle name="Обычный 2 2 2" xfId="28"/>
    <cellStyle name="Обычный 2 2 3" xfId="21"/>
    <cellStyle name="Обычный 2 3" xfId="13"/>
    <cellStyle name="Обычный 2 4" xfId="23"/>
    <cellStyle name="Обычный 2 5" xfId="8"/>
    <cellStyle name="Обычный 3" xfId="14"/>
    <cellStyle name="Обычный 4" xfId="7"/>
    <cellStyle name="Обычный 5" xfId="15"/>
    <cellStyle name="Обычный 6" xfId="5"/>
    <cellStyle name="Обычный 6 6" xfId="2"/>
    <cellStyle name="Обычный 7" xfId="19"/>
    <cellStyle name="Обычный 7 2" xfId="26"/>
    <cellStyle name="Обычный 8" xfId="16"/>
    <cellStyle name="Обычный 8 2" xfId="22"/>
    <cellStyle name="Обычный 8 2 2" xfId="29"/>
    <cellStyle name="Обычный 8 3" xfId="25"/>
    <cellStyle name="Процентный 2" xfId="6"/>
    <cellStyle name="Финансовый 2" xfId="17"/>
    <cellStyle name="Финансовый 3" xfId="18"/>
  </cellStyles>
  <dxfs count="122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792"/>
  <sheetViews>
    <sheetView view="pageBreakPreview" topLeftCell="A1700" zoomScale="80" zoomScaleNormal="80" zoomScaleSheetLayoutView="80" workbookViewId="0">
      <selection activeCell="L3785" sqref="L3785"/>
    </sheetView>
  </sheetViews>
  <sheetFormatPr defaultColWidth="0" defaultRowHeight="15.6" x14ac:dyDescent="0.3"/>
  <cols>
    <col min="1" max="1" width="5.33203125" style="278" customWidth="1"/>
    <col min="2" max="2" width="73.33203125" style="279" customWidth="1"/>
    <col min="3" max="4" width="9.109375" style="104" customWidth="1"/>
    <col min="5" max="5" width="25.5546875" style="104" customWidth="1"/>
    <col min="6" max="6" width="9.109375" style="104" customWidth="1"/>
    <col min="7" max="7" width="9.109375" style="136" customWidth="1"/>
    <col min="8" max="8" width="15.33203125" style="104" customWidth="1"/>
    <col min="9" max="9" width="16.109375" style="104" customWidth="1"/>
    <col min="10" max="10" width="25.6640625" style="137" customWidth="1"/>
    <col min="11" max="12" width="9.109375" style="137" customWidth="1"/>
    <col min="13" max="13" width="16" style="137" customWidth="1"/>
    <col min="14" max="14" width="20.109375" style="137" customWidth="1"/>
    <col min="15" max="15" width="13.109375" style="104" customWidth="1"/>
    <col min="16" max="16" width="9.109375" style="104" customWidth="1"/>
    <col min="17" max="18" width="0" style="156" hidden="1" customWidth="1"/>
    <col min="19" max="16384" width="9.109375" style="156" hidden="1"/>
  </cols>
  <sheetData>
    <row r="1" spans="1:16384" x14ac:dyDescent="0.3">
      <c r="A1" s="203"/>
      <c r="B1" s="39"/>
      <c r="C1" s="6"/>
      <c r="D1" s="7"/>
      <c r="E1" s="7"/>
      <c r="F1" s="8"/>
      <c r="G1" s="8"/>
      <c r="H1" s="7"/>
      <c r="I1" s="6"/>
      <c r="J1" s="9"/>
      <c r="K1" s="9"/>
      <c r="L1" s="9"/>
      <c r="M1" s="9"/>
      <c r="N1" s="9" t="s">
        <v>4195</v>
      </c>
      <c r="O1" s="7"/>
      <c r="P1" s="7"/>
    </row>
    <row r="2" spans="1:16384" x14ac:dyDescent="0.3">
      <c r="A2" s="203"/>
      <c r="B2" s="39"/>
      <c r="C2" s="6"/>
      <c r="D2" s="7"/>
      <c r="E2" s="7"/>
      <c r="F2" s="8"/>
      <c r="G2" s="8"/>
      <c r="H2" s="7"/>
      <c r="I2" s="6"/>
      <c r="J2" s="9"/>
      <c r="K2" s="9"/>
      <c r="L2" s="9"/>
      <c r="M2" s="9"/>
      <c r="N2" s="9" t="s">
        <v>4196</v>
      </c>
      <c r="O2" s="7"/>
      <c r="P2" s="7"/>
    </row>
    <row r="3" spans="1:16384" x14ac:dyDescent="0.3">
      <c r="A3" s="203"/>
      <c r="B3" s="39"/>
      <c r="C3" s="6"/>
      <c r="D3" s="7"/>
      <c r="E3" s="7"/>
      <c r="F3" s="8"/>
      <c r="G3" s="8"/>
      <c r="H3" s="7"/>
      <c r="I3" s="6"/>
      <c r="J3" s="9"/>
      <c r="K3" s="9"/>
      <c r="L3" s="9"/>
      <c r="M3" s="9"/>
      <c r="N3" s="9" t="s">
        <v>4197</v>
      </c>
      <c r="O3" s="7"/>
      <c r="P3" s="7"/>
    </row>
    <row r="4" spans="1:16384" x14ac:dyDescent="0.3">
      <c r="A4" s="204"/>
      <c r="B4" s="451" t="s">
        <v>4186</v>
      </c>
      <c r="C4" s="451"/>
      <c r="D4" s="451"/>
      <c r="E4" s="451"/>
      <c r="F4" s="451"/>
      <c r="G4" s="451"/>
      <c r="H4" s="451"/>
      <c r="I4" s="451"/>
      <c r="J4" s="451"/>
      <c r="K4" s="451"/>
      <c r="L4" s="451"/>
      <c r="M4" s="451"/>
      <c r="N4" s="451"/>
      <c r="O4" s="451"/>
      <c r="P4" s="451"/>
    </row>
    <row r="5" spans="1:16384" x14ac:dyDescent="0.3">
      <c r="A5" s="56"/>
      <c r="B5" s="39"/>
      <c r="C5" s="6"/>
      <c r="D5" s="452" t="s">
        <v>4198</v>
      </c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7"/>
      <c r="P5" s="7"/>
    </row>
    <row r="6" spans="1:16384" ht="24" customHeight="1" x14ac:dyDescent="0.3">
      <c r="A6" s="453" t="s">
        <v>1</v>
      </c>
      <c r="B6" s="454" t="s">
        <v>2</v>
      </c>
      <c r="C6" s="455" t="s">
        <v>3627</v>
      </c>
      <c r="D6" s="455"/>
      <c r="E6" s="456" t="s">
        <v>3628</v>
      </c>
      <c r="F6" s="457" t="s">
        <v>3629</v>
      </c>
      <c r="G6" s="457" t="s">
        <v>3630</v>
      </c>
      <c r="H6" s="458" t="s">
        <v>3631</v>
      </c>
      <c r="I6" s="459" t="s">
        <v>3632</v>
      </c>
      <c r="J6" s="460" t="s">
        <v>3633</v>
      </c>
      <c r="K6" s="460"/>
      <c r="L6" s="460"/>
      <c r="M6" s="460"/>
      <c r="N6" s="460"/>
      <c r="O6" s="458" t="s">
        <v>3634</v>
      </c>
      <c r="P6" s="458" t="s">
        <v>3635</v>
      </c>
    </row>
    <row r="7" spans="1:16384" ht="15" customHeight="1" x14ac:dyDescent="0.3">
      <c r="A7" s="453"/>
      <c r="B7" s="454"/>
      <c r="C7" s="459" t="s">
        <v>3636</v>
      </c>
      <c r="D7" s="458" t="s">
        <v>3637</v>
      </c>
      <c r="E7" s="456"/>
      <c r="F7" s="457"/>
      <c r="G7" s="457"/>
      <c r="H7" s="458"/>
      <c r="I7" s="459"/>
      <c r="J7" s="470" t="s">
        <v>3638</v>
      </c>
      <c r="K7" s="171"/>
      <c r="L7" s="171"/>
      <c r="M7" s="170"/>
      <c r="N7" s="170"/>
      <c r="O7" s="458"/>
      <c r="P7" s="458"/>
    </row>
    <row r="8" spans="1:16384" ht="91.5" customHeight="1" x14ac:dyDescent="0.3">
      <c r="A8" s="453"/>
      <c r="B8" s="454"/>
      <c r="C8" s="459"/>
      <c r="D8" s="458"/>
      <c r="E8" s="456"/>
      <c r="F8" s="457"/>
      <c r="G8" s="457"/>
      <c r="H8" s="458"/>
      <c r="I8" s="459"/>
      <c r="J8" s="470"/>
      <c r="K8" s="171" t="s">
        <v>3639</v>
      </c>
      <c r="L8" s="171" t="s">
        <v>3640</v>
      </c>
      <c r="M8" s="171" t="s">
        <v>3641</v>
      </c>
      <c r="N8" s="171" t="s">
        <v>3642</v>
      </c>
      <c r="O8" s="458"/>
      <c r="P8" s="458"/>
    </row>
    <row r="9" spans="1:16384" ht="18" customHeight="1" x14ac:dyDescent="0.3">
      <c r="A9" s="205"/>
      <c r="B9" s="206"/>
      <c r="C9" s="459"/>
      <c r="D9" s="458"/>
      <c r="E9" s="456"/>
      <c r="F9" s="457"/>
      <c r="G9" s="457"/>
      <c r="H9" s="20" t="s">
        <v>3643</v>
      </c>
      <c r="I9" s="10" t="s">
        <v>3644</v>
      </c>
      <c r="J9" s="170" t="s">
        <v>30</v>
      </c>
      <c r="K9" s="170"/>
      <c r="L9" s="170"/>
      <c r="M9" s="170" t="s">
        <v>30</v>
      </c>
      <c r="N9" s="170" t="s">
        <v>30</v>
      </c>
      <c r="O9" s="458"/>
      <c r="P9" s="458"/>
    </row>
    <row r="10" spans="1:16384" ht="15.75" x14ac:dyDescent="0.25">
      <c r="A10" s="207">
        <v>1</v>
      </c>
      <c r="B10" s="208">
        <v>2</v>
      </c>
      <c r="C10" s="11">
        <v>3</v>
      </c>
      <c r="D10" s="169">
        <v>4</v>
      </c>
      <c r="E10" s="169">
        <v>5</v>
      </c>
      <c r="F10" s="12">
        <v>6</v>
      </c>
      <c r="G10" s="12">
        <v>7</v>
      </c>
      <c r="H10" s="169">
        <v>8</v>
      </c>
      <c r="I10" s="169">
        <v>9</v>
      </c>
      <c r="J10" s="169">
        <v>10</v>
      </c>
      <c r="K10" s="169">
        <v>11</v>
      </c>
      <c r="L10" s="169">
        <v>12</v>
      </c>
      <c r="M10" s="169">
        <v>13</v>
      </c>
      <c r="N10" s="169">
        <v>14</v>
      </c>
      <c r="O10" s="169">
        <v>15</v>
      </c>
      <c r="P10" s="169">
        <v>16</v>
      </c>
    </row>
    <row r="11" spans="1:16384" ht="17.25" customHeight="1" x14ac:dyDescent="0.3">
      <c r="A11" s="467" t="s">
        <v>34</v>
      </c>
      <c r="B11" s="468"/>
      <c r="C11" s="468"/>
      <c r="D11" s="468"/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9"/>
      <c r="Q11" s="467" t="s">
        <v>34</v>
      </c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9"/>
      <c r="AG11" s="467" t="s">
        <v>34</v>
      </c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9"/>
      <c r="AW11" s="467" t="s">
        <v>34</v>
      </c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9"/>
      <c r="BM11" s="467" t="s">
        <v>34</v>
      </c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9"/>
      <c r="CC11" s="467" t="s">
        <v>34</v>
      </c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9"/>
      <c r="CS11" s="467" t="s">
        <v>34</v>
      </c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9"/>
      <c r="DI11" s="467" t="s">
        <v>34</v>
      </c>
      <c r="DJ11" s="468"/>
      <c r="DK11" s="468"/>
      <c r="DL11" s="468"/>
      <c r="DM11" s="468"/>
      <c r="DN11" s="468"/>
      <c r="DO11" s="468"/>
      <c r="DP11" s="468"/>
      <c r="DQ11" s="468"/>
      <c r="DR11" s="468"/>
      <c r="DS11" s="468"/>
      <c r="DT11" s="468"/>
      <c r="DU11" s="468"/>
      <c r="DV11" s="468"/>
      <c r="DW11" s="468"/>
      <c r="DX11" s="469"/>
      <c r="DY11" s="467" t="s">
        <v>34</v>
      </c>
      <c r="DZ11" s="468"/>
      <c r="EA11" s="468"/>
      <c r="EB11" s="468"/>
      <c r="EC11" s="468"/>
      <c r="ED11" s="468"/>
      <c r="EE11" s="468"/>
      <c r="EF11" s="468"/>
      <c r="EG11" s="468"/>
      <c r="EH11" s="468"/>
      <c r="EI11" s="468"/>
      <c r="EJ11" s="468"/>
      <c r="EK11" s="468"/>
      <c r="EL11" s="468"/>
      <c r="EM11" s="468"/>
      <c r="EN11" s="469"/>
      <c r="EO11" s="467" t="s">
        <v>34</v>
      </c>
      <c r="EP11" s="468"/>
      <c r="EQ11" s="468"/>
      <c r="ER11" s="468"/>
      <c r="ES11" s="468"/>
      <c r="ET11" s="468"/>
      <c r="EU11" s="468"/>
      <c r="EV11" s="468"/>
      <c r="EW11" s="468"/>
      <c r="EX11" s="468"/>
      <c r="EY11" s="468"/>
      <c r="EZ11" s="468"/>
      <c r="FA11" s="468"/>
      <c r="FB11" s="468"/>
      <c r="FC11" s="468"/>
      <c r="FD11" s="469"/>
      <c r="FE11" s="467" t="s">
        <v>34</v>
      </c>
      <c r="FF11" s="468"/>
      <c r="FG11" s="468"/>
      <c r="FH11" s="468"/>
      <c r="FI11" s="468"/>
      <c r="FJ11" s="468"/>
      <c r="FK11" s="468"/>
      <c r="FL11" s="468"/>
      <c r="FM11" s="468"/>
      <c r="FN11" s="468"/>
      <c r="FO11" s="468"/>
      <c r="FP11" s="468"/>
      <c r="FQ11" s="468"/>
      <c r="FR11" s="468"/>
      <c r="FS11" s="468"/>
      <c r="FT11" s="469"/>
      <c r="FU11" s="467" t="s">
        <v>34</v>
      </c>
      <c r="FV11" s="468"/>
      <c r="FW11" s="468"/>
      <c r="FX11" s="468"/>
      <c r="FY11" s="468"/>
      <c r="FZ11" s="468"/>
      <c r="GA11" s="468"/>
      <c r="GB11" s="468"/>
      <c r="GC11" s="468"/>
      <c r="GD11" s="468"/>
      <c r="GE11" s="468"/>
      <c r="GF11" s="468"/>
      <c r="GG11" s="468"/>
      <c r="GH11" s="468"/>
      <c r="GI11" s="468"/>
      <c r="GJ11" s="469"/>
      <c r="GK11" s="467" t="s">
        <v>34</v>
      </c>
      <c r="GL11" s="468"/>
      <c r="GM11" s="468"/>
      <c r="GN11" s="468"/>
      <c r="GO11" s="468"/>
      <c r="GP11" s="468"/>
      <c r="GQ11" s="468"/>
      <c r="GR11" s="468"/>
      <c r="GS11" s="468"/>
      <c r="GT11" s="468"/>
      <c r="GU11" s="468"/>
      <c r="GV11" s="468"/>
      <c r="GW11" s="468"/>
      <c r="GX11" s="468"/>
      <c r="GY11" s="468"/>
      <c r="GZ11" s="469"/>
      <c r="HA11" s="467" t="s">
        <v>34</v>
      </c>
      <c r="HB11" s="468"/>
      <c r="HC11" s="468"/>
      <c r="HD11" s="468"/>
      <c r="HE11" s="468"/>
      <c r="HF11" s="468"/>
      <c r="HG11" s="468"/>
      <c r="HH11" s="468"/>
      <c r="HI11" s="468"/>
      <c r="HJ11" s="468"/>
      <c r="HK11" s="468"/>
      <c r="HL11" s="468"/>
      <c r="HM11" s="468"/>
      <c r="HN11" s="468"/>
      <c r="HO11" s="468"/>
      <c r="HP11" s="469"/>
      <c r="HQ11" s="467" t="s">
        <v>34</v>
      </c>
      <c r="HR11" s="468"/>
      <c r="HS11" s="468"/>
      <c r="HT11" s="468"/>
      <c r="HU11" s="468"/>
      <c r="HV11" s="468"/>
      <c r="HW11" s="468"/>
      <c r="HX11" s="468"/>
      <c r="HY11" s="468"/>
      <c r="HZ11" s="468"/>
      <c r="IA11" s="468"/>
      <c r="IB11" s="468"/>
      <c r="IC11" s="468"/>
      <c r="ID11" s="468"/>
      <c r="IE11" s="468"/>
      <c r="IF11" s="469"/>
      <c r="IG11" s="467" t="s">
        <v>34</v>
      </c>
      <c r="IH11" s="468"/>
      <c r="II11" s="468"/>
      <c r="IJ11" s="468"/>
      <c r="IK11" s="468"/>
      <c r="IL11" s="468"/>
      <c r="IM11" s="468"/>
      <c r="IN11" s="468"/>
      <c r="IO11" s="468"/>
      <c r="IP11" s="468"/>
      <c r="IQ11" s="468"/>
      <c r="IR11" s="468"/>
      <c r="IS11" s="468"/>
      <c r="IT11" s="468"/>
      <c r="IU11" s="468"/>
      <c r="IV11" s="469"/>
      <c r="IW11" s="467" t="s">
        <v>34</v>
      </c>
      <c r="IX11" s="468"/>
      <c r="IY11" s="468"/>
      <c r="IZ11" s="468"/>
      <c r="JA11" s="468"/>
      <c r="JB11" s="468"/>
      <c r="JC11" s="468"/>
      <c r="JD11" s="468"/>
      <c r="JE11" s="468"/>
      <c r="JF11" s="468"/>
      <c r="JG11" s="468"/>
      <c r="JH11" s="468"/>
      <c r="JI11" s="468"/>
      <c r="JJ11" s="468"/>
      <c r="JK11" s="468"/>
      <c r="JL11" s="469"/>
      <c r="JM11" s="467" t="s">
        <v>34</v>
      </c>
      <c r="JN11" s="468"/>
      <c r="JO11" s="468"/>
      <c r="JP11" s="468"/>
      <c r="JQ11" s="468"/>
      <c r="JR11" s="468"/>
      <c r="JS11" s="468"/>
      <c r="JT11" s="468"/>
      <c r="JU11" s="468"/>
      <c r="JV11" s="468"/>
      <c r="JW11" s="468"/>
      <c r="JX11" s="468"/>
      <c r="JY11" s="468"/>
      <c r="JZ11" s="468"/>
      <c r="KA11" s="468"/>
      <c r="KB11" s="469"/>
      <c r="KC11" s="467" t="s">
        <v>34</v>
      </c>
      <c r="KD11" s="468"/>
      <c r="KE11" s="468"/>
      <c r="KF11" s="468"/>
      <c r="KG11" s="468"/>
      <c r="KH11" s="468"/>
      <c r="KI11" s="468"/>
      <c r="KJ11" s="468"/>
      <c r="KK11" s="468"/>
      <c r="KL11" s="468"/>
      <c r="KM11" s="468"/>
      <c r="KN11" s="468"/>
      <c r="KO11" s="468"/>
      <c r="KP11" s="468"/>
      <c r="KQ11" s="468"/>
      <c r="KR11" s="469"/>
      <c r="KS11" s="467" t="s">
        <v>34</v>
      </c>
      <c r="KT11" s="468"/>
      <c r="KU11" s="468"/>
      <c r="KV11" s="468"/>
      <c r="KW11" s="468"/>
      <c r="KX11" s="468"/>
      <c r="KY11" s="468"/>
      <c r="KZ11" s="468"/>
      <c r="LA11" s="468"/>
      <c r="LB11" s="468"/>
      <c r="LC11" s="468"/>
      <c r="LD11" s="468"/>
      <c r="LE11" s="468"/>
      <c r="LF11" s="468"/>
      <c r="LG11" s="468"/>
      <c r="LH11" s="469"/>
      <c r="LI11" s="467" t="s">
        <v>34</v>
      </c>
      <c r="LJ11" s="468"/>
      <c r="LK11" s="468"/>
      <c r="LL11" s="468"/>
      <c r="LM11" s="468"/>
      <c r="LN11" s="468"/>
      <c r="LO11" s="468"/>
      <c r="LP11" s="468"/>
      <c r="LQ11" s="468"/>
      <c r="LR11" s="468"/>
      <c r="LS11" s="468"/>
      <c r="LT11" s="468"/>
      <c r="LU11" s="468"/>
      <c r="LV11" s="468"/>
      <c r="LW11" s="468"/>
      <c r="LX11" s="469"/>
      <c r="LY11" s="467" t="s">
        <v>34</v>
      </c>
      <c r="LZ11" s="468"/>
      <c r="MA11" s="468"/>
      <c r="MB11" s="468"/>
      <c r="MC11" s="468"/>
      <c r="MD11" s="468"/>
      <c r="ME11" s="468"/>
      <c r="MF11" s="468"/>
      <c r="MG11" s="468"/>
      <c r="MH11" s="468"/>
      <c r="MI11" s="468"/>
      <c r="MJ11" s="468"/>
      <c r="MK11" s="468"/>
      <c r="ML11" s="468"/>
      <c r="MM11" s="468"/>
      <c r="MN11" s="469"/>
      <c r="MO11" s="467" t="s">
        <v>34</v>
      </c>
      <c r="MP11" s="468"/>
      <c r="MQ11" s="468"/>
      <c r="MR11" s="468"/>
      <c r="MS11" s="468"/>
      <c r="MT11" s="468"/>
      <c r="MU11" s="468"/>
      <c r="MV11" s="468"/>
      <c r="MW11" s="468"/>
      <c r="MX11" s="468"/>
      <c r="MY11" s="468"/>
      <c r="MZ11" s="468"/>
      <c r="NA11" s="468"/>
      <c r="NB11" s="468"/>
      <c r="NC11" s="468"/>
      <c r="ND11" s="469"/>
      <c r="NE11" s="467" t="s">
        <v>34</v>
      </c>
      <c r="NF11" s="468"/>
      <c r="NG11" s="468"/>
      <c r="NH11" s="468"/>
      <c r="NI11" s="468"/>
      <c r="NJ11" s="468"/>
      <c r="NK11" s="468"/>
      <c r="NL11" s="468"/>
      <c r="NM11" s="468"/>
      <c r="NN11" s="468"/>
      <c r="NO11" s="468"/>
      <c r="NP11" s="468"/>
      <c r="NQ11" s="468"/>
      <c r="NR11" s="468"/>
      <c r="NS11" s="468"/>
      <c r="NT11" s="469"/>
      <c r="NU11" s="467" t="s">
        <v>34</v>
      </c>
      <c r="NV11" s="468"/>
      <c r="NW11" s="468"/>
      <c r="NX11" s="468"/>
      <c r="NY11" s="468"/>
      <c r="NZ11" s="468"/>
      <c r="OA11" s="468"/>
      <c r="OB11" s="468"/>
      <c r="OC11" s="468"/>
      <c r="OD11" s="468"/>
      <c r="OE11" s="468"/>
      <c r="OF11" s="468"/>
      <c r="OG11" s="468"/>
      <c r="OH11" s="468"/>
      <c r="OI11" s="468"/>
      <c r="OJ11" s="469"/>
      <c r="OK11" s="467" t="s">
        <v>34</v>
      </c>
      <c r="OL11" s="468"/>
      <c r="OM11" s="468"/>
      <c r="ON11" s="468"/>
      <c r="OO11" s="468"/>
      <c r="OP11" s="468"/>
      <c r="OQ11" s="468"/>
      <c r="OR11" s="468"/>
      <c r="OS11" s="468"/>
      <c r="OT11" s="468"/>
      <c r="OU11" s="468"/>
      <c r="OV11" s="468"/>
      <c r="OW11" s="468"/>
      <c r="OX11" s="468"/>
      <c r="OY11" s="468"/>
      <c r="OZ11" s="469"/>
      <c r="PA11" s="467" t="s">
        <v>34</v>
      </c>
      <c r="PB11" s="468"/>
      <c r="PC11" s="468"/>
      <c r="PD11" s="468"/>
      <c r="PE11" s="468"/>
      <c r="PF11" s="468"/>
      <c r="PG11" s="468"/>
      <c r="PH11" s="468"/>
      <c r="PI11" s="468"/>
      <c r="PJ11" s="468"/>
      <c r="PK11" s="468"/>
      <c r="PL11" s="468"/>
      <c r="PM11" s="468"/>
      <c r="PN11" s="468"/>
      <c r="PO11" s="468"/>
      <c r="PP11" s="469"/>
      <c r="PQ11" s="467" t="s">
        <v>34</v>
      </c>
      <c r="PR11" s="468"/>
      <c r="PS11" s="468"/>
      <c r="PT11" s="468"/>
      <c r="PU11" s="468"/>
      <c r="PV11" s="468"/>
      <c r="PW11" s="468"/>
      <c r="PX11" s="468"/>
      <c r="PY11" s="468"/>
      <c r="PZ11" s="468"/>
      <c r="QA11" s="468"/>
      <c r="QB11" s="468"/>
      <c r="QC11" s="468"/>
      <c r="QD11" s="468"/>
      <c r="QE11" s="468"/>
      <c r="QF11" s="469"/>
      <c r="QG11" s="467" t="s">
        <v>34</v>
      </c>
      <c r="QH11" s="468"/>
      <c r="QI11" s="468"/>
      <c r="QJ11" s="468"/>
      <c r="QK11" s="468"/>
      <c r="QL11" s="468"/>
      <c r="QM11" s="468"/>
      <c r="QN11" s="468"/>
      <c r="QO11" s="468"/>
      <c r="QP11" s="468"/>
      <c r="QQ11" s="468"/>
      <c r="QR11" s="468"/>
      <c r="QS11" s="468"/>
      <c r="QT11" s="468"/>
      <c r="QU11" s="468"/>
      <c r="QV11" s="469"/>
      <c r="QW11" s="467" t="s">
        <v>34</v>
      </c>
      <c r="QX11" s="468"/>
      <c r="QY11" s="468"/>
      <c r="QZ11" s="468"/>
      <c r="RA11" s="468"/>
      <c r="RB11" s="468"/>
      <c r="RC11" s="468"/>
      <c r="RD11" s="468"/>
      <c r="RE11" s="468"/>
      <c r="RF11" s="468"/>
      <c r="RG11" s="468"/>
      <c r="RH11" s="468"/>
      <c r="RI11" s="468"/>
      <c r="RJ11" s="468"/>
      <c r="RK11" s="468"/>
      <c r="RL11" s="469"/>
      <c r="RM11" s="467" t="s">
        <v>34</v>
      </c>
      <c r="RN11" s="468"/>
      <c r="RO11" s="468"/>
      <c r="RP11" s="468"/>
      <c r="RQ11" s="468"/>
      <c r="RR11" s="468"/>
      <c r="RS11" s="468"/>
      <c r="RT11" s="468"/>
      <c r="RU11" s="468"/>
      <c r="RV11" s="468"/>
      <c r="RW11" s="468"/>
      <c r="RX11" s="468"/>
      <c r="RY11" s="468"/>
      <c r="RZ11" s="468"/>
      <c r="SA11" s="468"/>
      <c r="SB11" s="469"/>
      <c r="SC11" s="467" t="s">
        <v>34</v>
      </c>
      <c r="SD11" s="468"/>
      <c r="SE11" s="468"/>
      <c r="SF11" s="468"/>
      <c r="SG11" s="468"/>
      <c r="SH11" s="468"/>
      <c r="SI11" s="468"/>
      <c r="SJ11" s="468"/>
      <c r="SK11" s="468"/>
      <c r="SL11" s="468"/>
      <c r="SM11" s="468"/>
      <c r="SN11" s="468"/>
      <c r="SO11" s="468"/>
      <c r="SP11" s="468"/>
      <c r="SQ11" s="468"/>
      <c r="SR11" s="469"/>
      <c r="SS11" s="467" t="s">
        <v>34</v>
      </c>
      <c r="ST11" s="468"/>
      <c r="SU11" s="468"/>
      <c r="SV11" s="468"/>
      <c r="SW11" s="468"/>
      <c r="SX11" s="468"/>
      <c r="SY11" s="468"/>
      <c r="SZ11" s="468"/>
      <c r="TA11" s="468"/>
      <c r="TB11" s="468"/>
      <c r="TC11" s="468"/>
      <c r="TD11" s="468"/>
      <c r="TE11" s="468"/>
      <c r="TF11" s="468"/>
      <c r="TG11" s="468"/>
      <c r="TH11" s="469"/>
      <c r="TI11" s="467" t="s">
        <v>34</v>
      </c>
      <c r="TJ11" s="468"/>
      <c r="TK11" s="468"/>
      <c r="TL11" s="468"/>
      <c r="TM11" s="468"/>
      <c r="TN11" s="468"/>
      <c r="TO11" s="468"/>
      <c r="TP11" s="468"/>
      <c r="TQ11" s="468"/>
      <c r="TR11" s="468"/>
      <c r="TS11" s="468"/>
      <c r="TT11" s="468"/>
      <c r="TU11" s="468"/>
      <c r="TV11" s="468"/>
      <c r="TW11" s="468"/>
      <c r="TX11" s="469"/>
      <c r="TY11" s="467" t="s">
        <v>34</v>
      </c>
      <c r="TZ11" s="468"/>
      <c r="UA11" s="468"/>
      <c r="UB11" s="468"/>
      <c r="UC11" s="468"/>
      <c r="UD11" s="468"/>
      <c r="UE11" s="468"/>
      <c r="UF11" s="468"/>
      <c r="UG11" s="468"/>
      <c r="UH11" s="468"/>
      <c r="UI11" s="468"/>
      <c r="UJ11" s="468"/>
      <c r="UK11" s="468"/>
      <c r="UL11" s="468"/>
      <c r="UM11" s="468"/>
      <c r="UN11" s="469"/>
      <c r="UO11" s="467" t="s">
        <v>34</v>
      </c>
      <c r="UP11" s="468"/>
      <c r="UQ11" s="468"/>
      <c r="UR11" s="468"/>
      <c r="US11" s="468"/>
      <c r="UT11" s="468"/>
      <c r="UU11" s="468"/>
      <c r="UV11" s="468"/>
      <c r="UW11" s="468"/>
      <c r="UX11" s="468"/>
      <c r="UY11" s="468"/>
      <c r="UZ11" s="468"/>
      <c r="VA11" s="468"/>
      <c r="VB11" s="468"/>
      <c r="VC11" s="468"/>
      <c r="VD11" s="469"/>
      <c r="VE11" s="467" t="s">
        <v>34</v>
      </c>
      <c r="VF11" s="468"/>
      <c r="VG11" s="468"/>
      <c r="VH11" s="468"/>
      <c r="VI11" s="468"/>
      <c r="VJ11" s="468"/>
      <c r="VK11" s="468"/>
      <c r="VL11" s="468"/>
      <c r="VM11" s="468"/>
      <c r="VN11" s="468"/>
      <c r="VO11" s="468"/>
      <c r="VP11" s="468"/>
      <c r="VQ11" s="468"/>
      <c r="VR11" s="468"/>
      <c r="VS11" s="468"/>
      <c r="VT11" s="469"/>
      <c r="VU11" s="467" t="s">
        <v>34</v>
      </c>
      <c r="VV11" s="468"/>
      <c r="VW11" s="468"/>
      <c r="VX11" s="468"/>
      <c r="VY11" s="468"/>
      <c r="VZ11" s="468"/>
      <c r="WA11" s="468"/>
      <c r="WB11" s="468"/>
      <c r="WC11" s="468"/>
      <c r="WD11" s="468"/>
      <c r="WE11" s="468"/>
      <c r="WF11" s="468"/>
      <c r="WG11" s="468"/>
      <c r="WH11" s="468"/>
      <c r="WI11" s="468"/>
      <c r="WJ11" s="469"/>
      <c r="WK11" s="467" t="s">
        <v>34</v>
      </c>
      <c r="WL11" s="468"/>
      <c r="WM11" s="468"/>
      <c r="WN11" s="468"/>
      <c r="WO11" s="468"/>
      <c r="WP11" s="468"/>
      <c r="WQ11" s="468"/>
      <c r="WR11" s="468"/>
      <c r="WS11" s="468"/>
      <c r="WT11" s="468"/>
      <c r="WU11" s="468"/>
      <c r="WV11" s="468"/>
      <c r="WW11" s="468"/>
      <c r="WX11" s="468"/>
      <c r="WY11" s="468"/>
      <c r="WZ11" s="469"/>
      <c r="XA11" s="467" t="s">
        <v>34</v>
      </c>
      <c r="XB11" s="468"/>
      <c r="XC11" s="468"/>
      <c r="XD11" s="468"/>
      <c r="XE11" s="468"/>
      <c r="XF11" s="468"/>
      <c r="XG11" s="468"/>
      <c r="XH11" s="468"/>
      <c r="XI11" s="468"/>
      <c r="XJ11" s="468"/>
      <c r="XK11" s="468"/>
      <c r="XL11" s="468"/>
      <c r="XM11" s="468"/>
      <c r="XN11" s="468"/>
      <c r="XO11" s="468"/>
      <c r="XP11" s="469"/>
      <c r="XQ11" s="467" t="s">
        <v>34</v>
      </c>
      <c r="XR11" s="468"/>
      <c r="XS11" s="468"/>
      <c r="XT11" s="468"/>
      <c r="XU11" s="468"/>
      <c r="XV11" s="468"/>
      <c r="XW11" s="468"/>
      <c r="XX11" s="468"/>
      <c r="XY11" s="468"/>
      <c r="XZ11" s="468"/>
      <c r="YA11" s="468"/>
      <c r="YB11" s="468"/>
      <c r="YC11" s="468"/>
      <c r="YD11" s="468"/>
      <c r="YE11" s="468"/>
      <c r="YF11" s="469"/>
      <c r="YG11" s="467" t="s">
        <v>34</v>
      </c>
      <c r="YH11" s="468"/>
      <c r="YI11" s="468"/>
      <c r="YJ11" s="468"/>
      <c r="YK11" s="468"/>
      <c r="YL11" s="468"/>
      <c r="YM11" s="468"/>
      <c r="YN11" s="468"/>
      <c r="YO11" s="468"/>
      <c r="YP11" s="468"/>
      <c r="YQ11" s="468"/>
      <c r="YR11" s="468"/>
      <c r="YS11" s="468"/>
      <c r="YT11" s="468"/>
      <c r="YU11" s="468"/>
      <c r="YV11" s="469"/>
      <c r="YW11" s="467" t="s">
        <v>34</v>
      </c>
      <c r="YX11" s="468"/>
      <c r="YY11" s="468"/>
      <c r="YZ11" s="468"/>
      <c r="ZA11" s="468"/>
      <c r="ZB11" s="468"/>
      <c r="ZC11" s="468"/>
      <c r="ZD11" s="468"/>
      <c r="ZE11" s="468"/>
      <c r="ZF11" s="468"/>
      <c r="ZG11" s="468"/>
      <c r="ZH11" s="468"/>
      <c r="ZI11" s="468"/>
      <c r="ZJ11" s="468"/>
      <c r="ZK11" s="468"/>
      <c r="ZL11" s="469"/>
      <c r="ZM11" s="467" t="s">
        <v>34</v>
      </c>
      <c r="ZN11" s="468"/>
      <c r="ZO11" s="468"/>
      <c r="ZP11" s="468"/>
      <c r="ZQ11" s="468"/>
      <c r="ZR11" s="468"/>
      <c r="ZS11" s="468"/>
      <c r="ZT11" s="468"/>
      <c r="ZU11" s="468"/>
      <c r="ZV11" s="468"/>
      <c r="ZW11" s="468"/>
      <c r="ZX11" s="468"/>
      <c r="ZY11" s="468"/>
      <c r="ZZ11" s="468"/>
      <c r="AAA11" s="468"/>
      <c r="AAB11" s="469"/>
      <c r="AAC11" s="467" t="s">
        <v>34</v>
      </c>
      <c r="AAD11" s="468"/>
      <c r="AAE11" s="468"/>
      <c r="AAF11" s="468"/>
      <c r="AAG11" s="468"/>
      <c r="AAH11" s="468"/>
      <c r="AAI11" s="468"/>
      <c r="AAJ11" s="468"/>
      <c r="AAK11" s="468"/>
      <c r="AAL11" s="468"/>
      <c r="AAM11" s="468"/>
      <c r="AAN11" s="468"/>
      <c r="AAO11" s="468"/>
      <c r="AAP11" s="468"/>
      <c r="AAQ11" s="468"/>
      <c r="AAR11" s="469"/>
      <c r="AAS11" s="467" t="s">
        <v>34</v>
      </c>
      <c r="AAT11" s="468"/>
      <c r="AAU11" s="468"/>
      <c r="AAV11" s="468"/>
      <c r="AAW11" s="468"/>
      <c r="AAX11" s="468"/>
      <c r="AAY11" s="468"/>
      <c r="AAZ11" s="468"/>
      <c r="ABA11" s="468"/>
      <c r="ABB11" s="468"/>
      <c r="ABC11" s="468"/>
      <c r="ABD11" s="468"/>
      <c r="ABE11" s="468"/>
      <c r="ABF11" s="468"/>
      <c r="ABG11" s="468"/>
      <c r="ABH11" s="469"/>
      <c r="ABI11" s="467" t="s">
        <v>34</v>
      </c>
      <c r="ABJ11" s="468"/>
      <c r="ABK11" s="468"/>
      <c r="ABL11" s="468"/>
      <c r="ABM11" s="468"/>
      <c r="ABN11" s="468"/>
      <c r="ABO11" s="468"/>
      <c r="ABP11" s="468"/>
      <c r="ABQ11" s="468"/>
      <c r="ABR11" s="468"/>
      <c r="ABS11" s="468"/>
      <c r="ABT11" s="468"/>
      <c r="ABU11" s="468"/>
      <c r="ABV11" s="468"/>
      <c r="ABW11" s="468"/>
      <c r="ABX11" s="469"/>
      <c r="ABY11" s="467" t="s">
        <v>34</v>
      </c>
      <c r="ABZ11" s="468"/>
      <c r="ACA11" s="468"/>
      <c r="ACB11" s="468"/>
      <c r="ACC11" s="468"/>
      <c r="ACD11" s="468"/>
      <c r="ACE11" s="468"/>
      <c r="ACF11" s="468"/>
      <c r="ACG11" s="468"/>
      <c r="ACH11" s="468"/>
      <c r="ACI11" s="468"/>
      <c r="ACJ11" s="468"/>
      <c r="ACK11" s="468"/>
      <c r="ACL11" s="468"/>
      <c r="ACM11" s="468"/>
      <c r="ACN11" s="469"/>
      <c r="ACO11" s="467" t="s">
        <v>34</v>
      </c>
      <c r="ACP11" s="468"/>
      <c r="ACQ11" s="468"/>
      <c r="ACR11" s="468"/>
      <c r="ACS11" s="468"/>
      <c r="ACT11" s="468"/>
      <c r="ACU11" s="468"/>
      <c r="ACV11" s="468"/>
      <c r="ACW11" s="468"/>
      <c r="ACX11" s="468"/>
      <c r="ACY11" s="468"/>
      <c r="ACZ11" s="468"/>
      <c r="ADA11" s="468"/>
      <c r="ADB11" s="468"/>
      <c r="ADC11" s="468"/>
      <c r="ADD11" s="469"/>
      <c r="ADE11" s="467" t="s">
        <v>34</v>
      </c>
      <c r="ADF11" s="468"/>
      <c r="ADG11" s="468"/>
      <c r="ADH11" s="468"/>
      <c r="ADI11" s="468"/>
      <c r="ADJ11" s="468"/>
      <c r="ADK11" s="468"/>
      <c r="ADL11" s="468"/>
      <c r="ADM11" s="468"/>
      <c r="ADN11" s="468"/>
      <c r="ADO11" s="468"/>
      <c r="ADP11" s="468"/>
      <c r="ADQ11" s="468"/>
      <c r="ADR11" s="468"/>
      <c r="ADS11" s="468"/>
      <c r="ADT11" s="469"/>
      <c r="ADU11" s="467" t="s">
        <v>34</v>
      </c>
      <c r="ADV11" s="468"/>
      <c r="ADW11" s="468"/>
      <c r="ADX11" s="468"/>
      <c r="ADY11" s="468"/>
      <c r="ADZ11" s="468"/>
      <c r="AEA11" s="468"/>
      <c r="AEB11" s="468"/>
      <c r="AEC11" s="468"/>
      <c r="AED11" s="468"/>
      <c r="AEE11" s="468"/>
      <c r="AEF11" s="468"/>
      <c r="AEG11" s="468"/>
      <c r="AEH11" s="468"/>
      <c r="AEI11" s="468"/>
      <c r="AEJ11" s="469"/>
      <c r="AEK11" s="467" t="s">
        <v>34</v>
      </c>
      <c r="AEL11" s="468"/>
      <c r="AEM11" s="468"/>
      <c r="AEN11" s="468"/>
      <c r="AEO11" s="468"/>
      <c r="AEP11" s="468"/>
      <c r="AEQ11" s="468"/>
      <c r="AER11" s="468"/>
      <c r="AES11" s="468"/>
      <c r="AET11" s="468"/>
      <c r="AEU11" s="468"/>
      <c r="AEV11" s="468"/>
      <c r="AEW11" s="468"/>
      <c r="AEX11" s="468"/>
      <c r="AEY11" s="468"/>
      <c r="AEZ11" s="469"/>
      <c r="AFA11" s="467" t="s">
        <v>34</v>
      </c>
      <c r="AFB11" s="468"/>
      <c r="AFC11" s="468"/>
      <c r="AFD11" s="468"/>
      <c r="AFE11" s="468"/>
      <c r="AFF11" s="468"/>
      <c r="AFG11" s="468"/>
      <c r="AFH11" s="468"/>
      <c r="AFI11" s="468"/>
      <c r="AFJ11" s="468"/>
      <c r="AFK11" s="468"/>
      <c r="AFL11" s="468"/>
      <c r="AFM11" s="468"/>
      <c r="AFN11" s="468"/>
      <c r="AFO11" s="468"/>
      <c r="AFP11" s="469"/>
      <c r="AFQ11" s="467" t="s">
        <v>34</v>
      </c>
      <c r="AFR11" s="468"/>
      <c r="AFS11" s="468"/>
      <c r="AFT11" s="468"/>
      <c r="AFU11" s="468"/>
      <c r="AFV11" s="468"/>
      <c r="AFW11" s="468"/>
      <c r="AFX11" s="468"/>
      <c r="AFY11" s="468"/>
      <c r="AFZ11" s="468"/>
      <c r="AGA11" s="468"/>
      <c r="AGB11" s="468"/>
      <c r="AGC11" s="468"/>
      <c r="AGD11" s="468"/>
      <c r="AGE11" s="468"/>
      <c r="AGF11" s="469"/>
      <c r="AGG11" s="467" t="s">
        <v>34</v>
      </c>
      <c r="AGH11" s="468"/>
      <c r="AGI11" s="468"/>
      <c r="AGJ11" s="468"/>
      <c r="AGK11" s="468"/>
      <c r="AGL11" s="468"/>
      <c r="AGM11" s="468"/>
      <c r="AGN11" s="468"/>
      <c r="AGO11" s="468"/>
      <c r="AGP11" s="468"/>
      <c r="AGQ11" s="468"/>
      <c r="AGR11" s="468"/>
      <c r="AGS11" s="468"/>
      <c r="AGT11" s="468"/>
      <c r="AGU11" s="468"/>
      <c r="AGV11" s="469"/>
      <c r="AGW11" s="467" t="s">
        <v>34</v>
      </c>
      <c r="AGX11" s="468"/>
      <c r="AGY11" s="468"/>
      <c r="AGZ11" s="468"/>
      <c r="AHA11" s="468"/>
      <c r="AHB11" s="468"/>
      <c r="AHC11" s="468"/>
      <c r="AHD11" s="468"/>
      <c r="AHE11" s="468"/>
      <c r="AHF11" s="468"/>
      <c r="AHG11" s="468"/>
      <c r="AHH11" s="468"/>
      <c r="AHI11" s="468"/>
      <c r="AHJ11" s="468"/>
      <c r="AHK11" s="468"/>
      <c r="AHL11" s="469"/>
      <c r="AHM11" s="467" t="s">
        <v>34</v>
      </c>
      <c r="AHN11" s="468"/>
      <c r="AHO11" s="468"/>
      <c r="AHP11" s="468"/>
      <c r="AHQ11" s="468"/>
      <c r="AHR11" s="468"/>
      <c r="AHS11" s="468"/>
      <c r="AHT11" s="468"/>
      <c r="AHU11" s="468"/>
      <c r="AHV11" s="468"/>
      <c r="AHW11" s="468"/>
      <c r="AHX11" s="468"/>
      <c r="AHY11" s="468"/>
      <c r="AHZ11" s="468"/>
      <c r="AIA11" s="468"/>
      <c r="AIB11" s="469"/>
      <c r="AIC11" s="467" t="s">
        <v>34</v>
      </c>
      <c r="AID11" s="468"/>
      <c r="AIE11" s="468"/>
      <c r="AIF11" s="468"/>
      <c r="AIG11" s="468"/>
      <c r="AIH11" s="468"/>
      <c r="AII11" s="468"/>
      <c r="AIJ11" s="468"/>
      <c r="AIK11" s="468"/>
      <c r="AIL11" s="468"/>
      <c r="AIM11" s="468"/>
      <c r="AIN11" s="468"/>
      <c r="AIO11" s="468"/>
      <c r="AIP11" s="468"/>
      <c r="AIQ11" s="468"/>
      <c r="AIR11" s="469"/>
      <c r="AIS11" s="467" t="s">
        <v>34</v>
      </c>
      <c r="AIT11" s="468"/>
      <c r="AIU11" s="468"/>
      <c r="AIV11" s="468"/>
      <c r="AIW11" s="468"/>
      <c r="AIX11" s="468"/>
      <c r="AIY11" s="468"/>
      <c r="AIZ11" s="468"/>
      <c r="AJA11" s="468"/>
      <c r="AJB11" s="468"/>
      <c r="AJC11" s="468"/>
      <c r="AJD11" s="468"/>
      <c r="AJE11" s="468"/>
      <c r="AJF11" s="468"/>
      <c r="AJG11" s="468"/>
      <c r="AJH11" s="469"/>
      <c r="AJI11" s="467" t="s">
        <v>34</v>
      </c>
      <c r="AJJ11" s="468"/>
      <c r="AJK11" s="468"/>
      <c r="AJL11" s="468"/>
      <c r="AJM11" s="468"/>
      <c r="AJN11" s="468"/>
      <c r="AJO11" s="468"/>
      <c r="AJP11" s="468"/>
      <c r="AJQ11" s="468"/>
      <c r="AJR11" s="468"/>
      <c r="AJS11" s="468"/>
      <c r="AJT11" s="468"/>
      <c r="AJU11" s="468"/>
      <c r="AJV11" s="468"/>
      <c r="AJW11" s="468"/>
      <c r="AJX11" s="469"/>
      <c r="AJY11" s="467" t="s">
        <v>34</v>
      </c>
      <c r="AJZ11" s="468"/>
      <c r="AKA11" s="468"/>
      <c r="AKB11" s="468"/>
      <c r="AKC11" s="468"/>
      <c r="AKD11" s="468"/>
      <c r="AKE11" s="468"/>
      <c r="AKF11" s="468"/>
      <c r="AKG11" s="468"/>
      <c r="AKH11" s="468"/>
      <c r="AKI11" s="468"/>
      <c r="AKJ11" s="468"/>
      <c r="AKK11" s="468"/>
      <c r="AKL11" s="468"/>
      <c r="AKM11" s="468"/>
      <c r="AKN11" s="469"/>
      <c r="AKO11" s="467" t="s">
        <v>34</v>
      </c>
      <c r="AKP11" s="468"/>
      <c r="AKQ11" s="468"/>
      <c r="AKR11" s="468"/>
      <c r="AKS11" s="468"/>
      <c r="AKT11" s="468"/>
      <c r="AKU11" s="468"/>
      <c r="AKV11" s="468"/>
      <c r="AKW11" s="468"/>
      <c r="AKX11" s="468"/>
      <c r="AKY11" s="468"/>
      <c r="AKZ11" s="468"/>
      <c r="ALA11" s="468"/>
      <c r="ALB11" s="468"/>
      <c r="ALC11" s="468"/>
      <c r="ALD11" s="469"/>
      <c r="ALE11" s="467" t="s">
        <v>34</v>
      </c>
      <c r="ALF11" s="468"/>
      <c r="ALG11" s="468"/>
      <c r="ALH11" s="468"/>
      <c r="ALI11" s="468"/>
      <c r="ALJ11" s="468"/>
      <c r="ALK11" s="468"/>
      <c r="ALL11" s="468"/>
      <c r="ALM11" s="468"/>
      <c r="ALN11" s="468"/>
      <c r="ALO11" s="468"/>
      <c r="ALP11" s="468"/>
      <c r="ALQ11" s="468"/>
      <c r="ALR11" s="468"/>
      <c r="ALS11" s="468"/>
      <c r="ALT11" s="469"/>
      <c r="ALU11" s="467" t="s">
        <v>34</v>
      </c>
      <c r="ALV11" s="468"/>
      <c r="ALW11" s="468"/>
      <c r="ALX11" s="468"/>
      <c r="ALY11" s="468"/>
      <c r="ALZ11" s="468"/>
      <c r="AMA11" s="468"/>
      <c r="AMB11" s="468"/>
      <c r="AMC11" s="468"/>
      <c r="AMD11" s="468"/>
      <c r="AME11" s="468"/>
      <c r="AMF11" s="468"/>
      <c r="AMG11" s="468"/>
      <c r="AMH11" s="468"/>
      <c r="AMI11" s="468"/>
      <c r="AMJ11" s="469"/>
      <c r="AMK11" s="467" t="s">
        <v>34</v>
      </c>
      <c r="AML11" s="468"/>
      <c r="AMM11" s="468"/>
      <c r="AMN11" s="468"/>
      <c r="AMO11" s="468"/>
      <c r="AMP11" s="468"/>
      <c r="AMQ11" s="468"/>
      <c r="AMR11" s="468"/>
      <c r="AMS11" s="468"/>
      <c r="AMT11" s="468"/>
      <c r="AMU11" s="468"/>
      <c r="AMV11" s="468"/>
      <c r="AMW11" s="468"/>
      <c r="AMX11" s="468"/>
      <c r="AMY11" s="468"/>
      <c r="AMZ11" s="469"/>
      <c r="ANA11" s="467" t="s">
        <v>34</v>
      </c>
      <c r="ANB11" s="468"/>
      <c r="ANC11" s="468"/>
      <c r="AND11" s="468"/>
      <c r="ANE11" s="468"/>
      <c r="ANF11" s="468"/>
      <c r="ANG11" s="468"/>
      <c r="ANH11" s="468"/>
      <c r="ANI11" s="468"/>
      <c r="ANJ11" s="468"/>
      <c r="ANK11" s="468"/>
      <c r="ANL11" s="468"/>
      <c r="ANM11" s="468"/>
      <c r="ANN11" s="468"/>
      <c r="ANO11" s="468"/>
      <c r="ANP11" s="469"/>
      <c r="ANQ11" s="467" t="s">
        <v>34</v>
      </c>
      <c r="ANR11" s="468"/>
      <c r="ANS11" s="468"/>
      <c r="ANT11" s="468"/>
      <c r="ANU11" s="468"/>
      <c r="ANV11" s="468"/>
      <c r="ANW11" s="468"/>
      <c r="ANX11" s="468"/>
      <c r="ANY11" s="468"/>
      <c r="ANZ11" s="468"/>
      <c r="AOA11" s="468"/>
      <c r="AOB11" s="468"/>
      <c r="AOC11" s="468"/>
      <c r="AOD11" s="468"/>
      <c r="AOE11" s="468"/>
      <c r="AOF11" s="469"/>
      <c r="AOG11" s="467" t="s">
        <v>34</v>
      </c>
      <c r="AOH11" s="468"/>
      <c r="AOI11" s="468"/>
      <c r="AOJ11" s="468"/>
      <c r="AOK11" s="468"/>
      <c r="AOL11" s="468"/>
      <c r="AOM11" s="468"/>
      <c r="AON11" s="468"/>
      <c r="AOO11" s="468"/>
      <c r="AOP11" s="468"/>
      <c r="AOQ11" s="468"/>
      <c r="AOR11" s="468"/>
      <c r="AOS11" s="468"/>
      <c r="AOT11" s="468"/>
      <c r="AOU11" s="468"/>
      <c r="AOV11" s="469"/>
      <c r="AOW11" s="467" t="s">
        <v>34</v>
      </c>
      <c r="AOX11" s="468"/>
      <c r="AOY11" s="468"/>
      <c r="AOZ11" s="468"/>
      <c r="APA11" s="468"/>
      <c r="APB11" s="468"/>
      <c r="APC11" s="468"/>
      <c r="APD11" s="468"/>
      <c r="APE11" s="468"/>
      <c r="APF11" s="468"/>
      <c r="APG11" s="468"/>
      <c r="APH11" s="468"/>
      <c r="API11" s="468"/>
      <c r="APJ11" s="468"/>
      <c r="APK11" s="468"/>
      <c r="APL11" s="469"/>
      <c r="APM11" s="467" t="s">
        <v>34</v>
      </c>
      <c r="APN11" s="468"/>
      <c r="APO11" s="468"/>
      <c r="APP11" s="468"/>
      <c r="APQ11" s="468"/>
      <c r="APR11" s="468"/>
      <c r="APS11" s="468"/>
      <c r="APT11" s="468"/>
      <c r="APU11" s="468"/>
      <c r="APV11" s="468"/>
      <c r="APW11" s="468"/>
      <c r="APX11" s="468"/>
      <c r="APY11" s="468"/>
      <c r="APZ11" s="468"/>
      <c r="AQA11" s="468"/>
      <c r="AQB11" s="469"/>
      <c r="AQC11" s="467" t="s">
        <v>34</v>
      </c>
      <c r="AQD11" s="468"/>
      <c r="AQE11" s="468"/>
      <c r="AQF11" s="468"/>
      <c r="AQG11" s="468"/>
      <c r="AQH11" s="468"/>
      <c r="AQI11" s="468"/>
      <c r="AQJ11" s="468"/>
      <c r="AQK11" s="468"/>
      <c r="AQL11" s="468"/>
      <c r="AQM11" s="468"/>
      <c r="AQN11" s="468"/>
      <c r="AQO11" s="468"/>
      <c r="AQP11" s="468"/>
      <c r="AQQ11" s="468"/>
      <c r="AQR11" s="469"/>
      <c r="AQS11" s="467" t="s">
        <v>34</v>
      </c>
      <c r="AQT11" s="468"/>
      <c r="AQU11" s="468"/>
      <c r="AQV11" s="468"/>
      <c r="AQW11" s="468"/>
      <c r="AQX11" s="468"/>
      <c r="AQY11" s="468"/>
      <c r="AQZ11" s="468"/>
      <c r="ARA11" s="468"/>
      <c r="ARB11" s="468"/>
      <c r="ARC11" s="468"/>
      <c r="ARD11" s="468"/>
      <c r="ARE11" s="468"/>
      <c r="ARF11" s="468"/>
      <c r="ARG11" s="468"/>
      <c r="ARH11" s="469"/>
      <c r="ARI11" s="467" t="s">
        <v>34</v>
      </c>
      <c r="ARJ11" s="468"/>
      <c r="ARK11" s="468"/>
      <c r="ARL11" s="468"/>
      <c r="ARM11" s="468"/>
      <c r="ARN11" s="468"/>
      <c r="ARO11" s="468"/>
      <c r="ARP11" s="468"/>
      <c r="ARQ11" s="468"/>
      <c r="ARR11" s="468"/>
      <c r="ARS11" s="468"/>
      <c r="ART11" s="468"/>
      <c r="ARU11" s="468"/>
      <c r="ARV11" s="468"/>
      <c r="ARW11" s="468"/>
      <c r="ARX11" s="469"/>
      <c r="ARY11" s="467" t="s">
        <v>34</v>
      </c>
      <c r="ARZ11" s="468"/>
      <c r="ASA11" s="468"/>
      <c r="ASB11" s="468"/>
      <c r="ASC11" s="468"/>
      <c r="ASD11" s="468"/>
      <c r="ASE11" s="468"/>
      <c r="ASF11" s="468"/>
      <c r="ASG11" s="468"/>
      <c r="ASH11" s="468"/>
      <c r="ASI11" s="468"/>
      <c r="ASJ11" s="468"/>
      <c r="ASK11" s="468"/>
      <c r="ASL11" s="468"/>
      <c r="ASM11" s="468"/>
      <c r="ASN11" s="469"/>
      <c r="ASO11" s="467" t="s">
        <v>34</v>
      </c>
      <c r="ASP11" s="468"/>
      <c r="ASQ11" s="468"/>
      <c r="ASR11" s="468"/>
      <c r="ASS11" s="468"/>
      <c r="AST11" s="468"/>
      <c r="ASU11" s="468"/>
      <c r="ASV11" s="468"/>
      <c r="ASW11" s="468"/>
      <c r="ASX11" s="468"/>
      <c r="ASY11" s="468"/>
      <c r="ASZ11" s="468"/>
      <c r="ATA11" s="468"/>
      <c r="ATB11" s="468"/>
      <c r="ATC11" s="468"/>
      <c r="ATD11" s="469"/>
      <c r="ATE11" s="467" t="s">
        <v>34</v>
      </c>
      <c r="ATF11" s="468"/>
      <c r="ATG11" s="468"/>
      <c r="ATH11" s="468"/>
      <c r="ATI11" s="468"/>
      <c r="ATJ11" s="468"/>
      <c r="ATK11" s="468"/>
      <c r="ATL11" s="468"/>
      <c r="ATM11" s="468"/>
      <c r="ATN11" s="468"/>
      <c r="ATO11" s="468"/>
      <c r="ATP11" s="468"/>
      <c r="ATQ11" s="468"/>
      <c r="ATR11" s="468"/>
      <c r="ATS11" s="468"/>
      <c r="ATT11" s="469"/>
      <c r="ATU11" s="467" t="s">
        <v>34</v>
      </c>
      <c r="ATV11" s="468"/>
      <c r="ATW11" s="468"/>
      <c r="ATX11" s="468"/>
      <c r="ATY11" s="468"/>
      <c r="ATZ11" s="468"/>
      <c r="AUA11" s="468"/>
      <c r="AUB11" s="468"/>
      <c r="AUC11" s="468"/>
      <c r="AUD11" s="468"/>
      <c r="AUE11" s="468"/>
      <c r="AUF11" s="468"/>
      <c r="AUG11" s="468"/>
      <c r="AUH11" s="468"/>
      <c r="AUI11" s="468"/>
      <c r="AUJ11" s="469"/>
      <c r="AUK11" s="467" t="s">
        <v>34</v>
      </c>
      <c r="AUL11" s="468"/>
      <c r="AUM11" s="468"/>
      <c r="AUN11" s="468"/>
      <c r="AUO11" s="468"/>
      <c r="AUP11" s="468"/>
      <c r="AUQ11" s="468"/>
      <c r="AUR11" s="468"/>
      <c r="AUS11" s="468"/>
      <c r="AUT11" s="468"/>
      <c r="AUU11" s="468"/>
      <c r="AUV11" s="468"/>
      <c r="AUW11" s="468"/>
      <c r="AUX11" s="468"/>
      <c r="AUY11" s="468"/>
      <c r="AUZ11" s="469"/>
      <c r="AVA11" s="467" t="s">
        <v>34</v>
      </c>
      <c r="AVB11" s="468"/>
      <c r="AVC11" s="468"/>
      <c r="AVD11" s="468"/>
      <c r="AVE11" s="468"/>
      <c r="AVF11" s="468"/>
      <c r="AVG11" s="468"/>
      <c r="AVH11" s="468"/>
      <c r="AVI11" s="468"/>
      <c r="AVJ11" s="468"/>
      <c r="AVK11" s="468"/>
      <c r="AVL11" s="468"/>
      <c r="AVM11" s="468"/>
      <c r="AVN11" s="468"/>
      <c r="AVO11" s="468"/>
      <c r="AVP11" s="469"/>
      <c r="AVQ11" s="467" t="s">
        <v>34</v>
      </c>
      <c r="AVR11" s="468"/>
      <c r="AVS11" s="468"/>
      <c r="AVT11" s="468"/>
      <c r="AVU11" s="468"/>
      <c r="AVV11" s="468"/>
      <c r="AVW11" s="468"/>
      <c r="AVX11" s="468"/>
      <c r="AVY11" s="468"/>
      <c r="AVZ11" s="468"/>
      <c r="AWA11" s="468"/>
      <c r="AWB11" s="468"/>
      <c r="AWC11" s="468"/>
      <c r="AWD11" s="468"/>
      <c r="AWE11" s="468"/>
      <c r="AWF11" s="469"/>
      <c r="AWG11" s="467" t="s">
        <v>34</v>
      </c>
      <c r="AWH11" s="468"/>
      <c r="AWI11" s="468"/>
      <c r="AWJ11" s="468"/>
      <c r="AWK11" s="468"/>
      <c r="AWL11" s="468"/>
      <c r="AWM11" s="468"/>
      <c r="AWN11" s="468"/>
      <c r="AWO11" s="468"/>
      <c r="AWP11" s="468"/>
      <c r="AWQ11" s="468"/>
      <c r="AWR11" s="468"/>
      <c r="AWS11" s="468"/>
      <c r="AWT11" s="468"/>
      <c r="AWU11" s="468"/>
      <c r="AWV11" s="469"/>
      <c r="AWW11" s="467" t="s">
        <v>34</v>
      </c>
      <c r="AWX11" s="468"/>
      <c r="AWY11" s="468"/>
      <c r="AWZ11" s="468"/>
      <c r="AXA11" s="468"/>
      <c r="AXB11" s="468"/>
      <c r="AXC11" s="468"/>
      <c r="AXD11" s="468"/>
      <c r="AXE11" s="468"/>
      <c r="AXF11" s="468"/>
      <c r="AXG11" s="468"/>
      <c r="AXH11" s="468"/>
      <c r="AXI11" s="468"/>
      <c r="AXJ11" s="468"/>
      <c r="AXK11" s="468"/>
      <c r="AXL11" s="469"/>
      <c r="AXM11" s="467" t="s">
        <v>34</v>
      </c>
      <c r="AXN11" s="468"/>
      <c r="AXO11" s="468"/>
      <c r="AXP11" s="468"/>
      <c r="AXQ11" s="468"/>
      <c r="AXR11" s="468"/>
      <c r="AXS11" s="468"/>
      <c r="AXT11" s="468"/>
      <c r="AXU11" s="468"/>
      <c r="AXV11" s="468"/>
      <c r="AXW11" s="468"/>
      <c r="AXX11" s="468"/>
      <c r="AXY11" s="468"/>
      <c r="AXZ11" s="468"/>
      <c r="AYA11" s="468"/>
      <c r="AYB11" s="469"/>
      <c r="AYC11" s="467" t="s">
        <v>34</v>
      </c>
      <c r="AYD11" s="468"/>
      <c r="AYE11" s="468"/>
      <c r="AYF11" s="468"/>
      <c r="AYG11" s="468"/>
      <c r="AYH11" s="468"/>
      <c r="AYI11" s="468"/>
      <c r="AYJ11" s="468"/>
      <c r="AYK11" s="468"/>
      <c r="AYL11" s="468"/>
      <c r="AYM11" s="468"/>
      <c r="AYN11" s="468"/>
      <c r="AYO11" s="468"/>
      <c r="AYP11" s="468"/>
      <c r="AYQ11" s="468"/>
      <c r="AYR11" s="469"/>
      <c r="AYS11" s="467" t="s">
        <v>34</v>
      </c>
      <c r="AYT11" s="468"/>
      <c r="AYU11" s="468"/>
      <c r="AYV11" s="468"/>
      <c r="AYW11" s="468"/>
      <c r="AYX11" s="468"/>
      <c r="AYY11" s="468"/>
      <c r="AYZ11" s="468"/>
      <c r="AZA11" s="468"/>
      <c r="AZB11" s="468"/>
      <c r="AZC11" s="468"/>
      <c r="AZD11" s="468"/>
      <c r="AZE11" s="468"/>
      <c r="AZF11" s="468"/>
      <c r="AZG11" s="468"/>
      <c r="AZH11" s="469"/>
      <c r="AZI11" s="467" t="s">
        <v>34</v>
      </c>
      <c r="AZJ11" s="468"/>
      <c r="AZK11" s="468"/>
      <c r="AZL11" s="468"/>
      <c r="AZM11" s="468"/>
      <c r="AZN11" s="468"/>
      <c r="AZO11" s="468"/>
      <c r="AZP11" s="468"/>
      <c r="AZQ11" s="468"/>
      <c r="AZR11" s="468"/>
      <c r="AZS11" s="468"/>
      <c r="AZT11" s="468"/>
      <c r="AZU11" s="468"/>
      <c r="AZV11" s="468"/>
      <c r="AZW11" s="468"/>
      <c r="AZX11" s="469"/>
      <c r="AZY11" s="467" t="s">
        <v>34</v>
      </c>
      <c r="AZZ11" s="468"/>
      <c r="BAA11" s="468"/>
      <c r="BAB11" s="468"/>
      <c r="BAC11" s="468"/>
      <c r="BAD11" s="468"/>
      <c r="BAE11" s="468"/>
      <c r="BAF11" s="468"/>
      <c r="BAG11" s="468"/>
      <c r="BAH11" s="468"/>
      <c r="BAI11" s="468"/>
      <c r="BAJ11" s="468"/>
      <c r="BAK11" s="468"/>
      <c r="BAL11" s="468"/>
      <c r="BAM11" s="468"/>
      <c r="BAN11" s="469"/>
      <c r="BAO11" s="467" t="s">
        <v>34</v>
      </c>
      <c r="BAP11" s="468"/>
      <c r="BAQ11" s="468"/>
      <c r="BAR11" s="468"/>
      <c r="BAS11" s="468"/>
      <c r="BAT11" s="468"/>
      <c r="BAU11" s="468"/>
      <c r="BAV11" s="468"/>
      <c r="BAW11" s="468"/>
      <c r="BAX11" s="468"/>
      <c r="BAY11" s="468"/>
      <c r="BAZ11" s="468"/>
      <c r="BBA11" s="468"/>
      <c r="BBB11" s="468"/>
      <c r="BBC11" s="468"/>
      <c r="BBD11" s="469"/>
      <c r="BBE11" s="467" t="s">
        <v>34</v>
      </c>
      <c r="BBF11" s="468"/>
      <c r="BBG11" s="468"/>
      <c r="BBH11" s="468"/>
      <c r="BBI11" s="468"/>
      <c r="BBJ11" s="468"/>
      <c r="BBK11" s="468"/>
      <c r="BBL11" s="468"/>
      <c r="BBM11" s="468"/>
      <c r="BBN11" s="468"/>
      <c r="BBO11" s="468"/>
      <c r="BBP11" s="468"/>
      <c r="BBQ11" s="468"/>
      <c r="BBR11" s="468"/>
      <c r="BBS11" s="468"/>
      <c r="BBT11" s="469"/>
      <c r="BBU11" s="467" t="s">
        <v>34</v>
      </c>
      <c r="BBV11" s="468"/>
      <c r="BBW11" s="468"/>
      <c r="BBX11" s="468"/>
      <c r="BBY11" s="468"/>
      <c r="BBZ11" s="468"/>
      <c r="BCA11" s="468"/>
      <c r="BCB11" s="468"/>
      <c r="BCC11" s="468"/>
      <c r="BCD11" s="468"/>
      <c r="BCE11" s="468"/>
      <c r="BCF11" s="468"/>
      <c r="BCG11" s="468"/>
      <c r="BCH11" s="468"/>
      <c r="BCI11" s="468"/>
      <c r="BCJ11" s="469"/>
      <c r="BCK11" s="467" t="s">
        <v>34</v>
      </c>
      <c r="BCL11" s="468"/>
      <c r="BCM11" s="468"/>
      <c r="BCN11" s="468"/>
      <c r="BCO11" s="468"/>
      <c r="BCP11" s="468"/>
      <c r="BCQ11" s="468"/>
      <c r="BCR11" s="468"/>
      <c r="BCS11" s="468"/>
      <c r="BCT11" s="468"/>
      <c r="BCU11" s="468"/>
      <c r="BCV11" s="468"/>
      <c r="BCW11" s="468"/>
      <c r="BCX11" s="468"/>
      <c r="BCY11" s="468"/>
      <c r="BCZ11" s="469"/>
      <c r="BDA11" s="467" t="s">
        <v>34</v>
      </c>
      <c r="BDB11" s="468"/>
      <c r="BDC11" s="468"/>
      <c r="BDD11" s="468"/>
      <c r="BDE11" s="468"/>
      <c r="BDF11" s="468"/>
      <c r="BDG11" s="468"/>
      <c r="BDH11" s="468"/>
      <c r="BDI11" s="468"/>
      <c r="BDJ11" s="468"/>
      <c r="BDK11" s="468"/>
      <c r="BDL11" s="468"/>
      <c r="BDM11" s="468"/>
      <c r="BDN11" s="468"/>
      <c r="BDO11" s="468"/>
      <c r="BDP11" s="469"/>
      <c r="BDQ11" s="467" t="s">
        <v>34</v>
      </c>
      <c r="BDR11" s="468"/>
      <c r="BDS11" s="468"/>
      <c r="BDT11" s="468"/>
      <c r="BDU11" s="468"/>
      <c r="BDV11" s="468"/>
      <c r="BDW11" s="468"/>
      <c r="BDX11" s="468"/>
      <c r="BDY11" s="468"/>
      <c r="BDZ11" s="468"/>
      <c r="BEA11" s="468"/>
      <c r="BEB11" s="468"/>
      <c r="BEC11" s="468"/>
      <c r="BED11" s="468"/>
      <c r="BEE11" s="468"/>
      <c r="BEF11" s="469"/>
      <c r="BEG11" s="467" t="s">
        <v>34</v>
      </c>
      <c r="BEH11" s="468"/>
      <c r="BEI11" s="468"/>
      <c r="BEJ11" s="468"/>
      <c r="BEK11" s="468"/>
      <c r="BEL11" s="468"/>
      <c r="BEM11" s="468"/>
      <c r="BEN11" s="468"/>
      <c r="BEO11" s="468"/>
      <c r="BEP11" s="468"/>
      <c r="BEQ11" s="468"/>
      <c r="BER11" s="468"/>
      <c r="BES11" s="468"/>
      <c r="BET11" s="468"/>
      <c r="BEU11" s="468"/>
      <c r="BEV11" s="469"/>
      <c r="BEW11" s="467" t="s">
        <v>34</v>
      </c>
      <c r="BEX11" s="468"/>
      <c r="BEY11" s="468"/>
      <c r="BEZ11" s="468"/>
      <c r="BFA11" s="468"/>
      <c r="BFB11" s="468"/>
      <c r="BFC11" s="468"/>
      <c r="BFD11" s="468"/>
      <c r="BFE11" s="468"/>
      <c r="BFF11" s="468"/>
      <c r="BFG11" s="468"/>
      <c r="BFH11" s="468"/>
      <c r="BFI11" s="468"/>
      <c r="BFJ11" s="468"/>
      <c r="BFK11" s="468"/>
      <c r="BFL11" s="469"/>
      <c r="BFM11" s="467" t="s">
        <v>34</v>
      </c>
      <c r="BFN11" s="468"/>
      <c r="BFO11" s="468"/>
      <c r="BFP11" s="468"/>
      <c r="BFQ11" s="468"/>
      <c r="BFR11" s="468"/>
      <c r="BFS11" s="468"/>
      <c r="BFT11" s="468"/>
      <c r="BFU11" s="468"/>
      <c r="BFV11" s="468"/>
      <c r="BFW11" s="468"/>
      <c r="BFX11" s="468"/>
      <c r="BFY11" s="468"/>
      <c r="BFZ11" s="468"/>
      <c r="BGA11" s="468"/>
      <c r="BGB11" s="469"/>
      <c r="BGC11" s="467" t="s">
        <v>34</v>
      </c>
      <c r="BGD11" s="468"/>
      <c r="BGE11" s="468"/>
      <c r="BGF11" s="468"/>
      <c r="BGG11" s="468"/>
      <c r="BGH11" s="468"/>
      <c r="BGI11" s="468"/>
      <c r="BGJ11" s="468"/>
      <c r="BGK11" s="468"/>
      <c r="BGL11" s="468"/>
      <c r="BGM11" s="468"/>
      <c r="BGN11" s="468"/>
      <c r="BGO11" s="468"/>
      <c r="BGP11" s="468"/>
      <c r="BGQ11" s="468"/>
      <c r="BGR11" s="469"/>
      <c r="BGS11" s="467" t="s">
        <v>34</v>
      </c>
      <c r="BGT11" s="468"/>
      <c r="BGU11" s="468"/>
      <c r="BGV11" s="468"/>
      <c r="BGW11" s="468"/>
      <c r="BGX11" s="468"/>
      <c r="BGY11" s="468"/>
      <c r="BGZ11" s="468"/>
      <c r="BHA11" s="468"/>
      <c r="BHB11" s="468"/>
      <c r="BHC11" s="468"/>
      <c r="BHD11" s="468"/>
      <c r="BHE11" s="468"/>
      <c r="BHF11" s="468"/>
      <c r="BHG11" s="468"/>
      <c r="BHH11" s="469"/>
      <c r="BHI11" s="467" t="s">
        <v>34</v>
      </c>
      <c r="BHJ11" s="468"/>
      <c r="BHK11" s="468"/>
      <c r="BHL11" s="468"/>
      <c r="BHM11" s="468"/>
      <c r="BHN11" s="468"/>
      <c r="BHO11" s="468"/>
      <c r="BHP11" s="468"/>
      <c r="BHQ11" s="468"/>
      <c r="BHR11" s="468"/>
      <c r="BHS11" s="468"/>
      <c r="BHT11" s="468"/>
      <c r="BHU11" s="468"/>
      <c r="BHV11" s="468"/>
      <c r="BHW11" s="468"/>
      <c r="BHX11" s="469"/>
      <c r="BHY11" s="467" t="s">
        <v>34</v>
      </c>
      <c r="BHZ11" s="468"/>
      <c r="BIA11" s="468"/>
      <c r="BIB11" s="468"/>
      <c r="BIC11" s="468"/>
      <c r="BID11" s="468"/>
      <c r="BIE11" s="468"/>
      <c r="BIF11" s="468"/>
      <c r="BIG11" s="468"/>
      <c r="BIH11" s="468"/>
      <c r="BII11" s="468"/>
      <c r="BIJ11" s="468"/>
      <c r="BIK11" s="468"/>
      <c r="BIL11" s="468"/>
      <c r="BIM11" s="468"/>
      <c r="BIN11" s="469"/>
      <c r="BIO11" s="467" t="s">
        <v>34</v>
      </c>
      <c r="BIP11" s="468"/>
      <c r="BIQ11" s="468"/>
      <c r="BIR11" s="468"/>
      <c r="BIS11" s="468"/>
      <c r="BIT11" s="468"/>
      <c r="BIU11" s="468"/>
      <c r="BIV11" s="468"/>
      <c r="BIW11" s="468"/>
      <c r="BIX11" s="468"/>
      <c r="BIY11" s="468"/>
      <c r="BIZ11" s="468"/>
      <c r="BJA11" s="468"/>
      <c r="BJB11" s="468"/>
      <c r="BJC11" s="468"/>
      <c r="BJD11" s="469"/>
      <c r="BJE11" s="467" t="s">
        <v>34</v>
      </c>
      <c r="BJF11" s="468"/>
      <c r="BJG11" s="468"/>
      <c r="BJH11" s="468"/>
      <c r="BJI11" s="468"/>
      <c r="BJJ11" s="468"/>
      <c r="BJK11" s="468"/>
      <c r="BJL11" s="468"/>
      <c r="BJM11" s="468"/>
      <c r="BJN11" s="468"/>
      <c r="BJO11" s="468"/>
      <c r="BJP11" s="468"/>
      <c r="BJQ11" s="468"/>
      <c r="BJR11" s="468"/>
      <c r="BJS11" s="468"/>
      <c r="BJT11" s="469"/>
      <c r="BJU11" s="467" t="s">
        <v>34</v>
      </c>
      <c r="BJV11" s="468"/>
      <c r="BJW11" s="468"/>
      <c r="BJX11" s="468"/>
      <c r="BJY11" s="468"/>
      <c r="BJZ11" s="468"/>
      <c r="BKA11" s="468"/>
      <c r="BKB11" s="468"/>
      <c r="BKC11" s="468"/>
      <c r="BKD11" s="468"/>
      <c r="BKE11" s="468"/>
      <c r="BKF11" s="468"/>
      <c r="BKG11" s="468"/>
      <c r="BKH11" s="468"/>
      <c r="BKI11" s="468"/>
      <c r="BKJ11" s="469"/>
      <c r="BKK11" s="467" t="s">
        <v>34</v>
      </c>
      <c r="BKL11" s="468"/>
      <c r="BKM11" s="468"/>
      <c r="BKN11" s="468"/>
      <c r="BKO11" s="468"/>
      <c r="BKP11" s="468"/>
      <c r="BKQ11" s="468"/>
      <c r="BKR11" s="468"/>
      <c r="BKS11" s="468"/>
      <c r="BKT11" s="468"/>
      <c r="BKU11" s="468"/>
      <c r="BKV11" s="468"/>
      <c r="BKW11" s="468"/>
      <c r="BKX11" s="468"/>
      <c r="BKY11" s="468"/>
      <c r="BKZ11" s="469"/>
      <c r="BLA11" s="467" t="s">
        <v>34</v>
      </c>
      <c r="BLB11" s="468"/>
      <c r="BLC11" s="468"/>
      <c r="BLD11" s="468"/>
      <c r="BLE11" s="468"/>
      <c r="BLF11" s="468"/>
      <c r="BLG11" s="468"/>
      <c r="BLH11" s="468"/>
      <c r="BLI11" s="468"/>
      <c r="BLJ11" s="468"/>
      <c r="BLK11" s="468"/>
      <c r="BLL11" s="468"/>
      <c r="BLM11" s="468"/>
      <c r="BLN11" s="468"/>
      <c r="BLO11" s="468"/>
      <c r="BLP11" s="469"/>
      <c r="BLQ11" s="467" t="s">
        <v>34</v>
      </c>
      <c r="BLR11" s="468"/>
      <c r="BLS11" s="468"/>
      <c r="BLT11" s="468"/>
      <c r="BLU11" s="468"/>
      <c r="BLV11" s="468"/>
      <c r="BLW11" s="468"/>
      <c r="BLX11" s="468"/>
      <c r="BLY11" s="468"/>
      <c r="BLZ11" s="468"/>
      <c r="BMA11" s="468"/>
      <c r="BMB11" s="468"/>
      <c r="BMC11" s="468"/>
      <c r="BMD11" s="468"/>
      <c r="BME11" s="468"/>
      <c r="BMF11" s="469"/>
      <c r="BMG11" s="467" t="s">
        <v>34</v>
      </c>
      <c r="BMH11" s="468"/>
      <c r="BMI11" s="468"/>
      <c r="BMJ11" s="468"/>
      <c r="BMK11" s="468"/>
      <c r="BML11" s="468"/>
      <c r="BMM11" s="468"/>
      <c r="BMN11" s="468"/>
      <c r="BMO11" s="468"/>
      <c r="BMP11" s="468"/>
      <c r="BMQ11" s="468"/>
      <c r="BMR11" s="468"/>
      <c r="BMS11" s="468"/>
      <c r="BMT11" s="468"/>
      <c r="BMU11" s="468"/>
      <c r="BMV11" s="469"/>
      <c r="BMW11" s="467" t="s">
        <v>34</v>
      </c>
      <c r="BMX11" s="468"/>
      <c r="BMY11" s="468"/>
      <c r="BMZ11" s="468"/>
      <c r="BNA11" s="468"/>
      <c r="BNB11" s="468"/>
      <c r="BNC11" s="468"/>
      <c r="BND11" s="468"/>
      <c r="BNE11" s="468"/>
      <c r="BNF11" s="468"/>
      <c r="BNG11" s="468"/>
      <c r="BNH11" s="468"/>
      <c r="BNI11" s="468"/>
      <c r="BNJ11" s="468"/>
      <c r="BNK11" s="468"/>
      <c r="BNL11" s="469"/>
      <c r="BNM11" s="467" t="s">
        <v>34</v>
      </c>
      <c r="BNN11" s="468"/>
      <c r="BNO11" s="468"/>
      <c r="BNP11" s="468"/>
      <c r="BNQ11" s="468"/>
      <c r="BNR11" s="468"/>
      <c r="BNS11" s="468"/>
      <c r="BNT11" s="468"/>
      <c r="BNU11" s="468"/>
      <c r="BNV11" s="468"/>
      <c r="BNW11" s="468"/>
      <c r="BNX11" s="468"/>
      <c r="BNY11" s="468"/>
      <c r="BNZ11" s="468"/>
      <c r="BOA11" s="468"/>
      <c r="BOB11" s="469"/>
      <c r="BOC11" s="467" t="s">
        <v>34</v>
      </c>
      <c r="BOD11" s="468"/>
      <c r="BOE11" s="468"/>
      <c r="BOF11" s="468"/>
      <c r="BOG11" s="468"/>
      <c r="BOH11" s="468"/>
      <c r="BOI11" s="468"/>
      <c r="BOJ11" s="468"/>
      <c r="BOK11" s="468"/>
      <c r="BOL11" s="468"/>
      <c r="BOM11" s="468"/>
      <c r="BON11" s="468"/>
      <c r="BOO11" s="468"/>
      <c r="BOP11" s="468"/>
      <c r="BOQ11" s="468"/>
      <c r="BOR11" s="469"/>
      <c r="BOS11" s="467" t="s">
        <v>34</v>
      </c>
      <c r="BOT11" s="468"/>
      <c r="BOU11" s="468"/>
      <c r="BOV11" s="468"/>
      <c r="BOW11" s="468"/>
      <c r="BOX11" s="468"/>
      <c r="BOY11" s="468"/>
      <c r="BOZ11" s="468"/>
      <c r="BPA11" s="468"/>
      <c r="BPB11" s="468"/>
      <c r="BPC11" s="468"/>
      <c r="BPD11" s="468"/>
      <c r="BPE11" s="468"/>
      <c r="BPF11" s="468"/>
      <c r="BPG11" s="468"/>
      <c r="BPH11" s="469"/>
      <c r="BPI11" s="467" t="s">
        <v>34</v>
      </c>
      <c r="BPJ11" s="468"/>
      <c r="BPK11" s="468"/>
      <c r="BPL11" s="468"/>
      <c r="BPM11" s="468"/>
      <c r="BPN11" s="468"/>
      <c r="BPO11" s="468"/>
      <c r="BPP11" s="468"/>
      <c r="BPQ11" s="468"/>
      <c r="BPR11" s="468"/>
      <c r="BPS11" s="468"/>
      <c r="BPT11" s="468"/>
      <c r="BPU11" s="468"/>
      <c r="BPV11" s="468"/>
      <c r="BPW11" s="468"/>
      <c r="BPX11" s="469"/>
      <c r="BPY11" s="467" t="s">
        <v>34</v>
      </c>
      <c r="BPZ11" s="468"/>
      <c r="BQA11" s="468"/>
      <c r="BQB11" s="468"/>
      <c r="BQC11" s="468"/>
      <c r="BQD11" s="468"/>
      <c r="BQE11" s="468"/>
      <c r="BQF11" s="468"/>
      <c r="BQG11" s="468"/>
      <c r="BQH11" s="468"/>
      <c r="BQI11" s="468"/>
      <c r="BQJ11" s="468"/>
      <c r="BQK11" s="468"/>
      <c r="BQL11" s="468"/>
      <c r="BQM11" s="468"/>
      <c r="BQN11" s="469"/>
      <c r="BQO11" s="467" t="s">
        <v>34</v>
      </c>
      <c r="BQP11" s="468"/>
      <c r="BQQ11" s="468"/>
      <c r="BQR11" s="468"/>
      <c r="BQS11" s="468"/>
      <c r="BQT11" s="468"/>
      <c r="BQU11" s="468"/>
      <c r="BQV11" s="468"/>
      <c r="BQW11" s="468"/>
      <c r="BQX11" s="468"/>
      <c r="BQY11" s="468"/>
      <c r="BQZ11" s="468"/>
      <c r="BRA11" s="468"/>
      <c r="BRB11" s="468"/>
      <c r="BRC11" s="468"/>
      <c r="BRD11" s="469"/>
      <c r="BRE11" s="467" t="s">
        <v>34</v>
      </c>
      <c r="BRF11" s="468"/>
      <c r="BRG11" s="468"/>
      <c r="BRH11" s="468"/>
      <c r="BRI11" s="468"/>
      <c r="BRJ11" s="468"/>
      <c r="BRK11" s="468"/>
      <c r="BRL11" s="468"/>
      <c r="BRM11" s="468"/>
      <c r="BRN11" s="468"/>
      <c r="BRO11" s="468"/>
      <c r="BRP11" s="468"/>
      <c r="BRQ11" s="468"/>
      <c r="BRR11" s="468"/>
      <c r="BRS11" s="468"/>
      <c r="BRT11" s="469"/>
      <c r="BRU11" s="467" t="s">
        <v>34</v>
      </c>
      <c r="BRV11" s="468"/>
      <c r="BRW11" s="468"/>
      <c r="BRX11" s="468"/>
      <c r="BRY11" s="468"/>
      <c r="BRZ11" s="468"/>
      <c r="BSA11" s="468"/>
      <c r="BSB11" s="468"/>
      <c r="BSC11" s="468"/>
      <c r="BSD11" s="468"/>
      <c r="BSE11" s="468"/>
      <c r="BSF11" s="468"/>
      <c r="BSG11" s="468"/>
      <c r="BSH11" s="468"/>
      <c r="BSI11" s="468"/>
      <c r="BSJ11" s="469"/>
      <c r="BSK11" s="467" t="s">
        <v>34</v>
      </c>
      <c r="BSL11" s="468"/>
      <c r="BSM11" s="468"/>
      <c r="BSN11" s="468"/>
      <c r="BSO11" s="468"/>
      <c r="BSP11" s="468"/>
      <c r="BSQ11" s="468"/>
      <c r="BSR11" s="468"/>
      <c r="BSS11" s="468"/>
      <c r="BST11" s="468"/>
      <c r="BSU11" s="468"/>
      <c r="BSV11" s="468"/>
      <c r="BSW11" s="468"/>
      <c r="BSX11" s="468"/>
      <c r="BSY11" s="468"/>
      <c r="BSZ11" s="469"/>
      <c r="BTA11" s="467" t="s">
        <v>34</v>
      </c>
      <c r="BTB11" s="468"/>
      <c r="BTC11" s="468"/>
      <c r="BTD11" s="468"/>
      <c r="BTE11" s="468"/>
      <c r="BTF11" s="468"/>
      <c r="BTG11" s="468"/>
      <c r="BTH11" s="468"/>
      <c r="BTI11" s="468"/>
      <c r="BTJ11" s="468"/>
      <c r="BTK11" s="468"/>
      <c r="BTL11" s="468"/>
      <c r="BTM11" s="468"/>
      <c r="BTN11" s="468"/>
      <c r="BTO11" s="468"/>
      <c r="BTP11" s="469"/>
      <c r="BTQ11" s="467" t="s">
        <v>34</v>
      </c>
      <c r="BTR11" s="468"/>
      <c r="BTS11" s="468"/>
      <c r="BTT11" s="468"/>
      <c r="BTU11" s="468"/>
      <c r="BTV11" s="468"/>
      <c r="BTW11" s="468"/>
      <c r="BTX11" s="468"/>
      <c r="BTY11" s="468"/>
      <c r="BTZ11" s="468"/>
      <c r="BUA11" s="468"/>
      <c r="BUB11" s="468"/>
      <c r="BUC11" s="468"/>
      <c r="BUD11" s="468"/>
      <c r="BUE11" s="468"/>
      <c r="BUF11" s="469"/>
      <c r="BUG11" s="467" t="s">
        <v>34</v>
      </c>
      <c r="BUH11" s="468"/>
      <c r="BUI11" s="468"/>
      <c r="BUJ11" s="468"/>
      <c r="BUK11" s="468"/>
      <c r="BUL11" s="468"/>
      <c r="BUM11" s="468"/>
      <c r="BUN11" s="468"/>
      <c r="BUO11" s="468"/>
      <c r="BUP11" s="468"/>
      <c r="BUQ11" s="468"/>
      <c r="BUR11" s="468"/>
      <c r="BUS11" s="468"/>
      <c r="BUT11" s="468"/>
      <c r="BUU11" s="468"/>
      <c r="BUV11" s="469"/>
      <c r="BUW11" s="467" t="s">
        <v>34</v>
      </c>
      <c r="BUX11" s="468"/>
      <c r="BUY11" s="468"/>
      <c r="BUZ11" s="468"/>
      <c r="BVA11" s="468"/>
      <c r="BVB11" s="468"/>
      <c r="BVC11" s="468"/>
      <c r="BVD11" s="468"/>
      <c r="BVE11" s="468"/>
      <c r="BVF11" s="468"/>
      <c r="BVG11" s="468"/>
      <c r="BVH11" s="468"/>
      <c r="BVI11" s="468"/>
      <c r="BVJ11" s="468"/>
      <c r="BVK11" s="468"/>
      <c r="BVL11" s="469"/>
      <c r="BVM11" s="467" t="s">
        <v>34</v>
      </c>
      <c r="BVN11" s="468"/>
      <c r="BVO11" s="468"/>
      <c r="BVP11" s="468"/>
      <c r="BVQ11" s="468"/>
      <c r="BVR11" s="468"/>
      <c r="BVS11" s="468"/>
      <c r="BVT11" s="468"/>
      <c r="BVU11" s="468"/>
      <c r="BVV11" s="468"/>
      <c r="BVW11" s="468"/>
      <c r="BVX11" s="468"/>
      <c r="BVY11" s="468"/>
      <c r="BVZ11" s="468"/>
      <c r="BWA11" s="468"/>
      <c r="BWB11" s="469"/>
      <c r="BWC11" s="467" t="s">
        <v>34</v>
      </c>
      <c r="BWD11" s="468"/>
      <c r="BWE11" s="468"/>
      <c r="BWF11" s="468"/>
      <c r="BWG11" s="468"/>
      <c r="BWH11" s="468"/>
      <c r="BWI11" s="468"/>
      <c r="BWJ11" s="468"/>
      <c r="BWK11" s="468"/>
      <c r="BWL11" s="468"/>
      <c r="BWM11" s="468"/>
      <c r="BWN11" s="468"/>
      <c r="BWO11" s="468"/>
      <c r="BWP11" s="468"/>
      <c r="BWQ11" s="468"/>
      <c r="BWR11" s="469"/>
      <c r="BWS11" s="467" t="s">
        <v>34</v>
      </c>
      <c r="BWT11" s="468"/>
      <c r="BWU11" s="468"/>
      <c r="BWV11" s="468"/>
      <c r="BWW11" s="468"/>
      <c r="BWX11" s="468"/>
      <c r="BWY11" s="468"/>
      <c r="BWZ11" s="468"/>
      <c r="BXA11" s="468"/>
      <c r="BXB11" s="468"/>
      <c r="BXC11" s="468"/>
      <c r="BXD11" s="468"/>
      <c r="BXE11" s="468"/>
      <c r="BXF11" s="468"/>
      <c r="BXG11" s="468"/>
      <c r="BXH11" s="469"/>
      <c r="BXI11" s="467" t="s">
        <v>34</v>
      </c>
      <c r="BXJ11" s="468"/>
      <c r="BXK11" s="468"/>
      <c r="BXL11" s="468"/>
      <c r="BXM11" s="468"/>
      <c r="BXN11" s="468"/>
      <c r="BXO11" s="468"/>
      <c r="BXP11" s="468"/>
      <c r="BXQ11" s="468"/>
      <c r="BXR11" s="468"/>
      <c r="BXS11" s="468"/>
      <c r="BXT11" s="468"/>
      <c r="BXU11" s="468"/>
      <c r="BXV11" s="468"/>
      <c r="BXW11" s="468"/>
      <c r="BXX11" s="469"/>
      <c r="BXY11" s="467" t="s">
        <v>34</v>
      </c>
      <c r="BXZ11" s="468"/>
      <c r="BYA11" s="468"/>
      <c r="BYB11" s="468"/>
      <c r="BYC11" s="468"/>
      <c r="BYD11" s="468"/>
      <c r="BYE11" s="468"/>
      <c r="BYF11" s="468"/>
      <c r="BYG11" s="468"/>
      <c r="BYH11" s="468"/>
      <c r="BYI11" s="468"/>
      <c r="BYJ11" s="468"/>
      <c r="BYK11" s="468"/>
      <c r="BYL11" s="468"/>
      <c r="BYM11" s="468"/>
      <c r="BYN11" s="469"/>
      <c r="BYO11" s="467" t="s">
        <v>34</v>
      </c>
      <c r="BYP11" s="468"/>
      <c r="BYQ11" s="468"/>
      <c r="BYR11" s="468"/>
      <c r="BYS11" s="468"/>
      <c r="BYT11" s="468"/>
      <c r="BYU11" s="468"/>
      <c r="BYV11" s="468"/>
      <c r="BYW11" s="468"/>
      <c r="BYX11" s="468"/>
      <c r="BYY11" s="468"/>
      <c r="BYZ11" s="468"/>
      <c r="BZA11" s="468"/>
      <c r="BZB11" s="468"/>
      <c r="BZC11" s="468"/>
      <c r="BZD11" s="469"/>
      <c r="BZE11" s="467" t="s">
        <v>34</v>
      </c>
      <c r="BZF11" s="468"/>
      <c r="BZG11" s="468"/>
      <c r="BZH11" s="468"/>
      <c r="BZI11" s="468"/>
      <c r="BZJ11" s="468"/>
      <c r="BZK11" s="468"/>
      <c r="BZL11" s="468"/>
      <c r="BZM11" s="468"/>
      <c r="BZN11" s="468"/>
      <c r="BZO11" s="468"/>
      <c r="BZP11" s="468"/>
      <c r="BZQ11" s="468"/>
      <c r="BZR11" s="468"/>
      <c r="BZS11" s="468"/>
      <c r="BZT11" s="469"/>
      <c r="BZU11" s="467" t="s">
        <v>34</v>
      </c>
      <c r="BZV11" s="468"/>
      <c r="BZW11" s="468"/>
      <c r="BZX11" s="468"/>
      <c r="BZY11" s="468"/>
      <c r="BZZ11" s="468"/>
      <c r="CAA11" s="468"/>
      <c r="CAB11" s="468"/>
      <c r="CAC11" s="468"/>
      <c r="CAD11" s="468"/>
      <c r="CAE11" s="468"/>
      <c r="CAF11" s="468"/>
      <c r="CAG11" s="468"/>
      <c r="CAH11" s="468"/>
      <c r="CAI11" s="468"/>
      <c r="CAJ11" s="469"/>
      <c r="CAK11" s="467" t="s">
        <v>34</v>
      </c>
      <c r="CAL11" s="468"/>
      <c r="CAM11" s="468"/>
      <c r="CAN11" s="468"/>
      <c r="CAO11" s="468"/>
      <c r="CAP11" s="468"/>
      <c r="CAQ11" s="468"/>
      <c r="CAR11" s="468"/>
      <c r="CAS11" s="468"/>
      <c r="CAT11" s="468"/>
      <c r="CAU11" s="468"/>
      <c r="CAV11" s="468"/>
      <c r="CAW11" s="468"/>
      <c r="CAX11" s="468"/>
      <c r="CAY11" s="468"/>
      <c r="CAZ11" s="469"/>
      <c r="CBA11" s="467" t="s">
        <v>34</v>
      </c>
      <c r="CBB11" s="468"/>
      <c r="CBC11" s="468"/>
      <c r="CBD11" s="468"/>
      <c r="CBE11" s="468"/>
      <c r="CBF11" s="468"/>
      <c r="CBG11" s="468"/>
      <c r="CBH11" s="468"/>
      <c r="CBI11" s="468"/>
      <c r="CBJ11" s="468"/>
      <c r="CBK11" s="468"/>
      <c r="CBL11" s="468"/>
      <c r="CBM11" s="468"/>
      <c r="CBN11" s="468"/>
      <c r="CBO11" s="468"/>
      <c r="CBP11" s="469"/>
      <c r="CBQ11" s="467" t="s">
        <v>34</v>
      </c>
      <c r="CBR11" s="468"/>
      <c r="CBS11" s="468"/>
      <c r="CBT11" s="468"/>
      <c r="CBU11" s="468"/>
      <c r="CBV11" s="468"/>
      <c r="CBW11" s="468"/>
      <c r="CBX11" s="468"/>
      <c r="CBY11" s="468"/>
      <c r="CBZ11" s="468"/>
      <c r="CCA11" s="468"/>
      <c r="CCB11" s="468"/>
      <c r="CCC11" s="468"/>
      <c r="CCD11" s="468"/>
      <c r="CCE11" s="468"/>
      <c r="CCF11" s="469"/>
      <c r="CCG11" s="467" t="s">
        <v>34</v>
      </c>
      <c r="CCH11" s="468"/>
      <c r="CCI11" s="468"/>
      <c r="CCJ11" s="468"/>
      <c r="CCK11" s="468"/>
      <c r="CCL11" s="468"/>
      <c r="CCM11" s="468"/>
      <c r="CCN11" s="468"/>
      <c r="CCO11" s="468"/>
      <c r="CCP11" s="468"/>
      <c r="CCQ11" s="468"/>
      <c r="CCR11" s="468"/>
      <c r="CCS11" s="468"/>
      <c r="CCT11" s="468"/>
      <c r="CCU11" s="468"/>
      <c r="CCV11" s="469"/>
      <c r="CCW11" s="467" t="s">
        <v>34</v>
      </c>
      <c r="CCX11" s="468"/>
      <c r="CCY11" s="468"/>
      <c r="CCZ11" s="468"/>
      <c r="CDA11" s="468"/>
      <c r="CDB11" s="468"/>
      <c r="CDC11" s="468"/>
      <c r="CDD11" s="468"/>
      <c r="CDE11" s="468"/>
      <c r="CDF11" s="468"/>
      <c r="CDG11" s="468"/>
      <c r="CDH11" s="468"/>
      <c r="CDI11" s="468"/>
      <c r="CDJ11" s="468"/>
      <c r="CDK11" s="468"/>
      <c r="CDL11" s="469"/>
      <c r="CDM11" s="467" t="s">
        <v>34</v>
      </c>
      <c r="CDN11" s="468"/>
      <c r="CDO11" s="468"/>
      <c r="CDP11" s="468"/>
      <c r="CDQ11" s="468"/>
      <c r="CDR11" s="468"/>
      <c r="CDS11" s="468"/>
      <c r="CDT11" s="468"/>
      <c r="CDU11" s="468"/>
      <c r="CDV11" s="468"/>
      <c r="CDW11" s="468"/>
      <c r="CDX11" s="468"/>
      <c r="CDY11" s="468"/>
      <c r="CDZ11" s="468"/>
      <c r="CEA11" s="468"/>
      <c r="CEB11" s="469"/>
      <c r="CEC11" s="467" t="s">
        <v>34</v>
      </c>
      <c r="CED11" s="468"/>
      <c r="CEE11" s="468"/>
      <c r="CEF11" s="468"/>
      <c r="CEG11" s="468"/>
      <c r="CEH11" s="468"/>
      <c r="CEI11" s="468"/>
      <c r="CEJ11" s="468"/>
      <c r="CEK11" s="468"/>
      <c r="CEL11" s="468"/>
      <c r="CEM11" s="468"/>
      <c r="CEN11" s="468"/>
      <c r="CEO11" s="468"/>
      <c r="CEP11" s="468"/>
      <c r="CEQ11" s="468"/>
      <c r="CER11" s="469"/>
      <c r="CES11" s="467" t="s">
        <v>34</v>
      </c>
      <c r="CET11" s="468"/>
      <c r="CEU11" s="468"/>
      <c r="CEV11" s="468"/>
      <c r="CEW11" s="468"/>
      <c r="CEX11" s="468"/>
      <c r="CEY11" s="468"/>
      <c r="CEZ11" s="468"/>
      <c r="CFA11" s="468"/>
      <c r="CFB11" s="468"/>
      <c r="CFC11" s="468"/>
      <c r="CFD11" s="468"/>
      <c r="CFE11" s="468"/>
      <c r="CFF11" s="468"/>
      <c r="CFG11" s="468"/>
      <c r="CFH11" s="469"/>
      <c r="CFI11" s="467" t="s">
        <v>34</v>
      </c>
      <c r="CFJ11" s="468"/>
      <c r="CFK11" s="468"/>
      <c r="CFL11" s="468"/>
      <c r="CFM11" s="468"/>
      <c r="CFN11" s="468"/>
      <c r="CFO11" s="468"/>
      <c r="CFP11" s="468"/>
      <c r="CFQ11" s="468"/>
      <c r="CFR11" s="468"/>
      <c r="CFS11" s="468"/>
      <c r="CFT11" s="468"/>
      <c r="CFU11" s="468"/>
      <c r="CFV11" s="468"/>
      <c r="CFW11" s="468"/>
      <c r="CFX11" s="469"/>
      <c r="CFY11" s="467" t="s">
        <v>34</v>
      </c>
      <c r="CFZ11" s="468"/>
      <c r="CGA11" s="468"/>
      <c r="CGB11" s="468"/>
      <c r="CGC11" s="468"/>
      <c r="CGD11" s="468"/>
      <c r="CGE11" s="468"/>
      <c r="CGF11" s="468"/>
      <c r="CGG11" s="468"/>
      <c r="CGH11" s="468"/>
      <c r="CGI11" s="468"/>
      <c r="CGJ11" s="468"/>
      <c r="CGK11" s="468"/>
      <c r="CGL11" s="468"/>
      <c r="CGM11" s="468"/>
      <c r="CGN11" s="469"/>
      <c r="CGO11" s="467" t="s">
        <v>34</v>
      </c>
      <c r="CGP11" s="468"/>
      <c r="CGQ11" s="468"/>
      <c r="CGR11" s="468"/>
      <c r="CGS11" s="468"/>
      <c r="CGT11" s="468"/>
      <c r="CGU11" s="468"/>
      <c r="CGV11" s="468"/>
      <c r="CGW11" s="468"/>
      <c r="CGX11" s="468"/>
      <c r="CGY11" s="468"/>
      <c r="CGZ11" s="468"/>
      <c r="CHA11" s="468"/>
      <c r="CHB11" s="468"/>
      <c r="CHC11" s="468"/>
      <c r="CHD11" s="469"/>
      <c r="CHE11" s="467" t="s">
        <v>34</v>
      </c>
      <c r="CHF11" s="468"/>
      <c r="CHG11" s="468"/>
      <c r="CHH11" s="468"/>
      <c r="CHI11" s="468"/>
      <c r="CHJ11" s="468"/>
      <c r="CHK11" s="468"/>
      <c r="CHL11" s="468"/>
      <c r="CHM11" s="468"/>
      <c r="CHN11" s="468"/>
      <c r="CHO11" s="468"/>
      <c r="CHP11" s="468"/>
      <c r="CHQ11" s="468"/>
      <c r="CHR11" s="468"/>
      <c r="CHS11" s="468"/>
      <c r="CHT11" s="469"/>
      <c r="CHU11" s="467" t="s">
        <v>34</v>
      </c>
      <c r="CHV11" s="468"/>
      <c r="CHW11" s="468"/>
      <c r="CHX11" s="468"/>
      <c r="CHY11" s="468"/>
      <c r="CHZ11" s="468"/>
      <c r="CIA11" s="468"/>
      <c r="CIB11" s="468"/>
      <c r="CIC11" s="468"/>
      <c r="CID11" s="468"/>
      <c r="CIE11" s="468"/>
      <c r="CIF11" s="468"/>
      <c r="CIG11" s="468"/>
      <c r="CIH11" s="468"/>
      <c r="CII11" s="468"/>
      <c r="CIJ11" s="469"/>
      <c r="CIK11" s="467" t="s">
        <v>34</v>
      </c>
      <c r="CIL11" s="468"/>
      <c r="CIM11" s="468"/>
      <c r="CIN11" s="468"/>
      <c r="CIO11" s="468"/>
      <c r="CIP11" s="468"/>
      <c r="CIQ11" s="468"/>
      <c r="CIR11" s="468"/>
      <c r="CIS11" s="468"/>
      <c r="CIT11" s="468"/>
      <c r="CIU11" s="468"/>
      <c r="CIV11" s="468"/>
      <c r="CIW11" s="468"/>
      <c r="CIX11" s="468"/>
      <c r="CIY11" s="468"/>
      <c r="CIZ11" s="469"/>
      <c r="CJA11" s="467" t="s">
        <v>34</v>
      </c>
      <c r="CJB11" s="468"/>
      <c r="CJC11" s="468"/>
      <c r="CJD11" s="468"/>
      <c r="CJE11" s="468"/>
      <c r="CJF11" s="468"/>
      <c r="CJG11" s="468"/>
      <c r="CJH11" s="468"/>
      <c r="CJI11" s="468"/>
      <c r="CJJ11" s="468"/>
      <c r="CJK11" s="468"/>
      <c r="CJL11" s="468"/>
      <c r="CJM11" s="468"/>
      <c r="CJN11" s="468"/>
      <c r="CJO11" s="468"/>
      <c r="CJP11" s="469"/>
      <c r="CJQ11" s="467" t="s">
        <v>34</v>
      </c>
      <c r="CJR11" s="468"/>
      <c r="CJS11" s="468"/>
      <c r="CJT11" s="468"/>
      <c r="CJU11" s="468"/>
      <c r="CJV11" s="468"/>
      <c r="CJW11" s="468"/>
      <c r="CJX11" s="468"/>
      <c r="CJY11" s="468"/>
      <c r="CJZ11" s="468"/>
      <c r="CKA11" s="468"/>
      <c r="CKB11" s="468"/>
      <c r="CKC11" s="468"/>
      <c r="CKD11" s="468"/>
      <c r="CKE11" s="468"/>
      <c r="CKF11" s="469"/>
      <c r="CKG11" s="467" t="s">
        <v>34</v>
      </c>
      <c r="CKH11" s="468"/>
      <c r="CKI11" s="468"/>
      <c r="CKJ11" s="468"/>
      <c r="CKK11" s="468"/>
      <c r="CKL11" s="468"/>
      <c r="CKM11" s="468"/>
      <c r="CKN11" s="468"/>
      <c r="CKO11" s="468"/>
      <c r="CKP11" s="468"/>
      <c r="CKQ11" s="468"/>
      <c r="CKR11" s="468"/>
      <c r="CKS11" s="468"/>
      <c r="CKT11" s="468"/>
      <c r="CKU11" s="468"/>
      <c r="CKV11" s="469"/>
      <c r="CKW11" s="467" t="s">
        <v>34</v>
      </c>
      <c r="CKX11" s="468"/>
      <c r="CKY11" s="468"/>
      <c r="CKZ11" s="468"/>
      <c r="CLA11" s="468"/>
      <c r="CLB11" s="468"/>
      <c r="CLC11" s="468"/>
      <c r="CLD11" s="468"/>
      <c r="CLE11" s="468"/>
      <c r="CLF11" s="468"/>
      <c r="CLG11" s="468"/>
      <c r="CLH11" s="468"/>
      <c r="CLI11" s="468"/>
      <c r="CLJ11" s="468"/>
      <c r="CLK11" s="468"/>
      <c r="CLL11" s="469"/>
      <c r="CLM11" s="467" t="s">
        <v>34</v>
      </c>
      <c r="CLN11" s="468"/>
      <c r="CLO11" s="468"/>
      <c r="CLP11" s="468"/>
      <c r="CLQ11" s="468"/>
      <c r="CLR11" s="468"/>
      <c r="CLS11" s="468"/>
      <c r="CLT11" s="468"/>
      <c r="CLU11" s="468"/>
      <c r="CLV11" s="468"/>
      <c r="CLW11" s="468"/>
      <c r="CLX11" s="468"/>
      <c r="CLY11" s="468"/>
      <c r="CLZ11" s="468"/>
      <c r="CMA11" s="468"/>
      <c r="CMB11" s="469"/>
      <c r="CMC11" s="467" t="s">
        <v>34</v>
      </c>
      <c r="CMD11" s="468"/>
      <c r="CME11" s="468"/>
      <c r="CMF11" s="468"/>
      <c r="CMG11" s="468"/>
      <c r="CMH11" s="468"/>
      <c r="CMI11" s="468"/>
      <c r="CMJ11" s="468"/>
      <c r="CMK11" s="468"/>
      <c r="CML11" s="468"/>
      <c r="CMM11" s="468"/>
      <c r="CMN11" s="468"/>
      <c r="CMO11" s="468"/>
      <c r="CMP11" s="468"/>
      <c r="CMQ11" s="468"/>
      <c r="CMR11" s="469"/>
      <c r="CMS11" s="467" t="s">
        <v>34</v>
      </c>
      <c r="CMT11" s="468"/>
      <c r="CMU11" s="468"/>
      <c r="CMV11" s="468"/>
      <c r="CMW11" s="468"/>
      <c r="CMX11" s="468"/>
      <c r="CMY11" s="468"/>
      <c r="CMZ11" s="468"/>
      <c r="CNA11" s="468"/>
      <c r="CNB11" s="468"/>
      <c r="CNC11" s="468"/>
      <c r="CND11" s="468"/>
      <c r="CNE11" s="468"/>
      <c r="CNF11" s="468"/>
      <c r="CNG11" s="468"/>
      <c r="CNH11" s="469"/>
      <c r="CNI11" s="467" t="s">
        <v>34</v>
      </c>
      <c r="CNJ11" s="468"/>
      <c r="CNK11" s="468"/>
      <c r="CNL11" s="468"/>
      <c r="CNM11" s="468"/>
      <c r="CNN11" s="468"/>
      <c r="CNO11" s="468"/>
      <c r="CNP11" s="468"/>
      <c r="CNQ11" s="468"/>
      <c r="CNR11" s="468"/>
      <c r="CNS11" s="468"/>
      <c r="CNT11" s="468"/>
      <c r="CNU11" s="468"/>
      <c r="CNV11" s="468"/>
      <c r="CNW11" s="468"/>
      <c r="CNX11" s="469"/>
      <c r="CNY11" s="467" t="s">
        <v>34</v>
      </c>
      <c r="CNZ11" s="468"/>
      <c r="COA11" s="468"/>
      <c r="COB11" s="468"/>
      <c r="COC11" s="468"/>
      <c r="COD11" s="468"/>
      <c r="COE11" s="468"/>
      <c r="COF11" s="468"/>
      <c r="COG11" s="468"/>
      <c r="COH11" s="468"/>
      <c r="COI11" s="468"/>
      <c r="COJ11" s="468"/>
      <c r="COK11" s="468"/>
      <c r="COL11" s="468"/>
      <c r="COM11" s="468"/>
      <c r="CON11" s="469"/>
      <c r="COO11" s="467" t="s">
        <v>34</v>
      </c>
      <c r="COP11" s="468"/>
      <c r="COQ11" s="468"/>
      <c r="COR11" s="468"/>
      <c r="COS11" s="468"/>
      <c r="COT11" s="468"/>
      <c r="COU11" s="468"/>
      <c r="COV11" s="468"/>
      <c r="COW11" s="468"/>
      <c r="COX11" s="468"/>
      <c r="COY11" s="468"/>
      <c r="COZ11" s="468"/>
      <c r="CPA11" s="468"/>
      <c r="CPB11" s="468"/>
      <c r="CPC11" s="468"/>
      <c r="CPD11" s="469"/>
      <c r="CPE11" s="467" t="s">
        <v>34</v>
      </c>
      <c r="CPF11" s="468"/>
      <c r="CPG11" s="468"/>
      <c r="CPH11" s="468"/>
      <c r="CPI11" s="468"/>
      <c r="CPJ11" s="468"/>
      <c r="CPK11" s="468"/>
      <c r="CPL11" s="468"/>
      <c r="CPM11" s="468"/>
      <c r="CPN11" s="468"/>
      <c r="CPO11" s="468"/>
      <c r="CPP11" s="468"/>
      <c r="CPQ11" s="468"/>
      <c r="CPR11" s="468"/>
      <c r="CPS11" s="468"/>
      <c r="CPT11" s="469"/>
      <c r="CPU11" s="467" t="s">
        <v>34</v>
      </c>
      <c r="CPV11" s="468"/>
      <c r="CPW11" s="468"/>
      <c r="CPX11" s="468"/>
      <c r="CPY11" s="468"/>
      <c r="CPZ11" s="468"/>
      <c r="CQA11" s="468"/>
      <c r="CQB11" s="468"/>
      <c r="CQC11" s="468"/>
      <c r="CQD11" s="468"/>
      <c r="CQE11" s="468"/>
      <c r="CQF11" s="468"/>
      <c r="CQG11" s="468"/>
      <c r="CQH11" s="468"/>
      <c r="CQI11" s="468"/>
      <c r="CQJ11" s="469"/>
      <c r="CQK11" s="467" t="s">
        <v>34</v>
      </c>
      <c r="CQL11" s="468"/>
      <c r="CQM11" s="468"/>
      <c r="CQN11" s="468"/>
      <c r="CQO11" s="468"/>
      <c r="CQP11" s="468"/>
      <c r="CQQ11" s="468"/>
      <c r="CQR11" s="468"/>
      <c r="CQS11" s="468"/>
      <c r="CQT11" s="468"/>
      <c r="CQU11" s="468"/>
      <c r="CQV11" s="468"/>
      <c r="CQW11" s="468"/>
      <c r="CQX11" s="468"/>
      <c r="CQY11" s="468"/>
      <c r="CQZ11" s="469"/>
      <c r="CRA11" s="467" t="s">
        <v>34</v>
      </c>
      <c r="CRB11" s="468"/>
      <c r="CRC11" s="468"/>
      <c r="CRD11" s="468"/>
      <c r="CRE11" s="468"/>
      <c r="CRF11" s="468"/>
      <c r="CRG11" s="468"/>
      <c r="CRH11" s="468"/>
      <c r="CRI11" s="468"/>
      <c r="CRJ11" s="468"/>
      <c r="CRK11" s="468"/>
      <c r="CRL11" s="468"/>
      <c r="CRM11" s="468"/>
      <c r="CRN11" s="468"/>
      <c r="CRO11" s="468"/>
      <c r="CRP11" s="469"/>
      <c r="CRQ11" s="467" t="s">
        <v>34</v>
      </c>
      <c r="CRR11" s="468"/>
      <c r="CRS11" s="468"/>
      <c r="CRT11" s="468"/>
      <c r="CRU11" s="468"/>
      <c r="CRV11" s="468"/>
      <c r="CRW11" s="468"/>
      <c r="CRX11" s="468"/>
      <c r="CRY11" s="468"/>
      <c r="CRZ11" s="468"/>
      <c r="CSA11" s="468"/>
      <c r="CSB11" s="468"/>
      <c r="CSC11" s="468"/>
      <c r="CSD11" s="468"/>
      <c r="CSE11" s="468"/>
      <c r="CSF11" s="469"/>
      <c r="CSG11" s="467" t="s">
        <v>34</v>
      </c>
      <c r="CSH11" s="468"/>
      <c r="CSI11" s="468"/>
      <c r="CSJ11" s="468"/>
      <c r="CSK11" s="468"/>
      <c r="CSL11" s="468"/>
      <c r="CSM11" s="468"/>
      <c r="CSN11" s="468"/>
      <c r="CSO11" s="468"/>
      <c r="CSP11" s="468"/>
      <c r="CSQ11" s="468"/>
      <c r="CSR11" s="468"/>
      <c r="CSS11" s="468"/>
      <c r="CST11" s="468"/>
      <c r="CSU11" s="468"/>
      <c r="CSV11" s="469"/>
      <c r="CSW11" s="467" t="s">
        <v>34</v>
      </c>
      <c r="CSX11" s="468"/>
      <c r="CSY11" s="468"/>
      <c r="CSZ11" s="468"/>
      <c r="CTA11" s="468"/>
      <c r="CTB11" s="468"/>
      <c r="CTC11" s="468"/>
      <c r="CTD11" s="468"/>
      <c r="CTE11" s="468"/>
      <c r="CTF11" s="468"/>
      <c r="CTG11" s="468"/>
      <c r="CTH11" s="468"/>
      <c r="CTI11" s="468"/>
      <c r="CTJ11" s="468"/>
      <c r="CTK11" s="468"/>
      <c r="CTL11" s="469"/>
      <c r="CTM11" s="467" t="s">
        <v>34</v>
      </c>
      <c r="CTN11" s="468"/>
      <c r="CTO11" s="468"/>
      <c r="CTP11" s="468"/>
      <c r="CTQ11" s="468"/>
      <c r="CTR11" s="468"/>
      <c r="CTS11" s="468"/>
      <c r="CTT11" s="468"/>
      <c r="CTU11" s="468"/>
      <c r="CTV11" s="468"/>
      <c r="CTW11" s="468"/>
      <c r="CTX11" s="468"/>
      <c r="CTY11" s="468"/>
      <c r="CTZ11" s="468"/>
      <c r="CUA11" s="468"/>
      <c r="CUB11" s="469"/>
      <c r="CUC11" s="467" t="s">
        <v>34</v>
      </c>
      <c r="CUD11" s="468"/>
      <c r="CUE11" s="468"/>
      <c r="CUF11" s="468"/>
      <c r="CUG11" s="468"/>
      <c r="CUH11" s="468"/>
      <c r="CUI11" s="468"/>
      <c r="CUJ11" s="468"/>
      <c r="CUK11" s="468"/>
      <c r="CUL11" s="468"/>
      <c r="CUM11" s="468"/>
      <c r="CUN11" s="468"/>
      <c r="CUO11" s="468"/>
      <c r="CUP11" s="468"/>
      <c r="CUQ11" s="468"/>
      <c r="CUR11" s="469"/>
      <c r="CUS11" s="467" t="s">
        <v>34</v>
      </c>
      <c r="CUT11" s="468"/>
      <c r="CUU11" s="468"/>
      <c r="CUV11" s="468"/>
      <c r="CUW11" s="468"/>
      <c r="CUX11" s="468"/>
      <c r="CUY11" s="468"/>
      <c r="CUZ11" s="468"/>
      <c r="CVA11" s="468"/>
      <c r="CVB11" s="468"/>
      <c r="CVC11" s="468"/>
      <c r="CVD11" s="468"/>
      <c r="CVE11" s="468"/>
      <c r="CVF11" s="468"/>
      <c r="CVG11" s="468"/>
      <c r="CVH11" s="469"/>
      <c r="CVI11" s="467" t="s">
        <v>34</v>
      </c>
      <c r="CVJ11" s="468"/>
      <c r="CVK11" s="468"/>
      <c r="CVL11" s="468"/>
      <c r="CVM11" s="468"/>
      <c r="CVN11" s="468"/>
      <c r="CVO11" s="468"/>
      <c r="CVP11" s="468"/>
      <c r="CVQ11" s="468"/>
      <c r="CVR11" s="468"/>
      <c r="CVS11" s="468"/>
      <c r="CVT11" s="468"/>
      <c r="CVU11" s="468"/>
      <c r="CVV11" s="468"/>
      <c r="CVW11" s="468"/>
      <c r="CVX11" s="469"/>
      <c r="CVY11" s="467" t="s">
        <v>34</v>
      </c>
      <c r="CVZ11" s="468"/>
      <c r="CWA11" s="468"/>
      <c r="CWB11" s="468"/>
      <c r="CWC11" s="468"/>
      <c r="CWD11" s="468"/>
      <c r="CWE11" s="468"/>
      <c r="CWF11" s="468"/>
      <c r="CWG11" s="468"/>
      <c r="CWH11" s="468"/>
      <c r="CWI11" s="468"/>
      <c r="CWJ11" s="468"/>
      <c r="CWK11" s="468"/>
      <c r="CWL11" s="468"/>
      <c r="CWM11" s="468"/>
      <c r="CWN11" s="469"/>
      <c r="CWO11" s="467" t="s">
        <v>34</v>
      </c>
      <c r="CWP11" s="468"/>
      <c r="CWQ11" s="468"/>
      <c r="CWR11" s="468"/>
      <c r="CWS11" s="468"/>
      <c r="CWT11" s="468"/>
      <c r="CWU11" s="468"/>
      <c r="CWV11" s="468"/>
      <c r="CWW11" s="468"/>
      <c r="CWX11" s="468"/>
      <c r="CWY11" s="468"/>
      <c r="CWZ11" s="468"/>
      <c r="CXA11" s="468"/>
      <c r="CXB11" s="468"/>
      <c r="CXC11" s="468"/>
      <c r="CXD11" s="469"/>
      <c r="CXE11" s="467" t="s">
        <v>34</v>
      </c>
      <c r="CXF11" s="468"/>
      <c r="CXG11" s="468"/>
      <c r="CXH11" s="468"/>
      <c r="CXI11" s="468"/>
      <c r="CXJ11" s="468"/>
      <c r="CXK11" s="468"/>
      <c r="CXL11" s="468"/>
      <c r="CXM11" s="468"/>
      <c r="CXN11" s="468"/>
      <c r="CXO11" s="468"/>
      <c r="CXP11" s="468"/>
      <c r="CXQ11" s="468"/>
      <c r="CXR11" s="468"/>
      <c r="CXS11" s="468"/>
      <c r="CXT11" s="469"/>
      <c r="CXU11" s="467" t="s">
        <v>34</v>
      </c>
      <c r="CXV11" s="468"/>
      <c r="CXW11" s="468"/>
      <c r="CXX11" s="468"/>
      <c r="CXY11" s="468"/>
      <c r="CXZ11" s="468"/>
      <c r="CYA11" s="468"/>
      <c r="CYB11" s="468"/>
      <c r="CYC11" s="468"/>
      <c r="CYD11" s="468"/>
      <c r="CYE11" s="468"/>
      <c r="CYF11" s="468"/>
      <c r="CYG11" s="468"/>
      <c r="CYH11" s="468"/>
      <c r="CYI11" s="468"/>
      <c r="CYJ11" s="469"/>
      <c r="CYK11" s="467" t="s">
        <v>34</v>
      </c>
      <c r="CYL11" s="468"/>
      <c r="CYM11" s="468"/>
      <c r="CYN11" s="468"/>
      <c r="CYO11" s="468"/>
      <c r="CYP11" s="468"/>
      <c r="CYQ11" s="468"/>
      <c r="CYR11" s="468"/>
      <c r="CYS11" s="468"/>
      <c r="CYT11" s="468"/>
      <c r="CYU11" s="468"/>
      <c r="CYV11" s="468"/>
      <c r="CYW11" s="468"/>
      <c r="CYX11" s="468"/>
      <c r="CYY11" s="468"/>
      <c r="CYZ11" s="469"/>
      <c r="CZA11" s="467" t="s">
        <v>34</v>
      </c>
      <c r="CZB11" s="468"/>
      <c r="CZC11" s="468"/>
      <c r="CZD11" s="468"/>
      <c r="CZE11" s="468"/>
      <c r="CZF11" s="468"/>
      <c r="CZG11" s="468"/>
      <c r="CZH11" s="468"/>
      <c r="CZI11" s="468"/>
      <c r="CZJ11" s="468"/>
      <c r="CZK11" s="468"/>
      <c r="CZL11" s="468"/>
      <c r="CZM11" s="468"/>
      <c r="CZN11" s="468"/>
      <c r="CZO11" s="468"/>
      <c r="CZP11" s="469"/>
      <c r="CZQ11" s="467" t="s">
        <v>34</v>
      </c>
      <c r="CZR11" s="468"/>
      <c r="CZS11" s="468"/>
      <c r="CZT11" s="468"/>
      <c r="CZU11" s="468"/>
      <c r="CZV11" s="468"/>
      <c r="CZW11" s="468"/>
      <c r="CZX11" s="468"/>
      <c r="CZY11" s="468"/>
      <c r="CZZ11" s="468"/>
      <c r="DAA11" s="468"/>
      <c r="DAB11" s="468"/>
      <c r="DAC11" s="468"/>
      <c r="DAD11" s="468"/>
      <c r="DAE11" s="468"/>
      <c r="DAF11" s="469"/>
      <c r="DAG11" s="467" t="s">
        <v>34</v>
      </c>
      <c r="DAH11" s="468"/>
      <c r="DAI11" s="468"/>
      <c r="DAJ11" s="468"/>
      <c r="DAK11" s="468"/>
      <c r="DAL11" s="468"/>
      <c r="DAM11" s="468"/>
      <c r="DAN11" s="468"/>
      <c r="DAO11" s="468"/>
      <c r="DAP11" s="468"/>
      <c r="DAQ11" s="468"/>
      <c r="DAR11" s="468"/>
      <c r="DAS11" s="468"/>
      <c r="DAT11" s="468"/>
      <c r="DAU11" s="468"/>
      <c r="DAV11" s="469"/>
      <c r="DAW11" s="467" t="s">
        <v>34</v>
      </c>
      <c r="DAX11" s="468"/>
      <c r="DAY11" s="468"/>
      <c r="DAZ11" s="468"/>
      <c r="DBA11" s="468"/>
      <c r="DBB11" s="468"/>
      <c r="DBC11" s="468"/>
      <c r="DBD11" s="468"/>
      <c r="DBE11" s="468"/>
      <c r="DBF11" s="468"/>
      <c r="DBG11" s="468"/>
      <c r="DBH11" s="468"/>
      <c r="DBI11" s="468"/>
      <c r="DBJ11" s="468"/>
      <c r="DBK11" s="468"/>
      <c r="DBL11" s="469"/>
      <c r="DBM11" s="467" t="s">
        <v>34</v>
      </c>
      <c r="DBN11" s="468"/>
      <c r="DBO11" s="468"/>
      <c r="DBP11" s="468"/>
      <c r="DBQ11" s="468"/>
      <c r="DBR11" s="468"/>
      <c r="DBS11" s="468"/>
      <c r="DBT11" s="468"/>
      <c r="DBU11" s="468"/>
      <c r="DBV11" s="468"/>
      <c r="DBW11" s="468"/>
      <c r="DBX11" s="468"/>
      <c r="DBY11" s="468"/>
      <c r="DBZ11" s="468"/>
      <c r="DCA11" s="468"/>
      <c r="DCB11" s="469"/>
      <c r="DCC11" s="467" t="s">
        <v>34</v>
      </c>
      <c r="DCD11" s="468"/>
      <c r="DCE11" s="468"/>
      <c r="DCF11" s="468"/>
      <c r="DCG11" s="468"/>
      <c r="DCH11" s="468"/>
      <c r="DCI11" s="468"/>
      <c r="DCJ11" s="468"/>
      <c r="DCK11" s="468"/>
      <c r="DCL11" s="468"/>
      <c r="DCM11" s="468"/>
      <c r="DCN11" s="468"/>
      <c r="DCO11" s="468"/>
      <c r="DCP11" s="468"/>
      <c r="DCQ11" s="468"/>
      <c r="DCR11" s="469"/>
      <c r="DCS11" s="467" t="s">
        <v>34</v>
      </c>
      <c r="DCT11" s="468"/>
      <c r="DCU11" s="468"/>
      <c r="DCV11" s="468"/>
      <c r="DCW11" s="468"/>
      <c r="DCX11" s="468"/>
      <c r="DCY11" s="468"/>
      <c r="DCZ11" s="468"/>
      <c r="DDA11" s="468"/>
      <c r="DDB11" s="468"/>
      <c r="DDC11" s="468"/>
      <c r="DDD11" s="468"/>
      <c r="DDE11" s="468"/>
      <c r="DDF11" s="468"/>
      <c r="DDG11" s="468"/>
      <c r="DDH11" s="469"/>
      <c r="DDI11" s="467" t="s">
        <v>34</v>
      </c>
      <c r="DDJ11" s="468"/>
      <c r="DDK11" s="468"/>
      <c r="DDL11" s="468"/>
      <c r="DDM11" s="468"/>
      <c r="DDN11" s="468"/>
      <c r="DDO11" s="468"/>
      <c r="DDP11" s="468"/>
      <c r="DDQ11" s="468"/>
      <c r="DDR11" s="468"/>
      <c r="DDS11" s="468"/>
      <c r="DDT11" s="468"/>
      <c r="DDU11" s="468"/>
      <c r="DDV11" s="468"/>
      <c r="DDW11" s="468"/>
      <c r="DDX11" s="469"/>
      <c r="DDY11" s="467" t="s">
        <v>34</v>
      </c>
      <c r="DDZ11" s="468"/>
      <c r="DEA11" s="468"/>
      <c r="DEB11" s="468"/>
      <c r="DEC11" s="468"/>
      <c r="DED11" s="468"/>
      <c r="DEE11" s="468"/>
      <c r="DEF11" s="468"/>
      <c r="DEG11" s="468"/>
      <c r="DEH11" s="468"/>
      <c r="DEI11" s="468"/>
      <c r="DEJ11" s="468"/>
      <c r="DEK11" s="468"/>
      <c r="DEL11" s="468"/>
      <c r="DEM11" s="468"/>
      <c r="DEN11" s="469"/>
      <c r="DEO11" s="467" t="s">
        <v>34</v>
      </c>
      <c r="DEP11" s="468"/>
      <c r="DEQ11" s="468"/>
      <c r="DER11" s="468"/>
      <c r="DES11" s="468"/>
      <c r="DET11" s="468"/>
      <c r="DEU11" s="468"/>
      <c r="DEV11" s="468"/>
      <c r="DEW11" s="468"/>
      <c r="DEX11" s="468"/>
      <c r="DEY11" s="468"/>
      <c r="DEZ11" s="468"/>
      <c r="DFA11" s="468"/>
      <c r="DFB11" s="468"/>
      <c r="DFC11" s="468"/>
      <c r="DFD11" s="469"/>
      <c r="DFE11" s="467" t="s">
        <v>34</v>
      </c>
      <c r="DFF11" s="468"/>
      <c r="DFG11" s="468"/>
      <c r="DFH11" s="468"/>
      <c r="DFI11" s="468"/>
      <c r="DFJ11" s="468"/>
      <c r="DFK11" s="468"/>
      <c r="DFL11" s="468"/>
      <c r="DFM11" s="468"/>
      <c r="DFN11" s="468"/>
      <c r="DFO11" s="468"/>
      <c r="DFP11" s="468"/>
      <c r="DFQ11" s="468"/>
      <c r="DFR11" s="468"/>
      <c r="DFS11" s="468"/>
      <c r="DFT11" s="469"/>
      <c r="DFU11" s="467" t="s">
        <v>34</v>
      </c>
      <c r="DFV11" s="468"/>
      <c r="DFW11" s="468"/>
      <c r="DFX11" s="468"/>
      <c r="DFY11" s="468"/>
      <c r="DFZ11" s="468"/>
      <c r="DGA11" s="468"/>
      <c r="DGB11" s="468"/>
      <c r="DGC11" s="468"/>
      <c r="DGD11" s="468"/>
      <c r="DGE11" s="468"/>
      <c r="DGF11" s="468"/>
      <c r="DGG11" s="468"/>
      <c r="DGH11" s="468"/>
      <c r="DGI11" s="468"/>
      <c r="DGJ11" s="469"/>
      <c r="DGK11" s="467" t="s">
        <v>34</v>
      </c>
      <c r="DGL11" s="468"/>
      <c r="DGM11" s="468"/>
      <c r="DGN11" s="468"/>
      <c r="DGO11" s="468"/>
      <c r="DGP11" s="468"/>
      <c r="DGQ11" s="468"/>
      <c r="DGR11" s="468"/>
      <c r="DGS11" s="468"/>
      <c r="DGT11" s="468"/>
      <c r="DGU11" s="468"/>
      <c r="DGV11" s="468"/>
      <c r="DGW11" s="468"/>
      <c r="DGX11" s="468"/>
      <c r="DGY11" s="468"/>
      <c r="DGZ11" s="469"/>
      <c r="DHA11" s="467" t="s">
        <v>34</v>
      </c>
      <c r="DHB11" s="468"/>
      <c r="DHC11" s="468"/>
      <c r="DHD11" s="468"/>
      <c r="DHE11" s="468"/>
      <c r="DHF11" s="468"/>
      <c r="DHG11" s="468"/>
      <c r="DHH11" s="468"/>
      <c r="DHI11" s="468"/>
      <c r="DHJ11" s="468"/>
      <c r="DHK11" s="468"/>
      <c r="DHL11" s="468"/>
      <c r="DHM11" s="468"/>
      <c r="DHN11" s="468"/>
      <c r="DHO11" s="468"/>
      <c r="DHP11" s="469"/>
      <c r="DHQ11" s="467" t="s">
        <v>34</v>
      </c>
      <c r="DHR11" s="468"/>
      <c r="DHS11" s="468"/>
      <c r="DHT11" s="468"/>
      <c r="DHU11" s="468"/>
      <c r="DHV11" s="468"/>
      <c r="DHW11" s="468"/>
      <c r="DHX11" s="468"/>
      <c r="DHY11" s="468"/>
      <c r="DHZ11" s="468"/>
      <c r="DIA11" s="468"/>
      <c r="DIB11" s="468"/>
      <c r="DIC11" s="468"/>
      <c r="DID11" s="468"/>
      <c r="DIE11" s="468"/>
      <c r="DIF11" s="469"/>
      <c r="DIG11" s="467" t="s">
        <v>34</v>
      </c>
      <c r="DIH11" s="468"/>
      <c r="DII11" s="468"/>
      <c r="DIJ11" s="468"/>
      <c r="DIK11" s="468"/>
      <c r="DIL11" s="468"/>
      <c r="DIM11" s="468"/>
      <c r="DIN11" s="468"/>
      <c r="DIO11" s="468"/>
      <c r="DIP11" s="468"/>
      <c r="DIQ11" s="468"/>
      <c r="DIR11" s="468"/>
      <c r="DIS11" s="468"/>
      <c r="DIT11" s="468"/>
      <c r="DIU11" s="468"/>
      <c r="DIV11" s="469"/>
      <c r="DIW11" s="467" t="s">
        <v>34</v>
      </c>
      <c r="DIX11" s="468"/>
      <c r="DIY11" s="468"/>
      <c r="DIZ11" s="468"/>
      <c r="DJA11" s="468"/>
      <c r="DJB11" s="468"/>
      <c r="DJC11" s="468"/>
      <c r="DJD11" s="468"/>
      <c r="DJE11" s="468"/>
      <c r="DJF11" s="468"/>
      <c r="DJG11" s="468"/>
      <c r="DJH11" s="468"/>
      <c r="DJI11" s="468"/>
      <c r="DJJ11" s="468"/>
      <c r="DJK11" s="468"/>
      <c r="DJL11" s="469"/>
      <c r="DJM11" s="467" t="s">
        <v>34</v>
      </c>
      <c r="DJN11" s="468"/>
      <c r="DJO11" s="468"/>
      <c r="DJP11" s="468"/>
      <c r="DJQ11" s="468"/>
      <c r="DJR11" s="468"/>
      <c r="DJS11" s="468"/>
      <c r="DJT11" s="468"/>
      <c r="DJU11" s="468"/>
      <c r="DJV11" s="468"/>
      <c r="DJW11" s="468"/>
      <c r="DJX11" s="468"/>
      <c r="DJY11" s="468"/>
      <c r="DJZ11" s="468"/>
      <c r="DKA11" s="468"/>
      <c r="DKB11" s="469"/>
      <c r="DKC11" s="467" t="s">
        <v>34</v>
      </c>
      <c r="DKD11" s="468"/>
      <c r="DKE11" s="468"/>
      <c r="DKF11" s="468"/>
      <c r="DKG11" s="468"/>
      <c r="DKH11" s="468"/>
      <c r="DKI11" s="468"/>
      <c r="DKJ11" s="468"/>
      <c r="DKK11" s="468"/>
      <c r="DKL11" s="468"/>
      <c r="DKM11" s="468"/>
      <c r="DKN11" s="468"/>
      <c r="DKO11" s="468"/>
      <c r="DKP11" s="468"/>
      <c r="DKQ11" s="468"/>
      <c r="DKR11" s="469"/>
      <c r="DKS11" s="467" t="s">
        <v>34</v>
      </c>
      <c r="DKT11" s="468"/>
      <c r="DKU11" s="468"/>
      <c r="DKV11" s="468"/>
      <c r="DKW11" s="468"/>
      <c r="DKX11" s="468"/>
      <c r="DKY11" s="468"/>
      <c r="DKZ11" s="468"/>
      <c r="DLA11" s="468"/>
      <c r="DLB11" s="468"/>
      <c r="DLC11" s="468"/>
      <c r="DLD11" s="468"/>
      <c r="DLE11" s="468"/>
      <c r="DLF11" s="468"/>
      <c r="DLG11" s="468"/>
      <c r="DLH11" s="469"/>
      <c r="DLI11" s="467" t="s">
        <v>34</v>
      </c>
      <c r="DLJ11" s="468"/>
      <c r="DLK11" s="468"/>
      <c r="DLL11" s="468"/>
      <c r="DLM11" s="468"/>
      <c r="DLN11" s="468"/>
      <c r="DLO11" s="468"/>
      <c r="DLP11" s="468"/>
      <c r="DLQ11" s="468"/>
      <c r="DLR11" s="468"/>
      <c r="DLS11" s="468"/>
      <c r="DLT11" s="468"/>
      <c r="DLU11" s="468"/>
      <c r="DLV11" s="468"/>
      <c r="DLW11" s="468"/>
      <c r="DLX11" s="469"/>
      <c r="DLY11" s="467" t="s">
        <v>34</v>
      </c>
      <c r="DLZ11" s="468"/>
      <c r="DMA11" s="468"/>
      <c r="DMB11" s="468"/>
      <c r="DMC11" s="468"/>
      <c r="DMD11" s="468"/>
      <c r="DME11" s="468"/>
      <c r="DMF11" s="468"/>
      <c r="DMG11" s="468"/>
      <c r="DMH11" s="468"/>
      <c r="DMI11" s="468"/>
      <c r="DMJ11" s="468"/>
      <c r="DMK11" s="468"/>
      <c r="DML11" s="468"/>
      <c r="DMM11" s="468"/>
      <c r="DMN11" s="469"/>
      <c r="DMO11" s="467" t="s">
        <v>34</v>
      </c>
      <c r="DMP11" s="468"/>
      <c r="DMQ11" s="468"/>
      <c r="DMR11" s="468"/>
      <c r="DMS11" s="468"/>
      <c r="DMT11" s="468"/>
      <c r="DMU11" s="468"/>
      <c r="DMV11" s="468"/>
      <c r="DMW11" s="468"/>
      <c r="DMX11" s="468"/>
      <c r="DMY11" s="468"/>
      <c r="DMZ11" s="468"/>
      <c r="DNA11" s="468"/>
      <c r="DNB11" s="468"/>
      <c r="DNC11" s="468"/>
      <c r="DND11" s="469"/>
      <c r="DNE11" s="467" t="s">
        <v>34</v>
      </c>
      <c r="DNF11" s="468"/>
      <c r="DNG11" s="468"/>
      <c r="DNH11" s="468"/>
      <c r="DNI11" s="468"/>
      <c r="DNJ11" s="468"/>
      <c r="DNK11" s="468"/>
      <c r="DNL11" s="468"/>
      <c r="DNM11" s="468"/>
      <c r="DNN11" s="468"/>
      <c r="DNO11" s="468"/>
      <c r="DNP11" s="468"/>
      <c r="DNQ11" s="468"/>
      <c r="DNR11" s="468"/>
      <c r="DNS11" s="468"/>
      <c r="DNT11" s="469"/>
      <c r="DNU11" s="467" t="s">
        <v>34</v>
      </c>
      <c r="DNV11" s="468"/>
      <c r="DNW11" s="468"/>
      <c r="DNX11" s="468"/>
      <c r="DNY11" s="468"/>
      <c r="DNZ11" s="468"/>
      <c r="DOA11" s="468"/>
      <c r="DOB11" s="468"/>
      <c r="DOC11" s="468"/>
      <c r="DOD11" s="468"/>
      <c r="DOE11" s="468"/>
      <c r="DOF11" s="468"/>
      <c r="DOG11" s="468"/>
      <c r="DOH11" s="468"/>
      <c r="DOI11" s="468"/>
      <c r="DOJ11" s="469"/>
      <c r="DOK11" s="467" t="s">
        <v>34</v>
      </c>
      <c r="DOL11" s="468"/>
      <c r="DOM11" s="468"/>
      <c r="DON11" s="468"/>
      <c r="DOO11" s="468"/>
      <c r="DOP11" s="468"/>
      <c r="DOQ11" s="468"/>
      <c r="DOR11" s="468"/>
      <c r="DOS11" s="468"/>
      <c r="DOT11" s="468"/>
      <c r="DOU11" s="468"/>
      <c r="DOV11" s="468"/>
      <c r="DOW11" s="468"/>
      <c r="DOX11" s="468"/>
      <c r="DOY11" s="468"/>
      <c r="DOZ11" s="469"/>
      <c r="DPA11" s="467" t="s">
        <v>34</v>
      </c>
      <c r="DPB11" s="468"/>
      <c r="DPC11" s="468"/>
      <c r="DPD11" s="468"/>
      <c r="DPE11" s="468"/>
      <c r="DPF11" s="468"/>
      <c r="DPG11" s="468"/>
      <c r="DPH11" s="468"/>
      <c r="DPI11" s="468"/>
      <c r="DPJ11" s="468"/>
      <c r="DPK11" s="468"/>
      <c r="DPL11" s="468"/>
      <c r="DPM11" s="468"/>
      <c r="DPN11" s="468"/>
      <c r="DPO11" s="468"/>
      <c r="DPP11" s="469"/>
      <c r="DPQ11" s="467" t="s">
        <v>34</v>
      </c>
      <c r="DPR11" s="468"/>
      <c r="DPS11" s="468"/>
      <c r="DPT11" s="468"/>
      <c r="DPU11" s="468"/>
      <c r="DPV11" s="468"/>
      <c r="DPW11" s="468"/>
      <c r="DPX11" s="468"/>
      <c r="DPY11" s="468"/>
      <c r="DPZ11" s="468"/>
      <c r="DQA11" s="468"/>
      <c r="DQB11" s="468"/>
      <c r="DQC11" s="468"/>
      <c r="DQD11" s="468"/>
      <c r="DQE11" s="468"/>
      <c r="DQF11" s="469"/>
      <c r="DQG11" s="467" t="s">
        <v>34</v>
      </c>
      <c r="DQH11" s="468"/>
      <c r="DQI11" s="468"/>
      <c r="DQJ11" s="468"/>
      <c r="DQK11" s="468"/>
      <c r="DQL11" s="468"/>
      <c r="DQM11" s="468"/>
      <c r="DQN11" s="468"/>
      <c r="DQO11" s="468"/>
      <c r="DQP11" s="468"/>
      <c r="DQQ11" s="468"/>
      <c r="DQR11" s="468"/>
      <c r="DQS11" s="468"/>
      <c r="DQT11" s="468"/>
      <c r="DQU11" s="468"/>
      <c r="DQV11" s="469"/>
      <c r="DQW11" s="467" t="s">
        <v>34</v>
      </c>
      <c r="DQX11" s="468"/>
      <c r="DQY11" s="468"/>
      <c r="DQZ11" s="468"/>
      <c r="DRA11" s="468"/>
      <c r="DRB11" s="468"/>
      <c r="DRC11" s="468"/>
      <c r="DRD11" s="468"/>
      <c r="DRE11" s="468"/>
      <c r="DRF11" s="468"/>
      <c r="DRG11" s="468"/>
      <c r="DRH11" s="468"/>
      <c r="DRI11" s="468"/>
      <c r="DRJ11" s="468"/>
      <c r="DRK11" s="468"/>
      <c r="DRL11" s="469"/>
      <c r="DRM11" s="467" t="s">
        <v>34</v>
      </c>
      <c r="DRN11" s="468"/>
      <c r="DRO11" s="468"/>
      <c r="DRP11" s="468"/>
      <c r="DRQ11" s="468"/>
      <c r="DRR11" s="468"/>
      <c r="DRS11" s="468"/>
      <c r="DRT11" s="468"/>
      <c r="DRU11" s="468"/>
      <c r="DRV11" s="468"/>
      <c r="DRW11" s="468"/>
      <c r="DRX11" s="468"/>
      <c r="DRY11" s="468"/>
      <c r="DRZ11" s="468"/>
      <c r="DSA11" s="468"/>
      <c r="DSB11" s="469"/>
      <c r="DSC11" s="467" t="s">
        <v>34</v>
      </c>
      <c r="DSD11" s="468"/>
      <c r="DSE11" s="468"/>
      <c r="DSF11" s="468"/>
      <c r="DSG11" s="468"/>
      <c r="DSH11" s="468"/>
      <c r="DSI11" s="468"/>
      <c r="DSJ11" s="468"/>
      <c r="DSK11" s="468"/>
      <c r="DSL11" s="468"/>
      <c r="DSM11" s="468"/>
      <c r="DSN11" s="468"/>
      <c r="DSO11" s="468"/>
      <c r="DSP11" s="468"/>
      <c r="DSQ11" s="468"/>
      <c r="DSR11" s="469"/>
      <c r="DSS11" s="467" t="s">
        <v>34</v>
      </c>
      <c r="DST11" s="468"/>
      <c r="DSU11" s="468"/>
      <c r="DSV11" s="468"/>
      <c r="DSW11" s="468"/>
      <c r="DSX11" s="468"/>
      <c r="DSY11" s="468"/>
      <c r="DSZ11" s="468"/>
      <c r="DTA11" s="468"/>
      <c r="DTB11" s="468"/>
      <c r="DTC11" s="468"/>
      <c r="DTD11" s="468"/>
      <c r="DTE11" s="468"/>
      <c r="DTF11" s="468"/>
      <c r="DTG11" s="468"/>
      <c r="DTH11" s="469"/>
      <c r="DTI11" s="467" t="s">
        <v>34</v>
      </c>
      <c r="DTJ11" s="468"/>
      <c r="DTK11" s="468"/>
      <c r="DTL11" s="468"/>
      <c r="DTM11" s="468"/>
      <c r="DTN11" s="468"/>
      <c r="DTO11" s="468"/>
      <c r="DTP11" s="468"/>
      <c r="DTQ11" s="468"/>
      <c r="DTR11" s="468"/>
      <c r="DTS11" s="468"/>
      <c r="DTT11" s="468"/>
      <c r="DTU11" s="468"/>
      <c r="DTV11" s="468"/>
      <c r="DTW11" s="468"/>
      <c r="DTX11" s="469"/>
      <c r="DTY11" s="467" t="s">
        <v>34</v>
      </c>
      <c r="DTZ11" s="468"/>
      <c r="DUA11" s="468"/>
      <c r="DUB11" s="468"/>
      <c r="DUC11" s="468"/>
      <c r="DUD11" s="468"/>
      <c r="DUE11" s="468"/>
      <c r="DUF11" s="468"/>
      <c r="DUG11" s="468"/>
      <c r="DUH11" s="468"/>
      <c r="DUI11" s="468"/>
      <c r="DUJ11" s="468"/>
      <c r="DUK11" s="468"/>
      <c r="DUL11" s="468"/>
      <c r="DUM11" s="468"/>
      <c r="DUN11" s="469"/>
      <c r="DUO11" s="467" t="s">
        <v>34</v>
      </c>
      <c r="DUP11" s="468"/>
      <c r="DUQ11" s="468"/>
      <c r="DUR11" s="468"/>
      <c r="DUS11" s="468"/>
      <c r="DUT11" s="468"/>
      <c r="DUU11" s="468"/>
      <c r="DUV11" s="468"/>
      <c r="DUW11" s="468"/>
      <c r="DUX11" s="468"/>
      <c r="DUY11" s="468"/>
      <c r="DUZ11" s="468"/>
      <c r="DVA11" s="468"/>
      <c r="DVB11" s="468"/>
      <c r="DVC11" s="468"/>
      <c r="DVD11" s="469"/>
      <c r="DVE11" s="467" t="s">
        <v>34</v>
      </c>
      <c r="DVF11" s="468"/>
      <c r="DVG11" s="468"/>
      <c r="DVH11" s="468"/>
      <c r="DVI11" s="468"/>
      <c r="DVJ11" s="468"/>
      <c r="DVK11" s="468"/>
      <c r="DVL11" s="468"/>
      <c r="DVM11" s="468"/>
      <c r="DVN11" s="468"/>
      <c r="DVO11" s="468"/>
      <c r="DVP11" s="468"/>
      <c r="DVQ11" s="468"/>
      <c r="DVR11" s="468"/>
      <c r="DVS11" s="468"/>
      <c r="DVT11" s="469"/>
      <c r="DVU11" s="467" t="s">
        <v>34</v>
      </c>
      <c r="DVV11" s="468"/>
      <c r="DVW11" s="468"/>
      <c r="DVX11" s="468"/>
      <c r="DVY11" s="468"/>
      <c r="DVZ11" s="468"/>
      <c r="DWA11" s="468"/>
      <c r="DWB11" s="468"/>
      <c r="DWC11" s="468"/>
      <c r="DWD11" s="468"/>
      <c r="DWE11" s="468"/>
      <c r="DWF11" s="468"/>
      <c r="DWG11" s="468"/>
      <c r="DWH11" s="468"/>
      <c r="DWI11" s="468"/>
      <c r="DWJ11" s="469"/>
      <c r="DWK11" s="467" t="s">
        <v>34</v>
      </c>
      <c r="DWL11" s="468"/>
      <c r="DWM11" s="468"/>
      <c r="DWN11" s="468"/>
      <c r="DWO11" s="468"/>
      <c r="DWP11" s="468"/>
      <c r="DWQ11" s="468"/>
      <c r="DWR11" s="468"/>
      <c r="DWS11" s="468"/>
      <c r="DWT11" s="468"/>
      <c r="DWU11" s="468"/>
      <c r="DWV11" s="468"/>
      <c r="DWW11" s="468"/>
      <c r="DWX11" s="468"/>
      <c r="DWY11" s="468"/>
      <c r="DWZ11" s="469"/>
      <c r="DXA11" s="467" t="s">
        <v>34</v>
      </c>
      <c r="DXB11" s="468"/>
      <c r="DXC11" s="468"/>
      <c r="DXD11" s="468"/>
      <c r="DXE11" s="468"/>
      <c r="DXF11" s="468"/>
      <c r="DXG11" s="468"/>
      <c r="DXH11" s="468"/>
      <c r="DXI11" s="468"/>
      <c r="DXJ11" s="468"/>
      <c r="DXK11" s="468"/>
      <c r="DXL11" s="468"/>
      <c r="DXM11" s="468"/>
      <c r="DXN11" s="468"/>
      <c r="DXO11" s="468"/>
      <c r="DXP11" s="469"/>
      <c r="DXQ11" s="467" t="s">
        <v>34</v>
      </c>
      <c r="DXR11" s="468"/>
      <c r="DXS11" s="468"/>
      <c r="DXT11" s="468"/>
      <c r="DXU11" s="468"/>
      <c r="DXV11" s="468"/>
      <c r="DXW11" s="468"/>
      <c r="DXX11" s="468"/>
      <c r="DXY11" s="468"/>
      <c r="DXZ11" s="468"/>
      <c r="DYA11" s="468"/>
      <c r="DYB11" s="468"/>
      <c r="DYC11" s="468"/>
      <c r="DYD11" s="468"/>
      <c r="DYE11" s="468"/>
      <c r="DYF11" s="469"/>
      <c r="DYG11" s="467" t="s">
        <v>34</v>
      </c>
      <c r="DYH11" s="468"/>
      <c r="DYI11" s="468"/>
      <c r="DYJ11" s="468"/>
      <c r="DYK11" s="468"/>
      <c r="DYL11" s="468"/>
      <c r="DYM11" s="468"/>
      <c r="DYN11" s="468"/>
      <c r="DYO11" s="468"/>
      <c r="DYP11" s="468"/>
      <c r="DYQ11" s="468"/>
      <c r="DYR11" s="468"/>
      <c r="DYS11" s="468"/>
      <c r="DYT11" s="468"/>
      <c r="DYU11" s="468"/>
      <c r="DYV11" s="469"/>
      <c r="DYW11" s="467" t="s">
        <v>34</v>
      </c>
      <c r="DYX11" s="468"/>
      <c r="DYY11" s="468"/>
      <c r="DYZ11" s="468"/>
      <c r="DZA11" s="468"/>
      <c r="DZB11" s="468"/>
      <c r="DZC11" s="468"/>
      <c r="DZD11" s="468"/>
      <c r="DZE11" s="468"/>
      <c r="DZF11" s="468"/>
      <c r="DZG11" s="468"/>
      <c r="DZH11" s="468"/>
      <c r="DZI11" s="468"/>
      <c r="DZJ11" s="468"/>
      <c r="DZK11" s="468"/>
      <c r="DZL11" s="469"/>
      <c r="DZM11" s="467" t="s">
        <v>34</v>
      </c>
      <c r="DZN11" s="468"/>
      <c r="DZO11" s="468"/>
      <c r="DZP11" s="468"/>
      <c r="DZQ11" s="468"/>
      <c r="DZR11" s="468"/>
      <c r="DZS11" s="468"/>
      <c r="DZT11" s="468"/>
      <c r="DZU11" s="468"/>
      <c r="DZV11" s="468"/>
      <c r="DZW11" s="468"/>
      <c r="DZX11" s="468"/>
      <c r="DZY11" s="468"/>
      <c r="DZZ11" s="468"/>
      <c r="EAA11" s="468"/>
      <c r="EAB11" s="469"/>
      <c r="EAC11" s="467" t="s">
        <v>34</v>
      </c>
      <c r="EAD11" s="468"/>
      <c r="EAE11" s="468"/>
      <c r="EAF11" s="468"/>
      <c r="EAG11" s="468"/>
      <c r="EAH11" s="468"/>
      <c r="EAI11" s="468"/>
      <c r="EAJ11" s="468"/>
      <c r="EAK11" s="468"/>
      <c r="EAL11" s="468"/>
      <c r="EAM11" s="468"/>
      <c r="EAN11" s="468"/>
      <c r="EAO11" s="468"/>
      <c r="EAP11" s="468"/>
      <c r="EAQ11" s="468"/>
      <c r="EAR11" s="469"/>
      <c r="EAS11" s="467" t="s">
        <v>34</v>
      </c>
      <c r="EAT11" s="468"/>
      <c r="EAU11" s="468"/>
      <c r="EAV11" s="468"/>
      <c r="EAW11" s="468"/>
      <c r="EAX11" s="468"/>
      <c r="EAY11" s="468"/>
      <c r="EAZ11" s="468"/>
      <c r="EBA11" s="468"/>
      <c r="EBB11" s="468"/>
      <c r="EBC11" s="468"/>
      <c r="EBD11" s="468"/>
      <c r="EBE11" s="468"/>
      <c r="EBF11" s="468"/>
      <c r="EBG11" s="468"/>
      <c r="EBH11" s="469"/>
      <c r="EBI11" s="467" t="s">
        <v>34</v>
      </c>
      <c r="EBJ11" s="468"/>
      <c r="EBK11" s="468"/>
      <c r="EBL11" s="468"/>
      <c r="EBM11" s="468"/>
      <c r="EBN11" s="468"/>
      <c r="EBO11" s="468"/>
      <c r="EBP11" s="468"/>
      <c r="EBQ11" s="468"/>
      <c r="EBR11" s="468"/>
      <c r="EBS11" s="468"/>
      <c r="EBT11" s="468"/>
      <c r="EBU11" s="468"/>
      <c r="EBV11" s="468"/>
      <c r="EBW11" s="468"/>
      <c r="EBX11" s="469"/>
      <c r="EBY11" s="467" t="s">
        <v>34</v>
      </c>
      <c r="EBZ11" s="468"/>
      <c r="ECA11" s="468"/>
      <c r="ECB11" s="468"/>
      <c r="ECC11" s="468"/>
      <c r="ECD11" s="468"/>
      <c r="ECE11" s="468"/>
      <c r="ECF11" s="468"/>
      <c r="ECG11" s="468"/>
      <c r="ECH11" s="468"/>
      <c r="ECI11" s="468"/>
      <c r="ECJ11" s="468"/>
      <c r="ECK11" s="468"/>
      <c r="ECL11" s="468"/>
      <c r="ECM11" s="468"/>
      <c r="ECN11" s="469"/>
      <c r="ECO11" s="467" t="s">
        <v>34</v>
      </c>
      <c r="ECP11" s="468"/>
      <c r="ECQ11" s="468"/>
      <c r="ECR11" s="468"/>
      <c r="ECS11" s="468"/>
      <c r="ECT11" s="468"/>
      <c r="ECU11" s="468"/>
      <c r="ECV11" s="468"/>
      <c r="ECW11" s="468"/>
      <c r="ECX11" s="468"/>
      <c r="ECY11" s="468"/>
      <c r="ECZ11" s="468"/>
      <c r="EDA11" s="468"/>
      <c r="EDB11" s="468"/>
      <c r="EDC11" s="468"/>
      <c r="EDD11" s="469"/>
      <c r="EDE11" s="467" t="s">
        <v>34</v>
      </c>
      <c r="EDF11" s="468"/>
      <c r="EDG11" s="468"/>
      <c r="EDH11" s="468"/>
      <c r="EDI11" s="468"/>
      <c r="EDJ11" s="468"/>
      <c r="EDK11" s="468"/>
      <c r="EDL11" s="468"/>
      <c r="EDM11" s="468"/>
      <c r="EDN11" s="468"/>
      <c r="EDO11" s="468"/>
      <c r="EDP11" s="468"/>
      <c r="EDQ11" s="468"/>
      <c r="EDR11" s="468"/>
      <c r="EDS11" s="468"/>
      <c r="EDT11" s="469"/>
      <c r="EDU11" s="467" t="s">
        <v>34</v>
      </c>
      <c r="EDV11" s="468"/>
      <c r="EDW11" s="468"/>
      <c r="EDX11" s="468"/>
      <c r="EDY11" s="468"/>
      <c r="EDZ11" s="468"/>
      <c r="EEA11" s="468"/>
      <c r="EEB11" s="468"/>
      <c r="EEC11" s="468"/>
      <c r="EED11" s="468"/>
      <c r="EEE11" s="468"/>
      <c r="EEF11" s="468"/>
      <c r="EEG11" s="468"/>
      <c r="EEH11" s="468"/>
      <c r="EEI11" s="468"/>
      <c r="EEJ11" s="469"/>
      <c r="EEK11" s="467" t="s">
        <v>34</v>
      </c>
      <c r="EEL11" s="468"/>
      <c r="EEM11" s="468"/>
      <c r="EEN11" s="468"/>
      <c r="EEO11" s="468"/>
      <c r="EEP11" s="468"/>
      <c r="EEQ11" s="468"/>
      <c r="EER11" s="468"/>
      <c r="EES11" s="468"/>
      <c r="EET11" s="468"/>
      <c r="EEU11" s="468"/>
      <c r="EEV11" s="468"/>
      <c r="EEW11" s="468"/>
      <c r="EEX11" s="468"/>
      <c r="EEY11" s="468"/>
      <c r="EEZ11" s="469"/>
      <c r="EFA11" s="467" t="s">
        <v>34</v>
      </c>
      <c r="EFB11" s="468"/>
      <c r="EFC11" s="468"/>
      <c r="EFD11" s="468"/>
      <c r="EFE11" s="468"/>
      <c r="EFF11" s="468"/>
      <c r="EFG11" s="468"/>
      <c r="EFH11" s="468"/>
      <c r="EFI11" s="468"/>
      <c r="EFJ11" s="468"/>
      <c r="EFK11" s="468"/>
      <c r="EFL11" s="468"/>
      <c r="EFM11" s="468"/>
      <c r="EFN11" s="468"/>
      <c r="EFO11" s="468"/>
      <c r="EFP11" s="469"/>
      <c r="EFQ11" s="467" t="s">
        <v>34</v>
      </c>
      <c r="EFR11" s="468"/>
      <c r="EFS11" s="468"/>
      <c r="EFT11" s="468"/>
      <c r="EFU11" s="468"/>
      <c r="EFV11" s="468"/>
      <c r="EFW11" s="468"/>
      <c r="EFX11" s="468"/>
      <c r="EFY11" s="468"/>
      <c r="EFZ11" s="468"/>
      <c r="EGA11" s="468"/>
      <c r="EGB11" s="468"/>
      <c r="EGC11" s="468"/>
      <c r="EGD11" s="468"/>
      <c r="EGE11" s="468"/>
      <c r="EGF11" s="469"/>
      <c r="EGG11" s="467" t="s">
        <v>34</v>
      </c>
      <c r="EGH11" s="468"/>
      <c r="EGI11" s="468"/>
      <c r="EGJ11" s="468"/>
      <c r="EGK11" s="468"/>
      <c r="EGL11" s="468"/>
      <c r="EGM11" s="468"/>
      <c r="EGN11" s="468"/>
      <c r="EGO11" s="468"/>
      <c r="EGP11" s="468"/>
      <c r="EGQ11" s="468"/>
      <c r="EGR11" s="468"/>
      <c r="EGS11" s="468"/>
      <c r="EGT11" s="468"/>
      <c r="EGU11" s="468"/>
      <c r="EGV11" s="469"/>
      <c r="EGW11" s="467" t="s">
        <v>34</v>
      </c>
      <c r="EGX11" s="468"/>
      <c r="EGY11" s="468"/>
      <c r="EGZ11" s="468"/>
      <c r="EHA11" s="468"/>
      <c r="EHB11" s="468"/>
      <c r="EHC11" s="468"/>
      <c r="EHD11" s="468"/>
      <c r="EHE11" s="468"/>
      <c r="EHF11" s="468"/>
      <c r="EHG11" s="468"/>
      <c r="EHH11" s="468"/>
      <c r="EHI11" s="468"/>
      <c r="EHJ11" s="468"/>
      <c r="EHK11" s="468"/>
      <c r="EHL11" s="469"/>
      <c r="EHM11" s="467" t="s">
        <v>34</v>
      </c>
      <c r="EHN11" s="468"/>
      <c r="EHO11" s="468"/>
      <c r="EHP11" s="468"/>
      <c r="EHQ11" s="468"/>
      <c r="EHR11" s="468"/>
      <c r="EHS11" s="468"/>
      <c r="EHT11" s="468"/>
      <c r="EHU11" s="468"/>
      <c r="EHV11" s="468"/>
      <c r="EHW11" s="468"/>
      <c r="EHX11" s="468"/>
      <c r="EHY11" s="468"/>
      <c r="EHZ11" s="468"/>
      <c r="EIA11" s="468"/>
      <c r="EIB11" s="469"/>
      <c r="EIC11" s="467" t="s">
        <v>34</v>
      </c>
      <c r="EID11" s="468"/>
      <c r="EIE11" s="468"/>
      <c r="EIF11" s="468"/>
      <c r="EIG11" s="468"/>
      <c r="EIH11" s="468"/>
      <c r="EII11" s="468"/>
      <c r="EIJ11" s="468"/>
      <c r="EIK11" s="468"/>
      <c r="EIL11" s="468"/>
      <c r="EIM11" s="468"/>
      <c r="EIN11" s="468"/>
      <c r="EIO11" s="468"/>
      <c r="EIP11" s="468"/>
      <c r="EIQ11" s="468"/>
      <c r="EIR11" s="469"/>
      <c r="EIS11" s="467" t="s">
        <v>34</v>
      </c>
      <c r="EIT11" s="468"/>
      <c r="EIU11" s="468"/>
      <c r="EIV11" s="468"/>
      <c r="EIW11" s="468"/>
      <c r="EIX11" s="468"/>
      <c r="EIY11" s="468"/>
      <c r="EIZ11" s="468"/>
      <c r="EJA11" s="468"/>
      <c r="EJB11" s="468"/>
      <c r="EJC11" s="468"/>
      <c r="EJD11" s="468"/>
      <c r="EJE11" s="468"/>
      <c r="EJF11" s="468"/>
      <c r="EJG11" s="468"/>
      <c r="EJH11" s="469"/>
      <c r="EJI11" s="467" t="s">
        <v>34</v>
      </c>
      <c r="EJJ11" s="468"/>
      <c r="EJK11" s="468"/>
      <c r="EJL11" s="468"/>
      <c r="EJM11" s="468"/>
      <c r="EJN11" s="468"/>
      <c r="EJO11" s="468"/>
      <c r="EJP11" s="468"/>
      <c r="EJQ11" s="468"/>
      <c r="EJR11" s="468"/>
      <c r="EJS11" s="468"/>
      <c r="EJT11" s="468"/>
      <c r="EJU11" s="468"/>
      <c r="EJV11" s="468"/>
      <c r="EJW11" s="468"/>
      <c r="EJX11" s="469"/>
      <c r="EJY11" s="467" t="s">
        <v>34</v>
      </c>
      <c r="EJZ11" s="468"/>
      <c r="EKA11" s="468"/>
      <c r="EKB11" s="468"/>
      <c r="EKC11" s="468"/>
      <c r="EKD11" s="468"/>
      <c r="EKE11" s="468"/>
      <c r="EKF11" s="468"/>
      <c r="EKG11" s="468"/>
      <c r="EKH11" s="468"/>
      <c r="EKI11" s="468"/>
      <c r="EKJ11" s="468"/>
      <c r="EKK11" s="468"/>
      <c r="EKL11" s="468"/>
      <c r="EKM11" s="468"/>
      <c r="EKN11" s="469"/>
      <c r="EKO11" s="467" t="s">
        <v>34</v>
      </c>
      <c r="EKP11" s="468"/>
      <c r="EKQ11" s="468"/>
      <c r="EKR11" s="468"/>
      <c r="EKS11" s="468"/>
      <c r="EKT11" s="468"/>
      <c r="EKU11" s="468"/>
      <c r="EKV11" s="468"/>
      <c r="EKW11" s="468"/>
      <c r="EKX11" s="468"/>
      <c r="EKY11" s="468"/>
      <c r="EKZ11" s="468"/>
      <c r="ELA11" s="468"/>
      <c r="ELB11" s="468"/>
      <c r="ELC11" s="468"/>
      <c r="ELD11" s="469"/>
      <c r="ELE11" s="467" t="s">
        <v>34</v>
      </c>
      <c r="ELF11" s="468"/>
      <c r="ELG11" s="468"/>
      <c r="ELH11" s="468"/>
      <c r="ELI11" s="468"/>
      <c r="ELJ11" s="468"/>
      <c r="ELK11" s="468"/>
      <c r="ELL11" s="468"/>
      <c r="ELM11" s="468"/>
      <c r="ELN11" s="468"/>
      <c r="ELO11" s="468"/>
      <c r="ELP11" s="468"/>
      <c r="ELQ11" s="468"/>
      <c r="ELR11" s="468"/>
      <c r="ELS11" s="468"/>
      <c r="ELT11" s="469"/>
      <c r="ELU11" s="467" t="s">
        <v>34</v>
      </c>
      <c r="ELV11" s="468"/>
      <c r="ELW11" s="468"/>
      <c r="ELX11" s="468"/>
      <c r="ELY11" s="468"/>
      <c r="ELZ11" s="468"/>
      <c r="EMA11" s="468"/>
      <c r="EMB11" s="468"/>
      <c r="EMC11" s="468"/>
      <c r="EMD11" s="468"/>
      <c r="EME11" s="468"/>
      <c r="EMF11" s="468"/>
      <c r="EMG11" s="468"/>
      <c r="EMH11" s="468"/>
      <c r="EMI11" s="468"/>
      <c r="EMJ11" s="469"/>
      <c r="EMK11" s="467" t="s">
        <v>34</v>
      </c>
      <c r="EML11" s="468"/>
      <c r="EMM11" s="468"/>
      <c r="EMN11" s="468"/>
      <c r="EMO11" s="468"/>
      <c r="EMP11" s="468"/>
      <c r="EMQ11" s="468"/>
      <c r="EMR11" s="468"/>
      <c r="EMS11" s="468"/>
      <c r="EMT11" s="468"/>
      <c r="EMU11" s="468"/>
      <c r="EMV11" s="468"/>
      <c r="EMW11" s="468"/>
      <c r="EMX11" s="468"/>
      <c r="EMY11" s="468"/>
      <c r="EMZ11" s="469"/>
      <c r="ENA11" s="467" t="s">
        <v>34</v>
      </c>
      <c r="ENB11" s="468"/>
      <c r="ENC11" s="468"/>
      <c r="END11" s="468"/>
      <c r="ENE11" s="468"/>
      <c r="ENF11" s="468"/>
      <c r="ENG11" s="468"/>
      <c r="ENH11" s="468"/>
      <c r="ENI11" s="468"/>
      <c r="ENJ11" s="468"/>
      <c r="ENK11" s="468"/>
      <c r="ENL11" s="468"/>
      <c r="ENM11" s="468"/>
      <c r="ENN11" s="468"/>
      <c r="ENO11" s="468"/>
      <c r="ENP11" s="469"/>
      <c r="ENQ11" s="467" t="s">
        <v>34</v>
      </c>
      <c r="ENR11" s="468"/>
      <c r="ENS11" s="468"/>
      <c r="ENT11" s="468"/>
      <c r="ENU11" s="468"/>
      <c r="ENV11" s="468"/>
      <c r="ENW11" s="468"/>
      <c r="ENX11" s="468"/>
      <c r="ENY11" s="468"/>
      <c r="ENZ11" s="468"/>
      <c r="EOA11" s="468"/>
      <c r="EOB11" s="468"/>
      <c r="EOC11" s="468"/>
      <c r="EOD11" s="468"/>
      <c r="EOE11" s="468"/>
      <c r="EOF11" s="469"/>
      <c r="EOG11" s="467" t="s">
        <v>34</v>
      </c>
      <c r="EOH11" s="468"/>
      <c r="EOI11" s="468"/>
      <c r="EOJ11" s="468"/>
      <c r="EOK11" s="468"/>
      <c r="EOL11" s="468"/>
      <c r="EOM11" s="468"/>
      <c r="EON11" s="468"/>
      <c r="EOO11" s="468"/>
      <c r="EOP11" s="468"/>
      <c r="EOQ11" s="468"/>
      <c r="EOR11" s="468"/>
      <c r="EOS11" s="468"/>
      <c r="EOT11" s="468"/>
      <c r="EOU11" s="468"/>
      <c r="EOV11" s="469"/>
      <c r="EOW11" s="467" t="s">
        <v>34</v>
      </c>
      <c r="EOX11" s="468"/>
      <c r="EOY11" s="468"/>
      <c r="EOZ11" s="468"/>
      <c r="EPA11" s="468"/>
      <c r="EPB11" s="468"/>
      <c r="EPC11" s="468"/>
      <c r="EPD11" s="468"/>
      <c r="EPE11" s="468"/>
      <c r="EPF11" s="468"/>
      <c r="EPG11" s="468"/>
      <c r="EPH11" s="468"/>
      <c r="EPI11" s="468"/>
      <c r="EPJ11" s="468"/>
      <c r="EPK11" s="468"/>
      <c r="EPL11" s="469"/>
      <c r="EPM11" s="467" t="s">
        <v>34</v>
      </c>
      <c r="EPN11" s="468"/>
      <c r="EPO11" s="468"/>
      <c r="EPP11" s="468"/>
      <c r="EPQ11" s="468"/>
      <c r="EPR11" s="468"/>
      <c r="EPS11" s="468"/>
      <c r="EPT11" s="468"/>
      <c r="EPU11" s="468"/>
      <c r="EPV11" s="468"/>
      <c r="EPW11" s="468"/>
      <c r="EPX11" s="468"/>
      <c r="EPY11" s="468"/>
      <c r="EPZ11" s="468"/>
      <c r="EQA11" s="468"/>
      <c r="EQB11" s="469"/>
      <c r="EQC11" s="467" t="s">
        <v>34</v>
      </c>
      <c r="EQD11" s="468"/>
      <c r="EQE11" s="468"/>
      <c r="EQF11" s="468"/>
      <c r="EQG11" s="468"/>
      <c r="EQH11" s="468"/>
      <c r="EQI11" s="468"/>
      <c r="EQJ11" s="468"/>
      <c r="EQK11" s="468"/>
      <c r="EQL11" s="468"/>
      <c r="EQM11" s="468"/>
      <c r="EQN11" s="468"/>
      <c r="EQO11" s="468"/>
      <c r="EQP11" s="468"/>
      <c r="EQQ11" s="468"/>
      <c r="EQR11" s="469"/>
      <c r="EQS11" s="467" t="s">
        <v>34</v>
      </c>
      <c r="EQT11" s="468"/>
      <c r="EQU11" s="468"/>
      <c r="EQV11" s="468"/>
      <c r="EQW11" s="468"/>
      <c r="EQX11" s="468"/>
      <c r="EQY11" s="468"/>
      <c r="EQZ11" s="468"/>
      <c r="ERA11" s="468"/>
      <c r="ERB11" s="468"/>
      <c r="ERC11" s="468"/>
      <c r="ERD11" s="468"/>
      <c r="ERE11" s="468"/>
      <c r="ERF11" s="468"/>
      <c r="ERG11" s="468"/>
      <c r="ERH11" s="469"/>
      <c r="ERI11" s="467" t="s">
        <v>34</v>
      </c>
      <c r="ERJ11" s="468"/>
      <c r="ERK11" s="468"/>
      <c r="ERL11" s="468"/>
      <c r="ERM11" s="468"/>
      <c r="ERN11" s="468"/>
      <c r="ERO11" s="468"/>
      <c r="ERP11" s="468"/>
      <c r="ERQ11" s="468"/>
      <c r="ERR11" s="468"/>
      <c r="ERS11" s="468"/>
      <c r="ERT11" s="468"/>
      <c r="ERU11" s="468"/>
      <c r="ERV11" s="468"/>
      <c r="ERW11" s="468"/>
      <c r="ERX11" s="469"/>
      <c r="ERY11" s="467" t="s">
        <v>34</v>
      </c>
      <c r="ERZ11" s="468"/>
      <c r="ESA11" s="468"/>
      <c r="ESB11" s="468"/>
      <c r="ESC11" s="468"/>
      <c r="ESD11" s="468"/>
      <c r="ESE11" s="468"/>
      <c r="ESF11" s="468"/>
      <c r="ESG11" s="468"/>
      <c r="ESH11" s="468"/>
      <c r="ESI11" s="468"/>
      <c r="ESJ11" s="468"/>
      <c r="ESK11" s="468"/>
      <c r="ESL11" s="468"/>
      <c r="ESM11" s="468"/>
      <c r="ESN11" s="469"/>
      <c r="ESO11" s="467" t="s">
        <v>34</v>
      </c>
      <c r="ESP11" s="468"/>
      <c r="ESQ11" s="468"/>
      <c r="ESR11" s="468"/>
      <c r="ESS11" s="468"/>
      <c r="EST11" s="468"/>
      <c r="ESU11" s="468"/>
      <c r="ESV11" s="468"/>
      <c r="ESW11" s="468"/>
      <c r="ESX11" s="468"/>
      <c r="ESY11" s="468"/>
      <c r="ESZ11" s="468"/>
      <c r="ETA11" s="468"/>
      <c r="ETB11" s="468"/>
      <c r="ETC11" s="468"/>
      <c r="ETD11" s="469"/>
      <c r="ETE11" s="467" t="s">
        <v>34</v>
      </c>
      <c r="ETF11" s="468"/>
      <c r="ETG11" s="468"/>
      <c r="ETH11" s="468"/>
      <c r="ETI11" s="468"/>
      <c r="ETJ11" s="468"/>
      <c r="ETK11" s="468"/>
      <c r="ETL11" s="468"/>
      <c r="ETM11" s="468"/>
      <c r="ETN11" s="468"/>
      <c r="ETO11" s="468"/>
      <c r="ETP11" s="468"/>
      <c r="ETQ11" s="468"/>
      <c r="ETR11" s="468"/>
      <c r="ETS11" s="468"/>
      <c r="ETT11" s="469"/>
      <c r="ETU11" s="467" t="s">
        <v>34</v>
      </c>
      <c r="ETV11" s="468"/>
      <c r="ETW11" s="468"/>
      <c r="ETX11" s="468"/>
      <c r="ETY11" s="468"/>
      <c r="ETZ11" s="468"/>
      <c r="EUA11" s="468"/>
      <c r="EUB11" s="468"/>
      <c r="EUC11" s="468"/>
      <c r="EUD11" s="468"/>
      <c r="EUE11" s="468"/>
      <c r="EUF11" s="468"/>
      <c r="EUG11" s="468"/>
      <c r="EUH11" s="468"/>
      <c r="EUI11" s="468"/>
      <c r="EUJ11" s="469"/>
      <c r="EUK11" s="467" t="s">
        <v>34</v>
      </c>
      <c r="EUL11" s="468"/>
      <c r="EUM11" s="468"/>
      <c r="EUN11" s="468"/>
      <c r="EUO11" s="468"/>
      <c r="EUP11" s="468"/>
      <c r="EUQ11" s="468"/>
      <c r="EUR11" s="468"/>
      <c r="EUS11" s="468"/>
      <c r="EUT11" s="468"/>
      <c r="EUU11" s="468"/>
      <c r="EUV11" s="468"/>
      <c r="EUW11" s="468"/>
      <c r="EUX11" s="468"/>
      <c r="EUY11" s="468"/>
      <c r="EUZ11" s="469"/>
      <c r="EVA11" s="467" t="s">
        <v>34</v>
      </c>
      <c r="EVB11" s="468"/>
      <c r="EVC11" s="468"/>
      <c r="EVD11" s="468"/>
      <c r="EVE11" s="468"/>
      <c r="EVF11" s="468"/>
      <c r="EVG11" s="468"/>
      <c r="EVH11" s="468"/>
      <c r="EVI11" s="468"/>
      <c r="EVJ11" s="468"/>
      <c r="EVK11" s="468"/>
      <c r="EVL11" s="468"/>
      <c r="EVM11" s="468"/>
      <c r="EVN11" s="468"/>
      <c r="EVO11" s="468"/>
      <c r="EVP11" s="469"/>
      <c r="EVQ11" s="467" t="s">
        <v>34</v>
      </c>
      <c r="EVR11" s="468"/>
      <c r="EVS11" s="468"/>
      <c r="EVT11" s="468"/>
      <c r="EVU11" s="468"/>
      <c r="EVV11" s="468"/>
      <c r="EVW11" s="468"/>
      <c r="EVX11" s="468"/>
      <c r="EVY11" s="468"/>
      <c r="EVZ11" s="468"/>
      <c r="EWA11" s="468"/>
      <c r="EWB11" s="468"/>
      <c r="EWC11" s="468"/>
      <c r="EWD11" s="468"/>
      <c r="EWE11" s="468"/>
      <c r="EWF11" s="469"/>
      <c r="EWG11" s="467" t="s">
        <v>34</v>
      </c>
      <c r="EWH11" s="468"/>
      <c r="EWI11" s="468"/>
      <c r="EWJ11" s="468"/>
      <c r="EWK11" s="468"/>
      <c r="EWL11" s="468"/>
      <c r="EWM11" s="468"/>
      <c r="EWN11" s="468"/>
      <c r="EWO11" s="468"/>
      <c r="EWP11" s="468"/>
      <c r="EWQ11" s="468"/>
      <c r="EWR11" s="468"/>
      <c r="EWS11" s="468"/>
      <c r="EWT11" s="468"/>
      <c r="EWU11" s="468"/>
      <c r="EWV11" s="469"/>
      <c r="EWW11" s="467" t="s">
        <v>34</v>
      </c>
      <c r="EWX11" s="468"/>
      <c r="EWY11" s="468"/>
      <c r="EWZ11" s="468"/>
      <c r="EXA11" s="468"/>
      <c r="EXB11" s="468"/>
      <c r="EXC11" s="468"/>
      <c r="EXD11" s="468"/>
      <c r="EXE11" s="468"/>
      <c r="EXF11" s="468"/>
      <c r="EXG11" s="468"/>
      <c r="EXH11" s="468"/>
      <c r="EXI11" s="468"/>
      <c r="EXJ11" s="468"/>
      <c r="EXK11" s="468"/>
      <c r="EXL11" s="469"/>
      <c r="EXM11" s="467" t="s">
        <v>34</v>
      </c>
      <c r="EXN11" s="468"/>
      <c r="EXO11" s="468"/>
      <c r="EXP11" s="468"/>
      <c r="EXQ11" s="468"/>
      <c r="EXR11" s="468"/>
      <c r="EXS11" s="468"/>
      <c r="EXT11" s="468"/>
      <c r="EXU11" s="468"/>
      <c r="EXV11" s="468"/>
      <c r="EXW11" s="468"/>
      <c r="EXX11" s="468"/>
      <c r="EXY11" s="468"/>
      <c r="EXZ11" s="468"/>
      <c r="EYA11" s="468"/>
      <c r="EYB11" s="469"/>
      <c r="EYC11" s="467" t="s">
        <v>34</v>
      </c>
      <c r="EYD11" s="468"/>
      <c r="EYE11" s="468"/>
      <c r="EYF11" s="468"/>
      <c r="EYG11" s="468"/>
      <c r="EYH11" s="468"/>
      <c r="EYI11" s="468"/>
      <c r="EYJ11" s="468"/>
      <c r="EYK11" s="468"/>
      <c r="EYL11" s="468"/>
      <c r="EYM11" s="468"/>
      <c r="EYN11" s="468"/>
      <c r="EYO11" s="468"/>
      <c r="EYP11" s="468"/>
      <c r="EYQ11" s="468"/>
      <c r="EYR11" s="469"/>
      <c r="EYS11" s="467" t="s">
        <v>34</v>
      </c>
      <c r="EYT11" s="468"/>
      <c r="EYU11" s="468"/>
      <c r="EYV11" s="468"/>
      <c r="EYW11" s="468"/>
      <c r="EYX11" s="468"/>
      <c r="EYY11" s="468"/>
      <c r="EYZ11" s="468"/>
      <c r="EZA11" s="468"/>
      <c r="EZB11" s="468"/>
      <c r="EZC11" s="468"/>
      <c r="EZD11" s="468"/>
      <c r="EZE11" s="468"/>
      <c r="EZF11" s="468"/>
      <c r="EZG11" s="468"/>
      <c r="EZH11" s="469"/>
      <c r="EZI11" s="467" t="s">
        <v>34</v>
      </c>
      <c r="EZJ11" s="468"/>
      <c r="EZK11" s="468"/>
      <c r="EZL11" s="468"/>
      <c r="EZM11" s="468"/>
      <c r="EZN11" s="468"/>
      <c r="EZO11" s="468"/>
      <c r="EZP11" s="468"/>
      <c r="EZQ11" s="468"/>
      <c r="EZR11" s="468"/>
      <c r="EZS11" s="468"/>
      <c r="EZT11" s="468"/>
      <c r="EZU11" s="468"/>
      <c r="EZV11" s="468"/>
      <c r="EZW11" s="468"/>
      <c r="EZX11" s="469"/>
      <c r="EZY11" s="467" t="s">
        <v>34</v>
      </c>
      <c r="EZZ11" s="468"/>
      <c r="FAA11" s="468"/>
      <c r="FAB11" s="468"/>
      <c r="FAC11" s="468"/>
      <c r="FAD11" s="468"/>
      <c r="FAE11" s="468"/>
      <c r="FAF11" s="468"/>
      <c r="FAG11" s="468"/>
      <c r="FAH11" s="468"/>
      <c r="FAI11" s="468"/>
      <c r="FAJ11" s="468"/>
      <c r="FAK11" s="468"/>
      <c r="FAL11" s="468"/>
      <c r="FAM11" s="468"/>
      <c r="FAN11" s="469"/>
      <c r="FAO11" s="467" t="s">
        <v>34</v>
      </c>
      <c r="FAP11" s="468"/>
      <c r="FAQ11" s="468"/>
      <c r="FAR11" s="468"/>
      <c r="FAS11" s="468"/>
      <c r="FAT11" s="468"/>
      <c r="FAU11" s="468"/>
      <c r="FAV11" s="468"/>
      <c r="FAW11" s="468"/>
      <c r="FAX11" s="468"/>
      <c r="FAY11" s="468"/>
      <c r="FAZ11" s="468"/>
      <c r="FBA11" s="468"/>
      <c r="FBB11" s="468"/>
      <c r="FBC11" s="468"/>
      <c r="FBD11" s="469"/>
      <c r="FBE11" s="467" t="s">
        <v>34</v>
      </c>
      <c r="FBF11" s="468"/>
      <c r="FBG11" s="468"/>
      <c r="FBH11" s="468"/>
      <c r="FBI11" s="468"/>
      <c r="FBJ11" s="468"/>
      <c r="FBK11" s="468"/>
      <c r="FBL11" s="468"/>
      <c r="FBM11" s="468"/>
      <c r="FBN11" s="468"/>
      <c r="FBO11" s="468"/>
      <c r="FBP11" s="468"/>
      <c r="FBQ11" s="468"/>
      <c r="FBR11" s="468"/>
      <c r="FBS11" s="468"/>
      <c r="FBT11" s="469"/>
      <c r="FBU11" s="467" t="s">
        <v>34</v>
      </c>
      <c r="FBV11" s="468"/>
      <c r="FBW11" s="468"/>
      <c r="FBX11" s="468"/>
      <c r="FBY11" s="468"/>
      <c r="FBZ11" s="468"/>
      <c r="FCA11" s="468"/>
      <c r="FCB11" s="468"/>
      <c r="FCC11" s="468"/>
      <c r="FCD11" s="468"/>
      <c r="FCE11" s="468"/>
      <c r="FCF11" s="468"/>
      <c r="FCG11" s="468"/>
      <c r="FCH11" s="468"/>
      <c r="FCI11" s="468"/>
      <c r="FCJ11" s="469"/>
      <c r="FCK11" s="467" t="s">
        <v>34</v>
      </c>
      <c r="FCL11" s="468"/>
      <c r="FCM11" s="468"/>
      <c r="FCN11" s="468"/>
      <c r="FCO11" s="468"/>
      <c r="FCP11" s="468"/>
      <c r="FCQ11" s="468"/>
      <c r="FCR11" s="468"/>
      <c r="FCS11" s="468"/>
      <c r="FCT11" s="468"/>
      <c r="FCU11" s="468"/>
      <c r="FCV11" s="468"/>
      <c r="FCW11" s="468"/>
      <c r="FCX11" s="468"/>
      <c r="FCY11" s="468"/>
      <c r="FCZ11" s="469"/>
      <c r="FDA11" s="467" t="s">
        <v>34</v>
      </c>
      <c r="FDB11" s="468"/>
      <c r="FDC11" s="468"/>
      <c r="FDD11" s="468"/>
      <c r="FDE11" s="468"/>
      <c r="FDF11" s="468"/>
      <c r="FDG11" s="468"/>
      <c r="FDH11" s="468"/>
      <c r="FDI11" s="468"/>
      <c r="FDJ11" s="468"/>
      <c r="FDK11" s="468"/>
      <c r="FDL11" s="468"/>
      <c r="FDM11" s="468"/>
      <c r="FDN11" s="468"/>
      <c r="FDO11" s="468"/>
      <c r="FDP11" s="469"/>
      <c r="FDQ11" s="467" t="s">
        <v>34</v>
      </c>
      <c r="FDR11" s="468"/>
      <c r="FDS11" s="468"/>
      <c r="FDT11" s="468"/>
      <c r="FDU11" s="468"/>
      <c r="FDV11" s="468"/>
      <c r="FDW11" s="468"/>
      <c r="FDX11" s="468"/>
      <c r="FDY11" s="468"/>
      <c r="FDZ11" s="468"/>
      <c r="FEA11" s="468"/>
      <c r="FEB11" s="468"/>
      <c r="FEC11" s="468"/>
      <c r="FED11" s="468"/>
      <c r="FEE11" s="468"/>
      <c r="FEF11" s="469"/>
      <c r="FEG11" s="467" t="s">
        <v>34</v>
      </c>
      <c r="FEH11" s="468"/>
      <c r="FEI11" s="468"/>
      <c r="FEJ11" s="468"/>
      <c r="FEK11" s="468"/>
      <c r="FEL11" s="468"/>
      <c r="FEM11" s="468"/>
      <c r="FEN11" s="468"/>
      <c r="FEO11" s="468"/>
      <c r="FEP11" s="468"/>
      <c r="FEQ11" s="468"/>
      <c r="FER11" s="468"/>
      <c r="FES11" s="468"/>
      <c r="FET11" s="468"/>
      <c r="FEU11" s="468"/>
      <c r="FEV11" s="469"/>
      <c r="FEW11" s="467" t="s">
        <v>34</v>
      </c>
      <c r="FEX11" s="468"/>
      <c r="FEY11" s="468"/>
      <c r="FEZ11" s="468"/>
      <c r="FFA11" s="468"/>
      <c r="FFB11" s="468"/>
      <c r="FFC11" s="468"/>
      <c r="FFD11" s="468"/>
      <c r="FFE11" s="468"/>
      <c r="FFF11" s="468"/>
      <c r="FFG11" s="468"/>
      <c r="FFH11" s="468"/>
      <c r="FFI11" s="468"/>
      <c r="FFJ11" s="468"/>
      <c r="FFK11" s="468"/>
      <c r="FFL11" s="469"/>
      <c r="FFM11" s="467" t="s">
        <v>34</v>
      </c>
      <c r="FFN11" s="468"/>
      <c r="FFO11" s="468"/>
      <c r="FFP11" s="468"/>
      <c r="FFQ11" s="468"/>
      <c r="FFR11" s="468"/>
      <c r="FFS11" s="468"/>
      <c r="FFT11" s="468"/>
      <c r="FFU11" s="468"/>
      <c r="FFV11" s="468"/>
      <c r="FFW11" s="468"/>
      <c r="FFX11" s="468"/>
      <c r="FFY11" s="468"/>
      <c r="FFZ11" s="468"/>
      <c r="FGA11" s="468"/>
      <c r="FGB11" s="469"/>
      <c r="FGC11" s="467" t="s">
        <v>34</v>
      </c>
      <c r="FGD11" s="468"/>
      <c r="FGE11" s="468"/>
      <c r="FGF11" s="468"/>
      <c r="FGG11" s="468"/>
      <c r="FGH11" s="468"/>
      <c r="FGI11" s="468"/>
      <c r="FGJ11" s="468"/>
      <c r="FGK11" s="468"/>
      <c r="FGL11" s="468"/>
      <c r="FGM11" s="468"/>
      <c r="FGN11" s="468"/>
      <c r="FGO11" s="468"/>
      <c r="FGP11" s="468"/>
      <c r="FGQ11" s="468"/>
      <c r="FGR11" s="469"/>
      <c r="FGS11" s="467" t="s">
        <v>34</v>
      </c>
      <c r="FGT11" s="468"/>
      <c r="FGU11" s="468"/>
      <c r="FGV11" s="468"/>
      <c r="FGW11" s="468"/>
      <c r="FGX11" s="468"/>
      <c r="FGY11" s="468"/>
      <c r="FGZ11" s="468"/>
      <c r="FHA11" s="468"/>
      <c r="FHB11" s="468"/>
      <c r="FHC11" s="468"/>
      <c r="FHD11" s="468"/>
      <c r="FHE11" s="468"/>
      <c r="FHF11" s="468"/>
      <c r="FHG11" s="468"/>
      <c r="FHH11" s="469"/>
      <c r="FHI11" s="467" t="s">
        <v>34</v>
      </c>
      <c r="FHJ11" s="468"/>
      <c r="FHK11" s="468"/>
      <c r="FHL11" s="468"/>
      <c r="FHM11" s="468"/>
      <c r="FHN11" s="468"/>
      <c r="FHO11" s="468"/>
      <c r="FHP11" s="468"/>
      <c r="FHQ11" s="468"/>
      <c r="FHR11" s="468"/>
      <c r="FHS11" s="468"/>
      <c r="FHT11" s="468"/>
      <c r="FHU11" s="468"/>
      <c r="FHV11" s="468"/>
      <c r="FHW11" s="468"/>
      <c r="FHX11" s="469"/>
      <c r="FHY11" s="467" t="s">
        <v>34</v>
      </c>
      <c r="FHZ11" s="468"/>
      <c r="FIA11" s="468"/>
      <c r="FIB11" s="468"/>
      <c r="FIC11" s="468"/>
      <c r="FID11" s="468"/>
      <c r="FIE11" s="468"/>
      <c r="FIF11" s="468"/>
      <c r="FIG11" s="468"/>
      <c r="FIH11" s="468"/>
      <c r="FII11" s="468"/>
      <c r="FIJ11" s="468"/>
      <c r="FIK11" s="468"/>
      <c r="FIL11" s="468"/>
      <c r="FIM11" s="468"/>
      <c r="FIN11" s="469"/>
      <c r="FIO11" s="467" t="s">
        <v>34</v>
      </c>
      <c r="FIP11" s="468"/>
      <c r="FIQ11" s="468"/>
      <c r="FIR11" s="468"/>
      <c r="FIS11" s="468"/>
      <c r="FIT11" s="468"/>
      <c r="FIU11" s="468"/>
      <c r="FIV11" s="468"/>
      <c r="FIW11" s="468"/>
      <c r="FIX11" s="468"/>
      <c r="FIY11" s="468"/>
      <c r="FIZ11" s="468"/>
      <c r="FJA11" s="468"/>
      <c r="FJB11" s="468"/>
      <c r="FJC11" s="468"/>
      <c r="FJD11" s="469"/>
      <c r="FJE11" s="467" t="s">
        <v>34</v>
      </c>
      <c r="FJF11" s="468"/>
      <c r="FJG11" s="468"/>
      <c r="FJH11" s="468"/>
      <c r="FJI11" s="468"/>
      <c r="FJJ11" s="468"/>
      <c r="FJK11" s="468"/>
      <c r="FJL11" s="468"/>
      <c r="FJM11" s="468"/>
      <c r="FJN11" s="468"/>
      <c r="FJO11" s="468"/>
      <c r="FJP11" s="468"/>
      <c r="FJQ11" s="468"/>
      <c r="FJR11" s="468"/>
      <c r="FJS11" s="468"/>
      <c r="FJT11" s="469"/>
      <c r="FJU11" s="467" t="s">
        <v>34</v>
      </c>
      <c r="FJV11" s="468"/>
      <c r="FJW11" s="468"/>
      <c r="FJX11" s="468"/>
      <c r="FJY11" s="468"/>
      <c r="FJZ11" s="468"/>
      <c r="FKA11" s="468"/>
      <c r="FKB11" s="468"/>
      <c r="FKC11" s="468"/>
      <c r="FKD11" s="468"/>
      <c r="FKE11" s="468"/>
      <c r="FKF11" s="468"/>
      <c r="FKG11" s="468"/>
      <c r="FKH11" s="468"/>
      <c r="FKI11" s="468"/>
      <c r="FKJ11" s="469"/>
      <c r="FKK11" s="467" t="s">
        <v>34</v>
      </c>
      <c r="FKL11" s="468"/>
      <c r="FKM11" s="468"/>
      <c r="FKN11" s="468"/>
      <c r="FKO11" s="468"/>
      <c r="FKP11" s="468"/>
      <c r="FKQ11" s="468"/>
      <c r="FKR11" s="468"/>
      <c r="FKS11" s="468"/>
      <c r="FKT11" s="468"/>
      <c r="FKU11" s="468"/>
      <c r="FKV11" s="468"/>
      <c r="FKW11" s="468"/>
      <c r="FKX11" s="468"/>
      <c r="FKY11" s="468"/>
      <c r="FKZ11" s="469"/>
      <c r="FLA11" s="467" t="s">
        <v>34</v>
      </c>
      <c r="FLB11" s="468"/>
      <c r="FLC11" s="468"/>
      <c r="FLD11" s="468"/>
      <c r="FLE11" s="468"/>
      <c r="FLF11" s="468"/>
      <c r="FLG11" s="468"/>
      <c r="FLH11" s="468"/>
      <c r="FLI11" s="468"/>
      <c r="FLJ11" s="468"/>
      <c r="FLK11" s="468"/>
      <c r="FLL11" s="468"/>
      <c r="FLM11" s="468"/>
      <c r="FLN11" s="468"/>
      <c r="FLO11" s="468"/>
      <c r="FLP11" s="469"/>
      <c r="FLQ11" s="467" t="s">
        <v>34</v>
      </c>
      <c r="FLR11" s="468"/>
      <c r="FLS11" s="468"/>
      <c r="FLT11" s="468"/>
      <c r="FLU11" s="468"/>
      <c r="FLV11" s="468"/>
      <c r="FLW11" s="468"/>
      <c r="FLX11" s="468"/>
      <c r="FLY11" s="468"/>
      <c r="FLZ11" s="468"/>
      <c r="FMA11" s="468"/>
      <c r="FMB11" s="468"/>
      <c r="FMC11" s="468"/>
      <c r="FMD11" s="468"/>
      <c r="FME11" s="468"/>
      <c r="FMF11" s="469"/>
      <c r="FMG11" s="467" t="s">
        <v>34</v>
      </c>
      <c r="FMH11" s="468"/>
      <c r="FMI11" s="468"/>
      <c r="FMJ11" s="468"/>
      <c r="FMK11" s="468"/>
      <c r="FML11" s="468"/>
      <c r="FMM11" s="468"/>
      <c r="FMN11" s="468"/>
      <c r="FMO11" s="468"/>
      <c r="FMP11" s="468"/>
      <c r="FMQ11" s="468"/>
      <c r="FMR11" s="468"/>
      <c r="FMS11" s="468"/>
      <c r="FMT11" s="468"/>
      <c r="FMU11" s="468"/>
      <c r="FMV11" s="469"/>
      <c r="FMW11" s="467" t="s">
        <v>34</v>
      </c>
      <c r="FMX11" s="468"/>
      <c r="FMY11" s="468"/>
      <c r="FMZ11" s="468"/>
      <c r="FNA11" s="468"/>
      <c r="FNB11" s="468"/>
      <c r="FNC11" s="468"/>
      <c r="FND11" s="468"/>
      <c r="FNE11" s="468"/>
      <c r="FNF11" s="468"/>
      <c r="FNG11" s="468"/>
      <c r="FNH11" s="468"/>
      <c r="FNI11" s="468"/>
      <c r="FNJ11" s="468"/>
      <c r="FNK11" s="468"/>
      <c r="FNL11" s="469"/>
      <c r="FNM11" s="467" t="s">
        <v>34</v>
      </c>
      <c r="FNN11" s="468"/>
      <c r="FNO11" s="468"/>
      <c r="FNP11" s="468"/>
      <c r="FNQ11" s="468"/>
      <c r="FNR11" s="468"/>
      <c r="FNS11" s="468"/>
      <c r="FNT11" s="468"/>
      <c r="FNU11" s="468"/>
      <c r="FNV11" s="468"/>
      <c r="FNW11" s="468"/>
      <c r="FNX11" s="468"/>
      <c r="FNY11" s="468"/>
      <c r="FNZ11" s="468"/>
      <c r="FOA11" s="468"/>
      <c r="FOB11" s="469"/>
      <c r="FOC11" s="467" t="s">
        <v>34</v>
      </c>
      <c r="FOD11" s="468"/>
      <c r="FOE11" s="468"/>
      <c r="FOF11" s="468"/>
      <c r="FOG11" s="468"/>
      <c r="FOH11" s="468"/>
      <c r="FOI11" s="468"/>
      <c r="FOJ11" s="468"/>
      <c r="FOK11" s="468"/>
      <c r="FOL11" s="468"/>
      <c r="FOM11" s="468"/>
      <c r="FON11" s="468"/>
      <c r="FOO11" s="468"/>
      <c r="FOP11" s="468"/>
      <c r="FOQ11" s="468"/>
      <c r="FOR11" s="469"/>
      <c r="FOS11" s="467" t="s">
        <v>34</v>
      </c>
      <c r="FOT11" s="468"/>
      <c r="FOU11" s="468"/>
      <c r="FOV11" s="468"/>
      <c r="FOW11" s="468"/>
      <c r="FOX11" s="468"/>
      <c r="FOY11" s="468"/>
      <c r="FOZ11" s="468"/>
      <c r="FPA11" s="468"/>
      <c r="FPB11" s="468"/>
      <c r="FPC11" s="468"/>
      <c r="FPD11" s="468"/>
      <c r="FPE11" s="468"/>
      <c r="FPF11" s="468"/>
      <c r="FPG11" s="468"/>
      <c r="FPH11" s="469"/>
      <c r="FPI11" s="467" t="s">
        <v>34</v>
      </c>
      <c r="FPJ11" s="468"/>
      <c r="FPK11" s="468"/>
      <c r="FPL11" s="468"/>
      <c r="FPM11" s="468"/>
      <c r="FPN11" s="468"/>
      <c r="FPO11" s="468"/>
      <c r="FPP11" s="468"/>
      <c r="FPQ11" s="468"/>
      <c r="FPR11" s="468"/>
      <c r="FPS11" s="468"/>
      <c r="FPT11" s="468"/>
      <c r="FPU11" s="468"/>
      <c r="FPV11" s="468"/>
      <c r="FPW11" s="468"/>
      <c r="FPX11" s="469"/>
      <c r="FPY11" s="467" t="s">
        <v>34</v>
      </c>
      <c r="FPZ11" s="468"/>
      <c r="FQA11" s="468"/>
      <c r="FQB11" s="468"/>
      <c r="FQC11" s="468"/>
      <c r="FQD11" s="468"/>
      <c r="FQE11" s="468"/>
      <c r="FQF11" s="468"/>
      <c r="FQG11" s="468"/>
      <c r="FQH11" s="468"/>
      <c r="FQI11" s="468"/>
      <c r="FQJ11" s="468"/>
      <c r="FQK11" s="468"/>
      <c r="FQL11" s="468"/>
      <c r="FQM11" s="468"/>
      <c r="FQN11" s="469"/>
      <c r="FQO11" s="467" t="s">
        <v>34</v>
      </c>
      <c r="FQP11" s="468"/>
      <c r="FQQ11" s="468"/>
      <c r="FQR11" s="468"/>
      <c r="FQS11" s="468"/>
      <c r="FQT11" s="468"/>
      <c r="FQU11" s="468"/>
      <c r="FQV11" s="468"/>
      <c r="FQW11" s="468"/>
      <c r="FQX11" s="468"/>
      <c r="FQY11" s="468"/>
      <c r="FQZ11" s="468"/>
      <c r="FRA11" s="468"/>
      <c r="FRB11" s="468"/>
      <c r="FRC11" s="468"/>
      <c r="FRD11" s="469"/>
      <c r="FRE11" s="467" t="s">
        <v>34</v>
      </c>
      <c r="FRF11" s="468"/>
      <c r="FRG11" s="468"/>
      <c r="FRH11" s="468"/>
      <c r="FRI11" s="468"/>
      <c r="FRJ11" s="468"/>
      <c r="FRK11" s="468"/>
      <c r="FRL11" s="468"/>
      <c r="FRM11" s="468"/>
      <c r="FRN11" s="468"/>
      <c r="FRO11" s="468"/>
      <c r="FRP11" s="468"/>
      <c r="FRQ11" s="468"/>
      <c r="FRR11" s="468"/>
      <c r="FRS11" s="468"/>
      <c r="FRT11" s="469"/>
      <c r="FRU11" s="467" t="s">
        <v>34</v>
      </c>
      <c r="FRV11" s="468"/>
      <c r="FRW11" s="468"/>
      <c r="FRX11" s="468"/>
      <c r="FRY11" s="468"/>
      <c r="FRZ11" s="468"/>
      <c r="FSA11" s="468"/>
      <c r="FSB11" s="468"/>
      <c r="FSC11" s="468"/>
      <c r="FSD11" s="468"/>
      <c r="FSE11" s="468"/>
      <c r="FSF11" s="468"/>
      <c r="FSG11" s="468"/>
      <c r="FSH11" s="468"/>
      <c r="FSI11" s="468"/>
      <c r="FSJ11" s="469"/>
      <c r="FSK11" s="467" t="s">
        <v>34</v>
      </c>
      <c r="FSL11" s="468"/>
      <c r="FSM11" s="468"/>
      <c r="FSN11" s="468"/>
      <c r="FSO11" s="468"/>
      <c r="FSP11" s="468"/>
      <c r="FSQ11" s="468"/>
      <c r="FSR11" s="468"/>
      <c r="FSS11" s="468"/>
      <c r="FST11" s="468"/>
      <c r="FSU11" s="468"/>
      <c r="FSV11" s="468"/>
      <c r="FSW11" s="468"/>
      <c r="FSX11" s="468"/>
      <c r="FSY11" s="468"/>
      <c r="FSZ11" s="469"/>
      <c r="FTA11" s="467" t="s">
        <v>34</v>
      </c>
      <c r="FTB11" s="468"/>
      <c r="FTC11" s="468"/>
      <c r="FTD11" s="468"/>
      <c r="FTE11" s="468"/>
      <c r="FTF11" s="468"/>
      <c r="FTG11" s="468"/>
      <c r="FTH11" s="468"/>
      <c r="FTI11" s="468"/>
      <c r="FTJ11" s="468"/>
      <c r="FTK11" s="468"/>
      <c r="FTL11" s="468"/>
      <c r="FTM11" s="468"/>
      <c r="FTN11" s="468"/>
      <c r="FTO11" s="468"/>
      <c r="FTP11" s="469"/>
      <c r="FTQ11" s="467" t="s">
        <v>34</v>
      </c>
      <c r="FTR11" s="468"/>
      <c r="FTS11" s="468"/>
      <c r="FTT11" s="468"/>
      <c r="FTU11" s="468"/>
      <c r="FTV11" s="468"/>
      <c r="FTW11" s="468"/>
      <c r="FTX11" s="468"/>
      <c r="FTY11" s="468"/>
      <c r="FTZ11" s="468"/>
      <c r="FUA11" s="468"/>
      <c r="FUB11" s="468"/>
      <c r="FUC11" s="468"/>
      <c r="FUD11" s="468"/>
      <c r="FUE11" s="468"/>
      <c r="FUF11" s="469"/>
      <c r="FUG11" s="467" t="s">
        <v>34</v>
      </c>
      <c r="FUH11" s="468"/>
      <c r="FUI11" s="468"/>
      <c r="FUJ11" s="468"/>
      <c r="FUK11" s="468"/>
      <c r="FUL11" s="468"/>
      <c r="FUM11" s="468"/>
      <c r="FUN11" s="468"/>
      <c r="FUO11" s="468"/>
      <c r="FUP11" s="468"/>
      <c r="FUQ11" s="468"/>
      <c r="FUR11" s="468"/>
      <c r="FUS11" s="468"/>
      <c r="FUT11" s="468"/>
      <c r="FUU11" s="468"/>
      <c r="FUV11" s="469"/>
      <c r="FUW11" s="467" t="s">
        <v>34</v>
      </c>
      <c r="FUX11" s="468"/>
      <c r="FUY11" s="468"/>
      <c r="FUZ11" s="468"/>
      <c r="FVA11" s="468"/>
      <c r="FVB11" s="468"/>
      <c r="FVC11" s="468"/>
      <c r="FVD11" s="468"/>
      <c r="FVE11" s="468"/>
      <c r="FVF11" s="468"/>
      <c r="FVG11" s="468"/>
      <c r="FVH11" s="468"/>
      <c r="FVI11" s="468"/>
      <c r="FVJ11" s="468"/>
      <c r="FVK11" s="468"/>
      <c r="FVL11" s="469"/>
      <c r="FVM11" s="467" t="s">
        <v>34</v>
      </c>
      <c r="FVN11" s="468"/>
      <c r="FVO11" s="468"/>
      <c r="FVP11" s="468"/>
      <c r="FVQ11" s="468"/>
      <c r="FVR11" s="468"/>
      <c r="FVS11" s="468"/>
      <c r="FVT11" s="468"/>
      <c r="FVU11" s="468"/>
      <c r="FVV11" s="468"/>
      <c r="FVW11" s="468"/>
      <c r="FVX11" s="468"/>
      <c r="FVY11" s="468"/>
      <c r="FVZ11" s="468"/>
      <c r="FWA11" s="468"/>
      <c r="FWB11" s="469"/>
      <c r="FWC11" s="467" t="s">
        <v>34</v>
      </c>
      <c r="FWD11" s="468"/>
      <c r="FWE11" s="468"/>
      <c r="FWF11" s="468"/>
      <c r="FWG11" s="468"/>
      <c r="FWH11" s="468"/>
      <c r="FWI11" s="468"/>
      <c r="FWJ11" s="468"/>
      <c r="FWK11" s="468"/>
      <c r="FWL11" s="468"/>
      <c r="FWM11" s="468"/>
      <c r="FWN11" s="468"/>
      <c r="FWO11" s="468"/>
      <c r="FWP11" s="468"/>
      <c r="FWQ11" s="468"/>
      <c r="FWR11" s="469"/>
      <c r="FWS11" s="467" t="s">
        <v>34</v>
      </c>
      <c r="FWT11" s="468"/>
      <c r="FWU11" s="468"/>
      <c r="FWV11" s="468"/>
      <c r="FWW11" s="468"/>
      <c r="FWX11" s="468"/>
      <c r="FWY11" s="468"/>
      <c r="FWZ11" s="468"/>
      <c r="FXA11" s="468"/>
      <c r="FXB11" s="468"/>
      <c r="FXC11" s="468"/>
      <c r="FXD11" s="468"/>
      <c r="FXE11" s="468"/>
      <c r="FXF11" s="468"/>
      <c r="FXG11" s="468"/>
      <c r="FXH11" s="469"/>
      <c r="FXI11" s="467" t="s">
        <v>34</v>
      </c>
      <c r="FXJ11" s="468"/>
      <c r="FXK11" s="468"/>
      <c r="FXL11" s="468"/>
      <c r="FXM11" s="468"/>
      <c r="FXN11" s="468"/>
      <c r="FXO11" s="468"/>
      <c r="FXP11" s="468"/>
      <c r="FXQ11" s="468"/>
      <c r="FXR11" s="468"/>
      <c r="FXS11" s="468"/>
      <c r="FXT11" s="468"/>
      <c r="FXU11" s="468"/>
      <c r="FXV11" s="468"/>
      <c r="FXW11" s="468"/>
      <c r="FXX11" s="469"/>
      <c r="FXY11" s="467" t="s">
        <v>34</v>
      </c>
      <c r="FXZ11" s="468"/>
      <c r="FYA11" s="468"/>
      <c r="FYB11" s="468"/>
      <c r="FYC11" s="468"/>
      <c r="FYD11" s="468"/>
      <c r="FYE11" s="468"/>
      <c r="FYF11" s="468"/>
      <c r="FYG11" s="468"/>
      <c r="FYH11" s="468"/>
      <c r="FYI11" s="468"/>
      <c r="FYJ11" s="468"/>
      <c r="FYK11" s="468"/>
      <c r="FYL11" s="468"/>
      <c r="FYM11" s="468"/>
      <c r="FYN11" s="469"/>
      <c r="FYO11" s="467" t="s">
        <v>34</v>
      </c>
      <c r="FYP11" s="468"/>
      <c r="FYQ11" s="468"/>
      <c r="FYR11" s="468"/>
      <c r="FYS11" s="468"/>
      <c r="FYT11" s="468"/>
      <c r="FYU11" s="468"/>
      <c r="FYV11" s="468"/>
      <c r="FYW11" s="468"/>
      <c r="FYX11" s="468"/>
      <c r="FYY11" s="468"/>
      <c r="FYZ11" s="468"/>
      <c r="FZA11" s="468"/>
      <c r="FZB11" s="468"/>
      <c r="FZC11" s="468"/>
      <c r="FZD11" s="469"/>
      <c r="FZE11" s="467" t="s">
        <v>34</v>
      </c>
      <c r="FZF11" s="468"/>
      <c r="FZG11" s="468"/>
      <c r="FZH11" s="468"/>
      <c r="FZI11" s="468"/>
      <c r="FZJ11" s="468"/>
      <c r="FZK11" s="468"/>
      <c r="FZL11" s="468"/>
      <c r="FZM11" s="468"/>
      <c r="FZN11" s="468"/>
      <c r="FZO11" s="468"/>
      <c r="FZP11" s="468"/>
      <c r="FZQ11" s="468"/>
      <c r="FZR11" s="468"/>
      <c r="FZS11" s="468"/>
      <c r="FZT11" s="469"/>
      <c r="FZU11" s="467" t="s">
        <v>34</v>
      </c>
      <c r="FZV11" s="468"/>
      <c r="FZW11" s="468"/>
      <c r="FZX11" s="468"/>
      <c r="FZY11" s="468"/>
      <c r="FZZ11" s="468"/>
      <c r="GAA11" s="468"/>
      <c r="GAB11" s="468"/>
      <c r="GAC11" s="468"/>
      <c r="GAD11" s="468"/>
      <c r="GAE11" s="468"/>
      <c r="GAF11" s="468"/>
      <c r="GAG11" s="468"/>
      <c r="GAH11" s="468"/>
      <c r="GAI11" s="468"/>
      <c r="GAJ11" s="469"/>
      <c r="GAK11" s="467" t="s">
        <v>34</v>
      </c>
      <c r="GAL11" s="468"/>
      <c r="GAM11" s="468"/>
      <c r="GAN11" s="468"/>
      <c r="GAO11" s="468"/>
      <c r="GAP11" s="468"/>
      <c r="GAQ11" s="468"/>
      <c r="GAR11" s="468"/>
      <c r="GAS11" s="468"/>
      <c r="GAT11" s="468"/>
      <c r="GAU11" s="468"/>
      <c r="GAV11" s="468"/>
      <c r="GAW11" s="468"/>
      <c r="GAX11" s="468"/>
      <c r="GAY11" s="468"/>
      <c r="GAZ11" s="469"/>
      <c r="GBA11" s="467" t="s">
        <v>34</v>
      </c>
      <c r="GBB11" s="468"/>
      <c r="GBC11" s="468"/>
      <c r="GBD11" s="468"/>
      <c r="GBE11" s="468"/>
      <c r="GBF11" s="468"/>
      <c r="GBG11" s="468"/>
      <c r="GBH11" s="468"/>
      <c r="GBI11" s="468"/>
      <c r="GBJ11" s="468"/>
      <c r="GBK11" s="468"/>
      <c r="GBL11" s="468"/>
      <c r="GBM11" s="468"/>
      <c r="GBN11" s="468"/>
      <c r="GBO11" s="468"/>
      <c r="GBP11" s="469"/>
      <c r="GBQ11" s="467" t="s">
        <v>34</v>
      </c>
      <c r="GBR11" s="468"/>
      <c r="GBS11" s="468"/>
      <c r="GBT11" s="468"/>
      <c r="GBU11" s="468"/>
      <c r="GBV11" s="468"/>
      <c r="GBW11" s="468"/>
      <c r="GBX11" s="468"/>
      <c r="GBY11" s="468"/>
      <c r="GBZ11" s="468"/>
      <c r="GCA11" s="468"/>
      <c r="GCB11" s="468"/>
      <c r="GCC11" s="468"/>
      <c r="GCD11" s="468"/>
      <c r="GCE11" s="468"/>
      <c r="GCF11" s="469"/>
      <c r="GCG11" s="467" t="s">
        <v>34</v>
      </c>
      <c r="GCH11" s="468"/>
      <c r="GCI11" s="468"/>
      <c r="GCJ11" s="468"/>
      <c r="GCK11" s="468"/>
      <c r="GCL11" s="468"/>
      <c r="GCM11" s="468"/>
      <c r="GCN11" s="468"/>
      <c r="GCO11" s="468"/>
      <c r="GCP11" s="468"/>
      <c r="GCQ11" s="468"/>
      <c r="GCR11" s="468"/>
      <c r="GCS11" s="468"/>
      <c r="GCT11" s="468"/>
      <c r="GCU11" s="468"/>
      <c r="GCV11" s="469"/>
      <c r="GCW11" s="467" t="s">
        <v>34</v>
      </c>
      <c r="GCX11" s="468"/>
      <c r="GCY11" s="468"/>
      <c r="GCZ11" s="468"/>
      <c r="GDA11" s="468"/>
      <c r="GDB11" s="468"/>
      <c r="GDC11" s="468"/>
      <c r="GDD11" s="468"/>
      <c r="GDE11" s="468"/>
      <c r="GDF11" s="468"/>
      <c r="GDG11" s="468"/>
      <c r="GDH11" s="468"/>
      <c r="GDI11" s="468"/>
      <c r="GDJ11" s="468"/>
      <c r="GDK11" s="468"/>
      <c r="GDL11" s="469"/>
      <c r="GDM11" s="467" t="s">
        <v>34</v>
      </c>
      <c r="GDN11" s="468"/>
      <c r="GDO11" s="468"/>
      <c r="GDP11" s="468"/>
      <c r="GDQ11" s="468"/>
      <c r="GDR11" s="468"/>
      <c r="GDS11" s="468"/>
      <c r="GDT11" s="468"/>
      <c r="GDU11" s="468"/>
      <c r="GDV11" s="468"/>
      <c r="GDW11" s="468"/>
      <c r="GDX11" s="468"/>
      <c r="GDY11" s="468"/>
      <c r="GDZ11" s="468"/>
      <c r="GEA11" s="468"/>
      <c r="GEB11" s="469"/>
      <c r="GEC11" s="467" t="s">
        <v>34</v>
      </c>
      <c r="GED11" s="468"/>
      <c r="GEE11" s="468"/>
      <c r="GEF11" s="468"/>
      <c r="GEG11" s="468"/>
      <c r="GEH11" s="468"/>
      <c r="GEI11" s="468"/>
      <c r="GEJ11" s="468"/>
      <c r="GEK11" s="468"/>
      <c r="GEL11" s="468"/>
      <c r="GEM11" s="468"/>
      <c r="GEN11" s="468"/>
      <c r="GEO11" s="468"/>
      <c r="GEP11" s="468"/>
      <c r="GEQ11" s="468"/>
      <c r="GER11" s="469"/>
      <c r="GES11" s="467" t="s">
        <v>34</v>
      </c>
      <c r="GET11" s="468"/>
      <c r="GEU11" s="468"/>
      <c r="GEV11" s="468"/>
      <c r="GEW11" s="468"/>
      <c r="GEX11" s="468"/>
      <c r="GEY11" s="468"/>
      <c r="GEZ11" s="468"/>
      <c r="GFA11" s="468"/>
      <c r="GFB11" s="468"/>
      <c r="GFC11" s="468"/>
      <c r="GFD11" s="468"/>
      <c r="GFE11" s="468"/>
      <c r="GFF11" s="468"/>
      <c r="GFG11" s="468"/>
      <c r="GFH11" s="469"/>
      <c r="GFI11" s="467" t="s">
        <v>34</v>
      </c>
      <c r="GFJ11" s="468"/>
      <c r="GFK11" s="468"/>
      <c r="GFL11" s="468"/>
      <c r="GFM11" s="468"/>
      <c r="GFN11" s="468"/>
      <c r="GFO11" s="468"/>
      <c r="GFP11" s="468"/>
      <c r="GFQ11" s="468"/>
      <c r="GFR11" s="468"/>
      <c r="GFS11" s="468"/>
      <c r="GFT11" s="468"/>
      <c r="GFU11" s="468"/>
      <c r="GFV11" s="468"/>
      <c r="GFW11" s="468"/>
      <c r="GFX11" s="469"/>
      <c r="GFY11" s="467" t="s">
        <v>34</v>
      </c>
      <c r="GFZ11" s="468"/>
      <c r="GGA11" s="468"/>
      <c r="GGB11" s="468"/>
      <c r="GGC11" s="468"/>
      <c r="GGD11" s="468"/>
      <c r="GGE11" s="468"/>
      <c r="GGF11" s="468"/>
      <c r="GGG11" s="468"/>
      <c r="GGH11" s="468"/>
      <c r="GGI11" s="468"/>
      <c r="GGJ11" s="468"/>
      <c r="GGK11" s="468"/>
      <c r="GGL11" s="468"/>
      <c r="GGM11" s="468"/>
      <c r="GGN11" s="469"/>
      <c r="GGO11" s="467" t="s">
        <v>34</v>
      </c>
      <c r="GGP11" s="468"/>
      <c r="GGQ11" s="468"/>
      <c r="GGR11" s="468"/>
      <c r="GGS11" s="468"/>
      <c r="GGT11" s="468"/>
      <c r="GGU11" s="468"/>
      <c r="GGV11" s="468"/>
      <c r="GGW11" s="468"/>
      <c r="GGX11" s="468"/>
      <c r="GGY11" s="468"/>
      <c r="GGZ11" s="468"/>
      <c r="GHA11" s="468"/>
      <c r="GHB11" s="468"/>
      <c r="GHC11" s="468"/>
      <c r="GHD11" s="469"/>
      <c r="GHE11" s="467" t="s">
        <v>34</v>
      </c>
      <c r="GHF11" s="468"/>
      <c r="GHG11" s="468"/>
      <c r="GHH11" s="468"/>
      <c r="GHI11" s="468"/>
      <c r="GHJ11" s="468"/>
      <c r="GHK11" s="468"/>
      <c r="GHL11" s="468"/>
      <c r="GHM11" s="468"/>
      <c r="GHN11" s="468"/>
      <c r="GHO11" s="468"/>
      <c r="GHP11" s="468"/>
      <c r="GHQ11" s="468"/>
      <c r="GHR11" s="468"/>
      <c r="GHS11" s="468"/>
      <c r="GHT11" s="469"/>
      <c r="GHU11" s="467" t="s">
        <v>34</v>
      </c>
      <c r="GHV11" s="468"/>
      <c r="GHW11" s="468"/>
      <c r="GHX11" s="468"/>
      <c r="GHY11" s="468"/>
      <c r="GHZ11" s="468"/>
      <c r="GIA11" s="468"/>
      <c r="GIB11" s="468"/>
      <c r="GIC11" s="468"/>
      <c r="GID11" s="468"/>
      <c r="GIE11" s="468"/>
      <c r="GIF11" s="468"/>
      <c r="GIG11" s="468"/>
      <c r="GIH11" s="468"/>
      <c r="GII11" s="468"/>
      <c r="GIJ11" s="469"/>
      <c r="GIK11" s="467" t="s">
        <v>34</v>
      </c>
      <c r="GIL11" s="468"/>
      <c r="GIM11" s="468"/>
      <c r="GIN11" s="468"/>
      <c r="GIO11" s="468"/>
      <c r="GIP11" s="468"/>
      <c r="GIQ11" s="468"/>
      <c r="GIR11" s="468"/>
      <c r="GIS11" s="468"/>
      <c r="GIT11" s="468"/>
      <c r="GIU11" s="468"/>
      <c r="GIV11" s="468"/>
      <c r="GIW11" s="468"/>
      <c r="GIX11" s="468"/>
      <c r="GIY11" s="468"/>
      <c r="GIZ11" s="469"/>
      <c r="GJA11" s="467" t="s">
        <v>34</v>
      </c>
      <c r="GJB11" s="468"/>
      <c r="GJC11" s="468"/>
      <c r="GJD11" s="468"/>
      <c r="GJE11" s="468"/>
      <c r="GJF11" s="468"/>
      <c r="GJG11" s="468"/>
      <c r="GJH11" s="468"/>
      <c r="GJI11" s="468"/>
      <c r="GJJ11" s="468"/>
      <c r="GJK11" s="468"/>
      <c r="GJL11" s="468"/>
      <c r="GJM11" s="468"/>
      <c r="GJN11" s="468"/>
      <c r="GJO11" s="468"/>
      <c r="GJP11" s="469"/>
      <c r="GJQ11" s="467" t="s">
        <v>34</v>
      </c>
      <c r="GJR11" s="468"/>
      <c r="GJS11" s="468"/>
      <c r="GJT11" s="468"/>
      <c r="GJU11" s="468"/>
      <c r="GJV11" s="468"/>
      <c r="GJW11" s="468"/>
      <c r="GJX11" s="468"/>
      <c r="GJY11" s="468"/>
      <c r="GJZ11" s="468"/>
      <c r="GKA11" s="468"/>
      <c r="GKB11" s="468"/>
      <c r="GKC11" s="468"/>
      <c r="GKD11" s="468"/>
      <c r="GKE11" s="468"/>
      <c r="GKF11" s="469"/>
      <c r="GKG11" s="467" t="s">
        <v>34</v>
      </c>
      <c r="GKH11" s="468"/>
      <c r="GKI11" s="468"/>
      <c r="GKJ11" s="468"/>
      <c r="GKK11" s="468"/>
      <c r="GKL11" s="468"/>
      <c r="GKM11" s="468"/>
      <c r="GKN11" s="468"/>
      <c r="GKO11" s="468"/>
      <c r="GKP11" s="468"/>
      <c r="GKQ11" s="468"/>
      <c r="GKR11" s="468"/>
      <c r="GKS11" s="468"/>
      <c r="GKT11" s="468"/>
      <c r="GKU11" s="468"/>
      <c r="GKV11" s="469"/>
      <c r="GKW11" s="467" t="s">
        <v>34</v>
      </c>
      <c r="GKX11" s="468"/>
      <c r="GKY11" s="468"/>
      <c r="GKZ11" s="468"/>
      <c r="GLA11" s="468"/>
      <c r="GLB11" s="468"/>
      <c r="GLC11" s="468"/>
      <c r="GLD11" s="468"/>
      <c r="GLE11" s="468"/>
      <c r="GLF11" s="468"/>
      <c r="GLG11" s="468"/>
      <c r="GLH11" s="468"/>
      <c r="GLI11" s="468"/>
      <c r="GLJ11" s="468"/>
      <c r="GLK11" s="468"/>
      <c r="GLL11" s="469"/>
      <c r="GLM11" s="467" t="s">
        <v>34</v>
      </c>
      <c r="GLN11" s="468"/>
      <c r="GLO11" s="468"/>
      <c r="GLP11" s="468"/>
      <c r="GLQ11" s="468"/>
      <c r="GLR11" s="468"/>
      <c r="GLS11" s="468"/>
      <c r="GLT11" s="468"/>
      <c r="GLU11" s="468"/>
      <c r="GLV11" s="468"/>
      <c r="GLW11" s="468"/>
      <c r="GLX11" s="468"/>
      <c r="GLY11" s="468"/>
      <c r="GLZ11" s="468"/>
      <c r="GMA11" s="468"/>
      <c r="GMB11" s="469"/>
      <c r="GMC11" s="467" t="s">
        <v>34</v>
      </c>
      <c r="GMD11" s="468"/>
      <c r="GME11" s="468"/>
      <c r="GMF11" s="468"/>
      <c r="GMG11" s="468"/>
      <c r="GMH11" s="468"/>
      <c r="GMI11" s="468"/>
      <c r="GMJ11" s="468"/>
      <c r="GMK11" s="468"/>
      <c r="GML11" s="468"/>
      <c r="GMM11" s="468"/>
      <c r="GMN11" s="468"/>
      <c r="GMO11" s="468"/>
      <c r="GMP11" s="468"/>
      <c r="GMQ11" s="468"/>
      <c r="GMR11" s="469"/>
      <c r="GMS11" s="467" t="s">
        <v>34</v>
      </c>
      <c r="GMT11" s="468"/>
      <c r="GMU11" s="468"/>
      <c r="GMV11" s="468"/>
      <c r="GMW11" s="468"/>
      <c r="GMX11" s="468"/>
      <c r="GMY11" s="468"/>
      <c r="GMZ11" s="468"/>
      <c r="GNA11" s="468"/>
      <c r="GNB11" s="468"/>
      <c r="GNC11" s="468"/>
      <c r="GND11" s="468"/>
      <c r="GNE11" s="468"/>
      <c r="GNF11" s="468"/>
      <c r="GNG11" s="468"/>
      <c r="GNH11" s="469"/>
      <c r="GNI11" s="467" t="s">
        <v>34</v>
      </c>
      <c r="GNJ11" s="468"/>
      <c r="GNK11" s="468"/>
      <c r="GNL11" s="468"/>
      <c r="GNM11" s="468"/>
      <c r="GNN11" s="468"/>
      <c r="GNO11" s="468"/>
      <c r="GNP11" s="468"/>
      <c r="GNQ11" s="468"/>
      <c r="GNR11" s="468"/>
      <c r="GNS11" s="468"/>
      <c r="GNT11" s="468"/>
      <c r="GNU11" s="468"/>
      <c r="GNV11" s="468"/>
      <c r="GNW11" s="468"/>
      <c r="GNX11" s="469"/>
      <c r="GNY11" s="467" t="s">
        <v>34</v>
      </c>
      <c r="GNZ11" s="468"/>
      <c r="GOA11" s="468"/>
      <c r="GOB11" s="468"/>
      <c r="GOC11" s="468"/>
      <c r="GOD11" s="468"/>
      <c r="GOE11" s="468"/>
      <c r="GOF11" s="468"/>
      <c r="GOG11" s="468"/>
      <c r="GOH11" s="468"/>
      <c r="GOI11" s="468"/>
      <c r="GOJ11" s="468"/>
      <c r="GOK11" s="468"/>
      <c r="GOL11" s="468"/>
      <c r="GOM11" s="468"/>
      <c r="GON11" s="469"/>
      <c r="GOO11" s="467" t="s">
        <v>34</v>
      </c>
      <c r="GOP11" s="468"/>
      <c r="GOQ11" s="468"/>
      <c r="GOR11" s="468"/>
      <c r="GOS11" s="468"/>
      <c r="GOT11" s="468"/>
      <c r="GOU11" s="468"/>
      <c r="GOV11" s="468"/>
      <c r="GOW11" s="468"/>
      <c r="GOX11" s="468"/>
      <c r="GOY11" s="468"/>
      <c r="GOZ11" s="468"/>
      <c r="GPA11" s="468"/>
      <c r="GPB11" s="468"/>
      <c r="GPC11" s="468"/>
      <c r="GPD11" s="469"/>
      <c r="GPE11" s="467" t="s">
        <v>34</v>
      </c>
      <c r="GPF11" s="468"/>
      <c r="GPG11" s="468"/>
      <c r="GPH11" s="468"/>
      <c r="GPI11" s="468"/>
      <c r="GPJ11" s="468"/>
      <c r="GPK11" s="468"/>
      <c r="GPL11" s="468"/>
      <c r="GPM11" s="468"/>
      <c r="GPN11" s="468"/>
      <c r="GPO11" s="468"/>
      <c r="GPP11" s="468"/>
      <c r="GPQ11" s="468"/>
      <c r="GPR11" s="468"/>
      <c r="GPS11" s="468"/>
      <c r="GPT11" s="469"/>
      <c r="GPU11" s="467" t="s">
        <v>34</v>
      </c>
      <c r="GPV11" s="468"/>
      <c r="GPW11" s="468"/>
      <c r="GPX11" s="468"/>
      <c r="GPY11" s="468"/>
      <c r="GPZ11" s="468"/>
      <c r="GQA11" s="468"/>
      <c r="GQB11" s="468"/>
      <c r="GQC11" s="468"/>
      <c r="GQD11" s="468"/>
      <c r="GQE11" s="468"/>
      <c r="GQF11" s="468"/>
      <c r="GQG11" s="468"/>
      <c r="GQH11" s="468"/>
      <c r="GQI11" s="468"/>
      <c r="GQJ11" s="469"/>
      <c r="GQK11" s="467" t="s">
        <v>34</v>
      </c>
      <c r="GQL11" s="468"/>
      <c r="GQM11" s="468"/>
      <c r="GQN11" s="468"/>
      <c r="GQO11" s="468"/>
      <c r="GQP11" s="468"/>
      <c r="GQQ11" s="468"/>
      <c r="GQR11" s="468"/>
      <c r="GQS11" s="468"/>
      <c r="GQT11" s="468"/>
      <c r="GQU11" s="468"/>
      <c r="GQV11" s="468"/>
      <c r="GQW11" s="468"/>
      <c r="GQX11" s="468"/>
      <c r="GQY11" s="468"/>
      <c r="GQZ11" s="469"/>
      <c r="GRA11" s="467" t="s">
        <v>34</v>
      </c>
      <c r="GRB11" s="468"/>
      <c r="GRC11" s="468"/>
      <c r="GRD11" s="468"/>
      <c r="GRE11" s="468"/>
      <c r="GRF11" s="468"/>
      <c r="GRG11" s="468"/>
      <c r="GRH11" s="468"/>
      <c r="GRI11" s="468"/>
      <c r="GRJ11" s="468"/>
      <c r="GRK11" s="468"/>
      <c r="GRL11" s="468"/>
      <c r="GRM11" s="468"/>
      <c r="GRN11" s="468"/>
      <c r="GRO11" s="468"/>
      <c r="GRP11" s="469"/>
      <c r="GRQ11" s="467" t="s">
        <v>34</v>
      </c>
      <c r="GRR11" s="468"/>
      <c r="GRS11" s="468"/>
      <c r="GRT11" s="468"/>
      <c r="GRU11" s="468"/>
      <c r="GRV11" s="468"/>
      <c r="GRW11" s="468"/>
      <c r="GRX11" s="468"/>
      <c r="GRY11" s="468"/>
      <c r="GRZ11" s="468"/>
      <c r="GSA11" s="468"/>
      <c r="GSB11" s="468"/>
      <c r="GSC11" s="468"/>
      <c r="GSD11" s="468"/>
      <c r="GSE11" s="468"/>
      <c r="GSF11" s="469"/>
      <c r="GSG11" s="467" t="s">
        <v>34</v>
      </c>
      <c r="GSH11" s="468"/>
      <c r="GSI11" s="468"/>
      <c r="GSJ11" s="468"/>
      <c r="GSK11" s="468"/>
      <c r="GSL11" s="468"/>
      <c r="GSM11" s="468"/>
      <c r="GSN11" s="468"/>
      <c r="GSO11" s="468"/>
      <c r="GSP11" s="468"/>
      <c r="GSQ11" s="468"/>
      <c r="GSR11" s="468"/>
      <c r="GSS11" s="468"/>
      <c r="GST11" s="468"/>
      <c r="GSU11" s="468"/>
      <c r="GSV11" s="469"/>
      <c r="GSW11" s="467" t="s">
        <v>34</v>
      </c>
      <c r="GSX11" s="468"/>
      <c r="GSY11" s="468"/>
      <c r="GSZ11" s="468"/>
      <c r="GTA11" s="468"/>
      <c r="GTB11" s="468"/>
      <c r="GTC11" s="468"/>
      <c r="GTD11" s="468"/>
      <c r="GTE11" s="468"/>
      <c r="GTF11" s="468"/>
      <c r="GTG11" s="468"/>
      <c r="GTH11" s="468"/>
      <c r="GTI11" s="468"/>
      <c r="GTJ11" s="468"/>
      <c r="GTK11" s="468"/>
      <c r="GTL11" s="469"/>
      <c r="GTM11" s="467" t="s">
        <v>34</v>
      </c>
      <c r="GTN11" s="468"/>
      <c r="GTO11" s="468"/>
      <c r="GTP11" s="468"/>
      <c r="GTQ11" s="468"/>
      <c r="GTR11" s="468"/>
      <c r="GTS11" s="468"/>
      <c r="GTT11" s="468"/>
      <c r="GTU11" s="468"/>
      <c r="GTV11" s="468"/>
      <c r="GTW11" s="468"/>
      <c r="GTX11" s="468"/>
      <c r="GTY11" s="468"/>
      <c r="GTZ11" s="468"/>
      <c r="GUA11" s="468"/>
      <c r="GUB11" s="469"/>
      <c r="GUC11" s="467" t="s">
        <v>34</v>
      </c>
      <c r="GUD11" s="468"/>
      <c r="GUE11" s="468"/>
      <c r="GUF11" s="468"/>
      <c r="GUG11" s="468"/>
      <c r="GUH11" s="468"/>
      <c r="GUI11" s="468"/>
      <c r="GUJ11" s="468"/>
      <c r="GUK11" s="468"/>
      <c r="GUL11" s="468"/>
      <c r="GUM11" s="468"/>
      <c r="GUN11" s="468"/>
      <c r="GUO11" s="468"/>
      <c r="GUP11" s="468"/>
      <c r="GUQ11" s="468"/>
      <c r="GUR11" s="469"/>
      <c r="GUS11" s="467" t="s">
        <v>34</v>
      </c>
      <c r="GUT11" s="468"/>
      <c r="GUU11" s="468"/>
      <c r="GUV11" s="468"/>
      <c r="GUW11" s="468"/>
      <c r="GUX11" s="468"/>
      <c r="GUY11" s="468"/>
      <c r="GUZ11" s="468"/>
      <c r="GVA11" s="468"/>
      <c r="GVB11" s="468"/>
      <c r="GVC11" s="468"/>
      <c r="GVD11" s="468"/>
      <c r="GVE11" s="468"/>
      <c r="GVF11" s="468"/>
      <c r="GVG11" s="468"/>
      <c r="GVH11" s="469"/>
      <c r="GVI11" s="467" t="s">
        <v>34</v>
      </c>
      <c r="GVJ11" s="468"/>
      <c r="GVK11" s="468"/>
      <c r="GVL11" s="468"/>
      <c r="GVM11" s="468"/>
      <c r="GVN11" s="468"/>
      <c r="GVO11" s="468"/>
      <c r="GVP11" s="468"/>
      <c r="GVQ11" s="468"/>
      <c r="GVR11" s="468"/>
      <c r="GVS11" s="468"/>
      <c r="GVT11" s="468"/>
      <c r="GVU11" s="468"/>
      <c r="GVV11" s="468"/>
      <c r="GVW11" s="468"/>
      <c r="GVX11" s="469"/>
      <c r="GVY11" s="467" t="s">
        <v>34</v>
      </c>
      <c r="GVZ11" s="468"/>
      <c r="GWA11" s="468"/>
      <c r="GWB11" s="468"/>
      <c r="GWC11" s="468"/>
      <c r="GWD11" s="468"/>
      <c r="GWE11" s="468"/>
      <c r="GWF11" s="468"/>
      <c r="GWG11" s="468"/>
      <c r="GWH11" s="468"/>
      <c r="GWI11" s="468"/>
      <c r="GWJ11" s="468"/>
      <c r="GWK11" s="468"/>
      <c r="GWL11" s="468"/>
      <c r="GWM11" s="468"/>
      <c r="GWN11" s="469"/>
      <c r="GWO11" s="467" t="s">
        <v>34</v>
      </c>
      <c r="GWP11" s="468"/>
      <c r="GWQ11" s="468"/>
      <c r="GWR11" s="468"/>
      <c r="GWS11" s="468"/>
      <c r="GWT11" s="468"/>
      <c r="GWU11" s="468"/>
      <c r="GWV11" s="468"/>
      <c r="GWW11" s="468"/>
      <c r="GWX11" s="468"/>
      <c r="GWY11" s="468"/>
      <c r="GWZ11" s="468"/>
      <c r="GXA11" s="468"/>
      <c r="GXB11" s="468"/>
      <c r="GXC11" s="468"/>
      <c r="GXD11" s="469"/>
      <c r="GXE11" s="467" t="s">
        <v>34</v>
      </c>
      <c r="GXF11" s="468"/>
      <c r="GXG11" s="468"/>
      <c r="GXH11" s="468"/>
      <c r="GXI11" s="468"/>
      <c r="GXJ11" s="468"/>
      <c r="GXK11" s="468"/>
      <c r="GXL11" s="468"/>
      <c r="GXM11" s="468"/>
      <c r="GXN11" s="468"/>
      <c r="GXO11" s="468"/>
      <c r="GXP11" s="468"/>
      <c r="GXQ11" s="468"/>
      <c r="GXR11" s="468"/>
      <c r="GXS11" s="468"/>
      <c r="GXT11" s="469"/>
      <c r="GXU11" s="467" t="s">
        <v>34</v>
      </c>
      <c r="GXV11" s="468"/>
      <c r="GXW11" s="468"/>
      <c r="GXX11" s="468"/>
      <c r="GXY11" s="468"/>
      <c r="GXZ11" s="468"/>
      <c r="GYA11" s="468"/>
      <c r="GYB11" s="468"/>
      <c r="GYC11" s="468"/>
      <c r="GYD11" s="468"/>
      <c r="GYE11" s="468"/>
      <c r="GYF11" s="468"/>
      <c r="GYG11" s="468"/>
      <c r="GYH11" s="468"/>
      <c r="GYI11" s="468"/>
      <c r="GYJ11" s="469"/>
      <c r="GYK11" s="467" t="s">
        <v>34</v>
      </c>
      <c r="GYL11" s="468"/>
      <c r="GYM11" s="468"/>
      <c r="GYN11" s="468"/>
      <c r="GYO11" s="468"/>
      <c r="GYP11" s="468"/>
      <c r="GYQ11" s="468"/>
      <c r="GYR11" s="468"/>
      <c r="GYS11" s="468"/>
      <c r="GYT11" s="468"/>
      <c r="GYU11" s="468"/>
      <c r="GYV11" s="468"/>
      <c r="GYW11" s="468"/>
      <c r="GYX11" s="468"/>
      <c r="GYY11" s="468"/>
      <c r="GYZ11" s="469"/>
      <c r="GZA11" s="467" t="s">
        <v>34</v>
      </c>
      <c r="GZB11" s="468"/>
      <c r="GZC11" s="468"/>
      <c r="GZD11" s="468"/>
      <c r="GZE11" s="468"/>
      <c r="GZF11" s="468"/>
      <c r="GZG11" s="468"/>
      <c r="GZH11" s="468"/>
      <c r="GZI11" s="468"/>
      <c r="GZJ11" s="468"/>
      <c r="GZK11" s="468"/>
      <c r="GZL11" s="468"/>
      <c r="GZM11" s="468"/>
      <c r="GZN11" s="468"/>
      <c r="GZO11" s="468"/>
      <c r="GZP11" s="469"/>
      <c r="GZQ11" s="467" t="s">
        <v>34</v>
      </c>
      <c r="GZR11" s="468"/>
      <c r="GZS11" s="468"/>
      <c r="GZT11" s="468"/>
      <c r="GZU11" s="468"/>
      <c r="GZV11" s="468"/>
      <c r="GZW11" s="468"/>
      <c r="GZX11" s="468"/>
      <c r="GZY11" s="468"/>
      <c r="GZZ11" s="468"/>
      <c r="HAA11" s="468"/>
      <c r="HAB11" s="468"/>
      <c r="HAC11" s="468"/>
      <c r="HAD11" s="468"/>
      <c r="HAE11" s="468"/>
      <c r="HAF11" s="469"/>
      <c r="HAG11" s="467" t="s">
        <v>34</v>
      </c>
      <c r="HAH11" s="468"/>
      <c r="HAI11" s="468"/>
      <c r="HAJ11" s="468"/>
      <c r="HAK11" s="468"/>
      <c r="HAL11" s="468"/>
      <c r="HAM11" s="468"/>
      <c r="HAN11" s="468"/>
      <c r="HAO11" s="468"/>
      <c r="HAP11" s="468"/>
      <c r="HAQ11" s="468"/>
      <c r="HAR11" s="468"/>
      <c r="HAS11" s="468"/>
      <c r="HAT11" s="468"/>
      <c r="HAU11" s="468"/>
      <c r="HAV11" s="469"/>
      <c r="HAW11" s="467" t="s">
        <v>34</v>
      </c>
      <c r="HAX11" s="468"/>
      <c r="HAY11" s="468"/>
      <c r="HAZ11" s="468"/>
      <c r="HBA11" s="468"/>
      <c r="HBB11" s="468"/>
      <c r="HBC11" s="468"/>
      <c r="HBD11" s="468"/>
      <c r="HBE11" s="468"/>
      <c r="HBF11" s="468"/>
      <c r="HBG11" s="468"/>
      <c r="HBH11" s="468"/>
      <c r="HBI11" s="468"/>
      <c r="HBJ11" s="468"/>
      <c r="HBK11" s="468"/>
      <c r="HBL11" s="469"/>
      <c r="HBM11" s="467" t="s">
        <v>34</v>
      </c>
      <c r="HBN11" s="468"/>
      <c r="HBO11" s="468"/>
      <c r="HBP11" s="468"/>
      <c r="HBQ11" s="468"/>
      <c r="HBR11" s="468"/>
      <c r="HBS11" s="468"/>
      <c r="HBT11" s="468"/>
      <c r="HBU11" s="468"/>
      <c r="HBV11" s="468"/>
      <c r="HBW11" s="468"/>
      <c r="HBX11" s="468"/>
      <c r="HBY11" s="468"/>
      <c r="HBZ11" s="468"/>
      <c r="HCA11" s="468"/>
      <c r="HCB11" s="469"/>
      <c r="HCC11" s="467" t="s">
        <v>34</v>
      </c>
      <c r="HCD11" s="468"/>
      <c r="HCE11" s="468"/>
      <c r="HCF11" s="468"/>
      <c r="HCG11" s="468"/>
      <c r="HCH11" s="468"/>
      <c r="HCI11" s="468"/>
      <c r="HCJ11" s="468"/>
      <c r="HCK11" s="468"/>
      <c r="HCL11" s="468"/>
      <c r="HCM11" s="468"/>
      <c r="HCN11" s="468"/>
      <c r="HCO11" s="468"/>
      <c r="HCP11" s="468"/>
      <c r="HCQ11" s="468"/>
      <c r="HCR11" s="469"/>
      <c r="HCS11" s="467" t="s">
        <v>34</v>
      </c>
      <c r="HCT11" s="468"/>
      <c r="HCU11" s="468"/>
      <c r="HCV11" s="468"/>
      <c r="HCW11" s="468"/>
      <c r="HCX11" s="468"/>
      <c r="HCY11" s="468"/>
      <c r="HCZ11" s="468"/>
      <c r="HDA11" s="468"/>
      <c r="HDB11" s="468"/>
      <c r="HDC11" s="468"/>
      <c r="HDD11" s="468"/>
      <c r="HDE11" s="468"/>
      <c r="HDF11" s="468"/>
      <c r="HDG11" s="468"/>
      <c r="HDH11" s="469"/>
      <c r="HDI11" s="467" t="s">
        <v>34</v>
      </c>
      <c r="HDJ11" s="468"/>
      <c r="HDK11" s="468"/>
      <c r="HDL11" s="468"/>
      <c r="HDM11" s="468"/>
      <c r="HDN11" s="468"/>
      <c r="HDO11" s="468"/>
      <c r="HDP11" s="468"/>
      <c r="HDQ11" s="468"/>
      <c r="HDR11" s="468"/>
      <c r="HDS11" s="468"/>
      <c r="HDT11" s="468"/>
      <c r="HDU11" s="468"/>
      <c r="HDV11" s="468"/>
      <c r="HDW11" s="468"/>
      <c r="HDX11" s="469"/>
      <c r="HDY11" s="467" t="s">
        <v>34</v>
      </c>
      <c r="HDZ11" s="468"/>
      <c r="HEA11" s="468"/>
      <c r="HEB11" s="468"/>
      <c r="HEC11" s="468"/>
      <c r="HED11" s="468"/>
      <c r="HEE11" s="468"/>
      <c r="HEF11" s="468"/>
      <c r="HEG11" s="468"/>
      <c r="HEH11" s="468"/>
      <c r="HEI11" s="468"/>
      <c r="HEJ11" s="468"/>
      <c r="HEK11" s="468"/>
      <c r="HEL11" s="468"/>
      <c r="HEM11" s="468"/>
      <c r="HEN11" s="469"/>
      <c r="HEO11" s="467" t="s">
        <v>34</v>
      </c>
      <c r="HEP11" s="468"/>
      <c r="HEQ11" s="468"/>
      <c r="HER11" s="468"/>
      <c r="HES11" s="468"/>
      <c r="HET11" s="468"/>
      <c r="HEU11" s="468"/>
      <c r="HEV11" s="468"/>
      <c r="HEW11" s="468"/>
      <c r="HEX11" s="468"/>
      <c r="HEY11" s="468"/>
      <c r="HEZ11" s="468"/>
      <c r="HFA11" s="468"/>
      <c r="HFB11" s="468"/>
      <c r="HFC11" s="468"/>
      <c r="HFD11" s="469"/>
      <c r="HFE11" s="467" t="s">
        <v>34</v>
      </c>
      <c r="HFF11" s="468"/>
      <c r="HFG11" s="468"/>
      <c r="HFH11" s="468"/>
      <c r="HFI11" s="468"/>
      <c r="HFJ11" s="468"/>
      <c r="HFK11" s="468"/>
      <c r="HFL11" s="468"/>
      <c r="HFM11" s="468"/>
      <c r="HFN11" s="468"/>
      <c r="HFO11" s="468"/>
      <c r="HFP11" s="468"/>
      <c r="HFQ11" s="468"/>
      <c r="HFR11" s="468"/>
      <c r="HFS11" s="468"/>
      <c r="HFT11" s="469"/>
      <c r="HFU11" s="467" t="s">
        <v>34</v>
      </c>
      <c r="HFV11" s="468"/>
      <c r="HFW11" s="468"/>
      <c r="HFX11" s="468"/>
      <c r="HFY11" s="468"/>
      <c r="HFZ11" s="468"/>
      <c r="HGA11" s="468"/>
      <c r="HGB11" s="468"/>
      <c r="HGC11" s="468"/>
      <c r="HGD11" s="468"/>
      <c r="HGE11" s="468"/>
      <c r="HGF11" s="468"/>
      <c r="HGG11" s="468"/>
      <c r="HGH11" s="468"/>
      <c r="HGI11" s="468"/>
      <c r="HGJ11" s="469"/>
      <c r="HGK11" s="467" t="s">
        <v>34</v>
      </c>
      <c r="HGL11" s="468"/>
      <c r="HGM11" s="468"/>
      <c r="HGN11" s="468"/>
      <c r="HGO11" s="468"/>
      <c r="HGP11" s="468"/>
      <c r="HGQ11" s="468"/>
      <c r="HGR11" s="468"/>
      <c r="HGS11" s="468"/>
      <c r="HGT11" s="468"/>
      <c r="HGU11" s="468"/>
      <c r="HGV11" s="468"/>
      <c r="HGW11" s="468"/>
      <c r="HGX11" s="468"/>
      <c r="HGY11" s="468"/>
      <c r="HGZ11" s="469"/>
      <c r="HHA11" s="467" t="s">
        <v>34</v>
      </c>
      <c r="HHB11" s="468"/>
      <c r="HHC11" s="468"/>
      <c r="HHD11" s="468"/>
      <c r="HHE11" s="468"/>
      <c r="HHF11" s="468"/>
      <c r="HHG11" s="468"/>
      <c r="HHH11" s="468"/>
      <c r="HHI11" s="468"/>
      <c r="HHJ11" s="468"/>
      <c r="HHK11" s="468"/>
      <c r="HHL11" s="468"/>
      <c r="HHM11" s="468"/>
      <c r="HHN11" s="468"/>
      <c r="HHO11" s="468"/>
      <c r="HHP11" s="469"/>
      <c r="HHQ11" s="467" t="s">
        <v>34</v>
      </c>
      <c r="HHR11" s="468"/>
      <c r="HHS11" s="468"/>
      <c r="HHT11" s="468"/>
      <c r="HHU11" s="468"/>
      <c r="HHV11" s="468"/>
      <c r="HHW11" s="468"/>
      <c r="HHX11" s="468"/>
      <c r="HHY11" s="468"/>
      <c r="HHZ11" s="468"/>
      <c r="HIA11" s="468"/>
      <c r="HIB11" s="468"/>
      <c r="HIC11" s="468"/>
      <c r="HID11" s="468"/>
      <c r="HIE11" s="468"/>
      <c r="HIF11" s="469"/>
      <c r="HIG11" s="467" t="s">
        <v>34</v>
      </c>
      <c r="HIH11" s="468"/>
      <c r="HII11" s="468"/>
      <c r="HIJ11" s="468"/>
      <c r="HIK11" s="468"/>
      <c r="HIL11" s="468"/>
      <c r="HIM11" s="468"/>
      <c r="HIN11" s="468"/>
      <c r="HIO11" s="468"/>
      <c r="HIP11" s="468"/>
      <c r="HIQ11" s="468"/>
      <c r="HIR11" s="468"/>
      <c r="HIS11" s="468"/>
      <c r="HIT11" s="468"/>
      <c r="HIU11" s="468"/>
      <c r="HIV11" s="469"/>
      <c r="HIW11" s="467" t="s">
        <v>34</v>
      </c>
      <c r="HIX11" s="468"/>
      <c r="HIY11" s="468"/>
      <c r="HIZ11" s="468"/>
      <c r="HJA11" s="468"/>
      <c r="HJB11" s="468"/>
      <c r="HJC11" s="468"/>
      <c r="HJD11" s="468"/>
      <c r="HJE11" s="468"/>
      <c r="HJF11" s="468"/>
      <c r="HJG11" s="468"/>
      <c r="HJH11" s="468"/>
      <c r="HJI11" s="468"/>
      <c r="HJJ11" s="468"/>
      <c r="HJK11" s="468"/>
      <c r="HJL11" s="469"/>
      <c r="HJM11" s="467" t="s">
        <v>34</v>
      </c>
      <c r="HJN11" s="468"/>
      <c r="HJO11" s="468"/>
      <c r="HJP11" s="468"/>
      <c r="HJQ11" s="468"/>
      <c r="HJR11" s="468"/>
      <c r="HJS11" s="468"/>
      <c r="HJT11" s="468"/>
      <c r="HJU11" s="468"/>
      <c r="HJV11" s="468"/>
      <c r="HJW11" s="468"/>
      <c r="HJX11" s="468"/>
      <c r="HJY11" s="468"/>
      <c r="HJZ11" s="468"/>
      <c r="HKA11" s="468"/>
      <c r="HKB11" s="469"/>
      <c r="HKC11" s="467" t="s">
        <v>34</v>
      </c>
      <c r="HKD11" s="468"/>
      <c r="HKE11" s="468"/>
      <c r="HKF11" s="468"/>
      <c r="HKG11" s="468"/>
      <c r="HKH11" s="468"/>
      <c r="HKI11" s="468"/>
      <c r="HKJ11" s="468"/>
      <c r="HKK11" s="468"/>
      <c r="HKL11" s="468"/>
      <c r="HKM11" s="468"/>
      <c r="HKN11" s="468"/>
      <c r="HKO11" s="468"/>
      <c r="HKP11" s="468"/>
      <c r="HKQ11" s="468"/>
      <c r="HKR11" s="469"/>
      <c r="HKS11" s="467" t="s">
        <v>34</v>
      </c>
      <c r="HKT11" s="468"/>
      <c r="HKU11" s="468"/>
      <c r="HKV11" s="468"/>
      <c r="HKW11" s="468"/>
      <c r="HKX11" s="468"/>
      <c r="HKY11" s="468"/>
      <c r="HKZ11" s="468"/>
      <c r="HLA11" s="468"/>
      <c r="HLB11" s="468"/>
      <c r="HLC11" s="468"/>
      <c r="HLD11" s="468"/>
      <c r="HLE11" s="468"/>
      <c r="HLF11" s="468"/>
      <c r="HLG11" s="468"/>
      <c r="HLH11" s="469"/>
      <c r="HLI11" s="467" t="s">
        <v>34</v>
      </c>
      <c r="HLJ11" s="468"/>
      <c r="HLK11" s="468"/>
      <c r="HLL11" s="468"/>
      <c r="HLM11" s="468"/>
      <c r="HLN11" s="468"/>
      <c r="HLO11" s="468"/>
      <c r="HLP11" s="468"/>
      <c r="HLQ11" s="468"/>
      <c r="HLR11" s="468"/>
      <c r="HLS11" s="468"/>
      <c r="HLT11" s="468"/>
      <c r="HLU11" s="468"/>
      <c r="HLV11" s="468"/>
      <c r="HLW11" s="468"/>
      <c r="HLX11" s="469"/>
      <c r="HLY11" s="467" t="s">
        <v>34</v>
      </c>
      <c r="HLZ11" s="468"/>
      <c r="HMA11" s="468"/>
      <c r="HMB11" s="468"/>
      <c r="HMC11" s="468"/>
      <c r="HMD11" s="468"/>
      <c r="HME11" s="468"/>
      <c r="HMF11" s="468"/>
      <c r="HMG11" s="468"/>
      <c r="HMH11" s="468"/>
      <c r="HMI11" s="468"/>
      <c r="HMJ11" s="468"/>
      <c r="HMK11" s="468"/>
      <c r="HML11" s="468"/>
      <c r="HMM11" s="468"/>
      <c r="HMN11" s="469"/>
      <c r="HMO11" s="467" t="s">
        <v>34</v>
      </c>
      <c r="HMP11" s="468"/>
      <c r="HMQ11" s="468"/>
      <c r="HMR11" s="468"/>
      <c r="HMS11" s="468"/>
      <c r="HMT11" s="468"/>
      <c r="HMU11" s="468"/>
      <c r="HMV11" s="468"/>
      <c r="HMW11" s="468"/>
      <c r="HMX11" s="468"/>
      <c r="HMY11" s="468"/>
      <c r="HMZ11" s="468"/>
      <c r="HNA11" s="468"/>
      <c r="HNB11" s="468"/>
      <c r="HNC11" s="468"/>
      <c r="HND11" s="469"/>
      <c r="HNE11" s="467" t="s">
        <v>34</v>
      </c>
      <c r="HNF11" s="468"/>
      <c r="HNG11" s="468"/>
      <c r="HNH11" s="468"/>
      <c r="HNI11" s="468"/>
      <c r="HNJ11" s="468"/>
      <c r="HNK11" s="468"/>
      <c r="HNL11" s="468"/>
      <c r="HNM11" s="468"/>
      <c r="HNN11" s="468"/>
      <c r="HNO11" s="468"/>
      <c r="HNP11" s="468"/>
      <c r="HNQ11" s="468"/>
      <c r="HNR11" s="468"/>
      <c r="HNS11" s="468"/>
      <c r="HNT11" s="469"/>
      <c r="HNU11" s="467" t="s">
        <v>34</v>
      </c>
      <c r="HNV11" s="468"/>
      <c r="HNW11" s="468"/>
      <c r="HNX11" s="468"/>
      <c r="HNY11" s="468"/>
      <c r="HNZ11" s="468"/>
      <c r="HOA11" s="468"/>
      <c r="HOB11" s="468"/>
      <c r="HOC11" s="468"/>
      <c r="HOD11" s="468"/>
      <c r="HOE11" s="468"/>
      <c r="HOF11" s="468"/>
      <c r="HOG11" s="468"/>
      <c r="HOH11" s="468"/>
      <c r="HOI11" s="468"/>
      <c r="HOJ11" s="469"/>
      <c r="HOK11" s="467" t="s">
        <v>34</v>
      </c>
      <c r="HOL11" s="468"/>
      <c r="HOM11" s="468"/>
      <c r="HON11" s="468"/>
      <c r="HOO11" s="468"/>
      <c r="HOP11" s="468"/>
      <c r="HOQ11" s="468"/>
      <c r="HOR11" s="468"/>
      <c r="HOS11" s="468"/>
      <c r="HOT11" s="468"/>
      <c r="HOU11" s="468"/>
      <c r="HOV11" s="468"/>
      <c r="HOW11" s="468"/>
      <c r="HOX11" s="468"/>
      <c r="HOY11" s="468"/>
      <c r="HOZ11" s="469"/>
      <c r="HPA11" s="467" t="s">
        <v>34</v>
      </c>
      <c r="HPB11" s="468"/>
      <c r="HPC11" s="468"/>
      <c r="HPD11" s="468"/>
      <c r="HPE11" s="468"/>
      <c r="HPF11" s="468"/>
      <c r="HPG11" s="468"/>
      <c r="HPH11" s="468"/>
      <c r="HPI11" s="468"/>
      <c r="HPJ11" s="468"/>
      <c r="HPK11" s="468"/>
      <c r="HPL11" s="468"/>
      <c r="HPM11" s="468"/>
      <c r="HPN11" s="468"/>
      <c r="HPO11" s="468"/>
      <c r="HPP11" s="469"/>
      <c r="HPQ11" s="467" t="s">
        <v>34</v>
      </c>
      <c r="HPR11" s="468"/>
      <c r="HPS11" s="468"/>
      <c r="HPT11" s="468"/>
      <c r="HPU11" s="468"/>
      <c r="HPV11" s="468"/>
      <c r="HPW11" s="468"/>
      <c r="HPX11" s="468"/>
      <c r="HPY11" s="468"/>
      <c r="HPZ11" s="468"/>
      <c r="HQA11" s="468"/>
      <c r="HQB11" s="468"/>
      <c r="HQC11" s="468"/>
      <c r="HQD11" s="468"/>
      <c r="HQE11" s="468"/>
      <c r="HQF11" s="469"/>
      <c r="HQG11" s="467" t="s">
        <v>34</v>
      </c>
      <c r="HQH11" s="468"/>
      <c r="HQI11" s="468"/>
      <c r="HQJ11" s="468"/>
      <c r="HQK11" s="468"/>
      <c r="HQL11" s="468"/>
      <c r="HQM11" s="468"/>
      <c r="HQN11" s="468"/>
      <c r="HQO11" s="468"/>
      <c r="HQP11" s="468"/>
      <c r="HQQ11" s="468"/>
      <c r="HQR11" s="468"/>
      <c r="HQS11" s="468"/>
      <c r="HQT11" s="468"/>
      <c r="HQU11" s="468"/>
      <c r="HQV11" s="469"/>
      <c r="HQW11" s="467" t="s">
        <v>34</v>
      </c>
      <c r="HQX11" s="468"/>
      <c r="HQY11" s="468"/>
      <c r="HQZ11" s="468"/>
      <c r="HRA11" s="468"/>
      <c r="HRB11" s="468"/>
      <c r="HRC11" s="468"/>
      <c r="HRD11" s="468"/>
      <c r="HRE11" s="468"/>
      <c r="HRF11" s="468"/>
      <c r="HRG11" s="468"/>
      <c r="HRH11" s="468"/>
      <c r="HRI11" s="468"/>
      <c r="HRJ11" s="468"/>
      <c r="HRK11" s="468"/>
      <c r="HRL11" s="469"/>
      <c r="HRM11" s="467" t="s">
        <v>34</v>
      </c>
      <c r="HRN11" s="468"/>
      <c r="HRO11" s="468"/>
      <c r="HRP11" s="468"/>
      <c r="HRQ11" s="468"/>
      <c r="HRR11" s="468"/>
      <c r="HRS11" s="468"/>
      <c r="HRT11" s="468"/>
      <c r="HRU11" s="468"/>
      <c r="HRV11" s="468"/>
      <c r="HRW11" s="468"/>
      <c r="HRX11" s="468"/>
      <c r="HRY11" s="468"/>
      <c r="HRZ11" s="468"/>
      <c r="HSA11" s="468"/>
      <c r="HSB11" s="469"/>
      <c r="HSC11" s="467" t="s">
        <v>34</v>
      </c>
      <c r="HSD11" s="468"/>
      <c r="HSE11" s="468"/>
      <c r="HSF11" s="468"/>
      <c r="HSG11" s="468"/>
      <c r="HSH11" s="468"/>
      <c r="HSI11" s="468"/>
      <c r="HSJ11" s="468"/>
      <c r="HSK11" s="468"/>
      <c r="HSL11" s="468"/>
      <c r="HSM11" s="468"/>
      <c r="HSN11" s="468"/>
      <c r="HSO11" s="468"/>
      <c r="HSP11" s="468"/>
      <c r="HSQ11" s="468"/>
      <c r="HSR11" s="469"/>
      <c r="HSS11" s="467" t="s">
        <v>34</v>
      </c>
      <c r="HST11" s="468"/>
      <c r="HSU11" s="468"/>
      <c r="HSV11" s="468"/>
      <c r="HSW11" s="468"/>
      <c r="HSX11" s="468"/>
      <c r="HSY11" s="468"/>
      <c r="HSZ11" s="468"/>
      <c r="HTA11" s="468"/>
      <c r="HTB11" s="468"/>
      <c r="HTC11" s="468"/>
      <c r="HTD11" s="468"/>
      <c r="HTE11" s="468"/>
      <c r="HTF11" s="468"/>
      <c r="HTG11" s="468"/>
      <c r="HTH11" s="469"/>
      <c r="HTI11" s="467" t="s">
        <v>34</v>
      </c>
      <c r="HTJ11" s="468"/>
      <c r="HTK11" s="468"/>
      <c r="HTL11" s="468"/>
      <c r="HTM11" s="468"/>
      <c r="HTN11" s="468"/>
      <c r="HTO11" s="468"/>
      <c r="HTP11" s="468"/>
      <c r="HTQ11" s="468"/>
      <c r="HTR11" s="468"/>
      <c r="HTS11" s="468"/>
      <c r="HTT11" s="468"/>
      <c r="HTU11" s="468"/>
      <c r="HTV11" s="468"/>
      <c r="HTW11" s="468"/>
      <c r="HTX11" s="469"/>
      <c r="HTY11" s="467" t="s">
        <v>34</v>
      </c>
      <c r="HTZ11" s="468"/>
      <c r="HUA11" s="468"/>
      <c r="HUB11" s="468"/>
      <c r="HUC11" s="468"/>
      <c r="HUD11" s="468"/>
      <c r="HUE11" s="468"/>
      <c r="HUF11" s="468"/>
      <c r="HUG11" s="468"/>
      <c r="HUH11" s="468"/>
      <c r="HUI11" s="468"/>
      <c r="HUJ11" s="468"/>
      <c r="HUK11" s="468"/>
      <c r="HUL11" s="468"/>
      <c r="HUM11" s="468"/>
      <c r="HUN11" s="469"/>
      <c r="HUO11" s="467" t="s">
        <v>34</v>
      </c>
      <c r="HUP11" s="468"/>
      <c r="HUQ11" s="468"/>
      <c r="HUR11" s="468"/>
      <c r="HUS11" s="468"/>
      <c r="HUT11" s="468"/>
      <c r="HUU11" s="468"/>
      <c r="HUV11" s="468"/>
      <c r="HUW11" s="468"/>
      <c r="HUX11" s="468"/>
      <c r="HUY11" s="468"/>
      <c r="HUZ11" s="468"/>
      <c r="HVA11" s="468"/>
      <c r="HVB11" s="468"/>
      <c r="HVC11" s="468"/>
      <c r="HVD11" s="469"/>
      <c r="HVE11" s="467" t="s">
        <v>34</v>
      </c>
      <c r="HVF11" s="468"/>
      <c r="HVG11" s="468"/>
      <c r="HVH11" s="468"/>
      <c r="HVI11" s="468"/>
      <c r="HVJ11" s="468"/>
      <c r="HVK11" s="468"/>
      <c r="HVL11" s="468"/>
      <c r="HVM11" s="468"/>
      <c r="HVN11" s="468"/>
      <c r="HVO11" s="468"/>
      <c r="HVP11" s="468"/>
      <c r="HVQ11" s="468"/>
      <c r="HVR11" s="468"/>
      <c r="HVS11" s="468"/>
      <c r="HVT11" s="469"/>
      <c r="HVU11" s="467" t="s">
        <v>34</v>
      </c>
      <c r="HVV11" s="468"/>
      <c r="HVW11" s="468"/>
      <c r="HVX11" s="468"/>
      <c r="HVY11" s="468"/>
      <c r="HVZ11" s="468"/>
      <c r="HWA11" s="468"/>
      <c r="HWB11" s="468"/>
      <c r="HWC11" s="468"/>
      <c r="HWD11" s="468"/>
      <c r="HWE11" s="468"/>
      <c r="HWF11" s="468"/>
      <c r="HWG11" s="468"/>
      <c r="HWH11" s="468"/>
      <c r="HWI11" s="468"/>
      <c r="HWJ11" s="469"/>
      <c r="HWK11" s="467" t="s">
        <v>34</v>
      </c>
      <c r="HWL11" s="468"/>
      <c r="HWM11" s="468"/>
      <c r="HWN11" s="468"/>
      <c r="HWO11" s="468"/>
      <c r="HWP11" s="468"/>
      <c r="HWQ11" s="468"/>
      <c r="HWR11" s="468"/>
      <c r="HWS11" s="468"/>
      <c r="HWT11" s="468"/>
      <c r="HWU11" s="468"/>
      <c r="HWV11" s="468"/>
      <c r="HWW11" s="468"/>
      <c r="HWX11" s="468"/>
      <c r="HWY11" s="468"/>
      <c r="HWZ11" s="469"/>
      <c r="HXA11" s="467" t="s">
        <v>34</v>
      </c>
      <c r="HXB11" s="468"/>
      <c r="HXC11" s="468"/>
      <c r="HXD11" s="468"/>
      <c r="HXE11" s="468"/>
      <c r="HXF11" s="468"/>
      <c r="HXG11" s="468"/>
      <c r="HXH11" s="468"/>
      <c r="HXI11" s="468"/>
      <c r="HXJ11" s="468"/>
      <c r="HXK11" s="468"/>
      <c r="HXL11" s="468"/>
      <c r="HXM11" s="468"/>
      <c r="HXN11" s="468"/>
      <c r="HXO11" s="468"/>
      <c r="HXP11" s="469"/>
      <c r="HXQ11" s="467" t="s">
        <v>34</v>
      </c>
      <c r="HXR11" s="468"/>
      <c r="HXS11" s="468"/>
      <c r="HXT11" s="468"/>
      <c r="HXU11" s="468"/>
      <c r="HXV11" s="468"/>
      <c r="HXW11" s="468"/>
      <c r="HXX11" s="468"/>
      <c r="HXY11" s="468"/>
      <c r="HXZ11" s="468"/>
      <c r="HYA11" s="468"/>
      <c r="HYB11" s="468"/>
      <c r="HYC11" s="468"/>
      <c r="HYD11" s="468"/>
      <c r="HYE11" s="468"/>
      <c r="HYF11" s="469"/>
      <c r="HYG11" s="467" t="s">
        <v>34</v>
      </c>
      <c r="HYH11" s="468"/>
      <c r="HYI11" s="468"/>
      <c r="HYJ11" s="468"/>
      <c r="HYK11" s="468"/>
      <c r="HYL11" s="468"/>
      <c r="HYM11" s="468"/>
      <c r="HYN11" s="468"/>
      <c r="HYO11" s="468"/>
      <c r="HYP11" s="468"/>
      <c r="HYQ11" s="468"/>
      <c r="HYR11" s="468"/>
      <c r="HYS11" s="468"/>
      <c r="HYT11" s="468"/>
      <c r="HYU11" s="468"/>
      <c r="HYV11" s="469"/>
      <c r="HYW11" s="467" t="s">
        <v>34</v>
      </c>
      <c r="HYX11" s="468"/>
      <c r="HYY11" s="468"/>
      <c r="HYZ11" s="468"/>
      <c r="HZA11" s="468"/>
      <c r="HZB11" s="468"/>
      <c r="HZC11" s="468"/>
      <c r="HZD11" s="468"/>
      <c r="HZE11" s="468"/>
      <c r="HZF11" s="468"/>
      <c r="HZG11" s="468"/>
      <c r="HZH11" s="468"/>
      <c r="HZI11" s="468"/>
      <c r="HZJ11" s="468"/>
      <c r="HZK11" s="468"/>
      <c r="HZL11" s="469"/>
      <c r="HZM11" s="467" t="s">
        <v>34</v>
      </c>
      <c r="HZN11" s="468"/>
      <c r="HZO11" s="468"/>
      <c r="HZP11" s="468"/>
      <c r="HZQ11" s="468"/>
      <c r="HZR11" s="468"/>
      <c r="HZS11" s="468"/>
      <c r="HZT11" s="468"/>
      <c r="HZU11" s="468"/>
      <c r="HZV11" s="468"/>
      <c r="HZW11" s="468"/>
      <c r="HZX11" s="468"/>
      <c r="HZY11" s="468"/>
      <c r="HZZ11" s="468"/>
      <c r="IAA11" s="468"/>
      <c r="IAB11" s="469"/>
      <c r="IAC11" s="467" t="s">
        <v>34</v>
      </c>
      <c r="IAD11" s="468"/>
      <c r="IAE11" s="468"/>
      <c r="IAF11" s="468"/>
      <c r="IAG11" s="468"/>
      <c r="IAH11" s="468"/>
      <c r="IAI11" s="468"/>
      <c r="IAJ11" s="468"/>
      <c r="IAK11" s="468"/>
      <c r="IAL11" s="468"/>
      <c r="IAM11" s="468"/>
      <c r="IAN11" s="468"/>
      <c r="IAO11" s="468"/>
      <c r="IAP11" s="468"/>
      <c r="IAQ11" s="468"/>
      <c r="IAR11" s="469"/>
      <c r="IAS11" s="467" t="s">
        <v>34</v>
      </c>
      <c r="IAT11" s="468"/>
      <c r="IAU11" s="468"/>
      <c r="IAV11" s="468"/>
      <c r="IAW11" s="468"/>
      <c r="IAX11" s="468"/>
      <c r="IAY11" s="468"/>
      <c r="IAZ11" s="468"/>
      <c r="IBA11" s="468"/>
      <c r="IBB11" s="468"/>
      <c r="IBC11" s="468"/>
      <c r="IBD11" s="468"/>
      <c r="IBE11" s="468"/>
      <c r="IBF11" s="468"/>
      <c r="IBG11" s="468"/>
      <c r="IBH11" s="469"/>
      <c r="IBI11" s="467" t="s">
        <v>34</v>
      </c>
      <c r="IBJ11" s="468"/>
      <c r="IBK11" s="468"/>
      <c r="IBL11" s="468"/>
      <c r="IBM11" s="468"/>
      <c r="IBN11" s="468"/>
      <c r="IBO11" s="468"/>
      <c r="IBP11" s="468"/>
      <c r="IBQ11" s="468"/>
      <c r="IBR11" s="468"/>
      <c r="IBS11" s="468"/>
      <c r="IBT11" s="468"/>
      <c r="IBU11" s="468"/>
      <c r="IBV11" s="468"/>
      <c r="IBW11" s="468"/>
      <c r="IBX11" s="469"/>
      <c r="IBY11" s="467" t="s">
        <v>34</v>
      </c>
      <c r="IBZ11" s="468"/>
      <c r="ICA11" s="468"/>
      <c r="ICB11" s="468"/>
      <c r="ICC11" s="468"/>
      <c r="ICD11" s="468"/>
      <c r="ICE11" s="468"/>
      <c r="ICF11" s="468"/>
      <c r="ICG11" s="468"/>
      <c r="ICH11" s="468"/>
      <c r="ICI11" s="468"/>
      <c r="ICJ11" s="468"/>
      <c r="ICK11" s="468"/>
      <c r="ICL11" s="468"/>
      <c r="ICM11" s="468"/>
      <c r="ICN11" s="469"/>
      <c r="ICO11" s="467" t="s">
        <v>34</v>
      </c>
      <c r="ICP11" s="468"/>
      <c r="ICQ11" s="468"/>
      <c r="ICR11" s="468"/>
      <c r="ICS11" s="468"/>
      <c r="ICT11" s="468"/>
      <c r="ICU11" s="468"/>
      <c r="ICV11" s="468"/>
      <c r="ICW11" s="468"/>
      <c r="ICX11" s="468"/>
      <c r="ICY11" s="468"/>
      <c r="ICZ11" s="468"/>
      <c r="IDA11" s="468"/>
      <c r="IDB11" s="468"/>
      <c r="IDC11" s="468"/>
      <c r="IDD11" s="469"/>
      <c r="IDE11" s="467" t="s">
        <v>34</v>
      </c>
      <c r="IDF11" s="468"/>
      <c r="IDG11" s="468"/>
      <c r="IDH11" s="468"/>
      <c r="IDI11" s="468"/>
      <c r="IDJ11" s="468"/>
      <c r="IDK11" s="468"/>
      <c r="IDL11" s="468"/>
      <c r="IDM11" s="468"/>
      <c r="IDN11" s="468"/>
      <c r="IDO11" s="468"/>
      <c r="IDP11" s="468"/>
      <c r="IDQ11" s="468"/>
      <c r="IDR11" s="468"/>
      <c r="IDS11" s="468"/>
      <c r="IDT11" s="469"/>
      <c r="IDU11" s="467" t="s">
        <v>34</v>
      </c>
      <c r="IDV11" s="468"/>
      <c r="IDW11" s="468"/>
      <c r="IDX11" s="468"/>
      <c r="IDY11" s="468"/>
      <c r="IDZ11" s="468"/>
      <c r="IEA11" s="468"/>
      <c r="IEB11" s="468"/>
      <c r="IEC11" s="468"/>
      <c r="IED11" s="468"/>
      <c r="IEE11" s="468"/>
      <c r="IEF11" s="468"/>
      <c r="IEG11" s="468"/>
      <c r="IEH11" s="468"/>
      <c r="IEI11" s="468"/>
      <c r="IEJ11" s="469"/>
      <c r="IEK11" s="467" t="s">
        <v>34</v>
      </c>
      <c r="IEL11" s="468"/>
      <c r="IEM11" s="468"/>
      <c r="IEN11" s="468"/>
      <c r="IEO11" s="468"/>
      <c r="IEP11" s="468"/>
      <c r="IEQ11" s="468"/>
      <c r="IER11" s="468"/>
      <c r="IES11" s="468"/>
      <c r="IET11" s="468"/>
      <c r="IEU11" s="468"/>
      <c r="IEV11" s="468"/>
      <c r="IEW11" s="468"/>
      <c r="IEX11" s="468"/>
      <c r="IEY11" s="468"/>
      <c r="IEZ11" s="469"/>
      <c r="IFA11" s="467" t="s">
        <v>34</v>
      </c>
      <c r="IFB11" s="468"/>
      <c r="IFC11" s="468"/>
      <c r="IFD11" s="468"/>
      <c r="IFE11" s="468"/>
      <c r="IFF11" s="468"/>
      <c r="IFG11" s="468"/>
      <c r="IFH11" s="468"/>
      <c r="IFI11" s="468"/>
      <c r="IFJ11" s="468"/>
      <c r="IFK11" s="468"/>
      <c r="IFL11" s="468"/>
      <c r="IFM11" s="468"/>
      <c r="IFN11" s="468"/>
      <c r="IFO11" s="468"/>
      <c r="IFP11" s="469"/>
      <c r="IFQ11" s="467" t="s">
        <v>34</v>
      </c>
      <c r="IFR11" s="468"/>
      <c r="IFS11" s="468"/>
      <c r="IFT11" s="468"/>
      <c r="IFU11" s="468"/>
      <c r="IFV11" s="468"/>
      <c r="IFW11" s="468"/>
      <c r="IFX11" s="468"/>
      <c r="IFY11" s="468"/>
      <c r="IFZ11" s="468"/>
      <c r="IGA11" s="468"/>
      <c r="IGB11" s="468"/>
      <c r="IGC11" s="468"/>
      <c r="IGD11" s="468"/>
      <c r="IGE11" s="468"/>
      <c r="IGF11" s="469"/>
      <c r="IGG11" s="467" t="s">
        <v>34</v>
      </c>
      <c r="IGH11" s="468"/>
      <c r="IGI11" s="468"/>
      <c r="IGJ11" s="468"/>
      <c r="IGK11" s="468"/>
      <c r="IGL11" s="468"/>
      <c r="IGM11" s="468"/>
      <c r="IGN11" s="468"/>
      <c r="IGO11" s="468"/>
      <c r="IGP11" s="468"/>
      <c r="IGQ11" s="468"/>
      <c r="IGR11" s="468"/>
      <c r="IGS11" s="468"/>
      <c r="IGT11" s="468"/>
      <c r="IGU11" s="468"/>
      <c r="IGV11" s="469"/>
      <c r="IGW11" s="467" t="s">
        <v>34</v>
      </c>
      <c r="IGX11" s="468"/>
      <c r="IGY11" s="468"/>
      <c r="IGZ11" s="468"/>
      <c r="IHA11" s="468"/>
      <c r="IHB11" s="468"/>
      <c r="IHC11" s="468"/>
      <c r="IHD11" s="468"/>
      <c r="IHE11" s="468"/>
      <c r="IHF11" s="468"/>
      <c r="IHG11" s="468"/>
      <c r="IHH11" s="468"/>
      <c r="IHI11" s="468"/>
      <c r="IHJ11" s="468"/>
      <c r="IHK11" s="468"/>
      <c r="IHL11" s="469"/>
      <c r="IHM11" s="467" t="s">
        <v>34</v>
      </c>
      <c r="IHN11" s="468"/>
      <c r="IHO11" s="468"/>
      <c r="IHP11" s="468"/>
      <c r="IHQ11" s="468"/>
      <c r="IHR11" s="468"/>
      <c r="IHS11" s="468"/>
      <c r="IHT11" s="468"/>
      <c r="IHU11" s="468"/>
      <c r="IHV11" s="468"/>
      <c r="IHW11" s="468"/>
      <c r="IHX11" s="468"/>
      <c r="IHY11" s="468"/>
      <c r="IHZ11" s="468"/>
      <c r="IIA11" s="468"/>
      <c r="IIB11" s="469"/>
      <c r="IIC11" s="467" t="s">
        <v>34</v>
      </c>
      <c r="IID11" s="468"/>
      <c r="IIE11" s="468"/>
      <c r="IIF11" s="468"/>
      <c r="IIG11" s="468"/>
      <c r="IIH11" s="468"/>
      <c r="III11" s="468"/>
      <c r="IIJ11" s="468"/>
      <c r="IIK11" s="468"/>
      <c r="IIL11" s="468"/>
      <c r="IIM11" s="468"/>
      <c r="IIN11" s="468"/>
      <c r="IIO11" s="468"/>
      <c r="IIP11" s="468"/>
      <c r="IIQ11" s="468"/>
      <c r="IIR11" s="469"/>
      <c r="IIS11" s="467" t="s">
        <v>34</v>
      </c>
      <c r="IIT11" s="468"/>
      <c r="IIU11" s="468"/>
      <c r="IIV11" s="468"/>
      <c r="IIW11" s="468"/>
      <c r="IIX11" s="468"/>
      <c r="IIY11" s="468"/>
      <c r="IIZ11" s="468"/>
      <c r="IJA11" s="468"/>
      <c r="IJB11" s="468"/>
      <c r="IJC11" s="468"/>
      <c r="IJD11" s="468"/>
      <c r="IJE11" s="468"/>
      <c r="IJF11" s="468"/>
      <c r="IJG11" s="468"/>
      <c r="IJH11" s="469"/>
      <c r="IJI11" s="467" t="s">
        <v>34</v>
      </c>
      <c r="IJJ11" s="468"/>
      <c r="IJK11" s="468"/>
      <c r="IJL11" s="468"/>
      <c r="IJM11" s="468"/>
      <c r="IJN11" s="468"/>
      <c r="IJO11" s="468"/>
      <c r="IJP11" s="468"/>
      <c r="IJQ11" s="468"/>
      <c r="IJR11" s="468"/>
      <c r="IJS11" s="468"/>
      <c r="IJT11" s="468"/>
      <c r="IJU11" s="468"/>
      <c r="IJV11" s="468"/>
      <c r="IJW11" s="468"/>
      <c r="IJX11" s="469"/>
      <c r="IJY11" s="467" t="s">
        <v>34</v>
      </c>
      <c r="IJZ11" s="468"/>
      <c r="IKA11" s="468"/>
      <c r="IKB11" s="468"/>
      <c r="IKC11" s="468"/>
      <c r="IKD11" s="468"/>
      <c r="IKE11" s="468"/>
      <c r="IKF11" s="468"/>
      <c r="IKG11" s="468"/>
      <c r="IKH11" s="468"/>
      <c r="IKI11" s="468"/>
      <c r="IKJ11" s="468"/>
      <c r="IKK11" s="468"/>
      <c r="IKL11" s="468"/>
      <c r="IKM11" s="468"/>
      <c r="IKN11" s="469"/>
      <c r="IKO11" s="467" t="s">
        <v>34</v>
      </c>
      <c r="IKP11" s="468"/>
      <c r="IKQ11" s="468"/>
      <c r="IKR11" s="468"/>
      <c r="IKS11" s="468"/>
      <c r="IKT11" s="468"/>
      <c r="IKU11" s="468"/>
      <c r="IKV11" s="468"/>
      <c r="IKW11" s="468"/>
      <c r="IKX11" s="468"/>
      <c r="IKY11" s="468"/>
      <c r="IKZ11" s="468"/>
      <c r="ILA11" s="468"/>
      <c r="ILB11" s="468"/>
      <c r="ILC11" s="468"/>
      <c r="ILD11" s="469"/>
      <c r="ILE11" s="467" t="s">
        <v>34</v>
      </c>
      <c r="ILF11" s="468"/>
      <c r="ILG11" s="468"/>
      <c r="ILH11" s="468"/>
      <c r="ILI11" s="468"/>
      <c r="ILJ11" s="468"/>
      <c r="ILK11" s="468"/>
      <c r="ILL11" s="468"/>
      <c r="ILM11" s="468"/>
      <c r="ILN11" s="468"/>
      <c r="ILO11" s="468"/>
      <c r="ILP11" s="468"/>
      <c r="ILQ11" s="468"/>
      <c r="ILR11" s="468"/>
      <c r="ILS11" s="468"/>
      <c r="ILT11" s="469"/>
      <c r="ILU11" s="467" t="s">
        <v>34</v>
      </c>
      <c r="ILV11" s="468"/>
      <c r="ILW11" s="468"/>
      <c r="ILX11" s="468"/>
      <c r="ILY11" s="468"/>
      <c r="ILZ11" s="468"/>
      <c r="IMA11" s="468"/>
      <c r="IMB11" s="468"/>
      <c r="IMC11" s="468"/>
      <c r="IMD11" s="468"/>
      <c r="IME11" s="468"/>
      <c r="IMF11" s="468"/>
      <c r="IMG11" s="468"/>
      <c r="IMH11" s="468"/>
      <c r="IMI11" s="468"/>
      <c r="IMJ11" s="469"/>
      <c r="IMK11" s="467" t="s">
        <v>34</v>
      </c>
      <c r="IML11" s="468"/>
      <c r="IMM11" s="468"/>
      <c r="IMN11" s="468"/>
      <c r="IMO11" s="468"/>
      <c r="IMP11" s="468"/>
      <c r="IMQ11" s="468"/>
      <c r="IMR11" s="468"/>
      <c r="IMS11" s="468"/>
      <c r="IMT11" s="468"/>
      <c r="IMU11" s="468"/>
      <c r="IMV11" s="468"/>
      <c r="IMW11" s="468"/>
      <c r="IMX11" s="468"/>
      <c r="IMY11" s="468"/>
      <c r="IMZ11" s="469"/>
      <c r="INA11" s="467" t="s">
        <v>34</v>
      </c>
      <c r="INB11" s="468"/>
      <c r="INC11" s="468"/>
      <c r="IND11" s="468"/>
      <c r="INE11" s="468"/>
      <c r="INF11" s="468"/>
      <c r="ING11" s="468"/>
      <c r="INH11" s="468"/>
      <c r="INI11" s="468"/>
      <c r="INJ11" s="468"/>
      <c r="INK11" s="468"/>
      <c r="INL11" s="468"/>
      <c r="INM11" s="468"/>
      <c r="INN11" s="468"/>
      <c r="INO11" s="468"/>
      <c r="INP11" s="469"/>
      <c r="INQ11" s="467" t="s">
        <v>34</v>
      </c>
      <c r="INR11" s="468"/>
      <c r="INS11" s="468"/>
      <c r="INT11" s="468"/>
      <c r="INU11" s="468"/>
      <c r="INV11" s="468"/>
      <c r="INW11" s="468"/>
      <c r="INX11" s="468"/>
      <c r="INY11" s="468"/>
      <c r="INZ11" s="468"/>
      <c r="IOA11" s="468"/>
      <c r="IOB11" s="468"/>
      <c r="IOC11" s="468"/>
      <c r="IOD11" s="468"/>
      <c r="IOE11" s="468"/>
      <c r="IOF11" s="469"/>
      <c r="IOG11" s="467" t="s">
        <v>34</v>
      </c>
      <c r="IOH11" s="468"/>
      <c r="IOI11" s="468"/>
      <c r="IOJ11" s="468"/>
      <c r="IOK11" s="468"/>
      <c r="IOL11" s="468"/>
      <c r="IOM11" s="468"/>
      <c r="ION11" s="468"/>
      <c r="IOO11" s="468"/>
      <c r="IOP11" s="468"/>
      <c r="IOQ11" s="468"/>
      <c r="IOR11" s="468"/>
      <c r="IOS11" s="468"/>
      <c r="IOT11" s="468"/>
      <c r="IOU11" s="468"/>
      <c r="IOV11" s="469"/>
      <c r="IOW11" s="467" t="s">
        <v>34</v>
      </c>
      <c r="IOX11" s="468"/>
      <c r="IOY11" s="468"/>
      <c r="IOZ11" s="468"/>
      <c r="IPA11" s="468"/>
      <c r="IPB11" s="468"/>
      <c r="IPC11" s="468"/>
      <c r="IPD11" s="468"/>
      <c r="IPE11" s="468"/>
      <c r="IPF11" s="468"/>
      <c r="IPG11" s="468"/>
      <c r="IPH11" s="468"/>
      <c r="IPI11" s="468"/>
      <c r="IPJ11" s="468"/>
      <c r="IPK11" s="468"/>
      <c r="IPL11" s="469"/>
      <c r="IPM11" s="467" t="s">
        <v>34</v>
      </c>
      <c r="IPN11" s="468"/>
      <c r="IPO11" s="468"/>
      <c r="IPP11" s="468"/>
      <c r="IPQ11" s="468"/>
      <c r="IPR11" s="468"/>
      <c r="IPS11" s="468"/>
      <c r="IPT11" s="468"/>
      <c r="IPU11" s="468"/>
      <c r="IPV11" s="468"/>
      <c r="IPW11" s="468"/>
      <c r="IPX11" s="468"/>
      <c r="IPY11" s="468"/>
      <c r="IPZ11" s="468"/>
      <c r="IQA11" s="468"/>
      <c r="IQB11" s="469"/>
      <c r="IQC11" s="467" t="s">
        <v>34</v>
      </c>
      <c r="IQD11" s="468"/>
      <c r="IQE11" s="468"/>
      <c r="IQF11" s="468"/>
      <c r="IQG11" s="468"/>
      <c r="IQH11" s="468"/>
      <c r="IQI11" s="468"/>
      <c r="IQJ11" s="468"/>
      <c r="IQK11" s="468"/>
      <c r="IQL11" s="468"/>
      <c r="IQM11" s="468"/>
      <c r="IQN11" s="468"/>
      <c r="IQO11" s="468"/>
      <c r="IQP11" s="468"/>
      <c r="IQQ11" s="468"/>
      <c r="IQR11" s="469"/>
      <c r="IQS11" s="467" t="s">
        <v>34</v>
      </c>
      <c r="IQT11" s="468"/>
      <c r="IQU11" s="468"/>
      <c r="IQV11" s="468"/>
      <c r="IQW11" s="468"/>
      <c r="IQX11" s="468"/>
      <c r="IQY11" s="468"/>
      <c r="IQZ11" s="468"/>
      <c r="IRA11" s="468"/>
      <c r="IRB11" s="468"/>
      <c r="IRC11" s="468"/>
      <c r="IRD11" s="468"/>
      <c r="IRE11" s="468"/>
      <c r="IRF11" s="468"/>
      <c r="IRG11" s="468"/>
      <c r="IRH11" s="469"/>
      <c r="IRI11" s="467" t="s">
        <v>34</v>
      </c>
      <c r="IRJ11" s="468"/>
      <c r="IRK11" s="468"/>
      <c r="IRL11" s="468"/>
      <c r="IRM11" s="468"/>
      <c r="IRN11" s="468"/>
      <c r="IRO11" s="468"/>
      <c r="IRP11" s="468"/>
      <c r="IRQ11" s="468"/>
      <c r="IRR11" s="468"/>
      <c r="IRS11" s="468"/>
      <c r="IRT11" s="468"/>
      <c r="IRU11" s="468"/>
      <c r="IRV11" s="468"/>
      <c r="IRW11" s="468"/>
      <c r="IRX11" s="469"/>
      <c r="IRY11" s="467" t="s">
        <v>34</v>
      </c>
      <c r="IRZ11" s="468"/>
      <c r="ISA11" s="468"/>
      <c r="ISB11" s="468"/>
      <c r="ISC11" s="468"/>
      <c r="ISD11" s="468"/>
      <c r="ISE11" s="468"/>
      <c r="ISF11" s="468"/>
      <c r="ISG11" s="468"/>
      <c r="ISH11" s="468"/>
      <c r="ISI11" s="468"/>
      <c r="ISJ11" s="468"/>
      <c r="ISK11" s="468"/>
      <c r="ISL11" s="468"/>
      <c r="ISM11" s="468"/>
      <c r="ISN11" s="469"/>
      <c r="ISO11" s="467" t="s">
        <v>34</v>
      </c>
      <c r="ISP11" s="468"/>
      <c r="ISQ11" s="468"/>
      <c r="ISR11" s="468"/>
      <c r="ISS11" s="468"/>
      <c r="IST11" s="468"/>
      <c r="ISU11" s="468"/>
      <c r="ISV11" s="468"/>
      <c r="ISW11" s="468"/>
      <c r="ISX11" s="468"/>
      <c r="ISY11" s="468"/>
      <c r="ISZ11" s="468"/>
      <c r="ITA11" s="468"/>
      <c r="ITB11" s="468"/>
      <c r="ITC11" s="468"/>
      <c r="ITD11" s="469"/>
      <c r="ITE11" s="467" t="s">
        <v>34</v>
      </c>
      <c r="ITF11" s="468"/>
      <c r="ITG11" s="468"/>
      <c r="ITH11" s="468"/>
      <c r="ITI11" s="468"/>
      <c r="ITJ11" s="468"/>
      <c r="ITK11" s="468"/>
      <c r="ITL11" s="468"/>
      <c r="ITM11" s="468"/>
      <c r="ITN11" s="468"/>
      <c r="ITO11" s="468"/>
      <c r="ITP11" s="468"/>
      <c r="ITQ11" s="468"/>
      <c r="ITR11" s="468"/>
      <c r="ITS11" s="468"/>
      <c r="ITT11" s="469"/>
      <c r="ITU11" s="467" t="s">
        <v>34</v>
      </c>
      <c r="ITV11" s="468"/>
      <c r="ITW11" s="468"/>
      <c r="ITX11" s="468"/>
      <c r="ITY11" s="468"/>
      <c r="ITZ11" s="468"/>
      <c r="IUA11" s="468"/>
      <c r="IUB11" s="468"/>
      <c r="IUC11" s="468"/>
      <c r="IUD11" s="468"/>
      <c r="IUE11" s="468"/>
      <c r="IUF11" s="468"/>
      <c r="IUG11" s="468"/>
      <c r="IUH11" s="468"/>
      <c r="IUI11" s="468"/>
      <c r="IUJ11" s="469"/>
      <c r="IUK11" s="467" t="s">
        <v>34</v>
      </c>
      <c r="IUL11" s="468"/>
      <c r="IUM11" s="468"/>
      <c r="IUN11" s="468"/>
      <c r="IUO11" s="468"/>
      <c r="IUP11" s="468"/>
      <c r="IUQ11" s="468"/>
      <c r="IUR11" s="468"/>
      <c r="IUS11" s="468"/>
      <c r="IUT11" s="468"/>
      <c r="IUU11" s="468"/>
      <c r="IUV11" s="468"/>
      <c r="IUW11" s="468"/>
      <c r="IUX11" s="468"/>
      <c r="IUY11" s="468"/>
      <c r="IUZ11" s="469"/>
      <c r="IVA11" s="467" t="s">
        <v>34</v>
      </c>
      <c r="IVB11" s="468"/>
      <c r="IVC11" s="468"/>
      <c r="IVD11" s="468"/>
      <c r="IVE11" s="468"/>
      <c r="IVF11" s="468"/>
      <c r="IVG11" s="468"/>
      <c r="IVH11" s="468"/>
      <c r="IVI11" s="468"/>
      <c r="IVJ11" s="468"/>
      <c r="IVK11" s="468"/>
      <c r="IVL11" s="468"/>
      <c r="IVM11" s="468"/>
      <c r="IVN11" s="468"/>
      <c r="IVO11" s="468"/>
      <c r="IVP11" s="469"/>
      <c r="IVQ11" s="467" t="s">
        <v>34</v>
      </c>
      <c r="IVR11" s="468"/>
      <c r="IVS11" s="468"/>
      <c r="IVT11" s="468"/>
      <c r="IVU11" s="468"/>
      <c r="IVV11" s="468"/>
      <c r="IVW11" s="468"/>
      <c r="IVX11" s="468"/>
      <c r="IVY11" s="468"/>
      <c r="IVZ11" s="468"/>
      <c r="IWA11" s="468"/>
      <c r="IWB11" s="468"/>
      <c r="IWC11" s="468"/>
      <c r="IWD11" s="468"/>
      <c r="IWE11" s="468"/>
      <c r="IWF11" s="469"/>
      <c r="IWG11" s="467" t="s">
        <v>34</v>
      </c>
      <c r="IWH11" s="468"/>
      <c r="IWI11" s="468"/>
      <c r="IWJ11" s="468"/>
      <c r="IWK11" s="468"/>
      <c r="IWL11" s="468"/>
      <c r="IWM11" s="468"/>
      <c r="IWN11" s="468"/>
      <c r="IWO11" s="468"/>
      <c r="IWP11" s="468"/>
      <c r="IWQ11" s="468"/>
      <c r="IWR11" s="468"/>
      <c r="IWS11" s="468"/>
      <c r="IWT11" s="468"/>
      <c r="IWU11" s="468"/>
      <c r="IWV11" s="469"/>
      <c r="IWW11" s="467" t="s">
        <v>34</v>
      </c>
      <c r="IWX11" s="468"/>
      <c r="IWY11" s="468"/>
      <c r="IWZ11" s="468"/>
      <c r="IXA11" s="468"/>
      <c r="IXB11" s="468"/>
      <c r="IXC11" s="468"/>
      <c r="IXD11" s="468"/>
      <c r="IXE11" s="468"/>
      <c r="IXF11" s="468"/>
      <c r="IXG11" s="468"/>
      <c r="IXH11" s="468"/>
      <c r="IXI11" s="468"/>
      <c r="IXJ11" s="468"/>
      <c r="IXK11" s="468"/>
      <c r="IXL11" s="469"/>
      <c r="IXM11" s="467" t="s">
        <v>34</v>
      </c>
      <c r="IXN11" s="468"/>
      <c r="IXO11" s="468"/>
      <c r="IXP11" s="468"/>
      <c r="IXQ11" s="468"/>
      <c r="IXR11" s="468"/>
      <c r="IXS11" s="468"/>
      <c r="IXT11" s="468"/>
      <c r="IXU11" s="468"/>
      <c r="IXV11" s="468"/>
      <c r="IXW11" s="468"/>
      <c r="IXX11" s="468"/>
      <c r="IXY11" s="468"/>
      <c r="IXZ11" s="468"/>
      <c r="IYA11" s="468"/>
      <c r="IYB11" s="469"/>
      <c r="IYC11" s="467" t="s">
        <v>34</v>
      </c>
      <c r="IYD11" s="468"/>
      <c r="IYE11" s="468"/>
      <c r="IYF11" s="468"/>
      <c r="IYG11" s="468"/>
      <c r="IYH11" s="468"/>
      <c r="IYI11" s="468"/>
      <c r="IYJ11" s="468"/>
      <c r="IYK11" s="468"/>
      <c r="IYL11" s="468"/>
      <c r="IYM11" s="468"/>
      <c r="IYN11" s="468"/>
      <c r="IYO11" s="468"/>
      <c r="IYP11" s="468"/>
      <c r="IYQ11" s="468"/>
      <c r="IYR11" s="469"/>
      <c r="IYS11" s="467" t="s">
        <v>34</v>
      </c>
      <c r="IYT11" s="468"/>
      <c r="IYU11" s="468"/>
      <c r="IYV11" s="468"/>
      <c r="IYW11" s="468"/>
      <c r="IYX11" s="468"/>
      <c r="IYY11" s="468"/>
      <c r="IYZ11" s="468"/>
      <c r="IZA11" s="468"/>
      <c r="IZB11" s="468"/>
      <c r="IZC11" s="468"/>
      <c r="IZD11" s="468"/>
      <c r="IZE11" s="468"/>
      <c r="IZF11" s="468"/>
      <c r="IZG11" s="468"/>
      <c r="IZH11" s="469"/>
      <c r="IZI11" s="467" t="s">
        <v>34</v>
      </c>
      <c r="IZJ11" s="468"/>
      <c r="IZK11" s="468"/>
      <c r="IZL11" s="468"/>
      <c r="IZM11" s="468"/>
      <c r="IZN11" s="468"/>
      <c r="IZO11" s="468"/>
      <c r="IZP11" s="468"/>
      <c r="IZQ11" s="468"/>
      <c r="IZR11" s="468"/>
      <c r="IZS11" s="468"/>
      <c r="IZT11" s="468"/>
      <c r="IZU11" s="468"/>
      <c r="IZV11" s="468"/>
      <c r="IZW11" s="468"/>
      <c r="IZX11" s="469"/>
      <c r="IZY11" s="467" t="s">
        <v>34</v>
      </c>
      <c r="IZZ11" s="468"/>
      <c r="JAA11" s="468"/>
      <c r="JAB11" s="468"/>
      <c r="JAC11" s="468"/>
      <c r="JAD11" s="468"/>
      <c r="JAE11" s="468"/>
      <c r="JAF11" s="468"/>
      <c r="JAG11" s="468"/>
      <c r="JAH11" s="468"/>
      <c r="JAI11" s="468"/>
      <c r="JAJ11" s="468"/>
      <c r="JAK11" s="468"/>
      <c r="JAL11" s="468"/>
      <c r="JAM11" s="468"/>
      <c r="JAN11" s="469"/>
      <c r="JAO11" s="467" t="s">
        <v>34</v>
      </c>
      <c r="JAP11" s="468"/>
      <c r="JAQ11" s="468"/>
      <c r="JAR11" s="468"/>
      <c r="JAS11" s="468"/>
      <c r="JAT11" s="468"/>
      <c r="JAU11" s="468"/>
      <c r="JAV11" s="468"/>
      <c r="JAW11" s="468"/>
      <c r="JAX11" s="468"/>
      <c r="JAY11" s="468"/>
      <c r="JAZ11" s="468"/>
      <c r="JBA11" s="468"/>
      <c r="JBB11" s="468"/>
      <c r="JBC11" s="468"/>
      <c r="JBD11" s="469"/>
      <c r="JBE11" s="467" t="s">
        <v>34</v>
      </c>
      <c r="JBF11" s="468"/>
      <c r="JBG11" s="468"/>
      <c r="JBH11" s="468"/>
      <c r="JBI11" s="468"/>
      <c r="JBJ11" s="468"/>
      <c r="JBK11" s="468"/>
      <c r="JBL11" s="468"/>
      <c r="JBM11" s="468"/>
      <c r="JBN11" s="468"/>
      <c r="JBO11" s="468"/>
      <c r="JBP11" s="468"/>
      <c r="JBQ11" s="468"/>
      <c r="JBR11" s="468"/>
      <c r="JBS11" s="468"/>
      <c r="JBT11" s="469"/>
      <c r="JBU11" s="467" t="s">
        <v>34</v>
      </c>
      <c r="JBV11" s="468"/>
      <c r="JBW11" s="468"/>
      <c r="JBX11" s="468"/>
      <c r="JBY11" s="468"/>
      <c r="JBZ11" s="468"/>
      <c r="JCA11" s="468"/>
      <c r="JCB11" s="468"/>
      <c r="JCC11" s="468"/>
      <c r="JCD11" s="468"/>
      <c r="JCE11" s="468"/>
      <c r="JCF11" s="468"/>
      <c r="JCG11" s="468"/>
      <c r="JCH11" s="468"/>
      <c r="JCI11" s="468"/>
      <c r="JCJ11" s="469"/>
      <c r="JCK11" s="467" t="s">
        <v>34</v>
      </c>
      <c r="JCL11" s="468"/>
      <c r="JCM11" s="468"/>
      <c r="JCN11" s="468"/>
      <c r="JCO11" s="468"/>
      <c r="JCP11" s="468"/>
      <c r="JCQ11" s="468"/>
      <c r="JCR11" s="468"/>
      <c r="JCS11" s="468"/>
      <c r="JCT11" s="468"/>
      <c r="JCU11" s="468"/>
      <c r="JCV11" s="468"/>
      <c r="JCW11" s="468"/>
      <c r="JCX11" s="468"/>
      <c r="JCY11" s="468"/>
      <c r="JCZ11" s="469"/>
      <c r="JDA11" s="467" t="s">
        <v>34</v>
      </c>
      <c r="JDB11" s="468"/>
      <c r="JDC11" s="468"/>
      <c r="JDD11" s="468"/>
      <c r="JDE11" s="468"/>
      <c r="JDF11" s="468"/>
      <c r="JDG11" s="468"/>
      <c r="JDH11" s="468"/>
      <c r="JDI11" s="468"/>
      <c r="JDJ11" s="468"/>
      <c r="JDK11" s="468"/>
      <c r="JDL11" s="468"/>
      <c r="JDM11" s="468"/>
      <c r="JDN11" s="468"/>
      <c r="JDO11" s="468"/>
      <c r="JDP11" s="469"/>
      <c r="JDQ11" s="467" t="s">
        <v>34</v>
      </c>
      <c r="JDR11" s="468"/>
      <c r="JDS11" s="468"/>
      <c r="JDT11" s="468"/>
      <c r="JDU11" s="468"/>
      <c r="JDV11" s="468"/>
      <c r="JDW11" s="468"/>
      <c r="JDX11" s="468"/>
      <c r="JDY11" s="468"/>
      <c r="JDZ11" s="468"/>
      <c r="JEA11" s="468"/>
      <c r="JEB11" s="468"/>
      <c r="JEC11" s="468"/>
      <c r="JED11" s="468"/>
      <c r="JEE11" s="468"/>
      <c r="JEF11" s="469"/>
      <c r="JEG11" s="467" t="s">
        <v>34</v>
      </c>
      <c r="JEH11" s="468"/>
      <c r="JEI11" s="468"/>
      <c r="JEJ11" s="468"/>
      <c r="JEK11" s="468"/>
      <c r="JEL11" s="468"/>
      <c r="JEM11" s="468"/>
      <c r="JEN11" s="468"/>
      <c r="JEO11" s="468"/>
      <c r="JEP11" s="468"/>
      <c r="JEQ11" s="468"/>
      <c r="JER11" s="468"/>
      <c r="JES11" s="468"/>
      <c r="JET11" s="468"/>
      <c r="JEU11" s="468"/>
      <c r="JEV11" s="469"/>
      <c r="JEW11" s="467" t="s">
        <v>34</v>
      </c>
      <c r="JEX11" s="468"/>
      <c r="JEY11" s="468"/>
      <c r="JEZ11" s="468"/>
      <c r="JFA11" s="468"/>
      <c r="JFB11" s="468"/>
      <c r="JFC11" s="468"/>
      <c r="JFD11" s="468"/>
      <c r="JFE11" s="468"/>
      <c r="JFF11" s="468"/>
      <c r="JFG11" s="468"/>
      <c r="JFH11" s="468"/>
      <c r="JFI11" s="468"/>
      <c r="JFJ11" s="468"/>
      <c r="JFK11" s="468"/>
      <c r="JFL11" s="469"/>
      <c r="JFM11" s="467" t="s">
        <v>34</v>
      </c>
      <c r="JFN11" s="468"/>
      <c r="JFO11" s="468"/>
      <c r="JFP11" s="468"/>
      <c r="JFQ11" s="468"/>
      <c r="JFR11" s="468"/>
      <c r="JFS11" s="468"/>
      <c r="JFT11" s="468"/>
      <c r="JFU11" s="468"/>
      <c r="JFV11" s="468"/>
      <c r="JFW11" s="468"/>
      <c r="JFX11" s="468"/>
      <c r="JFY11" s="468"/>
      <c r="JFZ11" s="468"/>
      <c r="JGA11" s="468"/>
      <c r="JGB11" s="469"/>
      <c r="JGC11" s="467" t="s">
        <v>34</v>
      </c>
      <c r="JGD11" s="468"/>
      <c r="JGE11" s="468"/>
      <c r="JGF11" s="468"/>
      <c r="JGG11" s="468"/>
      <c r="JGH11" s="468"/>
      <c r="JGI11" s="468"/>
      <c r="JGJ11" s="468"/>
      <c r="JGK11" s="468"/>
      <c r="JGL11" s="468"/>
      <c r="JGM11" s="468"/>
      <c r="JGN11" s="468"/>
      <c r="JGO11" s="468"/>
      <c r="JGP11" s="468"/>
      <c r="JGQ11" s="468"/>
      <c r="JGR11" s="469"/>
      <c r="JGS11" s="467" t="s">
        <v>34</v>
      </c>
      <c r="JGT11" s="468"/>
      <c r="JGU11" s="468"/>
      <c r="JGV11" s="468"/>
      <c r="JGW11" s="468"/>
      <c r="JGX11" s="468"/>
      <c r="JGY11" s="468"/>
      <c r="JGZ11" s="468"/>
      <c r="JHA11" s="468"/>
      <c r="JHB11" s="468"/>
      <c r="JHC11" s="468"/>
      <c r="JHD11" s="468"/>
      <c r="JHE11" s="468"/>
      <c r="JHF11" s="468"/>
      <c r="JHG11" s="468"/>
      <c r="JHH11" s="469"/>
      <c r="JHI11" s="467" t="s">
        <v>34</v>
      </c>
      <c r="JHJ11" s="468"/>
      <c r="JHK11" s="468"/>
      <c r="JHL11" s="468"/>
      <c r="JHM11" s="468"/>
      <c r="JHN11" s="468"/>
      <c r="JHO11" s="468"/>
      <c r="JHP11" s="468"/>
      <c r="JHQ11" s="468"/>
      <c r="JHR11" s="468"/>
      <c r="JHS11" s="468"/>
      <c r="JHT11" s="468"/>
      <c r="JHU11" s="468"/>
      <c r="JHV11" s="468"/>
      <c r="JHW11" s="468"/>
      <c r="JHX11" s="469"/>
      <c r="JHY11" s="467" t="s">
        <v>34</v>
      </c>
      <c r="JHZ11" s="468"/>
      <c r="JIA11" s="468"/>
      <c r="JIB11" s="468"/>
      <c r="JIC11" s="468"/>
      <c r="JID11" s="468"/>
      <c r="JIE11" s="468"/>
      <c r="JIF11" s="468"/>
      <c r="JIG11" s="468"/>
      <c r="JIH11" s="468"/>
      <c r="JII11" s="468"/>
      <c r="JIJ11" s="468"/>
      <c r="JIK11" s="468"/>
      <c r="JIL11" s="468"/>
      <c r="JIM11" s="468"/>
      <c r="JIN11" s="469"/>
      <c r="JIO11" s="467" t="s">
        <v>34</v>
      </c>
      <c r="JIP11" s="468"/>
      <c r="JIQ11" s="468"/>
      <c r="JIR11" s="468"/>
      <c r="JIS11" s="468"/>
      <c r="JIT11" s="468"/>
      <c r="JIU11" s="468"/>
      <c r="JIV11" s="468"/>
      <c r="JIW11" s="468"/>
      <c r="JIX11" s="468"/>
      <c r="JIY11" s="468"/>
      <c r="JIZ11" s="468"/>
      <c r="JJA11" s="468"/>
      <c r="JJB11" s="468"/>
      <c r="JJC11" s="468"/>
      <c r="JJD11" s="469"/>
      <c r="JJE11" s="467" t="s">
        <v>34</v>
      </c>
      <c r="JJF11" s="468"/>
      <c r="JJG11" s="468"/>
      <c r="JJH11" s="468"/>
      <c r="JJI11" s="468"/>
      <c r="JJJ11" s="468"/>
      <c r="JJK11" s="468"/>
      <c r="JJL11" s="468"/>
      <c r="JJM11" s="468"/>
      <c r="JJN11" s="468"/>
      <c r="JJO11" s="468"/>
      <c r="JJP11" s="468"/>
      <c r="JJQ11" s="468"/>
      <c r="JJR11" s="468"/>
      <c r="JJS11" s="468"/>
      <c r="JJT11" s="469"/>
      <c r="JJU11" s="467" t="s">
        <v>34</v>
      </c>
      <c r="JJV11" s="468"/>
      <c r="JJW11" s="468"/>
      <c r="JJX11" s="468"/>
      <c r="JJY11" s="468"/>
      <c r="JJZ11" s="468"/>
      <c r="JKA11" s="468"/>
      <c r="JKB11" s="468"/>
      <c r="JKC11" s="468"/>
      <c r="JKD11" s="468"/>
      <c r="JKE11" s="468"/>
      <c r="JKF11" s="468"/>
      <c r="JKG11" s="468"/>
      <c r="JKH11" s="468"/>
      <c r="JKI11" s="468"/>
      <c r="JKJ11" s="469"/>
      <c r="JKK11" s="467" t="s">
        <v>34</v>
      </c>
      <c r="JKL11" s="468"/>
      <c r="JKM11" s="468"/>
      <c r="JKN11" s="468"/>
      <c r="JKO11" s="468"/>
      <c r="JKP11" s="468"/>
      <c r="JKQ11" s="468"/>
      <c r="JKR11" s="468"/>
      <c r="JKS11" s="468"/>
      <c r="JKT11" s="468"/>
      <c r="JKU11" s="468"/>
      <c r="JKV11" s="468"/>
      <c r="JKW11" s="468"/>
      <c r="JKX11" s="468"/>
      <c r="JKY11" s="468"/>
      <c r="JKZ11" s="469"/>
      <c r="JLA11" s="467" t="s">
        <v>34</v>
      </c>
      <c r="JLB11" s="468"/>
      <c r="JLC11" s="468"/>
      <c r="JLD11" s="468"/>
      <c r="JLE11" s="468"/>
      <c r="JLF11" s="468"/>
      <c r="JLG11" s="468"/>
      <c r="JLH11" s="468"/>
      <c r="JLI11" s="468"/>
      <c r="JLJ11" s="468"/>
      <c r="JLK11" s="468"/>
      <c r="JLL11" s="468"/>
      <c r="JLM11" s="468"/>
      <c r="JLN11" s="468"/>
      <c r="JLO11" s="468"/>
      <c r="JLP11" s="469"/>
      <c r="JLQ11" s="467" t="s">
        <v>34</v>
      </c>
      <c r="JLR11" s="468"/>
      <c r="JLS11" s="468"/>
      <c r="JLT11" s="468"/>
      <c r="JLU11" s="468"/>
      <c r="JLV11" s="468"/>
      <c r="JLW11" s="468"/>
      <c r="JLX11" s="468"/>
      <c r="JLY11" s="468"/>
      <c r="JLZ11" s="468"/>
      <c r="JMA11" s="468"/>
      <c r="JMB11" s="468"/>
      <c r="JMC11" s="468"/>
      <c r="JMD11" s="468"/>
      <c r="JME11" s="468"/>
      <c r="JMF11" s="469"/>
      <c r="JMG11" s="467" t="s">
        <v>34</v>
      </c>
      <c r="JMH11" s="468"/>
      <c r="JMI11" s="468"/>
      <c r="JMJ11" s="468"/>
      <c r="JMK11" s="468"/>
      <c r="JML11" s="468"/>
      <c r="JMM11" s="468"/>
      <c r="JMN11" s="468"/>
      <c r="JMO11" s="468"/>
      <c r="JMP11" s="468"/>
      <c r="JMQ11" s="468"/>
      <c r="JMR11" s="468"/>
      <c r="JMS11" s="468"/>
      <c r="JMT11" s="468"/>
      <c r="JMU11" s="468"/>
      <c r="JMV11" s="469"/>
      <c r="JMW11" s="467" t="s">
        <v>34</v>
      </c>
      <c r="JMX11" s="468"/>
      <c r="JMY11" s="468"/>
      <c r="JMZ11" s="468"/>
      <c r="JNA11" s="468"/>
      <c r="JNB11" s="468"/>
      <c r="JNC11" s="468"/>
      <c r="JND11" s="468"/>
      <c r="JNE11" s="468"/>
      <c r="JNF11" s="468"/>
      <c r="JNG11" s="468"/>
      <c r="JNH11" s="468"/>
      <c r="JNI11" s="468"/>
      <c r="JNJ11" s="468"/>
      <c r="JNK11" s="468"/>
      <c r="JNL11" s="469"/>
      <c r="JNM11" s="467" t="s">
        <v>34</v>
      </c>
      <c r="JNN11" s="468"/>
      <c r="JNO11" s="468"/>
      <c r="JNP11" s="468"/>
      <c r="JNQ11" s="468"/>
      <c r="JNR11" s="468"/>
      <c r="JNS11" s="468"/>
      <c r="JNT11" s="468"/>
      <c r="JNU11" s="468"/>
      <c r="JNV11" s="468"/>
      <c r="JNW11" s="468"/>
      <c r="JNX11" s="468"/>
      <c r="JNY11" s="468"/>
      <c r="JNZ11" s="468"/>
      <c r="JOA11" s="468"/>
      <c r="JOB11" s="469"/>
      <c r="JOC11" s="467" t="s">
        <v>34</v>
      </c>
      <c r="JOD11" s="468"/>
      <c r="JOE11" s="468"/>
      <c r="JOF11" s="468"/>
      <c r="JOG11" s="468"/>
      <c r="JOH11" s="468"/>
      <c r="JOI11" s="468"/>
      <c r="JOJ11" s="468"/>
      <c r="JOK11" s="468"/>
      <c r="JOL11" s="468"/>
      <c r="JOM11" s="468"/>
      <c r="JON11" s="468"/>
      <c r="JOO11" s="468"/>
      <c r="JOP11" s="468"/>
      <c r="JOQ11" s="468"/>
      <c r="JOR11" s="469"/>
      <c r="JOS11" s="467" t="s">
        <v>34</v>
      </c>
      <c r="JOT11" s="468"/>
      <c r="JOU11" s="468"/>
      <c r="JOV11" s="468"/>
      <c r="JOW11" s="468"/>
      <c r="JOX11" s="468"/>
      <c r="JOY11" s="468"/>
      <c r="JOZ11" s="468"/>
      <c r="JPA11" s="468"/>
      <c r="JPB11" s="468"/>
      <c r="JPC11" s="468"/>
      <c r="JPD11" s="468"/>
      <c r="JPE11" s="468"/>
      <c r="JPF11" s="468"/>
      <c r="JPG11" s="468"/>
      <c r="JPH11" s="469"/>
      <c r="JPI11" s="467" t="s">
        <v>34</v>
      </c>
      <c r="JPJ11" s="468"/>
      <c r="JPK11" s="468"/>
      <c r="JPL11" s="468"/>
      <c r="JPM11" s="468"/>
      <c r="JPN11" s="468"/>
      <c r="JPO11" s="468"/>
      <c r="JPP11" s="468"/>
      <c r="JPQ11" s="468"/>
      <c r="JPR11" s="468"/>
      <c r="JPS11" s="468"/>
      <c r="JPT11" s="468"/>
      <c r="JPU11" s="468"/>
      <c r="JPV11" s="468"/>
      <c r="JPW11" s="468"/>
      <c r="JPX11" s="469"/>
      <c r="JPY11" s="467" t="s">
        <v>34</v>
      </c>
      <c r="JPZ11" s="468"/>
      <c r="JQA11" s="468"/>
      <c r="JQB11" s="468"/>
      <c r="JQC11" s="468"/>
      <c r="JQD11" s="468"/>
      <c r="JQE11" s="468"/>
      <c r="JQF11" s="468"/>
      <c r="JQG11" s="468"/>
      <c r="JQH11" s="468"/>
      <c r="JQI11" s="468"/>
      <c r="JQJ11" s="468"/>
      <c r="JQK11" s="468"/>
      <c r="JQL11" s="468"/>
      <c r="JQM11" s="468"/>
      <c r="JQN11" s="469"/>
      <c r="JQO11" s="467" t="s">
        <v>34</v>
      </c>
      <c r="JQP11" s="468"/>
      <c r="JQQ11" s="468"/>
      <c r="JQR11" s="468"/>
      <c r="JQS11" s="468"/>
      <c r="JQT11" s="468"/>
      <c r="JQU11" s="468"/>
      <c r="JQV11" s="468"/>
      <c r="JQW11" s="468"/>
      <c r="JQX11" s="468"/>
      <c r="JQY11" s="468"/>
      <c r="JQZ11" s="468"/>
      <c r="JRA11" s="468"/>
      <c r="JRB11" s="468"/>
      <c r="JRC11" s="468"/>
      <c r="JRD11" s="469"/>
      <c r="JRE11" s="467" t="s">
        <v>34</v>
      </c>
      <c r="JRF11" s="468"/>
      <c r="JRG11" s="468"/>
      <c r="JRH11" s="468"/>
      <c r="JRI11" s="468"/>
      <c r="JRJ11" s="468"/>
      <c r="JRK11" s="468"/>
      <c r="JRL11" s="468"/>
      <c r="JRM11" s="468"/>
      <c r="JRN11" s="468"/>
      <c r="JRO11" s="468"/>
      <c r="JRP11" s="468"/>
      <c r="JRQ11" s="468"/>
      <c r="JRR11" s="468"/>
      <c r="JRS11" s="468"/>
      <c r="JRT11" s="469"/>
      <c r="JRU11" s="467" t="s">
        <v>34</v>
      </c>
      <c r="JRV11" s="468"/>
      <c r="JRW11" s="468"/>
      <c r="JRX11" s="468"/>
      <c r="JRY11" s="468"/>
      <c r="JRZ11" s="468"/>
      <c r="JSA11" s="468"/>
      <c r="JSB11" s="468"/>
      <c r="JSC11" s="468"/>
      <c r="JSD11" s="468"/>
      <c r="JSE11" s="468"/>
      <c r="JSF11" s="468"/>
      <c r="JSG11" s="468"/>
      <c r="JSH11" s="468"/>
      <c r="JSI11" s="468"/>
      <c r="JSJ11" s="469"/>
      <c r="JSK11" s="467" t="s">
        <v>34</v>
      </c>
      <c r="JSL11" s="468"/>
      <c r="JSM11" s="468"/>
      <c r="JSN11" s="468"/>
      <c r="JSO11" s="468"/>
      <c r="JSP11" s="468"/>
      <c r="JSQ11" s="468"/>
      <c r="JSR11" s="468"/>
      <c r="JSS11" s="468"/>
      <c r="JST11" s="468"/>
      <c r="JSU11" s="468"/>
      <c r="JSV11" s="468"/>
      <c r="JSW11" s="468"/>
      <c r="JSX11" s="468"/>
      <c r="JSY11" s="468"/>
      <c r="JSZ11" s="469"/>
      <c r="JTA11" s="467" t="s">
        <v>34</v>
      </c>
      <c r="JTB11" s="468"/>
      <c r="JTC11" s="468"/>
      <c r="JTD11" s="468"/>
      <c r="JTE11" s="468"/>
      <c r="JTF11" s="468"/>
      <c r="JTG11" s="468"/>
      <c r="JTH11" s="468"/>
      <c r="JTI11" s="468"/>
      <c r="JTJ11" s="468"/>
      <c r="JTK11" s="468"/>
      <c r="JTL11" s="468"/>
      <c r="JTM11" s="468"/>
      <c r="JTN11" s="468"/>
      <c r="JTO11" s="468"/>
      <c r="JTP11" s="469"/>
      <c r="JTQ11" s="467" t="s">
        <v>34</v>
      </c>
      <c r="JTR11" s="468"/>
      <c r="JTS11" s="468"/>
      <c r="JTT11" s="468"/>
      <c r="JTU11" s="468"/>
      <c r="JTV11" s="468"/>
      <c r="JTW11" s="468"/>
      <c r="JTX11" s="468"/>
      <c r="JTY11" s="468"/>
      <c r="JTZ11" s="468"/>
      <c r="JUA11" s="468"/>
      <c r="JUB11" s="468"/>
      <c r="JUC11" s="468"/>
      <c r="JUD11" s="468"/>
      <c r="JUE11" s="468"/>
      <c r="JUF11" s="469"/>
      <c r="JUG11" s="467" t="s">
        <v>34</v>
      </c>
      <c r="JUH11" s="468"/>
      <c r="JUI11" s="468"/>
      <c r="JUJ11" s="468"/>
      <c r="JUK11" s="468"/>
      <c r="JUL11" s="468"/>
      <c r="JUM11" s="468"/>
      <c r="JUN11" s="468"/>
      <c r="JUO11" s="468"/>
      <c r="JUP11" s="468"/>
      <c r="JUQ11" s="468"/>
      <c r="JUR11" s="468"/>
      <c r="JUS11" s="468"/>
      <c r="JUT11" s="468"/>
      <c r="JUU11" s="468"/>
      <c r="JUV11" s="469"/>
      <c r="JUW11" s="467" t="s">
        <v>34</v>
      </c>
      <c r="JUX11" s="468"/>
      <c r="JUY11" s="468"/>
      <c r="JUZ11" s="468"/>
      <c r="JVA11" s="468"/>
      <c r="JVB11" s="468"/>
      <c r="JVC11" s="468"/>
      <c r="JVD11" s="468"/>
      <c r="JVE11" s="468"/>
      <c r="JVF11" s="468"/>
      <c r="JVG11" s="468"/>
      <c r="JVH11" s="468"/>
      <c r="JVI11" s="468"/>
      <c r="JVJ11" s="468"/>
      <c r="JVK11" s="468"/>
      <c r="JVL11" s="469"/>
      <c r="JVM11" s="467" t="s">
        <v>34</v>
      </c>
      <c r="JVN11" s="468"/>
      <c r="JVO11" s="468"/>
      <c r="JVP11" s="468"/>
      <c r="JVQ11" s="468"/>
      <c r="JVR11" s="468"/>
      <c r="JVS11" s="468"/>
      <c r="JVT11" s="468"/>
      <c r="JVU11" s="468"/>
      <c r="JVV11" s="468"/>
      <c r="JVW11" s="468"/>
      <c r="JVX11" s="468"/>
      <c r="JVY11" s="468"/>
      <c r="JVZ11" s="468"/>
      <c r="JWA11" s="468"/>
      <c r="JWB11" s="469"/>
      <c r="JWC11" s="467" t="s">
        <v>34</v>
      </c>
      <c r="JWD11" s="468"/>
      <c r="JWE11" s="468"/>
      <c r="JWF11" s="468"/>
      <c r="JWG11" s="468"/>
      <c r="JWH11" s="468"/>
      <c r="JWI11" s="468"/>
      <c r="JWJ11" s="468"/>
      <c r="JWK11" s="468"/>
      <c r="JWL11" s="468"/>
      <c r="JWM11" s="468"/>
      <c r="JWN11" s="468"/>
      <c r="JWO11" s="468"/>
      <c r="JWP11" s="468"/>
      <c r="JWQ11" s="468"/>
      <c r="JWR11" s="469"/>
      <c r="JWS11" s="467" t="s">
        <v>34</v>
      </c>
      <c r="JWT11" s="468"/>
      <c r="JWU11" s="468"/>
      <c r="JWV11" s="468"/>
      <c r="JWW11" s="468"/>
      <c r="JWX11" s="468"/>
      <c r="JWY11" s="468"/>
      <c r="JWZ11" s="468"/>
      <c r="JXA11" s="468"/>
      <c r="JXB11" s="468"/>
      <c r="JXC11" s="468"/>
      <c r="JXD11" s="468"/>
      <c r="JXE11" s="468"/>
      <c r="JXF11" s="468"/>
      <c r="JXG11" s="468"/>
      <c r="JXH11" s="469"/>
      <c r="JXI11" s="467" t="s">
        <v>34</v>
      </c>
      <c r="JXJ11" s="468"/>
      <c r="JXK11" s="468"/>
      <c r="JXL11" s="468"/>
      <c r="JXM11" s="468"/>
      <c r="JXN11" s="468"/>
      <c r="JXO11" s="468"/>
      <c r="JXP11" s="468"/>
      <c r="JXQ11" s="468"/>
      <c r="JXR11" s="468"/>
      <c r="JXS11" s="468"/>
      <c r="JXT11" s="468"/>
      <c r="JXU11" s="468"/>
      <c r="JXV11" s="468"/>
      <c r="JXW11" s="468"/>
      <c r="JXX11" s="469"/>
      <c r="JXY11" s="467" t="s">
        <v>34</v>
      </c>
      <c r="JXZ11" s="468"/>
      <c r="JYA11" s="468"/>
      <c r="JYB11" s="468"/>
      <c r="JYC11" s="468"/>
      <c r="JYD11" s="468"/>
      <c r="JYE11" s="468"/>
      <c r="JYF11" s="468"/>
      <c r="JYG11" s="468"/>
      <c r="JYH11" s="468"/>
      <c r="JYI11" s="468"/>
      <c r="JYJ11" s="468"/>
      <c r="JYK11" s="468"/>
      <c r="JYL11" s="468"/>
      <c r="JYM11" s="468"/>
      <c r="JYN11" s="469"/>
      <c r="JYO11" s="467" t="s">
        <v>34</v>
      </c>
      <c r="JYP11" s="468"/>
      <c r="JYQ11" s="468"/>
      <c r="JYR11" s="468"/>
      <c r="JYS11" s="468"/>
      <c r="JYT11" s="468"/>
      <c r="JYU11" s="468"/>
      <c r="JYV11" s="468"/>
      <c r="JYW11" s="468"/>
      <c r="JYX11" s="468"/>
      <c r="JYY11" s="468"/>
      <c r="JYZ11" s="468"/>
      <c r="JZA11" s="468"/>
      <c r="JZB11" s="468"/>
      <c r="JZC11" s="468"/>
      <c r="JZD11" s="469"/>
      <c r="JZE11" s="467" t="s">
        <v>34</v>
      </c>
      <c r="JZF11" s="468"/>
      <c r="JZG11" s="468"/>
      <c r="JZH11" s="468"/>
      <c r="JZI11" s="468"/>
      <c r="JZJ11" s="468"/>
      <c r="JZK11" s="468"/>
      <c r="JZL11" s="468"/>
      <c r="JZM11" s="468"/>
      <c r="JZN11" s="468"/>
      <c r="JZO11" s="468"/>
      <c r="JZP11" s="468"/>
      <c r="JZQ11" s="468"/>
      <c r="JZR11" s="468"/>
      <c r="JZS11" s="468"/>
      <c r="JZT11" s="469"/>
      <c r="JZU11" s="467" t="s">
        <v>34</v>
      </c>
      <c r="JZV11" s="468"/>
      <c r="JZW11" s="468"/>
      <c r="JZX11" s="468"/>
      <c r="JZY11" s="468"/>
      <c r="JZZ11" s="468"/>
      <c r="KAA11" s="468"/>
      <c r="KAB11" s="468"/>
      <c r="KAC11" s="468"/>
      <c r="KAD11" s="468"/>
      <c r="KAE11" s="468"/>
      <c r="KAF11" s="468"/>
      <c r="KAG11" s="468"/>
      <c r="KAH11" s="468"/>
      <c r="KAI11" s="468"/>
      <c r="KAJ11" s="469"/>
      <c r="KAK11" s="467" t="s">
        <v>34</v>
      </c>
      <c r="KAL11" s="468"/>
      <c r="KAM11" s="468"/>
      <c r="KAN11" s="468"/>
      <c r="KAO11" s="468"/>
      <c r="KAP11" s="468"/>
      <c r="KAQ11" s="468"/>
      <c r="KAR11" s="468"/>
      <c r="KAS11" s="468"/>
      <c r="KAT11" s="468"/>
      <c r="KAU11" s="468"/>
      <c r="KAV11" s="468"/>
      <c r="KAW11" s="468"/>
      <c r="KAX11" s="468"/>
      <c r="KAY11" s="468"/>
      <c r="KAZ11" s="469"/>
      <c r="KBA11" s="467" t="s">
        <v>34</v>
      </c>
      <c r="KBB11" s="468"/>
      <c r="KBC11" s="468"/>
      <c r="KBD11" s="468"/>
      <c r="KBE11" s="468"/>
      <c r="KBF11" s="468"/>
      <c r="KBG11" s="468"/>
      <c r="KBH11" s="468"/>
      <c r="KBI11" s="468"/>
      <c r="KBJ11" s="468"/>
      <c r="KBK11" s="468"/>
      <c r="KBL11" s="468"/>
      <c r="KBM11" s="468"/>
      <c r="KBN11" s="468"/>
      <c r="KBO11" s="468"/>
      <c r="KBP11" s="469"/>
      <c r="KBQ11" s="467" t="s">
        <v>34</v>
      </c>
      <c r="KBR11" s="468"/>
      <c r="KBS11" s="468"/>
      <c r="KBT11" s="468"/>
      <c r="KBU11" s="468"/>
      <c r="KBV11" s="468"/>
      <c r="KBW11" s="468"/>
      <c r="KBX11" s="468"/>
      <c r="KBY11" s="468"/>
      <c r="KBZ11" s="468"/>
      <c r="KCA11" s="468"/>
      <c r="KCB11" s="468"/>
      <c r="KCC11" s="468"/>
      <c r="KCD11" s="468"/>
      <c r="KCE11" s="468"/>
      <c r="KCF11" s="469"/>
      <c r="KCG11" s="467" t="s">
        <v>34</v>
      </c>
      <c r="KCH11" s="468"/>
      <c r="KCI11" s="468"/>
      <c r="KCJ11" s="468"/>
      <c r="KCK11" s="468"/>
      <c r="KCL11" s="468"/>
      <c r="KCM11" s="468"/>
      <c r="KCN11" s="468"/>
      <c r="KCO11" s="468"/>
      <c r="KCP11" s="468"/>
      <c r="KCQ11" s="468"/>
      <c r="KCR11" s="468"/>
      <c r="KCS11" s="468"/>
      <c r="KCT11" s="468"/>
      <c r="KCU11" s="468"/>
      <c r="KCV11" s="469"/>
      <c r="KCW11" s="467" t="s">
        <v>34</v>
      </c>
      <c r="KCX11" s="468"/>
      <c r="KCY11" s="468"/>
      <c r="KCZ11" s="468"/>
      <c r="KDA11" s="468"/>
      <c r="KDB11" s="468"/>
      <c r="KDC11" s="468"/>
      <c r="KDD11" s="468"/>
      <c r="KDE11" s="468"/>
      <c r="KDF11" s="468"/>
      <c r="KDG11" s="468"/>
      <c r="KDH11" s="468"/>
      <c r="KDI11" s="468"/>
      <c r="KDJ11" s="468"/>
      <c r="KDK11" s="468"/>
      <c r="KDL11" s="469"/>
      <c r="KDM11" s="467" t="s">
        <v>34</v>
      </c>
      <c r="KDN11" s="468"/>
      <c r="KDO11" s="468"/>
      <c r="KDP11" s="468"/>
      <c r="KDQ11" s="468"/>
      <c r="KDR11" s="468"/>
      <c r="KDS11" s="468"/>
      <c r="KDT11" s="468"/>
      <c r="KDU11" s="468"/>
      <c r="KDV11" s="468"/>
      <c r="KDW11" s="468"/>
      <c r="KDX11" s="468"/>
      <c r="KDY11" s="468"/>
      <c r="KDZ11" s="468"/>
      <c r="KEA11" s="468"/>
      <c r="KEB11" s="469"/>
      <c r="KEC11" s="467" t="s">
        <v>34</v>
      </c>
      <c r="KED11" s="468"/>
      <c r="KEE11" s="468"/>
      <c r="KEF11" s="468"/>
      <c r="KEG11" s="468"/>
      <c r="KEH11" s="468"/>
      <c r="KEI11" s="468"/>
      <c r="KEJ11" s="468"/>
      <c r="KEK11" s="468"/>
      <c r="KEL11" s="468"/>
      <c r="KEM11" s="468"/>
      <c r="KEN11" s="468"/>
      <c r="KEO11" s="468"/>
      <c r="KEP11" s="468"/>
      <c r="KEQ11" s="468"/>
      <c r="KER11" s="469"/>
      <c r="KES11" s="467" t="s">
        <v>34</v>
      </c>
      <c r="KET11" s="468"/>
      <c r="KEU11" s="468"/>
      <c r="KEV11" s="468"/>
      <c r="KEW11" s="468"/>
      <c r="KEX11" s="468"/>
      <c r="KEY11" s="468"/>
      <c r="KEZ11" s="468"/>
      <c r="KFA11" s="468"/>
      <c r="KFB11" s="468"/>
      <c r="KFC11" s="468"/>
      <c r="KFD11" s="468"/>
      <c r="KFE11" s="468"/>
      <c r="KFF11" s="468"/>
      <c r="KFG11" s="468"/>
      <c r="KFH11" s="469"/>
      <c r="KFI11" s="467" t="s">
        <v>34</v>
      </c>
      <c r="KFJ11" s="468"/>
      <c r="KFK11" s="468"/>
      <c r="KFL11" s="468"/>
      <c r="KFM11" s="468"/>
      <c r="KFN11" s="468"/>
      <c r="KFO11" s="468"/>
      <c r="KFP11" s="468"/>
      <c r="KFQ11" s="468"/>
      <c r="KFR11" s="468"/>
      <c r="KFS11" s="468"/>
      <c r="KFT11" s="468"/>
      <c r="KFU11" s="468"/>
      <c r="KFV11" s="468"/>
      <c r="KFW11" s="468"/>
      <c r="KFX11" s="469"/>
      <c r="KFY11" s="467" t="s">
        <v>34</v>
      </c>
      <c r="KFZ11" s="468"/>
      <c r="KGA11" s="468"/>
      <c r="KGB11" s="468"/>
      <c r="KGC11" s="468"/>
      <c r="KGD11" s="468"/>
      <c r="KGE11" s="468"/>
      <c r="KGF11" s="468"/>
      <c r="KGG11" s="468"/>
      <c r="KGH11" s="468"/>
      <c r="KGI11" s="468"/>
      <c r="KGJ11" s="468"/>
      <c r="KGK11" s="468"/>
      <c r="KGL11" s="468"/>
      <c r="KGM11" s="468"/>
      <c r="KGN11" s="469"/>
      <c r="KGO11" s="467" t="s">
        <v>34</v>
      </c>
      <c r="KGP11" s="468"/>
      <c r="KGQ11" s="468"/>
      <c r="KGR11" s="468"/>
      <c r="KGS11" s="468"/>
      <c r="KGT11" s="468"/>
      <c r="KGU11" s="468"/>
      <c r="KGV11" s="468"/>
      <c r="KGW11" s="468"/>
      <c r="KGX11" s="468"/>
      <c r="KGY11" s="468"/>
      <c r="KGZ11" s="468"/>
      <c r="KHA11" s="468"/>
      <c r="KHB11" s="468"/>
      <c r="KHC11" s="468"/>
      <c r="KHD11" s="469"/>
      <c r="KHE11" s="467" t="s">
        <v>34</v>
      </c>
      <c r="KHF11" s="468"/>
      <c r="KHG11" s="468"/>
      <c r="KHH11" s="468"/>
      <c r="KHI11" s="468"/>
      <c r="KHJ11" s="468"/>
      <c r="KHK11" s="468"/>
      <c r="KHL11" s="468"/>
      <c r="KHM11" s="468"/>
      <c r="KHN11" s="468"/>
      <c r="KHO11" s="468"/>
      <c r="KHP11" s="468"/>
      <c r="KHQ11" s="468"/>
      <c r="KHR11" s="468"/>
      <c r="KHS11" s="468"/>
      <c r="KHT11" s="469"/>
      <c r="KHU11" s="467" t="s">
        <v>34</v>
      </c>
      <c r="KHV11" s="468"/>
      <c r="KHW11" s="468"/>
      <c r="KHX11" s="468"/>
      <c r="KHY11" s="468"/>
      <c r="KHZ11" s="468"/>
      <c r="KIA11" s="468"/>
      <c r="KIB11" s="468"/>
      <c r="KIC11" s="468"/>
      <c r="KID11" s="468"/>
      <c r="KIE11" s="468"/>
      <c r="KIF11" s="468"/>
      <c r="KIG11" s="468"/>
      <c r="KIH11" s="468"/>
      <c r="KII11" s="468"/>
      <c r="KIJ11" s="469"/>
      <c r="KIK11" s="467" t="s">
        <v>34</v>
      </c>
      <c r="KIL11" s="468"/>
      <c r="KIM11" s="468"/>
      <c r="KIN11" s="468"/>
      <c r="KIO11" s="468"/>
      <c r="KIP11" s="468"/>
      <c r="KIQ11" s="468"/>
      <c r="KIR11" s="468"/>
      <c r="KIS11" s="468"/>
      <c r="KIT11" s="468"/>
      <c r="KIU11" s="468"/>
      <c r="KIV11" s="468"/>
      <c r="KIW11" s="468"/>
      <c r="KIX11" s="468"/>
      <c r="KIY11" s="468"/>
      <c r="KIZ11" s="469"/>
      <c r="KJA11" s="467" t="s">
        <v>34</v>
      </c>
      <c r="KJB11" s="468"/>
      <c r="KJC11" s="468"/>
      <c r="KJD11" s="468"/>
      <c r="KJE11" s="468"/>
      <c r="KJF11" s="468"/>
      <c r="KJG11" s="468"/>
      <c r="KJH11" s="468"/>
      <c r="KJI11" s="468"/>
      <c r="KJJ11" s="468"/>
      <c r="KJK11" s="468"/>
      <c r="KJL11" s="468"/>
      <c r="KJM11" s="468"/>
      <c r="KJN11" s="468"/>
      <c r="KJO11" s="468"/>
      <c r="KJP11" s="469"/>
      <c r="KJQ11" s="467" t="s">
        <v>34</v>
      </c>
      <c r="KJR11" s="468"/>
      <c r="KJS11" s="468"/>
      <c r="KJT11" s="468"/>
      <c r="KJU11" s="468"/>
      <c r="KJV11" s="468"/>
      <c r="KJW11" s="468"/>
      <c r="KJX11" s="468"/>
      <c r="KJY11" s="468"/>
      <c r="KJZ11" s="468"/>
      <c r="KKA11" s="468"/>
      <c r="KKB11" s="468"/>
      <c r="KKC11" s="468"/>
      <c r="KKD11" s="468"/>
      <c r="KKE11" s="468"/>
      <c r="KKF11" s="469"/>
      <c r="KKG11" s="467" t="s">
        <v>34</v>
      </c>
      <c r="KKH11" s="468"/>
      <c r="KKI11" s="468"/>
      <c r="KKJ11" s="468"/>
      <c r="KKK11" s="468"/>
      <c r="KKL11" s="468"/>
      <c r="KKM11" s="468"/>
      <c r="KKN11" s="468"/>
      <c r="KKO11" s="468"/>
      <c r="KKP11" s="468"/>
      <c r="KKQ11" s="468"/>
      <c r="KKR11" s="468"/>
      <c r="KKS11" s="468"/>
      <c r="KKT11" s="468"/>
      <c r="KKU11" s="468"/>
      <c r="KKV11" s="469"/>
      <c r="KKW11" s="467" t="s">
        <v>34</v>
      </c>
      <c r="KKX11" s="468"/>
      <c r="KKY11" s="468"/>
      <c r="KKZ11" s="468"/>
      <c r="KLA11" s="468"/>
      <c r="KLB11" s="468"/>
      <c r="KLC11" s="468"/>
      <c r="KLD11" s="468"/>
      <c r="KLE11" s="468"/>
      <c r="KLF11" s="468"/>
      <c r="KLG11" s="468"/>
      <c r="KLH11" s="468"/>
      <c r="KLI11" s="468"/>
      <c r="KLJ11" s="468"/>
      <c r="KLK11" s="468"/>
      <c r="KLL11" s="469"/>
      <c r="KLM11" s="467" t="s">
        <v>34</v>
      </c>
      <c r="KLN11" s="468"/>
      <c r="KLO11" s="468"/>
      <c r="KLP11" s="468"/>
      <c r="KLQ11" s="468"/>
      <c r="KLR11" s="468"/>
      <c r="KLS11" s="468"/>
      <c r="KLT11" s="468"/>
      <c r="KLU11" s="468"/>
      <c r="KLV11" s="468"/>
      <c r="KLW11" s="468"/>
      <c r="KLX11" s="468"/>
      <c r="KLY11" s="468"/>
      <c r="KLZ11" s="468"/>
      <c r="KMA11" s="468"/>
      <c r="KMB11" s="469"/>
      <c r="KMC11" s="467" t="s">
        <v>34</v>
      </c>
      <c r="KMD11" s="468"/>
      <c r="KME11" s="468"/>
      <c r="KMF11" s="468"/>
      <c r="KMG11" s="468"/>
      <c r="KMH11" s="468"/>
      <c r="KMI11" s="468"/>
      <c r="KMJ11" s="468"/>
      <c r="KMK11" s="468"/>
      <c r="KML11" s="468"/>
      <c r="KMM11" s="468"/>
      <c r="KMN11" s="468"/>
      <c r="KMO11" s="468"/>
      <c r="KMP11" s="468"/>
      <c r="KMQ11" s="468"/>
      <c r="KMR11" s="469"/>
      <c r="KMS11" s="467" t="s">
        <v>34</v>
      </c>
      <c r="KMT11" s="468"/>
      <c r="KMU11" s="468"/>
      <c r="KMV11" s="468"/>
      <c r="KMW11" s="468"/>
      <c r="KMX11" s="468"/>
      <c r="KMY11" s="468"/>
      <c r="KMZ11" s="468"/>
      <c r="KNA11" s="468"/>
      <c r="KNB11" s="468"/>
      <c r="KNC11" s="468"/>
      <c r="KND11" s="468"/>
      <c r="KNE11" s="468"/>
      <c r="KNF11" s="468"/>
      <c r="KNG11" s="468"/>
      <c r="KNH11" s="469"/>
      <c r="KNI11" s="467" t="s">
        <v>34</v>
      </c>
      <c r="KNJ11" s="468"/>
      <c r="KNK11" s="468"/>
      <c r="KNL11" s="468"/>
      <c r="KNM11" s="468"/>
      <c r="KNN11" s="468"/>
      <c r="KNO11" s="468"/>
      <c r="KNP11" s="468"/>
      <c r="KNQ11" s="468"/>
      <c r="KNR11" s="468"/>
      <c r="KNS11" s="468"/>
      <c r="KNT11" s="468"/>
      <c r="KNU11" s="468"/>
      <c r="KNV11" s="468"/>
      <c r="KNW11" s="468"/>
      <c r="KNX11" s="469"/>
      <c r="KNY11" s="467" t="s">
        <v>34</v>
      </c>
      <c r="KNZ11" s="468"/>
      <c r="KOA11" s="468"/>
      <c r="KOB11" s="468"/>
      <c r="KOC11" s="468"/>
      <c r="KOD11" s="468"/>
      <c r="KOE11" s="468"/>
      <c r="KOF11" s="468"/>
      <c r="KOG11" s="468"/>
      <c r="KOH11" s="468"/>
      <c r="KOI11" s="468"/>
      <c r="KOJ11" s="468"/>
      <c r="KOK11" s="468"/>
      <c r="KOL11" s="468"/>
      <c r="KOM11" s="468"/>
      <c r="KON11" s="469"/>
      <c r="KOO11" s="467" t="s">
        <v>34</v>
      </c>
      <c r="KOP11" s="468"/>
      <c r="KOQ11" s="468"/>
      <c r="KOR11" s="468"/>
      <c r="KOS11" s="468"/>
      <c r="KOT11" s="468"/>
      <c r="KOU11" s="468"/>
      <c r="KOV11" s="468"/>
      <c r="KOW11" s="468"/>
      <c r="KOX11" s="468"/>
      <c r="KOY11" s="468"/>
      <c r="KOZ11" s="468"/>
      <c r="KPA11" s="468"/>
      <c r="KPB11" s="468"/>
      <c r="KPC11" s="468"/>
      <c r="KPD11" s="469"/>
      <c r="KPE11" s="467" t="s">
        <v>34</v>
      </c>
      <c r="KPF11" s="468"/>
      <c r="KPG11" s="468"/>
      <c r="KPH11" s="468"/>
      <c r="KPI11" s="468"/>
      <c r="KPJ11" s="468"/>
      <c r="KPK11" s="468"/>
      <c r="KPL11" s="468"/>
      <c r="KPM11" s="468"/>
      <c r="KPN11" s="468"/>
      <c r="KPO11" s="468"/>
      <c r="KPP11" s="468"/>
      <c r="KPQ11" s="468"/>
      <c r="KPR11" s="468"/>
      <c r="KPS11" s="468"/>
      <c r="KPT11" s="469"/>
      <c r="KPU11" s="467" t="s">
        <v>34</v>
      </c>
      <c r="KPV11" s="468"/>
      <c r="KPW11" s="468"/>
      <c r="KPX11" s="468"/>
      <c r="KPY11" s="468"/>
      <c r="KPZ11" s="468"/>
      <c r="KQA11" s="468"/>
      <c r="KQB11" s="468"/>
      <c r="KQC11" s="468"/>
      <c r="KQD11" s="468"/>
      <c r="KQE11" s="468"/>
      <c r="KQF11" s="468"/>
      <c r="KQG11" s="468"/>
      <c r="KQH11" s="468"/>
      <c r="KQI11" s="468"/>
      <c r="KQJ11" s="469"/>
      <c r="KQK11" s="467" t="s">
        <v>34</v>
      </c>
      <c r="KQL11" s="468"/>
      <c r="KQM11" s="468"/>
      <c r="KQN11" s="468"/>
      <c r="KQO11" s="468"/>
      <c r="KQP11" s="468"/>
      <c r="KQQ11" s="468"/>
      <c r="KQR11" s="468"/>
      <c r="KQS11" s="468"/>
      <c r="KQT11" s="468"/>
      <c r="KQU11" s="468"/>
      <c r="KQV11" s="468"/>
      <c r="KQW11" s="468"/>
      <c r="KQX11" s="468"/>
      <c r="KQY11" s="468"/>
      <c r="KQZ11" s="469"/>
      <c r="KRA11" s="467" t="s">
        <v>34</v>
      </c>
      <c r="KRB11" s="468"/>
      <c r="KRC11" s="468"/>
      <c r="KRD11" s="468"/>
      <c r="KRE11" s="468"/>
      <c r="KRF11" s="468"/>
      <c r="KRG11" s="468"/>
      <c r="KRH11" s="468"/>
      <c r="KRI11" s="468"/>
      <c r="KRJ11" s="468"/>
      <c r="KRK11" s="468"/>
      <c r="KRL11" s="468"/>
      <c r="KRM11" s="468"/>
      <c r="KRN11" s="468"/>
      <c r="KRO11" s="468"/>
      <c r="KRP11" s="469"/>
      <c r="KRQ11" s="467" t="s">
        <v>34</v>
      </c>
      <c r="KRR11" s="468"/>
      <c r="KRS11" s="468"/>
      <c r="KRT11" s="468"/>
      <c r="KRU11" s="468"/>
      <c r="KRV11" s="468"/>
      <c r="KRW11" s="468"/>
      <c r="KRX11" s="468"/>
      <c r="KRY11" s="468"/>
      <c r="KRZ11" s="468"/>
      <c r="KSA11" s="468"/>
      <c r="KSB11" s="468"/>
      <c r="KSC11" s="468"/>
      <c r="KSD11" s="468"/>
      <c r="KSE11" s="468"/>
      <c r="KSF11" s="469"/>
      <c r="KSG11" s="467" t="s">
        <v>34</v>
      </c>
      <c r="KSH11" s="468"/>
      <c r="KSI11" s="468"/>
      <c r="KSJ11" s="468"/>
      <c r="KSK11" s="468"/>
      <c r="KSL11" s="468"/>
      <c r="KSM11" s="468"/>
      <c r="KSN11" s="468"/>
      <c r="KSO11" s="468"/>
      <c r="KSP11" s="468"/>
      <c r="KSQ11" s="468"/>
      <c r="KSR11" s="468"/>
      <c r="KSS11" s="468"/>
      <c r="KST11" s="468"/>
      <c r="KSU11" s="468"/>
      <c r="KSV11" s="469"/>
      <c r="KSW11" s="467" t="s">
        <v>34</v>
      </c>
      <c r="KSX11" s="468"/>
      <c r="KSY11" s="468"/>
      <c r="KSZ11" s="468"/>
      <c r="KTA11" s="468"/>
      <c r="KTB11" s="468"/>
      <c r="KTC11" s="468"/>
      <c r="KTD11" s="468"/>
      <c r="KTE11" s="468"/>
      <c r="KTF11" s="468"/>
      <c r="KTG11" s="468"/>
      <c r="KTH11" s="468"/>
      <c r="KTI11" s="468"/>
      <c r="KTJ11" s="468"/>
      <c r="KTK11" s="468"/>
      <c r="KTL11" s="469"/>
      <c r="KTM11" s="467" t="s">
        <v>34</v>
      </c>
      <c r="KTN11" s="468"/>
      <c r="KTO11" s="468"/>
      <c r="KTP11" s="468"/>
      <c r="KTQ11" s="468"/>
      <c r="KTR11" s="468"/>
      <c r="KTS11" s="468"/>
      <c r="KTT11" s="468"/>
      <c r="KTU11" s="468"/>
      <c r="KTV11" s="468"/>
      <c r="KTW11" s="468"/>
      <c r="KTX11" s="468"/>
      <c r="KTY11" s="468"/>
      <c r="KTZ11" s="468"/>
      <c r="KUA11" s="468"/>
      <c r="KUB11" s="469"/>
      <c r="KUC11" s="467" t="s">
        <v>34</v>
      </c>
      <c r="KUD11" s="468"/>
      <c r="KUE11" s="468"/>
      <c r="KUF11" s="468"/>
      <c r="KUG11" s="468"/>
      <c r="KUH11" s="468"/>
      <c r="KUI11" s="468"/>
      <c r="KUJ11" s="468"/>
      <c r="KUK11" s="468"/>
      <c r="KUL11" s="468"/>
      <c r="KUM11" s="468"/>
      <c r="KUN11" s="468"/>
      <c r="KUO11" s="468"/>
      <c r="KUP11" s="468"/>
      <c r="KUQ11" s="468"/>
      <c r="KUR11" s="469"/>
      <c r="KUS11" s="467" t="s">
        <v>34</v>
      </c>
      <c r="KUT11" s="468"/>
      <c r="KUU11" s="468"/>
      <c r="KUV11" s="468"/>
      <c r="KUW11" s="468"/>
      <c r="KUX11" s="468"/>
      <c r="KUY11" s="468"/>
      <c r="KUZ11" s="468"/>
      <c r="KVA11" s="468"/>
      <c r="KVB11" s="468"/>
      <c r="KVC11" s="468"/>
      <c r="KVD11" s="468"/>
      <c r="KVE11" s="468"/>
      <c r="KVF11" s="468"/>
      <c r="KVG11" s="468"/>
      <c r="KVH11" s="469"/>
      <c r="KVI11" s="467" t="s">
        <v>34</v>
      </c>
      <c r="KVJ11" s="468"/>
      <c r="KVK11" s="468"/>
      <c r="KVL11" s="468"/>
      <c r="KVM11" s="468"/>
      <c r="KVN11" s="468"/>
      <c r="KVO11" s="468"/>
      <c r="KVP11" s="468"/>
      <c r="KVQ11" s="468"/>
      <c r="KVR11" s="468"/>
      <c r="KVS11" s="468"/>
      <c r="KVT11" s="468"/>
      <c r="KVU11" s="468"/>
      <c r="KVV11" s="468"/>
      <c r="KVW11" s="468"/>
      <c r="KVX11" s="469"/>
      <c r="KVY11" s="467" t="s">
        <v>34</v>
      </c>
      <c r="KVZ11" s="468"/>
      <c r="KWA11" s="468"/>
      <c r="KWB11" s="468"/>
      <c r="KWC11" s="468"/>
      <c r="KWD11" s="468"/>
      <c r="KWE11" s="468"/>
      <c r="KWF11" s="468"/>
      <c r="KWG11" s="468"/>
      <c r="KWH11" s="468"/>
      <c r="KWI11" s="468"/>
      <c r="KWJ11" s="468"/>
      <c r="KWK11" s="468"/>
      <c r="KWL11" s="468"/>
      <c r="KWM11" s="468"/>
      <c r="KWN11" s="469"/>
      <c r="KWO11" s="467" t="s">
        <v>34</v>
      </c>
      <c r="KWP11" s="468"/>
      <c r="KWQ11" s="468"/>
      <c r="KWR11" s="468"/>
      <c r="KWS11" s="468"/>
      <c r="KWT11" s="468"/>
      <c r="KWU11" s="468"/>
      <c r="KWV11" s="468"/>
      <c r="KWW11" s="468"/>
      <c r="KWX11" s="468"/>
      <c r="KWY11" s="468"/>
      <c r="KWZ11" s="468"/>
      <c r="KXA11" s="468"/>
      <c r="KXB11" s="468"/>
      <c r="KXC11" s="468"/>
      <c r="KXD11" s="469"/>
      <c r="KXE11" s="467" t="s">
        <v>34</v>
      </c>
      <c r="KXF11" s="468"/>
      <c r="KXG11" s="468"/>
      <c r="KXH11" s="468"/>
      <c r="KXI11" s="468"/>
      <c r="KXJ11" s="468"/>
      <c r="KXK11" s="468"/>
      <c r="KXL11" s="468"/>
      <c r="KXM11" s="468"/>
      <c r="KXN11" s="468"/>
      <c r="KXO11" s="468"/>
      <c r="KXP11" s="468"/>
      <c r="KXQ11" s="468"/>
      <c r="KXR11" s="468"/>
      <c r="KXS11" s="468"/>
      <c r="KXT11" s="469"/>
      <c r="KXU11" s="467" t="s">
        <v>34</v>
      </c>
      <c r="KXV11" s="468"/>
      <c r="KXW11" s="468"/>
      <c r="KXX11" s="468"/>
      <c r="KXY11" s="468"/>
      <c r="KXZ11" s="468"/>
      <c r="KYA11" s="468"/>
      <c r="KYB11" s="468"/>
      <c r="KYC11" s="468"/>
      <c r="KYD11" s="468"/>
      <c r="KYE11" s="468"/>
      <c r="KYF11" s="468"/>
      <c r="KYG11" s="468"/>
      <c r="KYH11" s="468"/>
      <c r="KYI11" s="468"/>
      <c r="KYJ11" s="469"/>
      <c r="KYK11" s="467" t="s">
        <v>34</v>
      </c>
      <c r="KYL11" s="468"/>
      <c r="KYM11" s="468"/>
      <c r="KYN11" s="468"/>
      <c r="KYO11" s="468"/>
      <c r="KYP11" s="468"/>
      <c r="KYQ11" s="468"/>
      <c r="KYR11" s="468"/>
      <c r="KYS11" s="468"/>
      <c r="KYT11" s="468"/>
      <c r="KYU11" s="468"/>
      <c r="KYV11" s="468"/>
      <c r="KYW11" s="468"/>
      <c r="KYX11" s="468"/>
      <c r="KYY11" s="468"/>
      <c r="KYZ11" s="469"/>
      <c r="KZA11" s="467" t="s">
        <v>34</v>
      </c>
      <c r="KZB11" s="468"/>
      <c r="KZC11" s="468"/>
      <c r="KZD11" s="468"/>
      <c r="KZE11" s="468"/>
      <c r="KZF11" s="468"/>
      <c r="KZG11" s="468"/>
      <c r="KZH11" s="468"/>
      <c r="KZI11" s="468"/>
      <c r="KZJ11" s="468"/>
      <c r="KZK11" s="468"/>
      <c r="KZL11" s="468"/>
      <c r="KZM11" s="468"/>
      <c r="KZN11" s="468"/>
      <c r="KZO11" s="468"/>
      <c r="KZP11" s="469"/>
      <c r="KZQ11" s="467" t="s">
        <v>34</v>
      </c>
      <c r="KZR11" s="468"/>
      <c r="KZS11" s="468"/>
      <c r="KZT11" s="468"/>
      <c r="KZU11" s="468"/>
      <c r="KZV11" s="468"/>
      <c r="KZW11" s="468"/>
      <c r="KZX11" s="468"/>
      <c r="KZY11" s="468"/>
      <c r="KZZ11" s="468"/>
      <c r="LAA11" s="468"/>
      <c r="LAB11" s="468"/>
      <c r="LAC11" s="468"/>
      <c r="LAD11" s="468"/>
      <c r="LAE11" s="468"/>
      <c r="LAF11" s="469"/>
      <c r="LAG11" s="467" t="s">
        <v>34</v>
      </c>
      <c r="LAH11" s="468"/>
      <c r="LAI11" s="468"/>
      <c r="LAJ11" s="468"/>
      <c r="LAK11" s="468"/>
      <c r="LAL11" s="468"/>
      <c r="LAM11" s="468"/>
      <c r="LAN11" s="468"/>
      <c r="LAO11" s="468"/>
      <c r="LAP11" s="468"/>
      <c r="LAQ11" s="468"/>
      <c r="LAR11" s="468"/>
      <c r="LAS11" s="468"/>
      <c r="LAT11" s="468"/>
      <c r="LAU11" s="468"/>
      <c r="LAV11" s="469"/>
      <c r="LAW11" s="467" t="s">
        <v>34</v>
      </c>
      <c r="LAX11" s="468"/>
      <c r="LAY11" s="468"/>
      <c r="LAZ11" s="468"/>
      <c r="LBA11" s="468"/>
      <c r="LBB11" s="468"/>
      <c r="LBC11" s="468"/>
      <c r="LBD11" s="468"/>
      <c r="LBE11" s="468"/>
      <c r="LBF11" s="468"/>
      <c r="LBG11" s="468"/>
      <c r="LBH11" s="468"/>
      <c r="LBI11" s="468"/>
      <c r="LBJ11" s="468"/>
      <c r="LBK11" s="468"/>
      <c r="LBL11" s="469"/>
      <c r="LBM11" s="467" t="s">
        <v>34</v>
      </c>
      <c r="LBN11" s="468"/>
      <c r="LBO11" s="468"/>
      <c r="LBP11" s="468"/>
      <c r="LBQ11" s="468"/>
      <c r="LBR11" s="468"/>
      <c r="LBS11" s="468"/>
      <c r="LBT11" s="468"/>
      <c r="LBU11" s="468"/>
      <c r="LBV11" s="468"/>
      <c r="LBW11" s="468"/>
      <c r="LBX11" s="468"/>
      <c r="LBY11" s="468"/>
      <c r="LBZ11" s="468"/>
      <c r="LCA11" s="468"/>
      <c r="LCB11" s="469"/>
      <c r="LCC11" s="467" t="s">
        <v>34</v>
      </c>
      <c r="LCD11" s="468"/>
      <c r="LCE11" s="468"/>
      <c r="LCF11" s="468"/>
      <c r="LCG11" s="468"/>
      <c r="LCH11" s="468"/>
      <c r="LCI11" s="468"/>
      <c r="LCJ11" s="468"/>
      <c r="LCK11" s="468"/>
      <c r="LCL11" s="468"/>
      <c r="LCM11" s="468"/>
      <c r="LCN11" s="468"/>
      <c r="LCO11" s="468"/>
      <c r="LCP11" s="468"/>
      <c r="LCQ11" s="468"/>
      <c r="LCR11" s="469"/>
      <c r="LCS11" s="467" t="s">
        <v>34</v>
      </c>
      <c r="LCT11" s="468"/>
      <c r="LCU11" s="468"/>
      <c r="LCV11" s="468"/>
      <c r="LCW11" s="468"/>
      <c r="LCX11" s="468"/>
      <c r="LCY11" s="468"/>
      <c r="LCZ11" s="468"/>
      <c r="LDA11" s="468"/>
      <c r="LDB11" s="468"/>
      <c r="LDC11" s="468"/>
      <c r="LDD11" s="468"/>
      <c r="LDE11" s="468"/>
      <c r="LDF11" s="468"/>
      <c r="LDG11" s="468"/>
      <c r="LDH11" s="469"/>
      <c r="LDI11" s="467" t="s">
        <v>34</v>
      </c>
      <c r="LDJ11" s="468"/>
      <c r="LDK11" s="468"/>
      <c r="LDL11" s="468"/>
      <c r="LDM11" s="468"/>
      <c r="LDN11" s="468"/>
      <c r="LDO11" s="468"/>
      <c r="LDP11" s="468"/>
      <c r="LDQ11" s="468"/>
      <c r="LDR11" s="468"/>
      <c r="LDS11" s="468"/>
      <c r="LDT11" s="468"/>
      <c r="LDU11" s="468"/>
      <c r="LDV11" s="468"/>
      <c r="LDW11" s="468"/>
      <c r="LDX11" s="469"/>
      <c r="LDY11" s="467" t="s">
        <v>34</v>
      </c>
      <c r="LDZ11" s="468"/>
      <c r="LEA11" s="468"/>
      <c r="LEB11" s="468"/>
      <c r="LEC11" s="468"/>
      <c r="LED11" s="468"/>
      <c r="LEE11" s="468"/>
      <c r="LEF11" s="468"/>
      <c r="LEG11" s="468"/>
      <c r="LEH11" s="468"/>
      <c r="LEI11" s="468"/>
      <c r="LEJ11" s="468"/>
      <c r="LEK11" s="468"/>
      <c r="LEL11" s="468"/>
      <c r="LEM11" s="468"/>
      <c r="LEN11" s="469"/>
      <c r="LEO11" s="467" t="s">
        <v>34</v>
      </c>
      <c r="LEP11" s="468"/>
      <c r="LEQ11" s="468"/>
      <c r="LER11" s="468"/>
      <c r="LES11" s="468"/>
      <c r="LET11" s="468"/>
      <c r="LEU11" s="468"/>
      <c r="LEV11" s="468"/>
      <c r="LEW11" s="468"/>
      <c r="LEX11" s="468"/>
      <c r="LEY11" s="468"/>
      <c r="LEZ11" s="468"/>
      <c r="LFA11" s="468"/>
      <c r="LFB11" s="468"/>
      <c r="LFC11" s="468"/>
      <c r="LFD11" s="469"/>
      <c r="LFE11" s="467" t="s">
        <v>34</v>
      </c>
      <c r="LFF11" s="468"/>
      <c r="LFG11" s="468"/>
      <c r="LFH11" s="468"/>
      <c r="LFI11" s="468"/>
      <c r="LFJ11" s="468"/>
      <c r="LFK11" s="468"/>
      <c r="LFL11" s="468"/>
      <c r="LFM11" s="468"/>
      <c r="LFN11" s="468"/>
      <c r="LFO11" s="468"/>
      <c r="LFP11" s="468"/>
      <c r="LFQ11" s="468"/>
      <c r="LFR11" s="468"/>
      <c r="LFS11" s="468"/>
      <c r="LFT11" s="469"/>
      <c r="LFU11" s="467" t="s">
        <v>34</v>
      </c>
      <c r="LFV11" s="468"/>
      <c r="LFW11" s="468"/>
      <c r="LFX11" s="468"/>
      <c r="LFY11" s="468"/>
      <c r="LFZ11" s="468"/>
      <c r="LGA11" s="468"/>
      <c r="LGB11" s="468"/>
      <c r="LGC11" s="468"/>
      <c r="LGD11" s="468"/>
      <c r="LGE11" s="468"/>
      <c r="LGF11" s="468"/>
      <c r="LGG11" s="468"/>
      <c r="LGH11" s="468"/>
      <c r="LGI11" s="468"/>
      <c r="LGJ11" s="469"/>
      <c r="LGK11" s="467" t="s">
        <v>34</v>
      </c>
      <c r="LGL11" s="468"/>
      <c r="LGM11" s="468"/>
      <c r="LGN11" s="468"/>
      <c r="LGO11" s="468"/>
      <c r="LGP11" s="468"/>
      <c r="LGQ11" s="468"/>
      <c r="LGR11" s="468"/>
      <c r="LGS11" s="468"/>
      <c r="LGT11" s="468"/>
      <c r="LGU11" s="468"/>
      <c r="LGV11" s="468"/>
      <c r="LGW11" s="468"/>
      <c r="LGX11" s="468"/>
      <c r="LGY11" s="468"/>
      <c r="LGZ11" s="469"/>
      <c r="LHA11" s="467" t="s">
        <v>34</v>
      </c>
      <c r="LHB11" s="468"/>
      <c r="LHC11" s="468"/>
      <c r="LHD11" s="468"/>
      <c r="LHE11" s="468"/>
      <c r="LHF11" s="468"/>
      <c r="LHG11" s="468"/>
      <c r="LHH11" s="468"/>
      <c r="LHI11" s="468"/>
      <c r="LHJ11" s="468"/>
      <c r="LHK11" s="468"/>
      <c r="LHL11" s="468"/>
      <c r="LHM11" s="468"/>
      <c r="LHN11" s="468"/>
      <c r="LHO11" s="468"/>
      <c r="LHP11" s="469"/>
      <c r="LHQ11" s="467" t="s">
        <v>34</v>
      </c>
      <c r="LHR11" s="468"/>
      <c r="LHS11" s="468"/>
      <c r="LHT11" s="468"/>
      <c r="LHU11" s="468"/>
      <c r="LHV11" s="468"/>
      <c r="LHW11" s="468"/>
      <c r="LHX11" s="468"/>
      <c r="LHY11" s="468"/>
      <c r="LHZ11" s="468"/>
      <c r="LIA11" s="468"/>
      <c r="LIB11" s="468"/>
      <c r="LIC11" s="468"/>
      <c r="LID11" s="468"/>
      <c r="LIE11" s="468"/>
      <c r="LIF11" s="469"/>
      <c r="LIG11" s="467" t="s">
        <v>34</v>
      </c>
      <c r="LIH11" s="468"/>
      <c r="LII11" s="468"/>
      <c r="LIJ11" s="468"/>
      <c r="LIK11" s="468"/>
      <c r="LIL11" s="468"/>
      <c r="LIM11" s="468"/>
      <c r="LIN11" s="468"/>
      <c r="LIO11" s="468"/>
      <c r="LIP11" s="468"/>
      <c r="LIQ11" s="468"/>
      <c r="LIR11" s="468"/>
      <c r="LIS11" s="468"/>
      <c r="LIT11" s="468"/>
      <c r="LIU11" s="468"/>
      <c r="LIV11" s="469"/>
      <c r="LIW11" s="467" t="s">
        <v>34</v>
      </c>
      <c r="LIX11" s="468"/>
      <c r="LIY11" s="468"/>
      <c r="LIZ11" s="468"/>
      <c r="LJA11" s="468"/>
      <c r="LJB11" s="468"/>
      <c r="LJC11" s="468"/>
      <c r="LJD11" s="468"/>
      <c r="LJE11" s="468"/>
      <c r="LJF11" s="468"/>
      <c r="LJG11" s="468"/>
      <c r="LJH11" s="468"/>
      <c r="LJI11" s="468"/>
      <c r="LJJ11" s="468"/>
      <c r="LJK11" s="468"/>
      <c r="LJL11" s="469"/>
      <c r="LJM11" s="467" t="s">
        <v>34</v>
      </c>
      <c r="LJN11" s="468"/>
      <c r="LJO11" s="468"/>
      <c r="LJP11" s="468"/>
      <c r="LJQ11" s="468"/>
      <c r="LJR11" s="468"/>
      <c r="LJS11" s="468"/>
      <c r="LJT11" s="468"/>
      <c r="LJU11" s="468"/>
      <c r="LJV11" s="468"/>
      <c r="LJW11" s="468"/>
      <c r="LJX11" s="468"/>
      <c r="LJY11" s="468"/>
      <c r="LJZ11" s="468"/>
      <c r="LKA11" s="468"/>
      <c r="LKB11" s="469"/>
      <c r="LKC11" s="467" t="s">
        <v>34</v>
      </c>
      <c r="LKD11" s="468"/>
      <c r="LKE11" s="468"/>
      <c r="LKF11" s="468"/>
      <c r="LKG11" s="468"/>
      <c r="LKH11" s="468"/>
      <c r="LKI11" s="468"/>
      <c r="LKJ11" s="468"/>
      <c r="LKK11" s="468"/>
      <c r="LKL11" s="468"/>
      <c r="LKM11" s="468"/>
      <c r="LKN11" s="468"/>
      <c r="LKO11" s="468"/>
      <c r="LKP11" s="468"/>
      <c r="LKQ11" s="468"/>
      <c r="LKR11" s="469"/>
      <c r="LKS11" s="467" t="s">
        <v>34</v>
      </c>
      <c r="LKT11" s="468"/>
      <c r="LKU11" s="468"/>
      <c r="LKV11" s="468"/>
      <c r="LKW11" s="468"/>
      <c r="LKX11" s="468"/>
      <c r="LKY11" s="468"/>
      <c r="LKZ11" s="468"/>
      <c r="LLA11" s="468"/>
      <c r="LLB11" s="468"/>
      <c r="LLC11" s="468"/>
      <c r="LLD11" s="468"/>
      <c r="LLE11" s="468"/>
      <c r="LLF11" s="468"/>
      <c r="LLG11" s="468"/>
      <c r="LLH11" s="469"/>
      <c r="LLI11" s="467" t="s">
        <v>34</v>
      </c>
      <c r="LLJ11" s="468"/>
      <c r="LLK11" s="468"/>
      <c r="LLL11" s="468"/>
      <c r="LLM11" s="468"/>
      <c r="LLN11" s="468"/>
      <c r="LLO11" s="468"/>
      <c r="LLP11" s="468"/>
      <c r="LLQ11" s="468"/>
      <c r="LLR11" s="468"/>
      <c r="LLS11" s="468"/>
      <c r="LLT11" s="468"/>
      <c r="LLU11" s="468"/>
      <c r="LLV11" s="468"/>
      <c r="LLW11" s="468"/>
      <c r="LLX11" s="469"/>
      <c r="LLY11" s="467" t="s">
        <v>34</v>
      </c>
      <c r="LLZ11" s="468"/>
      <c r="LMA11" s="468"/>
      <c r="LMB11" s="468"/>
      <c r="LMC11" s="468"/>
      <c r="LMD11" s="468"/>
      <c r="LME11" s="468"/>
      <c r="LMF11" s="468"/>
      <c r="LMG11" s="468"/>
      <c r="LMH11" s="468"/>
      <c r="LMI11" s="468"/>
      <c r="LMJ11" s="468"/>
      <c r="LMK11" s="468"/>
      <c r="LML11" s="468"/>
      <c r="LMM11" s="468"/>
      <c r="LMN11" s="469"/>
      <c r="LMO11" s="467" t="s">
        <v>34</v>
      </c>
      <c r="LMP11" s="468"/>
      <c r="LMQ11" s="468"/>
      <c r="LMR11" s="468"/>
      <c r="LMS11" s="468"/>
      <c r="LMT11" s="468"/>
      <c r="LMU11" s="468"/>
      <c r="LMV11" s="468"/>
      <c r="LMW11" s="468"/>
      <c r="LMX11" s="468"/>
      <c r="LMY11" s="468"/>
      <c r="LMZ11" s="468"/>
      <c r="LNA11" s="468"/>
      <c r="LNB11" s="468"/>
      <c r="LNC11" s="468"/>
      <c r="LND11" s="469"/>
      <c r="LNE11" s="467" t="s">
        <v>34</v>
      </c>
      <c r="LNF11" s="468"/>
      <c r="LNG11" s="468"/>
      <c r="LNH11" s="468"/>
      <c r="LNI11" s="468"/>
      <c r="LNJ11" s="468"/>
      <c r="LNK11" s="468"/>
      <c r="LNL11" s="468"/>
      <c r="LNM11" s="468"/>
      <c r="LNN11" s="468"/>
      <c r="LNO11" s="468"/>
      <c r="LNP11" s="468"/>
      <c r="LNQ11" s="468"/>
      <c r="LNR11" s="468"/>
      <c r="LNS11" s="468"/>
      <c r="LNT11" s="469"/>
      <c r="LNU11" s="467" t="s">
        <v>34</v>
      </c>
      <c r="LNV11" s="468"/>
      <c r="LNW11" s="468"/>
      <c r="LNX11" s="468"/>
      <c r="LNY11" s="468"/>
      <c r="LNZ11" s="468"/>
      <c r="LOA11" s="468"/>
      <c r="LOB11" s="468"/>
      <c r="LOC11" s="468"/>
      <c r="LOD11" s="468"/>
      <c r="LOE11" s="468"/>
      <c r="LOF11" s="468"/>
      <c r="LOG11" s="468"/>
      <c r="LOH11" s="468"/>
      <c r="LOI11" s="468"/>
      <c r="LOJ11" s="469"/>
      <c r="LOK11" s="467" t="s">
        <v>34</v>
      </c>
      <c r="LOL11" s="468"/>
      <c r="LOM11" s="468"/>
      <c r="LON11" s="468"/>
      <c r="LOO11" s="468"/>
      <c r="LOP11" s="468"/>
      <c r="LOQ11" s="468"/>
      <c r="LOR11" s="468"/>
      <c r="LOS11" s="468"/>
      <c r="LOT11" s="468"/>
      <c r="LOU11" s="468"/>
      <c r="LOV11" s="468"/>
      <c r="LOW11" s="468"/>
      <c r="LOX11" s="468"/>
      <c r="LOY11" s="468"/>
      <c r="LOZ11" s="469"/>
      <c r="LPA11" s="467" t="s">
        <v>34</v>
      </c>
      <c r="LPB11" s="468"/>
      <c r="LPC11" s="468"/>
      <c r="LPD11" s="468"/>
      <c r="LPE11" s="468"/>
      <c r="LPF11" s="468"/>
      <c r="LPG11" s="468"/>
      <c r="LPH11" s="468"/>
      <c r="LPI11" s="468"/>
      <c r="LPJ11" s="468"/>
      <c r="LPK11" s="468"/>
      <c r="LPL11" s="468"/>
      <c r="LPM11" s="468"/>
      <c r="LPN11" s="468"/>
      <c r="LPO11" s="468"/>
      <c r="LPP11" s="469"/>
      <c r="LPQ11" s="467" t="s">
        <v>34</v>
      </c>
      <c r="LPR11" s="468"/>
      <c r="LPS11" s="468"/>
      <c r="LPT11" s="468"/>
      <c r="LPU11" s="468"/>
      <c r="LPV11" s="468"/>
      <c r="LPW11" s="468"/>
      <c r="LPX11" s="468"/>
      <c r="LPY11" s="468"/>
      <c r="LPZ11" s="468"/>
      <c r="LQA11" s="468"/>
      <c r="LQB11" s="468"/>
      <c r="LQC11" s="468"/>
      <c r="LQD11" s="468"/>
      <c r="LQE11" s="468"/>
      <c r="LQF11" s="469"/>
      <c r="LQG11" s="467" t="s">
        <v>34</v>
      </c>
      <c r="LQH11" s="468"/>
      <c r="LQI11" s="468"/>
      <c r="LQJ11" s="468"/>
      <c r="LQK11" s="468"/>
      <c r="LQL11" s="468"/>
      <c r="LQM11" s="468"/>
      <c r="LQN11" s="468"/>
      <c r="LQO11" s="468"/>
      <c r="LQP11" s="468"/>
      <c r="LQQ11" s="468"/>
      <c r="LQR11" s="468"/>
      <c r="LQS11" s="468"/>
      <c r="LQT11" s="468"/>
      <c r="LQU11" s="468"/>
      <c r="LQV11" s="469"/>
      <c r="LQW11" s="467" t="s">
        <v>34</v>
      </c>
      <c r="LQX11" s="468"/>
      <c r="LQY11" s="468"/>
      <c r="LQZ11" s="468"/>
      <c r="LRA11" s="468"/>
      <c r="LRB11" s="468"/>
      <c r="LRC11" s="468"/>
      <c r="LRD11" s="468"/>
      <c r="LRE11" s="468"/>
      <c r="LRF11" s="468"/>
      <c r="LRG11" s="468"/>
      <c r="LRH11" s="468"/>
      <c r="LRI11" s="468"/>
      <c r="LRJ11" s="468"/>
      <c r="LRK11" s="468"/>
      <c r="LRL11" s="469"/>
      <c r="LRM11" s="467" t="s">
        <v>34</v>
      </c>
      <c r="LRN11" s="468"/>
      <c r="LRO11" s="468"/>
      <c r="LRP11" s="468"/>
      <c r="LRQ11" s="468"/>
      <c r="LRR11" s="468"/>
      <c r="LRS11" s="468"/>
      <c r="LRT11" s="468"/>
      <c r="LRU11" s="468"/>
      <c r="LRV11" s="468"/>
      <c r="LRW11" s="468"/>
      <c r="LRX11" s="468"/>
      <c r="LRY11" s="468"/>
      <c r="LRZ11" s="468"/>
      <c r="LSA11" s="468"/>
      <c r="LSB11" s="469"/>
      <c r="LSC11" s="467" t="s">
        <v>34</v>
      </c>
      <c r="LSD11" s="468"/>
      <c r="LSE11" s="468"/>
      <c r="LSF11" s="468"/>
      <c r="LSG11" s="468"/>
      <c r="LSH11" s="468"/>
      <c r="LSI11" s="468"/>
      <c r="LSJ11" s="468"/>
      <c r="LSK11" s="468"/>
      <c r="LSL11" s="468"/>
      <c r="LSM11" s="468"/>
      <c r="LSN11" s="468"/>
      <c r="LSO11" s="468"/>
      <c r="LSP11" s="468"/>
      <c r="LSQ11" s="468"/>
      <c r="LSR11" s="469"/>
      <c r="LSS11" s="467" t="s">
        <v>34</v>
      </c>
      <c r="LST11" s="468"/>
      <c r="LSU11" s="468"/>
      <c r="LSV11" s="468"/>
      <c r="LSW11" s="468"/>
      <c r="LSX11" s="468"/>
      <c r="LSY11" s="468"/>
      <c r="LSZ11" s="468"/>
      <c r="LTA11" s="468"/>
      <c r="LTB11" s="468"/>
      <c r="LTC11" s="468"/>
      <c r="LTD11" s="468"/>
      <c r="LTE11" s="468"/>
      <c r="LTF11" s="468"/>
      <c r="LTG11" s="468"/>
      <c r="LTH11" s="469"/>
      <c r="LTI11" s="467" t="s">
        <v>34</v>
      </c>
      <c r="LTJ11" s="468"/>
      <c r="LTK11" s="468"/>
      <c r="LTL11" s="468"/>
      <c r="LTM11" s="468"/>
      <c r="LTN11" s="468"/>
      <c r="LTO11" s="468"/>
      <c r="LTP11" s="468"/>
      <c r="LTQ11" s="468"/>
      <c r="LTR11" s="468"/>
      <c r="LTS11" s="468"/>
      <c r="LTT11" s="468"/>
      <c r="LTU11" s="468"/>
      <c r="LTV11" s="468"/>
      <c r="LTW11" s="468"/>
      <c r="LTX11" s="469"/>
      <c r="LTY11" s="467" t="s">
        <v>34</v>
      </c>
      <c r="LTZ11" s="468"/>
      <c r="LUA11" s="468"/>
      <c r="LUB11" s="468"/>
      <c r="LUC11" s="468"/>
      <c r="LUD11" s="468"/>
      <c r="LUE11" s="468"/>
      <c r="LUF11" s="468"/>
      <c r="LUG11" s="468"/>
      <c r="LUH11" s="468"/>
      <c r="LUI11" s="468"/>
      <c r="LUJ11" s="468"/>
      <c r="LUK11" s="468"/>
      <c r="LUL11" s="468"/>
      <c r="LUM11" s="468"/>
      <c r="LUN11" s="469"/>
      <c r="LUO11" s="467" t="s">
        <v>34</v>
      </c>
      <c r="LUP11" s="468"/>
      <c r="LUQ11" s="468"/>
      <c r="LUR11" s="468"/>
      <c r="LUS11" s="468"/>
      <c r="LUT11" s="468"/>
      <c r="LUU11" s="468"/>
      <c r="LUV11" s="468"/>
      <c r="LUW11" s="468"/>
      <c r="LUX11" s="468"/>
      <c r="LUY11" s="468"/>
      <c r="LUZ11" s="468"/>
      <c r="LVA11" s="468"/>
      <c r="LVB11" s="468"/>
      <c r="LVC11" s="468"/>
      <c r="LVD11" s="469"/>
      <c r="LVE11" s="467" t="s">
        <v>34</v>
      </c>
      <c r="LVF11" s="468"/>
      <c r="LVG11" s="468"/>
      <c r="LVH11" s="468"/>
      <c r="LVI11" s="468"/>
      <c r="LVJ11" s="468"/>
      <c r="LVK11" s="468"/>
      <c r="LVL11" s="468"/>
      <c r="LVM11" s="468"/>
      <c r="LVN11" s="468"/>
      <c r="LVO11" s="468"/>
      <c r="LVP11" s="468"/>
      <c r="LVQ11" s="468"/>
      <c r="LVR11" s="468"/>
      <c r="LVS11" s="468"/>
      <c r="LVT11" s="469"/>
      <c r="LVU11" s="467" t="s">
        <v>34</v>
      </c>
      <c r="LVV11" s="468"/>
      <c r="LVW11" s="468"/>
      <c r="LVX11" s="468"/>
      <c r="LVY11" s="468"/>
      <c r="LVZ11" s="468"/>
      <c r="LWA11" s="468"/>
      <c r="LWB11" s="468"/>
      <c r="LWC11" s="468"/>
      <c r="LWD11" s="468"/>
      <c r="LWE11" s="468"/>
      <c r="LWF11" s="468"/>
      <c r="LWG11" s="468"/>
      <c r="LWH11" s="468"/>
      <c r="LWI11" s="468"/>
      <c r="LWJ11" s="469"/>
      <c r="LWK11" s="467" t="s">
        <v>34</v>
      </c>
      <c r="LWL11" s="468"/>
      <c r="LWM11" s="468"/>
      <c r="LWN11" s="468"/>
      <c r="LWO11" s="468"/>
      <c r="LWP11" s="468"/>
      <c r="LWQ11" s="468"/>
      <c r="LWR11" s="468"/>
      <c r="LWS11" s="468"/>
      <c r="LWT11" s="468"/>
      <c r="LWU11" s="468"/>
      <c r="LWV11" s="468"/>
      <c r="LWW11" s="468"/>
      <c r="LWX11" s="468"/>
      <c r="LWY11" s="468"/>
      <c r="LWZ11" s="469"/>
      <c r="LXA11" s="467" t="s">
        <v>34</v>
      </c>
      <c r="LXB11" s="468"/>
      <c r="LXC11" s="468"/>
      <c r="LXD11" s="468"/>
      <c r="LXE11" s="468"/>
      <c r="LXF11" s="468"/>
      <c r="LXG11" s="468"/>
      <c r="LXH11" s="468"/>
      <c r="LXI11" s="468"/>
      <c r="LXJ11" s="468"/>
      <c r="LXK11" s="468"/>
      <c r="LXL11" s="468"/>
      <c r="LXM11" s="468"/>
      <c r="LXN11" s="468"/>
      <c r="LXO11" s="468"/>
      <c r="LXP11" s="469"/>
      <c r="LXQ11" s="467" t="s">
        <v>34</v>
      </c>
      <c r="LXR11" s="468"/>
      <c r="LXS11" s="468"/>
      <c r="LXT11" s="468"/>
      <c r="LXU11" s="468"/>
      <c r="LXV11" s="468"/>
      <c r="LXW11" s="468"/>
      <c r="LXX11" s="468"/>
      <c r="LXY11" s="468"/>
      <c r="LXZ11" s="468"/>
      <c r="LYA11" s="468"/>
      <c r="LYB11" s="468"/>
      <c r="LYC11" s="468"/>
      <c r="LYD11" s="468"/>
      <c r="LYE11" s="468"/>
      <c r="LYF11" s="469"/>
      <c r="LYG11" s="467" t="s">
        <v>34</v>
      </c>
      <c r="LYH11" s="468"/>
      <c r="LYI11" s="468"/>
      <c r="LYJ11" s="468"/>
      <c r="LYK11" s="468"/>
      <c r="LYL11" s="468"/>
      <c r="LYM11" s="468"/>
      <c r="LYN11" s="468"/>
      <c r="LYO11" s="468"/>
      <c r="LYP11" s="468"/>
      <c r="LYQ11" s="468"/>
      <c r="LYR11" s="468"/>
      <c r="LYS11" s="468"/>
      <c r="LYT11" s="468"/>
      <c r="LYU11" s="468"/>
      <c r="LYV11" s="469"/>
      <c r="LYW11" s="467" t="s">
        <v>34</v>
      </c>
      <c r="LYX11" s="468"/>
      <c r="LYY11" s="468"/>
      <c r="LYZ11" s="468"/>
      <c r="LZA11" s="468"/>
      <c r="LZB11" s="468"/>
      <c r="LZC11" s="468"/>
      <c r="LZD11" s="468"/>
      <c r="LZE11" s="468"/>
      <c r="LZF11" s="468"/>
      <c r="LZG11" s="468"/>
      <c r="LZH11" s="468"/>
      <c r="LZI11" s="468"/>
      <c r="LZJ11" s="468"/>
      <c r="LZK11" s="468"/>
      <c r="LZL11" s="469"/>
      <c r="LZM11" s="467" t="s">
        <v>34</v>
      </c>
      <c r="LZN11" s="468"/>
      <c r="LZO11" s="468"/>
      <c r="LZP11" s="468"/>
      <c r="LZQ11" s="468"/>
      <c r="LZR11" s="468"/>
      <c r="LZS11" s="468"/>
      <c r="LZT11" s="468"/>
      <c r="LZU11" s="468"/>
      <c r="LZV11" s="468"/>
      <c r="LZW11" s="468"/>
      <c r="LZX11" s="468"/>
      <c r="LZY11" s="468"/>
      <c r="LZZ11" s="468"/>
      <c r="MAA11" s="468"/>
      <c r="MAB11" s="469"/>
      <c r="MAC11" s="467" t="s">
        <v>34</v>
      </c>
      <c r="MAD11" s="468"/>
      <c r="MAE11" s="468"/>
      <c r="MAF11" s="468"/>
      <c r="MAG11" s="468"/>
      <c r="MAH11" s="468"/>
      <c r="MAI11" s="468"/>
      <c r="MAJ11" s="468"/>
      <c r="MAK11" s="468"/>
      <c r="MAL11" s="468"/>
      <c r="MAM11" s="468"/>
      <c r="MAN11" s="468"/>
      <c r="MAO11" s="468"/>
      <c r="MAP11" s="468"/>
      <c r="MAQ11" s="468"/>
      <c r="MAR11" s="469"/>
      <c r="MAS11" s="467" t="s">
        <v>34</v>
      </c>
      <c r="MAT11" s="468"/>
      <c r="MAU11" s="468"/>
      <c r="MAV11" s="468"/>
      <c r="MAW11" s="468"/>
      <c r="MAX11" s="468"/>
      <c r="MAY11" s="468"/>
      <c r="MAZ11" s="468"/>
      <c r="MBA11" s="468"/>
      <c r="MBB11" s="468"/>
      <c r="MBC11" s="468"/>
      <c r="MBD11" s="468"/>
      <c r="MBE11" s="468"/>
      <c r="MBF11" s="468"/>
      <c r="MBG11" s="468"/>
      <c r="MBH11" s="469"/>
      <c r="MBI11" s="467" t="s">
        <v>34</v>
      </c>
      <c r="MBJ11" s="468"/>
      <c r="MBK11" s="468"/>
      <c r="MBL11" s="468"/>
      <c r="MBM11" s="468"/>
      <c r="MBN11" s="468"/>
      <c r="MBO11" s="468"/>
      <c r="MBP11" s="468"/>
      <c r="MBQ11" s="468"/>
      <c r="MBR11" s="468"/>
      <c r="MBS11" s="468"/>
      <c r="MBT11" s="468"/>
      <c r="MBU11" s="468"/>
      <c r="MBV11" s="468"/>
      <c r="MBW11" s="468"/>
      <c r="MBX11" s="469"/>
      <c r="MBY11" s="467" t="s">
        <v>34</v>
      </c>
      <c r="MBZ11" s="468"/>
      <c r="MCA11" s="468"/>
      <c r="MCB11" s="468"/>
      <c r="MCC11" s="468"/>
      <c r="MCD11" s="468"/>
      <c r="MCE11" s="468"/>
      <c r="MCF11" s="468"/>
      <c r="MCG11" s="468"/>
      <c r="MCH11" s="468"/>
      <c r="MCI11" s="468"/>
      <c r="MCJ11" s="468"/>
      <c r="MCK11" s="468"/>
      <c r="MCL11" s="468"/>
      <c r="MCM11" s="468"/>
      <c r="MCN11" s="469"/>
      <c r="MCO11" s="467" t="s">
        <v>34</v>
      </c>
      <c r="MCP11" s="468"/>
      <c r="MCQ11" s="468"/>
      <c r="MCR11" s="468"/>
      <c r="MCS11" s="468"/>
      <c r="MCT11" s="468"/>
      <c r="MCU11" s="468"/>
      <c r="MCV11" s="468"/>
      <c r="MCW11" s="468"/>
      <c r="MCX11" s="468"/>
      <c r="MCY11" s="468"/>
      <c r="MCZ11" s="468"/>
      <c r="MDA11" s="468"/>
      <c r="MDB11" s="468"/>
      <c r="MDC11" s="468"/>
      <c r="MDD11" s="469"/>
      <c r="MDE11" s="467" t="s">
        <v>34</v>
      </c>
      <c r="MDF11" s="468"/>
      <c r="MDG11" s="468"/>
      <c r="MDH11" s="468"/>
      <c r="MDI11" s="468"/>
      <c r="MDJ11" s="468"/>
      <c r="MDK11" s="468"/>
      <c r="MDL11" s="468"/>
      <c r="MDM11" s="468"/>
      <c r="MDN11" s="468"/>
      <c r="MDO11" s="468"/>
      <c r="MDP11" s="468"/>
      <c r="MDQ11" s="468"/>
      <c r="MDR11" s="468"/>
      <c r="MDS11" s="468"/>
      <c r="MDT11" s="469"/>
      <c r="MDU11" s="467" t="s">
        <v>34</v>
      </c>
      <c r="MDV11" s="468"/>
      <c r="MDW11" s="468"/>
      <c r="MDX11" s="468"/>
      <c r="MDY11" s="468"/>
      <c r="MDZ11" s="468"/>
      <c r="MEA11" s="468"/>
      <c r="MEB11" s="468"/>
      <c r="MEC11" s="468"/>
      <c r="MED11" s="468"/>
      <c r="MEE11" s="468"/>
      <c r="MEF11" s="468"/>
      <c r="MEG11" s="468"/>
      <c r="MEH11" s="468"/>
      <c r="MEI11" s="468"/>
      <c r="MEJ11" s="469"/>
      <c r="MEK11" s="467" t="s">
        <v>34</v>
      </c>
      <c r="MEL11" s="468"/>
      <c r="MEM11" s="468"/>
      <c r="MEN11" s="468"/>
      <c r="MEO11" s="468"/>
      <c r="MEP11" s="468"/>
      <c r="MEQ11" s="468"/>
      <c r="MER11" s="468"/>
      <c r="MES11" s="468"/>
      <c r="MET11" s="468"/>
      <c r="MEU11" s="468"/>
      <c r="MEV11" s="468"/>
      <c r="MEW11" s="468"/>
      <c r="MEX11" s="468"/>
      <c r="MEY11" s="468"/>
      <c r="MEZ11" s="469"/>
      <c r="MFA11" s="467" t="s">
        <v>34</v>
      </c>
      <c r="MFB11" s="468"/>
      <c r="MFC11" s="468"/>
      <c r="MFD11" s="468"/>
      <c r="MFE11" s="468"/>
      <c r="MFF11" s="468"/>
      <c r="MFG11" s="468"/>
      <c r="MFH11" s="468"/>
      <c r="MFI11" s="468"/>
      <c r="MFJ11" s="468"/>
      <c r="MFK11" s="468"/>
      <c r="MFL11" s="468"/>
      <c r="MFM11" s="468"/>
      <c r="MFN11" s="468"/>
      <c r="MFO11" s="468"/>
      <c r="MFP11" s="469"/>
      <c r="MFQ11" s="467" t="s">
        <v>34</v>
      </c>
      <c r="MFR11" s="468"/>
      <c r="MFS11" s="468"/>
      <c r="MFT11" s="468"/>
      <c r="MFU11" s="468"/>
      <c r="MFV11" s="468"/>
      <c r="MFW11" s="468"/>
      <c r="MFX11" s="468"/>
      <c r="MFY11" s="468"/>
      <c r="MFZ11" s="468"/>
      <c r="MGA11" s="468"/>
      <c r="MGB11" s="468"/>
      <c r="MGC11" s="468"/>
      <c r="MGD11" s="468"/>
      <c r="MGE11" s="468"/>
      <c r="MGF11" s="469"/>
      <c r="MGG11" s="467" t="s">
        <v>34</v>
      </c>
      <c r="MGH11" s="468"/>
      <c r="MGI11" s="468"/>
      <c r="MGJ11" s="468"/>
      <c r="MGK11" s="468"/>
      <c r="MGL11" s="468"/>
      <c r="MGM11" s="468"/>
      <c r="MGN11" s="468"/>
      <c r="MGO11" s="468"/>
      <c r="MGP11" s="468"/>
      <c r="MGQ11" s="468"/>
      <c r="MGR11" s="468"/>
      <c r="MGS11" s="468"/>
      <c r="MGT11" s="468"/>
      <c r="MGU11" s="468"/>
      <c r="MGV11" s="469"/>
      <c r="MGW11" s="467" t="s">
        <v>34</v>
      </c>
      <c r="MGX11" s="468"/>
      <c r="MGY11" s="468"/>
      <c r="MGZ11" s="468"/>
      <c r="MHA11" s="468"/>
      <c r="MHB11" s="468"/>
      <c r="MHC11" s="468"/>
      <c r="MHD11" s="468"/>
      <c r="MHE11" s="468"/>
      <c r="MHF11" s="468"/>
      <c r="MHG11" s="468"/>
      <c r="MHH11" s="468"/>
      <c r="MHI11" s="468"/>
      <c r="MHJ11" s="468"/>
      <c r="MHK11" s="468"/>
      <c r="MHL11" s="469"/>
      <c r="MHM11" s="467" t="s">
        <v>34</v>
      </c>
      <c r="MHN11" s="468"/>
      <c r="MHO11" s="468"/>
      <c r="MHP11" s="468"/>
      <c r="MHQ11" s="468"/>
      <c r="MHR11" s="468"/>
      <c r="MHS11" s="468"/>
      <c r="MHT11" s="468"/>
      <c r="MHU11" s="468"/>
      <c r="MHV11" s="468"/>
      <c r="MHW11" s="468"/>
      <c r="MHX11" s="468"/>
      <c r="MHY11" s="468"/>
      <c r="MHZ11" s="468"/>
      <c r="MIA11" s="468"/>
      <c r="MIB11" s="469"/>
      <c r="MIC11" s="467" t="s">
        <v>34</v>
      </c>
      <c r="MID11" s="468"/>
      <c r="MIE11" s="468"/>
      <c r="MIF11" s="468"/>
      <c r="MIG11" s="468"/>
      <c r="MIH11" s="468"/>
      <c r="MII11" s="468"/>
      <c r="MIJ11" s="468"/>
      <c r="MIK11" s="468"/>
      <c r="MIL11" s="468"/>
      <c r="MIM11" s="468"/>
      <c r="MIN11" s="468"/>
      <c r="MIO11" s="468"/>
      <c r="MIP11" s="468"/>
      <c r="MIQ11" s="468"/>
      <c r="MIR11" s="469"/>
      <c r="MIS11" s="467" t="s">
        <v>34</v>
      </c>
      <c r="MIT11" s="468"/>
      <c r="MIU11" s="468"/>
      <c r="MIV11" s="468"/>
      <c r="MIW11" s="468"/>
      <c r="MIX11" s="468"/>
      <c r="MIY11" s="468"/>
      <c r="MIZ11" s="468"/>
      <c r="MJA11" s="468"/>
      <c r="MJB11" s="468"/>
      <c r="MJC11" s="468"/>
      <c r="MJD11" s="468"/>
      <c r="MJE11" s="468"/>
      <c r="MJF11" s="468"/>
      <c r="MJG11" s="468"/>
      <c r="MJH11" s="469"/>
      <c r="MJI11" s="467" t="s">
        <v>34</v>
      </c>
      <c r="MJJ11" s="468"/>
      <c r="MJK11" s="468"/>
      <c r="MJL11" s="468"/>
      <c r="MJM11" s="468"/>
      <c r="MJN11" s="468"/>
      <c r="MJO11" s="468"/>
      <c r="MJP11" s="468"/>
      <c r="MJQ11" s="468"/>
      <c r="MJR11" s="468"/>
      <c r="MJS11" s="468"/>
      <c r="MJT11" s="468"/>
      <c r="MJU11" s="468"/>
      <c r="MJV11" s="468"/>
      <c r="MJW11" s="468"/>
      <c r="MJX11" s="469"/>
      <c r="MJY11" s="467" t="s">
        <v>34</v>
      </c>
      <c r="MJZ11" s="468"/>
      <c r="MKA11" s="468"/>
      <c r="MKB11" s="468"/>
      <c r="MKC11" s="468"/>
      <c r="MKD11" s="468"/>
      <c r="MKE11" s="468"/>
      <c r="MKF11" s="468"/>
      <c r="MKG11" s="468"/>
      <c r="MKH11" s="468"/>
      <c r="MKI11" s="468"/>
      <c r="MKJ11" s="468"/>
      <c r="MKK11" s="468"/>
      <c r="MKL11" s="468"/>
      <c r="MKM11" s="468"/>
      <c r="MKN11" s="469"/>
      <c r="MKO11" s="467" t="s">
        <v>34</v>
      </c>
      <c r="MKP11" s="468"/>
      <c r="MKQ11" s="468"/>
      <c r="MKR11" s="468"/>
      <c r="MKS11" s="468"/>
      <c r="MKT11" s="468"/>
      <c r="MKU11" s="468"/>
      <c r="MKV11" s="468"/>
      <c r="MKW11" s="468"/>
      <c r="MKX11" s="468"/>
      <c r="MKY11" s="468"/>
      <c r="MKZ11" s="468"/>
      <c r="MLA11" s="468"/>
      <c r="MLB11" s="468"/>
      <c r="MLC11" s="468"/>
      <c r="MLD11" s="469"/>
      <c r="MLE11" s="467" t="s">
        <v>34</v>
      </c>
      <c r="MLF11" s="468"/>
      <c r="MLG11" s="468"/>
      <c r="MLH11" s="468"/>
      <c r="MLI11" s="468"/>
      <c r="MLJ11" s="468"/>
      <c r="MLK11" s="468"/>
      <c r="MLL11" s="468"/>
      <c r="MLM11" s="468"/>
      <c r="MLN11" s="468"/>
      <c r="MLO11" s="468"/>
      <c r="MLP11" s="468"/>
      <c r="MLQ11" s="468"/>
      <c r="MLR11" s="468"/>
      <c r="MLS11" s="468"/>
      <c r="MLT11" s="469"/>
      <c r="MLU11" s="467" t="s">
        <v>34</v>
      </c>
      <c r="MLV11" s="468"/>
      <c r="MLW11" s="468"/>
      <c r="MLX11" s="468"/>
      <c r="MLY11" s="468"/>
      <c r="MLZ11" s="468"/>
      <c r="MMA11" s="468"/>
      <c r="MMB11" s="468"/>
      <c r="MMC11" s="468"/>
      <c r="MMD11" s="468"/>
      <c r="MME11" s="468"/>
      <c r="MMF11" s="468"/>
      <c r="MMG11" s="468"/>
      <c r="MMH11" s="468"/>
      <c r="MMI11" s="468"/>
      <c r="MMJ11" s="469"/>
      <c r="MMK11" s="467" t="s">
        <v>34</v>
      </c>
      <c r="MML11" s="468"/>
      <c r="MMM11" s="468"/>
      <c r="MMN11" s="468"/>
      <c r="MMO11" s="468"/>
      <c r="MMP11" s="468"/>
      <c r="MMQ11" s="468"/>
      <c r="MMR11" s="468"/>
      <c r="MMS11" s="468"/>
      <c r="MMT11" s="468"/>
      <c r="MMU11" s="468"/>
      <c r="MMV11" s="468"/>
      <c r="MMW11" s="468"/>
      <c r="MMX11" s="468"/>
      <c r="MMY11" s="468"/>
      <c r="MMZ11" s="469"/>
      <c r="MNA11" s="467" t="s">
        <v>34</v>
      </c>
      <c r="MNB11" s="468"/>
      <c r="MNC11" s="468"/>
      <c r="MND11" s="468"/>
      <c r="MNE11" s="468"/>
      <c r="MNF11" s="468"/>
      <c r="MNG11" s="468"/>
      <c r="MNH11" s="468"/>
      <c r="MNI11" s="468"/>
      <c r="MNJ11" s="468"/>
      <c r="MNK11" s="468"/>
      <c r="MNL11" s="468"/>
      <c r="MNM11" s="468"/>
      <c r="MNN11" s="468"/>
      <c r="MNO11" s="468"/>
      <c r="MNP11" s="469"/>
      <c r="MNQ11" s="467" t="s">
        <v>34</v>
      </c>
      <c r="MNR11" s="468"/>
      <c r="MNS11" s="468"/>
      <c r="MNT11" s="468"/>
      <c r="MNU11" s="468"/>
      <c r="MNV11" s="468"/>
      <c r="MNW11" s="468"/>
      <c r="MNX11" s="468"/>
      <c r="MNY11" s="468"/>
      <c r="MNZ11" s="468"/>
      <c r="MOA11" s="468"/>
      <c r="MOB11" s="468"/>
      <c r="MOC11" s="468"/>
      <c r="MOD11" s="468"/>
      <c r="MOE11" s="468"/>
      <c r="MOF11" s="469"/>
      <c r="MOG11" s="467" t="s">
        <v>34</v>
      </c>
      <c r="MOH11" s="468"/>
      <c r="MOI11" s="468"/>
      <c r="MOJ11" s="468"/>
      <c r="MOK11" s="468"/>
      <c r="MOL11" s="468"/>
      <c r="MOM11" s="468"/>
      <c r="MON11" s="468"/>
      <c r="MOO11" s="468"/>
      <c r="MOP11" s="468"/>
      <c r="MOQ11" s="468"/>
      <c r="MOR11" s="468"/>
      <c r="MOS11" s="468"/>
      <c r="MOT11" s="468"/>
      <c r="MOU11" s="468"/>
      <c r="MOV11" s="469"/>
      <c r="MOW11" s="467" t="s">
        <v>34</v>
      </c>
      <c r="MOX11" s="468"/>
      <c r="MOY11" s="468"/>
      <c r="MOZ11" s="468"/>
      <c r="MPA11" s="468"/>
      <c r="MPB11" s="468"/>
      <c r="MPC11" s="468"/>
      <c r="MPD11" s="468"/>
      <c r="MPE11" s="468"/>
      <c r="MPF11" s="468"/>
      <c r="MPG11" s="468"/>
      <c r="MPH11" s="468"/>
      <c r="MPI11" s="468"/>
      <c r="MPJ11" s="468"/>
      <c r="MPK11" s="468"/>
      <c r="MPL11" s="469"/>
      <c r="MPM11" s="467" t="s">
        <v>34</v>
      </c>
      <c r="MPN11" s="468"/>
      <c r="MPO11" s="468"/>
      <c r="MPP11" s="468"/>
      <c r="MPQ11" s="468"/>
      <c r="MPR11" s="468"/>
      <c r="MPS11" s="468"/>
      <c r="MPT11" s="468"/>
      <c r="MPU11" s="468"/>
      <c r="MPV11" s="468"/>
      <c r="MPW11" s="468"/>
      <c r="MPX11" s="468"/>
      <c r="MPY11" s="468"/>
      <c r="MPZ11" s="468"/>
      <c r="MQA11" s="468"/>
      <c r="MQB11" s="469"/>
      <c r="MQC11" s="467" t="s">
        <v>34</v>
      </c>
      <c r="MQD11" s="468"/>
      <c r="MQE11" s="468"/>
      <c r="MQF11" s="468"/>
      <c r="MQG11" s="468"/>
      <c r="MQH11" s="468"/>
      <c r="MQI11" s="468"/>
      <c r="MQJ11" s="468"/>
      <c r="MQK11" s="468"/>
      <c r="MQL11" s="468"/>
      <c r="MQM11" s="468"/>
      <c r="MQN11" s="468"/>
      <c r="MQO11" s="468"/>
      <c r="MQP11" s="468"/>
      <c r="MQQ11" s="468"/>
      <c r="MQR11" s="469"/>
      <c r="MQS11" s="467" t="s">
        <v>34</v>
      </c>
      <c r="MQT11" s="468"/>
      <c r="MQU11" s="468"/>
      <c r="MQV11" s="468"/>
      <c r="MQW11" s="468"/>
      <c r="MQX11" s="468"/>
      <c r="MQY11" s="468"/>
      <c r="MQZ11" s="468"/>
      <c r="MRA11" s="468"/>
      <c r="MRB11" s="468"/>
      <c r="MRC11" s="468"/>
      <c r="MRD11" s="468"/>
      <c r="MRE11" s="468"/>
      <c r="MRF11" s="468"/>
      <c r="MRG11" s="468"/>
      <c r="MRH11" s="469"/>
      <c r="MRI11" s="467" t="s">
        <v>34</v>
      </c>
      <c r="MRJ11" s="468"/>
      <c r="MRK11" s="468"/>
      <c r="MRL11" s="468"/>
      <c r="MRM11" s="468"/>
      <c r="MRN11" s="468"/>
      <c r="MRO11" s="468"/>
      <c r="MRP11" s="468"/>
      <c r="MRQ11" s="468"/>
      <c r="MRR11" s="468"/>
      <c r="MRS11" s="468"/>
      <c r="MRT11" s="468"/>
      <c r="MRU11" s="468"/>
      <c r="MRV11" s="468"/>
      <c r="MRW11" s="468"/>
      <c r="MRX11" s="469"/>
      <c r="MRY11" s="467" t="s">
        <v>34</v>
      </c>
      <c r="MRZ11" s="468"/>
      <c r="MSA11" s="468"/>
      <c r="MSB11" s="468"/>
      <c r="MSC11" s="468"/>
      <c r="MSD11" s="468"/>
      <c r="MSE11" s="468"/>
      <c r="MSF11" s="468"/>
      <c r="MSG11" s="468"/>
      <c r="MSH11" s="468"/>
      <c r="MSI11" s="468"/>
      <c r="MSJ11" s="468"/>
      <c r="MSK11" s="468"/>
      <c r="MSL11" s="468"/>
      <c r="MSM11" s="468"/>
      <c r="MSN11" s="469"/>
      <c r="MSO11" s="467" t="s">
        <v>34</v>
      </c>
      <c r="MSP11" s="468"/>
      <c r="MSQ11" s="468"/>
      <c r="MSR11" s="468"/>
      <c r="MSS11" s="468"/>
      <c r="MST11" s="468"/>
      <c r="MSU11" s="468"/>
      <c r="MSV11" s="468"/>
      <c r="MSW11" s="468"/>
      <c r="MSX11" s="468"/>
      <c r="MSY11" s="468"/>
      <c r="MSZ11" s="468"/>
      <c r="MTA11" s="468"/>
      <c r="MTB11" s="468"/>
      <c r="MTC11" s="468"/>
      <c r="MTD11" s="469"/>
      <c r="MTE11" s="467" t="s">
        <v>34</v>
      </c>
      <c r="MTF11" s="468"/>
      <c r="MTG11" s="468"/>
      <c r="MTH11" s="468"/>
      <c r="MTI11" s="468"/>
      <c r="MTJ11" s="468"/>
      <c r="MTK11" s="468"/>
      <c r="MTL11" s="468"/>
      <c r="MTM11" s="468"/>
      <c r="MTN11" s="468"/>
      <c r="MTO11" s="468"/>
      <c r="MTP11" s="468"/>
      <c r="MTQ11" s="468"/>
      <c r="MTR11" s="468"/>
      <c r="MTS11" s="468"/>
      <c r="MTT11" s="469"/>
      <c r="MTU11" s="467" t="s">
        <v>34</v>
      </c>
      <c r="MTV11" s="468"/>
      <c r="MTW11" s="468"/>
      <c r="MTX11" s="468"/>
      <c r="MTY11" s="468"/>
      <c r="MTZ11" s="468"/>
      <c r="MUA11" s="468"/>
      <c r="MUB11" s="468"/>
      <c r="MUC11" s="468"/>
      <c r="MUD11" s="468"/>
      <c r="MUE11" s="468"/>
      <c r="MUF11" s="468"/>
      <c r="MUG11" s="468"/>
      <c r="MUH11" s="468"/>
      <c r="MUI11" s="468"/>
      <c r="MUJ11" s="469"/>
      <c r="MUK11" s="467" t="s">
        <v>34</v>
      </c>
      <c r="MUL11" s="468"/>
      <c r="MUM11" s="468"/>
      <c r="MUN11" s="468"/>
      <c r="MUO11" s="468"/>
      <c r="MUP11" s="468"/>
      <c r="MUQ11" s="468"/>
      <c r="MUR11" s="468"/>
      <c r="MUS11" s="468"/>
      <c r="MUT11" s="468"/>
      <c r="MUU11" s="468"/>
      <c r="MUV11" s="468"/>
      <c r="MUW11" s="468"/>
      <c r="MUX11" s="468"/>
      <c r="MUY11" s="468"/>
      <c r="MUZ11" s="469"/>
      <c r="MVA11" s="467" t="s">
        <v>34</v>
      </c>
      <c r="MVB11" s="468"/>
      <c r="MVC11" s="468"/>
      <c r="MVD11" s="468"/>
      <c r="MVE11" s="468"/>
      <c r="MVF11" s="468"/>
      <c r="MVG11" s="468"/>
      <c r="MVH11" s="468"/>
      <c r="MVI11" s="468"/>
      <c r="MVJ11" s="468"/>
      <c r="MVK11" s="468"/>
      <c r="MVL11" s="468"/>
      <c r="MVM11" s="468"/>
      <c r="MVN11" s="468"/>
      <c r="MVO11" s="468"/>
      <c r="MVP11" s="469"/>
      <c r="MVQ11" s="467" t="s">
        <v>34</v>
      </c>
      <c r="MVR11" s="468"/>
      <c r="MVS11" s="468"/>
      <c r="MVT11" s="468"/>
      <c r="MVU11" s="468"/>
      <c r="MVV11" s="468"/>
      <c r="MVW11" s="468"/>
      <c r="MVX11" s="468"/>
      <c r="MVY11" s="468"/>
      <c r="MVZ11" s="468"/>
      <c r="MWA11" s="468"/>
      <c r="MWB11" s="468"/>
      <c r="MWC11" s="468"/>
      <c r="MWD11" s="468"/>
      <c r="MWE11" s="468"/>
      <c r="MWF11" s="469"/>
      <c r="MWG11" s="467" t="s">
        <v>34</v>
      </c>
      <c r="MWH11" s="468"/>
      <c r="MWI11" s="468"/>
      <c r="MWJ11" s="468"/>
      <c r="MWK11" s="468"/>
      <c r="MWL11" s="468"/>
      <c r="MWM11" s="468"/>
      <c r="MWN11" s="468"/>
      <c r="MWO11" s="468"/>
      <c r="MWP11" s="468"/>
      <c r="MWQ11" s="468"/>
      <c r="MWR11" s="468"/>
      <c r="MWS11" s="468"/>
      <c r="MWT11" s="468"/>
      <c r="MWU11" s="468"/>
      <c r="MWV11" s="469"/>
      <c r="MWW11" s="467" t="s">
        <v>34</v>
      </c>
      <c r="MWX11" s="468"/>
      <c r="MWY11" s="468"/>
      <c r="MWZ11" s="468"/>
      <c r="MXA11" s="468"/>
      <c r="MXB11" s="468"/>
      <c r="MXC11" s="468"/>
      <c r="MXD11" s="468"/>
      <c r="MXE11" s="468"/>
      <c r="MXF11" s="468"/>
      <c r="MXG11" s="468"/>
      <c r="MXH11" s="468"/>
      <c r="MXI11" s="468"/>
      <c r="MXJ11" s="468"/>
      <c r="MXK11" s="468"/>
      <c r="MXL11" s="469"/>
      <c r="MXM11" s="467" t="s">
        <v>34</v>
      </c>
      <c r="MXN11" s="468"/>
      <c r="MXO11" s="468"/>
      <c r="MXP11" s="468"/>
      <c r="MXQ11" s="468"/>
      <c r="MXR11" s="468"/>
      <c r="MXS11" s="468"/>
      <c r="MXT11" s="468"/>
      <c r="MXU11" s="468"/>
      <c r="MXV11" s="468"/>
      <c r="MXW11" s="468"/>
      <c r="MXX11" s="468"/>
      <c r="MXY11" s="468"/>
      <c r="MXZ11" s="468"/>
      <c r="MYA11" s="468"/>
      <c r="MYB11" s="469"/>
      <c r="MYC11" s="467" t="s">
        <v>34</v>
      </c>
      <c r="MYD11" s="468"/>
      <c r="MYE11" s="468"/>
      <c r="MYF11" s="468"/>
      <c r="MYG11" s="468"/>
      <c r="MYH11" s="468"/>
      <c r="MYI11" s="468"/>
      <c r="MYJ11" s="468"/>
      <c r="MYK11" s="468"/>
      <c r="MYL11" s="468"/>
      <c r="MYM11" s="468"/>
      <c r="MYN11" s="468"/>
      <c r="MYO11" s="468"/>
      <c r="MYP11" s="468"/>
      <c r="MYQ11" s="468"/>
      <c r="MYR11" s="469"/>
      <c r="MYS11" s="467" t="s">
        <v>34</v>
      </c>
      <c r="MYT11" s="468"/>
      <c r="MYU11" s="468"/>
      <c r="MYV11" s="468"/>
      <c r="MYW11" s="468"/>
      <c r="MYX11" s="468"/>
      <c r="MYY11" s="468"/>
      <c r="MYZ11" s="468"/>
      <c r="MZA11" s="468"/>
      <c r="MZB11" s="468"/>
      <c r="MZC11" s="468"/>
      <c r="MZD11" s="468"/>
      <c r="MZE11" s="468"/>
      <c r="MZF11" s="468"/>
      <c r="MZG11" s="468"/>
      <c r="MZH11" s="469"/>
      <c r="MZI11" s="467" t="s">
        <v>34</v>
      </c>
      <c r="MZJ11" s="468"/>
      <c r="MZK11" s="468"/>
      <c r="MZL11" s="468"/>
      <c r="MZM11" s="468"/>
      <c r="MZN11" s="468"/>
      <c r="MZO11" s="468"/>
      <c r="MZP11" s="468"/>
      <c r="MZQ11" s="468"/>
      <c r="MZR11" s="468"/>
      <c r="MZS11" s="468"/>
      <c r="MZT11" s="468"/>
      <c r="MZU11" s="468"/>
      <c r="MZV11" s="468"/>
      <c r="MZW11" s="468"/>
      <c r="MZX11" s="469"/>
      <c r="MZY11" s="467" t="s">
        <v>34</v>
      </c>
      <c r="MZZ11" s="468"/>
      <c r="NAA11" s="468"/>
      <c r="NAB11" s="468"/>
      <c r="NAC11" s="468"/>
      <c r="NAD11" s="468"/>
      <c r="NAE11" s="468"/>
      <c r="NAF11" s="468"/>
      <c r="NAG11" s="468"/>
      <c r="NAH11" s="468"/>
      <c r="NAI11" s="468"/>
      <c r="NAJ11" s="468"/>
      <c r="NAK11" s="468"/>
      <c r="NAL11" s="468"/>
      <c r="NAM11" s="468"/>
      <c r="NAN11" s="469"/>
      <c r="NAO11" s="467" t="s">
        <v>34</v>
      </c>
      <c r="NAP11" s="468"/>
      <c r="NAQ11" s="468"/>
      <c r="NAR11" s="468"/>
      <c r="NAS11" s="468"/>
      <c r="NAT11" s="468"/>
      <c r="NAU11" s="468"/>
      <c r="NAV11" s="468"/>
      <c r="NAW11" s="468"/>
      <c r="NAX11" s="468"/>
      <c r="NAY11" s="468"/>
      <c r="NAZ11" s="468"/>
      <c r="NBA11" s="468"/>
      <c r="NBB11" s="468"/>
      <c r="NBC11" s="468"/>
      <c r="NBD11" s="469"/>
      <c r="NBE11" s="467" t="s">
        <v>34</v>
      </c>
      <c r="NBF11" s="468"/>
      <c r="NBG11" s="468"/>
      <c r="NBH11" s="468"/>
      <c r="NBI11" s="468"/>
      <c r="NBJ11" s="468"/>
      <c r="NBK11" s="468"/>
      <c r="NBL11" s="468"/>
      <c r="NBM11" s="468"/>
      <c r="NBN11" s="468"/>
      <c r="NBO11" s="468"/>
      <c r="NBP11" s="468"/>
      <c r="NBQ11" s="468"/>
      <c r="NBR11" s="468"/>
      <c r="NBS11" s="468"/>
      <c r="NBT11" s="469"/>
      <c r="NBU11" s="467" t="s">
        <v>34</v>
      </c>
      <c r="NBV11" s="468"/>
      <c r="NBW11" s="468"/>
      <c r="NBX11" s="468"/>
      <c r="NBY11" s="468"/>
      <c r="NBZ11" s="468"/>
      <c r="NCA11" s="468"/>
      <c r="NCB11" s="468"/>
      <c r="NCC11" s="468"/>
      <c r="NCD11" s="468"/>
      <c r="NCE11" s="468"/>
      <c r="NCF11" s="468"/>
      <c r="NCG11" s="468"/>
      <c r="NCH11" s="468"/>
      <c r="NCI11" s="468"/>
      <c r="NCJ11" s="469"/>
      <c r="NCK11" s="467" t="s">
        <v>34</v>
      </c>
      <c r="NCL11" s="468"/>
      <c r="NCM11" s="468"/>
      <c r="NCN11" s="468"/>
      <c r="NCO11" s="468"/>
      <c r="NCP11" s="468"/>
      <c r="NCQ11" s="468"/>
      <c r="NCR11" s="468"/>
      <c r="NCS11" s="468"/>
      <c r="NCT11" s="468"/>
      <c r="NCU11" s="468"/>
      <c r="NCV11" s="468"/>
      <c r="NCW11" s="468"/>
      <c r="NCX11" s="468"/>
      <c r="NCY11" s="468"/>
      <c r="NCZ11" s="469"/>
      <c r="NDA11" s="467" t="s">
        <v>34</v>
      </c>
      <c r="NDB11" s="468"/>
      <c r="NDC11" s="468"/>
      <c r="NDD11" s="468"/>
      <c r="NDE11" s="468"/>
      <c r="NDF11" s="468"/>
      <c r="NDG11" s="468"/>
      <c r="NDH11" s="468"/>
      <c r="NDI11" s="468"/>
      <c r="NDJ11" s="468"/>
      <c r="NDK11" s="468"/>
      <c r="NDL11" s="468"/>
      <c r="NDM11" s="468"/>
      <c r="NDN11" s="468"/>
      <c r="NDO11" s="468"/>
      <c r="NDP11" s="469"/>
      <c r="NDQ11" s="467" t="s">
        <v>34</v>
      </c>
      <c r="NDR11" s="468"/>
      <c r="NDS11" s="468"/>
      <c r="NDT11" s="468"/>
      <c r="NDU11" s="468"/>
      <c r="NDV11" s="468"/>
      <c r="NDW11" s="468"/>
      <c r="NDX11" s="468"/>
      <c r="NDY11" s="468"/>
      <c r="NDZ11" s="468"/>
      <c r="NEA11" s="468"/>
      <c r="NEB11" s="468"/>
      <c r="NEC11" s="468"/>
      <c r="NED11" s="468"/>
      <c r="NEE11" s="468"/>
      <c r="NEF11" s="469"/>
      <c r="NEG11" s="467" t="s">
        <v>34</v>
      </c>
      <c r="NEH11" s="468"/>
      <c r="NEI11" s="468"/>
      <c r="NEJ11" s="468"/>
      <c r="NEK11" s="468"/>
      <c r="NEL11" s="468"/>
      <c r="NEM11" s="468"/>
      <c r="NEN11" s="468"/>
      <c r="NEO11" s="468"/>
      <c r="NEP11" s="468"/>
      <c r="NEQ11" s="468"/>
      <c r="NER11" s="468"/>
      <c r="NES11" s="468"/>
      <c r="NET11" s="468"/>
      <c r="NEU11" s="468"/>
      <c r="NEV11" s="469"/>
      <c r="NEW11" s="467" t="s">
        <v>34</v>
      </c>
      <c r="NEX11" s="468"/>
      <c r="NEY11" s="468"/>
      <c r="NEZ11" s="468"/>
      <c r="NFA11" s="468"/>
      <c r="NFB11" s="468"/>
      <c r="NFC11" s="468"/>
      <c r="NFD11" s="468"/>
      <c r="NFE11" s="468"/>
      <c r="NFF11" s="468"/>
      <c r="NFG11" s="468"/>
      <c r="NFH11" s="468"/>
      <c r="NFI11" s="468"/>
      <c r="NFJ11" s="468"/>
      <c r="NFK11" s="468"/>
      <c r="NFL11" s="469"/>
      <c r="NFM11" s="467" t="s">
        <v>34</v>
      </c>
      <c r="NFN11" s="468"/>
      <c r="NFO11" s="468"/>
      <c r="NFP11" s="468"/>
      <c r="NFQ11" s="468"/>
      <c r="NFR11" s="468"/>
      <c r="NFS11" s="468"/>
      <c r="NFT11" s="468"/>
      <c r="NFU11" s="468"/>
      <c r="NFV11" s="468"/>
      <c r="NFW11" s="468"/>
      <c r="NFX11" s="468"/>
      <c r="NFY11" s="468"/>
      <c r="NFZ11" s="468"/>
      <c r="NGA11" s="468"/>
      <c r="NGB11" s="469"/>
      <c r="NGC11" s="467" t="s">
        <v>34</v>
      </c>
      <c r="NGD11" s="468"/>
      <c r="NGE11" s="468"/>
      <c r="NGF11" s="468"/>
      <c r="NGG11" s="468"/>
      <c r="NGH11" s="468"/>
      <c r="NGI11" s="468"/>
      <c r="NGJ11" s="468"/>
      <c r="NGK11" s="468"/>
      <c r="NGL11" s="468"/>
      <c r="NGM11" s="468"/>
      <c r="NGN11" s="468"/>
      <c r="NGO11" s="468"/>
      <c r="NGP11" s="468"/>
      <c r="NGQ11" s="468"/>
      <c r="NGR11" s="469"/>
      <c r="NGS11" s="467" t="s">
        <v>34</v>
      </c>
      <c r="NGT11" s="468"/>
      <c r="NGU11" s="468"/>
      <c r="NGV11" s="468"/>
      <c r="NGW11" s="468"/>
      <c r="NGX11" s="468"/>
      <c r="NGY11" s="468"/>
      <c r="NGZ11" s="468"/>
      <c r="NHA11" s="468"/>
      <c r="NHB11" s="468"/>
      <c r="NHC11" s="468"/>
      <c r="NHD11" s="468"/>
      <c r="NHE11" s="468"/>
      <c r="NHF11" s="468"/>
      <c r="NHG11" s="468"/>
      <c r="NHH11" s="469"/>
      <c r="NHI11" s="467" t="s">
        <v>34</v>
      </c>
      <c r="NHJ11" s="468"/>
      <c r="NHK11" s="468"/>
      <c r="NHL11" s="468"/>
      <c r="NHM11" s="468"/>
      <c r="NHN11" s="468"/>
      <c r="NHO11" s="468"/>
      <c r="NHP11" s="468"/>
      <c r="NHQ11" s="468"/>
      <c r="NHR11" s="468"/>
      <c r="NHS11" s="468"/>
      <c r="NHT11" s="468"/>
      <c r="NHU11" s="468"/>
      <c r="NHV11" s="468"/>
      <c r="NHW11" s="468"/>
      <c r="NHX11" s="469"/>
      <c r="NHY11" s="467" t="s">
        <v>34</v>
      </c>
      <c r="NHZ11" s="468"/>
      <c r="NIA11" s="468"/>
      <c r="NIB11" s="468"/>
      <c r="NIC11" s="468"/>
      <c r="NID11" s="468"/>
      <c r="NIE11" s="468"/>
      <c r="NIF11" s="468"/>
      <c r="NIG11" s="468"/>
      <c r="NIH11" s="468"/>
      <c r="NII11" s="468"/>
      <c r="NIJ11" s="468"/>
      <c r="NIK11" s="468"/>
      <c r="NIL11" s="468"/>
      <c r="NIM11" s="468"/>
      <c r="NIN11" s="469"/>
      <c r="NIO11" s="467" t="s">
        <v>34</v>
      </c>
      <c r="NIP11" s="468"/>
      <c r="NIQ11" s="468"/>
      <c r="NIR11" s="468"/>
      <c r="NIS11" s="468"/>
      <c r="NIT11" s="468"/>
      <c r="NIU11" s="468"/>
      <c r="NIV11" s="468"/>
      <c r="NIW11" s="468"/>
      <c r="NIX11" s="468"/>
      <c r="NIY11" s="468"/>
      <c r="NIZ11" s="468"/>
      <c r="NJA11" s="468"/>
      <c r="NJB11" s="468"/>
      <c r="NJC11" s="468"/>
      <c r="NJD11" s="469"/>
      <c r="NJE11" s="467" t="s">
        <v>34</v>
      </c>
      <c r="NJF11" s="468"/>
      <c r="NJG11" s="468"/>
      <c r="NJH11" s="468"/>
      <c r="NJI11" s="468"/>
      <c r="NJJ11" s="468"/>
      <c r="NJK11" s="468"/>
      <c r="NJL11" s="468"/>
      <c r="NJM11" s="468"/>
      <c r="NJN11" s="468"/>
      <c r="NJO11" s="468"/>
      <c r="NJP11" s="468"/>
      <c r="NJQ11" s="468"/>
      <c r="NJR11" s="468"/>
      <c r="NJS11" s="468"/>
      <c r="NJT11" s="469"/>
      <c r="NJU11" s="467" t="s">
        <v>34</v>
      </c>
      <c r="NJV11" s="468"/>
      <c r="NJW11" s="468"/>
      <c r="NJX11" s="468"/>
      <c r="NJY11" s="468"/>
      <c r="NJZ11" s="468"/>
      <c r="NKA11" s="468"/>
      <c r="NKB11" s="468"/>
      <c r="NKC11" s="468"/>
      <c r="NKD11" s="468"/>
      <c r="NKE11" s="468"/>
      <c r="NKF11" s="468"/>
      <c r="NKG11" s="468"/>
      <c r="NKH11" s="468"/>
      <c r="NKI11" s="468"/>
      <c r="NKJ11" s="469"/>
      <c r="NKK11" s="467" t="s">
        <v>34</v>
      </c>
      <c r="NKL11" s="468"/>
      <c r="NKM11" s="468"/>
      <c r="NKN11" s="468"/>
      <c r="NKO11" s="468"/>
      <c r="NKP11" s="468"/>
      <c r="NKQ11" s="468"/>
      <c r="NKR11" s="468"/>
      <c r="NKS11" s="468"/>
      <c r="NKT11" s="468"/>
      <c r="NKU11" s="468"/>
      <c r="NKV11" s="468"/>
      <c r="NKW11" s="468"/>
      <c r="NKX11" s="468"/>
      <c r="NKY11" s="468"/>
      <c r="NKZ11" s="469"/>
      <c r="NLA11" s="467" t="s">
        <v>34</v>
      </c>
      <c r="NLB11" s="468"/>
      <c r="NLC11" s="468"/>
      <c r="NLD11" s="468"/>
      <c r="NLE11" s="468"/>
      <c r="NLF11" s="468"/>
      <c r="NLG11" s="468"/>
      <c r="NLH11" s="468"/>
      <c r="NLI11" s="468"/>
      <c r="NLJ11" s="468"/>
      <c r="NLK11" s="468"/>
      <c r="NLL11" s="468"/>
      <c r="NLM11" s="468"/>
      <c r="NLN11" s="468"/>
      <c r="NLO11" s="468"/>
      <c r="NLP11" s="469"/>
      <c r="NLQ11" s="467" t="s">
        <v>34</v>
      </c>
      <c r="NLR11" s="468"/>
      <c r="NLS11" s="468"/>
      <c r="NLT11" s="468"/>
      <c r="NLU11" s="468"/>
      <c r="NLV11" s="468"/>
      <c r="NLW11" s="468"/>
      <c r="NLX11" s="468"/>
      <c r="NLY11" s="468"/>
      <c r="NLZ11" s="468"/>
      <c r="NMA11" s="468"/>
      <c r="NMB11" s="468"/>
      <c r="NMC11" s="468"/>
      <c r="NMD11" s="468"/>
      <c r="NME11" s="468"/>
      <c r="NMF11" s="469"/>
      <c r="NMG11" s="467" t="s">
        <v>34</v>
      </c>
      <c r="NMH11" s="468"/>
      <c r="NMI11" s="468"/>
      <c r="NMJ11" s="468"/>
      <c r="NMK11" s="468"/>
      <c r="NML11" s="468"/>
      <c r="NMM11" s="468"/>
      <c r="NMN11" s="468"/>
      <c r="NMO11" s="468"/>
      <c r="NMP11" s="468"/>
      <c r="NMQ11" s="468"/>
      <c r="NMR11" s="468"/>
      <c r="NMS11" s="468"/>
      <c r="NMT11" s="468"/>
      <c r="NMU11" s="468"/>
      <c r="NMV11" s="469"/>
      <c r="NMW11" s="467" t="s">
        <v>34</v>
      </c>
      <c r="NMX11" s="468"/>
      <c r="NMY11" s="468"/>
      <c r="NMZ11" s="468"/>
      <c r="NNA11" s="468"/>
      <c r="NNB11" s="468"/>
      <c r="NNC11" s="468"/>
      <c r="NND11" s="468"/>
      <c r="NNE11" s="468"/>
      <c r="NNF11" s="468"/>
      <c r="NNG11" s="468"/>
      <c r="NNH11" s="468"/>
      <c r="NNI11" s="468"/>
      <c r="NNJ11" s="468"/>
      <c r="NNK11" s="468"/>
      <c r="NNL11" s="469"/>
      <c r="NNM11" s="467" t="s">
        <v>34</v>
      </c>
      <c r="NNN11" s="468"/>
      <c r="NNO11" s="468"/>
      <c r="NNP11" s="468"/>
      <c r="NNQ11" s="468"/>
      <c r="NNR11" s="468"/>
      <c r="NNS11" s="468"/>
      <c r="NNT11" s="468"/>
      <c r="NNU11" s="468"/>
      <c r="NNV11" s="468"/>
      <c r="NNW11" s="468"/>
      <c r="NNX11" s="468"/>
      <c r="NNY11" s="468"/>
      <c r="NNZ11" s="468"/>
      <c r="NOA11" s="468"/>
      <c r="NOB11" s="469"/>
      <c r="NOC11" s="467" t="s">
        <v>34</v>
      </c>
      <c r="NOD11" s="468"/>
      <c r="NOE11" s="468"/>
      <c r="NOF11" s="468"/>
      <c r="NOG11" s="468"/>
      <c r="NOH11" s="468"/>
      <c r="NOI11" s="468"/>
      <c r="NOJ11" s="468"/>
      <c r="NOK11" s="468"/>
      <c r="NOL11" s="468"/>
      <c r="NOM11" s="468"/>
      <c r="NON11" s="468"/>
      <c r="NOO11" s="468"/>
      <c r="NOP11" s="468"/>
      <c r="NOQ11" s="468"/>
      <c r="NOR11" s="469"/>
      <c r="NOS11" s="467" t="s">
        <v>34</v>
      </c>
      <c r="NOT11" s="468"/>
      <c r="NOU11" s="468"/>
      <c r="NOV11" s="468"/>
      <c r="NOW11" s="468"/>
      <c r="NOX11" s="468"/>
      <c r="NOY11" s="468"/>
      <c r="NOZ11" s="468"/>
      <c r="NPA11" s="468"/>
      <c r="NPB11" s="468"/>
      <c r="NPC11" s="468"/>
      <c r="NPD11" s="468"/>
      <c r="NPE11" s="468"/>
      <c r="NPF11" s="468"/>
      <c r="NPG11" s="468"/>
      <c r="NPH11" s="469"/>
      <c r="NPI11" s="467" t="s">
        <v>34</v>
      </c>
      <c r="NPJ11" s="468"/>
      <c r="NPK11" s="468"/>
      <c r="NPL11" s="468"/>
      <c r="NPM11" s="468"/>
      <c r="NPN11" s="468"/>
      <c r="NPO11" s="468"/>
      <c r="NPP11" s="468"/>
      <c r="NPQ11" s="468"/>
      <c r="NPR11" s="468"/>
      <c r="NPS11" s="468"/>
      <c r="NPT11" s="468"/>
      <c r="NPU11" s="468"/>
      <c r="NPV11" s="468"/>
      <c r="NPW11" s="468"/>
      <c r="NPX11" s="469"/>
      <c r="NPY11" s="467" t="s">
        <v>34</v>
      </c>
      <c r="NPZ11" s="468"/>
      <c r="NQA11" s="468"/>
      <c r="NQB11" s="468"/>
      <c r="NQC11" s="468"/>
      <c r="NQD11" s="468"/>
      <c r="NQE11" s="468"/>
      <c r="NQF11" s="468"/>
      <c r="NQG11" s="468"/>
      <c r="NQH11" s="468"/>
      <c r="NQI11" s="468"/>
      <c r="NQJ11" s="468"/>
      <c r="NQK11" s="468"/>
      <c r="NQL11" s="468"/>
      <c r="NQM11" s="468"/>
      <c r="NQN11" s="469"/>
      <c r="NQO11" s="467" t="s">
        <v>34</v>
      </c>
      <c r="NQP11" s="468"/>
      <c r="NQQ11" s="468"/>
      <c r="NQR11" s="468"/>
      <c r="NQS11" s="468"/>
      <c r="NQT11" s="468"/>
      <c r="NQU11" s="468"/>
      <c r="NQV11" s="468"/>
      <c r="NQW11" s="468"/>
      <c r="NQX11" s="468"/>
      <c r="NQY11" s="468"/>
      <c r="NQZ11" s="468"/>
      <c r="NRA11" s="468"/>
      <c r="NRB11" s="468"/>
      <c r="NRC11" s="468"/>
      <c r="NRD11" s="469"/>
      <c r="NRE11" s="467" t="s">
        <v>34</v>
      </c>
      <c r="NRF11" s="468"/>
      <c r="NRG11" s="468"/>
      <c r="NRH11" s="468"/>
      <c r="NRI11" s="468"/>
      <c r="NRJ11" s="468"/>
      <c r="NRK11" s="468"/>
      <c r="NRL11" s="468"/>
      <c r="NRM11" s="468"/>
      <c r="NRN11" s="468"/>
      <c r="NRO11" s="468"/>
      <c r="NRP11" s="468"/>
      <c r="NRQ11" s="468"/>
      <c r="NRR11" s="468"/>
      <c r="NRS11" s="468"/>
      <c r="NRT11" s="469"/>
      <c r="NRU11" s="467" t="s">
        <v>34</v>
      </c>
      <c r="NRV11" s="468"/>
      <c r="NRW11" s="468"/>
      <c r="NRX11" s="468"/>
      <c r="NRY11" s="468"/>
      <c r="NRZ11" s="468"/>
      <c r="NSA11" s="468"/>
      <c r="NSB11" s="468"/>
      <c r="NSC11" s="468"/>
      <c r="NSD11" s="468"/>
      <c r="NSE11" s="468"/>
      <c r="NSF11" s="468"/>
      <c r="NSG11" s="468"/>
      <c r="NSH11" s="468"/>
      <c r="NSI11" s="468"/>
      <c r="NSJ11" s="469"/>
      <c r="NSK11" s="467" t="s">
        <v>34</v>
      </c>
      <c r="NSL11" s="468"/>
      <c r="NSM11" s="468"/>
      <c r="NSN11" s="468"/>
      <c r="NSO11" s="468"/>
      <c r="NSP11" s="468"/>
      <c r="NSQ11" s="468"/>
      <c r="NSR11" s="468"/>
      <c r="NSS11" s="468"/>
      <c r="NST11" s="468"/>
      <c r="NSU11" s="468"/>
      <c r="NSV11" s="468"/>
      <c r="NSW11" s="468"/>
      <c r="NSX11" s="468"/>
      <c r="NSY11" s="468"/>
      <c r="NSZ11" s="469"/>
      <c r="NTA11" s="467" t="s">
        <v>34</v>
      </c>
      <c r="NTB11" s="468"/>
      <c r="NTC11" s="468"/>
      <c r="NTD11" s="468"/>
      <c r="NTE11" s="468"/>
      <c r="NTF11" s="468"/>
      <c r="NTG11" s="468"/>
      <c r="NTH11" s="468"/>
      <c r="NTI11" s="468"/>
      <c r="NTJ11" s="468"/>
      <c r="NTK11" s="468"/>
      <c r="NTL11" s="468"/>
      <c r="NTM11" s="468"/>
      <c r="NTN11" s="468"/>
      <c r="NTO11" s="468"/>
      <c r="NTP11" s="469"/>
      <c r="NTQ11" s="467" t="s">
        <v>34</v>
      </c>
      <c r="NTR11" s="468"/>
      <c r="NTS11" s="468"/>
      <c r="NTT11" s="468"/>
      <c r="NTU11" s="468"/>
      <c r="NTV11" s="468"/>
      <c r="NTW11" s="468"/>
      <c r="NTX11" s="468"/>
      <c r="NTY11" s="468"/>
      <c r="NTZ11" s="468"/>
      <c r="NUA11" s="468"/>
      <c r="NUB11" s="468"/>
      <c r="NUC11" s="468"/>
      <c r="NUD11" s="468"/>
      <c r="NUE11" s="468"/>
      <c r="NUF11" s="469"/>
      <c r="NUG11" s="467" t="s">
        <v>34</v>
      </c>
      <c r="NUH11" s="468"/>
      <c r="NUI11" s="468"/>
      <c r="NUJ11" s="468"/>
      <c r="NUK11" s="468"/>
      <c r="NUL11" s="468"/>
      <c r="NUM11" s="468"/>
      <c r="NUN11" s="468"/>
      <c r="NUO11" s="468"/>
      <c r="NUP11" s="468"/>
      <c r="NUQ11" s="468"/>
      <c r="NUR11" s="468"/>
      <c r="NUS11" s="468"/>
      <c r="NUT11" s="468"/>
      <c r="NUU11" s="468"/>
      <c r="NUV11" s="469"/>
      <c r="NUW11" s="467" t="s">
        <v>34</v>
      </c>
      <c r="NUX11" s="468"/>
      <c r="NUY11" s="468"/>
      <c r="NUZ11" s="468"/>
      <c r="NVA11" s="468"/>
      <c r="NVB11" s="468"/>
      <c r="NVC11" s="468"/>
      <c r="NVD11" s="468"/>
      <c r="NVE11" s="468"/>
      <c r="NVF11" s="468"/>
      <c r="NVG11" s="468"/>
      <c r="NVH11" s="468"/>
      <c r="NVI11" s="468"/>
      <c r="NVJ11" s="468"/>
      <c r="NVK11" s="468"/>
      <c r="NVL11" s="469"/>
      <c r="NVM11" s="467" t="s">
        <v>34</v>
      </c>
      <c r="NVN11" s="468"/>
      <c r="NVO11" s="468"/>
      <c r="NVP11" s="468"/>
      <c r="NVQ11" s="468"/>
      <c r="NVR11" s="468"/>
      <c r="NVS11" s="468"/>
      <c r="NVT11" s="468"/>
      <c r="NVU11" s="468"/>
      <c r="NVV11" s="468"/>
      <c r="NVW11" s="468"/>
      <c r="NVX11" s="468"/>
      <c r="NVY11" s="468"/>
      <c r="NVZ11" s="468"/>
      <c r="NWA11" s="468"/>
      <c r="NWB11" s="469"/>
      <c r="NWC11" s="467" t="s">
        <v>34</v>
      </c>
      <c r="NWD11" s="468"/>
      <c r="NWE11" s="468"/>
      <c r="NWF11" s="468"/>
      <c r="NWG11" s="468"/>
      <c r="NWH11" s="468"/>
      <c r="NWI11" s="468"/>
      <c r="NWJ11" s="468"/>
      <c r="NWK11" s="468"/>
      <c r="NWL11" s="468"/>
      <c r="NWM11" s="468"/>
      <c r="NWN11" s="468"/>
      <c r="NWO11" s="468"/>
      <c r="NWP11" s="468"/>
      <c r="NWQ11" s="468"/>
      <c r="NWR11" s="469"/>
      <c r="NWS11" s="467" t="s">
        <v>34</v>
      </c>
      <c r="NWT11" s="468"/>
      <c r="NWU11" s="468"/>
      <c r="NWV11" s="468"/>
      <c r="NWW11" s="468"/>
      <c r="NWX11" s="468"/>
      <c r="NWY11" s="468"/>
      <c r="NWZ11" s="468"/>
      <c r="NXA11" s="468"/>
      <c r="NXB11" s="468"/>
      <c r="NXC11" s="468"/>
      <c r="NXD11" s="468"/>
      <c r="NXE11" s="468"/>
      <c r="NXF11" s="468"/>
      <c r="NXG11" s="468"/>
      <c r="NXH11" s="469"/>
      <c r="NXI11" s="467" t="s">
        <v>34</v>
      </c>
      <c r="NXJ11" s="468"/>
      <c r="NXK11" s="468"/>
      <c r="NXL11" s="468"/>
      <c r="NXM11" s="468"/>
      <c r="NXN11" s="468"/>
      <c r="NXO11" s="468"/>
      <c r="NXP11" s="468"/>
      <c r="NXQ11" s="468"/>
      <c r="NXR11" s="468"/>
      <c r="NXS11" s="468"/>
      <c r="NXT11" s="468"/>
      <c r="NXU11" s="468"/>
      <c r="NXV11" s="468"/>
      <c r="NXW11" s="468"/>
      <c r="NXX11" s="469"/>
      <c r="NXY11" s="467" t="s">
        <v>34</v>
      </c>
      <c r="NXZ11" s="468"/>
      <c r="NYA11" s="468"/>
      <c r="NYB11" s="468"/>
      <c r="NYC11" s="468"/>
      <c r="NYD11" s="468"/>
      <c r="NYE11" s="468"/>
      <c r="NYF11" s="468"/>
      <c r="NYG11" s="468"/>
      <c r="NYH11" s="468"/>
      <c r="NYI11" s="468"/>
      <c r="NYJ11" s="468"/>
      <c r="NYK11" s="468"/>
      <c r="NYL11" s="468"/>
      <c r="NYM11" s="468"/>
      <c r="NYN11" s="469"/>
      <c r="NYO11" s="467" t="s">
        <v>34</v>
      </c>
      <c r="NYP11" s="468"/>
      <c r="NYQ11" s="468"/>
      <c r="NYR11" s="468"/>
      <c r="NYS11" s="468"/>
      <c r="NYT11" s="468"/>
      <c r="NYU11" s="468"/>
      <c r="NYV11" s="468"/>
      <c r="NYW11" s="468"/>
      <c r="NYX11" s="468"/>
      <c r="NYY11" s="468"/>
      <c r="NYZ11" s="468"/>
      <c r="NZA11" s="468"/>
      <c r="NZB11" s="468"/>
      <c r="NZC11" s="468"/>
      <c r="NZD11" s="469"/>
      <c r="NZE11" s="467" t="s">
        <v>34</v>
      </c>
      <c r="NZF11" s="468"/>
      <c r="NZG11" s="468"/>
      <c r="NZH11" s="468"/>
      <c r="NZI11" s="468"/>
      <c r="NZJ11" s="468"/>
      <c r="NZK11" s="468"/>
      <c r="NZL11" s="468"/>
      <c r="NZM11" s="468"/>
      <c r="NZN11" s="468"/>
      <c r="NZO11" s="468"/>
      <c r="NZP11" s="468"/>
      <c r="NZQ11" s="468"/>
      <c r="NZR11" s="468"/>
      <c r="NZS11" s="468"/>
      <c r="NZT11" s="469"/>
      <c r="NZU11" s="467" t="s">
        <v>34</v>
      </c>
      <c r="NZV11" s="468"/>
      <c r="NZW11" s="468"/>
      <c r="NZX11" s="468"/>
      <c r="NZY11" s="468"/>
      <c r="NZZ11" s="468"/>
      <c r="OAA11" s="468"/>
      <c r="OAB11" s="468"/>
      <c r="OAC11" s="468"/>
      <c r="OAD11" s="468"/>
      <c r="OAE11" s="468"/>
      <c r="OAF11" s="468"/>
      <c r="OAG11" s="468"/>
      <c r="OAH11" s="468"/>
      <c r="OAI11" s="468"/>
      <c r="OAJ11" s="469"/>
      <c r="OAK11" s="467" t="s">
        <v>34</v>
      </c>
      <c r="OAL11" s="468"/>
      <c r="OAM11" s="468"/>
      <c r="OAN11" s="468"/>
      <c r="OAO11" s="468"/>
      <c r="OAP11" s="468"/>
      <c r="OAQ11" s="468"/>
      <c r="OAR11" s="468"/>
      <c r="OAS11" s="468"/>
      <c r="OAT11" s="468"/>
      <c r="OAU11" s="468"/>
      <c r="OAV11" s="468"/>
      <c r="OAW11" s="468"/>
      <c r="OAX11" s="468"/>
      <c r="OAY11" s="468"/>
      <c r="OAZ11" s="469"/>
      <c r="OBA11" s="467" t="s">
        <v>34</v>
      </c>
      <c r="OBB11" s="468"/>
      <c r="OBC11" s="468"/>
      <c r="OBD11" s="468"/>
      <c r="OBE11" s="468"/>
      <c r="OBF11" s="468"/>
      <c r="OBG11" s="468"/>
      <c r="OBH11" s="468"/>
      <c r="OBI11" s="468"/>
      <c r="OBJ11" s="468"/>
      <c r="OBK11" s="468"/>
      <c r="OBL11" s="468"/>
      <c r="OBM11" s="468"/>
      <c r="OBN11" s="468"/>
      <c r="OBO11" s="468"/>
      <c r="OBP11" s="469"/>
      <c r="OBQ11" s="467" t="s">
        <v>34</v>
      </c>
      <c r="OBR11" s="468"/>
      <c r="OBS11" s="468"/>
      <c r="OBT11" s="468"/>
      <c r="OBU11" s="468"/>
      <c r="OBV11" s="468"/>
      <c r="OBW11" s="468"/>
      <c r="OBX11" s="468"/>
      <c r="OBY11" s="468"/>
      <c r="OBZ11" s="468"/>
      <c r="OCA11" s="468"/>
      <c r="OCB11" s="468"/>
      <c r="OCC11" s="468"/>
      <c r="OCD11" s="468"/>
      <c r="OCE11" s="468"/>
      <c r="OCF11" s="469"/>
      <c r="OCG11" s="467" t="s">
        <v>34</v>
      </c>
      <c r="OCH11" s="468"/>
      <c r="OCI11" s="468"/>
      <c r="OCJ11" s="468"/>
      <c r="OCK11" s="468"/>
      <c r="OCL11" s="468"/>
      <c r="OCM11" s="468"/>
      <c r="OCN11" s="468"/>
      <c r="OCO11" s="468"/>
      <c r="OCP11" s="468"/>
      <c r="OCQ11" s="468"/>
      <c r="OCR11" s="468"/>
      <c r="OCS11" s="468"/>
      <c r="OCT11" s="468"/>
      <c r="OCU11" s="468"/>
      <c r="OCV11" s="469"/>
      <c r="OCW11" s="467" t="s">
        <v>34</v>
      </c>
      <c r="OCX11" s="468"/>
      <c r="OCY11" s="468"/>
      <c r="OCZ11" s="468"/>
      <c r="ODA11" s="468"/>
      <c r="ODB11" s="468"/>
      <c r="ODC11" s="468"/>
      <c r="ODD11" s="468"/>
      <c r="ODE11" s="468"/>
      <c r="ODF11" s="468"/>
      <c r="ODG11" s="468"/>
      <c r="ODH11" s="468"/>
      <c r="ODI11" s="468"/>
      <c r="ODJ11" s="468"/>
      <c r="ODK11" s="468"/>
      <c r="ODL11" s="469"/>
      <c r="ODM11" s="467" t="s">
        <v>34</v>
      </c>
      <c r="ODN11" s="468"/>
      <c r="ODO11" s="468"/>
      <c r="ODP11" s="468"/>
      <c r="ODQ11" s="468"/>
      <c r="ODR11" s="468"/>
      <c r="ODS11" s="468"/>
      <c r="ODT11" s="468"/>
      <c r="ODU11" s="468"/>
      <c r="ODV11" s="468"/>
      <c r="ODW11" s="468"/>
      <c r="ODX11" s="468"/>
      <c r="ODY11" s="468"/>
      <c r="ODZ11" s="468"/>
      <c r="OEA11" s="468"/>
      <c r="OEB11" s="469"/>
      <c r="OEC11" s="467" t="s">
        <v>34</v>
      </c>
      <c r="OED11" s="468"/>
      <c r="OEE11" s="468"/>
      <c r="OEF11" s="468"/>
      <c r="OEG11" s="468"/>
      <c r="OEH11" s="468"/>
      <c r="OEI11" s="468"/>
      <c r="OEJ11" s="468"/>
      <c r="OEK11" s="468"/>
      <c r="OEL11" s="468"/>
      <c r="OEM11" s="468"/>
      <c r="OEN11" s="468"/>
      <c r="OEO11" s="468"/>
      <c r="OEP11" s="468"/>
      <c r="OEQ11" s="468"/>
      <c r="OER11" s="469"/>
      <c r="OES11" s="467" t="s">
        <v>34</v>
      </c>
      <c r="OET11" s="468"/>
      <c r="OEU11" s="468"/>
      <c r="OEV11" s="468"/>
      <c r="OEW11" s="468"/>
      <c r="OEX11" s="468"/>
      <c r="OEY11" s="468"/>
      <c r="OEZ11" s="468"/>
      <c r="OFA11" s="468"/>
      <c r="OFB11" s="468"/>
      <c r="OFC11" s="468"/>
      <c r="OFD11" s="468"/>
      <c r="OFE11" s="468"/>
      <c r="OFF11" s="468"/>
      <c r="OFG11" s="468"/>
      <c r="OFH11" s="469"/>
      <c r="OFI11" s="467" t="s">
        <v>34</v>
      </c>
      <c r="OFJ11" s="468"/>
      <c r="OFK11" s="468"/>
      <c r="OFL11" s="468"/>
      <c r="OFM11" s="468"/>
      <c r="OFN11" s="468"/>
      <c r="OFO11" s="468"/>
      <c r="OFP11" s="468"/>
      <c r="OFQ11" s="468"/>
      <c r="OFR11" s="468"/>
      <c r="OFS11" s="468"/>
      <c r="OFT11" s="468"/>
      <c r="OFU11" s="468"/>
      <c r="OFV11" s="468"/>
      <c r="OFW11" s="468"/>
      <c r="OFX11" s="469"/>
      <c r="OFY11" s="467" t="s">
        <v>34</v>
      </c>
      <c r="OFZ11" s="468"/>
      <c r="OGA11" s="468"/>
      <c r="OGB11" s="468"/>
      <c r="OGC11" s="468"/>
      <c r="OGD11" s="468"/>
      <c r="OGE11" s="468"/>
      <c r="OGF11" s="468"/>
      <c r="OGG11" s="468"/>
      <c r="OGH11" s="468"/>
      <c r="OGI11" s="468"/>
      <c r="OGJ11" s="468"/>
      <c r="OGK11" s="468"/>
      <c r="OGL11" s="468"/>
      <c r="OGM11" s="468"/>
      <c r="OGN11" s="469"/>
      <c r="OGO11" s="467" t="s">
        <v>34</v>
      </c>
      <c r="OGP11" s="468"/>
      <c r="OGQ11" s="468"/>
      <c r="OGR11" s="468"/>
      <c r="OGS11" s="468"/>
      <c r="OGT11" s="468"/>
      <c r="OGU11" s="468"/>
      <c r="OGV11" s="468"/>
      <c r="OGW11" s="468"/>
      <c r="OGX11" s="468"/>
      <c r="OGY11" s="468"/>
      <c r="OGZ11" s="468"/>
      <c r="OHA11" s="468"/>
      <c r="OHB11" s="468"/>
      <c r="OHC11" s="468"/>
      <c r="OHD11" s="469"/>
      <c r="OHE11" s="467" t="s">
        <v>34</v>
      </c>
      <c r="OHF11" s="468"/>
      <c r="OHG11" s="468"/>
      <c r="OHH11" s="468"/>
      <c r="OHI11" s="468"/>
      <c r="OHJ11" s="468"/>
      <c r="OHK11" s="468"/>
      <c r="OHL11" s="468"/>
      <c r="OHM11" s="468"/>
      <c r="OHN11" s="468"/>
      <c r="OHO11" s="468"/>
      <c r="OHP11" s="468"/>
      <c r="OHQ11" s="468"/>
      <c r="OHR11" s="468"/>
      <c r="OHS11" s="468"/>
      <c r="OHT11" s="469"/>
      <c r="OHU11" s="467" t="s">
        <v>34</v>
      </c>
      <c r="OHV11" s="468"/>
      <c r="OHW11" s="468"/>
      <c r="OHX11" s="468"/>
      <c r="OHY11" s="468"/>
      <c r="OHZ11" s="468"/>
      <c r="OIA11" s="468"/>
      <c r="OIB11" s="468"/>
      <c r="OIC11" s="468"/>
      <c r="OID11" s="468"/>
      <c r="OIE11" s="468"/>
      <c r="OIF11" s="468"/>
      <c r="OIG11" s="468"/>
      <c r="OIH11" s="468"/>
      <c r="OII11" s="468"/>
      <c r="OIJ11" s="469"/>
      <c r="OIK11" s="467" t="s">
        <v>34</v>
      </c>
      <c r="OIL11" s="468"/>
      <c r="OIM11" s="468"/>
      <c r="OIN11" s="468"/>
      <c r="OIO11" s="468"/>
      <c r="OIP11" s="468"/>
      <c r="OIQ11" s="468"/>
      <c r="OIR11" s="468"/>
      <c r="OIS11" s="468"/>
      <c r="OIT11" s="468"/>
      <c r="OIU11" s="468"/>
      <c r="OIV11" s="468"/>
      <c r="OIW11" s="468"/>
      <c r="OIX11" s="468"/>
      <c r="OIY11" s="468"/>
      <c r="OIZ11" s="469"/>
      <c r="OJA11" s="467" t="s">
        <v>34</v>
      </c>
      <c r="OJB11" s="468"/>
      <c r="OJC11" s="468"/>
      <c r="OJD11" s="468"/>
      <c r="OJE11" s="468"/>
      <c r="OJF11" s="468"/>
      <c r="OJG11" s="468"/>
      <c r="OJH11" s="468"/>
      <c r="OJI11" s="468"/>
      <c r="OJJ11" s="468"/>
      <c r="OJK11" s="468"/>
      <c r="OJL11" s="468"/>
      <c r="OJM11" s="468"/>
      <c r="OJN11" s="468"/>
      <c r="OJO11" s="468"/>
      <c r="OJP11" s="469"/>
      <c r="OJQ11" s="467" t="s">
        <v>34</v>
      </c>
      <c r="OJR11" s="468"/>
      <c r="OJS11" s="468"/>
      <c r="OJT11" s="468"/>
      <c r="OJU11" s="468"/>
      <c r="OJV11" s="468"/>
      <c r="OJW11" s="468"/>
      <c r="OJX11" s="468"/>
      <c r="OJY11" s="468"/>
      <c r="OJZ11" s="468"/>
      <c r="OKA11" s="468"/>
      <c r="OKB11" s="468"/>
      <c r="OKC11" s="468"/>
      <c r="OKD11" s="468"/>
      <c r="OKE11" s="468"/>
      <c r="OKF11" s="469"/>
      <c r="OKG11" s="467" t="s">
        <v>34</v>
      </c>
      <c r="OKH11" s="468"/>
      <c r="OKI11" s="468"/>
      <c r="OKJ11" s="468"/>
      <c r="OKK11" s="468"/>
      <c r="OKL11" s="468"/>
      <c r="OKM11" s="468"/>
      <c r="OKN11" s="468"/>
      <c r="OKO11" s="468"/>
      <c r="OKP11" s="468"/>
      <c r="OKQ11" s="468"/>
      <c r="OKR11" s="468"/>
      <c r="OKS11" s="468"/>
      <c r="OKT11" s="468"/>
      <c r="OKU11" s="468"/>
      <c r="OKV11" s="469"/>
      <c r="OKW11" s="467" t="s">
        <v>34</v>
      </c>
      <c r="OKX11" s="468"/>
      <c r="OKY11" s="468"/>
      <c r="OKZ11" s="468"/>
      <c r="OLA11" s="468"/>
      <c r="OLB11" s="468"/>
      <c r="OLC11" s="468"/>
      <c r="OLD11" s="468"/>
      <c r="OLE11" s="468"/>
      <c r="OLF11" s="468"/>
      <c r="OLG11" s="468"/>
      <c r="OLH11" s="468"/>
      <c r="OLI11" s="468"/>
      <c r="OLJ11" s="468"/>
      <c r="OLK11" s="468"/>
      <c r="OLL11" s="469"/>
      <c r="OLM11" s="467" t="s">
        <v>34</v>
      </c>
      <c r="OLN11" s="468"/>
      <c r="OLO11" s="468"/>
      <c r="OLP11" s="468"/>
      <c r="OLQ11" s="468"/>
      <c r="OLR11" s="468"/>
      <c r="OLS11" s="468"/>
      <c r="OLT11" s="468"/>
      <c r="OLU11" s="468"/>
      <c r="OLV11" s="468"/>
      <c r="OLW11" s="468"/>
      <c r="OLX11" s="468"/>
      <c r="OLY11" s="468"/>
      <c r="OLZ11" s="468"/>
      <c r="OMA11" s="468"/>
      <c r="OMB11" s="469"/>
      <c r="OMC11" s="467" t="s">
        <v>34</v>
      </c>
      <c r="OMD11" s="468"/>
      <c r="OME11" s="468"/>
      <c r="OMF11" s="468"/>
      <c r="OMG11" s="468"/>
      <c r="OMH11" s="468"/>
      <c r="OMI11" s="468"/>
      <c r="OMJ11" s="468"/>
      <c r="OMK11" s="468"/>
      <c r="OML11" s="468"/>
      <c r="OMM11" s="468"/>
      <c r="OMN11" s="468"/>
      <c r="OMO11" s="468"/>
      <c r="OMP11" s="468"/>
      <c r="OMQ11" s="468"/>
      <c r="OMR11" s="469"/>
      <c r="OMS11" s="467" t="s">
        <v>34</v>
      </c>
      <c r="OMT11" s="468"/>
      <c r="OMU11" s="468"/>
      <c r="OMV11" s="468"/>
      <c r="OMW11" s="468"/>
      <c r="OMX11" s="468"/>
      <c r="OMY11" s="468"/>
      <c r="OMZ11" s="468"/>
      <c r="ONA11" s="468"/>
      <c r="ONB11" s="468"/>
      <c r="ONC11" s="468"/>
      <c r="OND11" s="468"/>
      <c r="ONE11" s="468"/>
      <c r="ONF11" s="468"/>
      <c r="ONG11" s="468"/>
      <c r="ONH11" s="469"/>
      <c r="ONI11" s="467" t="s">
        <v>34</v>
      </c>
      <c r="ONJ11" s="468"/>
      <c r="ONK11" s="468"/>
      <c r="ONL11" s="468"/>
      <c r="ONM11" s="468"/>
      <c r="ONN11" s="468"/>
      <c r="ONO11" s="468"/>
      <c r="ONP11" s="468"/>
      <c r="ONQ11" s="468"/>
      <c r="ONR11" s="468"/>
      <c r="ONS11" s="468"/>
      <c r="ONT11" s="468"/>
      <c r="ONU11" s="468"/>
      <c r="ONV11" s="468"/>
      <c r="ONW11" s="468"/>
      <c r="ONX11" s="469"/>
      <c r="ONY11" s="467" t="s">
        <v>34</v>
      </c>
      <c r="ONZ11" s="468"/>
      <c r="OOA11" s="468"/>
      <c r="OOB11" s="468"/>
      <c r="OOC11" s="468"/>
      <c r="OOD11" s="468"/>
      <c r="OOE11" s="468"/>
      <c r="OOF11" s="468"/>
      <c r="OOG11" s="468"/>
      <c r="OOH11" s="468"/>
      <c r="OOI11" s="468"/>
      <c r="OOJ11" s="468"/>
      <c r="OOK11" s="468"/>
      <c r="OOL11" s="468"/>
      <c r="OOM11" s="468"/>
      <c r="OON11" s="469"/>
      <c r="OOO11" s="467" t="s">
        <v>34</v>
      </c>
      <c r="OOP11" s="468"/>
      <c r="OOQ11" s="468"/>
      <c r="OOR11" s="468"/>
      <c r="OOS11" s="468"/>
      <c r="OOT11" s="468"/>
      <c r="OOU11" s="468"/>
      <c r="OOV11" s="468"/>
      <c r="OOW11" s="468"/>
      <c r="OOX11" s="468"/>
      <c r="OOY11" s="468"/>
      <c r="OOZ11" s="468"/>
      <c r="OPA11" s="468"/>
      <c r="OPB11" s="468"/>
      <c r="OPC11" s="468"/>
      <c r="OPD11" s="469"/>
      <c r="OPE11" s="467" t="s">
        <v>34</v>
      </c>
      <c r="OPF11" s="468"/>
      <c r="OPG11" s="468"/>
      <c r="OPH11" s="468"/>
      <c r="OPI11" s="468"/>
      <c r="OPJ11" s="468"/>
      <c r="OPK11" s="468"/>
      <c r="OPL11" s="468"/>
      <c r="OPM11" s="468"/>
      <c r="OPN11" s="468"/>
      <c r="OPO11" s="468"/>
      <c r="OPP11" s="468"/>
      <c r="OPQ11" s="468"/>
      <c r="OPR11" s="468"/>
      <c r="OPS11" s="468"/>
      <c r="OPT11" s="469"/>
      <c r="OPU11" s="467" t="s">
        <v>34</v>
      </c>
      <c r="OPV11" s="468"/>
      <c r="OPW11" s="468"/>
      <c r="OPX11" s="468"/>
      <c r="OPY11" s="468"/>
      <c r="OPZ11" s="468"/>
      <c r="OQA11" s="468"/>
      <c r="OQB11" s="468"/>
      <c r="OQC11" s="468"/>
      <c r="OQD11" s="468"/>
      <c r="OQE11" s="468"/>
      <c r="OQF11" s="468"/>
      <c r="OQG11" s="468"/>
      <c r="OQH11" s="468"/>
      <c r="OQI11" s="468"/>
      <c r="OQJ11" s="469"/>
      <c r="OQK11" s="467" t="s">
        <v>34</v>
      </c>
      <c r="OQL11" s="468"/>
      <c r="OQM11" s="468"/>
      <c r="OQN11" s="468"/>
      <c r="OQO11" s="468"/>
      <c r="OQP11" s="468"/>
      <c r="OQQ11" s="468"/>
      <c r="OQR11" s="468"/>
      <c r="OQS11" s="468"/>
      <c r="OQT11" s="468"/>
      <c r="OQU11" s="468"/>
      <c r="OQV11" s="468"/>
      <c r="OQW11" s="468"/>
      <c r="OQX11" s="468"/>
      <c r="OQY11" s="468"/>
      <c r="OQZ11" s="469"/>
      <c r="ORA11" s="467" t="s">
        <v>34</v>
      </c>
      <c r="ORB11" s="468"/>
      <c r="ORC11" s="468"/>
      <c r="ORD11" s="468"/>
      <c r="ORE11" s="468"/>
      <c r="ORF11" s="468"/>
      <c r="ORG11" s="468"/>
      <c r="ORH11" s="468"/>
      <c r="ORI11" s="468"/>
      <c r="ORJ11" s="468"/>
      <c r="ORK11" s="468"/>
      <c r="ORL11" s="468"/>
      <c r="ORM11" s="468"/>
      <c r="ORN11" s="468"/>
      <c r="ORO11" s="468"/>
      <c r="ORP11" s="469"/>
      <c r="ORQ11" s="467" t="s">
        <v>34</v>
      </c>
      <c r="ORR11" s="468"/>
      <c r="ORS11" s="468"/>
      <c r="ORT11" s="468"/>
      <c r="ORU11" s="468"/>
      <c r="ORV11" s="468"/>
      <c r="ORW11" s="468"/>
      <c r="ORX11" s="468"/>
      <c r="ORY11" s="468"/>
      <c r="ORZ11" s="468"/>
      <c r="OSA11" s="468"/>
      <c r="OSB11" s="468"/>
      <c r="OSC11" s="468"/>
      <c r="OSD11" s="468"/>
      <c r="OSE11" s="468"/>
      <c r="OSF11" s="469"/>
      <c r="OSG11" s="467" t="s">
        <v>34</v>
      </c>
      <c r="OSH11" s="468"/>
      <c r="OSI11" s="468"/>
      <c r="OSJ11" s="468"/>
      <c r="OSK11" s="468"/>
      <c r="OSL11" s="468"/>
      <c r="OSM11" s="468"/>
      <c r="OSN11" s="468"/>
      <c r="OSO11" s="468"/>
      <c r="OSP11" s="468"/>
      <c r="OSQ11" s="468"/>
      <c r="OSR11" s="468"/>
      <c r="OSS11" s="468"/>
      <c r="OST11" s="468"/>
      <c r="OSU11" s="468"/>
      <c r="OSV11" s="469"/>
      <c r="OSW11" s="467" t="s">
        <v>34</v>
      </c>
      <c r="OSX11" s="468"/>
      <c r="OSY11" s="468"/>
      <c r="OSZ11" s="468"/>
      <c r="OTA11" s="468"/>
      <c r="OTB11" s="468"/>
      <c r="OTC11" s="468"/>
      <c r="OTD11" s="468"/>
      <c r="OTE11" s="468"/>
      <c r="OTF11" s="468"/>
      <c r="OTG11" s="468"/>
      <c r="OTH11" s="468"/>
      <c r="OTI11" s="468"/>
      <c r="OTJ11" s="468"/>
      <c r="OTK11" s="468"/>
      <c r="OTL11" s="469"/>
      <c r="OTM11" s="467" t="s">
        <v>34</v>
      </c>
      <c r="OTN11" s="468"/>
      <c r="OTO11" s="468"/>
      <c r="OTP11" s="468"/>
      <c r="OTQ11" s="468"/>
      <c r="OTR11" s="468"/>
      <c r="OTS11" s="468"/>
      <c r="OTT11" s="468"/>
      <c r="OTU11" s="468"/>
      <c r="OTV11" s="468"/>
      <c r="OTW11" s="468"/>
      <c r="OTX11" s="468"/>
      <c r="OTY11" s="468"/>
      <c r="OTZ11" s="468"/>
      <c r="OUA11" s="468"/>
      <c r="OUB11" s="469"/>
      <c r="OUC11" s="467" t="s">
        <v>34</v>
      </c>
      <c r="OUD11" s="468"/>
      <c r="OUE11" s="468"/>
      <c r="OUF11" s="468"/>
      <c r="OUG11" s="468"/>
      <c r="OUH11" s="468"/>
      <c r="OUI11" s="468"/>
      <c r="OUJ11" s="468"/>
      <c r="OUK11" s="468"/>
      <c r="OUL11" s="468"/>
      <c r="OUM11" s="468"/>
      <c r="OUN11" s="468"/>
      <c r="OUO11" s="468"/>
      <c r="OUP11" s="468"/>
      <c r="OUQ11" s="468"/>
      <c r="OUR11" s="469"/>
      <c r="OUS11" s="467" t="s">
        <v>34</v>
      </c>
      <c r="OUT11" s="468"/>
      <c r="OUU11" s="468"/>
      <c r="OUV11" s="468"/>
      <c r="OUW11" s="468"/>
      <c r="OUX11" s="468"/>
      <c r="OUY11" s="468"/>
      <c r="OUZ11" s="468"/>
      <c r="OVA11" s="468"/>
      <c r="OVB11" s="468"/>
      <c r="OVC11" s="468"/>
      <c r="OVD11" s="468"/>
      <c r="OVE11" s="468"/>
      <c r="OVF11" s="468"/>
      <c r="OVG11" s="468"/>
      <c r="OVH11" s="469"/>
      <c r="OVI11" s="467" t="s">
        <v>34</v>
      </c>
      <c r="OVJ11" s="468"/>
      <c r="OVK11" s="468"/>
      <c r="OVL11" s="468"/>
      <c r="OVM11" s="468"/>
      <c r="OVN11" s="468"/>
      <c r="OVO11" s="468"/>
      <c r="OVP11" s="468"/>
      <c r="OVQ11" s="468"/>
      <c r="OVR11" s="468"/>
      <c r="OVS11" s="468"/>
      <c r="OVT11" s="468"/>
      <c r="OVU11" s="468"/>
      <c r="OVV11" s="468"/>
      <c r="OVW11" s="468"/>
      <c r="OVX11" s="469"/>
      <c r="OVY11" s="467" t="s">
        <v>34</v>
      </c>
      <c r="OVZ11" s="468"/>
      <c r="OWA11" s="468"/>
      <c r="OWB11" s="468"/>
      <c r="OWC11" s="468"/>
      <c r="OWD11" s="468"/>
      <c r="OWE11" s="468"/>
      <c r="OWF11" s="468"/>
      <c r="OWG11" s="468"/>
      <c r="OWH11" s="468"/>
      <c r="OWI11" s="468"/>
      <c r="OWJ11" s="468"/>
      <c r="OWK11" s="468"/>
      <c r="OWL11" s="468"/>
      <c r="OWM11" s="468"/>
      <c r="OWN11" s="469"/>
      <c r="OWO11" s="467" t="s">
        <v>34</v>
      </c>
      <c r="OWP11" s="468"/>
      <c r="OWQ11" s="468"/>
      <c r="OWR11" s="468"/>
      <c r="OWS11" s="468"/>
      <c r="OWT11" s="468"/>
      <c r="OWU11" s="468"/>
      <c r="OWV11" s="468"/>
      <c r="OWW11" s="468"/>
      <c r="OWX11" s="468"/>
      <c r="OWY11" s="468"/>
      <c r="OWZ11" s="468"/>
      <c r="OXA11" s="468"/>
      <c r="OXB11" s="468"/>
      <c r="OXC11" s="468"/>
      <c r="OXD11" s="469"/>
      <c r="OXE11" s="467" t="s">
        <v>34</v>
      </c>
      <c r="OXF11" s="468"/>
      <c r="OXG11" s="468"/>
      <c r="OXH11" s="468"/>
      <c r="OXI11" s="468"/>
      <c r="OXJ11" s="468"/>
      <c r="OXK11" s="468"/>
      <c r="OXL11" s="468"/>
      <c r="OXM11" s="468"/>
      <c r="OXN11" s="468"/>
      <c r="OXO11" s="468"/>
      <c r="OXP11" s="468"/>
      <c r="OXQ11" s="468"/>
      <c r="OXR11" s="468"/>
      <c r="OXS11" s="468"/>
      <c r="OXT11" s="469"/>
      <c r="OXU11" s="467" t="s">
        <v>34</v>
      </c>
      <c r="OXV11" s="468"/>
      <c r="OXW11" s="468"/>
      <c r="OXX11" s="468"/>
      <c r="OXY11" s="468"/>
      <c r="OXZ11" s="468"/>
      <c r="OYA11" s="468"/>
      <c r="OYB11" s="468"/>
      <c r="OYC11" s="468"/>
      <c r="OYD11" s="468"/>
      <c r="OYE11" s="468"/>
      <c r="OYF11" s="468"/>
      <c r="OYG11" s="468"/>
      <c r="OYH11" s="468"/>
      <c r="OYI11" s="468"/>
      <c r="OYJ11" s="469"/>
      <c r="OYK11" s="467" t="s">
        <v>34</v>
      </c>
      <c r="OYL11" s="468"/>
      <c r="OYM11" s="468"/>
      <c r="OYN11" s="468"/>
      <c r="OYO11" s="468"/>
      <c r="OYP11" s="468"/>
      <c r="OYQ11" s="468"/>
      <c r="OYR11" s="468"/>
      <c r="OYS11" s="468"/>
      <c r="OYT11" s="468"/>
      <c r="OYU11" s="468"/>
      <c r="OYV11" s="468"/>
      <c r="OYW11" s="468"/>
      <c r="OYX11" s="468"/>
      <c r="OYY11" s="468"/>
      <c r="OYZ11" s="469"/>
      <c r="OZA11" s="467" t="s">
        <v>34</v>
      </c>
      <c r="OZB11" s="468"/>
      <c r="OZC11" s="468"/>
      <c r="OZD11" s="468"/>
      <c r="OZE11" s="468"/>
      <c r="OZF11" s="468"/>
      <c r="OZG11" s="468"/>
      <c r="OZH11" s="468"/>
      <c r="OZI11" s="468"/>
      <c r="OZJ11" s="468"/>
      <c r="OZK11" s="468"/>
      <c r="OZL11" s="468"/>
      <c r="OZM11" s="468"/>
      <c r="OZN11" s="468"/>
      <c r="OZO11" s="468"/>
      <c r="OZP11" s="469"/>
      <c r="OZQ11" s="467" t="s">
        <v>34</v>
      </c>
      <c r="OZR11" s="468"/>
      <c r="OZS11" s="468"/>
      <c r="OZT11" s="468"/>
      <c r="OZU11" s="468"/>
      <c r="OZV11" s="468"/>
      <c r="OZW11" s="468"/>
      <c r="OZX11" s="468"/>
      <c r="OZY11" s="468"/>
      <c r="OZZ11" s="468"/>
      <c r="PAA11" s="468"/>
      <c r="PAB11" s="468"/>
      <c r="PAC11" s="468"/>
      <c r="PAD11" s="468"/>
      <c r="PAE11" s="468"/>
      <c r="PAF11" s="469"/>
      <c r="PAG11" s="467" t="s">
        <v>34</v>
      </c>
      <c r="PAH11" s="468"/>
      <c r="PAI11" s="468"/>
      <c r="PAJ11" s="468"/>
      <c r="PAK11" s="468"/>
      <c r="PAL11" s="468"/>
      <c r="PAM11" s="468"/>
      <c r="PAN11" s="468"/>
      <c r="PAO11" s="468"/>
      <c r="PAP11" s="468"/>
      <c r="PAQ11" s="468"/>
      <c r="PAR11" s="468"/>
      <c r="PAS11" s="468"/>
      <c r="PAT11" s="468"/>
      <c r="PAU11" s="468"/>
      <c r="PAV11" s="469"/>
      <c r="PAW11" s="467" t="s">
        <v>34</v>
      </c>
      <c r="PAX11" s="468"/>
      <c r="PAY11" s="468"/>
      <c r="PAZ11" s="468"/>
      <c r="PBA11" s="468"/>
      <c r="PBB11" s="468"/>
      <c r="PBC11" s="468"/>
      <c r="PBD11" s="468"/>
      <c r="PBE11" s="468"/>
      <c r="PBF11" s="468"/>
      <c r="PBG11" s="468"/>
      <c r="PBH11" s="468"/>
      <c r="PBI11" s="468"/>
      <c r="PBJ11" s="468"/>
      <c r="PBK11" s="468"/>
      <c r="PBL11" s="469"/>
      <c r="PBM11" s="467" t="s">
        <v>34</v>
      </c>
      <c r="PBN11" s="468"/>
      <c r="PBO11" s="468"/>
      <c r="PBP11" s="468"/>
      <c r="PBQ11" s="468"/>
      <c r="PBR11" s="468"/>
      <c r="PBS11" s="468"/>
      <c r="PBT11" s="468"/>
      <c r="PBU11" s="468"/>
      <c r="PBV11" s="468"/>
      <c r="PBW11" s="468"/>
      <c r="PBX11" s="468"/>
      <c r="PBY11" s="468"/>
      <c r="PBZ11" s="468"/>
      <c r="PCA11" s="468"/>
      <c r="PCB11" s="469"/>
      <c r="PCC11" s="467" t="s">
        <v>34</v>
      </c>
      <c r="PCD11" s="468"/>
      <c r="PCE11" s="468"/>
      <c r="PCF11" s="468"/>
      <c r="PCG11" s="468"/>
      <c r="PCH11" s="468"/>
      <c r="PCI11" s="468"/>
      <c r="PCJ11" s="468"/>
      <c r="PCK11" s="468"/>
      <c r="PCL11" s="468"/>
      <c r="PCM11" s="468"/>
      <c r="PCN11" s="468"/>
      <c r="PCO11" s="468"/>
      <c r="PCP11" s="468"/>
      <c r="PCQ11" s="468"/>
      <c r="PCR11" s="469"/>
      <c r="PCS11" s="467" t="s">
        <v>34</v>
      </c>
      <c r="PCT11" s="468"/>
      <c r="PCU11" s="468"/>
      <c r="PCV11" s="468"/>
      <c r="PCW11" s="468"/>
      <c r="PCX11" s="468"/>
      <c r="PCY11" s="468"/>
      <c r="PCZ11" s="468"/>
      <c r="PDA11" s="468"/>
      <c r="PDB11" s="468"/>
      <c r="PDC11" s="468"/>
      <c r="PDD11" s="468"/>
      <c r="PDE11" s="468"/>
      <c r="PDF11" s="468"/>
      <c r="PDG11" s="468"/>
      <c r="PDH11" s="469"/>
      <c r="PDI11" s="467" t="s">
        <v>34</v>
      </c>
      <c r="PDJ11" s="468"/>
      <c r="PDK11" s="468"/>
      <c r="PDL11" s="468"/>
      <c r="PDM11" s="468"/>
      <c r="PDN11" s="468"/>
      <c r="PDO11" s="468"/>
      <c r="PDP11" s="468"/>
      <c r="PDQ11" s="468"/>
      <c r="PDR11" s="468"/>
      <c r="PDS11" s="468"/>
      <c r="PDT11" s="468"/>
      <c r="PDU11" s="468"/>
      <c r="PDV11" s="468"/>
      <c r="PDW11" s="468"/>
      <c r="PDX11" s="469"/>
      <c r="PDY11" s="467" t="s">
        <v>34</v>
      </c>
      <c r="PDZ11" s="468"/>
      <c r="PEA11" s="468"/>
      <c r="PEB11" s="468"/>
      <c r="PEC11" s="468"/>
      <c r="PED11" s="468"/>
      <c r="PEE11" s="468"/>
      <c r="PEF11" s="468"/>
      <c r="PEG11" s="468"/>
      <c r="PEH11" s="468"/>
      <c r="PEI11" s="468"/>
      <c r="PEJ11" s="468"/>
      <c r="PEK11" s="468"/>
      <c r="PEL11" s="468"/>
      <c r="PEM11" s="468"/>
      <c r="PEN11" s="469"/>
      <c r="PEO11" s="467" t="s">
        <v>34</v>
      </c>
      <c r="PEP11" s="468"/>
      <c r="PEQ11" s="468"/>
      <c r="PER11" s="468"/>
      <c r="PES11" s="468"/>
      <c r="PET11" s="468"/>
      <c r="PEU11" s="468"/>
      <c r="PEV11" s="468"/>
      <c r="PEW11" s="468"/>
      <c r="PEX11" s="468"/>
      <c r="PEY11" s="468"/>
      <c r="PEZ11" s="468"/>
      <c r="PFA11" s="468"/>
      <c r="PFB11" s="468"/>
      <c r="PFC11" s="468"/>
      <c r="PFD11" s="469"/>
      <c r="PFE11" s="467" t="s">
        <v>34</v>
      </c>
      <c r="PFF11" s="468"/>
      <c r="PFG11" s="468"/>
      <c r="PFH11" s="468"/>
      <c r="PFI11" s="468"/>
      <c r="PFJ11" s="468"/>
      <c r="PFK11" s="468"/>
      <c r="PFL11" s="468"/>
      <c r="PFM11" s="468"/>
      <c r="PFN11" s="468"/>
      <c r="PFO11" s="468"/>
      <c r="PFP11" s="468"/>
      <c r="PFQ11" s="468"/>
      <c r="PFR11" s="468"/>
      <c r="PFS11" s="468"/>
      <c r="PFT11" s="469"/>
      <c r="PFU11" s="467" t="s">
        <v>34</v>
      </c>
      <c r="PFV11" s="468"/>
      <c r="PFW11" s="468"/>
      <c r="PFX11" s="468"/>
      <c r="PFY11" s="468"/>
      <c r="PFZ11" s="468"/>
      <c r="PGA11" s="468"/>
      <c r="PGB11" s="468"/>
      <c r="PGC11" s="468"/>
      <c r="PGD11" s="468"/>
      <c r="PGE11" s="468"/>
      <c r="PGF11" s="468"/>
      <c r="PGG11" s="468"/>
      <c r="PGH11" s="468"/>
      <c r="PGI11" s="468"/>
      <c r="PGJ11" s="469"/>
      <c r="PGK11" s="467" t="s">
        <v>34</v>
      </c>
      <c r="PGL11" s="468"/>
      <c r="PGM11" s="468"/>
      <c r="PGN11" s="468"/>
      <c r="PGO11" s="468"/>
      <c r="PGP11" s="468"/>
      <c r="PGQ11" s="468"/>
      <c r="PGR11" s="468"/>
      <c r="PGS11" s="468"/>
      <c r="PGT11" s="468"/>
      <c r="PGU11" s="468"/>
      <c r="PGV11" s="468"/>
      <c r="PGW11" s="468"/>
      <c r="PGX11" s="468"/>
      <c r="PGY11" s="468"/>
      <c r="PGZ11" s="469"/>
      <c r="PHA11" s="467" t="s">
        <v>34</v>
      </c>
      <c r="PHB11" s="468"/>
      <c r="PHC11" s="468"/>
      <c r="PHD11" s="468"/>
      <c r="PHE11" s="468"/>
      <c r="PHF11" s="468"/>
      <c r="PHG11" s="468"/>
      <c r="PHH11" s="468"/>
      <c r="PHI11" s="468"/>
      <c r="PHJ11" s="468"/>
      <c r="PHK11" s="468"/>
      <c r="PHL11" s="468"/>
      <c r="PHM11" s="468"/>
      <c r="PHN11" s="468"/>
      <c r="PHO11" s="468"/>
      <c r="PHP11" s="469"/>
      <c r="PHQ11" s="467" t="s">
        <v>34</v>
      </c>
      <c r="PHR11" s="468"/>
      <c r="PHS11" s="468"/>
      <c r="PHT11" s="468"/>
      <c r="PHU11" s="468"/>
      <c r="PHV11" s="468"/>
      <c r="PHW11" s="468"/>
      <c r="PHX11" s="468"/>
      <c r="PHY11" s="468"/>
      <c r="PHZ11" s="468"/>
      <c r="PIA11" s="468"/>
      <c r="PIB11" s="468"/>
      <c r="PIC11" s="468"/>
      <c r="PID11" s="468"/>
      <c r="PIE11" s="468"/>
      <c r="PIF11" s="469"/>
      <c r="PIG11" s="467" t="s">
        <v>34</v>
      </c>
      <c r="PIH11" s="468"/>
      <c r="PII11" s="468"/>
      <c r="PIJ11" s="468"/>
      <c r="PIK11" s="468"/>
      <c r="PIL11" s="468"/>
      <c r="PIM11" s="468"/>
      <c r="PIN11" s="468"/>
      <c r="PIO11" s="468"/>
      <c r="PIP11" s="468"/>
      <c r="PIQ11" s="468"/>
      <c r="PIR11" s="468"/>
      <c r="PIS11" s="468"/>
      <c r="PIT11" s="468"/>
      <c r="PIU11" s="468"/>
      <c r="PIV11" s="469"/>
      <c r="PIW11" s="467" t="s">
        <v>34</v>
      </c>
      <c r="PIX11" s="468"/>
      <c r="PIY11" s="468"/>
      <c r="PIZ11" s="468"/>
      <c r="PJA11" s="468"/>
      <c r="PJB11" s="468"/>
      <c r="PJC11" s="468"/>
      <c r="PJD11" s="468"/>
      <c r="PJE11" s="468"/>
      <c r="PJF11" s="468"/>
      <c r="PJG11" s="468"/>
      <c r="PJH11" s="468"/>
      <c r="PJI11" s="468"/>
      <c r="PJJ11" s="468"/>
      <c r="PJK11" s="468"/>
      <c r="PJL11" s="469"/>
      <c r="PJM11" s="467" t="s">
        <v>34</v>
      </c>
      <c r="PJN11" s="468"/>
      <c r="PJO11" s="468"/>
      <c r="PJP11" s="468"/>
      <c r="PJQ11" s="468"/>
      <c r="PJR11" s="468"/>
      <c r="PJS11" s="468"/>
      <c r="PJT11" s="468"/>
      <c r="PJU11" s="468"/>
      <c r="PJV11" s="468"/>
      <c r="PJW11" s="468"/>
      <c r="PJX11" s="468"/>
      <c r="PJY11" s="468"/>
      <c r="PJZ11" s="468"/>
      <c r="PKA11" s="468"/>
      <c r="PKB11" s="469"/>
      <c r="PKC11" s="467" t="s">
        <v>34</v>
      </c>
      <c r="PKD11" s="468"/>
      <c r="PKE11" s="468"/>
      <c r="PKF11" s="468"/>
      <c r="PKG11" s="468"/>
      <c r="PKH11" s="468"/>
      <c r="PKI11" s="468"/>
      <c r="PKJ11" s="468"/>
      <c r="PKK11" s="468"/>
      <c r="PKL11" s="468"/>
      <c r="PKM11" s="468"/>
      <c r="PKN11" s="468"/>
      <c r="PKO11" s="468"/>
      <c r="PKP11" s="468"/>
      <c r="PKQ11" s="468"/>
      <c r="PKR11" s="469"/>
      <c r="PKS11" s="467" t="s">
        <v>34</v>
      </c>
      <c r="PKT11" s="468"/>
      <c r="PKU11" s="468"/>
      <c r="PKV11" s="468"/>
      <c r="PKW11" s="468"/>
      <c r="PKX11" s="468"/>
      <c r="PKY11" s="468"/>
      <c r="PKZ11" s="468"/>
      <c r="PLA11" s="468"/>
      <c r="PLB11" s="468"/>
      <c r="PLC11" s="468"/>
      <c r="PLD11" s="468"/>
      <c r="PLE11" s="468"/>
      <c r="PLF11" s="468"/>
      <c r="PLG11" s="468"/>
      <c r="PLH11" s="469"/>
      <c r="PLI11" s="467" t="s">
        <v>34</v>
      </c>
      <c r="PLJ11" s="468"/>
      <c r="PLK11" s="468"/>
      <c r="PLL11" s="468"/>
      <c r="PLM11" s="468"/>
      <c r="PLN11" s="468"/>
      <c r="PLO11" s="468"/>
      <c r="PLP11" s="468"/>
      <c r="PLQ11" s="468"/>
      <c r="PLR11" s="468"/>
      <c r="PLS11" s="468"/>
      <c r="PLT11" s="468"/>
      <c r="PLU11" s="468"/>
      <c r="PLV11" s="468"/>
      <c r="PLW11" s="468"/>
      <c r="PLX11" s="469"/>
      <c r="PLY11" s="467" t="s">
        <v>34</v>
      </c>
      <c r="PLZ11" s="468"/>
      <c r="PMA11" s="468"/>
      <c r="PMB11" s="468"/>
      <c r="PMC11" s="468"/>
      <c r="PMD11" s="468"/>
      <c r="PME11" s="468"/>
      <c r="PMF11" s="468"/>
      <c r="PMG11" s="468"/>
      <c r="PMH11" s="468"/>
      <c r="PMI11" s="468"/>
      <c r="PMJ11" s="468"/>
      <c r="PMK11" s="468"/>
      <c r="PML11" s="468"/>
      <c r="PMM11" s="468"/>
      <c r="PMN11" s="469"/>
      <c r="PMO11" s="467" t="s">
        <v>34</v>
      </c>
      <c r="PMP11" s="468"/>
      <c r="PMQ11" s="468"/>
      <c r="PMR11" s="468"/>
      <c r="PMS11" s="468"/>
      <c r="PMT11" s="468"/>
      <c r="PMU11" s="468"/>
      <c r="PMV11" s="468"/>
      <c r="PMW11" s="468"/>
      <c r="PMX11" s="468"/>
      <c r="PMY11" s="468"/>
      <c r="PMZ11" s="468"/>
      <c r="PNA11" s="468"/>
      <c r="PNB11" s="468"/>
      <c r="PNC11" s="468"/>
      <c r="PND11" s="469"/>
      <c r="PNE11" s="467" t="s">
        <v>34</v>
      </c>
      <c r="PNF11" s="468"/>
      <c r="PNG11" s="468"/>
      <c r="PNH11" s="468"/>
      <c r="PNI11" s="468"/>
      <c r="PNJ11" s="468"/>
      <c r="PNK11" s="468"/>
      <c r="PNL11" s="468"/>
      <c r="PNM11" s="468"/>
      <c r="PNN11" s="468"/>
      <c r="PNO11" s="468"/>
      <c r="PNP11" s="468"/>
      <c r="PNQ11" s="468"/>
      <c r="PNR11" s="468"/>
      <c r="PNS11" s="468"/>
      <c r="PNT11" s="469"/>
      <c r="PNU11" s="467" t="s">
        <v>34</v>
      </c>
      <c r="PNV11" s="468"/>
      <c r="PNW11" s="468"/>
      <c r="PNX11" s="468"/>
      <c r="PNY11" s="468"/>
      <c r="PNZ11" s="468"/>
      <c r="POA11" s="468"/>
      <c r="POB11" s="468"/>
      <c r="POC11" s="468"/>
      <c r="POD11" s="468"/>
      <c r="POE11" s="468"/>
      <c r="POF11" s="468"/>
      <c r="POG11" s="468"/>
      <c r="POH11" s="468"/>
      <c r="POI11" s="468"/>
      <c r="POJ11" s="469"/>
      <c r="POK11" s="467" t="s">
        <v>34</v>
      </c>
      <c r="POL11" s="468"/>
      <c r="POM11" s="468"/>
      <c r="PON11" s="468"/>
      <c r="POO11" s="468"/>
      <c r="POP11" s="468"/>
      <c r="POQ11" s="468"/>
      <c r="POR11" s="468"/>
      <c r="POS11" s="468"/>
      <c r="POT11" s="468"/>
      <c r="POU11" s="468"/>
      <c r="POV11" s="468"/>
      <c r="POW11" s="468"/>
      <c r="POX11" s="468"/>
      <c r="POY11" s="468"/>
      <c r="POZ11" s="469"/>
      <c r="PPA11" s="467" t="s">
        <v>34</v>
      </c>
      <c r="PPB11" s="468"/>
      <c r="PPC11" s="468"/>
      <c r="PPD11" s="468"/>
      <c r="PPE11" s="468"/>
      <c r="PPF11" s="468"/>
      <c r="PPG11" s="468"/>
      <c r="PPH11" s="468"/>
      <c r="PPI11" s="468"/>
      <c r="PPJ11" s="468"/>
      <c r="PPK11" s="468"/>
      <c r="PPL11" s="468"/>
      <c r="PPM11" s="468"/>
      <c r="PPN11" s="468"/>
      <c r="PPO11" s="468"/>
      <c r="PPP11" s="469"/>
      <c r="PPQ11" s="467" t="s">
        <v>34</v>
      </c>
      <c r="PPR11" s="468"/>
      <c r="PPS11" s="468"/>
      <c r="PPT11" s="468"/>
      <c r="PPU11" s="468"/>
      <c r="PPV11" s="468"/>
      <c r="PPW11" s="468"/>
      <c r="PPX11" s="468"/>
      <c r="PPY11" s="468"/>
      <c r="PPZ11" s="468"/>
      <c r="PQA11" s="468"/>
      <c r="PQB11" s="468"/>
      <c r="PQC11" s="468"/>
      <c r="PQD11" s="468"/>
      <c r="PQE11" s="468"/>
      <c r="PQF11" s="469"/>
      <c r="PQG11" s="467" t="s">
        <v>34</v>
      </c>
      <c r="PQH11" s="468"/>
      <c r="PQI11" s="468"/>
      <c r="PQJ11" s="468"/>
      <c r="PQK11" s="468"/>
      <c r="PQL11" s="468"/>
      <c r="PQM11" s="468"/>
      <c r="PQN11" s="468"/>
      <c r="PQO11" s="468"/>
      <c r="PQP11" s="468"/>
      <c r="PQQ11" s="468"/>
      <c r="PQR11" s="468"/>
      <c r="PQS11" s="468"/>
      <c r="PQT11" s="468"/>
      <c r="PQU11" s="468"/>
      <c r="PQV11" s="469"/>
      <c r="PQW11" s="467" t="s">
        <v>34</v>
      </c>
      <c r="PQX11" s="468"/>
      <c r="PQY11" s="468"/>
      <c r="PQZ11" s="468"/>
      <c r="PRA11" s="468"/>
      <c r="PRB11" s="468"/>
      <c r="PRC11" s="468"/>
      <c r="PRD11" s="468"/>
      <c r="PRE11" s="468"/>
      <c r="PRF11" s="468"/>
      <c r="PRG11" s="468"/>
      <c r="PRH11" s="468"/>
      <c r="PRI11" s="468"/>
      <c r="PRJ11" s="468"/>
      <c r="PRK11" s="468"/>
      <c r="PRL11" s="469"/>
      <c r="PRM11" s="467" t="s">
        <v>34</v>
      </c>
      <c r="PRN11" s="468"/>
      <c r="PRO11" s="468"/>
      <c r="PRP11" s="468"/>
      <c r="PRQ11" s="468"/>
      <c r="PRR11" s="468"/>
      <c r="PRS11" s="468"/>
      <c r="PRT11" s="468"/>
      <c r="PRU11" s="468"/>
      <c r="PRV11" s="468"/>
      <c r="PRW11" s="468"/>
      <c r="PRX11" s="468"/>
      <c r="PRY11" s="468"/>
      <c r="PRZ11" s="468"/>
      <c r="PSA11" s="468"/>
      <c r="PSB11" s="469"/>
      <c r="PSC11" s="467" t="s">
        <v>34</v>
      </c>
      <c r="PSD11" s="468"/>
      <c r="PSE11" s="468"/>
      <c r="PSF11" s="468"/>
      <c r="PSG11" s="468"/>
      <c r="PSH11" s="468"/>
      <c r="PSI11" s="468"/>
      <c r="PSJ11" s="468"/>
      <c r="PSK11" s="468"/>
      <c r="PSL11" s="468"/>
      <c r="PSM11" s="468"/>
      <c r="PSN11" s="468"/>
      <c r="PSO11" s="468"/>
      <c r="PSP11" s="468"/>
      <c r="PSQ11" s="468"/>
      <c r="PSR11" s="469"/>
      <c r="PSS11" s="467" t="s">
        <v>34</v>
      </c>
      <c r="PST11" s="468"/>
      <c r="PSU11" s="468"/>
      <c r="PSV11" s="468"/>
      <c r="PSW11" s="468"/>
      <c r="PSX11" s="468"/>
      <c r="PSY11" s="468"/>
      <c r="PSZ11" s="468"/>
      <c r="PTA11" s="468"/>
      <c r="PTB11" s="468"/>
      <c r="PTC11" s="468"/>
      <c r="PTD11" s="468"/>
      <c r="PTE11" s="468"/>
      <c r="PTF11" s="468"/>
      <c r="PTG11" s="468"/>
      <c r="PTH11" s="469"/>
      <c r="PTI11" s="467" t="s">
        <v>34</v>
      </c>
      <c r="PTJ11" s="468"/>
      <c r="PTK11" s="468"/>
      <c r="PTL11" s="468"/>
      <c r="PTM11" s="468"/>
      <c r="PTN11" s="468"/>
      <c r="PTO11" s="468"/>
      <c r="PTP11" s="468"/>
      <c r="PTQ11" s="468"/>
      <c r="PTR11" s="468"/>
      <c r="PTS11" s="468"/>
      <c r="PTT11" s="468"/>
      <c r="PTU11" s="468"/>
      <c r="PTV11" s="468"/>
      <c r="PTW11" s="468"/>
      <c r="PTX11" s="469"/>
      <c r="PTY11" s="467" t="s">
        <v>34</v>
      </c>
      <c r="PTZ11" s="468"/>
      <c r="PUA11" s="468"/>
      <c r="PUB11" s="468"/>
      <c r="PUC11" s="468"/>
      <c r="PUD11" s="468"/>
      <c r="PUE11" s="468"/>
      <c r="PUF11" s="468"/>
      <c r="PUG11" s="468"/>
      <c r="PUH11" s="468"/>
      <c r="PUI11" s="468"/>
      <c r="PUJ11" s="468"/>
      <c r="PUK11" s="468"/>
      <c r="PUL11" s="468"/>
      <c r="PUM11" s="468"/>
      <c r="PUN11" s="469"/>
      <c r="PUO11" s="467" t="s">
        <v>34</v>
      </c>
      <c r="PUP11" s="468"/>
      <c r="PUQ11" s="468"/>
      <c r="PUR11" s="468"/>
      <c r="PUS11" s="468"/>
      <c r="PUT11" s="468"/>
      <c r="PUU11" s="468"/>
      <c r="PUV11" s="468"/>
      <c r="PUW11" s="468"/>
      <c r="PUX11" s="468"/>
      <c r="PUY11" s="468"/>
      <c r="PUZ11" s="468"/>
      <c r="PVA11" s="468"/>
      <c r="PVB11" s="468"/>
      <c r="PVC11" s="468"/>
      <c r="PVD11" s="469"/>
      <c r="PVE11" s="467" t="s">
        <v>34</v>
      </c>
      <c r="PVF11" s="468"/>
      <c r="PVG11" s="468"/>
      <c r="PVH11" s="468"/>
      <c r="PVI11" s="468"/>
      <c r="PVJ11" s="468"/>
      <c r="PVK11" s="468"/>
      <c r="PVL11" s="468"/>
      <c r="PVM11" s="468"/>
      <c r="PVN11" s="468"/>
      <c r="PVO11" s="468"/>
      <c r="PVP11" s="468"/>
      <c r="PVQ11" s="468"/>
      <c r="PVR11" s="468"/>
      <c r="PVS11" s="468"/>
      <c r="PVT11" s="469"/>
      <c r="PVU11" s="467" t="s">
        <v>34</v>
      </c>
      <c r="PVV11" s="468"/>
      <c r="PVW11" s="468"/>
      <c r="PVX11" s="468"/>
      <c r="PVY11" s="468"/>
      <c r="PVZ11" s="468"/>
      <c r="PWA11" s="468"/>
      <c r="PWB11" s="468"/>
      <c r="PWC11" s="468"/>
      <c r="PWD11" s="468"/>
      <c r="PWE11" s="468"/>
      <c r="PWF11" s="468"/>
      <c r="PWG11" s="468"/>
      <c r="PWH11" s="468"/>
      <c r="PWI11" s="468"/>
      <c r="PWJ11" s="469"/>
      <c r="PWK11" s="467" t="s">
        <v>34</v>
      </c>
      <c r="PWL11" s="468"/>
      <c r="PWM11" s="468"/>
      <c r="PWN11" s="468"/>
      <c r="PWO11" s="468"/>
      <c r="PWP11" s="468"/>
      <c r="PWQ11" s="468"/>
      <c r="PWR11" s="468"/>
      <c r="PWS11" s="468"/>
      <c r="PWT11" s="468"/>
      <c r="PWU11" s="468"/>
      <c r="PWV11" s="468"/>
      <c r="PWW11" s="468"/>
      <c r="PWX11" s="468"/>
      <c r="PWY11" s="468"/>
      <c r="PWZ11" s="469"/>
      <c r="PXA11" s="467" t="s">
        <v>34</v>
      </c>
      <c r="PXB11" s="468"/>
      <c r="PXC11" s="468"/>
      <c r="PXD11" s="468"/>
      <c r="PXE11" s="468"/>
      <c r="PXF11" s="468"/>
      <c r="PXG11" s="468"/>
      <c r="PXH11" s="468"/>
      <c r="PXI11" s="468"/>
      <c r="PXJ11" s="468"/>
      <c r="PXK11" s="468"/>
      <c r="PXL11" s="468"/>
      <c r="PXM11" s="468"/>
      <c r="PXN11" s="468"/>
      <c r="PXO11" s="468"/>
      <c r="PXP11" s="469"/>
      <c r="PXQ11" s="467" t="s">
        <v>34</v>
      </c>
      <c r="PXR11" s="468"/>
      <c r="PXS11" s="468"/>
      <c r="PXT11" s="468"/>
      <c r="PXU11" s="468"/>
      <c r="PXV11" s="468"/>
      <c r="PXW11" s="468"/>
      <c r="PXX11" s="468"/>
      <c r="PXY11" s="468"/>
      <c r="PXZ11" s="468"/>
      <c r="PYA11" s="468"/>
      <c r="PYB11" s="468"/>
      <c r="PYC11" s="468"/>
      <c r="PYD11" s="468"/>
      <c r="PYE11" s="468"/>
      <c r="PYF11" s="469"/>
      <c r="PYG11" s="467" t="s">
        <v>34</v>
      </c>
      <c r="PYH11" s="468"/>
      <c r="PYI11" s="468"/>
      <c r="PYJ11" s="468"/>
      <c r="PYK11" s="468"/>
      <c r="PYL11" s="468"/>
      <c r="PYM11" s="468"/>
      <c r="PYN11" s="468"/>
      <c r="PYO11" s="468"/>
      <c r="PYP11" s="468"/>
      <c r="PYQ11" s="468"/>
      <c r="PYR11" s="468"/>
      <c r="PYS11" s="468"/>
      <c r="PYT11" s="468"/>
      <c r="PYU11" s="468"/>
      <c r="PYV11" s="469"/>
      <c r="PYW11" s="467" t="s">
        <v>34</v>
      </c>
      <c r="PYX11" s="468"/>
      <c r="PYY11" s="468"/>
      <c r="PYZ11" s="468"/>
      <c r="PZA11" s="468"/>
      <c r="PZB11" s="468"/>
      <c r="PZC11" s="468"/>
      <c r="PZD11" s="468"/>
      <c r="PZE11" s="468"/>
      <c r="PZF11" s="468"/>
      <c r="PZG11" s="468"/>
      <c r="PZH11" s="468"/>
      <c r="PZI11" s="468"/>
      <c r="PZJ11" s="468"/>
      <c r="PZK11" s="468"/>
      <c r="PZL11" s="469"/>
      <c r="PZM11" s="467" t="s">
        <v>34</v>
      </c>
      <c r="PZN11" s="468"/>
      <c r="PZO11" s="468"/>
      <c r="PZP11" s="468"/>
      <c r="PZQ11" s="468"/>
      <c r="PZR11" s="468"/>
      <c r="PZS11" s="468"/>
      <c r="PZT11" s="468"/>
      <c r="PZU11" s="468"/>
      <c r="PZV11" s="468"/>
      <c r="PZW11" s="468"/>
      <c r="PZX11" s="468"/>
      <c r="PZY11" s="468"/>
      <c r="PZZ11" s="468"/>
      <c r="QAA11" s="468"/>
      <c r="QAB11" s="469"/>
      <c r="QAC11" s="467" t="s">
        <v>34</v>
      </c>
      <c r="QAD11" s="468"/>
      <c r="QAE11" s="468"/>
      <c r="QAF11" s="468"/>
      <c r="QAG11" s="468"/>
      <c r="QAH11" s="468"/>
      <c r="QAI11" s="468"/>
      <c r="QAJ11" s="468"/>
      <c r="QAK11" s="468"/>
      <c r="QAL11" s="468"/>
      <c r="QAM11" s="468"/>
      <c r="QAN11" s="468"/>
      <c r="QAO11" s="468"/>
      <c r="QAP11" s="468"/>
      <c r="QAQ11" s="468"/>
      <c r="QAR11" s="469"/>
      <c r="QAS11" s="467" t="s">
        <v>34</v>
      </c>
      <c r="QAT11" s="468"/>
      <c r="QAU11" s="468"/>
      <c r="QAV11" s="468"/>
      <c r="QAW11" s="468"/>
      <c r="QAX11" s="468"/>
      <c r="QAY11" s="468"/>
      <c r="QAZ11" s="468"/>
      <c r="QBA11" s="468"/>
      <c r="QBB11" s="468"/>
      <c r="QBC11" s="468"/>
      <c r="QBD11" s="468"/>
      <c r="QBE11" s="468"/>
      <c r="QBF11" s="468"/>
      <c r="QBG11" s="468"/>
      <c r="QBH11" s="469"/>
      <c r="QBI11" s="467" t="s">
        <v>34</v>
      </c>
      <c r="QBJ11" s="468"/>
      <c r="QBK11" s="468"/>
      <c r="QBL11" s="468"/>
      <c r="QBM11" s="468"/>
      <c r="QBN11" s="468"/>
      <c r="QBO11" s="468"/>
      <c r="QBP11" s="468"/>
      <c r="QBQ11" s="468"/>
      <c r="QBR11" s="468"/>
      <c r="QBS11" s="468"/>
      <c r="QBT11" s="468"/>
      <c r="QBU11" s="468"/>
      <c r="QBV11" s="468"/>
      <c r="QBW11" s="468"/>
      <c r="QBX11" s="469"/>
      <c r="QBY11" s="467" t="s">
        <v>34</v>
      </c>
      <c r="QBZ11" s="468"/>
      <c r="QCA11" s="468"/>
      <c r="QCB11" s="468"/>
      <c r="QCC11" s="468"/>
      <c r="QCD11" s="468"/>
      <c r="QCE11" s="468"/>
      <c r="QCF11" s="468"/>
      <c r="QCG11" s="468"/>
      <c r="QCH11" s="468"/>
      <c r="QCI11" s="468"/>
      <c r="QCJ11" s="468"/>
      <c r="QCK11" s="468"/>
      <c r="QCL11" s="468"/>
      <c r="QCM11" s="468"/>
      <c r="QCN11" s="469"/>
      <c r="QCO11" s="467" t="s">
        <v>34</v>
      </c>
      <c r="QCP11" s="468"/>
      <c r="QCQ11" s="468"/>
      <c r="QCR11" s="468"/>
      <c r="QCS11" s="468"/>
      <c r="QCT11" s="468"/>
      <c r="QCU11" s="468"/>
      <c r="QCV11" s="468"/>
      <c r="QCW11" s="468"/>
      <c r="QCX11" s="468"/>
      <c r="QCY11" s="468"/>
      <c r="QCZ11" s="468"/>
      <c r="QDA11" s="468"/>
      <c r="QDB11" s="468"/>
      <c r="QDC11" s="468"/>
      <c r="QDD11" s="469"/>
      <c r="QDE11" s="467" t="s">
        <v>34</v>
      </c>
      <c r="QDF11" s="468"/>
      <c r="QDG11" s="468"/>
      <c r="QDH11" s="468"/>
      <c r="QDI11" s="468"/>
      <c r="QDJ11" s="468"/>
      <c r="QDK11" s="468"/>
      <c r="QDL11" s="468"/>
      <c r="QDM11" s="468"/>
      <c r="QDN11" s="468"/>
      <c r="QDO11" s="468"/>
      <c r="QDP11" s="468"/>
      <c r="QDQ11" s="468"/>
      <c r="QDR11" s="468"/>
      <c r="QDS11" s="468"/>
      <c r="QDT11" s="469"/>
      <c r="QDU11" s="467" t="s">
        <v>34</v>
      </c>
      <c r="QDV11" s="468"/>
      <c r="QDW11" s="468"/>
      <c r="QDX11" s="468"/>
      <c r="QDY11" s="468"/>
      <c r="QDZ11" s="468"/>
      <c r="QEA11" s="468"/>
      <c r="QEB11" s="468"/>
      <c r="QEC11" s="468"/>
      <c r="QED11" s="468"/>
      <c r="QEE11" s="468"/>
      <c r="QEF11" s="468"/>
      <c r="QEG11" s="468"/>
      <c r="QEH11" s="468"/>
      <c r="QEI11" s="468"/>
      <c r="QEJ11" s="469"/>
      <c r="QEK11" s="467" t="s">
        <v>34</v>
      </c>
      <c r="QEL11" s="468"/>
      <c r="QEM11" s="468"/>
      <c r="QEN11" s="468"/>
      <c r="QEO11" s="468"/>
      <c r="QEP11" s="468"/>
      <c r="QEQ11" s="468"/>
      <c r="QER11" s="468"/>
      <c r="QES11" s="468"/>
      <c r="QET11" s="468"/>
      <c r="QEU11" s="468"/>
      <c r="QEV11" s="468"/>
      <c r="QEW11" s="468"/>
      <c r="QEX11" s="468"/>
      <c r="QEY11" s="468"/>
      <c r="QEZ11" s="469"/>
      <c r="QFA11" s="467" t="s">
        <v>34</v>
      </c>
      <c r="QFB11" s="468"/>
      <c r="QFC11" s="468"/>
      <c r="QFD11" s="468"/>
      <c r="QFE11" s="468"/>
      <c r="QFF11" s="468"/>
      <c r="QFG11" s="468"/>
      <c r="QFH11" s="468"/>
      <c r="QFI11" s="468"/>
      <c r="QFJ11" s="468"/>
      <c r="QFK11" s="468"/>
      <c r="QFL11" s="468"/>
      <c r="QFM11" s="468"/>
      <c r="QFN11" s="468"/>
      <c r="QFO11" s="468"/>
      <c r="QFP11" s="469"/>
      <c r="QFQ11" s="467" t="s">
        <v>34</v>
      </c>
      <c r="QFR11" s="468"/>
      <c r="QFS11" s="468"/>
      <c r="QFT11" s="468"/>
      <c r="QFU11" s="468"/>
      <c r="QFV11" s="468"/>
      <c r="QFW11" s="468"/>
      <c r="QFX11" s="468"/>
      <c r="QFY11" s="468"/>
      <c r="QFZ11" s="468"/>
      <c r="QGA11" s="468"/>
      <c r="QGB11" s="468"/>
      <c r="QGC11" s="468"/>
      <c r="QGD11" s="468"/>
      <c r="QGE11" s="468"/>
      <c r="QGF11" s="469"/>
      <c r="QGG11" s="467" t="s">
        <v>34</v>
      </c>
      <c r="QGH11" s="468"/>
      <c r="QGI11" s="468"/>
      <c r="QGJ11" s="468"/>
      <c r="QGK11" s="468"/>
      <c r="QGL11" s="468"/>
      <c r="QGM11" s="468"/>
      <c r="QGN11" s="468"/>
      <c r="QGO11" s="468"/>
      <c r="QGP11" s="468"/>
      <c r="QGQ11" s="468"/>
      <c r="QGR11" s="468"/>
      <c r="QGS11" s="468"/>
      <c r="QGT11" s="468"/>
      <c r="QGU11" s="468"/>
      <c r="QGV11" s="469"/>
      <c r="QGW11" s="467" t="s">
        <v>34</v>
      </c>
      <c r="QGX11" s="468"/>
      <c r="QGY11" s="468"/>
      <c r="QGZ11" s="468"/>
      <c r="QHA11" s="468"/>
      <c r="QHB11" s="468"/>
      <c r="QHC11" s="468"/>
      <c r="QHD11" s="468"/>
      <c r="QHE11" s="468"/>
      <c r="QHF11" s="468"/>
      <c r="QHG11" s="468"/>
      <c r="QHH11" s="468"/>
      <c r="QHI11" s="468"/>
      <c r="QHJ11" s="468"/>
      <c r="QHK11" s="468"/>
      <c r="QHL11" s="469"/>
      <c r="QHM11" s="467" t="s">
        <v>34</v>
      </c>
      <c r="QHN11" s="468"/>
      <c r="QHO11" s="468"/>
      <c r="QHP11" s="468"/>
      <c r="QHQ11" s="468"/>
      <c r="QHR11" s="468"/>
      <c r="QHS11" s="468"/>
      <c r="QHT11" s="468"/>
      <c r="QHU11" s="468"/>
      <c r="QHV11" s="468"/>
      <c r="QHW11" s="468"/>
      <c r="QHX11" s="468"/>
      <c r="QHY11" s="468"/>
      <c r="QHZ11" s="468"/>
      <c r="QIA11" s="468"/>
      <c r="QIB11" s="469"/>
      <c r="QIC11" s="467" t="s">
        <v>34</v>
      </c>
      <c r="QID11" s="468"/>
      <c r="QIE11" s="468"/>
      <c r="QIF11" s="468"/>
      <c r="QIG11" s="468"/>
      <c r="QIH11" s="468"/>
      <c r="QII11" s="468"/>
      <c r="QIJ11" s="468"/>
      <c r="QIK11" s="468"/>
      <c r="QIL11" s="468"/>
      <c r="QIM11" s="468"/>
      <c r="QIN11" s="468"/>
      <c r="QIO11" s="468"/>
      <c r="QIP11" s="468"/>
      <c r="QIQ11" s="468"/>
      <c r="QIR11" s="469"/>
      <c r="QIS11" s="467" t="s">
        <v>34</v>
      </c>
      <c r="QIT11" s="468"/>
      <c r="QIU11" s="468"/>
      <c r="QIV11" s="468"/>
      <c r="QIW11" s="468"/>
      <c r="QIX11" s="468"/>
      <c r="QIY11" s="468"/>
      <c r="QIZ11" s="468"/>
      <c r="QJA11" s="468"/>
      <c r="QJB11" s="468"/>
      <c r="QJC11" s="468"/>
      <c r="QJD11" s="468"/>
      <c r="QJE11" s="468"/>
      <c r="QJF11" s="468"/>
      <c r="QJG11" s="468"/>
      <c r="QJH11" s="469"/>
      <c r="QJI11" s="467" t="s">
        <v>34</v>
      </c>
      <c r="QJJ11" s="468"/>
      <c r="QJK11" s="468"/>
      <c r="QJL11" s="468"/>
      <c r="QJM11" s="468"/>
      <c r="QJN11" s="468"/>
      <c r="QJO11" s="468"/>
      <c r="QJP11" s="468"/>
      <c r="QJQ11" s="468"/>
      <c r="QJR11" s="468"/>
      <c r="QJS11" s="468"/>
      <c r="QJT11" s="468"/>
      <c r="QJU11" s="468"/>
      <c r="QJV11" s="468"/>
      <c r="QJW11" s="468"/>
      <c r="QJX11" s="469"/>
      <c r="QJY11" s="467" t="s">
        <v>34</v>
      </c>
      <c r="QJZ11" s="468"/>
      <c r="QKA11" s="468"/>
      <c r="QKB11" s="468"/>
      <c r="QKC11" s="468"/>
      <c r="QKD11" s="468"/>
      <c r="QKE11" s="468"/>
      <c r="QKF11" s="468"/>
      <c r="QKG11" s="468"/>
      <c r="QKH11" s="468"/>
      <c r="QKI11" s="468"/>
      <c r="QKJ11" s="468"/>
      <c r="QKK11" s="468"/>
      <c r="QKL11" s="468"/>
      <c r="QKM11" s="468"/>
      <c r="QKN11" s="469"/>
      <c r="QKO11" s="467" t="s">
        <v>34</v>
      </c>
      <c r="QKP11" s="468"/>
      <c r="QKQ11" s="468"/>
      <c r="QKR11" s="468"/>
      <c r="QKS11" s="468"/>
      <c r="QKT11" s="468"/>
      <c r="QKU11" s="468"/>
      <c r="QKV11" s="468"/>
      <c r="QKW11" s="468"/>
      <c r="QKX11" s="468"/>
      <c r="QKY11" s="468"/>
      <c r="QKZ11" s="468"/>
      <c r="QLA11" s="468"/>
      <c r="QLB11" s="468"/>
      <c r="QLC11" s="468"/>
      <c r="QLD11" s="469"/>
      <c r="QLE11" s="467" t="s">
        <v>34</v>
      </c>
      <c r="QLF11" s="468"/>
      <c r="QLG11" s="468"/>
      <c r="QLH11" s="468"/>
      <c r="QLI11" s="468"/>
      <c r="QLJ11" s="468"/>
      <c r="QLK11" s="468"/>
      <c r="QLL11" s="468"/>
      <c r="QLM11" s="468"/>
      <c r="QLN11" s="468"/>
      <c r="QLO11" s="468"/>
      <c r="QLP11" s="468"/>
      <c r="QLQ11" s="468"/>
      <c r="QLR11" s="468"/>
      <c r="QLS11" s="468"/>
      <c r="QLT11" s="469"/>
      <c r="QLU11" s="467" t="s">
        <v>34</v>
      </c>
      <c r="QLV11" s="468"/>
      <c r="QLW11" s="468"/>
      <c r="QLX11" s="468"/>
      <c r="QLY11" s="468"/>
      <c r="QLZ11" s="468"/>
      <c r="QMA11" s="468"/>
      <c r="QMB11" s="468"/>
      <c r="QMC11" s="468"/>
      <c r="QMD11" s="468"/>
      <c r="QME11" s="468"/>
      <c r="QMF11" s="468"/>
      <c r="QMG11" s="468"/>
      <c r="QMH11" s="468"/>
      <c r="QMI11" s="468"/>
      <c r="QMJ11" s="469"/>
      <c r="QMK11" s="467" t="s">
        <v>34</v>
      </c>
      <c r="QML11" s="468"/>
      <c r="QMM11" s="468"/>
      <c r="QMN11" s="468"/>
      <c r="QMO11" s="468"/>
      <c r="QMP11" s="468"/>
      <c r="QMQ11" s="468"/>
      <c r="QMR11" s="468"/>
      <c r="QMS11" s="468"/>
      <c r="QMT11" s="468"/>
      <c r="QMU11" s="468"/>
      <c r="QMV11" s="468"/>
      <c r="QMW11" s="468"/>
      <c r="QMX11" s="468"/>
      <c r="QMY11" s="468"/>
      <c r="QMZ11" s="469"/>
      <c r="QNA11" s="467" t="s">
        <v>34</v>
      </c>
      <c r="QNB11" s="468"/>
      <c r="QNC11" s="468"/>
      <c r="QND11" s="468"/>
      <c r="QNE11" s="468"/>
      <c r="QNF11" s="468"/>
      <c r="QNG11" s="468"/>
      <c r="QNH11" s="468"/>
      <c r="QNI11" s="468"/>
      <c r="QNJ11" s="468"/>
      <c r="QNK11" s="468"/>
      <c r="QNL11" s="468"/>
      <c r="QNM11" s="468"/>
      <c r="QNN11" s="468"/>
      <c r="QNO11" s="468"/>
      <c r="QNP11" s="469"/>
      <c r="QNQ11" s="467" t="s">
        <v>34</v>
      </c>
      <c r="QNR11" s="468"/>
      <c r="QNS11" s="468"/>
      <c r="QNT11" s="468"/>
      <c r="QNU11" s="468"/>
      <c r="QNV11" s="468"/>
      <c r="QNW11" s="468"/>
      <c r="QNX11" s="468"/>
      <c r="QNY11" s="468"/>
      <c r="QNZ11" s="468"/>
      <c r="QOA11" s="468"/>
      <c r="QOB11" s="468"/>
      <c r="QOC11" s="468"/>
      <c r="QOD11" s="468"/>
      <c r="QOE11" s="468"/>
      <c r="QOF11" s="469"/>
      <c r="QOG11" s="467" t="s">
        <v>34</v>
      </c>
      <c r="QOH11" s="468"/>
      <c r="QOI11" s="468"/>
      <c r="QOJ11" s="468"/>
      <c r="QOK11" s="468"/>
      <c r="QOL11" s="468"/>
      <c r="QOM11" s="468"/>
      <c r="QON11" s="468"/>
      <c r="QOO11" s="468"/>
      <c r="QOP11" s="468"/>
      <c r="QOQ11" s="468"/>
      <c r="QOR11" s="468"/>
      <c r="QOS11" s="468"/>
      <c r="QOT11" s="468"/>
      <c r="QOU11" s="468"/>
      <c r="QOV11" s="469"/>
      <c r="QOW11" s="467" t="s">
        <v>34</v>
      </c>
      <c r="QOX11" s="468"/>
      <c r="QOY11" s="468"/>
      <c r="QOZ11" s="468"/>
      <c r="QPA11" s="468"/>
      <c r="QPB11" s="468"/>
      <c r="QPC11" s="468"/>
      <c r="QPD11" s="468"/>
      <c r="QPE11" s="468"/>
      <c r="QPF11" s="468"/>
      <c r="QPG11" s="468"/>
      <c r="QPH11" s="468"/>
      <c r="QPI11" s="468"/>
      <c r="QPJ11" s="468"/>
      <c r="QPK11" s="468"/>
      <c r="QPL11" s="469"/>
      <c r="QPM11" s="467" t="s">
        <v>34</v>
      </c>
      <c r="QPN11" s="468"/>
      <c r="QPO11" s="468"/>
      <c r="QPP11" s="468"/>
      <c r="QPQ11" s="468"/>
      <c r="QPR11" s="468"/>
      <c r="QPS11" s="468"/>
      <c r="QPT11" s="468"/>
      <c r="QPU11" s="468"/>
      <c r="QPV11" s="468"/>
      <c r="QPW11" s="468"/>
      <c r="QPX11" s="468"/>
      <c r="QPY11" s="468"/>
      <c r="QPZ11" s="468"/>
      <c r="QQA11" s="468"/>
      <c r="QQB11" s="469"/>
      <c r="QQC11" s="467" t="s">
        <v>34</v>
      </c>
      <c r="QQD11" s="468"/>
      <c r="QQE11" s="468"/>
      <c r="QQF11" s="468"/>
      <c r="QQG11" s="468"/>
      <c r="QQH11" s="468"/>
      <c r="QQI11" s="468"/>
      <c r="QQJ11" s="468"/>
      <c r="QQK11" s="468"/>
      <c r="QQL11" s="468"/>
      <c r="QQM11" s="468"/>
      <c r="QQN11" s="468"/>
      <c r="QQO11" s="468"/>
      <c r="QQP11" s="468"/>
      <c r="QQQ11" s="468"/>
      <c r="QQR11" s="469"/>
      <c r="QQS11" s="467" t="s">
        <v>34</v>
      </c>
      <c r="QQT11" s="468"/>
      <c r="QQU11" s="468"/>
      <c r="QQV11" s="468"/>
      <c r="QQW11" s="468"/>
      <c r="QQX11" s="468"/>
      <c r="QQY11" s="468"/>
      <c r="QQZ11" s="468"/>
      <c r="QRA11" s="468"/>
      <c r="QRB11" s="468"/>
      <c r="QRC11" s="468"/>
      <c r="QRD11" s="468"/>
      <c r="QRE11" s="468"/>
      <c r="QRF11" s="468"/>
      <c r="QRG11" s="468"/>
      <c r="QRH11" s="469"/>
      <c r="QRI11" s="467" t="s">
        <v>34</v>
      </c>
      <c r="QRJ11" s="468"/>
      <c r="QRK11" s="468"/>
      <c r="QRL11" s="468"/>
      <c r="QRM11" s="468"/>
      <c r="QRN11" s="468"/>
      <c r="QRO11" s="468"/>
      <c r="QRP11" s="468"/>
      <c r="QRQ11" s="468"/>
      <c r="QRR11" s="468"/>
      <c r="QRS11" s="468"/>
      <c r="QRT11" s="468"/>
      <c r="QRU11" s="468"/>
      <c r="QRV11" s="468"/>
      <c r="QRW11" s="468"/>
      <c r="QRX11" s="469"/>
      <c r="QRY11" s="467" t="s">
        <v>34</v>
      </c>
      <c r="QRZ11" s="468"/>
      <c r="QSA11" s="468"/>
      <c r="QSB11" s="468"/>
      <c r="QSC11" s="468"/>
      <c r="QSD11" s="468"/>
      <c r="QSE11" s="468"/>
      <c r="QSF11" s="468"/>
      <c r="QSG11" s="468"/>
      <c r="QSH11" s="468"/>
      <c r="QSI11" s="468"/>
      <c r="QSJ11" s="468"/>
      <c r="QSK11" s="468"/>
      <c r="QSL11" s="468"/>
      <c r="QSM11" s="468"/>
      <c r="QSN11" s="469"/>
      <c r="QSO11" s="467" t="s">
        <v>34</v>
      </c>
      <c r="QSP11" s="468"/>
      <c r="QSQ11" s="468"/>
      <c r="QSR11" s="468"/>
      <c r="QSS11" s="468"/>
      <c r="QST11" s="468"/>
      <c r="QSU11" s="468"/>
      <c r="QSV11" s="468"/>
      <c r="QSW11" s="468"/>
      <c r="QSX11" s="468"/>
      <c r="QSY11" s="468"/>
      <c r="QSZ11" s="468"/>
      <c r="QTA11" s="468"/>
      <c r="QTB11" s="468"/>
      <c r="QTC11" s="468"/>
      <c r="QTD11" s="469"/>
      <c r="QTE11" s="467" t="s">
        <v>34</v>
      </c>
      <c r="QTF11" s="468"/>
      <c r="QTG11" s="468"/>
      <c r="QTH11" s="468"/>
      <c r="QTI11" s="468"/>
      <c r="QTJ11" s="468"/>
      <c r="QTK11" s="468"/>
      <c r="QTL11" s="468"/>
      <c r="QTM11" s="468"/>
      <c r="QTN11" s="468"/>
      <c r="QTO11" s="468"/>
      <c r="QTP11" s="468"/>
      <c r="QTQ11" s="468"/>
      <c r="QTR11" s="468"/>
      <c r="QTS11" s="468"/>
      <c r="QTT11" s="469"/>
      <c r="QTU11" s="467" t="s">
        <v>34</v>
      </c>
      <c r="QTV11" s="468"/>
      <c r="QTW11" s="468"/>
      <c r="QTX11" s="468"/>
      <c r="QTY11" s="468"/>
      <c r="QTZ11" s="468"/>
      <c r="QUA11" s="468"/>
      <c r="QUB11" s="468"/>
      <c r="QUC11" s="468"/>
      <c r="QUD11" s="468"/>
      <c r="QUE11" s="468"/>
      <c r="QUF11" s="468"/>
      <c r="QUG11" s="468"/>
      <c r="QUH11" s="468"/>
      <c r="QUI11" s="468"/>
      <c r="QUJ11" s="469"/>
      <c r="QUK11" s="467" t="s">
        <v>34</v>
      </c>
      <c r="QUL11" s="468"/>
      <c r="QUM11" s="468"/>
      <c r="QUN11" s="468"/>
      <c r="QUO11" s="468"/>
      <c r="QUP11" s="468"/>
      <c r="QUQ11" s="468"/>
      <c r="QUR11" s="468"/>
      <c r="QUS11" s="468"/>
      <c r="QUT11" s="468"/>
      <c r="QUU11" s="468"/>
      <c r="QUV11" s="468"/>
      <c r="QUW11" s="468"/>
      <c r="QUX11" s="468"/>
      <c r="QUY11" s="468"/>
      <c r="QUZ11" s="469"/>
      <c r="QVA11" s="467" t="s">
        <v>34</v>
      </c>
      <c r="QVB11" s="468"/>
      <c r="QVC11" s="468"/>
      <c r="QVD11" s="468"/>
      <c r="QVE11" s="468"/>
      <c r="QVF11" s="468"/>
      <c r="QVG11" s="468"/>
      <c r="QVH11" s="468"/>
      <c r="QVI11" s="468"/>
      <c r="QVJ11" s="468"/>
      <c r="QVK11" s="468"/>
      <c r="QVL11" s="468"/>
      <c r="QVM11" s="468"/>
      <c r="QVN11" s="468"/>
      <c r="QVO11" s="468"/>
      <c r="QVP11" s="469"/>
      <c r="QVQ11" s="467" t="s">
        <v>34</v>
      </c>
      <c r="QVR11" s="468"/>
      <c r="QVS11" s="468"/>
      <c r="QVT11" s="468"/>
      <c r="QVU11" s="468"/>
      <c r="QVV11" s="468"/>
      <c r="QVW11" s="468"/>
      <c r="QVX11" s="468"/>
      <c r="QVY11" s="468"/>
      <c r="QVZ11" s="468"/>
      <c r="QWA11" s="468"/>
      <c r="QWB11" s="468"/>
      <c r="QWC11" s="468"/>
      <c r="QWD11" s="468"/>
      <c r="QWE11" s="468"/>
      <c r="QWF11" s="469"/>
      <c r="QWG11" s="467" t="s">
        <v>34</v>
      </c>
      <c r="QWH11" s="468"/>
      <c r="QWI11" s="468"/>
      <c r="QWJ11" s="468"/>
      <c r="QWK11" s="468"/>
      <c r="QWL11" s="468"/>
      <c r="QWM11" s="468"/>
      <c r="QWN11" s="468"/>
      <c r="QWO11" s="468"/>
      <c r="QWP11" s="468"/>
      <c r="QWQ11" s="468"/>
      <c r="QWR11" s="468"/>
      <c r="QWS11" s="468"/>
      <c r="QWT11" s="468"/>
      <c r="QWU11" s="468"/>
      <c r="QWV11" s="469"/>
      <c r="QWW11" s="467" t="s">
        <v>34</v>
      </c>
      <c r="QWX11" s="468"/>
      <c r="QWY11" s="468"/>
      <c r="QWZ11" s="468"/>
      <c r="QXA11" s="468"/>
      <c r="QXB11" s="468"/>
      <c r="QXC11" s="468"/>
      <c r="QXD11" s="468"/>
      <c r="QXE11" s="468"/>
      <c r="QXF11" s="468"/>
      <c r="QXG11" s="468"/>
      <c r="QXH11" s="468"/>
      <c r="QXI11" s="468"/>
      <c r="QXJ11" s="468"/>
      <c r="QXK11" s="468"/>
      <c r="QXL11" s="469"/>
      <c r="QXM11" s="467" t="s">
        <v>34</v>
      </c>
      <c r="QXN11" s="468"/>
      <c r="QXO11" s="468"/>
      <c r="QXP11" s="468"/>
      <c r="QXQ11" s="468"/>
      <c r="QXR11" s="468"/>
      <c r="QXS11" s="468"/>
      <c r="QXT11" s="468"/>
      <c r="QXU11" s="468"/>
      <c r="QXV11" s="468"/>
      <c r="QXW11" s="468"/>
      <c r="QXX11" s="468"/>
      <c r="QXY11" s="468"/>
      <c r="QXZ11" s="468"/>
      <c r="QYA11" s="468"/>
      <c r="QYB11" s="469"/>
      <c r="QYC11" s="467" t="s">
        <v>34</v>
      </c>
      <c r="QYD11" s="468"/>
      <c r="QYE11" s="468"/>
      <c r="QYF11" s="468"/>
      <c r="QYG11" s="468"/>
      <c r="QYH11" s="468"/>
      <c r="QYI11" s="468"/>
      <c r="QYJ11" s="468"/>
      <c r="QYK11" s="468"/>
      <c r="QYL11" s="468"/>
      <c r="QYM11" s="468"/>
      <c r="QYN11" s="468"/>
      <c r="QYO11" s="468"/>
      <c r="QYP11" s="468"/>
      <c r="QYQ11" s="468"/>
      <c r="QYR11" s="469"/>
      <c r="QYS11" s="467" t="s">
        <v>34</v>
      </c>
      <c r="QYT11" s="468"/>
      <c r="QYU11" s="468"/>
      <c r="QYV11" s="468"/>
      <c r="QYW11" s="468"/>
      <c r="QYX11" s="468"/>
      <c r="QYY11" s="468"/>
      <c r="QYZ11" s="468"/>
      <c r="QZA11" s="468"/>
      <c r="QZB11" s="468"/>
      <c r="QZC11" s="468"/>
      <c r="QZD11" s="468"/>
      <c r="QZE11" s="468"/>
      <c r="QZF11" s="468"/>
      <c r="QZG11" s="468"/>
      <c r="QZH11" s="469"/>
      <c r="QZI11" s="467" t="s">
        <v>34</v>
      </c>
      <c r="QZJ11" s="468"/>
      <c r="QZK11" s="468"/>
      <c r="QZL11" s="468"/>
      <c r="QZM11" s="468"/>
      <c r="QZN11" s="468"/>
      <c r="QZO11" s="468"/>
      <c r="QZP11" s="468"/>
      <c r="QZQ11" s="468"/>
      <c r="QZR11" s="468"/>
      <c r="QZS11" s="468"/>
      <c r="QZT11" s="468"/>
      <c r="QZU11" s="468"/>
      <c r="QZV11" s="468"/>
      <c r="QZW11" s="468"/>
      <c r="QZX11" s="469"/>
      <c r="QZY11" s="467" t="s">
        <v>34</v>
      </c>
      <c r="QZZ11" s="468"/>
      <c r="RAA11" s="468"/>
      <c r="RAB11" s="468"/>
      <c r="RAC11" s="468"/>
      <c r="RAD11" s="468"/>
      <c r="RAE11" s="468"/>
      <c r="RAF11" s="468"/>
      <c r="RAG11" s="468"/>
      <c r="RAH11" s="468"/>
      <c r="RAI11" s="468"/>
      <c r="RAJ11" s="468"/>
      <c r="RAK11" s="468"/>
      <c r="RAL11" s="468"/>
      <c r="RAM11" s="468"/>
      <c r="RAN11" s="469"/>
      <c r="RAO11" s="467" t="s">
        <v>34</v>
      </c>
      <c r="RAP11" s="468"/>
      <c r="RAQ11" s="468"/>
      <c r="RAR11" s="468"/>
      <c r="RAS11" s="468"/>
      <c r="RAT11" s="468"/>
      <c r="RAU11" s="468"/>
      <c r="RAV11" s="468"/>
      <c r="RAW11" s="468"/>
      <c r="RAX11" s="468"/>
      <c r="RAY11" s="468"/>
      <c r="RAZ11" s="468"/>
      <c r="RBA11" s="468"/>
      <c r="RBB11" s="468"/>
      <c r="RBC11" s="468"/>
      <c r="RBD11" s="469"/>
      <c r="RBE11" s="467" t="s">
        <v>34</v>
      </c>
      <c r="RBF11" s="468"/>
      <c r="RBG11" s="468"/>
      <c r="RBH11" s="468"/>
      <c r="RBI11" s="468"/>
      <c r="RBJ11" s="468"/>
      <c r="RBK11" s="468"/>
      <c r="RBL11" s="468"/>
      <c r="RBM11" s="468"/>
      <c r="RBN11" s="468"/>
      <c r="RBO11" s="468"/>
      <c r="RBP11" s="468"/>
      <c r="RBQ11" s="468"/>
      <c r="RBR11" s="468"/>
      <c r="RBS11" s="468"/>
      <c r="RBT11" s="469"/>
      <c r="RBU11" s="467" t="s">
        <v>34</v>
      </c>
      <c r="RBV11" s="468"/>
      <c r="RBW11" s="468"/>
      <c r="RBX11" s="468"/>
      <c r="RBY11" s="468"/>
      <c r="RBZ11" s="468"/>
      <c r="RCA11" s="468"/>
      <c r="RCB11" s="468"/>
      <c r="RCC11" s="468"/>
      <c r="RCD11" s="468"/>
      <c r="RCE11" s="468"/>
      <c r="RCF11" s="468"/>
      <c r="RCG11" s="468"/>
      <c r="RCH11" s="468"/>
      <c r="RCI11" s="468"/>
      <c r="RCJ11" s="469"/>
      <c r="RCK11" s="467" t="s">
        <v>34</v>
      </c>
      <c r="RCL11" s="468"/>
      <c r="RCM11" s="468"/>
      <c r="RCN11" s="468"/>
      <c r="RCO11" s="468"/>
      <c r="RCP11" s="468"/>
      <c r="RCQ11" s="468"/>
      <c r="RCR11" s="468"/>
      <c r="RCS11" s="468"/>
      <c r="RCT11" s="468"/>
      <c r="RCU11" s="468"/>
      <c r="RCV11" s="468"/>
      <c r="RCW11" s="468"/>
      <c r="RCX11" s="468"/>
      <c r="RCY11" s="468"/>
      <c r="RCZ11" s="469"/>
      <c r="RDA11" s="467" t="s">
        <v>34</v>
      </c>
      <c r="RDB11" s="468"/>
      <c r="RDC11" s="468"/>
      <c r="RDD11" s="468"/>
      <c r="RDE11" s="468"/>
      <c r="RDF11" s="468"/>
      <c r="RDG11" s="468"/>
      <c r="RDH11" s="468"/>
      <c r="RDI11" s="468"/>
      <c r="RDJ11" s="468"/>
      <c r="RDK11" s="468"/>
      <c r="RDL11" s="468"/>
      <c r="RDM11" s="468"/>
      <c r="RDN11" s="468"/>
      <c r="RDO11" s="468"/>
      <c r="RDP11" s="469"/>
      <c r="RDQ11" s="467" t="s">
        <v>34</v>
      </c>
      <c r="RDR11" s="468"/>
      <c r="RDS11" s="468"/>
      <c r="RDT11" s="468"/>
      <c r="RDU11" s="468"/>
      <c r="RDV11" s="468"/>
      <c r="RDW11" s="468"/>
      <c r="RDX11" s="468"/>
      <c r="RDY11" s="468"/>
      <c r="RDZ11" s="468"/>
      <c r="REA11" s="468"/>
      <c r="REB11" s="468"/>
      <c r="REC11" s="468"/>
      <c r="RED11" s="468"/>
      <c r="REE11" s="468"/>
      <c r="REF11" s="469"/>
      <c r="REG11" s="467" t="s">
        <v>34</v>
      </c>
      <c r="REH11" s="468"/>
      <c r="REI11" s="468"/>
      <c r="REJ11" s="468"/>
      <c r="REK11" s="468"/>
      <c r="REL11" s="468"/>
      <c r="REM11" s="468"/>
      <c r="REN11" s="468"/>
      <c r="REO11" s="468"/>
      <c r="REP11" s="468"/>
      <c r="REQ11" s="468"/>
      <c r="RER11" s="468"/>
      <c r="RES11" s="468"/>
      <c r="RET11" s="468"/>
      <c r="REU11" s="468"/>
      <c r="REV11" s="469"/>
      <c r="REW11" s="467" t="s">
        <v>34</v>
      </c>
      <c r="REX11" s="468"/>
      <c r="REY11" s="468"/>
      <c r="REZ11" s="468"/>
      <c r="RFA11" s="468"/>
      <c r="RFB11" s="468"/>
      <c r="RFC11" s="468"/>
      <c r="RFD11" s="468"/>
      <c r="RFE11" s="468"/>
      <c r="RFF11" s="468"/>
      <c r="RFG11" s="468"/>
      <c r="RFH11" s="468"/>
      <c r="RFI11" s="468"/>
      <c r="RFJ11" s="468"/>
      <c r="RFK11" s="468"/>
      <c r="RFL11" s="469"/>
      <c r="RFM11" s="467" t="s">
        <v>34</v>
      </c>
      <c r="RFN11" s="468"/>
      <c r="RFO11" s="468"/>
      <c r="RFP11" s="468"/>
      <c r="RFQ11" s="468"/>
      <c r="RFR11" s="468"/>
      <c r="RFS11" s="468"/>
      <c r="RFT11" s="468"/>
      <c r="RFU11" s="468"/>
      <c r="RFV11" s="468"/>
      <c r="RFW11" s="468"/>
      <c r="RFX11" s="468"/>
      <c r="RFY11" s="468"/>
      <c r="RFZ11" s="468"/>
      <c r="RGA11" s="468"/>
      <c r="RGB11" s="469"/>
      <c r="RGC11" s="467" t="s">
        <v>34</v>
      </c>
      <c r="RGD11" s="468"/>
      <c r="RGE11" s="468"/>
      <c r="RGF11" s="468"/>
      <c r="RGG11" s="468"/>
      <c r="RGH11" s="468"/>
      <c r="RGI11" s="468"/>
      <c r="RGJ11" s="468"/>
      <c r="RGK11" s="468"/>
      <c r="RGL11" s="468"/>
      <c r="RGM11" s="468"/>
      <c r="RGN11" s="468"/>
      <c r="RGO11" s="468"/>
      <c r="RGP11" s="468"/>
      <c r="RGQ11" s="468"/>
      <c r="RGR11" s="469"/>
      <c r="RGS11" s="467" t="s">
        <v>34</v>
      </c>
      <c r="RGT11" s="468"/>
      <c r="RGU11" s="468"/>
      <c r="RGV11" s="468"/>
      <c r="RGW11" s="468"/>
      <c r="RGX11" s="468"/>
      <c r="RGY11" s="468"/>
      <c r="RGZ11" s="468"/>
      <c r="RHA11" s="468"/>
      <c r="RHB11" s="468"/>
      <c r="RHC11" s="468"/>
      <c r="RHD11" s="468"/>
      <c r="RHE11" s="468"/>
      <c r="RHF11" s="468"/>
      <c r="RHG11" s="468"/>
      <c r="RHH11" s="469"/>
      <c r="RHI11" s="467" t="s">
        <v>34</v>
      </c>
      <c r="RHJ11" s="468"/>
      <c r="RHK11" s="468"/>
      <c r="RHL11" s="468"/>
      <c r="RHM11" s="468"/>
      <c r="RHN11" s="468"/>
      <c r="RHO11" s="468"/>
      <c r="RHP11" s="468"/>
      <c r="RHQ11" s="468"/>
      <c r="RHR11" s="468"/>
      <c r="RHS11" s="468"/>
      <c r="RHT11" s="468"/>
      <c r="RHU11" s="468"/>
      <c r="RHV11" s="468"/>
      <c r="RHW11" s="468"/>
      <c r="RHX11" s="469"/>
      <c r="RHY11" s="467" t="s">
        <v>34</v>
      </c>
      <c r="RHZ11" s="468"/>
      <c r="RIA11" s="468"/>
      <c r="RIB11" s="468"/>
      <c r="RIC11" s="468"/>
      <c r="RID11" s="468"/>
      <c r="RIE11" s="468"/>
      <c r="RIF11" s="468"/>
      <c r="RIG11" s="468"/>
      <c r="RIH11" s="468"/>
      <c r="RII11" s="468"/>
      <c r="RIJ11" s="468"/>
      <c r="RIK11" s="468"/>
      <c r="RIL11" s="468"/>
      <c r="RIM11" s="468"/>
      <c r="RIN11" s="469"/>
      <c r="RIO11" s="467" t="s">
        <v>34</v>
      </c>
      <c r="RIP11" s="468"/>
      <c r="RIQ11" s="468"/>
      <c r="RIR11" s="468"/>
      <c r="RIS11" s="468"/>
      <c r="RIT11" s="468"/>
      <c r="RIU11" s="468"/>
      <c r="RIV11" s="468"/>
      <c r="RIW11" s="468"/>
      <c r="RIX11" s="468"/>
      <c r="RIY11" s="468"/>
      <c r="RIZ11" s="468"/>
      <c r="RJA11" s="468"/>
      <c r="RJB11" s="468"/>
      <c r="RJC11" s="468"/>
      <c r="RJD11" s="469"/>
      <c r="RJE11" s="467" t="s">
        <v>34</v>
      </c>
      <c r="RJF11" s="468"/>
      <c r="RJG11" s="468"/>
      <c r="RJH11" s="468"/>
      <c r="RJI11" s="468"/>
      <c r="RJJ11" s="468"/>
      <c r="RJK11" s="468"/>
      <c r="RJL11" s="468"/>
      <c r="RJM11" s="468"/>
      <c r="RJN11" s="468"/>
      <c r="RJO11" s="468"/>
      <c r="RJP11" s="468"/>
      <c r="RJQ11" s="468"/>
      <c r="RJR11" s="468"/>
      <c r="RJS11" s="468"/>
      <c r="RJT11" s="469"/>
      <c r="RJU11" s="467" t="s">
        <v>34</v>
      </c>
      <c r="RJV11" s="468"/>
      <c r="RJW11" s="468"/>
      <c r="RJX11" s="468"/>
      <c r="RJY11" s="468"/>
      <c r="RJZ11" s="468"/>
      <c r="RKA11" s="468"/>
      <c r="RKB11" s="468"/>
      <c r="RKC11" s="468"/>
      <c r="RKD11" s="468"/>
      <c r="RKE11" s="468"/>
      <c r="RKF11" s="468"/>
      <c r="RKG11" s="468"/>
      <c r="RKH11" s="468"/>
      <c r="RKI11" s="468"/>
      <c r="RKJ11" s="469"/>
      <c r="RKK11" s="467" t="s">
        <v>34</v>
      </c>
      <c r="RKL11" s="468"/>
      <c r="RKM11" s="468"/>
      <c r="RKN11" s="468"/>
      <c r="RKO11" s="468"/>
      <c r="RKP11" s="468"/>
      <c r="RKQ11" s="468"/>
      <c r="RKR11" s="468"/>
      <c r="RKS11" s="468"/>
      <c r="RKT11" s="468"/>
      <c r="RKU11" s="468"/>
      <c r="RKV11" s="468"/>
      <c r="RKW11" s="468"/>
      <c r="RKX11" s="468"/>
      <c r="RKY11" s="468"/>
      <c r="RKZ11" s="469"/>
      <c r="RLA11" s="467" t="s">
        <v>34</v>
      </c>
      <c r="RLB11" s="468"/>
      <c r="RLC11" s="468"/>
      <c r="RLD11" s="468"/>
      <c r="RLE11" s="468"/>
      <c r="RLF11" s="468"/>
      <c r="RLG11" s="468"/>
      <c r="RLH11" s="468"/>
      <c r="RLI11" s="468"/>
      <c r="RLJ11" s="468"/>
      <c r="RLK11" s="468"/>
      <c r="RLL11" s="468"/>
      <c r="RLM11" s="468"/>
      <c r="RLN11" s="468"/>
      <c r="RLO11" s="468"/>
      <c r="RLP11" s="469"/>
      <c r="RLQ11" s="467" t="s">
        <v>34</v>
      </c>
      <c r="RLR11" s="468"/>
      <c r="RLS11" s="468"/>
      <c r="RLT11" s="468"/>
      <c r="RLU11" s="468"/>
      <c r="RLV11" s="468"/>
      <c r="RLW11" s="468"/>
      <c r="RLX11" s="468"/>
      <c r="RLY11" s="468"/>
      <c r="RLZ11" s="468"/>
      <c r="RMA11" s="468"/>
      <c r="RMB11" s="468"/>
      <c r="RMC11" s="468"/>
      <c r="RMD11" s="468"/>
      <c r="RME11" s="468"/>
      <c r="RMF11" s="469"/>
      <c r="RMG11" s="467" t="s">
        <v>34</v>
      </c>
      <c r="RMH11" s="468"/>
      <c r="RMI11" s="468"/>
      <c r="RMJ11" s="468"/>
      <c r="RMK11" s="468"/>
      <c r="RML11" s="468"/>
      <c r="RMM11" s="468"/>
      <c r="RMN11" s="468"/>
      <c r="RMO11" s="468"/>
      <c r="RMP11" s="468"/>
      <c r="RMQ11" s="468"/>
      <c r="RMR11" s="468"/>
      <c r="RMS11" s="468"/>
      <c r="RMT11" s="468"/>
      <c r="RMU11" s="468"/>
      <c r="RMV11" s="469"/>
      <c r="RMW11" s="467" t="s">
        <v>34</v>
      </c>
      <c r="RMX11" s="468"/>
      <c r="RMY11" s="468"/>
      <c r="RMZ11" s="468"/>
      <c r="RNA11" s="468"/>
      <c r="RNB11" s="468"/>
      <c r="RNC11" s="468"/>
      <c r="RND11" s="468"/>
      <c r="RNE11" s="468"/>
      <c r="RNF11" s="468"/>
      <c r="RNG11" s="468"/>
      <c r="RNH11" s="468"/>
      <c r="RNI11" s="468"/>
      <c r="RNJ11" s="468"/>
      <c r="RNK11" s="468"/>
      <c r="RNL11" s="469"/>
      <c r="RNM11" s="467" t="s">
        <v>34</v>
      </c>
      <c r="RNN11" s="468"/>
      <c r="RNO11" s="468"/>
      <c r="RNP11" s="468"/>
      <c r="RNQ11" s="468"/>
      <c r="RNR11" s="468"/>
      <c r="RNS11" s="468"/>
      <c r="RNT11" s="468"/>
      <c r="RNU11" s="468"/>
      <c r="RNV11" s="468"/>
      <c r="RNW11" s="468"/>
      <c r="RNX11" s="468"/>
      <c r="RNY11" s="468"/>
      <c r="RNZ11" s="468"/>
      <c r="ROA11" s="468"/>
      <c r="ROB11" s="469"/>
      <c r="ROC11" s="467" t="s">
        <v>34</v>
      </c>
      <c r="ROD11" s="468"/>
      <c r="ROE11" s="468"/>
      <c r="ROF11" s="468"/>
      <c r="ROG11" s="468"/>
      <c r="ROH11" s="468"/>
      <c r="ROI11" s="468"/>
      <c r="ROJ11" s="468"/>
      <c r="ROK11" s="468"/>
      <c r="ROL11" s="468"/>
      <c r="ROM11" s="468"/>
      <c r="RON11" s="468"/>
      <c r="ROO11" s="468"/>
      <c r="ROP11" s="468"/>
      <c r="ROQ11" s="468"/>
      <c r="ROR11" s="469"/>
      <c r="ROS11" s="467" t="s">
        <v>34</v>
      </c>
      <c r="ROT11" s="468"/>
      <c r="ROU11" s="468"/>
      <c r="ROV11" s="468"/>
      <c r="ROW11" s="468"/>
      <c r="ROX11" s="468"/>
      <c r="ROY11" s="468"/>
      <c r="ROZ11" s="468"/>
      <c r="RPA11" s="468"/>
      <c r="RPB11" s="468"/>
      <c r="RPC11" s="468"/>
      <c r="RPD11" s="468"/>
      <c r="RPE11" s="468"/>
      <c r="RPF11" s="468"/>
      <c r="RPG11" s="468"/>
      <c r="RPH11" s="469"/>
      <c r="RPI11" s="467" t="s">
        <v>34</v>
      </c>
      <c r="RPJ11" s="468"/>
      <c r="RPK11" s="468"/>
      <c r="RPL11" s="468"/>
      <c r="RPM11" s="468"/>
      <c r="RPN11" s="468"/>
      <c r="RPO11" s="468"/>
      <c r="RPP11" s="468"/>
      <c r="RPQ11" s="468"/>
      <c r="RPR11" s="468"/>
      <c r="RPS11" s="468"/>
      <c r="RPT11" s="468"/>
      <c r="RPU11" s="468"/>
      <c r="RPV11" s="468"/>
      <c r="RPW11" s="468"/>
      <c r="RPX11" s="469"/>
      <c r="RPY11" s="467" t="s">
        <v>34</v>
      </c>
      <c r="RPZ11" s="468"/>
      <c r="RQA11" s="468"/>
      <c r="RQB11" s="468"/>
      <c r="RQC11" s="468"/>
      <c r="RQD11" s="468"/>
      <c r="RQE11" s="468"/>
      <c r="RQF11" s="468"/>
      <c r="RQG11" s="468"/>
      <c r="RQH11" s="468"/>
      <c r="RQI11" s="468"/>
      <c r="RQJ11" s="468"/>
      <c r="RQK11" s="468"/>
      <c r="RQL11" s="468"/>
      <c r="RQM11" s="468"/>
      <c r="RQN11" s="469"/>
      <c r="RQO11" s="467" t="s">
        <v>34</v>
      </c>
      <c r="RQP11" s="468"/>
      <c r="RQQ11" s="468"/>
      <c r="RQR11" s="468"/>
      <c r="RQS11" s="468"/>
      <c r="RQT11" s="468"/>
      <c r="RQU11" s="468"/>
      <c r="RQV11" s="468"/>
      <c r="RQW11" s="468"/>
      <c r="RQX11" s="468"/>
      <c r="RQY11" s="468"/>
      <c r="RQZ11" s="468"/>
      <c r="RRA11" s="468"/>
      <c r="RRB11" s="468"/>
      <c r="RRC11" s="468"/>
      <c r="RRD11" s="469"/>
      <c r="RRE11" s="467" t="s">
        <v>34</v>
      </c>
      <c r="RRF11" s="468"/>
      <c r="RRG11" s="468"/>
      <c r="RRH11" s="468"/>
      <c r="RRI11" s="468"/>
      <c r="RRJ11" s="468"/>
      <c r="RRK11" s="468"/>
      <c r="RRL11" s="468"/>
      <c r="RRM11" s="468"/>
      <c r="RRN11" s="468"/>
      <c r="RRO11" s="468"/>
      <c r="RRP11" s="468"/>
      <c r="RRQ11" s="468"/>
      <c r="RRR11" s="468"/>
      <c r="RRS11" s="468"/>
      <c r="RRT11" s="469"/>
      <c r="RRU11" s="467" t="s">
        <v>34</v>
      </c>
      <c r="RRV11" s="468"/>
      <c r="RRW11" s="468"/>
      <c r="RRX11" s="468"/>
      <c r="RRY11" s="468"/>
      <c r="RRZ11" s="468"/>
      <c r="RSA11" s="468"/>
      <c r="RSB11" s="468"/>
      <c r="RSC11" s="468"/>
      <c r="RSD11" s="468"/>
      <c r="RSE11" s="468"/>
      <c r="RSF11" s="468"/>
      <c r="RSG11" s="468"/>
      <c r="RSH11" s="468"/>
      <c r="RSI11" s="468"/>
      <c r="RSJ11" s="469"/>
      <c r="RSK11" s="467" t="s">
        <v>34</v>
      </c>
      <c r="RSL11" s="468"/>
      <c r="RSM11" s="468"/>
      <c r="RSN11" s="468"/>
      <c r="RSO11" s="468"/>
      <c r="RSP11" s="468"/>
      <c r="RSQ11" s="468"/>
      <c r="RSR11" s="468"/>
      <c r="RSS11" s="468"/>
      <c r="RST11" s="468"/>
      <c r="RSU11" s="468"/>
      <c r="RSV11" s="468"/>
      <c r="RSW11" s="468"/>
      <c r="RSX11" s="468"/>
      <c r="RSY11" s="468"/>
      <c r="RSZ11" s="469"/>
      <c r="RTA11" s="467" t="s">
        <v>34</v>
      </c>
      <c r="RTB11" s="468"/>
      <c r="RTC11" s="468"/>
      <c r="RTD11" s="468"/>
      <c r="RTE11" s="468"/>
      <c r="RTF11" s="468"/>
      <c r="RTG11" s="468"/>
      <c r="RTH11" s="468"/>
      <c r="RTI11" s="468"/>
      <c r="RTJ11" s="468"/>
      <c r="RTK11" s="468"/>
      <c r="RTL11" s="468"/>
      <c r="RTM11" s="468"/>
      <c r="RTN11" s="468"/>
      <c r="RTO11" s="468"/>
      <c r="RTP11" s="469"/>
      <c r="RTQ11" s="467" t="s">
        <v>34</v>
      </c>
      <c r="RTR11" s="468"/>
      <c r="RTS11" s="468"/>
      <c r="RTT11" s="468"/>
      <c r="RTU11" s="468"/>
      <c r="RTV11" s="468"/>
      <c r="RTW11" s="468"/>
      <c r="RTX11" s="468"/>
      <c r="RTY11" s="468"/>
      <c r="RTZ11" s="468"/>
      <c r="RUA11" s="468"/>
      <c r="RUB11" s="468"/>
      <c r="RUC11" s="468"/>
      <c r="RUD11" s="468"/>
      <c r="RUE11" s="468"/>
      <c r="RUF11" s="469"/>
      <c r="RUG11" s="467" t="s">
        <v>34</v>
      </c>
      <c r="RUH11" s="468"/>
      <c r="RUI11" s="468"/>
      <c r="RUJ11" s="468"/>
      <c r="RUK11" s="468"/>
      <c r="RUL11" s="468"/>
      <c r="RUM11" s="468"/>
      <c r="RUN11" s="468"/>
      <c r="RUO11" s="468"/>
      <c r="RUP11" s="468"/>
      <c r="RUQ11" s="468"/>
      <c r="RUR11" s="468"/>
      <c r="RUS11" s="468"/>
      <c r="RUT11" s="468"/>
      <c r="RUU11" s="468"/>
      <c r="RUV11" s="469"/>
      <c r="RUW11" s="467" t="s">
        <v>34</v>
      </c>
      <c r="RUX11" s="468"/>
      <c r="RUY11" s="468"/>
      <c r="RUZ11" s="468"/>
      <c r="RVA11" s="468"/>
      <c r="RVB11" s="468"/>
      <c r="RVC11" s="468"/>
      <c r="RVD11" s="468"/>
      <c r="RVE11" s="468"/>
      <c r="RVF11" s="468"/>
      <c r="RVG11" s="468"/>
      <c r="RVH11" s="468"/>
      <c r="RVI11" s="468"/>
      <c r="RVJ11" s="468"/>
      <c r="RVK11" s="468"/>
      <c r="RVL11" s="469"/>
      <c r="RVM11" s="467" t="s">
        <v>34</v>
      </c>
      <c r="RVN11" s="468"/>
      <c r="RVO11" s="468"/>
      <c r="RVP11" s="468"/>
      <c r="RVQ11" s="468"/>
      <c r="RVR11" s="468"/>
      <c r="RVS11" s="468"/>
      <c r="RVT11" s="468"/>
      <c r="RVU11" s="468"/>
      <c r="RVV11" s="468"/>
      <c r="RVW11" s="468"/>
      <c r="RVX11" s="468"/>
      <c r="RVY11" s="468"/>
      <c r="RVZ11" s="468"/>
      <c r="RWA11" s="468"/>
      <c r="RWB11" s="469"/>
      <c r="RWC11" s="467" t="s">
        <v>34</v>
      </c>
      <c r="RWD11" s="468"/>
      <c r="RWE11" s="468"/>
      <c r="RWF11" s="468"/>
      <c r="RWG11" s="468"/>
      <c r="RWH11" s="468"/>
      <c r="RWI11" s="468"/>
      <c r="RWJ11" s="468"/>
      <c r="RWK11" s="468"/>
      <c r="RWL11" s="468"/>
      <c r="RWM11" s="468"/>
      <c r="RWN11" s="468"/>
      <c r="RWO11" s="468"/>
      <c r="RWP11" s="468"/>
      <c r="RWQ11" s="468"/>
      <c r="RWR11" s="469"/>
      <c r="RWS11" s="467" t="s">
        <v>34</v>
      </c>
      <c r="RWT11" s="468"/>
      <c r="RWU11" s="468"/>
      <c r="RWV11" s="468"/>
      <c r="RWW11" s="468"/>
      <c r="RWX11" s="468"/>
      <c r="RWY11" s="468"/>
      <c r="RWZ11" s="468"/>
      <c r="RXA11" s="468"/>
      <c r="RXB11" s="468"/>
      <c r="RXC11" s="468"/>
      <c r="RXD11" s="468"/>
      <c r="RXE11" s="468"/>
      <c r="RXF11" s="468"/>
      <c r="RXG11" s="468"/>
      <c r="RXH11" s="469"/>
      <c r="RXI11" s="467" t="s">
        <v>34</v>
      </c>
      <c r="RXJ11" s="468"/>
      <c r="RXK11" s="468"/>
      <c r="RXL11" s="468"/>
      <c r="RXM11" s="468"/>
      <c r="RXN11" s="468"/>
      <c r="RXO11" s="468"/>
      <c r="RXP11" s="468"/>
      <c r="RXQ11" s="468"/>
      <c r="RXR11" s="468"/>
      <c r="RXS11" s="468"/>
      <c r="RXT11" s="468"/>
      <c r="RXU11" s="468"/>
      <c r="RXV11" s="468"/>
      <c r="RXW11" s="468"/>
      <c r="RXX11" s="469"/>
      <c r="RXY11" s="467" t="s">
        <v>34</v>
      </c>
      <c r="RXZ11" s="468"/>
      <c r="RYA11" s="468"/>
      <c r="RYB11" s="468"/>
      <c r="RYC11" s="468"/>
      <c r="RYD11" s="468"/>
      <c r="RYE11" s="468"/>
      <c r="RYF11" s="468"/>
      <c r="RYG11" s="468"/>
      <c r="RYH11" s="468"/>
      <c r="RYI11" s="468"/>
      <c r="RYJ11" s="468"/>
      <c r="RYK11" s="468"/>
      <c r="RYL11" s="468"/>
      <c r="RYM11" s="468"/>
      <c r="RYN11" s="469"/>
      <c r="RYO11" s="467" t="s">
        <v>34</v>
      </c>
      <c r="RYP11" s="468"/>
      <c r="RYQ11" s="468"/>
      <c r="RYR11" s="468"/>
      <c r="RYS11" s="468"/>
      <c r="RYT11" s="468"/>
      <c r="RYU11" s="468"/>
      <c r="RYV11" s="468"/>
      <c r="RYW11" s="468"/>
      <c r="RYX11" s="468"/>
      <c r="RYY11" s="468"/>
      <c r="RYZ11" s="468"/>
      <c r="RZA11" s="468"/>
      <c r="RZB11" s="468"/>
      <c r="RZC11" s="468"/>
      <c r="RZD11" s="469"/>
      <c r="RZE11" s="467" t="s">
        <v>34</v>
      </c>
      <c r="RZF11" s="468"/>
      <c r="RZG11" s="468"/>
      <c r="RZH11" s="468"/>
      <c r="RZI11" s="468"/>
      <c r="RZJ11" s="468"/>
      <c r="RZK11" s="468"/>
      <c r="RZL11" s="468"/>
      <c r="RZM11" s="468"/>
      <c r="RZN11" s="468"/>
      <c r="RZO11" s="468"/>
      <c r="RZP11" s="468"/>
      <c r="RZQ11" s="468"/>
      <c r="RZR11" s="468"/>
      <c r="RZS11" s="468"/>
      <c r="RZT11" s="469"/>
      <c r="RZU11" s="467" t="s">
        <v>34</v>
      </c>
      <c r="RZV11" s="468"/>
      <c r="RZW11" s="468"/>
      <c r="RZX11" s="468"/>
      <c r="RZY11" s="468"/>
      <c r="RZZ11" s="468"/>
      <c r="SAA11" s="468"/>
      <c r="SAB11" s="468"/>
      <c r="SAC11" s="468"/>
      <c r="SAD11" s="468"/>
      <c r="SAE11" s="468"/>
      <c r="SAF11" s="468"/>
      <c r="SAG11" s="468"/>
      <c r="SAH11" s="468"/>
      <c r="SAI11" s="468"/>
      <c r="SAJ11" s="469"/>
      <c r="SAK11" s="467" t="s">
        <v>34</v>
      </c>
      <c r="SAL11" s="468"/>
      <c r="SAM11" s="468"/>
      <c r="SAN11" s="468"/>
      <c r="SAO11" s="468"/>
      <c r="SAP11" s="468"/>
      <c r="SAQ11" s="468"/>
      <c r="SAR11" s="468"/>
      <c r="SAS11" s="468"/>
      <c r="SAT11" s="468"/>
      <c r="SAU11" s="468"/>
      <c r="SAV11" s="468"/>
      <c r="SAW11" s="468"/>
      <c r="SAX11" s="468"/>
      <c r="SAY11" s="468"/>
      <c r="SAZ11" s="469"/>
      <c r="SBA11" s="467" t="s">
        <v>34</v>
      </c>
      <c r="SBB11" s="468"/>
      <c r="SBC11" s="468"/>
      <c r="SBD11" s="468"/>
      <c r="SBE11" s="468"/>
      <c r="SBF11" s="468"/>
      <c r="SBG11" s="468"/>
      <c r="SBH11" s="468"/>
      <c r="SBI11" s="468"/>
      <c r="SBJ11" s="468"/>
      <c r="SBK11" s="468"/>
      <c r="SBL11" s="468"/>
      <c r="SBM11" s="468"/>
      <c r="SBN11" s="468"/>
      <c r="SBO11" s="468"/>
      <c r="SBP11" s="469"/>
      <c r="SBQ11" s="467" t="s">
        <v>34</v>
      </c>
      <c r="SBR11" s="468"/>
      <c r="SBS11" s="468"/>
      <c r="SBT11" s="468"/>
      <c r="SBU11" s="468"/>
      <c r="SBV11" s="468"/>
      <c r="SBW11" s="468"/>
      <c r="SBX11" s="468"/>
      <c r="SBY11" s="468"/>
      <c r="SBZ11" s="468"/>
      <c r="SCA11" s="468"/>
      <c r="SCB11" s="468"/>
      <c r="SCC11" s="468"/>
      <c r="SCD11" s="468"/>
      <c r="SCE11" s="468"/>
      <c r="SCF11" s="469"/>
      <c r="SCG11" s="467" t="s">
        <v>34</v>
      </c>
      <c r="SCH11" s="468"/>
      <c r="SCI11" s="468"/>
      <c r="SCJ11" s="468"/>
      <c r="SCK11" s="468"/>
      <c r="SCL11" s="468"/>
      <c r="SCM11" s="468"/>
      <c r="SCN11" s="468"/>
      <c r="SCO11" s="468"/>
      <c r="SCP11" s="468"/>
      <c r="SCQ11" s="468"/>
      <c r="SCR11" s="468"/>
      <c r="SCS11" s="468"/>
      <c r="SCT11" s="468"/>
      <c r="SCU11" s="468"/>
      <c r="SCV11" s="469"/>
      <c r="SCW11" s="467" t="s">
        <v>34</v>
      </c>
      <c r="SCX11" s="468"/>
      <c r="SCY11" s="468"/>
      <c r="SCZ11" s="468"/>
      <c r="SDA11" s="468"/>
      <c r="SDB11" s="468"/>
      <c r="SDC11" s="468"/>
      <c r="SDD11" s="468"/>
      <c r="SDE11" s="468"/>
      <c r="SDF11" s="468"/>
      <c r="SDG11" s="468"/>
      <c r="SDH11" s="468"/>
      <c r="SDI11" s="468"/>
      <c r="SDJ11" s="468"/>
      <c r="SDK11" s="468"/>
      <c r="SDL11" s="469"/>
      <c r="SDM11" s="467" t="s">
        <v>34</v>
      </c>
      <c r="SDN11" s="468"/>
      <c r="SDO11" s="468"/>
      <c r="SDP11" s="468"/>
      <c r="SDQ11" s="468"/>
      <c r="SDR11" s="468"/>
      <c r="SDS11" s="468"/>
      <c r="SDT11" s="468"/>
      <c r="SDU11" s="468"/>
      <c r="SDV11" s="468"/>
      <c r="SDW11" s="468"/>
      <c r="SDX11" s="468"/>
      <c r="SDY11" s="468"/>
      <c r="SDZ11" s="468"/>
      <c r="SEA11" s="468"/>
      <c r="SEB11" s="469"/>
      <c r="SEC11" s="467" t="s">
        <v>34</v>
      </c>
      <c r="SED11" s="468"/>
      <c r="SEE11" s="468"/>
      <c r="SEF11" s="468"/>
      <c r="SEG11" s="468"/>
      <c r="SEH11" s="468"/>
      <c r="SEI11" s="468"/>
      <c r="SEJ11" s="468"/>
      <c r="SEK11" s="468"/>
      <c r="SEL11" s="468"/>
      <c r="SEM11" s="468"/>
      <c r="SEN11" s="468"/>
      <c r="SEO11" s="468"/>
      <c r="SEP11" s="468"/>
      <c r="SEQ11" s="468"/>
      <c r="SER11" s="469"/>
      <c r="SES11" s="467" t="s">
        <v>34</v>
      </c>
      <c r="SET11" s="468"/>
      <c r="SEU11" s="468"/>
      <c r="SEV11" s="468"/>
      <c r="SEW11" s="468"/>
      <c r="SEX11" s="468"/>
      <c r="SEY11" s="468"/>
      <c r="SEZ11" s="468"/>
      <c r="SFA11" s="468"/>
      <c r="SFB11" s="468"/>
      <c r="SFC11" s="468"/>
      <c r="SFD11" s="468"/>
      <c r="SFE11" s="468"/>
      <c r="SFF11" s="468"/>
      <c r="SFG11" s="468"/>
      <c r="SFH11" s="469"/>
      <c r="SFI11" s="467" t="s">
        <v>34</v>
      </c>
      <c r="SFJ11" s="468"/>
      <c r="SFK11" s="468"/>
      <c r="SFL11" s="468"/>
      <c r="SFM11" s="468"/>
      <c r="SFN11" s="468"/>
      <c r="SFO11" s="468"/>
      <c r="SFP11" s="468"/>
      <c r="SFQ11" s="468"/>
      <c r="SFR11" s="468"/>
      <c r="SFS11" s="468"/>
      <c r="SFT11" s="468"/>
      <c r="SFU11" s="468"/>
      <c r="SFV11" s="468"/>
      <c r="SFW11" s="468"/>
      <c r="SFX11" s="469"/>
      <c r="SFY11" s="467" t="s">
        <v>34</v>
      </c>
      <c r="SFZ11" s="468"/>
      <c r="SGA11" s="468"/>
      <c r="SGB11" s="468"/>
      <c r="SGC11" s="468"/>
      <c r="SGD11" s="468"/>
      <c r="SGE11" s="468"/>
      <c r="SGF11" s="468"/>
      <c r="SGG11" s="468"/>
      <c r="SGH11" s="468"/>
      <c r="SGI11" s="468"/>
      <c r="SGJ11" s="468"/>
      <c r="SGK11" s="468"/>
      <c r="SGL11" s="468"/>
      <c r="SGM11" s="468"/>
      <c r="SGN11" s="469"/>
      <c r="SGO11" s="467" t="s">
        <v>34</v>
      </c>
      <c r="SGP11" s="468"/>
      <c r="SGQ11" s="468"/>
      <c r="SGR11" s="468"/>
      <c r="SGS11" s="468"/>
      <c r="SGT11" s="468"/>
      <c r="SGU11" s="468"/>
      <c r="SGV11" s="468"/>
      <c r="SGW11" s="468"/>
      <c r="SGX11" s="468"/>
      <c r="SGY11" s="468"/>
      <c r="SGZ11" s="468"/>
      <c r="SHA11" s="468"/>
      <c r="SHB11" s="468"/>
      <c r="SHC11" s="468"/>
      <c r="SHD11" s="469"/>
      <c r="SHE11" s="467" t="s">
        <v>34</v>
      </c>
      <c r="SHF11" s="468"/>
      <c r="SHG11" s="468"/>
      <c r="SHH11" s="468"/>
      <c r="SHI11" s="468"/>
      <c r="SHJ11" s="468"/>
      <c r="SHK11" s="468"/>
      <c r="SHL11" s="468"/>
      <c r="SHM11" s="468"/>
      <c r="SHN11" s="468"/>
      <c r="SHO11" s="468"/>
      <c r="SHP11" s="468"/>
      <c r="SHQ11" s="468"/>
      <c r="SHR11" s="468"/>
      <c r="SHS11" s="468"/>
      <c r="SHT11" s="469"/>
      <c r="SHU11" s="467" t="s">
        <v>34</v>
      </c>
      <c r="SHV11" s="468"/>
      <c r="SHW11" s="468"/>
      <c r="SHX11" s="468"/>
      <c r="SHY11" s="468"/>
      <c r="SHZ11" s="468"/>
      <c r="SIA11" s="468"/>
      <c r="SIB11" s="468"/>
      <c r="SIC11" s="468"/>
      <c r="SID11" s="468"/>
      <c r="SIE11" s="468"/>
      <c r="SIF11" s="468"/>
      <c r="SIG11" s="468"/>
      <c r="SIH11" s="468"/>
      <c r="SII11" s="468"/>
      <c r="SIJ11" s="469"/>
      <c r="SIK11" s="467" t="s">
        <v>34</v>
      </c>
      <c r="SIL11" s="468"/>
      <c r="SIM11" s="468"/>
      <c r="SIN11" s="468"/>
      <c r="SIO11" s="468"/>
      <c r="SIP11" s="468"/>
      <c r="SIQ11" s="468"/>
      <c r="SIR11" s="468"/>
      <c r="SIS11" s="468"/>
      <c r="SIT11" s="468"/>
      <c r="SIU11" s="468"/>
      <c r="SIV11" s="468"/>
      <c r="SIW11" s="468"/>
      <c r="SIX11" s="468"/>
      <c r="SIY11" s="468"/>
      <c r="SIZ11" s="469"/>
      <c r="SJA11" s="467" t="s">
        <v>34</v>
      </c>
      <c r="SJB11" s="468"/>
      <c r="SJC11" s="468"/>
      <c r="SJD11" s="468"/>
      <c r="SJE11" s="468"/>
      <c r="SJF11" s="468"/>
      <c r="SJG11" s="468"/>
      <c r="SJH11" s="468"/>
      <c r="SJI11" s="468"/>
      <c r="SJJ11" s="468"/>
      <c r="SJK11" s="468"/>
      <c r="SJL11" s="468"/>
      <c r="SJM11" s="468"/>
      <c r="SJN11" s="468"/>
      <c r="SJO11" s="468"/>
      <c r="SJP11" s="469"/>
      <c r="SJQ11" s="467" t="s">
        <v>34</v>
      </c>
      <c r="SJR11" s="468"/>
      <c r="SJS11" s="468"/>
      <c r="SJT11" s="468"/>
      <c r="SJU11" s="468"/>
      <c r="SJV11" s="468"/>
      <c r="SJW11" s="468"/>
      <c r="SJX11" s="468"/>
      <c r="SJY11" s="468"/>
      <c r="SJZ11" s="468"/>
      <c r="SKA11" s="468"/>
      <c r="SKB11" s="468"/>
      <c r="SKC11" s="468"/>
      <c r="SKD11" s="468"/>
      <c r="SKE11" s="468"/>
      <c r="SKF11" s="469"/>
      <c r="SKG11" s="467" t="s">
        <v>34</v>
      </c>
      <c r="SKH11" s="468"/>
      <c r="SKI11" s="468"/>
      <c r="SKJ11" s="468"/>
      <c r="SKK11" s="468"/>
      <c r="SKL11" s="468"/>
      <c r="SKM11" s="468"/>
      <c r="SKN11" s="468"/>
      <c r="SKO11" s="468"/>
      <c r="SKP11" s="468"/>
      <c r="SKQ11" s="468"/>
      <c r="SKR11" s="468"/>
      <c r="SKS11" s="468"/>
      <c r="SKT11" s="468"/>
      <c r="SKU11" s="468"/>
      <c r="SKV11" s="469"/>
      <c r="SKW11" s="467" t="s">
        <v>34</v>
      </c>
      <c r="SKX11" s="468"/>
      <c r="SKY11" s="468"/>
      <c r="SKZ11" s="468"/>
      <c r="SLA11" s="468"/>
      <c r="SLB11" s="468"/>
      <c r="SLC11" s="468"/>
      <c r="SLD11" s="468"/>
      <c r="SLE11" s="468"/>
      <c r="SLF11" s="468"/>
      <c r="SLG11" s="468"/>
      <c r="SLH11" s="468"/>
      <c r="SLI11" s="468"/>
      <c r="SLJ11" s="468"/>
      <c r="SLK11" s="468"/>
      <c r="SLL11" s="469"/>
      <c r="SLM11" s="467" t="s">
        <v>34</v>
      </c>
      <c r="SLN11" s="468"/>
      <c r="SLO11" s="468"/>
      <c r="SLP11" s="468"/>
      <c r="SLQ11" s="468"/>
      <c r="SLR11" s="468"/>
      <c r="SLS11" s="468"/>
      <c r="SLT11" s="468"/>
      <c r="SLU11" s="468"/>
      <c r="SLV11" s="468"/>
      <c r="SLW11" s="468"/>
      <c r="SLX11" s="468"/>
      <c r="SLY11" s="468"/>
      <c r="SLZ11" s="468"/>
      <c r="SMA11" s="468"/>
      <c r="SMB11" s="469"/>
      <c r="SMC11" s="467" t="s">
        <v>34</v>
      </c>
      <c r="SMD11" s="468"/>
      <c r="SME11" s="468"/>
      <c r="SMF11" s="468"/>
      <c r="SMG11" s="468"/>
      <c r="SMH11" s="468"/>
      <c r="SMI11" s="468"/>
      <c r="SMJ11" s="468"/>
      <c r="SMK11" s="468"/>
      <c r="SML11" s="468"/>
      <c r="SMM11" s="468"/>
      <c r="SMN11" s="468"/>
      <c r="SMO11" s="468"/>
      <c r="SMP11" s="468"/>
      <c r="SMQ11" s="468"/>
      <c r="SMR11" s="469"/>
      <c r="SMS11" s="467" t="s">
        <v>34</v>
      </c>
      <c r="SMT11" s="468"/>
      <c r="SMU11" s="468"/>
      <c r="SMV11" s="468"/>
      <c r="SMW11" s="468"/>
      <c r="SMX11" s="468"/>
      <c r="SMY11" s="468"/>
      <c r="SMZ11" s="468"/>
      <c r="SNA11" s="468"/>
      <c r="SNB11" s="468"/>
      <c r="SNC11" s="468"/>
      <c r="SND11" s="468"/>
      <c r="SNE11" s="468"/>
      <c r="SNF11" s="468"/>
      <c r="SNG11" s="468"/>
      <c r="SNH11" s="469"/>
      <c r="SNI11" s="467" t="s">
        <v>34</v>
      </c>
      <c r="SNJ11" s="468"/>
      <c r="SNK11" s="468"/>
      <c r="SNL11" s="468"/>
      <c r="SNM11" s="468"/>
      <c r="SNN11" s="468"/>
      <c r="SNO11" s="468"/>
      <c r="SNP11" s="468"/>
      <c r="SNQ11" s="468"/>
      <c r="SNR11" s="468"/>
      <c r="SNS11" s="468"/>
      <c r="SNT11" s="468"/>
      <c r="SNU11" s="468"/>
      <c r="SNV11" s="468"/>
      <c r="SNW11" s="468"/>
      <c r="SNX11" s="469"/>
      <c r="SNY11" s="467" t="s">
        <v>34</v>
      </c>
      <c r="SNZ11" s="468"/>
      <c r="SOA11" s="468"/>
      <c r="SOB11" s="468"/>
      <c r="SOC11" s="468"/>
      <c r="SOD11" s="468"/>
      <c r="SOE11" s="468"/>
      <c r="SOF11" s="468"/>
      <c r="SOG11" s="468"/>
      <c r="SOH11" s="468"/>
      <c r="SOI11" s="468"/>
      <c r="SOJ11" s="468"/>
      <c r="SOK11" s="468"/>
      <c r="SOL11" s="468"/>
      <c r="SOM11" s="468"/>
      <c r="SON11" s="469"/>
      <c r="SOO11" s="467" t="s">
        <v>34</v>
      </c>
      <c r="SOP11" s="468"/>
      <c r="SOQ11" s="468"/>
      <c r="SOR11" s="468"/>
      <c r="SOS11" s="468"/>
      <c r="SOT11" s="468"/>
      <c r="SOU11" s="468"/>
      <c r="SOV11" s="468"/>
      <c r="SOW11" s="468"/>
      <c r="SOX11" s="468"/>
      <c r="SOY11" s="468"/>
      <c r="SOZ11" s="468"/>
      <c r="SPA11" s="468"/>
      <c r="SPB11" s="468"/>
      <c r="SPC11" s="468"/>
      <c r="SPD11" s="469"/>
      <c r="SPE11" s="467" t="s">
        <v>34</v>
      </c>
      <c r="SPF11" s="468"/>
      <c r="SPG11" s="468"/>
      <c r="SPH11" s="468"/>
      <c r="SPI11" s="468"/>
      <c r="SPJ11" s="468"/>
      <c r="SPK11" s="468"/>
      <c r="SPL11" s="468"/>
      <c r="SPM11" s="468"/>
      <c r="SPN11" s="468"/>
      <c r="SPO11" s="468"/>
      <c r="SPP11" s="468"/>
      <c r="SPQ11" s="468"/>
      <c r="SPR11" s="468"/>
      <c r="SPS11" s="468"/>
      <c r="SPT11" s="469"/>
      <c r="SPU11" s="467" t="s">
        <v>34</v>
      </c>
      <c r="SPV11" s="468"/>
      <c r="SPW11" s="468"/>
      <c r="SPX11" s="468"/>
      <c r="SPY11" s="468"/>
      <c r="SPZ11" s="468"/>
      <c r="SQA11" s="468"/>
      <c r="SQB11" s="468"/>
      <c r="SQC11" s="468"/>
      <c r="SQD11" s="468"/>
      <c r="SQE11" s="468"/>
      <c r="SQF11" s="468"/>
      <c r="SQG11" s="468"/>
      <c r="SQH11" s="468"/>
      <c r="SQI11" s="468"/>
      <c r="SQJ11" s="469"/>
      <c r="SQK11" s="467" t="s">
        <v>34</v>
      </c>
      <c r="SQL11" s="468"/>
      <c r="SQM11" s="468"/>
      <c r="SQN11" s="468"/>
      <c r="SQO11" s="468"/>
      <c r="SQP11" s="468"/>
      <c r="SQQ11" s="468"/>
      <c r="SQR11" s="468"/>
      <c r="SQS11" s="468"/>
      <c r="SQT11" s="468"/>
      <c r="SQU11" s="468"/>
      <c r="SQV11" s="468"/>
      <c r="SQW11" s="468"/>
      <c r="SQX11" s="468"/>
      <c r="SQY11" s="468"/>
      <c r="SQZ11" s="469"/>
      <c r="SRA11" s="467" t="s">
        <v>34</v>
      </c>
      <c r="SRB11" s="468"/>
      <c r="SRC11" s="468"/>
      <c r="SRD11" s="468"/>
      <c r="SRE11" s="468"/>
      <c r="SRF11" s="468"/>
      <c r="SRG11" s="468"/>
      <c r="SRH11" s="468"/>
      <c r="SRI11" s="468"/>
      <c r="SRJ11" s="468"/>
      <c r="SRK11" s="468"/>
      <c r="SRL11" s="468"/>
      <c r="SRM11" s="468"/>
      <c r="SRN11" s="468"/>
      <c r="SRO11" s="468"/>
      <c r="SRP11" s="469"/>
      <c r="SRQ11" s="467" t="s">
        <v>34</v>
      </c>
      <c r="SRR11" s="468"/>
      <c r="SRS11" s="468"/>
      <c r="SRT11" s="468"/>
      <c r="SRU11" s="468"/>
      <c r="SRV11" s="468"/>
      <c r="SRW11" s="468"/>
      <c r="SRX11" s="468"/>
      <c r="SRY11" s="468"/>
      <c r="SRZ11" s="468"/>
      <c r="SSA11" s="468"/>
      <c r="SSB11" s="468"/>
      <c r="SSC11" s="468"/>
      <c r="SSD11" s="468"/>
      <c r="SSE11" s="468"/>
      <c r="SSF11" s="469"/>
      <c r="SSG11" s="467" t="s">
        <v>34</v>
      </c>
      <c r="SSH11" s="468"/>
      <c r="SSI11" s="468"/>
      <c r="SSJ11" s="468"/>
      <c r="SSK11" s="468"/>
      <c r="SSL11" s="468"/>
      <c r="SSM11" s="468"/>
      <c r="SSN11" s="468"/>
      <c r="SSO11" s="468"/>
      <c r="SSP11" s="468"/>
      <c r="SSQ11" s="468"/>
      <c r="SSR11" s="468"/>
      <c r="SSS11" s="468"/>
      <c r="SST11" s="468"/>
      <c r="SSU11" s="468"/>
      <c r="SSV11" s="469"/>
      <c r="SSW11" s="467" t="s">
        <v>34</v>
      </c>
      <c r="SSX11" s="468"/>
      <c r="SSY11" s="468"/>
      <c r="SSZ11" s="468"/>
      <c r="STA11" s="468"/>
      <c r="STB11" s="468"/>
      <c r="STC11" s="468"/>
      <c r="STD11" s="468"/>
      <c r="STE11" s="468"/>
      <c r="STF11" s="468"/>
      <c r="STG11" s="468"/>
      <c r="STH11" s="468"/>
      <c r="STI11" s="468"/>
      <c r="STJ11" s="468"/>
      <c r="STK11" s="468"/>
      <c r="STL11" s="469"/>
      <c r="STM11" s="467" t="s">
        <v>34</v>
      </c>
      <c r="STN11" s="468"/>
      <c r="STO11" s="468"/>
      <c r="STP11" s="468"/>
      <c r="STQ11" s="468"/>
      <c r="STR11" s="468"/>
      <c r="STS11" s="468"/>
      <c r="STT11" s="468"/>
      <c r="STU11" s="468"/>
      <c r="STV11" s="468"/>
      <c r="STW11" s="468"/>
      <c r="STX11" s="468"/>
      <c r="STY11" s="468"/>
      <c r="STZ11" s="468"/>
      <c r="SUA11" s="468"/>
      <c r="SUB11" s="469"/>
      <c r="SUC11" s="467" t="s">
        <v>34</v>
      </c>
      <c r="SUD11" s="468"/>
      <c r="SUE11" s="468"/>
      <c r="SUF11" s="468"/>
      <c r="SUG11" s="468"/>
      <c r="SUH11" s="468"/>
      <c r="SUI11" s="468"/>
      <c r="SUJ11" s="468"/>
      <c r="SUK11" s="468"/>
      <c r="SUL11" s="468"/>
      <c r="SUM11" s="468"/>
      <c r="SUN11" s="468"/>
      <c r="SUO11" s="468"/>
      <c r="SUP11" s="468"/>
      <c r="SUQ11" s="468"/>
      <c r="SUR11" s="469"/>
      <c r="SUS11" s="467" t="s">
        <v>34</v>
      </c>
      <c r="SUT11" s="468"/>
      <c r="SUU11" s="468"/>
      <c r="SUV11" s="468"/>
      <c r="SUW11" s="468"/>
      <c r="SUX11" s="468"/>
      <c r="SUY11" s="468"/>
      <c r="SUZ11" s="468"/>
      <c r="SVA11" s="468"/>
      <c r="SVB11" s="468"/>
      <c r="SVC11" s="468"/>
      <c r="SVD11" s="468"/>
      <c r="SVE11" s="468"/>
      <c r="SVF11" s="468"/>
      <c r="SVG11" s="468"/>
      <c r="SVH11" s="469"/>
      <c r="SVI11" s="467" t="s">
        <v>34</v>
      </c>
      <c r="SVJ11" s="468"/>
      <c r="SVK11" s="468"/>
      <c r="SVL11" s="468"/>
      <c r="SVM11" s="468"/>
      <c r="SVN11" s="468"/>
      <c r="SVO11" s="468"/>
      <c r="SVP11" s="468"/>
      <c r="SVQ11" s="468"/>
      <c r="SVR11" s="468"/>
      <c r="SVS11" s="468"/>
      <c r="SVT11" s="468"/>
      <c r="SVU11" s="468"/>
      <c r="SVV11" s="468"/>
      <c r="SVW11" s="468"/>
      <c r="SVX11" s="469"/>
      <c r="SVY11" s="467" t="s">
        <v>34</v>
      </c>
      <c r="SVZ11" s="468"/>
      <c r="SWA11" s="468"/>
      <c r="SWB11" s="468"/>
      <c r="SWC11" s="468"/>
      <c r="SWD11" s="468"/>
      <c r="SWE11" s="468"/>
      <c r="SWF11" s="468"/>
      <c r="SWG11" s="468"/>
      <c r="SWH11" s="468"/>
      <c r="SWI11" s="468"/>
      <c r="SWJ11" s="468"/>
      <c r="SWK11" s="468"/>
      <c r="SWL11" s="468"/>
      <c r="SWM11" s="468"/>
      <c r="SWN11" s="469"/>
      <c r="SWO11" s="467" t="s">
        <v>34</v>
      </c>
      <c r="SWP11" s="468"/>
      <c r="SWQ11" s="468"/>
      <c r="SWR11" s="468"/>
      <c r="SWS11" s="468"/>
      <c r="SWT11" s="468"/>
      <c r="SWU11" s="468"/>
      <c r="SWV11" s="468"/>
      <c r="SWW11" s="468"/>
      <c r="SWX11" s="468"/>
      <c r="SWY11" s="468"/>
      <c r="SWZ11" s="468"/>
      <c r="SXA11" s="468"/>
      <c r="SXB11" s="468"/>
      <c r="SXC11" s="468"/>
      <c r="SXD11" s="469"/>
      <c r="SXE11" s="467" t="s">
        <v>34</v>
      </c>
      <c r="SXF11" s="468"/>
      <c r="SXG11" s="468"/>
      <c r="SXH11" s="468"/>
      <c r="SXI11" s="468"/>
      <c r="SXJ11" s="468"/>
      <c r="SXK11" s="468"/>
      <c r="SXL11" s="468"/>
      <c r="SXM11" s="468"/>
      <c r="SXN11" s="468"/>
      <c r="SXO11" s="468"/>
      <c r="SXP11" s="468"/>
      <c r="SXQ11" s="468"/>
      <c r="SXR11" s="468"/>
      <c r="SXS11" s="468"/>
      <c r="SXT11" s="469"/>
      <c r="SXU11" s="467" t="s">
        <v>34</v>
      </c>
      <c r="SXV11" s="468"/>
      <c r="SXW11" s="468"/>
      <c r="SXX11" s="468"/>
      <c r="SXY11" s="468"/>
      <c r="SXZ11" s="468"/>
      <c r="SYA11" s="468"/>
      <c r="SYB11" s="468"/>
      <c r="SYC11" s="468"/>
      <c r="SYD11" s="468"/>
      <c r="SYE11" s="468"/>
      <c r="SYF11" s="468"/>
      <c r="SYG11" s="468"/>
      <c r="SYH11" s="468"/>
      <c r="SYI11" s="468"/>
      <c r="SYJ11" s="469"/>
      <c r="SYK11" s="467" t="s">
        <v>34</v>
      </c>
      <c r="SYL11" s="468"/>
      <c r="SYM11" s="468"/>
      <c r="SYN11" s="468"/>
      <c r="SYO11" s="468"/>
      <c r="SYP11" s="468"/>
      <c r="SYQ11" s="468"/>
      <c r="SYR11" s="468"/>
      <c r="SYS11" s="468"/>
      <c r="SYT11" s="468"/>
      <c r="SYU11" s="468"/>
      <c r="SYV11" s="468"/>
      <c r="SYW11" s="468"/>
      <c r="SYX11" s="468"/>
      <c r="SYY11" s="468"/>
      <c r="SYZ11" s="469"/>
      <c r="SZA11" s="467" t="s">
        <v>34</v>
      </c>
      <c r="SZB11" s="468"/>
      <c r="SZC11" s="468"/>
      <c r="SZD11" s="468"/>
      <c r="SZE11" s="468"/>
      <c r="SZF11" s="468"/>
      <c r="SZG11" s="468"/>
      <c r="SZH11" s="468"/>
      <c r="SZI11" s="468"/>
      <c r="SZJ11" s="468"/>
      <c r="SZK11" s="468"/>
      <c r="SZL11" s="468"/>
      <c r="SZM11" s="468"/>
      <c r="SZN11" s="468"/>
      <c r="SZO11" s="468"/>
      <c r="SZP11" s="469"/>
      <c r="SZQ11" s="467" t="s">
        <v>34</v>
      </c>
      <c r="SZR11" s="468"/>
      <c r="SZS11" s="468"/>
      <c r="SZT11" s="468"/>
      <c r="SZU11" s="468"/>
      <c r="SZV11" s="468"/>
      <c r="SZW11" s="468"/>
      <c r="SZX11" s="468"/>
      <c r="SZY11" s="468"/>
      <c r="SZZ11" s="468"/>
      <c r="TAA11" s="468"/>
      <c r="TAB11" s="468"/>
      <c r="TAC11" s="468"/>
      <c r="TAD11" s="468"/>
      <c r="TAE11" s="468"/>
      <c r="TAF11" s="469"/>
      <c r="TAG11" s="467" t="s">
        <v>34</v>
      </c>
      <c r="TAH11" s="468"/>
      <c r="TAI11" s="468"/>
      <c r="TAJ11" s="468"/>
      <c r="TAK11" s="468"/>
      <c r="TAL11" s="468"/>
      <c r="TAM11" s="468"/>
      <c r="TAN11" s="468"/>
      <c r="TAO11" s="468"/>
      <c r="TAP11" s="468"/>
      <c r="TAQ11" s="468"/>
      <c r="TAR11" s="468"/>
      <c r="TAS11" s="468"/>
      <c r="TAT11" s="468"/>
      <c r="TAU11" s="468"/>
      <c r="TAV11" s="469"/>
      <c r="TAW11" s="467" t="s">
        <v>34</v>
      </c>
      <c r="TAX11" s="468"/>
      <c r="TAY11" s="468"/>
      <c r="TAZ11" s="468"/>
      <c r="TBA11" s="468"/>
      <c r="TBB11" s="468"/>
      <c r="TBC11" s="468"/>
      <c r="TBD11" s="468"/>
      <c r="TBE11" s="468"/>
      <c r="TBF11" s="468"/>
      <c r="TBG11" s="468"/>
      <c r="TBH11" s="468"/>
      <c r="TBI11" s="468"/>
      <c r="TBJ11" s="468"/>
      <c r="TBK11" s="468"/>
      <c r="TBL11" s="469"/>
      <c r="TBM11" s="467" t="s">
        <v>34</v>
      </c>
      <c r="TBN11" s="468"/>
      <c r="TBO11" s="468"/>
      <c r="TBP11" s="468"/>
      <c r="TBQ11" s="468"/>
      <c r="TBR11" s="468"/>
      <c r="TBS11" s="468"/>
      <c r="TBT11" s="468"/>
      <c r="TBU11" s="468"/>
      <c r="TBV11" s="468"/>
      <c r="TBW11" s="468"/>
      <c r="TBX11" s="468"/>
      <c r="TBY11" s="468"/>
      <c r="TBZ11" s="468"/>
      <c r="TCA11" s="468"/>
      <c r="TCB11" s="469"/>
      <c r="TCC11" s="467" t="s">
        <v>34</v>
      </c>
      <c r="TCD11" s="468"/>
      <c r="TCE11" s="468"/>
      <c r="TCF11" s="468"/>
      <c r="TCG11" s="468"/>
      <c r="TCH11" s="468"/>
      <c r="TCI11" s="468"/>
      <c r="TCJ11" s="468"/>
      <c r="TCK11" s="468"/>
      <c r="TCL11" s="468"/>
      <c r="TCM11" s="468"/>
      <c r="TCN11" s="468"/>
      <c r="TCO11" s="468"/>
      <c r="TCP11" s="468"/>
      <c r="TCQ11" s="468"/>
      <c r="TCR11" s="469"/>
      <c r="TCS11" s="467" t="s">
        <v>34</v>
      </c>
      <c r="TCT11" s="468"/>
      <c r="TCU11" s="468"/>
      <c r="TCV11" s="468"/>
      <c r="TCW11" s="468"/>
      <c r="TCX11" s="468"/>
      <c r="TCY11" s="468"/>
      <c r="TCZ11" s="468"/>
      <c r="TDA11" s="468"/>
      <c r="TDB11" s="468"/>
      <c r="TDC11" s="468"/>
      <c r="TDD11" s="468"/>
      <c r="TDE11" s="468"/>
      <c r="TDF11" s="468"/>
      <c r="TDG11" s="468"/>
      <c r="TDH11" s="469"/>
      <c r="TDI11" s="467" t="s">
        <v>34</v>
      </c>
      <c r="TDJ11" s="468"/>
      <c r="TDK11" s="468"/>
      <c r="TDL11" s="468"/>
      <c r="TDM11" s="468"/>
      <c r="TDN11" s="468"/>
      <c r="TDO11" s="468"/>
      <c r="TDP11" s="468"/>
      <c r="TDQ11" s="468"/>
      <c r="TDR11" s="468"/>
      <c r="TDS11" s="468"/>
      <c r="TDT11" s="468"/>
      <c r="TDU11" s="468"/>
      <c r="TDV11" s="468"/>
      <c r="TDW11" s="468"/>
      <c r="TDX11" s="469"/>
      <c r="TDY11" s="467" t="s">
        <v>34</v>
      </c>
      <c r="TDZ11" s="468"/>
      <c r="TEA11" s="468"/>
      <c r="TEB11" s="468"/>
      <c r="TEC11" s="468"/>
      <c r="TED11" s="468"/>
      <c r="TEE11" s="468"/>
      <c r="TEF11" s="468"/>
      <c r="TEG11" s="468"/>
      <c r="TEH11" s="468"/>
      <c r="TEI11" s="468"/>
      <c r="TEJ11" s="468"/>
      <c r="TEK11" s="468"/>
      <c r="TEL11" s="468"/>
      <c r="TEM11" s="468"/>
      <c r="TEN11" s="469"/>
      <c r="TEO11" s="467" t="s">
        <v>34</v>
      </c>
      <c r="TEP11" s="468"/>
      <c r="TEQ11" s="468"/>
      <c r="TER11" s="468"/>
      <c r="TES11" s="468"/>
      <c r="TET11" s="468"/>
      <c r="TEU11" s="468"/>
      <c r="TEV11" s="468"/>
      <c r="TEW11" s="468"/>
      <c r="TEX11" s="468"/>
      <c r="TEY11" s="468"/>
      <c r="TEZ11" s="468"/>
      <c r="TFA11" s="468"/>
      <c r="TFB11" s="468"/>
      <c r="TFC11" s="468"/>
      <c r="TFD11" s="469"/>
      <c r="TFE11" s="467" t="s">
        <v>34</v>
      </c>
      <c r="TFF11" s="468"/>
      <c r="TFG11" s="468"/>
      <c r="TFH11" s="468"/>
      <c r="TFI11" s="468"/>
      <c r="TFJ11" s="468"/>
      <c r="TFK11" s="468"/>
      <c r="TFL11" s="468"/>
      <c r="TFM11" s="468"/>
      <c r="TFN11" s="468"/>
      <c r="TFO11" s="468"/>
      <c r="TFP11" s="468"/>
      <c r="TFQ11" s="468"/>
      <c r="TFR11" s="468"/>
      <c r="TFS11" s="468"/>
      <c r="TFT11" s="469"/>
      <c r="TFU11" s="467" t="s">
        <v>34</v>
      </c>
      <c r="TFV11" s="468"/>
      <c r="TFW11" s="468"/>
      <c r="TFX11" s="468"/>
      <c r="TFY11" s="468"/>
      <c r="TFZ11" s="468"/>
      <c r="TGA11" s="468"/>
      <c r="TGB11" s="468"/>
      <c r="TGC11" s="468"/>
      <c r="TGD11" s="468"/>
      <c r="TGE11" s="468"/>
      <c r="TGF11" s="468"/>
      <c r="TGG11" s="468"/>
      <c r="TGH11" s="468"/>
      <c r="TGI11" s="468"/>
      <c r="TGJ11" s="469"/>
      <c r="TGK11" s="467" t="s">
        <v>34</v>
      </c>
      <c r="TGL11" s="468"/>
      <c r="TGM11" s="468"/>
      <c r="TGN11" s="468"/>
      <c r="TGO11" s="468"/>
      <c r="TGP11" s="468"/>
      <c r="TGQ11" s="468"/>
      <c r="TGR11" s="468"/>
      <c r="TGS11" s="468"/>
      <c r="TGT11" s="468"/>
      <c r="TGU11" s="468"/>
      <c r="TGV11" s="468"/>
      <c r="TGW11" s="468"/>
      <c r="TGX11" s="468"/>
      <c r="TGY11" s="468"/>
      <c r="TGZ11" s="469"/>
      <c r="THA11" s="467" t="s">
        <v>34</v>
      </c>
      <c r="THB11" s="468"/>
      <c r="THC11" s="468"/>
      <c r="THD11" s="468"/>
      <c r="THE11" s="468"/>
      <c r="THF11" s="468"/>
      <c r="THG11" s="468"/>
      <c r="THH11" s="468"/>
      <c r="THI11" s="468"/>
      <c r="THJ11" s="468"/>
      <c r="THK11" s="468"/>
      <c r="THL11" s="468"/>
      <c r="THM11" s="468"/>
      <c r="THN11" s="468"/>
      <c r="THO11" s="468"/>
      <c r="THP11" s="469"/>
      <c r="THQ11" s="467" t="s">
        <v>34</v>
      </c>
      <c r="THR11" s="468"/>
      <c r="THS11" s="468"/>
      <c r="THT11" s="468"/>
      <c r="THU11" s="468"/>
      <c r="THV11" s="468"/>
      <c r="THW11" s="468"/>
      <c r="THX11" s="468"/>
      <c r="THY11" s="468"/>
      <c r="THZ11" s="468"/>
      <c r="TIA11" s="468"/>
      <c r="TIB11" s="468"/>
      <c r="TIC11" s="468"/>
      <c r="TID11" s="468"/>
      <c r="TIE11" s="468"/>
      <c r="TIF11" s="469"/>
      <c r="TIG11" s="467" t="s">
        <v>34</v>
      </c>
      <c r="TIH11" s="468"/>
      <c r="TII11" s="468"/>
      <c r="TIJ11" s="468"/>
      <c r="TIK11" s="468"/>
      <c r="TIL11" s="468"/>
      <c r="TIM11" s="468"/>
      <c r="TIN11" s="468"/>
      <c r="TIO11" s="468"/>
      <c r="TIP11" s="468"/>
      <c r="TIQ11" s="468"/>
      <c r="TIR11" s="468"/>
      <c r="TIS11" s="468"/>
      <c r="TIT11" s="468"/>
      <c r="TIU11" s="468"/>
      <c r="TIV11" s="469"/>
      <c r="TIW11" s="467" t="s">
        <v>34</v>
      </c>
      <c r="TIX11" s="468"/>
      <c r="TIY11" s="468"/>
      <c r="TIZ11" s="468"/>
      <c r="TJA11" s="468"/>
      <c r="TJB11" s="468"/>
      <c r="TJC11" s="468"/>
      <c r="TJD11" s="468"/>
      <c r="TJE11" s="468"/>
      <c r="TJF11" s="468"/>
      <c r="TJG11" s="468"/>
      <c r="TJH11" s="468"/>
      <c r="TJI11" s="468"/>
      <c r="TJJ11" s="468"/>
      <c r="TJK11" s="468"/>
      <c r="TJL11" s="469"/>
      <c r="TJM11" s="467" t="s">
        <v>34</v>
      </c>
      <c r="TJN11" s="468"/>
      <c r="TJO11" s="468"/>
      <c r="TJP11" s="468"/>
      <c r="TJQ11" s="468"/>
      <c r="TJR11" s="468"/>
      <c r="TJS11" s="468"/>
      <c r="TJT11" s="468"/>
      <c r="TJU11" s="468"/>
      <c r="TJV11" s="468"/>
      <c r="TJW11" s="468"/>
      <c r="TJX11" s="468"/>
      <c r="TJY11" s="468"/>
      <c r="TJZ11" s="468"/>
      <c r="TKA11" s="468"/>
      <c r="TKB11" s="469"/>
      <c r="TKC11" s="467" t="s">
        <v>34</v>
      </c>
      <c r="TKD11" s="468"/>
      <c r="TKE11" s="468"/>
      <c r="TKF11" s="468"/>
      <c r="TKG11" s="468"/>
      <c r="TKH11" s="468"/>
      <c r="TKI11" s="468"/>
      <c r="TKJ11" s="468"/>
      <c r="TKK11" s="468"/>
      <c r="TKL11" s="468"/>
      <c r="TKM11" s="468"/>
      <c r="TKN11" s="468"/>
      <c r="TKO11" s="468"/>
      <c r="TKP11" s="468"/>
      <c r="TKQ11" s="468"/>
      <c r="TKR11" s="469"/>
      <c r="TKS11" s="467" t="s">
        <v>34</v>
      </c>
      <c r="TKT11" s="468"/>
      <c r="TKU11" s="468"/>
      <c r="TKV11" s="468"/>
      <c r="TKW11" s="468"/>
      <c r="TKX11" s="468"/>
      <c r="TKY11" s="468"/>
      <c r="TKZ11" s="468"/>
      <c r="TLA11" s="468"/>
      <c r="TLB11" s="468"/>
      <c r="TLC11" s="468"/>
      <c r="TLD11" s="468"/>
      <c r="TLE11" s="468"/>
      <c r="TLF11" s="468"/>
      <c r="TLG11" s="468"/>
      <c r="TLH11" s="469"/>
      <c r="TLI11" s="467" t="s">
        <v>34</v>
      </c>
      <c r="TLJ11" s="468"/>
      <c r="TLK11" s="468"/>
      <c r="TLL11" s="468"/>
      <c r="TLM11" s="468"/>
      <c r="TLN11" s="468"/>
      <c r="TLO11" s="468"/>
      <c r="TLP11" s="468"/>
      <c r="TLQ11" s="468"/>
      <c r="TLR11" s="468"/>
      <c r="TLS11" s="468"/>
      <c r="TLT11" s="468"/>
      <c r="TLU11" s="468"/>
      <c r="TLV11" s="468"/>
      <c r="TLW11" s="468"/>
      <c r="TLX11" s="469"/>
      <c r="TLY11" s="467" t="s">
        <v>34</v>
      </c>
      <c r="TLZ11" s="468"/>
      <c r="TMA11" s="468"/>
      <c r="TMB11" s="468"/>
      <c r="TMC11" s="468"/>
      <c r="TMD11" s="468"/>
      <c r="TME11" s="468"/>
      <c r="TMF11" s="468"/>
      <c r="TMG11" s="468"/>
      <c r="TMH11" s="468"/>
      <c r="TMI11" s="468"/>
      <c r="TMJ11" s="468"/>
      <c r="TMK11" s="468"/>
      <c r="TML11" s="468"/>
      <c r="TMM11" s="468"/>
      <c r="TMN11" s="469"/>
      <c r="TMO11" s="467" t="s">
        <v>34</v>
      </c>
      <c r="TMP11" s="468"/>
      <c r="TMQ11" s="468"/>
      <c r="TMR11" s="468"/>
      <c r="TMS11" s="468"/>
      <c r="TMT11" s="468"/>
      <c r="TMU11" s="468"/>
      <c r="TMV11" s="468"/>
      <c r="TMW11" s="468"/>
      <c r="TMX11" s="468"/>
      <c r="TMY11" s="468"/>
      <c r="TMZ11" s="468"/>
      <c r="TNA11" s="468"/>
      <c r="TNB11" s="468"/>
      <c r="TNC11" s="468"/>
      <c r="TND11" s="469"/>
      <c r="TNE11" s="467" t="s">
        <v>34</v>
      </c>
      <c r="TNF11" s="468"/>
      <c r="TNG11" s="468"/>
      <c r="TNH11" s="468"/>
      <c r="TNI11" s="468"/>
      <c r="TNJ11" s="468"/>
      <c r="TNK11" s="468"/>
      <c r="TNL11" s="468"/>
      <c r="TNM11" s="468"/>
      <c r="TNN11" s="468"/>
      <c r="TNO11" s="468"/>
      <c r="TNP11" s="468"/>
      <c r="TNQ11" s="468"/>
      <c r="TNR11" s="468"/>
      <c r="TNS11" s="468"/>
      <c r="TNT11" s="469"/>
      <c r="TNU11" s="467" t="s">
        <v>34</v>
      </c>
      <c r="TNV11" s="468"/>
      <c r="TNW11" s="468"/>
      <c r="TNX11" s="468"/>
      <c r="TNY11" s="468"/>
      <c r="TNZ11" s="468"/>
      <c r="TOA11" s="468"/>
      <c r="TOB11" s="468"/>
      <c r="TOC11" s="468"/>
      <c r="TOD11" s="468"/>
      <c r="TOE11" s="468"/>
      <c r="TOF11" s="468"/>
      <c r="TOG11" s="468"/>
      <c r="TOH11" s="468"/>
      <c r="TOI11" s="468"/>
      <c r="TOJ11" s="469"/>
      <c r="TOK11" s="467" t="s">
        <v>34</v>
      </c>
      <c r="TOL11" s="468"/>
      <c r="TOM11" s="468"/>
      <c r="TON11" s="468"/>
      <c r="TOO11" s="468"/>
      <c r="TOP11" s="468"/>
      <c r="TOQ11" s="468"/>
      <c r="TOR11" s="468"/>
      <c r="TOS11" s="468"/>
      <c r="TOT11" s="468"/>
      <c r="TOU11" s="468"/>
      <c r="TOV11" s="468"/>
      <c r="TOW11" s="468"/>
      <c r="TOX11" s="468"/>
      <c r="TOY11" s="468"/>
      <c r="TOZ11" s="469"/>
      <c r="TPA11" s="467" t="s">
        <v>34</v>
      </c>
      <c r="TPB11" s="468"/>
      <c r="TPC11" s="468"/>
      <c r="TPD11" s="468"/>
      <c r="TPE11" s="468"/>
      <c r="TPF11" s="468"/>
      <c r="TPG11" s="468"/>
      <c r="TPH11" s="468"/>
      <c r="TPI11" s="468"/>
      <c r="TPJ11" s="468"/>
      <c r="TPK11" s="468"/>
      <c r="TPL11" s="468"/>
      <c r="TPM11" s="468"/>
      <c r="TPN11" s="468"/>
      <c r="TPO11" s="468"/>
      <c r="TPP11" s="469"/>
      <c r="TPQ11" s="467" t="s">
        <v>34</v>
      </c>
      <c r="TPR11" s="468"/>
      <c r="TPS11" s="468"/>
      <c r="TPT11" s="468"/>
      <c r="TPU11" s="468"/>
      <c r="TPV11" s="468"/>
      <c r="TPW11" s="468"/>
      <c r="TPX11" s="468"/>
      <c r="TPY11" s="468"/>
      <c r="TPZ11" s="468"/>
      <c r="TQA11" s="468"/>
      <c r="TQB11" s="468"/>
      <c r="TQC11" s="468"/>
      <c r="TQD11" s="468"/>
      <c r="TQE11" s="468"/>
      <c r="TQF11" s="469"/>
      <c r="TQG11" s="467" t="s">
        <v>34</v>
      </c>
      <c r="TQH11" s="468"/>
      <c r="TQI11" s="468"/>
      <c r="TQJ11" s="468"/>
      <c r="TQK11" s="468"/>
      <c r="TQL11" s="468"/>
      <c r="TQM11" s="468"/>
      <c r="TQN11" s="468"/>
      <c r="TQO11" s="468"/>
      <c r="TQP11" s="468"/>
      <c r="TQQ11" s="468"/>
      <c r="TQR11" s="468"/>
      <c r="TQS11" s="468"/>
      <c r="TQT11" s="468"/>
      <c r="TQU11" s="468"/>
      <c r="TQV11" s="469"/>
      <c r="TQW11" s="467" t="s">
        <v>34</v>
      </c>
      <c r="TQX11" s="468"/>
      <c r="TQY11" s="468"/>
      <c r="TQZ11" s="468"/>
      <c r="TRA11" s="468"/>
      <c r="TRB11" s="468"/>
      <c r="TRC11" s="468"/>
      <c r="TRD11" s="468"/>
      <c r="TRE11" s="468"/>
      <c r="TRF11" s="468"/>
      <c r="TRG11" s="468"/>
      <c r="TRH11" s="468"/>
      <c r="TRI11" s="468"/>
      <c r="TRJ11" s="468"/>
      <c r="TRK11" s="468"/>
      <c r="TRL11" s="469"/>
      <c r="TRM11" s="467" t="s">
        <v>34</v>
      </c>
      <c r="TRN11" s="468"/>
      <c r="TRO11" s="468"/>
      <c r="TRP11" s="468"/>
      <c r="TRQ11" s="468"/>
      <c r="TRR11" s="468"/>
      <c r="TRS11" s="468"/>
      <c r="TRT11" s="468"/>
      <c r="TRU11" s="468"/>
      <c r="TRV11" s="468"/>
      <c r="TRW11" s="468"/>
      <c r="TRX11" s="468"/>
      <c r="TRY11" s="468"/>
      <c r="TRZ11" s="468"/>
      <c r="TSA11" s="468"/>
      <c r="TSB11" s="469"/>
      <c r="TSC11" s="467" t="s">
        <v>34</v>
      </c>
      <c r="TSD11" s="468"/>
      <c r="TSE11" s="468"/>
      <c r="TSF11" s="468"/>
      <c r="TSG11" s="468"/>
      <c r="TSH11" s="468"/>
      <c r="TSI11" s="468"/>
      <c r="TSJ11" s="468"/>
      <c r="TSK11" s="468"/>
      <c r="TSL11" s="468"/>
      <c r="TSM11" s="468"/>
      <c r="TSN11" s="468"/>
      <c r="TSO11" s="468"/>
      <c r="TSP11" s="468"/>
      <c r="TSQ11" s="468"/>
      <c r="TSR11" s="469"/>
      <c r="TSS11" s="467" t="s">
        <v>34</v>
      </c>
      <c r="TST11" s="468"/>
      <c r="TSU11" s="468"/>
      <c r="TSV11" s="468"/>
      <c r="TSW11" s="468"/>
      <c r="TSX11" s="468"/>
      <c r="TSY11" s="468"/>
      <c r="TSZ11" s="468"/>
      <c r="TTA11" s="468"/>
      <c r="TTB11" s="468"/>
      <c r="TTC11" s="468"/>
      <c r="TTD11" s="468"/>
      <c r="TTE11" s="468"/>
      <c r="TTF11" s="468"/>
      <c r="TTG11" s="468"/>
      <c r="TTH11" s="469"/>
      <c r="TTI11" s="467" t="s">
        <v>34</v>
      </c>
      <c r="TTJ11" s="468"/>
      <c r="TTK11" s="468"/>
      <c r="TTL11" s="468"/>
      <c r="TTM11" s="468"/>
      <c r="TTN11" s="468"/>
      <c r="TTO11" s="468"/>
      <c r="TTP11" s="468"/>
      <c r="TTQ11" s="468"/>
      <c r="TTR11" s="468"/>
      <c r="TTS11" s="468"/>
      <c r="TTT11" s="468"/>
      <c r="TTU11" s="468"/>
      <c r="TTV11" s="468"/>
      <c r="TTW11" s="468"/>
      <c r="TTX11" s="469"/>
      <c r="TTY11" s="467" t="s">
        <v>34</v>
      </c>
      <c r="TTZ11" s="468"/>
      <c r="TUA11" s="468"/>
      <c r="TUB11" s="468"/>
      <c r="TUC11" s="468"/>
      <c r="TUD11" s="468"/>
      <c r="TUE11" s="468"/>
      <c r="TUF11" s="468"/>
      <c r="TUG11" s="468"/>
      <c r="TUH11" s="468"/>
      <c r="TUI11" s="468"/>
      <c r="TUJ11" s="468"/>
      <c r="TUK11" s="468"/>
      <c r="TUL11" s="468"/>
      <c r="TUM11" s="468"/>
      <c r="TUN11" s="469"/>
      <c r="TUO11" s="467" t="s">
        <v>34</v>
      </c>
      <c r="TUP11" s="468"/>
      <c r="TUQ11" s="468"/>
      <c r="TUR11" s="468"/>
      <c r="TUS11" s="468"/>
      <c r="TUT11" s="468"/>
      <c r="TUU11" s="468"/>
      <c r="TUV11" s="468"/>
      <c r="TUW11" s="468"/>
      <c r="TUX11" s="468"/>
      <c r="TUY11" s="468"/>
      <c r="TUZ11" s="468"/>
      <c r="TVA11" s="468"/>
      <c r="TVB11" s="468"/>
      <c r="TVC11" s="468"/>
      <c r="TVD11" s="469"/>
      <c r="TVE11" s="467" t="s">
        <v>34</v>
      </c>
      <c r="TVF11" s="468"/>
      <c r="TVG11" s="468"/>
      <c r="TVH11" s="468"/>
      <c r="TVI11" s="468"/>
      <c r="TVJ11" s="468"/>
      <c r="TVK11" s="468"/>
      <c r="TVL11" s="468"/>
      <c r="TVM11" s="468"/>
      <c r="TVN11" s="468"/>
      <c r="TVO11" s="468"/>
      <c r="TVP11" s="468"/>
      <c r="TVQ11" s="468"/>
      <c r="TVR11" s="468"/>
      <c r="TVS11" s="468"/>
      <c r="TVT11" s="469"/>
      <c r="TVU11" s="467" t="s">
        <v>34</v>
      </c>
      <c r="TVV11" s="468"/>
      <c r="TVW11" s="468"/>
      <c r="TVX11" s="468"/>
      <c r="TVY11" s="468"/>
      <c r="TVZ11" s="468"/>
      <c r="TWA11" s="468"/>
      <c r="TWB11" s="468"/>
      <c r="TWC11" s="468"/>
      <c r="TWD11" s="468"/>
      <c r="TWE11" s="468"/>
      <c r="TWF11" s="468"/>
      <c r="TWG11" s="468"/>
      <c r="TWH11" s="468"/>
      <c r="TWI11" s="468"/>
      <c r="TWJ11" s="469"/>
      <c r="TWK11" s="467" t="s">
        <v>34</v>
      </c>
      <c r="TWL11" s="468"/>
      <c r="TWM11" s="468"/>
      <c r="TWN11" s="468"/>
      <c r="TWO11" s="468"/>
      <c r="TWP11" s="468"/>
      <c r="TWQ11" s="468"/>
      <c r="TWR11" s="468"/>
      <c r="TWS11" s="468"/>
      <c r="TWT11" s="468"/>
      <c r="TWU11" s="468"/>
      <c r="TWV11" s="468"/>
      <c r="TWW11" s="468"/>
      <c r="TWX11" s="468"/>
      <c r="TWY11" s="468"/>
      <c r="TWZ11" s="469"/>
      <c r="TXA11" s="467" t="s">
        <v>34</v>
      </c>
      <c r="TXB11" s="468"/>
      <c r="TXC11" s="468"/>
      <c r="TXD11" s="468"/>
      <c r="TXE11" s="468"/>
      <c r="TXF11" s="468"/>
      <c r="TXG11" s="468"/>
      <c r="TXH11" s="468"/>
      <c r="TXI11" s="468"/>
      <c r="TXJ11" s="468"/>
      <c r="TXK11" s="468"/>
      <c r="TXL11" s="468"/>
      <c r="TXM11" s="468"/>
      <c r="TXN11" s="468"/>
      <c r="TXO11" s="468"/>
      <c r="TXP11" s="469"/>
      <c r="TXQ11" s="467" t="s">
        <v>34</v>
      </c>
      <c r="TXR11" s="468"/>
      <c r="TXS11" s="468"/>
      <c r="TXT11" s="468"/>
      <c r="TXU11" s="468"/>
      <c r="TXV11" s="468"/>
      <c r="TXW11" s="468"/>
      <c r="TXX11" s="468"/>
      <c r="TXY11" s="468"/>
      <c r="TXZ11" s="468"/>
      <c r="TYA11" s="468"/>
      <c r="TYB11" s="468"/>
      <c r="TYC11" s="468"/>
      <c r="TYD11" s="468"/>
      <c r="TYE11" s="468"/>
      <c r="TYF11" s="469"/>
      <c r="TYG11" s="467" t="s">
        <v>34</v>
      </c>
      <c r="TYH11" s="468"/>
      <c r="TYI11" s="468"/>
      <c r="TYJ11" s="468"/>
      <c r="TYK11" s="468"/>
      <c r="TYL11" s="468"/>
      <c r="TYM11" s="468"/>
      <c r="TYN11" s="468"/>
      <c r="TYO11" s="468"/>
      <c r="TYP11" s="468"/>
      <c r="TYQ11" s="468"/>
      <c r="TYR11" s="468"/>
      <c r="TYS11" s="468"/>
      <c r="TYT11" s="468"/>
      <c r="TYU11" s="468"/>
      <c r="TYV11" s="469"/>
      <c r="TYW11" s="467" t="s">
        <v>34</v>
      </c>
      <c r="TYX11" s="468"/>
      <c r="TYY11" s="468"/>
      <c r="TYZ11" s="468"/>
      <c r="TZA11" s="468"/>
      <c r="TZB11" s="468"/>
      <c r="TZC11" s="468"/>
      <c r="TZD11" s="468"/>
      <c r="TZE11" s="468"/>
      <c r="TZF11" s="468"/>
      <c r="TZG11" s="468"/>
      <c r="TZH11" s="468"/>
      <c r="TZI11" s="468"/>
      <c r="TZJ11" s="468"/>
      <c r="TZK11" s="468"/>
      <c r="TZL11" s="469"/>
      <c r="TZM11" s="467" t="s">
        <v>34</v>
      </c>
      <c r="TZN11" s="468"/>
      <c r="TZO11" s="468"/>
      <c r="TZP11" s="468"/>
      <c r="TZQ11" s="468"/>
      <c r="TZR11" s="468"/>
      <c r="TZS11" s="468"/>
      <c r="TZT11" s="468"/>
      <c r="TZU11" s="468"/>
      <c r="TZV11" s="468"/>
      <c r="TZW11" s="468"/>
      <c r="TZX11" s="468"/>
      <c r="TZY11" s="468"/>
      <c r="TZZ11" s="468"/>
      <c r="UAA11" s="468"/>
      <c r="UAB11" s="469"/>
      <c r="UAC11" s="467" t="s">
        <v>34</v>
      </c>
      <c r="UAD11" s="468"/>
      <c r="UAE11" s="468"/>
      <c r="UAF11" s="468"/>
      <c r="UAG11" s="468"/>
      <c r="UAH11" s="468"/>
      <c r="UAI11" s="468"/>
      <c r="UAJ11" s="468"/>
      <c r="UAK11" s="468"/>
      <c r="UAL11" s="468"/>
      <c r="UAM11" s="468"/>
      <c r="UAN11" s="468"/>
      <c r="UAO11" s="468"/>
      <c r="UAP11" s="468"/>
      <c r="UAQ11" s="468"/>
      <c r="UAR11" s="469"/>
      <c r="UAS11" s="467" t="s">
        <v>34</v>
      </c>
      <c r="UAT11" s="468"/>
      <c r="UAU11" s="468"/>
      <c r="UAV11" s="468"/>
      <c r="UAW11" s="468"/>
      <c r="UAX11" s="468"/>
      <c r="UAY11" s="468"/>
      <c r="UAZ11" s="468"/>
      <c r="UBA11" s="468"/>
      <c r="UBB11" s="468"/>
      <c r="UBC11" s="468"/>
      <c r="UBD11" s="468"/>
      <c r="UBE11" s="468"/>
      <c r="UBF11" s="468"/>
      <c r="UBG11" s="468"/>
      <c r="UBH11" s="469"/>
      <c r="UBI11" s="467" t="s">
        <v>34</v>
      </c>
      <c r="UBJ11" s="468"/>
      <c r="UBK11" s="468"/>
      <c r="UBL11" s="468"/>
      <c r="UBM11" s="468"/>
      <c r="UBN11" s="468"/>
      <c r="UBO11" s="468"/>
      <c r="UBP11" s="468"/>
      <c r="UBQ11" s="468"/>
      <c r="UBR11" s="468"/>
      <c r="UBS11" s="468"/>
      <c r="UBT11" s="468"/>
      <c r="UBU11" s="468"/>
      <c r="UBV11" s="468"/>
      <c r="UBW11" s="468"/>
      <c r="UBX11" s="469"/>
      <c r="UBY11" s="467" t="s">
        <v>34</v>
      </c>
      <c r="UBZ11" s="468"/>
      <c r="UCA11" s="468"/>
      <c r="UCB11" s="468"/>
      <c r="UCC11" s="468"/>
      <c r="UCD11" s="468"/>
      <c r="UCE11" s="468"/>
      <c r="UCF11" s="468"/>
      <c r="UCG11" s="468"/>
      <c r="UCH11" s="468"/>
      <c r="UCI11" s="468"/>
      <c r="UCJ11" s="468"/>
      <c r="UCK11" s="468"/>
      <c r="UCL11" s="468"/>
      <c r="UCM11" s="468"/>
      <c r="UCN11" s="469"/>
      <c r="UCO11" s="467" t="s">
        <v>34</v>
      </c>
      <c r="UCP11" s="468"/>
      <c r="UCQ11" s="468"/>
      <c r="UCR11" s="468"/>
      <c r="UCS11" s="468"/>
      <c r="UCT11" s="468"/>
      <c r="UCU11" s="468"/>
      <c r="UCV11" s="468"/>
      <c r="UCW11" s="468"/>
      <c r="UCX11" s="468"/>
      <c r="UCY11" s="468"/>
      <c r="UCZ11" s="468"/>
      <c r="UDA11" s="468"/>
      <c r="UDB11" s="468"/>
      <c r="UDC11" s="468"/>
      <c r="UDD11" s="469"/>
      <c r="UDE11" s="467" t="s">
        <v>34</v>
      </c>
      <c r="UDF11" s="468"/>
      <c r="UDG11" s="468"/>
      <c r="UDH11" s="468"/>
      <c r="UDI11" s="468"/>
      <c r="UDJ11" s="468"/>
      <c r="UDK11" s="468"/>
      <c r="UDL11" s="468"/>
      <c r="UDM11" s="468"/>
      <c r="UDN11" s="468"/>
      <c r="UDO11" s="468"/>
      <c r="UDP11" s="468"/>
      <c r="UDQ11" s="468"/>
      <c r="UDR11" s="468"/>
      <c r="UDS11" s="468"/>
      <c r="UDT11" s="469"/>
      <c r="UDU11" s="467" t="s">
        <v>34</v>
      </c>
      <c r="UDV11" s="468"/>
      <c r="UDW11" s="468"/>
      <c r="UDX11" s="468"/>
      <c r="UDY11" s="468"/>
      <c r="UDZ11" s="468"/>
      <c r="UEA11" s="468"/>
      <c r="UEB11" s="468"/>
      <c r="UEC11" s="468"/>
      <c r="UED11" s="468"/>
      <c r="UEE11" s="468"/>
      <c r="UEF11" s="468"/>
      <c r="UEG11" s="468"/>
      <c r="UEH11" s="468"/>
      <c r="UEI11" s="468"/>
      <c r="UEJ11" s="469"/>
      <c r="UEK11" s="467" t="s">
        <v>34</v>
      </c>
      <c r="UEL11" s="468"/>
      <c r="UEM11" s="468"/>
      <c r="UEN11" s="468"/>
      <c r="UEO11" s="468"/>
      <c r="UEP11" s="468"/>
      <c r="UEQ11" s="468"/>
      <c r="UER11" s="468"/>
      <c r="UES11" s="468"/>
      <c r="UET11" s="468"/>
      <c r="UEU11" s="468"/>
      <c r="UEV11" s="468"/>
      <c r="UEW11" s="468"/>
      <c r="UEX11" s="468"/>
      <c r="UEY11" s="468"/>
      <c r="UEZ11" s="469"/>
      <c r="UFA11" s="467" t="s">
        <v>34</v>
      </c>
      <c r="UFB11" s="468"/>
      <c r="UFC11" s="468"/>
      <c r="UFD11" s="468"/>
      <c r="UFE11" s="468"/>
      <c r="UFF11" s="468"/>
      <c r="UFG11" s="468"/>
      <c r="UFH11" s="468"/>
      <c r="UFI11" s="468"/>
      <c r="UFJ11" s="468"/>
      <c r="UFK11" s="468"/>
      <c r="UFL11" s="468"/>
      <c r="UFM11" s="468"/>
      <c r="UFN11" s="468"/>
      <c r="UFO11" s="468"/>
      <c r="UFP11" s="469"/>
      <c r="UFQ11" s="467" t="s">
        <v>34</v>
      </c>
      <c r="UFR11" s="468"/>
      <c r="UFS11" s="468"/>
      <c r="UFT11" s="468"/>
      <c r="UFU11" s="468"/>
      <c r="UFV11" s="468"/>
      <c r="UFW11" s="468"/>
      <c r="UFX11" s="468"/>
      <c r="UFY11" s="468"/>
      <c r="UFZ11" s="468"/>
      <c r="UGA11" s="468"/>
      <c r="UGB11" s="468"/>
      <c r="UGC11" s="468"/>
      <c r="UGD11" s="468"/>
      <c r="UGE11" s="468"/>
      <c r="UGF11" s="469"/>
      <c r="UGG11" s="467" t="s">
        <v>34</v>
      </c>
      <c r="UGH11" s="468"/>
      <c r="UGI11" s="468"/>
      <c r="UGJ11" s="468"/>
      <c r="UGK11" s="468"/>
      <c r="UGL11" s="468"/>
      <c r="UGM11" s="468"/>
      <c r="UGN11" s="468"/>
      <c r="UGO11" s="468"/>
      <c r="UGP11" s="468"/>
      <c r="UGQ11" s="468"/>
      <c r="UGR11" s="468"/>
      <c r="UGS11" s="468"/>
      <c r="UGT11" s="468"/>
      <c r="UGU11" s="468"/>
      <c r="UGV11" s="469"/>
      <c r="UGW11" s="467" t="s">
        <v>34</v>
      </c>
      <c r="UGX11" s="468"/>
      <c r="UGY11" s="468"/>
      <c r="UGZ11" s="468"/>
      <c r="UHA11" s="468"/>
      <c r="UHB11" s="468"/>
      <c r="UHC11" s="468"/>
      <c r="UHD11" s="468"/>
      <c r="UHE11" s="468"/>
      <c r="UHF11" s="468"/>
      <c r="UHG11" s="468"/>
      <c r="UHH11" s="468"/>
      <c r="UHI11" s="468"/>
      <c r="UHJ11" s="468"/>
      <c r="UHK11" s="468"/>
      <c r="UHL11" s="469"/>
      <c r="UHM11" s="467" t="s">
        <v>34</v>
      </c>
      <c r="UHN11" s="468"/>
      <c r="UHO11" s="468"/>
      <c r="UHP11" s="468"/>
      <c r="UHQ11" s="468"/>
      <c r="UHR11" s="468"/>
      <c r="UHS11" s="468"/>
      <c r="UHT11" s="468"/>
      <c r="UHU11" s="468"/>
      <c r="UHV11" s="468"/>
      <c r="UHW11" s="468"/>
      <c r="UHX11" s="468"/>
      <c r="UHY11" s="468"/>
      <c r="UHZ11" s="468"/>
      <c r="UIA11" s="468"/>
      <c r="UIB11" s="469"/>
      <c r="UIC11" s="467" t="s">
        <v>34</v>
      </c>
      <c r="UID11" s="468"/>
      <c r="UIE11" s="468"/>
      <c r="UIF11" s="468"/>
      <c r="UIG11" s="468"/>
      <c r="UIH11" s="468"/>
      <c r="UII11" s="468"/>
      <c r="UIJ11" s="468"/>
      <c r="UIK11" s="468"/>
      <c r="UIL11" s="468"/>
      <c r="UIM11" s="468"/>
      <c r="UIN11" s="468"/>
      <c r="UIO11" s="468"/>
      <c r="UIP11" s="468"/>
      <c r="UIQ11" s="468"/>
      <c r="UIR11" s="469"/>
      <c r="UIS11" s="467" t="s">
        <v>34</v>
      </c>
      <c r="UIT11" s="468"/>
      <c r="UIU11" s="468"/>
      <c r="UIV11" s="468"/>
      <c r="UIW11" s="468"/>
      <c r="UIX11" s="468"/>
      <c r="UIY11" s="468"/>
      <c r="UIZ11" s="468"/>
      <c r="UJA11" s="468"/>
      <c r="UJB11" s="468"/>
      <c r="UJC11" s="468"/>
      <c r="UJD11" s="468"/>
      <c r="UJE11" s="468"/>
      <c r="UJF11" s="468"/>
      <c r="UJG11" s="468"/>
      <c r="UJH11" s="469"/>
      <c r="UJI11" s="467" t="s">
        <v>34</v>
      </c>
      <c r="UJJ11" s="468"/>
      <c r="UJK11" s="468"/>
      <c r="UJL11" s="468"/>
      <c r="UJM11" s="468"/>
      <c r="UJN11" s="468"/>
      <c r="UJO11" s="468"/>
      <c r="UJP11" s="468"/>
      <c r="UJQ11" s="468"/>
      <c r="UJR11" s="468"/>
      <c r="UJS11" s="468"/>
      <c r="UJT11" s="468"/>
      <c r="UJU11" s="468"/>
      <c r="UJV11" s="468"/>
      <c r="UJW11" s="468"/>
      <c r="UJX11" s="469"/>
      <c r="UJY11" s="467" t="s">
        <v>34</v>
      </c>
      <c r="UJZ11" s="468"/>
      <c r="UKA11" s="468"/>
      <c r="UKB11" s="468"/>
      <c r="UKC11" s="468"/>
      <c r="UKD11" s="468"/>
      <c r="UKE11" s="468"/>
      <c r="UKF11" s="468"/>
      <c r="UKG11" s="468"/>
      <c r="UKH11" s="468"/>
      <c r="UKI11" s="468"/>
      <c r="UKJ11" s="468"/>
      <c r="UKK11" s="468"/>
      <c r="UKL11" s="468"/>
      <c r="UKM11" s="468"/>
      <c r="UKN11" s="469"/>
      <c r="UKO11" s="467" t="s">
        <v>34</v>
      </c>
      <c r="UKP11" s="468"/>
      <c r="UKQ11" s="468"/>
      <c r="UKR11" s="468"/>
      <c r="UKS11" s="468"/>
      <c r="UKT11" s="468"/>
      <c r="UKU11" s="468"/>
      <c r="UKV11" s="468"/>
      <c r="UKW11" s="468"/>
      <c r="UKX11" s="468"/>
      <c r="UKY11" s="468"/>
      <c r="UKZ11" s="468"/>
      <c r="ULA11" s="468"/>
      <c r="ULB11" s="468"/>
      <c r="ULC11" s="468"/>
      <c r="ULD11" s="469"/>
      <c r="ULE11" s="467" t="s">
        <v>34</v>
      </c>
      <c r="ULF11" s="468"/>
      <c r="ULG11" s="468"/>
      <c r="ULH11" s="468"/>
      <c r="ULI11" s="468"/>
      <c r="ULJ11" s="468"/>
      <c r="ULK11" s="468"/>
      <c r="ULL11" s="468"/>
      <c r="ULM11" s="468"/>
      <c r="ULN11" s="468"/>
      <c r="ULO11" s="468"/>
      <c r="ULP11" s="468"/>
      <c r="ULQ11" s="468"/>
      <c r="ULR11" s="468"/>
      <c r="ULS11" s="468"/>
      <c r="ULT11" s="469"/>
      <c r="ULU11" s="467" t="s">
        <v>34</v>
      </c>
      <c r="ULV11" s="468"/>
      <c r="ULW11" s="468"/>
      <c r="ULX11" s="468"/>
      <c r="ULY11" s="468"/>
      <c r="ULZ11" s="468"/>
      <c r="UMA11" s="468"/>
      <c r="UMB11" s="468"/>
      <c r="UMC11" s="468"/>
      <c r="UMD11" s="468"/>
      <c r="UME11" s="468"/>
      <c r="UMF11" s="468"/>
      <c r="UMG11" s="468"/>
      <c r="UMH11" s="468"/>
      <c r="UMI11" s="468"/>
      <c r="UMJ11" s="469"/>
      <c r="UMK11" s="467" t="s">
        <v>34</v>
      </c>
      <c r="UML11" s="468"/>
      <c r="UMM11" s="468"/>
      <c r="UMN11" s="468"/>
      <c r="UMO11" s="468"/>
      <c r="UMP11" s="468"/>
      <c r="UMQ11" s="468"/>
      <c r="UMR11" s="468"/>
      <c r="UMS11" s="468"/>
      <c r="UMT11" s="468"/>
      <c r="UMU11" s="468"/>
      <c r="UMV11" s="468"/>
      <c r="UMW11" s="468"/>
      <c r="UMX11" s="468"/>
      <c r="UMY11" s="468"/>
      <c r="UMZ11" s="469"/>
      <c r="UNA11" s="467" t="s">
        <v>34</v>
      </c>
      <c r="UNB11" s="468"/>
      <c r="UNC11" s="468"/>
      <c r="UND11" s="468"/>
      <c r="UNE11" s="468"/>
      <c r="UNF11" s="468"/>
      <c r="UNG11" s="468"/>
      <c r="UNH11" s="468"/>
      <c r="UNI11" s="468"/>
      <c r="UNJ11" s="468"/>
      <c r="UNK11" s="468"/>
      <c r="UNL11" s="468"/>
      <c r="UNM11" s="468"/>
      <c r="UNN11" s="468"/>
      <c r="UNO11" s="468"/>
      <c r="UNP11" s="469"/>
      <c r="UNQ11" s="467" t="s">
        <v>34</v>
      </c>
      <c r="UNR11" s="468"/>
      <c r="UNS11" s="468"/>
      <c r="UNT11" s="468"/>
      <c r="UNU11" s="468"/>
      <c r="UNV11" s="468"/>
      <c r="UNW11" s="468"/>
      <c r="UNX11" s="468"/>
      <c r="UNY11" s="468"/>
      <c r="UNZ11" s="468"/>
      <c r="UOA11" s="468"/>
      <c r="UOB11" s="468"/>
      <c r="UOC11" s="468"/>
      <c r="UOD11" s="468"/>
      <c r="UOE11" s="468"/>
      <c r="UOF11" s="469"/>
      <c r="UOG11" s="467" t="s">
        <v>34</v>
      </c>
      <c r="UOH11" s="468"/>
      <c r="UOI11" s="468"/>
      <c r="UOJ11" s="468"/>
      <c r="UOK11" s="468"/>
      <c r="UOL11" s="468"/>
      <c r="UOM11" s="468"/>
      <c r="UON11" s="468"/>
      <c r="UOO11" s="468"/>
      <c r="UOP11" s="468"/>
      <c r="UOQ11" s="468"/>
      <c r="UOR11" s="468"/>
      <c r="UOS11" s="468"/>
      <c r="UOT11" s="468"/>
      <c r="UOU11" s="468"/>
      <c r="UOV11" s="469"/>
      <c r="UOW11" s="467" t="s">
        <v>34</v>
      </c>
      <c r="UOX11" s="468"/>
      <c r="UOY11" s="468"/>
      <c r="UOZ11" s="468"/>
      <c r="UPA11" s="468"/>
      <c r="UPB11" s="468"/>
      <c r="UPC11" s="468"/>
      <c r="UPD11" s="468"/>
      <c r="UPE11" s="468"/>
      <c r="UPF11" s="468"/>
      <c r="UPG11" s="468"/>
      <c r="UPH11" s="468"/>
      <c r="UPI11" s="468"/>
      <c r="UPJ11" s="468"/>
      <c r="UPK11" s="468"/>
      <c r="UPL11" s="469"/>
      <c r="UPM11" s="467" t="s">
        <v>34</v>
      </c>
      <c r="UPN11" s="468"/>
      <c r="UPO11" s="468"/>
      <c r="UPP11" s="468"/>
      <c r="UPQ11" s="468"/>
      <c r="UPR11" s="468"/>
      <c r="UPS11" s="468"/>
      <c r="UPT11" s="468"/>
      <c r="UPU11" s="468"/>
      <c r="UPV11" s="468"/>
      <c r="UPW11" s="468"/>
      <c r="UPX11" s="468"/>
      <c r="UPY11" s="468"/>
      <c r="UPZ11" s="468"/>
      <c r="UQA11" s="468"/>
      <c r="UQB11" s="469"/>
      <c r="UQC11" s="467" t="s">
        <v>34</v>
      </c>
      <c r="UQD11" s="468"/>
      <c r="UQE11" s="468"/>
      <c r="UQF11" s="468"/>
      <c r="UQG11" s="468"/>
      <c r="UQH11" s="468"/>
      <c r="UQI11" s="468"/>
      <c r="UQJ11" s="468"/>
      <c r="UQK11" s="468"/>
      <c r="UQL11" s="468"/>
      <c r="UQM11" s="468"/>
      <c r="UQN11" s="468"/>
      <c r="UQO11" s="468"/>
      <c r="UQP11" s="468"/>
      <c r="UQQ11" s="468"/>
      <c r="UQR11" s="469"/>
      <c r="UQS11" s="467" t="s">
        <v>34</v>
      </c>
      <c r="UQT11" s="468"/>
      <c r="UQU11" s="468"/>
      <c r="UQV11" s="468"/>
      <c r="UQW11" s="468"/>
      <c r="UQX11" s="468"/>
      <c r="UQY11" s="468"/>
      <c r="UQZ11" s="468"/>
      <c r="URA11" s="468"/>
      <c r="URB11" s="468"/>
      <c r="URC11" s="468"/>
      <c r="URD11" s="468"/>
      <c r="URE11" s="468"/>
      <c r="URF11" s="468"/>
      <c r="URG11" s="468"/>
      <c r="URH11" s="469"/>
      <c r="URI11" s="467" t="s">
        <v>34</v>
      </c>
      <c r="URJ11" s="468"/>
      <c r="URK11" s="468"/>
      <c r="URL11" s="468"/>
      <c r="URM11" s="468"/>
      <c r="URN11" s="468"/>
      <c r="URO11" s="468"/>
      <c r="URP11" s="468"/>
      <c r="URQ11" s="468"/>
      <c r="URR11" s="468"/>
      <c r="URS11" s="468"/>
      <c r="URT11" s="468"/>
      <c r="URU11" s="468"/>
      <c r="URV11" s="468"/>
      <c r="URW11" s="468"/>
      <c r="URX11" s="469"/>
      <c r="URY11" s="467" t="s">
        <v>34</v>
      </c>
      <c r="URZ11" s="468"/>
      <c r="USA11" s="468"/>
      <c r="USB11" s="468"/>
      <c r="USC11" s="468"/>
      <c r="USD11" s="468"/>
      <c r="USE11" s="468"/>
      <c r="USF11" s="468"/>
      <c r="USG11" s="468"/>
      <c r="USH11" s="468"/>
      <c r="USI11" s="468"/>
      <c r="USJ11" s="468"/>
      <c r="USK11" s="468"/>
      <c r="USL11" s="468"/>
      <c r="USM11" s="468"/>
      <c r="USN11" s="469"/>
      <c r="USO11" s="467" t="s">
        <v>34</v>
      </c>
      <c r="USP11" s="468"/>
      <c r="USQ11" s="468"/>
      <c r="USR11" s="468"/>
      <c r="USS11" s="468"/>
      <c r="UST11" s="468"/>
      <c r="USU11" s="468"/>
      <c r="USV11" s="468"/>
      <c r="USW11" s="468"/>
      <c r="USX11" s="468"/>
      <c r="USY11" s="468"/>
      <c r="USZ11" s="468"/>
      <c r="UTA11" s="468"/>
      <c r="UTB11" s="468"/>
      <c r="UTC11" s="468"/>
      <c r="UTD11" s="469"/>
      <c r="UTE11" s="467" t="s">
        <v>34</v>
      </c>
      <c r="UTF11" s="468"/>
      <c r="UTG11" s="468"/>
      <c r="UTH11" s="468"/>
      <c r="UTI11" s="468"/>
      <c r="UTJ11" s="468"/>
      <c r="UTK11" s="468"/>
      <c r="UTL11" s="468"/>
      <c r="UTM11" s="468"/>
      <c r="UTN11" s="468"/>
      <c r="UTO11" s="468"/>
      <c r="UTP11" s="468"/>
      <c r="UTQ11" s="468"/>
      <c r="UTR11" s="468"/>
      <c r="UTS11" s="468"/>
      <c r="UTT11" s="469"/>
      <c r="UTU11" s="467" t="s">
        <v>34</v>
      </c>
      <c r="UTV11" s="468"/>
      <c r="UTW11" s="468"/>
      <c r="UTX11" s="468"/>
      <c r="UTY11" s="468"/>
      <c r="UTZ11" s="468"/>
      <c r="UUA11" s="468"/>
      <c r="UUB11" s="468"/>
      <c r="UUC11" s="468"/>
      <c r="UUD11" s="468"/>
      <c r="UUE11" s="468"/>
      <c r="UUF11" s="468"/>
      <c r="UUG11" s="468"/>
      <c r="UUH11" s="468"/>
      <c r="UUI11" s="468"/>
      <c r="UUJ11" s="469"/>
      <c r="UUK11" s="467" t="s">
        <v>34</v>
      </c>
      <c r="UUL11" s="468"/>
      <c r="UUM11" s="468"/>
      <c r="UUN11" s="468"/>
      <c r="UUO11" s="468"/>
      <c r="UUP11" s="468"/>
      <c r="UUQ11" s="468"/>
      <c r="UUR11" s="468"/>
      <c r="UUS11" s="468"/>
      <c r="UUT11" s="468"/>
      <c r="UUU11" s="468"/>
      <c r="UUV11" s="468"/>
      <c r="UUW11" s="468"/>
      <c r="UUX11" s="468"/>
      <c r="UUY11" s="468"/>
      <c r="UUZ11" s="469"/>
      <c r="UVA11" s="467" t="s">
        <v>34</v>
      </c>
      <c r="UVB11" s="468"/>
      <c r="UVC11" s="468"/>
      <c r="UVD11" s="468"/>
      <c r="UVE11" s="468"/>
      <c r="UVF11" s="468"/>
      <c r="UVG11" s="468"/>
      <c r="UVH11" s="468"/>
      <c r="UVI11" s="468"/>
      <c r="UVJ11" s="468"/>
      <c r="UVK11" s="468"/>
      <c r="UVL11" s="468"/>
      <c r="UVM11" s="468"/>
      <c r="UVN11" s="468"/>
      <c r="UVO11" s="468"/>
      <c r="UVP11" s="469"/>
      <c r="UVQ11" s="467" t="s">
        <v>34</v>
      </c>
      <c r="UVR11" s="468"/>
      <c r="UVS11" s="468"/>
      <c r="UVT11" s="468"/>
      <c r="UVU11" s="468"/>
      <c r="UVV11" s="468"/>
      <c r="UVW11" s="468"/>
      <c r="UVX11" s="468"/>
      <c r="UVY11" s="468"/>
      <c r="UVZ11" s="468"/>
      <c r="UWA11" s="468"/>
      <c r="UWB11" s="468"/>
      <c r="UWC11" s="468"/>
      <c r="UWD11" s="468"/>
      <c r="UWE11" s="468"/>
      <c r="UWF11" s="469"/>
      <c r="UWG11" s="467" t="s">
        <v>34</v>
      </c>
      <c r="UWH11" s="468"/>
      <c r="UWI11" s="468"/>
      <c r="UWJ11" s="468"/>
      <c r="UWK11" s="468"/>
      <c r="UWL11" s="468"/>
      <c r="UWM11" s="468"/>
      <c r="UWN11" s="468"/>
      <c r="UWO11" s="468"/>
      <c r="UWP11" s="468"/>
      <c r="UWQ11" s="468"/>
      <c r="UWR11" s="468"/>
      <c r="UWS11" s="468"/>
      <c r="UWT11" s="468"/>
      <c r="UWU11" s="468"/>
      <c r="UWV11" s="469"/>
      <c r="UWW11" s="467" t="s">
        <v>34</v>
      </c>
      <c r="UWX11" s="468"/>
      <c r="UWY11" s="468"/>
      <c r="UWZ11" s="468"/>
      <c r="UXA11" s="468"/>
      <c r="UXB11" s="468"/>
      <c r="UXC11" s="468"/>
      <c r="UXD11" s="468"/>
      <c r="UXE11" s="468"/>
      <c r="UXF11" s="468"/>
      <c r="UXG11" s="468"/>
      <c r="UXH11" s="468"/>
      <c r="UXI11" s="468"/>
      <c r="UXJ11" s="468"/>
      <c r="UXK11" s="468"/>
      <c r="UXL11" s="469"/>
      <c r="UXM11" s="467" t="s">
        <v>34</v>
      </c>
      <c r="UXN11" s="468"/>
      <c r="UXO11" s="468"/>
      <c r="UXP11" s="468"/>
      <c r="UXQ11" s="468"/>
      <c r="UXR11" s="468"/>
      <c r="UXS11" s="468"/>
      <c r="UXT11" s="468"/>
      <c r="UXU11" s="468"/>
      <c r="UXV11" s="468"/>
      <c r="UXW11" s="468"/>
      <c r="UXX11" s="468"/>
      <c r="UXY11" s="468"/>
      <c r="UXZ11" s="468"/>
      <c r="UYA11" s="468"/>
      <c r="UYB11" s="469"/>
      <c r="UYC11" s="467" t="s">
        <v>34</v>
      </c>
      <c r="UYD11" s="468"/>
      <c r="UYE11" s="468"/>
      <c r="UYF11" s="468"/>
      <c r="UYG11" s="468"/>
      <c r="UYH11" s="468"/>
      <c r="UYI11" s="468"/>
      <c r="UYJ11" s="468"/>
      <c r="UYK11" s="468"/>
      <c r="UYL11" s="468"/>
      <c r="UYM11" s="468"/>
      <c r="UYN11" s="468"/>
      <c r="UYO11" s="468"/>
      <c r="UYP11" s="468"/>
      <c r="UYQ11" s="468"/>
      <c r="UYR11" s="469"/>
      <c r="UYS11" s="467" t="s">
        <v>34</v>
      </c>
      <c r="UYT11" s="468"/>
      <c r="UYU11" s="468"/>
      <c r="UYV11" s="468"/>
      <c r="UYW11" s="468"/>
      <c r="UYX11" s="468"/>
      <c r="UYY11" s="468"/>
      <c r="UYZ11" s="468"/>
      <c r="UZA11" s="468"/>
      <c r="UZB11" s="468"/>
      <c r="UZC11" s="468"/>
      <c r="UZD11" s="468"/>
      <c r="UZE11" s="468"/>
      <c r="UZF11" s="468"/>
      <c r="UZG11" s="468"/>
      <c r="UZH11" s="469"/>
      <c r="UZI11" s="467" t="s">
        <v>34</v>
      </c>
      <c r="UZJ11" s="468"/>
      <c r="UZK11" s="468"/>
      <c r="UZL11" s="468"/>
      <c r="UZM11" s="468"/>
      <c r="UZN11" s="468"/>
      <c r="UZO11" s="468"/>
      <c r="UZP11" s="468"/>
      <c r="UZQ11" s="468"/>
      <c r="UZR11" s="468"/>
      <c r="UZS11" s="468"/>
      <c r="UZT11" s="468"/>
      <c r="UZU11" s="468"/>
      <c r="UZV11" s="468"/>
      <c r="UZW11" s="468"/>
      <c r="UZX11" s="469"/>
      <c r="UZY11" s="467" t="s">
        <v>34</v>
      </c>
      <c r="UZZ11" s="468"/>
      <c r="VAA11" s="468"/>
      <c r="VAB11" s="468"/>
      <c r="VAC11" s="468"/>
      <c r="VAD11" s="468"/>
      <c r="VAE11" s="468"/>
      <c r="VAF11" s="468"/>
      <c r="VAG11" s="468"/>
      <c r="VAH11" s="468"/>
      <c r="VAI11" s="468"/>
      <c r="VAJ11" s="468"/>
      <c r="VAK11" s="468"/>
      <c r="VAL11" s="468"/>
      <c r="VAM11" s="468"/>
      <c r="VAN11" s="469"/>
      <c r="VAO11" s="467" t="s">
        <v>34</v>
      </c>
      <c r="VAP11" s="468"/>
      <c r="VAQ11" s="468"/>
      <c r="VAR11" s="468"/>
      <c r="VAS11" s="468"/>
      <c r="VAT11" s="468"/>
      <c r="VAU11" s="468"/>
      <c r="VAV11" s="468"/>
      <c r="VAW11" s="468"/>
      <c r="VAX11" s="468"/>
      <c r="VAY11" s="468"/>
      <c r="VAZ11" s="468"/>
      <c r="VBA11" s="468"/>
      <c r="VBB11" s="468"/>
      <c r="VBC11" s="468"/>
      <c r="VBD11" s="469"/>
      <c r="VBE11" s="467" t="s">
        <v>34</v>
      </c>
      <c r="VBF11" s="468"/>
      <c r="VBG11" s="468"/>
      <c r="VBH11" s="468"/>
      <c r="VBI11" s="468"/>
      <c r="VBJ11" s="468"/>
      <c r="VBK11" s="468"/>
      <c r="VBL11" s="468"/>
      <c r="VBM11" s="468"/>
      <c r="VBN11" s="468"/>
      <c r="VBO11" s="468"/>
      <c r="VBP11" s="468"/>
      <c r="VBQ11" s="468"/>
      <c r="VBR11" s="468"/>
      <c r="VBS11" s="468"/>
      <c r="VBT11" s="469"/>
      <c r="VBU11" s="467" t="s">
        <v>34</v>
      </c>
      <c r="VBV11" s="468"/>
      <c r="VBW11" s="468"/>
      <c r="VBX11" s="468"/>
      <c r="VBY11" s="468"/>
      <c r="VBZ11" s="468"/>
      <c r="VCA11" s="468"/>
      <c r="VCB11" s="468"/>
      <c r="VCC11" s="468"/>
      <c r="VCD11" s="468"/>
      <c r="VCE11" s="468"/>
      <c r="VCF11" s="468"/>
      <c r="VCG11" s="468"/>
      <c r="VCH11" s="468"/>
      <c r="VCI11" s="468"/>
      <c r="VCJ11" s="469"/>
      <c r="VCK11" s="467" t="s">
        <v>34</v>
      </c>
      <c r="VCL11" s="468"/>
      <c r="VCM11" s="468"/>
      <c r="VCN11" s="468"/>
      <c r="VCO11" s="468"/>
      <c r="VCP11" s="468"/>
      <c r="VCQ11" s="468"/>
      <c r="VCR11" s="468"/>
      <c r="VCS11" s="468"/>
      <c r="VCT11" s="468"/>
      <c r="VCU11" s="468"/>
      <c r="VCV11" s="468"/>
      <c r="VCW11" s="468"/>
      <c r="VCX11" s="468"/>
      <c r="VCY11" s="468"/>
      <c r="VCZ11" s="469"/>
      <c r="VDA11" s="467" t="s">
        <v>34</v>
      </c>
      <c r="VDB11" s="468"/>
      <c r="VDC11" s="468"/>
      <c r="VDD11" s="468"/>
      <c r="VDE11" s="468"/>
      <c r="VDF11" s="468"/>
      <c r="VDG11" s="468"/>
      <c r="VDH11" s="468"/>
      <c r="VDI11" s="468"/>
      <c r="VDJ11" s="468"/>
      <c r="VDK11" s="468"/>
      <c r="VDL11" s="468"/>
      <c r="VDM11" s="468"/>
      <c r="VDN11" s="468"/>
      <c r="VDO11" s="468"/>
      <c r="VDP11" s="469"/>
      <c r="VDQ11" s="467" t="s">
        <v>34</v>
      </c>
      <c r="VDR11" s="468"/>
      <c r="VDS11" s="468"/>
      <c r="VDT11" s="468"/>
      <c r="VDU11" s="468"/>
      <c r="VDV11" s="468"/>
      <c r="VDW11" s="468"/>
      <c r="VDX11" s="468"/>
      <c r="VDY11" s="468"/>
      <c r="VDZ11" s="468"/>
      <c r="VEA11" s="468"/>
      <c r="VEB11" s="468"/>
      <c r="VEC11" s="468"/>
      <c r="VED11" s="468"/>
      <c r="VEE11" s="468"/>
      <c r="VEF11" s="469"/>
      <c r="VEG11" s="467" t="s">
        <v>34</v>
      </c>
      <c r="VEH11" s="468"/>
      <c r="VEI11" s="468"/>
      <c r="VEJ11" s="468"/>
      <c r="VEK11" s="468"/>
      <c r="VEL11" s="468"/>
      <c r="VEM11" s="468"/>
      <c r="VEN11" s="468"/>
      <c r="VEO11" s="468"/>
      <c r="VEP11" s="468"/>
      <c r="VEQ11" s="468"/>
      <c r="VER11" s="468"/>
      <c r="VES11" s="468"/>
      <c r="VET11" s="468"/>
      <c r="VEU11" s="468"/>
      <c r="VEV11" s="469"/>
      <c r="VEW11" s="467" t="s">
        <v>34</v>
      </c>
      <c r="VEX11" s="468"/>
      <c r="VEY11" s="468"/>
      <c r="VEZ11" s="468"/>
      <c r="VFA11" s="468"/>
      <c r="VFB11" s="468"/>
      <c r="VFC11" s="468"/>
      <c r="VFD11" s="468"/>
      <c r="VFE11" s="468"/>
      <c r="VFF11" s="468"/>
      <c r="VFG11" s="468"/>
      <c r="VFH11" s="468"/>
      <c r="VFI11" s="468"/>
      <c r="VFJ11" s="468"/>
      <c r="VFK11" s="468"/>
      <c r="VFL11" s="469"/>
      <c r="VFM11" s="467" t="s">
        <v>34</v>
      </c>
      <c r="VFN11" s="468"/>
      <c r="VFO11" s="468"/>
      <c r="VFP11" s="468"/>
      <c r="VFQ11" s="468"/>
      <c r="VFR11" s="468"/>
      <c r="VFS11" s="468"/>
      <c r="VFT11" s="468"/>
      <c r="VFU11" s="468"/>
      <c r="VFV11" s="468"/>
      <c r="VFW11" s="468"/>
      <c r="VFX11" s="468"/>
      <c r="VFY11" s="468"/>
      <c r="VFZ11" s="468"/>
      <c r="VGA11" s="468"/>
      <c r="VGB11" s="469"/>
      <c r="VGC11" s="467" t="s">
        <v>34</v>
      </c>
      <c r="VGD11" s="468"/>
      <c r="VGE11" s="468"/>
      <c r="VGF11" s="468"/>
      <c r="VGG11" s="468"/>
      <c r="VGH11" s="468"/>
      <c r="VGI11" s="468"/>
      <c r="VGJ11" s="468"/>
      <c r="VGK11" s="468"/>
      <c r="VGL11" s="468"/>
      <c r="VGM11" s="468"/>
      <c r="VGN11" s="468"/>
      <c r="VGO11" s="468"/>
      <c r="VGP11" s="468"/>
      <c r="VGQ11" s="468"/>
      <c r="VGR11" s="469"/>
      <c r="VGS11" s="467" t="s">
        <v>34</v>
      </c>
      <c r="VGT11" s="468"/>
      <c r="VGU11" s="468"/>
      <c r="VGV11" s="468"/>
      <c r="VGW11" s="468"/>
      <c r="VGX11" s="468"/>
      <c r="VGY11" s="468"/>
      <c r="VGZ11" s="468"/>
      <c r="VHA11" s="468"/>
      <c r="VHB11" s="468"/>
      <c r="VHC11" s="468"/>
      <c r="VHD11" s="468"/>
      <c r="VHE11" s="468"/>
      <c r="VHF11" s="468"/>
      <c r="VHG11" s="468"/>
      <c r="VHH11" s="469"/>
      <c r="VHI11" s="467" t="s">
        <v>34</v>
      </c>
      <c r="VHJ11" s="468"/>
      <c r="VHK11" s="468"/>
      <c r="VHL11" s="468"/>
      <c r="VHM11" s="468"/>
      <c r="VHN11" s="468"/>
      <c r="VHO11" s="468"/>
      <c r="VHP11" s="468"/>
      <c r="VHQ11" s="468"/>
      <c r="VHR11" s="468"/>
      <c r="VHS11" s="468"/>
      <c r="VHT11" s="468"/>
      <c r="VHU11" s="468"/>
      <c r="VHV11" s="468"/>
      <c r="VHW11" s="468"/>
      <c r="VHX11" s="469"/>
      <c r="VHY11" s="467" t="s">
        <v>34</v>
      </c>
      <c r="VHZ11" s="468"/>
      <c r="VIA11" s="468"/>
      <c r="VIB11" s="468"/>
      <c r="VIC11" s="468"/>
      <c r="VID11" s="468"/>
      <c r="VIE11" s="468"/>
      <c r="VIF11" s="468"/>
      <c r="VIG11" s="468"/>
      <c r="VIH11" s="468"/>
      <c r="VII11" s="468"/>
      <c r="VIJ11" s="468"/>
      <c r="VIK11" s="468"/>
      <c r="VIL11" s="468"/>
      <c r="VIM11" s="468"/>
      <c r="VIN11" s="469"/>
      <c r="VIO11" s="467" t="s">
        <v>34</v>
      </c>
      <c r="VIP11" s="468"/>
      <c r="VIQ11" s="468"/>
      <c r="VIR11" s="468"/>
      <c r="VIS11" s="468"/>
      <c r="VIT11" s="468"/>
      <c r="VIU11" s="468"/>
      <c r="VIV11" s="468"/>
      <c r="VIW11" s="468"/>
      <c r="VIX11" s="468"/>
      <c r="VIY11" s="468"/>
      <c r="VIZ11" s="468"/>
      <c r="VJA11" s="468"/>
      <c r="VJB11" s="468"/>
      <c r="VJC11" s="468"/>
      <c r="VJD11" s="469"/>
      <c r="VJE11" s="467" t="s">
        <v>34</v>
      </c>
      <c r="VJF11" s="468"/>
      <c r="VJG11" s="468"/>
      <c r="VJH11" s="468"/>
      <c r="VJI11" s="468"/>
      <c r="VJJ11" s="468"/>
      <c r="VJK11" s="468"/>
      <c r="VJL11" s="468"/>
      <c r="VJM11" s="468"/>
      <c r="VJN11" s="468"/>
      <c r="VJO11" s="468"/>
      <c r="VJP11" s="468"/>
      <c r="VJQ11" s="468"/>
      <c r="VJR11" s="468"/>
      <c r="VJS11" s="468"/>
      <c r="VJT11" s="469"/>
      <c r="VJU11" s="467" t="s">
        <v>34</v>
      </c>
      <c r="VJV11" s="468"/>
      <c r="VJW11" s="468"/>
      <c r="VJX11" s="468"/>
      <c r="VJY11" s="468"/>
      <c r="VJZ11" s="468"/>
      <c r="VKA11" s="468"/>
      <c r="VKB11" s="468"/>
      <c r="VKC11" s="468"/>
      <c r="VKD11" s="468"/>
      <c r="VKE11" s="468"/>
      <c r="VKF11" s="468"/>
      <c r="VKG11" s="468"/>
      <c r="VKH11" s="468"/>
      <c r="VKI11" s="468"/>
      <c r="VKJ11" s="469"/>
      <c r="VKK11" s="467" t="s">
        <v>34</v>
      </c>
      <c r="VKL11" s="468"/>
      <c r="VKM11" s="468"/>
      <c r="VKN11" s="468"/>
      <c r="VKO11" s="468"/>
      <c r="VKP11" s="468"/>
      <c r="VKQ11" s="468"/>
      <c r="VKR11" s="468"/>
      <c r="VKS11" s="468"/>
      <c r="VKT11" s="468"/>
      <c r="VKU11" s="468"/>
      <c r="VKV11" s="468"/>
      <c r="VKW11" s="468"/>
      <c r="VKX11" s="468"/>
      <c r="VKY11" s="468"/>
      <c r="VKZ11" s="469"/>
      <c r="VLA11" s="467" t="s">
        <v>34</v>
      </c>
      <c r="VLB11" s="468"/>
      <c r="VLC11" s="468"/>
      <c r="VLD11" s="468"/>
      <c r="VLE11" s="468"/>
      <c r="VLF11" s="468"/>
      <c r="VLG11" s="468"/>
      <c r="VLH11" s="468"/>
      <c r="VLI11" s="468"/>
      <c r="VLJ11" s="468"/>
      <c r="VLK11" s="468"/>
      <c r="VLL11" s="468"/>
      <c r="VLM11" s="468"/>
      <c r="VLN11" s="468"/>
      <c r="VLO11" s="468"/>
      <c r="VLP11" s="469"/>
      <c r="VLQ11" s="467" t="s">
        <v>34</v>
      </c>
      <c r="VLR11" s="468"/>
      <c r="VLS11" s="468"/>
      <c r="VLT11" s="468"/>
      <c r="VLU11" s="468"/>
      <c r="VLV11" s="468"/>
      <c r="VLW11" s="468"/>
      <c r="VLX11" s="468"/>
      <c r="VLY11" s="468"/>
      <c r="VLZ11" s="468"/>
      <c r="VMA11" s="468"/>
      <c r="VMB11" s="468"/>
      <c r="VMC11" s="468"/>
      <c r="VMD11" s="468"/>
      <c r="VME11" s="468"/>
      <c r="VMF11" s="469"/>
      <c r="VMG11" s="467" t="s">
        <v>34</v>
      </c>
      <c r="VMH11" s="468"/>
      <c r="VMI11" s="468"/>
      <c r="VMJ11" s="468"/>
      <c r="VMK11" s="468"/>
      <c r="VML11" s="468"/>
      <c r="VMM11" s="468"/>
      <c r="VMN11" s="468"/>
      <c r="VMO11" s="468"/>
      <c r="VMP11" s="468"/>
      <c r="VMQ11" s="468"/>
      <c r="VMR11" s="468"/>
      <c r="VMS11" s="468"/>
      <c r="VMT11" s="468"/>
      <c r="VMU11" s="468"/>
      <c r="VMV11" s="469"/>
      <c r="VMW11" s="467" t="s">
        <v>34</v>
      </c>
      <c r="VMX11" s="468"/>
      <c r="VMY11" s="468"/>
      <c r="VMZ11" s="468"/>
      <c r="VNA11" s="468"/>
      <c r="VNB11" s="468"/>
      <c r="VNC11" s="468"/>
      <c r="VND11" s="468"/>
      <c r="VNE11" s="468"/>
      <c r="VNF11" s="468"/>
      <c r="VNG11" s="468"/>
      <c r="VNH11" s="468"/>
      <c r="VNI11" s="468"/>
      <c r="VNJ11" s="468"/>
      <c r="VNK11" s="468"/>
      <c r="VNL11" s="469"/>
      <c r="VNM11" s="467" t="s">
        <v>34</v>
      </c>
      <c r="VNN11" s="468"/>
      <c r="VNO11" s="468"/>
      <c r="VNP11" s="468"/>
      <c r="VNQ11" s="468"/>
      <c r="VNR11" s="468"/>
      <c r="VNS11" s="468"/>
      <c r="VNT11" s="468"/>
      <c r="VNU11" s="468"/>
      <c r="VNV11" s="468"/>
      <c r="VNW11" s="468"/>
      <c r="VNX11" s="468"/>
      <c r="VNY11" s="468"/>
      <c r="VNZ11" s="468"/>
      <c r="VOA11" s="468"/>
      <c r="VOB11" s="469"/>
      <c r="VOC11" s="467" t="s">
        <v>34</v>
      </c>
      <c r="VOD11" s="468"/>
      <c r="VOE11" s="468"/>
      <c r="VOF11" s="468"/>
      <c r="VOG11" s="468"/>
      <c r="VOH11" s="468"/>
      <c r="VOI11" s="468"/>
      <c r="VOJ11" s="468"/>
      <c r="VOK11" s="468"/>
      <c r="VOL11" s="468"/>
      <c r="VOM11" s="468"/>
      <c r="VON11" s="468"/>
      <c r="VOO11" s="468"/>
      <c r="VOP11" s="468"/>
      <c r="VOQ11" s="468"/>
      <c r="VOR11" s="469"/>
      <c r="VOS11" s="467" t="s">
        <v>34</v>
      </c>
      <c r="VOT11" s="468"/>
      <c r="VOU11" s="468"/>
      <c r="VOV11" s="468"/>
      <c r="VOW11" s="468"/>
      <c r="VOX11" s="468"/>
      <c r="VOY11" s="468"/>
      <c r="VOZ11" s="468"/>
      <c r="VPA11" s="468"/>
      <c r="VPB11" s="468"/>
      <c r="VPC11" s="468"/>
      <c r="VPD11" s="468"/>
      <c r="VPE11" s="468"/>
      <c r="VPF11" s="468"/>
      <c r="VPG11" s="468"/>
      <c r="VPH11" s="469"/>
      <c r="VPI11" s="467" t="s">
        <v>34</v>
      </c>
      <c r="VPJ11" s="468"/>
      <c r="VPK11" s="468"/>
      <c r="VPL11" s="468"/>
      <c r="VPM11" s="468"/>
      <c r="VPN11" s="468"/>
      <c r="VPO11" s="468"/>
      <c r="VPP11" s="468"/>
      <c r="VPQ11" s="468"/>
      <c r="VPR11" s="468"/>
      <c r="VPS11" s="468"/>
      <c r="VPT11" s="468"/>
      <c r="VPU11" s="468"/>
      <c r="VPV11" s="468"/>
      <c r="VPW11" s="468"/>
      <c r="VPX11" s="469"/>
      <c r="VPY11" s="467" t="s">
        <v>34</v>
      </c>
      <c r="VPZ11" s="468"/>
      <c r="VQA11" s="468"/>
      <c r="VQB11" s="468"/>
      <c r="VQC11" s="468"/>
      <c r="VQD11" s="468"/>
      <c r="VQE11" s="468"/>
      <c r="VQF11" s="468"/>
      <c r="VQG11" s="468"/>
      <c r="VQH11" s="468"/>
      <c r="VQI11" s="468"/>
      <c r="VQJ11" s="468"/>
      <c r="VQK11" s="468"/>
      <c r="VQL11" s="468"/>
      <c r="VQM11" s="468"/>
      <c r="VQN11" s="469"/>
      <c r="VQO11" s="467" t="s">
        <v>34</v>
      </c>
      <c r="VQP11" s="468"/>
      <c r="VQQ11" s="468"/>
      <c r="VQR11" s="468"/>
      <c r="VQS11" s="468"/>
      <c r="VQT11" s="468"/>
      <c r="VQU11" s="468"/>
      <c r="VQV11" s="468"/>
      <c r="VQW11" s="468"/>
      <c r="VQX11" s="468"/>
      <c r="VQY11" s="468"/>
      <c r="VQZ11" s="468"/>
      <c r="VRA11" s="468"/>
      <c r="VRB11" s="468"/>
      <c r="VRC11" s="468"/>
      <c r="VRD11" s="469"/>
      <c r="VRE11" s="467" t="s">
        <v>34</v>
      </c>
      <c r="VRF11" s="468"/>
      <c r="VRG11" s="468"/>
      <c r="VRH11" s="468"/>
      <c r="VRI11" s="468"/>
      <c r="VRJ11" s="468"/>
      <c r="VRK11" s="468"/>
      <c r="VRL11" s="468"/>
      <c r="VRM11" s="468"/>
      <c r="VRN11" s="468"/>
      <c r="VRO11" s="468"/>
      <c r="VRP11" s="468"/>
      <c r="VRQ11" s="468"/>
      <c r="VRR11" s="468"/>
      <c r="VRS11" s="468"/>
      <c r="VRT11" s="469"/>
      <c r="VRU11" s="467" t="s">
        <v>34</v>
      </c>
      <c r="VRV11" s="468"/>
      <c r="VRW11" s="468"/>
      <c r="VRX11" s="468"/>
      <c r="VRY11" s="468"/>
      <c r="VRZ11" s="468"/>
      <c r="VSA11" s="468"/>
      <c r="VSB11" s="468"/>
      <c r="VSC11" s="468"/>
      <c r="VSD11" s="468"/>
      <c r="VSE11" s="468"/>
      <c r="VSF11" s="468"/>
      <c r="VSG11" s="468"/>
      <c r="VSH11" s="468"/>
      <c r="VSI11" s="468"/>
      <c r="VSJ11" s="469"/>
      <c r="VSK11" s="467" t="s">
        <v>34</v>
      </c>
      <c r="VSL11" s="468"/>
      <c r="VSM11" s="468"/>
      <c r="VSN11" s="468"/>
      <c r="VSO11" s="468"/>
      <c r="VSP11" s="468"/>
      <c r="VSQ11" s="468"/>
      <c r="VSR11" s="468"/>
      <c r="VSS11" s="468"/>
      <c r="VST11" s="468"/>
      <c r="VSU11" s="468"/>
      <c r="VSV11" s="468"/>
      <c r="VSW11" s="468"/>
      <c r="VSX11" s="468"/>
      <c r="VSY11" s="468"/>
      <c r="VSZ11" s="469"/>
      <c r="VTA11" s="467" t="s">
        <v>34</v>
      </c>
      <c r="VTB11" s="468"/>
      <c r="VTC11" s="468"/>
      <c r="VTD11" s="468"/>
      <c r="VTE11" s="468"/>
      <c r="VTF11" s="468"/>
      <c r="VTG11" s="468"/>
      <c r="VTH11" s="468"/>
      <c r="VTI11" s="468"/>
      <c r="VTJ11" s="468"/>
      <c r="VTK11" s="468"/>
      <c r="VTL11" s="468"/>
      <c r="VTM11" s="468"/>
      <c r="VTN11" s="468"/>
      <c r="VTO11" s="468"/>
      <c r="VTP11" s="469"/>
      <c r="VTQ11" s="467" t="s">
        <v>34</v>
      </c>
      <c r="VTR11" s="468"/>
      <c r="VTS11" s="468"/>
      <c r="VTT11" s="468"/>
      <c r="VTU11" s="468"/>
      <c r="VTV11" s="468"/>
      <c r="VTW11" s="468"/>
      <c r="VTX11" s="468"/>
      <c r="VTY11" s="468"/>
      <c r="VTZ11" s="468"/>
      <c r="VUA11" s="468"/>
      <c r="VUB11" s="468"/>
      <c r="VUC11" s="468"/>
      <c r="VUD11" s="468"/>
      <c r="VUE11" s="468"/>
      <c r="VUF11" s="469"/>
      <c r="VUG11" s="467" t="s">
        <v>34</v>
      </c>
      <c r="VUH11" s="468"/>
      <c r="VUI11" s="468"/>
      <c r="VUJ11" s="468"/>
      <c r="VUK11" s="468"/>
      <c r="VUL11" s="468"/>
      <c r="VUM11" s="468"/>
      <c r="VUN11" s="468"/>
      <c r="VUO11" s="468"/>
      <c r="VUP11" s="468"/>
      <c r="VUQ11" s="468"/>
      <c r="VUR11" s="468"/>
      <c r="VUS11" s="468"/>
      <c r="VUT11" s="468"/>
      <c r="VUU11" s="468"/>
      <c r="VUV11" s="469"/>
      <c r="VUW11" s="467" t="s">
        <v>34</v>
      </c>
      <c r="VUX11" s="468"/>
      <c r="VUY11" s="468"/>
      <c r="VUZ11" s="468"/>
      <c r="VVA11" s="468"/>
      <c r="VVB11" s="468"/>
      <c r="VVC11" s="468"/>
      <c r="VVD11" s="468"/>
      <c r="VVE11" s="468"/>
      <c r="VVF11" s="468"/>
      <c r="VVG11" s="468"/>
      <c r="VVH11" s="468"/>
      <c r="VVI11" s="468"/>
      <c r="VVJ11" s="468"/>
      <c r="VVK11" s="468"/>
      <c r="VVL11" s="469"/>
      <c r="VVM11" s="467" t="s">
        <v>34</v>
      </c>
      <c r="VVN11" s="468"/>
      <c r="VVO11" s="468"/>
      <c r="VVP11" s="468"/>
      <c r="VVQ11" s="468"/>
      <c r="VVR11" s="468"/>
      <c r="VVS11" s="468"/>
      <c r="VVT11" s="468"/>
      <c r="VVU11" s="468"/>
      <c r="VVV11" s="468"/>
      <c r="VVW11" s="468"/>
      <c r="VVX11" s="468"/>
      <c r="VVY11" s="468"/>
      <c r="VVZ11" s="468"/>
      <c r="VWA11" s="468"/>
      <c r="VWB11" s="469"/>
      <c r="VWC11" s="467" t="s">
        <v>34</v>
      </c>
      <c r="VWD11" s="468"/>
      <c r="VWE11" s="468"/>
      <c r="VWF11" s="468"/>
      <c r="VWG11" s="468"/>
      <c r="VWH11" s="468"/>
      <c r="VWI11" s="468"/>
      <c r="VWJ11" s="468"/>
      <c r="VWK11" s="468"/>
      <c r="VWL11" s="468"/>
      <c r="VWM11" s="468"/>
      <c r="VWN11" s="468"/>
      <c r="VWO11" s="468"/>
      <c r="VWP11" s="468"/>
      <c r="VWQ11" s="468"/>
      <c r="VWR11" s="469"/>
      <c r="VWS11" s="467" t="s">
        <v>34</v>
      </c>
      <c r="VWT11" s="468"/>
      <c r="VWU11" s="468"/>
      <c r="VWV11" s="468"/>
      <c r="VWW11" s="468"/>
      <c r="VWX11" s="468"/>
      <c r="VWY11" s="468"/>
      <c r="VWZ11" s="468"/>
      <c r="VXA11" s="468"/>
      <c r="VXB11" s="468"/>
      <c r="VXC11" s="468"/>
      <c r="VXD11" s="468"/>
      <c r="VXE11" s="468"/>
      <c r="VXF11" s="468"/>
      <c r="VXG11" s="468"/>
      <c r="VXH11" s="469"/>
      <c r="VXI11" s="467" t="s">
        <v>34</v>
      </c>
      <c r="VXJ11" s="468"/>
      <c r="VXK11" s="468"/>
      <c r="VXL11" s="468"/>
      <c r="VXM11" s="468"/>
      <c r="VXN11" s="468"/>
      <c r="VXO11" s="468"/>
      <c r="VXP11" s="468"/>
      <c r="VXQ11" s="468"/>
      <c r="VXR11" s="468"/>
      <c r="VXS11" s="468"/>
      <c r="VXT11" s="468"/>
      <c r="VXU11" s="468"/>
      <c r="VXV11" s="468"/>
      <c r="VXW11" s="468"/>
      <c r="VXX11" s="469"/>
      <c r="VXY11" s="467" t="s">
        <v>34</v>
      </c>
      <c r="VXZ11" s="468"/>
      <c r="VYA11" s="468"/>
      <c r="VYB11" s="468"/>
      <c r="VYC11" s="468"/>
      <c r="VYD11" s="468"/>
      <c r="VYE11" s="468"/>
      <c r="VYF11" s="468"/>
      <c r="VYG11" s="468"/>
      <c r="VYH11" s="468"/>
      <c r="VYI11" s="468"/>
      <c r="VYJ11" s="468"/>
      <c r="VYK11" s="468"/>
      <c r="VYL11" s="468"/>
      <c r="VYM11" s="468"/>
      <c r="VYN11" s="469"/>
      <c r="VYO11" s="467" t="s">
        <v>34</v>
      </c>
      <c r="VYP11" s="468"/>
      <c r="VYQ11" s="468"/>
      <c r="VYR11" s="468"/>
      <c r="VYS11" s="468"/>
      <c r="VYT11" s="468"/>
      <c r="VYU11" s="468"/>
      <c r="VYV11" s="468"/>
      <c r="VYW11" s="468"/>
      <c r="VYX11" s="468"/>
      <c r="VYY11" s="468"/>
      <c r="VYZ11" s="468"/>
      <c r="VZA11" s="468"/>
      <c r="VZB11" s="468"/>
      <c r="VZC11" s="468"/>
      <c r="VZD11" s="469"/>
      <c r="VZE11" s="467" t="s">
        <v>34</v>
      </c>
      <c r="VZF11" s="468"/>
      <c r="VZG11" s="468"/>
      <c r="VZH11" s="468"/>
      <c r="VZI11" s="468"/>
      <c r="VZJ11" s="468"/>
      <c r="VZK11" s="468"/>
      <c r="VZL11" s="468"/>
      <c r="VZM11" s="468"/>
      <c r="VZN11" s="468"/>
      <c r="VZO11" s="468"/>
      <c r="VZP11" s="468"/>
      <c r="VZQ11" s="468"/>
      <c r="VZR11" s="468"/>
      <c r="VZS11" s="468"/>
      <c r="VZT11" s="469"/>
      <c r="VZU11" s="467" t="s">
        <v>34</v>
      </c>
      <c r="VZV11" s="468"/>
      <c r="VZW11" s="468"/>
      <c r="VZX11" s="468"/>
      <c r="VZY11" s="468"/>
      <c r="VZZ11" s="468"/>
      <c r="WAA11" s="468"/>
      <c r="WAB11" s="468"/>
      <c r="WAC11" s="468"/>
      <c r="WAD11" s="468"/>
      <c r="WAE11" s="468"/>
      <c r="WAF11" s="468"/>
      <c r="WAG11" s="468"/>
      <c r="WAH11" s="468"/>
      <c r="WAI11" s="468"/>
      <c r="WAJ11" s="469"/>
      <c r="WAK11" s="467" t="s">
        <v>34</v>
      </c>
      <c r="WAL11" s="468"/>
      <c r="WAM11" s="468"/>
      <c r="WAN11" s="468"/>
      <c r="WAO11" s="468"/>
      <c r="WAP11" s="468"/>
      <c r="WAQ11" s="468"/>
      <c r="WAR11" s="468"/>
      <c r="WAS11" s="468"/>
      <c r="WAT11" s="468"/>
      <c r="WAU11" s="468"/>
      <c r="WAV11" s="468"/>
      <c r="WAW11" s="468"/>
      <c r="WAX11" s="468"/>
      <c r="WAY11" s="468"/>
      <c r="WAZ11" s="469"/>
      <c r="WBA11" s="467" t="s">
        <v>34</v>
      </c>
      <c r="WBB11" s="468"/>
      <c r="WBC11" s="468"/>
      <c r="WBD11" s="468"/>
      <c r="WBE11" s="468"/>
      <c r="WBF11" s="468"/>
      <c r="WBG11" s="468"/>
      <c r="WBH11" s="468"/>
      <c r="WBI11" s="468"/>
      <c r="WBJ11" s="468"/>
      <c r="WBK11" s="468"/>
      <c r="WBL11" s="468"/>
      <c r="WBM11" s="468"/>
      <c r="WBN11" s="468"/>
      <c r="WBO11" s="468"/>
      <c r="WBP11" s="469"/>
      <c r="WBQ11" s="467" t="s">
        <v>34</v>
      </c>
      <c r="WBR11" s="468"/>
      <c r="WBS11" s="468"/>
      <c r="WBT11" s="468"/>
      <c r="WBU11" s="468"/>
      <c r="WBV11" s="468"/>
      <c r="WBW11" s="468"/>
      <c r="WBX11" s="468"/>
      <c r="WBY11" s="468"/>
      <c r="WBZ11" s="468"/>
      <c r="WCA11" s="468"/>
      <c r="WCB11" s="468"/>
      <c r="WCC11" s="468"/>
      <c r="WCD11" s="468"/>
      <c r="WCE11" s="468"/>
      <c r="WCF11" s="469"/>
      <c r="WCG11" s="467" t="s">
        <v>34</v>
      </c>
      <c r="WCH11" s="468"/>
      <c r="WCI11" s="468"/>
      <c r="WCJ11" s="468"/>
      <c r="WCK11" s="468"/>
      <c r="WCL11" s="468"/>
      <c r="WCM11" s="468"/>
      <c r="WCN11" s="468"/>
      <c r="WCO11" s="468"/>
      <c r="WCP11" s="468"/>
      <c r="WCQ11" s="468"/>
      <c r="WCR11" s="468"/>
      <c r="WCS11" s="468"/>
      <c r="WCT11" s="468"/>
      <c r="WCU11" s="468"/>
      <c r="WCV11" s="469"/>
      <c r="WCW11" s="467" t="s">
        <v>34</v>
      </c>
      <c r="WCX11" s="468"/>
      <c r="WCY11" s="468"/>
      <c r="WCZ11" s="468"/>
      <c r="WDA11" s="468"/>
      <c r="WDB11" s="468"/>
      <c r="WDC11" s="468"/>
      <c r="WDD11" s="468"/>
      <c r="WDE11" s="468"/>
      <c r="WDF11" s="468"/>
      <c r="WDG11" s="468"/>
      <c r="WDH11" s="468"/>
      <c r="WDI11" s="468"/>
      <c r="WDJ11" s="468"/>
      <c r="WDK11" s="468"/>
      <c r="WDL11" s="469"/>
      <c r="WDM11" s="467" t="s">
        <v>34</v>
      </c>
      <c r="WDN11" s="468"/>
      <c r="WDO11" s="468"/>
      <c r="WDP11" s="468"/>
      <c r="WDQ11" s="468"/>
      <c r="WDR11" s="468"/>
      <c r="WDS11" s="468"/>
      <c r="WDT11" s="468"/>
      <c r="WDU11" s="468"/>
      <c r="WDV11" s="468"/>
      <c r="WDW11" s="468"/>
      <c r="WDX11" s="468"/>
      <c r="WDY11" s="468"/>
      <c r="WDZ11" s="468"/>
      <c r="WEA11" s="468"/>
      <c r="WEB11" s="469"/>
      <c r="WEC11" s="467" t="s">
        <v>34</v>
      </c>
      <c r="WED11" s="468"/>
      <c r="WEE11" s="468"/>
      <c r="WEF11" s="468"/>
      <c r="WEG11" s="468"/>
      <c r="WEH11" s="468"/>
      <c r="WEI11" s="468"/>
      <c r="WEJ11" s="468"/>
      <c r="WEK11" s="468"/>
      <c r="WEL11" s="468"/>
      <c r="WEM11" s="468"/>
      <c r="WEN11" s="468"/>
      <c r="WEO11" s="468"/>
      <c r="WEP11" s="468"/>
      <c r="WEQ11" s="468"/>
      <c r="WER11" s="469"/>
      <c r="WES11" s="467" t="s">
        <v>34</v>
      </c>
      <c r="WET11" s="468"/>
      <c r="WEU11" s="468"/>
      <c r="WEV11" s="468"/>
      <c r="WEW11" s="468"/>
      <c r="WEX11" s="468"/>
      <c r="WEY11" s="468"/>
      <c r="WEZ11" s="468"/>
      <c r="WFA11" s="468"/>
      <c r="WFB11" s="468"/>
      <c r="WFC11" s="468"/>
      <c r="WFD11" s="468"/>
      <c r="WFE11" s="468"/>
      <c r="WFF11" s="468"/>
      <c r="WFG11" s="468"/>
      <c r="WFH11" s="469"/>
      <c r="WFI11" s="467" t="s">
        <v>34</v>
      </c>
      <c r="WFJ11" s="468"/>
      <c r="WFK11" s="468"/>
      <c r="WFL11" s="468"/>
      <c r="WFM11" s="468"/>
      <c r="WFN11" s="468"/>
      <c r="WFO11" s="468"/>
      <c r="WFP11" s="468"/>
      <c r="WFQ11" s="468"/>
      <c r="WFR11" s="468"/>
      <c r="WFS11" s="468"/>
      <c r="WFT11" s="468"/>
      <c r="WFU11" s="468"/>
      <c r="WFV11" s="468"/>
      <c r="WFW11" s="468"/>
      <c r="WFX11" s="469"/>
      <c r="WFY11" s="467" t="s">
        <v>34</v>
      </c>
      <c r="WFZ11" s="468"/>
      <c r="WGA11" s="468"/>
      <c r="WGB11" s="468"/>
      <c r="WGC11" s="468"/>
      <c r="WGD11" s="468"/>
      <c r="WGE11" s="468"/>
      <c r="WGF11" s="468"/>
      <c r="WGG11" s="468"/>
      <c r="WGH11" s="468"/>
      <c r="WGI11" s="468"/>
      <c r="WGJ11" s="468"/>
      <c r="WGK11" s="468"/>
      <c r="WGL11" s="468"/>
      <c r="WGM11" s="468"/>
      <c r="WGN11" s="469"/>
      <c r="WGO11" s="467" t="s">
        <v>34</v>
      </c>
      <c r="WGP11" s="468"/>
      <c r="WGQ11" s="468"/>
      <c r="WGR11" s="468"/>
      <c r="WGS11" s="468"/>
      <c r="WGT11" s="468"/>
      <c r="WGU11" s="468"/>
      <c r="WGV11" s="468"/>
      <c r="WGW11" s="468"/>
      <c r="WGX11" s="468"/>
      <c r="WGY11" s="468"/>
      <c r="WGZ11" s="468"/>
      <c r="WHA11" s="468"/>
      <c r="WHB11" s="468"/>
      <c r="WHC11" s="468"/>
      <c r="WHD11" s="469"/>
      <c r="WHE11" s="467" t="s">
        <v>34</v>
      </c>
      <c r="WHF11" s="468"/>
      <c r="WHG11" s="468"/>
      <c r="WHH11" s="468"/>
      <c r="WHI11" s="468"/>
      <c r="WHJ11" s="468"/>
      <c r="WHK11" s="468"/>
      <c r="WHL11" s="468"/>
      <c r="WHM11" s="468"/>
      <c r="WHN11" s="468"/>
      <c r="WHO11" s="468"/>
      <c r="WHP11" s="468"/>
      <c r="WHQ11" s="468"/>
      <c r="WHR11" s="468"/>
      <c r="WHS11" s="468"/>
      <c r="WHT11" s="469"/>
      <c r="WHU11" s="467" t="s">
        <v>34</v>
      </c>
      <c r="WHV11" s="468"/>
      <c r="WHW11" s="468"/>
      <c r="WHX11" s="468"/>
      <c r="WHY11" s="468"/>
      <c r="WHZ11" s="468"/>
      <c r="WIA11" s="468"/>
      <c r="WIB11" s="468"/>
      <c r="WIC11" s="468"/>
      <c r="WID11" s="468"/>
      <c r="WIE11" s="468"/>
      <c r="WIF11" s="468"/>
      <c r="WIG11" s="468"/>
      <c r="WIH11" s="468"/>
      <c r="WII11" s="468"/>
      <c r="WIJ11" s="469"/>
      <c r="WIK11" s="467" t="s">
        <v>34</v>
      </c>
      <c r="WIL11" s="468"/>
      <c r="WIM11" s="468"/>
      <c r="WIN11" s="468"/>
      <c r="WIO11" s="468"/>
      <c r="WIP11" s="468"/>
      <c r="WIQ11" s="468"/>
      <c r="WIR11" s="468"/>
      <c r="WIS11" s="468"/>
      <c r="WIT11" s="468"/>
      <c r="WIU11" s="468"/>
      <c r="WIV11" s="468"/>
      <c r="WIW11" s="468"/>
      <c r="WIX11" s="468"/>
      <c r="WIY11" s="468"/>
      <c r="WIZ11" s="469"/>
      <c r="WJA11" s="467" t="s">
        <v>34</v>
      </c>
      <c r="WJB11" s="468"/>
      <c r="WJC11" s="468"/>
      <c r="WJD11" s="468"/>
      <c r="WJE11" s="468"/>
      <c r="WJF11" s="468"/>
      <c r="WJG11" s="468"/>
      <c r="WJH11" s="468"/>
      <c r="WJI11" s="468"/>
      <c r="WJJ11" s="468"/>
      <c r="WJK11" s="468"/>
      <c r="WJL11" s="468"/>
      <c r="WJM11" s="468"/>
      <c r="WJN11" s="468"/>
      <c r="WJO11" s="468"/>
      <c r="WJP11" s="469"/>
      <c r="WJQ11" s="467" t="s">
        <v>34</v>
      </c>
      <c r="WJR11" s="468"/>
      <c r="WJS11" s="468"/>
      <c r="WJT11" s="468"/>
      <c r="WJU11" s="468"/>
      <c r="WJV11" s="468"/>
      <c r="WJW11" s="468"/>
      <c r="WJX11" s="468"/>
      <c r="WJY11" s="468"/>
      <c r="WJZ11" s="468"/>
      <c r="WKA11" s="468"/>
      <c r="WKB11" s="468"/>
      <c r="WKC11" s="468"/>
      <c r="WKD11" s="468"/>
      <c r="WKE11" s="468"/>
      <c r="WKF11" s="469"/>
      <c r="WKG11" s="467" t="s">
        <v>34</v>
      </c>
      <c r="WKH11" s="468"/>
      <c r="WKI11" s="468"/>
      <c r="WKJ11" s="468"/>
      <c r="WKK11" s="468"/>
      <c r="WKL11" s="468"/>
      <c r="WKM11" s="468"/>
      <c r="WKN11" s="468"/>
      <c r="WKO11" s="468"/>
      <c r="WKP11" s="468"/>
      <c r="WKQ11" s="468"/>
      <c r="WKR11" s="468"/>
      <c r="WKS11" s="468"/>
      <c r="WKT11" s="468"/>
      <c r="WKU11" s="468"/>
      <c r="WKV11" s="469"/>
      <c r="WKW11" s="467" t="s">
        <v>34</v>
      </c>
      <c r="WKX11" s="468"/>
      <c r="WKY11" s="468"/>
      <c r="WKZ11" s="468"/>
      <c r="WLA11" s="468"/>
      <c r="WLB11" s="468"/>
      <c r="WLC11" s="468"/>
      <c r="WLD11" s="468"/>
      <c r="WLE11" s="468"/>
      <c r="WLF11" s="468"/>
      <c r="WLG11" s="468"/>
      <c r="WLH11" s="468"/>
      <c r="WLI11" s="468"/>
      <c r="WLJ11" s="468"/>
      <c r="WLK11" s="468"/>
      <c r="WLL11" s="469"/>
      <c r="WLM11" s="467" t="s">
        <v>34</v>
      </c>
      <c r="WLN11" s="468"/>
      <c r="WLO11" s="468"/>
      <c r="WLP11" s="468"/>
      <c r="WLQ11" s="468"/>
      <c r="WLR11" s="468"/>
      <c r="WLS11" s="468"/>
      <c r="WLT11" s="468"/>
      <c r="WLU11" s="468"/>
      <c r="WLV11" s="468"/>
      <c r="WLW11" s="468"/>
      <c r="WLX11" s="468"/>
      <c r="WLY11" s="468"/>
      <c r="WLZ11" s="468"/>
      <c r="WMA11" s="468"/>
      <c r="WMB11" s="469"/>
      <c r="WMC11" s="467" t="s">
        <v>34</v>
      </c>
      <c r="WMD11" s="468"/>
      <c r="WME11" s="468"/>
      <c r="WMF11" s="468"/>
      <c r="WMG11" s="468"/>
      <c r="WMH11" s="468"/>
      <c r="WMI11" s="468"/>
      <c r="WMJ11" s="468"/>
      <c r="WMK11" s="468"/>
      <c r="WML11" s="468"/>
      <c r="WMM11" s="468"/>
      <c r="WMN11" s="468"/>
      <c r="WMO11" s="468"/>
      <c r="WMP11" s="468"/>
      <c r="WMQ11" s="468"/>
      <c r="WMR11" s="469"/>
      <c r="WMS11" s="467" t="s">
        <v>34</v>
      </c>
      <c r="WMT11" s="468"/>
      <c r="WMU11" s="468"/>
      <c r="WMV11" s="468"/>
      <c r="WMW11" s="468"/>
      <c r="WMX11" s="468"/>
      <c r="WMY11" s="468"/>
      <c r="WMZ11" s="468"/>
      <c r="WNA11" s="468"/>
      <c r="WNB11" s="468"/>
      <c r="WNC11" s="468"/>
      <c r="WND11" s="468"/>
      <c r="WNE11" s="468"/>
      <c r="WNF11" s="468"/>
      <c r="WNG11" s="468"/>
      <c r="WNH11" s="469"/>
      <c r="WNI11" s="467" t="s">
        <v>34</v>
      </c>
      <c r="WNJ11" s="468"/>
      <c r="WNK11" s="468"/>
      <c r="WNL11" s="468"/>
      <c r="WNM11" s="468"/>
      <c r="WNN11" s="468"/>
      <c r="WNO11" s="468"/>
      <c r="WNP11" s="468"/>
      <c r="WNQ11" s="468"/>
      <c r="WNR11" s="468"/>
      <c r="WNS11" s="468"/>
      <c r="WNT11" s="468"/>
      <c r="WNU11" s="468"/>
      <c r="WNV11" s="468"/>
      <c r="WNW11" s="468"/>
      <c r="WNX11" s="469"/>
      <c r="WNY11" s="467" t="s">
        <v>34</v>
      </c>
      <c r="WNZ11" s="468"/>
      <c r="WOA11" s="468"/>
      <c r="WOB11" s="468"/>
      <c r="WOC11" s="468"/>
      <c r="WOD11" s="468"/>
      <c r="WOE11" s="468"/>
      <c r="WOF11" s="468"/>
      <c r="WOG11" s="468"/>
      <c r="WOH11" s="468"/>
      <c r="WOI11" s="468"/>
      <c r="WOJ11" s="468"/>
      <c r="WOK11" s="468"/>
      <c r="WOL11" s="468"/>
      <c r="WOM11" s="468"/>
      <c r="WON11" s="469"/>
      <c r="WOO11" s="467" t="s">
        <v>34</v>
      </c>
      <c r="WOP11" s="468"/>
      <c r="WOQ11" s="468"/>
      <c r="WOR11" s="468"/>
      <c r="WOS11" s="468"/>
      <c r="WOT11" s="468"/>
      <c r="WOU11" s="468"/>
      <c r="WOV11" s="468"/>
      <c r="WOW11" s="468"/>
      <c r="WOX11" s="468"/>
      <c r="WOY11" s="468"/>
      <c r="WOZ11" s="468"/>
      <c r="WPA11" s="468"/>
      <c r="WPB11" s="468"/>
      <c r="WPC11" s="468"/>
      <c r="WPD11" s="469"/>
      <c r="WPE11" s="467" t="s">
        <v>34</v>
      </c>
      <c r="WPF11" s="468"/>
      <c r="WPG11" s="468"/>
      <c r="WPH11" s="468"/>
      <c r="WPI11" s="468"/>
      <c r="WPJ11" s="468"/>
      <c r="WPK11" s="468"/>
      <c r="WPL11" s="468"/>
      <c r="WPM11" s="468"/>
      <c r="WPN11" s="468"/>
      <c r="WPO11" s="468"/>
      <c r="WPP11" s="468"/>
      <c r="WPQ11" s="468"/>
      <c r="WPR11" s="468"/>
      <c r="WPS11" s="468"/>
      <c r="WPT11" s="469"/>
      <c r="WPU11" s="467" t="s">
        <v>34</v>
      </c>
      <c r="WPV11" s="468"/>
      <c r="WPW11" s="468"/>
      <c r="WPX11" s="468"/>
      <c r="WPY11" s="468"/>
      <c r="WPZ11" s="468"/>
      <c r="WQA11" s="468"/>
      <c r="WQB11" s="468"/>
      <c r="WQC11" s="468"/>
      <c r="WQD11" s="468"/>
      <c r="WQE11" s="468"/>
      <c r="WQF11" s="468"/>
      <c r="WQG11" s="468"/>
      <c r="WQH11" s="468"/>
      <c r="WQI11" s="468"/>
      <c r="WQJ11" s="469"/>
      <c r="WQK11" s="467" t="s">
        <v>34</v>
      </c>
      <c r="WQL11" s="468"/>
      <c r="WQM11" s="468"/>
      <c r="WQN11" s="468"/>
      <c r="WQO11" s="468"/>
      <c r="WQP11" s="468"/>
      <c r="WQQ11" s="468"/>
      <c r="WQR11" s="468"/>
      <c r="WQS11" s="468"/>
      <c r="WQT11" s="468"/>
      <c r="WQU11" s="468"/>
      <c r="WQV11" s="468"/>
      <c r="WQW11" s="468"/>
      <c r="WQX11" s="468"/>
      <c r="WQY11" s="468"/>
      <c r="WQZ11" s="469"/>
      <c r="WRA11" s="467" t="s">
        <v>34</v>
      </c>
      <c r="WRB11" s="468"/>
      <c r="WRC11" s="468"/>
      <c r="WRD11" s="468"/>
      <c r="WRE11" s="468"/>
      <c r="WRF11" s="468"/>
      <c r="WRG11" s="468"/>
      <c r="WRH11" s="468"/>
      <c r="WRI11" s="468"/>
      <c r="WRJ11" s="468"/>
      <c r="WRK11" s="468"/>
      <c r="WRL11" s="468"/>
      <c r="WRM11" s="468"/>
      <c r="WRN11" s="468"/>
      <c r="WRO11" s="468"/>
      <c r="WRP11" s="469"/>
      <c r="WRQ11" s="467" t="s">
        <v>34</v>
      </c>
      <c r="WRR11" s="468"/>
      <c r="WRS11" s="468"/>
      <c r="WRT11" s="468"/>
      <c r="WRU11" s="468"/>
      <c r="WRV11" s="468"/>
      <c r="WRW11" s="468"/>
      <c r="WRX11" s="468"/>
      <c r="WRY11" s="468"/>
      <c r="WRZ11" s="468"/>
      <c r="WSA11" s="468"/>
      <c r="WSB11" s="468"/>
      <c r="WSC11" s="468"/>
      <c r="WSD11" s="468"/>
      <c r="WSE11" s="468"/>
      <c r="WSF11" s="469"/>
      <c r="WSG11" s="467" t="s">
        <v>34</v>
      </c>
      <c r="WSH11" s="468"/>
      <c r="WSI11" s="468"/>
      <c r="WSJ11" s="468"/>
      <c r="WSK11" s="468"/>
      <c r="WSL11" s="468"/>
      <c r="WSM11" s="468"/>
      <c r="WSN11" s="468"/>
      <c r="WSO11" s="468"/>
      <c r="WSP11" s="468"/>
      <c r="WSQ11" s="468"/>
      <c r="WSR11" s="468"/>
      <c r="WSS11" s="468"/>
      <c r="WST11" s="468"/>
      <c r="WSU11" s="468"/>
      <c r="WSV11" s="469"/>
      <c r="WSW11" s="467" t="s">
        <v>34</v>
      </c>
      <c r="WSX11" s="468"/>
      <c r="WSY11" s="468"/>
      <c r="WSZ11" s="468"/>
      <c r="WTA11" s="468"/>
      <c r="WTB11" s="468"/>
      <c r="WTC11" s="468"/>
      <c r="WTD11" s="468"/>
      <c r="WTE11" s="468"/>
      <c r="WTF11" s="468"/>
      <c r="WTG11" s="468"/>
      <c r="WTH11" s="468"/>
      <c r="WTI11" s="468"/>
      <c r="WTJ11" s="468"/>
      <c r="WTK11" s="468"/>
      <c r="WTL11" s="469"/>
      <c r="WTM11" s="467" t="s">
        <v>34</v>
      </c>
      <c r="WTN11" s="468"/>
      <c r="WTO11" s="468"/>
      <c r="WTP11" s="468"/>
      <c r="WTQ11" s="468"/>
      <c r="WTR11" s="468"/>
      <c r="WTS11" s="468"/>
      <c r="WTT11" s="468"/>
      <c r="WTU11" s="468"/>
      <c r="WTV11" s="468"/>
      <c r="WTW11" s="468"/>
      <c r="WTX11" s="468"/>
      <c r="WTY11" s="468"/>
      <c r="WTZ11" s="468"/>
      <c r="WUA11" s="468"/>
      <c r="WUB11" s="469"/>
      <c r="WUC11" s="467" t="s">
        <v>34</v>
      </c>
      <c r="WUD11" s="468"/>
      <c r="WUE11" s="468"/>
      <c r="WUF11" s="468"/>
      <c r="WUG11" s="468"/>
      <c r="WUH11" s="468"/>
      <c r="WUI11" s="468"/>
      <c r="WUJ11" s="468"/>
      <c r="WUK11" s="468"/>
      <c r="WUL11" s="468"/>
      <c r="WUM11" s="468"/>
      <c r="WUN11" s="468"/>
      <c r="WUO11" s="468"/>
      <c r="WUP11" s="468"/>
      <c r="WUQ11" s="468"/>
      <c r="WUR11" s="469"/>
      <c r="WUS11" s="467" t="s">
        <v>34</v>
      </c>
      <c r="WUT11" s="468"/>
      <c r="WUU11" s="468"/>
      <c r="WUV11" s="468"/>
      <c r="WUW11" s="468"/>
      <c r="WUX11" s="468"/>
      <c r="WUY11" s="468"/>
      <c r="WUZ11" s="468"/>
      <c r="WVA11" s="468"/>
      <c r="WVB11" s="468"/>
      <c r="WVC11" s="468"/>
      <c r="WVD11" s="468"/>
      <c r="WVE11" s="468"/>
      <c r="WVF11" s="468"/>
      <c r="WVG11" s="468"/>
      <c r="WVH11" s="469"/>
      <c r="WVI11" s="467" t="s">
        <v>34</v>
      </c>
      <c r="WVJ11" s="468"/>
      <c r="WVK11" s="468"/>
      <c r="WVL11" s="468"/>
      <c r="WVM11" s="468"/>
      <c r="WVN11" s="468"/>
      <c r="WVO11" s="468"/>
      <c r="WVP11" s="468"/>
      <c r="WVQ11" s="468"/>
      <c r="WVR11" s="468"/>
      <c r="WVS11" s="468"/>
      <c r="WVT11" s="468"/>
      <c r="WVU11" s="468"/>
      <c r="WVV11" s="468"/>
      <c r="WVW11" s="468"/>
      <c r="WVX11" s="469"/>
      <c r="WVY11" s="467" t="s">
        <v>34</v>
      </c>
      <c r="WVZ11" s="468"/>
      <c r="WWA11" s="468"/>
      <c r="WWB11" s="468"/>
      <c r="WWC11" s="468"/>
      <c r="WWD11" s="468"/>
      <c r="WWE11" s="468"/>
      <c r="WWF11" s="468"/>
      <c r="WWG11" s="468"/>
      <c r="WWH11" s="468"/>
      <c r="WWI11" s="468"/>
      <c r="WWJ11" s="468"/>
      <c r="WWK11" s="468"/>
      <c r="WWL11" s="468"/>
      <c r="WWM11" s="468"/>
      <c r="WWN11" s="469"/>
      <c r="WWO11" s="467" t="s">
        <v>34</v>
      </c>
      <c r="WWP11" s="468"/>
      <c r="WWQ11" s="468"/>
      <c r="WWR11" s="468"/>
      <c r="WWS11" s="468"/>
      <c r="WWT11" s="468"/>
      <c r="WWU11" s="468"/>
      <c r="WWV11" s="468"/>
      <c r="WWW11" s="468"/>
      <c r="WWX11" s="468"/>
      <c r="WWY11" s="468"/>
      <c r="WWZ11" s="468"/>
      <c r="WXA11" s="468"/>
      <c r="WXB11" s="468"/>
      <c r="WXC11" s="468"/>
      <c r="WXD11" s="469"/>
      <c r="WXE11" s="467" t="s">
        <v>34</v>
      </c>
      <c r="WXF11" s="468"/>
      <c r="WXG11" s="468"/>
      <c r="WXH11" s="468"/>
      <c r="WXI11" s="468"/>
      <c r="WXJ11" s="468"/>
      <c r="WXK11" s="468"/>
      <c r="WXL11" s="468"/>
      <c r="WXM11" s="468"/>
      <c r="WXN11" s="468"/>
      <c r="WXO11" s="468"/>
      <c r="WXP11" s="468"/>
      <c r="WXQ11" s="468"/>
      <c r="WXR11" s="468"/>
      <c r="WXS11" s="468"/>
      <c r="WXT11" s="469"/>
      <c r="WXU11" s="467" t="s">
        <v>34</v>
      </c>
      <c r="WXV11" s="468"/>
      <c r="WXW11" s="468"/>
      <c r="WXX11" s="468"/>
      <c r="WXY11" s="468"/>
      <c r="WXZ11" s="468"/>
      <c r="WYA11" s="468"/>
      <c r="WYB11" s="468"/>
      <c r="WYC11" s="468"/>
      <c r="WYD11" s="468"/>
      <c r="WYE11" s="468"/>
      <c r="WYF11" s="468"/>
      <c r="WYG11" s="468"/>
      <c r="WYH11" s="468"/>
      <c r="WYI11" s="468"/>
      <c r="WYJ11" s="469"/>
      <c r="WYK11" s="467" t="s">
        <v>34</v>
      </c>
      <c r="WYL11" s="468"/>
      <c r="WYM11" s="468"/>
      <c r="WYN11" s="468"/>
      <c r="WYO11" s="468"/>
      <c r="WYP11" s="468"/>
      <c r="WYQ11" s="468"/>
      <c r="WYR11" s="468"/>
      <c r="WYS11" s="468"/>
      <c r="WYT11" s="468"/>
      <c r="WYU11" s="468"/>
      <c r="WYV11" s="468"/>
      <c r="WYW11" s="468"/>
      <c r="WYX11" s="468"/>
      <c r="WYY11" s="468"/>
      <c r="WYZ11" s="469"/>
      <c r="WZA11" s="467" t="s">
        <v>34</v>
      </c>
      <c r="WZB11" s="468"/>
      <c r="WZC11" s="468"/>
      <c r="WZD11" s="468"/>
      <c r="WZE11" s="468"/>
      <c r="WZF11" s="468"/>
      <c r="WZG11" s="468"/>
      <c r="WZH11" s="468"/>
      <c r="WZI11" s="468"/>
      <c r="WZJ11" s="468"/>
      <c r="WZK11" s="468"/>
      <c r="WZL11" s="468"/>
      <c r="WZM11" s="468"/>
      <c r="WZN11" s="468"/>
      <c r="WZO11" s="468"/>
      <c r="WZP11" s="469"/>
      <c r="WZQ11" s="467" t="s">
        <v>34</v>
      </c>
      <c r="WZR11" s="468"/>
      <c r="WZS11" s="468"/>
      <c r="WZT11" s="468"/>
      <c r="WZU11" s="468"/>
      <c r="WZV11" s="468"/>
      <c r="WZW11" s="468"/>
      <c r="WZX11" s="468"/>
      <c r="WZY11" s="468"/>
      <c r="WZZ11" s="468"/>
      <c r="XAA11" s="468"/>
      <c r="XAB11" s="468"/>
      <c r="XAC11" s="468"/>
      <c r="XAD11" s="468"/>
      <c r="XAE11" s="468"/>
      <c r="XAF11" s="469"/>
      <c r="XAG11" s="467" t="s">
        <v>34</v>
      </c>
      <c r="XAH11" s="468"/>
      <c r="XAI11" s="468"/>
      <c r="XAJ11" s="468"/>
      <c r="XAK11" s="468"/>
      <c r="XAL11" s="468"/>
      <c r="XAM11" s="468"/>
      <c r="XAN11" s="468"/>
      <c r="XAO11" s="468"/>
      <c r="XAP11" s="468"/>
      <c r="XAQ11" s="468"/>
      <c r="XAR11" s="468"/>
      <c r="XAS11" s="468"/>
      <c r="XAT11" s="468"/>
      <c r="XAU11" s="468"/>
      <c r="XAV11" s="469"/>
      <c r="XAW11" s="467" t="s">
        <v>34</v>
      </c>
      <c r="XAX11" s="468"/>
      <c r="XAY11" s="468"/>
      <c r="XAZ11" s="468"/>
      <c r="XBA11" s="468"/>
      <c r="XBB11" s="468"/>
      <c r="XBC11" s="468"/>
      <c r="XBD11" s="468"/>
      <c r="XBE11" s="468"/>
      <c r="XBF11" s="468"/>
      <c r="XBG11" s="468"/>
      <c r="XBH11" s="468"/>
      <c r="XBI11" s="468"/>
      <c r="XBJ11" s="468"/>
      <c r="XBK11" s="468"/>
      <c r="XBL11" s="469"/>
      <c r="XBM11" s="467" t="s">
        <v>34</v>
      </c>
      <c r="XBN11" s="468"/>
      <c r="XBO11" s="468"/>
      <c r="XBP11" s="468"/>
      <c r="XBQ11" s="468"/>
      <c r="XBR11" s="468"/>
      <c r="XBS11" s="468"/>
      <c r="XBT11" s="468"/>
      <c r="XBU11" s="468"/>
      <c r="XBV11" s="468"/>
      <c r="XBW11" s="468"/>
      <c r="XBX11" s="468"/>
      <c r="XBY11" s="468"/>
      <c r="XBZ11" s="468"/>
      <c r="XCA11" s="468"/>
      <c r="XCB11" s="469"/>
      <c r="XCC11" s="467" t="s">
        <v>34</v>
      </c>
      <c r="XCD11" s="468"/>
      <c r="XCE11" s="468"/>
      <c r="XCF11" s="468"/>
      <c r="XCG11" s="468"/>
      <c r="XCH11" s="468"/>
      <c r="XCI11" s="468"/>
      <c r="XCJ11" s="468"/>
      <c r="XCK11" s="468"/>
      <c r="XCL11" s="468"/>
      <c r="XCM11" s="468"/>
      <c r="XCN11" s="468"/>
      <c r="XCO11" s="468"/>
      <c r="XCP11" s="468"/>
      <c r="XCQ11" s="468"/>
      <c r="XCR11" s="469"/>
      <c r="XCS11" s="467" t="s">
        <v>34</v>
      </c>
      <c r="XCT11" s="468"/>
      <c r="XCU11" s="468"/>
      <c r="XCV11" s="468"/>
      <c r="XCW11" s="468"/>
      <c r="XCX11" s="468"/>
      <c r="XCY11" s="468"/>
      <c r="XCZ11" s="468"/>
      <c r="XDA11" s="468"/>
      <c r="XDB11" s="468"/>
      <c r="XDC11" s="468"/>
      <c r="XDD11" s="468"/>
      <c r="XDE11" s="468"/>
      <c r="XDF11" s="468"/>
      <c r="XDG11" s="468"/>
      <c r="XDH11" s="469"/>
      <c r="XDI11" s="467" t="s">
        <v>34</v>
      </c>
      <c r="XDJ11" s="468"/>
      <c r="XDK11" s="468"/>
      <c r="XDL11" s="468"/>
      <c r="XDM11" s="468"/>
      <c r="XDN11" s="468"/>
      <c r="XDO11" s="468"/>
      <c r="XDP11" s="468"/>
      <c r="XDQ11" s="468"/>
      <c r="XDR11" s="468"/>
      <c r="XDS11" s="468"/>
      <c r="XDT11" s="468"/>
      <c r="XDU11" s="468"/>
      <c r="XDV11" s="468"/>
      <c r="XDW11" s="468"/>
      <c r="XDX11" s="469"/>
      <c r="XDY11" s="467" t="s">
        <v>34</v>
      </c>
      <c r="XDZ11" s="468"/>
      <c r="XEA11" s="468"/>
      <c r="XEB11" s="468"/>
      <c r="XEC11" s="468"/>
      <c r="XED11" s="468"/>
      <c r="XEE11" s="468"/>
      <c r="XEF11" s="468"/>
      <c r="XEG11" s="468"/>
      <c r="XEH11" s="468"/>
      <c r="XEI11" s="468"/>
      <c r="XEJ11" s="468"/>
      <c r="XEK11" s="468"/>
      <c r="XEL11" s="468"/>
      <c r="XEM11" s="468"/>
      <c r="XEN11" s="469"/>
      <c r="XEO11" s="467" t="s">
        <v>34</v>
      </c>
      <c r="XEP11" s="468"/>
      <c r="XEQ11" s="468"/>
      <c r="XER11" s="468"/>
      <c r="XES11" s="468"/>
      <c r="XET11" s="468"/>
      <c r="XEU11" s="468"/>
      <c r="XEV11" s="468"/>
      <c r="XEW11" s="468"/>
      <c r="XEX11" s="468"/>
      <c r="XEY11" s="468"/>
      <c r="XEZ11" s="468"/>
      <c r="XFA11" s="468"/>
      <c r="XFB11" s="468"/>
      <c r="XFC11" s="468"/>
      <c r="XFD11" s="469"/>
    </row>
    <row r="12" spans="1:16384" ht="17.25" customHeight="1" x14ac:dyDescent="0.3">
      <c r="A12" s="90" t="s">
        <v>35</v>
      </c>
      <c r="B12" s="209"/>
      <c r="C12" s="3"/>
      <c r="D12" s="3"/>
      <c r="E12" s="3"/>
      <c r="F12" s="3"/>
      <c r="G12" s="26"/>
      <c r="H12" s="3"/>
      <c r="I12" s="3"/>
      <c r="J12" s="73"/>
      <c r="K12" s="73"/>
      <c r="L12" s="73"/>
      <c r="M12" s="73"/>
      <c r="N12" s="73"/>
      <c r="O12" s="3"/>
      <c r="P12" s="3"/>
    </row>
    <row r="13" spans="1:16384" ht="17.25" customHeight="1" x14ac:dyDescent="0.3">
      <c r="A13" s="210">
        <v>1</v>
      </c>
      <c r="B13" s="21" t="s">
        <v>36</v>
      </c>
      <c r="C13" s="5">
        <v>1967</v>
      </c>
      <c r="D13" s="169"/>
      <c r="E13" s="169" t="s">
        <v>3645</v>
      </c>
      <c r="F13" s="169">
        <v>5</v>
      </c>
      <c r="G13" s="25">
        <v>6</v>
      </c>
      <c r="H13" s="85">
        <v>6245.43</v>
      </c>
      <c r="I13" s="86" t="s">
        <v>3649</v>
      </c>
      <c r="J13" s="19">
        <f>K13+L13+M13+N13</f>
        <v>1410533.58</v>
      </c>
      <c r="K13" s="19"/>
      <c r="L13" s="19"/>
      <c r="M13" s="19"/>
      <c r="N13" s="19">
        <f>SUMIF('2020'!B:B,B13,'2020'!C:C)+SUMIF('2021'!B:B,B13,'2021'!C:C)+SUMIF('2022'!B:B,B13,'2022'!C:C)</f>
        <v>1410533.58</v>
      </c>
      <c r="O13" s="17">
        <v>44925</v>
      </c>
      <c r="P13" s="85" t="s">
        <v>3728</v>
      </c>
    </row>
    <row r="14" spans="1:16384" ht="17.25" customHeight="1" x14ac:dyDescent="0.3">
      <c r="A14" s="210">
        <f>A13+1</f>
        <v>2</v>
      </c>
      <c r="B14" s="21" t="s">
        <v>37</v>
      </c>
      <c r="C14" s="5">
        <v>1967</v>
      </c>
      <c r="D14" s="169"/>
      <c r="E14" s="169" t="s">
        <v>3645</v>
      </c>
      <c r="F14" s="169">
        <v>5</v>
      </c>
      <c r="G14" s="25">
        <v>4</v>
      </c>
      <c r="H14" s="85">
        <v>4773.8</v>
      </c>
      <c r="I14" s="86" t="s">
        <v>3650</v>
      </c>
      <c r="J14" s="19">
        <f t="shared" ref="J14:J77" si="0">K14+L14+M14+N14</f>
        <v>1191050.6599999999</v>
      </c>
      <c r="K14" s="19"/>
      <c r="L14" s="19"/>
      <c r="M14" s="19"/>
      <c r="N14" s="19">
        <f>SUMIF('2020'!B:B,B14,'2020'!C:C)+SUMIF('2021'!B:B,B14,'2021'!C:C)+SUMIF('2022'!B:B,B14,'2022'!C:C)</f>
        <v>1191050.6599999999</v>
      </c>
      <c r="O14" s="17">
        <v>44925</v>
      </c>
      <c r="P14" s="85" t="s">
        <v>3728</v>
      </c>
    </row>
    <row r="15" spans="1:16384" ht="17.25" customHeight="1" x14ac:dyDescent="0.3">
      <c r="A15" s="210">
        <f t="shared" ref="A15:A78" si="1">A14+1</f>
        <v>3</v>
      </c>
      <c r="B15" s="21" t="s">
        <v>38</v>
      </c>
      <c r="C15" s="5">
        <v>1961</v>
      </c>
      <c r="D15" s="169"/>
      <c r="E15" s="169" t="s">
        <v>3646</v>
      </c>
      <c r="F15" s="169">
        <v>3</v>
      </c>
      <c r="G15" s="25">
        <v>3</v>
      </c>
      <c r="H15" s="85">
        <v>1275.21</v>
      </c>
      <c r="I15" s="86" t="s">
        <v>3651</v>
      </c>
      <c r="J15" s="19">
        <f t="shared" si="0"/>
        <v>1815254.63</v>
      </c>
      <c r="K15" s="19"/>
      <c r="L15" s="19"/>
      <c r="M15" s="19"/>
      <c r="N15" s="19">
        <f>SUMIF('2020'!B:B,B15,'2020'!C:C)+SUMIF('2021'!B:B,B15,'2021'!C:C)+SUMIF('2022'!B:B,B15,'2022'!C:C)</f>
        <v>1815254.63</v>
      </c>
      <c r="O15" s="17">
        <v>44925</v>
      </c>
      <c r="P15" s="85" t="s">
        <v>3728</v>
      </c>
    </row>
    <row r="16" spans="1:16384" ht="17.25" customHeight="1" x14ac:dyDescent="0.3">
      <c r="A16" s="210">
        <f t="shared" si="1"/>
        <v>4</v>
      </c>
      <c r="B16" s="21" t="s">
        <v>39</v>
      </c>
      <c r="C16" s="5">
        <v>1968</v>
      </c>
      <c r="D16" s="169"/>
      <c r="E16" s="169" t="s">
        <v>3645</v>
      </c>
      <c r="F16" s="169">
        <v>5</v>
      </c>
      <c r="G16" s="25">
        <v>4</v>
      </c>
      <c r="H16" s="85">
        <v>4640.58</v>
      </c>
      <c r="I16" s="86" t="s">
        <v>3652</v>
      </c>
      <c r="J16" s="19">
        <f t="shared" si="0"/>
        <v>1586900.3399999999</v>
      </c>
      <c r="K16" s="19"/>
      <c r="L16" s="19"/>
      <c r="M16" s="19"/>
      <c r="N16" s="19">
        <f>SUMIF('2020'!B:B,B16,'2020'!C:C)+SUMIF('2021'!B:B,B16,'2021'!C:C)+SUMIF('2022'!B:B,B16,'2022'!C:C)</f>
        <v>1586900.3399999999</v>
      </c>
      <c r="O16" s="17">
        <v>44925</v>
      </c>
      <c r="P16" s="85" t="s">
        <v>3728</v>
      </c>
    </row>
    <row r="17" spans="1:16" ht="17.25" customHeight="1" x14ac:dyDescent="0.3">
      <c r="A17" s="210">
        <f t="shared" si="1"/>
        <v>5</v>
      </c>
      <c r="B17" s="21" t="s">
        <v>40</v>
      </c>
      <c r="C17" s="5">
        <v>1961</v>
      </c>
      <c r="D17" s="169"/>
      <c r="E17" s="169" t="s">
        <v>3646</v>
      </c>
      <c r="F17" s="169">
        <v>3</v>
      </c>
      <c r="G17" s="25">
        <v>2</v>
      </c>
      <c r="H17" s="85">
        <v>1327.86</v>
      </c>
      <c r="I17" s="86" t="s">
        <v>3653</v>
      </c>
      <c r="J17" s="19">
        <f t="shared" si="0"/>
        <v>1845649.98</v>
      </c>
      <c r="K17" s="19"/>
      <c r="L17" s="19"/>
      <c r="M17" s="19"/>
      <c r="N17" s="19">
        <f>SUMIF('2020'!B:B,B17,'2020'!C:C)+SUMIF('2021'!B:B,B17,'2021'!C:C)+SUMIF('2022'!B:B,B17,'2022'!C:C)</f>
        <v>1845649.98</v>
      </c>
      <c r="O17" s="17">
        <v>44925</v>
      </c>
      <c r="P17" s="85" t="s">
        <v>3728</v>
      </c>
    </row>
    <row r="18" spans="1:16" ht="17.25" customHeight="1" x14ac:dyDescent="0.3">
      <c r="A18" s="210">
        <f t="shared" si="1"/>
        <v>6</v>
      </c>
      <c r="B18" s="21" t="s">
        <v>41</v>
      </c>
      <c r="C18" s="5">
        <v>1970</v>
      </c>
      <c r="D18" s="169"/>
      <c r="E18" s="169" t="s">
        <v>3645</v>
      </c>
      <c r="F18" s="169">
        <v>5</v>
      </c>
      <c r="G18" s="25">
        <v>6</v>
      </c>
      <c r="H18" s="85">
        <v>6275.53</v>
      </c>
      <c r="I18" s="86" t="s">
        <v>3654</v>
      </c>
      <c r="J18" s="19">
        <f t="shared" si="0"/>
        <v>1410011.58</v>
      </c>
      <c r="K18" s="19"/>
      <c r="L18" s="19"/>
      <c r="M18" s="19"/>
      <c r="N18" s="19">
        <f>SUMIF('2020'!B:B,B18,'2020'!C:C)+SUMIF('2021'!B:B,B18,'2021'!C:C)+SUMIF('2022'!B:B,B18,'2022'!C:C)</f>
        <v>1410011.58</v>
      </c>
      <c r="O18" s="17">
        <v>44925</v>
      </c>
      <c r="P18" s="85" t="s">
        <v>3728</v>
      </c>
    </row>
    <row r="19" spans="1:16" ht="17.25" customHeight="1" x14ac:dyDescent="0.3">
      <c r="A19" s="210">
        <f t="shared" si="1"/>
        <v>7</v>
      </c>
      <c r="B19" s="21" t="s">
        <v>42</v>
      </c>
      <c r="C19" s="5">
        <v>1971</v>
      </c>
      <c r="D19" s="169"/>
      <c r="E19" s="169" t="s">
        <v>3645</v>
      </c>
      <c r="F19" s="169">
        <v>5</v>
      </c>
      <c r="G19" s="25">
        <v>6</v>
      </c>
      <c r="H19" s="85">
        <v>6319.37</v>
      </c>
      <c r="I19" s="86" t="s">
        <v>3655</v>
      </c>
      <c r="J19" s="19">
        <f t="shared" si="0"/>
        <v>845175.97</v>
      </c>
      <c r="K19" s="19"/>
      <c r="L19" s="19"/>
      <c r="M19" s="19"/>
      <c r="N19" s="19">
        <f>SUMIF('2020'!B:B,B19,'2020'!C:C)+SUMIF('2021'!B:B,B19,'2021'!C:C)+SUMIF('2022'!B:B,B19,'2022'!C:C)</f>
        <v>845175.97</v>
      </c>
      <c r="O19" s="17">
        <v>44925</v>
      </c>
      <c r="P19" s="85" t="s">
        <v>3728</v>
      </c>
    </row>
    <row r="20" spans="1:16" ht="17.25" customHeight="1" x14ac:dyDescent="0.3">
      <c r="A20" s="210">
        <f t="shared" si="1"/>
        <v>8</v>
      </c>
      <c r="B20" s="21" t="s">
        <v>43</v>
      </c>
      <c r="C20" s="5">
        <v>1940</v>
      </c>
      <c r="D20" s="169"/>
      <c r="E20" s="169" t="s">
        <v>3645</v>
      </c>
      <c r="F20" s="169">
        <v>4</v>
      </c>
      <c r="G20" s="25">
        <v>4</v>
      </c>
      <c r="H20" s="85">
        <v>3813.2</v>
      </c>
      <c r="I20" s="86" t="s">
        <v>3656</v>
      </c>
      <c r="J20" s="19">
        <f t="shared" si="0"/>
        <v>32662708.149999999</v>
      </c>
      <c r="K20" s="19"/>
      <c r="L20" s="19"/>
      <c r="M20" s="19"/>
      <c r="N20" s="19">
        <f>SUMIF('2020'!B:B,B20,'2020'!C:C)+SUMIF('2021'!B:B,B20,'2021'!C:C)+SUMIF('2022'!B:B,B20,'2022'!C:C)</f>
        <v>32662708.149999999</v>
      </c>
      <c r="O20" s="17">
        <v>44925</v>
      </c>
      <c r="P20" s="85" t="s">
        <v>3728</v>
      </c>
    </row>
    <row r="21" spans="1:16" ht="17.25" customHeight="1" x14ac:dyDescent="0.3">
      <c r="A21" s="210">
        <f t="shared" si="1"/>
        <v>9</v>
      </c>
      <c r="B21" s="21" t="s">
        <v>44</v>
      </c>
      <c r="C21" s="5">
        <v>1954</v>
      </c>
      <c r="D21" s="169"/>
      <c r="E21" s="169" t="s">
        <v>3646</v>
      </c>
      <c r="F21" s="169">
        <v>3</v>
      </c>
      <c r="G21" s="25"/>
      <c r="H21" s="85">
        <v>7964.5</v>
      </c>
      <c r="I21" s="86" t="s">
        <v>3657</v>
      </c>
      <c r="J21" s="19">
        <f t="shared" si="0"/>
        <v>6843952.0600000005</v>
      </c>
      <c r="K21" s="19"/>
      <c r="L21" s="19"/>
      <c r="M21" s="19"/>
      <c r="N21" s="19">
        <f>SUMIF('2020'!B:B,B21,'2020'!C:C)+SUMIF('2021'!B:B,B21,'2021'!C:C)+SUMIF('2022'!B:B,B21,'2022'!C:C)</f>
        <v>6843952.0600000005</v>
      </c>
      <c r="O21" s="17">
        <v>44925</v>
      </c>
      <c r="P21" s="85" t="s">
        <v>3728</v>
      </c>
    </row>
    <row r="22" spans="1:16" ht="17.25" customHeight="1" x14ac:dyDescent="0.3">
      <c r="A22" s="210">
        <f t="shared" si="1"/>
        <v>10</v>
      </c>
      <c r="B22" s="21" t="s">
        <v>45</v>
      </c>
      <c r="C22" s="5">
        <v>1959</v>
      </c>
      <c r="D22" s="169"/>
      <c r="E22" s="169" t="s">
        <v>3646</v>
      </c>
      <c r="F22" s="87" t="s">
        <v>3648</v>
      </c>
      <c r="G22" s="25"/>
      <c r="H22" s="85">
        <v>4251.54</v>
      </c>
      <c r="I22" s="86" t="s">
        <v>3658</v>
      </c>
      <c r="J22" s="19">
        <f t="shared" si="0"/>
        <v>2770181.87</v>
      </c>
      <c r="K22" s="19"/>
      <c r="L22" s="19"/>
      <c r="M22" s="19"/>
      <c r="N22" s="19">
        <f>SUMIF('2020'!B:B,B22,'2020'!C:C)+SUMIF('2021'!B:B,B22,'2021'!C:C)+SUMIF('2022'!B:B,B22,'2022'!C:C)</f>
        <v>2770181.87</v>
      </c>
      <c r="O22" s="17">
        <v>44925</v>
      </c>
      <c r="P22" s="85" t="s">
        <v>3728</v>
      </c>
    </row>
    <row r="23" spans="1:16" ht="17.25" customHeight="1" x14ac:dyDescent="0.3">
      <c r="A23" s="210">
        <f t="shared" si="1"/>
        <v>11</v>
      </c>
      <c r="B23" s="21" t="s">
        <v>46</v>
      </c>
      <c r="C23" s="5">
        <v>1958</v>
      </c>
      <c r="D23" s="169"/>
      <c r="E23" s="169" t="s">
        <v>3646</v>
      </c>
      <c r="F23" s="169">
        <v>5</v>
      </c>
      <c r="G23" s="25"/>
      <c r="H23" s="85">
        <v>1277.93</v>
      </c>
      <c r="I23" s="86" t="s">
        <v>3659</v>
      </c>
      <c r="J23" s="19">
        <f t="shared" si="0"/>
        <v>988015.59000000008</v>
      </c>
      <c r="K23" s="19"/>
      <c r="L23" s="19"/>
      <c r="M23" s="19"/>
      <c r="N23" s="19">
        <f>SUMIF('2020'!B:B,B23,'2020'!C:C)+SUMIF('2021'!B:B,B23,'2021'!C:C)+SUMIF('2022'!B:B,B23,'2022'!C:C)</f>
        <v>988015.59000000008</v>
      </c>
      <c r="O23" s="17">
        <v>44925</v>
      </c>
      <c r="P23" s="85" t="s">
        <v>3728</v>
      </c>
    </row>
    <row r="24" spans="1:16" ht="17.25" customHeight="1" x14ac:dyDescent="0.3">
      <c r="A24" s="210">
        <f t="shared" si="1"/>
        <v>12</v>
      </c>
      <c r="B24" s="21" t="s">
        <v>47</v>
      </c>
      <c r="C24" s="5">
        <v>1967</v>
      </c>
      <c r="D24" s="169"/>
      <c r="E24" s="169" t="s">
        <v>3645</v>
      </c>
      <c r="F24" s="169">
        <v>4</v>
      </c>
      <c r="G24" s="25">
        <v>3</v>
      </c>
      <c r="H24" s="85">
        <v>2820.7</v>
      </c>
      <c r="I24" s="86" t="s">
        <v>3660</v>
      </c>
      <c r="J24" s="19">
        <f t="shared" si="0"/>
        <v>130000</v>
      </c>
      <c r="K24" s="19"/>
      <c r="L24" s="19"/>
      <c r="M24" s="19"/>
      <c r="N24" s="19">
        <f>SUMIF('2020'!B:B,B24,'2020'!C:C)+SUMIF('2021'!B:B,B24,'2021'!C:C)+SUMIF('2022'!B:B,B24,'2022'!C:C)</f>
        <v>130000</v>
      </c>
      <c r="O24" s="17">
        <v>44925</v>
      </c>
      <c r="P24" s="85" t="s">
        <v>3728</v>
      </c>
    </row>
    <row r="25" spans="1:16" ht="17.25" customHeight="1" x14ac:dyDescent="0.3">
      <c r="A25" s="210">
        <f t="shared" si="1"/>
        <v>13</v>
      </c>
      <c r="B25" s="21" t="s">
        <v>48</v>
      </c>
      <c r="C25" s="5">
        <v>1955</v>
      </c>
      <c r="D25" s="169"/>
      <c r="E25" s="169" t="s">
        <v>3645</v>
      </c>
      <c r="F25" s="87" t="s">
        <v>3648</v>
      </c>
      <c r="G25" s="25"/>
      <c r="H25" s="85">
        <v>4323.07</v>
      </c>
      <c r="I25" s="86" t="s">
        <v>3661</v>
      </c>
      <c r="J25" s="19">
        <f t="shared" si="0"/>
        <v>2251306.25</v>
      </c>
      <c r="K25" s="19"/>
      <c r="L25" s="19"/>
      <c r="M25" s="19"/>
      <c r="N25" s="19">
        <f>SUMIF('2020'!B:B,B25,'2020'!C:C)+SUMIF('2021'!B:B,B25,'2021'!C:C)+SUMIF('2022'!B:B,B25,'2022'!C:C)</f>
        <v>2251306.25</v>
      </c>
      <c r="O25" s="17">
        <v>44925</v>
      </c>
      <c r="P25" s="85" t="s">
        <v>3728</v>
      </c>
    </row>
    <row r="26" spans="1:16" ht="17.25" customHeight="1" x14ac:dyDescent="0.3">
      <c r="A26" s="210">
        <f t="shared" si="1"/>
        <v>14</v>
      </c>
      <c r="B26" s="21" t="s">
        <v>49</v>
      </c>
      <c r="C26" s="5">
        <v>1953</v>
      </c>
      <c r="D26" s="169"/>
      <c r="E26" s="169" t="s">
        <v>3646</v>
      </c>
      <c r="F26" s="169">
        <v>2</v>
      </c>
      <c r="G26" s="25"/>
      <c r="H26" s="85">
        <v>1036.8699999999999</v>
      </c>
      <c r="I26" s="86" t="s">
        <v>3653</v>
      </c>
      <c r="J26" s="19">
        <f t="shared" si="0"/>
        <v>130000</v>
      </c>
      <c r="K26" s="19"/>
      <c r="L26" s="19"/>
      <c r="M26" s="19"/>
      <c r="N26" s="19">
        <f>SUMIF('2020'!B:B,B26,'2020'!C:C)+SUMIF('2021'!B:B,B26,'2021'!C:C)+SUMIF('2022'!B:B,B26,'2022'!C:C)</f>
        <v>130000</v>
      </c>
      <c r="O26" s="17">
        <v>44925</v>
      </c>
      <c r="P26" s="85" t="s">
        <v>3728</v>
      </c>
    </row>
    <row r="27" spans="1:16" ht="17.25" customHeight="1" x14ac:dyDescent="0.3">
      <c r="A27" s="210">
        <f t="shared" si="1"/>
        <v>15</v>
      </c>
      <c r="B27" s="21" t="s">
        <v>50</v>
      </c>
      <c r="C27" s="5">
        <v>1958</v>
      </c>
      <c r="D27" s="169"/>
      <c r="E27" s="169" t="s">
        <v>3646</v>
      </c>
      <c r="F27" s="169">
        <v>3</v>
      </c>
      <c r="G27" s="25"/>
      <c r="H27" s="85">
        <v>2291.92</v>
      </c>
      <c r="I27" s="86" t="s">
        <v>3662</v>
      </c>
      <c r="J27" s="19">
        <f t="shared" si="0"/>
        <v>463456.44999999995</v>
      </c>
      <c r="K27" s="19"/>
      <c r="L27" s="19"/>
      <c r="M27" s="19"/>
      <c r="N27" s="19">
        <f>SUMIF('2020'!B:B,B27,'2020'!C:C)+SUMIF('2021'!B:B,B27,'2021'!C:C)+SUMIF('2022'!B:B,B27,'2022'!C:C)</f>
        <v>463456.44999999995</v>
      </c>
      <c r="O27" s="17">
        <v>44925</v>
      </c>
      <c r="P27" s="85" t="s">
        <v>3728</v>
      </c>
    </row>
    <row r="28" spans="1:16" ht="17.25" customHeight="1" x14ac:dyDescent="0.3">
      <c r="A28" s="210">
        <f t="shared" si="1"/>
        <v>16</v>
      </c>
      <c r="B28" s="21" t="s">
        <v>51</v>
      </c>
      <c r="C28" s="5">
        <v>1958</v>
      </c>
      <c r="D28" s="169"/>
      <c r="E28" s="169" t="s">
        <v>3646</v>
      </c>
      <c r="F28" s="169">
        <v>3</v>
      </c>
      <c r="G28" s="25"/>
      <c r="H28" s="85">
        <v>1480.34</v>
      </c>
      <c r="I28" s="86" t="s">
        <v>3663</v>
      </c>
      <c r="J28" s="19">
        <f t="shared" si="0"/>
        <v>1189493.8099999998</v>
      </c>
      <c r="K28" s="19"/>
      <c r="L28" s="19"/>
      <c r="M28" s="19"/>
      <c r="N28" s="19">
        <f>SUMIF('2020'!B:B,B28,'2020'!C:C)+SUMIF('2021'!B:B,B28,'2021'!C:C)+SUMIF('2022'!B:B,B28,'2022'!C:C)</f>
        <v>1189493.8099999998</v>
      </c>
      <c r="O28" s="17">
        <v>44925</v>
      </c>
      <c r="P28" s="85" t="s">
        <v>3728</v>
      </c>
    </row>
    <row r="29" spans="1:16" ht="17.25" customHeight="1" x14ac:dyDescent="0.3">
      <c r="A29" s="210">
        <f t="shared" si="1"/>
        <v>17</v>
      </c>
      <c r="B29" s="21" t="s">
        <v>52</v>
      </c>
      <c r="C29" s="5">
        <v>1958</v>
      </c>
      <c r="D29" s="169"/>
      <c r="E29" s="169" t="s">
        <v>3646</v>
      </c>
      <c r="F29" s="169">
        <v>3</v>
      </c>
      <c r="G29" s="25"/>
      <c r="H29" s="85">
        <v>3128.07</v>
      </c>
      <c r="I29" s="86" t="s">
        <v>3664</v>
      </c>
      <c r="J29" s="19">
        <f t="shared" si="0"/>
        <v>1742142.14</v>
      </c>
      <c r="K29" s="19"/>
      <c r="L29" s="19"/>
      <c r="M29" s="19"/>
      <c r="N29" s="19">
        <f>SUMIF('2020'!B:B,B29,'2020'!C:C)+SUMIF('2021'!B:B,B29,'2021'!C:C)+SUMIF('2022'!B:B,B29,'2022'!C:C)</f>
        <v>1742142.14</v>
      </c>
      <c r="O29" s="17">
        <v>44925</v>
      </c>
      <c r="P29" s="85" t="s">
        <v>3728</v>
      </c>
    </row>
    <row r="30" spans="1:16" ht="17.25" customHeight="1" x14ac:dyDescent="0.3">
      <c r="A30" s="210">
        <f t="shared" si="1"/>
        <v>18</v>
      </c>
      <c r="B30" s="21" t="s">
        <v>53</v>
      </c>
      <c r="C30" s="5">
        <v>1958</v>
      </c>
      <c r="D30" s="169"/>
      <c r="E30" s="169" t="s">
        <v>3646</v>
      </c>
      <c r="F30" s="169">
        <v>3</v>
      </c>
      <c r="G30" s="25"/>
      <c r="H30" s="85">
        <v>1824</v>
      </c>
      <c r="I30" s="86" t="s">
        <v>3665</v>
      </c>
      <c r="J30" s="19">
        <f t="shared" si="0"/>
        <v>5526998.2699999996</v>
      </c>
      <c r="K30" s="19"/>
      <c r="L30" s="19"/>
      <c r="M30" s="19"/>
      <c r="N30" s="19">
        <f>SUMIF('2020'!B:B,B30,'2020'!C:C)+SUMIF('2021'!B:B,B30,'2021'!C:C)+SUMIF('2022'!B:B,B30,'2022'!C:C)</f>
        <v>5526998.2699999996</v>
      </c>
      <c r="O30" s="17">
        <v>44925</v>
      </c>
      <c r="P30" s="85" t="s">
        <v>3728</v>
      </c>
    </row>
    <row r="31" spans="1:16" ht="17.25" customHeight="1" x14ac:dyDescent="0.3">
      <c r="A31" s="210">
        <f t="shared" si="1"/>
        <v>19</v>
      </c>
      <c r="B31" s="21" t="s">
        <v>54</v>
      </c>
      <c r="C31" s="5">
        <v>1957</v>
      </c>
      <c r="D31" s="169"/>
      <c r="E31" s="169" t="s">
        <v>3646</v>
      </c>
      <c r="F31" s="169">
        <v>3</v>
      </c>
      <c r="G31" s="25"/>
      <c r="H31" s="85">
        <v>2242.42</v>
      </c>
      <c r="I31" s="86" t="s">
        <v>3665</v>
      </c>
      <c r="J31" s="19">
        <f t="shared" si="0"/>
        <v>1285725.53</v>
      </c>
      <c r="K31" s="19"/>
      <c r="L31" s="19"/>
      <c r="M31" s="19"/>
      <c r="N31" s="19">
        <f>SUMIF('2020'!B:B,B31,'2020'!C:C)+SUMIF('2021'!B:B,B31,'2021'!C:C)+SUMIF('2022'!B:B,B31,'2022'!C:C)</f>
        <v>1285725.53</v>
      </c>
      <c r="O31" s="17">
        <v>44925</v>
      </c>
      <c r="P31" s="85" t="s">
        <v>3728</v>
      </c>
    </row>
    <row r="32" spans="1:16" ht="17.25" customHeight="1" x14ac:dyDescent="0.3">
      <c r="A32" s="210">
        <f t="shared" si="1"/>
        <v>20</v>
      </c>
      <c r="B32" s="21" t="s">
        <v>55</v>
      </c>
      <c r="C32" s="5">
        <v>1957</v>
      </c>
      <c r="D32" s="169"/>
      <c r="E32" s="169" t="s">
        <v>3646</v>
      </c>
      <c r="F32" s="169">
        <v>3</v>
      </c>
      <c r="G32" s="25"/>
      <c r="H32" s="85">
        <v>2134.85</v>
      </c>
      <c r="I32" s="86" t="s">
        <v>3666</v>
      </c>
      <c r="J32" s="19">
        <f t="shared" si="0"/>
        <v>5175837.17</v>
      </c>
      <c r="K32" s="19"/>
      <c r="L32" s="19"/>
      <c r="M32" s="19"/>
      <c r="N32" s="19">
        <f>SUMIF('2020'!B:B,B32,'2020'!C:C)+SUMIF('2021'!B:B,B32,'2021'!C:C)+SUMIF('2022'!B:B,B32,'2022'!C:C)</f>
        <v>5175837.17</v>
      </c>
      <c r="O32" s="17">
        <v>44925</v>
      </c>
      <c r="P32" s="85" t="s">
        <v>3728</v>
      </c>
    </row>
    <row r="33" spans="1:16" ht="17.25" customHeight="1" x14ac:dyDescent="0.3">
      <c r="A33" s="210">
        <f t="shared" si="1"/>
        <v>21</v>
      </c>
      <c r="B33" s="21" t="s">
        <v>56</v>
      </c>
      <c r="C33" s="5">
        <v>1956</v>
      </c>
      <c r="D33" s="169"/>
      <c r="E33" s="169" t="s">
        <v>3646</v>
      </c>
      <c r="F33" s="169">
        <v>3</v>
      </c>
      <c r="G33" s="25">
        <v>3</v>
      </c>
      <c r="H33" s="85">
        <v>2071.09</v>
      </c>
      <c r="I33" s="86" t="s">
        <v>3667</v>
      </c>
      <c r="J33" s="19">
        <f t="shared" si="0"/>
        <v>3452762.52</v>
      </c>
      <c r="K33" s="19"/>
      <c r="L33" s="19"/>
      <c r="M33" s="19"/>
      <c r="N33" s="19">
        <f>SUMIF('2020'!B:B,B33,'2020'!C:C)+SUMIF('2021'!B:B,B33,'2021'!C:C)+SUMIF('2022'!B:B,B33,'2022'!C:C)</f>
        <v>3452762.52</v>
      </c>
      <c r="O33" s="17">
        <v>44925</v>
      </c>
      <c r="P33" s="85" t="s">
        <v>3728</v>
      </c>
    </row>
    <row r="34" spans="1:16" ht="17.25" customHeight="1" x14ac:dyDescent="0.3">
      <c r="A34" s="210">
        <f t="shared" si="1"/>
        <v>22</v>
      </c>
      <c r="B34" s="21" t="s">
        <v>57</v>
      </c>
      <c r="C34" s="5">
        <v>1957</v>
      </c>
      <c r="D34" s="169"/>
      <c r="E34" s="169" t="s">
        <v>3646</v>
      </c>
      <c r="F34" s="169">
        <v>3</v>
      </c>
      <c r="G34" s="25">
        <v>4</v>
      </c>
      <c r="H34" s="85">
        <v>2454.8200000000002</v>
      </c>
      <c r="I34" s="86" t="s">
        <v>3668</v>
      </c>
      <c r="J34" s="19">
        <f t="shared" si="0"/>
        <v>1613268.04</v>
      </c>
      <c r="K34" s="19"/>
      <c r="L34" s="19"/>
      <c r="M34" s="19"/>
      <c r="N34" s="19">
        <f>SUMIF('2020'!B:B,B34,'2020'!C:C)+SUMIF('2021'!B:B,B34,'2021'!C:C)+SUMIF('2022'!B:B,B34,'2022'!C:C)</f>
        <v>1613268.04</v>
      </c>
      <c r="O34" s="17">
        <v>44925</v>
      </c>
      <c r="P34" s="85" t="s">
        <v>3728</v>
      </c>
    </row>
    <row r="35" spans="1:16" ht="17.25" customHeight="1" x14ac:dyDescent="0.3">
      <c r="A35" s="210">
        <f t="shared" si="1"/>
        <v>23</v>
      </c>
      <c r="B35" s="21" t="s">
        <v>58</v>
      </c>
      <c r="C35" s="5">
        <v>1956</v>
      </c>
      <c r="D35" s="169"/>
      <c r="E35" s="169" t="s">
        <v>3646</v>
      </c>
      <c r="F35" s="169">
        <v>3</v>
      </c>
      <c r="G35" s="25">
        <v>2</v>
      </c>
      <c r="H35" s="85">
        <v>1727.21</v>
      </c>
      <c r="I35" s="86" t="s">
        <v>3669</v>
      </c>
      <c r="J35" s="19">
        <f t="shared" si="0"/>
        <v>216696.98</v>
      </c>
      <c r="K35" s="19"/>
      <c r="L35" s="19"/>
      <c r="M35" s="19"/>
      <c r="N35" s="19">
        <f>SUMIF('2020'!B:B,B35,'2020'!C:C)+SUMIF('2021'!B:B,B35,'2021'!C:C)+SUMIF('2022'!B:B,B35,'2022'!C:C)</f>
        <v>216696.98</v>
      </c>
      <c r="O35" s="17">
        <v>44925</v>
      </c>
      <c r="P35" s="85" t="s">
        <v>3728</v>
      </c>
    </row>
    <row r="36" spans="1:16" ht="17.25" customHeight="1" x14ac:dyDescent="0.3">
      <c r="A36" s="210">
        <f t="shared" si="1"/>
        <v>24</v>
      </c>
      <c r="B36" s="21" t="s">
        <v>59</v>
      </c>
      <c r="C36" s="5">
        <v>1956</v>
      </c>
      <c r="D36" s="169"/>
      <c r="E36" s="169" t="s">
        <v>3646</v>
      </c>
      <c r="F36" s="169">
        <v>3</v>
      </c>
      <c r="G36" s="25"/>
      <c r="H36" s="85">
        <v>1708.53</v>
      </c>
      <c r="I36" s="86" t="s">
        <v>3670</v>
      </c>
      <c r="J36" s="19">
        <f t="shared" si="0"/>
        <v>972938.56</v>
      </c>
      <c r="K36" s="19"/>
      <c r="L36" s="19"/>
      <c r="M36" s="19"/>
      <c r="N36" s="19">
        <f>SUMIF('2020'!B:B,B36,'2020'!C:C)+SUMIF('2021'!B:B,B36,'2021'!C:C)+SUMIF('2022'!B:B,B36,'2022'!C:C)</f>
        <v>972938.56</v>
      </c>
      <c r="O36" s="17">
        <v>44925</v>
      </c>
      <c r="P36" s="85" t="s">
        <v>3728</v>
      </c>
    </row>
    <row r="37" spans="1:16" ht="17.25" customHeight="1" x14ac:dyDescent="0.3">
      <c r="A37" s="210">
        <f t="shared" si="1"/>
        <v>25</v>
      </c>
      <c r="B37" s="21" t="s">
        <v>60</v>
      </c>
      <c r="C37" s="5">
        <v>1957</v>
      </c>
      <c r="D37" s="169"/>
      <c r="E37" s="169" t="s">
        <v>3646</v>
      </c>
      <c r="F37" s="169">
        <v>3</v>
      </c>
      <c r="G37" s="25"/>
      <c r="H37" s="85">
        <v>2818.81</v>
      </c>
      <c r="I37" s="86" t="s">
        <v>3671</v>
      </c>
      <c r="J37" s="19">
        <f t="shared" si="0"/>
        <v>303282.93000000005</v>
      </c>
      <c r="K37" s="19"/>
      <c r="L37" s="19"/>
      <c r="M37" s="19"/>
      <c r="N37" s="19">
        <f>SUMIF('2020'!B:B,B37,'2020'!C:C)+SUMIF('2021'!B:B,B37,'2021'!C:C)+SUMIF('2022'!B:B,B37,'2022'!C:C)</f>
        <v>303282.93000000005</v>
      </c>
      <c r="O37" s="17">
        <v>44925</v>
      </c>
      <c r="P37" s="85" t="s">
        <v>3728</v>
      </c>
    </row>
    <row r="38" spans="1:16" ht="17.25" customHeight="1" x14ac:dyDescent="0.3">
      <c r="A38" s="210">
        <f t="shared" si="1"/>
        <v>26</v>
      </c>
      <c r="B38" s="21" t="s">
        <v>61</v>
      </c>
      <c r="C38" s="5">
        <v>1956</v>
      </c>
      <c r="D38" s="169"/>
      <c r="E38" s="169" t="s">
        <v>3646</v>
      </c>
      <c r="F38" s="169">
        <v>3</v>
      </c>
      <c r="G38" s="25"/>
      <c r="H38" s="85">
        <v>1746.08</v>
      </c>
      <c r="I38" s="86" t="s">
        <v>3668</v>
      </c>
      <c r="J38" s="19">
        <f t="shared" si="0"/>
        <v>257162.1</v>
      </c>
      <c r="K38" s="19"/>
      <c r="L38" s="19"/>
      <c r="M38" s="19"/>
      <c r="N38" s="19">
        <f>SUMIF('2020'!B:B,B38,'2020'!C:C)+SUMIF('2021'!B:B,B38,'2021'!C:C)+SUMIF('2022'!B:B,B38,'2022'!C:C)</f>
        <v>257162.1</v>
      </c>
      <c r="O38" s="17">
        <v>44925</v>
      </c>
      <c r="P38" s="85" t="s">
        <v>3728</v>
      </c>
    </row>
    <row r="39" spans="1:16" ht="17.25" customHeight="1" x14ac:dyDescent="0.3">
      <c r="A39" s="210">
        <f t="shared" si="1"/>
        <v>27</v>
      </c>
      <c r="B39" s="21" t="s">
        <v>62</v>
      </c>
      <c r="C39" s="5">
        <v>1957</v>
      </c>
      <c r="D39" s="169"/>
      <c r="E39" s="169" t="s">
        <v>3646</v>
      </c>
      <c r="F39" s="169">
        <v>3</v>
      </c>
      <c r="G39" s="25"/>
      <c r="H39" s="85">
        <v>9796.26</v>
      </c>
      <c r="I39" s="86" t="s">
        <v>3672</v>
      </c>
      <c r="J39" s="19">
        <f t="shared" si="0"/>
        <v>499768.42</v>
      </c>
      <c r="K39" s="19"/>
      <c r="L39" s="19"/>
      <c r="M39" s="19"/>
      <c r="N39" s="19">
        <f>SUMIF('2020'!B:B,B39,'2020'!C:C)+SUMIF('2021'!B:B,B39,'2021'!C:C)+SUMIF('2022'!B:B,B39,'2022'!C:C)</f>
        <v>499768.42</v>
      </c>
      <c r="O39" s="17">
        <v>44925</v>
      </c>
      <c r="P39" s="85" t="s">
        <v>3728</v>
      </c>
    </row>
    <row r="40" spans="1:16" ht="17.25" customHeight="1" x14ac:dyDescent="0.3">
      <c r="A40" s="210">
        <f t="shared" si="1"/>
        <v>28</v>
      </c>
      <c r="B40" s="21" t="s">
        <v>63</v>
      </c>
      <c r="C40" s="5">
        <v>1956</v>
      </c>
      <c r="D40" s="169"/>
      <c r="E40" s="169" t="s">
        <v>3646</v>
      </c>
      <c r="F40" s="169">
        <v>2</v>
      </c>
      <c r="G40" s="25"/>
      <c r="H40" s="85">
        <v>705.07</v>
      </c>
      <c r="I40" s="86" t="s">
        <v>3653</v>
      </c>
      <c r="J40" s="19">
        <f t="shared" si="0"/>
        <v>359914.97</v>
      </c>
      <c r="K40" s="19"/>
      <c r="L40" s="19"/>
      <c r="M40" s="19"/>
      <c r="N40" s="19">
        <f>SUMIF('2020'!B:B,B40,'2020'!C:C)+SUMIF('2021'!B:B,B40,'2021'!C:C)+SUMIF('2022'!B:B,B40,'2022'!C:C)</f>
        <v>359914.97</v>
      </c>
      <c r="O40" s="17">
        <v>44925</v>
      </c>
      <c r="P40" s="85" t="s">
        <v>3728</v>
      </c>
    </row>
    <row r="41" spans="1:16" ht="17.25" customHeight="1" x14ac:dyDescent="0.3">
      <c r="A41" s="210">
        <f t="shared" si="1"/>
        <v>29</v>
      </c>
      <c r="B41" s="21" t="s">
        <v>64</v>
      </c>
      <c r="C41" s="5">
        <v>1956</v>
      </c>
      <c r="D41" s="169"/>
      <c r="E41" s="169" t="s">
        <v>3646</v>
      </c>
      <c r="F41" s="169">
        <v>3</v>
      </c>
      <c r="G41" s="25"/>
      <c r="H41" s="85">
        <v>5639.8</v>
      </c>
      <c r="I41" s="86" t="s">
        <v>3673</v>
      </c>
      <c r="J41" s="19">
        <f t="shared" si="0"/>
        <v>544716.01</v>
      </c>
      <c r="K41" s="19"/>
      <c r="L41" s="19"/>
      <c r="M41" s="19"/>
      <c r="N41" s="19">
        <f>SUMIF('2020'!B:B,B41,'2020'!C:C)+SUMIF('2021'!B:B,B41,'2021'!C:C)+SUMIF('2022'!B:B,B41,'2022'!C:C)</f>
        <v>544716.01</v>
      </c>
      <c r="O41" s="17">
        <v>44925</v>
      </c>
      <c r="P41" s="85" t="s">
        <v>3728</v>
      </c>
    </row>
    <row r="42" spans="1:16" ht="17.25" customHeight="1" x14ac:dyDescent="0.3">
      <c r="A42" s="210">
        <f t="shared" si="1"/>
        <v>30</v>
      </c>
      <c r="B42" s="21" t="s">
        <v>65</v>
      </c>
      <c r="C42" s="5">
        <v>1956</v>
      </c>
      <c r="D42" s="169"/>
      <c r="E42" s="169" t="s">
        <v>3646</v>
      </c>
      <c r="F42" s="169">
        <v>2</v>
      </c>
      <c r="G42" s="25"/>
      <c r="H42" s="85">
        <v>1120.5999999999999</v>
      </c>
      <c r="I42" s="86" t="s">
        <v>3674</v>
      </c>
      <c r="J42" s="19">
        <f t="shared" si="0"/>
        <v>374047.09</v>
      </c>
      <c r="K42" s="19"/>
      <c r="L42" s="19"/>
      <c r="M42" s="19"/>
      <c r="N42" s="19">
        <f>SUMIF('2020'!B:B,B42,'2020'!C:C)+SUMIF('2021'!B:B,B42,'2021'!C:C)+SUMIF('2022'!B:B,B42,'2022'!C:C)</f>
        <v>374047.09</v>
      </c>
      <c r="O42" s="17">
        <v>44925</v>
      </c>
      <c r="P42" s="85" t="s">
        <v>3728</v>
      </c>
    </row>
    <row r="43" spans="1:16" ht="17.25" customHeight="1" x14ac:dyDescent="0.3">
      <c r="A43" s="210">
        <f t="shared" si="1"/>
        <v>31</v>
      </c>
      <c r="B43" s="21" t="s">
        <v>66</v>
      </c>
      <c r="C43" s="5">
        <v>1975</v>
      </c>
      <c r="D43" s="169"/>
      <c r="E43" s="169" t="s">
        <v>3645</v>
      </c>
      <c r="F43" s="169">
        <v>5</v>
      </c>
      <c r="G43" s="25">
        <v>5</v>
      </c>
      <c r="H43" s="85">
        <v>5363.56</v>
      </c>
      <c r="I43" s="86" t="s">
        <v>3675</v>
      </c>
      <c r="J43" s="19">
        <f t="shared" si="0"/>
        <v>130000</v>
      </c>
      <c r="K43" s="19"/>
      <c r="L43" s="19"/>
      <c r="M43" s="19"/>
      <c r="N43" s="19">
        <f>SUMIF('2020'!B:B,B43,'2020'!C:C)+SUMIF('2021'!B:B,B43,'2021'!C:C)+SUMIF('2022'!B:B,B43,'2022'!C:C)</f>
        <v>130000</v>
      </c>
      <c r="O43" s="17">
        <v>44925</v>
      </c>
      <c r="P43" s="85" t="s">
        <v>3728</v>
      </c>
    </row>
    <row r="44" spans="1:16" ht="17.25" customHeight="1" x14ac:dyDescent="0.3">
      <c r="A44" s="210">
        <f t="shared" si="1"/>
        <v>32</v>
      </c>
      <c r="B44" s="21" t="s">
        <v>67</v>
      </c>
      <c r="C44" s="5">
        <v>1974</v>
      </c>
      <c r="D44" s="169"/>
      <c r="E44" s="169" t="s">
        <v>3645</v>
      </c>
      <c r="F44" s="169">
        <v>5</v>
      </c>
      <c r="G44" s="25">
        <v>8</v>
      </c>
      <c r="H44" s="85">
        <v>6066.74</v>
      </c>
      <c r="I44" s="86" t="s">
        <v>3676</v>
      </c>
      <c r="J44" s="19">
        <f t="shared" si="0"/>
        <v>562550.81000000006</v>
      </c>
      <c r="K44" s="19"/>
      <c r="L44" s="19"/>
      <c r="M44" s="19"/>
      <c r="N44" s="19">
        <f>SUMIF('2020'!B:B,B44,'2020'!C:C)+SUMIF('2021'!B:B,B44,'2021'!C:C)+SUMIF('2022'!B:B,B44,'2022'!C:C)</f>
        <v>562550.81000000006</v>
      </c>
      <c r="O44" s="17">
        <v>44925</v>
      </c>
      <c r="P44" s="85" t="s">
        <v>3728</v>
      </c>
    </row>
    <row r="45" spans="1:16" ht="17.25" customHeight="1" x14ac:dyDescent="0.3">
      <c r="A45" s="210">
        <f t="shared" si="1"/>
        <v>33</v>
      </c>
      <c r="B45" s="21" t="s">
        <v>68</v>
      </c>
      <c r="C45" s="5">
        <v>1977</v>
      </c>
      <c r="D45" s="169"/>
      <c r="E45" s="169" t="s">
        <v>3645</v>
      </c>
      <c r="F45" s="169">
        <v>5</v>
      </c>
      <c r="G45" s="25">
        <v>6</v>
      </c>
      <c r="H45" s="85">
        <v>6174.18</v>
      </c>
      <c r="I45" s="86" t="s">
        <v>3677</v>
      </c>
      <c r="J45" s="19">
        <f t="shared" si="0"/>
        <v>449891.2</v>
      </c>
      <c r="K45" s="19"/>
      <c r="L45" s="19"/>
      <c r="M45" s="19"/>
      <c r="N45" s="19">
        <f>SUMIF('2020'!B:B,B45,'2020'!C:C)+SUMIF('2021'!B:B,B45,'2021'!C:C)+SUMIF('2022'!B:B,B45,'2022'!C:C)</f>
        <v>449891.2</v>
      </c>
      <c r="O45" s="17">
        <v>44925</v>
      </c>
      <c r="P45" s="85" t="s">
        <v>3728</v>
      </c>
    </row>
    <row r="46" spans="1:16" ht="17.25" customHeight="1" x14ac:dyDescent="0.3">
      <c r="A46" s="210">
        <f t="shared" si="1"/>
        <v>34</v>
      </c>
      <c r="B46" s="21" t="s">
        <v>69</v>
      </c>
      <c r="C46" s="5">
        <v>1976</v>
      </c>
      <c r="D46" s="169"/>
      <c r="E46" s="169" t="s">
        <v>3645</v>
      </c>
      <c r="F46" s="169">
        <v>5</v>
      </c>
      <c r="G46" s="25">
        <v>6</v>
      </c>
      <c r="H46" s="85">
        <v>6323.96</v>
      </c>
      <c r="I46" s="86" t="s">
        <v>3678</v>
      </c>
      <c r="J46" s="19">
        <f t="shared" si="0"/>
        <v>130000</v>
      </c>
      <c r="K46" s="19"/>
      <c r="L46" s="19"/>
      <c r="M46" s="19"/>
      <c r="N46" s="19">
        <f>SUMIF('2020'!B:B,B46,'2020'!C:C)+SUMIF('2021'!B:B,B46,'2021'!C:C)+SUMIF('2022'!B:B,B46,'2022'!C:C)</f>
        <v>130000</v>
      </c>
      <c r="O46" s="17">
        <v>44925</v>
      </c>
      <c r="P46" s="85" t="s">
        <v>3728</v>
      </c>
    </row>
    <row r="47" spans="1:16" ht="17.25" customHeight="1" x14ac:dyDescent="0.3">
      <c r="A47" s="210">
        <f t="shared" si="1"/>
        <v>35</v>
      </c>
      <c r="B47" s="21" t="s">
        <v>70</v>
      </c>
      <c r="C47" s="5">
        <v>1955</v>
      </c>
      <c r="D47" s="169"/>
      <c r="E47" s="169" t="s">
        <v>3646</v>
      </c>
      <c r="F47" s="169">
        <v>3</v>
      </c>
      <c r="G47" s="25"/>
      <c r="H47" s="85">
        <v>1793.23</v>
      </c>
      <c r="I47" s="86" t="s">
        <v>3679</v>
      </c>
      <c r="J47" s="19">
        <f t="shared" si="0"/>
        <v>233078.25</v>
      </c>
      <c r="K47" s="19"/>
      <c r="L47" s="19"/>
      <c r="M47" s="19"/>
      <c r="N47" s="19">
        <f>SUMIF('2020'!B:B,B47,'2020'!C:C)+SUMIF('2021'!B:B,B47,'2021'!C:C)+SUMIF('2022'!B:B,B47,'2022'!C:C)</f>
        <v>233078.25</v>
      </c>
      <c r="O47" s="17">
        <v>44925</v>
      </c>
      <c r="P47" s="85" t="s">
        <v>3728</v>
      </c>
    </row>
    <row r="48" spans="1:16" ht="17.25" customHeight="1" x14ac:dyDescent="0.3">
      <c r="A48" s="210">
        <f t="shared" si="1"/>
        <v>36</v>
      </c>
      <c r="B48" s="21" t="s">
        <v>71</v>
      </c>
      <c r="C48" s="5">
        <v>1955</v>
      </c>
      <c r="D48" s="169"/>
      <c r="E48" s="169" t="s">
        <v>3646</v>
      </c>
      <c r="F48" s="169">
        <v>3</v>
      </c>
      <c r="G48" s="25"/>
      <c r="H48" s="85">
        <v>1753.35</v>
      </c>
      <c r="I48" s="86" t="s">
        <v>3680</v>
      </c>
      <c r="J48" s="19">
        <f t="shared" si="0"/>
        <v>115039.02</v>
      </c>
      <c r="K48" s="19"/>
      <c r="L48" s="19"/>
      <c r="M48" s="19"/>
      <c r="N48" s="19">
        <f>SUMIF('2020'!B:B,B48,'2020'!C:C)+SUMIF('2021'!B:B,B48,'2021'!C:C)+SUMIF('2022'!B:B,B48,'2022'!C:C)</f>
        <v>115039.02</v>
      </c>
      <c r="O48" s="17">
        <v>44925</v>
      </c>
      <c r="P48" s="85" t="s">
        <v>3728</v>
      </c>
    </row>
    <row r="49" spans="1:16" ht="17.25" customHeight="1" x14ac:dyDescent="0.3">
      <c r="A49" s="210">
        <f t="shared" si="1"/>
        <v>37</v>
      </c>
      <c r="B49" s="21" t="s">
        <v>72</v>
      </c>
      <c r="C49" s="5">
        <v>1955</v>
      </c>
      <c r="D49" s="169"/>
      <c r="E49" s="169" t="s">
        <v>3646</v>
      </c>
      <c r="F49" s="169">
        <v>2</v>
      </c>
      <c r="G49" s="25"/>
      <c r="H49" s="85">
        <v>1035.71</v>
      </c>
      <c r="I49" s="86" t="s">
        <v>3681</v>
      </c>
      <c r="J49" s="19">
        <f t="shared" si="0"/>
        <v>250963.03</v>
      </c>
      <c r="K49" s="19"/>
      <c r="L49" s="19"/>
      <c r="M49" s="19"/>
      <c r="N49" s="19">
        <f>SUMIF('2020'!B:B,B49,'2020'!C:C)+SUMIF('2021'!B:B,B49,'2021'!C:C)+SUMIF('2022'!B:B,B49,'2022'!C:C)</f>
        <v>250963.03</v>
      </c>
      <c r="O49" s="17">
        <v>44925</v>
      </c>
      <c r="P49" s="85" t="s">
        <v>3728</v>
      </c>
    </row>
    <row r="50" spans="1:16" ht="17.25" customHeight="1" x14ac:dyDescent="0.3">
      <c r="A50" s="210">
        <f t="shared" si="1"/>
        <v>38</v>
      </c>
      <c r="B50" s="21" t="s">
        <v>73</v>
      </c>
      <c r="C50" s="5">
        <v>1958</v>
      </c>
      <c r="D50" s="169"/>
      <c r="E50" s="169" t="s">
        <v>3646</v>
      </c>
      <c r="F50" s="169">
        <v>2</v>
      </c>
      <c r="G50" s="25"/>
      <c r="H50" s="85">
        <v>1849.42</v>
      </c>
      <c r="I50" s="86" t="s">
        <v>3682</v>
      </c>
      <c r="J50" s="19">
        <f t="shared" si="0"/>
        <v>1446096.07</v>
      </c>
      <c r="K50" s="19"/>
      <c r="L50" s="19"/>
      <c r="M50" s="19"/>
      <c r="N50" s="19">
        <f>SUMIF('2020'!B:B,B50,'2020'!C:C)+SUMIF('2021'!B:B,B50,'2021'!C:C)+SUMIF('2022'!B:B,B50,'2022'!C:C)</f>
        <v>1446096.07</v>
      </c>
      <c r="O50" s="17">
        <v>44925</v>
      </c>
      <c r="P50" s="85" t="s">
        <v>3728</v>
      </c>
    </row>
    <row r="51" spans="1:16" ht="17.25" customHeight="1" x14ac:dyDescent="0.3">
      <c r="A51" s="210">
        <f t="shared" si="1"/>
        <v>39</v>
      </c>
      <c r="B51" s="21" t="s">
        <v>74</v>
      </c>
      <c r="C51" s="5">
        <v>1958</v>
      </c>
      <c r="D51" s="169"/>
      <c r="E51" s="169" t="s">
        <v>3646</v>
      </c>
      <c r="F51" s="169">
        <v>3</v>
      </c>
      <c r="G51" s="25"/>
      <c r="H51" s="85">
        <v>8582.7000000000007</v>
      </c>
      <c r="I51" s="86" t="s">
        <v>3683</v>
      </c>
      <c r="J51" s="19">
        <f t="shared" si="0"/>
        <v>1457834.86</v>
      </c>
      <c r="K51" s="19"/>
      <c r="L51" s="19"/>
      <c r="M51" s="19"/>
      <c r="N51" s="19">
        <f>SUMIF('2020'!B:B,B51,'2020'!C:C)+SUMIF('2021'!B:B,B51,'2021'!C:C)+SUMIF('2022'!B:B,B51,'2022'!C:C)</f>
        <v>1457834.86</v>
      </c>
      <c r="O51" s="17">
        <v>44925</v>
      </c>
      <c r="P51" s="85" t="s">
        <v>3728</v>
      </c>
    </row>
    <row r="52" spans="1:16" ht="17.25" customHeight="1" x14ac:dyDescent="0.3">
      <c r="A52" s="210">
        <f t="shared" si="1"/>
        <v>40</v>
      </c>
      <c r="B52" s="21" t="s">
        <v>75</v>
      </c>
      <c r="C52" s="5">
        <v>2009</v>
      </c>
      <c r="D52" s="169"/>
      <c r="E52" s="169" t="s">
        <v>3647</v>
      </c>
      <c r="F52" s="169">
        <v>3</v>
      </c>
      <c r="G52" s="25">
        <v>2</v>
      </c>
      <c r="H52" s="85">
        <v>2738.1</v>
      </c>
      <c r="I52" s="86" t="s">
        <v>3684</v>
      </c>
      <c r="J52" s="19">
        <f t="shared" si="0"/>
        <v>130000</v>
      </c>
      <c r="K52" s="19"/>
      <c r="L52" s="19"/>
      <c r="M52" s="19"/>
      <c r="N52" s="19">
        <f>SUMIF('2020'!B:B,B52,'2020'!C:C)+SUMIF('2021'!B:B,B52,'2021'!C:C)+SUMIF('2022'!B:B,B52,'2022'!C:C)</f>
        <v>130000</v>
      </c>
      <c r="O52" s="17">
        <v>44925</v>
      </c>
      <c r="P52" s="85" t="s">
        <v>3728</v>
      </c>
    </row>
    <row r="53" spans="1:16" ht="17.25" customHeight="1" x14ac:dyDescent="0.3">
      <c r="A53" s="210">
        <f t="shared" si="1"/>
        <v>41</v>
      </c>
      <c r="B53" s="21" t="s">
        <v>76</v>
      </c>
      <c r="C53" s="5">
        <v>1959</v>
      </c>
      <c r="D53" s="169"/>
      <c r="E53" s="169" t="s">
        <v>3646</v>
      </c>
      <c r="F53" s="169">
        <v>3</v>
      </c>
      <c r="G53" s="25">
        <v>2</v>
      </c>
      <c r="H53" s="85">
        <v>1482.55</v>
      </c>
      <c r="I53" s="86" t="s">
        <v>3685</v>
      </c>
      <c r="J53" s="19">
        <f t="shared" si="0"/>
        <v>1308676.5900000001</v>
      </c>
      <c r="K53" s="19"/>
      <c r="L53" s="19"/>
      <c r="M53" s="19"/>
      <c r="N53" s="19">
        <f>SUMIF('2020'!B:B,B53,'2020'!C:C)+SUMIF('2021'!B:B,B53,'2021'!C:C)+SUMIF('2022'!B:B,B53,'2022'!C:C)</f>
        <v>1308676.5900000001</v>
      </c>
      <c r="O53" s="17">
        <v>44925</v>
      </c>
      <c r="P53" s="85" t="s">
        <v>3728</v>
      </c>
    </row>
    <row r="54" spans="1:16" ht="17.25" customHeight="1" x14ac:dyDescent="0.3">
      <c r="A54" s="210">
        <f t="shared" si="1"/>
        <v>42</v>
      </c>
      <c r="B54" s="21" t="s">
        <v>77</v>
      </c>
      <c r="C54" s="5">
        <v>1973</v>
      </c>
      <c r="D54" s="169"/>
      <c r="E54" s="169" t="s">
        <v>3645</v>
      </c>
      <c r="F54" s="169">
        <v>5</v>
      </c>
      <c r="G54" s="25">
        <v>5</v>
      </c>
      <c r="H54" s="85">
        <v>6456.57</v>
      </c>
      <c r="I54" s="86" t="s">
        <v>3686</v>
      </c>
      <c r="J54" s="19">
        <f t="shared" si="0"/>
        <v>482361.74</v>
      </c>
      <c r="K54" s="19"/>
      <c r="L54" s="19"/>
      <c r="M54" s="19"/>
      <c r="N54" s="19">
        <f>SUMIF('2020'!B:B,B54,'2020'!C:C)+SUMIF('2021'!B:B,B54,'2021'!C:C)+SUMIF('2022'!B:B,B54,'2022'!C:C)</f>
        <v>482361.74</v>
      </c>
      <c r="O54" s="17">
        <v>44925</v>
      </c>
      <c r="P54" s="85" t="s">
        <v>3728</v>
      </c>
    </row>
    <row r="55" spans="1:16" ht="17.25" customHeight="1" x14ac:dyDescent="0.3">
      <c r="A55" s="210">
        <f t="shared" si="1"/>
        <v>43</v>
      </c>
      <c r="B55" s="21" t="s">
        <v>78</v>
      </c>
      <c r="C55" s="5">
        <v>1973</v>
      </c>
      <c r="D55" s="169"/>
      <c r="E55" s="169" t="s">
        <v>3645</v>
      </c>
      <c r="F55" s="169">
        <v>5</v>
      </c>
      <c r="G55" s="25">
        <v>4</v>
      </c>
      <c r="H55" s="85">
        <v>4653.6899999999996</v>
      </c>
      <c r="I55" s="86" t="s">
        <v>3687</v>
      </c>
      <c r="J55" s="19">
        <f t="shared" si="0"/>
        <v>405555.41</v>
      </c>
      <c r="K55" s="19"/>
      <c r="L55" s="19"/>
      <c r="M55" s="19"/>
      <c r="N55" s="19">
        <f>SUMIF('2020'!B:B,B55,'2020'!C:C)+SUMIF('2021'!B:B,B55,'2021'!C:C)+SUMIF('2022'!B:B,B55,'2022'!C:C)</f>
        <v>405555.41</v>
      </c>
      <c r="O55" s="17">
        <v>44925</v>
      </c>
      <c r="P55" s="85" t="s">
        <v>3728</v>
      </c>
    </row>
    <row r="56" spans="1:16" ht="17.25" customHeight="1" x14ac:dyDescent="0.3">
      <c r="A56" s="210">
        <f t="shared" si="1"/>
        <v>44</v>
      </c>
      <c r="B56" s="21" t="s">
        <v>79</v>
      </c>
      <c r="C56" s="5">
        <v>1974</v>
      </c>
      <c r="D56" s="169"/>
      <c r="E56" s="169" t="s">
        <v>3645</v>
      </c>
      <c r="F56" s="169">
        <v>5</v>
      </c>
      <c r="G56" s="25">
        <v>6</v>
      </c>
      <c r="H56" s="85">
        <v>6262.92</v>
      </c>
      <c r="I56" s="86" t="s">
        <v>3688</v>
      </c>
      <c r="J56" s="19">
        <f t="shared" si="0"/>
        <v>450372</v>
      </c>
      <c r="K56" s="19"/>
      <c r="L56" s="19"/>
      <c r="M56" s="19"/>
      <c r="N56" s="19">
        <f>SUMIF('2020'!B:B,B56,'2020'!C:C)+SUMIF('2021'!B:B,B56,'2021'!C:C)+SUMIF('2022'!B:B,B56,'2022'!C:C)</f>
        <v>450372</v>
      </c>
      <c r="O56" s="17">
        <v>44925</v>
      </c>
      <c r="P56" s="85" t="s">
        <v>3728</v>
      </c>
    </row>
    <row r="57" spans="1:16" ht="17.25" customHeight="1" x14ac:dyDescent="0.3">
      <c r="A57" s="210">
        <f t="shared" si="1"/>
        <v>45</v>
      </c>
      <c r="B57" s="21" t="s">
        <v>80</v>
      </c>
      <c r="C57" s="5">
        <v>1964</v>
      </c>
      <c r="D57" s="169"/>
      <c r="E57" s="169" t="s">
        <v>3645</v>
      </c>
      <c r="F57" s="169">
        <v>5</v>
      </c>
      <c r="G57" s="25"/>
      <c r="H57" s="85">
        <v>3428.43</v>
      </c>
      <c r="I57" s="86" t="s">
        <v>3689</v>
      </c>
      <c r="J57" s="19">
        <f t="shared" si="0"/>
        <v>6553140.7700000005</v>
      </c>
      <c r="K57" s="19"/>
      <c r="L57" s="19"/>
      <c r="M57" s="19"/>
      <c r="N57" s="19">
        <f>SUMIF('2020'!B:B,B57,'2020'!C:C)+SUMIF('2021'!B:B,B57,'2021'!C:C)+SUMIF('2022'!B:B,B57,'2022'!C:C)</f>
        <v>6553140.7700000005</v>
      </c>
      <c r="O57" s="17">
        <v>44925</v>
      </c>
      <c r="P57" s="85" t="s">
        <v>3728</v>
      </c>
    </row>
    <row r="58" spans="1:16" ht="17.25" customHeight="1" x14ac:dyDescent="0.3">
      <c r="A58" s="210">
        <f t="shared" si="1"/>
        <v>46</v>
      </c>
      <c r="B58" s="21" t="s">
        <v>81</v>
      </c>
      <c r="C58" s="5">
        <v>1957</v>
      </c>
      <c r="D58" s="169"/>
      <c r="E58" s="169" t="s">
        <v>3646</v>
      </c>
      <c r="F58" s="169">
        <v>3</v>
      </c>
      <c r="G58" s="25"/>
      <c r="H58" s="85">
        <v>4667.03</v>
      </c>
      <c r="I58" s="86" t="s">
        <v>3690</v>
      </c>
      <c r="J58" s="19">
        <f t="shared" si="0"/>
        <v>228108.68</v>
      </c>
      <c r="K58" s="19"/>
      <c r="L58" s="19"/>
      <c r="M58" s="19"/>
      <c r="N58" s="19">
        <f>SUMIF('2020'!B:B,B58,'2020'!C:C)+SUMIF('2021'!B:B,B58,'2021'!C:C)+SUMIF('2022'!B:B,B58,'2022'!C:C)</f>
        <v>228108.68</v>
      </c>
      <c r="O58" s="17">
        <v>44925</v>
      </c>
      <c r="P58" s="85" t="s">
        <v>3728</v>
      </c>
    </row>
    <row r="59" spans="1:16" ht="17.25" customHeight="1" x14ac:dyDescent="0.3">
      <c r="A59" s="210">
        <f t="shared" si="1"/>
        <v>47</v>
      </c>
      <c r="B59" s="21" t="s">
        <v>82</v>
      </c>
      <c r="C59" s="5">
        <v>1966</v>
      </c>
      <c r="D59" s="169"/>
      <c r="E59" s="169" t="s">
        <v>3645</v>
      </c>
      <c r="F59" s="169">
        <v>5</v>
      </c>
      <c r="G59" s="25">
        <v>6</v>
      </c>
      <c r="H59" s="85">
        <v>6376.42</v>
      </c>
      <c r="I59" s="86" t="s">
        <v>3691</v>
      </c>
      <c r="J59" s="19">
        <f t="shared" si="0"/>
        <v>130000</v>
      </c>
      <c r="K59" s="19"/>
      <c r="L59" s="19"/>
      <c r="M59" s="19"/>
      <c r="N59" s="19">
        <f>SUMIF('2020'!B:B,B59,'2020'!C:C)+SUMIF('2021'!B:B,B59,'2021'!C:C)+SUMIF('2022'!B:B,B59,'2022'!C:C)</f>
        <v>130000</v>
      </c>
      <c r="O59" s="17">
        <v>44925</v>
      </c>
      <c r="P59" s="85" t="s">
        <v>3728</v>
      </c>
    </row>
    <row r="60" spans="1:16" ht="17.25" customHeight="1" x14ac:dyDescent="0.3">
      <c r="A60" s="210">
        <f t="shared" si="1"/>
        <v>48</v>
      </c>
      <c r="B60" s="21" t="s">
        <v>83</v>
      </c>
      <c r="C60" s="5">
        <v>1956</v>
      </c>
      <c r="D60" s="169"/>
      <c r="E60" s="169" t="s">
        <v>3646</v>
      </c>
      <c r="F60" s="169">
        <v>3</v>
      </c>
      <c r="G60" s="25"/>
      <c r="H60" s="85">
        <v>1537.94</v>
      </c>
      <c r="I60" s="86" t="s">
        <v>3692</v>
      </c>
      <c r="J60" s="19">
        <f t="shared" si="0"/>
        <v>2654460.84</v>
      </c>
      <c r="K60" s="19"/>
      <c r="L60" s="19"/>
      <c r="M60" s="19"/>
      <c r="N60" s="19">
        <f>SUMIF('2020'!B:B,B60,'2020'!C:C)+SUMIF('2021'!B:B,B60,'2021'!C:C)+SUMIF('2022'!B:B,B60,'2022'!C:C)</f>
        <v>2654460.84</v>
      </c>
      <c r="O60" s="17">
        <v>44925</v>
      </c>
      <c r="P60" s="85" t="s">
        <v>3728</v>
      </c>
    </row>
    <row r="61" spans="1:16" ht="17.25" customHeight="1" x14ac:dyDescent="0.3">
      <c r="A61" s="210">
        <f t="shared" si="1"/>
        <v>49</v>
      </c>
      <c r="B61" s="21" t="s">
        <v>84</v>
      </c>
      <c r="C61" s="5">
        <v>1966</v>
      </c>
      <c r="D61" s="169"/>
      <c r="E61" s="169" t="s">
        <v>3645</v>
      </c>
      <c r="F61" s="169">
        <v>4</v>
      </c>
      <c r="G61" s="25">
        <v>3</v>
      </c>
      <c r="H61" s="85">
        <v>3005.43</v>
      </c>
      <c r="I61" s="86" t="s">
        <v>3693</v>
      </c>
      <c r="J61" s="19">
        <f t="shared" si="0"/>
        <v>130000</v>
      </c>
      <c r="K61" s="19"/>
      <c r="L61" s="19"/>
      <c r="M61" s="19"/>
      <c r="N61" s="19">
        <f>SUMIF('2020'!B:B,B61,'2020'!C:C)+SUMIF('2021'!B:B,B61,'2021'!C:C)+SUMIF('2022'!B:B,B61,'2022'!C:C)</f>
        <v>130000</v>
      </c>
      <c r="O61" s="17">
        <v>44925</v>
      </c>
      <c r="P61" s="85" t="s">
        <v>3728</v>
      </c>
    </row>
    <row r="62" spans="1:16" ht="17.25" customHeight="1" x14ac:dyDescent="0.3">
      <c r="A62" s="210">
        <f t="shared" si="1"/>
        <v>50</v>
      </c>
      <c r="B62" s="21" t="s">
        <v>85</v>
      </c>
      <c r="C62" s="5">
        <v>1956</v>
      </c>
      <c r="D62" s="169"/>
      <c r="E62" s="169" t="s">
        <v>3646</v>
      </c>
      <c r="F62" s="169">
        <v>3</v>
      </c>
      <c r="G62" s="25"/>
      <c r="H62" s="85">
        <v>2697.82</v>
      </c>
      <c r="I62" s="86" t="s">
        <v>3694</v>
      </c>
      <c r="J62" s="19">
        <f t="shared" si="0"/>
        <v>130000</v>
      </c>
      <c r="K62" s="19"/>
      <c r="L62" s="19"/>
      <c r="M62" s="19"/>
      <c r="N62" s="19">
        <f>SUMIF('2020'!B:B,B62,'2020'!C:C)+SUMIF('2021'!B:B,B62,'2021'!C:C)+SUMIF('2022'!B:B,B62,'2022'!C:C)</f>
        <v>130000</v>
      </c>
      <c r="O62" s="17">
        <v>44925</v>
      </c>
      <c r="P62" s="85" t="s">
        <v>3728</v>
      </c>
    </row>
    <row r="63" spans="1:16" ht="17.25" customHeight="1" x14ac:dyDescent="0.3">
      <c r="A63" s="210">
        <f t="shared" si="1"/>
        <v>51</v>
      </c>
      <c r="B63" s="21" t="s">
        <v>86</v>
      </c>
      <c r="C63" s="5">
        <v>1959</v>
      </c>
      <c r="D63" s="169"/>
      <c r="E63" s="169" t="s">
        <v>3646</v>
      </c>
      <c r="F63" s="169">
        <v>3</v>
      </c>
      <c r="G63" s="25"/>
      <c r="H63" s="85">
        <v>1953.81</v>
      </c>
      <c r="I63" s="86" t="s">
        <v>3695</v>
      </c>
      <c r="J63" s="19">
        <f t="shared" si="0"/>
        <v>113548.45</v>
      </c>
      <c r="K63" s="19"/>
      <c r="L63" s="19"/>
      <c r="M63" s="19"/>
      <c r="N63" s="19">
        <f>SUMIF('2020'!B:B,B63,'2020'!C:C)+SUMIF('2021'!B:B,B63,'2021'!C:C)+SUMIF('2022'!B:B,B63,'2022'!C:C)</f>
        <v>113548.45</v>
      </c>
      <c r="O63" s="17">
        <v>44925</v>
      </c>
      <c r="P63" s="85" t="s">
        <v>3728</v>
      </c>
    </row>
    <row r="64" spans="1:16" ht="17.25" customHeight="1" x14ac:dyDescent="0.3">
      <c r="A64" s="210">
        <f t="shared" si="1"/>
        <v>52</v>
      </c>
      <c r="B64" s="21" t="s">
        <v>87</v>
      </c>
      <c r="C64" s="5">
        <v>1961</v>
      </c>
      <c r="D64" s="169"/>
      <c r="E64" s="169" t="s">
        <v>3646</v>
      </c>
      <c r="F64" s="169">
        <v>3</v>
      </c>
      <c r="G64" s="25"/>
      <c r="H64" s="85">
        <v>1980.37</v>
      </c>
      <c r="I64" s="86" t="s">
        <v>3696</v>
      </c>
      <c r="J64" s="19">
        <f t="shared" si="0"/>
        <v>115069.38</v>
      </c>
      <c r="K64" s="19"/>
      <c r="L64" s="19"/>
      <c r="M64" s="19"/>
      <c r="N64" s="19">
        <f>SUMIF('2020'!B:B,B64,'2020'!C:C)+SUMIF('2021'!B:B,B64,'2021'!C:C)+SUMIF('2022'!B:B,B64,'2022'!C:C)</f>
        <v>115069.38</v>
      </c>
      <c r="O64" s="17">
        <v>44925</v>
      </c>
      <c r="P64" s="85" t="s">
        <v>3728</v>
      </c>
    </row>
    <row r="65" spans="1:16" ht="17.25" customHeight="1" x14ac:dyDescent="0.3">
      <c r="A65" s="210">
        <f t="shared" si="1"/>
        <v>53</v>
      </c>
      <c r="B65" s="21" t="s">
        <v>88</v>
      </c>
      <c r="C65" s="5">
        <v>1959</v>
      </c>
      <c r="D65" s="169"/>
      <c r="E65" s="169" t="s">
        <v>3646</v>
      </c>
      <c r="F65" s="169">
        <v>3</v>
      </c>
      <c r="G65" s="25"/>
      <c r="H65" s="85">
        <v>1960.05</v>
      </c>
      <c r="I65" s="86" t="s">
        <v>3696</v>
      </c>
      <c r="J65" s="19">
        <f t="shared" si="0"/>
        <v>109946.22</v>
      </c>
      <c r="K65" s="19"/>
      <c r="L65" s="19"/>
      <c r="M65" s="19"/>
      <c r="N65" s="19">
        <f>SUMIF('2020'!B:B,B65,'2020'!C:C)+SUMIF('2021'!B:B,B65,'2021'!C:C)+SUMIF('2022'!B:B,B65,'2022'!C:C)</f>
        <v>109946.22</v>
      </c>
      <c r="O65" s="17">
        <v>44925</v>
      </c>
      <c r="P65" s="85" t="s">
        <v>3728</v>
      </c>
    </row>
    <row r="66" spans="1:16" ht="17.25" customHeight="1" x14ac:dyDescent="0.3">
      <c r="A66" s="210">
        <f t="shared" si="1"/>
        <v>54</v>
      </c>
      <c r="B66" s="21" t="s">
        <v>89</v>
      </c>
      <c r="C66" s="5">
        <v>1961</v>
      </c>
      <c r="D66" s="169"/>
      <c r="E66" s="169" t="s">
        <v>3646</v>
      </c>
      <c r="F66" s="169">
        <v>3</v>
      </c>
      <c r="G66" s="25"/>
      <c r="H66" s="85">
        <v>1940</v>
      </c>
      <c r="I66" s="86" t="s">
        <v>3697</v>
      </c>
      <c r="J66" s="19">
        <f t="shared" si="0"/>
        <v>105599.27</v>
      </c>
      <c r="K66" s="19"/>
      <c r="L66" s="19"/>
      <c r="M66" s="19"/>
      <c r="N66" s="19">
        <f>SUMIF('2020'!B:B,B66,'2020'!C:C)+SUMIF('2021'!B:B,B66,'2021'!C:C)+SUMIF('2022'!B:B,B66,'2022'!C:C)</f>
        <v>105599.27</v>
      </c>
      <c r="O66" s="17">
        <v>44925</v>
      </c>
      <c r="P66" s="85" t="s">
        <v>3728</v>
      </c>
    </row>
    <row r="67" spans="1:16" ht="17.25" customHeight="1" x14ac:dyDescent="0.3">
      <c r="A67" s="210">
        <f t="shared" si="1"/>
        <v>55</v>
      </c>
      <c r="B67" s="21" t="s">
        <v>90</v>
      </c>
      <c r="C67" s="5">
        <v>1961</v>
      </c>
      <c r="D67" s="169"/>
      <c r="E67" s="169" t="s">
        <v>3645</v>
      </c>
      <c r="F67" s="169">
        <v>5</v>
      </c>
      <c r="G67" s="25">
        <v>3</v>
      </c>
      <c r="H67" s="85">
        <v>3268.91</v>
      </c>
      <c r="I67" s="86" t="s">
        <v>3698</v>
      </c>
      <c r="J67" s="19">
        <f t="shared" si="0"/>
        <v>149171.45000000001</v>
      </c>
      <c r="K67" s="19"/>
      <c r="L67" s="19"/>
      <c r="M67" s="19"/>
      <c r="N67" s="19">
        <f>SUMIF('2020'!B:B,B67,'2020'!C:C)+SUMIF('2021'!B:B,B67,'2021'!C:C)+SUMIF('2022'!B:B,B67,'2022'!C:C)</f>
        <v>149171.45000000001</v>
      </c>
      <c r="O67" s="17">
        <v>44925</v>
      </c>
      <c r="P67" s="85" t="s">
        <v>3728</v>
      </c>
    </row>
    <row r="68" spans="1:16" ht="17.25" customHeight="1" x14ac:dyDescent="0.3">
      <c r="A68" s="210">
        <f t="shared" si="1"/>
        <v>56</v>
      </c>
      <c r="B68" s="21" t="s">
        <v>91</v>
      </c>
      <c r="C68" s="5">
        <v>1963</v>
      </c>
      <c r="D68" s="169"/>
      <c r="E68" s="169" t="s">
        <v>3645</v>
      </c>
      <c r="F68" s="169">
        <v>5</v>
      </c>
      <c r="G68" s="25">
        <v>3</v>
      </c>
      <c r="H68" s="85">
        <v>2686.21</v>
      </c>
      <c r="I68" s="86" t="s">
        <v>3696</v>
      </c>
      <c r="J68" s="19">
        <f t="shared" si="0"/>
        <v>144708.68</v>
      </c>
      <c r="K68" s="19"/>
      <c r="L68" s="19"/>
      <c r="M68" s="19"/>
      <c r="N68" s="19">
        <f>SUMIF('2020'!B:B,B68,'2020'!C:C)+SUMIF('2021'!B:B,B68,'2021'!C:C)+SUMIF('2022'!B:B,B68,'2022'!C:C)</f>
        <v>144708.68</v>
      </c>
      <c r="O68" s="17">
        <v>44925</v>
      </c>
      <c r="P68" s="85" t="s">
        <v>3728</v>
      </c>
    </row>
    <row r="69" spans="1:16" ht="17.25" customHeight="1" x14ac:dyDescent="0.3">
      <c r="A69" s="210">
        <f t="shared" si="1"/>
        <v>57</v>
      </c>
      <c r="B69" s="21" t="s">
        <v>92</v>
      </c>
      <c r="C69" s="5">
        <v>1968</v>
      </c>
      <c r="D69" s="169"/>
      <c r="E69" s="169" t="s">
        <v>3645</v>
      </c>
      <c r="F69" s="169">
        <v>5</v>
      </c>
      <c r="G69" s="25">
        <v>8</v>
      </c>
      <c r="H69" s="85">
        <v>7990.58</v>
      </c>
      <c r="I69" s="86" t="s">
        <v>3699</v>
      </c>
      <c r="J69" s="19">
        <f t="shared" si="0"/>
        <v>318502.09999999998</v>
      </c>
      <c r="K69" s="19"/>
      <c r="L69" s="19"/>
      <c r="M69" s="19"/>
      <c r="N69" s="19">
        <f>SUMIF('2020'!B:B,B69,'2020'!C:C)+SUMIF('2021'!B:B,B69,'2021'!C:C)+SUMIF('2022'!B:B,B69,'2022'!C:C)</f>
        <v>318502.09999999998</v>
      </c>
      <c r="O69" s="17">
        <v>44925</v>
      </c>
      <c r="P69" s="85" t="s">
        <v>3728</v>
      </c>
    </row>
    <row r="70" spans="1:16" ht="17.25" customHeight="1" x14ac:dyDescent="0.3">
      <c r="A70" s="210">
        <f t="shared" si="1"/>
        <v>58</v>
      </c>
      <c r="B70" s="21" t="s">
        <v>93</v>
      </c>
      <c r="C70" s="5">
        <v>1965</v>
      </c>
      <c r="D70" s="169"/>
      <c r="E70" s="169" t="s">
        <v>3645</v>
      </c>
      <c r="F70" s="169">
        <v>4</v>
      </c>
      <c r="G70" s="25"/>
      <c r="H70" s="85">
        <v>2943.54</v>
      </c>
      <c r="I70" s="86" t="s">
        <v>3666</v>
      </c>
      <c r="J70" s="19">
        <f t="shared" si="0"/>
        <v>6028364.5999999996</v>
      </c>
      <c r="K70" s="19"/>
      <c r="L70" s="19"/>
      <c r="M70" s="19"/>
      <c r="N70" s="19">
        <f>SUMIF('2020'!B:B,B70,'2020'!C:C)+SUMIF('2021'!B:B,B70,'2021'!C:C)+SUMIF('2022'!B:B,B70,'2022'!C:C)</f>
        <v>6028364.5999999996</v>
      </c>
      <c r="O70" s="17">
        <v>44925</v>
      </c>
      <c r="P70" s="85" t="s">
        <v>3728</v>
      </c>
    </row>
    <row r="71" spans="1:16" ht="17.25" customHeight="1" x14ac:dyDescent="0.3">
      <c r="A71" s="210">
        <f t="shared" si="1"/>
        <v>59</v>
      </c>
      <c r="B71" s="21" t="s">
        <v>94</v>
      </c>
      <c r="C71" s="5">
        <v>1963</v>
      </c>
      <c r="D71" s="169"/>
      <c r="E71" s="169" t="s">
        <v>3645</v>
      </c>
      <c r="F71" s="169">
        <v>5</v>
      </c>
      <c r="G71" s="25">
        <v>3</v>
      </c>
      <c r="H71" s="85">
        <v>3579.49</v>
      </c>
      <c r="I71" s="86" t="s">
        <v>3700</v>
      </c>
      <c r="J71" s="19">
        <f t="shared" si="0"/>
        <v>1699486</v>
      </c>
      <c r="K71" s="19"/>
      <c r="L71" s="19"/>
      <c r="M71" s="19"/>
      <c r="N71" s="19">
        <f>SUMIF('2020'!B:B,B71,'2020'!C:C)+SUMIF('2021'!B:B,B71,'2021'!C:C)+SUMIF('2022'!B:B,B71,'2022'!C:C)</f>
        <v>1699486</v>
      </c>
      <c r="O71" s="17">
        <v>44925</v>
      </c>
      <c r="P71" s="85" t="s">
        <v>3728</v>
      </c>
    </row>
    <row r="72" spans="1:16" ht="17.25" customHeight="1" x14ac:dyDescent="0.3">
      <c r="A72" s="210">
        <f t="shared" si="1"/>
        <v>60</v>
      </c>
      <c r="B72" s="21" t="s">
        <v>95</v>
      </c>
      <c r="C72" s="5">
        <v>1953</v>
      </c>
      <c r="D72" s="169"/>
      <c r="E72" s="169" t="s">
        <v>3646</v>
      </c>
      <c r="F72" s="169">
        <v>2</v>
      </c>
      <c r="G72" s="25"/>
      <c r="H72" s="85">
        <v>905.93</v>
      </c>
      <c r="I72" s="86" t="s">
        <v>3663</v>
      </c>
      <c r="J72" s="19">
        <f t="shared" si="0"/>
        <v>1140045.3999999999</v>
      </c>
      <c r="K72" s="19"/>
      <c r="L72" s="19"/>
      <c r="M72" s="19"/>
      <c r="N72" s="19">
        <f>SUMIF('2020'!B:B,B72,'2020'!C:C)+SUMIF('2021'!B:B,B72,'2021'!C:C)+SUMIF('2022'!B:B,B72,'2022'!C:C)</f>
        <v>1140045.3999999999</v>
      </c>
      <c r="O72" s="17">
        <v>44925</v>
      </c>
      <c r="P72" s="85" t="s">
        <v>3728</v>
      </c>
    </row>
    <row r="73" spans="1:16" ht="17.25" customHeight="1" x14ac:dyDescent="0.3">
      <c r="A73" s="210">
        <f t="shared" si="1"/>
        <v>61</v>
      </c>
      <c r="B73" s="21" t="s">
        <v>96</v>
      </c>
      <c r="C73" s="5">
        <v>1952</v>
      </c>
      <c r="D73" s="169"/>
      <c r="E73" s="169" t="s">
        <v>3646</v>
      </c>
      <c r="F73" s="169">
        <v>2</v>
      </c>
      <c r="G73" s="25"/>
      <c r="H73" s="85">
        <v>406.6</v>
      </c>
      <c r="I73" s="86" t="s">
        <v>3701</v>
      </c>
      <c r="J73" s="19">
        <f t="shared" si="0"/>
        <v>356378.68000000005</v>
      </c>
      <c r="K73" s="19"/>
      <c r="L73" s="19"/>
      <c r="M73" s="19"/>
      <c r="N73" s="19">
        <f>SUMIF('2020'!B:B,B73,'2020'!C:C)+SUMIF('2021'!B:B,B73,'2021'!C:C)+SUMIF('2022'!B:B,B73,'2022'!C:C)</f>
        <v>356378.68000000005</v>
      </c>
      <c r="O73" s="17">
        <v>44925</v>
      </c>
      <c r="P73" s="85" t="s">
        <v>3728</v>
      </c>
    </row>
    <row r="74" spans="1:16" ht="17.25" customHeight="1" x14ac:dyDescent="0.3">
      <c r="A74" s="210">
        <f t="shared" si="1"/>
        <v>62</v>
      </c>
      <c r="B74" s="21" t="s">
        <v>97</v>
      </c>
      <c r="C74" s="5">
        <v>1952</v>
      </c>
      <c r="D74" s="169"/>
      <c r="E74" s="169" t="s">
        <v>3646</v>
      </c>
      <c r="F74" s="169">
        <v>2</v>
      </c>
      <c r="G74" s="25"/>
      <c r="H74" s="85">
        <v>772.78</v>
      </c>
      <c r="I74" s="86" t="s">
        <v>3659</v>
      </c>
      <c r="J74" s="19">
        <f t="shared" si="0"/>
        <v>339855.82</v>
      </c>
      <c r="K74" s="19"/>
      <c r="L74" s="19"/>
      <c r="M74" s="19"/>
      <c r="N74" s="19">
        <f>SUMIF('2020'!B:B,B74,'2020'!C:C)+SUMIF('2021'!B:B,B74,'2021'!C:C)+SUMIF('2022'!B:B,B74,'2022'!C:C)</f>
        <v>339855.82</v>
      </c>
      <c r="O74" s="17">
        <v>44925</v>
      </c>
      <c r="P74" s="85" t="s">
        <v>3728</v>
      </c>
    </row>
    <row r="75" spans="1:16" ht="17.25" customHeight="1" x14ac:dyDescent="0.3">
      <c r="A75" s="210">
        <f t="shared" si="1"/>
        <v>63</v>
      </c>
      <c r="B75" s="21" t="s">
        <v>98</v>
      </c>
      <c r="C75" s="5">
        <v>1953</v>
      </c>
      <c r="D75" s="169"/>
      <c r="E75" s="169" t="s">
        <v>3646</v>
      </c>
      <c r="F75" s="169">
        <v>2</v>
      </c>
      <c r="G75" s="25"/>
      <c r="H75" s="85">
        <v>830</v>
      </c>
      <c r="I75" s="86" t="s">
        <v>3692</v>
      </c>
      <c r="J75" s="19">
        <f t="shared" si="0"/>
        <v>482062.48</v>
      </c>
      <c r="K75" s="19"/>
      <c r="L75" s="19"/>
      <c r="M75" s="19"/>
      <c r="N75" s="19">
        <f>SUMIF('2020'!B:B,B75,'2020'!C:C)+SUMIF('2021'!B:B,B75,'2021'!C:C)+SUMIF('2022'!B:B,B75,'2022'!C:C)</f>
        <v>482062.48</v>
      </c>
      <c r="O75" s="17">
        <v>44925</v>
      </c>
      <c r="P75" s="85" t="s">
        <v>3728</v>
      </c>
    </row>
    <row r="76" spans="1:16" ht="17.25" customHeight="1" x14ac:dyDescent="0.3">
      <c r="A76" s="210">
        <f t="shared" si="1"/>
        <v>64</v>
      </c>
      <c r="B76" s="21" t="s">
        <v>99</v>
      </c>
      <c r="C76" s="5">
        <v>1955</v>
      </c>
      <c r="D76" s="169"/>
      <c r="E76" s="169" t="s">
        <v>3646</v>
      </c>
      <c r="F76" s="169">
        <v>2</v>
      </c>
      <c r="G76" s="25"/>
      <c r="H76" s="85">
        <v>706.26</v>
      </c>
      <c r="I76" s="86" t="s">
        <v>3669</v>
      </c>
      <c r="J76" s="19">
        <f t="shared" si="0"/>
        <v>584966.26</v>
      </c>
      <c r="K76" s="19"/>
      <c r="L76" s="19"/>
      <c r="M76" s="19"/>
      <c r="N76" s="19">
        <f>SUMIF('2020'!B:B,B76,'2020'!C:C)+SUMIF('2021'!B:B,B76,'2021'!C:C)+SUMIF('2022'!B:B,B76,'2022'!C:C)</f>
        <v>584966.26</v>
      </c>
      <c r="O76" s="17">
        <v>44925</v>
      </c>
      <c r="P76" s="85" t="s">
        <v>3728</v>
      </c>
    </row>
    <row r="77" spans="1:16" ht="17.25" customHeight="1" x14ac:dyDescent="0.3">
      <c r="A77" s="210">
        <f t="shared" si="1"/>
        <v>65</v>
      </c>
      <c r="B77" s="21" t="s">
        <v>100</v>
      </c>
      <c r="C77" s="5">
        <v>1939</v>
      </c>
      <c r="D77" s="169"/>
      <c r="E77" s="169" t="s">
        <v>3645</v>
      </c>
      <c r="F77" s="169">
        <v>3</v>
      </c>
      <c r="G77" s="25"/>
      <c r="H77" s="85">
        <v>6105.89</v>
      </c>
      <c r="I77" s="86" t="s">
        <v>3661</v>
      </c>
      <c r="J77" s="19">
        <f t="shared" si="0"/>
        <v>130000</v>
      </c>
      <c r="K77" s="19"/>
      <c r="L77" s="19"/>
      <c r="M77" s="19"/>
      <c r="N77" s="19">
        <f>SUMIF('2020'!B:B,B77,'2020'!C:C)+SUMIF('2021'!B:B,B77,'2021'!C:C)+SUMIF('2022'!B:B,B77,'2022'!C:C)</f>
        <v>130000</v>
      </c>
      <c r="O77" s="17">
        <v>44925</v>
      </c>
      <c r="P77" s="85" t="s">
        <v>3728</v>
      </c>
    </row>
    <row r="78" spans="1:16" ht="17.25" customHeight="1" x14ac:dyDescent="0.3">
      <c r="A78" s="210">
        <f t="shared" si="1"/>
        <v>66</v>
      </c>
      <c r="B78" s="21" t="s">
        <v>101</v>
      </c>
      <c r="C78" s="5">
        <v>1951</v>
      </c>
      <c r="D78" s="169"/>
      <c r="E78" s="169" t="s">
        <v>3646</v>
      </c>
      <c r="F78" s="169">
        <v>2</v>
      </c>
      <c r="G78" s="25"/>
      <c r="H78" s="85">
        <v>1343.6</v>
      </c>
      <c r="I78" s="86" t="s">
        <v>3683</v>
      </c>
      <c r="J78" s="19">
        <f t="shared" ref="J78:J120" si="2">K78+L78+M78+N78</f>
        <v>4611049.6100000003</v>
      </c>
      <c r="K78" s="19"/>
      <c r="L78" s="19"/>
      <c r="M78" s="19"/>
      <c r="N78" s="19">
        <f>SUMIF('2020'!B:B,B78,'2020'!C:C)+SUMIF('2021'!B:B,B78,'2021'!C:C)+SUMIF('2022'!B:B,B78,'2022'!C:C)</f>
        <v>4611049.6100000003</v>
      </c>
      <c r="O78" s="17">
        <v>44925</v>
      </c>
      <c r="P78" s="85" t="s">
        <v>3728</v>
      </c>
    </row>
    <row r="79" spans="1:16" ht="17.25" customHeight="1" x14ac:dyDescent="0.3">
      <c r="A79" s="210">
        <f t="shared" ref="A79:A120" si="3">A78+1</f>
        <v>67</v>
      </c>
      <c r="B79" s="21" t="s">
        <v>102</v>
      </c>
      <c r="C79" s="5">
        <v>1951</v>
      </c>
      <c r="D79" s="169"/>
      <c r="E79" s="169" t="s">
        <v>3646</v>
      </c>
      <c r="F79" s="169">
        <v>2</v>
      </c>
      <c r="G79" s="25"/>
      <c r="H79" s="85">
        <v>941.03</v>
      </c>
      <c r="I79" s="86" t="s">
        <v>3702</v>
      </c>
      <c r="J79" s="19">
        <f t="shared" si="2"/>
        <v>2008790.12</v>
      </c>
      <c r="K79" s="19"/>
      <c r="L79" s="19"/>
      <c r="M79" s="19"/>
      <c r="N79" s="19">
        <f>SUMIF('2020'!B:B,B79,'2020'!C:C)+SUMIF('2021'!B:B,B79,'2021'!C:C)+SUMIF('2022'!B:B,B79,'2022'!C:C)</f>
        <v>2008790.12</v>
      </c>
      <c r="O79" s="17">
        <v>44925</v>
      </c>
      <c r="P79" s="85" t="s">
        <v>3728</v>
      </c>
    </row>
    <row r="80" spans="1:16" ht="17.25" customHeight="1" x14ac:dyDescent="0.3">
      <c r="A80" s="210">
        <f t="shared" si="3"/>
        <v>68</v>
      </c>
      <c r="B80" s="21" t="s">
        <v>103</v>
      </c>
      <c r="C80" s="5">
        <v>1952</v>
      </c>
      <c r="D80" s="169"/>
      <c r="E80" s="169" t="s">
        <v>3646</v>
      </c>
      <c r="F80" s="169">
        <v>2</v>
      </c>
      <c r="G80" s="25"/>
      <c r="H80" s="85">
        <v>565.88</v>
      </c>
      <c r="I80" s="86" t="s">
        <v>3703</v>
      </c>
      <c r="J80" s="19">
        <f t="shared" si="2"/>
        <v>436585.00999999995</v>
      </c>
      <c r="K80" s="19"/>
      <c r="L80" s="19"/>
      <c r="M80" s="19"/>
      <c r="N80" s="19">
        <f>SUMIF('2020'!B:B,B80,'2020'!C:C)+SUMIF('2021'!B:B,B80,'2021'!C:C)+SUMIF('2022'!B:B,B80,'2022'!C:C)</f>
        <v>436585.00999999995</v>
      </c>
      <c r="O80" s="17">
        <v>44925</v>
      </c>
      <c r="P80" s="85" t="s">
        <v>3728</v>
      </c>
    </row>
    <row r="81" spans="1:16" ht="17.25" customHeight="1" x14ac:dyDescent="0.3">
      <c r="A81" s="210">
        <f t="shared" si="3"/>
        <v>69</v>
      </c>
      <c r="B81" s="21" t="s">
        <v>104</v>
      </c>
      <c r="C81" s="5">
        <v>1952</v>
      </c>
      <c r="D81" s="169"/>
      <c r="E81" s="169" t="s">
        <v>3646</v>
      </c>
      <c r="F81" s="169">
        <v>2</v>
      </c>
      <c r="G81" s="25"/>
      <c r="H81" s="85">
        <v>2260.35</v>
      </c>
      <c r="I81" s="86" t="s">
        <v>3704</v>
      </c>
      <c r="J81" s="19">
        <f t="shared" si="2"/>
        <v>439023.55000000005</v>
      </c>
      <c r="K81" s="19"/>
      <c r="L81" s="19"/>
      <c r="M81" s="19"/>
      <c r="N81" s="19">
        <f>SUMIF('2020'!B:B,B81,'2020'!C:C)+SUMIF('2021'!B:B,B81,'2021'!C:C)+SUMIF('2022'!B:B,B81,'2022'!C:C)</f>
        <v>439023.55000000005</v>
      </c>
      <c r="O81" s="17">
        <v>44925</v>
      </c>
      <c r="P81" s="85" t="s">
        <v>3728</v>
      </c>
    </row>
    <row r="82" spans="1:16" ht="17.25" customHeight="1" x14ac:dyDescent="0.3">
      <c r="A82" s="210">
        <f t="shared" si="3"/>
        <v>70</v>
      </c>
      <c r="B82" s="21" t="s">
        <v>105</v>
      </c>
      <c r="C82" s="5">
        <v>1956</v>
      </c>
      <c r="D82" s="169"/>
      <c r="E82" s="169" t="s">
        <v>3646</v>
      </c>
      <c r="F82" s="169">
        <v>3</v>
      </c>
      <c r="G82" s="25"/>
      <c r="H82" s="85">
        <v>1853.61</v>
      </c>
      <c r="I82" s="86" t="s">
        <v>3705</v>
      </c>
      <c r="J82" s="19">
        <f t="shared" si="2"/>
        <v>130000</v>
      </c>
      <c r="K82" s="19"/>
      <c r="L82" s="19"/>
      <c r="M82" s="19"/>
      <c r="N82" s="19">
        <f>SUMIF('2020'!B:B,B82,'2020'!C:C)+SUMIF('2021'!B:B,B82,'2021'!C:C)+SUMIF('2022'!B:B,B82,'2022'!C:C)</f>
        <v>130000</v>
      </c>
      <c r="O82" s="17">
        <v>44925</v>
      </c>
      <c r="P82" s="85" t="s">
        <v>3728</v>
      </c>
    </row>
    <row r="83" spans="1:16" ht="17.25" customHeight="1" x14ac:dyDescent="0.3">
      <c r="A83" s="210">
        <f t="shared" si="3"/>
        <v>71</v>
      </c>
      <c r="B83" s="21" t="s">
        <v>106</v>
      </c>
      <c r="C83" s="5">
        <v>1952</v>
      </c>
      <c r="D83" s="169"/>
      <c r="E83" s="169" t="s">
        <v>3646</v>
      </c>
      <c r="F83" s="169">
        <v>2</v>
      </c>
      <c r="G83" s="25"/>
      <c r="H83" s="85">
        <v>2203.15</v>
      </c>
      <c r="I83" s="86" t="s">
        <v>3662</v>
      </c>
      <c r="J83" s="19">
        <f t="shared" si="2"/>
        <v>10382815.77</v>
      </c>
      <c r="K83" s="19"/>
      <c r="L83" s="19"/>
      <c r="M83" s="19"/>
      <c r="N83" s="19">
        <f>SUMIF('2020'!B:B,B83,'2020'!C:C)+SUMIF('2021'!B:B,B83,'2021'!C:C)+SUMIF('2022'!B:B,B83,'2022'!C:C)</f>
        <v>10382815.77</v>
      </c>
      <c r="O83" s="17">
        <v>44925</v>
      </c>
      <c r="P83" s="85" t="s">
        <v>3728</v>
      </c>
    </row>
    <row r="84" spans="1:16" ht="17.25" customHeight="1" x14ac:dyDescent="0.3">
      <c r="A84" s="210">
        <f t="shared" si="3"/>
        <v>72</v>
      </c>
      <c r="B84" s="21" t="s">
        <v>107</v>
      </c>
      <c r="C84" s="5">
        <v>1956</v>
      </c>
      <c r="D84" s="169"/>
      <c r="E84" s="169" t="s">
        <v>3646</v>
      </c>
      <c r="F84" s="169">
        <v>3</v>
      </c>
      <c r="G84" s="25"/>
      <c r="H84" s="85">
        <v>2131.84</v>
      </c>
      <c r="I84" s="86" t="s">
        <v>3679</v>
      </c>
      <c r="J84" s="19">
        <f t="shared" si="2"/>
        <v>911985.5</v>
      </c>
      <c r="K84" s="19"/>
      <c r="L84" s="19"/>
      <c r="M84" s="19"/>
      <c r="N84" s="19">
        <f>SUMIF('2020'!B:B,B84,'2020'!C:C)+SUMIF('2021'!B:B,B84,'2021'!C:C)+SUMIF('2022'!B:B,B84,'2022'!C:C)</f>
        <v>911985.5</v>
      </c>
      <c r="O84" s="17">
        <v>44925</v>
      </c>
      <c r="P84" s="85" t="s">
        <v>3728</v>
      </c>
    </row>
    <row r="85" spans="1:16" ht="17.25" customHeight="1" x14ac:dyDescent="0.3">
      <c r="A85" s="210">
        <f t="shared" si="3"/>
        <v>73</v>
      </c>
      <c r="B85" s="21" t="s">
        <v>108</v>
      </c>
      <c r="C85" s="5">
        <v>1953</v>
      </c>
      <c r="D85" s="169"/>
      <c r="E85" s="169" t="s">
        <v>3646</v>
      </c>
      <c r="F85" s="169">
        <v>2</v>
      </c>
      <c r="G85" s="25"/>
      <c r="H85" s="85">
        <v>934.41</v>
      </c>
      <c r="I85" s="86" t="s">
        <v>3706</v>
      </c>
      <c r="J85" s="19">
        <f t="shared" si="2"/>
        <v>320369.7</v>
      </c>
      <c r="K85" s="19"/>
      <c r="L85" s="19"/>
      <c r="M85" s="19"/>
      <c r="N85" s="19">
        <f>SUMIF('2020'!B:B,B85,'2020'!C:C)+SUMIF('2021'!B:B,B85,'2021'!C:C)+SUMIF('2022'!B:B,B85,'2022'!C:C)</f>
        <v>320369.7</v>
      </c>
      <c r="O85" s="17">
        <v>44925</v>
      </c>
      <c r="P85" s="85" t="s">
        <v>3728</v>
      </c>
    </row>
    <row r="86" spans="1:16" ht="17.25" customHeight="1" x14ac:dyDescent="0.3">
      <c r="A86" s="210">
        <f t="shared" si="3"/>
        <v>74</v>
      </c>
      <c r="B86" s="21" t="s">
        <v>109</v>
      </c>
      <c r="C86" s="5">
        <v>1956</v>
      </c>
      <c r="D86" s="169"/>
      <c r="E86" s="169" t="s">
        <v>3646</v>
      </c>
      <c r="F86" s="169">
        <v>23</v>
      </c>
      <c r="G86" s="25"/>
      <c r="H86" s="85">
        <v>2101.9499999999998</v>
      </c>
      <c r="I86" s="86" t="s">
        <v>3707</v>
      </c>
      <c r="J86" s="19">
        <f t="shared" si="2"/>
        <v>1131123.47</v>
      </c>
      <c r="K86" s="19"/>
      <c r="L86" s="19"/>
      <c r="M86" s="19"/>
      <c r="N86" s="19">
        <f>SUMIF('2020'!B:B,B86,'2020'!C:C)+SUMIF('2021'!B:B,B86,'2021'!C:C)+SUMIF('2022'!B:B,B86,'2022'!C:C)</f>
        <v>1131123.47</v>
      </c>
      <c r="O86" s="17">
        <v>44925</v>
      </c>
      <c r="P86" s="85" t="s">
        <v>3728</v>
      </c>
    </row>
    <row r="87" spans="1:16" ht="17.25" customHeight="1" x14ac:dyDescent="0.3">
      <c r="A87" s="210">
        <f t="shared" si="3"/>
        <v>75</v>
      </c>
      <c r="B87" s="21" t="s">
        <v>110</v>
      </c>
      <c r="C87" s="5">
        <v>1963</v>
      </c>
      <c r="D87" s="169"/>
      <c r="E87" s="169" t="s">
        <v>3646</v>
      </c>
      <c r="F87" s="169">
        <v>3</v>
      </c>
      <c r="G87" s="25"/>
      <c r="H87" s="85">
        <v>2167.3000000000002</v>
      </c>
      <c r="I87" s="86" t="s">
        <v>3708</v>
      </c>
      <c r="J87" s="19">
        <f t="shared" si="2"/>
        <v>130000</v>
      </c>
      <c r="K87" s="19"/>
      <c r="L87" s="19"/>
      <c r="M87" s="19"/>
      <c r="N87" s="19">
        <f>SUMIF('2020'!B:B,B87,'2020'!C:C)+SUMIF('2021'!B:B,B87,'2021'!C:C)+SUMIF('2022'!B:B,B87,'2022'!C:C)</f>
        <v>130000</v>
      </c>
      <c r="O87" s="17">
        <v>44925</v>
      </c>
      <c r="P87" s="85" t="s">
        <v>3728</v>
      </c>
    </row>
    <row r="88" spans="1:16" ht="17.25" customHeight="1" x14ac:dyDescent="0.3">
      <c r="A88" s="210">
        <f t="shared" si="3"/>
        <v>76</v>
      </c>
      <c r="B88" s="21" t="s">
        <v>111</v>
      </c>
      <c r="C88" s="5">
        <v>1954</v>
      </c>
      <c r="D88" s="169"/>
      <c r="E88" s="169" t="s">
        <v>3646</v>
      </c>
      <c r="F88" s="169">
        <v>3</v>
      </c>
      <c r="G88" s="25"/>
      <c r="H88" s="85">
        <v>2699.75</v>
      </c>
      <c r="I88" s="86" t="s">
        <v>3709</v>
      </c>
      <c r="J88" s="19">
        <f t="shared" si="2"/>
        <v>6119644.5099999998</v>
      </c>
      <c r="K88" s="19"/>
      <c r="L88" s="19"/>
      <c r="M88" s="19"/>
      <c r="N88" s="19">
        <f>SUMIF('2020'!B:B,B88,'2020'!C:C)+SUMIF('2021'!B:B,B88,'2021'!C:C)+SUMIF('2022'!B:B,B88,'2022'!C:C)</f>
        <v>6119644.5099999998</v>
      </c>
      <c r="O88" s="17">
        <v>44925</v>
      </c>
      <c r="P88" s="85" t="s">
        <v>3728</v>
      </c>
    </row>
    <row r="89" spans="1:16" ht="17.25" customHeight="1" x14ac:dyDescent="0.3">
      <c r="A89" s="210">
        <f t="shared" si="3"/>
        <v>77</v>
      </c>
      <c r="B89" s="21" t="s">
        <v>112</v>
      </c>
      <c r="C89" s="5">
        <v>1952</v>
      </c>
      <c r="D89" s="169"/>
      <c r="E89" s="169" t="s">
        <v>3646</v>
      </c>
      <c r="F89" s="169">
        <v>2</v>
      </c>
      <c r="G89" s="25"/>
      <c r="H89" s="85">
        <v>928.74</v>
      </c>
      <c r="I89" s="86" t="s">
        <v>3706</v>
      </c>
      <c r="J89" s="19">
        <f t="shared" si="2"/>
        <v>100487.1</v>
      </c>
      <c r="K89" s="19"/>
      <c r="L89" s="19"/>
      <c r="M89" s="19"/>
      <c r="N89" s="19">
        <f>SUMIF('2020'!B:B,B89,'2020'!C:C)+SUMIF('2021'!B:B,B89,'2021'!C:C)+SUMIF('2022'!B:B,B89,'2022'!C:C)</f>
        <v>100487.1</v>
      </c>
      <c r="O89" s="17">
        <v>44925</v>
      </c>
      <c r="P89" s="85" t="s">
        <v>3728</v>
      </c>
    </row>
    <row r="90" spans="1:16" ht="17.25" customHeight="1" x14ac:dyDescent="0.3">
      <c r="A90" s="210">
        <f t="shared" si="3"/>
        <v>78</v>
      </c>
      <c r="B90" s="21" t="s">
        <v>113</v>
      </c>
      <c r="C90" s="5">
        <v>1962</v>
      </c>
      <c r="D90" s="169"/>
      <c r="E90" s="169" t="s">
        <v>3645</v>
      </c>
      <c r="F90" s="169">
        <v>2</v>
      </c>
      <c r="G90" s="25">
        <v>3</v>
      </c>
      <c r="H90" s="85">
        <v>3384.18</v>
      </c>
      <c r="I90" s="86" t="s">
        <v>3710</v>
      </c>
      <c r="J90" s="19">
        <f t="shared" si="2"/>
        <v>6699833.96</v>
      </c>
      <c r="K90" s="19"/>
      <c r="L90" s="19"/>
      <c r="M90" s="19"/>
      <c r="N90" s="19">
        <f>SUMIF('2020'!B:B,B90,'2020'!C:C)+SUMIF('2021'!B:B,B90,'2021'!C:C)+SUMIF('2022'!B:B,B90,'2022'!C:C)</f>
        <v>6699833.96</v>
      </c>
      <c r="O90" s="17">
        <v>44925</v>
      </c>
      <c r="P90" s="85" t="s">
        <v>3728</v>
      </c>
    </row>
    <row r="91" spans="1:16" ht="17.25" customHeight="1" x14ac:dyDescent="0.3">
      <c r="A91" s="210">
        <f t="shared" si="3"/>
        <v>79</v>
      </c>
      <c r="B91" s="21" t="s">
        <v>114</v>
      </c>
      <c r="C91" s="5">
        <v>1962</v>
      </c>
      <c r="D91" s="169"/>
      <c r="E91" s="169" t="s">
        <v>3645</v>
      </c>
      <c r="F91" s="169">
        <v>4</v>
      </c>
      <c r="G91" s="25">
        <v>3</v>
      </c>
      <c r="H91" s="85">
        <v>2856.87</v>
      </c>
      <c r="I91" s="86" t="s">
        <v>3711</v>
      </c>
      <c r="J91" s="19">
        <f t="shared" si="2"/>
        <v>328803.66000000003</v>
      </c>
      <c r="K91" s="19"/>
      <c r="L91" s="19"/>
      <c r="M91" s="19"/>
      <c r="N91" s="19">
        <f>SUMIF('2020'!B:B,B91,'2020'!C:C)+SUMIF('2021'!B:B,B91,'2021'!C:C)+SUMIF('2022'!B:B,B91,'2022'!C:C)</f>
        <v>328803.66000000003</v>
      </c>
      <c r="O91" s="17">
        <v>44925</v>
      </c>
      <c r="P91" s="85" t="s">
        <v>3728</v>
      </c>
    </row>
    <row r="92" spans="1:16" ht="17.25" customHeight="1" x14ac:dyDescent="0.3">
      <c r="A92" s="210">
        <f t="shared" si="3"/>
        <v>80</v>
      </c>
      <c r="B92" s="21" t="s">
        <v>115</v>
      </c>
      <c r="C92" s="5">
        <v>1962</v>
      </c>
      <c r="D92" s="169"/>
      <c r="E92" s="169" t="s">
        <v>3645</v>
      </c>
      <c r="F92" s="169">
        <v>4</v>
      </c>
      <c r="G92" s="25">
        <v>3</v>
      </c>
      <c r="H92" s="85">
        <v>2785.24</v>
      </c>
      <c r="I92" s="86" t="s">
        <v>3712</v>
      </c>
      <c r="J92" s="19">
        <f t="shared" si="2"/>
        <v>3728540.5199999996</v>
      </c>
      <c r="K92" s="19"/>
      <c r="L92" s="19"/>
      <c r="M92" s="19"/>
      <c r="N92" s="19">
        <f>SUMIF('2020'!B:B,B92,'2020'!C:C)+SUMIF('2021'!B:B,B92,'2021'!C:C)+SUMIF('2022'!B:B,B92,'2022'!C:C)</f>
        <v>3728540.5199999996</v>
      </c>
      <c r="O92" s="17">
        <v>44925</v>
      </c>
      <c r="P92" s="85" t="s">
        <v>3728</v>
      </c>
    </row>
    <row r="93" spans="1:16" ht="17.25" customHeight="1" x14ac:dyDescent="0.3">
      <c r="A93" s="210">
        <f t="shared" si="3"/>
        <v>81</v>
      </c>
      <c r="B93" s="21" t="s">
        <v>116</v>
      </c>
      <c r="C93" s="5">
        <v>1977</v>
      </c>
      <c r="D93" s="169"/>
      <c r="E93" s="169" t="s">
        <v>3645</v>
      </c>
      <c r="F93" s="169">
        <v>5</v>
      </c>
      <c r="G93" s="25">
        <v>6</v>
      </c>
      <c r="H93" s="85">
        <v>6044.39</v>
      </c>
      <c r="I93" s="86" t="s">
        <v>3713</v>
      </c>
      <c r="J93" s="19">
        <f t="shared" si="2"/>
        <v>477055.88</v>
      </c>
      <c r="K93" s="19"/>
      <c r="L93" s="19"/>
      <c r="M93" s="19"/>
      <c r="N93" s="19">
        <f>SUMIF('2020'!B:B,B93,'2020'!C:C)+SUMIF('2021'!B:B,B93,'2021'!C:C)+SUMIF('2022'!B:B,B93,'2022'!C:C)</f>
        <v>477055.88</v>
      </c>
      <c r="O93" s="17">
        <v>44925</v>
      </c>
      <c r="P93" s="85" t="s">
        <v>3728</v>
      </c>
    </row>
    <row r="94" spans="1:16" ht="17.25" customHeight="1" x14ac:dyDescent="0.3">
      <c r="A94" s="210">
        <f t="shared" si="3"/>
        <v>82</v>
      </c>
      <c r="B94" s="21" t="s">
        <v>117</v>
      </c>
      <c r="C94" s="5">
        <v>1951</v>
      </c>
      <c r="D94" s="169"/>
      <c r="E94" s="169" t="s">
        <v>3646</v>
      </c>
      <c r="F94" s="169">
        <v>2</v>
      </c>
      <c r="G94" s="25"/>
      <c r="H94" s="85">
        <v>935.4</v>
      </c>
      <c r="I94" s="86" t="s">
        <v>3669</v>
      </c>
      <c r="J94" s="19">
        <f t="shared" si="2"/>
        <v>353130.53</v>
      </c>
      <c r="K94" s="19"/>
      <c r="L94" s="19"/>
      <c r="M94" s="19"/>
      <c r="N94" s="19">
        <f>SUMIF('2020'!B:B,B94,'2020'!C:C)+SUMIF('2021'!B:B,B94,'2021'!C:C)+SUMIF('2022'!B:B,B94,'2022'!C:C)</f>
        <v>353130.53</v>
      </c>
      <c r="O94" s="17">
        <v>44925</v>
      </c>
      <c r="P94" s="85" t="s">
        <v>3728</v>
      </c>
    </row>
    <row r="95" spans="1:16" ht="17.25" customHeight="1" x14ac:dyDescent="0.3">
      <c r="A95" s="210">
        <f t="shared" si="3"/>
        <v>83</v>
      </c>
      <c r="B95" s="21" t="s">
        <v>118</v>
      </c>
      <c r="C95" s="5">
        <v>1952</v>
      </c>
      <c r="D95" s="169"/>
      <c r="E95" s="169" t="s">
        <v>3646</v>
      </c>
      <c r="F95" s="169">
        <v>2</v>
      </c>
      <c r="G95" s="25"/>
      <c r="H95" s="85">
        <v>574.70000000000005</v>
      </c>
      <c r="I95" s="86" t="s">
        <v>3703</v>
      </c>
      <c r="J95" s="19">
        <f t="shared" si="2"/>
        <v>330595.17000000004</v>
      </c>
      <c r="K95" s="19"/>
      <c r="L95" s="19"/>
      <c r="M95" s="19"/>
      <c r="N95" s="19">
        <f>SUMIF('2020'!B:B,B95,'2020'!C:C)+SUMIF('2021'!B:B,B95,'2021'!C:C)+SUMIF('2022'!B:B,B95,'2022'!C:C)</f>
        <v>330595.17000000004</v>
      </c>
      <c r="O95" s="17">
        <v>44925</v>
      </c>
      <c r="P95" s="85" t="s">
        <v>3728</v>
      </c>
    </row>
    <row r="96" spans="1:16" ht="17.25" customHeight="1" x14ac:dyDescent="0.3">
      <c r="A96" s="210">
        <f t="shared" si="3"/>
        <v>84</v>
      </c>
      <c r="B96" s="21" t="s">
        <v>119</v>
      </c>
      <c r="C96" s="5">
        <v>1951</v>
      </c>
      <c r="D96" s="169"/>
      <c r="E96" s="169" t="s">
        <v>3646</v>
      </c>
      <c r="F96" s="169">
        <v>2</v>
      </c>
      <c r="G96" s="25"/>
      <c r="H96" s="85">
        <v>950</v>
      </c>
      <c r="I96" s="86" t="s">
        <v>3714</v>
      </c>
      <c r="J96" s="19">
        <f t="shared" si="2"/>
        <v>201101.02</v>
      </c>
      <c r="K96" s="19"/>
      <c r="L96" s="19"/>
      <c r="M96" s="19"/>
      <c r="N96" s="19">
        <f>SUMIF('2020'!B:B,B96,'2020'!C:C)+SUMIF('2021'!B:B,B96,'2021'!C:C)+SUMIF('2022'!B:B,B96,'2022'!C:C)</f>
        <v>201101.02</v>
      </c>
      <c r="O96" s="17">
        <v>44925</v>
      </c>
      <c r="P96" s="85" t="s">
        <v>3728</v>
      </c>
    </row>
    <row r="97" spans="1:16" ht="17.25" customHeight="1" x14ac:dyDescent="0.3">
      <c r="A97" s="210">
        <f t="shared" si="3"/>
        <v>85</v>
      </c>
      <c r="B97" s="21" t="s">
        <v>120</v>
      </c>
      <c r="C97" s="5">
        <v>1953</v>
      </c>
      <c r="D97" s="169"/>
      <c r="E97" s="169" t="s">
        <v>3646</v>
      </c>
      <c r="F97" s="169">
        <v>2</v>
      </c>
      <c r="G97" s="25"/>
      <c r="H97" s="85">
        <v>943.07</v>
      </c>
      <c r="I97" s="86" t="s">
        <v>3685</v>
      </c>
      <c r="J97" s="19">
        <f t="shared" si="2"/>
        <v>350583.02999999997</v>
      </c>
      <c r="K97" s="19"/>
      <c r="L97" s="19"/>
      <c r="M97" s="19"/>
      <c r="N97" s="19">
        <f>SUMIF('2020'!B:B,B97,'2020'!C:C)+SUMIF('2021'!B:B,B97,'2021'!C:C)+SUMIF('2022'!B:B,B97,'2022'!C:C)</f>
        <v>350583.02999999997</v>
      </c>
      <c r="O97" s="17">
        <v>44925</v>
      </c>
      <c r="P97" s="85" t="s">
        <v>3728</v>
      </c>
    </row>
    <row r="98" spans="1:16" ht="17.25" customHeight="1" x14ac:dyDescent="0.3">
      <c r="A98" s="210">
        <f t="shared" si="3"/>
        <v>86</v>
      </c>
      <c r="B98" s="21" t="s">
        <v>121</v>
      </c>
      <c r="C98" s="5">
        <v>1969</v>
      </c>
      <c r="D98" s="169"/>
      <c r="E98" s="169" t="s">
        <v>3645</v>
      </c>
      <c r="F98" s="169">
        <v>5</v>
      </c>
      <c r="G98" s="25"/>
      <c r="H98" s="85">
        <v>2859.4</v>
      </c>
      <c r="I98" s="86" t="s">
        <v>3715</v>
      </c>
      <c r="J98" s="19">
        <f t="shared" si="2"/>
        <v>188370.3</v>
      </c>
      <c r="K98" s="19"/>
      <c r="L98" s="19"/>
      <c r="M98" s="19"/>
      <c r="N98" s="19">
        <f>SUMIF('2020'!B:B,B98,'2020'!C:C)+SUMIF('2021'!B:B,B98,'2021'!C:C)+SUMIF('2022'!B:B,B98,'2022'!C:C)</f>
        <v>188370.3</v>
      </c>
      <c r="O98" s="17">
        <v>44925</v>
      </c>
      <c r="P98" s="85" t="s">
        <v>3728</v>
      </c>
    </row>
    <row r="99" spans="1:16" ht="17.25" customHeight="1" x14ac:dyDescent="0.3">
      <c r="A99" s="210">
        <f t="shared" si="3"/>
        <v>87</v>
      </c>
      <c r="B99" s="21" t="s">
        <v>122</v>
      </c>
      <c r="C99" s="5">
        <v>1972</v>
      </c>
      <c r="D99" s="169"/>
      <c r="E99" s="169" t="s">
        <v>3645</v>
      </c>
      <c r="F99" s="169">
        <v>5</v>
      </c>
      <c r="G99" s="25"/>
      <c r="H99" s="85">
        <v>4650.12</v>
      </c>
      <c r="I99" s="86" t="s">
        <v>3716</v>
      </c>
      <c r="J99" s="19">
        <f t="shared" si="2"/>
        <v>130000</v>
      </c>
      <c r="K99" s="19"/>
      <c r="L99" s="19"/>
      <c r="M99" s="19"/>
      <c r="N99" s="19">
        <f>SUMIF('2020'!B:B,B99,'2020'!C:C)+SUMIF('2021'!B:B,B99,'2021'!C:C)+SUMIF('2022'!B:B,B99,'2022'!C:C)</f>
        <v>130000</v>
      </c>
      <c r="O99" s="17">
        <v>44925</v>
      </c>
      <c r="P99" s="85" t="s">
        <v>3728</v>
      </c>
    </row>
    <row r="100" spans="1:16" ht="17.25" customHeight="1" x14ac:dyDescent="0.3">
      <c r="A100" s="210">
        <f t="shared" si="3"/>
        <v>88</v>
      </c>
      <c r="B100" s="21" t="s">
        <v>123</v>
      </c>
      <c r="C100" s="5">
        <v>1970</v>
      </c>
      <c r="D100" s="169"/>
      <c r="E100" s="169" t="s">
        <v>3645</v>
      </c>
      <c r="F100" s="169">
        <v>5</v>
      </c>
      <c r="G100" s="25"/>
      <c r="H100" s="85">
        <v>3848.32</v>
      </c>
      <c r="I100" s="86" t="s">
        <v>3717</v>
      </c>
      <c r="J100" s="19">
        <f t="shared" si="2"/>
        <v>130000</v>
      </c>
      <c r="K100" s="19"/>
      <c r="L100" s="19"/>
      <c r="M100" s="19"/>
      <c r="N100" s="19">
        <f>SUMIF('2020'!B:B,B100,'2020'!C:C)+SUMIF('2021'!B:B,B100,'2021'!C:C)+SUMIF('2022'!B:B,B100,'2022'!C:C)</f>
        <v>130000</v>
      </c>
      <c r="O100" s="17">
        <v>44925</v>
      </c>
      <c r="P100" s="85" t="s">
        <v>3728</v>
      </c>
    </row>
    <row r="101" spans="1:16" ht="17.25" customHeight="1" x14ac:dyDescent="0.3">
      <c r="A101" s="210">
        <f t="shared" si="3"/>
        <v>89</v>
      </c>
      <c r="B101" s="21" t="s">
        <v>124</v>
      </c>
      <c r="C101" s="5">
        <v>1958</v>
      </c>
      <c r="D101" s="169"/>
      <c r="E101" s="169" t="s">
        <v>3645</v>
      </c>
      <c r="F101" s="169">
        <v>3</v>
      </c>
      <c r="G101" s="25"/>
      <c r="H101" s="85">
        <v>1459.5</v>
      </c>
      <c r="I101" s="86" t="s">
        <v>3673</v>
      </c>
      <c r="J101" s="19">
        <f t="shared" si="2"/>
        <v>130000</v>
      </c>
      <c r="K101" s="19"/>
      <c r="L101" s="19"/>
      <c r="M101" s="19"/>
      <c r="N101" s="19">
        <f>SUMIF('2020'!B:B,B101,'2020'!C:C)+SUMIF('2021'!B:B,B101,'2021'!C:C)+SUMIF('2022'!B:B,B101,'2022'!C:C)</f>
        <v>130000</v>
      </c>
      <c r="O101" s="17">
        <v>44925</v>
      </c>
      <c r="P101" s="85" t="s">
        <v>3728</v>
      </c>
    </row>
    <row r="102" spans="1:16" ht="17.25" customHeight="1" x14ac:dyDescent="0.3">
      <c r="A102" s="210">
        <f t="shared" si="3"/>
        <v>90</v>
      </c>
      <c r="B102" s="21" t="s">
        <v>125</v>
      </c>
      <c r="C102" s="5">
        <v>1955</v>
      </c>
      <c r="D102" s="169"/>
      <c r="E102" s="169" t="s">
        <v>3646</v>
      </c>
      <c r="F102" s="169">
        <v>3</v>
      </c>
      <c r="G102" s="25"/>
      <c r="H102" s="85">
        <v>1718.55</v>
      </c>
      <c r="I102" s="86" t="s">
        <v>3718</v>
      </c>
      <c r="J102" s="19">
        <f t="shared" si="2"/>
        <v>130001.83</v>
      </c>
      <c r="K102" s="19"/>
      <c r="L102" s="19"/>
      <c r="M102" s="19"/>
      <c r="N102" s="19">
        <f>SUMIF('2020'!B:B,B102,'2020'!C:C)+SUMIF('2021'!B:B,B102,'2021'!C:C)+SUMIF('2022'!B:B,B102,'2022'!C:C)</f>
        <v>130001.83</v>
      </c>
      <c r="O102" s="17">
        <v>44925</v>
      </c>
      <c r="P102" s="85" t="s">
        <v>3728</v>
      </c>
    </row>
    <row r="103" spans="1:16" ht="17.25" customHeight="1" x14ac:dyDescent="0.3">
      <c r="A103" s="210">
        <f t="shared" si="3"/>
        <v>91</v>
      </c>
      <c r="B103" s="21" t="s">
        <v>126</v>
      </c>
      <c r="C103" s="5">
        <v>1952</v>
      </c>
      <c r="D103" s="169"/>
      <c r="E103" s="169" t="s">
        <v>3646</v>
      </c>
      <c r="F103" s="169">
        <v>2</v>
      </c>
      <c r="G103" s="25"/>
      <c r="H103" s="85">
        <v>724.7</v>
      </c>
      <c r="I103" s="86" t="s">
        <v>3653</v>
      </c>
      <c r="J103" s="19">
        <f t="shared" si="2"/>
        <v>363397.92</v>
      </c>
      <c r="K103" s="19"/>
      <c r="L103" s="19"/>
      <c r="M103" s="19"/>
      <c r="N103" s="19">
        <f>SUMIF('2020'!B:B,B103,'2020'!C:C)+SUMIF('2021'!B:B,B103,'2021'!C:C)+SUMIF('2022'!B:B,B103,'2022'!C:C)</f>
        <v>363397.92</v>
      </c>
      <c r="O103" s="17">
        <v>44925</v>
      </c>
      <c r="P103" s="85" t="s">
        <v>3728</v>
      </c>
    </row>
    <row r="104" spans="1:16" ht="17.25" customHeight="1" x14ac:dyDescent="0.3">
      <c r="A104" s="210">
        <f t="shared" si="3"/>
        <v>92</v>
      </c>
      <c r="B104" s="21" t="s">
        <v>127</v>
      </c>
      <c r="C104" s="5">
        <v>1954</v>
      </c>
      <c r="D104" s="169"/>
      <c r="E104" s="169" t="s">
        <v>3646</v>
      </c>
      <c r="F104" s="169">
        <v>2</v>
      </c>
      <c r="G104" s="25"/>
      <c r="H104" s="85">
        <v>1022.78</v>
      </c>
      <c r="I104" s="86" t="s">
        <v>3653</v>
      </c>
      <c r="J104" s="19">
        <f t="shared" si="2"/>
        <v>2303590.29</v>
      </c>
      <c r="K104" s="19"/>
      <c r="L104" s="19"/>
      <c r="M104" s="19"/>
      <c r="N104" s="19">
        <f>SUMIF('2020'!B:B,B104,'2020'!C:C)+SUMIF('2021'!B:B,B104,'2021'!C:C)+SUMIF('2022'!B:B,B104,'2022'!C:C)</f>
        <v>2303590.29</v>
      </c>
      <c r="O104" s="17">
        <v>44925</v>
      </c>
      <c r="P104" s="85" t="s">
        <v>3728</v>
      </c>
    </row>
    <row r="105" spans="1:16" ht="17.25" customHeight="1" x14ac:dyDescent="0.3">
      <c r="A105" s="210">
        <f t="shared" si="3"/>
        <v>93</v>
      </c>
      <c r="B105" s="21" t="s">
        <v>128</v>
      </c>
      <c r="C105" s="5">
        <v>1954</v>
      </c>
      <c r="D105" s="169"/>
      <c r="E105" s="169" t="s">
        <v>3646</v>
      </c>
      <c r="F105" s="169">
        <v>2</v>
      </c>
      <c r="G105" s="25"/>
      <c r="H105" s="85">
        <v>932.3</v>
      </c>
      <c r="I105" s="86" t="s">
        <v>3670</v>
      </c>
      <c r="J105" s="19">
        <f t="shared" si="2"/>
        <v>887130.36</v>
      </c>
      <c r="K105" s="19"/>
      <c r="L105" s="19"/>
      <c r="M105" s="19"/>
      <c r="N105" s="19">
        <f>SUMIF('2020'!B:B,B105,'2020'!C:C)+SUMIF('2021'!B:B,B105,'2021'!C:C)+SUMIF('2022'!B:B,B105,'2022'!C:C)</f>
        <v>887130.36</v>
      </c>
      <c r="O105" s="17">
        <v>44925</v>
      </c>
      <c r="P105" s="85" t="s">
        <v>3728</v>
      </c>
    </row>
    <row r="106" spans="1:16" ht="17.25" customHeight="1" x14ac:dyDescent="0.3">
      <c r="A106" s="210">
        <f t="shared" si="3"/>
        <v>94</v>
      </c>
      <c r="B106" s="21" t="s">
        <v>129</v>
      </c>
      <c r="C106" s="5">
        <v>1941</v>
      </c>
      <c r="D106" s="169"/>
      <c r="E106" s="169" t="s">
        <v>3646</v>
      </c>
      <c r="F106" s="169">
        <v>4</v>
      </c>
      <c r="G106" s="25">
        <v>3</v>
      </c>
      <c r="H106" s="85">
        <v>3953</v>
      </c>
      <c r="I106" s="86" t="s">
        <v>3694</v>
      </c>
      <c r="J106" s="19">
        <f t="shared" si="2"/>
        <v>526839.39</v>
      </c>
      <c r="K106" s="19"/>
      <c r="L106" s="19"/>
      <c r="M106" s="19"/>
      <c r="N106" s="19">
        <f>SUMIF('2020'!B:B,B106,'2020'!C:C)+SUMIF('2021'!B:B,B106,'2021'!C:C)+SUMIF('2022'!B:B,B106,'2022'!C:C)</f>
        <v>526839.39</v>
      </c>
      <c r="O106" s="17">
        <v>44925</v>
      </c>
      <c r="P106" s="85" t="s">
        <v>3728</v>
      </c>
    </row>
    <row r="107" spans="1:16" ht="17.25" customHeight="1" x14ac:dyDescent="0.3">
      <c r="A107" s="210">
        <f t="shared" si="3"/>
        <v>95</v>
      </c>
      <c r="B107" s="21" t="s">
        <v>130</v>
      </c>
      <c r="C107" s="5">
        <v>1953</v>
      </c>
      <c r="D107" s="169"/>
      <c r="E107" s="169" t="s">
        <v>3646</v>
      </c>
      <c r="F107" s="169">
        <v>2</v>
      </c>
      <c r="G107" s="25">
        <v>2</v>
      </c>
      <c r="H107" s="85">
        <v>614.79999999999995</v>
      </c>
      <c r="I107" s="86" t="s">
        <v>3719</v>
      </c>
      <c r="J107" s="19">
        <f t="shared" si="2"/>
        <v>1093853.78</v>
      </c>
      <c r="K107" s="19"/>
      <c r="L107" s="19"/>
      <c r="M107" s="19"/>
      <c r="N107" s="19">
        <f>SUMIF('2020'!B:B,B107,'2020'!C:C)+SUMIF('2021'!B:B,B107,'2021'!C:C)+SUMIF('2022'!B:B,B107,'2022'!C:C)</f>
        <v>1093853.78</v>
      </c>
      <c r="O107" s="17">
        <v>44925</v>
      </c>
      <c r="P107" s="85" t="s">
        <v>3728</v>
      </c>
    </row>
    <row r="108" spans="1:16" ht="17.25" customHeight="1" x14ac:dyDescent="0.3">
      <c r="A108" s="210">
        <f t="shared" si="3"/>
        <v>96</v>
      </c>
      <c r="B108" s="21" t="s">
        <v>131</v>
      </c>
      <c r="C108" s="5">
        <v>1953</v>
      </c>
      <c r="D108" s="169"/>
      <c r="E108" s="169" t="s">
        <v>3646</v>
      </c>
      <c r="F108" s="169">
        <v>2</v>
      </c>
      <c r="G108" s="25"/>
      <c r="H108" s="85">
        <v>715.4</v>
      </c>
      <c r="I108" s="86" t="s">
        <v>3702</v>
      </c>
      <c r="J108" s="19">
        <f t="shared" si="2"/>
        <v>249974</v>
      </c>
      <c r="K108" s="19"/>
      <c r="L108" s="19"/>
      <c r="M108" s="19"/>
      <c r="N108" s="19">
        <f>SUMIF('2020'!B:B,B108,'2020'!C:C)+SUMIF('2021'!B:B,B108,'2021'!C:C)+SUMIF('2022'!B:B,B108,'2022'!C:C)</f>
        <v>249974</v>
      </c>
      <c r="O108" s="17">
        <v>44925</v>
      </c>
      <c r="P108" s="85" t="s">
        <v>3728</v>
      </c>
    </row>
    <row r="109" spans="1:16" ht="17.25" customHeight="1" x14ac:dyDescent="0.3">
      <c r="A109" s="210">
        <f t="shared" si="3"/>
        <v>97</v>
      </c>
      <c r="B109" s="21" t="s">
        <v>132</v>
      </c>
      <c r="C109" s="5">
        <v>1954</v>
      </c>
      <c r="D109" s="169"/>
      <c r="E109" s="169" t="s">
        <v>3646</v>
      </c>
      <c r="F109" s="169">
        <v>2</v>
      </c>
      <c r="G109" s="25"/>
      <c r="H109" s="85">
        <v>405.6</v>
      </c>
      <c r="I109" s="86" t="s">
        <v>3720</v>
      </c>
      <c r="J109" s="19">
        <f t="shared" si="2"/>
        <v>1091063.99</v>
      </c>
      <c r="K109" s="19"/>
      <c r="L109" s="19"/>
      <c r="M109" s="19"/>
      <c r="N109" s="19">
        <f>SUMIF('2020'!B:B,B109,'2020'!C:C)+SUMIF('2021'!B:B,B109,'2021'!C:C)+SUMIF('2022'!B:B,B109,'2022'!C:C)</f>
        <v>1091063.99</v>
      </c>
      <c r="O109" s="17">
        <v>44925</v>
      </c>
      <c r="P109" s="85" t="s">
        <v>3728</v>
      </c>
    </row>
    <row r="110" spans="1:16" ht="17.25" customHeight="1" x14ac:dyDescent="0.3">
      <c r="A110" s="210">
        <f t="shared" si="3"/>
        <v>98</v>
      </c>
      <c r="B110" s="21" t="s">
        <v>133</v>
      </c>
      <c r="C110" s="5">
        <v>1953</v>
      </c>
      <c r="D110" s="169"/>
      <c r="E110" s="169" t="s">
        <v>3646</v>
      </c>
      <c r="F110" s="169">
        <v>2</v>
      </c>
      <c r="G110" s="25"/>
      <c r="H110" s="85">
        <v>1025.0999999999999</v>
      </c>
      <c r="I110" s="86" t="s">
        <v>3721</v>
      </c>
      <c r="J110" s="19">
        <f t="shared" si="2"/>
        <v>253321.02999999997</v>
      </c>
      <c r="K110" s="19"/>
      <c r="L110" s="19"/>
      <c r="M110" s="19"/>
      <c r="N110" s="19">
        <f>SUMIF('2020'!B:B,B110,'2020'!C:C)+SUMIF('2021'!B:B,B110,'2021'!C:C)+SUMIF('2022'!B:B,B110,'2022'!C:C)</f>
        <v>253321.02999999997</v>
      </c>
      <c r="O110" s="17">
        <v>44925</v>
      </c>
      <c r="P110" s="85" t="s">
        <v>3728</v>
      </c>
    </row>
    <row r="111" spans="1:16" ht="17.25" customHeight="1" x14ac:dyDescent="0.3">
      <c r="A111" s="210">
        <f t="shared" si="3"/>
        <v>99</v>
      </c>
      <c r="B111" s="21" t="s">
        <v>134</v>
      </c>
      <c r="C111" s="5">
        <v>1953</v>
      </c>
      <c r="D111" s="169"/>
      <c r="E111" s="169" t="s">
        <v>3646</v>
      </c>
      <c r="F111" s="169">
        <v>2</v>
      </c>
      <c r="G111" s="25"/>
      <c r="H111" s="85">
        <v>722.72</v>
      </c>
      <c r="I111" s="86" t="s">
        <v>3722</v>
      </c>
      <c r="J111" s="19">
        <f t="shared" si="2"/>
        <v>1514419.55</v>
      </c>
      <c r="K111" s="19"/>
      <c r="L111" s="19"/>
      <c r="M111" s="19"/>
      <c r="N111" s="19">
        <f>SUMIF('2020'!B:B,B111,'2020'!C:C)+SUMIF('2021'!B:B,B111,'2021'!C:C)+SUMIF('2022'!B:B,B111,'2022'!C:C)</f>
        <v>1514419.55</v>
      </c>
      <c r="O111" s="17">
        <v>44925</v>
      </c>
      <c r="P111" s="85" t="s">
        <v>3728</v>
      </c>
    </row>
    <row r="112" spans="1:16" ht="17.25" customHeight="1" x14ac:dyDescent="0.3">
      <c r="A112" s="210">
        <f t="shared" si="3"/>
        <v>100</v>
      </c>
      <c r="B112" s="21" t="s">
        <v>135</v>
      </c>
      <c r="C112" s="5">
        <v>1974</v>
      </c>
      <c r="D112" s="169"/>
      <c r="E112" s="169" t="s">
        <v>3645</v>
      </c>
      <c r="F112" s="169">
        <v>5</v>
      </c>
      <c r="G112" s="25"/>
      <c r="H112" s="85">
        <v>6135.33</v>
      </c>
      <c r="I112" s="86" t="s">
        <v>3723</v>
      </c>
      <c r="J112" s="19">
        <f t="shared" si="2"/>
        <v>130000</v>
      </c>
      <c r="K112" s="19"/>
      <c r="L112" s="19"/>
      <c r="M112" s="19"/>
      <c r="N112" s="19">
        <f>SUMIF('2020'!B:B,B112,'2020'!C:C)+SUMIF('2021'!B:B,B112,'2021'!C:C)+SUMIF('2022'!B:B,B112,'2022'!C:C)</f>
        <v>130000</v>
      </c>
      <c r="O112" s="17">
        <v>44925</v>
      </c>
      <c r="P112" s="85" t="s">
        <v>3728</v>
      </c>
    </row>
    <row r="113" spans="1:16" ht="17.25" customHeight="1" x14ac:dyDescent="0.3">
      <c r="A113" s="210">
        <f t="shared" si="3"/>
        <v>101</v>
      </c>
      <c r="B113" s="21" t="s">
        <v>136</v>
      </c>
      <c r="C113" s="5">
        <v>1971</v>
      </c>
      <c r="D113" s="169"/>
      <c r="E113" s="169" t="s">
        <v>3645</v>
      </c>
      <c r="F113" s="169">
        <v>5</v>
      </c>
      <c r="G113" s="25">
        <v>6</v>
      </c>
      <c r="H113" s="85">
        <v>6256.57</v>
      </c>
      <c r="I113" s="86" t="s">
        <v>3691</v>
      </c>
      <c r="J113" s="19">
        <f t="shared" si="2"/>
        <v>182039</v>
      </c>
      <c r="K113" s="19"/>
      <c r="L113" s="19"/>
      <c r="M113" s="19"/>
      <c r="N113" s="19">
        <f>SUMIF('2020'!B:B,B113,'2020'!C:C)+SUMIF('2021'!B:B,B113,'2021'!C:C)+SUMIF('2022'!B:B,B113,'2022'!C:C)</f>
        <v>182039</v>
      </c>
      <c r="O113" s="17">
        <v>44925</v>
      </c>
      <c r="P113" s="85" t="s">
        <v>3728</v>
      </c>
    </row>
    <row r="114" spans="1:16" ht="17.25" customHeight="1" x14ac:dyDescent="0.3">
      <c r="A114" s="210">
        <f t="shared" si="3"/>
        <v>102</v>
      </c>
      <c r="B114" s="21" t="s">
        <v>137</v>
      </c>
      <c r="C114" s="5">
        <v>1975</v>
      </c>
      <c r="D114" s="169"/>
      <c r="E114" s="169" t="s">
        <v>3645</v>
      </c>
      <c r="F114" s="169">
        <v>5</v>
      </c>
      <c r="G114" s="25">
        <v>6</v>
      </c>
      <c r="H114" s="85">
        <v>6194.14</v>
      </c>
      <c r="I114" s="86" t="s">
        <v>3724</v>
      </c>
      <c r="J114" s="19">
        <f t="shared" si="2"/>
        <v>130000</v>
      </c>
      <c r="K114" s="19"/>
      <c r="L114" s="19"/>
      <c r="M114" s="19"/>
      <c r="N114" s="19">
        <f>SUMIF('2020'!B:B,B114,'2020'!C:C)+SUMIF('2021'!B:B,B114,'2021'!C:C)+SUMIF('2022'!B:B,B114,'2022'!C:C)</f>
        <v>130000</v>
      </c>
      <c r="O114" s="17">
        <v>44925</v>
      </c>
      <c r="P114" s="85" t="s">
        <v>3728</v>
      </c>
    </row>
    <row r="115" spans="1:16" ht="17.25" customHeight="1" x14ac:dyDescent="0.3">
      <c r="A115" s="210">
        <f t="shared" si="3"/>
        <v>103</v>
      </c>
      <c r="B115" s="21" t="s">
        <v>138</v>
      </c>
      <c r="C115" s="5">
        <v>1973</v>
      </c>
      <c r="D115" s="169"/>
      <c r="E115" s="169" t="s">
        <v>3645</v>
      </c>
      <c r="F115" s="169">
        <v>5</v>
      </c>
      <c r="G115" s="25">
        <v>8</v>
      </c>
      <c r="H115" s="85">
        <v>5551.79</v>
      </c>
      <c r="I115" s="86" t="s">
        <v>3725</v>
      </c>
      <c r="J115" s="19">
        <f t="shared" si="2"/>
        <v>130000</v>
      </c>
      <c r="K115" s="19"/>
      <c r="L115" s="19"/>
      <c r="M115" s="19"/>
      <c r="N115" s="19">
        <f>SUMIF('2020'!B:B,B115,'2020'!C:C)+SUMIF('2021'!B:B,B115,'2021'!C:C)+SUMIF('2022'!B:B,B115,'2022'!C:C)</f>
        <v>130000</v>
      </c>
      <c r="O115" s="17">
        <v>44925</v>
      </c>
      <c r="P115" s="85" t="s">
        <v>3728</v>
      </c>
    </row>
    <row r="116" spans="1:16" ht="17.25" customHeight="1" x14ac:dyDescent="0.3">
      <c r="A116" s="210">
        <f t="shared" si="3"/>
        <v>104</v>
      </c>
      <c r="B116" s="21" t="s">
        <v>139</v>
      </c>
      <c r="C116" s="5">
        <v>1972</v>
      </c>
      <c r="D116" s="169"/>
      <c r="E116" s="169" t="s">
        <v>3645</v>
      </c>
      <c r="F116" s="169">
        <v>5</v>
      </c>
      <c r="G116" s="25">
        <v>6</v>
      </c>
      <c r="H116" s="85">
        <v>4500.0600000000004</v>
      </c>
      <c r="I116" s="86" t="s">
        <v>3726</v>
      </c>
      <c r="J116" s="19">
        <f t="shared" si="2"/>
        <v>130000</v>
      </c>
      <c r="K116" s="19"/>
      <c r="L116" s="19"/>
      <c r="M116" s="19"/>
      <c r="N116" s="19">
        <f>SUMIF('2020'!B:B,B116,'2020'!C:C)+SUMIF('2021'!B:B,B116,'2021'!C:C)+SUMIF('2022'!B:B,B116,'2022'!C:C)</f>
        <v>130000</v>
      </c>
      <c r="O116" s="17">
        <v>44925</v>
      </c>
      <c r="P116" s="85" t="s">
        <v>3728</v>
      </c>
    </row>
    <row r="117" spans="1:16" ht="17.25" customHeight="1" x14ac:dyDescent="0.3">
      <c r="A117" s="210">
        <f t="shared" si="3"/>
        <v>105</v>
      </c>
      <c r="B117" s="21" t="s">
        <v>140</v>
      </c>
      <c r="C117" s="5">
        <v>1969</v>
      </c>
      <c r="D117" s="169"/>
      <c r="E117" s="169" t="s">
        <v>3645</v>
      </c>
      <c r="F117" s="169">
        <v>2</v>
      </c>
      <c r="G117" s="25">
        <v>2</v>
      </c>
      <c r="H117" s="85">
        <v>1299.3</v>
      </c>
      <c r="I117" s="86" t="s">
        <v>3669</v>
      </c>
      <c r="J117" s="19">
        <f t="shared" si="2"/>
        <v>400264.63</v>
      </c>
      <c r="K117" s="19"/>
      <c r="L117" s="19"/>
      <c r="M117" s="19"/>
      <c r="N117" s="19">
        <f>SUMIF('2020'!B:B,B117,'2020'!C:C)+SUMIF('2021'!B:B,B117,'2021'!C:C)+SUMIF('2022'!B:B,B117,'2022'!C:C)</f>
        <v>400264.63</v>
      </c>
      <c r="O117" s="17">
        <v>44925</v>
      </c>
      <c r="P117" s="85" t="s">
        <v>3728</v>
      </c>
    </row>
    <row r="118" spans="1:16" ht="17.25" customHeight="1" x14ac:dyDescent="0.3">
      <c r="A118" s="210">
        <f t="shared" si="3"/>
        <v>106</v>
      </c>
      <c r="B118" s="21" t="s">
        <v>141</v>
      </c>
      <c r="C118" s="5">
        <v>1951</v>
      </c>
      <c r="D118" s="169"/>
      <c r="E118" s="169" t="s">
        <v>3646</v>
      </c>
      <c r="F118" s="169">
        <v>2</v>
      </c>
      <c r="G118" s="25">
        <v>1</v>
      </c>
      <c r="H118" s="85">
        <v>454.32</v>
      </c>
      <c r="I118" s="86" t="s">
        <v>3674</v>
      </c>
      <c r="J118" s="19">
        <f t="shared" si="2"/>
        <v>6426836.9200000009</v>
      </c>
      <c r="K118" s="19"/>
      <c r="L118" s="19"/>
      <c r="M118" s="19"/>
      <c r="N118" s="19">
        <f>SUMIF('2020'!B:B,B118,'2020'!C:C)+SUMIF('2021'!B:B,B118,'2021'!C:C)+SUMIF('2022'!B:B,B118,'2022'!C:C)</f>
        <v>6426836.9200000009</v>
      </c>
      <c r="O118" s="17">
        <v>44925</v>
      </c>
      <c r="P118" s="85" t="s">
        <v>3728</v>
      </c>
    </row>
    <row r="119" spans="1:16" ht="17.25" customHeight="1" x14ac:dyDescent="0.3">
      <c r="A119" s="210">
        <f t="shared" si="3"/>
        <v>107</v>
      </c>
      <c r="B119" s="21" t="s">
        <v>142</v>
      </c>
      <c r="C119" s="5">
        <v>1939</v>
      </c>
      <c r="D119" s="169"/>
      <c r="E119" s="169" t="s">
        <v>3645</v>
      </c>
      <c r="F119" s="169">
        <v>3</v>
      </c>
      <c r="G119" s="25"/>
      <c r="H119" s="85">
        <v>2483.96</v>
      </c>
      <c r="I119" s="86" t="s">
        <v>3709</v>
      </c>
      <c r="J119" s="19">
        <f t="shared" si="2"/>
        <v>5326250.47</v>
      </c>
      <c r="K119" s="19"/>
      <c r="L119" s="19"/>
      <c r="M119" s="19"/>
      <c r="N119" s="19">
        <f>SUMIF('2020'!B:B,B119,'2020'!C:C)+SUMIF('2021'!B:B,B119,'2021'!C:C)+SUMIF('2022'!B:B,B119,'2022'!C:C)</f>
        <v>5326250.47</v>
      </c>
      <c r="O119" s="17">
        <v>44925</v>
      </c>
      <c r="P119" s="85" t="s">
        <v>3728</v>
      </c>
    </row>
    <row r="120" spans="1:16" ht="17.25" customHeight="1" x14ac:dyDescent="0.3">
      <c r="A120" s="210">
        <f t="shared" si="3"/>
        <v>108</v>
      </c>
      <c r="B120" s="21" t="s">
        <v>143</v>
      </c>
      <c r="C120" s="5">
        <v>1959</v>
      </c>
      <c r="D120" s="169"/>
      <c r="E120" s="169" t="s">
        <v>3645</v>
      </c>
      <c r="F120" s="169">
        <v>3</v>
      </c>
      <c r="G120" s="25"/>
      <c r="H120" s="85">
        <v>3765.88</v>
      </c>
      <c r="I120" s="86" t="s">
        <v>3727</v>
      </c>
      <c r="J120" s="19">
        <f t="shared" si="2"/>
        <v>130000</v>
      </c>
      <c r="K120" s="19"/>
      <c r="L120" s="19"/>
      <c r="M120" s="19"/>
      <c r="N120" s="19">
        <f>SUMIF('2020'!B:B,B120,'2020'!C:C)+SUMIF('2021'!B:B,B120,'2021'!C:C)+SUMIF('2022'!B:B,B120,'2022'!C:C)</f>
        <v>130000</v>
      </c>
      <c r="O120" s="17">
        <v>44925</v>
      </c>
      <c r="P120" s="85" t="s">
        <v>3728</v>
      </c>
    </row>
    <row r="121" spans="1:16" ht="17.25" customHeight="1" x14ac:dyDescent="0.3">
      <c r="A121" s="211" t="s">
        <v>144</v>
      </c>
      <c r="B121" s="21"/>
      <c r="C121" s="3"/>
      <c r="D121" s="3"/>
      <c r="E121" s="3"/>
      <c r="F121" s="3"/>
      <c r="G121" s="26"/>
      <c r="H121" s="88">
        <f>SUM(H13:H120)</f>
        <v>319414.73000000004</v>
      </c>
      <c r="I121" s="88">
        <f t="shared" ref="I121:N121" si="4">SUM(I13:I120)</f>
        <v>0</v>
      </c>
      <c r="J121" s="73">
        <f t="shared" si="4"/>
        <v>170223657.28000006</v>
      </c>
      <c r="K121" s="73">
        <f t="shared" si="4"/>
        <v>0</v>
      </c>
      <c r="L121" s="73">
        <f t="shared" si="4"/>
        <v>0</v>
      </c>
      <c r="M121" s="73">
        <f>N121-'2020'!C47-'2021'!C119</f>
        <v>0</v>
      </c>
      <c r="N121" s="73">
        <f t="shared" si="4"/>
        <v>170223657.28000006</v>
      </c>
      <c r="O121" s="3"/>
      <c r="P121" s="3"/>
    </row>
    <row r="122" spans="1:16" ht="17.25" customHeight="1" x14ac:dyDescent="0.3">
      <c r="A122" s="90" t="s">
        <v>145</v>
      </c>
      <c r="B122" s="21"/>
      <c r="C122" s="3"/>
      <c r="D122" s="3"/>
      <c r="E122" s="3"/>
      <c r="F122" s="3"/>
      <c r="G122" s="26"/>
      <c r="H122" s="3"/>
      <c r="I122" s="3"/>
      <c r="J122" s="73"/>
      <c r="K122" s="73"/>
      <c r="L122" s="73"/>
      <c r="M122" s="73"/>
      <c r="N122" s="73"/>
      <c r="O122" s="3"/>
      <c r="P122" s="3"/>
    </row>
    <row r="123" spans="1:16" ht="17.25" customHeight="1" x14ac:dyDescent="0.3">
      <c r="A123" s="210">
        <f>A120+1</f>
        <v>109</v>
      </c>
      <c r="B123" s="21" t="s">
        <v>146</v>
      </c>
      <c r="C123" s="5">
        <v>1966</v>
      </c>
      <c r="D123" s="5"/>
      <c r="E123" s="169" t="s">
        <v>3645</v>
      </c>
      <c r="F123" s="5">
        <v>2</v>
      </c>
      <c r="G123" s="25">
        <v>2</v>
      </c>
      <c r="H123" s="5">
        <v>382.9</v>
      </c>
      <c r="I123" s="5">
        <v>20</v>
      </c>
      <c r="J123" s="19">
        <f>K123+L123+M123+N123</f>
        <v>130000</v>
      </c>
      <c r="K123" s="72"/>
      <c r="L123" s="72"/>
      <c r="M123" s="72"/>
      <c r="N123" s="72">
        <f>'2021'!C121</f>
        <v>130000</v>
      </c>
      <c r="O123" s="17">
        <v>44925</v>
      </c>
      <c r="P123" s="5" t="s">
        <v>3728</v>
      </c>
    </row>
    <row r="124" spans="1:16" ht="17.25" customHeight="1" x14ac:dyDescent="0.3">
      <c r="A124" s="211" t="s">
        <v>144</v>
      </c>
      <c r="B124" s="21"/>
      <c r="C124" s="3"/>
      <c r="D124" s="3"/>
      <c r="E124" s="3"/>
      <c r="F124" s="3"/>
      <c r="G124" s="26"/>
      <c r="H124" s="3">
        <f>H123</f>
        <v>382.9</v>
      </c>
      <c r="I124" s="3">
        <f t="shared" ref="I124:N124" si="5">I123</f>
        <v>20</v>
      </c>
      <c r="J124" s="73">
        <f t="shared" si="5"/>
        <v>130000</v>
      </c>
      <c r="K124" s="73">
        <f t="shared" si="5"/>
        <v>0</v>
      </c>
      <c r="L124" s="73">
        <f t="shared" si="5"/>
        <v>0</v>
      </c>
      <c r="M124" s="73">
        <f>N124-'2021'!C122</f>
        <v>0</v>
      </c>
      <c r="N124" s="73">
        <f t="shared" si="5"/>
        <v>130000</v>
      </c>
      <c r="O124" s="3"/>
      <c r="P124" s="3"/>
    </row>
    <row r="125" spans="1:16" ht="17.25" customHeight="1" x14ac:dyDescent="0.3">
      <c r="A125" s="90" t="s">
        <v>147</v>
      </c>
      <c r="B125" s="21"/>
      <c r="C125" s="3"/>
      <c r="D125" s="3"/>
      <c r="E125" s="3"/>
      <c r="F125" s="3"/>
      <c r="G125" s="26"/>
      <c r="H125" s="3"/>
      <c r="I125" s="3"/>
      <c r="J125" s="73"/>
      <c r="K125" s="73"/>
      <c r="L125" s="73"/>
      <c r="M125" s="73"/>
      <c r="N125" s="73"/>
      <c r="O125" s="3"/>
      <c r="P125" s="3"/>
    </row>
    <row r="126" spans="1:16" ht="17.25" customHeight="1" x14ac:dyDescent="0.3">
      <c r="A126" s="210">
        <f>A123+1</f>
        <v>110</v>
      </c>
      <c r="B126" s="21" t="s">
        <v>148</v>
      </c>
      <c r="C126" s="5">
        <v>1969</v>
      </c>
      <c r="D126" s="3"/>
      <c r="E126" s="3" t="s">
        <v>3729</v>
      </c>
      <c r="F126" s="3">
        <v>5</v>
      </c>
      <c r="G126" s="25">
        <v>4</v>
      </c>
      <c r="H126" s="3">
        <v>5579.8</v>
      </c>
      <c r="I126" s="3">
        <v>144</v>
      </c>
      <c r="J126" s="19">
        <f t="shared" ref="J126:J143" si="6">K126+L126+M126+N126</f>
        <v>130000</v>
      </c>
      <c r="K126" s="73"/>
      <c r="L126" s="73"/>
      <c r="M126" s="73"/>
      <c r="N126" s="19">
        <f>SUMIF('2020'!B:B,B126,'2020'!C:C)+SUMIF('2021'!B:B,B126,'2021'!C:C)+SUMIF('2022'!B:B,B126,'2022'!C:C)</f>
        <v>130000</v>
      </c>
      <c r="O126" s="17">
        <v>44925</v>
      </c>
      <c r="P126" s="5" t="s">
        <v>3728</v>
      </c>
    </row>
    <row r="127" spans="1:16" ht="17.25" customHeight="1" x14ac:dyDescent="0.3">
      <c r="A127" s="210">
        <f>A126+1</f>
        <v>111</v>
      </c>
      <c r="B127" s="21" t="s">
        <v>149</v>
      </c>
      <c r="C127" s="5">
        <v>1968</v>
      </c>
      <c r="D127" s="3"/>
      <c r="E127" s="3" t="s">
        <v>3729</v>
      </c>
      <c r="F127" s="3">
        <v>5</v>
      </c>
      <c r="G127" s="25">
        <v>7</v>
      </c>
      <c r="H127" s="3">
        <v>5105.2</v>
      </c>
      <c r="I127" s="3">
        <v>147</v>
      </c>
      <c r="J127" s="19">
        <f t="shared" si="6"/>
        <v>130000</v>
      </c>
      <c r="K127" s="73"/>
      <c r="L127" s="73"/>
      <c r="M127" s="73"/>
      <c r="N127" s="19">
        <f>SUMIF('2020'!B:B,B127,'2020'!C:C)+SUMIF('2021'!B:B,B127,'2021'!C:C)+SUMIF('2022'!B:B,B127,'2022'!C:C)</f>
        <v>130000</v>
      </c>
      <c r="O127" s="17">
        <v>44925</v>
      </c>
      <c r="P127" s="5" t="s">
        <v>3728</v>
      </c>
    </row>
    <row r="128" spans="1:16" ht="17.25" customHeight="1" x14ac:dyDescent="0.3">
      <c r="A128" s="210">
        <f>A127+1</f>
        <v>112</v>
      </c>
      <c r="B128" s="21" t="s">
        <v>150</v>
      </c>
      <c r="C128" s="5">
        <v>1951</v>
      </c>
      <c r="D128" s="3"/>
      <c r="E128" s="169" t="s">
        <v>3645</v>
      </c>
      <c r="F128" s="3">
        <v>2</v>
      </c>
      <c r="G128" s="25">
        <v>1</v>
      </c>
      <c r="H128" s="3">
        <v>1028.2</v>
      </c>
      <c r="I128" s="3">
        <v>11</v>
      </c>
      <c r="J128" s="19">
        <f t="shared" si="6"/>
        <v>172012.94</v>
      </c>
      <c r="K128" s="73"/>
      <c r="L128" s="73"/>
      <c r="M128" s="73"/>
      <c r="N128" s="19">
        <f>SUMIF('2020'!B:B,B128,'2020'!C:C)+SUMIF('2021'!B:B,B128,'2021'!C:C)+SUMIF('2022'!B:B,B128,'2022'!C:C)</f>
        <v>172012.94</v>
      </c>
      <c r="O128" s="17">
        <v>44925</v>
      </c>
      <c r="P128" s="5" t="s">
        <v>3728</v>
      </c>
    </row>
    <row r="129" spans="1:16" ht="17.25" customHeight="1" x14ac:dyDescent="0.3">
      <c r="A129" s="210">
        <f t="shared" ref="A129:A143" si="7">A128+1</f>
        <v>113</v>
      </c>
      <c r="B129" s="21" t="s">
        <v>151</v>
      </c>
      <c r="C129" s="5">
        <v>1952</v>
      </c>
      <c r="D129" s="3"/>
      <c r="E129" s="169" t="s">
        <v>3645</v>
      </c>
      <c r="F129" s="3">
        <v>2</v>
      </c>
      <c r="G129" s="25">
        <v>1</v>
      </c>
      <c r="H129" s="3">
        <v>462.4</v>
      </c>
      <c r="I129" s="3">
        <v>19</v>
      </c>
      <c r="J129" s="19">
        <f t="shared" si="6"/>
        <v>214580.6</v>
      </c>
      <c r="K129" s="73"/>
      <c r="L129" s="73"/>
      <c r="M129" s="73"/>
      <c r="N129" s="19">
        <f>SUMIF('2020'!B:B,B129,'2020'!C:C)+SUMIF('2021'!B:B,B129,'2021'!C:C)+SUMIF('2022'!B:B,B129,'2022'!C:C)</f>
        <v>214580.6</v>
      </c>
      <c r="O129" s="17">
        <v>44925</v>
      </c>
      <c r="P129" s="5" t="s">
        <v>3728</v>
      </c>
    </row>
    <row r="130" spans="1:16" ht="17.25" customHeight="1" x14ac:dyDescent="0.3">
      <c r="A130" s="210">
        <f t="shared" si="7"/>
        <v>114</v>
      </c>
      <c r="B130" s="21" t="s">
        <v>152</v>
      </c>
      <c r="C130" s="5">
        <v>1952</v>
      </c>
      <c r="D130" s="3"/>
      <c r="E130" s="169" t="s">
        <v>3645</v>
      </c>
      <c r="F130" s="3">
        <v>2</v>
      </c>
      <c r="G130" s="25">
        <v>1</v>
      </c>
      <c r="H130" s="3">
        <v>463.1</v>
      </c>
      <c r="I130" s="3">
        <v>21</v>
      </c>
      <c r="J130" s="19">
        <f t="shared" si="6"/>
        <v>213887.41</v>
      </c>
      <c r="K130" s="73"/>
      <c r="L130" s="73"/>
      <c r="M130" s="73"/>
      <c r="N130" s="19">
        <f>SUMIF('2020'!B:B,B130,'2020'!C:C)+SUMIF('2021'!B:B,B130,'2021'!C:C)+SUMIF('2022'!B:B,B130,'2022'!C:C)</f>
        <v>213887.41</v>
      </c>
      <c r="O130" s="17">
        <v>44925</v>
      </c>
      <c r="P130" s="5" t="s">
        <v>3728</v>
      </c>
    </row>
    <row r="131" spans="1:16" ht="17.25" customHeight="1" x14ac:dyDescent="0.3">
      <c r="A131" s="210">
        <f t="shared" si="7"/>
        <v>115</v>
      </c>
      <c r="B131" s="21" t="s">
        <v>153</v>
      </c>
      <c r="C131" s="5">
        <v>1980</v>
      </c>
      <c r="D131" s="3"/>
      <c r="E131" s="169" t="s">
        <v>3645</v>
      </c>
      <c r="F131" s="3">
        <v>5</v>
      </c>
      <c r="G131" s="25"/>
      <c r="H131" s="3">
        <v>7475.8</v>
      </c>
      <c r="I131" s="3">
        <v>210</v>
      </c>
      <c r="J131" s="19">
        <f t="shared" si="6"/>
        <v>130000</v>
      </c>
      <c r="K131" s="73"/>
      <c r="L131" s="73"/>
      <c r="M131" s="73"/>
      <c r="N131" s="19">
        <f>SUMIF('2020'!B:B,B131,'2020'!C:C)+SUMIF('2021'!B:B,B131,'2021'!C:C)+SUMIF('2022'!B:B,B131,'2022'!C:C)</f>
        <v>130000</v>
      </c>
      <c r="O131" s="17">
        <v>44925</v>
      </c>
      <c r="P131" s="5" t="s">
        <v>3728</v>
      </c>
    </row>
    <row r="132" spans="1:16" ht="17.25" customHeight="1" x14ac:dyDescent="0.3">
      <c r="A132" s="210">
        <f t="shared" si="7"/>
        <v>116</v>
      </c>
      <c r="B132" s="21" t="s">
        <v>154</v>
      </c>
      <c r="C132" s="5">
        <v>1952</v>
      </c>
      <c r="D132" s="3"/>
      <c r="E132" s="169" t="s">
        <v>3645</v>
      </c>
      <c r="F132" s="3">
        <v>2</v>
      </c>
      <c r="G132" s="25">
        <v>2</v>
      </c>
      <c r="H132" s="3">
        <v>789.4</v>
      </c>
      <c r="I132" s="3">
        <v>38</v>
      </c>
      <c r="J132" s="19">
        <f t="shared" si="6"/>
        <v>206467.06</v>
      </c>
      <c r="K132" s="73"/>
      <c r="L132" s="73"/>
      <c r="M132" s="73"/>
      <c r="N132" s="19">
        <f>SUMIF('2020'!B:B,B132,'2020'!C:C)+SUMIF('2021'!B:B,B132,'2021'!C:C)+SUMIF('2022'!B:B,B132,'2022'!C:C)</f>
        <v>206467.06</v>
      </c>
      <c r="O132" s="17">
        <v>44925</v>
      </c>
      <c r="P132" s="5" t="s">
        <v>3728</v>
      </c>
    </row>
    <row r="133" spans="1:16" ht="17.25" customHeight="1" x14ac:dyDescent="0.3">
      <c r="A133" s="210">
        <f t="shared" si="7"/>
        <v>117</v>
      </c>
      <c r="B133" s="21" t="s">
        <v>155</v>
      </c>
      <c r="C133" s="5">
        <v>1952</v>
      </c>
      <c r="D133" s="3"/>
      <c r="E133" s="169" t="s">
        <v>3645</v>
      </c>
      <c r="F133" s="3">
        <v>2</v>
      </c>
      <c r="G133" s="25">
        <v>2</v>
      </c>
      <c r="H133" s="3">
        <v>788.1</v>
      </c>
      <c r="I133" s="3">
        <v>29</v>
      </c>
      <c r="J133" s="19">
        <f t="shared" si="6"/>
        <v>206853.66</v>
      </c>
      <c r="K133" s="73"/>
      <c r="L133" s="73"/>
      <c r="M133" s="73"/>
      <c r="N133" s="19">
        <f>SUMIF('2020'!B:B,B133,'2020'!C:C)+SUMIF('2021'!B:B,B133,'2021'!C:C)+SUMIF('2022'!B:B,B133,'2022'!C:C)</f>
        <v>206853.66</v>
      </c>
      <c r="O133" s="17">
        <v>44925</v>
      </c>
      <c r="P133" s="5" t="s">
        <v>3728</v>
      </c>
    </row>
    <row r="134" spans="1:16" ht="17.25" customHeight="1" x14ac:dyDescent="0.3">
      <c r="A134" s="210">
        <f t="shared" si="7"/>
        <v>118</v>
      </c>
      <c r="B134" s="21" t="s">
        <v>156</v>
      </c>
      <c r="C134" s="5">
        <v>1952</v>
      </c>
      <c r="D134" s="3"/>
      <c r="E134" s="169" t="s">
        <v>3645</v>
      </c>
      <c r="F134" s="3">
        <v>2</v>
      </c>
      <c r="G134" s="25">
        <v>2</v>
      </c>
      <c r="H134" s="3">
        <v>572.4</v>
      </c>
      <c r="I134" s="3">
        <v>23</v>
      </c>
      <c r="J134" s="19">
        <f t="shared" si="6"/>
        <v>191165.9</v>
      </c>
      <c r="K134" s="73"/>
      <c r="L134" s="73"/>
      <c r="M134" s="73"/>
      <c r="N134" s="19">
        <f>SUMIF('2020'!B:B,B134,'2020'!C:C)+SUMIF('2021'!B:B,B134,'2021'!C:C)+SUMIF('2022'!B:B,B134,'2022'!C:C)</f>
        <v>191165.9</v>
      </c>
      <c r="O134" s="17">
        <v>44925</v>
      </c>
      <c r="P134" s="5" t="s">
        <v>3728</v>
      </c>
    </row>
    <row r="135" spans="1:16" ht="17.25" customHeight="1" x14ac:dyDescent="0.3">
      <c r="A135" s="210">
        <f t="shared" si="7"/>
        <v>119</v>
      </c>
      <c r="B135" s="21" t="s">
        <v>157</v>
      </c>
      <c r="C135" s="5">
        <v>1952</v>
      </c>
      <c r="D135" s="3"/>
      <c r="E135" s="169" t="s">
        <v>3645</v>
      </c>
      <c r="F135" s="3">
        <v>2</v>
      </c>
      <c r="G135" s="25">
        <v>2</v>
      </c>
      <c r="H135" s="3">
        <v>584.79999999999995</v>
      </c>
      <c r="I135" s="3">
        <v>21</v>
      </c>
      <c r="J135" s="19">
        <f t="shared" si="6"/>
        <v>192695.06</v>
      </c>
      <c r="K135" s="73"/>
      <c r="L135" s="73"/>
      <c r="M135" s="73"/>
      <c r="N135" s="19">
        <f>SUMIF('2020'!B:B,B135,'2020'!C:C)+SUMIF('2021'!B:B,B135,'2021'!C:C)+SUMIF('2022'!B:B,B135,'2022'!C:C)</f>
        <v>192695.06</v>
      </c>
      <c r="O135" s="17">
        <v>44925</v>
      </c>
      <c r="P135" s="5" t="s">
        <v>3728</v>
      </c>
    </row>
    <row r="136" spans="1:16" ht="17.25" customHeight="1" x14ac:dyDescent="0.3">
      <c r="A136" s="210">
        <f t="shared" si="7"/>
        <v>120</v>
      </c>
      <c r="B136" s="21" t="s">
        <v>158</v>
      </c>
      <c r="C136" s="5">
        <v>1952</v>
      </c>
      <c r="D136" s="3"/>
      <c r="E136" s="169" t="s">
        <v>3645</v>
      </c>
      <c r="F136" s="3">
        <v>2</v>
      </c>
      <c r="G136" s="25">
        <v>3</v>
      </c>
      <c r="H136" s="3">
        <v>1106.3</v>
      </c>
      <c r="I136" s="3">
        <v>38</v>
      </c>
      <c r="J136" s="19">
        <f t="shared" si="6"/>
        <v>217866.32</v>
      </c>
      <c r="K136" s="73"/>
      <c r="L136" s="73"/>
      <c r="M136" s="73"/>
      <c r="N136" s="19">
        <f>SUMIF('2020'!B:B,B136,'2020'!C:C)+SUMIF('2021'!B:B,B136,'2021'!C:C)+SUMIF('2022'!B:B,B136,'2022'!C:C)</f>
        <v>217866.32</v>
      </c>
      <c r="O136" s="17">
        <v>44925</v>
      </c>
      <c r="P136" s="5" t="s">
        <v>3728</v>
      </c>
    </row>
    <row r="137" spans="1:16" ht="17.25" customHeight="1" x14ac:dyDescent="0.3">
      <c r="A137" s="210">
        <f t="shared" si="7"/>
        <v>121</v>
      </c>
      <c r="B137" s="21" t="s">
        <v>159</v>
      </c>
      <c r="C137" s="5">
        <v>1989</v>
      </c>
      <c r="D137" s="3"/>
      <c r="E137" s="3" t="s">
        <v>3729</v>
      </c>
      <c r="F137" s="3">
        <v>9</v>
      </c>
      <c r="G137" s="25">
        <v>2</v>
      </c>
      <c r="H137" s="3">
        <v>5845.5</v>
      </c>
      <c r="I137" s="3">
        <v>175</v>
      </c>
      <c r="J137" s="19">
        <f t="shared" si="6"/>
        <v>13630144.390000001</v>
      </c>
      <c r="K137" s="73"/>
      <c r="L137" s="73"/>
      <c r="M137" s="73"/>
      <c r="N137" s="19">
        <f>SUMIF('2020'!B:B,B137,'2020'!C:C)+SUMIF('2021'!B:B,B137,'2021'!C:C)+SUMIF('2022'!B:B,B137,'2022'!C:C)</f>
        <v>13630144.390000001</v>
      </c>
      <c r="O137" s="17">
        <v>44925</v>
      </c>
      <c r="P137" s="5" t="s">
        <v>3728</v>
      </c>
    </row>
    <row r="138" spans="1:16" ht="17.25" customHeight="1" x14ac:dyDescent="0.3">
      <c r="A138" s="210">
        <f t="shared" si="7"/>
        <v>122</v>
      </c>
      <c r="B138" s="21" t="s">
        <v>160</v>
      </c>
      <c r="C138" s="5">
        <v>1958</v>
      </c>
      <c r="D138" s="3"/>
      <c r="E138" s="169" t="s">
        <v>3645</v>
      </c>
      <c r="F138" s="3">
        <v>3</v>
      </c>
      <c r="G138" s="25"/>
      <c r="H138" s="3">
        <v>943.2</v>
      </c>
      <c r="I138" s="3">
        <v>35</v>
      </c>
      <c r="J138" s="19">
        <f t="shared" si="6"/>
        <v>3169645.2</v>
      </c>
      <c r="K138" s="73"/>
      <c r="L138" s="73"/>
      <c r="M138" s="73"/>
      <c r="N138" s="19">
        <f>SUMIF('2020'!B:B,B138,'2020'!C:C)+SUMIF('2021'!B:B,B138,'2021'!C:C)+SUMIF('2022'!B:B,B138,'2022'!C:C)</f>
        <v>3169645.2</v>
      </c>
      <c r="O138" s="17">
        <v>44925</v>
      </c>
      <c r="P138" s="5" t="s">
        <v>3728</v>
      </c>
    </row>
    <row r="139" spans="1:16" ht="17.25" customHeight="1" x14ac:dyDescent="0.3">
      <c r="A139" s="210">
        <f t="shared" si="7"/>
        <v>123</v>
      </c>
      <c r="B139" s="21" t="s">
        <v>161</v>
      </c>
      <c r="C139" s="5">
        <v>1951</v>
      </c>
      <c r="D139" s="3"/>
      <c r="E139" s="169" t="s">
        <v>3645</v>
      </c>
      <c r="F139" s="3">
        <v>2</v>
      </c>
      <c r="G139" s="25">
        <v>2</v>
      </c>
      <c r="H139" s="3">
        <v>1680.2</v>
      </c>
      <c r="I139" s="3">
        <v>16</v>
      </c>
      <c r="J139" s="19">
        <f t="shared" si="6"/>
        <v>130000</v>
      </c>
      <c r="K139" s="73"/>
      <c r="L139" s="73"/>
      <c r="M139" s="73"/>
      <c r="N139" s="19">
        <f>SUMIF('2020'!B:B,B139,'2020'!C:C)+SUMIF('2021'!B:B,B139,'2021'!C:C)+SUMIF('2022'!B:B,B139,'2022'!C:C)</f>
        <v>130000</v>
      </c>
      <c r="O139" s="17">
        <v>44925</v>
      </c>
      <c r="P139" s="5" t="s">
        <v>3728</v>
      </c>
    </row>
    <row r="140" spans="1:16" ht="17.25" customHeight="1" x14ac:dyDescent="0.3">
      <c r="A140" s="210">
        <f t="shared" si="7"/>
        <v>124</v>
      </c>
      <c r="B140" s="21" t="s">
        <v>162</v>
      </c>
      <c r="C140" s="5">
        <v>1952</v>
      </c>
      <c r="D140" s="3"/>
      <c r="E140" s="169" t="s">
        <v>3645</v>
      </c>
      <c r="F140" s="3">
        <v>2</v>
      </c>
      <c r="G140" s="25">
        <v>2</v>
      </c>
      <c r="H140" s="3">
        <v>572.29999999999995</v>
      </c>
      <c r="I140" s="3">
        <v>20</v>
      </c>
      <c r="J140" s="19">
        <f t="shared" si="6"/>
        <v>187546.98</v>
      </c>
      <c r="K140" s="73"/>
      <c r="L140" s="73"/>
      <c r="M140" s="73"/>
      <c r="N140" s="19">
        <f>SUMIF('2020'!B:B,B140,'2020'!C:C)+SUMIF('2021'!B:B,B140,'2021'!C:C)+SUMIF('2022'!B:B,B140,'2022'!C:C)</f>
        <v>187546.98</v>
      </c>
      <c r="O140" s="17">
        <v>44925</v>
      </c>
      <c r="P140" s="5" t="s">
        <v>3728</v>
      </c>
    </row>
    <row r="141" spans="1:16" ht="17.25" customHeight="1" x14ac:dyDescent="0.3">
      <c r="A141" s="210">
        <f t="shared" si="7"/>
        <v>125</v>
      </c>
      <c r="B141" s="21" t="s">
        <v>163</v>
      </c>
      <c r="C141" s="5">
        <v>1952</v>
      </c>
      <c r="D141" s="3"/>
      <c r="E141" s="169" t="s">
        <v>3645</v>
      </c>
      <c r="F141" s="3">
        <v>2</v>
      </c>
      <c r="G141" s="25">
        <v>2</v>
      </c>
      <c r="H141" s="3">
        <v>651.29999999999995</v>
      </c>
      <c r="I141" s="3">
        <v>22</v>
      </c>
      <c r="J141" s="19">
        <f t="shared" si="6"/>
        <v>634871.56999999995</v>
      </c>
      <c r="K141" s="73"/>
      <c r="L141" s="73"/>
      <c r="M141" s="73"/>
      <c r="N141" s="19">
        <f>SUMIF('2020'!B:B,B141,'2020'!C:C)+SUMIF('2021'!B:B,B141,'2021'!C:C)+SUMIF('2022'!B:B,B141,'2022'!C:C)</f>
        <v>634871.56999999995</v>
      </c>
      <c r="O141" s="17">
        <v>44925</v>
      </c>
      <c r="P141" s="5" t="s">
        <v>3728</v>
      </c>
    </row>
    <row r="142" spans="1:16" ht="17.25" customHeight="1" x14ac:dyDescent="0.3">
      <c r="A142" s="210">
        <f t="shared" si="7"/>
        <v>126</v>
      </c>
      <c r="B142" s="21" t="s">
        <v>164</v>
      </c>
      <c r="C142" s="5">
        <v>1979</v>
      </c>
      <c r="D142" s="3"/>
      <c r="E142" s="169" t="s">
        <v>3645</v>
      </c>
      <c r="F142" s="3">
        <v>5</v>
      </c>
      <c r="G142" s="25">
        <v>5</v>
      </c>
      <c r="H142" s="3">
        <v>6182</v>
      </c>
      <c r="I142" s="3">
        <v>124</v>
      </c>
      <c r="J142" s="19">
        <f t="shared" si="6"/>
        <v>4529871.5999999996</v>
      </c>
      <c r="K142" s="73"/>
      <c r="L142" s="73"/>
      <c r="M142" s="73"/>
      <c r="N142" s="19">
        <f>SUMIF('2020'!B:B,B142,'2020'!C:C)+SUMIF('2021'!B:B,B142,'2021'!C:C)+SUMIF('2022'!B:B,B142,'2022'!C:C)</f>
        <v>4529871.5999999996</v>
      </c>
      <c r="O142" s="17">
        <v>44925</v>
      </c>
      <c r="P142" s="5" t="s">
        <v>3728</v>
      </c>
    </row>
    <row r="143" spans="1:16" ht="17.25" customHeight="1" x14ac:dyDescent="0.3">
      <c r="A143" s="210">
        <f t="shared" si="7"/>
        <v>127</v>
      </c>
      <c r="B143" s="21" t="s">
        <v>165</v>
      </c>
      <c r="C143" s="5">
        <v>1993</v>
      </c>
      <c r="D143" s="3"/>
      <c r="E143" s="169" t="s">
        <v>3645</v>
      </c>
      <c r="F143" s="3">
        <v>5.6</v>
      </c>
      <c r="G143" s="25">
        <v>5</v>
      </c>
      <c r="H143" s="3">
        <v>3487.1</v>
      </c>
      <c r="I143" s="3">
        <v>149</v>
      </c>
      <c r="J143" s="19">
        <f t="shared" si="6"/>
        <v>15330745.51</v>
      </c>
      <c r="K143" s="73"/>
      <c r="L143" s="73"/>
      <c r="M143" s="73"/>
      <c r="N143" s="19">
        <f>SUMIF('2020'!B:B,B143,'2020'!C:C)+SUMIF('2021'!B:B,B143,'2021'!C:C)+SUMIF('2022'!B:B,B143,'2022'!C:C)</f>
        <v>15330745.51</v>
      </c>
      <c r="O143" s="17">
        <v>44925</v>
      </c>
      <c r="P143" s="5" t="s">
        <v>3728</v>
      </c>
    </row>
    <row r="144" spans="1:16" ht="17.25" customHeight="1" x14ac:dyDescent="0.3">
      <c r="A144" s="211" t="s">
        <v>144</v>
      </c>
      <c r="B144" s="21"/>
      <c r="C144" s="3"/>
      <c r="D144" s="3"/>
      <c r="E144" s="3"/>
      <c r="F144" s="89"/>
      <c r="G144" s="26"/>
      <c r="H144" s="3">
        <f>SUM(H126:H143)</f>
        <v>43317.100000000006</v>
      </c>
      <c r="I144" s="3">
        <f>SUM(I126:I143)</f>
        <v>1242</v>
      </c>
      <c r="J144" s="3">
        <f>SUM(J126:J143)</f>
        <v>39618354.199999996</v>
      </c>
      <c r="K144" s="3">
        <f>SUM(K126:K143)</f>
        <v>0</v>
      </c>
      <c r="L144" s="3">
        <f>SUM(L126:L143)</f>
        <v>0</v>
      </c>
      <c r="M144" s="73">
        <f>N144-'2020'!C53-'2021'!C138</f>
        <v>-7.4505805969238281E-9</v>
      </c>
      <c r="N144" s="73">
        <f>SUM(N126:N143)</f>
        <v>39618354.199999996</v>
      </c>
      <c r="O144" s="3"/>
      <c r="P144" s="3"/>
    </row>
    <row r="145" spans="1:16" ht="17.25" customHeight="1" x14ac:dyDescent="0.3">
      <c r="A145" s="210" t="s">
        <v>166</v>
      </c>
      <c r="B145" s="21"/>
      <c r="C145" s="3"/>
      <c r="D145" s="3"/>
      <c r="E145" s="3"/>
      <c r="F145" s="3"/>
      <c r="G145" s="26"/>
      <c r="H145" s="3"/>
      <c r="I145" s="3"/>
      <c r="J145" s="73"/>
      <c r="K145" s="73"/>
      <c r="L145" s="73"/>
      <c r="M145" s="73"/>
      <c r="N145" s="73"/>
      <c r="O145" s="3"/>
      <c r="P145" s="3"/>
    </row>
    <row r="146" spans="1:16" ht="17.25" customHeight="1" x14ac:dyDescent="0.3">
      <c r="A146" s="210">
        <f>A143+1</f>
        <v>128</v>
      </c>
      <c r="B146" s="21" t="s">
        <v>167</v>
      </c>
      <c r="C146" s="5">
        <v>1985</v>
      </c>
      <c r="D146" s="3"/>
      <c r="E146" s="3" t="s">
        <v>3729</v>
      </c>
      <c r="F146" s="3">
        <v>5</v>
      </c>
      <c r="G146" s="25"/>
      <c r="H146" s="3">
        <v>2985.2</v>
      </c>
      <c r="I146" s="3">
        <v>139</v>
      </c>
      <c r="J146" s="19">
        <f>K146+L146+M146+N146</f>
        <v>9801648</v>
      </c>
      <c r="K146" s="73"/>
      <c r="L146" s="73"/>
      <c r="M146" s="73"/>
      <c r="N146" s="19">
        <f>SUMIF('2020'!B:B,B146,'2020'!C:C)+SUMIF('2021'!B:B,B146,'2021'!C:C)+SUMIF('2022'!B:B,B146,'2022'!C:C)</f>
        <v>9801648</v>
      </c>
      <c r="O146" s="17">
        <v>44925</v>
      </c>
      <c r="P146" s="5" t="s">
        <v>3728</v>
      </c>
    </row>
    <row r="147" spans="1:16" ht="17.25" customHeight="1" x14ac:dyDescent="0.3">
      <c r="A147" s="210">
        <f t="shared" ref="A147:A174" si="8">A146+1</f>
        <v>129</v>
      </c>
      <c r="B147" s="21" t="s">
        <v>168</v>
      </c>
      <c r="C147" s="5">
        <v>1981</v>
      </c>
      <c r="D147" s="3"/>
      <c r="E147" s="3" t="s">
        <v>3729</v>
      </c>
      <c r="F147" s="3">
        <v>5</v>
      </c>
      <c r="G147" s="25"/>
      <c r="H147" s="3">
        <v>4271.2</v>
      </c>
      <c r="I147" s="3">
        <v>160</v>
      </c>
      <c r="J147" s="19">
        <f>K147+L147+M147+N147</f>
        <v>12727903.390000001</v>
      </c>
      <c r="K147" s="73"/>
      <c r="L147" s="73"/>
      <c r="M147" s="73"/>
      <c r="N147" s="19">
        <f>SUMIF('2020'!B:B,B147,'2020'!C:C)+SUMIF('2021'!B:B,B147,'2021'!C:C)+SUMIF('2022'!B:B,B147,'2022'!C:C)</f>
        <v>12727903.390000001</v>
      </c>
      <c r="O147" s="17">
        <v>44925</v>
      </c>
      <c r="P147" s="5" t="s">
        <v>3728</v>
      </c>
    </row>
    <row r="148" spans="1:16" ht="17.25" customHeight="1" x14ac:dyDescent="0.3">
      <c r="A148" s="210">
        <f t="shared" si="8"/>
        <v>130</v>
      </c>
      <c r="B148" s="21" t="s">
        <v>169</v>
      </c>
      <c r="C148" s="5">
        <v>1917</v>
      </c>
      <c r="D148" s="3"/>
      <c r="E148" s="3" t="s">
        <v>3730</v>
      </c>
      <c r="F148" s="3">
        <v>2</v>
      </c>
      <c r="G148" s="25">
        <v>1</v>
      </c>
      <c r="H148" s="3">
        <v>148.80000000000001</v>
      </c>
      <c r="I148" s="3">
        <v>10</v>
      </c>
      <c r="J148" s="19">
        <f>K148+L148+M148+N148</f>
        <v>130000</v>
      </c>
      <c r="K148" s="73"/>
      <c r="L148" s="73"/>
      <c r="M148" s="73"/>
      <c r="N148" s="19">
        <f>SUMIF('2020'!B:B,B148,'2020'!C:C)+SUMIF('2021'!B:B,B148,'2021'!C:C)+SUMIF('2022'!B:B,B148,'2022'!C:C)</f>
        <v>130000</v>
      </c>
      <c r="O148" s="17">
        <v>44925</v>
      </c>
      <c r="P148" s="5" t="s">
        <v>3728</v>
      </c>
    </row>
    <row r="149" spans="1:16" ht="17.25" customHeight="1" x14ac:dyDescent="0.3">
      <c r="A149" s="210">
        <f t="shared" si="8"/>
        <v>131</v>
      </c>
      <c r="B149" s="21" t="s">
        <v>170</v>
      </c>
      <c r="C149" s="5">
        <v>1917</v>
      </c>
      <c r="D149" s="3"/>
      <c r="E149" s="3" t="s">
        <v>3730</v>
      </c>
      <c r="F149" s="3">
        <v>2</v>
      </c>
      <c r="G149" s="25">
        <v>1</v>
      </c>
      <c r="H149" s="3">
        <v>121.9</v>
      </c>
      <c r="I149" s="3">
        <v>4</v>
      </c>
      <c r="J149" s="19">
        <f>K149+L149+M149+N149</f>
        <v>130000</v>
      </c>
      <c r="K149" s="73"/>
      <c r="L149" s="73"/>
      <c r="M149" s="73"/>
      <c r="N149" s="19">
        <f>SUMIF('2020'!B:B,B149,'2020'!C:C)+SUMIF('2021'!B:B,B149,'2021'!C:C)+SUMIF('2022'!B:B,B149,'2022'!C:C)</f>
        <v>130000</v>
      </c>
      <c r="O149" s="17">
        <v>44925</v>
      </c>
      <c r="P149" s="5" t="s">
        <v>3728</v>
      </c>
    </row>
    <row r="150" spans="1:16" ht="17.25" customHeight="1" x14ac:dyDescent="0.3">
      <c r="A150" s="211" t="s">
        <v>144</v>
      </c>
      <c r="B150" s="21"/>
      <c r="C150" s="3"/>
      <c r="D150" s="3"/>
      <c r="E150" s="3"/>
      <c r="F150" s="3"/>
      <c r="G150" s="26"/>
      <c r="H150" s="3">
        <f>SUM(H146:H149)</f>
        <v>7527.0999999999995</v>
      </c>
      <c r="I150" s="3">
        <f>SUM(I146:I149)</f>
        <v>313</v>
      </c>
      <c r="J150" s="3">
        <f>SUM(J146:J149)</f>
        <v>22789551.390000001</v>
      </c>
      <c r="K150" s="3">
        <f>SUM(K146:K149)</f>
        <v>0</v>
      </c>
      <c r="L150" s="3">
        <f>SUM(L146:L149)</f>
        <v>0</v>
      </c>
      <c r="M150" s="73">
        <f>N150-'2020'!C57-'2021'!C142</f>
        <v>0</v>
      </c>
      <c r="N150" s="73">
        <f>SUM(N146:N149)</f>
        <v>22789551.390000001</v>
      </c>
      <c r="O150" s="3"/>
      <c r="P150" s="3"/>
    </row>
    <row r="151" spans="1:16" ht="17.25" customHeight="1" x14ac:dyDescent="0.3">
      <c r="A151" s="210" t="s">
        <v>171</v>
      </c>
      <c r="B151" s="21"/>
      <c r="C151" s="3"/>
      <c r="D151" s="3"/>
      <c r="E151" s="3"/>
      <c r="F151" s="3"/>
      <c r="G151" s="26"/>
      <c r="H151" s="3"/>
      <c r="I151" s="3"/>
      <c r="J151" s="73"/>
      <c r="K151" s="73"/>
      <c r="L151" s="73"/>
      <c r="M151" s="73"/>
      <c r="N151" s="73"/>
      <c r="O151" s="3"/>
      <c r="P151" s="3"/>
    </row>
    <row r="152" spans="1:16" ht="17.25" customHeight="1" x14ac:dyDescent="0.3">
      <c r="A152" s="210">
        <f>A149+1</f>
        <v>132</v>
      </c>
      <c r="B152" s="21" t="s">
        <v>172</v>
      </c>
      <c r="C152" s="5">
        <v>1970</v>
      </c>
      <c r="D152" s="3"/>
      <c r="E152" s="169" t="s">
        <v>3645</v>
      </c>
      <c r="F152" s="3">
        <v>2</v>
      </c>
      <c r="G152" s="25">
        <v>2</v>
      </c>
      <c r="H152" s="3">
        <v>585</v>
      </c>
      <c r="I152" s="3">
        <v>19</v>
      </c>
      <c r="J152" s="19">
        <f t="shared" ref="J152:J162" si="9">K152+L152+M152+N152</f>
        <v>1792869.25</v>
      </c>
      <c r="K152" s="73"/>
      <c r="L152" s="73"/>
      <c r="M152" s="73"/>
      <c r="N152" s="19">
        <f>SUMIF('2020'!B:B,B152,'2020'!C:C)+SUMIF('2021'!B:B,B152,'2021'!C:C)+SUMIF('2022'!B:B,B152,'2022'!C:C)</f>
        <v>1792869.25</v>
      </c>
      <c r="O152" s="17">
        <v>44925</v>
      </c>
      <c r="P152" s="5" t="s">
        <v>3728</v>
      </c>
    </row>
    <row r="153" spans="1:16" ht="17.25" customHeight="1" x14ac:dyDescent="0.3">
      <c r="A153" s="210">
        <f t="shared" si="8"/>
        <v>133</v>
      </c>
      <c r="B153" s="21" t="s">
        <v>173</v>
      </c>
      <c r="C153" s="5">
        <v>1984</v>
      </c>
      <c r="D153" s="3"/>
      <c r="E153" s="169" t="s">
        <v>3645</v>
      </c>
      <c r="F153" s="3">
        <v>3</v>
      </c>
      <c r="G153" s="25">
        <v>3</v>
      </c>
      <c r="H153" s="3">
        <v>1457</v>
      </c>
      <c r="I153" s="3">
        <v>54</v>
      </c>
      <c r="J153" s="19">
        <f t="shared" si="9"/>
        <v>3330748.8</v>
      </c>
      <c r="K153" s="73"/>
      <c r="L153" s="73"/>
      <c r="M153" s="73"/>
      <c r="N153" s="19">
        <f>SUMIF('2020'!B:B,B153,'2020'!C:C)+SUMIF('2021'!B:B,B153,'2021'!C:C)+SUMIF('2022'!B:B,B153,'2022'!C:C)</f>
        <v>3330748.8</v>
      </c>
      <c r="O153" s="17">
        <v>44925</v>
      </c>
      <c r="P153" s="5" t="s">
        <v>3728</v>
      </c>
    </row>
    <row r="154" spans="1:16" ht="17.25" customHeight="1" x14ac:dyDescent="0.3">
      <c r="A154" s="210">
        <f t="shared" si="8"/>
        <v>134</v>
      </c>
      <c r="B154" s="21" t="s">
        <v>174</v>
      </c>
      <c r="C154" s="5">
        <v>1985</v>
      </c>
      <c r="D154" s="3"/>
      <c r="E154" s="169" t="s">
        <v>3645</v>
      </c>
      <c r="F154" s="3">
        <v>3</v>
      </c>
      <c r="G154" s="25">
        <v>3</v>
      </c>
      <c r="H154" s="3">
        <v>1457</v>
      </c>
      <c r="I154" s="3">
        <v>56</v>
      </c>
      <c r="J154" s="19">
        <f t="shared" si="9"/>
        <v>2507434.79</v>
      </c>
      <c r="K154" s="73"/>
      <c r="L154" s="73"/>
      <c r="M154" s="73"/>
      <c r="N154" s="19">
        <f>SUMIF('2020'!B:B,B154,'2020'!C:C)+SUMIF('2021'!B:B,B154,'2021'!C:C)+SUMIF('2022'!B:B,B154,'2022'!C:C)</f>
        <v>2507434.79</v>
      </c>
      <c r="O154" s="17">
        <v>44925</v>
      </c>
      <c r="P154" s="5" t="s">
        <v>3728</v>
      </c>
    </row>
    <row r="155" spans="1:16" ht="17.25" customHeight="1" x14ac:dyDescent="0.3">
      <c r="A155" s="210">
        <f t="shared" si="8"/>
        <v>135</v>
      </c>
      <c r="B155" s="21" t="s">
        <v>175</v>
      </c>
      <c r="C155" s="5">
        <v>1985</v>
      </c>
      <c r="D155" s="3"/>
      <c r="E155" s="3" t="s">
        <v>3731</v>
      </c>
      <c r="F155" s="3">
        <v>3</v>
      </c>
      <c r="G155" s="25">
        <v>4</v>
      </c>
      <c r="H155" s="3">
        <v>1950</v>
      </c>
      <c r="I155" s="3">
        <v>64</v>
      </c>
      <c r="J155" s="19">
        <f t="shared" si="9"/>
        <v>349933.39</v>
      </c>
      <c r="K155" s="73"/>
      <c r="L155" s="73"/>
      <c r="M155" s="73"/>
      <c r="N155" s="19">
        <f>SUMIF('2020'!B:B,B155,'2020'!C:C)+SUMIF('2021'!B:B,B155,'2021'!C:C)+SUMIF('2022'!B:B,B155,'2022'!C:C)</f>
        <v>349933.39</v>
      </c>
      <c r="O155" s="17">
        <v>44925</v>
      </c>
      <c r="P155" s="5" t="s">
        <v>3728</v>
      </c>
    </row>
    <row r="156" spans="1:16" ht="17.25" customHeight="1" x14ac:dyDescent="0.3">
      <c r="A156" s="210">
        <f t="shared" si="8"/>
        <v>136</v>
      </c>
      <c r="B156" s="21" t="s">
        <v>176</v>
      </c>
      <c r="C156" s="5">
        <v>1969</v>
      </c>
      <c r="D156" s="3"/>
      <c r="E156" s="169" t="s">
        <v>3645</v>
      </c>
      <c r="F156" s="3">
        <v>2</v>
      </c>
      <c r="G156" s="25">
        <v>2</v>
      </c>
      <c r="H156" s="3">
        <v>580</v>
      </c>
      <c r="I156" s="3">
        <v>20</v>
      </c>
      <c r="J156" s="19">
        <f t="shared" si="9"/>
        <v>2608525.5300000003</v>
      </c>
      <c r="K156" s="73"/>
      <c r="L156" s="73"/>
      <c r="M156" s="73"/>
      <c r="N156" s="19">
        <f>SUMIF('2020'!B:B,B156,'2020'!C:C)+SUMIF('2021'!B:B,B156,'2021'!C:C)+SUMIF('2022'!B:B,B156,'2022'!C:C)</f>
        <v>2608525.5300000003</v>
      </c>
      <c r="O156" s="17">
        <v>44925</v>
      </c>
      <c r="P156" s="5" t="s">
        <v>3728</v>
      </c>
    </row>
    <row r="157" spans="1:16" ht="17.25" customHeight="1" x14ac:dyDescent="0.3">
      <c r="A157" s="210">
        <f t="shared" si="8"/>
        <v>137</v>
      </c>
      <c r="B157" s="21" t="s">
        <v>177</v>
      </c>
      <c r="C157" s="5">
        <v>1973</v>
      </c>
      <c r="D157" s="3"/>
      <c r="E157" s="169" t="s">
        <v>3645</v>
      </c>
      <c r="F157" s="3">
        <v>2</v>
      </c>
      <c r="G157" s="25">
        <v>3</v>
      </c>
      <c r="H157" s="3">
        <v>962</v>
      </c>
      <c r="I157" s="3">
        <v>36</v>
      </c>
      <c r="J157" s="19">
        <f t="shared" si="9"/>
        <v>3168595.63</v>
      </c>
      <c r="K157" s="73"/>
      <c r="L157" s="73"/>
      <c r="M157" s="73"/>
      <c r="N157" s="19">
        <f>SUMIF('2020'!B:B,B157,'2020'!C:C)+SUMIF('2021'!B:B,B157,'2021'!C:C)+SUMIF('2022'!B:B,B157,'2022'!C:C)</f>
        <v>3168595.63</v>
      </c>
      <c r="O157" s="17">
        <v>44925</v>
      </c>
      <c r="P157" s="5" t="s">
        <v>3728</v>
      </c>
    </row>
    <row r="158" spans="1:16" ht="17.25" customHeight="1" x14ac:dyDescent="0.3">
      <c r="A158" s="210">
        <f t="shared" si="8"/>
        <v>138</v>
      </c>
      <c r="B158" s="21" t="s">
        <v>178</v>
      </c>
      <c r="C158" s="5">
        <v>1977</v>
      </c>
      <c r="D158" s="3"/>
      <c r="E158" s="169" t="s">
        <v>3645</v>
      </c>
      <c r="F158" s="3">
        <v>3</v>
      </c>
      <c r="G158" s="25">
        <v>3</v>
      </c>
      <c r="H158" s="3">
        <v>1470</v>
      </c>
      <c r="I158" s="3">
        <v>51</v>
      </c>
      <c r="J158" s="19">
        <f t="shared" si="9"/>
        <v>3332014.21</v>
      </c>
      <c r="K158" s="73"/>
      <c r="L158" s="73"/>
      <c r="M158" s="73"/>
      <c r="N158" s="19">
        <f>SUMIF('2020'!B:B,B158,'2020'!C:C)+SUMIF('2021'!B:B,B158,'2021'!C:C)+SUMIF('2022'!B:B,B158,'2022'!C:C)</f>
        <v>3332014.21</v>
      </c>
      <c r="O158" s="17">
        <v>44925</v>
      </c>
      <c r="P158" s="5" t="s">
        <v>3728</v>
      </c>
    </row>
    <row r="159" spans="1:16" ht="17.25" customHeight="1" x14ac:dyDescent="0.3">
      <c r="A159" s="210">
        <f t="shared" si="8"/>
        <v>139</v>
      </c>
      <c r="B159" s="21" t="s">
        <v>179</v>
      </c>
      <c r="C159" s="5">
        <v>1977</v>
      </c>
      <c r="D159" s="3"/>
      <c r="E159" s="169" t="s">
        <v>3645</v>
      </c>
      <c r="F159" s="3">
        <v>3</v>
      </c>
      <c r="G159" s="25">
        <v>3</v>
      </c>
      <c r="H159" s="3">
        <v>1457</v>
      </c>
      <c r="I159" s="3">
        <v>41</v>
      </c>
      <c r="J159" s="19">
        <f t="shared" si="9"/>
        <v>3183964.81</v>
      </c>
      <c r="K159" s="73"/>
      <c r="L159" s="73"/>
      <c r="M159" s="73"/>
      <c r="N159" s="19">
        <f>SUMIF('2020'!B:B,B159,'2020'!C:C)+SUMIF('2021'!B:B,B159,'2021'!C:C)+SUMIF('2022'!B:B,B159,'2022'!C:C)</f>
        <v>3183964.81</v>
      </c>
      <c r="O159" s="17">
        <v>44925</v>
      </c>
      <c r="P159" s="5" t="s">
        <v>3728</v>
      </c>
    </row>
    <row r="160" spans="1:16" ht="17.25" customHeight="1" x14ac:dyDescent="0.3">
      <c r="A160" s="210">
        <f t="shared" si="8"/>
        <v>140</v>
      </c>
      <c r="B160" s="21" t="s">
        <v>180</v>
      </c>
      <c r="C160" s="5">
        <v>1978</v>
      </c>
      <c r="D160" s="3"/>
      <c r="E160" s="169" t="s">
        <v>3645</v>
      </c>
      <c r="F160" s="3">
        <v>3</v>
      </c>
      <c r="G160" s="25">
        <v>3</v>
      </c>
      <c r="H160" s="3">
        <v>1455</v>
      </c>
      <c r="I160" s="3">
        <v>37</v>
      </c>
      <c r="J160" s="19">
        <f t="shared" si="9"/>
        <v>3183964.81</v>
      </c>
      <c r="K160" s="73"/>
      <c r="L160" s="73"/>
      <c r="M160" s="73"/>
      <c r="N160" s="19">
        <f>SUMIF('2020'!B:B,B160,'2020'!C:C)+SUMIF('2021'!B:B,B160,'2021'!C:C)+SUMIF('2022'!B:B,B160,'2022'!C:C)</f>
        <v>3183964.81</v>
      </c>
      <c r="O160" s="17">
        <v>44925</v>
      </c>
      <c r="P160" s="5" t="s">
        <v>3728</v>
      </c>
    </row>
    <row r="161" spans="1:16" ht="17.25" customHeight="1" x14ac:dyDescent="0.3">
      <c r="A161" s="210">
        <f t="shared" si="8"/>
        <v>141</v>
      </c>
      <c r="B161" s="21" t="s">
        <v>181</v>
      </c>
      <c r="C161" s="5">
        <v>1978</v>
      </c>
      <c r="D161" s="3"/>
      <c r="E161" s="169" t="s">
        <v>3645</v>
      </c>
      <c r="F161" s="3">
        <v>3</v>
      </c>
      <c r="G161" s="25">
        <v>3</v>
      </c>
      <c r="H161" s="3">
        <v>1457</v>
      </c>
      <c r="I161" s="3">
        <v>62</v>
      </c>
      <c r="J161" s="19">
        <f t="shared" si="9"/>
        <v>8445064.8100000005</v>
      </c>
      <c r="K161" s="73"/>
      <c r="L161" s="73"/>
      <c r="M161" s="73"/>
      <c r="N161" s="19">
        <f>SUMIF('2020'!B:B,B161,'2020'!C:C)+SUMIF('2021'!B:B,B161,'2021'!C:C)+SUMIF('2022'!B:B,B161,'2022'!C:C)</f>
        <v>8445064.8100000005</v>
      </c>
      <c r="O161" s="17">
        <v>44925</v>
      </c>
      <c r="P161" s="5" t="s">
        <v>3728</v>
      </c>
    </row>
    <row r="162" spans="1:16" ht="17.25" customHeight="1" x14ac:dyDescent="0.3">
      <c r="A162" s="210">
        <f t="shared" si="8"/>
        <v>142</v>
      </c>
      <c r="B162" s="21" t="s">
        <v>182</v>
      </c>
      <c r="C162" s="5">
        <v>1980</v>
      </c>
      <c r="D162" s="3"/>
      <c r="E162" s="169" t="s">
        <v>3645</v>
      </c>
      <c r="F162" s="3">
        <v>3</v>
      </c>
      <c r="G162" s="25">
        <v>3</v>
      </c>
      <c r="H162" s="3">
        <v>1457</v>
      </c>
      <c r="I162" s="3">
        <v>38</v>
      </c>
      <c r="J162" s="19">
        <f t="shared" si="9"/>
        <v>8445064.8100000005</v>
      </c>
      <c r="K162" s="73"/>
      <c r="L162" s="73"/>
      <c r="M162" s="73"/>
      <c r="N162" s="19">
        <f>SUMIF('2020'!B:B,B162,'2020'!C:C)+SUMIF('2021'!B:B,B162,'2021'!C:C)+SUMIF('2022'!B:B,B162,'2022'!C:C)</f>
        <v>8445064.8100000005</v>
      </c>
      <c r="O162" s="17">
        <v>44925</v>
      </c>
      <c r="P162" s="5" t="s">
        <v>3728</v>
      </c>
    </row>
    <row r="163" spans="1:16" ht="17.25" customHeight="1" x14ac:dyDescent="0.3">
      <c r="A163" s="211" t="s">
        <v>144</v>
      </c>
      <c r="B163" s="21"/>
      <c r="C163" s="3"/>
      <c r="D163" s="3"/>
      <c r="E163" s="3"/>
      <c r="F163" s="3"/>
      <c r="G163" s="26"/>
      <c r="H163" s="3"/>
      <c r="I163" s="3"/>
      <c r="J163" s="73"/>
      <c r="K163" s="73">
        <v>0</v>
      </c>
      <c r="L163" s="73">
        <v>0</v>
      </c>
      <c r="M163" s="73">
        <v>0</v>
      </c>
      <c r="N163" s="73">
        <f>SUM(N152:N162)</f>
        <v>40348180.840000004</v>
      </c>
      <c r="O163" s="3"/>
      <c r="P163" s="3"/>
    </row>
    <row r="164" spans="1:16" ht="17.25" customHeight="1" x14ac:dyDescent="0.3">
      <c r="A164" s="210" t="s">
        <v>183</v>
      </c>
      <c r="B164" s="212"/>
      <c r="C164" s="3"/>
      <c r="D164" s="3"/>
      <c r="E164" s="3"/>
      <c r="F164" s="3"/>
      <c r="G164" s="26"/>
      <c r="H164" s="3"/>
      <c r="I164" s="3"/>
      <c r="J164" s="73"/>
      <c r="K164" s="73"/>
      <c r="L164" s="73"/>
      <c r="M164" s="73"/>
      <c r="N164" s="73"/>
      <c r="O164" s="3"/>
      <c r="P164" s="3"/>
    </row>
    <row r="165" spans="1:16" ht="17.25" customHeight="1" x14ac:dyDescent="0.3">
      <c r="A165" s="210">
        <f>A162+1</f>
        <v>143</v>
      </c>
      <c r="B165" s="21" t="s">
        <v>184</v>
      </c>
      <c r="C165" s="5">
        <v>1970</v>
      </c>
      <c r="D165" s="3"/>
      <c r="E165" s="169" t="s">
        <v>3645</v>
      </c>
      <c r="F165" s="3">
        <v>2</v>
      </c>
      <c r="G165" s="25">
        <v>2</v>
      </c>
      <c r="H165" s="3">
        <v>574</v>
      </c>
      <c r="I165" s="3">
        <v>7</v>
      </c>
      <c r="J165" s="19">
        <f t="shared" ref="J165:J174" si="10">K165+L165+M165+N165</f>
        <v>3139575.36</v>
      </c>
      <c r="K165" s="73"/>
      <c r="L165" s="73"/>
      <c r="M165" s="73"/>
      <c r="N165" s="19">
        <f>SUMIF('2020'!B:B,B165,'2020'!C:C)+SUMIF('2021'!B:B,B165,'2021'!C:C)+SUMIF('2022'!B:B,B165,'2022'!C:C)</f>
        <v>3139575.36</v>
      </c>
      <c r="O165" s="17">
        <v>44925</v>
      </c>
      <c r="P165" s="5" t="s">
        <v>3728</v>
      </c>
    </row>
    <row r="166" spans="1:16" ht="17.25" customHeight="1" x14ac:dyDescent="0.3">
      <c r="A166" s="210">
        <f t="shared" si="8"/>
        <v>144</v>
      </c>
      <c r="B166" s="21" t="s">
        <v>185</v>
      </c>
      <c r="C166" s="5">
        <v>1970</v>
      </c>
      <c r="D166" s="3"/>
      <c r="E166" s="169" t="s">
        <v>3645</v>
      </c>
      <c r="F166" s="3">
        <v>2</v>
      </c>
      <c r="G166" s="25"/>
      <c r="H166" s="3">
        <v>573.9</v>
      </c>
      <c r="I166" s="3">
        <v>27</v>
      </c>
      <c r="J166" s="19">
        <f t="shared" si="10"/>
        <v>104325.36</v>
      </c>
      <c r="K166" s="73"/>
      <c r="L166" s="73"/>
      <c r="M166" s="73"/>
      <c r="N166" s="19">
        <f>SUMIF('2020'!B:B,B166,'2020'!C:C)+SUMIF('2021'!B:B,B166,'2021'!C:C)+SUMIF('2022'!B:B,B166,'2022'!C:C)</f>
        <v>104325.36</v>
      </c>
      <c r="O166" s="17">
        <v>44925</v>
      </c>
      <c r="P166" s="5" t="s">
        <v>3728</v>
      </c>
    </row>
    <row r="167" spans="1:16" ht="17.25" customHeight="1" x14ac:dyDescent="0.3">
      <c r="A167" s="210">
        <f t="shared" si="8"/>
        <v>145</v>
      </c>
      <c r="B167" s="21" t="s">
        <v>186</v>
      </c>
      <c r="C167" s="5">
        <v>1974</v>
      </c>
      <c r="D167" s="3"/>
      <c r="E167" s="169" t="s">
        <v>3645</v>
      </c>
      <c r="F167" s="3">
        <v>2</v>
      </c>
      <c r="G167" s="25"/>
      <c r="H167" s="3">
        <v>953.7</v>
      </c>
      <c r="I167" s="3">
        <v>34</v>
      </c>
      <c r="J167" s="19">
        <f t="shared" si="10"/>
        <v>130000</v>
      </c>
      <c r="K167" s="73"/>
      <c r="L167" s="73"/>
      <c r="M167" s="73"/>
      <c r="N167" s="19">
        <f>SUMIF('2020'!B:B,B167,'2020'!C:C)+SUMIF('2021'!B:B,B167,'2021'!C:C)+SUMIF('2022'!B:B,B167,'2022'!C:C)</f>
        <v>130000</v>
      </c>
      <c r="O167" s="17">
        <v>44925</v>
      </c>
      <c r="P167" s="5" t="s">
        <v>3728</v>
      </c>
    </row>
    <row r="168" spans="1:16" ht="17.25" customHeight="1" x14ac:dyDescent="0.3">
      <c r="A168" s="210">
        <f t="shared" si="8"/>
        <v>146</v>
      </c>
      <c r="B168" s="21" t="s">
        <v>187</v>
      </c>
      <c r="C168" s="5">
        <v>1977</v>
      </c>
      <c r="D168" s="3"/>
      <c r="E168" s="169" t="s">
        <v>3645</v>
      </c>
      <c r="F168" s="3">
        <v>3</v>
      </c>
      <c r="G168" s="25"/>
      <c r="H168" s="3">
        <v>1942.6</v>
      </c>
      <c r="I168" s="3">
        <v>51</v>
      </c>
      <c r="J168" s="19">
        <f t="shared" si="10"/>
        <v>130000</v>
      </c>
      <c r="K168" s="73"/>
      <c r="L168" s="73"/>
      <c r="M168" s="73"/>
      <c r="N168" s="19">
        <f>SUMIF('2020'!B:B,B168,'2020'!C:C)+SUMIF('2021'!B:B,B168,'2021'!C:C)+SUMIF('2022'!B:B,B168,'2022'!C:C)</f>
        <v>130000</v>
      </c>
      <c r="O168" s="17">
        <v>44925</v>
      </c>
      <c r="P168" s="5" t="s">
        <v>3728</v>
      </c>
    </row>
    <row r="169" spans="1:16" ht="17.25" customHeight="1" x14ac:dyDescent="0.3">
      <c r="A169" s="210">
        <f t="shared" si="8"/>
        <v>147</v>
      </c>
      <c r="B169" s="21" t="s">
        <v>188</v>
      </c>
      <c r="C169" s="5">
        <v>1968</v>
      </c>
      <c r="D169" s="3"/>
      <c r="E169" s="169" t="s">
        <v>3645</v>
      </c>
      <c r="F169" s="3">
        <v>2</v>
      </c>
      <c r="G169" s="25"/>
      <c r="H169" s="3">
        <v>506.6</v>
      </c>
      <c r="I169" s="3">
        <v>27</v>
      </c>
      <c r="J169" s="19">
        <f t="shared" si="10"/>
        <v>130000</v>
      </c>
      <c r="K169" s="73"/>
      <c r="L169" s="73"/>
      <c r="M169" s="73"/>
      <c r="N169" s="19">
        <f>SUMIF('2020'!B:B,B169,'2020'!C:C)+SUMIF('2021'!B:B,B169,'2021'!C:C)+SUMIF('2022'!B:B,B169,'2022'!C:C)</f>
        <v>130000</v>
      </c>
      <c r="O169" s="17">
        <v>44925</v>
      </c>
      <c r="P169" s="5" t="s">
        <v>3728</v>
      </c>
    </row>
    <row r="170" spans="1:16" ht="17.25" customHeight="1" x14ac:dyDescent="0.3">
      <c r="A170" s="210">
        <f t="shared" si="8"/>
        <v>148</v>
      </c>
      <c r="B170" s="21" t="s">
        <v>189</v>
      </c>
      <c r="C170" s="5">
        <v>1968</v>
      </c>
      <c r="D170" s="3"/>
      <c r="E170" s="169" t="s">
        <v>3645</v>
      </c>
      <c r="F170" s="3">
        <v>2</v>
      </c>
      <c r="G170" s="25"/>
      <c r="H170" s="3">
        <v>512.6</v>
      </c>
      <c r="I170" s="3">
        <v>30</v>
      </c>
      <c r="J170" s="19">
        <f t="shared" si="10"/>
        <v>199858.07</v>
      </c>
      <c r="K170" s="73"/>
      <c r="L170" s="73"/>
      <c r="M170" s="73"/>
      <c r="N170" s="19">
        <f>SUMIF('2020'!B:B,B170,'2020'!C:C)+SUMIF('2021'!B:B,B170,'2021'!C:C)+SUMIF('2022'!B:B,B170,'2022'!C:C)</f>
        <v>199858.07</v>
      </c>
      <c r="O170" s="17">
        <v>44925</v>
      </c>
      <c r="P170" s="5" t="s">
        <v>3728</v>
      </c>
    </row>
    <row r="171" spans="1:16" ht="17.25" customHeight="1" x14ac:dyDescent="0.3">
      <c r="A171" s="210">
        <f t="shared" si="8"/>
        <v>149</v>
      </c>
      <c r="B171" s="21" t="s">
        <v>190</v>
      </c>
      <c r="C171" s="5">
        <v>1973</v>
      </c>
      <c r="D171" s="3"/>
      <c r="E171" s="169" t="s">
        <v>3645</v>
      </c>
      <c r="F171" s="3">
        <v>2</v>
      </c>
      <c r="G171" s="25">
        <v>2</v>
      </c>
      <c r="H171" s="3">
        <v>746</v>
      </c>
      <c r="I171" s="3">
        <v>31</v>
      </c>
      <c r="J171" s="19">
        <f t="shared" si="10"/>
        <v>15864769.800000001</v>
      </c>
      <c r="K171" s="73"/>
      <c r="L171" s="73"/>
      <c r="M171" s="73"/>
      <c r="N171" s="19">
        <f>SUMIF('2020'!B:B,B171,'2020'!C:C)+SUMIF('2021'!B:B,B171,'2021'!C:C)+SUMIF('2022'!B:B,B171,'2022'!C:C)</f>
        <v>15864769.800000001</v>
      </c>
      <c r="O171" s="17">
        <v>44925</v>
      </c>
      <c r="P171" s="5" t="s">
        <v>3728</v>
      </c>
    </row>
    <row r="172" spans="1:16" ht="17.25" customHeight="1" x14ac:dyDescent="0.3">
      <c r="A172" s="210">
        <f t="shared" si="8"/>
        <v>150</v>
      </c>
      <c r="B172" s="21" t="s">
        <v>191</v>
      </c>
      <c r="C172" s="5">
        <v>1973</v>
      </c>
      <c r="D172" s="3"/>
      <c r="E172" s="169" t="s">
        <v>3645</v>
      </c>
      <c r="F172" s="3">
        <v>2</v>
      </c>
      <c r="G172" s="25">
        <v>2</v>
      </c>
      <c r="H172" s="3">
        <v>739.5</v>
      </c>
      <c r="I172" s="3">
        <v>30</v>
      </c>
      <c r="J172" s="19">
        <f t="shared" si="10"/>
        <v>130000</v>
      </c>
      <c r="K172" s="73"/>
      <c r="L172" s="73"/>
      <c r="M172" s="73"/>
      <c r="N172" s="19">
        <f>SUMIF('2020'!B:B,B172,'2020'!C:C)+SUMIF('2021'!B:B,B172,'2021'!C:C)+SUMIF('2022'!B:B,B172,'2022'!C:C)</f>
        <v>130000</v>
      </c>
      <c r="O172" s="17">
        <v>44925</v>
      </c>
      <c r="P172" s="5" t="s">
        <v>3728</v>
      </c>
    </row>
    <row r="173" spans="1:16" ht="17.25" customHeight="1" x14ac:dyDescent="0.3">
      <c r="A173" s="210">
        <f t="shared" si="8"/>
        <v>151</v>
      </c>
      <c r="B173" s="21" t="s">
        <v>192</v>
      </c>
      <c r="C173" s="5">
        <v>1974</v>
      </c>
      <c r="D173" s="3"/>
      <c r="E173" s="3" t="s">
        <v>3729</v>
      </c>
      <c r="F173" s="3">
        <v>3</v>
      </c>
      <c r="G173" s="25">
        <v>4</v>
      </c>
      <c r="H173" s="3">
        <v>1233</v>
      </c>
      <c r="I173" s="3">
        <v>42</v>
      </c>
      <c r="J173" s="19">
        <f t="shared" si="10"/>
        <v>207272</v>
      </c>
      <c r="K173" s="73"/>
      <c r="L173" s="73"/>
      <c r="M173" s="73"/>
      <c r="N173" s="19">
        <f>SUMIF('2020'!B:B,B173,'2020'!C:C)+SUMIF('2021'!B:B,B173,'2021'!C:C)+SUMIF('2022'!B:B,B173,'2022'!C:C)</f>
        <v>207272</v>
      </c>
      <c r="O173" s="17">
        <v>44925</v>
      </c>
      <c r="P173" s="5" t="s">
        <v>3728</v>
      </c>
    </row>
    <row r="174" spans="1:16" ht="17.25" customHeight="1" x14ac:dyDescent="0.3">
      <c r="A174" s="210">
        <f t="shared" si="8"/>
        <v>152</v>
      </c>
      <c r="B174" s="21" t="s">
        <v>193</v>
      </c>
      <c r="C174" s="5">
        <v>1974</v>
      </c>
      <c r="D174" s="3"/>
      <c r="E174" s="3" t="s">
        <v>3729</v>
      </c>
      <c r="F174" s="3">
        <v>3</v>
      </c>
      <c r="G174" s="25">
        <v>4</v>
      </c>
      <c r="H174" s="3">
        <v>1230.9000000000001</v>
      </c>
      <c r="I174" s="3">
        <v>59</v>
      </c>
      <c r="J174" s="19">
        <f t="shared" si="10"/>
        <v>207272</v>
      </c>
      <c r="K174" s="73"/>
      <c r="L174" s="73"/>
      <c r="M174" s="73"/>
      <c r="N174" s="19">
        <f>SUMIF('2020'!B:B,B174,'2020'!C:C)+SUMIF('2021'!B:B,B174,'2021'!C:C)+SUMIF('2022'!B:B,B174,'2022'!C:C)</f>
        <v>207272</v>
      </c>
      <c r="O174" s="17">
        <v>44925</v>
      </c>
      <c r="P174" s="5" t="s">
        <v>3728</v>
      </c>
    </row>
    <row r="175" spans="1:16" ht="17.25" customHeight="1" x14ac:dyDescent="0.3">
      <c r="A175" s="211" t="s">
        <v>144</v>
      </c>
      <c r="B175" s="77"/>
      <c r="C175" s="3"/>
      <c r="D175" s="3"/>
      <c r="E175" s="3"/>
      <c r="F175" s="3"/>
      <c r="G175" s="26"/>
      <c r="H175" s="73">
        <f>SUM(H165:H174)</f>
        <v>9012.8000000000011</v>
      </c>
      <c r="I175" s="73">
        <f>SUM(I165:I174)</f>
        <v>338</v>
      </c>
      <c r="J175" s="73">
        <f>SUM(J165:J174)</f>
        <v>20243072.59</v>
      </c>
      <c r="K175" s="73">
        <f>SUM(K165:K174)</f>
        <v>0</v>
      </c>
      <c r="L175" s="73">
        <f>SUM(L165:L174)</f>
        <v>0</v>
      </c>
      <c r="M175" s="73">
        <f>N175-'2020'!C67-'2021'!C160-'2022'!C27</f>
        <v>0</v>
      </c>
      <c r="N175" s="73">
        <f>SUM(N165:N174)</f>
        <v>20243072.59</v>
      </c>
      <c r="O175" s="3"/>
      <c r="P175" s="3"/>
    </row>
    <row r="176" spans="1:16" s="160" customFormat="1" ht="17.25" customHeight="1" x14ac:dyDescent="0.3">
      <c r="A176" s="90" t="s">
        <v>194</v>
      </c>
      <c r="B176" s="161"/>
      <c r="C176" s="153"/>
      <c r="D176" s="153"/>
      <c r="E176" s="153"/>
      <c r="F176" s="153"/>
      <c r="G176" s="154"/>
      <c r="H176" s="155">
        <f>H175+H163+H144+H124+H121</f>
        <v>372127.53</v>
      </c>
      <c r="I176" s="155">
        <f>I175+I163+I144+I124+I121</f>
        <v>1600</v>
      </c>
      <c r="J176" s="155">
        <f>J175+J163+J144+J124+J121</f>
        <v>230215084.07000005</v>
      </c>
      <c r="K176" s="155">
        <f>K175+K163+K144+K124+K121</f>
        <v>0</v>
      </c>
      <c r="L176" s="155">
        <f>L175+L163+L144+L124+L121</f>
        <v>0</v>
      </c>
      <c r="M176" s="155">
        <f>N176-'2020'!C68-'2021'!C161-'2022'!C28</f>
        <v>0</v>
      </c>
      <c r="N176" s="155">
        <f>N175+N163+N144+N124+N121+N150</f>
        <v>293352816.30000007</v>
      </c>
      <c r="O176" s="153"/>
      <c r="P176" s="153"/>
    </row>
    <row r="177" spans="1:16" ht="17.25" customHeight="1" x14ac:dyDescent="0.3">
      <c r="A177" s="467" t="s">
        <v>195</v>
      </c>
      <c r="B177" s="468"/>
      <c r="C177" s="468"/>
      <c r="D177" s="468"/>
      <c r="E177" s="468"/>
      <c r="F177" s="468"/>
      <c r="G177" s="468"/>
      <c r="H177" s="468"/>
      <c r="I177" s="468"/>
      <c r="J177" s="468"/>
      <c r="K177" s="468"/>
      <c r="L177" s="468"/>
      <c r="M177" s="468"/>
      <c r="N177" s="468"/>
      <c r="O177" s="468"/>
      <c r="P177" s="469"/>
    </row>
    <row r="178" spans="1:16" ht="17.25" customHeight="1" x14ac:dyDescent="0.3">
      <c r="A178" s="90" t="s">
        <v>197</v>
      </c>
      <c r="B178" s="213"/>
      <c r="C178" s="3"/>
      <c r="D178" s="3"/>
      <c r="E178" s="3"/>
      <c r="F178" s="3"/>
      <c r="G178" s="26"/>
      <c r="H178" s="3"/>
      <c r="I178" s="3"/>
      <c r="J178" s="73"/>
      <c r="K178" s="73"/>
      <c r="L178" s="73"/>
      <c r="M178" s="73"/>
      <c r="N178" s="73"/>
      <c r="O178" s="3"/>
      <c r="P178" s="3"/>
    </row>
    <row r="179" spans="1:16" ht="17.25" customHeight="1" x14ac:dyDescent="0.3">
      <c r="A179" s="210">
        <f>A174+1</f>
        <v>153</v>
      </c>
      <c r="B179" s="21" t="s">
        <v>198</v>
      </c>
      <c r="C179" s="5">
        <v>1977</v>
      </c>
      <c r="D179" s="3"/>
      <c r="E179" s="3" t="s">
        <v>3732</v>
      </c>
      <c r="F179" s="4">
        <v>5</v>
      </c>
      <c r="G179" s="26"/>
      <c r="H179" s="2">
        <v>3729.3</v>
      </c>
      <c r="I179" s="3">
        <v>187</v>
      </c>
      <c r="J179" s="19">
        <f t="shared" ref="J179:J189" si="11">K179+L179+M179+N179</f>
        <v>323449.03000000003</v>
      </c>
      <c r="K179" s="73"/>
      <c r="L179" s="73"/>
      <c r="M179" s="73"/>
      <c r="N179" s="19">
        <f>SUMIF('2020'!B:B,B179,'2020'!C:C)+SUMIF('2021'!B:B,B179,'2021'!C:C)+SUMIF('2022'!B:B,B179,'2022'!C:C)</f>
        <v>323449.03000000003</v>
      </c>
      <c r="O179" s="17">
        <v>44925</v>
      </c>
      <c r="P179" s="5" t="s">
        <v>3728</v>
      </c>
    </row>
    <row r="180" spans="1:16" ht="17.25" customHeight="1" x14ac:dyDescent="0.3">
      <c r="A180" s="210">
        <f t="shared" ref="A180:A243" si="12">A179+1</f>
        <v>154</v>
      </c>
      <c r="B180" s="21" t="s">
        <v>199</v>
      </c>
      <c r="C180" s="5">
        <v>1974</v>
      </c>
      <c r="D180" s="3"/>
      <c r="E180" s="3" t="s">
        <v>3732</v>
      </c>
      <c r="F180" s="4">
        <v>5</v>
      </c>
      <c r="G180" s="26"/>
      <c r="H180" s="2">
        <v>3745.5</v>
      </c>
      <c r="I180" s="3">
        <v>228</v>
      </c>
      <c r="J180" s="19">
        <f t="shared" si="11"/>
        <v>841418.02</v>
      </c>
      <c r="K180" s="73"/>
      <c r="L180" s="73"/>
      <c r="M180" s="73"/>
      <c r="N180" s="19">
        <f>SUMIF('2020'!B:B,B180,'2020'!C:C)+SUMIF('2021'!B:B,B180,'2021'!C:C)+SUMIF('2022'!B:B,B180,'2022'!C:C)</f>
        <v>841418.02</v>
      </c>
      <c r="O180" s="17">
        <v>44925</v>
      </c>
      <c r="P180" s="5" t="s">
        <v>3728</v>
      </c>
    </row>
    <row r="181" spans="1:16" ht="17.25" customHeight="1" x14ac:dyDescent="0.3">
      <c r="A181" s="210">
        <f t="shared" si="12"/>
        <v>155</v>
      </c>
      <c r="B181" s="21" t="s">
        <v>201</v>
      </c>
      <c r="C181" s="5">
        <v>1976</v>
      </c>
      <c r="D181" s="3"/>
      <c r="E181" s="3" t="s">
        <v>3732</v>
      </c>
      <c r="F181" s="4">
        <v>5</v>
      </c>
      <c r="G181" s="26"/>
      <c r="H181" s="2">
        <v>3737.5</v>
      </c>
      <c r="I181" s="3">
        <v>184</v>
      </c>
      <c r="J181" s="19">
        <f t="shared" si="11"/>
        <v>686891.48</v>
      </c>
      <c r="K181" s="73"/>
      <c r="L181" s="73"/>
      <c r="M181" s="73"/>
      <c r="N181" s="19">
        <f>SUMIF('2020'!B:B,B181,'2020'!C:C)+SUMIF('2021'!B:B,B181,'2021'!C:C)+SUMIF('2022'!B:B,B181,'2022'!C:C)</f>
        <v>686891.48</v>
      </c>
      <c r="O181" s="17">
        <v>44925</v>
      </c>
      <c r="P181" s="5" t="s">
        <v>3728</v>
      </c>
    </row>
    <row r="182" spans="1:16" ht="17.25" customHeight="1" x14ac:dyDescent="0.3">
      <c r="A182" s="210">
        <f t="shared" si="12"/>
        <v>156</v>
      </c>
      <c r="B182" s="21" t="s">
        <v>202</v>
      </c>
      <c r="C182" s="5">
        <v>1973</v>
      </c>
      <c r="D182" s="3"/>
      <c r="E182" s="3" t="s">
        <v>3732</v>
      </c>
      <c r="F182" s="4">
        <v>2</v>
      </c>
      <c r="G182" s="26"/>
      <c r="H182" s="2">
        <v>1678.01</v>
      </c>
      <c r="I182" s="3">
        <v>46</v>
      </c>
      <c r="J182" s="19">
        <f t="shared" si="11"/>
        <v>948199.15000000014</v>
      </c>
      <c r="K182" s="73"/>
      <c r="L182" s="73"/>
      <c r="M182" s="73"/>
      <c r="N182" s="19">
        <f>SUMIF('2020'!B:B,B182,'2020'!C:C)+SUMIF('2021'!B:B,B182,'2021'!C:C)+SUMIF('2022'!B:B,B182,'2022'!C:C)</f>
        <v>948199.15000000014</v>
      </c>
      <c r="O182" s="17">
        <v>44925</v>
      </c>
      <c r="P182" s="5" t="s">
        <v>3728</v>
      </c>
    </row>
    <row r="183" spans="1:16" ht="17.25" customHeight="1" x14ac:dyDescent="0.3">
      <c r="A183" s="210">
        <f t="shared" si="12"/>
        <v>157</v>
      </c>
      <c r="B183" s="21" t="s">
        <v>203</v>
      </c>
      <c r="C183" s="5">
        <v>1964</v>
      </c>
      <c r="D183" s="3"/>
      <c r="E183" s="3" t="s">
        <v>3732</v>
      </c>
      <c r="F183" s="4">
        <v>5</v>
      </c>
      <c r="G183" s="26"/>
      <c r="H183" s="2">
        <v>3488.7</v>
      </c>
      <c r="I183" s="3">
        <v>138</v>
      </c>
      <c r="J183" s="19">
        <f t="shared" si="11"/>
        <v>390411.08999999997</v>
      </c>
      <c r="K183" s="73"/>
      <c r="L183" s="73"/>
      <c r="M183" s="73"/>
      <c r="N183" s="19">
        <f>SUMIF('2020'!B:B,B183,'2020'!C:C)+SUMIF('2021'!B:B,B183,'2021'!C:C)+SUMIF('2022'!B:B,B183,'2022'!C:C)</f>
        <v>390411.08999999997</v>
      </c>
      <c r="O183" s="17">
        <v>44925</v>
      </c>
      <c r="P183" s="5" t="s">
        <v>3728</v>
      </c>
    </row>
    <row r="184" spans="1:16" ht="17.25" customHeight="1" x14ac:dyDescent="0.3">
      <c r="A184" s="210">
        <f t="shared" si="12"/>
        <v>158</v>
      </c>
      <c r="B184" s="21" t="s">
        <v>204</v>
      </c>
      <c r="C184" s="5">
        <v>1964</v>
      </c>
      <c r="D184" s="3"/>
      <c r="E184" s="3" t="s">
        <v>3732</v>
      </c>
      <c r="F184" s="4">
        <v>5</v>
      </c>
      <c r="G184" s="26"/>
      <c r="H184" s="2">
        <v>4092</v>
      </c>
      <c r="I184" s="3">
        <v>132</v>
      </c>
      <c r="J184" s="19">
        <f t="shared" si="11"/>
        <v>399334.63</v>
      </c>
      <c r="K184" s="73"/>
      <c r="L184" s="73"/>
      <c r="M184" s="73"/>
      <c r="N184" s="19">
        <f>SUMIF('2020'!B:B,B184,'2020'!C:C)+SUMIF('2021'!B:B,B184,'2021'!C:C)+SUMIF('2022'!B:B,B184,'2022'!C:C)</f>
        <v>399334.63</v>
      </c>
      <c r="O184" s="17">
        <v>44925</v>
      </c>
      <c r="P184" s="5" t="s">
        <v>3728</v>
      </c>
    </row>
    <row r="185" spans="1:16" ht="17.25" customHeight="1" x14ac:dyDescent="0.3">
      <c r="A185" s="210">
        <f t="shared" si="12"/>
        <v>159</v>
      </c>
      <c r="B185" s="21" t="s">
        <v>205</v>
      </c>
      <c r="C185" s="5">
        <v>1965</v>
      </c>
      <c r="D185" s="3"/>
      <c r="E185" s="3" t="s">
        <v>3732</v>
      </c>
      <c r="F185" s="4">
        <v>5</v>
      </c>
      <c r="G185" s="26"/>
      <c r="H185" s="2">
        <v>3105</v>
      </c>
      <c r="I185" s="3">
        <v>163</v>
      </c>
      <c r="J185" s="19">
        <f t="shared" si="11"/>
        <v>413075.72</v>
      </c>
      <c r="K185" s="73"/>
      <c r="L185" s="73"/>
      <c r="M185" s="73"/>
      <c r="N185" s="19">
        <f>SUMIF('2020'!B:B,B185,'2020'!C:C)+SUMIF('2021'!B:B,B185,'2021'!C:C)+SUMIF('2022'!B:B,B185,'2022'!C:C)</f>
        <v>413075.72</v>
      </c>
      <c r="O185" s="17">
        <v>44925</v>
      </c>
      <c r="P185" s="5" t="s">
        <v>3728</v>
      </c>
    </row>
    <row r="186" spans="1:16" ht="17.25" customHeight="1" x14ac:dyDescent="0.3">
      <c r="A186" s="210">
        <f t="shared" si="12"/>
        <v>160</v>
      </c>
      <c r="B186" s="21" t="s">
        <v>206</v>
      </c>
      <c r="C186" s="5">
        <v>1970</v>
      </c>
      <c r="D186" s="3"/>
      <c r="E186" s="3" t="s">
        <v>3732</v>
      </c>
      <c r="F186" s="4">
        <v>5</v>
      </c>
      <c r="G186" s="26"/>
      <c r="H186" s="2">
        <v>3240.9</v>
      </c>
      <c r="I186" s="3">
        <v>211</v>
      </c>
      <c r="J186" s="19">
        <f t="shared" si="11"/>
        <v>184802.71</v>
      </c>
      <c r="K186" s="73"/>
      <c r="L186" s="73"/>
      <c r="M186" s="73"/>
      <c r="N186" s="19">
        <f>SUMIF('2020'!B:B,B186,'2020'!C:C)+SUMIF('2021'!B:B,B186,'2021'!C:C)+SUMIF('2022'!B:B,B186,'2022'!C:C)</f>
        <v>184802.71</v>
      </c>
      <c r="O186" s="17">
        <v>44925</v>
      </c>
      <c r="P186" s="5" t="s">
        <v>3728</v>
      </c>
    </row>
    <row r="187" spans="1:16" ht="17.25" customHeight="1" x14ac:dyDescent="0.3">
      <c r="A187" s="210">
        <f t="shared" si="12"/>
        <v>161</v>
      </c>
      <c r="B187" s="21" t="s">
        <v>207</v>
      </c>
      <c r="C187" s="5">
        <v>1971</v>
      </c>
      <c r="D187" s="3"/>
      <c r="E187" s="3" t="s">
        <v>3732</v>
      </c>
      <c r="F187" s="4">
        <v>5</v>
      </c>
      <c r="G187" s="26"/>
      <c r="H187" s="2">
        <v>3540.3</v>
      </c>
      <c r="I187" s="3">
        <v>214</v>
      </c>
      <c r="J187" s="19">
        <f t="shared" si="11"/>
        <v>504481.03</v>
      </c>
      <c r="K187" s="73"/>
      <c r="L187" s="73"/>
      <c r="M187" s="73"/>
      <c r="N187" s="19">
        <f>SUMIF('2020'!B:B,B187,'2020'!C:C)+SUMIF('2021'!B:B,B187,'2021'!C:C)+SUMIF('2022'!B:B,B187,'2022'!C:C)</f>
        <v>504481.03</v>
      </c>
      <c r="O187" s="17">
        <v>44925</v>
      </c>
      <c r="P187" s="5" t="s">
        <v>3728</v>
      </c>
    </row>
    <row r="188" spans="1:16" ht="17.25" customHeight="1" x14ac:dyDescent="0.3">
      <c r="A188" s="210">
        <f t="shared" si="12"/>
        <v>162</v>
      </c>
      <c r="B188" s="21" t="s">
        <v>208</v>
      </c>
      <c r="C188" s="5">
        <v>1972</v>
      </c>
      <c r="D188" s="3"/>
      <c r="E188" s="3" t="s">
        <v>3732</v>
      </c>
      <c r="F188" s="4">
        <v>5</v>
      </c>
      <c r="G188" s="26"/>
      <c r="H188" s="2">
        <v>3597</v>
      </c>
      <c r="I188" s="3">
        <v>206</v>
      </c>
      <c r="J188" s="19">
        <f t="shared" si="11"/>
        <v>504224.68000000005</v>
      </c>
      <c r="K188" s="73"/>
      <c r="L188" s="73"/>
      <c r="M188" s="73"/>
      <c r="N188" s="19">
        <f>SUMIF('2020'!B:B,B188,'2020'!C:C)+SUMIF('2021'!B:B,B188,'2021'!C:C)+SUMIF('2022'!B:B,B188,'2022'!C:C)</f>
        <v>504224.68000000005</v>
      </c>
      <c r="O188" s="17">
        <v>44925</v>
      </c>
      <c r="P188" s="5" t="s">
        <v>3728</v>
      </c>
    </row>
    <row r="189" spans="1:16" ht="17.25" customHeight="1" x14ac:dyDescent="0.3">
      <c r="A189" s="210">
        <f t="shared" si="12"/>
        <v>163</v>
      </c>
      <c r="B189" s="21" t="s">
        <v>209</v>
      </c>
      <c r="C189" s="5">
        <v>1973</v>
      </c>
      <c r="D189" s="3"/>
      <c r="E189" s="169" t="s">
        <v>3645</v>
      </c>
      <c r="F189" s="4">
        <v>5</v>
      </c>
      <c r="G189" s="26"/>
      <c r="H189" s="2">
        <v>3855.5</v>
      </c>
      <c r="I189" s="3">
        <v>191</v>
      </c>
      <c r="J189" s="19">
        <f t="shared" si="11"/>
        <v>1063819.03</v>
      </c>
      <c r="K189" s="73"/>
      <c r="L189" s="73"/>
      <c r="M189" s="73"/>
      <c r="N189" s="19">
        <f>SUMIF('2020'!B:B,B189,'2020'!C:C)+SUMIF('2021'!B:B,B189,'2021'!C:C)+SUMIF('2022'!B:B,B189,'2022'!C:C)</f>
        <v>1063819.03</v>
      </c>
      <c r="O189" s="17">
        <v>44925</v>
      </c>
      <c r="P189" s="5" t="s">
        <v>3728</v>
      </c>
    </row>
    <row r="190" spans="1:16" ht="17.25" customHeight="1" x14ac:dyDescent="0.3">
      <c r="A190" s="210" t="s">
        <v>211</v>
      </c>
      <c r="B190" s="21"/>
      <c r="C190" s="3"/>
      <c r="D190" s="3"/>
      <c r="E190" s="3"/>
      <c r="F190" s="3"/>
      <c r="G190" s="26"/>
      <c r="H190" s="73">
        <f t="shared" ref="H190:M190" si="13">SUM(H179:H189)</f>
        <v>37809.71</v>
      </c>
      <c r="I190" s="73">
        <f t="shared" si="13"/>
        <v>1900</v>
      </c>
      <c r="J190" s="73">
        <f t="shared" si="13"/>
        <v>6260106.5700000003</v>
      </c>
      <c r="K190" s="73">
        <f t="shared" si="13"/>
        <v>0</v>
      </c>
      <c r="L190" s="73">
        <f t="shared" si="13"/>
        <v>0</v>
      </c>
      <c r="M190" s="73">
        <f t="shared" si="13"/>
        <v>0</v>
      </c>
      <c r="N190" s="73">
        <f>SUM(N179:N189)</f>
        <v>6260106.5700000003</v>
      </c>
      <c r="O190" s="3"/>
      <c r="P190" s="3"/>
    </row>
    <row r="191" spans="1:16" ht="17.25" customHeight="1" x14ac:dyDescent="0.3">
      <c r="A191" s="210" t="s">
        <v>212</v>
      </c>
      <c r="B191" s="21"/>
      <c r="C191" s="3"/>
      <c r="D191" s="3"/>
      <c r="E191" s="3"/>
      <c r="F191" s="3"/>
      <c r="G191" s="26"/>
      <c r="H191" s="3"/>
      <c r="I191" s="3"/>
      <c r="J191" s="73"/>
      <c r="K191" s="73"/>
      <c r="L191" s="73"/>
      <c r="M191" s="73"/>
      <c r="N191" s="73"/>
      <c r="O191" s="3"/>
      <c r="P191" s="3"/>
    </row>
    <row r="192" spans="1:16" ht="17.25" customHeight="1" x14ac:dyDescent="0.3">
      <c r="A192" s="210">
        <f>A189+1</f>
        <v>164</v>
      </c>
      <c r="B192" s="21" t="s">
        <v>213</v>
      </c>
      <c r="C192" s="5">
        <v>1965</v>
      </c>
      <c r="D192" s="3"/>
      <c r="E192" s="3" t="s">
        <v>3732</v>
      </c>
      <c r="F192" s="3">
        <v>4</v>
      </c>
      <c r="G192" s="26"/>
      <c r="H192" s="3">
        <v>2143</v>
      </c>
      <c r="I192" s="3">
        <v>147</v>
      </c>
      <c r="J192" s="19">
        <f>K192+L192+M192+N192</f>
        <v>230974.14</v>
      </c>
      <c r="K192" s="73"/>
      <c r="L192" s="73"/>
      <c r="M192" s="73"/>
      <c r="N192" s="19">
        <f>SUMIF('2020'!B:B,B192,'2020'!C:C)+SUMIF('2021'!B:B,B192,'2021'!C:C)+SUMIF('2022'!B:B,B192,'2022'!C:C)</f>
        <v>230974.14</v>
      </c>
      <c r="O192" s="17">
        <v>44925</v>
      </c>
      <c r="P192" s="5" t="s">
        <v>3728</v>
      </c>
    </row>
    <row r="193" spans="1:16" ht="17.25" customHeight="1" x14ac:dyDescent="0.3">
      <c r="A193" s="210">
        <f t="shared" si="12"/>
        <v>165</v>
      </c>
      <c r="B193" s="21" t="s">
        <v>214</v>
      </c>
      <c r="C193" s="5">
        <v>1974</v>
      </c>
      <c r="D193" s="3"/>
      <c r="E193" s="3" t="s">
        <v>3732</v>
      </c>
      <c r="F193" s="3">
        <v>5</v>
      </c>
      <c r="G193" s="26"/>
      <c r="H193" s="3">
        <v>2710</v>
      </c>
      <c r="I193" s="3">
        <v>193</v>
      </c>
      <c r="J193" s="19">
        <f>K193+L193+M193+N193</f>
        <v>4265616</v>
      </c>
      <c r="K193" s="73"/>
      <c r="L193" s="73"/>
      <c r="M193" s="73"/>
      <c r="N193" s="19">
        <f>SUMIF('2020'!B:B,B193,'2020'!C:C)+SUMIF('2021'!B:B,B193,'2021'!C:C)+SUMIF('2022'!B:B,B193,'2022'!C:C)</f>
        <v>4265616</v>
      </c>
      <c r="O193" s="17">
        <v>44925</v>
      </c>
      <c r="P193" s="5" t="s">
        <v>3728</v>
      </c>
    </row>
    <row r="194" spans="1:16" ht="17.25" customHeight="1" x14ac:dyDescent="0.3">
      <c r="A194" s="210" t="s">
        <v>211</v>
      </c>
      <c r="B194" s="21"/>
      <c r="C194" s="3"/>
      <c r="D194" s="3"/>
      <c r="E194" s="3"/>
      <c r="F194" s="3"/>
      <c r="G194" s="26"/>
      <c r="H194" s="73">
        <f t="shared" ref="H194:M194" si="14">SUM(H192:H193)</f>
        <v>4853</v>
      </c>
      <c r="I194" s="73">
        <f t="shared" si="14"/>
        <v>340</v>
      </c>
      <c r="J194" s="73">
        <f t="shared" si="14"/>
        <v>4496590.1399999997</v>
      </c>
      <c r="K194" s="73">
        <f t="shared" si="14"/>
        <v>0</v>
      </c>
      <c r="L194" s="73">
        <f t="shared" si="14"/>
        <v>0</v>
      </c>
      <c r="M194" s="73">
        <f t="shared" si="14"/>
        <v>0</v>
      </c>
      <c r="N194" s="73">
        <f>SUM(N192:N193)</f>
        <v>4496590.1399999997</v>
      </c>
      <c r="O194" s="3"/>
      <c r="P194" s="3"/>
    </row>
    <row r="195" spans="1:16" ht="17.25" customHeight="1" x14ac:dyDescent="0.3">
      <c r="A195" s="210" t="s">
        <v>215</v>
      </c>
      <c r="B195" s="21"/>
      <c r="C195" s="3"/>
      <c r="D195" s="3"/>
      <c r="E195" s="3"/>
      <c r="F195" s="3"/>
      <c r="G195" s="26"/>
      <c r="H195" s="3"/>
      <c r="I195" s="3"/>
      <c r="J195" s="73"/>
      <c r="K195" s="73"/>
      <c r="L195" s="73"/>
      <c r="M195" s="73"/>
      <c r="N195" s="73"/>
      <c r="O195" s="3"/>
      <c r="P195" s="3"/>
    </row>
    <row r="196" spans="1:16" ht="17.25" customHeight="1" x14ac:dyDescent="0.3">
      <c r="A196" s="210">
        <f>A193+1</f>
        <v>166</v>
      </c>
      <c r="B196" s="21" t="s">
        <v>216</v>
      </c>
      <c r="C196" s="5">
        <v>1985</v>
      </c>
      <c r="D196" s="3"/>
      <c r="E196" s="3" t="s">
        <v>3732</v>
      </c>
      <c r="F196" s="3">
        <v>5</v>
      </c>
      <c r="G196" s="26"/>
      <c r="H196" s="3">
        <v>3246.2</v>
      </c>
      <c r="I196" s="3">
        <v>106</v>
      </c>
      <c r="J196" s="19">
        <f t="shared" ref="J196:J201" si="15">K196+L196+M196+N196</f>
        <v>12467706.970000001</v>
      </c>
      <c r="K196" s="73"/>
      <c r="L196" s="73"/>
      <c r="M196" s="73"/>
      <c r="N196" s="19">
        <f>SUMIF('2020'!B:B,B196,'2020'!C:C)+SUMIF('2021'!B:B,B196,'2021'!C:C)+SUMIF('2022'!B:B,B196,'2022'!C:C)</f>
        <v>12467706.970000001</v>
      </c>
      <c r="O196" s="17">
        <v>44925</v>
      </c>
      <c r="P196" s="5" t="s">
        <v>3728</v>
      </c>
    </row>
    <row r="197" spans="1:16" ht="17.25" customHeight="1" x14ac:dyDescent="0.3">
      <c r="A197" s="210">
        <f t="shared" si="12"/>
        <v>167</v>
      </c>
      <c r="B197" s="21" t="s">
        <v>217</v>
      </c>
      <c r="C197" s="5">
        <v>1990</v>
      </c>
      <c r="D197" s="3"/>
      <c r="E197" s="3" t="s">
        <v>3732</v>
      </c>
      <c r="F197" s="3">
        <v>5</v>
      </c>
      <c r="G197" s="26"/>
      <c r="H197" s="3">
        <v>5662.5</v>
      </c>
      <c r="I197" s="3">
        <v>135</v>
      </c>
      <c r="J197" s="19">
        <f t="shared" si="15"/>
        <v>21460908.649999999</v>
      </c>
      <c r="K197" s="73"/>
      <c r="L197" s="73"/>
      <c r="M197" s="73"/>
      <c r="N197" s="19">
        <f>SUMIF('2020'!B:B,B197,'2020'!C:C)+SUMIF('2021'!B:B,B197,'2021'!C:C)+SUMIF('2022'!B:B,B197,'2022'!C:C)</f>
        <v>21460908.649999999</v>
      </c>
      <c r="O197" s="17">
        <v>44925</v>
      </c>
      <c r="P197" s="5" t="s">
        <v>3728</v>
      </c>
    </row>
    <row r="198" spans="1:16" ht="17.25" customHeight="1" x14ac:dyDescent="0.3">
      <c r="A198" s="210">
        <f t="shared" si="12"/>
        <v>168</v>
      </c>
      <c r="B198" s="21" t="s">
        <v>218</v>
      </c>
      <c r="C198" s="5">
        <v>1989</v>
      </c>
      <c r="D198" s="3"/>
      <c r="E198" s="3" t="s">
        <v>3732</v>
      </c>
      <c r="F198" s="3">
        <v>5</v>
      </c>
      <c r="G198" s="26"/>
      <c r="H198" s="3">
        <v>7044.4</v>
      </c>
      <c r="I198" s="3">
        <v>181</v>
      </c>
      <c r="J198" s="19">
        <f t="shared" si="15"/>
        <v>18239284.800000001</v>
      </c>
      <c r="K198" s="73"/>
      <c r="L198" s="73"/>
      <c r="M198" s="73"/>
      <c r="N198" s="19">
        <f>SUMIF('2020'!B:B,B198,'2020'!C:C)+SUMIF('2021'!B:B,B198,'2021'!C:C)+SUMIF('2022'!B:B,B198,'2022'!C:C)</f>
        <v>18239284.800000001</v>
      </c>
      <c r="O198" s="17">
        <v>44925</v>
      </c>
      <c r="P198" s="5" t="s">
        <v>3728</v>
      </c>
    </row>
    <row r="199" spans="1:16" ht="17.25" customHeight="1" x14ac:dyDescent="0.3">
      <c r="A199" s="210">
        <f t="shared" si="12"/>
        <v>169</v>
      </c>
      <c r="B199" s="21" t="s">
        <v>219</v>
      </c>
      <c r="C199" s="5">
        <v>1989</v>
      </c>
      <c r="D199" s="3"/>
      <c r="E199" s="169" t="s">
        <v>3645</v>
      </c>
      <c r="F199" s="3">
        <v>5</v>
      </c>
      <c r="G199" s="26"/>
      <c r="H199" s="3">
        <v>6576.6</v>
      </c>
      <c r="I199" s="3">
        <v>248</v>
      </c>
      <c r="J199" s="19">
        <f t="shared" si="15"/>
        <v>19319673.030000001</v>
      </c>
      <c r="K199" s="73"/>
      <c r="L199" s="73"/>
      <c r="M199" s="73"/>
      <c r="N199" s="19">
        <f>SUMIF('2020'!B:B,B199,'2020'!C:C)+SUMIF('2021'!B:B,B199,'2021'!C:C)+SUMIF('2022'!B:B,B199,'2022'!C:C)</f>
        <v>19319673.030000001</v>
      </c>
      <c r="O199" s="17">
        <v>44925</v>
      </c>
      <c r="P199" s="5" t="s">
        <v>3728</v>
      </c>
    </row>
    <row r="200" spans="1:16" ht="17.25" customHeight="1" x14ac:dyDescent="0.3">
      <c r="A200" s="210">
        <f t="shared" si="12"/>
        <v>170</v>
      </c>
      <c r="B200" s="21" t="s">
        <v>220</v>
      </c>
      <c r="C200" s="5">
        <v>1987</v>
      </c>
      <c r="D200" s="3"/>
      <c r="E200" s="3" t="s">
        <v>3732</v>
      </c>
      <c r="F200" s="3">
        <v>5</v>
      </c>
      <c r="G200" s="26"/>
      <c r="H200" s="3">
        <v>4399.3999999999996</v>
      </c>
      <c r="I200" s="3">
        <v>123</v>
      </c>
      <c r="J200" s="19">
        <f t="shared" si="15"/>
        <v>18203399.690000001</v>
      </c>
      <c r="K200" s="73"/>
      <c r="L200" s="73"/>
      <c r="M200" s="73"/>
      <c r="N200" s="19">
        <f>SUMIF('2020'!B:B,B200,'2020'!C:C)+SUMIF('2021'!B:B,B200,'2021'!C:C)+SUMIF('2022'!B:B,B200,'2022'!C:C)</f>
        <v>18203399.690000001</v>
      </c>
      <c r="O200" s="17">
        <v>44925</v>
      </c>
      <c r="P200" s="5" t="s">
        <v>3728</v>
      </c>
    </row>
    <row r="201" spans="1:16" ht="17.25" customHeight="1" x14ac:dyDescent="0.3">
      <c r="A201" s="210">
        <f t="shared" si="12"/>
        <v>171</v>
      </c>
      <c r="B201" s="21" t="s">
        <v>221</v>
      </c>
      <c r="C201" s="5">
        <v>1991</v>
      </c>
      <c r="D201" s="3"/>
      <c r="E201" s="3" t="s">
        <v>3732</v>
      </c>
      <c r="F201" s="3">
        <v>5</v>
      </c>
      <c r="G201" s="26"/>
      <c r="H201" s="3">
        <v>7520.2</v>
      </c>
      <c r="I201" s="3">
        <v>265</v>
      </c>
      <c r="J201" s="19">
        <f t="shared" si="15"/>
        <v>7196652.0000000009</v>
      </c>
      <c r="K201" s="73"/>
      <c r="L201" s="73"/>
      <c r="M201" s="73"/>
      <c r="N201" s="19">
        <f>SUMIF('2020'!B:B,B201,'2020'!C:C)+SUMIF('2021'!B:B,B201,'2021'!C:C)+SUMIF('2022'!B:B,B201,'2022'!C:C)</f>
        <v>7196652.0000000009</v>
      </c>
      <c r="O201" s="17">
        <v>44925</v>
      </c>
      <c r="P201" s="5" t="s">
        <v>3728</v>
      </c>
    </row>
    <row r="202" spans="1:16" ht="17.25" customHeight="1" x14ac:dyDescent="0.3">
      <c r="A202" s="210" t="s">
        <v>211</v>
      </c>
      <c r="B202" s="21"/>
      <c r="C202" s="3"/>
      <c r="D202" s="3"/>
      <c r="E202" s="3"/>
      <c r="F202" s="3"/>
      <c r="G202" s="26"/>
      <c r="H202" s="73">
        <f t="shared" ref="H202:M202" si="16">SUM(H196:H201)</f>
        <v>34449.299999999996</v>
      </c>
      <c r="I202" s="73">
        <f t="shared" si="16"/>
        <v>1058</v>
      </c>
      <c r="J202" s="73">
        <f t="shared" si="16"/>
        <v>96887625.140000001</v>
      </c>
      <c r="K202" s="73">
        <f t="shared" si="16"/>
        <v>0</v>
      </c>
      <c r="L202" s="73">
        <f t="shared" si="16"/>
        <v>0</v>
      </c>
      <c r="M202" s="73">
        <f t="shared" si="16"/>
        <v>0</v>
      </c>
      <c r="N202" s="73">
        <f>SUM(N196:N201)</f>
        <v>96887625.140000001</v>
      </c>
      <c r="O202" s="3"/>
      <c r="P202" s="3"/>
    </row>
    <row r="203" spans="1:16" ht="17.25" customHeight="1" x14ac:dyDescent="0.3">
      <c r="A203" s="210" t="s">
        <v>222</v>
      </c>
      <c r="B203" s="21"/>
      <c r="C203" s="3"/>
      <c r="D203" s="3"/>
      <c r="E203" s="3"/>
      <c r="F203" s="3"/>
      <c r="G203" s="26"/>
      <c r="H203" s="3"/>
      <c r="I203" s="3"/>
      <c r="J203" s="73"/>
      <c r="K203" s="73"/>
      <c r="L203" s="73"/>
      <c r="M203" s="73"/>
      <c r="N203" s="73"/>
      <c r="O203" s="3"/>
      <c r="P203" s="3"/>
    </row>
    <row r="204" spans="1:16" ht="17.25" customHeight="1" x14ac:dyDescent="0.3">
      <c r="A204" s="210">
        <f>A201+1</f>
        <v>172</v>
      </c>
      <c r="B204" s="21" t="s">
        <v>223</v>
      </c>
      <c r="C204" s="5">
        <v>1977</v>
      </c>
      <c r="D204" s="3"/>
      <c r="E204" s="3" t="s">
        <v>3732</v>
      </c>
      <c r="F204" s="3">
        <v>5</v>
      </c>
      <c r="G204" s="26"/>
      <c r="H204" s="3">
        <v>6876.7</v>
      </c>
      <c r="I204" s="3">
        <v>231</v>
      </c>
      <c r="J204" s="19">
        <f>K204+L204+M204+N204</f>
        <v>5726066.7999999998</v>
      </c>
      <c r="K204" s="73"/>
      <c r="L204" s="73"/>
      <c r="M204" s="73"/>
      <c r="N204" s="19">
        <f>SUMIF('2020'!B:B,B204,'2020'!C:C)+SUMIF('2021'!B:B,B204,'2021'!C:C)+SUMIF('2022'!B:B,B204,'2022'!C:C)</f>
        <v>5726066.7999999998</v>
      </c>
      <c r="O204" s="17">
        <v>44925</v>
      </c>
      <c r="P204" s="5" t="s">
        <v>3728</v>
      </c>
    </row>
    <row r="205" spans="1:16" ht="17.25" customHeight="1" x14ac:dyDescent="0.3">
      <c r="A205" s="210" t="s">
        <v>211</v>
      </c>
      <c r="B205" s="21"/>
      <c r="C205" s="3"/>
      <c r="D205" s="3"/>
      <c r="E205" s="3"/>
      <c r="F205" s="3"/>
      <c r="G205" s="26"/>
      <c r="H205" s="73">
        <f t="shared" ref="H205:M205" si="17">H204</f>
        <v>6876.7</v>
      </c>
      <c r="I205" s="73">
        <f t="shared" si="17"/>
        <v>231</v>
      </c>
      <c r="J205" s="73">
        <f t="shared" si="17"/>
        <v>5726066.7999999998</v>
      </c>
      <c r="K205" s="73">
        <f t="shared" si="17"/>
        <v>0</v>
      </c>
      <c r="L205" s="73">
        <f t="shared" si="17"/>
        <v>0</v>
      </c>
      <c r="M205" s="73">
        <f t="shared" si="17"/>
        <v>0</v>
      </c>
      <c r="N205" s="73">
        <f>N204</f>
        <v>5726066.7999999998</v>
      </c>
      <c r="O205" s="17"/>
      <c r="P205" s="5"/>
    </row>
    <row r="206" spans="1:16" ht="17.25" customHeight="1" x14ac:dyDescent="0.3">
      <c r="A206" s="210" t="s">
        <v>224</v>
      </c>
      <c r="B206" s="21"/>
      <c r="C206" s="3"/>
      <c r="D206" s="3"/>
      <c r="E206" s="3"/>
      <c r="F206" s="3"/>
      <c r="G206" s="26"/>
      <c r="H206" s="3"/>
      <c r="I206" s="3"/>
      <c r="J206" s="73"/>
      <c r="K206" s="73"/>
      <c r="L206" s="73"/>
      <c r="M206" s="73"/>
      <c r="N206" s="73"/>
      <c r="O206" s="3"/>
      <c r="P206" s="3"/>
    </row>
    <row r="207" spans="1:16" ht="17.25" customHeight="1" x14ac:dyDescent="0.3">
      <c r="A207" s="210">
        <f>A204+1</f>
        <v>173</v>
      </c>
      <c r="B207" s="21" t="s">
        <v>225</v>
      </c>
      <c r="C207" s="5">
        <v>1971</v>
      </c>
      <c r="D207" s="3"/>
      <c r="E207" s="3" t="s">
        <v>3732</v>
      </c>
      <c r="F207" s="3">
        <v>5</v>
      </c>
      <c r="G207" s="26"/>
      <c r="H207" s="2">
        <v>5010</v>
      </c>
      <c r="I207" s="3">
        <v>213</v>
      </c>
      <c r="J207" s="19">
        <f t="shared" ref="J207:J216" si="18">K207+L207+M207+N207</f>
        <v>523749.74</v>
      </c>
      <c r="K207" s="73"/>
      <c r="L207" s="73"/>
      <c r="M207" s="73"/>
      <c r="N207" s="19">
        <f>SUMIF('2020'!B:B,B207,'2020'!C:C)+SUMIF('2021'!B:B,B207,'2021'!C:C)+SUMIF('2022'!B:B,B207,'2022'!C:C)</f>
        <v>523749.74</v>
      </c>
      <c r="O207" s="17">
        <v>44925</v>
      </c>
      <c r="P207" s="5" t="s">
        <v>3728</v>
      </c>
    </row>
    <row r="208" spans="1:16" ht="17.25" customHeight="1" x14ac:dyDescent="0.3">
      <c r="A208" s="210">
        <f t="shared" si="12"/>
        <v>174</v>
      </c>
      <c r="B208" s="21" t="s">
        <v>226</v>
      </c>
      <c r="C208" s="5">
        <v>1972</v>
      </c>
      <c r="D208" s="3"/>
      <c r="E208" s="3" t="s">
        <v>3732</v>
      </c>
      <c r="F208" s="3">
        <v>5</v>
      </c>
      <c r="G208" s="26"/>
      <c r="H208" s="2">
        <v>4999</v>
      </c>
      <c r="I208" s="3">
        <v>224</v>
      </c>
      <c r="J208" s="19">
        <f t="shared" si="18"/>
        <v>535058.55000000005</v>
      </c>
      <c r="K208" s="73"/>
      <c r="L208" s="73"/>
      <c r="M208" s="73"/>
      <c r="N208" s="19">
        <f>SUMIF('2020'!B:B,B208,'2020'!C:C)+SUMIF('2021'!B:B,B208,'2021'!C:C)+SUMIF('2022'!B:B,B208,'2022'!C:C)</f>
        <v>535058.55000000005</v>
      </c>
      <c r="O208" s="17">
        <v>44925</v>
      </c>
      <c r="P208" s="5" t="s">
        <v>3728</v>
      </c>
    </row>
    <row r="209" spans="1:16" ht="17.25" customHeight="1" x14ac:dyDescent="0.3">
      <c r="A209" s="210">
        <f t="shared" si="12"/>
        <v>175</v>
      </c>
      <c r="B209" s="21" t="s">
        <v>227</v>
      </c>
      <c r="C209" s="5">
        <v>1969</v>
      </c>
      <c r="D209" s="3"/>
      <c r="E209" s="3" t="s">
        <v>3732</v>
      </c>
      <c r="F209" s="3">
        <v>5</v>
      </c>
      <c r="G209" s="26"/>
      <c r="H209" s="2">
        <v>3617</v>
      </c>
      <c r="I209" s="3">
        <v>116</v>
      </c>
      <c r="J209" s="19">
        <f t="shared" si="18"/>
        <v>412296.8</v>
      </c>
      <c r="K209" s="73"/>
      <c r="L209" s="73"/>
      <c r="M209" s="73"/>
      <c r="N209" s="19">
        <f>SUMIF('2020'!B:B,B209,'2020'!C:C)+SUMIF('2021'!B:B,B209,'2021'!C:C)+SUMIF('2022'!B:B,B209,'2022'!C:C)</f>
        <v>412296.8</v>
      </c>
      <c r="O209" s="17">
        <v>44925</v>
      </c>
      <c r="P209" s="5" t="s">
        <v>3728</v>
      </c>
    </row>
    <row r="210" spans="1:16" ht="17.25" customHeight="1" x14ac:dyDescent="0.3">
      <c r="A210" s="210">
        <f t="shared" si="12"/>
        <v>176</v>
      </c>
      <c r="B210" s="21" t="s">
        <v>228</v>
      </c>
      <c r="C210" s="5">
        <v>1982</v>
      </c>
      <c r="D210" s="3"/>
      <c r="E210" s="3" t="s">
        <v>3732</v>
      </c>
      <c r="F210" s="3">
        <v>5</v>
      </c>
      <c r="G210" s="26"/>
      <c r="H210" s="2">
        <v>4688.1000000000004</v>
      </c>
      <c r="I210" s="3">
        <v>242</v>
      </c>
      <c r="J210" s="19">
        <f t="shared" si="18"/>
        <v>776448.6100000001</v>
      </c>
      <c r="K210" s="73"/>
      <c r="L210" s="73"/>
      <c r="M210" s="73"/>
      <c r="N210" s="19">
        <f>SUMIF('2020'!B:B,B210,'2020'!C:C)+SUMIF('2021'!B:B,B210,'2021'!C:C)+SUMIF('2022'!B:B,B210,'2022'!C:C)</f>
        <v>776448.6100000001</v>
      </c>
      <c r="O210" s="17">
        <v>44925</v>
      </c>
      <c r="P210" s="5" t="s">
        <v>3728</v>
      </c>
    </row>
    <row r="211" spans="1:16" ht="17.25" customHeight="1" x14ac:dyDescent="0.3">
      <c r="A211" s="210">
        <f t="shared" si="12"/>
        <v>177</v>
      </c>
      <c r="B211" s="21" t="s">
        <v>229</v>
      </c>
      <c r="C211" s="5">
        <v>1971</v>
      </c>
      <c r="D211" s="3"/>
      <c r="E211" s="3" t="s">
        <v>3732</v>
      </c>
      <c r="F211" s="3">
        <v>5</v>
      </c>
      <c r="G211" s="26"/>
      <c r="H211" s="2">
        <v>2608.0700000000002</v>
      </c>
      <c r="I211" s="3">
        <v>128</v>
      </c>
      <c r="J211" s="19">
        <f t="shared" si="18"/>
        <v>427067.86</v>
      </c>
      <c r="K211" s="73"/>
      <c r="L211" s="73"/>
      <c r="M211" s="73"/>
      <c r="N211" s="19">
        <f>SUMIF('2020'!B:B,B211,'2020'!C:C)+SUMIF('2021'!B:B,B211,'2021'!C:C)+SUMIF('2022'!B:B,B211,'2022'!C:C)</f>
        <v>427067.86</v>
      </c>
      <c r="O211" s="17">
        <v>44925</v>
      </c>
      <c r="P211" s="5" t="s">
        <v>3728</v>
      </c>
    </row>
    <row r="212" spans="1:16" ht="17.25" customHeight="1" x14ac:dyDescent="0.3">
      <c r="A212" s="210">
        <f t="shared" si="12"/>
        <v>178</v>
      </c>
      <c r="B212" s="21" t="s">
        <v>230</v>
      </c>
      <c r="C212" s="5">
        <v>1978</v>
      </c>
      <c r="D212" s="3"/>
      <c r="E212" s="3" t="s">
        <v>3732</v>
      </c>
      <c r="F212" s="3">
        <v>5</v>
      </c>
      <c r="G212" s="26"/>
      <c r="H212" s="2">
        <v>2710.9</v>
      </c>
      <c r="I212" s="3">
        <v>157</v>
      </c>
      <c r="J212" s="19">
        <f t="shared" si="18"/>
        <v>728800</v>
      </c>
      <c r="K212" s="73"/>
      <c r="L212" s="73"/>
      <c r="M212" s="73"/>
      <c r="N212" s="19">
        <f>SUMIF('2020'!B:B,B212,'2020'!C:C)+SUMIF('2021'!B:B,B212,'2021'!C:C)+SUMIF('2022'!B:B,B212,'2022'!C:C)</f>
        <v>728800</v>
      </c>
      <c r="O212" s="17">
        <v>44925</v>
      </c>
      <c r="P212" s="5" t="s">
        <v>3728</v>
      </c>
    </row>
    <row r="213" spans="1:16" ht="17.25" customHeight="1" x14ac:dyDescent="0.3">
      <c r="A213" s="210">
        <f t="shared" si="12"/>
        <v>179</v>
      </c>
      <c r="B213" s="21" t="s">
        <v>231</v>
      </c>
      <c r="C213" s="5">
        <v>1976</v>
      </c>
      <c r="D213" s="3"/>
      <c r="E213" s="3" t="s">
        <v>3732</v>
      </c>
      <c r="F213" s="3">
        <v>5</v>
      </c>
      <c r="G213" s="26"/>
      <c r="H213" s="2">
        <v>3765.86</v>
      </c>
      <c r="I213" s="3">
        <v>150</v>
      </c>
      <c r="J213" s="19">
        <f t="shared" si="18"/>
        <v>397061.77</v>
      </c>
      <c r="K213" s="73"/>
      <c r="L213" s="73"/>
      <c r="M213" s="73"/>
      <c r="N213" s="19">
        <f>SUMIF('2020'!B:B,B213,'2020'!C:C)+SUMIF('2021'!B:B,B213,'2021'!C:C)+SUMIF('2022'!B:B,B213,'2022'!C:C)</f>
        <v>397061.77</v>
      </c>
      <c r="O213" s="17">
        <v>44925</v>
      </c>
      <c r="P213" s="5" t="s">
        <v>3728</v>
      </c>
    </row>
    <row r="214" spans="1:16" ht="17.25" customHeight="1" x14ac:dyDescent="0.3">
      <c r="A214" s="210">
        <f t="shared" si="12"/>
        <v>180</v>
      </c>
      <c r="B214" s="21" t="s">
        <v>232</v>
      </c>
      <c r="C214" s="5">
        <v>1974</v>
      </c>
      <c r="D214" s="3"/>
      <c r="E214" s="3" t="s">
        <v>3732</v>
      </c>
      <c r="F214" s="3">
        <v>5</v>
      </c>
      <c r="G214" s="26"/>
      <c r="H214" s="2">
        <v>4248.38</v>
      </c>
      <c r="I214" s="3">
        <v>238</v>
      </c>
      <c r="J214" s="19">
        <f t="shared" si="18"/>
        <v>523008.62</v>
      </c>
      <c r="K214" s="73"/>
      <c r="L214" s="73"/>
      <c r="M214" s="73"/>
      <c r="N214" s="19">
        <f>SUMIF('2020'!B:B,B214,'2020'!C:C)+SUMIF('2021'!B:B,B214,'2021'!C:C)+SUMIF('2022'!B:B,B214,'2022'!C:C)</f>
        <v>523008.62</v>
      </c>
      <c r="O214" s="17">
        <v>44925</v>
      </c>
      <c r="P214" s="5" t="s">
        <v>3728</v>
      </c>
    </row>
    <row r="215" spans="1:16" ht="17.25" customHeight="1" x14ac:dyDescent="0.3">
      <c r="A215" s="210">
        <f t="shared" si="12"/>
        <v>181</v>
      </c>
      <c r="B215" s="21" t="s">
        <v>233</v>
      </c>
      <c r="C215" s="5">
        <v>1957</v>
      </c>
      <c r="D215" s="3"/>
      <c r="E215" s="3" t="s">
        <v>3733</v>
      </c>
      <c r="F215" s="3">
        <v>2</v>
      </c>
      <c r="G215" s="26"/>
      <c r="H215" s="2">
        <v>329.4</v>
      </c>
      <c r="I215" s="3">
        <v>25</v>
      </c>
      <c r="J215" s="19">
        <f t="shared" si="18"/>
        <v>386599.77</v>
      </c>
      <c r="K215" s="73"/>
      <c r="L215" s="73"/>
      <c r="M215" s="73"/>
      <c r="N215" s="19">
        <f>SUMIF('2020'!B:B,B215,'2020'!C:C)+SUMIF('2021'!B:B,B215,'2021'!C:C)+SUMIF('2022'!B:B,B215,'2022'!C:C)</f>
        <v>386599.77</v>
      </c>
      <c r="O215" s="17">
        <v>44925</v>
      </c>
      <c r="P215" s="5" t="s">
        <v>3728</v>
      </c>
    </row>
    <row r="216" spans="1:16" ht="17.25" customHeight="1" x14ac:dyDescent="0.3">
      <c r="A216" s="210">
        <f t="shared" si="12"/>
        <v>182</v>
      </c>
      <c r="B216" s="21" t="s">
        <v>235</v>
      </c>
      <c r="C216" s="5">
        <v>1958</v>
      </c>
      <c r="D216" s="3"/>
      <c r="E216" s="3" t="s">
        <v>3733</v>
      </c>
      <c r="F216" s="3">
        <v>2</v>
      </c>
      <c r="G216" s="26"/>
      <c r="H216" s="2">
        <v>311.10000000000002</v>
      </c>
      <c r="I216" s="3">
        <v>28</v>
      </c>
      <c r="J216" s="19">
        <f t="shared" si="18"/>
        <v>401670.83999999997</v>
      </c>
      <c r="K216" s="73"/>
      <c r="L216" s="73"/>
      <c r="M216" s="73"/>
      <c r="N216" s="19">
        <f>SUMIF('2020'!B:B,B216,'2020'!C:C)+SUMIF('2021'!B:B,B216,'2021'!C:C)+SUMIF('2022'!B:B,B216,'2022'!C:C)</f>
        <v>401670.83999999997</v>
      </c>
      <c r="O216" s="17">
        <v>44925</v>
      </c>
      <c r="P216" s="5" t="s">
        <v>3728</v>
      </c>
    </row>
    <row r="217" spans="1:16" ht="17.25" customHeight="1" x14ac:dyDescent="0.3">
      <c r="A217" s="210" t="s">
        <v>211</v>
      </c>
      <c r="B217" s="21"/>
      <c r="C217" s="3"/>
      <c r="D217" s="3"/>
      <c r="E217" s="3"/>
      <c r="F217" s="3"/>
      <c r="G217" s="26"/>
      <c r="H217" s="73">
        <f t="shared" ref="H217:M217" si="19">SUM(H207:H216)</f>
        <v>32287.81</v>
      </c>
      <c r="I217" s="73">
        <f t="shared" si="19"/>
        <v>1521</v>
      </c>
      <c r="J217" s="73">
        <f t="shared" si="19"/>
        <v>5111762.5600000005</v>
      </c>
      <c r="K217" s="73">
        <f t="shared" si="19"/>
        <v>0</v>
      </c>
      <c r="L217" s="73">
        <f t="shared" si="19"/>
        <v>0</v>
      </c>
      <c r="M217" s="73">
        <f t="shared" si="19"/>
        <v>0</v>
      </c>
      <c r="N217" s="73">
        <f>SUM(N207:N216)</f>
        <v>5111762.5600000005</v>
      </c>
      <c r="O217" s="3"/>
      <c r="P217" s="3"/>
    </row>
    <row r="218" spans="1:16" ht="17.25" customHeight="1" x14ac:dyDescent="0.3">
      <c r="A218" s="214" t="s">
        <v>236</v>
      </c>
      <c r="B218" s="21"/>
      <c r="C218" s="3"/>
      <c r="D218" s="3"/>
      <c r="E218" s="3"/>
      <c r="F218" s="3"/>
      <c r="G218" s="26"/>
      <c r="H218" s="3"/>
      <c r="I218" s="3"/>
      <c r="J218" s="73"/>
      <c r="K218" s="73"/>
      <c r="L218" s="73"/>
      <c r="M218" s="73"/>
      <c r="N218" s="73"/>
      <c r="O218" s="3"/>
      <c r="P218" s="3"/>
    </row>
    <row r="219" spans="1:16" ht="17.25" customHeight="1" x14ac:dyDescent="0.3">
      <c r="A219" s="210">
        <f>A216+1</f>
        <v>183</v>
      </c>
      <c r="B219" s="21" t="s">
        <v>237</v>
      </c>
      <c r="C219" s="5">
        <v>1965</v>
      </c>
      <c r="D219" s="3"/>
      <c r="E219" s="3" t="s">
        <v>3733</v>
      </c>
      <c r="F219" s="3">
        <v>2</v>
      </c>
      <c r="G219" s="26"/>
      <c r="H219" s="2">
        <v>634.1</v>
      </c>
      <c r="I219" s="3">
        <v>24</v>
      </c>
      <c r="J219" s="19">
        <f t="shared" ref="J219:J226" si="20">K219+L219+M219+N219</f>
        <v>327871.95999999996</v>
      </c>
      <c r="K219" s="73"/>
      <c r="L219" s="73"/>
      <c r="M219" s="73"/>
      <c r="N219" s="19">
        <f>SUMIF('2020'!B:B,B219,'2020'!C:C)+SUMIF('2021'!B:B,B219,'2021'!C:C)+SUMIF('2022'!B:B,B219,'2022'!C:C)</f>
        <v>327871.95999999996</v>
      </c>
      <c r="O219" s="17">
        <v>44925</v>
      </c>
      <c r="P219" s="5" t="s">
        <v>3728</v>
      </c>
    </row>
    <row r="220" spans="1:16" ht="17.25" customHeight="1" x14ac:dyDescent="0.3">
      <c r="A220" s="210">
        <f t="shared" si="12"/>
        <v>184</v>
      </c>
      <c r="B220" s="21" t="s">
        <v>238</v>
      </c>
      <c r="C220" s="5">
        <v>1982</v>
      </c>
      <c r="D220" s="3"/>
      <c r="E220" s="3" t="s">
        <v>3732</v>
      </c>
      <c r="F220" s="3">
        <v>4</v>
      </c>
      <c r="G220" s="26"/>
      <c r="H220" s="2">
        <v>3240</v>
      </c>
      <c r="I220" s="3">
        <v>122</v>
      </c>
      <c r="J220" s="19">
        <f t="shared" si="20"/>
        <v>320444.21999999997</v>
      </c>
      <c r="K220" s="73"/>
      <c r="L220" s="73"/>
      <c r="M220" s="73"/>
      <c r="N220" s="19">
        <f>SUMIF('2020'!B:B,B220,'2020'!C:C)+SUMIF('2021'!B:B,B220,'2021'!C:C)+SUMIF('2022'!B:B,B220,'2022'!C:C)</f>
        <v>320444.21999999997</v>
      </c>
      <c r="O220" s="17">
        <v>44925</v>
      </c>
      <c r="P220" s="5" t="s">
        <v>3728</v>
      </c>
    </row>
    <row r="221" spans="1:16" ht="17.25" customHeight="1" x14ac:dyDescent="0.3">
      <c r="A221" s="210">
        <f t="shared" si="12"/>
        <v>185</v>
      </c>
      <c r="B221" s="21" t="s">
        <v>239</v>
      </c>
      <c r="C221" s="5">
        <v>1976</v>
      </c>
      <c r="D221" s="3"/>
      <c r="E221" s="3" t="s">
        <v>3733</v>
      </c>
      <c r="F221" s="3">
        <v>2</v>
      </c>
      <c r="G221" s="26"/>
      <c r="H221" s="2">
        <v>1006</v>
      </c>
      <c r="I221" s="3">
        <v>39</v>
      </c>
      <c r="J221" s="19">
        <f t="shared" si="20"/>
        <v>557974.93999999994</v>
      </c>
      <c r="K221" s="73"/>
      <c r="L221" s="73"/>
      <c r="M221" s="73"/>
      <c r="N221" s="19">
        <f>SUMIF('2020'!B:B,B221,'2020'!C:C)+SUMIF('2021'!B:B,B221,'2021'!C:C)+SUMIF('2022'!B:B,B221,'2022'!C:C)</f>
        <v>557974.93999999994</v>
      </c>
      <c r="O221" s="17">
        <v>44925</v>
      </c>
      <c r="P221" s="5" t="s">
        <v>3728</v>
      </c>
    </row>
    <row r="222" spans="1:16" ht="17.25" customHeight="1" x14ac:dyDescent="0.3">
      <c r="A222" s="210">
        <f t="shared" si="12"/>
        <v>186</v>
      </c>
      <c r="B222" s="21" t="s">
        <v>240</v>
      </c>
      <c r="C222" s="5">
        <v>1975</v>
      </c>
      <c r="D222" s="3"/>
      <c r="E222" s="3" t="s">
        <v>3733</v>
      </c>
      <c r="F222" s="3">
        <v>2</v>
      </c>
      <c r="G222" s="26"/>
      <c r="H222" s="2">
        <v>1229.7</v>
      </c>
      <c r="I222" s="3">
        <v>48</v>
      </c>
      <c r="J222" s="19">
        <f t="shared" si="20"/>
        <v>403591.94</v>
      </c>
      <c r="K222" s="73"/>
      <c r="L222" s="73"/>
      <c r="M222" s="73"/>
      <c r="N222" s="19">
        <f>SUMIF('2020'!B:B,B222,'2020'!C:C)+SUMIF('2021'!B:B,B222,'2021'!C:C)+SUMIF('2022'!B:B,B222,'2022'!C:C)</f>
        <v>403591.94</v>
      </c>
      <c r="O222" s="17">
        <v>44925</v>
      </c>
      <c r="P222" s="5" t="s">
        <v>3728</v>
      </c>
    </row>
    <row r="223" spans="1:16" ht="17.25" customHeight="1" x14ac:dyDescent="0.3">
      <c r="A223" s="210">
        <f t="shared" si="12"/>
        <v>187</v>
      </c>
      <c r="B223" s="21" t="s">
        <v>241</v>
      </c>
      <c r="C223" s="5">
        <v>1975</v>
      </c>
      <c r="D223" s="3"/>
      <c r="E223" s="3" t="s">
        <v>3733</v>
      </c>
      <c r="F223" s="3">
        <v>2</v>
      </c>
      <c r="G223" s="26"/>
      <c r="H223" s="2">
        <v>1200.4000000000001</v>
      </c>
      <c r="I223" s="3">
        <v>51</v>
      </c>
      <c r="J223" s="19">
        <f t="shared" si="20"/>
        <v>4658771.34</v>
      </c>
      <c r="K223" s="73"/>
      <c r="L223" s="73"/>
      <c r="M223" s="73"/>
      <c r="N223" s="19">
        <f>SUMIF('2020'!B:B,B223,'2020'!C:C)+SUMIF('2021'!B:B,B223,'2021'!C:C)+SUMIF('2022'!B:B,B223,'2022'!C:C)</f>
        <v>4658771.34</v>
      </c>
      <c r="O223" s="17">
        <v>44925</v>
      </c>
      <c r="P223" s="5" t="s">
        <v>3728</v>
      </c>
    </row>
    <row r="224" spans="1:16" ht="17.25" customHeight="1" x14ac:dyDescent="0.3">
      <c r="A224" s="210">
        <f t="shared" si="12"/>
        <v>188</v>
      </c>
      <c r="B224" s="21" t="s">
        <v>242</v>
      </c>
      <c r="C224" s="5">
        <v>1968</v>
      </c>
      <c r="D224" s="3"/>
      <c r="E224" s="3" t="s">
        <v>3733</v>
      </c>
      <c r="F224" s="3">
        <v>2</v>
      </c>
      <c r="G224" s="26"/>
      <c r="H224" s="2">
        <v>610</v>
      </c>
      <c r="I224" s="3">
        <v>19</v>
      </c>
      <c r="J224" s="19">
        <f t="shared" si="20"/>
        <v>3260653.36</v>
      </c>
      <c r="K224" s="73"/>
      <c r="L224" s="73"/>
      <c r="M224" s="73"/>
      <c r="N224" s="19">
        <f>SUMIF('2020'!B:B,B224,'2020'!C:C)+SUMIF('2021'!B:B,B224,'2021'!C:C)+SUMIF('2022'!B:B,B224,'2022'!C:C)</f>
        <v>3260653.36</v>
      </c>
      <c r="O224" s="17">
        <v>44925</v>
      </c>
      <c r="P224" s="5" t="s">
        <v>3728</v>
      </c>
    </row>
    <row r="225" spans="1:16" ht="17.25" customHeight="1" x14ac:dyDescent="0.3">
      <c r="A225" s="210">
        <f t="shared" si="12"/>
        <v>189</v>
      </c>
      <c r="B225" s="21" t="s">
        <v>244</v>
      </c>
      <c r="C225" s="5">
        <v>1981</v>
      </c>
      <c r="D225" s="3"/>
      <c r="E225" s="3" t="s">
        <v>3732</v>
      </c>
      <c r="F225" s="3">
        <v>3</v>
      </c>
      <c r="G225" s="26"/>
      <c r="H225" s="2">
        <v>2176.3000000000002</v>
      </c>
      <c r="I225" s="3">
        <v>75</v>
      </c>
      <c r="J225" s="19">
        <f t="shared" si="20"/>
        <v>222299.51</v>
      </c>
      <c r="K225" s="73"/>
      <c r="L225" s="73"/>
      <c r="M225" s="73"/>
      <c r="N225" s="19">
        <f>SUMIF('2020'!B:B,B225,'2020'!C:C)+SUMIF('2021'!B:B,B225,'2021'!C:C)+SUMIF('2022'!B:B,B225,'2022'!C:C)</f>
        <v>222299.51</v>
      </c>
      <c r="O225" s="17">
        <v>44925</v>
      </c>
      <c r="P225" s="5" t="s">
        <v>3728</v>
      </c>
    </row>
    <row r="226" spans="1:16" ht="17.25" customHeight="1" x14ac:dyDescent="0.3">
      <c r="A226" s="210">
        <f t="shared" si="12"/>
        <v>190</v>
      </c>
      <c r="B226" s="21" t="s">
        <v>245</v>
      </c>
      <c r="C226" s="5">
        <v>1978</v>
      </c>
      <c r="D226" s="3"/>
      <c r="E226" s="3" t="s">
        <v>3733</v>
      </c>
      <c r="F226" s="3">
        <v>2</v>
      </c>
      <c r="G226" s="26"/>
      <c r="H226" s="2">
        <v>1384.4</v>
      </c>
      <c r="I226" s="3">
        <v>38</v>
      </c>
      <c r="J226" s="19">
        <f t="shared" si="20"/>
        <v>364501.45</v>
      </c>
      <c r="K226" s="73"/>
      <c r="L226" s="73"/>
      <c r="M226" s="73"/>
      <c r="N226" s="19">
        <f>SUMIF('2020'!B:B,B226,'2020'!C:C)+SUMIF('2021'!B:B,B226,'2021'!C:C)+SUMIF('2022'!B:B,B226,'2022'!C:C)</f>
        <v>364501.45</v>
      </c>
      <c r="O226" s="17">
        <v>44925</v>
      </c>
      <c r="P226" s="5" t="s">
        <v>3728</v>
      </c>
    </row>
    <row r="227" spans="1:16" ht="17.25" customHeight="1" x14ac:dyDescent="0.3">
      <c r="A227" s="210" t="s">
        <v>211</v>
      </c>
      <c r="B227" s="21"/>
      <c r="C227" s="3"/>
      <c r="D227" s="3"/>
      <c r="E227" s="3"/>
      <c r="F227" s="3"/>
      <c r="G227" s="26"/>
      <c r="H227" s="73">
        <f t="shared" ref="H227:M227" si="21">SUM(H219:H226)</f>
        <v>11480.9</v>
      </c>
      <c r="I227" s="73">
        <f t="shared" si="21"/>
        <v>416</v>
      </c>
      <c r="J227" s="73">
        <f t="shared" si="21"/>
        <v>10116108.719999999</v>
      </c>
      <c r="K227" s="73">
        <f t="shared" si="21"/>
        <v>0</v>
      </c>
      <c r="L227" s="73">
        <f t="shared" si="21"/>
        <v>0</v>
      </c>
      <c r="M227" s="73">
        <f t="shared" si="21"/>
        <v>0</v>
      </c>
      <c r="N227" s="73">
        <f>SUM(N219:N226)</f>
        <v>10116108.719999999</v>
      </c>
      <c r="O227" s="3"/>
      <c r="P227" s="3"/>
    </row>
    <row r="228" spans="1:16" ht="17.25" customHeight="1" x14ac:dyDescent="0.3">
      <c r="A228" s="210" t="s">
        <v>246</v>
      </c>
      <c r="B228" s="21"/>
      <c r="C228" s="3"/>
      <c r="D228" s="3"/>
      <c r="E228" s="3"/>
      <c r="F228" s="3"/>
      <c r="G228" s="26"/>
      <c r="H228" s="3"/>
      <c r="I228" s="3"/>
      <c r="J228" s="73"/>
      <c r="K228" s="73"/>
      <c r="L228" s="73"/>
      <c r="M228" s="73"/>
      <c r="N228" s="73"/>
      <c r="O228" s="3"/>
      <c r="P228" s="3"/>
    </row>
    <row r="229" spans="1:16" ht="17.25" customHeight="1" x14ac:dyDescent="0.3">
      <c r="A229" s="210">
        <f>A226+1</f>
        <v>191</v>
      </c>
      <c r="B229" s="21" t="s">
        <v>247</v>
      </c>
      <c r="C229" s="5">
        <v>1981</v>
      </c>
      <c r="D229" s="3"/>
      <c r="E229" s="3" t="s">
        <v>3732</v>
      </c>
      <c r="F229" s="3">
        <v>3</v>
      </c>
      <c r="G229" s="26"/>
      <c r="H229" s="3">
        <v>1339.2</v>
      </c>
      <c r="I229" s="3">
        <v>52</v>
      </c>
      <c r="J229" s="19">
        <f t="shared" ref="J229:J235" si="22">K229+L229+M229+N229</f>
        <v>9756309.9899999984</v>
      </c>
      <c r="K229" s="73"/>
      <c r="L229" s="73"/>
      <c r="M229" s="73"/>
      <c r="N229" s="19">
        <f>SUMIF('2020'!B:B,B229,'2020'!C:C)+SUMIF('2021'!B:B,B229,'2021'!C:C)+SUMIF('2022'!B:B,B229,'2022'!C:C)</f>
        <v>9756309.9899999984</v>
      </c>
      <c r="O229" s="17">
        <v>44925</v>
      </c>
      <c r="P229" s="5" t="s">
        <v>3728</v>
      </c>
    </row>
    <row r="230" spans="1:16" ht="17.25" customHeight="1" x14ac:dyDescent="0.3">
      <c r="A230" s="210">
        <f t="shared" si="12"/>
        <v>192</v>
      </c>
      <c r="B230" s="21" t="s">
        <v>248</v>
      </c>
      <c r="C230" s="5">
        <v>1952</v>
      </c>
      <c r="D230" s="3"/>
      <c r="E230" s="3" t="s">
        <v>3733</v>
      </c>
      <c r="F230" s="3">
        <v>2</v>
      </c>
      <c r="G230" s="26"/>
      <c r="H230" s="3">
        <v>362.7</v>
      </c>
      <c r="I230" s="3">
        <v>10</v>
      </c>
      <c r="J230" s="19">
        <f t="shared" si="22"/>
        <v>165341.65</v>
      </c>
      <c r="K230" s="73"/>
      <c r="L230" s="73"/>
      <c r="M230" s="73"/>
      <c r="N230" s="19">
        <f>SUMIF('2020'!B:B,B230,'2020'!C:C)+SUMIF('2021'!B:B,B230,'2021'!C:C)+SUMIF('2022'!B:B,B230,'2022'!C:C)</f>
        <v>165341.65</v>
      </c>
      <c r="O230" s="17">
        <v>44925</v>
      </c>
      <c r="P230" s="5" t="s">
        <v>3728</v>
      </c>
    </row>
    <row r="231" spans="1:16" ht="17.25" customHeight="1" x14ac:dyDescent="0.3">
      <c r="A231" s="210">
        <f t="shared" si="12"/>
        <v>193</v>
      </c>
      <c r="B231" s="21" t="s">
        <v>249</v>
      </c>
      <c r="C231" s="5">
        <v>1963</v>
      </c>
      <c r="D231" s="3"/>
      <c r="E231" s="3" t="s">
        <v>3733</v>
      </c>
      <c r="F231" s="3">
        <v>2</v>
      </c>
      <c r="G231" s="26"/>
      <c r="H231" s="3">
        <v>443.5</v>
      </c>
      <c r="I231" s="3">
        <v>14</v>
      </c>
      <c r="J231" s="19">
        <f t="shared" si="22"/>
        <v>4309683.5999999996</v>
      </c>
      <c r="K231" s="73"/>
      <c r="L231" s="73"/>
      <c r="M231" s="73"/>
      <c r="N231" s="19">
        <f>SUMIF('2020'!B:B,B231,'2020'!C:C)+SUMIF('2021'!B:B,B231,'2021'!C:C)+SUMIF('2022'!B:B,B231,'2022'!C:C)</f>
        <v>4309683.5999999996</v>
      </c>
      <c r="O231" s="17">
        <v>44925</v>
      </c>
      <c r="P231" s="5" t="s">
        <v>3728</v>
      </c>
    </row>
    <row r="232" spans="1:16" ht="17.25" customHeight="1" x14ac:dyDescent="0.3">
      <c r="A232" s="210">
        <f t="shared" si="12"/>
        <v>194</v>
      </c>
      <c r="B232" s="21" t="s">
        <v>250</v>
      </c>
      <c r="C232" s="5">
        <v>1963</v>
      </c>
      <c r="D232" s="3"/>
      <c r="E232" s="3" t="s">
        <v>3733</v>
      </c>
      <c r="F232" s="3">
        <v>2</v>
      </c>
      <c r="G232" s="26"/>
      <c r="H232" s="3">
        <v>448.7</v>
      </c>
      <c r="I232" s="3">
        <v>13</v>
      </c>
      <c r="J232" s="19">
        <f t="shared" si="22"/>
        <v>4539283.2</v>
      </c>
      <c r="K232" s="73"/>
      <c r="L232" s="73"/>
      <c r="M232" s="73"/>
      <c r="N232" s="19">
        <f>SUMIF('2020'!B:B,B232,'2020'!C:C)+SUMIF('2021'!B:B,B232,'2021'!C:C)+SUMIF('2022'!B:B,B232,'2022'!C:C)</f>
        <v>4539283.2</v>
      </c>
      <c r="O232" s="17">
        <v>44925</v>
      </c>
      <c r="P232" s="5" t="s">
        <v>3728</v>
      </c>
    </row>
    <row r="233" spans="1:16" ht="17.25" customHeight="1" x14ac:dyDescent="0.3">
      <c r="A233" s="210">
        <f t="shared" si="12"/>
        <v>195</v>
      </c>
      <c r="B233" s="21" t="s">
        <v>251</v>
      </c>
      <c r="C233" s="5">
        <v>1952</v>
      </c>
      <c r="D233" s="3"/>
      <c r="E233" s="3" t="s">
        <v>3733</v>
      </c>
      <c r="F233" s="3">
        <v>2</v>
      </c>
      <c r="G233" s="26"/>
      <c r="H233" s="3">
        <v>378.3</v>
      </c>
      <c r="I233" s="3">
        <v>10</v>
      </c>
      <c r="J233" s="19">
        <f t="shared" si="22"/>
        <v>154455.76999999999</v>
      </c>
      <c r="K233" s="73"/>
      <c r="L233" s="73"/>
      <c r="M233" s="73"/>
      <c r="N233" s="19">
        <f>SUMIF('2020'!B:B,B233,'2020'!C:C)+SUMIF('2021'!B:B,B233,'2021'!C:C)+SUMIF('2022'!B:B,B233,'2022'!C:C)</f>
        <v>154455.76999999999</v>
      </c>
      <c r="O233" s="17">
        <v>44925</v>
      </c>
      <c r="P233" s="5" t="s">
        <v>3728</v>
      </c>
    </row>
    <row r="234" spans="1:16" ht="17.25" customHeight="1" x14ac:dyDescent="0.3">
      <c r="A234" s="210">
        <f t="shared" si="12"/>
        <v>196</v>
      </c>
      <c r="B234" s="21" t="s">
        <v>252</v>
      </c>
      <c r="C234" s="5">
        <v>1952</v>
      </c>
      <c r="D234" s="3"/>
      <c r="E234" s="3" t="s">
        <v>3733</v>
      </c>
      <c r="F234" s="3">
        <v>2</v>
      </c>
      <c r="G234" s="26"/>
      <c r="H234" s="3">
        <v>365.5</v>
      </c>
      <c r="I234" s="3">
        <v>14</v>
      </c>
      <c r="J234" s="19">
        <f t="shared" si="22"/>
        <v>161975.95000000001</v>
      </c>
      <c r="K234" s="73"/>
      <c r="L234" s="73"/>
      <c r="M234" s="73"/>
      <c r="N234" s="19">
        <f>SUMIF('2020'!B:B,B234,'2020'!C:C)+SUMIF('2021'!B:B,B234,'2021'!C:C)+SUMIF('2022'!B:B,B234,'2022'!C:C)</f>
        <v>161975.95000000001</v>
      </c>
      <c r="O234" s="17">
        <v>44925</v>
      </c>
      <c r="P234" s="5" t="s">
        <v>3728</v>
      </c>
    </row>
    <row r="235" spans="1:16" ht="17.25" customHeight="1" x14ac:dyDescent="0.3">
      <c r="A235" s="210">
        <f t="shared" si="12"/>
        <v>197</v>
      </c>
      <c r="B235" s="21" t="s">
        <v>253</v>
      </c>
      <c r="C235" s="5">
        <v>1950</v>
      </c>
      <c r="D235" s="3"/>
      <c r="E235" s="3" t="s">
        <v>3733</v>
      </c>
      <c r="F235" s="3">
        <v>2</v>
      </c>
      <c r="G235" s="26"/>
      <c r="H235" s="3">
        <v>402.3</v>
      </c>
      <c r="I235" s="3">
        <v>14</v>
      </c>
      <c r="J235" s="19">
        <f t="shared" si="22"/>
        <v>130000</v>
      </c>
      <c r="K235" s="73"/>
      <c r="L235" s="73"/>
      <c r="M235" s="73"/>
      <c r="N235" s="19">
        <f>SUMIF('2020'!B:B,B235,'2020'!C:C)+SUMIF('2021'!B:B,B235,'2021'!C:C)+SUMIF('2022'!B:B,B235,'2022'!C:C)</f>
        <v>130000</v>
      </c>
      <c r="O235" s="17">
        <v>44925</v>
      </c>
      <c r="P235" s="5" t="s">
        <v>3728</v>
      </c>
    </row>
    <row r="236" spans="1:16" ht="17.25" customHeight="1" x14ac:dyDescent="0.3">
      <c r="A236" s="210" t="s">
        <v>211</v>
      </c>
      <c r="B236" s="21"/>
      <c r="C236" s="3"/>
      <c r="D236" s="3"/>
      <c r="E236" s="3"/>
      <c r="F236" s="3"/>
      <c r="G236" s="26"/>
      <c r="H236" s="73">
        <f t="shared" ref="H236:M236" si="23">SUM(H229:H235)</f>
        <v>3740.2000000000003</v>
      </c>
      <c r="I236" s="73">
        <f t="shared" si="23"/>
        <v>127</v>
      </c>
      <c r="J236" s="73">
        <f t="shared" si="23"/>
        <v>19217050.159999996</v>
      </c>
      <c r="K236" s="73">
        <f t="shared" si="23"/>
        <v>0</v>
      </c>
      <c r="L236" s="73">
        <f t="shared" si="23"/>
        <v>0</v>
      </c>
      <c r="M236" s="73">
        <f t="shared" si="23"/>
        <v>0</v>
      </c>
      <c r="N236" s="73">
        <f>SUM(N229:N235)</f>
        <v>19217050.159999996</v>
      </c>
      <c r="O236" s="3"/>
      <c r="P236" s="3"/>
    </row>
    <row r="237" spans="1:16" ht="17.25" customHeight="1" x14ac:dyDescent="0.3">
      <c r="A237" s="210" t="s">
        <v>254</v>
      </c>
      <c r="B237" s="21"/>
      <c r="C237" s="3"/>
      <c r="D237" s="3"/>
      <c r="E237" s="3"/>
      <c r="F237" s="3"/>
      <c r="G237" s="26"/>
      <c r="H237" s="3"/>
      <c r="I237" s="3"/>
      <c r="J237" s="73"/>
      <c r="K237" s="73"/>
      <c r="L237" s="73"/>
      <c r="M237" s="73"/>
      <c r="N237" s="73"/>
      <c r="O237" s="3"/>
      <c r="P237" s="3"/>
    </row>
    <row r="238" spans="1:16" ht="17.25" customHeight="1" x14ac:dyDescent="0.3">
      <c r="A238" s="210">
        <f>A235+1</f>
        <v>198</v>
      </c>
      <c r="B238" s="21" t="s">
        <v>255</v>
      </c>
      <c r="C238" s="5">
        <v>1983</v>
      </c>
      <c r="D238" s="3"/>
      <c r="E238" s="3" t="s">
        <v>3732</v>
      </c>
      <c r="F238" s="3">
        <v>5</v>
      </c>
      <c r="G238" s="26"/>
      <c r="H238" s="3">
        <v>2875.4</v>
      </c>
      <c r="I238" s="3">
        <v>249</v>
      </c>
      <c r="J238" s="19">
        <f>K238+L238+M238+N238</f>
        <v>15436560</v>
      </c>
      <c r="K238" s="73"/>
      <c r="L238" s="73"/>
      <c r="M238" s="73"/>
      <c r="N238" s="19">
        <f>SUMIF('2020'!B:B,B238,'2020'!C:C)+SUMIF('2021'!B:B,B238,'2021'!C:C)+SUMIF('2022'!B:B,B238,'2022'!C:C)</f>
        <v>15436560</v>
      </c>
      <c r="O238" s="17">
        <v>44925</v>
      </c>
      <c r="P238" s="5" t="s">
        <v>3728</v>
      </c>
    </row>
    <row r="239" spans="1:16" ht="17.25" customHeight="1" x14ac:dyDescent="0.3">
      <c r="A239" s="210">
        <f t="shared" si="12"/>
        <v>199</v>
      </c>
      <c r="B239" s="21" t="s">
        <v>256</v>
      </c>
      <c r="C239" s="5">
        <v>1984</v>
      </c>
      <c r="D239" s="3"/>
      <c r="E239" s="3" t="s">
        <v>3732</v>
      </c>
      <c r="F239" s="3">
        <v>3</v>
      </c>
      <c r="G239" s="26"/>
      <c r="H239" s="3">
        <v>875.4</v>
      </c>
      <c r="I239" s="3">
        <v>45</v>
      </c>
      <c r="J239" s="19">
        <f>K239+L239+M239+N239</f>
        <v>771887.16999999993</v>
      </c>
      <c r="K239" s="73"/>
      <c r="L239" s="73"/>
      <c r="M239" s="73"/>
      <c r="N239" s="19">
        <f>SUMIF('2020'!B:B,B239,'2020'!C:C)+SUMIF('2021'!B:B,B239,'2021'!C:C)+SUMIF('2022'!B:B,B239,'2022'!C:C)</f>
        <v>771887.16999999993</v>
      </c>
      <c r="O239" s="17">
        <v>44925</v>
      </c>
      <c r="P239" s="5" t="s">
        <v>3728</v>
      </c>
    </row>
    <row r="240" spans="1:16" ht="17.25" customHeight="1" x14ac:dyDescent="0.3">
      <c r="A240" s="210" t="s">
        <v>211</v>
      </c>
      <c r="B240" s="21"/>
      <c r="C240" s="3"/>
      <c r="D240" s="3"/>
      <c r="E240" s="3"/>
      <c r="F240" s="3"/>
      <c r="G240" s="26"/>
      <c r="H240" s="73">
        <f t="shared" ref="H240:M240" si="24">SUM(H238:H239)</f>
        <v>3750.8</v>
      </c>
      <c r="I240" s="73">
        <f t="shared" si="24"/>
        <v>294</v>
      </c>
      <c r="J240" s="73">
        <f t="shared" si="24"/>
        <v>16208447.17</v>
      </c>
      <c r="K240" s="73">
        <f t="shared" si="24"/>
        <v>0</v>
      </c>
      <c r="L240" s="73">
        <f t="shared" si="24"/>
        <v>0</v>
      </c>
      <c r="M240" s="73">
        <f t="shared" si="24"/>
        <v>0</v>
      </c>
      <c r="N240" s="73">
        <f>SUM(N238:N239)</f>
        <v>16208447.17</v>
      </c>
      <c r="O240" s="3"/>
      <c r="P240" s="3"/>
    </row>
    <row r="241" spans="1:16" ht="17.25" customHeight="1" x14ac:dyDescent="0.3">
      <c r="A241" s="210" t="s">
        <v>257</v>
      </c>
      <c r="B241" s="21"/>
      <c r="C241" s="3"/>
      <c r="D241" s="3"/>
      <c r="E241" s="3"/>
      <c r="F241" s="3"/>
      <c r="G241" s="26"/>
      <c r="H241" s="3"/>
      <c r="I241" s="3"/>
      <c r="J241" s="73"/>
      <c r="K241" s="73"/>
      <c r="L241" s="73"/>
      <c r="M241" s="73"/>
      <c r="N241" s="73"/>
      <c r="O241" s="3"/>
      <c r="P241" s="3"/>
    </row>
    <row r="242" spans="1:16" ht="17.25" customHeight="1" x14ac:dyDescent="0.3">
      <c r="A242" s="210">
        <f>A239+1</f>
        <v>200</v>
      </c>
      <c r="B242" s="21" t="s">
        <v>258</v>
      </c>
      <c r="C242" s="5">
        <v>1983</v>
      </c>
      <c r="D242" s="3"/>
      <c r="E242" s="3" t="s">
        <v>3732</v>
      </c>
      <c r="F242" s="3">
        <v>5</v>
      </c>
      <c r="G242" s="26"/>
      <c r="H242" s="3">
        <v>3219.5</v>
      </c>
      <c r="I242" s="3">
        <v>179</v>
      </c>
      <c r="J242" s="19">
        <f>K242+L242+M242+N242</f>
        <v>4387600.8</v>
      </c>
      <c r="K242" s="73"/>
      <c r="L242" s="73"/>
      <c r="M242" s="73"/>
      <c r="N242" s="19">
        <f>SUMIF('2020'!B:B,B242,'2020'!C:C)+SUMIF('2021'!B:B,B242,'2021'!C:C)+SUMIF('2022'!B:B,B242,'2022'!C:C)</f>
        <v>4387600.8</v>
      </c>
      <c r="O242" s="17">
        <v>44925</v>
      </c>
      <c r="P242" s="5" t="s">
        <v>3728</v>
      </c>
    </row>
    <row r="243" spans="1:16" ht="17.25" customHeight="1" x14ac:dyDescent="0.3">
      <c r="A243" s="210">
        <f t="shared" si="12"/>
        <v>201</v>
      </c>
      <c r="B243" s="21" t="s">
        <v>259</v>
      </c>
      <c r="C243" s="5">
        <v>1979</v>
      </c>
      <c r="D243" s="3"/>
      <c r="E243" s="3" t="s">
        <v>3732</v>
      </c>
      <c r="F243" s="3">
        <v>5</v>
      </c>
      <c r="G243" s="26"/>
      <c r="H243" s="3">
        <v>2839.5</v>
      </c>
      <c r="I243" s="3">
        <v>156</v>
      </c>
      <c r="J243" s="19">
        <f>K243+L243+M243+N243</f>
        <v>3227594.4</v>
      </c>
      <c r="K243" s="73"/>
      <c r="L243" s="73"/>
      <c r="M243" s="73"/>
      <c r="N243" s="19">
        <f>SUMIF('2020'!B:B,B243,'2020'!C:C)+SUMIF('2021'!B:B,B243,'2021'!C:C)+SUMIF('2022'!B:B,B243,'2022'!C:C)</f>
        <v>3227594.4</v>
      </c>
      <c r="O243" s="17">
        <v>44925</v>
      </c>
      <c r="P243" s="5" t="s">
        <v>3728</v>
      </c>
    </row>
    <row r="244" spans="1:16" ht="17.25" customHeight="1" x14ac:dyDescent="0.3">
      <c r="A244" s="210" t="s">
        <v>211</v>
      </c>
      <c r="B244" s="21"/>
      <c r="C244" s="3"/>
      <c r="D244" s="3"/>
      <c r="E244" s="3"/>
      <c r="F244" s="3"/>
      <c r="G244" s="26"/>
      <c r="H244" s="73">
        <f t="shared" ref="H244:M244" si="25">SUM(H242:H243)</f>
        <v>6059</v>
      </c>
      <c r="I244" s="73">
        <f t="shared" si="25"/>
        <v>335</v>
      </c>
      <c r="J244" s="73">
        <f t="shared" si="25"/>
        <v>7615195.1999999993</v>
      </c>
      <c r="K244" s="73">
        <f t="shared" si="25"/>
        <v>0</v>
      </c>
      <c r="L244" s="73">
        <f t="shared" si="25"/>
        <v>0</v>
      </c>
      <c r="M244" s="73">
        <f t="shared" si="25"/>
        <v>0</v>
      </c>
      <c r="N244" s="73">
        <f>SUM(N242:N243)</f>
        <v>7615195.1999999993</v>
      </c>
      <c r="O244" s="3"/>
      <c r="P244" s="3"/>
    </row>
    <row r="245" spans="1:16" ht="17.25" customHeight="1" x14ac:dyDescent="0.3">
      <c r="A245" s="210" t="s">
        <v>260</v>
      </c>
      <c r="B245" s="21"/>
      <c r="C245" s="3"/>
      <c r="D245" s="3"/>
      <c r="E245" s="3"/>
      <c r="F245" s="3"/>
      <c r="G245" s="26"/>
      <c r="H245" s="3"/>
      <c r="I245" s="3"/>
      <c r="J245" s="73"/>
      <c r="K245" s="73"/>
      <c r="L245" s="73"/>
      <c r="M245" s="73"/>
      <c r="N245" s="73"/>
      <c r="O245" s="3"/>
      <c r="P245" s="3"/>
    </row>
    <row r="246" spans="1:16" ht="17.25" customHeight="1" x14ac:dyDescent="0.3">
      <c r="A246" s="210">
        <f>A243+1</f>
        <v>202</v>
      </c>
      <c r="B246" s="21" t="s">
        <v>261</v>
      </c>
      <c r="C246" s="5">
        <v>1964</v>
      </c>
      <c r="D246" s="3"/>
      <c r="E246" s="3" t="s">
        <v>3733</v>
      </c>
      <c r="F246" s="3">
        <v>2</v>
      </c>
      <c r="G246" s="26"/>
      <c r="H246" s="3">
        <v>695</v>
      </c>
      <c r="I246" s="3">
        <v>32</v>
      </c>
      <c r="J246" s="19">
        <f>K246+L246+M246+N246</f>
        <v>4885392.91</v>
      </c>
      <c r="K246" s="73"/>
      <c r="L246" s="73"/>
      <c r="M246" s="73"/>
      <c r="N246" s="19">
        <f>SUMIF('2020'!B:B,B246,'2020'!C:C)+SUMIF('2021'!B:B,B246,'2021'!C:C)+SUMIF('2022'!B:B,B246,'2022'!C:C)</f>
        <v>4885392.91</v>
      </c>
      <c r="O246" s="17">
        <v>44925</v>
      </c>
      <c r="P246" s="5" t="s">
        <v>3728</v>
      </c>
    </row>
    <row r="247" spans="1:16" ht="17.25" customHeight="1" x14ac:dyDescent="0.3">
      <c r="A247" s="210">
        <f t="shared" ref="A247:A255" si="26">A246+1</f>
        <v>203</v>
      </c>
      <c r="B247" s="21" t="s">
        <v>263</v>
      </c>
      <c r="C247" s="5">
        <v>1978</v>
      </c>
      <c r="D247" s="3"/>
      <c r="E247" s="3" t="s">
        <v>3732</v>
      </c>
      <c r="F247" s="3">
        <v>5</v>
      </c>
      <c r="G247" s="26"/>
      <c r="H247" s="3">
        <v>4409</v>
      </c>
      <c r="I247" s="3">
        <v>138</v>
      </c>
      <c r="J247" s="19">
        <f>K247+L247+M247+N247</f>
        <v>1399684.72</v>
      </c>
      <c r="K247" s="73"/>
      <c r="L247" s="73"/>
      <c r="M247" s="73"/>
      <c r="N247" s="19">
        <f>SUMIF('2020'!B:B,B247,'2020'!C:C)+SUMIF('2021'!B:B,B247,'2021'!C:C)+SUMIF('2022'!B:B,B247,'2022'!C:C)</f>
        <v>1399684.72</v>
      </c>
      <c r="O247" s="17">
        <v>44925</v>
      </c>
      <c r="P247" s="5" t="s">
        <v>3728</v>
      </c>
    </row>
    <row r="248" spans="1:16" ht="17.25" customHeight="1" x14ac:dyDescent="0.3">
      <c r="A248" s="210">
        <f t="shared" si="26"/>
        <v>204</v>
      </c>
      <c r="B248" s="21" t="s">
        <v>264</v>
      </c>
      <c r="C248" s="5">
        <v>1977</v>
      </c>
      <c r="D248" s="3"/>
      <c r="E248" s="3" t="s">
        <v>3732</v>
      </c>
      <c r="F248" s="3">
        <v>5</v>
      </c>
      <c r="G248" s="26"/>
      <c r="H248" s="3">
        <v>4650</v>
      </c>
      <c r="I248" s="3">
        <v>223</v>
      </c>
      <c r="J248" s="19">
        <f>K248+L248+M248+N248</f>
        <v>1848744.59</v>
      </c>
      <c r="K248" s="73"/>
      <c r="L248" s="73"/>
      <c r="M248" s="73"/>
      <c r="N248" s="19">
        <f>SUMIF('2020'!B:B,B248,'2020'!C:C)+SUMIF('2021'!B:B,B248,'2021'!C:C)+SUMIF('2022'!B:B,B248,'2022'!C:C)</f>
        <v>1848744.59</v>
      </c>
      <c r="O248" s="17">
        <v>44925</v>
      </c>
      <c r="P248" s="5" t="s">
        <v>3728</v>
      </c>
    </row>
    <row r="249" spans="1:16" ht="17.25" customHeight="1" x14ac:dyDescent="0.3">
      <c r="A249" s="210">
        <f t="shared" si="26"/>
        <v>205</v>
      </c>
      <c r="B249" s="21" t="s">
        <v>265</v>
      </c>
      <c r="C249" s="5">
        <v>1963</v>
      </c>
      <c r="D249" s="3"/>
      <c r="E249" s="3" t="s">
        <v>3733</v>
      </c>
      <c r="F249" s="3">
        <v>2</v>
      </c>
      <c r="G249" s="26"/>
      <c r="H249" s="3">
        <v>674</v>
      </c>
      <c r="I249" s="3">
        <v>33</v>
      </c>
      <c r="J249" s="19">
        <f>K249+L249+M249+N249</f>
        <v>11886892.91</v>
      </c>
      <c r="K249" s="73"/>
      <c r="L249" s="73"/>
      <c r="M249" s="73"/>
      <c r="N249" s="19">
        <f>SUMIF('2020'!B:B,B249,'2020'!C:C)+SUMIF('2021'!B:B,B249,'2021'!C:C)+SUMIF('2022'!B:B,B249,'2022'!C:C)</f>
        <v>11886892.91</v>
      </c>
      <c r="O249" s="17">
        <v>44925</v>
      </c>
      <c r="P249" s="5" t="s">
        <v>3728</v>
      </c>
    </row>
    <row r="250" spans="1:16" ht="17.25" customHeight="1" x14ac:dyDescent="0.3">
      <c r="A250" s="210">
        <f t="shared" si="26"/>
        <v>206</v>
      </c>
      <c r="B250" s="21" t="s">
        <v>266</v>
      </c>
      <c r="C250" s="5">
        <v>1960</v>
      </c>
      <c r="D250" s="3"/>
      <c r="E250" s="3" t="s">
        <v>3733</v>
      </c>
      <c r="F250" s="3">
        <v>2</v>
      </c>
      <c r="G250" s="26"/>
      <c r="H250" s="3">
        <v>650</v>
      </c>
      <c r="I250" s="3">
        <v>31</v>
      </c>
      <c r="J250" s="19">
        <f>K250+L250+M250+N250</f>
        <v>15813091.33</v>
      </c>
      <c r="K250" s="73"/>
      <c r="L250" s="73"/>
      <c r="M250" s="73"/>
      <c r="N250" s="19">
        <f>SUMIF('2020'!B:B,B250,'2020'!C:C)+SUMIF('2021'!B:B,B250,'2021'!C:C)+SUMIF('2022'!B:B,B250,'2022'!C:C)</f>
        <v>15813091.33</v>
      </c>
      <c r="O250" s="17">
        <v>44925</v>
      </c>
      <c r="P250" s="5" t="s">
        <v>3728</v>
      </c>
    </row>
    <row r="251" spans="1:16" ht="17.25" customHeight="1" x14ac:dyDescent="0.3">
      <c r="A251" s="210" t="s">
        <v>211</v>
      </c>
      <c r="B251" s="21"/>
      <c r="C251" s="3"/>
      <c r="D251" s="3"/>
      <c r="E251" s="3"/>
      <c r="F251" s="3"/>
      <c r="G251" s="26"/>
      <c r="H251" s="73">
        <f t="shared" ref="H251:M251" si="27">SUM(H246:H250)</f>
        <v>11078</v>
      </c>
      <c r="I251" s="73">
        <f t="shared" si="27"/>
        <v>457</v>
      </c>
      <c r="J251" s="73">
        <f t="shared" si="27"/>
        <v>35833806.460000001</v>
      </c>
      <c r="K251" s="73">
        <f t="shared" si="27"/>
        <v>0</v>
      </c>
      <c r="L251" s="73">
        <f t="shared" si="27"/>
        <v>0</v>
      </c>
      <c r="M251" s="73">
        <f t="shared" si="27"/>
        <v>0</v>
      </c>
      <c r="N251" s="73">
        <f>SUM(N246:N250)</f>
        <v>35833806.460000001</v>
      </c>
      <c r="O251" s="3"/>
      <c r="P251" s="3"/>
    </row>
    <row r="252" spans="1:16" ht="17.25" customHeight="1" x14ac:dyDescent="0.3">
      <c r="A252" s="210" t="s">
        <v>267</v>
      </c>
      <c r="B252" s="21"/>
      <c r="C252" s="3"/>
      <c r="D252" s="3"/>
      <c r="E252" s="3"/>
      <c r="F252" s="3"/>
      <c r="G252" s="26"/>
      <c r="H252" s="3"/>
      <c r="I252" s="3"/>
      <c r="J252" s="73"/>
      <c r="K252" s="73"/>
      <c r="L252" s="73"/>
      <c r="M252" s="73"/>
      <c r="N252" s="73"/>
      <c r="O252" s="3"/>
      <c r="P252" s="3"/>
    </row>
    <row r="253" spans="1:16" ht="17.25" customHeight="1" x14ac:dyDescent="0.3">
      <c r="A253" s="210">
        <f>A250+1</f>
        <v>207</v>
      </c>
      <c r="B253" s="21" t="s">
        <v>268</v>
      </c>
      <c r="C253" s="5">
        <v>1963</v>
      </c>
      <c r="D253" s="3"/>
      <c r="E253" s="3" t="s">
        <v>3732</v>
      </c>
      <c r="F253" s="3">
        <v>4</v>
      </c>
      <c r="G253" s="26"/>
      <c r="H253" s="3">
        <v>2839</v>
      </c>
      <c r="I253" s="3">
        <v>133</v>
      </c>
      <c r="J253" s="19">
        <f>K253+L253+M253+N253</f>
        <v>2030762.31</v>
      </c>
      <c r="K253" s="73"/>
      <c r="L253" s="73"/>
      <c r="M253" s="73"/>
      <c r="N253" s="19">
        <f>SUMIF('2020'!B:B,B253,'2020'!C:C)+SUMIF('2021'!B:B,B253,'2021'!C:C)+SUMIF('2022'!B:B,B253,'2022'!C:C)</f>
        <v>2030762.31</v>
      </c>
      <c r="O253" s="17">
        <v>44925</v>
      </c>
      <c r="P253" s="5" t="s">
        <v>3728</v>
      </c>
    </row>
    <row r="254" spans="1:16" ht="17.25" customHeight="1" x14ac:dyDescent="0.3">
      <c r="A254" s="210">
        <f t="shared" si="26"/>
        <v>208</v>
      </c>
      <c r="B254" s="21" t="s">
        <v>270</v>
      </c>
      <c r="C254" s="5">
        <v>1963</v>
      </c>
      <c r="D254" s="3"/>
      <c r="E254" s="3" t="s">
        <v>3732</v>
      </c>
      <c r="F254" s="3">
        <v>4</v>
      </c>
      <c r="G254" s="26"/>
      <c r="H254" s="3">
        <v>2839.7</v>
      </c>
      <c r="I254" s="3">
        <v>149</v>
      </c>
      <c r="J254" s="19">
        <f>K254+L254+M254+N254</f>
        <v>2029959.05</v>
      </c>
      <c r="K254" s="73"/>
      <c r="L254" s="73"/>
      <c r="M254" s="73"/>
      <c r="N254" s="19">
        <v>2029959.05</v>
      </c>
      <c r="O254" s="17">
        <v>44925</v>
      </c>
      <c r="P254" s="5" t="s">
        <v>3728</v>
      </c>
    </row>
    <row r="255" spans="1:16" ht="17.25" customHeight="1" x14ac:dyDescent="0.3">
      <c r="A255" s="210">
        <f t="shared" si="26"/>
        <v>209</v>
      </c>
      <c r="B255" s="21" t="s">
        <v>271</v>
      </c>
      <c r="C255" s="5">
        <v>1963</v>
      </c>
      <c r="D255" s="3"/>
      <c r="E255" s="3" t="s">
        <v>3732</v>
      </c>
      <c r="F255" s="3">
        <v>4</v>
      </c>
      <c r="G255" s="26"/>
      <c r="H255" s="3">
        <v>2840</v>
      </c>
      <c r="I255" s="3">
        <v>110</v>
      </c>
      <c r="J255" s="19">
        <f>K255+L255+M255+N255</f>
        <v>2032408.79</v>
      </c>
      <c r="K255" s="73"/>
      <c r="L255" s="73"/>
      <c r="M255" s="73"/>
      <c r="N255" s="19">
        <f>SUMIF('2020'!B:B,B255,'2020'!C:C)+SUMIF('2021'!B:B,B255,'2021'!C:C)+SUMIF('2022'!B:B,B255,'2022'!C:C)</f>
        <v>2032408.79</v>
      </c>
      <c r="O255" s="17">
        <v>44925</v>
      </c>
      <c r="P255" s="5" t="s">
        <v>3728</v>
      </c>
    </row>
    <row r="256" spans="1:16" ht="17.25" customHeight="1" x14ac:dyDescent="0.3">
      <c r="A256" s="210" t="s">
        <v>211</v>
      </c>
      <c r="B256" s="21"/>
      <c r="C256" s="3"/>
      <c r="D256" s="3"/>
      <c r="E256" s="3"/>
      <c r="F256" s="91"/>
      <c r="G256" s="26"/>
      <c r="H256" s="73">
        <f t="shared" ref="H256:M256" si="28">SUM(H253:H255)</f>
        <v>8518.7000000000007</v>
      </c>
      <c r="I256" s="73">
        <f t="shared" si="28"/>
        <v>392</v>
      </c>
      <c r="J256" s="73">
        <f t="shared" si="28"/>
        <v>6093130.1500000004</v>
      </c>
      <c r="K256" s="73">
        <f t="shared" si="28"/>
        <v>0</v>
      </c>
      <c r="L256" s="73">
        <f t="shared" si="28"/>
        <v>0</v>
      </c>
      <c r="M256" s="73">
        <f t="shared" si="28"/>
        <v>0</v>
      </c>
      <c r="N256" s="73">
        <f>SUM(N253:N255)</f>
        <v>6093130.1500000004</v>
      </c>
      <c r="O256" s="73"/>
      <c r="P256" s="3"/>
    </row>
    <row r="257" spans="1:16" s="160" customFormat="1" ht="17.25" customHeight="1" x14ac:dyDescent="0.3">
      <c r="A257" s="90" t="s">
        <v>272</v>
      </c>
      <c r="B257" s="215"/>
      <c r="C257" s="153"/>
      <c r="D257" s="153"/>
      <c r="E257" s="153"/>
      <c r="F257" s="153"/>
      <c r="G257" s="154"/>
      <c r="H257" s="155">
        <f t="shared" ref="H257:M257" si="29">H256+H251+H244+H240+H236+H227+H217+H205+H202+H194+H190</f>
        <v>160904.12</v>
      </c>
      <c r="I257" s="155">
        <f t="shared" si="29"/>
        <v>7071</v>
      </c>
      <c r="J257" s="155">
        <f t="shared" si="29"/>
        <v>213565889.06999999</v>
      </c>
      <c r="K257" s="155">
        <f t="shared" si="29"/>
        <v>0</v>
      </c>
      <c r="L257" s="155">
        <f t="shared" si="29"/>
        <v>0</v>
      </c>
      <c r="M257" s="155">
        <f t="shared" si="29"/>
        <v>0</v>
      </c>
      <c r="N257" s="155">
        <f>N256+N251+N244+N240+N236+N227+N217+N205+N202+N194+N190</f>
        <v>213565889.06999999</v>
      </c>
      <c r="O257" s="153"/>
      <c r="P257" s="153"/>
    </row>
    <row r="258" spans="1:16" ht="17.25" customHeight="1" x14ac:dyDescent="0.3">
      <c r="A258" s="467" t="s">
        <v>3734</v>
      </c>
      <c r="B258" s="468"/>
      <c r="C258" s="468"/>
      <c r="D258" s="468"/>
      <c r="E258" s="468"/>
      <c r="F258" s="468"/>
      <c r="G258" s="468"/>
      <c r="H258" s="468"/>
      <c r="I258" s="468"/>
      <c r="J258" s="468"/>
      <c r="K258" s="468"/>
      <c r="L258" s="468"/>
      <c r="M258" s="468"/>
      <c r="N258" s="468"/>
      <c r="O258" s="468"/>
      <c r="P258" s="469"/>
    </row>
    <row r="259" spans="1:16" ht="17.25" customHeight="1" x14ac:dyDescent="0.3">
      <c r="A259" s="210" t="s">
        <v>274</v>
      </c>
      <c r="B259" s="21"/>
      <c r="C259" s="3"/>
      <c r="D259" s="3"/>
      <c r="E259" s="3"/>
      <c r="F259" s="3"/>
      <c r="G259" s="26"/>
      <c r="H259" s="3"/>
      <c r="I259" s="3"/>
      <c r="J259" s="73"/>
      <c r="K259" s="73"/>
      <c r="L259" s="73"/>
      <c r="M259" s="73"/>
      <c r="N259" s="73"/>
      <c r="O259" s="3"/>
      <c r="P259" s="3"/>
    </row>
    <row r="260" spans="1:16" ht="17.25" customHeight="1" x14ac:dyDescent="0.3">
      <c r="A260" s="210">
        <f>A255+1</f>
        <v>210</v>
      </c>
      <c r="B260" s="21" t="s">
        <v>275</v>
      </c>
      <c r="C260" s="5">
        <v>1979</v>
      </c>
      <c r="D260" s="3"/>
      <c r="E260" s="13" t="s">
        <v>3736</v>
      </c>
      <c r="F260" s="13">
        <v>5</v>
      </c>
      <c r="G260" s="26"/>
      <c r="H260" s="13">
        <v>3126.7</v>
      </c>
      <c r="I260" s="13">
        <v>128</v>
      </c>
      <c r="J260" s="19">
        <f>K260+L260+M260+N260</f>
        <v>130000</v>
      </c>
      <c r="K260" s="73"/>
      <c r="L260" s="73"/>
      <c r="M260" s="73"/>
      <c r="N260" s="19">
        <f>SUMIF('2020'!B:B,B260,'2020'!C:C)+SUMIF('2021'!B:B,B260,'2021'!C:C)+SUMIF('2022'!B:B,B260,'2022'!C:C)</f>
        <v>130000</v>
      </c>
      <c r="O260" s="17">
        <v>44925</v>
      </c>
      <c r="P260" s="5" t="s">
        <v>3728</v>
      </c>
    </row>
    <row r="261" spans="1:16" ht="17.25" customHeight="1" x14ac:dyDescent="0.3">
      <c r="A261" s="210">
        <f>A260+1</f>
        <v>211</v>
      </c>
      <c r="B261" s="21" t="s">
        <v>276</v>
      </c>
      <c r="C261" s="5">
        <v>1978</v>
      </c>
      <c r="D261" s="3"/>
      <c r="E261" s="13" t="s">
        <v>3729</v>
      </c>
      <c r="F261" s="13">
        <v>5</v>
      </c>
      <c r="G261" s="26"/>
      <c r="H261" s="13">
        <v>3050.2</v>
      </c>
      <c r="I261" s="13">
        <v>135</v>
      </c>
      <c r="J261" s="19">
        <f>K261+L261+M261+N261</f>
        <v>130000</v>
      </c>
      <c r="K261" s="73"/>
      <c r="L261" s="73"/>
      <c r="M261" s="73"/>
      <c r="N261" s="19">
        <f>SUMIF('2020'!B:B,B261,'2020'!C:C)+SUMIF('2021'!B:B,B261,'2021'!C:C)+SUMIF('2022'!B:B,B261,'2022'!C:C)</f>
        <v>130000</v>
      </c>
      <c r="O261" s="17">
        <v>44925</v>
      </c>
      <c r="P261" s="5" t="s">
        <v>3728</v>
      </c>
    </row>
    <row r="262" spans="1:16" ht="17.25" customHeight="1" x14ac:dyDescent="0.3">
      <c r="A262" s="210">
        <f>A261+1</f>
        <v>212</v>
      </c>
      <c r="B262" s="21" t="s">
        <v>277</v>
      </c>
      <c r="C262" s="5">
        <v>1966</v>
      </c>
      <c r="D262" s="3"/>
      <c r="E262" s="92" t="s">
        <v>3645</v>
      </c>
      <c r="F262" s="92">
        <v>2</v>
      </c>
      <c r="G262" s="26"/>
      <c r="H262" s="92">
        <v>634.1</v>
      </c>
      <c r="I262" s="92">
        <v>20</v>
      </c>
      <c r="J262" s="19">
        <f>K262+L262+M262+N262</f>
        <v>130000</v>
      </c>
      <c r="K262" s="73"/>
      <c r="L262" s="73"/>
      <c r="M262" s="73"/>
      <c r="N262" s="19">
        <f>SUMIF('2020'!B:B,B262,'2020'!C:C)+SUMIF('2021'!B:B,B262,'2021'!C:C)+SUMIF('2022'!B:B,B262,'2022'!C:C)</f>
        <v>130000</v>
      </c>
      <c r="O262" s="17">
        <v>44925</v>
      </c>
      <c r="P262" s="5" t="s">
        <v>3728</v>
      </c>
    </row>
    <row r="263" spans="1:16" ht="17.25" customHeight="1" x14ac:dyDescent="0.3">
      <c r="A263" s="210">
        <f>A262+1</f>
        <v>213</v>
      </c>
      <c r="B263" s="21" t="s">
        <v>278</v>
      </c>
      <c r="C263" s="5">
        <v>1981</v>
      </c>
      <c r="D263" s="3"/>
      <c r="E263" s="13" t="s">
        <v>3736</v>
      </c>
      <c r="F263" s="13">
        <v>5</v>
      </c>
      <c r="G263" s="26"/>
      <c r="H263" s="13">
        <v>3056.1</v>
      </c>
      <c r="I263" s="13">
        <v>131</v>
      </c>
      <c r="J263" s="19">
        <f>K263+L263+M263+N263</f>
        <v>130000</v>
      </c>
      <c r="K263" s="73"/>
      <c r="L263" s="73"/>
      <c r="M263" s="73"/>
      <c r="N263" s="19">
        <f>SUMIF('2020'!B:B,B263,'2020'!C:C)+SUMIF('2021'!B:B,B263,'2021'!C:C)+SUMIF('2022'!B:B,B263,'2022'!C:C)</f>
        <v>130000</v>
      </c>
      <c r="O263" s="17">
        <v>44925</v>
      </c>
      <c r="P263" s="5" t="s">
        <v>3728</v>
      </c>
    </row>
    <row r="264" spans="1:16" ht="17.25" customHeight="1" x14ac:dyDescent="0.3">
      <c r="A264" s="210">
        <f>A263+1</f>
        <v>214</v>
      </c>
      <c r="B264" s="21" t="s">
        <v>279</v>
      </c>
      <c r="C264" s="5">
        <v>1984</v>
      </c>
      <c r="D264" s="3"/>
      <c r="E264" s="13" t="s">
        <v>3736</v>
      </c>
      <c r="F264" s="13">
        <v>5</v>
      </c>
      <c r="G264" s="26"/>
      <c r="H264" s="13">
        <v>3058.7</v>
      </c>
      <c r="I264" s="13">
        <v>136</v>
      </c>
      <c r="J264" s="19">
        <f>K264+L264+M264+N264</f>
        <v>130000</v>
      </c>
      <c r="K264" s="73"/>
      <c r="L264" s="73"/>
      <c r="M264" s="73"/>
      <c r="N264" s="19">
        <f>SUMIF('2020'!B:B,B264,'2020'!C:C)+SUMIF('2021'!B:B,B264,'2021'!C:C)+SUMIF('2022'!B:B,B264,'2022'!C:C)</f>
        <v>130000</v>
      </c>
      <c r="O264" s="17">
        <v>44925</v>
      </c>
      <c r="P264" s="5" t="s">
        <v>3728</v>
      </c>
    </row>
    <row r="265" spans="1:16" ht="17.25" customHeight="1" x14ac:dyDescent="0.3">
      <c r="A265" s="210" t="s">
        <v>211</v>
      </c>
      <c r="B265" s="212"/>
      <c r="C265" s="3"/>
      <c r="D265" s="3"/>
      <c r="E265" s="3"/>
      <c r="F265" s="3"/>
      <c r="G265" s="26"/>
      <c r="H265" s="73">
        <f t="shared" ref="H265:L265" si="30">SUM(H260:H264)</f>
        <v>12925.8</v>
      </c>
      <c r="I265" s="73">
        <f t="shared" si="30"/>
        <v>550</v>
      </c>
      <c r="J265" s="73">
        <f t="shared" si="30"/>
        <v>650000</v>
      </c>
      <c r="K265" s="73">
        <f t="shared" si="30"/>
        <v>0</v>
      </c>
      <c r="L265" s="73">
        <f t="shared" si="30"/>
        <v>0</v>
      </c>
      <c r="M265" s="73">
        <v>0</v>
      </c>
      <c r="N265" s="73">
        <f>SUM(N260:N264)</f>
        <v>650000</v>
      </c>
      <c r="O265" s="17"/>
      <c r="P265" s="5"/>
    </row>
    <row r="266" spans="1:16" ht="17.25" customHeight="1" x14ac:dyDescent="0.3">
      <c r="A266" s="210" t="s">
        <v>280</v>
      </c>
      <c r="B266" s="21"/>
      <c r="C266" s="3"/>
      <c r="D266" s="3"/>
      <c r="E266" s="3"/>
      <c r="F266" s="3"/>
      <c r="G266" s="26"/>
      <c r="H266" s="3"/>
      <c r="I266" s="3"/>
      <c r="J266" s="73"/>
      <c r="K266" s="73"/>
      <c r="L266" s="73"/>
      <c r="M266" s="73"/>
      <c r="N266" s="73"/>
      <c r="O266" s="3"/>
      <c r="P266" s="3"/>
    </row>
    <row r="267" spans="1:16" ht="17.25" customHeight="1" x14ac:dyDescent="0.3">
      <c r="A267" s="210">
        <f>A264+1</f>
        <v>215</v>
      </c>
      <c r="B267" s="21" t="s">
        <v>281</v>
      </c>
      <c r="C267" s="5">
        <v>1966</v>
      </c>
      <c r="D267" s="3"/>
      <c r="E267" s="93" t="s">
        <v>3733</v>
      </c>
      <c r="F267" s="93">
        <v>2</v>
      </c>
      <c r="G267" s="26"/>
      <c r="H267" s="93">
        <v>533.72</v>
      </c>
      <c r="I267" s="93">
        <v>33</v>
      </c>
      <c r="J267" s="19">
        <f t="shared" ref="J267:J275" si="31">K267+L267+M267+N267</f>
        <v>2151285.3600000003</v>
      </c>
      <c r="K267" s="73"/>
      <c r="L267" s="73"/>
      <c r="M267" s="73"/>
      <c r="N267" s="19">
        <f>SUMIF('2020'!B:B,B267,'2020'!C:C)+SUMIF('2021'!B:B,B267,'2021'!C:C)+SUMIF('2022'!B:B,B267,'2022'!C:C)</f>
        <v>2151285.3600000003</v>
      </c>
      <c r="O267" s="17">
        <v>44925</v>
      </c>
      <c r="P267" s="5" t="s">
        <v>3728</v>
      </c>
    </row>
    <row r="268" spans="1:16" ht="17.25" customHeight="1" x14ac:dyDescent="0.3">
      <c r="A268" s="210">
        <f>A267+1</f>
        <v>216</v>
      </c>
      <c r="B268" s="21" t="s">
        <v>282</v>
      </c>
      <c r="C268" s="5">
        <v>1966</v>
      </c>
      <c r="D268" s="3"/>
      <c r="E268" s="93" t="s">
        <v>3733</v>
      </c>
      <c r="F268" s="93">
        <v>2</v>
      </c>
      <c r="G268" s="26"/>
      <c r="H268" s="93">
        <v>538.62</v>
      </c>
      <c r="I268" s="93">
        <v>21</v>
      </c>
      <c r="J268" s="19">
        <f t="shared" si="31"/>
        <v>89136.18</v>
      </c>
      <c r="K268" s="73"/>
      <c r="L268" s="73"/>
      <c r="M268" s="73"/>
      <c r="N268" s="19">
        <f>SUMIF('2020'!B:B,B268,'2020'!C:C)+SUMIF('2021'!B:B,B268,'2021'!C:C)+SUMIF('2022'!B:B,B268,'2022'!C:C)</f>
        <v>89136.18</v>
      </c>
      <c r="O268" s="17">
        <v>44925</v>
      </c>
      <c r="P268" s="5" t="s">
        <v>3728</v>
      </c>
    </row>
    <row r="269" spans="1:16" ht="17.25" customHeight="1" x14ac:dyDescent="0.3">
      <c r="A269" s="210">
        <f t="shared" ref="A269:A275" si="32">A268+1</f>
        <v>217</v>
      </c>
      <c r="B269" s="21" t="s">
        <v>283</v>
      </c>
      <c r="C269" s="5">
        <v>1966</v>
      </c>
      <c r="D269" s="3"/>
      <c r="E269" s="93" t="s">
        <v>3733</v>
      </c>
      <c r="F269" s="93">
        <v>2</v>
      </c>
      <c r="G269" s="26"/>
      <c r="H269" s="93">
        <v>545.11</v>
      </c>
      <c r="I269" s="93">
        <v>34</v>
      </c>
      <c r="J269" s="19">
        <f t="shared" si="31"/>
        <v>90352.56</v>
      </c>
      <c r="K269" s="73"/>
      <c r="L269" s="73"/>
      <c r="M269" s="73"/>
      <c r="N269" s="19">
        <f>SUMIF('2020'!B:B,B269,'2020'!C:C)+SUMIF('2021'!B:B,B269,'2021'!C:C)+SUMIF('2022'!B:B,B269,'2022'!C:C)</f>
        <v>90352.56</v>
      </c>
      <c r="O269" s="17">
        <v>44925</v>
      </c>
      <c r="P269" s="5" t="s">
        <v>3728</v>
      </c>
    </row>
    <row r="270" spans="1:16" ht="17.25" customHeight="1" x14ac:dyDescent="0.3">
      <c r="A270" s="210">
        <f t="shared" si="32"/>
        <v>218</v>
      </c>
      <c r="B270" s="21" t="s">
        <v>284</v>
      </c>
      <c r="C270" s="5">
        <v>1968</v>
      </c>
      <c r="D270" s="3"/>
      <c r="E270" s="93" t="s">
        <v>3733</v>
      </c>
      <c r="F270" s="93">
        <v>2</v>
      </c>
      <c r="G270" s="26"/>
      <c r="H270" s="93">
        <v>546.04</v>
      </c>
      <c r="I270" s="93">
        <v>31</v>
      </c>
      <c r="J270" s="19">
        <f t="shared" si="31"/>
        <v>2184401.52</v>
      </c>
      <c r="K270" s="73"/>
      <c r="L270" s="73"/>
      <c r="M270" s="73"/>
      <c r="N270" s="19">
        <f>SUMIF('2020'!B:B,B270,'2020'!C:C)+SUMIF('2021'!B:B,B270,'2021'!C:C)+SUMIF('2022'!B:B,B270,'2022'!C:C)</f>
        <v>2184401.52</v>
      </c>
      <c r="O270" s="17">
        <v>44925</v>
      </c>
      <c r="P270" s="5" t="s">
        <v>3728</v>
      </c>
    </row>
    <row r="271" spans="1:16" ht="17.25" customHeight="1" x14ac:dyDescent="0.3">
      <c r="A271" s="210">
        <f t="shared" si="32"/>
        <v>219</v>
      </c>
      <c r="B271" s="21" t="s">
        <v>285</v>
      </c>
      <c r="C271" s="5">
        <v>1970</v>
      </c>
      <c r="D271" s="3"/>
      <c r="E271" s="94" t="s">
        <v>3733</v>
      </c>
      <c r="F271" s="94">
        <v>2</v>
      </c>
      <c r="G271" s="26"/>
      <c r="H271" s="94">
        <v>543.57000000000005</v>
      </c>
      <c r="I271" s="94">
        <v>43</v>
      </c>
      <c r="J271" s="19">
        <f t="shared" si="31"/>
        <v>120030.51999999999</v>
      </c>
      <c r="K271" s="73"/>
      <c r="L271" s="73"/>
      <c r="M271" s="73"/>
      <c r="N271" s="19">
        <f>SUMIF('2020'!B:B,B271,'2020'!C:C)+SUMIF('2021'!B:B,B271,'2021'!C:C)+SUMIF('2022'!B:B,B271,'2022'!C:C)</f>
        <v>120030.51999999999</v>
      </c>
      <c r="O271" s="17">
        <v>44925</v>
      </c>
      <c r="P271" s="5" t="s">
        <v>3728</v>
      </c>
    </row>
    <row r="272" spans="1:16" ht="17.25" customHeight="1" x14ac:dyDescent="0.3">
      <c r="A272" s="210">
        <f t="shared" si="32"/>
        <v>220</v>
      </c>
      <c r="B272" s="21" t="s">
        <v>286</v>
      </c>
      <c r="C272" s="5">
        <v>1971</v>
      </c>
      <c r="D272" s="3"/>
      <c r="E272" s="93" t="s">
        <v>3733</v>
      </c>
      <c r="F272" s="93">
        <v>2</v>
      </c>
      <c r="G272" s="26"/>
      <c r="H272" s="93">
        <v>537.41</v>
      </c>
      <c r="I272" s="93">
        <v>22</v>
      </c>
      <c r="J272" s="19">
        <f t="shared" si="31"/>
        <v>2893994.3600000003</v>
      </c>
      <c r="K272" s="73"/>
      <c r="L272" s="73"/>
      <c r="M272" s="73"/>
      <c r="N272" s="19">
        <f>SUMIF('2020'!B:B,B272,'2020'!C:C)+SUMIF('2021'!B:B,B272,'2021'!C:C)+SUMIF('2022'!B:B,B272,'2022'!C:C)</f>
        <v>2893994.3600000003</v>
      </c>
      <c r="O272" s="17">
        <v>44925</v>
      </c>
      <c r="P272" s="5" t="s">
        <v>3728</v>
      </c>
    </row>
    <row r="273" spans="1:16" ht="17.25" customHeight="1" x14ac:dyDescent="0.3">
      <c r="A273" s="210">
        <f t="shared" si="32"/>
        <v>221</v>
      </c>
      <c r="B273" s="21" t="s">
        <v>287</v>
      </c>
      <c r="C273" s="5">
        <v>1978</v>
      </c>
      <c r="D273" s="3"/>
      <c r="E273" s="92" t="s">
        <v>3737</v>
      </c>
      <c r="F273" s="92">
        <v>3</v>
      </c>
      <c r="G273" s="26"/>
      <c r="H273" s="92">
        <v>1392.07</v>
      </c>
      <c r="I273" s="92">
        <v>73</v>
      </c>
      <c r="J273" s="19">
        <f t="shared" si="31"/>
        <v>130000</v>
      </c>
      <c r="K273" s="73"/>
      <c r="L273" s="73"/>
      <c r="M273" s="73"/>
      <c r="N273" s="19">
        <f>SUMIF('2020'!B:B,B273,'2020'!C:C)+SUMIF('2021'!B:B,B273,'2021'!C:C)+SUMIF('2022'!B:B,B273,'2022'!C:C)</f>
        <v>130000</v>
      </c>
      <c r="O273" s="17">
        <v>44925</v>
      </c>
      <c r="P273" s="5" t="s">
        <v>3728</v>
      </c>
    </row>
    <row r="274" spans="1:16" ht="17.25" customHeight="1" x14ac:dyDescent="0.3">
      <c r="A274" s="210">
        <f t="shared" si="32"/>
        <v>222</v>
      </c>
      <c r="B274" s="21" t="s">
        <v>288</v>
      </c>
      <c r="C274" s="5">
        <v>1977</v>
      </c>
      <c r="D274" s="3"/>
      <c r="E274" s="13" t="s">
        <v>3737</v>
      </c>
      <c r="F274" s="13">
        <v>3</v>
      </c>
      <c r="G274" s="26"/>
      <c r="H274" s="13">
        <v>1382.34</v>
      </c>
      <c r="I274" s="13">
        <v>58</v>
      </c>
      <c r="J274" s="19">
        <f t="shared" si="31"/>
        <v>7035262.2300000004</v>
      </c>
      <c r="K274" s="73"/>
      <c r="L274" s="73"/>
      <c r="M274" s="73"/>
      <c r="N274" s="19">
        <f>SUMIF('2020'!B:B,B274,'2020'!C:C)+SUMIF('2021'!B:B,B274,'2021'!C:C)+SUMIF('2022'!B:B,B274,'2022'!C:C)</f>
        <v>7035262.2300000004</v>
      </c>
      <c r="O274" s="17">
        <v>44925</v>
      </c>
      <c r="P274" s="5" t="s">
        <v>3728</v>
      </c>
    </row>
    <row r="275" spans="1:16" ht="17.25" customHeight="1" x14ac:dyDescent="0.3">
      <c r="A275" s="210">
        <f t="shared" si="32"/>
        <v>223</v>
      </c>
      <c r="B275" s="21" t="s">
        <v>289</v>
      </c>
      <c r="C275" s="5">
        <v>1977</v>
      </c>
      <c r="D275" s="3"/>
      <c r="E275" s="92" t="s">
        <v>3737</v>
      </c>
      <c r="F275" s="92">
        <v>3</v>
      </c>
      <c r="G275" s="26"/>
      <c r="H275" s="92">
        <v>1386.48</v>
      </c>
      <c r="I275" s="92">
        <v>46</v>
      </c>
      <c r="J275" s="19">
        <f t="shared" si="31"/>
        <v>175897.27</v>
      </c>
      <c r="K275" s="73"/>
      <c r="L275" s="73"/>
      <c r="M275" s="73"/>
      <c r="N275" s="19">
        <f>SUMIF('2020'!B:B,B275,'2020'!C:C)+SUMIF('2021'!B:B,B275,'2021'!C:C)+SUMIF('2022'!B:B,B275,'2022'!C:C)</f>
        <v>175897.27</v>
      </c>
      <c r="O275" s="17">
        <v>44925</v>
      </c>
      <c r="P275" s="5" t="s">
        <v>3728</v>
      </c>
    </row>
    <row r="276" spans="1:16" ht="17.25" customHeight="1" x14ac:dyDescent="0.3">
      <c r="A276" s="210" t="s">
        <v>211</v>
      </c>
      <c r="B276" s="212"/>
      <c r="C276" s="3"/>
      <c r="D276" s="3"/>
      <c r="E276" s="3"/>
      <c r="F276" s="3"/>
      <c r="G276" s="26"/>
      <c r="H276" s="73">
        <f t="shared" ref="H276:L276" si="33">SUM(H267:H275)</f>
        <v>7405.3600000000006</v>
      </c>
      <c r="I276" s="73">
        <f t="shared" si="33"/>
        <v>361</v>
      </c>
      <c r="J276" s="73">
        <f t="shared" si="33"/>
        <v>14870360</v>
      </c>
      <c r="K276" s="73">
        <f t="shared" si="33"/>
        <v>0</v>
      </c>
      <c r="L276" s="73">
        <f t="shared" si="33"/>
        <v>0</v>
      </c>
      <c r="M276" s="73">
        <f>N276-'2021'!C225-'2022'!C63</f>
        <v>0</v>
      </c>
      <c r="N276" s="73">
        <f>SUM(N267:N275)</f>
        <v>14870360</v>
      </c>
      <c r="O276" s="3"/>
      <c r="P276" s="3"/>
    </row>
    <row r="277" spans="1:16" ht="17.25" customHeight="1" x14ac:dyDescent="0.3">
      <c r="A277" s="210" t="s">
        <v>290</v>
      </c>
      <c r="B277" s="21"/>
      <c r="C277" s="3"/>
      <c r="D277" s="3"/>
      <c r="E277" s="3"/>
      <c r="F277" s="3"/>
      <c r="G277" s="26"/>
      <c r="H277" s="3"/>
      <c r="I277" s="3"/>
      <c r="J277" s="73"/>
      <c r="K277" s="73"/>
      <c r="L277" s="73"/>
      <c r="M277" s="73"/>
      <c r="N277" s="73"/>
      <c r="O277" s="3"/>
      <c r="P277" s="3"/>
    </row>
    <row r="278" spans="1:16" ht="17.25" customHeight="1" x14ac:dyDescent="0.3">
      <c r="A278" s="210">
        <f>A275+1</f>
        <v>224</v>
      </c>
      <c r="B278" s="21" t="s">
        <v>291</v>
      </c>
      <c r="C278" s="5">
        <v>1930</v>
      </c>
      <c r="D278" s="3"/>
      <c r="E278" s="15" t="s">
        <v>3733</v>
      </c>
      <c r="F278" s="15">
        <v>4.5</v>
      </c>
      <c r="G278" s="26"/>
      <c r="H278" s="15">
        <v>2496.3000000000002</v>
      </c>
      <c r="I278" s="15">
        <v>62</v>
      </c>
      <c r="J278" s="19">
        <f t="shared" ref="J278:J294" si="34">K278+L278+M278+N278</f>
        <v>1438718.22</v>
      </c>
      <c r="K278" s="73"/>
      <c r="L278" s="73"/>
      <c r="M278" s="73"/>
      <c r="N278" s="19">
        <f>SUMIF('2020'!B:B,B278,'2020'!C:C)+SUMIF('2021'!B:B,B278,'2021'!C:C)+SUMIF('2022'!B:B,B278,'2022'!C:C)</f>
        <v>1438718.22</v>
      </c>
      <c r="O278" s="17">
        <v>44925</v>
      </c>
      <c r="P278" s="5" t="s">
        <v>3728</v>
      </c>
    </row>
    <row r="279" spans="1:16" ht="17.25" customHeight="1" x14ac:dyDescent="0.3">
      <c r="A279" s="210">
        <f>A278+1</f>
        <v>225</v>
      </c>
      <c r="B279" s="21" t="s">
        <v>292</v>
      </c>
      <c r="C279" s="5">
        <v>1948</v>
      </c>
      <c r="D279" s="3"/>
      <c r="E279" s="15" t="s">
        <v>3731</v>
      </c>
      <c r="F279" s="15">
        <v>2</v>
      </c>
      <c r="G279" s="26"/>
      <c r="H279" s="15">
        <v>232.8</v>
      </c>
      <c r="I279" s="15">
        <v>22</v>
      </c>
      <c r="J279" s="19">
        <f t="shared" si="34"/>
        <v>144860.96</v>
      </c>
      <c r="K279" s="73"/>
      <c r="L279" s="73"/>
      <c r="M279" s="73"/>
      <c r="N279" s="19">
        <f>SUMIF('2020'!B:B,B279,'2020'!C:C)+SUMIF('2021'!B:B,B279,'2021'!C:C)+SUMIF('2022'!B:B,B279,'2022'!C:C)</f>
        <v>144860.96</v>
      </c>
      <c r="O279" s="17">
        <v>44925</v>
      </c>
      <c r="P279" s="5" t="s">
        <v>3728</v>
      </c>
    </row>
    <row r="280" spans="1:16" ht="17.25" customHeight="1" x14ac:dyDescent="0.3">
      <c r="A280" s="210">
        <f t="shared" ref="A280:A294" si="35">A279+1</f>
        <v>226</v>
      </c>
      <c r="B280" s="21" t="s">
        <v>293</v>
      </c>
      <c r="C280" s="5">
        <v>1952</v>
      </c>
      <c r="D280" s="3"/>
      <c r="E280" s="15" t="s">
        <v>3733</v>
      </c>
      <c r="F280" s="15">
        <v>2</v>
      </c>
      <c r="G280" s="26"/>
      <c r="H280" s="15">
        <v>424.7</v>
      </c>
      <c r="I280" s="15">
        <v>8</v>
      </c>
      <c r="J280" s="19">
        <f t="shared" si="34"/>
        <v>200018.81</v>
      </c>
      <c r="K280" s="73"/>
      <c r="L280" s="73"/>
      <c r="M280" s="73"/>
      <c r="N280" s="19">
        <f>SUMIF('2020'!B:B,B280,'2020'!C:C)+SUMIF('2021'!B:B,B280,'2021'!C:C)+SUMIF('2022'!B:B,B280,'2022'!C:C)</f>
        <v>200018.81</v>
      </c>
      <c r="O280" s="17">
        <v>44925</v>
      </c>
      <c r="P280" s="5" t="s">
        <v>3728</v>
      </c>
    </row>
    <row r="281" spans="1:16" ht="17.25" customHeight="1" x14ac:dyDescent="0.3">
      <c r="A281" s="210">
        <f t="shared" si="35"/>
        <v>227</v>
      </c>
      <c r="B281" s="21" t="s">
        <v>294</v>
      </c>
      <c r="C281" s="5">
        <v>1952</v>
      </c>
      <c r="D281" s="3"/>
      <c r="E281" s="15" t="s">
        <v>3731</v>
      </c>
      <c r="F281" s="15">
        <v>3</v>
      </c>
      <c r="G281" s="26"/>
      <c r="H281" s="15">
        <v>1991.6</v>
      </c>
      <c r="I281" s="15">
        <v>64</v>
      </c>
      <c r="J281" s="19">
        <f t="shared" si="34"/>
        <v>448488.56</v>
      </c>
      <c r="K281" s="73"/>
      <c r="L281" s="73"/>
      <c r="M281" s="73"/>
      <c r="N281" s="19">
        <f>SUMIF('2020'!B:B,B281,'2020'!C:C)+SUMIF('2021'!B:B,B281,'2021'!C:C)+SUMIF('2022'!B:B,B281,'2022'!C:C)</f>
        <v>448488.56</v>
      </c>
      <c r="O281" s="17">
        <v>44925</v>
      </c>
      <c r="P281" s="5" t="s">
        <v>3728</v>
      </c>
    </row>
    <row r="282" spans="1:16" ht="17.25" customHeight="1" x14ac:dyDescent="0.3">
      <c r="A282" s="210">
        <f t="shared" si="35"/>
        <v>228</v>
      </c>
      <c r="B282" s="21" t="s">
        <v>295</v>
      </c>
      <c r="C282" s="5">
        <v>1978</v>
      </c>
      <c r="D282" s="3"/>
      <c r="E282" s="3" t="s">
        <v>3731</v>
      </c>
      <c r="F282" s="3">
        <v>5</v>
      </c>
      <c r="G282" s="26"/>
      <c r="H282" s="3">
        <v>4521.5</v>
      </c>
      <c r="I282" s="3">
        <v>190</v>
      </c>
      <c r="J282" s="19">
        <f t="shared" si="34"/>
        <v>13007439.199999999</v>
      </c>
      <c r="K282" s="73"/>
      <c r="L282" s="73"/>
      <c r="M282" s="73"/>
      <c r="N282" s="19">
        <f>SUMIF('2020'!B:B,B282,'2020'!C:C)+SUMIF('2021'!B:B,B282,'2021'!C:C)+SUMIF('2022'!B:B,B282,'2022'!C:C)</f>
        <v>13007439.199999999</v>
      </c>
      <c r="O282" s="17">
        <v>44925</v>
      </c>
      <c r="P282" s="5" t="s">
        <v>3728</v>
      </c>
    </row>
    <row r="283" spans="1:16" ht="17.25" customHeight="1" x14ac:dyDescent="0.3">
      <c r="A283" s="210">
        <f t="shared" si="35"/>
        <v>229</v>
      </c>
      <c r="B283" s="21" t="s">
        <v>296</v>
      </c>
      <c r="C283" s="5">
        <v>1961</v>
      </c>
      <c r="D283" s="3"/>
      <c r="E283" s="3" t="s">
        <v>3731</v>
      </c>
      <c r="F283" s="3">
        <v>4</v>
      </c>
      <c r="G283" s="26"/>
      <c r="H283" s="3">
        <v>2910.2</v>
      </c>
      <c r="I283" s="3">
        <v>111</v>
      </c>
      <c r="J283" s="19">
        <f t="shared" si="34"/>
        <v>6712929.5999999996</v>
      </c>
      <c r="K283" s="73"/>
      <c r="L283" s="73"/>
      <c r="M283" s="73"/>
      <c r="N283" s="19">
        <f>SUMIF('2020'!B:B,B283,'2020'!C:C)+SUMIF('2021'!B:B,B283,'2021'!C:C)+SUMIF('2022'!B:B,B283,'2022'!C:C)</f>
        <v>6712929.5999999996</v>
      </c>
      <c r="O283" s="17">
        <v>44925</v>
      </c>
      <c r="P283" s="5" t="s">
        <v>3728</v>
      </c>
    </row>
    <row r="284" spans="1:16" ht="17.25" customHeight="1" x14ac:dyDescent="0.3">
      <c r="A284" s="210">
        <f t="shared" si="35"/>
        <v>230</v>
      </c>
      <c r="B284" s="21" t="s">
        <v>297</v>
      </c>
      <c r="C284" s="5">
        <v>1975</v>
      </c>
      <c r="D284" s="3"/>
      <c r="E284" s="3" t="s">
        <v>3738</v>
      </c>
      <c r="F284" s="3">
        <v>5</v>
      </c>
      <c r="G284" s="26"/>
      <c r="H284" s="3">
        <v>4874.8</v>
      </c>
      <c r="I284" s="3">
        <v>216</v>
      </c>
      <c r="J284" s="19">
        <f t="shared" si="34"/>
        <v>985320</v>
      </c>
      <c r="K284" s="73"/>
      <c r="L284" s="73"/>
      <c r="M284" s="73"/>
      <c r="N284" s="19">
        <f>SUMIF('2020'!B:B,B284,'2020'!C:C)+SUMIF('2021'!B:B,B284,'2021'!C:C)+SUMIF('2022'!B:B,B284,'2022'!C:C)</f>
        <v>985320</v>
      </c>
      <c r="O284" s="17">
        <v>44925</v>
      </c>
      <c r="P284" s="5" t="s">
        <v>3728</v>
      </c>
    </row>
    <row r="285" spans="1:16" ht="17.25" customHeight="1" x14ac:dyDescent="0.3">
      <c r="A285" s="210">
        <f t="shared" si="35"/>
        <v>231</v>
      </c>
      <c r="B285" s="21" t="s">
        <v>298</v>
      </c>
      <c r="C285" s="5">
        <v>1961</v>
      </c>
      <c r="D285" s="3"/>
      <c r="E285" s="3" t="s">
        <v>3733</v>
      </c>
      <c r="F285" s="3">
        <v>4</v>
      </c>
      <c r="G285" s="26"/>
      <c r="H285" s="3">
        <v>2275.94</v>
      </c>
      <c r="I285" s="3">
        <v>69</v>
      </c>
      <c r="J285" s="19">
        <f t="shared" si="34"/>
        <v>21004500</v>
      </c>
      <c r="K285" s="73"/>
      <c r="L285" s="73"/>
      <c r="M285" s="73"/>
      <c r="N285" s="19">
        <f>SUMIF('2020'!B:B,B285,'2020'!C:C)+SUMIF('2021'!B:B,B285,'2021'!C:C)+SUMIF('2022'!B:B,B285,'2022'!C:C)</f>
        <v>21004500</v>
      </c>
      <c r="O285" s="17">
        <v>44925</v>
      </c>
      <c r="P285" s="5" t="s">
        <v>3728</v>
      </c>
    </row>
    <row r="286" spans="1:16" ht="17.25" customHeight="1" x14ac:dyDescent="0.3">
      <c r="A286" s="210">
        <f t="shared" si="35"/>
        <v>232</v>
      </c>
      <c r="B286" s="21" t="s">
        <v>299</v>
      </c>
      <c r="C286" s="5">
        <v>1952</v>
      </c>
      <c r="D286" s="3"/>
      <c r="E286" s="3" t="s">
        <v>3738</v>
      </c>
      <c r="F286" s="3">
        <v>5</v>
      </c>
      <c r="G286" s="26"/>
      <c r="H286" s="3">
        <v>4492</v>
      </c>
      <c r="I286" s="3">
        <v>272</v>
      </c>
      <c r="J286" s="19">
        <f t="shared" si="34"/>
        <v>130000</v>
      </c>
      <c r="K286" s="73"/>
      <c r="L286" s="73"/>
      <c r="M286" s="73"/>
      <c r="N286" s="19">
        <f>SUMIF('2020'!B:B,B286,'2020'!C:C)+SUMIF('2021'!B:B,B286,'2021'!C:C)+SUMIF('2022'!B:B,B286,'2022'!C:C)</f>
        <v>130000</v>
      </c>
      <c r="O286" s="17">
        <v>44925</v>
      </c>
      <c r="P286" s="5" t="s">
        <v>3728</v>
      </c>
    </row>
    <row r="287" spans="1:16" ht="17.25" customHeight="1" x14ac:dyDescent="0.3">
      <c r="A287" s="210">
        <f t="shared" si="35"/>
        <v>233</v>
      </c>
      <c r="B287" s="21" t="s">
        <v>300</v>
      </c>
      <c r="C287" s="5">
        <v>1978</v>
      </c>
      <c r="D287" s="3"/>
      <c r="E287" s="95" t="s">
        <v>3729</v>
      </c>
      <c r="F287" s="3">
        <v>5</v>
      </c>
      <c r="G287" s="26"/>
      <c r="H287" s="3">
        <v>5024.3500000000004</v>
      </c>
      <c r="I287" s="3">
        <v>245</v>
      </c>
      <c r="J287" s="19">
        <f t="shared" si="34"/>
        <v>2592330</v>
      </c>
      <c r="K287" s="73"/>
      <c r="L287" s="73"/>
      <c r="M287" s="73"/>
      <c r="N287" s="19">
        <f>SUMIF('2020'!B:B,B287,'2020'!C:C)+SUMIF('2021'!B:B,B287,'2021'!C:C)+SUMIF('2022'!B:B,B287,'2022'!C:C)</f>
        <v>2592330</v>
      </c>
      <c r="O287" s="17">
        <v>44925</v>
      </c>
      <c r="P287" s="5" t="s">
        <v>3728</v>
      </c>
    </row>
    <row r="288" spans="1:16" ht="17.25" customHeight="1" x14ac:dyDescent="0.3">
      <c r="A288" s="210">
        <f t="shared" si="35"/>
        <v>234</v>
      </c>
      <c r="B288" s="21" t="s">
        <v>301</v>
      </c>
      <c r="C288" s="5">
        <v>1962</v>
      </c>
      <c r="D288" s="3"/>
      <c r="E288" s="92" t="s">
        <v>3733</v>
      </c>
      <c r="F288" s="92">
        <v>4</v>
      </c>
      <c r="G288" s="26"/>
      <c r="H288" s="92">
        <v>1280.8</v>
      </c>
      <c r="I288" s="92">
        <v>68</v>
      </c>
      <c r="J288" s="19">
        <f t="shared" si="34"/>
        <v>906689.09</v>
      </c>
      <c r="K288" s="73"/>
      <c r="L288" s="73"/>
      <c r="M288" s="73"/>
      <c r="N288" s="19">
        <f>SUMIF('2020'!B:B,B288,'2020'!C:C)+SUMIF('2021'!B:B,B288,'2021'!C:C)+SUMIF('2022'!B:B,B288,'2022'!C:C)</f>
        <v>906689.09</v>
      </c>
      <c r="O288" s="17">
        <v>44925</v>
      </c>
      <c r="P288" s="5" t="s">
        <v>3728</v>
      </c>
    </row>
    <row r="289" spans="1:16" ht="17.25" customHeight="1" x14ac:dyDescent="0.3">
      <c r="A289" s="210">
        <f t="shared" si="35"/>
        <v>235</v>
      </c>
      <c r="B289" s="21" t="s">
        <v>302</v>
      </c>
      <c r="C289" s="5">
        <v>1934</v>
      </c>
      <c r="D289" s="3"/>
      <c r="E289" s="92" t="s">
        <v>3733</v>
      </c>
      <c r="F289" s="92">
        <v>4</v>
      </c>
      <c r="G289" s="26"/>
      <c r="H289" s="92">
        <v>3427.8</v>
      </c>
      <c r="I289" s="92">
        <v>154</v>
      </c>
      <c r="J289" s="19">
        <f t="shared" si="34"/>
        <v>777496</v>
      </c>
      <c r="K289" s="73"/>
      <c r="L289" s="73"/>
      <c r="M289" s="73"/>
      <c r="N289" s="19">
        <f>SUMIF('2020'!B:B,B289,'2020'!C:C)+SUMIF('2021'!B:B,B289,'2021'!C:C)+SUMIF('2022'!B:B,B289,'2022'!C:C)</f>
        <v>777496</v>
      </c>
      <c r="O289" s="17">
        <v>44925</v>
      </c>
      <c r="P289" s="5" t="s">
        <v>3728</v>
      </c>
    </row>
    <row r="290" spans="1:16" ht="17.25" customHeight="1" x14ac:dyDescent="0.3">
      <c r="A290" s="210">
        <f t="shared" si="35"/>
        <v>236</v>
      </c>
      <c r="B290" s="21" t="s">
        <v>303</v>
      </c>
      <c r="C290" s="5">
        <v>1932</v>
      </c>
      <c r="D290" s="3"/>
      <c r="E290" s="92" t="s">
        <v>3733</v>
      </c>
      <c r="F290" s="92">
        <v>2</v>
      </c>
      <c r="G290" s="26"/>
      <c r="H290" s="92">
        <v>393.6</v>
      </c>
      <c r="I290" s="92">
        <v>28</v>
      </c>
      <c r="J290" s="19">
        <f t="shared" si="34"/>
        <v>130000</v>
      </c>
      <c r="K290" s="73"/>
      <c r="L290" s="73"/>
      <c r="M290" s="73"/>
      <c r="N290" s="19">
        <f>SUMIF('2020'!B:B,B290,'2020'!C:C)+SUMIF('2021'!B:B,B290,'2021'!C:C)+SUMIF('2022'!B:B,B290,'2022'!C:C)</f>
        <v>130000</v>
      </c>
      <c r="O290" s="17">
        <v>44925</v>
      </c>
      <c r="P290" s="5" t="s">
        <v>3728</v>
      </c>
    </row>
    <row r="291" spans="1:16" ht="17.25" customHeight="1" x14ac:dyDescent="0.3">
      <c r="A291" s="210">
        <f t="shared" si="35"/>
        <v>237</v>
      </c>
      <c r="B291" s="21" t="s">
        <v>305</v>
      </c>
      <c r="C291" s="5">
        <v>1949</v>
      </c>
      <c r="D291" s="3"/>
      <c r="E291" s="92" t="s">
        <v>3733</v>
      </c>
      <c r="F291" s="92">
        <v>2</v>
      </c>
      <c r="G291" s="26"/>
      <c r="H291" s="92">
        <v>528</v>
      </c>
      <c r="I291" s="92">
        <v>19</v>
      </c>
      <c r="J291" s="19">
        <f t="shared" si="34"/>
        <v>188322.9</v>
      </c>
      <c r="K291" s="73"/>
      <c r="L291" s="73"/>
      <c r="M291" s="73"/>
      <c r="N291" s="19">
        <f>SUMIF('2020'!B:B,B291,'2020'!C:C)+SUMIF('2021'!B:B,B291,'2021'!C:C)+SUMIF('2022'!B:B,B291,'2022'!C:C)</f>
        <v>188322.9</v>
      </c>
      <c r="O291" s="17">
        <v>44925</v>
      </c>
      <c r="P291" s="5" t="s">
        <v>3728</v>
      </c>
    </row>
    <row r="292" spans="1:16" ht="17.25" customHeight="1" x14ac:dyDescent="0.3">
      <c r="A292" s="210">
        <f t="shared" si="35"/>
        <v>238</v>
      </c>
      <c r="B292" s="21" t="s">
        <v>306</v>
      </c>
      <c r="C292" s="5">
        <v>1992</v>
      </c>
      <c r="D292" s="3"/>
      <c r="E292" s="3" t="s">
        <v>3738</v>
      </c>
      <c r="F292" s="3">
        <v>5</v>
      </c>
      <c r="G292" s="26"/>
      <c r="H292" s="3">
        <v>6078.5</v>
      </c>
      <c r="I292" s="3">
        <v>213</v>
      </c>
      <c r="J292" s="19">
        <f t="shared" si="34"/>
        <v>11725384</v>
      </c>
      <c r="K292" s="73"/>
      <c r="L292" s="73"/>
      <c r="M292" s="73"/>
      <c r="N292" s="19">
        <f>SUMIF('2020'!B:B,B292,'2020'!C:C)+SUMIF('2021'!B:B,B292,'2021'!C:C)+SUMIF('2022'!B:B,B292,'2022'!C:C)</f>
        <v>11725384</v>
      </c>
      <c r="O292" s="17">
        <v>44925</v>
      </c>
      <c r="P292" s="5" t="s">
        <v>3728</v>
      </c>
    </row>
    <row r="293" spans="1:16" ht="17.25" customHeight="1" x14ac:dyDescent="0.3">
      <c r="A293" s="210">
        <f t="shared" si="35"/>
        <v>239</v>
      </c>
      <c r="B293" s="21" t="s">
        <v>307</v>
      </c>
      <c r="C293" s="5">
        <v>1935</v>
      </c>
      <c r="D293" s="3"/>
      <c r="E293" s="92" t="s">
        <v>3733</v>
      </c>
      <c r="F293" s="92">
        <v>3</v>
      </c>
      <c r="G293" s="26"/>
      <c r="H293" s="92">
        <v>1224.8</v>
      </c>
      <c r="I293" s="92">
        <v>41</v>
      </c>
      <c r="J293" s="19">
        <f t="shared" si="34"/>
        <v>627219.15</v>
      </c>
      <c r="K293" s="73"/>
      <c r="L293" s="73"/>
      <c r="M293" s="73"/>
      <c r="N293" s="19">
        <f>SUMIF('2020'!B:B,B293,'2020'!C:C)+SUMIF('2021'!B:B,B293,'2021'!C:C)+SUMIF('2022'!B:B,B293,'2022'!C:C)</f>
        <v>627219.15</v>
      </c>
      <c r="O293" s="17">
        <v>44925</v>
      </c>
      <c r="P293" s="5" t="s">
        <v>3728</v>
      </c>
    </row>
    <row r="294" spans="1:16" ht="17.25" customHeight="1" x14ac:dyDescent="0.3">
      <c r="A294" s="210">
        <f t="shared" si="35"/>
        <v>240</v>
      </c>
      <c r="B294" s="21" t="s">
        <v>308</v>
      </c>
      <c r="C294" s="5">
        <v>1928</v>
      </c>
      <c r="D294" s="3"/>
      <c r="E294" s="92" t="s">
        <v>3733</v>
      </c>
      <c r="F294" s="92">
        <v>2</v>
      </c>
      <c r="G294" s="26"/>
      <c r="H294" s="92">
        <v>148.4</v>
      </c>
      <c r="I294" s="92">
        <v>20</v>
      </c>
      <c r="J294" s="19">
        <f t="shared" si="34"/>
        <v>597478.67999999993</v>
      </c>
      <c r="K294" s="73"/>
      <c r="L294" s="73"/>
      <c r="M294" s="73"/>
      <c r="N294" s="19">
        <f>SUMIF('2020'!B:B,B294,'2020'!C:C)+SUMIF('2021'!B:B,B294,'2021'!C:C)+SUMIF('2022'!B:B,B294,'2022'!C:C)</f>
        <v>597478.67999999993</v>
      </c>
      <c r="O294" s="17">
        <v>44925</v>
      </c>
      <c r="P294" s="5" t="s">
        <v>3728</v>
      </c>
    </row>
    <row r="295" spans="1:16" ht="17.25" customHeight="1" x14ac:dyDescent="0.3">
      <c r="A295" s="210" t="s">
        <v>211</v>
      </c>
      <c r="B295" s="212"/>
      <c r="C295" s="3"/>
      <c r="D295" s="3"/>
      <c r="E295" s="3"/>
      <c r="F295" s="3"/>
      <c r="G295" s="26"/>
      <c r="H295" s="73">
        <f t="shared" ref="H295:L295" si="36">SUM(H278:H294)</f>
        <v>42326.09</v>
      </c>
      <c r="I295" s="73">
        <f t="shared" si="36"/>
        <v>1802</v>
      </c>
      <c r="J295" s="73">
        <f t="shared" si="36"/>
        <v>61617195.170000002</v>
      </c>
      <c r="K295" s="73">
        <f t="shared" si="36"/>
        <v>0</v>
      </c>
      <c r="L295" s="73">
        <f t="shared" si="36"/>
        <v>0</v>
      </c>
      <c r="M295" s="73">
        <f>N295-'2020'!C112-'2021'!C242-'2022'!C68</f>
        <v>0</v>
      </c>
      <c r="N295" s="73">
        <f>SUM(N278:N294)</f>
        <v>61617195.170000002</v>
      </c>
      <c r="O295" s="3"/>
      <c r="P295" s="3"/>
    </row>
    <row r="296" spans="1:16" ht="17.25" customHeight="1" x14ac:dyDescent="0.3">
      <c r="A296" s="210" t="s">
        <v>309</v>
      </c>
      <c r="B296" s="21"/>
      <c r="C296" s="3"/>
      <c r="D296" s="3"/>
      <c r="E296" s="3"/>
      <c r="F296" s="3"/>
      <c r="G296" s="26"/>
      <c r="H296" s="3"/>
      <c r="I296" s="3"/>
      <c r="J296" s="73"/>
      <c r="K296" s="73"/>
      <c r="L296" s="73"/>
      <c r="M296" s="73"/>
      <c r="N296" s="73"/>
      <c r="O296" s="3"/>
      <c r="P296" s="3"/>
    </row>
    <row r="297" spans="1:16" ht="17.25" customHeight="1" x14ac:dyDescent="0.3">
      <c r="A297" s="210">
        <f>A294+1</f>
        <v>241</v>
      </c>
      <c r="B297" s="21" t="s">
        <v>310</v>
      </c>
      <c r="C297" s="5">
        <v>1985</v>
      </c>
      <c r="D297" s="3"/>
      <c r="E297" s="13" t="s">
        <v>3739</v>
      </c>
      <c r="F297" s="13">
        <v>3</v>
      </c>
      <c r="G297" s="26"/>
      <c r="H297" s="13">
        <v>1370.8</v>
      </c>
      <c r="I297" s="13">
        <v>77</v>
      </c>
      <c r="J297" s="19">
        <f>K297+L297+M297+N297</f>
        <v>150000</v>
      </c>
      <c r="K297" s="73"/>
      <c r="L297" s="73"/>
      <c r="M297" s="73"/>
      <c r="N297" s="19">
        <f>SUMIF('2020'!B:B,B297,'2020'!C:C)+SUMIF('2021'!B:B,B297,'2021'!C:C)+SUMIF('2022'!B:B,B297,'2022'!C:C)</f>
        <v>150000</v>
      </c>
      <c r="O297" s="17">
        <v>44925</v>
      </c>
      <c r="P297" s="5" t="s">
        <v>3728</v>
      </c>
    </row>
    <row r="298" spans="1:16" ht="17.25" customHeight="1" x14ac:dyDescent="0.3">
      <c r="A298" s="210">
        <f>A297+1</f>
        <v>242</v>
      </c>
      <c r="B298" s="21" t="s">
        <v>311</v>
      </c>
      <c r="C298" s="5">
        <v>1988</v>
      </c>
      <c r="D298" s="3"/>
      <c r="E298" s="13" t="s">
        <v>3739</v>
      </c>
      <c r="F298" s="13">
        <v>3</v>
      </c>
      <c r="G298" s="26"/>
      <c r="H298" s="13">
        <v>1397.7</v>
      </c>
      <c r="I298" s="13">
        <v>84</v>
      </c>
      <c r="J298" s="19">
        <f>K298+L298+M298+N298</f>
        <v>11993080.800000001</v>
      </c>
      <c r="K298" s="73"/>
      <c r="L298" s="73"/>
      <c r="M298" s="73"/>
      <c r="N298" s="19">
        <f>SUMIF('2020'!B:B,B298,'2020'!C:C)+SUMIF('2021'!B:B,B298,'2021'!C:C)+SUMIF('2022'!B:B,B298,'2022'!C:C)</f>
        <v>11993080.800000001</v>
      </c>
      <c r="O298" s="17">
        <v>44925</v>
      </c>
      <c r="P298" s="5" t="s">
        <v>3728</v>
      </c>
    </row>
    <row r="299" spans="1:16" ht="17.25" customHeight="1" x14ac:dyDescent="0.3">
      <c r="A299" s="210">
        <f>A298+1</f>
        <v>243</v>
      </c>
      <c r="B299" s="21" t="s">
        <v>312</v>
      </c>
      <c r="C299" s="5">
        <v>1975</v>
      </c>
      <c r="D299" s="3"/>
      <c r="E299" s="13" t="s">
        <v>3645</v>
      </c>
      <c r="F299" s="13">
        <v>2</v>
      </c>
      <c r="G299" s="26"/>
      <c r="H299" s="13">
        <v>724.6</v>
      </c>
      <c r="I299" s="13">
        <v>26</v>
      </c>
      <c r="J299" s="19">
        <f>K299+L299+M299+N299</f>
        <v>1238620.2600000002</v>
      </c>
      <c r="K299" s="73"/>
      <c r="L299" s="73"/>
      <c r="M299" s="73"/>
      <c r="N299" s="19">
        <f>SUMIF('2020'!B:B,B299,'2020'!C:C)+SUMIF('2021'!B:B,B299,'2021'!C:C)+SUMIF('2022'!B:B,B299,'2022'!C:C)</f>
        <v>1238620.2600000002</v>
      </c>
      <c r="O299" s="17">
        <v>44925</v>
      </c>
      <c r="P299" s="5" t="s">
        <v>3728</v>
      </c>
    </row>
    <row r="300" spans="1:16" ht="17.25" customHeight="1" x14ac:dyDescent="0.3">
      <c r="A300" s="210">
        <f>A299+1</f>
        <v>244</v>
      </c>
      <c r="B300" s="21" t="s">
        <v>313</v>
      </c>
      <c r="C300" s="5">
        <v>1983</v>
      </c>
      <c r="D300" s="3"/>
      <c r="E300" s="13" t="s">
        <v>3739</v>
      </c>
      <c r="F300" s="13">
        <v>3</v>
      </c>
      <c r="G300" s="26"/>
      <c r="H300" s="13">
        <v>1358.7</v>
      </c>
      <c r="I300" s="13">
        <v>68</v>
      </c>
      <c r="J300" s="19">
        <f>K300+L300+M300+N300</f>
        <v>14997213</v>
      </c>
      <c r="K300" s="73"/>
      <c r="L300" s="73"/>
      <c r="M300" s="73"/>
      <c r="N300" s="19">
        <f>SUMIF('2020'!B:B,B300,'2020'!C:C)+SUMIF('2021'!B:B,B300,'2021'!C:C)+SUMIF('2022'!B:B,B300,'2022'!C:C)</f>
        <v>14997213</v>
      </c>
      <c r="O300" s="17">
        <v>44925</v>
      </c>
      <c r="P300" s="5" t="s">
        <v>3728</v>
      </c>
    </row>
    <row r="301" spans="1:16" ht="17.25" customHeight="1" x14ac:dyDescent="0.3">
      <c r="A301" s="210" t="s">
        <v>211</v>
      </c>
      <c r="B301" s="212"/>
      <c r="C301" s="3"/>
      <c r="D301" s="3"/>
      <c r="E301" s="3"/>
      <c r="F301" s="3"/>
      <c r="G301" s="26"/>
      <c r="H301" s="73">
        <f t="shared" ref="H301:L301" si="37">SUM(H297:H300)</f>
        <v>4851.8</v>
      </c>
      <c r="I301" s="73">
        <f t="shared" si="37"/>
        <v>255</v>
      </c>
      <c r="J301" s="73">
        <f t="shared" si="37"/>
        <v>28378914.060000002</v>
      </c>
      <c r="K301" s="73">
        <f t="shared" si="37"/>
        <v>0</v>
      </c>
      <c r="L301" s="73">
        <f t="shared" si="37"/>
        <v>0</v>
      </c>
      <c r="M301" s="73">
        <v>0</v>
      </c>
      <c r="N301" s="73">
        <f>SUM(N297:N300)</f>
        <v>28378914.060000002</v>
      </c>
      <c r="O301" s="3"/>
      <c r="P301" s="3"/>
    </row>
    <row r="302" spans="1:16" ht="17.25" customHeight="1" x14ac:dyDescent="0.3">
      <c r="A302" s="210" t="s">
        <v>314</v>
      </c>
      <c r="B302" s="21"/>
      <c r="C302" s="3"/>
      <c r="D302" s="3"/>
      <c r="E302" s="3"/>
      <c r="F302" s="3"/>
      <c r="G302" s="26"/>
      <c r="H302" s="3"/>
      <c r="I302" s="3"/>
      <c r="J302" s="73"/>
      <c r="K302" s="73"/>
      <c r="L302" s="73"/>
      <c r="M302" s="73"/>
      <c r="N302" s="73"/>
      <c r="O302" s="3"/>
      <c r="P302" s="3"/>
    </row>
    <row r="303" spans="1:16" ht="17.25" customHeight="1" x14ac:dyDescent="0.3">
      <c r="A303" s="210">
        <f>A300+1</f>
        <v>245</v>
      </c>
      <c r="B303" s="21" t="s">
        <v>315</v>
      </c>
      <c r="C303" s="5">
        <v>1963</v>
      </c>
      <c r="D303" s="3"/>
      <c r="E303" s="5" t="s">
        <v>3645</v>
      </c>
      <c r="F303" s="4">
        <v>2</v>
      </c>
      <c r="G303" s="26"/>
      <c r="H303" s="2">
        <v>987.3</v>
      </c>
      <c r="I303" s="22">
        <v>49</v>
      </c>
      <c r="J303" s="19">
        <f t="shared" ref="J303:J318" si="38">K303+L303+M303+N303</f>
        <v>594982.62</v>
      </c>
      <c r="K303" s="73"/>
      <c r="L303" s="73"/>
      <c r="M303" s="73"/>
      <c r="N303" s="19">
        <f>SUMIF('2020'!B:B,B303,'2020'!C:C)+SUMIF('2021'!B:B,B303,'2021'!C:C)+SUMIF('2022'!B:B,B303,'2022'!C:C)</f>
        <v>594982.62</v>
      </c>
      <c r="O303" s="17">
        <v>44925</v>
      </c>
      <c r="P303" s="5" t="s">
        <v>3728</v>
      </c>
    </row>
    <row r="304" spans="1:16" ht="17.25" customHeight="1" x14ac:dyDescent="0.3">
      <c r="A304" s="210">
        <f>A303+1</f>
        <v>246</v>
      </c>
      <c r="B304" s="21" t="s">
        <v>316</v>
      </c>
      <c r="C304" s="5">
        <v>1976</v>
      </c>
      <c r="D304" s="3"/>
      <c r="E304" s="5" t="s">
        <v>3729</v>
      </c>
      <c r="F304" s="4">
        <v>5</v>
      </c>
      <c r="G304" s="26"/>
      <c r="H304" s="2">
        <v>6014.6</v>
      </c>
      <c r="I304" s="22">
        <v>206</v>
      </c>
      <c r="J304" s="19">
        <f t="shared" si="38"/>
        <v>596322.15999999992</v>
      </c>
      <c r="K304" s="73"/>
      <c r="L304" s="73"/>
      <c r="M304" s="73"/>
      <c r="N304" s="19">
        <f>SUMIF('2020'!B:B,B304,'2020'!C:C)+SUMIF('2021'!B:B,B304,'2021'!C:C)+SUMIF('2022'!B:B,B304,'2022'!C:C)</f>
        <v>596322.15999999992</v>
      </c>
      <c r="O304" s="17">
        <v>44925</v>
      </c>
      <c r="P304" s="5" t="s">
        <v>3728</v>
      </c>
    </row>
    <row r="305" spans="1:16" ht="17.25" customHeight="1" x14ac:dyDescent="0.3">
      <c r="A305" s="210">
        <f t="shared" ref="A305:A318" si="39">A304+1</f>
        <v>247</v>
      </c>
      <c r="B305" s="21" t="s">
        <v>317</v>
      </c>
      <c r="C305" s="5">
        <v>1977</v>
      </c>
      <c r="D305" s="3"/>
      <c r="E305" s="5" t="s">
        <v>3729</v>
      </c>
      <c r="F305" s="4">
        <v>5</v>
      </c>
      <c r="G305" s="26"/>
      <c r="H305" s="2">
        <v>3910.7</v>
      </c>
      <c r="I305" s="22">
        <v>153</v>
      </c>
      <c r="J305" s="19">
        <f t="shared" si="38"/>
        <v>553716.84000000008</v>
      </c>
      <c r="K305" s="73"/>
      <c r="L305" s="73"/>
      <c r="M305" s="73"/>
      <c r="N305" s="19">
        <f>SUMIF('2020'!B:B,B305,'2020'!C:C)+SUMIF('2021'!B:B,B305,'2021'!C:C)+SUMIF('2022'!B:B,B305,'2022'!C:C)</f>
        <v>553716.84000000008</v>
      </c>
      <c r="O305" s="17">
        <v>44925</v>
      </c>
      <c r="P305" s="5" t="s">
        <v>3728</v>
      </c>
    </row>
    <row r="306" spans="1:16" ht="17.25" customHeight="1" x14ac:dyDescent="0.3">
      <c r="A306" s="210">
        <f t="shared" si="39"/>
        <v>248</v>
      </c>
      <c r="B306" s="21" t="s">
        <v>318</v>
      </c>
      <c r="C306" s="5">
        <v>1977</v>
      </c>
      <c r="D306" s="3"/>
      <c r="E306" s="5" t="s">
        <v>3729</v>
      </c>
      <c r="F306" s="4">
        <v>5</v>
      </c>
      <c r="G306" s="26"/>
      <c r="H306" s="2">
        <v>3899.1</v>
      </c>
      <c r="I306" s="22">
        <v>158</v>
      </c>
      <c r="J306" s="19">
        <f t="shared" si="38"/>
        <v>483019.85</v>
      </c>
      <c r="K306" s="73"/>
      <c r="L306" s="73"/>
      <c r="M306" s="73"/>
      <c r="N306" s="19">
        <f>SUMIF('2020'!B:B,B306,'2020'!C:C)+SUMIF('2021'!B:B,B306,'2021'!C:C)+SUMIF('2022'!B:B,B306,'2022'!C:C)</f>
        <v>483019.85</v>
      </c>
      <c r="O306" s="17">
        <v>44925</v>
      </c>
      <c r="P306" s="5" t="s">
        <v>3728</v>
      </c>
    </row>
    <row r="307" spans="1:16" ht="17.25" customHeight="1" x14ac:dyDescent="0.3">
      <c r="A307" s="210">
        <f t="shared" si="39"/>
        <v>249</v>
      </c>
      <c r="B307" s="21" t="s">
        <v>319</v>
      </c>
      <c r="C307" s="5">
        <v>1963</v>
      </c>
      <c r="D307" s="3"/>
      <c r="E307" s="5" t="s">
        <v>3645</v>
      </c>
      <c r="F307" s="4">
        <v>2</v>
      </c>
      <c r="G307" s="26"/>
      <c r="H307" s="2">
        <v>681.3</v>
      </c>
      <c r="I307" s="22">
        <v>28</v>
      </c>
      <c r="J307" s="19">
        <f t="shared" si="38"/>
        <v>430663.43</v>
      </c>
      <c r="K307" s="73"/>
      <c r="L307" s="73"/>
      <c r="M307" s="73"/>
      <c r="N307" s="19">
        <f>SUMIF('2020'!B:B,B307,'2020'!C:C)+SUMIF('2021'!B:B,B307,'2021'!C:C)+SUMIF('2022'!B:B,B307,'2022'!C:C)</f>
        <v>430663.43</v>
      </c>
      <c r="O307" s="17">
        <v>44925</v>
      </c>
      <c r="P307" s="5" t="s">
        <v>3728</v>
      </c>
    </row>
    <row r="308" spans="1:16" ht="17.25" customHeight="1" x14ac:dyDescent="0.3">
      <c r="A308" s="210">
        <f t="shared" si="39"/>
        <v>250</v>
      </c>
      <c r="B308" s="21" t="s">
        <v>320</v>
      </c>
      <c r="C308" s="5">
        <v>1964</v>
      </c>
      <c r="D308" s="3"/>
      <c r="E308" s="5" t="s">
        <v>3645</v>
      </c>
      <c r="F308" s="4">
        <v>2</v>
      </c>
      <c r="G308" s="26"/>
      <c r="H308" s="2">
        <v>689.57</v>
      </c>
      <c r="I308" s="22">
        <v>39</v>
      </c>
      <c r="J308" s="19">
        <f t="shared" si="38"/>
        <v>4323220.1300000008</v>
      </c>
      <c r="K308" s="73"/>
      <c r="L308" s="73"/>
      <c r="M308" s="73"/>
      <c r="N308" s="19">
        <f>SUMIF('2020'!B:B,B308,'2020'!C:C)+SUMIF('2021'!B:B,B308,'2021'!C:C)+SUMIF('2022'!B:B,B308,'2022'!C:C)</f>
        <v>4323220.1300000008</v>
      </c>
      <c r="O308" s="17">
        <v>44925</v>
      </c>
      <c r="P308" s="5" t="s">
        <v>3728</v>
      </c>
    </row>
    <row r="309" spans="1:16" ht="17.25" customHeight="1" x14ac:dyDescent="0.3">
      <c r="A309" s="210">
        <f t="shared" si="39"/>
        <v>251</v>
      </c>
      <c r="B309" s="21" t="s">
        <v>321</v>
      </c>
      <c r="C309" s="5">
        <v>1965</v>
      </c>
      <c r="D309" s="3"/>
      <c r="E309" s="5" t="s">
        <v>3645</v>
      </c>
      <c r="F309" s="4">
        <v>2</v>
      </c>
      <c r="G309" s="26"/>
      <c r="H309" s="2">
        <v>699.51</v>
      </c>
      <c r="I309" s="22">
        <v>31</v>
      </c>
      <c r="J309" s="19">
        <f t="shared" si="38"/>
        <v>4279092.37</v>
      </c>
      <c r="K309" s="73"/>
      <c r="L309" s="73"/>
      <c r="M309" s="73"/>
      <c r="N309" s="19">
        <f>SUMIF('2020'!B:B,B309,'2020'!C:C)+SUMIF('2021'!B:B,B309,'2021'!C:C)+SUMIF('2022'!B:B,B309,'2022'!C:C)</f>
        <v>4279092.37</v>
      </c>
      <c r="O309" s="17">
        <v>44925</v>
      </c>
      <c r="P309" s="5" t="s">
        <v>3728</v>
      </c>
    </row>
    <row r="310" spans="1:16" ht="17.25" customHeight="1" x14ac:dyDescent="0.3">
      <c r="A310" s="210">
        <f t="shared" si="39"/>
        <v>252</v>
      </c>
      <c r="B310" s="21" t="s">
        <v>322</v>
      </c>
      <c r="C310" s="5">
        <v>1969</v>
      </c>
      <c r="D310" s="3"/>
      <c r="E310" s="5" t="s">
        <v>3645</v>
      </c>
      <c r="F310" s="4">
        <v>2</v>
      </c>
      <c r="G310" s="26"/>
      <c r="H310" s="2">
        <v>993.42</v>
      </c>
      <c r="I310" s="22">
        <v>70</v>
      </c>
      <c r="J310" s="19">
        <f t="shared" si="38"/>
        <v>446380.47</v>
      </c>
      <c r="K310" s="73"/>
      <c r="L310" s="73"/>
      <c r="M310" s="73"/>
      <c r="N310" s="19">
        <f>SUMIF('2020'!B:B,B310,'2020'!C:C)+SUMIF('2021'!B:B,B310,'2021'!C:C)+SUMIF('2022'!B:B,B310,'2022'!C:C)</f>
        <v>446380.47</v>
      </c>
      <c r="O310" s="17">
        <v>44925</v>
      </c>
      <c r="P310" s="5" t="s">
        <v>3728</v>
      </c>
    </row>
    <row r="311" spans="1:16" ht="17.25" customHeight="1" x14ac:dyDescent="0.3">
      <c r="A311" s="210">
        <f t="shared" si="39"/>
        <v>253</v>
      </c>
      <c r="B311" s="21" t="s">
        <v>323</v>
      </c>
      <c r="C311" s="5">
        <v>1970</v>
      </c>
      <c r="D311" s="3"/>
      <c r="E311" s="5" t="s">
        <v>3645</v>
      </c>
      <c r="F311" s="4">
        <v>2</v>
      </c>
      <c r="G311" s="14"/>
      <c r="H311" s="2">
        <v>689.3</v>
      </c>
      <c r="I311" s="3">
        <v>30</v>
      </c>
      <c r="J311" s="19">
        <f t="shared" si="38"/>
        <v>287233.77</v>
      </c>
      <c r="K311" s="73"/>
      <c r="L311" s="73"/>
      <c r="M311" s="73"/>
      <c r="N311" s="19">
        <f>SUMIF('2020'!B:B,B311,'2020'!C:C)+SUMIF('2021'!B:B,B311,'2021'!C:C)+SUMIF('2022'!B:B,B311,'2022'!C:C)</f>
        <v>287233.77</v>
      </c>
      <c r="O311" s="17">
        <v>44925</v>
      </c>
      <c r="P311" s="5" t="s">
        <v>3728</v>
      </c>
    </row>
    <row r="312" spans="1:16" ht="17.25" customHeight="1" x14ac:dyDescent="0.3">
      <c r="A312" s="210">
        <f t="shared" si="39"/>
        <v>254</v>
      </c>
      <c r="B312" s="21" t="s">
        <v>324</v>
      </c>
      <c r="C312" s="5">
        <v>1971</v>
      </c>
      <c r="D312" s="3"/>
      <c r="E312" s="5" t="s">
        <v>3645</v>
      </c>
      <c r="F312" s="4">
        <v>2</v>
      </c>
      <c r="G312" s="26"/>
      <c r="H312" s="2">
        <v>794.7</v>
      </c>
      <c r="I312" s="22">
        <v>33</v>
      </c>
      <c r="J312" s="19">
        <f t="shared" si="38"/>
        <v>9166455.0999999996</v>
      </c>
      <c r="K312" s="73"/>
      <c r="L312" s="73"/>
      <c r="M312" s="73"/>
      <c r="N312" s="19">
        <f>SUMIF('2020'!B:B,B312,'2020'!C:C)+SUMIF('2021'!B:B,B312,'2021'!C:C)+SUMIF('2022'!B:B,B312,'2022'!C:C)</f>
        <v>9166455.0999999996</v>
      </c>
      <c r="O312" s="17">
        <v>44925</v>
      </c>
      <c r="P312" s="5" t="s">
        <v>3728</v>
      </c>
    </row>
    <row r="313" spans="1:16" ht="17.25" customHeight="1" x14ac:dyDescent="0.3">
      <c r="A313" s="210">
        <f t="shared" si="39"/>
        <v>255</v>
      </c>
      <c r="B313" s="21" t="s">
        <v>325</v>
      </c>
      <c r="C313" s="5">
        <v>1972</v>
      </c>
      <c r="D313" s="3"/>
      <c r="E313" s="5" t="s">
        <v>3645</v>
      </c>
      <c r="F313" s="4">
        <v>2</v>
      </c>
      <c r="G313" s="26"/>
      <c r="H313" s="2">
        <v>989.8</v>
      </c>
      <c r="I313" s="22">
        <v>37</v>
      </c>
      <c r="J313" s="19">
        <f t="shared" si="38"/>
        <v>9048365.8199999984</v>
      </c>
      <c r="K313" s="73"/>
      <c r="L313" s="73"/>
      <c r="M313" s="73"/>
      <c r="N313" s="19">
        <f>SUMIF('2020'!B:B,B313,'2020'!C:C)+SUMIF('2021'!B:B,B313,'2021'!C:C)+SUMIF('2022'!B:B,B313,'2022'!C:C)</f>
        <v>9048365.8199999984</v>
      </c>
      <c r="O313" s="17">
        <v>44925</v>
      </c>
      <c r="P313" s="5" t="s">
        <v>3728</v>
      </c>
    </row>
    <row r="314" spans="1:16" ht="17.25" customHeight="1" x14ac:dyDescent="0.3">
      <c r="A314" s="210">
        <f t="shared" si="39"/>
        <v>256</v>
      </c>
      <c r="B314" s="21" t="s">
        <v>326</v>
      </c>
      <c r="C314" s="5">
        <v>1973</v>
      </c>
      <c r="D314" s="3"/>
      <c r="E314" s="5" t="s">
        <v>3645</v>
      </c>
      <c r="F314" s="4">
        <v>2</v>
      </c>
      <c r="G314" s="26"/>
      <c r="H314" s="2">
        <v>1159.8</v>
      </c>
      <c r="I314" s="22">
        <v>30</v>
      </c>
      <c r="J314" s="19">
        <f t="shared" si="38"/>
        <v>182053.31</v>
      </c>
      <c r="K314" s="73"/>
      <c r="L314" s="73"/>
      <c r="M314" s="73"/>
      <c r="N314" s="19">
        <f>SUMIF('2020'!B:B,B314,'2020'!C:C)+SUMIF('2021'!B:B,B314,'2021'!C:C)+SUMIF('2022'!B:B,B314,'2022'!C:C)</f>
        <v>182053.31</v>
      </c>
      <c r="O314" s="17">
        <v>44925</v>
      </c>
      <c r="P314" s="5" t="s">
        <v>3728</v>
      </c>
    </row>
    <row r="315" spans="1:16" ht="17.25" customHeight="1" x14ac:dyDescent="0.3">
      <c r="A315" s="210">
        <f t="shared" si="39"/>
        <v>257</v>
      </c>
      <c r="B315" s="21" t="s">
        <v>327</v>
      </c>
      <c r="C315" s="5">
        <v>1971</v>
      </c>
      <c r="D315" s="3"/>
      <c r="E315" s="5" t="s">
        <v>3645</v>
      </c>
      <c r="F315" s="4">
        <v>2</v>
      </c>
      <c r="G315" s="26"/>
      <c r="H315" s="2">
        <v>711.93</v>
      </c>
      <c r="I315" s="22">
        <v>29</v>
      </c>
      <c r="J315" s="19">
        <f t="shared" si="38"/>
        <v>8881488</v>
      </c>
      <c r="K315" s="73"/>
      <c r="L315" s="73"/>
      <c r="M315" s="73"/>
      <c r="N315" s="19">
        <f>SUMIF('2020'!B:B,B315,'2020'!C:C)+SUMIF('2021'!B:B,B315,'2021'!C:C)+SUMIF('2022'!B:B,B315,'2022'!C:C)</f>
        <v>8881488</v>
      </c>
      <c r="O315" s="17">
        <v>44925</v>
      </c>
      <c r="P315" s="5" t="s">
        <v>3728</v>
      </c>
    </row>
    <row r="316" spans="1:16" ht="17.25" customHeight="1" x14ac:dyDescent="0.3">
      <c r="A316" s="210">
        <f t="shared" si="39"/>
        <v>258</v>
      </c>
      <c r="B316" s="21" t="s">
        <v>328</v>
      </c>
      <c r="C316" s="5">
        <v>1971</v>
      </c>
      <c r="D316" s="3"/>
      <c r="E316" s="5" t="s">
        <v>3645</v>
      </c>
      <c r="F316" s="4">
        <v>2</v>
      </c>
      <c r="G316" s="26"/>
      <c r="H316" s="2">
        <v>711.93</v>
      </c>
      <c r="I316" s="22">
        <v>28</v>
      </c>
      <c r="J316" s="19">
        <f t="shared" si="38"/>
        <v>61010.45</v>
      </c>
      <c r="K316" s="73"/>
      <c r="L316" s="73"/>
      <c r="M316" s="73"/>
      <c r="N316" s="19">
        <f>SUMIF('2020'!B:B,B316,'2020'!C:C)+SUMIF('2021'!B:B,B316,'2021'!C:C)+SUMIF('2022'!B:B,B316,'2022'!C:C)</f>
        <v>61010.45</v>
      </c>
      <c r="O316" s="17">
        <v>44925</v>
      </c>
      <c r="P316" s="5" t="s">
        <v>3728</v>
      </c>
    </row>
    <row r="317" spans="1:16" ht="17.25" customHeight="1" x14ac:dyDescent="0.3">
      <c r="A317" s="210">
        <f t="shared" si="39"/>
        <v>259</v>
      </c>
      <c r="B317" s="21" t="s">
        <v>329</v>
      </c>
      <c r="C317" s="5">
        <v>1971</v>
      </c>
      <c r="D317" s="3"/>
      <c r="E317" s="5" t="s">
        <v>3645</v>
      </c>
      <c r="F317" s="4">
        <v>2</v>
      </c>
      <c r="G317" s="26"/>
      <c r="H317" s="2">
        <v>711.93</v>
      </c>
      <c r="I317" s="22">
        <v>17</v>
      </c>
      <c r="J317" s="19">
        <f t="shared" si="38"/>
        <v>61010.45</v>
      </c>
      <c r="K317" s="73"/>
      <c r="L317" s="73"/>
      <c r="M317" s="73"/>
      <c r="N317" s="19">
        <f>SUMIF('2020'!B:B,B317,'2020'!C:C)+SUMIF('2021'!B:B,B317,'2021'!C:C)+SUMIF('2022'!B:B,B317,'2022'!C:C)</f>
        <v>61010.45</v>
      </c>
      <c r="O317" s="17">
        <v>44925</v>
      </c>
      <c r="P317" s="5" t="s">
        <v>3728</v>
      </c>
    </row>
    <row r="318" spans="1:16" ht="17.25" customHeight="1" x14ac:dyDescent="0.3">
      <c r="A318" s="210">
        <f t="shared" si="39"/>
        <v>260</v>
      </c>
      <c r="B318" s="21" t="s">
        <v>330</v>
      </c>
      <c r="C318" s="5">
        <v>1967</v>
      </c>
      <c r="D318" s="3"/>
      <c r="E318" s="5" t="s">
        <v>3645</v>
      </c>
      <c r="F318" s="4">
        <v>2</v>
      </c>
      <c r="G318" s="26"/>
      <c r="H318" s="2">
        <v>597.66999999999996</v>
      </c>
      <c r="I318" s="22">
        <v>12</v>
      </c>
      <c r="J318" s="19">
        <f t="shared" si="38"/>
        <v>63657.58</v>
      </c>
      <c r="K318" s="73"/>
      <c r="L318" s="73"/>
      <c r="M318" s="73"/>
      <c r="N318" s="19">
        <f>SUMIF('2020'!B:B,B318,'2020'!C:C)+SUMIF('2021'!B:B,B318,'2021'!C:C)+SUMIF('2022'!B:B,B318,'2022'!C:C)</f>
        <v>63657.58</v>
      </c>
      <c r="O318" s="17">
        <v>44925</v>
      </c>
      <c r="P318" s="5" t="s">
        <v>3728</v>
      </c>
    </row>
    <row r="319" spans="1:16" ht="17.25" customHeight="1" x14ac:dyDescent="0.3">
      <c r="A319" s="210" t="s">
        <v>211</v>
      </c>
      <c r="B319" s="212"/>
      <c r="C319" s="3"/>
      <c r="D319" s="3"/>
      <c r="E319" s="3"/>
      <c r="F319" s="3"/>
      <c r="G319" s="26"/>
      <c r="H319" s="73">
        <f t="shared" ref="H319:L319" si="40">SUM(H303:H318)</f>
        <v>24242.559999999994</v>
      </c>
      <c r="I319" s="73">
        <f t="shared" si="40"/>
        <v>950</v>
      </c>
      <c r="J319" s="73">
        <f t="shared" si="40"/>
        <v>39458672.350000009</v>
      </c>
      <c r="K319" s="73">
        <f t="shared" si="40"/>
        <v>0</v>
      </c>
      <c r="L319" s="73">
        <f t="shared" si="40"/>
        <v>0</v>
      </c>
      <c r="M319" s="73">
        <f>N319-'2021'!C260-'2022'!C77</f>
        <v>0</v>
      </c>
      <c r="N319" s="73">
        <f>SUM(N303:N318)</f>
        <v>39458672.350000009</v>
      </c>
      <c r="O319" s="3"/>
      <c r="P319" s="3"/>
    </row>
    <row r="320" spans="1:16" ht="17.25" customHeight="1" x14ac:dyDescent="0.3">
      <c r="A320" s="210" t="s">
        <v>331</v>
      </c>
      <c r="B320" s="21"/>
      <c r="C320" s="3"/>
      <c r="D320" s="3"/>
      <c r="E320" s="3"/>
      <c r="F320" s="3"/>
      <c r="G320" s="26"/>
      <c r="H320" s="3"/>
      <c r="I320" s="3"/>
      <c r="J320" s="73"/>
      <c r="K320" s="73"/>
      <c r="L320" s="73"/>
      <c r="M320" s="73"/>
      <c r="N320" s="73"/>
      <c r="O320" s="3"/>
      <c r="P320" s="3"/>
    </row>
    <row r="321" spans="1:16" ht="17.25" customHeight="1" x14ac:dyDescent="0.3">
      <c r="A321" s="210">
        <f>A318+1</f>
        <v>261</v>
      </c>
      <c r="B321" s="21" t="s">
        <v>332</v>
      </c>
      <c r="C321" s="5">
        <v>1972</v>
      </c>
      <c r="D321" s="3"/>
      <c r="E321" s="5" t="s">
        <v>3645</v>
      </c>
      <c r="F321" s="4">
        <v>5</v>
      </c>
      <c r="G321" s="26"/>
      <c r="H321" s="2">
        <v>3479.44</v>
      </c>
      <c r="I321" s="3">
        <v>200</v>
      </c>
      <c r="J321" s="19">
        <f t="shared" ref="J321:J384" si="41">K321+L321+M321+N321</f>
        <v>226603.88</v>
      </c>
      <c r="K321" s="73"/>
      <c r="L321" s="73"/>
      <c r="M321" s="73"/>
      <c r="N321" s="19">
        <f>SUMIF('2020'!B:B,B321,'2020'!C:C)+SUMIF('2021'!B:B,B321,'2021'!C:C)+SUMIF('2022'!B:B,B321,'2022'!C:C)</f>
        <v>226603.88</v>
      </c>
      <c r="O321" s="17">
        <v>44925</v>
      </c>
      <c r="P321" s="5" t="s">
        <v>3728</v>
      </c>
    </row>
    <row r="322" spans="1:16" ht="17.25" customHeight="1" x14ac:dyDescent="0.3">
      <c r="A322" s="210">
        <f>A321+1</f>
        <v>262</v>
      </c>
      <c r="B322" s="21" t="s">
        <v>333</v>
      </c>
      <c r="C322" s="5">
        <v>1985</v>
      </c>
      <c r="D322" s="3"/>
      <c r="E322" s="5" t="s">
        <v>3645</v>
      </c>
      <c r="F322" s="4">
        <v>5</v>
      </c>
      <c r="G322" s="26"/>
      <c r="H322" s="2">
        <v>4221.3</v>
      </c>
      <c r="I322" s="4" t="s">
        <v>3744</v>
      </c>
      <c r="J322" s="19">
        <f t="shared" si="41"/>
        <v>130000</v>
      </c>
      <c r="K322" s="73"/>
      <c r="L322" s="73"/>
      <c r="M322" s="73"/>
      <c r="N322" s="19">
        <f>SUMIF('2020'!B:B,B322,'2020'!C:C)+SUMIF('2021'!B:B,B322,'2021'!C:C)+SUMIF('2022'!B:B,B322,'2022'!C:C)</f>
        <v>130000</v>
      </c>
      <c r="O322" s="17">
        <v>44925</v>
      </c>
      <c r="P322" s="5" t="s">
        <v>3728</v>
      </c>
    </row>
    <row r="323" spans="1:16" ht="17.25" customHeight="1" x14ac:dyDescent="0.3">
      <c r="A323" s="210">
        <f t="shared" ref="A323:A386" si="42">A322+1</f>
        <v>263</v>
      </c>
      <c r="B323" s="21" t="s">
        <v>334</v>
      </c>
      <c r="C323" s="5">
        <v>1976</v>
      </c>
      <c r="D323" s="3"/>
      <c r="E323" s="5" t="s">
        <v>3731</v>
      </c>
      <c r="F323" s="4">
        <v>5</v>
      </c>
      <c r="G323" s="26"/>
      <c r="H323" s="2">
        <v>4292.76</v>
      </c>
      <c r="I323" s="4" t="s">
        <v>3745</v>
      </c>
      <c r="J323" s="19">
        <f t="shared" si="41"/>
        <v>217045.27</v>
      </c>
      <c r="K323" s="73"/>
      <c r="L323" s="73"/>
      <c r="M323" s="73"/>
      <c r="N323" s="19">
        <f>SUMIF('2020'!B:B,B323,'2020'!C:C)+SUMIF('2021'!B:B,B323,'2021'!C:C)+SUMIF('2022'!B:B,B323,'2022'!C:C)</f>
        <v>217045.27</v>
      </c>
      <c r="O323" s="17">
        <v>44925</v>
      </c>
      <c r="P323" s="5" t="s">
        <v>3728</v>
      </c>
    </row>
    <row r="324" spans="1:16" ht="17.25" customHeight="1" x14ac:dyDescent="0.3">
      <c r="A324" s="210">
        <f t="shared" si="42"/>
        <v>264</v>
      </c>
      <c r="B324" s="21" t="s">
        <v>335</v>
      </c>
      <c r="C324" s="5">
        <v>1974</v>
      </c>
      <c r="D324" s="3"/>
      <c r="E324" s="5" t="s">
        <v>3645</v>
      </c>
      <c r="F324" s="4">
        <v>5</v>
      </c>
      <c r="G324" s="26"/>
      <c r="H324" s="2">
        <v>3465.59</v>
      </c>
      <c r="I324" s="3">
        <v>240</v>
      </c>
      <c r="J324" s="19">
        <f t="shared" si="41"/>
        <v>187004.64</v>
      </c>
      <c r="K324" s="73"/>
      <c r="L324" s="73"/>
      <c r="M324" s="73"/>
      <c r="N324" s="19">
        <f>SUMIF('2020'!B:B,B324,'2020'!C:C)+SUMIF('2021'!B:B,B324,'2021'!C:C)+SUMIF('2022'!B:B,B324,'2022'!C:C)</f>
        <v>187004.64</v>
      </c>
      <c r="O324" s="17">
        <v>44925</v>
      </c>
      <c r="P324" s="5" t="s">
        <v>3728</v>
      </c>
    </row>
    <row r="325" spans="1:16" ht="17.25" customHeight="1" x14ac:dyDescent="0.3">
      <c r="A325" s="210">
        <f t="shared" si="42"/>
        <v>265</v>
      </c>
      <c r="B325" s="21" t="s">
        <v>336</v>
      </c>
      <c r="C325" s="5">
        <v>1965</v>
      </c>
      <c r="D325" s="3"/>
      <c r="E325" s="5" t="s">
        <v>3645</v>
      </c>
      <c r="F325" s="4">
        <v>2</v>
      </c>
      <c r="G325" s="26"/>
      <c r="H325" s="2">
        <v>477.7</v>
      </c>
      <c r="I325" s="4" t="s">
        <v>3669</v>
      </c>
      <c r="J325" s="19">
        <f t="shared" si="41"/>
        <v>1249846</v>
      </c>
      <c r="K325" s="73"/>
      <c r="L325" s="73"/>
      <c r="M325" s="73"/>
      <c r="N325" s="19">
        <f>SUMIF('2020'!B:B,B325,'2020'!C:C)+SUMIF('2021'!B:B,B325,'2021'!C:C)+SUMIF('2022'!B:B,B325,'2022'!C:C)</f>
        <v>1249846</v>
      </c>
      <c r="O325" s="17">
        <v>44925</v>
      </c>
      <c r="P325" s="5" t="s">
        <v>3728</v>
      </c>
    </row>
    <row r="326" spans="1:16" ht="17.25" customHeight="1" x14ac:dyDescent="0.3">
      <c r="A326" s="210">
        <f t="shared" si="42"/>
        <v>266</v>
      </c>
      <c r="B326" s="21" t="s">
        <v>337</v>
      </c>
      <c r="C326" s="5">
        <v>1970</v>
      </c>
      <c r="D326" s="3"/>
      <c r="E326" s="5" t="s">
        <v>3645</v>
      </c>
      <c r="F326" s="4">
        <v>2</v>
      </c>
      <c r="G326" s="26"/>
      <c r="H326" s="2">
        <v>517.16999999999996</v>
      </c>
      <c r="I326" s="4" t="s">
        <v>3746</v>
      </c>
      <c r="J326" s="19">
        <f t="shared" si="41"/>
        <v>130000</v>
      </c>
      <c r="K326" s="73"/>
      <c r="L326" s="73"/>
      <c r="M326" s="73"/>
      <c r="N326" s="19">
        <f>SUMIF('2020'!B:B,B326,'2020'!C:C)+SUMIF('2021'!B:B,B326,'2021'!C:C)+SUMIF('2022'!B:B,B326,'2022'!C:C)</f>
        <v>130000</v>
      </c>
      <c r="O326" s="17">
        <v>44925</v>
      </c>
      <c r="P326" s="5" t="s">
        <v>3728</v>
      </c>
    </row>
    <row r="327" spans="1:16" ht="17.25" customHeight="1" x14ac:dyDescent="0.3">
      <c r="A327" s="210">
        <f t="shared" si="42"/>
        <v>267</v>
      </c>
      <c r="B327" s="21" t="s">
        <v>338</v>
      </c>
      <c r="C327" s="5">
        <v>1970</v>
      </c>
      <c r="D327" s="3"/>
      <c r="E327" s="5" t="s">
        <v>3645</v>
      </c>
      <c r="F327" s="4">
        <v>2</v>
      </c>
      <c r="G327" s="26"/>
      <c r="H327" s="2">
        <v>504.43</v>
      </c>
      <c r="I327" s="4" t="s">
        <v>3659</v>
      </c>
      <c r="J327" s="19">
        <f t="shared" si="41"/>
        <v>130000</v>
      </c>
      <c r="K327" s="73"/>
      <c r="L327" s="73"/>
      <c r="M327" s="73"/>
      <c r="N327" s="19">
        <f>SUMIF('2020'!B:B,B327,'2020'!C:C)+SUMIF('2021'!B:B,B327,'2021'!C:C)+SUMIF('2022'!B:B,B327,'2022'!C:C)</f>
        <v>130000</v>
      </c>
      <c r="O327" s="17">
        <v>44925</v>
      </c>
      <c r="P327" s="5" t="s">
        <v>3728</v>
      </c>
    </row>
    <row r="328" spans="1:16" ht="17.25" customHeight="1" x14ac:dyDescent="0.3">
      <c r="A328" s="210">
        <f t="shared" si="42"/>
        <v>268</v>
      </c>
      <c r="B328" s="21" t="s">
        <v>339</v>
      </c>
      <c r="C328" s="5">
        <v>1971</v>
      </c>
      <c r="D328" s="3"/>
      <c r="E328" s="5" t="s">
        <v>3645</v>
      </c>
      <c r="F328" s="4">
        <v>2</v>
      </c>
      <c r="G328" s="26"/>
      <c r="H328" s="2">
        <v>521.79999999999995</v>
      </c>
      <c r="I328" s="4" t="s">
        <v>3659</v>
      </c>
      <c r="J328" s="19">
        <f t="shared" si="41"/>
        <v>130000</v>
      </c>
      <c r="K328" s="73"/>
      <c r="L328" s="73"/>
      <c r="M328" s="73"/>
      <c r="N328" s="19">
        <f>SUMIF('2020'!B:B,B328,'2020'!C:C)+SUMIF('2021'!B:B,B328,'2021'!C:C)+SUMIF('2022'!B:B,B328,'2022'!C:C)</f>
        <v>130000</v>
      </c>
      <c r="O328" s="17">
        <v>44925</v>
      </c>
      <c r="P328" s="5" t="s">
        <v>3728</v>
      </c>
    </row>
    <row r="329" spans="1:16" ht="17.25" customHeight="1" x14ac:dyDescent="0.3">
      <c r="A329" s="210">
        <f t="shared" si="42"/>
        <v>269</v>
      </c>
      <c r="B329" s="21" t="s">
        <v>340</v>
      </c>
      <c r="C329" s="5">
        <v>1969</v>
      </c>
      <c r="D329" s="3"/>
      <c r="E329" s="5" t="s">
        <v>3645</v>
      </c>
      <c r="F329" s="4">
        <v>2</v>
      </c>
      <c r="G329" s="26"/>
      <c r="H329" s="2">
        <v>531.70000000000005</v>
      </c>
      <c r="I329" s="4" t="s">
        <v>3653</v>
      </c>
      <c r="J329" s="19">
        <f t="shared" si="41"/>
        <v>62430.64</v>
      </c>
      <c r="K329" s="73"/>
      <c r="L329" s="73"/>
      <c r="M329" s="73"/>
      <c r="N329" s="19">
        <f>SUMIF('2020'!B:B,B329,'2020'!C:C)+SUMIF('2021'!B:B,B329,'2021'!C:C)+SUMIF('2022'!B:B,B329,'2022'!C:C)</f>
        <v>62430.64</v>
      </c>
      <c r="O329" s="17">
        <v>44925</v>
      </c>
      <c r="P329" s="5" t="s">
        <v>3728</v>
      </c>
    </row>
    <row r="330" spans="1:16" ht="17.25" customHeight="1" x14ac:dyDescent="0.3">
      <c r="A330" s="210">
        <f t="shared" si="42"/>
        <v>270</v>
      </c>
      <c r="B330" s="21" t="s">
        <v>341</v>
      </c>
      <c r="C330" s="5">
        <v>1971</v>
      </c>
      <c r="D330" s="3"/>
      <c r="E330" s="5" t="s">
        <v>3645</v>
      </c>
      <c r="F330" s="4">
        <v>2</v>
      </c>
      <c r="G330" s="26"/>
      <c r="H330" s="2">
        <v>252.2</v>
      </c>
      <c r="I330" s="4" t="s">
        <v>3653</v>
      </c>
      <c r="J330" s="19">
        <f t="shared" si="41"/>
        <v>130000</v>
      </c>
      <c r="K330" s="73"/>
      <c r="L330" s="73"/>
      <c r="M330" s="73"/>
      <c r="N330" s="19">
        <f>SUMIF('2020'!B:B,B330,'2020'!C:C)+SUMIF('2021'!B:B,B330,'2021'!C:C)+SUMIF('2022'!B:B,B330,'2022'!C:C)</f>
        <v>130000</v>
      </c>
      <c r="O330" s="17">
        <v>44925</v>
      </c>
      <c r="P330" s="5" t="s">
        <v>3728</v>
      </c>
    </row>
    <row r="331" spans="1:16" ht="17.25" customHeight="1" x14ac:dyDescent="0.3">
      <c r="A331" s="210">
        <f t="shared" si="42"/>
        <v>271</v>
      </c>
      <c r="B331" s="21" t="s">
        <v>342</v>
      </c>
      <c r="C331" s="5">
        <v>1969</v>
      </c>
      <c r="D331" s="3"/>
      <c r="E331" s="5" t="s">
        <v>3645</v>
      </c>
      <c r="F331" s="4">
        <v>2</v>
      </c>
      <c r="G331" s="26"/>
      <c r="H331" s="2">
        <v>528.70000000000005</v>
      </c>
      <c r="I331" s="4" t="s">
        <v>3719</v>
      </c>
      <c r="J331" s="19">
        <f t="shared" si="41"/>
        <v>130000</v>
      </c>
      <c r="K331" s="73"/>
      <c r="L331" s="73"/>
      <c r="M331" s="73"/>
      <c r="N331" s="19">
        <f>SUMIF('2020'!B:B,B331,'2020'!C:C)+SUMIF('2021'!B:B,B331,'2021'!C:C)+SUMIF('2022'!B:B,B331,'2022'!C:C)</f>
        <v>130000</v>
      </c>
      <c r="O331" s="17">
        <v>44925</v>
      </c>
      <c r="P331" s="5" t="s">
        <v>3728</v>
      </c>
    </row>
    <row r="332" spans="1:16" ht="17.25" customHeight="1" x14ac:dyDescent="0.3">
      <c r="A332" s="210">
        <f t="shared" si="42"/>
        <v>272</v>
      </c>
      <c r="B332" s="21" t="s">
        <v>343</v>
      </c>
      <c r="C332" s="5">
        <v>1969</v>
      </c>
      <c r="D332" s="3"/>
      <c r="E332" s="5" t="s">
        <v>3645</v>
      </c>
      <c r="F332" s="4">
        <v>2</v>
      </c>
      <c r="G332" s="26"/>
      <c r="H332" s="2">
        <v>523.29999999999995</v>
      </c>
      <c r="I332" s="4" t="s">
        <v>3669</v>
      </c>
      <c r="J332" s="19">
        <f t="shared" si="41"/>
        <v>130000</v>
      </c>
      <c r="K332" s="73"/>
      <c r="L332" s="73"/>
      <c r="M332" s="73"/>
      <c r="N332" s="19">
        <f>SUMIF('2020'!B:B,B332,'2020'!C:C)+SUMIF('2021'!B:B,B332,'2021'!C:C)+SUMIF('2022'!B:B,B332,'2022'!C:C)</f>
        <v>130000</v>
      </c>
      <c r="O332" s="17">
        <v>44925</v>
      </c>
      <c r="P332" s="5" t="s">
        <v>3728</v>
      </c>
    </row>
    <row r="333" spans="1:16" ht="17.25" customHeight="1" x14ac:dyDescent="0.3">
      <c r="A333" s="210">
        <f t="shared" si="42"/>
        <v>273</v>
      </c>
      <c r="B333" s="21" t="s">
        <v>344</v>
      </c>
      <c r="C333" s="5">
        <v>1971</v>
      </c>
      <c r="D333" s="3"/>
      <c r="E333" s="5" t="s">
        <v>3645</v>
      </c>
      <c r="F333" s="4">
        <v>2</v>
      </c>
      <c r="G333" s="26"/>
      <c r="H333" s="2">
        <v>529.69000000000005</v>
      </c>
      <c r="I333" s="4" t="s">
        <v>3682</v>
      </c>
      <c r="J333" s="19">
        <f t="shared" si="41"/>
        <v>130000</v>
      </c>
      <c r="K333" s="73"/>
      <c r="L333" s="73"/>
      <c r="M333" s="73"/>
      <c r="N333" s="19">
        <f>SUMIF('2020'!B:B,B333,'2020'!C:C)+SUMIF('2021'!B:B,B333,'2021'!C:C)+SUMIF('2022'!B:B,B333,'2022'!C:C)</f>
        <v>130000</v>
      </c>
      <c r="O333" s="17">
        <v>44925</v>
      </c>
      <c r="P333" s="5" t="s">
        <v>3728</v>
      </c>
    </row>
    <row r="334" spans="1:16" ht="17.25" customHeight="1" x14ac:dyDescent="0.3">
      <c r="A334" s="210">
        <f t="shared" si="42"/>
        <v>274</v>
      </c>
      <c r="B334" s="21" t="s">
        <v>345</v>
      </c>
      <c r="C334" s="5">
        <v>1965</v>
      </c>
      <c r="D334" s="3"/>
      <c r="E334" s="5" t="s">
        <v>3645</v>
      </c>
      <c r="F334" s="4">
        <v>2</v>
      </c>
      <c r="G334" s="26"/>
      <c r="H334" s="2">
        <v>507.13</v>
      </c>
      <c r="I334" s="4" t="s">
        <v>3720</v>
      </c>
      <c r="J334" s="19">
        <f t="shared" si="41"/>
        <v>120421.86</v>
      </c>
      <c r="K334" s="73"/>
      <c r="L334" s="73"/>
      <c r="M334" s="73"/>
      <c r="N334" s="19">
        <f>SUMIF('2020'!B:B,B334,'2020'!C:C)+SUMIF('2021'!B:B,B334,'2021'!C:C)+SUMIF('2022'!B:B,B334,'2022'!C:C)</f>
        <v>120421.86</v>
      </c>
      <c r="O334" s="17">
        <v>44925</v>
      </c>
      <c r="P334" s="5" t="s">
        <v>3728</v>
      </c>
    </row>
    <row r="335" spans="1:16" ht="17.25" customHeight="1" x14ac:dyDescent="0.3">
      <c r="A335" s="210">
        <f t="shared" si="42"/>
        <v>275</v>
      </c>
      <c r="B335" s="21" t="s">
        <v>346</v>
      </c>
      <c r="C335" s="5">
        <v>1970</v>
      </c>
      <c r="D335" s="3"/>
      <c r="E335" s="5" t="s">
        <v>3645</v>
      </c>
      <c r="F335" s="4">
        <v>2</v>
      </c>
      <c r="G335" s="26"/>
      <c r="H335" s="2">
        <v>517.20000000000005</v>
      </c>
      <c r="I335" s="4" t="s">
        <v>3747</v>
      </c>
      <c r="J335" s="19">
        <f t="shared" si="41"/>
        <v>90487.78</v>
      </c>
      <c r="K335" s="73"/>
      <c r="L335" s="73"/>
      <c r="M335" s="73"/>
      <c r="N335" s="19">
        <f>SUMIF('2020'!B:B,B335,'2020'!C:C)+SUMIF('2021'!B:B,B335,'2021'!C:C)+SUMIF('2022'!B:B,B335,'2022'!C:C)</f>
        <v>90487.78</v>
      </c>
      <c r="O335" s="17">
        <v>44925</v>
      </c>
      <c r="P335" s="5" t="s">
        <v>3728</v>
      </c>
    </row>
    <row r="336" spans="1:16" ht="17.25" customHeight="1" x14ac:dyDescent="0.3">
      <c r="A336" s="210">
        <f t="shared" si="42"/>
        <v>276</v>
      </c>
      <c r="B336" s="21" t="s">
        <v>347</v>
      </c>
      <c r="C336" s="5">
        <v>1976</v>
      </c>
      <c r="D336" s="3"/>
      <c r="E336" s="5" t="s">
        <v>3645</v>
      </c>
      <c r="F336" s="4">
        <v>2</v>
      </c>
      <c r="G336" s="26"/>
      <c r="H336" s="2">
        <v>753</v>
      </c>
      <c r="I336" s="4" t="s">
        <v>3653</v>
      </c>
      <c r="J336" s="19">
        <f t="shared" si="41"/>
        <v>209056.82</v>
      </c>
      <c r="K336" s="73"/>
      <c r="L336" s="73"/>
      <c r="M336" s="73"/>
      <c r="N336" s="19">
        <f>SUMIF('2020'!B:B,B336,'2020'!C:C)+SUMIF('2021'!B:B,B336,'2021'!C:C)+SUMIF('2022'!B:B,B336,'2022'!C:C)</f>
        <v>209056.82</v>
      </c>
      <c r="O336" s="17">
        <v>44925</v>
      </c>
      <c r="P336" s="5" t="s">
        <v>3728</v>
      </c>
    </row>
    <row r="337" spans="1:16" ht="17.25" customHeight="1" x14ac:dyDescent="0.3">
      <c r="A337" s="210">
        <f t="shared" si="42"/>
        <v>277</v>
      </c>
      <c r="B337" s="21" t="s">
        <v>348</v>
      </c>
      <c r="C337" s="5">
        <v>1917</v>
      </c>
      <c r="D337" s="3"/>
      <c r="E337" s="5" t="s">
        <v>3645</v>
      </c>
      <c r="F337" s="4">
        <v>2</v>
      </c>
      <c r="G337" s="26"/>
      <c r="H337" s="2">
        <v>517.1</v>
      </c>
      <c r="I337" s="4" t="s">
        <v>3746</v>
      </c>
      <c r="J337" s="19">
        <f t="shared" si="41"/>
        <v>160697.75</v>
      </c>
      <c r="K337" s="73"/>
      <c r="L337" s="73"/>
      <c r="M337" s="73"/>
      <c r="N337" s="19">
        <f>SUMIF('2020'!B:B,B337,'2020'!C:C)+SUMIF('2021'!B:B,B337,'2021'!C:C)+SUMIF('2022'!B:B,B337,'2022'!C:C)</f>
        <v>160697.75</v>
      </c>
      <c r="O337" s="17">
        <v>44925</v>
      </c>
      <c r="P337" s="5" t="s">
        <v>3728</v>
      </c>
    </row>
    <row r="338" spans="1:16" ht="17.25" customHeight="1" x14ac:dyDescent="0.3">
      <c r="A338" s="210">
        <f t="shared" si="42"/>
        <v>278</v>
      </c>
      <c r="B338" s="21" t="s">
        <v>349</v>
      </c>
      <c r="C338" s="5">
        <v>1964</v>
      </c>
      <c r="D338" s="3"/>
      <c r="E338" s="5" t="s">
        <v>3645</v>
      </c>
      <c r="F338" s="4">
        <v>2</v>
      </c>
      <c r="G338" s="26"/>
      <c r="H338" s="2">
        <v>465.05</v>
      </c>
      <c r="I338" s="4" t="s">
        <v>3748</v>
      </c>
      <c r="J338" s="19">
        <f t="shared" si="41"/>
        <v>1853958.2199999997</v>
      </c>
      <c r="K338" s="73"/>
      <c r="L338" s="73"/>
      <c r="M338" s="73"/>
      <c r="N338" s="19">
        <f>SUMIF('2020'!B:B,B338,'2020'!C:C)+SUMIF('2021'!B:B,B338,'2021'!C:C)+SUMIF('2022'!B:B,B338,'2022'!C:C)</f>
        <v>1853958.2199999997</v>
      </c>
      <c r="O338" s="17">
        <v>44925</v>
      </c>
      <c r="P338" s="5" t="s">
        <v>3728</v>
      </c>
    </row>
    <row r="339" spans="1:16" ht="17.25" customHeight="1" x14ac:dyDescent="0.3">
      <c r="A339" s="210">
        <f t="shared" si="42"/>
        <v>279</v>
      </c>
      <c r="B339" s="21" t="s">
        <v>350</v>
      </c>
      <c r="C339" s="5">
        <v>1964</v>
      </c>
      <c r="D339" s="3"/>
      <c r="E339" s="5" t="s">
        <v>3645</v>
      </c>
      <c r="F339" s="4">
        <v>2</v>
      </c>
      <c r="G339" s="26"/>
      <c r="H339" s="2">
        <v>497.32</v>
      </c>
      <c r="I339" s="4" t="s">
        <v>3719</v>
      </c>
      <c r="J339" s="19">
        <f t="shared" si="41"/>
        <v>1119846</v>
      </c>
      <c r="K339" s="73"/>
      <c r="L339" s="73"/>
      <c r="M339" s="73"/>
      <c r="N339" s="19">
        <f>SUMIF('2020'!B:B,B339,'2020'!C:C)+SUMIF('2021'!B:B,B339,'2021'!C:C)+SUMIF('2022'!B:B,B339,'2022'!C:C)</f>
        <v>1119846</v>
      </c>
      <c r="O339" s="17">
        <v>44925</v>
      </c>
      <c r="P339" s="5" t="s">
        <v>3728</v>
      </c>
    </row>
    <row r="340" spans="1:16" ht="17.25" customHeight="1" x14ac:dyDescent="0.3">
      <c r="A340" s="210">
        <f t="shared" si="42"/>
        <v>280</v>
      </c>
      <c r="B340" s="21" t="s">
        <v>351</v>
      </c>
      <c r="C340" s="5">
        <v>1964</v>
      </c>
      <c r="D340" s="3"/>
      <c r="E340" s="5" t="s">
        <v>3645</v>
      </c>
      <c r="F340" s="4">
        <v>2</v>
      </c>
      <c r="G340" s="26"/>
      <c r="H340" s="2">
        <v>481.81</v>
      </c>
      <c r="I340" s="4" t="s">
        <v>3721</v>
      </c>
      <c r="J340" s="19">
        <f t="shared" si="41"/>
        <v>1119846</v>
      </c>
      <c r="K340" s="73"/>
      <c r="L340" s="73"/>
      <c r="M340" s="73"/>
      <c r="N340" s="19">
        <f>SUMIF('2020'!B:B,B340,'2020'!C:C)+SUMIF('2021'!B:B,B340,'2021'!C:C)+SUMIF('2022'!B:B,B340,'2022'!C:C)</f>
        <v>1119846</v>
      </c>
      <c r="O340" s="17">
        <v>44925</v>
      </c>
      <c r="P340" s="5" t="s">
        <v>3728</v>
      </c>
    </row>
    <row r="341" spans="1:16" ht="17.25" customHeight="1" x14ac:dyDescent="0.3">
      <c r="A341" s="210">
        <f t="shared" si="42"/>
        <v>281</v>
      </c>
      <c r="B341" s="21" t="s">
        <v>352</v>
      </c>
      <c r="C341" s="5">
        <v>1963</v>
      </c>
      <c r="D341" s="3"/>
      <c r="E341" s="5" t="s">
        <v>3645</v>
      </c>
      <c r="F341" s="4">
        <v>2</v>
      </c>
      <c r="G341" s="26"/>
      <c r="H341" s="2">
        <v>463.5</v>
      </c>
      <c r="I341" s="4" t="s">
        <v>3719</v>
      </c>
      <c r="J341" s="19">
        <f t="shared" si="41"/>
        <v>1119846</v>
      </c>
      <c r="K341" s="73"/>
      <c r="L341" s="73"/>
      <c r="M341" s="73"/>
      <c r="N341" s="19">
        <f>SUMIF('2020'!B:B,B341,'2020'!C:C)+SUMIF('2021'!B:B,B341,'2021'!C:C)+SUMIF('2022'!B:B,B341,'2022'!C:C)</f>
        <v>1119846</v>
      </c>
      <c r="O341" s="17">
        <v>44925</v>
      </c>
      <c r="P341" s="5" t="s">
        <v>3728</v>
      </c>
    </row>
    <row r="342" spans="1:16" ht="17.25" customHeight="1" x14ac:dyDescent="0.3">
      <c r="A342" s="210">
        <f t="shared" si="42"/>
        <v>282</v>
      </c>
      <c r="B342" s="21" t="s">
        <v>353</v>
      </c>
      <c r="C342" s="5">
        <v>1917</v>
      </c>
      <c r="D342" s="3"/>
      <c r="E342" s="5" t="s">
        <v>3730</v>
      </c>
      <c r="F342" s="4" t="s">
        <v>3741</v>
      </c>
      <c r="G342" s="26"/>
      <c r="H342" s="2">
        <v>143.21</v>
      </c>
      <c r="I342" s="4" t="s">
        <v>3741</v>
      </c>
      <c r="J342" s="19">
        <f t="shared" si="41"/>
        <v>5572908.8200000003</v>
      </c>
      <c r="K342" s="73"/>
      <c r="L342" s="73"/>
      <c r="M342" s="73"/>
      <c r="N342" s="19">
        <f>SUMIF('2020'!B:B,B342,'2020'!C:C)+SUMIF('2021'!B:B,B342,'2021'!C:C)+SUMIF('2022'!B:B,B342,'2022'!C:C)</f>
        <v>5572908.8200000003</v>
      </c>
      <c r="O342" s="17">
        <v>44925</v>
      </c>
      <c r="P342" s="5" t="s">
        <v>3728</v>
      </c>
    </row>
    <row r="343" spans="1:16" ht="17.25" customHeight="1" x14ac:dyDescent="0.3">
      <c r="A343" s="210">
        <f t="shared" si="42"/>
        <v>283</v>
      </c>
      <c r="B343" s="21" t="s">
        <v>354</v>
      </c>
      <c r="C343" s="5">
        <v>1917</v>
      </c>
      <c r="D343" s="3"/>
      <c r="E343" s="5" t="s">
        <v>3730</v>
      </c>
      <c r="F343" s="4" t="s">
        <v>3742</v>
      </c>
      <c r="G343" s="26"/>
      <c r="H343" s="2">
        <v>326.98</v>
      </c>
      <c r="I343" s="4" t="s">
        <v>3749</v>
      </c>
      <c r="J343" s="19">
        <f t="shared" si="41"/>
        <v>4644915.2000000002</v>
      </c>
      <c r="K343" s="73"/>
      <c r="L343" s="73"/>
      <c r="M343" s="73"/>
      <c r="N343" s="19">
        <f>SUMIF('2020'!B:B,B343,'2020'!C:C)+SUMIF('2021'!B:B,B343,'2021'!C:C)+SUMIF('2022'!B:B,B343,'2022'!C:C)</f>
        <v>4644915.2000000002</v>
      </c>
      <c r="O343" s="17">
        <v>44925</v>
      </c>
      <c r="P343" s="5" t="s">
        <v>3728</v>
      </c>
    </row>
    <row r="344" spans="1:16" ht="17.25" customHeight="1" x14ac:dyDescent="0.3">
      <c r="A344" s="210">
        <f t="shared" si="42"/>
        <v>284</v>
      </c>
      <c r="B344" s="21" t="s">
        <v>355</v>
      </c>
      <c r="C344" s="5">
        <v>1917</v>
      </c>
      <c r="D344" s="3"/>
      <c r="E344" s="5" t="s">
        <v>3730</v>
      </c>
      <c r="F344" s="4">
        <v>2</v>
      </c>
      <c r="G344" s="26"/>
      <c r="H344" s="2">
        <v>139.91999999999999</v>
      </c>
      <c r="I344" s="4" t="s">
        <v>3750</v>
      </c>
      <c r="J344" s="19">
        <f t="shared" si="41"/>
        <v>757123</v>
      </c>
      <c r="K344" s="73"/>
      <c r="L344" s="73"/>
      <c r="M344" s="73"/>
      <c r="N344" s="19">
        <f>SUMIF('2020'!B:B,B344,'2020'!C:C)+SUMIF('2021'!B:B,B344,'2021'!C:C)+SUMIF('2022'!B:B,B344,'2022'!C:C)</f>
        <v>757123</v>
      </c>
      <c r="O344" s="17">
        <v>44925</v>
      </c>
      <c r="P344" s="5" t="s">
        <v>3728</v>
      </c>
    </row>
    <row r="345" spans="1:16" ht="17.25" customHeight="1" x14ac:dyDescent="0.3">
      <c r="A345" s="210">
        <f t="shared" si="42"/>
        <v>285</v>
      </c>
      <c r="B345" s="21" t="s">
        <v>356</v>
      </c>
      <c r="C345" s="5">
        <v>1917</v>
      </c>
      <c r="D345" s="3"/>
      <c r="E345" s="5" t="s">
        <v>3645</v>
      </c>
      <c r="F345" s="4" t="s">
        <v>3743</v>
      </c>
      <c r="G345" s="26"/>
      <c r="H345" s="2">
        <v>453.23</v>
      </c>
      <c r="I345" s="4" t="s">
        <v>3706</v>
      </c>
      <c r="J345" s="19">
        <f t="shared" si="41"/>
        <v>16277135.699999999</v>
      </c>
      <c r="K345" s="73"/>
      <c r="L345" s="73"/>
      <c r="M345" s="73"/>
      <c r="N345" s="19">
        <f>SUMIF('2020'!B:B,B345,'2020'!C:C)+SUMIF('2021'!B:B,B345,'2021'!C:C)+SUMIF('2022'!B:B,B345,'2022'!C:C)</f>
        <v>16277135.699999999</v>
      </c>
      <c r="O345" s="17">
        <v>44925</v>
      </c>
      <c r="P345" s="5" t="s">
        <v>3728</v>
      </c>
    </row>
    <row r="346" spans="1:16" ht="17.25" customHeight="1" x14ac:dyDescent="0.3">
      <c r="A346" s="210">
        <f t="shared" si="42"/>
        <v>286</v>
      </c>
      <c r="B346" s="21" t="s">
        <v>357</v>
      </c>
      <c r="C346" s="5">
        <v>1960</v>
      </c>
      <c r="D346" s="3"/>
      <c r="E346" s="5" t="s">
        <v>3645</v>
      </c>
      <c r="F346" s="5">
        <v>2</v>
      </c>
      <c r="G346" s="26"/>
      <c r="H346" s="5">
        <v>488.06</v>
      </c>
      <c r="I346" s="5">
        <v>21</v>
      </c>
      <c r="J346" s="19">
        <f t="shared" si="41"/>
        <v>1621307.68</v>
      </c>
      <c r="K346" s="73"/>
      <c r="L346" s="73"/>
      <c r="M346" s="73"/>
      <c r="N346" s="19">
        <f>SUMIF('2020'!B:B,B346,'2020'!C:C)+SUMIF('2021'!B:B,B346,'2021'!C:C)+SUMIF('2022'!B:B,B346,'2022'!C:C)</f>
        <v>1621307.68</v>
      </c>
      <c r="O346" s="17">
        <v>44925</v>
      </c>
      <c r="P346" s="5" t="s">
        <v>3728</v>
      </c>
    </row>
    <row r="347" spans="1:16" ht="17.25" customHeight="1" x14ac:dyDescent="0.3">
      <c r="A347" s="210">
        <f t="shared" si="42"/>
        <v>287</v>
      </c>
      <c r="B347" s="21" t="s">
        <v>358</v>
      </c>
      <c r="C347" s="5">
        <v>1917</v>
      </c>
      <c r="D347" s="3"/>
      <c r="E347" s="5" t="s">
        <v>3730</v>
      </c>
      <c r="F347" s="4">
        <v>2</v>
      </c>
      <c r="G347" s="26"/>
      <c r="H347" s="2">
        <v>301.64</v>
      </c>
      <c r="I347" s="4" t="s">
        <v>3751</v>
      </c>
      <c r="J347" s="19">
        <f t="shared" si="41"/>
        <v>2490109</v>
      </c>
      <c r="K347" s="73"/>
      <c r="L347" s="73"/>
      <c r="M347" s="73"/>
      <c r="N347" s="19">
        <f>SUMIF('2020'!B:B,B347,'2020'!C:C)+SUMIF('2021'!B:B,B347,'2021'!C:C)+SUMIF('2022'!B:B,B347,'2022'!C:C)</f>
        <v>2490109</v>
      </c>
      <c r="O347" s="17">
        <v>44925</v>
      </c>
      <c r="P347" s="5" t="s">
        <v>3728</v>
      </c>
    </row>
    <row r="348" spans="1:16" ht="17.25" customHeight="1" x14ac:dyDescent="0.3">
      <c r="A348" s="210">
        <f t="shared" si="42"/>
        <v>288</v>
      </c>
      <c r="B348" s="21" t="s">
        <v>359</v>
      </c>
      <c r="C348" s="5">
        <v>1958</v>
      </c>
      <c r="D348" s="3"/>
      <c r="E348" s="5" t="s">
        <v>3730</v>
      </c>
      <c r="F348" s="4" t="s">
        <v>3741</v>
      </c>
      <c r="G348" s="26"/>
      <c r="H348" s="2">
        <v>184.5</v>
      </c>
      <c r="I348" s="4" t="s">
        <v>3752</v>
      </c>
      <c r="J348" s="19">
        <f t="shared" si="41"/>
        <v>194502.40000000002</v>
      </c>
      <c r="K348" s="73"/>
      <c r="L348" s="73"/>
      <c r="M348" s="73"/>
      <c r="N348" s="19">
        <f>SUMIF('2020'!B:B,B348,'2020'!C:C)+SUMIF('2021'!B:B,B348,'2021'!C:C)+SUMIF('2022'!B:B,B348,'2022'!C:C)</f>
        <v>194502.40000000002</v>
      </c>
      <c r="O348" s="17">
        <v>44925</v>
      </c>
      <c r="P348" s="5" t="s">
        <v>3728</v>
      </c>
    </row>
    <row r="349" spans="1:16" ht="17.25" customHeight="1" x14ac:dyDescent="0.3">
      <c r="A349" s="210">
        <f t="shared" si="42"/>
        <v>289</v>
      </c>
      <c r="B349" s="21" t="s">
        <v>360</v>
      </c>
      <c r="C349" s="5">
        <v>1965</v>
      </c>
      <c r="D349" s="3"/>
      <c r="E349" s="5" t="s">
        <v>3645</v>
      </c>
      <c r="F349" s="4">
        <v>2</v>
      </c>
      <c r="G349" s="26"/>
      <c r="H349" s="2">
        <v>664.02</v>
      </c>
      <c r="I349" s="4" t="s">
        <v>3663</v>
      </c>
      <c r="J349" s="19">
        <f t="shared" si="41"/>
        <v>130000</v>
      </c>
      <c r="K349" s="73"/>
      <c r="L349" s="73"/>
      <c r="M349" s="73"/>
      <c r="N349" s="19">
        <f>SUMIF('2020'!B:B,B349,'2020'!C:C)+SUMIF('2021'!B:B,B349,'2021'!C:C)+SUMIF('2022'!B:B,B349,'2022'!C:C)</f>
        <v>130000</v>
      </c>
      <c r="O349" s="17">
        <v>44925</v>
      </c>
      <c r="P349" s="5" t="s">
        <v>3728</v>
      </c>
    </row>
    <row r="350" spans="1:16" ht="17.25" customHeight="1" x14ac:dyDescent="0.3">
      <c r="A350" s="210">
        <f t="shared" si="42"/>
        <v>290</v>
      </c>
      <c r="B350" s="21" t="s">
        <v>361</v>
      </c>
      <c r="C350" s="5">
        <v>1971</v>
      </c>
      <c r="D350" s="3"/>
      <c r="E350" s="5" t="s">
        <v>3645</v>
      </c>
      <c r="F350" s="4">
        <v>3</v>
      </c>
      <c r="G350" s="26"/>
      <c r="H350" s="2">
        <v>1520.7</v>
      </c>
      <c r="I350" s="4" t="s">
        <v>3753</v>
      </c>
      <c r="J350" s="19">
        <f t="shared" si="41"/>
        <v>233269.6</v>
      </c>
      <c r="K350" s="73"/>
      <c r="L350" s="73"/>
      <c r="M350" s="73"/>
      <c r="N350" s="19">
        <f>SUMIF('2020'!B:B,B350,'2020'!C:C)+SUMIF('2021'!B:B,B350,'2021'!C:C)+SUMIF('2022'!B:B,B350,'2022'!C:C)</f>
        <v>233269.6</v>
      </c>
      <c r="O350" s="17">
        <v>44925</v>
      </c>
      <c r="P350" s="5" t="s">
        <v>3728</v>
      </c>
    </row>
    <row r="351" spans="1:16" ht="17.25" customHeight="1" x14ac:dyDescent="0.3">
      <c r="A351" s="210">
        <f t="shared" si="42"/>
        <v>291</v>
      </c>
      <c r="B351" s="21" t="s">
        <v>362</v>
      </c>
      <c r="C351" s="5">
        <v>1917</v>
      </c>
      <c r="D351" s="3"/>
      <c r="E351" s="5" t="s">
        <v>3730</v>
      </c>
      <c r="F351" s="4">
        <v>2</v>
      </c>
      <c r="G351" s="26"/>
      <c r="H351" s="2">
        <v>177.58</v>
      </c>
      <c r="I351" s="4" t="s">
        <v>3748</v>
      </c>
      <c r="J351" s="19">
        <f t="shared" si="41"/>
        <v>3731921.6399999997</v>
      </c>
      <c r="K351" s="73"/>
      <c r="L351" s="73"/>
      <c r="M351" s="73"/>
      <c r="N351" s="19">
        <f>SUMIF('2020'!B:B,B351,'2020'!C:C)+SUMIF('2021'!B:B,B351,'2021'!C:C)+SUMIF('2022'!B:B,B351,'2022'!C:C)</f>
        <v>3731921.6399999997</v>
      </c>
      <c r="O351" s="17">
        <v>44925</v>
      </c>
      <c r="P351" s="5" t="s">
        <v>3728</v>
      </c>
    </row>
    <row r="352" spans="1:16" ht="17.25" customHeight="1" x14ac:dyDescent="0.3">
      <c r="A352" s="210">
        <f t="shared" si="42"/>
        <v>292</v>
      </c>
      <c r="B352" s="21" t="s">
        <v>363</v>
      </c>
      <c r="C352" s="5">
        <v>1974</v>
      </c>
      <c r="D352" s="3"/>
      <c r="E352" s="5" t="s">
        <v>3645</v>
      </c>
      <c r="F352" s="4">
        <v>2</v>
      </c>
      <c r="G352" s="26"/>
      <c r="H352" s="2">
        <v>512.9</v>
      </c>
      <c r="I352" s="4" t="s">
        <v>3719</v>
      </c>
      <c r="J352" s="19">
        <f t="shared" si="41"/>
        <v>259520.03</v>
      </c>
      <c r="K352" s="73"/>
      <c r="L352" s="73"/>
      <c r="M352" s="73"/>
      <c r="N352" s="19">
        <f>SUMIF('2020'!B:B,B352,'2020'!C:C)+SUMIF('2021'!B:B,B352,'2021'!C:C)+SUMIF('2022'!B:B,B352,'2022'!C:C)</f>
        <v>259520.03</v>
      </c>
      <c r="O352" s="17">
        <v>44925</v>
      </c>
      <c r="P352" s="5" t="s">
        <v>3728</v>
      </c>
    </row>
    <row r="353" spans="1:16" ht="17.25" customHeight="1" x14ac:dyDescent="0.3">
      <c r="A353" s="210">
        <f t="shared" si="42"/>
        <v>293</v>
      </c>
      <c r="B353" s="21" t="s">
        <v>364</v>
      </c>
      <c r="C353" s="5">
        <v>1981</v>
      </c>
      <c r="D353" s="3"/>
      <c r="E353" s="5" t="s">
        <v>3645</v>
      </c>
      <c r="F353" s="4">
        <v>2</v>
      </c>
      <c r="G353" s="26"/>
      <c r="H353" s="2">
        <v>762.9</v>
      </c>
      <c r="I353" s="4" t="s">
        <v>3721</v>
      </c>
      <c r="J353" s="19">
        <f t="shared" si="41"/>
        <v>347916.94999999995</v>
      </c>
      <c r="K353" s="73"/>
      <c r="L353" s="73"/>
      <c r="M353" s="73"/>
      <c r="N353" s="19">
        <f>SUMIF('2020'!B:B,B353,'2020'!C:C)+SUMIF('2021'!B:B,B353,'2021'!C:C)+SUMIF('2022'!B:B,B353,'2022'!C:C)</f>
        <v>347916.94999999995</v>
      </c>
      <c r="O353" s="17">
        <v>44925</v>
      </c>
      <c r="P353" s="5" t="s">
        <v>3728</v>
      </c>
    </row>
    <row r="354" spans="1:16" ht="17.25" customHeight="1" x14ac:dyDescent="0.3">
      <c r="A354" s="210">
        <f t="shared" si="42"/>
        <v>294</v>
      </c>
      <c r="B354" s="21" t="s">
        <v>365</v>
      </c>
      <c r="C354" s="5">
        <v>1978</v>
      </c>
      <c r="D354" s="3"/>
      <c r="E354" s="5" t="s">
        <v>3645</v>
      </c>
      <c r="F354" s="4">
        <v>2</v>
      </c>
      <c r="G354" s="26"/>
      <c r="H354" s="2">
        <v>750.39</v>
      </c>
      <c r="I354" s="4" t="s">
        <v>3682</v>
      </c>
      <c r="J354" s="19">
        <f t="shared" si="41"/>
        <v>347916.94999999995</v>
      </c>
      <c r="K354" s="73"/>
      <c r="L354" s="73"/>
      <c r="M354" s="73"/>
      <c r="N354" s="19">
        <f>SUMIF('2020'!B:B,B354,'2020'!C:C)+SUMIF('2021'!B:B,B354,'2021'!C:C)+SUMIF('2022'!B:B,B354,'2022'!C:C)</f>
        <v>347916.94999999995</v>
      </c>
      <c r="O354" s="17">
        <v>44925</v>
      </c>
      <c r="P354" s="5" t="s">
        <v>3728</v>
      </c>
    </row>
    <row r="355" spans="1:16" ht="17.25" customHeight="1" x14ac:dyDescent="0.3">
      <c r="A355" s="210">
        <f t="shared" si="42"/>
        <v>295</v>
      </c>
      <c r="B355" s="21" t="s">
        <v>366</v>
      </c>
      <c r="C355" s="5">
        <v>1979</v>
      </c>
      <c r="D355" s="3"/>
      <c r="E355" s="5" t="s">
        <v>3645</v>
      </c>
      <c r="F355" s="4">
        <v>2</v>
      </c>
      <c r="G355" s="26"/>
      <c r="H355" s="2">
        <v>750.83</v>
      </c>
      <c r="I355" s="4" t="s">
        <v>3685</v>
      </c>
      <c r="J355" s="19">
        <f t="shared" si="41"/>
        <v>347916.94999999995</v>
      </c>
      <c r="K355" s="73"/>
      <c r="L355" s="73"/>
      <c r="M355" s="73"/>
      <c r="N355" s="19">
        <f>SUMIF('2020'!B:B,B355,'2020'!C:C)+SUMIF('2021'!B:B,B355,'2021'!C:C)+SUMIF('2022'!B:B,B355,'2022'!C:C)</f>
        <v>347916.94999999995</v>
      </c>
      <c r="O355" s="17">
        <v>44925</v>
      </c>
      <c r="P355" s="5" t="s">
        <v>3728</v>
      </c>
    </row>
    <row r="356" spans="1:16" ht="17.25" customHeight="1" x14ac:dyDescent="0.3">
      <c r="A356" s="210">
        <f t="shared" si="42"/>
        <v>296</v>
      </c>
      <c r="B356" s="21" t="s">
        <v>367</v>
      </c>
      <c r="C356" s="5">
        <v>1982</v>
      </c>
      <c r="D356" s="3"/>
      <c r="E356" s="5" t="s">
        <v>3645</v>
      </c>
      <c r="F356" s="4">
        <v>2</v>
      </c>
      <c r="G356" s="26"/>
      <c r="H356" s="2">
        <v>803.7</v>
      </c>
      <c r="I356" s="4" t="s">
        <v>3663</v>
      </c>
      <c r="J356" s="19">
        <f t="shared" si="41"/>
        <v>347916.94999999995</v>
      </c>
      <c r="K356" s="73"/>
      <c r="L356" s="73"/>
      <c r="M356" s="73"/>
      <c r="N356" s="19">
        <f>SUMIF('2020'!B:B,B356,'2020'!C:C)+SUMIF('2021'!B:B,B356,'2021'!C:C)+SUMIF('2022'!B:B,B356,'2022'!C:C)</f>
        <v>347916.94999999995</v>
      </c>
      <c r="O356" s="17">
        <v>44925</v>
      </c>
      <c r="P356" s="5" t="s">
        <v>3728</v>
      </c>
    </row>
    <row r="357" spans="1:16" ht="17.25" customHeight="1" x14ac:dyDescent="0.3">
      <c r="A357" s="210">
        <f t="shared" si="42"/>
        <v>297</v>
      </c>
      <c r="B357" s="21" t="s">
        <v>368</v>
      </c>
      <c r="C357" s="5">
        <v>1968</v>
      </c>
      <c r="D357" s="3"/>
      <c r="E357" s="5" t="s">
        <v>3730</v>
      </c>
      <c r="F357" s="3">
        <v>1</v>
      </c>
      <c r="G357" s="26"/>
      <c r="H357" s="3">
        <v>159.1</v>
      </c>
      <c r="I357" s="3">
        <v>6</v>
      </c>
      <c r="J357" s="19">
        <f t="shared" si="41"/>
        <v>130000</v>
      </c>
      <c r="K357" s="73"/>
      <c r="L357" s="73"/>
      <c r="M357" s="73"/>
      <c r="N357" s="19">
        <f>SUMIF('2020'!B:B,B357,'2020'!C:C)+SUMIF('2021'!B:B,B357,'2021'!C:C)+SUMIF('2022'!B:B,B357,'2022'!C:C)</f>
        <v>130000</v>
      </c>
      <c r="O357" s="17">
        <v>44925</v>
      </c>
      <c r="P357" s="5" t="s">
        <v>3728</v>
      </c>
    </row>
    <row r="358" spans="1:16" ht="17.25" customHeight="1" x14ac:dyDescent="0.3">
      <c r="A358" s="210">
        <f t="shared" si="42"/>
        <v>298</v>
      </c>
      <c r="B358" s="21" t="s">
        <v>369</v>
      </c>
      <c r="C358" s="5">
        <v>1955</v>
      </c>
      <c r="D358" s="3"/>
      <c r="E358" s="5" t="s">
        <v>3730</v>
      </c>
      <c r="F358" s="4">
        <v>2</v>
      </c>
      <c r="G358" s="26"/>
      <c r="H358" s="2">
        <v>214.82</v>
      </c>
      <c r="I358" s="4" t="s">
        <v>3749</v>
      </c>
      <c r="J358" s="19">
        <f t="shared" si="41"/>
        <v>1716234.7500000002</v>
      </c>
      <c r="K358" s="73"/>
      <c r="L358" s="73"/>
      <c r="M358" s="73"/>
      <c r="N358" s="19">
        <f>SUMIF('2020'!B:B,B358,'2020'!C:C)+SUMIF('2021'!B:B,B358,'2021'!C:C)+SUMIF('2022'!B:B,B358,'2022'!C:C)</f>
        <v>1716234.7500000002</v>
      </c>
      <c r="O358" s="17">
        <v>44925</v>
      </c>
      <c r="P358" s="5" t="s">
        <v>3728</v>
      </c>
    </row>
    <row r="359" spans="1:16" ht="17.25" customHeight="1" x14ac:dyDescent="0.3">
      <c r="A359" s="210">
        <f t="shared" si="42"/>
        <v>299</v>
      </c>
      <c r="B359" s="21" t="s">
        <v>370</v>
      </c>
      <c r="C359" s="5">
        <v>1972</v>
      </c>
      <c r="D359" s="3"/>
      <c r="E359" s="5" t="s">
        <v>3730</v>
      </c>
      <c r="F359" s="4">
        <v>2</v>
      </c>
      <c r="G359" s="26"/>
      <c r="H359" s="2">
        <v>231.49</v>
      </c>
      <c r="I359" s="4" t="s">
        <v>3754</v>
      </c>
      <c r="J359" s="19">
        <f t="shared" si="41"/>
        <v>130000</v>
      </c>
      <c r="K359" s="73"/>
      <c r="L359" s="73"/>
      <c r="M359" s="73"/>
      <c r="N359" s="19">
        <f>SUMIF('2020'!B:B,B359,'2020'!C:C)+SUMIF('2021'!B:B,B359,'2021'!C:C)+SUMIF('2022'!B:B,B359,'2022'!C:C)</f>
        <v>130000</v>
      </c>
      <c r="O359" s="17">
        <v>44925</v>
      </c>
      <c r="P359" s="5" t="s">
        <v>3728</v>
      </c>
    </row>
    <row r="360" spans="1:16" ht="17.25" customHeight="1" x14ac:dyDescent="0.3">
      <c r="A360" s="210">
        <f t="shared" si="42"/>
        <v>300</v>
      </c>
      <c r="B360" s="21" t="s">
        <v>371</v>
      </c>
      <c r="C360" s="5">
        <v>1954</v>
      </c>
      <c r="D360" s="3"/>
      <c r="E360" s="5" t="s">
        <v>3730</v>
      </c>
      <c r="F360" s="4">
        <v>2</v>
      </c>
      <c r="G360" s="26"/>
      <c r="H360" s="2">
        <v>789.3</v>
      </c>
      <c r="I360" s="4" t="s">
        <v>3722</v>
      </c>
      <c r="J360" s="19">
        <f t="shared" si="41"/>
        <v>10943423.649999999</v>
      </c>
      <c r="K360" s="73"/>
      <c r="L360" s="73"/>
      <c r="M360" s="73"/>
      <c r="N360" s="19">
        <f>SUMIF('2020'!B:B,B360,'2020'!C:C)+SUMIF('2021'!B:B,B360,'2021'!C:C)+SUMIF('2022'!B:B,B360,'2022'!C:C)</f>
        <v>10943423.649999999</v>
      </c>
      <c r="O360" s="17">
        <v>44925</v>
      </c>
      <c r="P360" s="5" t="s">
        <v>3728</v>
      </c>
    </row>
    <row r="361" spans="1:16" ht="17.25" customHeight="1" x14ac:dyDescent="0.3">
      <c r="A361" s="210">
        <f t="shared" si="42"/>
        <v>301</v>
      </c>
      <c r="B361" s="21" t="s">
        <v>372</v>
      </c>
      <c r="C361" s="5">
        <v>1917</v>
      </c>
      <c r="D361" s="3"/>
      <c r="E361" s="5" t="s">
        <v>3645</v>
      </c>
      <c r="F361" s="4">
        <v>2</v>
      </c>
      <c r="G361" s="26"/>
      <c r="H361" s="2">
        <v>162.71</v>
      </c>
      <c r="I361" s="14" t="s">
        <v>3742</v>
      </c>
      <c r="J361" s="19">
        <f t="shared" si="41"/>
        <v>4199110.82</v>
      </c>
      <c r="K361" s="73"/>
      <c r="L361" s="73"/>
      <c r="M361" s="73"/>
      <c r="N361" s="19">
        <f>SUMIF('2020'!B:B,B361,'2020'!C:C)+SUMIF('2021'!B:B,B361,'2021'!C:C)+SUMIF('2022'!B:B,B361,'2022'!C:C)</f>
        <v>4199110.82</v>
      </c>
      <c r="O361" s="17">
        <v>44925</v>
      </c>
      <c r="P361" s="5" t="s">
        <v>3728</v>
      </c>
    </row>
    <row r="362" spans="1:16" ht="17.25" customHeight="1" x14ac:dyDescent="0.3">
      <c r="A362" s="210">
        <f t="shared" si="42"/>
        <v>302</v>
      </c>
      <c r="B362" s="21" t="s">
        <v>373</v>
      </c>
      <c r="C362" s="5">
        <v>1917</v>
      </c>
      <c r="D362" s="3"/>
      <c r="E362" s="5" t="s">
        <v>3645</v>
      </c>
      <c r="F362" s="4">
        <v>2</v>
      </c>
      <c r="G362" s="26"/>
      <c r="H362" s="2">
        <v>442.75</v>
      </c>
      <c r="I362" s="4" t="s">
        <v>3746</v>
      </c>
      <c r="J362" s="19">
        <f t="shared" si="41"/>
        <v>263850.05</v>
      </c>
      <c r="K362" s="73"/>
      <c r="L362" s="73"/>
      <c r="M362" s="73"/>
      <c r="N362" s="19">
        <f>SUMIF('2020'!B:B,B362,'2020'!C:C)+SUMIF('2021'!B:B,B362,'2021'!C:C)+SUMIF('2022'!B:B,B362,'2022'!C:C)</f>
        <v>263850.05</v>
      </c>
      <c r="O362" s="17">
        <v>44925</v>
      </c>
      <c r="P362" s="5" t="s">
        <v>3728</v>
      </c>
    </row>
    <row r="363" spans="1:16" ht="17.25" customHeight="1" x14ac:dyDescent="0.3">
      <c r="A363" s="210">
        <f t="shared" si="42"/>
        <v>303</v>
      </c>
      <c r="B363" s="21" t="s">
        <v>374</v>
      </c>
      <c r="C363" s="5">
        <v>1917</v>
      </c>
      <c r="D363" s="3"/>
      <c r="E363" s="5" t="s">
        <v>3645</v>
      </c>
      <c r="F363" s="4">
        <v>2</v>
      </c>
      <c r="G363" s="26"/>
      <c r="H363" s="2">
        <v>235.23</v>
      </c>
      <c r="I363" s="4" t="s">
        <v>3750</v>
      </c>
      <c r="J363" s="19">
        <f t="shared" si="41"/>
        <v>4567211.2799999993</v>
      </c>
      <c r="K363" s="73"/>
      <c r="L363" s="73"/>
      <c r="M363" s="73"/>
      <c r="N363" s="19">
        <f>SUMIF('2020'!B:B,B363,'2020'!C:C)+SUMIF('2021'!B:B,B363,'2021'!C:C)+SUMIF('2022'!B:B,B363,'2022'!C:C)</f>
        <v>4567211.2799999993</v>
      </c>
      <c r="O363" s="17">
        <v>44925</v>
      </c>
      <c r="P363" s="5" t="s">
        <v>3728</v>
      </c>
    </row>
    <row r="364" spans="1:16" ht="17.25" customHeight="1" x14ac:dyDescent="0.3">
      <c r="A364" s="210">
        <f t="shared" si="42"/>
        <v>304</v>
      </c>
      <c r="B364" s="21" t="s">
        <v>375</v>
      </c>
      <c r="C364" s="5">
        <v>1917</v>
      </c>
      <c r="D364" s="3"/>
      <c r="E364" s="5" t="s">
        <v>3730</v>
      </c>
      <c r="F364" s="4">
        <v>2</v>
      </c>
      <c r="G364" s="26"/>
      <c r="H364" s="2">
        <v>404.8</v>
      </c>
      <c r="I364" s="4" t="s">
        <v>3755</v>
      </c>
      <c r="J364" s="19">
        <f t="shared" si="41"/>
        <v>11587430</v>
      </c>
      <c r="K364" s="73"/>
      <c r="L364" s="73"/>
      <c r="M364" s="73"/>
      <c r="N364" s="19">
        <f>SUMIF('2020'!B:B,B364,'2020'!C:C)+SUMIF('2021'!B:B,B364,'2021'!C:C)+SUMIF('2022'!B:B,B364,'2022'!C:C)</f>
        <v>11587430</v>
      </c>
      <c r="O364" s="17">
        <v>44925</v>
      </c>
      <c r="P364" s="5" t="s">
        <v>3728</v>
      </c>
    </row>
    <row r="365" spans="1:16" ht="17.25" customHeight="1" x14ac:dyDescent="0.3">
      <c r="A365" s="210">
        <f t="shared" si="42"/>
        <v>305</v>
      </c>
      <c r="B365" s="21" t="s">
        <v>376</v>
      </c>
      <c r="C365" s="5">
        <v>1969</v>
      </c>
      <c r="D365" s="3"/>
      <c r="E365" s="5" t="s">
        <v>3645</v>
      </c>
      <c r="F365" s="4">
        <v>5</v>
      </c>
      <c r="G365" s="26"/>
      <c r="H365" s="2">
        <v>3389.13</v>
      </c>
      <c r="I365" s="3">
        <v>236</v>
      </c>
      <c r="J365" s="19">
        <f t="shared" si="41"/>
        <v>413472.47</v>
      </c>
      <c r="K365" s="73"/>
      <c r="L365" s="73"/>
      <c r="M365" s="73"/>
      <c r="N365" s="19">
        <f>SUMIF('2020'!B:B,B365,'2020'!C:C)+SUMIF('2021'!B:B,B365,'2021'!C:C)+SUMIF('2022'!B:B,B365,'2022'!C:C)</f>
        <v>413472.47</v>
      </c>
      <c r="O365" s="17">
        <v>44925</v>
      </c>
      <c r="P365" s="5" t="s">
        <v>3728</v>
      </c>
    </row>
    <row r="366" spans="1:16" ht="17.25" customHeight="1" x14ac:dyDescent="0.3">
      <c r="A366" s="210">
        <f t="shared" si="42"/>
        <v>306</v>
      </c>
      <c r="B366" s="21" t="s">
        <v>377</v>
      </c>
      <c r="C366" s="5">
        <v>1950</v>
      </c>
      <c r="D366" s="3"/>
      <c r="E366" s="5" t="s">
        <v>3730</v>
      </c>
      <c r="F366" s="4">
        <v>2</v>
      </c>
      <c r="G366" s="26"/>
      <c r="H366" s="2">
        <v>253.2</v>
      </c>
      <c r="I366" s="4" t="s">
        <v>3754</v>
      </c>
      <c r="J366" s="19">
        <f t="shared" si="41"/>
        <v>2600715</v>
      </c>
      <c r="K366" s="73"/>
      <c r="L366" s="73"/>
      <c r="M366" s="73"/>
      <c r="N366" s="19">
        <f>SUMIF('2020'!B:B,B366,'2020'!C:C)+SUMIF('2021'!B:B,B366,'2021'!C:C)+SUMIF('2022'!B:B,B366,'2022'!C:C)</f>
        <v>2600715</v>
      </c>
      <c r="O366" s="17">
        <v>44925</v>
      </c>
      <c r="P366" s="5" t="s">
        <v>3728</v>
      </c>
    </row>
    <row r="367" spans="1:16" ht="17.25" customHeight="1" x14ac:dyDescent="0.3">
      <c r="A367" s="210">
        <f t="shared" si="42"/>
        <v>307</v>
      </c>
      <c r="B367" s="21" t="s">
        <v>378</v>
      </c>
      <c r="C367" s="5">
        <v>1948</v>
      </c>
      <c r="D367" s="3"/>
      <c r="E367" s="5" t="s">
        <v>3730</v>
      </c>
      <c r="F367" s="4">
        <v>2</v>
      </c>
      <c r="G367" s="26"/>
      <c r="H367" s="2">
        <v>261.2</v>
      </c>
      <c r="I367" s="4" t="s">
        <v>3756</v>
      </c>
      <c r="J367" s="19">
        <f t="shared" si="41"/>
        <v>8087871.8299999991</v>
      </c>
      <c r="K367" s="73"/>
      <c r="L367" s="73"/>
      <c r="M367" s="73"/>
      <c r="N367" s="19">
        <f>SUMIF('2020'!B:B,B367,'2020'!C:C)+SUMIF('2021'!B:B,B367,'2021'!C:C)+SUMIF('2022'!B:B,B367,'2022'!C:C)</f>
        <v>8087871.8299999991</v>
      </c>
      <c r="O367" s="17">
        <v>44925</v>
      </c>
      <c r="P367" s="5" t="s">
        <v>3728</v>
      </c>
    </row>
    <row r="368" spans="1:16" ht="17.25" customHeight="1" x14ac:dyDescent="0.3">
      <c r="A368" s="210">
        <f t="shared" si="42"/>
        <v>308</v>
      </c>
      <c r="B368" s="21" t="s">
        <v>380</v>
      </c>
      <c r="C368" s="5">
        <v>1917</v>
      </c>
      <c r="D368" s="3"/>
      <c r="E368" s="5" t="s">
        <v>3730</v>
      </c>
      <c r="F368" s="4">
        <v>2</v>
      </c>
      <c r="G368" s="26"/>
      <c r="H368" s="2">
        <v>184.7</v>
      </c>
      <c r="I368" s="4" t="s">
        <v>3754</v>
      </c>
      <c r="J368" s="19">
        <f t="shared" si="41"/>
        <v>130000</v>
      </c>
      <c r="K368" s="73"/>
      <c r="L368" s="73"/>
      <c r="M368" s="73"/>
      <c r="N368" s="19">
        <f>SUMIF('2020'!B:B,B368,'2020'!C:C)+SUMIF('2021'!B:B,B368,'2021'!C:C)+SUMIF('2022'!B:B,B368,'2022'!C:C)</f>
        <v>130000</v>
      </c>
      <c r="O368" s="17">
        <v>44925</v>
      </c>
      <c r="P368" s="5" t="s">
        <v>3728</v>
      </c>
    </row>
    <row r="369" spans="1:16" ht="17.25" customHeight="1" x14ac:dyDescent="0.3">
      <c r="A369" s="210">
        <f t="shared" si="42"/>
        <v>309</v>
      </c>
      <c r="B369" s="21" t="s">
        <v>381</v>
      </c>
      <c r="C369" s="5">
        <v>1949</v>
      </c>
      <c r="D369" s="3"/>
      <c r="E369" s="5" t="s">
        <v>3730</v>
      </c>
      <c r="F369" s="4">
        <v>2</v>
      </c>
      <c r="G369" s="26"/>
      <c r="H369" s="2">
        <v>86.17</v>
      </c>
      <c r="I369" s="4" t="s">
        <v>3757</v>
      </c>
      <c r="J369" s="19">
        <f t="shared" si="41"/>
        <v>959033.09</v>
      </c>
      <c r="K369" s="73"/>
      <c r="L369" s="73"/>
      <c r="M369" s="73"/>
      <c r="N369" s="19">
        <f>SUMIF('2020'!B:B,B369,'2020'!C:C)+SUMIF('2021'!B:B,B369,'2021'!C:C)+SUMIF('2022'!B:B,B369,'2022'!C:C)</f>
        <v>959033.09</v>
      </c>
      <c r="O369" s="17">
        <v>44925</v>
      </c>
      <c r="P369" s="5" t="s">
        <v>3728</v>
      </c>
    </row>
    <row r="370" spans="1:16" ht="17.25" customHeight="1" x14ac:dyDescent="0.3">
      <c r="A370" s="210">
        <f t="shared" si="42"/>
        <v>310</v>
      </c>
      <c r="B370" s="21" t="s">
        <v>382</v>
      </c>
      <c r="C370" s="5">
        <v>1956</v>
      </c>
      <c r="D370" s="3"/>
      <c r="E370" s="5" t="s">
        <v>3645</v>
      </c>
      <c r="F370" s="4">
        <v>2</v>
      </c>
      <c r="G370" s="26"/>
      <c r="H370" s="2">
        <v>448.38</v>
      </c>
      <c r="I370" s="4" t="s">
        <v>3720</v>
      </c>
      <c r="J370" s="19">
        <f t="shared" si="41"/>
        <v>3031026.6</v>
      </c>
      <c r="K370" s="73"/>
      <c r="L370" s="73"/>
      <c r="M370" s="73"/>
      <c r="N370" s="19">
        <f>SUMIF('2020'!B:B,B370,'2020'!C:C)+SUMIF('2021'!B:B,B370,'2021'!C:C)+SUMIF('2022'!B:B,B370,'2022'!C:C)</f>
        <v>3031026.6</v>
      </c>
      <c r="O370" s="17">
        <v>44925</v>
      </c>
      <c r="P370" s="5" t="s">
        <v>3728</v>
      </c>
    </row>
    <row r="371" spans="1:16" ht="17.25" customHeight="1" x14ac:dyDescent="0.3">
      <c r="A371" s="210">
        <f t="shared" si="42"/>
        <v>311</v>
      </c>
      <c r="B371" s="21" t="s">
        <v>383</v>
      </c>
      <c r="C371" s="5">
        <v>1917</v>
      </c>
      <c r="D371" s="3"/>
      <c r="E371" s="5" t="s">
        <v>3730</v>
      </c>
      <c r="F371" s="4">
        <v>2</v>
      </c>
      <c r="G371" s="26"/>
      <c r="H371" s="2">
        <v>110.6</v>
      </c>
      <c r="I371" s="4" t="s">
        <v>3750</v>
      </c>
      <c r="J371" s="19">
        <f t="shared" si="41"/>
        <v>2602563.09</v>
      </c>
      <c r="K371" s="73"/>
      <c r="L371" s="73"/>
      <c r="M371" s="73"/>
      <c r="N371" s="19">
        <f>SUMIF('2020'!B:B,B371,'2020'!C:C)+SUMIF('2021'!B:B,B371,'2021'!C:C)+SUMIF('2022'!B:B,B371,'2022'!C:C)</f>
        <v>2602563.09</v>
      </c>
      <c r="O371" s="17">
        <v>44925</v>
      </c>
      <c r="P371" s="5" t="s">
        <v>3728</v>
      </c>
    </row>
    <row r="372" spans="1:16" ht="17.25" customHeight="1" x14ac:dyDescent="0.3">
      <c r="A372" s="210">
        <f t="shared" si="42"/>
        <v>312</v>
      </c>
      <c r="B372" s="21" t="s">
        <v>384</v>
      </c>
      <c r="C372" s="5">
        <v>1964</v>
      </c>
      <c r="D372" s="3"/>
      <c r="E372" s="5" t="s">
        <v>3645</v>
      </c>
      <c r="F372" s="4">
        <v>2</v>
      </c>
      <c r="G372" s="26"/>
      <c r="H372" s="2">
        <v>493.33</v>
      </c>
      <c r="I372" s="4" t="s">
        <v>3719</v>
      </c>
      <c r="J372" s="19">
        <f t="shared" si="41"/>
        <v>537761.06000000006</v>
      </c>
      <c r="K372" s="73"/>
      <c r="L372" s="73"/>
      <c r="M372" s="73"/>
      <c r="N372" s="19">
        <f>SUMIF('2020'!B:B,B372,'2020'!C:C)+SUMIF('2021'!B:B,B372,'2021'!C:C)+SUMIF('2022'!B:B,B372,'2022'!C:C)</f>
        <v>537761.06000000006</v>
      </c>
      <c r="O372" s="17">
        <v>44925</v>
      </c>
      <c r="P372" s="5" t="s">
        <v>3728</v>
      </c>
    </row>
    <row r="373" spans="1:16" ht="17.25" customHeight="1" x14ac:dyDescent="0.3">
      <c r="A373" s="210">
        <f t="shared" si="42"/>
        <v>313</v>
      </c>
      <c r="B373" s="21" t="s">
        <v>385</v>
      </c>
      <c r="C373" s="5">
        <v>1959</v>
      </c>
      <c r="D373" s="3"/>
      <c r="E373" s="5" t="s">
        <v>3645</v>
      </c>
      <c r="F373" s="4">
        <v>2</v>
      </c>
      <c r="G373" s="26"/>
      <c r="H373" s="2">
        <v>479.17</v>
      </c>
      <c r="I373" s="4" t="s">
        <v>3755</v>
      </c>
      <c r="J373" s="19">
        <f t="shared" si="41"/>
        <v>591079.13</v>
      </c>
      <c r="K373" s="73"/>
      <c r="L373" s="73"/>
      <c r="M373" s="73"/>
      <c r="N373" s="19">
        <f>SUMIF('2020'!B:B,B373,'2020'!C:C)+SUMIF('2021'!B:B,B373,'2021'!C:C)+SUMIF('2022'!B:B,B373,'2022'!C:C)</f>
        <v>591079.13</v>
      </c>
      <c r="O373" s="17">
        <v>44925</v>
      </c>
      <c r="P373" s="5" t="s">
        <v>3728</v>
      </c>
    </row>
    <row r="374" spans="1:16" ht="17.25" customHeight="1" x14ac:dyDescent="0.3">
      <c r="A374" s="210">
        <f t="shared" si="42"/>
        <v>314</v>
      </c>
      <c r="B374" s="21" t="s">
        <v>386</v>
      </c>
      <c r="C374" s="5">
        <v>1949</v>
      </c>
      <c r="D374" s="3"/>
      <c r="E374" s="5" t="s">
        <v>3730</v>
      </c>
      <c r="F374" s="4">
        <v>2</v>
      </c>
      <c r="G374" s="26"/>
      <c r="H374" s="2">
        <v>211.3</v>
      </c>
      <c r="I374" s="4" t="s">
        <v>3754</v>
      </c>
      <c r="J374" s="19">
        <f t="shared" si="41"/>
        <v>1816775.74</v>
      </c>
      <c r="K374" s="73"/>
      <c r="L374" s="73"/>
      <c r="M374" s="73"/>
      <c r="N374" s="19">
        <f>SUMIF('2020'!B:B,B374,'2020'!C:C)+SUMIF('2021'!B:B,B374,'2021'!C:C)+SUMIF('2022'!B:B,B374,'2022'!C:C)</f>
        <v>1816775.74</v>
      </c>
      <c r="O374" s="17">
        <v>44925</v>
      </c>
      <c r="P374" s="5" t="s">
        <v>3728</v>
      </c>
    </row>
    <row r="375" spans="1:16" ht="17.25" customHeight="1" x14ac:dyDescent="0.3">
      <c r="A375" s="210">
        <f t="shared" si="42"/>
        <v>315</v>
      </c>
      <c r="B375" s="21" t="s">
        <v>387</v>
      </c>
      <c r="C375" s="5">
        <v>1962</v>
      </c>
      <c r="D375" s="3"/>
      <c r="E375" s="5" t="s">
        <v>3645</v>
      </c>
      <c r="F375" s="4">
        <v>2</v>
      </c>
      <c r="G375" s="26"/>
      <c r="H375" s="2">
        <v>341.4</v>
      </c>
      <c r="I375" s="4" t="s">
        <v>3706</v>
      </c>
      <c r="J375" s="19">
        <f t="shared" si="41"/>
        <v>1149074.6499999999</v>
      </c>
      <c r="K375" s="73"/>
      <c r="L375" s="73"/>
      <c r="M375" s="73"/>
      <c r="N375" s="19">
        <f>SUMIF('2020'!B:B,B375,'2020'!C:C)+SUMIF('2021'!B:B,B375,'2021'!C:C)+SUMIF('2022'!B:B,B375,'2022'!C:C)</f>
        <v>1149074.6499999999</v>
      </c>
      <c r="O375" s="17">
        <v>44925</v>
      </c>
      <c r="P375" s="5" t="s">
        <v>3728</v>
      </c>
    </row>
    <row r="376" spans="1:16" ht="17.25" customHeight="1" x14ac:dyDescent="0.3">
      <c r="A376" s="210">
        <f t="shared" si="42"/>
        <v>316</v>
      </c>
      <c r="B376" s="21" t="s">
        <v>388</v>
      </c>
      <c r="C376" s="5">
        <v>1917</v>
      </c>
      <c r="D376" s="3"/>
      <c r="E376" s="5" t="s">
        <v>3730</v>
      </c>
      <c r="F376" s="4">
        <v>2</v>
      </c>
      <c r="G376" s="26"/>
      <c r="H376" s="2">
        <v>218.32</v>
      </c>
      <c r="I376" s="4" t="s">
        <v>3706</v>
      </c>
      <c r="J376" s="19">
        <f t="shared" si="41"/>
        <v>2528587.77</v>
      </c>
      <c r="K376" s="73"/>
      <c r="L376" s="73"/>
      <c r="M376" s="73"/>
      <c r="N376" s="19">
        <f>SUMIF('2020'!B:B,B376,'2020'!C:C)+SUMIF('2021'!B:B,B376,'2021'!C:C)+SUMIF('2022'!B:B,B376,'2022'!C:C)</f>
        <v>2528587.77</v>
      </c>
      <c r="O376" s="17">
        <v>44925</v>
      </c>
      <c r="P376" s="5" t="s">
        <v>3728</v>
      </c>
    </row>
    <row r="377" spans="1:16" ht="17.25" customHeight="1" x14ac:dyDescent="0.3">
      <c r="A377" s="210">
        <f t="shared" si="42"/>
        <v>317</v>
      </c>
      <c r="B377" s="21" t="s">
        <v>389</v>
      </c>
      <c r="C377" s="5">
        <v>1917</v>
      </c>
      <c r="D377" s="3"/>
      <c r="E377" s="5" t="s">
        <v>3730</v>
      </c>
      <c r="F377" s="4">
        <v>2</v>
      </c>
      <c r="G377" s="26"/>
      <c r="H377" s="2">
        <v>236.15</v>
      </c>
      <c r="I377" s="4" t="s">
        <v>3701</v>
      </c>
      <c r="J377" s="19">
        <f t="shared" si="41"/>
        <v>1068534.01</v>
      </c>
      <c r="K377" s="73"/>
      <c r="L377" s="73"/>
      <c r="M377" s="73"/>
      <c r="N377" s="19">
        <f>SUMIF('2020'!B:B,B377,'2020'!C:C)+SUMIF('2021'!B:B,B377,'2021'!C:C)+SUMIF('2022'!B:B,B377,'2022'!C:C)</f>
        <v>1068534.01</v>
      </c>
      <c r="O377" s="17">
        <v>44925</v>
      </c>
      <c r="P377" s="5" t="s">
        <v>3728</v>
      </c>
    </row>
    <row r="378" spans="1:16" ht="17.25" customHeight="1" x14ac:dyDescent="0.3">
      <c r="A378" s="210">
        <f t="shared" si="42"/>
        <v>318</v>
      </c>
      <c r="B378" s="21" t="s">
        <v>390</v>
      </c>
      <c r="C378" s="5">
        <v>1917</v>
      </c>
      <c r="D378" s="3"/>
      <c r="E378" s="5" t="s">
        <v>3730</v>
      </c>
      <c r="F378" s="4">
        <v>2</v>
      </c>
      <c r="G378" s="26"/>
      <c r="H378" s="2">
        <v>192.35</v>
      </c>
      <c r="I378" s="4" t="s">
        <v>3750</v>
      </c>
      <c r="J378" s="19">
        <f t="shared" si="41"/>
        <v>932389.58000000007</v>
      </c>
      <c r="K378" s="73"/>
      <c r="L378" s="73"/>
      <c r="M378" s="73"/>
      <c r="N378" s="19">
        <f>SUMIF('2020'!B:B,B378,'2020'!C:C)+SUMIF('2021'!B:B,B378,'2021'!C:C)+SUMIF('2022'!B:B,B378,'2022'!C:C)</f>
        <v>932389.58000000007</v>
      </c>
      <c r="O378" s="17">
        <v>44925</v>
      </c>
      <c r="P378" s="5" t="s">
        <v>3728</v>
      </c>
    </row>
    <row r="379" spans="1:16" ht="17.25" customHeight="1" x14ac:dyDescent="0.3">
      <c r="A379" s="210">
        <f t="shared" si="42"/>
        <v>319</v>
      </c>
      <c r="B379" s="21" t="s">
        <v>391</v>
      </c>
      <c r="C379" s="5">
        <v>1947</v>
      </c>
      <c r="D379" s="3"/>
      <c r="E379" s="5" t="s">
        <v>3730</v>
      </c>
      <c r="F379" s="4">
        <v>2</v>
      </c>
      <c r="G379" s="26"/>
      <c r="H379" s="2">
        <v>177.6</v>
      </c>
      <c r="I379" s="4" t="s">
        <v>3754</v>
      </c>
      <c r="J379" s="19">
        <f t="shared" si="41"/>
        <v>9606963.9299999997</v>
      </c>
      <c r="K379" s="73"/>
      <c r="L379" s="73"/>
      <c r="M379" s="73"/>
      <c r="N379" s="19">
        <f>SUMIF('2020'!B:B,B379,'2020'!C:C)+SUMIF('2021'!B:B,B379,'2021'!C:C)+SUMIF('2022'!B:B,B379,'2022'!C:C)</f>
        <v>9606963.9299999997</v>
      </c>
      <c r="O379" s="17">
        <v>44925</v>
      </c>
      <c r="P379" s="5" t="s">
        <v>3728</v>
      </c>
    </row>
    <row r="380" spans="1:16" ht="17.25" customHeight="1" x14ac:dyDescent="0.3">
      <c r="A380" s="210">
        <f t="shared" si="42"/>
        <v>320</v>
      </c>
      <c r="B380" s="21" t="s">
        <v>392</v>
      </c>
      <c r="C380" s="5">
        <v>1976</v>
      </c>
      <c r="D380" s="3"/>
      <c r="E380" s="5" t="s">
        <v>3645</v>
      </c>
      <c r="F380" s="4">
        <v>5</v>
      </c>
      <c r="G380" s="26"/>
      <c r="H380" s="2">
        <v>3664.5</v>
      </c>
      <c r="I380" s="4" t="s">
        <v>3726</v>
      </c>
      <c r="J380" s="19">
        <f t="shared" si="41"/>
        <v>871797.04</v>
      </c>
      <c r="K380" s="73"/>
      <c r="L380" s="73"/>
      <c r="M380" s="73"/>
      <c r="N380" s="19">
        <f>SUMIF('2020'!B:B,B380,'2020'!C:C)+SUMIF('2021'!B:B,B380,'2021'!C:C)+SUMIF('2022'!B:B,B380,'2022'!C:C)</f>
        <v>871797.04</v>
      </c>
      <c r="O380" s="17">
        <v>44925</v>
      </c>
      <c r="P380" s="5" t="s">
        <v>3728</v>
      </c>
    </row>
    <row r="381" spans="1:16" ht="17.25" customHeight="1" x14ac:dyDescent="0.3">
      <c r="A381" s="210">
        <f t="shared" si="42"/>
        <v>321</v>
      </c>
      <c r="B381" s="21" t="s">
        <v>393</v>
      </c>
      <c r="C381" s="5">
        <v>1951</v>
      </c>
      <c r="D381" s="3"/>
      <c r="E381" s="5" t="s">
        <v>3730</v>
      </c>
      <c r="F381" s="4">
        <v>2</v>
      </c>
      <c r="G381" s="26"/>
      <c r="H381" s="2">
        <v>225.22</v>
      </c>
      <c r="I381" s="4" t="s">
        <v>3751</v>
      </c>
      <c r="J381" s="19">
        <f t="shared" si="41"/>
        <v>426431.09</v>
      </c>
      <c r="K381" s="73"/>
      <c r="L381" s="73"/>
      <c r="M381" s="73"/>
      <c r="N381" s="19">
        <f>SUMIF('2020'!B:B,B381,'2020'!C:C)+SUMIF('2021'!B:B,B381,'2021'!C:C)+SUMIF('2022'!B:B,B381,'2022'!C:C)</f>
        <v>426431.09</v>
      </c>
      <c r="O381" s="17">
        <v>44925</v>
      </c>
      <c r="P381" s="5" t="s">
        <v>3728</v>
      </c>
    </row>
    <row r="382" spans="1:16" ht="17.25" customHeight="1" x14ac:dyDescent="0.3">
      <c r="A382" s="210">
        <f t="shared" si="42"/>
        <v>322</v>
      </c>
      <c r="B382" s="21" t="s">
        <v>394</v>
      </c>
      <c r="C382" s="5">
        <v>1963</v>
      </c>
      <c r="D382" s="3"/>
      <c r="E382" s="5" t="s">
        <v>3645</v>
      </c>
      <c r="F382" s="4">
        <v>2</v>
      </c>
      <c r="G382" s="26"/>
      <c r="H382" s="2">
        <v>439.05</v>
      </c>
      <c r="I382" s="4" t="s">
        <v>3720</v>
      </c>
      <c r="J382" s="19">
        <f t="shared" si="41"/>
        <v>677313.05</v>
      </c>
      <c r="K382" s="73"/>
      <c r="L382" s="73"/>
      <c r="M382" s="73"/>
      <c r="N382" s="19">
        <f>SUMIF('2020'!B:B,B382,'2020'!C:C)+SUMIF('2021'!B:B,B382,'2021'!C:C)+SUMIF('2022'!B:B,B382,'2022'!C:C)</f>
        <v>677313.05</v>
      </c>
      <c r="O382" s="17">
        <v>44925</v>
      </c>
      <c r="P382" s="5" t="s">
        <v>3728</v>
      </c>
    </row>
    <row r="383" spans="1:16" ht="17.25" customHeight="1" x14ac:dyDescent="0.3">
      <c r="A383" s="210">
        <f t="shared" si="42"/>
        <v>323</v>
      </c>
      <c r="B383" s="21" t="s">
        <v>395</v>
      </c>
      <c r="C383" s="5">
        <v>1917</v>
      </c>
      <c r="D383" s="3"/>
      <c r="E383" s="5" t="s">
        <v>3730</v>
      </c>
      <c r="F383" s="4">
        <v>2</v>
      </c>
      <c r="G383" s="26"/>
      <c r="H383" s="2">
        <v>138.79</v>
      </c>
      <c r="I383" s="4" t="s">
        <v>3750</v>
      </c>
      <c r="J383" s="19">
        <f t="shared" si="41"/>
        <v>2940510.74</v>
      </c>
      <c r="K383" s="73"/>
      <c r="L383" s="73"/>
      <c r="M383" s="73"/>
      <c r="N383" s="19">
        <f>SUMIF('2020'!B:B,B383,'2020'!C:C)+SUMIF('2021'!B:B,B383,'2021'!C:C)+SUMIF('2022'!B:B,B383,'2022'!C:C)</f>
        <v>2940510.74</v>
      </c>
      <c r="O383" s="17">
        <v>44925</v>
      </c>
      <c r="P383" s="5" t="s">
        <v>3728</v>
      </c>
    </row>
    <row r="384" spans="1:16" ht="17.25" customHeight="1" x14ac:dyDescent="0.3">
      <c r="A384" s="210">
        <f t="shared" si="42"/>
        <v>324</v>
      </c>
      <c r="B384" s="21" t="s">
        <v>396</v>
      </c>
      <c r="C384" s="5">
        <v>1917</v>
      </c>
      <c r="D384" s="3"/>
      <c r="E384" s="5" t="s">
        <v>3730</v>
      </c>
      <c r="F384" s="4">
        <v>2</v>
      </c>
      <c r="G384" s="26"/>
      <c r="H384" s="2">
        <v>187.37</v>
      </c>
      <c r="I384" s="4" t="s">
        <v>3754</v>
      </c>
      <c r="J384" s="19">
        <f t="shared" si="41"/>
        <v>768559.27</v>
      </c>
      <c r="K384" s="73"/>
      <c r="L384" s="73"/>
      <c r="M384" s="73"/>
      <c r="N384" s="19">
        <f>SUMIF('2020'!B:B,B384,'2020'!C:C)+SUMIF('2021'!B:B,B384,'2021'!C:C)+SUMIF('2022'!B:B,B384,'2022'!C:C)</f>
        <v>768559.27</v>
      </c>
      <c r="O384" s="17">
        <v>44925</v>
      </c>
      <c r="P384" s="5" t="s">
        <v>3728</v>
      </c>
    </row>
    <row r="385" spans="1:16" ht="17.25" customHeight="1" x14ac:dyDescent="0.3">
      <c r="A385" s="210">
        <f t="shared" si="42"/>
        <v>325</v>
      </c>
      <c r="B385" s="21" t="s">
        <v>397</v>
      </c>
      <c r="C385" s="5">
        <v>1917</v>
      </c>
      <c r="D385" s="3"/>
      <c r="E385" s="5" t="s">
        <v>3730</v>
      </c>
      <c r="F385" s="4">
        <v>2</v>
      </c>
      <c r="G385" s="26"/>
      <c r="H385" s="2">
        <v>157.78</v>
      </c>
      <c r="I385" s="4" t="s">
        <v>3749</v>
      </c>
      <c r="J385" s="19">
        <f t="shared" ref="J385:J448" si="43">K385+L385+M385+N385</f>
        <v>2712654.87</v>
      </c>
      <c r="K385" s="73"/>
      <c r="L385" s="73"/>
      <c r="M385" s="73"/>
      <c r="N385" s="19">
        <f>SUMIF('2020'!B:B,B385,'2020'!C:C)+SUMIF('2021'!B:B,B385,'2021'!C:C)+SUMIF('2022'!B:B,B385,'2022'!C:C)</f>
        <v>2712654.87</v>
      </c>
      <c r="O385" s="17">
        <v>44925</v>
      </c>
      <c r="P385" s="5" t="s">
        <v>3728</v>
      </c>
    </row>
    <row r="386" spans="1:16" ht="17.25" customHeight="1" x14ac:dyDescent="0.3">
      <c r="A386" s="210">
        <f t="shared" si="42"/>
        <v>326</v>
      </c>
      <c r="B386" s="21" t="s">
        <v>398</v>
      </c>
      <c r="C386" s="5">
        <v>1959</v>
      </c>
      <c r="D386" s="3"/>
      <c r="E386" s="5" t="s">
        <v>3645</v>
      </c>
      <c r="F386" s="4">
        <v>2</v>
      </c>
      <c r="G386" s="26"/>
      <c r="H386" s="2">
        <v>431.14</v>
      </c>
      <c r="I386" s="4" t="s">
        <v>3720</v>
      </c>
      <c r="J386" s="19">
        <f t="shared" si="43"/>
        <v>605842.21</v>
      </c>
      <c r="K386" s="73"/>
      <c r="L386" s="73"/>
      <c r="M386" s="73"/>
      <c r="N386" s="19">
        <f>SUMIF('2020'!B:B,B386,'2020'!C:C)+SUMIF('2021'!B:B,B386,'2021'!C:C)+SUMIF('2022'!B:B,B386,'2022'!C:C)</f>
        <v>605842.21</v>
      </c>
      <c r="O386" s="17">
        <v>44925</v>
      </c>
      <c r="P386" s="5" t="s">
        <v>3728</v>
      </c>
    </row>
    <row r="387" spans="1:16" ht="17.25" customHeight="1" x14ac:dyDescent="0.3">
      <c r="A387" s="210">
        <f t="shared" ref="A387:A448" si="44">A386+1</f>
        <v>327</v>
      </c>
      <c r="B387" s="21" t="s">
        <v>399</v>
      </c>
      <c r="C387" s="5">
        <v>1951</v>
      </c>
      <c r="D387" s="3"/>
      <c r="E387" s="5" t="s">
        <v>3730</v>
      </c>
      <c r="F387" s="4">
        <v>2</v>
      </c>
      <c r="G387" s="26"/>
      <c r="H387" s="2">
        <v>484.7</v>
      </c>
      <c r="I387" s="4" t="s">
        <v>3719</v>
      </c>
      <c r="J387" s="19">
        <f t="shared" si="43"/>
        <v>1955745.28</v>
      </c>
      <c r="K387" s="73"/>
      <c r="L387" s="73"/>
      <c r="M387" s="73"/>
      <c r="N387" s="19">
        <f>SUMIF('2020'!B:B,B387,'2020'!C:C)+SUMIF('2021'!B:B,B387,'2021'!C:C)+SUMIF('2022'!B:B,B387,'2022'!C:C)</f>
        <v>1955745.28</v>
      </c>
      <c r="O387" s="17">
        <v>44925</v>
      </c>
      <c r="P387" s="5" t="s">
        <v>3728</v>
      </c>
    </row>
    <row r="388" spans="1:16" ht="17.25" customHeight="1" x14ac:dyDescent="0.3">
      <c r="A388" s="210">
        <f t="shared" si="44"/>
        <v>328</v>
      </c>
      <c r="B388" s="21" t="s">
        <v>400</v>
      </c>
      <c r="C388" s="5">
        <v>1917</v>
      </c>
      <c r="D388" s="3"/>
      <c r="E388" s="5" t="s">
        <v>3730</v>
      </c>
      <c r="F388" s="4">
        <v>2</v>
      </c>
      <c r="G388" s="26"/>
      <c r="H388" s="2">
        <v>118.18</v>
      </c>
      <c r="I388" s="4" t="s">
        <v>3758</v>
      </c>
      <c r="J388" s="19">
        <f t="shared" si="43"/>
        <v>2010569.3800000001</v>
      </c>
      <c r="K388" s="73"/>
      <c r="L388" s="73"/>
      <c r="M388" s="73"/>
      <c r="N388" s="19">
        <f>SUMIF('2020'!B:B,B388,'2020'!C:C)+SUMIF('2021'!B:B,B388,'2021'!C:C)+SUMIF('2022'!B:B,B388,'2022'!C:C)</f>
        <v>2010569.3800000001</v>
      </c>
      <c r="O388" s="17">
        <v>44925</v>
      </c>
      <c r="P388" s="5" t="s">
        <v>3728</v>
      </c>
    </row>
    <row r="389" spans="1:16" ht="17.25" customHeight="1" x14ac:dyDescent="0.3">
      <c r="A389" s="210">
        <f t="shared" si="44"/>
        <v>329</v>
      </c>
      <c r="B389" s="21" t="s">
        <v>401</v>
      </c>
      <c r="C389" s="5">
        <v>1917</v>
      </c>
      <c r="D389" s="3"/>
      <c r="E389" s="5" t="s">
        <v>3730</v>
      </c>
      <c r="F389" s="4" t="s">
        <v>3741</v>
      </c>
      <c r="G389" s="26"/>
      <c r="H389" s="2">
        <v>143.30000000000001</v>
      </c>
      <c r="I389" s="4" t="s">
        <v>3752</v>
      </c>
      <c r="J389" s="19">
        <f t="shared" si="43"/>
        <v>845549.96</v>
      </c>
      <c r="K389" s="73"/>
      <c r="L389" s="73"/>
      <c r="M389" s="73"/>
      <c r="N389" s="19">
        <f>SUMIF('2020'!B:B,B389,'2020'!C:C)+SUMIF('2021'!B:B,B389,'2021'!C:C)+SUMIF('2022'!B:B,B389,'2022'!C:C)</f>
        <v>845549.96</v>
      </c>
      <c r="O389" s="17">
        <v>44925</v>
      </c>
      <c r="P389" s="5" t="s">
        <v>3728</v>
      </c>
    </row>
    <row r="390" spans="1:16" ht="17.25" customHeight="1" x14ac:dyDescent="0.3">
      <c r="A390" s="210">
        <f t="shared" si="44"/>
        <v>330</v>
      </c>
      <c r="B390" s="21" t="s">
        <v>402</v>
      </c>
      <c r="C390" s="5">
        <v>1977</v>
      </c>
      <c r="D390" s="3"/>
      <c r="E390" s="5" t="s">
        <v>3645</v>
      </c>
      <c r="F390" s="4">
        <v>2</v>
      </c>
      <c r="G390" s="26"/>
      <c r="H390" s="2">
        <v>385.5</v>
      </c>
      <c r="I390" s="4" t="s">
        <v>3748</v>
      </c>
      <c r="J390" s="19">
        <f t="shared" si="43"/>
        <v>181553.27</v>
      </c>
      <c r="K390" s="73"/>
      <c r="L390" s="73"/>
      <c r="M390" s="73"/>
      <c r="N390" s="19">
        <f>SUMIF('2020'!B:B,B390,'2020'!C:C)+SUMIF('2021'!B:B,B390,'2021'!C:C)+SUMIF('2022'!B:B,B390,'2022'!C:C)</f>
        <v>181553.27</v>
      </c>
      <c r="O390" s="17">
        <v>44925</v>
      </c>
      <c r="P390" s="5" t="s">
        <v>3728</v>
      </c>
    </row>
    <row r="391" spans="1:16" ht="17.25" customHeight="1" x14ac:dyDescent="0.3">
      <c r="A391" s="210">
        <f t="shared" si="44"/>
        <v>331</v>
      </c>
      <c r="B391" s="21" t="s">
        <v>403</v>
      </c>
      <c r="C391" s="5">
        <v>1977</v>
      </c>
      <c r="D391" s="3"/>
      <c r="E391" s="5" t="s">
        <v>3645</v>
      </c>
      <c r="F391" s="4">
        <v>2</v>
      </c>
      <c r="G391" s="26"/>
      <c r="H391" s="2">
        <v>382.1</v>
      </c>
      <c r="I391" s="4" t="s">
        <v>3703</v>
      </c>
      <c r="J391" s="19">
        <f t="shared" si="43"/>
        <v>181553.27</v>
      </c>
      <c r="K391" s="73"/>
      <c r="L391" s="73"/>
      <c r="M391" s="73"/>
      <c r="N391" s="19">
        <f>SUMIF('2020'!B:B,B391,'2020'!C:C)+SUMIF('2021'!B:B,B391,'2021'!C:C)+SUMIF('2022'!B:B,B391,'2022'!C:C)</f>
        <v>181553.27</v>
      </c>
      <c r="O391" s="17">
        <v>44925</v>
      </c>
      <c r="P391" s="5" t="s">
        <v>3728</v>
      </c>
    </row>
    <row r="392" spans="1:16" ht="17.25" customHeight="1" x14ac:dyDescent="0.3">
      <c r="A392" s="210">
        <f t="shared" si="44"/>
        <v>332</v>
      </c>
      <c r="B392" s="21" t="s">
        <v>404</v>
      </c>
      <c r="C392" s="5">
        <v>1975</v>
      </c>
      <c r="D392" s="3"/>
      <c r="E392" s="5" t="s">
        <v>3730</v>
      </c>
      <c r="F392" s="4">
        <v>2</v>
      </c>
      <c r="G392" s="26"/>
      <c r="H392" s="2">
        <v>409.68</v>
      </c>
      <c r="I392" s="4" t="s">
        <v>3720</v>
      </c>
      <c r="J392" s="19">
        <f t="shared" si="43"/>
        <v>198904.5</v>
      </c>
      <c r="K392" s="73"/>
      <c r="L392" s="73"/>
      <c r="M392" s="73"/>
      <c r="N392" s="19">
        <f>SUMIF('2020'!B:B,B392,'2020'!C:C)+SUMIF('2021'!B:B,B392,'2021'!C:C)+SUMIF('2022'!B:B,B392,'2022'!C:C)</f>
        <v>198904.5</v>
      </c>
      <c r="O392" s="17">
        <v>44925</v>
      </c>
      <c r="P392" s="5" t="s">
        <v>3728</v>
      </c>
    </row>
    <row r="393" spans="1:16" ht="17.25" customHeight="1" x14ac:dyDescent="0.3">
      <c r="A393" s="210">
        <f t="shared" si="44"/>
        <v>333</v>
      </c>
      <c r="B393" s="21" t="s">
        <v>405</v>
      </c>
      <c r="C393" s="5">
        <v>1975</v>
      </c>
      <c r="D393" s="3"/>
      <c r="E393" s="5" t="s">
        <v>3730</v>
      </c>
      <c r="F393" s="4">
        <v>2</v>
      </c>
      <c r="G393" s="26"/>
      <c r="H393" s="2">
        <v>433.61</v>
      </c>
      <c r="I393" s="4" t="s">
        <v>3719</v>
      </c>
      <c r="J393" s="19">
        <f t="shared" si="43"/>
        <v>182349.19</v>
      </c>
      <c r="K393" s="73"/>
      <c r="L393" s="73"/>
      <c r="M393" s="73"/>
      <c r="N393" s="19">
        <f>SUMIF('2020'!B:B,B393,'2020'!C:C)+SUMIF('2021'!B:B,B393,'2021'!C:C)+SUMIF('2022'!B:B,B393,'2022'!C:C)</f>
        <v>182349.19</v>
      </c>
      <c r="O393" s="17">
        <v>44925</v>
      </c>
      <c r="P393" s="5" t="s">
        <v>3728</v>
      </c>
    </row>
    <row r="394" spans="1:16" ht="17.25" customHeight="1" x14ac:dyDescent="0.3">
      <c r="A394" s="210">
        <f t="shared" si="44"/>
        <v>334</v>
      </c>
      <c r="B394" s="21" t="s">
        <v>406</v>
      </c>
      <c r="C394" s="5">
        <v>1977</v>
      </c>
      <c r="D394" s="3"/>
      <c r="E394" s="5" t="s">
        <v>3730</v>
      </c>
      <c r="F394" s="4">
        <v>2</v>
      </c>
      <c r="G394" s="26"/>
      <c r="H394" s="2">
        <v>413.47</v>
      </c>
      <c r="I394" s="4" t="s">
        <v>3759</v>
      </c>
      <c r="J394" s="19">
        <f t="shared" si="43"/>
        <v>181314.49</v>
      </c>
      <c r="K394" s="73"/>
      <c r="L394" s="73"/>
      <c r="M394" s="73"/>
      <c r="N394" s="19">
        <f>SUMIF('2020'!B:B,B394,'2020'!C:C)+SUMIF('2021'!B:B,B394,'2021'!C:C)+SUMIF('2022'!B:B,B394,'2022'!C:C)</f>
        <v>181314.49</v>
      </c>
      <c r="O394" s="17">
        <v>44925</v>
      </c>
      <c r="P394" s="5" t="s">
        <v>3728</v>
      </c>
    </row>
    <row r="395" spans="1:16" ht="17.25" customHeight="1" x14ac:dyDescent="0.3">
      <c r="A395" s="210">
        <f t="shared" si="44"/>
        <v>335</v>
      </c>
      <c r="B395" s="21" t="s">
        <v>407</v>
      </c>
      <c r="C395" s="5">
        <v>1977</v>
      </c>
      <c r="D395" s="3"/>
      <c r="E395" s="5" t="s">
        <v>3730</v>
      </c>
      <c r="F395" s="4">
        <v>2</v>
      </c>
      <c r="G395" s="26"/>
      <c r="H395" s="2">
        <v>404.84</v>
      </c>
      <c r="I395" s="4" t="s">
        <v>3706</v>
      </c>
      <c r="J395" s="19">
        <f t="shared" si="43"/>
        <v>1045994.02</v>
      </c>
      <c r="K395" s="73"/>
      <c r="L395" s="73"/>
      <c r="M395" s="73"/>
      <c r="N395" s="19">
        <f>SUMIF('2020'!B:B,B395,'2020'!C:C)+SUMIF('2021'!B:B,B395,'2021'!C:C)+SUMIF('2022'!B:B,B395,'2022'!C:C)</f>
        <v>1045994.02</v>
      </c>
      <c r="O395" s="17">
        <v>44925</v>
      </c>
      <c r="P395" s="5" t="s">
        <v>3728</v>
      </c>
    </row>
    <row r="396" spans="1:16" ht="17.25" customHeight="1" x14ac:dyDescent="0.3">
      <c r="A396" s="210">
        <f t="shared" si="44"/>
        <v>336</v>
      </c>
      <c r="B396" s="21" t="s">
        <v>408</v>
      </c>
      <c r="C396" s="5">
        <v>1977</v>
      </c>
      <c r="D396" s="3"/>
      <c r="E396" s="5" t="s">
        <v>3731</v>
      </c>
      <c r="F396" s="4" t="s">
        <v>3743</v>
      </c>
      <c r="G396" s="26"/>
      <c r="H396" s="2">
        <v>1242.73</v>
      </c>
      <c r="I396" s="4" t="s">
        <v>3683</v>
      </c>
      <c r="J396" s="19">
        <f t="shared" si="43"/>
        <v>314583.57</v>
      </c>
      <c r="K396" s="73"/>
      <c r="L396" s="73"/>
      <c r="M396" s="73"/>
      <c r="N396" s="19">
        <f>SUMIF('2020'!B:B,B396,'2020'!C:C)+SUMIF('2021'!B:B,B396,'2021'!C:C)+SUMIF('2022'!B:B,B396,'2022'!C:C)</f>
        <v>314583.57</v>
      </c>
      <c r="O396" s="17">
        <v>44925</v>
      </c>
      <c r="P396" s="5" t="s">
        <v>3728</v>
      </c>
    </row>
    <row r="397" spans="1:16" ht="17.25" customHeight="1" x14ac:dyDescent="0.3">
      <c r="A397" s="210">
        <f t="shared" si="44"/>
        <v>337</v>
      </c>
      <c r="B397" s="21" t="s">
        <v>409</v>
      </c>
      <c r="C397" s="5">
        <v>1957</v>
      </c>
      <c r="D397" s="3"/>
      <c r="E397" s="5" t="s">
        <v>3645</v>
      </c>
      <c r="F397" s="4">
        <v>2</v>
      </c>
      <c r="G397" s="26"/>
      <c r="H397" s="2">
        <v>973.4</v>
      </c>
      <c r="I397" s="4" t="s">
        <v>3670</v>
      </c>
      <c r="J397" s="19">
        <f t="shared" si="43"/>
        <v>1339455.7599999998</v>
      </c>
      <c r="K397" s="73"/>
      <c r="L397" s="73"/>
      <c r="M397" s="73"/>
      <c r="N397" s="19">
        <f>SUMIF('2020'!B:B,B397,'2020'!C:C)+SUMIF('2021'!B:B,B397,'2021'!C:C)+SUMIF('2022'!B:B,B397,'2022'!C:C)</f>
        <v>1339455.7599999998</v>
      </c>
      <c r="O397" s="17">
        <v>44925</v>
      </c>
      <c r="P397" s="5" t="s">
        <v>3728</v>
      </c>
    </row>
    <row r="398" spans="1:16" ht="17.25" customHeight="1" x14ac:dyDescent="0.3">
      <c r="A398" s="210">
        <f t="shared" si="44"/>
        <v>338</v>
      </c>
      <c r="B398" s="21" t="s">
        <v>410</v>
      </c>
      <c r="C398" s="5">
        <v>1917</v>
      </c>
      <c r="D398" s="3"/>
      <c r="E398" s="5" t="s">
        <v>3730</v>
      </c>
      <c r="F398" s="4">
        <v>2</v>
      </c>
      <c r="G398" s="26"/>
      <c r="H398" s="2">
        <v>128.51</v>
      </c>
      <c r="I398" s="4" t="s">
        <v>3750</v>
      </c>
      <c r="J398" s="19">
        <f t="shared" si="43"/>
        <v>2277860.83</v>
      </c>
      <c r="K398" s="73"/>
      <c r="L398" s="73"/>
      <c r="M398" s="73"/>
      <c r="N398" s="19">
        <f>SUMIF('2020'!B:B,B398,'2020'!C:C)+SUMIF('2021'!B:B,B398,'2021'!C:C)+SUMIF('2022'!B:B,B398,'2022'!C:C)</f>
        <v>2277860.83</v>
      </c>
      <c r="O398" s="17">
        <v>44925</v>
      </c>
      <c r="P398" s="5" t="s">
        <v>3728</v>
      </c>
    </row>
    <row r="399" spans="1:16" ht="17.25" customHeight="1" x14ac:dyDescent="0.3">
      <c r="A399" s="210">
        <f t="shared" si="44"/>
        <v>339</v>
      </c>
      <c r="B399" s="21" t="s">
        <v>411</v>
      </c>
      <c r="C399" s="5">
        <v>1958</v>
      </c>
      <c r="D399" s="3"/>
      <c r="E399" s="5" t="s">
        <v>3645</v>
      </c>
      <c r="F399" s="4">
        <v>2</v>
      </c>
      <c r="G399" s="26"/>
      <c r="H399" s="2">
        <v>366.96</v>
      </c>
      <c r="I399" s="4" t="s">
        <v>3755</v>
      </c>
      <c r="J399" s="19">
        <f t="shared" si="43"/>
        <v>864244.44</v>
      </c>
      <c r="K399" s="73"/>
      <c r="L399" s="73"/>
      <c r="M399" s="73"/>
      <c r="N399" s="19">
        <f>SUMIF('2020'!B:B,B399,'2020'!C:C)+SUMIF('2021'!B:B,B399,'2021'!C:C)+SUMIF('2022'!B:B,B399,'2022'!C:C)</f>
        <v>864244.44</v>
      </c>
      <c r="O399" s="17">
        <v>44925</v>
      </c>
      <c r="P399" s="5" t="s">
        <v>3728</v>
      </c>
    </row>
    <row r="400" spans="1:16" ht="17.25" customHeight="1" x14ac:dyDescent="0.3">
      <c r="A400" s="210">
        <f t="shared" si="44"/>
        <v>340</v>
      </c>
      <c r="B400" s="21" t="s">
        <v>412</v>
      </c>
      <c r="C400" s="5">
        <v>1917</v>
      </c>
      <c r="D400" s="3"/>
      <c r="E400" s="5" t="s">
        <v>3730</v>
      </c>
      <c r="F400" s="4">
        <v>2</v>
      </c>
      <c r="G400" s="26"/>
      <c r="H400" s="2">
        <v>518.73</v>
      </c>
      <c r="I400" s="4" t="s">
        <v>3653</v>
      </c>
      <c r="J400" s="19">
        <f t="shared" si="43"/>
        <v>672629.63000000012</v>
      </c>
      <c r="K400" s="73"/>
      <c r="L400" s="73"/>
      <c r="M400" s="73"/>
      <c r="N400" s="19">
        <f>SUMIF('2020'!B:B,B400,'2020'!C:C)+SUMIF('2021'!B:B,B400,'2021'!C:C)+SUMIF('2022'!B:B,B400,'2022'!C:C)</f>
        <v>672629.63000000012</v>
      </c>
      <c r="O400" s="17">
        <v>44925</v>
      </c>
      <c r="P400" s="5" t="s">
        <v>3728</v>
      </c>
    </row>
    <row r="401" spans="1:16" ht="17.25" customHeight="1" x14ac:dyDescent="0.3">
      <c r="A401" s="210">
        <f t="shared" si="44"/>
        <v>341</v>
      </c>
      <c r="B401" s="21" t="s">
        <v>413</v>
      </c>
      <c r="C401" s="5">
        <v>1959</v>
      </c>
      <c r="D401" s="3"/>
      <c r="E401" s="5" t="s">
        <v>3645</v>
      </c>
      <c r="F401" s="4">
        <v>2</v>
      </c>
      <c r="G401" s="26"/>
      <c r="H401" s="2">
        <v>377.5</v>
      </c>
      <c r="I401" s="4" t="s">
        <v>3748</v>
      </c>
      <c r="J401" s="19">
        <f t="shared" si="43"/>
        <v>1624574.8399999999</v>
      </c>
      <c r="K401" s="73"/>
      <c r="L401" s="73"/>
      <c r="M401" s="73"/>
      <c r="N401" s="19">
        <f>SUMIF('2020'!B:B,B401,'2020'!C:C)+SUMIF('2021'!B:B,B401,'2021'!C:C)+SUMIF('2022'!B:B,B401,'2022'!C:C)</f>
        <v>1624574.8399999999</v>
      </c>
      <c r="O401" s="17">
        <v>44925</v>
      </c>
      <c r="P401" s="5" t="s">
        <v>3728</v>
      </c>
    </row>
    <row r="402" spans="1:16" ht="17.25" customHeight="1" x14ac:dyDescent="0.3">
      <c r="A402" s="210">
        <f t="shared" si="44"/>
        <v>342</v>
      </c>
      <c r="B402" s="21" t="s">
        <v>414</v>
      </c>
      <c r="C402" s="5">
        <v>1917</v>
      </c>
      <c r="D402" s="3"/>
      <c r="E402" s="5" t="s">
        <v>3730</v>
      </c>
      <c r="F402" s="4">
        <v>2</v>
      </c>
      <c r="G402" s="26"/>
      <c r="H402" s="2">
        <v>321.06</v>
      </c>
      <c r="I402" s="4" t="s">
        <v>3755</v>
      </c>
      <c r="J402" s="19">
        <f t="shared" si="43"/>
        <v>1836494.8</v>
      </c>
      <c r="K402" s="73"/>
      <c r="L402" s="73"/>
      <c r="M402" s="73"/>
      <c r="N402" s="19">
        <f>SUMIF('2020'!B:B,B402,'2020'!C:C)+SUMIF('2021'!B:B,B402,'2021'!C:C)+SUMIF('2022'!B:B,B402,'2022'!C:C)</f>
        <v>1836494.8</v>
      </c>
      <c r="O402" s="17">
        <v>44925</v>
      </c>
      <c r="P402" s="5" t="s">
        <v>3728</v>
      </c>
    </row>
    <row r="403" spans="1:16" ht="17.25" customHeight="1" x14ac:dyDescent="0.3">
      <c r="A403" s="210">
        <f t="shared" si="44"/>
        <v>343</v>
      </c>
      <c r="B403" s="21" t="s">
        <v>415</v>
      </c>
      <c r="C403" s="5">
        <v>1955</v>
      </c>
      <c r="D403" s="3"/>
      <c r="E403" s="5" t="s">
        <v>3730</v>
      </c>
      <c r="F403" s="4">
        <v>2</v>
      </c>
      <c r="G403" s="26"/>
      <c r="H403" s="2">
        <v>157.71</v>
      </c>
      <c r="I403" s="4" t="s">
        <v>3756</v>
      </c>
      <c r="J403" s="19">
        <f t="shared" si="43"/>
        <v>1150960.56</v>
      </c>
      <c r="K403" s="73"/>
      <c r="L403" s="73"/>
      <c r="M403" s="73"/>
      <c r="N403" s="19">
        <f>SUMIF('2020'!B:B,B403,'2020'!C:C)+SUMIF('2021'!B:B,B403,'2021'!C:C)+SUMIF('2022'!B:B,B403,'2022'!C:C)</f>
        <v>1150960.56</v>
      </c>
      <c r="O403" s="17">
        <v>44925</v>
      </c>
      <c r="P403" s="5" t="s">
        <v>3728</v>
      </c>
    </row>
    <row r="404" spans="1:16" ht="17.25" customHeight="1" x14ac:dyDescent="0.3">
      <c r="A404" s="210">
        <f t="shared" si="44"/>
        <v>344</v>
      </c>
      <c r="B404" s="21" t="s">
        <v>416</v>
      </c>
      <c r="C404" s="5">
        <v>1956</v>
      </c>
      <c r="D404" s="3"/>
      <c r="E404" s="5" t="s">
        <v>3730</v>
      </c>
      <c r="F404" s="4">
        <v>2</v>
      </c>
      <c r="G404" s="26"/>
      <c r="H404" s="2">
        <v>182.2</v>
      </c>
      <c r="I404" s="4" t="s">
        <v>3754</v>
      </c>
      <c r="J404" s="19">
        <f t="shared" si="43"/>
        <v>612969.3600000001</v>
      </c>
      <c r="K404" s="73"/>
      <c r="L404" s="73"/>
      <c r="M404" s="73"/>
      <c r="N404" s="19">
        <f>SUMIF('2020'!B:B,B404,'2020'!C:C)+SUMIF('2021'!B:B,B404,'2021'!C:C)+SUMIF('2022'!B:B,B404,'2022'!C:C)</f>
        <v>612969.3600000001</v>
      </c>
      <c r="O404" s="17">
        <v>44925</v>
      </c>
      <c r="P404" s="5" t="s">
        <v>3728</v>
      </c>
    </row>
    <row r="405" spans="1:16" ht="17.25" customHeight="1" x14ac:dyDescent="0.3">
      <c r="A405" s="210">
        <f t="shared" si="44"/>
        <v>345</v>
      </c>
      <c r="B405" s="21" t="s">
        <v>417</v>
      </c>
      <c r="C405" s="5">
        <v>1955</v>
      </c>
      <c r="D405" s="3"/>
      <c r="E405" s="5" t="s">
        <v>3730</v>
      </c>
      <c r="F405" s="4">
        <v>2</v>
      </c>
      <c r="G405" s="26"/>
      <c r="H405" s="2">
        <v>159.81</v>
      </c>
      <c r="I405" s="4" t="s">
        <v>3757</v>
      </c>
      <c r="J405" s="19">
        <f t="shared" si="43"/>
        <v>613720.26</v>
      </c>
      <c r="K405" s="73"/>
      <c r="L405" s="73"/>
      <c r="M405" s="73"/>
      <c r="N405" s="19">
        <f>SUMIF('2020'!B:B,B405,'2020'!C:C)+SUMIF('2021'!B:B,B405,'2021'!C:C)+SUMIF('2022'!B:B,B405,'2022'!C:C)</f>
        <v>613720.26</v>
      </c>
      <c r="O405" s="17">
        <v>44925</v>
      </c>
      <c r="P405" s="5" t="s">
        <v>3728</v>
      </c>
    </row>
    <row r="406" spans="1:16" ht="17.25" customHeight="1" x14ac:dyDescent="0.3">
      <c r="A406" s="210">
        <f t="shared" si="44"/>
        <v>346</v>
      </c>
      <c r="B406" s="21" t="s">
        <v>418</v>
      </c>
      <c r="C406" s="5">
        <v>1917</v>
      </c>
      <c r="D406" s="3"/>
      <c r="E406" s="5" t="s">
        <v>3730</v>
      </c>
      <c r="F406" s="4">
        <v>2</v>
      </c>
      <c r="G406" s="26"/>
      <c r="H406" s="2">
        <v>488.06</v>
      </c>
      <c r="I406" s="4" t="s">
        <v>3706</v>
      </c>
      <c r="J406" s="19">
        <f t="shared" si="43"/>
        <v>2823731.28</v>
      </c>
      <c r="K406" s="73"/>
      <c r="L406" s="73"/>
      <c r="M406" s="73"/>
      <c r="N406" s="19">
        <f>SUMIF('2020'!B:B,B406,'2020'!C:C)+SUMIF('2021'!B:B,B406,'2021'!C:C)+SUMIF('2022'!B:B,B406,'2022'!C:C)</f>
        <v>2823731.28</v>
      </c>
      <c r="O406" s="17">
        <v>44925</v>
      </c>
      <c r="P406" s="5" t="s">
        <v>3728</v>
      </c>
    </row>
    <row r="407" spans="1:16" ht="17.25" customHeight="1" x14ac:dyDescent="0.3">
      <c r="A407" s="210">
        <f t="shared" si="44"/>
        <v>347</v>
      </c>
      <c r="B407" s="21" t="s">
        <v>419</v>
      </c>
      <c r="C407" s="5">
        <v>1917</v>
      </c>
      <c r="D407" s="3"/>
      <c r="E407" s="5" t="s">
        <v>3730</v>
      </c>
      <c r="F407" s="4">
        <v>2</v>
      </c>
      <c r="G407" s="26"/>
      <c r="H407" s="2">
        <v>287.10000000000002</v>
      </c>
      <c r="I407" s="4" t="s">
        <v>3751</v>
      </c>
      <c r="J407" s="19">
        <f t="shared" si="43"/>
        <v>2143859.7999999998</v>
      </c>
      <c r="K407" s="73"/>
      <c r="L407" s="73"/>
      <c r="M407" s="73"/>
      <c r="N407" s="19">
        <f>SUMIF('2020'!B:B,B407,'2020'!C:C)+SUMIF('2021'!B:B,B407,'2021'!C:C)+SUMIF('2022'!B:B,B407,'2022'!C:C)</f>
        <v>2143859.7999999998</v>
      </c>
      <c r="O407" s="17">
        <v>44925</v>
      </c>
      <c r="P407" s="5" t="s">
        <v>3728</v>
      </c>
    </row>
    <row r="408" spans="1:16" ht="17.25" customHeight="1" x14ac:dyDescent="0.3">
      <c r="A408" s="210">
        <f t="shared" si="44"/>
        <v>348</v>
      </c>
      <c r="B408" s="21" t="s">
        <v>420</v>
      </c>
      <c r="C408" s="5">
        <v>1917</v>
      </c>
      <c r="D408" s="3"/>
      <c r="E408" s="5" t="s">
        <v>3730</v>
      </c>
      <c r="F408" s="4">
        <v>2</v>
      </c>
      <c r="G408" s="26"/>
      <c r="H408" s="2">
        <v>160.6</v>
      </c>
      <c r="I408" s="4" t="s">
        <v>3750</v>
      </c>
      <c r="J408" s="19">
        <f t="shared" si="43"/>
        <v>458193.87</v>
      </c>
      <c r="K408" s="73"/>
      <c r="L408" s="73"/>
      <c r="M408" s="73"/>
      <c r="N408" s="19">
        <f>SUMIF('2020'!B:B,B408,'2020'!C:C)+SUMIF('2021'!B:B,B408,'2021'!C:C)+SUMIF('2022'!B:B,B408,'2022'!C:C)</f>
        <v>458193.87</v>
      </c>
      <c r="O408" s="17">
        <v>44925</v>
      </c>
      <c r="P408" s="5" t="s">
        <v>3728</v>
      </c>
    </row>
    <row r="409" spans="1:16" ht="17.25" customHeight="1" x14ac:dyDescent="0.3">
      <c r="A409" s="210">
        <f t="shared" si="44"/>
        <v>349</v>
      </c>
      <c r="B409" s="21" t="s">
        <v>421</v>
      </c>
      <c r="C409" s="5">
        <v>1917</v>
      </c>
      <c r="D409" s="3"/>
      <c r="E409" s="5" t="s">
        <v>3730</v>
      </c>
      <c r="F409" s="4">
        <v>2</v>
      </c>
      <c r="G409" s="26"/>
      <c r="H409" s="2">
        <v>321.7</v>
      </c>
      <c r="I409" s="4" t="s">
        <v>3720</v>
      </c>
      <c r="J409" s="19">
        <f t="shared" si="43"/>
        <v>9061102.8000000007</v>
      </c>
      <c r="K409" s="73"/>
      <c r="L409" s="73"/>
      <c r="M409" s="73"/>
      <c r="N409" s="19">
        <f>SUMIF('2020'!B:B,B409,'2020'!C:C)+SUMIF('2021'!B:B,B409,'2021'!C:C)+SUMIF('2022'!B:B,B409,'2022'!C:C)</f>
        <v>9061102.8000000007</v>
      </c>
      <c r="O409" s="17">
        <v>44925</v>
      </c>
      <c r="P409" s="5" t="s">
        <v>3728</v>
      </c>
    </row>
    <row r="410" spans="1:16" ht="17.25" customHeight="1" x14ac:dyDescent="0.3">
      <c r="A410" s="210">
        <f t="shared" si="44"/>
        <v>350</v>
      </c>
      <c r="B410" s="21" t="s">
        <v>422</v>
      </c>
      <c r="C410" s="5">
        <v>1917</v>
      </c>
      <c r="D410" s="3"/>
      <c r="E410" s="5" t="s">
        <v>3730</v>
      </c>
      <c r="F410" s="4">
        <v>2</v>
      </c>
      <c r="G410" s="26"/>
      <c r="H410" s="2">
        <v>193.4</v>
      </c>
      <c r="I410" s="4" t="s">
        <v>3749</v>
      </c>
      <c r="J410" s="19">
        <f t="shared" si="43"/>
        <v>7651598.4000000004</v>
      </c>
      <c r="K410" s="73"/>
      <c r="L410" s="73"/>
      <c r="M410" s="73"/>
      <c r="N410" s="19">
        <f>SUMIF('2020'!B:B,B410,'2020'!C:C)+SUMIF('2021'!B:B,B410,'2021'!C:C)+SUMIF('2022'!B:B,B410,'2022'!C:C)</f>
        <v>7651598.4000000004</v>
      </c>
      <c r="O410" s="17">
        <v>44925</v>
      </c>
      <c r="P410" s="5" t="s">
        <v>3728</v>
      </c>
    </row>
    <row r="411" spans="1:16" ht="17.25" customHeight="1" x14ac:dyDescent="0.3">
      <c r="A411" s="210">
        <f t="shared" si="44"/>
        <v>351</v>
      </c>
      <c r="B411" s="21" t="s">
        <v>423</v>
      </c>
      <c r="C411" s="5">
        <v>1917</v>
      </c>
      <c r="D411" s="3"/>
      <c r="E411" s="5" t="s">
        <v>3740</v>
      </c>
      <c r="F411" s="4">
        <v>2</v>
      </c>
      <c r="G411" s="26"/>
      <c r="H411" s="2">
        <v>316</v>
      </c>
      <c r="I411" s="4" t="s">
        <v>3720</v>
      </c>
      <c r="J411" s="19">
        <f t="shared" si="43"/>
        <v>462783.06999999995</v>
      </c>
      <c r="K411" s="73"/>
      <c r="L411" s="73"/>
      <c r="M411" s="73"/>
      <c r="N411" s="19">
        <f>SUMIF('2020'!B:B,B411,'2020'!C:C)+SUMIF('2021'!B:B,B411,'2021'!C:C)+SUMIF('2022'!B:B,B411,'2022'!C:C)</f>
        <v>462783.06999999995</v>
      </c>
      <c r="O411" s="17">
        <v>44925</v>
      </c>
      <c r="P411" s="5" t="s">
        <v>3728</v>
      </c>
    </row>
    <row r="412" spans="1:16" ht="17.25" customHeight="1" x14ac:dyDescent="0.3">
      <c r="A412" s="210">
        <f t="shared" si="44"/>
        <v>352</v>
      </c>
      <c r="B412" s="21" t="s">
        <v>424</v>
      </c>
      <c r="C412" s="5">
        <v>1917</v>
      </c>
      <c r="D412" s="3"/>
      <c r="E412" s="5" t="s">
        <v>3730</v>
      </c>
      <c r="F412" s="4">
        <v>2</v>
      </c>
      <c r="G412" s="26"/>
      <c r="H412" s="2">
        <v>311.76</v>
      </c>
      <c r="I412" s="4" t="s">
        <v>3748</v>
      </c>
      <c r="J412" s="19">
        <f t="shared" si="43"/>
        <v>3623062.36</v>
      </c>
      <c r="K412" s="73"/>
      <c r="L412" s="73"/>
      <c r="M412" s="73"/>
      <c r="N412" s="19">
        <f>SUMIF('2020'!B:B,B412,'2020'!C:C)+SUMIF('2021'!B:B,B412,'2021'!C:C)+SUMIF('2022'!B:B,B412,'2022'!C:C)</f>
        <v>3623062.36</v>
      </c>
      <c r="O412" s="17">
        <v>44925</v>
      </c>
      <c r="P412" s="5" t="s">
        <v>3728</v>
      </c>
    </row>
    <row r="413" spans="1:16" ht="17.25" customHeight="1" x14ac:dyDescent="0.3">
      <c r="A413" s="210">
        <f t="shared" si="44"/>
        <v>353</v>
      </c>
      <c r="B413" s="21" t="s">
        <v>425</v>
      </c>
      <c r="C413" s="5">
        <v>1917</v>
      </c>
      <c r="D413" s="3"/>
      <c r="E413" s="5" t="s">
        <v>3730</v>
      </c>
      <c r="F413" s="4">
        <v>2</v>
      </c>
      <c r="G413" s="26"/>
      <c r="H413" s="2">
        <v>468.02</v>
      </c>
      <c r="I413" s="4" t="s">
        <v>3759</v>
      </c>
      <c r="J413" s="19">
        <f t="shared" si="43"/>
        <v>4283302.01</v>
      </c>
      <c r="K413" s="73"/>
      <c r="L413" s="73"/>
      <c r="M413" s="73"/>
      <c r="N413" s="19">
        <f>SUMIF('2020'!B:B,B413,'2020'!C:C)+SUMIF('2021'!B:B,B413,'2021'!C:C)+SUMIF('2022'!B:B,B413,'2022'!C:C)</f>
        <v>4283302.01</v>
      </c>
      <c r="O413" s="17">
        <v>44925</v>
      </c>
      <c r="P413" s="5" t="s">
        <v>3728</v>
      </c>
    </row>
    <row r="414" spans="1:16" ht="17.25" customHeight="1" x14ac:dyDescent="0.3">
      <c r="A414" s="210">
        <f t="shared" si="44"/>
        <v>354</v>
      </c>
      <c r="B414" s="21" t="s">
        <v>426</v>
      </c>
      <c r="C414" s="5">
        <v>1917</v>
      </c>
      <c r="D414" s="3"/>
      <c r="E414" s="5" t="s">
        <v>3730</v>
      </c>
      <c r="F414" s="4">
        <v>2</v>
      </c>
      <c r="G414" s="26"/>
      <c r="H414" s="2">
        <v>200.3</v>
      </c>
      <c r="I414" s="4" t="s">
        <v>3760</v>
      </c>
      <c r="J414" s="19">
        <f t="shared" si="43"/>
        <v>2472269.42</v>
      </c>
      <c r="K414" s="73"/>
      <c r="L414" s="73"/>
      <c r="M414" s="73"/>
      <c r="N414" s="19">
        <f>SUMIF('2020'!B:B,B414,'2020'!C:C)+SUMIF('2021'!B:B,B414,'2021'!C:C)+SUMIF('2022'!B:B,B414,'2022'!C:C)</f>
        <v>2472269.42</v>
      </c>
      <c r="O414" s="17">
        <v>44925</v>
      </c>
      <c r="P414" s="5" t="s">
        <v>3728</v>
      </c>
    </row>
    <row r="415" spans="1:16" ht="17.25" customHeight="1" x14ac:dyDescent="0.3">
      <c r="A415" s="210">
        <f t="shared" si="44"/>
        <v>355</v>
      </c>
      <c r="B415" s="21" t="s">
        <v>427</v>
      </c>
      <c r="C415" s="5">
        <v>1917</v>
      </c>
      <c r="D415" s="3"/>
      <c r="E415" s="5" t="s">
        <v>3645</v>
      </c>
      <c r="F415" s="4">
        <v>2</v>
      </c>
      <c r="G415" s="26"/>
      <c r="H415" s="2">
        <v>661.6</v>
      </c>
      <c r="I415" s="4" t="s">
        <v>3669</v>
      </c>
      <c r="J415" s="19">
        <f t="shared" si="43"/>
        <v>4395935.7300000004</v>
      </c>
      <c r="K415" s="73"/>
      <c r="L415" s="73"/>
      <c r="M415" s="73"/>
      <c r="N415" s="19">
        <f>SUMIF('2020'!B:B,B415,'2020'!C:C)+SUMIF('2021'!B:B,B415,'2021'!C:C)+SUMIF('2022'!B:B,B415,'2022'!C:C)</f>
        <v>4395935.7300000004</v>
      </c>
      <c r="O415" s="17">
        <v>44925</v>
      </c>
      <c r="P415" s="5" t="s">
        <v>3728</v>
      </c>
    </row>
    <row r="416" spans="1:16" ht="17.25" customHeight="1" x14ac:dyDescent="0.3">
      <c r="A416" s="210">
        <f t="shared" si="44"/>
        <v>356</v>
      </c>
      <c r="B416" s="21" t="s">
        <v>428</v>
      </c>
      <c r="C416" s="5">
        <v>1917</v>
      </c>
      <c r="D416" s="3"/>
      <c r="E416" s="5" t="s">
        <v>3645</v>
      </c>
      <c r="F416" s="4">
        <v>2</v>
      </c>
      <c r="G416" s="26"/>
      <c r="H416" s="2">
        <v>171.29</v>
      </c>
      <c r="I416" s="4" t="s">
        <v>3754</v>
      </c>
      <c r="J416" s="19">
        <f t="shared" si="43"/>
        <v>2417126.8000000003</v>
      </c>
      <c r="K416" s="73"/>
      <c r="L416" s="73"/>
      <c r="M416" s="73"/>
      <c r="N416" s="19">
        <f>SUMIF('2020'!B:B,B416,'2020'!C:C)+SUMIF('2021'!B:B,B416,'2021'!C:C)+SUMIF('2022'!B:B,B416,'2022'!C:C)</f>
        <v>2417126.8000000003</v>
      </c>
      <c r="O416" s="17">
        <v>44925</v>
      </c>
      <c r="P416" s="5" t="s">
        <v>3728</v>
      </c>
    </row>
    <row r="417" spans="1:16" ht="17.25" customHeight="1" x14ac:dyDescent="0.3">
      <c r="A417" s="210">
        <f t="shared" si="44"/>
        <v>357</v>
      </c>
      <c r="B417" s="21" t="s">
        <v>429</v>
      </c>
      <c r="C417" s="5">
        <v>1917</v>
      </c>
      <c r="D417" s="3"/>
      <c r="E417" s="5" t="s">
        <v>3730</v>
      </c>
      <c r="F417" s="4">
        <v>2</v>
      </c>
      <c r="G417" s="26"/>
      <c r="H417" s="2">
        <v>190.43</v>
      </c>
      <c r="I417" s="4" t="s">
        <v>3701</v>
      </c>
      <c r="J417" s="19">
        <f t="shared" si="43"/>
        <v>326816.39</v>
      </c>
      <c r="K417" s="73"/>
      <c r="L417" s="73"/>
      <c r="M417" s="73"/>
      <c r="N417" s="19">
        <f>SUMIF('2020'!B:B,B417,'2020'!C:C)+SUMIF('2021'!B:B,B417,'2021'!C:C)+SUMIF('2022'!B:B,B417,'2022'!C:C)</f>
        <v>326816.39</v>
      </c>
      <c r="O417" s="17">
        <v>44925</v>
      </c>
      <c r="P417" s="5" t="s">
        <v>3728</v>
      </c>
    </row>
    <row r="418" spans="1:16" ht="17.25" customHeight="1" x14ac:dyDescent="0.3">
      <c r="A418" s="210">
        <f t="shared" si="44"/>
        <v>358</v>
      </c>
      <c r="B418" s="21" t="s">
        <v>430</v>
      </c>
      <c r="C418" s="5">
        <v>1917</v>
      </c>
      <c r="D418" s="3"/>
      <c r="E418" s="5" t="s">
        <v>3730</v>
      </c>
      <c r="F418" s="4">
        <v>2</v>
      </c>
      <c r="G418" s="26"/>
      <c r="H418" s="2">
        <v>242.4</v>
      </c>
      <c r="I418" s="4" t="s">
        <v>3703</v>
      </c>
      <c r="J418" s="19">
        <f t="shared" si="43"/>
        <v>380743.06</v>
      </c>
      <c r="K418" s="73"/>
      <c r="L418" s="73"/>
      <c r="M418" s="73"/>
      <c r="N418" s="19">
        <f>SUMIF('2020'!B:B,B418,'2020'!C:C)+SUMIF('2021'!B:B,B418,'2021'!C:C)+SUMIF('2022'!B:B,B418,'2022'!C:C)</f>
        <v>380743.06</v>
      </c>
      <c r="O418" s="17">
        <v>44925</v>
      </c>
      <c r="P418" s="5" t="s">
        <v>3728</v>
      </c>
    </row>
    <row r="419" spans="1:16" ht="17.25" customHeight="1" x14ac:dyDescent="0.3">
      <c r="A419" s="210">
        <f t="shared" si="44"/>
        <v>359</v>
      </c>
      <c r="B419" s="21" t="s">
        <v>431</v>
      </c>
      <c r="C419" s="5">
        <v>1917</v>
      </c>
      <c r="D419" s="3"/>
      <c r="E419" s="5" t="s">
        <v>3730</v>
      </c>
      <c r="F419" s="4">
        <v>2</v>
      </c>
      <c r="G419" s="26"/>
      <c r="H419" s="2">
        <v>193.67</v>
      </c>
      <c r="I419" s="4" t="s">
        <v>3751</v>
      </c>
      <c r="J419" s="19">
        <f t="shared" si="43"/>
        <v>233366.96000000002</v>
      </c>
      <c r="K419" s="73"/>
      <c r="L419" s="73"/>
      <c r="M419" s="73"/>
      <c r="N419" s="19">
        <f>SUMIF('2020'!B:B,B419,'2020'!C:C)+SUMIF('2021'!B:B,B419,'2021'!C:C)+SUMIF('2022'!B:B,B419,'2022'!C:C)</f>
        <v>233366.96000000002</v>
      </c>
      <c r="O419" s="17">
        <v>44925</v>
      </c>
      <c r="P419" s="5" t="s">
        <v>3728</v>
      </c>
    </row>
    <row r="420" spans="1:16" ht="17.25" customHeight="1" x14ac:dyDescent="0.3">
      <c r="A420" s="210">
        <f t="shared" si="44"/>
        <v>360</v>
      </c>
      <c r="B420" s="21" t="s">
        <v>432</v>
      </c>
      <c r="C420" s="5">
        <v>1917</v>
      </c>
      <c r="D420" s="3"/>
      <c r="E420" s="5" t="s">
        <v>3730</v>
      </c>
      <c r="F420" s="4">
        <v>2</v>
      </c>
      <c r="G420" s="26"/>
      <c r="H420" s="2">
        <v>272.54000000000002</v>
      </c>
      <c r="I420" s="4" t="s">
        <v>3748</v>
      </c>
      <c r="J420" s="19">
        <f t="shared" si="43"/>
        <v>3886936.25</v>
      </c>
      <c r="K420" s="73"/>
      <c r="L420" s="73"/>
      <c r="M420" s="73"/>
      <c r="N420" s="19">
        <f>SUMIF('2020'!B:B,B420,'2020'!C:C)+SUMIF('2021'!B:B,B420,'2021'!C:C)+SUMIF('2022'!B:B,B420,'2022'!C:C)</f>
        <v>3886936.25</v>
      </c>
      <c r="O420" s="17">
        <v>44925</v>
      </c>
      <c r="P420" s="5" t="s">
        <v>3728</v>
      </c>
    </row>
    <row r="421" spans="1:16" ht="17.25" customHeight="1" x14ac:dyDescent="0.3">
      <c r="A421" s="210">
        <f t="shared" si="44"/>
        <v>361</v>
      </c>
      <c r="B421" s="21" t="s">
        <v>433</v>
      </c>
      <c r="C421" s="5">
        <v>1917</v>
      </c>
      <c r="D421" s="3"/>
      <c r="E421" s="5" t="s">
        <v>3730</v>
      </c>
      <c r="F421" s="4">
        <v>2</v>
      </c>
      <c r="G421" s="26"/>
      <c r="H421" s="2">
        <v>229.09</v>
      </c>
      <c r="I421" s="4" t="s">
        <v>3701</v>
      </c>
      <c r="J421" s="19">
        <f t="shared" si="43"/>
        <v>1693009.2</v>
      </c>
      <c r="K421" s="73"/>
      <c r="L421" s="73"/>
      <c r="M421" s="73"/>
      <c r="N421" s="19">
        <f>SUMIF('2020'!B:B,B421,'2020'!C:C)+SUMIF('2021'!B:B,B421,'2021'!C:C)+SUMIF('2022'!B:B,B421,'2022'!C:C)</f>
        <v>1693009.2</v>
      </c>
      <c r="O421" s="17">
        <v>44925</v>
      </c>
      <c r="P421" s="5" t="s">
        <v>3728</v>
      </c>
    </row>
    <row r="422" spans="1:16" ht="17.25" customHeight="1" x14ac:dyDescent="0.3">
      <c r="A422" s="210">
        <f t="shared" si="44"/>
        <v>362</v>
      </c>
      <c r="B422" s="21" t="s">
        <v>434</v>
      </c>
      <c r="C422" s="5">
        <v>1959</v>
      </c>
      <c r="D422" s="3"/>
      <c r="E422" s="5" t="s">
        <v>3730</v>
      </c>
      <c r="F422" s="4">
        <v>2</v>
      </c>
      <c r="G422" s="26"/>
      <c r="H422" s="2">
        <v>307.7</v>
      </c>
      <c r="I422" s="4" t="s">
        <v>3720</v>
      </c>
      <c r="J422" s="19">
        <f t="shared" si="43"/>
        <v>966827.95000000007</v>
      </c>
      <c r="K422" s="73"/>
      <c r="L422" s="73"/>
      <c r="M422" s="73"/>
      <c r="N422" s="19">
        <f>SUMIF('2020'!B:B,B422,'2020'!C:C)+SUMIF('2021'!B:B,B422,'2021'!C:C)+SUMIF('2022'!B:B,B422,'2022'!C:C)</f>
        <v>966827.95000000007</v>
      </c>
      <c r="O422" s="17">
        <v>44925</v>
      </c>
      <c r="P422" s="5" t="s">
        <v>3728</v>
      </c>
    </row>
    <row r="423" spans="1:16" ht="17.25" customHeight="1" x14ac:dyDescent="0.3">
      <c r="A423" s="210">
        <f t="shared" si="44"/>
        <v>363</v>
      </c>
      <c r="B423" s="21" t="s">
        <v>435</v>
      </c>
      <c r="C423" s="5">
        <v>1959</v>
      </c>
      <c r="D423" s="3"/>
      <c r="E423" s="5" t="s">
        <v>3730</v>
      </c>
      <c r="F423" s="4">
        <v>2</v>
      </c>
      <c r="G423" s="26"/>
      <c r="H423" s="2">
        <v>326.42</v>
      </c>
      <c r="I423" s="4" t="s">
        <v>3720</v>
      </c>
      <c r="J423" s="19">
        <f t="shared" si="43"/>
        <v>785777.33000000007</v>
      </c>
      <c r="K423" s="73"/>
      <c r="L423" s="73"/>
      <c r="M423" s="73"/>
      <c r="N423" s="19">
        <f>SUMIF('2020'!B:B,B423,'2020'!C:C)+SUMIF('2021'!B:B,B423,'2021'!C:C)+SUMIF('2022'!B:B,B423,'2022'!C:C)</f>
        <v>785777.33000000007</v>
      </c>
      <c r="O423" s="17">
        <v>44925</v>
      </c>
      <c r="P423" s="5" t="s">
        <v>3728</v>
      </c>
    </row>
    <row r="424" spans="1:16" ht="17.25" customHeight="1" x14ac:dyDescent="0.3">
      <c r="A424" s="210">
        <f t="shared" si="44"/>
        <v>364</v>
      </c>
      <c r="B424" s="21" t="s">
        <v>436</v>
      </c>
      <c r="C424" s="5">
        <v>1959</v>
      </c>
      <c r="D424" s="3"/>
      <c r="E424" s="5" t="s">
        <v>3730</v>
      </c>
      <c r="F424" s="4">
        <v>2</v>
      </c>
      <c r="G424" s="26"/>
      <c r="H424" s="2">
        <v>329.7</v>
      </c>
      <c r="I424" s="4" t="s">
        <v>3719</v>
      </c>
      <c r="J424" s="19">
        <f t="shared" si="43"/>
        <v>503408.8</v>
      </c>
      <c r="K424" s="73"/>
      <c r="L424" s="73"/>
      <c r="M424" s="73"/>
      <c r="N424" s="19">
        <f>SUMIF('2020'!B:B,B424,'2020'!C:C)+SUMIF('2021'!B:B,B424,'2021'!C:C)+SUMIF('2022'!B:B,B424,'2022'!C:C)</f>
        <v>503408.8</v>
      </c>
      <c r="O424" s="17">
        <v>44925</v>
      </c>
      <c r="P424" s="5" t="s">
        <v>3728</v>
      </c>
    </row>
    <row r="425" spans="1:16" ht="17.25" customHeight="1" x14ac:dyDescent="0.3">
      <c r="A425" s="210">
        <f t="shared" si="44"/>
        <v>365</v>
      </c>
      <c r="B425" s="21" t="s">
        <v>437</v>
      </c>
      <c r="C425" s="5">
        <v>1959</v>
      </c>
      <c r="D425" s="3"/>
      <c r="E425" s="5" t="s">
        <v>3730</v>
      </c>
      <c r="F425" s="4">
        <v>2</v>
      </c>
      <c r="G425" s="26"/>
      <c r="H425" s="2">
        <v>328.1</v>
      </c>
      <c r="I425" s="4" t="s">
        <v>3759</v>
      </c>
      <c r="J425" s="19">
        <f t="shared" si="43"/>
        <v>477103.6</v>
      </c>
      <c r="K425" s="73"/>
      <c r="L425" s="73"/>
      <c r="M425" s="73"/>
      <c r="N425" s="19">
        <f>SUMIF('2020'!B:B,B425,'2020'!C:C)+SUMIF('2021'!B:B,B425,'2021'!C:C)+SUMIF('2022'!B:B,B425,'2022'!C:C)</f>
        <v>477103.6</v>
      </c>
      <c r="O425" s="17">
        <v>44925</v>
      </c>
      <c r="P425" s="5" t="s">
        <v>3728</v>
      </c>
    </row>
    <row r="426" spans="1:16" ht="17.25" customHeight="1" x14ac:dyDescent="0.3">
      <c r="A426" s="210">
        <f t="shared" si="44"/>
        <v>366</v>
      </c>
      <c r="B426" s="21" t="s">
        <v>438</v>
      </c>
      <c r="C426" s="5">
        <v>1959</v>
      </c>
      <c r="D426" s="3"/>
      <c r="E426" s="5" t="s">
        <v>3730</v>
      </c>
      <c r="F426" s="4">
        <v>2</v>
      </c>
      <c r="G426" s="26"/>
      <c r="H426" s="2">
        <v>320.60000000000002</v>
      </c>
      <c r="I426" s="4" t="s">
        <v>3706</v>
      </c>
      <c r="J426" s="19">
        <f t="shared" si="43"/>
        <v>471863.2</v>
      </c>
      <c r="K426" s="73"/>
      <c r="L426" s="73"/>
      <c r="M426" s="73"/>
      <c r="N426" s="19">
        <f>SUMIF('2020'!B:B,B426,'2020'!C:C)+SUMIF('2021'!B:B,B426,'2021'!C:C)+SUMIF('2022'!B:B,B426,'2022'!C:C)</f>
        <v>471863.2</v>
      </c>
      <c r="O426" s="17">
        <v>44925</v>
      </c>
      <c r="P426" s="5" t="s">
        <v>3728</v>
      </c>
    </row>
    <row r="427" spans="1:16" ht="17.25" customHeight="1" x14ac:dyDescent="0.3">
      <c r="A427" s="210">
        <f t="shared" si="44"/>
        <v>367</v>
      </c>
      <c r="B427" s="21" t="s">
        <v>439</v>
      </c>
      <c r="C427" s="5">
        <v>1964</v>
      </c>
      <c r="D427" s="3"/>
      <c r="E427" s="5" t="s">
        <v>3645</v>
      </c>
      <c r="F427" s="4">
        <v>2</v>
      </c>
      <c r="G427" s="26"/>
      <c r="H427" s="2">
        <v>372.7</v>
      </c>
      <c r="I427" s="4" t="s">
        <v>3685</v>
      </c>
      <c r="J427" s="19">
        <f t="shared" si="43"/>
        <v>736720.35</v>
      </c>
      <c r="K427" s="73"/>
      <c r="L427" s="73"/>
      <c r="M427" s="73"/>
      <c r="N427" s="19">
        <f>SUMIF('2020'!B:B,B427,'2020'!C:C)+SUMIF('2021'!B:B,B427,'2021'!C:C)+SUMIF('2022'!B:B,B427,'2022'!C:C)</f>
        <v>736720.35</v>
      </c>
      <c r="O427" s="17">
        <v>44925</v>
      </c>
      <c r="P427" s="5" t="s">
        <v>3728</v>
      </c>
    </row>
    <row r="428" spans="1:16" ht="17.25" customHeight="1" x14ac:dyDescent="0.3">
      <c r="A428" s="210">
        <f t="shared" si="44"/>
        <v>368</v>
      </c>
      <c r="B428" s="21" t="s">
        <v>440</v>
      </c>
      <c r="C428" s="5">
        <v>1967</v>
      </c>
      <c r="D428" s="3"/>
      <c r="E428" s="5" t="s">
        <v>3645</v>
      </c>
      <c r="F428" s="4">
        <v>2</v>
      </c>
      <c r="G428" s="26"/>
      <c r="H428" s="2">
        <v>523.29999999999995</v>
      </c>
      <c r="I428" s="4" t="s">
        <v>3721</v>
      </c>
      <c r="J428" s="19">
        <f t="shared" si="43"/>
        <v>786697.06</v>
      </c>
      <c r="K428" s="73"/>
      <c r="L428" s="73"/>
      <c r="M428" s="73"/>
      <c r="N428" s="19">
        <f>SUMIF('2020'!B:B,B428,'2020'!C:C)+SUMIF('2021'!B:B,B428,'2021'!C:C)+SUMIF('2022'!B:B,B428,'2022'!C:C)</f>
        <v>786697.06</v>
      </c>
      <c r="O428" s="17">
        <v>44925</v>
      </c>
      <c r="P428" s="5" t="s">
        <v>3728</v>
      </c>
    </row>
    <row r="429" spans="1:16" ht="17.25" customHeight="1" x14ac:dyDescent="0.3">
      <c r="A429" s="210">
        <f t="shared" si="44"/>
        <v>369</v>
      </c>
      <c r="B429" s="21" t="s">
        <v>441</v>
      </c>
      <c r="C429" s="5">
        <v>1982</v>
      </c>
      <c r="D429" s="3"/>
      <c r="E429" s="5" t="s">
        <v>3729</v>
      </c>
      <c r="F429" s="4" t="s">
        <v>3743</v>
      </c>
      <c r="G429" s="26"/>
      <c r="H429" s="2">
        <v>1386.3</v>
      </c>
      <c r="I429" s="4" t="s">
        <v>3696</v>
      </c>
      <c r="J429" s="19">
        <f t="shared" si="43"/>
        <v>729692.3</v>
      </c>
      <c r="K429" s="73"/>
      <c r="L429" s="73"/>
      <c r="M429" s="73"/>
      <c r="N429" s="19">
        <f>SUMIF('2020'!B:B,B429,'2020'!C:C)+SUMIF('2021'!B:B,B429,'2021'!C:C)+SUMIF('2022'!B:B,B429,'2022'!C:C)</f>
        <v>729692.3</v>
      </c>
      <c r="O429" s="17">
        <v>44925</v>
      </c>
      <c r="P429" s="5" t="s">
        <v>3728</v>
      </c>
    </row>
    <row r="430" spans="1:16" ht="17.25" customHeight="1" x14ac:dyDescent="0.3">
      <c r="A430" s="210">
        <f t="shared" si="44"/>
        <v>370</v>
      </c>
      <c r="B430" s="21" t="s">
        <v>442</v>
      </c>
      <c r="C430" s="5">
        <v>1970</v>
      </c>
      <c r="D430" s="3"/>
      <c r="E430" s="5" t="s">
        <v>3730</v>
      </c>
      <c r="F430" s="4">
        <v>2</v>
      </c>
      <c r="G430" s="26"/>
      <c r="H430" s="2">
        <v>438.75</v>
      </c>
      <c r="I430" s="4" t="s">
        <v>3703</v>
      </c>
      <c r="J430" s="19">
        <f t="shared" si="43"/>
        <v>94298.880000000005</v>
      </c>
      <c r="K430" s="73"/>
      <c r="L430" s="73"/>
      <c r="M430" s="73"/>
      <c r="N430" s="19">
        <f>SUMIF('2020'!B:B,B430,'2020'!C:C)+SUMIF('2021'!B:B,B430,'2021'!C:C)+SUMIF('2022'!B:B,B430,'2022'!C:C)</f>
        <v>94298.880000000005</v>
      </c>
      <c r="O430" s="17">
        <v>44925</v>
      </c>
      <c r="P430" s="5" t="s">
        <v>3728</v>
      </c>
    </row>
    <row r="431" spans="1:16" ht="17.25" customHeight="1" x14ac:dyDescent="0.3">
      <c r="A431" s="210">
        <f t="shared" si="44"/>
        <v>371</v>
      </c>
      <c r="B431" s="21" t="s">
        <v>443</v>
      </c>
      <c r="C431" s="5">
        <v>1971</v>
      </c>
      <c r="D431" s="3"/>
      <c r="E431" s="5" t="s">
        <v>3730</v>
      </c>
      <c r="F431" s="4">
        <v>2</v>
      </c>
      <c r="G431" s="26"/>
      <c r="H431" s="2">
        <v>435</v>
      </c>
      <c r="I431" s="4" t="s">
        <v>3703</v>
      </c>
      <c r="J431" s="19">
        <f t="shared" si="43"/>
        <v>99096</v>
      </c>
      <c r="K431" s="73"/>
      <c r="L431" s="73"/>
      <c r="M431" s="73"/>
      <c r="N431" s="19">
        <f>SUMIF('2020'!B:B,B431,'2020'!C:C)+SUMIF('2021'!B:B,B431,'2021'!C:C)+SUMIF('2022'!B:B,B431,'2022'!C:C)</f>
        <v>99096</v>
      </c>
      <c r="O431" s="17">
        <v>44925</v>
      </c>
      <c r="P431" s="5" t="s">
        <v>3728</v>
      </c>
    </row>
    <row r="432" spans="1:16" ht="17.25" customHeight="1" x14ac:dyDescent="0.3">
      <c r="A432" s="210">
        <f t="shared" si="44"/>
        <v>372</v>
      </c>
      <c r="B432" s="21" t="s">
        <v>444</v>
      </c>
      <c r="C432" s="5">
        <v>1917</v>
      </c>
      <c r="D432" s="3"/>
      <c r="E432" s="5" t="s">
        <v>3730</v>
      </c>
      <c r="F432" s="4">
        <v>2</v>
      </c>
      <c r="G432" s="26"/>
      <c r="H432" s="2">
        <v>244.31</v>
      </c>
      <c r="I432" s="4" t="s">
        <v>3756</v>
      </c>
      <c r="J432" s="19">
        <f t="shared" si="43"/>
        <v>3595354.7</v>
      </c>
      <c r="K432" s="73"/>
      <c r="L432" s="73"/>
      <c r="M432" s="73"/>
      <c r="N432" s="19">
        <f>SUMIF('2020'!B:B,B432,'2020'!C:C)+SUMIF('2021'!B:B,B432,'2021'!C:C)+SUMIF('2022'!B:B,B432,'2022'!C:C)</f>
        <v>3595354.7</v>
      </c>
      <c r="O432" s="17">
        <v>44925</v>
      </c>
      <c r="P432" s="5" t="s">
        <v>3728</v>
      </c>
    </row>
    <row r="433" spans="1:16" ht="17.25" customHeight="1" x14ac:dyDescent="0.3">
      <c r="A433" s="210">
        <f t="shared" si="44"/>
        <v>373</v>
      </c>
      <c r="B433" s="21" t="s">
        <v>445</v>
      </c>
      <c r="C433" s="5">
        <v>1956</v>
      </c>
      <c r="D433" s="3"/>
      <c r="E433" s="5" t="s">
        <v>3730</v>
      </c>
      <c r="F433" s="4">
        <v>2</v>
      </c>
      <c r="G433" s="26"/>
      <c r="H433" s="2">
        <v>359.23</v>
      </c>
      <c r="I433" s="4" t="s">
        <v>3703</v>
      </c>
      <c r="J433" s="19">
        <f t="shared" si="43"/>
        <v>454084.34</v>
      </c>
      <c r="K433" s="73"/>
      <c r="L433" s="73"/>
      <c r="M433" s="73"/>
      <c r="N433" s="19">
        <f>SUMIF('2020'!B:B,B433,'2020'!C:C)+SUMIF('2021'!B:B,B433,'2021'!C:C)+SUMIF('2022'!B:B,B433,'2022'!C:C)</f>
        <v>454084.34</v>
      </c>
      <c r="O433" s="17">
        <v>44925</v>
      </c>
      <c r="P433" s="5" t="s">
        <v>3728</v>
      </c>
    </row>
    <row r="434" spans="1:16" ht="17.25" customHeight="1" x14ac:dyDescent="0.3">
      <c r="A434" s="210">
        <f t="shared" si="44"/>
        <v>374</v>
      </c>
      <c r="B434" s="21" t="s">
        <v>446</v>
      </c>
      <c r="C434" s="5">
        <v>1958</v>
      </c>
      <c r="D434" s="3"/>
      <c r="E434" s="5" t="s">
        <v>3645</v>
      </c>
      <c r="F434" s="4">
        <v>2</v>
      </c>
      <c r="G434" s="26"/>
      <c r="H434" s="2">
        <v>388.81</v>
      </c>
      <c r="I434" s="4" t="s">
        <v>3701</v>
      </c>
      <c r="J434" s="19">
        <f t="shared" si="43"/>
        <v>1548649.74</v>
      </c>
      <c r="K434" s="73"/>
      <c r="L434" s="73"/>
      <c r="M434" s="73"/>
      <c r="N434" s="19">
        <f>SUMIF('2020'!B:B,B434,'2020'!C:C)+SUMIF('2021'!B:B,B434,'2021'!C:C)+SUMIF('2022'!B:B,B434,'2022'!C:C)</f>
        <v>1548649.74</v>
      </c>
      <c r="O434" s="17">
        <v>44925</v>
      </c>
      <c r="P434" s="5" t="s">
        <v>3728</v>
      </c>
    </row>
    <row r="435" spans="1:16" ht="17.25" customHeight="1" x14ac:dyDescent="0.3">
      <c r="A435" s="210">
        <f t="shared" si="44"/>
        <v>375</v>
      </c>
      <c r="B435" s="21" t="s">
        <v>447</v>
      </c>
      <c r="C435" s="5">
        <v>1958</v>
      </c>
      <c r="D435" s="3"/>
      <c r="E435" s="5" t="s">
        <v>3730</v>
      </c>
      <c r="F435" s="4">
        <v>2</v>
      </c>
      <c r="G435" s="26"/>
      <c r="H435" s="2">
        <v>396.74</v>
      </c>
      <c r="I435" s="4" t="s">
        <v>3754</v>
      </c>
      <c r="J435" s="19">
        <f t="shared" si="43"/>
        <v>812603.23</v>
      </c>
      <c r="K435" s="73"/>
      <c r="L435" s="73"/>
      <c r="M435" s="73"/>
      <c r="N435" s="19">
        <f>SUMIF('2020'!B:B,B435,'2020'!C:C)+SUMIF('2021'!B:B,B435,'2021'!C:C)+SUMIF('2022'!B:B,B435,'2022'!C:C)</f>
        <v>812603.23</v>
      </c>
      <c r="O435" s="17">
        <v>44925</v>
      </c>
      <c r="P435" s="5" t="s">
        <v>3728</v>
      </c>
    </row>
    <row r="436" spans="1:16" ht="17.25" customHeight="1" x14ac:dyDescent="0.3">
      <c r="A436" s="210">
        <f t="shared" si="44"/>
        <v>376</v>
      </c>
      <c r="B436" s="21" t="s">
        <v>448</v>
      </c>
      <c r="C436" s="5">
        <v>1958</v>
      </c>
      <c r="D436" s="3"/>
      <c r="E436" s="5" t="s">
        <v>3730</v>
      </c>
      <c r="F436" s="4">
        <v>2</v>
      </c>
      <c r="G436" s="26"/>
      <c r="H436" s="2">
        <v>409.25</v>
      </c>
      <c r="I436" s="4" t="s">
        <v>3748</v>
      </c>
      <c r="J436" s="19">
        <f t="shared" si="43"/>
        <v>205762.68</v>
      </c>
      <c r="K436" s="73"/>
      <c r="L436" s="73"/>
      <c r="M436" s="73"/>
      <c r="N436" s="19">
        <f>SUMIF('2020'!B:B,B436,'2020'!C:C)+SUMIF('2021'!B:B,B436,'2021'!C:C)+SUMIF('2022'!B:B,B436,'2022'!C:C)</f>
        <v>205762.68</v>
      </c>
      <c r="O436" s="17">
        <v>44925</v>
      </c>
      <c r="P436" s="5" t="s">
        <v>3728</v>
      </c>
    </row>
    <row r="437" spans="1:16" ht="17.25" customHeight="1" x14ac:dyDescent="0.3">
      <c r="A437" s="210">
        <f t="shared" si="44"/>
        <v>377</v>
      </c>
      <c r="B437" s="21" t="s">
        <v>449</v>
      </c>
      <c r="C437" s="5">
        <v>1955</v>
      </c>
      <c r="D437" s="3"/>
      <c r="E437" s="5" t="s">
        <v>3730</v>
      </c>
      <c r="F437" s="4">
        <v>2</v>
      </c>
      <c r="G437" s="26"/>
      <c r="H437" s="2">
        <v>389.9</v>
      </c>
      <c r="I437" s="4" t="s">
        <v>3755</v>
      </c>
      <c r="J437" s="19">
        <f t="shared" si="43"/>
        <v>369201.91999999998</v>
      </c>
      <c r="K437" s="73"/>
      <c r="L437" s="73"/>
      <c r="M437" s="73"/>
      <c r="N437" s="19">
        <f>SUMIF('2020'!B:B,B437,'2020'!C:C)+SUMIF('2021'!B:B,B437,'2021'!C:C)+SUMIF('2022'!B:B,B437,'2022'!C:C)</f>
        <v>369201.91999999998</v>
      </c>
      <c r="O437" s="17">
        <v>44925</v>
      </c>
      <c r="P437" s="5" t="s">
        <v>3728</v>
      </c>
    </row>
    <row r="438" spans="1:16" ht="17.25" customHeight="1" x14ac:dyDescent="0.3">
      <c r="A438" s="210">
        <f t="shared" si="44"/>
        <v>378</v>
      </c>
      <c r="B438" s="21" t="s">
        <v>450</v>
      </c>
      <c r="C438" s="5">
        <v>1917</v>
      </c>
      <c r="D438" s="3"/>
      <c r="E438" s="5" t="s">
        <v>3730</v>
      </c>
      <c r="F438" s="4">
        <v>2</v>
      </c>
      <c r="G438" s="26"/>
      <c r="H438" s="2">
        <v>233.1</v>
      </c>
      <c r="I438" s="4" t="s">
        <v>3751</v>
      </c>
      <c r="J438" s="19">
        <f t="shared" si="43"/>
        <v>1531217.8900000001</v>
      </c>
      <c r="K438" s="73"/>
      <c r="L438" s="73"/>
      <c r="M438" s="73"/>
      <c r="N438" s="19">
        <f>SUMIF('2020'!B:B,B438,'2020'!C:C)+SUMIF('2021'!B:B,B438,'2021'!C:C)+SUMIF('2022'!B:B,B438,'2022'!C:C)</f>
        <v>1531217.8900000001</v>
      </c>
      <c r="O438" s="17">
        <v>44925</v>
      </c>
      <c r="P438" s="5" t="s">
        <v>3728</v>
      </c>
    </row>
    <row r="439" spans="1:16" ht="17.25" customHeight="1" x14ac:dyDescent="0.3">
      <c r="A439" s="210">
        <f t="shared" si="44"/>
        <v>379</v>
      </c>
      <c r="B439" s="21" t="s">
        <v>451</v>
      </c>
      <c r="C439" s="5">
        <v>1961</v>
      </c>
      <c r="D439" s="3"/>
      <c r="E439" s="5" t="s">
        <v>3645</v>
      </c>
      <c r="F439" s="4">
        <v>2</v>
      </c>
      <c r="G439" s="26"/>
      <c r="H439" s="2">
        <v>787</v>
      </c>
      <c r="I439" s="4" t="s">
        <v>3682</v>
      </c>
      <c r="J439" s="19">
        <f t="shared" si="43"/>
        <v>1366188.5</v>
      </c>
      <c r="K439" s="73"/>
      <c r="L439" s="73"/>
      <c r="M439" s="73"/>
      <c r="N439" s="19">
        <f>SUMIF('2020'!B:B,B439,'2020'!C:C)+SUMIF('2021'!B:B,B439,'2021'!C:C)+SUMIF('2022'!B:B,B439,'2022'!C:C)</f>
        <v>1366188.5</v>
      </c>
      <c r="O439" s="17">
        <v>44925</v>
      </c>
      <c r="P439" s="5" t="s">
        <v>3728</v>
      </c>
    </row>
    <row r="440" spans="1:16" ht="17.25" customHeight="1" x14ac:dyDescent="0.3">
      <c r="A440" s="210">
        <f t="shared" si="44"/>
        <v>380</v>
      </c>
      <c r="B440" s="21" t="s">
        <v>452</v>
      </c>
      <c r="C440" s="5">
        <v>1962</v>
      </c>
      <c r="D440" s="3"/>
      <c r="E440" s="5" t="s">
        <v>3645</v>
      </c>
      <c r="F440" s="4">
        <v>2</v>
      </c>
      <c r="G440" s="26"/>
      <c r="H440" s="2">
        <v>777.7</v>
      </c>
      <c r="I440" s="4" t="s">
        <v>3721</v>
      </c>
      <c r="J440" s="19">
        <f t="shared" si="43"/>
        <v>1384712.7000000002</v>
      </c>
      <c r="K440" s="73"/>
      <c r="L440" s="73"/>
      <c r="M440" s="73"/>
      <c r="N440" s="19">
        <f>SUMIF('2020'!B:B,B440,'2020'!C:C)+SUMIF('2021'!B:B,B440,'2021'!C:C)+SUMIF('2022'!B:B,B440,'2022'!C:C)</f>
        <v>1384712.7000000002</v>
      </c>
      <c r="O440" s="17">
        <v>44925</v>
      </c>
      <c r="P440" s="5" t="s">
        <v>3728</v>
      </c>
    </row>
    <row r="441" spans="1:16" ht="17.25" customHeight="1" x14ac:dyDescent="0.3">
      <c r="A441" s="210">
        <f t="shared" si="44"/>
        <v>381</v>
      </c>
      <c r="B441" s="21" t="s">
        <v>453</v>
      </c>
      <c r="C441" s="5">
        <v>1959</v>
      </c>
      <c r="D441" s="3"/>
      <c r="E441" s="5" t="s">
        <v>3645</v>
      </c>
      <c r="F441" s="4">
        <v>2</v>
      </c>
      <c r="G441" s="26"/>
      <c r="H441" s="2">
        <v>486.03</v>
      </c>
      <c r="I441" s="4" t="s">
        <v>3719</v>
      </c>
      <c r="J441" s="19">
        <f t="shared" si="43"/>
        <v>893218.52</v>
      </c>
      <c r="K441" s="73"/>
      <c r="L441" s="73"/>
      <c r="M441" s="73"/>
      <c r="N441" s="19">
        <f>SUMIF('2020'!B:B,B441,'2020'!C:C)+SUMIF('2021'!B:B,B441,'2021'!C:C)+SUMIF('2022'!B:B,B441,'2022'!C:C)</f>
        <v>893218.52</v>
      </c>
      <c r="O441" s="17">
        <v>44925</v>
      </c>
      <c r="P441" s="5" t="s">
        <v>3728</v>
      </c>
    </row>
    <row r="442" spans="1:16" ht="17.25" customHeight="1" x14ac:dyDescent="0.3">
      <c r="A442" s="210">
        <f t="shared" si="44"/>
        <v>382</v>
      </c>
      <c r="B442" s="21" t="s">
        <v>454</v>
      </c>
      <c r="C442" s="5">
        <v>1917</v>
      </c>
      <c r="D442" s="3"/>
      <c r="E442" s="5" t="s">
        <v>3730</v>
      </c>
      <c r="F442" s="4">
        <v>2</v>
      </c>
      <c r="G442" s="26"/>
      <c r="H442" s="2">
        <v>160.63999999999999</v>
      </c>
      <c r="I442" s="4" t="s">
        <v>3750</v>
      </c>
      <c r="J442" s="19">
        <f t="shared" si="43"/>
        <v>3479511.56</v>
      </c>
      <c r="K442" s="73"/>
      <c r="L442" s="73"/>
      <c r="M442" s="73"/>
      <c r="N442" s="19">
        <f>SUMIF('2020'!B:B,B442,'2020'!C:C)+SUMIF('2021'!B:B,B442,'2021'!C:C)+SUMIF('2022'!B:B,B442,'2022'!C:C)</f>
        <v>3479511.56</v>
      </c>
      <c r="O442" s="17">
        <v>44925</v>
      </c>
      <c r="P442" s="5" t="s">
        <v>3728</v>
      </c>
    </row>
    <row r="443" spans="1:16" ht="17.25" customHeight="1" x14ac:dyDescent="0.3">
      <c r="A443" s="210">
        <f t="shared" si="44"/>
        <v>383</v>
      </c>
      <c r="B443" s="21" t="s">
        <v>455</v>
      </c>
      <c r="C443" s="5">
        <v>1917</v>
      </c>
      <c r="D443" s="3"/>
      <c r="E443" s="5" t="s">
        <v>3730</v>
      </c>
      <c r="F443" s="4">
        <v>2</v>
      </c>
      <c r="G443" s="26"/>
      <c r="H443" s="2">
        <v>158.30000000000001</v>
      </c>
      <c r="I443" s="4" t="s">
        <v>3755</v>
      </c>
      <c r="J443" s="19">
        <f t="shared" si="43"/>
        <v>2273280.4500000002</v>
      </c>
      <c r="K443" s="73"/>
      <c r="L443" s="73"/>
      <c r="M443" s="73"/>
      <c r="N443" s="19">
        <f>SUMIF('2020'!B:B,B443,'2020'!C:C)+SUMIF('2021'!B:B,B443,'2021'!C:C)+SUMIF('2022'!B:B,B443,'2022'!C:C)</f>
        <v>2273280.4500000002</v>
      </c>
      <c r="O443" s="17">
        <v>44925</v>
      </c>
      <c r="P443" s="5" t="s">
        <v>3728</v>
      </c>
    </row>
    <row r="444" spans="1:16" ht="17.25" customHeight="1" x14ac:dyDescent="0.3">
      <c r="A444" s="210">
        <f t="shared" si="44"/>
        <v>384</v>
      </c>
      <c r="B444" s="21" t="s">
        <v>456</v>
      </c>
      <c r="C444" s="5">
        <v>1958</v>
      </c>
      <c r="D444" s="3"/>
      <c r="E444" s="5" t="s">
        <v>3645</v>
      </c>
      <c r="F444" s="4">
        <v>2</v>
      </c>
      <c r="G444" s="26"/>
      <c r="H444" s="2">
        <v>762.2</v>
      </c>
      <c r="I444" s="4" t="s">
        <v>3692</v>
      </c>
      <c r="J444" s="19">
        <f t="shared" si="43"/>
        <v>1422336.52</v>
      </c>
      <c r="K444" s="73"/>
      <c r="L444" s="73"/>
      <c r="M444" s="73"/>
      <c r="N444" s="19">
        <f>SUMIF('2020'!B:B,B444,'2020'!C:C)+SUMIF('2021'!B:B,B444,'2021'!C:C)+SUMIF('2022'!B:B,B444,'2022'!C:C)</f>
        <v>1422336.52</v>
      </c>
      <c r="O444" s="17">
        <v>44925</v>
      </c>
      <c r="P444" s="5" t="s">
        <v>3728</v>
      </c>
    </row>
    <row r="445" spans="1:16" ht="17.25" customHeight="1" x14ac:dyDescent="0.3">
      <c r="A445" s="210">
        <f t="shared" si="44"/>
        <v>385</v>
      </c>
      <c r="B445" s="21" t="s">
        <v>457</v>
      </c>
      <c r="C445" s="5">
        <v>1917</v>
      </c>
      <c r="D445" s="3"/>
      <c r="E445" s="5" t="s">
        <v>3730</v>
      </c>
      <c r="F445" s="4">
        <v>2</v>
      </c>
      <c r="G445" s="26"/>
      <c r="H445" s="2">
        <v>232.37</v>
      </c>
      <c r="I445" s="4" t="s">
        <v>3755</v>
      </c>
      <c r="J445" s="19">
        <f t="shared" si="43"/>
        <v>2209766.29</v>
      </c>
      <c r="K445" s="73"/>
      <c r="L445" s="73"/>
      <c r="M445" s="73"/>
      <c r="N445" s="19">
        <f>SUMIF('2020'!B:B,B445,'2020'!C:C)+SUMIF('2021'!B:B,B445,'2021'!C:C)+SUMIF('2022'!B:B,B445,'2022'!C:C)</f>
        <v>2209766.29</v>
      </c>
      <c r="O445" s="17">
        <v>44925</v>
      </c>
      <c r="P445" s="5" t="s">
        <v>3728</v>
      </c>
    </row>
    <row r="446" spans="1:16" ht="17.25" customHeight="1" x14ac:dyDescent="0.3">
      <c r="A446" s="210">
        <f t="shared" si="44"/>
        <v>386</v>
      </c>
      <c r="B446" s="21" t="s">
        <v>458</v>
      </c>
      <c r="C446" s="5">
        <v>1917</v>
      </c>
      <c r="D446" s="3"/>
      <c r="E446" s="5" t="s">
        <v>3730</v>
      </c>
      <c r="F446" s="4">
        <v>2</v>
      </c>
      <c r="G446" s="26"/>
      <c r="H446" s="2">
        <v>241.9</v>
      </c>
      <c r="I446" s="4" t="s">
        <v>3754</v>
      </c>
      <c r="J446" s="19">
        <f t="shared" si="43"/>
        <v>2368456.11</v>
      </c>
      <c r="K446" s="73"/>
      <c r="L446" s="73"/>
      <c r="M446" s="73"/>
      <c r="N446" s="19">
        <f>SUMIF('2020'!B:B,B446,'2020'!C:C)+SUMIF('2021'!B:B,B446,'2021'!C:C)+SUMIF('2022'!B:B,B446,'2022'!C:C)</f>
        <v>2368456.11</v>
      </c>
      <c r="O446" s="17">
        <v>44925</v>
      </c>
      <c r="P446" s="5" t="s">
        <v>3728</v>
      </c>
    </row>
    <row r="447" spans="1:16" ht="17.25" customHeight="1" x14ac:dyDescent="0.3">
      <c r="A447" s="210">
        <f t="shared" si="44"/>
        <v>387</v>
      </c>
      <c r="B447" s="21" t="s">
        <v>459</v>
      </c>
      <c r="C447" s="5">
        <v>1992</v>
      </c>
      <c r="D447" s="3"/>
      <c r="E447" s="5" t="s">
        <v>3645</v>
      </c>
      <c r="F447" s="4">
        <v>3</v>
      </c>
      <c r="G447" s="26"/>
      <c r="H447" s="2">
        <v>1301.9000000000001</v>
      </c>
      <c r="I447" s="4" t="s">
        <v>3761</v>
      </c>
      <c r="J447" s="19">
        <f t="shared" si="43"/>
        <v>423607.87</v>
      </c>
      <c r="K447" s="73"/>
      <c r="L447" s="73"/>
      <c r="M447" s="73"/>
      <c r="N447" s="19">
        <f>SUMIF('2020'!B:B,B447,'2020'!C:C)+SUMIF('2021'!B:B,B447,'2021'!C:C)+SUMIF('2022'!B:B,B447,'2022'!C:C)</f>
        <v>423607.87</v>
      </c>
      <c r="O447" s="17">
        <v>44925</v>
      </c>
      <c r="P447" s="5" t="s">
        <v>3728</v>
      </c>
    </row>
    <row r="448" spans="1:16" ht="17.25" customHeight="1" x14ac:dyDescent="0.3">
      <c r="A448" s="210">
        <f t="shared" si="44"/>
        <v>388</v>
      </c>
      <c r="B448" s="21" t="s">
        <v>460</v>
      </c>
      <c r="C448" s="5">
        <v>1961</v>
      </c>
      <c r="D448" s="3"/>
      <c r="E448" s="5" t="s">
        <v>3645</v>
      </c>
      <c r="F448" s="4">
        <v>2</v>
      </c>
      <c r="G448" s="26"/>
      <c r="H448" s="2">
        <v>464.5</v>
      </c>
      <c r="I448" s="3">
        <v>33</v>
      </c>
      <c r="J448" s="19">
        <f t="shared" si="43"/>
        <v>721985.99</v>
      </c>
      <c r="K448" s="73"/>
      <c r="L448" s="73"/>
      <c r="M448" s="73"/>
      <c r="N448" s="19">
        <f>SUMIF('2020'!B:B,B448,'2020'!C:C)+SUMIF('2021'!B:B,B448,'2021'!C:C)+SUMIF('2022'!B:B,B448,'2022'!C:C)</f>
        <v>721985.99</v>
      </c>
      <c r="O448" s="17">
        <v>44925</v>
      </c>
      <c r="P448" s="5" t="s">
        <v>3728</v>
      </c>
    </row>
    <row r="449" spans="1:16" ht="17.25" customHeight="1" x14ac:dyDescent="0.3">
      <c r="A449" s="210" t="s">
        <v>211</v>
      </c>
      <c r="B449" s="212"/>
      <c r="C449" s="3"/>
      <c r="D449" s="3"/>
      <c r="E449" s="3"/>
      <c r="F449" s="3"/>
      <c r="G449" s="26"/>
      <c r="H449" s="73">
        <f t="shared" ref="H449:L449" si="45">SUM(H321:H448)</f>
        <v>71869.899999999965</v>
      </c>
      <c r="I449" s="73">
        <f t="shared" si="45"/>
        <v>736</v>
      </c>
      <c r="J449" s="73">
        <f t="shared" si="45"/>
        <v>219793977.78999996</v>
      </c>
      <c r="K449" s="73">
        <f t="shared" si="45"/>
        <v>0</v>
      </c>
      <c r="L449" s="73">
        <f t="shared" si="45"/>
        <v>0</v>
      </c>
      <c r="M449" s="73">
        <f>N449-'2020'!C167-'2021'!C390-'2022'!C105</f>
        <v>0</v>
      </c>
      <c r="N449" s="73">
        <f>SUM(N321:N448)</f>
        <v>219793977.78999996</v>
      </c>
      <c r="O449" s="3"/>
      <c r="P449" s="3"/>
    </row>
    <row r="450" spans="1:16" ht="17.25" customHeight="1" x14ac:dyDescent="0.3">
      <c r="A450" s="210" t="s">
        <v>461</v>
      </c>
      <c r="B450" s="216"/>
      <c r="C450" s="92"/>
      <c r="D450" s="92"/>
      <c r="E450" s="92"/>
      <c r="F450" s="92"/>
      <c r="G450" s="96"/>
      <c r="H450" s="92"/>
      <c r="I450" s="92"/>
      <c r="J450" s="97"/>
      <c r="K450" s="73"/>
      <c r="L450" s="73"/>
      <c r="M450" s="73"/>
      <c r="N450" s="73"/>
      <c r="O450" s="3"/>
      <c r="P450" s="3"/>
    </row>
    <row r="451" spans="1:16" ht="17.25" customHeight="1" x14ac:dyDescent="0.3">
      <c r="A451" s="210">
        <f>A448+1</f>
        <v>389</v>
      </c>
      <c r="B451" s="21" t="s">
        <v>462</v>
      </c>
      <c r="C451" s="5">
        <v>1900</v>
      </c>
      <c r="D451" s="3"/>
      <c r="E451" s="15" t="s">
        <v>3730</v>
      </c>
      <c r="F451" s="15">
        <v>2</v>
      </c>
      <c r="G451" s="26"/>
      <c r="H451" s="15">
        <v>286.39999999999998</v>
      </c>
      <c r="I451" s="15">
        <v>17</v>
      </c>
      <c r="J451" s="19">
        <f t="shared" ref="J451:J467" si="46">K451+L451+M451+N451</f>
        <v>1131486.3999999999</v>
      </c>
      <c r="K451" s="73"/>
      <c r="L451" s="73"/>
      <c r="M451" s="73"/>
      <c r="N451" s="19">
        <f>SUMIF('2020'!B:B,B451,'2020'!C:C)+SUMIF('2021'!B:B,B451,'2021'!C:C)+SUMIF('2022'!B:B,B451,'2022'!C:C)</f>
        <v>1131486.3999999999</v>
      </c>
      <c r="O451" s="17">
        <v>44925</v>
      </c>
      <c r="P451" s="5" t="s">
        <v>3728</v>
      </c>
    </row>
    <row r="452" spans="1:16" ht="17.25" customHeight="1" x14ac:dyDescent="0.3">
      <c r="A452" s="210">
        <f>A451+1</f>
        <v>390</v>
      </c>
      <c r="B452" s="21" t="s">
        <v>463</v>
      </c>
      <c r="C452" s="5">
        <v>1910</v>
      </c>
      <c r="D452" s="3"/>
      <c r="E452" s="15" t="s">
        <v>3730</v>
      </c>
      <c r="F452" s="15">
        <v>2</v>
      </c>
      <c r="G452" s="26"/>
      <c r="H452" s="15">
        <v>198.5</v>
      </c>
      <c r="I452" s="15">
        <v>10</v>
      </c>
      <c r="J452" s="19">
        <f t="shared" si="46"/>
        <v>851237.37999999989</v>
      </c>
      <c r="K452" s="73"/>
      <c r="L452" s="73"/>
      <c r="M452" s="73"/>
      <c r="N452" s="19">
        <f>SUMIF('2020'!B:B,B452,'2020'!C:C)+SUMIF('2021'!B:B,B452,'2021'!C:C)+SUMIF('2022'!B:B,B452,'2022'!C:C)</f>
        <v>851237.37999999989</v>
      </c>
      <c r="O452" s="17">
        <v>44925</v>
      </c>
      <c r="P452" s="5" t="s">
        <v>3728</v>
      </c>
    </row>
    <row r="453" spans="1:16" ht="17.25" customHeight="1" x14ac:dyDescent="0.3">
      <c r="A453" s="210">
        <f t="shared" ref="A453:A467" si="47">A452+1</f>
        <v>391</v>
      </c>
      <c r="B453" s="21" t="s">
        <v>464</v>
      </c>
      <c r="C453" s="5">
        <v>1915</v>
      </c>
      <c r="D453" s="3"/>
      <c r="E453" s="15" t="s">
        <v>3730</v>
      </c>
      <c r="F453" s="15">
        <v>2</v>
      </c>
      <c r="G453" s="26"/>
      <c r="H453" s="15">
        <v>102.7</v>
      </c>
      <c r="I453" s="15">
        <v>9</v>
      </c>
      <c r="J453" s="19">
        <f t="shared" si="46"/>
        <v>787417.82000000007</v>
      </c>
      <c r="K453" s="73"/>
      <c r="L453" s="73"/>
      <c r="M453" s="73"/>
      <c r="N453" s="19">
        <f>SUMIF('2020'!B:B,B453,'2020'!C:C)+SUMIF('2021'!B:B,B453,'2021'!C:C)+SUMIF('2022'!B:B,B453,'2022'!C:C)</f>
        <v>787417.82000000007</v>
      </c>
      <c r="O453" s="17">
        <v>44925</v>
      </c>
      <c r="P453" s="5" t="s">
        <v>3728</v>
      </c>
    </row>
    <row r="454" spans="1:16" ht="17.25" customHeight="1" x14ac:dyDescent="0.3">
      <c r="A454" s="210">
        <f t="shared" si="47"/>
        <v>392</v>
      </c>
      <c r="B454" s="21" t="s">
        <v>465</v>
      </c>
      <c r="C454" s="5">
        <v>1917</v>
      </c>
      <c r="D454" s="3"/>
      <c r="E454" s="15" t="s">
        <v>3730</v>
      </c>
      <c r="F454" s="15">
        <v>2</v>
      </c>
      <c r="G454" s="26"/>
      <c r="H454" s="15">
        <v>164.9</v>
      </c>
      <c r="I454" s="15">
        <v>4</v>
      </c>
      <c r="J454" s="19">
        <f t="shared" si="46"/>
        <v>772012.68000000017</v>
      </c>
      <c r="K454" s="73"/>
      <c r="L454" s="73"/>
      <c r="M454" s="73"/>
      <c r="N454" s="19">
        <f>SUMIF('2020'!B:B,B454,'2020'!C:C)+SUMIF('2021'!B:B,B454,'2021'!C:C)+SUMIF('2022'!B:B,B454,'2022'!C:C)</f>
        <v>772012.68000000017</v>
      </c>
      <c r="O454" s="17">
        <v>44925</v>
      </c>
      <c r="P454" s="5" t="s">
        <v>3728</v>
      </c>
    </row>
    <row r="455" spans="1:16" ht="17.25" customHeight="1" x14ac:dyDescent="0.3">
      <c r="A455" s="210">
        <f t="shared" si="47"/>
        <v>393</v>
      </c>
      <c r="B455" s="21" t="s">
        <v>466</v>
      </c>
      <c r="C455" s="5">
        <v>1917</v>
      </c>
      <c r="D455" s="3"/>
      <c r="E455" s="15" t="s">
        <v>3730</v>
      </c>
      <c r="F455" s="15">
        <v>2</v>
      </c>
      <c r="G455" s="26"/>
      <c r="H455" s="15">
        <v>230</v>
      </c>
      <c r="I455" s="15">
        <v>5</v>
      </c>
      <c r="J455" s="19">
        <f t="shared" si="46"/>
        <v>787443.04</v>
      </c>
      <c r="K455" s="73"/>
      <c r="L455" s="73"/>
      <c r="M455" s="73"/>
      <c r="N455" s="19">
        <f>SUMIF('2020'!B:B,B455,'2020'!C:C)+SUMIF('2021'!B:B,B455,'2021'!C:C)+SUMIF('2022'!B:B,B455,'2022'!C:C)</f>
        <v>787443.04</v>
      </c>
      <c r="O455" s="17">
        <v>44925</v>
      </c>
      <c r="P455" s="5" t="s">
        <v>3728</v>
      </c>
    </row>
    <row r="456" spans="1:16" ht="17.25" customHeight="1" x14ac:dyDescent="0.3">
      <c r="A456" s="210">
        <f t="shared" si="47"/>
        <v>394</v>
      </c>
      <c r="B456" s="21" t="s">
        <v>467</v>
      </c>
      <c r="C456" s="5">
        <v>1917</v>
      </c>
      <c r="D456" s="3"/>
      <c r="E456" s="15" t="s">
        <v>3730</v>
      </c>
      <c r="F456" s="15">
        <v>2</v>
      </c>
      <c r="G456" s="26"/>
      <c r="H456" s="15">
        <v>348.6</v>
      </c>
      <c r="I456" s="15">
        <v>9</v>
      </c>
      <c r="J456" s="19">
        <f t="shared" si="46"/>
        <v>968776.28</v>
      </c>
      <c r="K456" s="73"/>
      <c r="L456" s="73"/>
      <c r="M456" s="73"/>
      <c r="N456" s="19">
        <f>SUMIF('2020'!B:B,B456,'2020'!C:C)+SUMIF('2021'!B:B,B456,'2021'!C:C)+SUMIF('2022'!B:B,B456,'2022'!C:C)</f>
        <v>968776.28</v>
      </c>
      <c r="O456" s="17">
        <v>44925</v>
      </c>
      <c r="P456" s="5" t="s">
        <v>3728</v>
      </c>
    </row>
    <row r="457" spans="1:16" ht="17.25" customHeight="1" x14ac:dyDescent="0.3">
      <c r="A457" s="210">
        <f t="shared" si="47"/>
        <v>395</v>
      </c>
      <c r="B457" s="21" t="s">
        <v>468</v>
      </c>
      <c r="C457" s="5">
        <v>1915</v>
      </c>
      <c r="D457" s="3"/>
      <c r="E457" s="15" t="s">
        <v>3730</v>
      </c>
      <c r="F457" s="15">
        <v>2</v>
      </c>
      <c r="G457" s="26"/>
      <c r="H457" s="15">
        <v>744.7</v>
      </c>
      <c r="I457" s="15">
        <v>32</v>
      </c>
      <c r="J457" s="19">
        <f t="shared" si="46"/>
        <v>1031861.01</v>
      </c>
      <c r="K457" s="73"/>
      <c r="L457" s="73"/>
      <c r="M457" s="73"/>
      <c r="N457" s="19">
        <f>SUMIF('2020'!B:B,B457,'2020'!C:C)+SUMIF('2021'!B:B,B457,'2021'!C:C)+SUMIF('2022'!B:B,B457,'2022'!C:C)</f>
        <v>1031861.01</v>
      </c>
      <c r="O457" s="17">
        <v>44925</v>
      </c>
      <c r="P457" s="5" t="s">
        <v>3728</v>
      </c>
    </row>
    <row r="458" spans="1:16" ht="17.25" customHeight="1" x14ac:dyDescent="0.3">
      <c r="A458" s="210">
        <f t="shared" si="47"/>
        <v>396</v>
      </c>
      <c r="B458" s="21" t="s">
        <v>469</v>
      </c>
      <c r="C458" s="5">
        <v>1915</v>
      </c>
      <c r="D458" s="3"/>
      <c r="E458" s="15" t="s">
        <v>3730</v>
      </c>
      <c r="F458" s="15">
        <v>2</v>
      </c>
      <c r="G458" s="26"/>
      <c r="H458" s="15">
        <v>341.1</v>
      </c>
      <c r="I458" s="15">
        <v>14</v>
      </c>
      <c r="J458" s="19">
        <f t="shared" si="46"/>
        <v>836060.48</v>
      </c>
      <c r="K458" s="73"/>
      <c r="L458" s="73"/>
      <c r="M458" s="73"/>
      <c r="N458" s="19">
        <f>SUMIF('2020'!B:B,B458,'2020'!C:C)+SUMIF('2021'!B:B,B458,'2021'!C:C)+SUMIF('2022'!B:B,B458,'2022'!C:C)</f>
        <v>836060.48</v>
      </c>
      <c r="O458" s="17">
        <v>44925</v>
      </c>
      <c r="P458" s="5" t="s">
        <v>3728</v>
      </c>
    </row>
    <row r="459" spans="1:16" ht="17.25" customHeight="1" x14ac:dyDescent="0.3">
      <c r="A459" s="210">
        <f t="shared" si="47"/>
        <v>397</v>
      </c>
      <c r="B459" s="21" t="s">
        <v>470</v>
      </c>
      <c r="C459" s="5">
        <v>1938</v>
      </c>
      <c r="D459" s="3"/>
      <c r="E459" s="15" t="s">
        <v>3730</v>
      </c>
      <c r="F459" s="15">
        <v>2</v>
      </c>
      <c r="G459" s="26"/>
      <c r="H459" s="15">
        <v>192.5</v>
      </c>
      <c r="I459" s="15">
        <v>9</v>
      </c>
      <c r="J459" s="19">
        <f t="shared" si="46"/>
        <v>984683.73</v>
      </c>
      <c r="K459" s="73"/>
      <c r="L459" s="73"/>
      <c r="M459" s="73"/>
      <c r="N459" s="19">
        <f>SUMIF('2020'!B:B,B459,'2020'!C:C)+SUMIF('2021'!B:B,B459,'2021'!C:C)+SUMIF('2022'!B:B,B459,'2022'!C:C)</f>
        <v>984683.73</v>
      </c>
      <c r="O459" s="17">
        <v>44925</v>
      </c>
      <c r="P459" s="5" t="s">
        <v>3728</v>
      </c>
    </row>
    <row r="460" spans="1:16" ht="17.25" customHeight="1" x14ac:dyDescent="0.3">
      <c r="A460" s="210">
        <f t="shared" si="47"/>
        <v>398</v>
      </c>
      <c r="B460" s="21" t="s">
        <v>471</v>
      </c>
      <c r="C460" s="5">
        <v>1938</v>
      </c>
      <c r="D460" s="3"/>
      <c r="E460" s="15" t="s">
        <v>3730</v>
      </c>
      <c r="F460" s="15">
        <v>2</v>
      </c>
      <c r="G460" s="26"/>
      <c r="H460" s="15">
        <v>186.5</v>
      </c>
      <c r="I460" s="15">
        <v>6</v>
      </c>
      <c r="J460" s="19">
        <f t="shared" si="46"/>
        <v>707917.76</v>
      </c>
      <c r="K460" s="73"/>
      <c r="L460" s="73"/>
      <c r="M460" s="73"/>
      <c r="N460" s="19">
        <f>SUMIF('2020'!B:B,B460,'2020'!C:C)+SUMIF('2021'!B:B,B460,'2021'!C:C)+SUMIF('2022'!B:B,B460,'2022'!C:C)</f>
        <v>707917.76</v>
      </c>
      <c r="O460" s="17">
        <v>44925</v>
      </c>
      <c r="P460" s="5" t="s">
        <v>3728</v>
      </c>
    </row>
    <row r="461" spans="1:16" ht="17.25" customHeight="1" x14ac:dyDescent="0.3">
      <c r="A461" s="210">
        <f t="shared" si="47"/>
        <v>399</v>
      </c>
      <c r="B461" s="21" t="s">
        <v>472</v>
      </c>
      <c r="C461" s="5">
        <v>1962</v>
      </c>
      <c r="D461" s="3"/>
      <c r="E461" s="15" t="s">
        <v>3733</v>
      </c>
      <c r="F461" s="15">
        <v>2</v>
      </c>
      <c r="G461" s="26"/>
      <c r="H461" s="15">
        <v>474</v>
      </c>
      <c r="I461" s="15">
        <v>24</v>
      </c>
      <c r="J461" s="19">
        <f t="shared" si="46"/>
        <v>5874942.4900000002</v>
      </c>
      <c r="K461" s="73"/>
      <c r="L461" s="73"/>
      <c r="M461" s="73"/>
      <c r="N461" s="19">
        <f>SUMIF('2020'!B:B,B461,'2020'!C:C)+SUMIF('2021'!B:B,B461,'2021'!C:C)+SUMIF('2022'!B:B,B461,'2022'!C:C)</f>
        <v>5874942.4900000002</v>
      </c>
      <c r="O461" s="17">
        <v>44925</v>
      </c>
      <c r="P461" s="5" t="s">
        <v>3728</v>
      </c>
    </row>
    <row r="462" spans="1:16" ht="17.25" customHeight="1" x14ac:dyDescent="0.3">
      <c r="A462" s="210">
        <f t="shared" si="47"/>
        <v>400</v>
      </c>
      <c r="B462" s="21" t="s">
        <v>473</v>
      </c>
      <c r="C462" s="5">
        <v>1962</v>
      </c>
      <c r="D462" s="3"/>
      <c r="E462" s="15" t="s">
        <v>3733</v>
      </c>
      <c r="F462" s="15">
        <v>2</v>
      </c>
      <c r="G462" s="26"/>
      <c r="H462" s="15">
        <v>493.5</v>
      </c>
      <c r="I462" s="15">
        <v>24</v>
      </c>
      <c r="J462" s="19">
        <f t="shared" si="46"/>
        <v>4095829.26</v>
      </c>
      <c r="K462" s="73"/>
      <c r="L462" s="73"/>
      <c r="M462" s="73"/>
      <c r="N462" s="19">
        <f>SUMIF('2020'!B:B,B462,'2020'!C:C)+SUMIF('2021'!B:B,B462,'2021'!C:C)+SUMIF('2022'!B:B,B462,'2022'!C:C)</f>
        <v>4095829.26</v>
      </c>
      <c r="O462" s="17">
        <v>44925</v>
      </c>
      <c r="P462" s="5" t="s">
        <v>3728</v>
      </c>
    </row>
    <row r="463" spans="1:16" ht="17.25" customHeight="1" x14ac:dyDescent="0.3">
      <c r="A463" s="210">
        <f t="shared" si="47"/>
        <v>401</v>
      </c>
      <c r="B463" s="21" t="s">
        <v>474</v>
      </c>
      <c r="C463" s="5">
        <v>1917</v>
      </c>
      <c r="D463" s="3"/>
      <c r="E463" s="15" t="s">
        <v>3730</v>
      </c>
      <c r="F463" s="15">
        <v>2</v>
      </c>
      <c r="G463" s="26"/>
      <c r="H463" s="15">
        <v>180.8</v>
      </c>
      <c r="I463" s="15">
        <v>3</v>
      </c>
      <c r="J463" s="19">
        <f t="shared" si="46"/>
        <v>783568.4</v>
      </c>
      <c r="K463" s="73"/>
      <c r="L463" s="73"/>
      <c r="M463" s="73"/>
      <c r="N463" s="19">
        <f>SUMIF('2020'!B:B,B463,'2020'!C:C)+SUMIF('2021'!B:B,B463,'2021'!C:C)+SUMIF('2022'!B:B,B463,'2022'!C:C)</f>
        <v>783568.4</v>
      </c>
      <c r="O463" s="17">
        <v>44925</v>
      </c>
      <c r="P463" s="5" t="s">
        <v>3728</v>
      </c>
    </row>
    <row r="464" spans="1:16" ht="17.25" customHeight="1" x14ac:dyDescent="0.3">
      <c r="A464" s="210">
        <f t="shared" si="47"/>
        <v>402</v>
      </c>
      <c r="B464" s="21" t="s">
        <v>475</v>
      </c>
      <c r="C464" s="5">
        <v>1917</v>
      </c>
      <c r="D464" s="3"/>
      <c r="E464" s="15" t="s">
        <v>3730</v>
      </c>
      <c r="F464" s="15">
        <v>2</v>
      </c>
      <c r="G464" s="26"/>
      <c r="H464" s="15">
        <v>209.9</v>
      </c>
      <c r="I464" s="15">
        <v>12</v>
      </c>
      <c r="J464" s="19">
        <f t="shared" si="46"/>
        <v>782428.56</v>
      </c>
      <c r="K464" s="73"/>
      <c r="L464" s="73"/>
      <c r="M464" s="73"/>
      <c r="N464" s="19">
        <f>SUMIF('2020'!B:B,B464,'2020'!C:C)+SUMIF('2021'!B:B,B464,'2021'!C:C)+SUMIF('2022'!B:B,B464,'2022'!C:C)</f>
        <v>782428.56</v>
      </c>
      <c r="O464" s="17">
        <v>44925</v>
      </c>
      <c r="P464" s="5" t="s">
        <v>3728</v>
      </c>
    </row>
    <row r="465" spans="1:16" ht="17.25" customHeight="1" x14ac:dyDescent="0.3">
      <c r="A465" s="210">
        <f t="shared" si="47"/>
        <v>403</v>
      </c>
      <c r="B465" s="21" t="s">
        <v>476</v>
      </c>
      <c r="C465" s="5">
        <v>1936</v>
      </c>
      <c r="D465" s="3"/>
      <c r="E465" s="15" t="s">
        <v>3730</v>
      </c>
      <c r="F465" s="15">
        <v>2</v>
      </c>
      <c r="G465" s="26"/>
      <c r="H465" s="15">
        <v>209.9</v>
      </c>
      <c r="I465" s="15">
        <v>3</v>
      </c>
      <c r="J465" s="19">
        <f t="shared" si="46"/>
        <v>593201.56999999995</v>
      </c>
      <c r="K465" s="73"/>
      <c r="L465" s="73"/>
      <c r="M465" s="73"/>
      <c r="N465" s="19">
        <f>SUMIF('2020'!B:B,B465,'2020'!C:C)+SUMIF('2021'!B:B,B465,'2021'!C:C)+SUMIF('2022'!B:B,B465,'2022'!C:C)</f>
        <v>593201.56999999995</v>
      </c>
      <c r="O465" s="17">
        <v>44925</v>
      </c>
      <c r="P465" s="5" t="s">
        <v>3728</v>
      </c>
    </row>
    <row r="466" spans="1:16" ht="17.25" customHeight="1" x14ac:dyDescent="0.3">
      <c r="A466" s="210">
        <f t="shared" si="47"/>
        <v>404</v>
      </c>
      <c r="B466" s="21" t="s">
        <v>477</v>
      </c>
      <c r="C466" s="5">
        <v>1941</v>
      </c>
      <c r="D466" s="3"/>
      <c r="E466" s="15" t="s">
        <v>3730</v>
      </c>
      <c r="F466" s="15">
        <v>2</v>
      </c>
      <c r="G466" s="26"/>
      <c r="H466" s="15">
        <v>376.1</v>
      </c>
      <c r="I466" s="15">
        <v>11</v>
      </c>
      <c r="J466" s="19">
        <f t="shared" si="46"/>
        <v>971951.57</v>
      </c>
      <c r="K466" s="73"/>
      <c r="L466" s="73"/>
      <c r="M466" s="73"/>
      <c r="N466" s="19">
        <f>SUMIF('2020'!B:B,B466,'2020'!C:C)+SUMIF('2021'!B:B,B466,'2021'!C:C)+SUMIF('2022'!B:B,B466,'2022'!C:C)</f>
        <v>971951.57</v>
      </c>
      <c r="O466" s="17">
        <v>44925</v>
      </c>
      <c r="P466" s="5" t="s">
        <v>3728</v>
      </c>
    </row>
    <row r="467" spans="1:16" ht="17.25" customHeight="1" x14ac:dyDescent="0.3">
      <c r="A467" s="210">
        <f t="shared" si="47"/>
        <v>405</v>
      </c>
      <c r="B467" s="21" t="s">
        <v>478</v>
      </c>
      <c r="C467" s="5">
        <v>1977</v>
      </c>
      <c r="D467" s="3"/>
      <c r="E467" s="15" t="s">
        <v>3733</v>
      </c>
      <c r="F467" s="15">
        <v>5</v>
      </c>
      <c r="G467" s="26"/>
      <c r="H467" s="15">
        <v>3821.2</v>
      </c>
      <c r="I467" s="15">
        <v>53</v>
      </c>
      <c r="J467" s="19">
        <f t="shared" si="46"/>
        <v>3105548.4299999997</v>
      </c>
      <c r="K467" s="73"/>
      <c r="L467" s="73"/>
      <c r="M467" s="73"/>
      <c r="N467" s="19">
        <f>SUMIF('2020'!B:B,B467,'2020'!C:C)+SUMIF('2021'!B:B,B467,'2021'!C:C)+SUMIF('2022'!B:B,B467,'2022'!C:C)</f>
        <v>3105548.4299999997</v>
      </c>
      <c r="O467" s="17">
        <v>44925</v>
      </c>
      <c r="P467" s="5" t="s">
        <v>3728</v>
      </c>
    </row>
    <row r="468" spans="1:16" ht="17.25" customHeight="1" x14ac:dyDescent="0.3">
      <c r="A468" s="210" t="s">
        <v>211</v>
      </c>
      <c r="B468" s="212"/>
      <c r="C468" s="3"/>
      <c r="D468" s="3"/>
      <c r="E468" s="3"/>
      <c r="F468" s="3"/>
      <c r="G468" s="26"/>
      <c r="H468" s="73">
        <f t="shared" ref="H468:L468" si="48">SUM(H451:H467)</f>
        <v>8561.2999999999993</v>
      </c>
      <c r="I468" s="73">
        <f t="shared" si="48"/>
        <v>245</v>
      </c>
      <c r="J468" s="73">
        <f t="shared" si="48"/>
        <v>25066366.859999996</v>
      </c>
      <c r="K468" s="73">
        <f t="shared" si="48"/>
        <v>0</v>
      </c>
      <c r="L468" s="73">
        <f t="shared" si="48"/>
        <v>0</v>
      </c>
      <c r="M468" s="73">
        <f>N468-'2021'!C394-'2022'!C124</f>
        <v>0</v>
      </c>
      <c r="N468" s="73">
        <f>SUM(N451:N467)</f>
        <v>25066366.859999996</v>
      </c>
      <c r="O468" s="3"/>
      <c r="P468" s="3"/>
    </row>
    <row r="469" spans="1:16" ht="17.25" customHeight="1" x14ac:dyDescent="0.3">
      <c r="A469" s="210" t="s">
        <v>479</v>
      </c>
      <c r="B469" s="21"/>
      <c r="C469" s="3"/>
      <c r="D469" s="3"/>
      <c r="E469" s="3"/>
      <c r="F469" s="3"/>
      <c r="G469" s="26"/>
      <c r="H469" s="3"/>
      <c r="I469" s="3"/>
      <c r="J469" s="73"/>
      <c r="K469" s="73"/>
      <c r="L469" s="73"/>
      <c r="M469" s="73"/>
      <c r="N469" s="73"/>
      <c r="O469" s="3"/>
      <c r="P469" s="3"/>
    </row>
    <row r="470" spans="1:16" ht="17.25" customHeight="1" x14ac:dyDescent="0.3">
      <c r="A470" s="210">
        <f>A467+1</f>
        <v>406</v>
      </c>
      <c r="B470" s="21" t="s">
        <v>480</v>
      </c>
      <c r="C470" s="5">
        <v>1972</v>
      </c>
      <c r="D470" s="3"/>
      <c r="E470" s="15" t="s">
        <v>3731</v>
      </c>
      <c r="F470" s="15">
        <v>2</v>
      </c>
      <c r="G470" s="26"/>
      <c r="H470" s="15" t="s">
        <v>3762</v>
      </c>
      <c r="I470" s="15">
        <v>42</v>
      </c>
      <c r="J470" s="19">
        <f>K470+L470+M470+N470</f>
        <v>2969564.4</v>
      </c>
      <c r="K470" s="73"/>
      <c r="L470" s="73"/>
      <c r="M470" s="73"/>
      <c r="N470" s="19">
        <f>SUMIF('2020'!B:B,B470,'2020'!C:C)+SUMIF('2021'!B:B,B470,'2021'!C:C)+SUMIF('2022'!B:B,B470,'2022'!C:C)</f>
        <v>2969564.4</v>
      </c>
      <c r="O470" s="17">
        <v>44925</v>
      </c>
      <c r="P470" s="5" t="s">
        <v>3728</v>
      </c>
    </row>
    <row r="471" spans="1:16" ht="17.25" customHeight="1" x14ac:dyDescent="0.3">
      <c r="A471" s="210">
        <f>A470+1</f>
        <v>407</v>
      </c>
      <c r="B471" s="21" t="s">
        <v>481</v>
      </c>
      <c r="C471" s="5">
        <v>1972</v>
      </c>
      <c r="D471" s="3"/>
      <c r="E471" s="15" t="s">
        <v>3731</v>
      </c>
      <c r="F471" s="15">
        <v>2</v>
      </c>
      <c r="G471" s="26"/>
      <c r="H471" s="15" t="s">
        <v>3763</v>
      </c>
      <c r="I471" s="15">
        <v>35</v>
      </c>
      <c r="J471" s="19">
        <f>K471+L471+M471+N471</f>
        <v>2990902.8</v>
      </c>
      <c r="K471" s="73"/>
      <c r="L471" s="73"/>
      <c r="M471" s="73"/>
      <c r="N471" s="19">
        <f>SUMIF('2020'!B:B,B471,'2020'!C:C)+SUMIF('2021'!B:B,B471,'2021'!C:C)+SUMIF('2022'!B:B,B471,'2022'!C:C)</f>
        <v>2990902.8</v>
      </c>
      <c r="O471" s="17">
        <v>44925</v>
      </c>
      <c r="P471" s="5" t="s">
        <v>3728</v>
      </c>
    </row>
    <row r="472" spans="1:16" ht="17.25" customHeight="1" x14ac:dyDescent="0.3">
      <c r="A472" s="210">
        <f>A471+1</f>
        <v>408</v>
      </c>
      <c r="B472" s="21" t="s">
        <v>482</v>
      </c>
      <c r="C472" s="5">
        <v>1978</v>
      </c>
      <c r="D472" s="3"/>
      <c r="E472" s="15" t="s">
        <v>3645</v>
      </c>
      <c r="F472" s="15">
        <v>2</v>
      </c>
      <c r="G472" s="26"/>
      <c r="H472" s="15" t="s">
        <v>3764</v>
      </c>
      <c r="I472" s="15">
        <v>16</v>
      </c>
      <c r="J472" s="19">
        <f>K472+L472+M472+N472</f>
        <v>6196853.6299999999</v>
      </c>
      <c r="K472" s="73"/>
      <c r="L472" s="73"/>
      <c r="M472" s="73"/>
      <c r="N472" s="19">
        <f>SUMIF('2020'!B:B,B472,'2020'!C:C)+SUMIF('2021'!B:B,B472,'2021'!C:C)+SUMIF('2022'!B:B,B472,'2022'!C:C)</f>
        <v>6196853.6299999999</v>
      </c>
      <c r="O472" s="17">
        <v>44925</v>
      </c>
      <c r="P472" s="5" t="s">
        <v>3728</v>
      </c>
    </row>
    <row r="473" spans="1:16" ht="17.25" customHeight="1" x14ac:dyDescent="0.3">
      <c r="A473" s="210" t="s">
        <v>211</v>
      </c>
      <c r="B473" s="212"/>
      <c r="C473" s="3"/>
      <c r="D473" s="3"/>
      <c r="E473" s="3"/>
      <c r="F473" s="3"/>
      <c r="G473" s="26"/>
      <c r="H473" s="73">
        <f t="shared" ref="H473:L473" si="49">SUM(H470:H472)</f>
        <v>0</v>
      </c>
      <c r="I473" s="73">
        <f t="shared" si="49"/>
        <v>93</v>
      </c>
      <c r="J473" s="73">
        <f t="shared" si="49"/>
        <v>12157320.829999998</v>
      </c>
      <c r="K473" s="73">
        <f t="shared" si="49"/>
        <v>0</v>
      </c>
      <c r="L473" s="73">
        <f t="shared" si="49"/>
        <v>0</v>
      </c>
      <c r="M473" s="73">
        <v>0</v>
      </c>
      <c r="N473" s="19">
        <f>SUM(N470:N472)</f>
        <v>12157320.829999998</v>
      </c>
      <c r="O473" s="3"/>
      <c r="P473" s="3"/>
    </row>
    <row r="474" spans="1:16" ht="17.25" customHeight="1" x14ac:dyDescent="0.3">
      <c r="A474" s="210" t="s">
        <v>483</v>
      </c>
      <c r="B474" s="21"/>
      <c r="C474" s="3"/>
      <c r="D474" s="3"/>
      <c r="E474" s="92"/>
      <c r="F474" s="3"/>
      <c r="G474" s="26"/>
      <c r="H474" s="3"/>
      <c r="I474" s="3"/>
      <c r="J474" s="73"/>
      <c r="K474" s="73"/>
      <c r="L474" s="73"/>
      <c r="M474" s="73"/>
      <c r="N474" s="73"/>
      <c r="O474" s="3"/>
      <c r="P474" s="3"/>
    </row>
    <row r="475" spans="1:16" ht="17.25" customHeight="1" x14ac:dyDescent="0.3">
      <c r="A475" s="210">
        <f>A472+1</f>
        <v>409</v>
      </c>
      <c r="B475" s="21" t="s">
        <v>484</v>
      </c>
      <c r="C475" s="5">
        <v>1917</v>
      </c>
      <c r="D475" s="18"/>
      <c r="E475" s="15" t="s">
        <v>3730</v>
      </c>
      <c r="F475" s="16">
        <v>2</v>
      </c>
      <c r="G475" s="26"/>
      <c r="H475" s="3">
        <v>311.23</v>
      </c>
      <c r="I475" s="3">
        <v>8</v>
      </c>
      <c r="J475" s="19">
        <f t="shared" ref="J475:J480" si="50">K475+L475+M475+N475</f>
        <v>130000</v>
      </c>
      <c r="K475" s="73"/>
      <c r="L475" s="73"/>
      <c r="M475" s="73"/>
      <c r="N475" s="19">
        <f>SUMIF('2020'!B:B,B475,'2020'!C:C)+SUMIF('2021'!B:B,B475,'2021'!C:C)+SUMIF('2022'!B:B,B475,'2022'!C:C)</f>
        <v>130000</v>
      </c>
      <c r="O475" s="17">
        <v>44925</v>
      </c>
      <c r="P475" s="5" t="s">
        <v>3728</v>
      </c>
    </row>
    <row r="476" spans="1:16" ht="17.25" customHeight="1" x14ac:dyDescent="0.3">
      <c r="A476" s="210">
        <f>A475+1</f>
        <v>410</v>
      </c>
      <c r="B476" s="21" t="s">
        <v>485</v>
      </c>
      <c r="C476" s="5">
        <v>1934</v>
      </c>
      <c r="D476" s="18"/>
      <c r="E476" s="15" t="s">
        <v>3730</v>
      </c>
      <c r="F476" s="16">
        <v>2</v>
      </c>
      <c r="G476" s="26"/>
      <c r="H476" s="3">
        <v>290.39999999999998</v>
      </c>
      <c r="I476" s="3">
        <v>6</v>
      </c>
      <c r="J476" s="19">
        <f t="shared" si="50"/>
        <v>214485.28</v>
      </c>
      <c r="K476" s="73"/>
      <c r="L476" s="73"/>
      <c r="M476" s="73"/>
      <c r="N476" s="19">
        <f>SUMIF('2020'!B:B,B476,'2020'!C:C)+SUMIF('2021'!B:B,B476,'2021'!C:C)+SUMIF('2022'!B:B,B476,'2022'!C:C)</f>
        <v>214485.28</v>
      </c>
      <c r="O476" s="17">
        <v>44925</v>
      </c>
      <c r="P476" s="5" t="s">
        <v>3728</v>
      </c>
    </row>
    <row r="477" spans="1:16" ht="17.25" customHeight="1" x14ac:dyDescent="0.3">
      <c r="A477" s="210">
        <f>A476+1</f>
        <v>411</v>
      </c>
      <c r="B477" s="21" t="s">
        <v>486</v>
      </c>
      <c r="C477" s="5">
        <v>1924</v>
      </c>
      <c r="D477" s="18"/>
      <c r="E477" s="15" t="s">
        <v>3730</v>
      </c>
      <c r="F477" s="16">
        <v>2</v>
      </c>
      <c r="G477" s="26"/>
      <c r="H477" s="3">
        <v>245.8</v>
      </c>
      <c r="I477" s="3">
        <v>9</v>
      </c>
      <c r="J477" s="19">
        <f t="shared" si="50"/>
        <v>207854.35</v>
      </c>
      <c r="K477" s="73"/>
      <c r="L477" s="73"/>
      <c r="M477" s="73"/>
      <c r="N477" s="19">
        <f>SUMIF('2020'!B:B,B477,'2020'!C:C)+SUMIF('2021'!B:B,B477,'2021'!C:C)+SUMIF('2022'!B:B,B477,'2022'!C:C)</f>
        <v>207854.35</v>
      </c>
      <c r="O477" s="17">
        <v>44925</v>
      </c>
      <c r="P477" s="5" t="s">
        <v>3728</v>
      </c>
    </row>
    <row r="478" spans="1:16" ht="17.25" customHeight="1" x14ac:dyDescent="0.3">
      <c r="A478" s="210">
        <f>A477+1</f>
        <v>412</v>
      </c>
      <c r="B478" s="21" t="s">
        <v>487</v>
      </c>
      <c r="C478" s="5">
        <v>1927</v>
      </c>
      <c r="D478" s="3"/>
      <c r="E478" s="15" t="s">
        <v>3730</v>
      </c>
      <c r="F478" s="16">
        <v>2</v>
      </c>
      <c r="G478" s="26"/>
      <c r="H478" s="3">
        <v>288.5</v>
      </c>
      <c r="I478" s="3">
        <v>4</v>
      </c>
      <c r="J478" s="19">
        <f t="shared" si="50"/>
        <v>180438.29</v>
      </c>
      <c r="K478" s="73"/>
      <c r="L478" s="73"/>
      <c r="M478" s="73"/>
      <c r="N478" s="19">
        <f>SUMIF('2020'!B:B,B478,'2020'!C:C)+SUMIF('2021'!B:B,B478,'2021'!C:C)+SUMIF('2022'!B:B,B478,'2022'!C:C)</f>
        <v>180438.29</v>
      </c>
      <c r="O478" s="17">
        <v>44925</v>
      </c>
      <c r="P478" s="5" t="s">
        <v>3728</v>
      </c>
    </row>
    <row r="479" spans="1:16" ht="17.25" customHeight="1" x14ac:dyDescent="0.3">
      <c r="A479" s="210">
        <f>A478+1</f>
        <v>413</v>
      </c>
      <c r="B479" s="21" t="s">
        <v>488</v>
      </c>
      <c r="C479" s="5">
        <v>1935</v>
      </c>
      <c r="D479" s="18"/>
      <c r="E479" s="15" t="s">
        <v>3730</v>
      </c>
      <c r="F479" s="16">
        <v>2</v>
      </c>
      <c r="G479" s="26"/>
      <c r="H479" s="3">
        <v>435.09</v>
      </c>
      <c r="I479" s="3">
        <v>16</v>
      </c>
      <c r="J479" s="19">
        <f t="shared" si="50"/>
        <v>187714.45</v>
      </c>
      <c r="K479" s="73"/>
      <c r="L479" s="73"/>
      <c r="M479" s="73"/>
      <c r="N479" s="19">
        <f>SUMIF('2020'!B:B,B479,'2020'!C:C)+SUMIF('2021'!B:B,B479,'2021'!C:C)+SUMIF('2022'!B:B,B479,'2022'!C:C)</f>
        <v>187714.45</v>
      </c>
      <c r="O479" s="17">
        <v>44925</v>
      </c>
      <c r="P479" s="5" t="s">
        <v>3728</v>
      </c>
    </row>
    <row r="480" spans="1:16" ht="17.25" customHeight="1" x14ac:dyDescent="0.3">
      <c r="A480" s="210">
        <f>A479+1</f>
        <v>414</v>
      </c>
      <c r="B480" s="21" t="s">
        <v>489</v>
      </c>
      <c r="C480" s="5">
        <v>1950</v>
      </c>
      <c r="D480" s="18"/>
      <c r="E480" s="15" t="s">
        <v>3730</v>
      </c>
      <c r="F480" s="16">
        <v>2</v>
      </c>
      <c r="G480" s="26"/>
      <c r="H480" s="3">
        <v>482.6</v>
      </c>
      <c r="I480" s="3">
        <v>14</v>
      </c>
      <c r="J480" s="19">
        <f t="shared" si="50"/>
        <v>694129.84000000008</v>
      </c>
      <c r="K480" s="73"/>
      <c r="L480" s="73"/>
      <c r="M480" s="73"/>
      <c r="N480" s="19">
        <f>SUMIF('2020'!B:B,B480,'2020'!C:C)+SUMIF('2021'!B:B,B480,'2021'!C:C)+SUMIF('2022'!B:B,B480,'2022'!C:C)</f>
        <v>694129.84000000008</v>
      </c>
      <c r="O480" s="17">
        <v>44925</v>
      </c>
      <c r="P480" s="5" t="s">
        <v>3728</v>
      </c>
    </row>
    <row r="481" spans="1:16" ht="17.25" customHeight="1" x14ac:dyDescent="0.3">
      <c r="A481" s="210" t="s">
        <v>211</v>
      </c>
      <c r="B481" s="212"/>
      <c r="C481" s="3"/>
      <c r="D481" s="18"/>
      <c r="E481" s="3"/>
      <c r="F481" s="16"/>
      <c r="G481" s="26"/>
      <c r="H481" s="73">
        <f t="shared" ref="H481:L481" si="51">SUM(H475:H480)</f>
        <v>2053.62</v>
      </c>
      <c r="I481" s="73">
        <f t="shared" si="51"/>
        <v>57</v>
      </c>
      <c r="J481" s="73">
        <f t="shared" si="51"/>
        <v>1614622.2100000002</v>
      </c>
      <c r="K481" s="73">
        <f t="shared" si="51"/>
        <v>0</v>
      </c>
      <c r="L481" s="73">
        <f t="shared" si="51"/>
        <v>0</v>
      </c>
      <c r="M481" s="73">
        <v>0</v>
      </c>
      <c r="N481" s="73">
        <f>SUM(N475:N480)</f>
        <v>1614622.2100000002</v>
      </c>
      <c r="O481" s="3"/>
      <c r="P481" s="3"/>
    </row>
    <row r="482" spans="1:16" ht="17.25" customHeight="1" x14ac:dyDescent="0.3">
      <c r="A482" s="210" t="s">
        <v>490</v>
      </c>
      <c r="B482" s="21"/>
      <c r="C482" s="3"/>
      <c r="D482" s="3"/>
      <c r="E482" s="3"/>
      <c r="F482" s="3"/>
      <c r="G482" s="26"/>
      <c r="H482" s="3"/>
      <c r="I482" s="3"/>
      <c r="J482" s="73"/>
      <c r="K482" s="73"/>
      <c r="L482" s="73"/>
      <c r="M482" s="73"/>
      <c r="N482" s="73"/>
      <c r="O482" s="3"/>
      <c r="P482" s="3"/>
    </row>
    <row r="483" spans="1:16" ht="17.25" customHeight="1" x14ac:dyDescent="0.3">
      <c r="A483" s="210">
        <f>A480+1</f>
        <v>415</v>
      </c>
      <c r="B483" s="21" t="s">
        <v>491</v>
      </c>
      <c r="C483" s="5">
        <v>1950</v>
      </c>
      <c r="D483" s="98"/>
      <c r="E483" s="15" t="s">
        <v>3730</v>
      </c>
      <c r="F483" s="98">
        <v>2</v>
      </c>
      <c r="G483" s="99">
        <v>1</v>
      </c>
      <c r="H483" s="98">
        <v>546.08000000000004</v>
      </c>
      <c r="I483" s="98">
        <v>29</v>
      </c>
      <c r="J483" s="19">
        <f>K483+L483+M483+N483</f>
        <v>130000</v>
      </c>
      <c r="K483" s="73"/>
      <c r="L483" s="73"/>
      <c r="M483" s="73"/>
      <c r="N483" s="19">
        <f>SUMIF('2020'!B:B,B483,'2020'!C:C)+SUMIF('2021'!B:B,B483,'2021'!C:C)+SUMIF('2022'!B:B,B483,'2022'!C:C)</f>
        <v>130000</v>
      </c>
      <c r="O483" s="17">
        <v>44925</v>
      </c>
      <c r="P483" s="5" t="s">
        <v>3728</v>
      </c>
    </row>
    <row r="484" spans="1:16" ht="17.25" customHeight="1" x14ac:dyDescent="0.3">
      <c r="A484" s="210">
        <f>A483+1</f>
        <v>416</v>
      </c>
      <c r="B484" s="21" t="s">
        <v>492</v>
      </c>
      <c r="C484" s="5">
        <v>1947</v>
      </c>
      <c r="D484" s="98"/>
      <c r="E484" s="15" t="s">
        <v>3730</v>
      </c>
      <c r="F484" s="98">
        <v>1</v>
      </c>
      <c r="G484" s="99">
        <v>4</v>
      </c>
      <c r="H484" s="98">
        <v>252.4</v>
      </c>
      <c r="I484" s="98">
        <v>13</v>
      </c>
      <c r="J484" s="19">
        <f>K484+L484+M484+N484</f>
        <v>130000</v>
      </c>
      <c r="K484" s="73"/>
      <c r="L484" s="73"/>
      <c r="M484" s="73"/>
      <c r="N484" s="19">
        <f>SUMIF('2020'!B:B,B484,'2020'!C:C)+SUMIF('2021'!B:B,B484,'2021'!C:C)+SUMIF('2022'!B:B,B484,'2022'!C:C)</f>
        <v>130000</v>
      </c>
      <c r="O484" s="17">
        <v>44925</v>
      </c>
      <c r="P484" s="5" t="s">
        <v>3728</v>
      </c>
    </row>
    <row r="485" spans="1:16" ht="17.25" customHeight="1" x14ac:dyDescent="0.3">
      <c r="A485" s="210">
        <f>A484+1</f>
        <v>417</v>
      </c>
      <c r="B485" s="21" t="s">
        <v>493</v>
      </c>
      <c r="C485" s="5">
        <v>1982</v>
      </c>
      <c r="D485" s="98"/>
      <c r="E485" s="15" t="s">
        <v>3729</v>
      </c>
      <c r="F485" s="98">
        <v>4</v>
      </c>
      <c r="G485" s="99">
        <v>1</v>
      </c>
      <c r="H485" s="98">
        <v>1005.6</v>
      </c>
      <c r="I485" s="98">
        <v>40</v>
      </c>
      <c r="J485" s="19">
        <f>K485+L485+M485+N485</f>
        <v>2090466</v>
      </c>
      <c r="K485" s="73"/>
      <c r="L485" s="73"/>
      <c r="M485" s="73"/>
      <c r="N485" s="19">
        <f>SUMIF('2020'!B:B,B485,'2020'!C:C)+SUMIF('2021'!B:B,B485,'2021'!C:C)+SUMIF('2022'!B:B,B485,'2022'!C:C)</f>
        <v>2090466</v>
      </c>
      <c r="O485" s="17">
        <v>44925</v>
      </c>
      <c r="P485" s="5" t="s">
        <v>3728</v>
      </c>
    </row>
    <row r="486" spans="1:16" ht="17.25" customHeight="1" x14ac:dyDescent="0.3">
      <c r="A486" s="210">
        <f>A485+1</f>
        <v>418</v>
      </c>
      <c r="B486" s="21" t="s">
        <v>494</v>
      </c>
      <c r="C486" s="5">
        <v>1952</v>
      </c>
      <c r="D486" s="98"/>
      <c r="E486" s="15" t="s">
        <v>3729</v>
      </c>
      <c r="F486" s="98">
        <v>4</v>
      </c>
      <c r="G486" s="99">
        <v>1</v>
      </c>
      <c r="H486" s="98">
        <v>1007.7</v>
      </c>
      <c r="I486" s="98">
        <v>47</v>
      </c>
      <c r="J486" s="19">
        <f>K486+L486+M486+N486</f>
        <v>130000</v>
      </c>
      <c r="K486" s="73"/>
      <c r="L486" s="73"/>
      <c r="M486" s="73"/>
      <c r="N486" s="19">
        <f>SUMIF('2020'!B:B,B486,'2020'!C:C)+SUMIF('2021'!B:B,B486,'2021'!C:C)+SUMIF('2022'!B:B,B486,'2022'!C:C)</f>
        <v>130000</v>
      </c>
      <c r="O486" s="17">
        <v>44925</v>
      </c>
      <c r="P486" s="5" t="s">
        <v>3728</v>
      </c>
    </row>
    <row r="487" spans="1:16" ht="17.25" customHeight="1" x14ac:dyDescent="0.3">
      <c r="A487" s="210" t="s">
        <v>211</v>
      </c>
      <c r="B487" s="212"/>
      <c r="C487" s="3"/>
      <c r="D487" s="3"/>
      <c r="E487" s="3"/>
      <c r="F487" s="3"/>
      <c r="G487" s="26"/>
      <c r="H487" s="73">
        <f t="shared" ref="H487:L487" si="52">SUM(H483:H486)</f>
        <v>2811.7799999999997</v>
      </c>
      <c r="I487" s="73">
        <f t="shared" si="52"/>
        <v>129</v>
      </c>
      <c r="J487" s="73">
        <f t="shared" si="52"/>
        <v>2480466</v>
      </c>
      <c r="K487" s="73">
        <f t="shared" si="52"/>
        <v>0</v>
      </c>
      <c r="L487" s="73">
        <f t="shared" si="52"/>
        <v>0</v>
      </c>
      <c r="M487" s="73">
        <v>0</v>
      </c>
      <c r="N487" s="73">
        <f>SUM(N483:N486)</f>
        <v>2480466</v>
      </c>
      <c r="O487" s="3"/>
      <c r="P487" s="3"/>
    </row>
    <row r="488" spans="1:16" ht="17.25" customHeight="1" x14ac:dyDescent="0.3">
      <c r="A488" s="210" t="s">
        <v>495</v>
      </c>
      <c r="B488" s="21"/>
      <c r="C488" s="3"/>
      <c r="D488" s="3"/>
      <c r="E488" s="3"/>
      <c r="F488" s="3"/>
      <c r="G488" s="26"/>
      <c r="H488" s="3"/>
      <c r="I488" s="3"/>
      <c r="J488" s="73"/>
      <c r="K488" s="73"/>
      <c r="L488" s="73"/>
      <c r="M488" s="73"/>
      <c r="N488" s="73"/>
      <c r="O488" s="3"/>
      <c r="P488" s="3"/>
    </row>
    <row r="489" spans="1:16" ht="17.25" customHeight="1" x14ac:dyDescent="0.3">
      <c r="A489" s="210">
        <f>A486+1</f>
        <v>419</v>
      </c>
      <c r="B489" s="21" t="s">
        <v>496</v>
      </c>
      <c r="C489" s="5">
        <v>1918</v>
      </c>
      <c r="D489" s="3"/>
      <c r="E489" s="15" t="s">
        <v>3730</v>
      </c>
      <c r="F489" s="3">
        <v>2</v>
      </c>
      <c r="G489" s="26"/>
      <c r="H489" s="3">
        <v>174.5</v>
      </c>
      <c r="I489" s="3">
        <v>10</v>
      </c>
      <c r="J489" s="19">
        <f>K489+L489+M489+N489</f>
        <v>168990.64</v>
      </c>
      <c r="K489" s="73"/>
      <c r="L489" s="73"/>
      <c r="M489" s="73"/>
      <c r="N489" s="73">
        <f>'2022'!C134</f>
        <v>168990.64</v>
      </c>
      <c r="O489" s="17">
        <v>44925</v>
      </c>
      <c r="P489" s="5" t="s">
        <v>3728</v>
      </c>
    </row>
    <row r="490" spans="1:16" ht="17.25" customHeight="1" x14ac:dyDescent="0.3">
      <c r="A490" s="210" t="s">
        <v>211</v>
      </c>
      <c r="B490" s="212"/>
      <c r="C490" s="3"/>
      <c r="D490" s="3"/>
      <c r="E490" s="3"/>
      <c r="F490" s="3"/>
      <c r="G490" s="26"/>
      <c r="H490" s="73">
        <f t="shared" ref="H490:L490" si="53">H489</f>
        <v>174.5</v>
      </c>
      <c r="I490" s="73">
        <f t="shared" si="53"/>
        <v>10</v>
      </c>
      <c r="J490" s="73">
        <f t="shared" si="53"/>
        <v>168990.64</v>
      </c>
      <c r="K490" s="73">
        <f t="shared" si="53"/>
        <v>0</v>
      </c>
      <c r="L490" s="73">
        <f t="shared" si="53"/>
        <v>0</v>
      </c>
      <c r="M490" s="73">
        <v>0</v>
      </c>
      <c r="N490" s="73">
        <f>N489</f>
        <v>168990.64</v>
      </c>
      <c r="O490" s="3"/>
      <c r="P490" s="3"/>
    </row>
    <row r="491" spans="1:16" ht="17.25" customHeight="1" x14ac:dyDescent="0.3">
      <c r="A491" s="210" t="s">
        <v>497</v>
      </c>
      <c r="B491" s="21"/>
      <c r="C491" s="3"/>
      <c r="D491" s="3"/>
      <c r="E491" s="3"/>
      <c r="F491" s="3"/>
      <c r="G491" s="26"/>
      <c r="H491" s="3"/>
      <c r="I491" s="3"/>
      <c r="J491" s="73"/>
      <c r="K491" s="73"/>
      <c r="L491" s="73"/>
      <c r="M491" s="73"/>
      <c r="N491" s="73"/>
      <c r="O491" s="3"/>
      <c r="P491" s="3"/>
    </row>
    <row r="492" spans="1:16" ht="17.25" customHeight="1" x14ac:dyDescent="0.3">
      <c r="A492" s="210">
        <f>A489+1</f>
        <v>420</v>
      </c>
      <c r="B492" s="21" t="s">
        <v>498</v>
      </c>
      <c r="C492" s="5">
        <v>1960</v>
      </c>
      <c r="D492" s="3"/>
      <c r="E492" s="15" t="s">
        <v>3645</v>
      </c>
      <c r="F492" s="3">
        <v>2</v>
      </c>
      <c r="G492" s="26"/>
      <c r="H492" s="3">
        <v>675.41</v>
      </c>
      <c r="I492" s="3">
        <v>18</v>
      </c>
      <c r="J492" s="19">
        <f t="shared" ref="J492:J501" si="54">K492+L492+M492+N492</f>
        <v>2780834.4000000004</v>
      </c>
      <c r="K492" s="73"/>
      <c r="L492" s="73"/>
      <c r="M492" s="73"/>
      <c r="N492" s="19">
        <f>SUMIF('2020'!B:B,B492,'2020'!C:C)+SUMIF('2021'!B:B,B492,'2021'!C:C)+SUMIF('2022'!B:B,B492,'2022'!C:C)</f>
        <v>2780834.4000000004</v>
      </c>
      <c r="O492" s="17">
        <v>44925</v>
      </c>
      <c r="P492" s="5" t="s">
        <v>3728</v>
      </c>
    </row>
    <row r="493" spans="1:16" ht="17.25" customHeight="1" x14ac:dyDescent="0.3">
      <c r="A493" s="210">
        <f>A492+1</f>
        <v>421</v>
      </c>
      <c r="B493" s="21" t="s">
        <v>499</v>
      </c>
      <c r="C493" s="5">
        <v>1960</v>
      </c>
      <c r="D493" s="3"/>
      <c r="E493" s="15" t="s">
        <v>3645</v>
      </c>
      <c r="F493" s="3">
        <v>2</v>
      </c>
      <c r="G493" s="26"/>
      <c r="H493" s="3">
        <v>680.5</v>
      </c>
      <c r="I493" s="3">
        <v>15</v>
      </c>
      <c r="J493" s="19">
        <f t="shared" si="54"/>
        <v>4983581.2</v>
      </c>
      <c r="K493" s="73"/>
      <c r="L493" s="73"/>
      <c r="M493" s="73"/>
      <c r="N493" s="19">
        <f>SUMIF('2020'!B:B,B493,'2020'!C:C)+SUMIF('2021'!B:B,B493,'2021'!C:C)+SUMIF('2022'!B:B,B493,'2022'!C:C)</f>
        <v>4983581.2</v>
      </c>
      <c r="O493" s="17">
        <v>44925</v>
      </c>
      <c r="P493" s="5" t="s">
        <v>3728</v>
      </c>
    </row>
    <row r="494" spans="1:16" ht="17.25" customHeight="1" x14ac:dyDescent="0.3">
      <c r="A494" s="210">
        <f t="shared" ref="A494:A501" si="55">A493+1</f>
        <v>422</v>
      </c>
      <c r="B494" s="21" t="s">
        <v>500</v>
      </c>
      <c r="C494" s="5">
        <v>1966</v>
      </c>
      <c r="D494" s="3"/>
      <c r="E494" s="15" t="s">
        <v>3729</v>
      </c>
      <c r="F494" s="3">
        <v>5</v>
      </c>
      <c r="G494" s="26"/>
      <c r="H494" s="3">
        <v>7086.3</v>
      </c>
      <c r="I494" s="3">
        <v>267</v>
      </c>
      <c r="J494" s="19">
        <f t="shared" si="54"/>
        <v>16098964.800000001</v>
      </c>
      <c r="K494" s="73"/>
      <c r="L494" s="73"/>
      <c r="M494" s="73"/>
      <c r="N494" s="19">
        <f>SUMIF('2020'!B:B,B494,'2020'!C:C)+SUMIF('2021'!B:B,B494,'2021'!C:C)+SUMIF('2022'!B:B,B494,'2022'!C:C)</f>
        <v>16098964.800000001</v>
      </c>
      <c r="O494" s="17">
        <v>44925</v>
      </c>
      <c r="P494" s="5" t="s">
        <v>3728</v>
      </c>
    </row>
    <row r="495" spans="1:16" ht="17.25" customHeight="1" x14ac:dyDescent="0.3">
      <c r="A495" s="210">
        <f t="shared" si="55"/>
        <v>423</v>
      </c>
      <c r="B495" s="21" t="s">
        <v>501</v>
      </c>
      <c r="C495" s="5">
        <v>1971</v>
      </c>
      <c r="D495" s="3"/>
      <c r="E495" s="15" t="s">
        <v>3645</v>
      </c>
      <c r="F495" s="3">
        <v>5</v>
      </c>
      <c r="G495" s="26"/>
      <c r="H495" s="3">
        <v>3565.3</v>
      </c>
      <c r="I495" s="3">
        <v>113</v>
      </c>
      <c r="J495" s="19">
        <f t="shared" si="54"/>
        <v>7225353.5999999996</v>
      </c>
      <c r="K495" s="73"/>
      <c r="L495" s="73"/>
      <c r="M495" s="73"/>
      <c r="N495" s="19">
        <f>SUMIF('2020'!B:B,B495,'2020'!C:C)+SUMIF('2021'!B:B,B495,'2021'!C:C)+SUMIF('2022'!B:B,B495,'2022'!C:C)</f>
        <v>7225353.5999999996</v>
      </c>
      <c r="O495" s="17">
        <v>44925</v>
      </c>
      <c r="P495" s="5" t="s">
        <v>3728</v>
      </c>
    </row>
    <row r="496" spans="1:16" ht="17.25" customHeight="1" x14ac:dyDescent="0.3">
      <c r="A496" s="210">
        <f t="shared" si="55"/>
        <v>424</v>
      </c>
      <c r="B496" s="21" t="s">
        <v>502</v>
      </c>
      <c r="C496" s="5">
        <v>1957</v>
      </c>
      <c r="D496" s="3"/>
      <c r="E496" s="15" t="s">
        <v>3645</v>
      </c>
      <c r="F496" s="13">
        <v>2</v>
      </c>
      <c r="G496" s="26"/>
      <c r="H496" s="13">
        <v>559.70000000000005</v>
      </c>
      <c r="I496" s="13">
        <v>15</v>
      </c>
      <c r="J496" s="19">
        <f t="shared" si="54"/>
        <v>2838086.4</v>
      </c>
      <c r="K496" s="73"/>
      <c r="L496" s="73"/>
      <c r="M496" s="73"/>
      <c r="N496" s="19">
        <f>SUMIF('2020'!B:B,B496,'2020'!C:C)+SUMIF('2021'!B:B,B496,'2021'!C:C)+SUMIF('2022'!B:B,B496,'2022'!C:C)</f>
        <v>2838086.4</v>
      </c>
      <c r="O496" s="17">
        <v>44925</v>
      </c>
      <c r="P496" s="5" t="s">
        <v>3728</v>
      </c>
    </row>
    <row r="497" spans="1:16" ht="17.25" customHeight="1" x14ac:dyDescent="0.3">
      <c r="A497" s="210">
        <f t="shared" si="55"/>
        <v>425</v>
      </c>
      <c r="B497" s="21" t="s">
        <v>503</v>
      </c>
      <c r="C497" s="5">
        <v>1958</v>
      </c>
      <c r="D497" s="3"/>
      <c r="E497" s="15" t="s">
        <v>3645</v>
      </c>
      <c r="F497" s="13">
        <v>2</v>
      </c>
      <c r="G497" s="26"/>
      <c r="H497" s="13">
        <v>671.5</v>
      </c>
      <c r="I497" s="13">
        <v>22</v>
      </c>
      <c r="J497" s="19">
        <f t="shared" si="54"/>
        <v>3118833.6</v>
      </c>
      <c r="K497" s="73"/>
      <c r="L497" s="73"/>
      <c r="M497" s="73"/>
      <c r="N497" s="19">
        <f>SUMIF('2020'!B:B,B497,'2020'!C:C)+SUMIF('2021'!B:B,B497,'2021'!C:C)+SUMIF('2022'!B:B,B497,'2022'!C:C)</f>
        <v>3118833.6</v>
      </c>
      <c r="O497" s="17">
        <v>44925</v>
      </c>
      <c r="P497" s="5" t="s">
        <v>3728</v>
      </c>
    </row>
    <row r="498" spans="1:16" ht="17.25" customHeight="1" x14ac:dyDescent="0.3">
      <c r="A498" s="210">
        <f t="shared" si="55"/>
        <v>426</v>
      </c>
      <c r="B498" s="21" t="s">
        <v>504</v>
      </c>
      <c r="C498" s="5">
        <v>1962</v>
      </c>
      <c r="D498" s="3"/>
      <c r="E498" s="15" t="s">
        <v>3645</v>
      </c>
      <c r="F498" s="13">
        <v>2</v>
      </c>
      <c r="G498" s="26"/>
      <c r="H498" s="13">
        <v>689.26</v>
      </c>
      <c r="I498" s="13">
        <v>22</v>
      </c>
      <c r="J498" s="19">
        <f t="shared" si="54"/>
        <v>3121015.1999999997</v>
      </c>
      <c r="K498" s="73"/>
      <c r="L498" s="73"/>
      <c r="M498" s="73"/>
      <c r="N498" s="19">
        <f>SUMIF('2020'!B:B,B498,'2020'!C:C)+SUMIF('2021'!B:B,B498,'2021'!C:C)+SUMIF('2022'!B:B,B498,'2022'!C:C)</f>
        <v>3121015.1999999997</v>
      </c>
      <c r="O498" s="17">
        <v>44925</v>
      </c>
      <c r="P498" s="5" t="s">
        <v>3728</v>
      </c>
    </row>
    <row r="499" spans="1:16" ht="17.25" customHeight="1" x14ac:dyDescent="0.3">
      <c r="A499" s="210">
        <f t="shared" si="55"/>
        <v>427</v>
      </c>
      <c r="B499" s="21" t="s">
        <v>505</v>
      </c>
      <c r="C499" s="5">
        <v>1967</v>
      </c>
      <c r="D499" s="3"/>
      <c r="E499" s="15" t="s">
        <v>3729</v>
      </c>
      <c r="F499" s="13">
        <v>5</v>
      </c>
      <c r="G499" s="26"/>
      <c r="H499" s="13">
        <v>2798.46</v>
      </c>
      <c r="I499" s="13">
        <v>111</v>
      </c>
      <c r="J499" s="19">
        <f t="shared" si="54"/>
        <v>7074370.8000000007</v>
      </c>
      <c r="K499" s="73"/>
      <c r="L499" s="73"/>
      <c r="M499" s="73"/>
      <c r="N499" s="19">
        <f>SUMIF('2020'!B:B,B499,'2020'!C:C)+SUMIF('2021'!B:B,B499,'2021'!C:C)+SUMIF('2022'!B:B,B499,'2022'!C:C)</f>
        <v>7074370.8000000007</v>
      </c>
      <c r="O499" s="17">
        <v>44925</v>
      </c>
      <c r="P499" s="5" t="s">
        <v>3728</v>
      </c>
    </row>
    <row r="500" spans="1:16" ht="17.25" customHeight="1" x14ac:dyDescent="0.3">
      <c r="A500" s="210">
        <f t="shared" si="55"/>
        <v>428</v>
      </c>
      <c r="B500" s="21" t="s">
        <v>506</v>
      </c>
      <c r="C500" s="5">
        <v>1954</v>
      </c>
      <c r="D500" s="3"/>
      <c r="E500" s="15" t="s">
        <v>3645</v>
      </c>
      <c r="F500" s="13">
        <v>2</v>
      </c>
      <c r="G500" s="26"/>
      <c r="H500" s="13">
        <v>691.7</v>
      </c>
      <c r="I500" s="13">
        <v>24</v>
      </c>
      <c r="J500" s="19">
        <f t="shared" si="54"/>
        <v>3176407.2</v>
      </c>
      <c r="K500" s="73"/>
      <c r="L500" s="73"/>
      <c r="M500" s="73"/>
      <c r="N500" s="19">
        <f>SUMIF('2020'!B:B,B500,'2020'!C:C)+SUMIF('2021'!B:B,B500,'2021'!C:C)+SUMIF('2022'!B:B,B500,'2022'!C:C)</f>
        <v>3176407.2</v>
      </c>
      <c r="O500" s="17">
        <v>44925</v>
      </c>
      <c r="P500" s="5" t="s">
        <v>3728</v>
      </c>
    </row>
    <row r="501" spans="1:16" ht="17.25" customHeight="1" x14ac:dyDescent="0.3">
      <c r="A501" s="210">
        <f t="shared" si="55"/>
        <v>429</v>
      </c>
      <c r="B501" s="21" t="s">
        <v>507</v>
      </c>
      <c r="C501" s="5">
        <v>1951</v>
      </c>
      <c r="D501" s="5"/>
      <c r="E501" s="5" t="s">
        <v>3645</v>
      </c>
      <c r="F501" s="5">
        <v>2</v>
      </c>
      <c r="G501" s="14"/>
      <c r="H501" s="5">
        <v>433.5</v>
      </c>
      <c r="I501" s="5">
        <v>11</v>
      </c>
      <c r="J501" s="19">
        <f t="shared" si="54"/>
        <v>130000</v>
      </c>
      <c r="K501" s="72"/>
      <c r="L501" s="72"/>
      <c r="M501" s="72"/>
      <c r="N501" s="19">
        <f>SUMIF('2020'!B:B,B501,'2020'!C:C)+SUMIF('2021'!B:B,B501,'2021'!C:C)+SUMIF('2022'!B:B,B501,'2022'!C:C)</f>
        <v>130000</v>
      </c>
      <c r="O501" s="17">
        <v>44925</v>
      </c>
      <c r="P501" s="5" t="s">
        <v>3728</v>
      </c>
    </row>
    <row r="502" spans="1:16" ht="17.25" customHeight="1" x14ac:dyDescent="0.3">
      <c r="A502" s="210" t="s">
        <v>211</v>
      </c>
      <c r="B502" s="212"/>
      <c r="C502" s="3"/>
      <c r="D502" s="3"/>
      <c r="E502" s="3"/>
      <c r="F502" s="3"/>
      <c r="G502" s="26"/>
      <c r="H502" s="73">
        <f t="shared" ref="H502:L502" si="56">SUM(H492:H501)</f>
        <v>17851.63</v>
      </c>
      <c r="I502" s="73">
        <f t="shared" si="56"/>
        <v>618</v>
      </c>
      <c r="J502" s="73">
        <f t="shared" si="56"/>
        <v>50547447.200000003</v>
      </c>
      <c r="K502" s="73">
        <f t="shared" si="56"/>
        <v>0</v>
      </c>
      <c r="L502" s="73">
        <f t="shared" si="56"/>
        <v>0</v>
      </c>
      <c r="M502" s="73">
        <v>0</v>
      </c>
      <c r="N502" s="73">
        <f>SUM(N492:N501)</f>
        <v>50547447.200000003</v>
      </c>
      <c r="O502" s="3"/>
      <c r="P502" s="3"/>
    </row>
    <row r="503" spans="1:16" ht="17.25" customHeight="1" x14ac:dyDescent="0.3">
      <c r="A503" s="210" t="s">
        <v>508</v>
      </c>
      <c r="B503" s="21"/>
      <c r="C503" s="3"/>
      <c r="D503" s="3"/>
      <c r="E503" s="3"/>
      <c r="F503" s="3"/>
      <c r="G503" s="26"/>
      <c r="H503" s="3"/>
      <c r="I503" s="3"/>
      <c r="J503" s="73"/>
      <c r="K503" s="73"/>
      <c r="L503" s="73"/>
      <c r="M503" s="73"/>
      <c r="N503" s="73"/>
      <c r="O503" s="3"/>
      <c r="P503" s="3"/>
    </row>
    <row r="504" spans="1:16" ht="17.25" customHeight="1" x14ac:dyDescent="0.3">
      <c r="A504" s="210">
        <f>A501+1</f>
        <v>430</v>
      </c>
      <c r="B504" s="21" t="s">
        <v>509</v>
      </c>
      <c r="C504" s="5">
        <v>1979</v>
      </c>
      <c r="D504" s="3"/>
      <c r="E504" s="15" t="s">
        <v>3765</v>
      </c>
      <c r="F504" s="15">
        <v>5</v>
      </c>
      <c r="G504" s="100"/>
      <c r="H504" s="15">
        <v>3079</v>
      </c>
      <c r="I504" s="15">
        <v>148</v>
      </c>
      <c r="J504" s="19">
        <f t="shared" ref="J504:J510" si="57">K504+L504+M504+N504</f>
        <v>833258.45</v>
      </c>
      <c r="K504" s="73"/>
      <c r="L504" s="73"/>
      <c r="M504" s="73"/>
      <c r="N504" s="19">
        <f>SUMIF('2020'!B:B,B504,'2020'!C:C)+SUMIF('2021'!B:B,B504,'2021'!C:C)+SUMIF('2022'!B:B,B504,'2022'!C:C)</f>
        <v>833258.45</v>
      </c>
      <c r="O504" s="17">
        <v>44925</v>
      </c>
      <c r="P504" s="5" t="s">
        <v>3728</v>
      </c>
    </row>
    <row r="505" spans="1:16" ht="17.25" customHeight="1" x14ac:dyDescent="0.3">
      <c r="A505" s="210">
        <f t="shared" ref="A505:A510" si="58">A504+1</f>
        <v>431</v>
      </c>
      <c r="B505" s="21" t="s">
        <v>510</v>
      </c>
      <c r="C505" s="5">
        <v>1978</v>
      </c>
      <c r="D505" s="3"/>
      <c r="E505" s="15" t="s">
        <v>3765</v>
      </c>
      <c r="F505" s="15">
        <v>5</v>
      </c>
      <c r="G505" s="100"/>
      <c r="H505" s="15">
        <v>3088.5</v>
      </c>
      <c r="I505" s="15">
        <v>134</v>
      </c>
      <c r="J505" s="19">
        <f t="shared" si="57"/>
        <v>481208.21</v>
      </c>
      <c r="K505" s="73"/>
      <c r="L505" s="73"/>
      <c r="M505" s="73"/>
      <c r="N505" s="19">
        <f>SUMIF('2020'!B:B,B505,'2020'!C:C)+SUMIF('2021'!B:B,B505,'2021'!C:C)+SUMIF('2022'!B:B,B505,'2022'!C:C)</f>
        <v>481208.21</v>
      </c>
      <c r="O505" s="17">
        <v>44925</v>
      </c>
      <c r="P505" s="5" t="s">
        <v>3728</v>
      </c>
    </row>
    <row r="506" spans="1:16" ht="17.25" customHeight="1" x14ac:dyDescent="0.3">
      <c r="A506" s="210">
        <f t="shared" si="58"/>
        <v>432</v>
      </c>
      <c r="B506" s="21" t="s">
        <v>511</v>
      </c>
      <c r="C506" s="5">
        <v>1966</v>
      </c>
      <c r="D506" s="3"/>
      <c r="E506" s="15" t="s">
        <v>3645</v>
      </c>
      <c r="F506" s="15">
        <v>2</v>
      </c>
      <c r="G506" s="100"/>
      <c r="H506" s="15">
        <v>374.6</v>
      </c>
      <c r="I506" s="15">
        <v>25</v>
      </c>
      <c r="J506" s="19">
        <f t="shared" si="57"/>
        <v>1723302</v>
      </c>
      <c r="K506" s="73"/>
      <c r="L506" s="73"/>
      <c r="M506" s="73"/>
      <c r="N506" s="19">
        <f>SUMIF('2020'!B:B,B506,'2020'!C:C)+SUMIF('2021'!B:B,B506,'2021'!C:C)+SUMIF('2022'!B:B,B506,'2022'!C:C)</f>
        <v>1723302</v>
      </c>
      <c r="O506" s="17">
        <v>44925</v>
      </c>
      <c r="P506" s="5" t="s">
        <v>3728</v>
      </c>
    </row>
    <row r="507" spans="1:16" ht="17.25" customHeight="1" x14ac:dyDescent="0.3">
      <c r="A507" s="210">
        <f t="shared" si="58"/>
        <v>433</v>
      </c>
      <c r="B507" s="21" t="s">
        <v>512</v>
      </c>
      <c r="C507" s="5">
        <v>1972</v>
      </c>
      <c r="D507" s="3"/>
      <c r="E507" s="15" t="s">
        <v>3645</v>
      </c>
      <c r="F507" s="15">
        <v>2</v>
      </c>
      <c r="G507" s="100"/>
      <c r="H507" s="15">
        <v>719.2</v>
      </c>
      <c r="I507" s="15">
        <v>28</v>
      </c>
      <c r="J507" s="19">
        <f t="shared" si="57"/>
        <v>2026762.92</v>
      </c>
      <c r="K507" s="73"/>
      <c r="L507" s="73"/>
      <c r="M507" s="73"/>
      <c r="N507" s="19">
        <f>SUMIF('2020'!B:B,B507,'2020'!C:C)+SUMIF('2021'!B:B,B507,'2021'!C:C)+SUMIF('2022'!B:B,B507,'2022'!C:C)</f>
        <v>2026762.92</v>
      </c>
      <c r="O507" s="17">
        <v>44925</v>
      </c>
      <c r="P507" s="5" t="s">
        <v>3728</v>
      </c>
    </row>
    <row r="508" spans="1:16" ht="17.25" customHeight="1" x14ac:dyDescent="0.3">
      <c r="A508" s="210">
        <f t="shared" si="58"/>
        <v>434</v>
      </c>
      <c r="B508" s="21" t="s">
        <v>513</v>
      </c>
      <c r="C508" s="5">
        <v>1982</v>
      </c>
      <c r="D508" s="3"/>
      <c r="E508" s="15" t="s">
        <v>3765</v>
      </c>
      <c r="F508" s="15">
        <v>5</v>
      </c>
      <c r="G508" s="100"/>
      <c r="H508" s="15">
        <v>3037.8</v>
      </c>
      <c r="I508" s="15">
        <v>113</v>
      </c>
      <c r="J508" s="19">
        <f t="shared" si="57"/>
        <v>130000</v>
      </c>
      <c r="K508" s="73"/>
      <c r="L508" s="73"/>
      <c r="M508" s="73"/>
      <c r="N508" s="19">
        <f>SUMIF('2020'!B:B,B508,'2020'!C:C)+SUMIF('2021'!B:B,B508,'2021'!C:C)+SUMIF('2022'!B:B,B508,'2022'!C:C)</f>
        <v>130000</v>
      </c>
      <c r="O508" s="17">
        <v>44925</v>
      </c>
      <c r="P508" s="5" t="s">
        <v>3728</v>
      </c>
    </row>
    <row r="509" spans="1:16" ht="17.25" customHeight="1" x14ac:dyDescent="0.3">
      <c r="A509" s="210">
        <f t="shared" si="58"/>
        <v>435</v>
      </c>
      <c r="B509" s="21" t="s">
        <v>514</v>
      </c>
      <c r="C509" s="5">
        <v>1973</v>
      </c>
      <c r="D509" s="3"/>
      <c r="E509" s="15" t="s">
        <v>3645</v>
      </c>
      <c r="F509" s="15">
        <v>2</v>
      </c>
      <c r="G509" s="100"/>
      <c r="H509" s="15">
        <v>733.4</v>
      </c>
      <c r="I509" s="15">
        <v>38</v>
      </c>
      <c r="J509" s="19">
        <f t="shared" si="57"/>
        <v>2486489.46</v>
      </c>
      <c r="K509" s="73"/>
      <c r="L509" s="73"/>
      <c r="M509" s="73"/>
      <c r="N509" s="19">
        <f>SUMIF('2020'!B:B,B509,'2020'!C:C)+SUMIF('2021'!B:B,B509,'2021'!C:C)+SUMIF('2022'!B:B,B509,'2022'!C:C)</f>
        <v>2486489.46</v>
      </c>
      <c r="O509" s="17">
        <v>44925</v>
      </c>
      <c r="P509" s="5" t="s">
        <v>3728</v>
      </c>
    </row>
    <row r="510" spans="1:16" ht="17.25" customHeight="1" x14ac:dyDescent="0.3">
      <c r="A510" s="210">
        <f t="shared" si="58"/>
        <v>436</v>
      </c>
      <c r="B510" s="21" t="s">
        <v>515</v>
      </c>
      <c r="C510" s="5">
        <v>1974</v>
      </c>
      <c r="D510" s="3"/>
      <c r="E510" s="15" t="s">
        <v>3645</v>
      </c>
      <c r="F510" s="15">
        <v>2</v>
      </c>
      <c r="G510" s="100"/>
      <c r="H510" s="15">
        <v>753.7</v>
      </c>
      <c r="I510" s="15">
        <v>49</v>
      </c>
      <c r="J510" s="19">
        <f t="shared" si="57"/>
        <v>2027039.6800000002</v>
      </c>
      <c r="K510" s="73"/>
      <c r="L510" s="73"/>
      <c r="M510" s="73"/>
      <c r="N510" s="19">
        <f>SUMIF('2020'!B:B,B510,'2020'!C:C)+SUMIF('2021'!B:B,B510,'2021'!C:C)+SUMIF('2022'!B:B,B510,'2022'!C:C)</f>
        <v>2027039.6800000002</v>
      </c>
      <c r="O510" s="17">
        <v>44925</v>
      </c>
      <c r="P510" s="5" t="s">
        <v>3728</v>
      </c>
    </row>
    <row r="511" spans="1:16" ht="17.25" customHeight="1" x14ac:dyDescent="0.3">
      <c r="A511" s="210" t="s">
        <v>211</v>
      </c>
      <c r="B511" s="212"/>
      <c r="C511" s="3"/>
      <c r="D511" s="3"/>
      <c r="E511" s="3"/>
      <c r="F511" s="3"/>
      <c r="G511" s="26"/>
      <c r="H511" s="73">
        <f t="shared" ref="H511:L512" si="59">SUM(H504:H510)</f>
        <v>11786.2</v>
      </c>
      <c r="I511" s="73">
        <f t="shared" si="59"/>
        <v>535</v>
      </c>
      <c r="J511" s="73">
        <f t="shared" si="59"/>
        <v>9708060.7200000007</v>
      </c>
      <c r="K511" s="73">
        <f t="shared" si="59"/>
        <v>0</v>
      </c>
      <c r="L511" s="73">
        <f t="shared" si="59"/>
        <v>0</v>
      </c>
      <c r="M511" s="73">
        <f>N511-'2021'!C413-'2022'!C143</f>
        <v>0</v>
      </c>
      <c r="N511" s="73">
        <f>SUM(N504:N510)</f>
        <v>9708060.7200000007</v>
      </c>
      <c r="O511" s="3"/>
      <c r="P511" s="3"/>
    </row>
    <row r="512" spans="1:16" s="160" customFormat="1" ht="17.25" customHeight="1" x14ac:dyDescent="0.3">
      <c r="A512" s="90" t="s">
        <v>3735</v>
      </c>
      <c r="B512" s="215"/>
      <c r="C512" s="153"/>
      <c r="D512" s="153"/>
      <c r="E512" s="153"/>
      <c r="F512" s="153"/>
      <c r="G512" s="154"/>
      <c r="H512" s="155">
        <f t="shared" si="59"/>
        <v>20493.400000000001</v>
      </c>
      <c r="I512" s="155">
        <f t="shared" si="59"/>
        <v>922</v>
      </c>
      <c r="J512" s="155">
        <f t="shared" si="59"/>
        <v>18582862.990000002</v>
      </c>
      <c r="K512" s="155">
        <v>0</v>
      </c>
      <c r="L512" s="155">
        <v>0</v>
      </c>
      <c r="M512" s="155">
        <v>0</v>
      </c>
      <c r="N512" s="155">
        <f>N511+N502+N490+N481+N473+N449+N319+N301+N295+N276+N265+N487+N468</f>
        <v>466512393.83000004</v>
      </c>
      <c r="O512" s="153"/>
      <c r="P512" s="153"/>
    </row>
    <row r="513" spans="1:16" ht="17.25" customHeight="1" x14ac:dyDescent="0.3">
      <c r="A513" s="467" t="s">
        <v>517</v>
      </c>
      <c r="B513" s="468"/>
      <c r="C513" s="468"/>
      <c r="D513" s="468"/>
      <c r="E513" s="468"/>
      <c r="F513" s="468"/>
      <c r="G513" s="468"/>
      <c r="H513" s="468"/>
      <c r="I513" s="468"/>
      <c r="J513" s="468"/>
      <c r="K513" s="468"/>
      <c r="L513" s="468"/>
      <c r="M513" s="468"/>
      <c r="N513" s="468"/>
      <c r="O513" s="468"/>
      <c r="P513" s="469"/>
    </row>
    <row r="514" spans="1:16" ht="17.25" customHeight="1" x14ac:dyDescent="0.3">
      <c r="A514" s="210" t="s">
        <v>518</v>
      </c>
      <c r="B514" s="21"/>
      <c r="C514" s="3"/>
      <c r="D514" s="3"/>
      <c r="E514" s="3"/>
      <c r="F514" s="3"/>
      <c r="G514" s="26"/>
      <c r="H514" s="3"/>
      <c r="I514" s="3"/>
      <c r="J514" s="73"/>
      <c r="K514" s="73"/>
      <c r="L514" s="73"/>
      <c r="M514" s="73"/>
      <c r="N514" s="73"/>
      <c r="O514" s="3"/>
      <c r="P514" s="3"/>
    </row>
    <row r="515" spans="1:16" ht="17.25" customHeight="1" x14ac:dyDescent="0.3">
      <c r="A515" s="169">
        <f>A510+1</f>
        <v>437</v>
      </c>
      <c r="B515" s="21" t="s">
        <v>519</v>
      </c>
      <c r="C515" s="5">
        <v>1938</v>
      </c>
      <c r="D515" s="3"/>
      <c r="E515" s="92" t="s">
        <v>3645</v>
      </c>
      <c r="F515" s="92">
        <v>4</v>
      </c>
      <c r="G515" s="26"/>
      <c r="H515" s="15">
        <v>2357.1</v>
      </c>
      <c r="I515" s="92">
        <v>85</v>
      </c>
      <c r="J515" s="19">
        <f t="shared" ref="J515:J565" si="60">K515+L515+M515+N515</f>
        <v>772694.05</v>
      </c>
      <c r="K515" s="73"/>
      <c r="L515" s="73"/>
      <c r="M515" s="73"/>
      <c r="N515" s="19">
        <f>SUMIF('2020'!B:B,B515,'2020'!C:C)+SUMIF('2021'!B:B,B515,'2021'!C:C)+SUMIF('2022'!B:B,B515,'2022'!C:C)</f>
        <v>772694.05</v>
      </c>
      <c r="O515" s="17">
        <v>44925</v>
      </c>
      <c r="P515" s="5" t="s">
        <v>3728</v>
      </c>
    </row>
    <row r="516" spans="1:16" ht="17.25" customHeight="1" x14ac:dyDescent="0.3">
      <c r="A516" s="169">
        <f t="shared" ref="A516:A579" si="61">A515+1</f>
        <v>438</v>
      </c>
      <c r="B516" s="21" t="s">
        <v>520</v>
      </c>
      <c r="C516" s="5">
        <v>1936</v>
      </c>
      <c r="D516" s="3"/>
      <c r="E516" s="13" t="s">
        <v>3645</v>
      </c>
      <c r="F516" s="13">
        <v>4</v>
      </c>
      <c r="G516" s="26"/>
      <c r="H516" s="15">
        <v>2378.1</v>
      </c>
      <c r="I516" s="13">
        <v>102</v>
      </c>
      <c r="J516" s="19">
        <f t="shared" si="60"/>
        <v>9757476.0099999998</v>
      </c>
      <c r="K516" s="73"/>
      <c r="L516" s="73"/>
      <c r="M516" s="73"/>
      <c r="N516" s="19">
        <f>SUMIF('2020'!B:B,B516,'2020'!C:C)+SUMIF('2021'!B:B,B516,'2021'!C:C)+SUMIF('2022'!B:B,B516,'2022'!C:C)</f>
        <v>9757476.0099999998</v>
      </c>
      <c r="O516" s="17">
        <v>44925</v>
      </c>
      <c r="P516" s="5" t="s">
        <v>3728</v>
      </c>
    </row>
    <row r="517" spans="1:16" ht="17.25" customHeight="1" x14ac:dyDescent="0.3">
      <c r="A517" s="169">
        <f t="shared" si="61"/>
        <v>439</v>
      </c>
      <c r="B517" s="21" t="s">
        <v>521</v>
      </c>
      <c r="C517" s="5">
        <v>1961</v>
      </c>
      <c r="D517" s="3"/>
      <c r="E517" s="92" t="s">
        <v>3645</v>
      </c>
      <c r="F517" s="92">
        <v>3</v>
      </c>
      <c r="G517" s="26"/>
      <c r="H517" s="15">
        <v>1656</v>
      </c>
      <c r="I517" s="92">
        <v>65</v>
      </c>
      <c r="J517" s="19">
        <f t="shared" si="60"/>
        <v>8537933.709999999</v>
      </c>
      <c r="K517" s="73"/>
      <c r="L517" s="73"/>
      <c r="M517" s="73"/>
      <c r="N517" s="19">
        <f>SUMIF('2020'!B:B,B517,'2020'!C:C)+SUMIF('2021'!B:B,B517,'2021'!C:C)+SUMIF('2022'!B:B,B517,'2022'!C:C)</f>
        <v>8537933.709999999</v>
      </c>
      <c r="O517" s="17">
        <v>44925</v>
      </c>
      <c r="P517" s="5" t="s">
        <v>3728</v>
      </c>
    </row>
    <row r="518" spans="1:16" ht="17.25" customHeight="1" x14ac:dyDescent="0.3">
      <c r="A518" s="169">
        <f t="shared" si="61"/>
        <v>440</v>
      </c>
      <c r="B518" s="21" t="s">
        <v>522</v>
      </c>
      <c r="C518" s="5">
        <v>1968</v>
      </c>
      <c r="D518" s="3"/>
      <c r="E518" s="23" t="s">
        <v>3731</v>
      </c>
      <c r="F518" s="23">
        <v>5</v>
      </c>
      <c r="G518" s="26"/>
      <c r="H518" s="15">
        <v>2809.8</v>
      </c>
      <c r="I518" s="23">
        <v>111</v>
      </c>
      <c r="J518" s="19">
        <f t="shared" si="60"/>
        <v>178143.18</v>
      </c>
      <c r="K518" s="73"/>
      <c r="L518" s="73"/>
      <c r="M518" s="73"/>
      <c r="N518" s="19">
        <f>SUMIF('2020'!B:B,B518,'2020'!C:C)+SUMIF('2021'!B:B,B518,'2021'!C:C)+SUMIF('2022'!B:B,B518,'2022'!C:C)</f>
        <v>178143.18</v>
      </c>
      <c r="O518" s="17">
        <v>44925</v>
      </c>
      <c r="P518" s="5" t="s">
        <v>3728</v>
      </c>
    </row>
    <row r="519" spans="1:16" ht="17.25" customHeight="1" x14ac:dyDescent="0.3">
      <c r="A519" s="169">
        <f t="shared" si="61"/>
        <v>441</v>
      </c>
      <c r="B519" s="21" t="s">
        <v>523</v>
      </c>
      <c r="C519" s="5">
        <v>1970</v>
      </c>
      <c r="D519" s="3"/>
      <c r="E519" s="23" t="s">
        <v>3731</v>
      </c>
      <c r="F519" s="23">
        <v>5</v>
      </c>
      <c r="G519" s="26"/>
      <c r="H519" s="15">
        <v>2809.8</v>
      </c>
      <c r="I519" s="23">
        <v>190</v>
      </c>
      <c r="J519" s="19">
        <f t="shared" si="60"/>
        <v>419989.04000000004</v>
      </c>
      <c r="K519" s="73"/>
      <c r="L519" s="73"/>
      <c r="M519" s="73"/>
      <c r="N519" s="19">
        <f>SUMIF('2020'!B:B,B519,'2020'!C:C)+SUMIF('2021'!B:B,B519,'2021'!C:C)+SUMIF('2022'!B:B,B519,'2022'!C:C)</f>
        <v>419989.04000000004</v>
      </c>
      <c r="O519" s="17">
        <v>44925</v>
      </c>
      <c r="P519" s="5" t="s">
        <v>3728</v>
      </c>
    </row>
    <row r="520" spans="1:16" ht="17.25" customHeight="1" x14ac:dyDescent="0.3">
      <c r="A520" s="169">
        <f t="shared" si="61"/>
        <v>442</v>
      </c>
      <c r="B520" s="21" t="s">
        <v>524</v>
      </c>
      <c r="C520" s="5">
        <v>1973</v>
      </c>
      <c r="D520" s="3"/>
      <c r="E520" s="92" t="s">
        <v>3731</v>
      </c>
      <c r="F520" s="92">
        <v>5</v>
      </c>
      <c r="G520" s="26"/>
      <c r="H520" s="15">
        <v>3553</v>
      </c>
      <c r="I520" s="92">
        <v>164</v>
      </c>
      <c r="J520" s="19">
        <f t="shared" si="60"/>
        <v>674464.84000000008</v>
      </c>
      <c r="K520" s="73"/>
      <c r="L520" s="73"/>
      <c r="M520" s="73"/>
      <c r="N520" s="19">
        <f>SUMIF('2020'!B:B,B520,'2020'!C:C)+SUMIF('2021'!B:B,B520,'2021'!C:C)+SUMIF('2022'!B:B,B520,'2022'!C:C)</f>
        <v>674464.84000000008</v>
      </c>
      <c r="O520" s="17">
        <v>44925</v>
      </c>
      <c r="P520" s="5" t="s">
        <v>3728</v>
      </c>
    </row>
    <row r="521" spans="1:16" ht="17.25" customHeight="1" x14ac:dyDescent="0.3">
      <c r="A521" s="169">
        <f t="shared" si="61"/>
        <v>443</v>
      </c>
      <c r="B521" s="21" t="s">
        <v>525</v>
      </c>
      <c r="C521" s="5">
        <v>1974</v>
      </c>
      <c r="D521" s="3"/>
      <c r="E521" s="23" t="s">
        <v>3731</v>
      </c>
      <c r="F521" s="23">
        <v>5</v>
      </c>
      <c r="G521" s="26"/>
      <c r="H521" s="15">
        <v>3837.2</v>
      </c>
      <c r="I521" s="23">
        <v>142</v>
      </c>
      <c r="J521" s="19">
        <f t="shared" si="60"/>
        <v>527450.81999999995</v>
      </c>
      <c r="K521" s="73"/>
      <c r="L521" s="73"/>
      <c r="M521" s="73"/>
      <c r="N521" s="19">
        <f>SUMIF('2020'!B:B,B521,'2020'!C:C)+SUMIF('2021'!B:B,B521,'2021'!C:C)+SUMIF('2022'!B:B,B521,'2022'!C:C)</f>
        <v>527450.81999999995</v>
      </c>
      <c r="O521" s="17">
        <v>44925</v>
      </c>
      <c r="P521" s="5" t="s">
        <v>3728</v>
      </c>
    </row>
    <row r="522" spans="1:16" ht="17.25" customHeight="1" x14ac:dyDescent="0.3">
      <c r="A522" s="169">
        <f t="shared" si="61"/>
        <v>444</v>
      </c>
      <c r="B522" s="21" t="s">
        <v>526</v>
      </c>
      <c r="C522" s="5">
        <v>1976</v>
      </c>
      <c r="D522" s="3"/>
      <c r="E522" s="23" t="s">
        <v>3731</v>
      </c>
      <c r="F522" s="23">
        <v>5</v>
      </c>
      <c r="G522" s="26"/>
      <c r="H522" s="15">
        <v>3384.2</v>
      </c>
      <c r="I522" s="23">
        <v>145</v>
      </c>
      <c r="J522" s="19">
        <f t="shared" si="60"/>
        <v>582225.44999999995</v>
      </c>
      <c r="K522" s="73"/>
      <c r="L522" s="73"/>
      <c r="M522" s="73"/>
      <c r="N522" s="19">
        <f>SUMIF('2020'!B:B,B522,'2020'!C:C)+SUMIF('2021'!B:B,B522,'2021'!C:C)+SUMIF('2022'!B:B,B522,'2022'!C:C)</f>
        <v>582225.44999999995</v>
      </c>
      <c r="O522" s="17">
        <v>44925</v>
      </c>
      <c r="P522" s="5" t="s">
        <v>3728</v>
      </c>
    </row>
    <row r="523" spans="1:16" ht="17.25" customHeight="1" x14ac:dyDescent="0.3">
      <c r="A523" s="169">
        <f t="shared" si="61"/>
        <v>445</v>
      </c>
      <c r="B523" s="21" t="s">
        <v>527</v>
      </c>
      <c r="C523" s="5">
        <v>1937</v>
      </c>
      <c r="D523" s="3"/>
      <c r="E523" s="23" t="s">
        <v>3645</v>
      </c>
      <c r="F523" s="23">
        <v>4</v>
      </c>
      <c r="G523" s="26"/>
      <c r="H523" s="15">
        <v>2477.3000000000002</v>
      </c>
      <c r="I523" s="23">
        <v>117</v>
      </c>
      <c r="J523" s="19">
        <f t="shared" si="60"/>
        <v>16234395.43</v>
      </c>
      <c r="K523" s="73"/>
      <c r="L523" s="73"/>
      <c r="M523" s="73"/>
      <c r="N523" s="19">
        <f>SUMIF('2020'!B:B,B523,'2020'!C:C)+SUMIF('2021'!B:B,B523,'2021'!C:C)+SUMIF('2022'!B:B,B523,'2022'!C:C)</f>
        <v>16234395.43</v>
      </c>
      <c r="O523" s="17">
        <v>44925</v>
      </c>
      <c r="P523" s="5" t="s">
        <v>3728</v>
      </c>
    </row>
    <row r="524" spans="1:16" ht="17.25" customHeight="1" x14ac:dyDescent="0.3">
      <c r="A524" s="169">
        <f t="shared" si="61"/>
        <v>446</v>
      </c>
      <c r="B524" s="21" t="s">
        <v>528</v>
      </c>
      <c r="C524" s="5">
        <v>1936</v>
      </c>
      <c r="D524" s="3"/>
      <c r="E524" s="23" t="s">
        <v>3645</v>
      </c>
      <c r="F524" s="23">
        <v>4</v>
      </c>
      <c r="G524" s="26"/>
      <c r="H524" s="15">
        <v>2452.6</v>
      </c>
      <c r="I524" s="23">
        <v>93</v>
      </c>
      <c r="J524" s="19">
        <f t="shared" si="60"/>
        <v>521026.28</v>
      </c>
      <c r="K524" s="73"/>
      <c r="L524" s="73"/>
      <c r="M524" s="73"/>
      <c r="N524" s="19">
        <f>SUMIF('2020'!B:B,B524,'2020'!C:C)+SUMIF('2021'!B:B,B524,'2021'!C:C)+SUMIF('2022'!B:B,B524,'2022'!C:C)</f>
        <v>521026.28</v>
      </c>
      <c r="O524" s="17">
        <v>44925</v>
      </c>
      <c r="P524" s="5" t="s">
        <v>3728</v>
      </c>
    </row>
    <row r="525" spans="1:16" ht="17.25" customHeight="1" x14ac:dyDescent="0.3">
      <c r="A525" s="169">
        <f t="shared" si="61"/>
        <v>447</v>
      </c>
      <c r="B525" s="21" t="s">
        <v>529</v>
      </c>
      <c r="C525" s="5">
        <v>1939</v>
      </c>
      <c r="D525" s="3"/>
      <c r="E525" s="23" t="s">
        <v>3645</v>
      </c>
      <c r="F525" s="23">
        <v>4</v>
      </c>
      <c r="G525" s="26"/>
      <c r="H525" s="15">
        <v>2434.6999999999998</v>
      </c>
      <c r="I525" s="23">
        <v>25</v>
      </c>
      <c r="J525" s="19">
        <f t="shared" si="60"/>
        <v>20101642.260000002</v>
      </c>
      <c r="K525" s="73"/>
      <c r="L525" s="73"/>
      <c r="M525" s="73"/>
      <c r="N525" s="19">
        <f>SUMIF('2020'!B:B,B525,'2020'!C:C)+SUMIF('2021'!B:B,B525,'2021'!C:C)+SUMIF('2022'!B:B,B525,'2022'!C:C)</f>
        <v>20101642.260000002</v>
      </c>
      <c r="O525" s="17">
        <v>44925</v>
      </c>
      <c r="P525" s="5" t="s">
        <v>3728</v>
      </c>
    </row>
    <row r="526" spans="1:16" ht="17.25" customHeight="1" x14ac:dyDescent="0.3">
      <c r="A526" s="169">
        <f t="shared" si="61"/>
        <v>448</v>
      </c>
      <c r="B526" s="21" t="s">
        <v>530</v>
      </c>
      <c r="C526" s="5">
        <v>1960</v>
      </c>
      <c r="D526" s="3"/>
      <c r="E526" s="23" t="s">
        <v>3645</v>
      </c>
      <c r="F526" s="23">
        <v>2</v>
      </c>
      <c r="G526" s="26"/>
      <c r="H526" s="15">
        <v>694.8</v>
      </c>
      <c r="I526" s="23">
        <v>39</v>
      </c>
      <c r="J526" s="19">
        <f t="shared" si="60"/>
        <v>334416.72000000003</v>
      </c>
      <c r="K526" s="73"/>
      <c r="L526" s="73"/>
      <c r="M526" s="73"/>
      <c r="N526" s="19">
        <f>SUMIF('2020'!B:B,B526,'2020'!C:C)+SUMIF('2021'!B:B,B526,'2021'!C:C)+SUMIF('2022'!B:B,B526,'2022'!C:C)</f>
        <v>334416.72000000003</v>
      </c>
      <c r="O526" s="17">
        <v>44925</v>
      </c>
      <c r="P526" s="5" t="s">
        <v>3728</v>
      </c>
    </row>
    <row r="527" spans="1:16" ht="17.25" customHeight="1" x14ac:dyDescent="0.3">
      <c r="A527" s="169">
        <f t="shared" si="61"/>
        <v>449</v>
      </c>
      <c r="B527" s="21" t="s">
        <v>531</v>
      </c>
      <c r="C527" s="5">
        <v>1960</v>
      </c>
      <c r="D527" s="3"/>
      <c r="E527" s="23" t="s">
        <v>3645</v>
      </c>
      <c r="F527" s="23">
        <v>2</v>
      </c>
      <c r="G527" s="26"/>
      <c r="H527" s="15">
        <v>698.9</v>
      </c>
      <c r="I527" s="23">
        <v>33</v>
      </c>
      <c r="J527" s="19">
        <f t="shared" si="60"/>
        <v>334322.5</v>
      </c>
      <c r="K527" s="73"/>
      <c r="L527" s="73"/>
      <c r="M527" s="73"/>
      <c r="N527" s="19">
        <f>SUMIF('2020'!B:B,B527,'2020'!C:C)+SUMIF('2021'!B:B,B527,'2021'!C:C)+SUMIF('2022'!B:B,B527,'2022'!C:C)</f>
        <v>334322.5</v>
      </c>
      <c r="O527" s="17">
        <v>44925</v>
      </c>
      <c r="P527" s="5" t="s">
        <v>3728</v>
      </c>
    </row>
    <row r="528" spans="1:16" ht="17.25" customHeight="1" x14ac:dyDescent="0.3">
      <c r="A528" s="169">
        <f t="shared" si="61"/>
        <v>450</v>
      </c>
      <c r="B528" s="21" t="s">
        <v>532</v>
      </c>
      <c r="C528" s="5">
        <v>1961</v>
      </c>
      <c r="D528" s="3"/>
      <c r="E528" s="92" t="s">
        <v>3645</v>
      </c>
      <c r="F528" s="92">
        <v>3</v>
      </c>
      <c r="G528" s="26"/>
      <c r="H528" s="15">
        <v>1663.3</v>
      </c>
      <c r="I528" s="92">
        <v>76</v>
      </c>
      <c r="J528" s="19">
        <f t="shared" si="60"/>
        <v>421325.91000000003</v>
      </c>
      <c r="K528" s="73"/>
      <c r="L528" s="73"/>
      <c r="M528" s="73"/>
      <c r="N528" s="19">
        <f>SUMIF('2020'!B:B,B528,'2020'!C:C)+SUMIF('2021'!B:B,B528,'2021'!C:C)+SUMIF('2022'!B:B,B528,'2022'!C:C)</f>
        <v>421325.91000000003</v>
      </c>
      <c r="O528" s="17">
        <v>44925</v>
      </c>
      <c r="P528" s="5" t="s">
        <v>3728</v>
      </c>
    </row>
    <row r="529" spans="1:16" ht="17.25" customHeight="1" x14ac:dyDescent="0.3">
      <c r="A529" s="169">
        <f t="shared" si="61"/>
        <v>451</v>
      </c>
      <c r="B529" s="21" t="s">
        <v>533</v>
      </c>
      <c r="C529" s="5">
        <v>1961</v>
      </c>
      <c r="D529" s="3"/>
      <c r="E529" s="23" t="s">
        <v>3645</v>
      </c>
      <c r="F529" s="23">
        <v>3</v>
      </c>
      <c r="G529" s="26"/>
      <c r="H529" s="15">
        <v>1656.1</v>
      </c>
      <c r="I529" s="23">
        <v>61</v>
      </c>
      <c r="J529" s="19">
        <f t="shared" si="60"/>
        <v>725627.93</v>
      </c>
      <c r="K529" s="73"/>
      <c r="L529" s="73"/>
      <c r="M529" s="73"/>
      <c r="N529" s="19">
        <f>SUMIF('2020'!B:B,B529,'2020'!C:C)+SUMIF('2021'!B:B,B529,'2021'!C:C)+SUMIF('2022'!B:B,B529,'2022'!C:C)</f>
        <v>725627.93</v>
      </c>
      <c r="O529" s="17">
        <v>44925</v>
      </c>
      <c r="P529" s="5" t="s">
        <v>3728</v>
      </c>
    </row>
    <row r="530" spans="1:16" ht="17.25" customHeight="1" x14ac:dyDescent="0.3">
      <c r="A530" s="169">
        <f t="shared" si="61"/>
        <v>452</v>
      </c>
      <c r="B530" s="21" t="s">
        <v>534</v>
      </c>
      <c r="C530" s="5">
        <v>1961</v>
      </c>
      <c r="D530" s="3"/>
      <c r="E530" s="23" t="s">
        <v>3645</v>
      </c>
      <c r="F530" s="23">
        <v>3</v>
      </c>
      <c r="G530" s="26"/>
      <c r="H530" s="15">
        <v>1656</v>
      </c>
      <c r="I530" s="23">
        <v>80</v>
      </c>
      <c r="J530" s="19">
        <f t="shared" si="60"/>
        <v>736774.91</v>
      </c>
      <c r="K530" s="73"/>
      <c r="L530" s="73"/>
      <c r="M530" s="73"/>
      <c r="N530" s="19">
        <f>SUMIF('2020'!B:B,B530,'2020'!C:C)+SUMIF('2021'!B:B,B530,'2021'!C:C)+SUMIF('2022'!B:B,B530,'2022'!C:C)</f>
        <v>736774.91</v>
      </c>
      <c r="O530" s="17">
        <v>44925</v>
      </c>
      <c r="P530" s="5" t="s">
        <v>3728</v>
      </c>
    </row>
    <row r="531" spans="1:16" ht="17.25" customHeight="1" x14ac:dyDescent="0.3">
      <c r="A531" s="169">
        <f t="shared" si="61"/>
        <v>453</v>
      </c>
      <c r="B531" s="21" t="s">
        <v>535</v>
      </c>
      <c r="C531" s="5">
        <v>1994</v>
      </c>
      <c r="D531" s="3"/>
      <c r="E531" s="23" t="s">
        <v>3767</v>
      </c>
      <c r="F531" s="23">
        <v>2</v>
      </c>
      <c r="G531" s="26"/>
      <c r="H531" s="15">
        <v>650.1</v>
      </c>
      <c r="I531" s="23">
        <v>37</v>
      </c>
      <c r="J531" s="19">
        <f t="shared" si="60"/>
        <v>622718.4</v>
      </c>
      <c r="K531" s="73"/>
      <c r="L531" s="73"/>
      <c r="M531" s="73"/>
      <c r="N531" s="19">
        <f>SUMIF('2020'!B:B,B531,'2020'!C:C)+SUMIF('2021'!B:B,B531,'2021'!C:C)+SUMIF('2022'!B:B,B531,'2022'!C:C)</f>
        <v>622718.4</v>
      </c>
      <c r="O531" s="17">
        <v>44925</v>
      </c>
      <c r="P531" s="5" t="s">
        <v>3728</v>
      </c>
    </row>
    <row r="532" spans="1:16" ht="17.25" customHeight="1" x14ac:dyDescent="0.3">
      <c r="A532" s="169">
        <f t="shared" si="61"/>
        <v>454</v>
      </c>
      <c r="B532" s="21" t="s">
        <v>536</v>
      </c>
      <c r="C532" s="5">
        <v>1968</v>
      </c>
      <c r="D532" s="3"/>
      <c r="E532" s="23" t="s">
        <v>3731</v>
      </c>
      <c r="F532" s="23">
        <v>5</v>
      </c>
      <c r="G532" s="26"/>
      <c r="H532" s="15">
        <v>3894.9</v>
      </c>
      <c r="I532" s="23">
        <v>140</v>
      </c>
      <c r="J532" s="19">
        <f t="shared" si="60"/>
        <v>801879.75</v>
      </c>
      <c r="K532" s="73"/>
      <c r="L532" s="73"/>
      <c r="M532" s="73"/>
      <c r="N532" s="19">
        <f>SUMIF('2020'!B:B,B532,'2020'!C:C)+SUMIF('2021'!B:B,B532,'2021'!C:C)+SUMIF('2022'!B:B,B532,'2022'!C:C)</f>
        <v>801879.75</v>
      </c>
      <c r="O532" s="17">
        <v>44925</v>
      </c>
      <c r="P532" s="5" t="s">
        <v>3728</v>
      </c>
    </row>
    <row r="533" spans="1:16" ht="17.25" customHeight="1" x14ac:dyDescent="0.3">
      <c r="A533" s="169">
        <f t="shared" si="61"/>
        <v>455</v>
      </c>
      <c r="B533" s="21" t="s">
        <v>537</v>
      </c>
      <c r="C533" s="5">
        <v>1975</v>
      </c>
      <c r="D533" s="3"/>
      <c r="E533" s="23" t="s">
        <v>3645</v>
      </c>
      <c r="F533" s="23">
        <v>9</v>
      </c>
      <c r="G533" s="26"/>
      <c r="H533" s="15">
        <v>2189.3000000000002</v>
      </c>
      <c r="I533" s="23">
        <v>69</v>
      </c>
      <c r="J533" s="19">
        <f t="shared" si="60"/>
        <v>449278.06</v>
      </c>
      <c r="K533" s="73"/>
      <c r="L533" s="73"/>
      <c r="M533" s="73"/>
      <c r="N533" s="19">
        <f>SUMIF('2020'!B:B,B533,'2020'!C:C)+SUMIF('2021'!B:B,B533,'2021'!C:C)+SUMIF('2022'!B:B,B533,'2022'!C:C)</f>
        <v>449278.06</v>
      </c>
      <c r="O533" s="17">
        <v>44925</v>
      </c>
      <c r="P533" s="5" t="s">
        <v>3728</v>
      </c>
    </row>
    <row r="534" spans="1:16" ht="17.25" customHeight="1" x14ac:dyDescent="0.3">
      <c r="A534" s="169">
        <f t="shared" si="61"/>
        <v>456</v>
      </c>
      <c r="B534" s="21" t="s">
        <v>538</v>
      </c>
      <c r="C534" s="5">
        <v>1968</v>
      </c>
      <c r="D534" s="3"/>
      <c r="E534" s="23" t="s">
        <v>3731</v>
      </c>
      <c r="F534" s="23">
        <v>5</v>
      </c>
      <c r="G534" s="26"/>
      <c r="H534" s="15">
        <v>6091.3</v>
      </c>
      <c r="I534" s="23">
        <v>253</v>
      </c>
      <c r="J534" s="19">
        <f t="shared" si="60"/>
        <v>908716.28</v>
      </c>
      <c r="K534" s="73"/>
      <c r="L534" s="73"/>
      <c r="M534" s="73"/>
      <c r="N534" s="19">
        <f>SUMIF('2020'!B:B,B534,'2020'!C:C)+SUMIF('2021'!B:B,B534,'2021'!C:C)+SUMIF('2022'!B:B,B534,'2022'!C:C)</f>
        <v>908716.28</v>
      </c>
      <c r="O534" s="17">
        <v>44925</v>
      </c>
      <c r="P534" s="5" t="s">
        <v>3728</v>
      </c>
    </row>
    <row r="535" spans="1:16" ht="17.25" customHeight="1" x14ac:dyDescent="0.3">
      <c r="A535" s="169">
        <f t="shared" si="61"/>
        <v>457</v>
      </c>
      <c r="B535" s="21" t="s">
        <v>539</v>
      </c>
      <c r="C535" s="5">
        <v>1969</v>
      </c>
      <c r="D535" s="3"/>
      <c r="E535" s="23" t="s">
        <v>3731</v>
      </c>
      <c r="F535" s="23">
        <v>5</v>
      </c>
      <c r="G535" s="26"/>
      <c r="H535" s="15">
        <v>4979</v>
      </c>
      <c r="I535" s="23">
        <v>204</v>
      </c>
      <c r="J535" s="19">
        <f t="shared" si="60"/>
        <v>944897.66</v>
      </c>
      <c r="K535" s="73"/>
      <c r="L535" s="73"/>
      <c r="M535" s="73"/>
      <c r="N535" s="19">
        <f>SUMIF('2020'!B:B,B535,'2020'!C:C)+SUMIF('2021'!B:B,B535,'2021'!C:C)+SUMIF('2022'!B:B,B535,'2022'!C:C)</f>
        <v>944897.66</v>
      </c>
      <c r="O535" s="17">
        <v>44925</v>
      </c>
      <c r="P535" s="5" t="s">
        <v>3728</v>
      </c>
    </row>
    <row r="536" spans="1:16" ht="17.25" customHeight="1" x14ac:dyDescent="0.3">
      <c r="A536" s="169">
        <f t="shared" si="61"/>
        <v>458</v>
      </c>
      <c r="B536" s="21" t="s">
        <v>540</v>
      </c>
      <c r="C536" s="5">
        <v>1973</v>
      </c>
      <c r="D536" s="3"/>
      <c r="E536" s="23" t="s">
        <v>3731</v>
      </c>
      <c r="F536" s="23">
        <v>5</v>
      </c>
      <c r="G536" s="26"/>
      <c r="H536" s="15" t="s">
        <v>3768</v>
      </c>
      <c r="I536" s="23">
        <v>176</v>
      </c>
      <c r="J536" s="19">
        <f t="shared" si="60"/>
        <v>688202.72</v>
      </c>
      <c r="K536" s="73"/>
      <c r="L536" s="73"/>
      <c r="M536" s="73"/>
      <c r="N536" s="19">
        <f>SUMIF('2020'!B:B,B536,'2020'!C:C)+SUMIF('2021'!B:B,B536,'2021'!C:C)+SUMIF('2022'!B:B,B536,'2022'!C:C)</f>
        <v>688202.72</v>
      </c>
      <c r="O536" s="17">
        <v>44925</v>
      </c>
      <c r="P536" s="5" t="s">
        <v>3728</v>
      </c>
    </row>
    <row r="537" spans="1:16" ht="17.25" customHeight="1" x14ac:dyDescent="0.3">
      <c r="A537" s="169">
        <f t="shared" si="61"/>
        <v>459</v>
      </c>
      <c r="B537" s="21" t="s">
        <v>541</v>
      </c>
      <c r="C537" s="5">
        <v>1965</v>
      </c>
      <c r="D537" s="3"/>
      <c r="E537" s="23" t="s">
        <v>3731</v>
      </c>
      <c r="F537" s="23">
        <v>5</v>
      </c>
      <c r="G537" s="26"/>
      <c r="H537" s="15">
        <v>3878.3</v>
      </c>
      <c r="I537" s="23">
        <v>135</v>
      </c>
      <c r="J537" s="19">
        <f t="shared" si="60"/>
        <v>817473.49000000011</v>
      </c>
      <c r="K537" s="73"/>
      <c r="L537" s="73"/>
      <c r="M537" s="73"/>
      <c r="N537" s="19">
        <f>SUMIF('2020'!B:B,B537,'2020'!C:C)+SUMIF('2021'!B:B,B537,'2021'!C:C)+SUMIF('2022'!B:B,B537,'2022'!C:C)</f>
        <v>817473.49000000011</v>
      </c>
      <c r="O537" s="17">
        <v>44925</v>
      </c>
      <c r="P537" s="5" t="s">
        <v>3728</v>
      </c>
    </row>
    <row r="538" spans="1:16" ht="17.25" customHeight="1" x14ac:dyDescent="0.3">
      <c r="A538" s="169">
        <f t="shared" si="61"/>
        <v>460</v>
      </c>
      <c r="B538" s="21" t="s">
        <v>542</v>
      </c>
      <c r="C538" s="5">
        <v>1975</v>
      </c>
      <c r="D538" s="3"/>
      <c r="E538" s="23" t="s">
        <v>3645</v>
      </c>
      <c r="F538" s="23">
        <v>9</v>
      </c>
      <c r="G538" s="26"/>
      <c r="H538" s="15" t="s">
        <v>3769</v>
      </c>
      <c r="I538" s="23">
        <v>86</v>
      </c>
      <c r="J538" s="19">
        <f t="shared" si="60"/>
        <v>73814.42</v>
      </c>
      <c r="K538" s="73"/>
      <c r="L538" s="73"/>
      <c r="M538" s="73"/>
      <c r="N538" s="19">
        <f>SUMIF('2020'!B:B,B538,'2020'!C:C)+SUMIF('2021'!B:B,B538,'2021'!C:C)+SUMIF('2022'!B:B,B538,'2022'!C:C)</f>
        <v>73814.42</v>
      </c>
      <c r="O538" s="17">
        <v>44925</v>
      </c>
      <c r="P538" s="5" t="s">
        <v>3728</v>
      </c>
    </row>
    <row r="539" spans="1:16" ht="17.25" customHeight="1" x14ac:dyDescent="0.3">
      <c r="A539" s="169">
        <f t="shared" si="61"/>
        <v>461</v>
      </c>
      <c r="B539" s="21" t="s">
        <v>543</v>
      </c>
      <c r="C539" s="5">
        <v>1966</v>
      </c>
      <c r="D539" s="3"/>
      <c r="E539" s="5" t="s">
        <v>3731</v>
      </c>
      <c r="F539" s="4">
        <v>5</v>
      </c>
      <c r="G539" s="26"/>
      <c r="H539" s="15">
        <v>3854.4</v>
      </c>
      <c r="I539" s="3">
        <v>182</v>
      </c>
      <c r="J539" s="19">
        <f t="shared" si="60"/>
        <v>171654.52</v>
      </c>
      <c r="K539" s="73"/>
      <c r="L539" s="73"/>
      <c r="M539" s="73"/>
      <c r="N539" s="19">
        <f>SUMIF('2020'!B:B,B539,'2020'!C:C)+SUMIF('2021'!B:B,B539,'2021'!C:C)+SUMIF('2022'!B:B,B539,'2022'!C:C)</f>
        <v>171654.52</v>
      </c>
      <c r="O539" s="17">
        <v>44925</v>
      </c>
      <c r="P539" s="5" t="s">
        <v>3728</v>
      </c>
    </row>
    <row r="540" spans="1:16" ht="17.25" customHeight="1" x14ac:dyDescent="0.3">
      <c r="A540" s="169">
        <f t="shared" si="61"/>
        <v>462</v>
      </c>
      <c r="B540" s="21" t="s">
        <v>544</v>
      </c>
      <c r="C540" s="5">
        <v>1975</v>
      </c>
      <c r="D540" s="3"/>
      <c r="E540" s="23" t="s">
        <v>3645</v>
      </c>
      <c r="F540" s="23">
        <v>9</v>
      </c>
      <c r="G540" s="26"/>
      <c r="H540" s="15">
        <v>2147.9</v>
      </c>
      <c r="I540" s="23">
        <v>81</v>
      </c>
      <c r="J540" s="19">
        <f t="shared" si="60"/>
        <v>73846.820000000007</v>
      </c>
      <c r="K540" s="73"/>
      <c r="L540" s="73"/>
      <c r="M540" s="73"/>
      <c r="N540" s="19">
        <f>SUMIF('2020'!B:B,B540,'2020'!C:C)+SUMIF('2021'!B:B,B540,'2021'!C:C)+SUMIF('2022'!B:B,B540,'2022'!C:C)</f>
        <v>73846.820000000007</v>
      </c>
      <c r="O540" s="17">
        <v>44925</v>
      </c>
      <c r="P540" s="5" t="s">
        <v>3728</v>
      </c>
    </row>
    <row r="541" spans="1:16" ht="17.25" customHeight="1" x14ac:dyDescent="0.3">
      <c r="A541" s="169">
        <f t="shared" si="61"/>
        <v>463</v>
      </c>
      <c r="B541" s="21" t="s">
        <v>545</v>
      </c>
      <c r="C541" s="5">
        <v>1968</v>
      </c>
      <c r="D541" s="3"/>
      <c r="E541" s="23" t="s">
        <v>3645</v>
      </c>
      <c r="F541" s="23">
        <v>5</v>
      </c>
      <c r="G541" s="26"/>
      <c r="H541" s="15">
        <v>4045.08</v>
      </c>
      <c r="I541" s="23">
        <v>101</v>
      </c>
      <c r="J541" s="19">
        <f t="shared" si="60"/>
        <v>168980.62</v>
      </c>
      <c r="K541" s="73"/>
      <c r="L541" s="73"/>
      <c r="M541" s="73"/>
      <c r="N541" s="19">
        <f>SUMIF('2020'!B:B,B541,'2020'!C:C)+SUMIF('2021'!B:B,B541,'2021'!C:C)+SUMIF('2022'!B:B,B541,'2022'!C:C)</f>
        <v>168980.62</v>
      </c>
      <c r="O541" s="17">
        <v>44925</v>
      </c>
      <c r="P541" s="5" t="s">
        <v>3728</v>
      </c>
    </row>
    <row r="542" spans="1:16" ht="17.25" customHeight="1" x14ac:dyDescent="0.3">
      <c r="A542" s="169">
        <f t="shared" si="61"/>
        <v>464</v>
      </c>
      <c r="B542" s="21" t="s">
        <v>546</v>
      </c>
      <c r="C542" s="5">
        <v>1975</v>
      </c>
      <c r="D542" s="3"/>
      <c r="E542" s="23" t="s">
        <v>3645</v>
      </c>
      <c r="F542" s="23">
        <v>9</v>
      </c>
      <c r="G542" s="26"/>
      <c r="H542" s="15">
        <v>2229.6999999999998</v>
      </c>
      <c r="I542" s="23">
        <v>91</v>
      </c>
      <c r="J542" s="19">
        <f t="shared" si="60"/>
        <v>96492.79</v>
      </c>
      <c r="K542" s="73"/>
      <c r="L542" s="73"/>
      <c r="M542" s="73"/>
      <c r="N542" s="19">
        <f>SUMIF('2020'!B:B,B542,'2020'!C:C)+SUMIF('2021'!B:B,B542,'2021'!C:C)+SUMIF('2022'!B:B,B542,'2022'!C:C)</f>
        <v>96492.79</v>
      </c>
      <c r="O542" s="17">
        <v>44925</v>
      </c>
      <c r="P542" s="5" t="s">
        <v>3728</v>
      </c>
    </row>
    <row r="543" spans="1:16" ht="17.25" customHeight="1" x14ac:dyDescent="0.3">
      <c r="A543" s="169">
        <f t="shared" si="61"/>
        <v>465</v>
      </c>
      <c r="B543" s="21" t="s">
        <v>547</v>
      </c>
      <c r="C543" s="5">
        <v>1987</v>
      </c>
      <c r="D543" s="3"/>
      <c r="E543" s="23" t="s">
        <v>3645</v>
      </c>
      <c r="F543" s="23">
        <v>3</v>
      </c>
      <c r="G543" s="26"/>
      <c r="H543" s="15">
        <v>3514.4</v>
      </c>
      <c r="I543" s="23">
        <v>90</v>
      </c>
      <c r="J543" s="19">
        <f t="shared" si="60"/>
        <v>350637.03</v>
      </c>
      <c r="K543" s="73"/>
      <c r="L543" s="73"/>
      <c r="M543" s="73"/>
      <c r="N543" s="19">
        <f>SUMIF('2020'!B:B,B543,'2020'!C:C)+SUMIF('2021'!B:B,B543,'2021'!C:C)+SUMIF('2022'!B:B,B543,'2022'!C:C)</f>
        <v>350637.03</v>
      </c>
      <c r="O543" s="17">
        <v>44925</v>
      </c>
      <c r="P543" s="5" t="s">
        <v>3728</v>
      </c>
    </row>
    <row r="544" spans="1:16" ht="17.25" customHeight="1" x14ac:dyDescent="0.3">
      <c r="A544" s="169">
        <f t="shared" si="61"/>
        <v>466</v>
      </c>
      <c r="B544" s="21" t="s">
        <v>548</v>
      </c>
      <c r="C544" s="5">
        <v>2000</v>
      </c>
      <c r="D544" s="3"/>
      <c r="E544" s="5" t="s">
        <v>3731</v>
      </c>
      <c r="F544" s="4">
        <v>6</v>
      </c>
      <c r="G544" s="26"/>
      <c r="H544" s="15">
        <v>5037.3</v>
      </c>
      <c r="I544" s="3">
        <v>174</v>
      </c>
      <c r="J544" s="19">
        <f t="shared" si="60"/>
        <v>5703893.2000000002</v>
      </c>
      <c r="K544" s="73"/>
      <c r="L544" s="73"/>
      <c r="M544" s="73"/>
      <c r="N544" s="19">
        <f>SUMIF('2020'!B:B,B544,'2020'!C:C)+SUMIF('2021'!B:B,B544,'2021'!C:C)+SUMIF('2022'!B:B,B544,'2022'!C:C)</f>
        <v>5703893.2000000002</v>
      </c>
      <c r="O544" s="17">
        <v>44925</v>
      </c>
      <c r="P544" s="5" t="s">
        <v>3728</v>
      </c>
    </row>
    <row r="545" spans="1:16" ht="17.25" customHeight="1" x14ac:dyDescent="0.3">
      <c r="A545" s="169">
        <f t="shared" si="61"/>
        <v>467</v>
      </c>
      <c r="B545" s="21" t="s">
        <v>549</v>
      </c>
      <c r="C545" s="5">
        <v>2000</v>
      </c>
      <c r="D545" s="3"/>
      <c r="E545" s="5" t="s">
        <v>3731</v>
      </c>
      <c r="F545" s="4">
        <v>6</v>
      </c>
      <c r="G545" s="26"/>
      <c r="H545" s="15">
        <v>5048.3999999999996</v>
      </c>
      <c r="I545" s="3">
        <v>179</v>
      </c>
      <c r="J545" s="19">
        <f t="shared" si="60"/>
        <v>5464510</v>
      </c>
      <c r="K545" s="73"/>
      <c r="L545" s="73"/>
      <c r="M545" s="73"/>
      <c r="N545" s="19">
        <f>SUMIF('2020'!B:B,B545,'2020'!C:C)+SUMIF('2021'!B:B,B545,'2021'!C:C)+SUMIF('2022'!B:B,B545,'2022'!C:C)</f>
        <v>5464510</v>
      </c>
      <c r="O545" s="17">
        <v>44925</v>
      </c>
      <c r="P545" s="5" t="s">
        <v>3728</v>
      </c>
    </row>
    <row r="546" spans="1:16" ht="17.25" customHeight="1" x14ac:dyDescent="0.3">
      <c r="A546" s="169">
        <f t="shared" si="61"/>
        <v>468</v>
      </c>
      <c r="B546" s="21" t="s">
        <v>550</v>
      </c>
      <c r="C546" s="5">
        <v>1936</v>
      </c>
      <c r="D546" s="3"/>
      <c r="E546" s="23" t="s">
        <v>3645</v>
      </c>
      <c r="F546" s="23">
        <v>4</v>
      </c>
      <c r="G546" s="26"/>
      <c r="H546" s="15">
        <v>2445.8000000000002</v>
      </c>
      <c r="I546" s="23">
        <v>102</v>
      </c>
      <c r="J546" s="19">
        <f t="shared" si="60"/>
        <v>891675.99</v>
      </c>
      <c r="K546" s="73"/>
      <c r="L546" s="73"/>
      <c r="M546" s="73"/>
      <c r="N546" s="19">
        <f>SUMIF('2020'!B:B,B546,'2020'!C:C)+SUMIF('2021'!B:B,B546,'2021'!C:C)+SUMIF('2022'!B:B,B546,'2022'!C:C)</f>
        <v>891675.99</v>
      </c>
      <c r="O546" s="17">
        <v>44925</v>
      </c>
      <c r="P546" s="5" t="s">
        <v>3728</v>
      </c>
    </row>
    <row r="547" spans="1:16" ht="17.25" customHeight="1" x14ac:dyDescent="0.3">
      <c r="A547" s="169">
        <f t="shared" si="61"/>
        <v>469</v>
      </c>
      <c r="B547" s="21" t="s">
        <v>551</v>
      </c>
      <c r="C547" s="5">
        <v>1936</v>
      </c>
      <c r="D547" s="3"/>
      <c r="E547" s="23" t="s">
        <v>3645</v>
      </c>
      <c r="F547" s="23">
        <v>4</v>
      </c>
      <c r="G547" s="26"/>
      <c r="H547" s="15">
        <v>2502.4</v>
      </c>
      <c r="I547" s="23">
        <v>72</v>
      </c>
      <c r="J547" s="19">
        <f t="shared" si="60"/>
        <v>8819404.3900000006</v>
      </c>
      <c r="K547" s="73"/>
      <c r="L547" s="73"/>
      <c r="M547" s="73"/>
      <c r="N547" s="19">
        <f>SUMIF('2020'!B:B,B547,'2020'!C:C)+SUMIF('2021'!B:B,B547,'2021'!C:C)+SUMIF('2022'!B:B,B547,'2022'!C:C)</f>
        <v>8819404.3900000006</v>
      </c>
      <c r="O547" s="17">
        <v>44925</v>
      </c>
      <c r="P547" s="5" t="s">
        <v>3728</v>
      </c>
    </row>
    <row r="548" spans="1:16" ht="17.25" customHeight="1" x14ac:dyDescent="0.3">
      <c r="A548" s="169">
        <f t="shared" si="61"/>
        <v>470</v>
      </c>
      <c r="B548" s="21" t="s">
        <v>552</v>
      </c>
      <c r="C548" s="5">
        <v>1936</v>
      </c>
      <c r="D548" s="3"/>
      <c r="E548" s="23" t="s">
        <v>3645</v>
      </c>
      <c r="F548" s="23">
        <v>4</v>
      </c>
      <c r="G548" s="26"/>
      <c r="H548" s="15" t="s">
        <v>3770</v>
      </c>
      <c r="I548" s="23">
        <v>121</v>
      </c>
      <c r="J548" s="19">
        <f t="shared" si="60"/>
        <v>130000</v>
      </c>
      <c r="K548" s="73"/>
      <c r="L548" s="73"/>
      <c r="M548" s="73"/>
      <c r="N548" s="19">
        <f>SUMIF('2020'!B:B,B548,'2020'!C:C)+SUMIF('2021'!B:B,B548,'2021'!C:C)+SUMIF('2022'!B:B,B548,'2022'!C:C)</f>
        <v>130000</v>
      </c>
      <c r="O548" s="17">
        <v>44925</v>
      </c>
      <c r="P548" s="5" t="s">
        <v>3728</v>
      </c>
    </row>
    <row r="549" spans="1:16" ht="17.25" customHeight="1" x14ac:dyDescent="0.3">
      <c r="A549" s="169">
        <f t="shared" si="61"/>
        <v>471</v>
      </c>
      <c r="B549" s="21" t="s">
        <v>553</v>
      </c>
      <c r="C549" s="5">
        <v>1971</v>
      </c>
      <c r="D549" s="3"/>
      <c r="E549" s="5" t="s">
        <v>3731</v>
      </c>
      <c r="F549" s="23">
        <v>5</v>
      </c>
      <c r="G549" s="26"/>
      <c r="H549" s="15">
        <v>4909</v>
      </c>
      <c r="I549" s="23">
        <v>205</v>
      </c>
      <c r="J549" s="19">
        <f t="shared" si="60"/>
        <v>1697831.23</v>
      </c>
      <c r="K549" s="73"/>
      <c r="L549" s="73"/>
      <c r="M549" s="73"/>
      <c r="N549" s="19">
        <f>SUMIF('2020'!B:B,B549,'2020'!C:C)+SUMIF('2021'!B:B,B549,'2021'!C:C)+SUMIF('2022'!B:B,B549,'2022'!C:C)</f>
        <v>1697831.23</v>
      </c>
      <c r="O549" s="17">
        <v>44925</v>
      </c>
      <c r="P549" s="5" t="s">
        <v>3728</v>
      </c>
    </row>
    <row r="550" spans="1:16" ht="17.25" customHeight="1" x14ac:dyDescent="0.3">
      <c r="A550" s="169">
        <f t="shared" si="61"/>
        <v>472</v>
      </c>
      <c r="B550" s="21" t="s">
        <v>554</v>
      </c>
      <c r="C550" s="5">
        <v>1954</v>
      </c>
      <c r="D550" s="3"/>
      <c r="E550" s="23" t="s">
        <v>3645</v>
      </c>
      <c r="F550" s="23">
        <v>4</v>
      </c>
      <c r="G550" s="26"/>
      <c r="H550" s="15" t="s">
        <v>3771</v>
      </c>
      <c r="I550" s="23">
        <v>72</v>
      </c>
      <c r="J550" s="19">
        <f t="shared" si="60"/>
        <v>708072.39</v>
      </c>
      <c r="K550" s="73"/>
      <c r="L550" s="73"/>
      <c r="M550" s="73"/>
      <c r="N550" s="19">
        <f>SUMIF('2020'!B:B,B550,'2020'!C:C)+SUMIF('2021'!B:B,B550,'2021'!C:C)+SUMIF('2022'!B:B,B550,'2022'!C:C)</f>
        <v>708072.39</v>
      </c>
      <c r="O550" s="17">
        <v>44925</v>
      </c>
      <c r="P550" s="5" t="s">
        <v>3728</v>
      </c>
    </row>
    <row r="551" spans="1:16" ht="17.25" customHeight="1" x14ac:dyDescent="0.3">
      <c r="A551" s="169">
        <f t="shared" si="61"/>
        <v>473</v>
      </c>
      <c r="B551" s="21" t="s">
        <v>555</v>
      </c>
      <c r="C551" s="5">
        <v>1954</v>
      </c>
      <c r="D551" s="3"/>
      <c r="E551" s="23" t="s">
        <v>3645</v>
      </c>
      <c r="F551" s="23">
        <v>4</v>
      </c>
      <c r="G551" s="26"/>
      <c r="H551" s="15">
        <v>2059.4</v>
      </c>
      <c r="I551" s="23">
        <v>76</v>
      </c>
      <c r="J551" s="19">
        <f t="shared" si="60"/>
        <v>176601.82</v>
      </c>
      <c r="K551" s="73"/>
      <c r="L551" s="73"/>
      <c r="M551" s="73"/>
      <c r="N551" s="19">
        <f>SUMIF('2020'!B:B,B551,'2020'!C:C)+SUMIF('2021'!B:B,B551,'2021'!C:C)+SUMIF('2022'!B:B,B551,'2022'!C:C)</f>
        <v>176601.82</v>
      </c>
      <c r="O551" s="17">
        <v>44925</v>
      </c>
      <c r="P551" s="5" t="s">
        <v>3728</v>
      </c>
    </row>
    <row r="552" spans="1:16" ht="17.25" customHeight="1" x14ac:dyDescent="0.3">
      <c r="A552" s="169">
        <f t="shared" si="61"/>
        <v>474</v>
      </c>
      <c r="B552" s="21" t="s">
        <v>556</v>
      </c>
      <c r="C552" s="5">
        <v>1954</v>
      </c>
      <c r="D552" s="3"/>
      <c r="E552" s="23" t="s">
        <v>3645</v>
      </c>
      <c r="F552" s="4">
        <v>4</v>
      </c>
      <c r="G552" s="26"/>
      <c r="H552" s="15">
        <v>2492.9</v>
      </c>
      <c r="I552" s="3">
        <v>115</v>
      </c>
      <c r="J552" s="19">
        <f t="shared" si="60"/>
        <v>130000</v>
      </c>
      <c r="K552" s="73"/>
      <c r="L552" s="73"/>
      <c r="M552" s="73"/>
      <c r="N552" s="19">
        <f>SUMIF('2020'!B:B,B552,'2020'!C:C)+SUMIF('2021'!B:B,B552,'2021'!C:C)+SUMIF('2022'!B:B,B552,'2022'!C:C)</f>
        <v>130000</v>
      </c>
      <c r="O552" s="17">
        <v>44925</v>
      </c>
      <c r="P552" s="5" t="s">
        <v>3728</v>
      </c>
    </row>
    <row r="553" spans="1:16" ht="17.25" customHeight="1" x14ac:dyDescent="0.3">
      <c r="A553" s="169">
        <f t="shared" si="61"/>
        <v>475</v>
      </c>
      <c r="B553" s="21" t="s">
        <v>557</v>
      </c>
      <c r="C553" s="5">
        <v>1981</v>
      </c>
      <c r="D553" s="3"/>
      <c r="E553" s="23" t="s">
        <v>3645</v>
      </c>
      <c r="F553" s="23">
        <v>5</v>
      </c>
      <c r="G553" s="26"/>
      <c r="H553" s="15">
        <v>2997</v>
      </c>
      <c r="I553" s="23">
        <v>143</v>
      </c>
      <c r="J553" s="19">
        <f t="shared" si="60"/>
        <v>18231916.120000001</v>
      </c>
      <c r="K553" s="73"/>
      <c r="L553" s="73"/>
      <c r="M553" s="73"/>
      <c r="N553" s="19">
        <f>SUMIF('2020'!B:B,B553,'2020'!C:C)+SUMIF('2021'!B:B,B553,'2021'!C:C)+SUMIF('2022'!B:B,B553,'2022'!C:C)</f>
        <v>18231916.120000001</v>
      </c>
      <c r="O553" s="17">
        <v>44925</v>
      </c>
      <c r="P553" s="5" t="s">
        <v>3728</v>
      </c>
    </row>
    <row r="554" spans="1:16" ht="17.25" customHeight="1" x14ac:dyDescent="0.3">
      <c r="A554" s="169">
        <f t="shared" si="61"/>
        <v>476</v>
      </c>
      <c r="B554" s="21" t="s">
        <v>558</v>
      </c>
      <c r="C554" s="5">
        <v>1986</v>
      </c>
      <c r="D554" s="3"/>
      <c r="E554" s="23" t="s">
        <v>3645</v>
      </c>
      <c r="F554" s="23">
        <v>5</v>
      </c>
      <c r="G554" s="26"/>
      <c r="H554" s="15">
        <v>2985.7</v>
      </c>
      <c r="I554" s="23">
        <v>164</v>
      </c>
      <c r="J554" s="19">
        <f t="shared" si="60"/>
        <v>351783.92</v>
      </c>
      <c r="K554" s="73"/>
      <c r="L554" s="73"/>
      <c r="M554" s="73"/>
      <c r="N554" s="19">
        <f>SUMIF('2020'!B:B,B554,'2020'!C:C)+SUMIF('2021'!B:B,B554,'2021'!C:C)+SUMIF('2022'!B:B,B554,'2022'!C:C)</f>
        <v>351783.92</v>
      </c>
      <c r="O554" s="17">
        <v>44925</v>
      </c>
      <c r="P554" s="5" t="s">
        <v>3728</v>
      </c>
    </row>
    <row r="555" spans="1:16" ht="17.25" customHeight="1" x14ac:dyDescent="0.3">
      <c r="A555" s="169">
        <f t="shared" si="61"/>
        <v>477</v>
      </c>
      <c r="B555" s="21" t="s">
        <v>559</v>
      </c>
      <c r="C555" s="5">
        <v>1992</v>
      </c>
      <c r="D555" s="3"/>
      <c r="E555" s="23" t="s">
        <v>3645</v>
      </c>
      <c r="F555" s="23">
        <v>5</v>
      </c>
      <c r="G555" s="26"/>
      <c r="H555" s="15">
        <v>3128.8</v>
      </c>
      <c r="I555" s="23">
        <v>78</v>
      </c>
      <c r="J555" s="19">
        <f t="shared" si="60"/>
        <v>175448.34</v>
      </c>
      <c r="K555" s="73"/>
      <c r="L555" s="73"/>
      <c r="M555" s="73"/>
      <c r="N555" s="19">
        <f>SUMIF('2020'!B:B,B555,'2020'!C:C)+SUMIF('2021'!B:B,B555,'2021'!C:C)+SUMIF('2022'!B:B,B555,'2022'!C:C)</f>
        <v>175448.34</v>
      </c>
      <c r="O555" s="17">
        <v>44925</v>
      </c>
      <c r="P555" s="5" t="s">
        <v>3728</v>
      </c>
    </row>
    <row r="556" spans="1:16" ht="17.25" customHeight="1" x14ac:dyDescent="0.3">
      <c r="A556" s="169">
        <f t="shared" si="61"/>
        <v>478</v>
      </c>
      <c r="B556" s="21" t="s">
        <v>560</v>
      </c>
      <c r="C556" s="5">
        <v>1971</v>
      </c>
      <c r="D556" s="3"/>
      <c r="E556" s="23" t="s">
        <v>3731</v>
      </c>
      <c r="F556" s="23">
        <v>5</v>
      </c>
      <c r="G556" s="26"/>
      <c r="H556" s="15">
        <v>4844</v>
      </c>
      <c r="I556" s="23">
        <v>229</v>
      </c>
      <c r="J556" s="19">
        <f t="shared" si="60"/>
        <v>233166.07</v>
      </c>
      <c r="K556" s="73"/>
      <c r="L556" s="73"/>
      <c r="M556" s="73"/>
      <c r="N556" s="19">
        <f>SUMIF('2020'!B:B,B556,'2020'!C:C)+SUMIF('2021'!B:B,B556,'2021'!C:C)+SUMIF('2022'!B:B,B556,'2022'!C:C)</f>
        <v>233166.07</v>
      </c>
      <c r="O556" s="17">
        <v>44925</v>
      </c>
      <c r="P556" s="5" t="s">
        <v>3728</v>
      </c>
    </row>
    <row r="557" spans="1:16" ht="17.25" customHeight="1" x14ac:dyDescent="0.3">
      <c r="A557" s="169">
        <f t="shared" si="61"/>
        <v>479</v>
      </c>
      <c r="B557" s="21" t="s">
        <v>561</v>
      </c>
      <c r="C557" s="5">
        <v>1975</v>
      </c>
      <c r="D557" s="3"/>
      <c r="E557" s="23" t="s">
        <v>3731</v>
      </c>
      <c r="F557" s="23">
        <v>5</v>
      </c>
      <c r="G557" s="26"/>
      <c r="H557" s="15">
        <v>4120.2</v>
      </c>
      <c r="I557" s="23">
        <v>199</v>
      </c>
      <c r="J557" s="19">
        <f t="shared" si="60"/>
        <v>383679</v>
      </c>
      <c r="K557" s="73"/>
      <c r="L557" s="73"/>
      <c r="M557" s="73"/>
      <c r="N557" s="19">
        <f>SUMIF('2020'!B:B,B557,'2020'!C:C)+SUMIF('2021'!B:B,B557,'2021'!C:C)+SUMIF('2022'!B:B,B557,'2022'!C:C)</f>
        <v>383679</v>
      </c>
      <c r="O557" s="17">
        <v>44925</v>
      </c>
      <c r="P557" s="5" t="s">
        <v>3728</v>
      </c>
    </row>
    <row r="558" spans="1:16" ht="17.25" customHeight="1" x14ac:dyDescent="0.3">
      <c r="A558" s="169">
        <f t="shared" si="61"/>
        <v>480</v>
      </c>
      <c r="B558" s="21" t="s">
        <v>562</v>
      </c>
      <c r="C558" s="5">
        <v>1976</v>
      </c>
      <c r="D558" s="3"/>
      <c r="E558" s="101" t="s">
        <v>3731</v>
      </c>
      <c r="F558" s="101">
        <v>5</v>
      </c>
      <c r="G558" s="26"/>
      <c r="H558" s="15">
        <v>4126.5</v>
      </c>
      <c r="I558" s="101">
        <v>175</v>
      </c>
      <c r="J558" s="19">
        <f t="shared" si="60"/>
        <v>384552.83</v>
      </c>
      <c r="K558" s="73"/>
      <c r="L558" s="73"/>
      <c r="M558" s="73"/>
      <c r="N558" s="19">
        <f>SUMIF('2020'!B:B,B558,'2020'!C:C)+SUMIF('2021'!B:B,B558,'2021'!C:C)+SUMIF('2022'!B:B,B558,'2022'!C:C)</f>
        <v>384552.83</v>
      </c>
      <c r="O558" s="17">
        <v>44925</v>
      </c>
      <c r="P558" s="5" t="s">
        <v>3728</v>
      </c>
    </row>
    <row r="559" spans="1:16" ht="17.25" customHeight="1" x14ac:dyDescent="0.3">
      <c r="A559" s="169">
        <f t="shared" si="61"/>
        <v>481</v>
      </c>
      <c r="B559" s="21" t="s">
        <v>563</v>
      </c>
      <c r="C559" s="5">
        <v>1993</v>
      </c>
      <c r="D559" s="3"/>
      <c r="E559" s="23" t="s">
        <v>3729</v>
      </c>
      <c r="F559" s="23">
        <v>10</v>
      </c>
      <c r="G559" s="26"/>
      <c r="H559" s="15">
        <v>7764.7</v>
      </c>
      <c r="I559" s="23">
        <v>296</v>
      </c>
      <c r="J559" s="19">
        <f t="shared" si="60"/>
        <v>8864768.4000000004</v>
      </c>
      <c r="K559" s="73"/>
      <c r="L559" s="73"/>
      <c r="M559" s="73"/>
      <c r="N559" s="19">
        <f>SUMIF('2020'!B:B,B559,'2020'!C:C)+SUMIF('2021'!B:B,B559,'2021'!C:C)+SUMIF('2022'!B:B,B559,'2022'!C:C)</f>
        <v>8864768.4000000004</v>
      </c>
      <c r="O559" s="17">
        <v>44925</v>
      </c>
      <c r="P559" s="5" t="s">
        <v>3728</v>
      </c>
    </row>
    <row r="560" spans="1:16" ht="17.25" customHeight="1" x14ac:dyDescent="0.3">
      <c r="A560" s="169">
        <f t="shared" si="61"/>
        <v>482</v>
      </c>
      <c r="B560" s="21" t="s">
        <v>564</v>
      </c>
      <c r="C560" s="5">
        <v>1971</v>
      </c>
      <c r="D560" s="3"/>
      <c r="E560" s="23" t="s">
        <v>3731</v>
      </c>
      <c r="F560" s="23">
        <v>5</v>
      </c>
      <c r="G560" s="26"/>
      <c r="H560" s="15">
        <v>6004.2</v>
      </c>
      <c r="I560" s="23">
        <v>272</v>
      </c>
      <c r="J560" s="19">
        <f t="shared" si="60"/>
        <v>280663.42</v>
      </c>
      <c r="K560" s="73"/>
      <c r="L560" s="73"/>
      <c r="M560" s="73"/>
      <c r="N560" s="19">
        <f>SUMIF('2020'!B:B,B560,'2020'!C:C)+SUMIF('2021'!B:B,B560,'2021'!C:C)+SUMIF('2022'!B:B,B560,'2022'!C:C)</f>
        <v>280663.42</v>
      </c>
      <c r="O560" s="17">
        <v>44925</v>
      </c>
      <c r="P560" s="5" t="s">
        <v>3728</v>
      </c>
    </row>
    <row r="561" spans="1:16" ht="17.25" customHeight="1" x14ac:dyDescent="0.3">
      <c r="A561" s="169">
        <f t="shared" si="61"/>
        <v>483</v>
      </c>
      <c r="B561" s="21" t="s">
        <v>565</v>
      </c>
      <c r="C561" s="5">
        <v>1960</v>
      </c>
      <c r="D561" s="3"/>
      <c r="E561" s="23" t="s">
        <v>3645</v>
      </c>
      <c r="F561" s="23">
        <v>2</v>
      </c>
      <c r="G561" s="26"/>
      <c r="H561" s="15" t="s">
        <v>3772</v>
      </c>
      <c r="I561" s="23">
        <v>32</v>
      </c>
      <c r="J561" s="19">
        <f t="shared" si="60"/>
        <v>4524783.5600000005</v>
      </c>
      <c r="K561" s="73"/>
      <c r="L561" s="73"/>
      <c r="M561" s="73"/>
      <c r="N561" s="19">
        <f>SUMIF('2020'!B:B,B561,'2020'!C:C)+SUMIF('2021'!B:B,B561,'2021'!C:C)+SUMIF('2022'!B:B,B561,'2022'!C:C)</f>
        <v>4524783.5600000005</v>
      </c>
      <c r="O561" s="17">
        <v>44925</v>
      </c>
      <c r="P561" s="5" t="s">
        <v>3728</v>
      </c>
    </row>
    <row r="562" spans="1:16" ht="17.25" customHeight="1" x14ac:dyDescent="0.3">
      <c r="A562" s="169">
        <f t="shared" si="61"/>
        <v>484</v>
      </c>
      <c r="B562" s="21" t="s">
        <v>566</v>
      </c>
      <c r="C562" s="5">
        <v>1960</v>
      </c>
      <c r="D562" s="3"/>
      <c r="E562" s="23" t="s">
        <v>3645</v>
      </c>
      <c r="F562" s="23">
        <v>2</v>
      </c>
      <c r="G562" s="26"/>
      <c r="H562" s="15" t="s">
        <v>3773</v>
      </c>
      <c r="I562" s="23">
        <v>35</v>
      </c>
      <c r="J562" s="19">
        <f t="shared" si="60"/>
        <v>336215.96</v>
      </c>
      <c r="K562" s="73"/>
      <c r="L562" s="73"/>
      <c r="M562" s="73"/>
      <c r="N562" s="19">
        <f>SUMIF('2020'!B:B,B562,'2020'!C:C)+SUMIF('2021'!B:B,B562,'2021'!C:C)+SUMIF('2022'!B:B,B562,'2022'!C:C)</f>
        <v>336215.96</v>
      </c>
      <c r="O562" s="17">
        <v>44925</v>
      </c>
      <c r="P562" s="5" t="s">
        <v>3728</v>
      </c>
    </row>
    <row r="563" spans="1:16" ht="17.25" customHeight="1" x14ac:dyDescent="0.3">
      <c r="A563" s="169">
        <f t="shared" si="61"/>
        <v>485</v>
      </c>
      <c r="B563" s="21" t="s">
        <v>567</v>
      </c>
      <c r="C563" s="5">
        <v>1956</v>
      </c>
      <c r="D563" s="3"/>
      <c r="E563" s="23" t="s">
        <v>3645</v>
      </c>
      <c r="F563" s="23">
        <v>2</v>
      </c>
      <c r="G563" s="26"/>
      <c r="H563" s="15">
        <v>495.95</v>
      </c>
      <c r="I563" s="23">
        <v>11</v>
      </c>
      <c r="J563" s="19">
        <f t="shared" si="60"/>
        <v>4245194.7699999996</v>
      </c>
      <c r="K563" s="73"/>
      <c r="L563" s="73"/>
      <c r="M563" s="73"/>
      <c r="N563" s="19">
        <f>SUMIF('2020'!B:B,B563,'2020'!C:C)+SUMIF('2021'!B:B,B563,'2021'!C:C)+SUMIF('2022'!B:B,B563,'2022'!C:C)</f>
        <v>4245194.7699999996</v>
      </c>
      <c r="O563" s="17">
        <v>44925</v>
      </c>
      <c r="P563" s="5" t="s">
        <v>3728</v>
      </c>
    </row>
    <row r="564" spans="1:16" ht="17.25" customHeight="1" x14ac:dyDescent="0.3">
      <c r="A564" s="169">
        <f t="shared" si="61"/>
        <v>486</v>
      </c>
      <c r="B564" s="21" t="s">
        <v>568</v>
      </c>
      <c r="C564" s="5">
        <v>1964</v>
      </c>
      <c r="D564" s="3"/>
      <c r="E564" s="23" t="s">
        <v>3645</v>
      </c>
      <c r="F564" s="23">
        <v>2</v>
      </c>
      <c r="G564" s="26"/>
      <c r="H564" s="15">
        <v>510.1</v>
      </c>
      <c r="I564" s="23">
        <v>41</v>
      </c>
      <c r="J564" s="19">
        <f t="shared" si="60"/>
        <v>4598811.05</v>
      </c>
      <c r="K564" s="73"/>
      <c r="L564" s="73"/>
      <c r="M564" s="73"/>
      <c r="N564" s="19">
        <f>SUMIF('2020'!B:B,B564,'2020'!C:C)+SUMIF('2021'!B:B,B564,'2021'!C:C)+SUMIF('2022'!B:B,B564,'2022'!C:C)</f>
        <v>4598811.05</v>
      </c>
      <c r="O564" s="17">
        <v>44925</v>
      </c>
      <c r="P564" s="5" t="s">
        <v>3728</v>
      </c>
    </row>
    <row r="565" spans="1:16" ht="17.25" customHeight="1" x14ac:dyDescent="0.3">
      <c r="A565" s="169">
        <f t="shared" si="61"/>
        <v>487</v>
      </c>
      <c r="B565" s="21" t="s">
        <v>569</v>
      </c>
      <c r="C565" s="5">
        <v>1938</v>
      </c>
      <c r="D565" s="3"/>
      <c r="E565" s="23" t="s">
        <v>3645</v>
      </c>
      <c r="F565" s="23">
        <v>1</v>
      </c>
      <c r="G565" s="26"/>
      <c r="H565" s="15">
        <v>303.39999999999998</v>
      </c>
      <c r="I565" s="23">
        <v>17</v>
      </c>
      <c r="J565" s="19">
        <f t="shared" si="60"/>
        <v>409251.32</v>
      </c>
      <c r="K565" s="73"/>
      <c r="L565" s="73"/>
      <c r="M565" s="73"/>
      <c r="N565" s="19">
        <f>SUMIF('2020'!B:B,B565,'2020'!C:C)+SUMIF('2021'!B:B,B565,'2021'!C:C)+SUMIF('2022'!B:B,B565,'2022'!C:C)</f>
        <v>409251.32</v>
      </c>
      <c r="O565" s="17">
        <v>44925</v>
      </c>
      <c r="P565" s="5" t="s">
        <v>3728</v>
      </c>
    </row>
    <row r="566" spans="1:16" ht="17.25" customHeight="1" x14ac:dyDescent="0.3">
      <c r="A566" s="210" t="s">
        <v>211</v>
      </c>
      <c r="B566" s="21"/>
      <c r="C566" s="3"/>
      <c r="D566" s="3"/>
      <c r="E566" s="3"/>
      <c r="F566" s="3"/>
      <c r="G566" s="26"/>
      <c r="H566" s="73">
        <f t="shared" ref="H566:M566" si="62">SUM(H515:H565)</f>
        <v>135769.03</v>
      </c>
      <c r="I566" s="73">
        <f t="shared" si="62"/>
        <v>5981</v>
      </c>
      <c r="J566" s="73">
        <f t="shared" si="62"/>
        <v>133770725.37999998</v>
      </c>
      <c r="K566" s="73">
        <f t="shared" si="62"/>
        <v>0</v>
      </c>
      <c r="L566" s="73">
        <f t="shared" si="62"/>
        <v>0</v>
      </c>
      <c r="M566" s="73">
        <f t="shared" si="62"/>
        <v>0</v>
      </c>
      <c r="N566" s="73">
        <f>SUM(N515:N565)</f>
        <v>133770725.37999998</v>
      </c>
      <c r="O566" s="3"/>
      <c r="P566" s="3"/>
    </row>
    <row r="567" spans="1:16" ht="17.25" customHeight="1" x14ac:dyDescent="0.3">
      <c r="A567" s="210" t="s">
        <v>570</v>
      </c>
      <c r="B567" s="21"/>
      <c r="C567" s="3"/>
      <c r="D567" s="3"/>
      <c r="E567" s="3"/>
      <c r="F567" s="3"/>
      <c r="G567" s="26"/>
      <c r="H567" s="3"/>
      <c r="I567" s="3"/>
      <c r="J567" s="73"/>
      <c r="K567" s="73"/>
      <c r="L567" s="73"/>
      <c r="M567" s="73"/>
      <c r="N567" s="73"/>
      <c r="O567" s="3"/>
      <c r="P567" s="3"/>
    </row>
    <row r="568" spans="1:16" ht="17.25" customHeight="1" x14ac:dyDescent="0.3">
      <c r="A568" s="169">
        <f>A565+1</f>
        <v>488</v>
      </c>
      <c r="B568" s="21" t="s">
        <v>571</v>
      </c>
      <c r="C568" s="5">
        <v>1959</v>
      </c>
      <c r="D568" s="23"/>
      <c r="E568" s="23" t="s">
        <v>3645</v>
      </c>
      <c r="F568" s="23">
        <v>4</v>
      </c>
      <c r="G568" s="102"/>
      <c r="H568" s="23">
        <v>2714.25</v>
      </c>
      <c r="I568" s="23">
        <v>54</v>
      </c>
      <c r="J568" s="19">
        <f t="shared" ref="J568:J594" si="63">K568+L568+M568+N568</f>
        <v>161782.78</v>
      </c>
      <c r="K568" s="103"/>
      <c r="L568" s="103"/>
      <c r="M568" s="103"/>
      <c r="N568" s="19">
        <f>SUMIF('2020'!B:B,B568,'2020'!C:C)+SUMIF('2021'!B:B,B568,'2021'!C:C)+SUMIF('2022'!B:B,B568,'2022'!C:C)</f>
        <v>161782.78</v>
      </c>
      <c r="O568" s="17">
        <v>44925</v>
      </c>
      <c r="P568" s="5" t="s">
        <v>3728</v>
      </c>
    </row>
    <row r="569" spans="1:16" ht="17.25" customHeight="1" x14ac:dyDescent="0.3">
      <c r="A569" s="169">
        <f t="shared" si="61"/>
        <v>489</v>
      </c>
      <c r="B569" s="21" t="s">
        <v>572</v>
      </c>
      <c r="C569" s="5">
        <v>1959</v>
      </c>
      <c r="D569" s="23"/>
      <c r="E569" s="23" t="s">
        <v>3645</v>
      </c>
      <c r="F569" s="23">
        <v>2</v>
      </c>
      <c r="G569" s="102"/>
      <c r="H569" s="23">
        <v>714.6</v>
      </c>
      <c r="I569" s="23">
        <v>33</v>
      </c>
      <c r="J569" s="19">
        <f t="shared" si="63"/>
        <v>586827.06999999995</v>
      </c>
      <c r="K569" s="103"/>
      <c r="L569" s="103"/>
      <c r="M569" s="103"/>
      <c r="N569" s="19">
        <f>SUMIF('2020'!B:B,B569,'2020'!C:C)+SUMIF('2021'!B:B,B569,'2021'!C:C)+SUMIF('2022'!B:B,B569,'2022'!C:C)</f>
        <v>586827.06999999995</v>
      </c>
      <c r="O569" s="17">
        <v>44925</v>
      </c>
      <c r="P569" s="5" t="s">
        <v>3728</v>
      </c>
    </row>
    <row r="570" spans="1:16" ht="17.25" customHeight="1" x14ac:dyDescent="0.3">
      <c r="A570" s="169">
        <f t="shared" si="61"/>
        <v>490</v>
      </c>
      <c r="B570" s="21" t="s">
        <v>573</v>
      </c>
      <c r="C570" s="5">
        <v>1959</v>
      </c>
      <c r="D570" s="23"/>
      <c r="E570" s="23" t="s">
        <v>3645</v>
      </c>
      <c r="F570" s="23">
        <v>2</v>
      </c>
      <c r="G570" s="102"/>
      <c r="H570" s="23">
        <v>701</v>
      </c>
      <c r="I570" s="23">
        <v>16</v>
      </c>
      <c r="J570" s="19">
        <f t="shared" si="63"/>
        <v>587391.91999999993</v>
      </c>
      <c r="K570" s="103"/>
      <c r="L570" s="103"/>
      <c r="M570" s="103"/>
      <c r="N570" s="19">
        <f>SUMIF('2020'!B:B,B570,'2020'!C:C)+SUMIF('2021'!B:B,B570,'2021'!C:C)+SUMIF('2022'!B:B,B570,'2022'!C:C)</f>
        <v>587391.91999999993</v>
      </c>
      <c r="O570" s="17">
        <v>44925</v>
      </c>
      <c r="P570" s="5" t="s">
        <v>3728</v>
      </c>
    </row>
    <row r="571" spans="1:16" ht="17.25" customHeight="1" x14ac:dyDescent="0.3">
      <c r="A571" s="169">
        <f t="shared" si="61"/>
        <v>491</v>
      </c>
      <c r="B571" s="21" t="s">
        <v>574</v>
      </c>
      <c r="C571" s="5">
        <v>1959</v>
      </c>
      <c r="D571" s="23"/>
      <c r="E571" s="23" t="s">
        <v>3645</v>
      </c>
      <c r="F571" s="23">
        <v>2</v>
      </c>
      <c r="G571" s="102"/>
      <c r="H571" s="23">
        <v>700.2</v>
      </c>
      <c r="I571" s="23">
        <v>21</v>
      </c>
      <c r="J571" s="19">
        <f t="shared" si="63"/>
        <v>706480.41</v>
      </c>
      <c r="K571" s="103"/>
      <c r="L571" s="103"/>
      <c r="M571" s="103"/>
      <c r="N571" s="19">
        <f>SUMIF('2020'!B:B,B571,'2020'!C:C)+SUMIF('2021'!B:B,B571,'2021'!C:C)+SUMIF('2022'!B:B,B571,'2022'!C:C)</f>
        <v>706480.41</v>
      </c>
      <c r="O571" s="17">
        <v>44925</v>
      </c>
      <c r="P571" s="5" t="s">
        <v>3728</v>
      </c>
    </row>
    <row r="572" spans="1:16" ht="17.25" customHeight="1" x14ac:dyDescent="0.3">
      <c r="A572" s="169">
        <f t="shared" si="61"/>
        <v>492</v>
      </c>
      <c r="B572" s="21" t="s">
        <v>575</v>
      </c>
      <c r="C572" s="5">
        <v>1959</v>
      </c>
      <c r="D572" s="23"/>
      <c r="E572" s="23" t="s">
        <v>3645</v>
      </c>
      <c r="F572" s="23">
        <v>2</v>
      </c>
      <c r="G572" s="102"/>
      <c r="H572" s="23">
        <v>699.3</v>
      </c>
      <c r="I572" s="23">
        <v>17</v>
      </c>
      <c r="J572" s="19">
        <f t="shared" si="63"/>
        <v>706480.41</v>
      </c>
      <c r="K572" s="103"/>
      <c r="L572" s="103"/>
      <c r="M572" s="103"/>
      <c r="N572" s="19">
        <f>SUMIF('2020'!B:B,B572,'2020'!C:C)+SUMIF('2021'!B:B,B572,'2021'!C:C)+SUMIF('2022'!B:B,B572,'2022'!C:C)</f>
        <v>706480.41</v>
      </c>
      <c r="O572" s="17">
        <v>44925</v>
      </c>
      <c r="P572" s="5" t="s">
        <v>3728</v>
      </c>
    </row>
    <row r="573" spans="1:16" ht="17.25" customHeight="1" x14ac:dyDescent="0.3">
      <c r="A573" s="169">
        <f t="shared" si="61"/>
        <v>493</v>
      </c>
      <c r="B573" s="21" t="s">
        <v>576</v>
      </c>
      <c r="C573" s="5">
        <v>1963</v>
      </c>
      <c r="D573" s="23"/>
      <c r="E573" s="23" t="s">
        <v>3645</v>
      </c>
      <c r="F573" s="23">
        <v>3</v>
      </c>
      <c r="G573" s="102"/>
      <c r="H573" s="23">
        <v>1068.4000000000001</v>
      </c>
      <c r="I573" s="23">
        <v>26</v>
      </c>
      <c r="J573" s="19">
        <f t="shared" si="63"/>
        <v>197855.65</v>
      </c>
      <c r="K573" s="103"/>
      <c r="L573" s="103"/>
      <c r="M573" s="103"/>
      <c r="N573" s="19">
        <f>SUMIF('2020'!B:B,B573,'2020'!C:C)+SUMIF('2021'!B:B,B573,'2021'!C:C)+SUMIF('2022'!B:B,B573,'2022'!C:C)</f>
        <v>197855.65</v>
      </c>
      <c r="O573" s="17">
        <v>44925</v>
      </c>
      <c r="P573" s="5" t="s">
        <v>3728</v>
      </c>
    </row>
    <row r="574" spans="1:16" ht="17.25" customHeight="1" x14ac:dyDescent="0.3">
      <c r="A574" s="169">
        <f t="shared" si="61"/>
        <v>494</v>
      </c>
      <c r="B574" s="21" t="s">
        <v>577</v>
      </c>
      <c r="C574" s="5">
        <v>1966</v>
      </c>
      <c r="D574" s="23"/>
      <c r="E574" s="23" t="s">
        <v>3729</v>
      </c>
      <c r="F574" s="23">
        <v>5</v>
      </c>
      <c r="G574" s="102"/>
      <c r="H574" s="23">
        <v>1809.5</v>
      </c>
      <c r="I574" s="23">
        <v>42</v>
      </c>
      <c r="J574" s="19">
        <f t="shared" si="63"/>
        <v>132160.5</v>
      </c>
      <c r="K574" s="103"/>
      <c r="L574" s="103"/>
      <c r="M574" s="103"/>
      <c r="N574" s="19">
        <f>SUMIF('2020'!B:B,B574,'2020'!C:C)+SUMIF('2021'!B:B,B574,'2021'!C:C)+SUMIF('2022'!B:B,B574,'2022'!C:C)</f>
        <v>132160.5</v>
      </c>
      <c r="O574" s="17">
        <v>44925</v>
      </c>
      <c r="P574" s="5" t="s">
        <v>3728</v>
      </c>
    </row>
    <row r="575" spans="1:16" ht="17.25" customHeight="1" x14ac:dyDescent="0.3">
      <c r="A575" s="169">
        <f t="shared" si="61"/>
        <v>495</v>
      </c>
      <c r="B575" s="21" t="s">
        <v>578</v>
      </c>
      <c r="C575" s="5">
        <v>1967</v>
      </c>
      <c r="D575" s="23"/>
      <c r="E575" s="23" t="s">
        <v>3729</v>
      </c>
      <c r="F575" s="23">
        <v>5</v>
      </c>
      <c r="G575" s="102"/>
      <c r="H575" s="23">
        <v>1810.9</v>
      </c>
      <c r="I575" s="23">
        <v>50</v>
      </c>
      <c r="J575" s="19">
        <f t="shared" si="63"/>
        <v>316174.2</v>
      </c>
      <c r="K575" s="103"/>
      <c r="L575" s="103"/>
      <c r="M575" s="103"/>
      <c r="N575" s="19">
        <f>SUMIF('2020'!B:B,B575,'2020'!C:C)+SUMIF('2021'!B:B,B575,'2021'!C:C)+SUMIF('2022'!B:B,B575,'2022'!C:C)</f>
        <v>316174.2</v>
      </c>
      <c r="O575" s="17">
        <v>44925</v>
      </c>
      <c r="P575" s="5" t="s">
        <v>3728</v>
      </c>
    </row>
    <row r="576" spans="1:16" ht="17.25" customHeight="1" x14ac:dyDescent="0.3">
      <c r="A576" s="169">
        <f t="shared" si="61"/>
        <v>496</v>
      </c>
      <c r="B576" s="21" t="s">
        <v>579</v>
      </c>
      <c r="C576" s="5">
        <v>1956</v>
      </c>
      <c r="D576" s="23"/>
      <c r="E576" s="23" t="s">
        <v>3645</v>
      </c>
      <c r="F576" s="23">
        <v>3</v>
      </c>
      <c r="G576" s="102"/>
      <c r="H576" s="23">
        <v>1815.6</v>
      </c>
      <c r="I576" s="23">
        <v>72</v>
      </c>
      <c r="J576" s="19">
        <f t="shared" si="63"/>
        <v>130000</v>
      </c>
      <c r="K576" s="103"/>
      <c r="L576" s="103"/>
      <c r="M576" s="103"/>
      <c r="N576" s="19">
        <f>SUMIF('2020'!B:B,B576,'2020'!C:C)+SUMIF('2021'!B:B,B576,'2021'!C:C)+SUMIF('2022'!B:B,B576,'2022'!C:C)</f>
        <v>130000</v>
      </c>
      <c r="O576" s="17">
        <v>44925</v>
      </c>
      <c r="P576" s="5" t="s">
        <v>3728</v>
      </c>
    </row>
    <row r="577" spans="1:16" ht="17.25" customHeight="1" x14ac:dyDescent="0.3">
      <c r="A577" s="169">
        <f t="shared" si="61"/>
        <v>497</v>
      </c>
      <c r="B577" s="21" t="s">
        <v>580</v>
      </c>
      <c r="C577" s="5">
        <v>1967</v>
      </c>
      <c r="D577" s="23"/>
      <c r="E577" s="23" t="s">
        <v>3645</v>
      </c>
      <c r="F577" s="23">
        <v>2</v>
      </c>
      <c r="G577" s="102"/>
      <c r="H577" s="23">
        <v>688.4</v>
      </c>
      <c r="I577" s="23">
        <v>19</v>
      </c>
      <c r="J577" s="19">
        <f t="shared" si="63"/>
        <v>706673.42</v>
      </c>
      <c r="K577" s="103"/>
      <c r="L577" s="103"/>
      <c r="M577" s="103"/>
      <c r="N577" s="19">
        <f>SUMIF('2020'!B:B,B577,'2020'!C:C)+SUMIF('2021'!B:B,B577,'2021'!C:C)+SUMIF('2022'!B:B,B577,'2022'!C:C)</f>
        <v>706673.42</v>
      </c>
      <c r="O577" s="17">
        <v>44925</v>
      </c>
      <c r="P577" s="5" t="s">
        <v>3728</v>
      </c>
    </row>
    <row r="578" spans="1:16" ht="17.25" customHeight="1" x14ac:dyDescent="0.3">
      <c r="A578" s="169">
        <f t="shared" si="61"/>
        <v>498</v>
      </c>
      <c r="B578" s="21" t="s">
        <v>581</v>
      </c>
      <c r="C578" s="5">
        <v>1967</v>
      </c>
      <c r="D578" s="23"/>
      <c r="E578" s="23" t="s">
        <v>3645</v>
      </c>
      <c r="F578" s="23">
        <v>2</v>
      </c>
      <c r="G578" s="102"/>
      <c r="H578" s="23">
        <v>688.5</v>
      </c>
      <c r="I578" s="23">
        <v>16</v>
      </c>
      <c r="J578" s="19">
        <f t="shared" si="63"/>
        <v>706673.42</v>
      </c>
      <c r="K578" s="103"/>
      <c r="L578" s="103"/>
      <c r="M578" s="103"/>
      <c r="N578" s="19">
        <f>SUMIF('2020'!B:B,B578,'2020'!C:C)+SUMIF('2021'!B:B,B578,'2021'!C:C)+SUMIF('2022'!B:B,B578,'2022'!C:C)</f>
        <v>706673.42</v>
      </c>
      <c r="O578" s="17">
        <v>44925</v>
      </c>
      <c r="P578" s="5" t="s">
        <v>3728</v>
      </c>
    </row>
    <row r="579" spans="1:16" ht="17.25" customHeight="1" x14ac:dyDescent="0.3">
      <c r="A579" s="169">
        <f t="shared" si="61"/>
        <v>499</v>
      </c>
      <c r="B579" s="21" t="s">
        <v>582</v>
      </c>
      <c r="C579" s="5">
        <v>1966</v>
      </c>
      <c r="D579" s="23"/>
      <c r="E579" s="23" t="s">
        <v>3645</v>
      </c>
      <c r="F579" s="23">
        <v>2</v>
      </c>
      <c r="G579" s="102"/>
      <c r="H579" s="23">
        <v>683</v>
      </c>
      <c r="I579" s="23">
        <v>16</v>
      </c>
      <c r="J579" s="19">
        <f t="shared" si="63"/>
        <v>706673.42</v>
      </c>
      <c r="K579" s="103"/>
      <c r="L579" s="103"/>
      <c r="M579" s="103"/>
      <c r="N579" s="19">
        <f>SUMIF('2020'!B:B,B579,'2020'!C:C)+SUMIF('2021'!B:B,B579,'2021'!C:C)+SUMIF('2022'!B:B,B579,'2022'!C:C)</f>
        <v>706673.42</v>
      </c>
      <c r="O579" s="17">
        <v>44925</v>
      </c>
      <c r="P579" s="5" t="s">
        <v>3728</v>
      </c>
    </row>
    <row r="580" spans="1:16" ht="17.25" customHeight="1" x14ac:dyDescent="0.3">
      <c r="A580" s="169">
        <f t="shared" ref="A580:A594" si="64">A579+1</f>
        <v>500</v>
      </c>
      <c r="B580" s="21" t="s">
        <v>583</v>
      </c>
      <c r="C580" s="5">
        <v>1970</v>
      </c>
      <c r="D580" s="23"/>
      <c r="E580" s="23" t="s">
        <v>3645</v>
      </c>
      <c r="F580" s="23">
        <v>2</v>
      </c>
      <c r="G580" s="102"/>
      <c r="H580" s="23">
        <v>693.3</v>
      </c>
      <c r="I580" s="23">
        <v>21</v>
      </c>
      <c r="J580" s="19">
        <f t="shared" si="63"/>
        <v>706673.42</v>
      </c>
      <c r="K580" s="103"/>
      <c r="L580" s="103"/>
      <c r="M580" s="103"/>
      <c r="N580" s="19">
        <f>SUMIF('2020'!B:B,B580,'2020'!C:C)+SUMIF('2021'!B:B,B580,'2021'!C:C)+SUMIF('2022'!B:B,B580,'2022'!C:C)</f>
        <v>706673.42</v>
      </c>
      <c r="O580" s="17">
        <v>44925</v>
      </c>
      <c r="P580" s="5" t="s">
        <v>3728</v>
      </c>
    </row>
    <row r="581" spans="1:16" ht="17.25" customHeight="1" x14ac:dyDescent="0.3">
      <c r="A581" s="169">
        <f t="shared" si="64"/>
        <v>501</v>
      </c>
      <c r="B581" s="21" t="s">
        <v>584</v>
      </c>
      <c r="C581" s="5">
        <v>1972</v>
      </c>
      <c r="D581" s="23"/>
      <c r="E581" s="23" t="s">
        <v>3645</v>
      </c>
      <c r="F581" s="23">
        <v>2</v>
      </c>
      <c r="G581" s="102"/>
      <c r="H581" s="23">
        <v>665.2</v>
      </c>
      <c r="I581" s="23">
        <v>17</v>
      </c>
      <c r="J581" s="19">
        <f t="shared" si="63"/>
        <v>706673.42</v>
      </c>
      <c r="K581" s="103"/>
      <c r="L581" s="103"/>
      <c r="M581" s="103"/>
      <c r="N581" s="19">
        <f>SUMIF('2020'!B:B,B581,'2020'!C:C)+SUMIF('2021'!B:B,B581,'2021'!C:C)+SUMIF('2022'!B:B,B581,'2022'!C:C)</f>
        <v>706673.42</v>
      </c>
      <c r="O581" s="17">
        <v>44925</v>
      </c>
      <c r="P581" s="5" t="s">
        <v>3728</v>
      </c>
    </row>
    <row r="582" spans="1:16" ht="17.25" customHeight="1" x14ac:dyDescent="0.3">
      <c r="A582" s="169">
        <f t="shared" si="64"/>
        <v>502</v>
      </c>
      <c r="B582" s="21" t="s">
        <v>585</v>
      </c>
      <c r="C582" s="5">
        <v>1972</v>
      </c>
      <c r="D582" s="23"/>
      <c r="E582" s="23" t="s">
        <v>3645</v>
      </c>
      <c r="F582" s="23">
        <v>2</v>
      </c>
      <c r="G582" s="102"/>
      <c r="H582" s="23">
        <v>687.3</v>
      </c>
      <c r="I582" s="23">
        <v>16</v>
      </c>
      <c r="J582" s="19">
        <f t="shared" si="63"/>
        <v>706673.42</v>
      </c>
      <c r="K582" s="103"/>
      <c r="L582" s="103"/>
      <c r="M582" s="103"/>
      <c r="N582" s="19">
        <f>SUMIF('2020'!B:B,B582,'2020'!C:C)+SUMIF('2021'!B:B,B582,'2021'!C:C)+SUMIF('2022'!B:B,B582,'2022'!C:C)</f>
        <v>706673.42</v>
      </c>
      <c r="O582" s="17">
        <v>44925</v>
      </c>
      <c r="P582" s="5" t="s">
        <v>3728</v>
      </c>
    </row>
    <row r="583" spans="1:16" ht="17.25" customHeight="1" x14ac:dyDescent="0.3">
      <c r="A583" s="169">
        <f t="shared" si="64"/>
        <v>503</v>
      </c>
      <c r="B583" s="21" t="s">
        <v>586</v>
      </c>
      <c r="C583" s="5">
        <v>1975</v>
      </c>
      <c r="D583" s="23"/>
      <c r="E583" s="23" t="s">
        <v>3645</v>
      </c>
      <c r="F583" s="23">
        <v>2</v>
      </c>
      <c r="G583" s="102"/>
      <c r="H583" s="23">
        <v>1010.9</v>
      </c>
      <c r="I583" s="23">
        <v>19</v>
      </c>
      <c r="J583" s="19">
        <f t="shared" si="63"/>
        <v>128856.23</v>
      </c>
      <c r="K583" s="103"/>
      <c r="L583" s="103"/>
      <c r="M583" s="103"/>
      <c r="N583" s="19">
        <f>SUMIF('2020'!B:B,B583,'2020'!C:C)+SUMIF('2021'!B:B,B583,'2021'!C:C)+SUMIF('2022'!B:B,B583,'2022'!C:C)</f>
        <v>128856.23</v>
      </c>
      <c r="O583" s="17">
        <v>44925</v>
      </c>
      <c r="P583" s="5" t="s">
        <v>3728</v>
      </c>
    </row>
    <row r="584" spans="1:16" ht="17.25" customHeight="1" x14ac:dyDescent="0.3">
      <c r="A584" s="169">
        <f t="shared" si="64"/>
        <v>504</v>
      </c>
      <c r="B584" s="21" t="s">
        <v>587</v>
      </c>
      <c r="C584" s="5">
        <v>1978</v>
      </c>
      <c r="D584" s="23"/>
      <c r="E584" s="23" t="s">
        <v>3729</v>
      </c>
      <c r="F584" s="23">
        <v>2</v>
      </c>
      <c r="G584" s="102"/>
      <c r="H584" s="23">
        <v>4043.5</v>
      </c>
      <c r="I584" s="23">
        <v>79</v>
      </c>
      <c r="J584" s="19">
        <f t="shared" si="63"/>
        <v>345868.64</v>
      </c>
      <c r="K584" s="103"/>
      <c r="L584" s="103"/>
      <c r="M584" s="103"/>
      <c r="N584" s="19">
        <f>SUMIF('2020'!B:B,B584,'2020'!C:C)+SUMIF('2021'!B:B,B584,'2021'!C:C)+SUMIF('2022'!B:B,B584,'2022'!C:C)</f>
        <v>345868.64</v>
      </c>
      <c r="O584" s="17">
        <v>44925</v>
      </c>
      <c r="P584" s="5" t="s">
        <v>3728</v>
      </c>
    </row>
    <row r="585" spans="1:16" ht="17.25" customHeight="1" x14ac:dyDescent="0.3">
      <c r="A585" s="169">
        <f t="shared" si="64"/>
        <v>505</v>
      </c>
      <c r="B585" s="21" t="s">
        <v>588</v>
      </c>
      <c r="C585" s="5">
        <v>1963</v>
      </c>
      <c r="D585" s="23"/>
      <c r="E585" s="23" t="s">
        <v>3645</v>
      </c>
      <c r="F585" s="23">
        <v>2</v>
      </c>
      <c r="G585" s="102"/>
      <c r="H585" s="23">
        <v>699</v>
      </c>
      <c r="I585" s="23">
        <v>17</v>
      </c>
      <c r="J585" s="19">
        <f t="shared" si="63"/>
        <v>429673.41000000003</v>
      </c>
      <c r="K585" s="103"/>
      <c r="L585" s="103"/>
      <c r="M585" s="103"/>
      <c r="N585" s="19">
        <f>SUMIF('2020'!B:B,B585,'2020'!C:C)+SUMIF('2021'!B:B,B585,'2021'!C:C)+SUMIF('2022'!B:B,B585,'2022'!C:C)</f>
        <v>429673.41000000003</v>
      </c>
      <c r="O585" s="17">
        <v>44925</v>
      </c>
      <c r="P585" s="5" t="s">
        <v>3728</v>
      </c>
    </row>
    <row r="586" spans="1:16" ht="17.25" customHeight="1" x14ac:dyDescent="0.3">
      <c r="A586" s="169">
        <f t="shared" si="64"/>
        <v>506</v>
      </c>
      <c r="B586" s="21" t="s">
        <v>589</v>
      </c>
      <c r="C586" s="5">
        <v>1966</v>
      </c>
      <c r="D586" s="23"/>
      <c r="E586" s="23" t="s">
        <v>3645</v>
      </c>
      <c r="F586" s="23">
        <v>2</v>
      </c>
      <c r="G586" s="102"/>
      <c r="H586" s="23">
        <v>696.2</v>
      </c>
      <c r="I586" s="23">
        <v>17</v>
      </c>
      <c r="J586" s="19">
        <f t="shared" si="63"/>
        <v>303945.8</v>
      </c>
      <c r="K586" s="103"/>
      <c r="L586" s="103"/>
      <c r="M586" s="103"/>
      <c r="N586" s="19">
        <f>SUMIF('2020'!B:B,B586,'2020'!C:C)+SUMIF('2021'!B:B,B586,'2021'!C:C)+SUMIF('2022'!B:B,B586,'2022'!C:C)</f>
        <v>303945.8</v>
      </c>
      <c r="O586" s="17">
        <v>44925</v>
      </c>
      <c r="P586" s="5" t="s">
        <v>3728</v>
      </c>
    </row>
    <row r="587" spans="1:16" ht="17.25" customHeight="1" x14ac:dyDescent="0.3">
      <c r="A587" s="169">
        <f t="shared" si="64"/>
        <v>507</v>
      </c>
      <c r="B587" s="21" t="s">
        <v>590</v>
      </c>
      <c r="C587" s="5">
        <v>1965</v>
      </c>
      <c r="D587" s="23"/>
      <c r="E587" s="23" t="s">
        <v>3645</v>
      </c>
      <c r="F587" s="23">
        <v>2</v>
      </c>
      <c r="G587" s="102"/>
      <c r="H587" s="23">
        <v>1015.8</v>
      </c>
      <c r="I587" s="23">
        <v>15</v>
      </c>
      <c r="J587" s="19">
        <f t="shared" si="63"/>
        <v>251062.25</v>
      </c>
      <c r="K587" s="103"/>
      <c r="L587" s="103"/>
      <c r="M587" s="103"/>
      <c r="N587" s="19">
        <f>SUMIF('2020'!B:B,B587,'2020'!C:C)+SUMIF('2021'!B:B,B587,'2021'!C:C)+SUMIF('2022'!B:B,B587,'2022'!C:C)</f>
        <v>251062.25</v>
      </c>
      <c r="O587" s="17">
        <v>44925</v>
      </c>
      <c r="P587" s="5" t="s">
        <v>3728</v>
      </c>
    </row>
    <row r="588" spans="1:16" ht="17.25" customHeight="1" x14ac:dyDescent="0.3">
      <c r="A588" s="169">
        <f t="shared" si="64"/>
        <v>508</v>
      </c>
      <c r="B588" s="21" t="s">
        <v>591</v>
      </c>
      <c r="C588" s="5">
        <v>1963</v>
      </c>
      <c r="D588" s="23"/>
      <c r="E588" s="23" t="s">
        <v>3645</v>
      </c>
      <c r="F588" s="23">
        <v>2</v>
      </c>
      <c r="G588" s="102"/>
      <c r="H588" s="23">
        <v>517.70000000000005</v>
      </c>
      <c r="I588" s="23">
        <v>16</v>
      </c>
      <c r="J588" s="19">
        <f t="shared" si="63"/>
        <v>925237.58</v>
      </c>
      <c r="K588" s="103"/>
      <c r="L588" s="103"/>
      <c r="M588" s="103"/>
      <c r="N588" s="19">
        <f>SUMIF('2020'!B:B,B588,'2020'!C:C)+SUMIF('2021'!B:B,B588,'2021'!C:C)+SUMIF('2022'!B:B,B588,'2022'!C:C)</f>
        <v>925237.58</v>
      </c>
      <c r="O588" s="17">
        <v>44925</v>
      </c>
      <c r="P588" s="5" t="s">
        <v>3728</v>
      </c>
    </row>
    <row r="589" spans="1:16" ht="17.25" customHeight="1" x14ac:dyDescent="0.3">
      <c r="A589" s="169">
        <f t="shared" si="64"/>
        <v>509</v>
      </c>
      <c r="B589" s="21" t="s">
        <v>592</v>
      </c>
      <c r="C589" s="5">
        <v>1967</v>
      </c>
      <c r="D589" s="23"/>
      <c r="E589" s="23" t="s">
        <v>3645</v>
      </c>
      <c r="F589" s="23">
        <v>2</v>
      </c>
      <c r="G589" s="102"/>
      <c r="H589" s="23">
        <v>806.8</v>
      </c>
      <c r="I589" s="23">
        <v>48</v>
      </c>
      <c r="J589" s="19">
        <f t="shared" si="63"/>
        <v>809691.67</v>
      </c>
      <c r="K589" s="103"/>
      <c r="L589" s="103"/>
      <c r="M589" s="103"/>
      <c r="N589" s="19">
        <f>SUMIF('2020'!B:B,B589,'2020'!C:C)+SUMIF('2021'!B:B,B589,'2021'!C:C)+SUMIF('2022'!B:B,B589,'2022'!C:C)</f>
        <v>809691.67</v>
      </c>
      <c r="O589" s="17">
        <v>44925</v>
      </c>
      <c r="P589" s="5" t="s">
        <v>3728</v>
      </c>
    </row>
    <row r="590" spans="1:16" ht="17.25" customHeight="1" x14ac:dyDescent="0.3">
      <c r="A590" s="169">
        <f t="shared" si="64"/>
        <v>510</v>
      </c>
      <c r="B590" s="21" t="s">
        <v>593</v>
      </c>
      <c r="C590" s="5">
        <v>1969</v>
      </c>
      <c r="D590" s="23"/>
      <c r="E590" s="23" t="s">
        <v>3645</v>
      </c>
      <c r="F590" s="23">
        <v>2</v>
      </c>
      <c r="G590" s="102"/>
      <c r="H590" s="23">
        <v>811.8</v>
      </c>
      <c r="I590" s="23">
        <v>48</v>
      </c>
      <c r="J590" s="19">
        <f t="shared" si="63"/>
        <v>816470.17</v>
      </c>
      <c r="K590" s="103"/>
      <c r="L590" s="103"/>
      <c r="M590" s="103"/>
      <c r="N590" s="19">
        <f>SUMIF('2020'!B:B,B590,'2020'!C:C)+SUMIF('2021'!B:B,B590,'2021'!C:C)+SUMIF('2022'!B:B,B590,'2022'!C:C)</f>
        <v>816470.17</v>
      </c>
      <c r="O590" s="17">
        <v>44925</v>
      </c>
      <c r="P590" s="5" t="s">
        <v>3728</v>
      </c>
    </row>
    <row r="591" spans="1:16" ht="17.25" customHeight="1" x14ac:dyDescent="0.3">
      <c r="A591" s="169">
        <f t="shared" si="64"/>
        <v>511</v>
      </c>
      <c r="B591" s="21" t="s">
        <v>594</v>
      </c>
      <c r="C591" s="5">
        <v>1974</v>
      </c>
      <c r="D591" s="23"/>
      <c r="E591" s="23" t="s">
        <v>3645</v>
      </c>
      <c r="F591" s="23">
        <v>2</v>
      </c>
      <c r="G591" s="102"/>
      <c r="H591" s="23">
        <v>679.1</v>
      </c>
      <c r="I591" s="23">
        <v>46</v>
      </c>
      <c r="J591" s="19">
        <f t="shared" si="63"/>
        <v>849132.77</v>
      </c>
      <c r="K591" s="103"/>
      <c r="L591" s="103"/>
      <c r="M591" s="103"/>
      <c r="N591" s="19">
        <f>SUMIF('2020'!B:B,B591,'2020'!C:C)+SUMIF('2021'!B:B,B591,'2021'!C:C)+SUMIF('2022'!B:B,B591,'2022'!C:C)</f>
        <v>849132.77</v>
      </c>
      <c r="O591" s="17">
        <v>44925</v>
      </c>
      <c r="P591" s="5" t="s">
        <v>3728</v>
      </c>
    </row>
    <row r="592" spans="1:16" ht="17.25" customHeight="1" x14ac:dyDescent="0.3">
      <c r="A592" s="169">
        <f t="shared" si="64"/>
        <v>512</v>
      </c>
      <c r="B592" s="21" t="s">
        <v>595</v>
      </c>
      <c r="C592" s="5">
        <v>1976</v>
      </c>
      <c r="D592" s="23"/>
      <c r="E592" s="23" t="s">
        <v>3645</v>
      </c>
      <c r="F592" s="23">
        <v>2</v>
      </c>
      <c r="G592" s="102"/>
      <c r="H592" s="23">
        <v>1011.4</v>
      </c>
      <c r="I592" s="23">
        <v>51</v>
      </c>
      <c r="J592" s="19">
        <f t="shared" si="63"/>
        <v>996488.19</v>
      </c>
      <c r="K592" s="103"/>
      <c r="L592" s="103"/>
      <c r="M592" s="103"/>
      <c r="N592" s="19">
        <f>SUMIF('2020'!B:B,B592,'2020'!C:C)+SUMIF('2021'!B:B,B592,'2021'!C:C)+SUMIF('2022'!B:B,B592,'2022'!C:C)</f>
        <v>996488.19</v>
      </c>
      <c r="O592" s="17">
        <v>44925</v>
      </c>
      <c r="P592" s="5" t="s">
        <v>3728</v>
      </c>
    </row>
    <row r="593" spans="1:16" ht="17.25" customHeight="1" x14ac:dyDescent="0.3">
      <c r="A593" s="169">
        <f t="shared" si="64"/>
        <v>513</v>
      </c>
      <c r="B593" s="21" t="s">
        <v>596</v>
      </c>
      <c r="C593" s="5">
        <v>1980</v>
      </c>
      <c r="D593" s="23"/>
      <c r="E593" s="23" t="s">
        <v>3645</v>
      </c>
      <c r="F593" s="23">
        <v>2</v>
      </c>
      <c r="G593" s="102"/>
      <c r="H593" s="23">
        <v>1012</v>
      </c>
      <c r="I593" s="23">
        <v>45</v>
      </c>
      <c r="J593" s="19">
        <f t="shared" si="63"/>
        <v>996488.8</v>
      </c>
      <c r="K593" s="103"/>
      <c r="L593" s="103"/>
      <c r="M593" s="103"/>
      <c r="N593" s="19">
        <f>SUMIF('2020'!B:B,B593,'2020'!C:C)+SUMIF('2021'!B:B,B593,'2021'!C:C)+SUMIF('2022'!B:B,B593,'2022'!C:C)</f>
        <v>996488.8</v>
      </c>
      <c r="O593" s="17">
        <v>44925</v>
      </c>
      <c r="P593" s="5" t="s">
        <v>3728</v>
      </c>
    </row>
    <row r="594" spans="1:16" ht="17.25" customHeight="1" x14ac:dyDescent="0.3">
      <c r="A594" s="169">
        <f t="shared" si="64"/>
        <v>514</v>
      </c>
      <c r="B594" s="21" t="s">
        <v>597</v>
      </c>
      <c r="C594" s="5">
        <v>1990</v>
      </c>
      <c r="D594" s="23"/>
      <c r="E594" s="23" t="s">
        <v>3729</v>
      </c>
      <c r="F594" s="23">
        <v>3</v>
      </c>
      <c r="G594" s="102"/>
      <c r="H594" s="23">
        <v>2347.1</v>
      </c>
      <c r="I594" s="23">
        <v>82</v>
      </c>
      <c r="J594" s="19">
        <f t="shared" si="63"/>
        <v>476391.88</v>
      </c>
      <c r="K594" s="103"/>
      <c r="L594" s="103"/>
      <c r="M594" s="103"/>
      <c r="N594" s="19">
        <f>SUMIF('2020'!B:B,B594,'2020'!C:C)+SUMIF('2021'!B:B,B594,'2021'!C:C)+SUMIF('2022'!B:B,B594,'2022'!C:C)</f>
        <v>476391.88</v>
      </c>
      <c r="O594" s="17">
        <v>44925</v>
      </c>
      <c r="P594" s="5" t="s">
        <v>3728</v>
      </c>
    </row>
    <row r="595" spans="1:16" ht="17.25" customHeight="1" x14ac:dyDescent="0.3">
      <c r="A595" s="210" t="s">
        <v>211</v>
      </c>
      <c r="B595" s="21"/>
      <c r="C595" s="3"/>
      <c r="D595" s="3"/>
      <c r="E595" s="3"/>
      <c r="F595" s="3"/>
      <c r="G595" s="26"/>
      <c r="H595" s="73">
        <f t="shared" ref="H595:M595" si="65">SUM(H568:H594)</f>
        <v>30790.749999999996</v>
      </c>
      <c r="I595" s="73">
        <f t="shared" si="65"/>
        <v>919</v>
      </c>
      <c r="J595" s="73">
        <f t="shared" si="65"/>
        <v>15094500.850000001</v>
      </c>
      <c r="K595" s="73">
        <f t="shared" si="65"/>
        <v>0</v>
      </c>
      <c r="L595" s="73">
        <f t="shared" si="65"/>
        <v>0</v>
      </c>
      <c r="M595" s="73">
        <f t="shared" si="65"/>
        <v>0</v>
      </c>
      <c r="N595" s="73">
        <f>SUM(N568:N594)</f>
        <v>15094500.850000001</v>
      </c>
      <c r="O595" s="3"/>
      <c r="P595" s="3"/>
    </row>
    <row r="596" spans="1:16" ht="17.25" customHeight="1" x14ac:dyDescent="0.3">
      <c r="A596" s="210" t="s">
        <v>598</v>
      </c>
      <c r="B596" s="21"/>
      <c r="C596" s="3"/>
      <c r="D596" s="3"/>
      <c r="E596" s="3"/>
      <c r="F596" s="3"/>
      <c r="G596" s="26"/>
      <c r="H596" s="3"/>
      <c r="I596" s="3"/>
      <c r="J596" s="73"/>
      <c r="K596" s="73"/>
      <c r="L596" s="73"/>
      <c r="M596" s="73"/>
      <c r="N596" s="73"/>
      <c r="O596" s="3"/>
      <c r="P596" s="3"/>
    </row>
    <row r="597" spans="1:16" ht="17.25" customHeight="1" x14ac:dyDescent="0.3">
      <c r="A597" s="169">
        <f>A594+1</f>
        <v>515</v>
      </c>
      <c r="B597" s="21" t="s">
        <v>599</v>
      </c>
      <c r="C597" s="5">
        <v>1952</v>
      </c>
      <c r="D597" s="3"/>
      <c r="E597" s="23" t="s">
        <v>3645</v>
      </c>
      <c r="F597" s="3">
        <v>2</v>
      </c>
      <c r="G597" s="26"/>
      <c r="H597" s="3">
        <v>198.6</v>
      </c>
      <c r="I597" s="3">
        <v>15</v>
      </c>
      <c r="J597" s="19">
        <f>K597+L597+M597+N597</f>
        <v>130000</v>
      </c>
      <c r="K597" s="73"/>
      <c r="L597" s="73"/>
      <c r="M597" s="73"/>
      <c r="N597" s="19">
        <f>SUMIF('2020'!B:B,B597,'2020'!C:C)+SUMIF('2021'!B:B,B597,'2021'!C:C)+SUMIF('2022'!B:B,B597,'2022'!C:C)</f>
        <v>130000</v>
      </c>
      <c r="O597" s="17">
        <v>44925</v>
      </c>
      <c r="P597" s="5" t="s">
        <v>3728</v>
      </c>
    </row>
    <row r="598" spans="1:16" ht="17.25" customHeight="1" x14ac:dyDescent="0.3">
      <c r="A598" s="169">
        <f t="shared" ref="A598:A661" si="66">A597+1</f>
        <v>516</v>
      </c>
      <c r="B598" s="21" t="s">
        <v>600</v>
      </c>
      <c r="C598" s="5">
        <v>1970</v>
      </c>
      <c r="D598" s="3"/>
      <c r="E598" s="23" t="s">
        <v>3645</v>
      </c>
      <c r="F598" s="3">
        <v>4</v>
      </c>
      <c r="G598" s="26"/>
      <c r="H598" s="104">
        <v>1611</v>
      </c>
      <c r="I598" s="3">
        <v>64</v>
      </c>
      <c r="J598" s="19">
        <f>K598+L598+M598+N598</f>
        <v>130000</v>
      </c>
      <c r="K598" s="73"/>
      <c r="L598" s="73"/>
      <c r="M598" s="73"/>
      <c r="N598" s="19">
        <f>SUMIF('2020'!B:B,B598,'2020'!C:C)+SUMIF('2021'!B:B,B598,'2021'!C:C)+SUMIF('2022'!B:B,B598,'2022'!C:C)</f>
        <v>130000</v>
      </c>
      <c r="O598" s="17">
        <v>44925</v>
      </c>
      <c r="P598" s="5" t="s">
        <v>3728</v>
      </c>
    </row>
    <row r="599" spans="1:16" ht="17.25" customHeight="1" x14ac:dyDescent="0.3">
      <c r="A599" s="210" t="s">
        <v>211</v>
      </c>
      <c r="B599" s="21"/>
      <c r="C599" s="3"/>
      <c r="D599" s="3"/>
      <c r="E599" s="3"/>
      <c r="F599" s="3"/>
      <c r="G599" s="26"/>
      <c r="H599" s="73">
        <f t="shared" ref="H599:M599" si="67">SUM(H597:H598)</f>
        <v>1809.6</v>
      </c>
      <c r="I599" s="73">
        <f t="shared" si="67"/>
        <v>79</v>
      </c>
      <c r="J599" s="73">
        <f t="shared" si="67"/>
        <v>260000</v>
      </c>
      <c r="K599" s="73">
        <f t="shared" si="67"/>
        <v>0</v>
      </c>
      <c r="L599" s="73">
        <f t="shared" si="67"/>
        <v>0</v>
      </c>
      <c r="M599" s="73">
        <f t="shared" si="67"/>
        <v>0</v>
      </c>
      <c r="N599" s="73">
        <f>SUM(N597:N598)</f>
        <v>260000</v>
      </c>
      <c r="O599" s="3"/>
      <c r="P599" s="3"/>
    </row>
    <row r="600" spans="1:16" ht="17.25" customHeight="1" x14ac:dyDescent="0.3">
      <c r="A600" s="210" t="s">
        <v>601</v>
      </c>
      <c r="B600" s="21"/>
      <c r="C600" s="3"/>
      <c r="D600" s="3"/>
      <c r="E600" s="3"/>
      <c r="F600" s="3"/>
      <c r="G600" s="26"/>
      <c r="H600" s="3"/>
      <c r="I600" s="3"/>
      <c r="J600" s="73"/>
      <c r="K600" s="73"/>
      <c r="L600" s="73"/>
      <c r="M600" s="73"/>
      <c r="N600" s="73"/>
      <c r="O600" s="3"/>
      <c r="P600" s="3"/>
    </row>
    <row r="601" spans="1:16" ht="17.25" customHeight="1" x14ac:dyDescent="0.3">
      <c r="A601" s="169">
        <f>A598+1</f>
        <v>517</v>
      </c>
      <c r="B601" s="21" t="s">
        <v>602</v>
      </c>
      <c r="C601" s="5">
        <v>1919</v>
      </c>
      <c r="D601" s="3"/>
      <c r="E601" s="15" t="s">
        <v>3774</v>
      </c>
      <c r="F601" s="15">
        <v>2</v>
      </c>
      <c r="G601" s="26"/>
      <c r="H601" s="15">
        <v>200.2</v>
      </c>
      <c r="I601" s="15">
        <v>21</v>
      </c>
      <c r="J601" s="19">
        <f t="shared" ref="J601:J607" si="68">K601+L601+M601+N601</f>
        <v>617747.66</v>
      </c>
      <c r="K601" s="73"/>
      <c r="L601" s="73"/>
      <c r="M601" s="73"/>
      <c r="N601" s="19">
        <f>SUMIF('2020'!B:B,B601,'2020'!C:C)+SUMIF('2021'!B:B,B601,'2021'!C:C)+SUMIF('2022'!B:B,B601,'2022'!C:C)</f>
        <v>617747.66</v>
      </c>
      <c r="O601" s="17">
        <v>44925</v>
      </c>
      <c r="P601" s="5" t="s">
        <v>3728</v>
      </c>
    </row>
    <row r="602" spans="1:16" ht="17.25" customHeight="1" x14ac:dyDescent="0.3">
      <c r="A602" s="169">
        <f t="shared" si="66"/>
        <v>518</v>
      </c>
      <c r="B602" s="21" t="s">
        <v>603</v>
      </c>
      <c r="C602" s="5">
        <v>1949</v>
      </c>
      <c r="D602" s="3"/>
      <c r="E602" s="15" t="s">
        <v>3775</v>
      </c>
      <c r="F602" s="15">
        <v>2</v>
      </c>
      <c r="G602" s="26"/>
      <c r="H602" s="15">
        <v>359</v>
      </c>
      <c r="I602" s="15">
        <v>17</v>
      </c>
      <c r="J602" s="19">
        <f t="shared" si="68"/>
        <v>691836.58</v>
      </c>
      <c r="K602" s="73"/>
      <c r="L602" s="73"/>
      <c r="M602" s="73"/>
      <c r="N602" s="19">
        <f>SUMIF('2020'!B:B,B602,'2020'!C:C)+SUMIF('2021'!B:B,B602,'2021'!C:C)+SUMIF('2022'!B:B,B602,'2022'!C:C)</f>
        <v>691836.58</v>
      </c>
      <c r="O602" s="17">
        <v>44925</v>
      </c>
      <c r="P602" s="5" t="s">
        <v>3728</v>
      </c>
    </row>
    <row r="603" spans="1:16" ht="17.25" customHeight="1" x14ac:dyDescent="0.3">
      <c r="A603" s="169">
        <f t="shared" si="66"/>
        <v>519</v>
      </c>
      <c r="B603" s="21" t="s">
        <v>604</v>
      </c>
      <c r="C603" s="5">
        <v>1937</v>
      </c>
      <c r="D603" s="3"/>
      <c r="E603" s="15" t="s">
        <v>3774</v>
      </c>
      <c r="F603" s="15">
        <v>2</v>
      </c>
      <c r="G603" s="26"/>
      <c r="H603" s="15">
        <v>90.79</v>
      </c>
      <c r="I603" s="15">
        <v>7</v>
      </c>
      <c r="J603" s="19">
        <f t="shared" si="68"/>
        <v>120212.32</v>
      </c>
      <c r="K603" s="73"/>
      <c r="L603" s="73"/>
      <c r="M603" s="73"/>
      <c r="N603" s="19">
        <f>SUMIF('2020'!B:B,B603,'2020'!C:C)+SUMIF('2021'!B:B,B603,'2021'!C:C)+SUMIF('2022'!B:B,B603,'2022'!C:C)</f>
        <v>120212.32</v>
      </c>
      <c r="O603" s="17">
        <v>44925</v>
      </c>
      <c r="P603" s="5" t="s">
        <v>3728</v>
      </c>
    </row>
    <row r="604" spans="1:16" ht="17.25" customHeight="1" x14ac:dyDescent="0.3">
      <c r="A604" s="169">
        <f t="shared" si="66"/>
        <v>520</v>
      </c>
      <c r="B604" s="21" t="s">
        <v>605</v>
      </c>
      <c r="C604" s="5">
        <v>1971</v>
      </c>
      <c r="D604" s="3"/>
      <c r="E604" s="15" t="s">
        <v>3775</v>
      </c>
      <c r="F604" s="15">
        <v>2</v>
      </c>
      <c r="G604" s="26"/>
      <c r="H604" s="15">
        <v>1043.0999999999999</v>
      </c>
      <c r="I604" s="15">
        <v>48</v>
      </c>
      <c r="J604" s="19">
        <f t="shared" si="68"/>
        <v>487978.8</v>
      </c>
      <c r="K604" s="73"/>
      <c r="L604" s="73"/>
      <c r="M604" s="73"/>
      <c r="N604" s="19">
        <f>SUMIF('2020'!B:B,B604,'2020'!C:C)+SUMIF('2021'!B:B,B604,'2021'!C:C)+SUMIF('2022'!B:B,B604,'2022'!C:C)</f>
        <v>487978.8</v>
      </c>
      <c r="O604" s="17">
        <v>44925</v>
      </c>
      <c r="P604" s="5" t="s">
        <v>3728</v>
      </c>
    </row>
    <row r="605" spans="1:16" ht="17.25" customHeight="1" x14ac:dyDescent="0.3">
      <c r="A605" s="169">
        <f t="shared" si="66"/>
        <v>521</v>
      </c>
      <c r="B605" s="21" t="s">
        <v>606</v>
      </c>
      <c r="C605" s="5">
        <v>1961</v>
      </c>
      <c r="D605" s="3"/>
      <c r="E605" s="15" t="s">
        <v>3774</v>
      </c>
      <c r="F605" s="15">
        <v>2</v>
      </c>
      <c r="G605" s="26"/>
      <c r="H605" s="15">
        <v>239.78</v>
      </c>
      <c r="I605" s="15">
        <v>7</v>
      </c>
      <c r="J605" s="19">
        <f t="shared" si="68"/>
        <v>795700.74</v>
      </c>
      <c r="K605" s="73"/>
      <c r="L605" s="73"/>
      <c r="M605" s="73"/>
      <c r="N605" s="19">
        <f>SUMIF('2020'!B:B,B605,'2020'!C:C)+SUMIF('2021'!B:B,B605,'2021'!C:C)+SUMIF('2022'!B:B,B605,'2022'!C:C)</f>
        <v>795700.74</v>
      </c>
      <c r="O605" s="17">
        <v>44925</v>
      </c>
      <c r="P605" s="5" t="s">
        <v>3728</v>
      </c>
    </row>
    <row r="606" spans="1:16" ht="17.25" customHeight="1" x14ac:dyDescent="0.3">
      <c r="A606" s="169">
        <f t="shared" si="66"/>
        <v>522</v>
      </c>
      <c r="B606" s="21" t="s">
        <v>607</v>
      </c>
      <c r="C606" s="5">
        <v>1952</v>
      </c>
      <c r="D606" s="3"/>
      <c r="E606" s="15" t="s">
        <v>3775</v>
      </c>
      <c r="F606" s="15">
        <v>2</v>
      </c>
      <c r="G606" s="26"/>
      <c r="H606" s="15">
        <v>488.3</v>
      </c>
      <c r="I606" s="15">
        <v>28</v>
      </c>
      <c r="J606" s="19">
        <f t="shared" si="68"/>
        <v>691836.58</v>
      </c>
      <c r="K606" s="73"/>
      <c r="L606" s="73"/>
      <c r="M606" s="73"/>
      <c r="N606" s="19">
        <f>SUMIF('2020'!B:B,B606,'2020'!C:C)+SUMIF('2021'!B:B,B606,'2021'!C:C)+SUMIF('2022'!B:B,B606,'2022'!C:C)</f>
        <v>691836.58</v>
      </c>
      <c r="O606" s="17">
        <v>44925</v>
      </c>
      <c r="P606" s="5" t="s">
        <v>3728</v>
      </c>
    </row>
    <row r="607" spans="1:16" ht="17.25" customHeight="1" x14ac:dyDescent="0.3">
      <c r="A607" s="169">
        <f t="shared" si="66"/>
        <v>523</v>
      </c>
      <c r="B607" s="21" t="s">
        <v>608</v>
      </c>
      <c r="C607" s="5">
        <v>1993</v>
      </c>
      <c r="D607" s="3"/>
      <c r="E607" s="15" t="s">
        <v>3736</v>
      </c>
      <c r="F607" s="15">
        <v>9</v>
      </c>
      <c r="G607" s="26"/>
      <c r="H607" s="15">
        <v>7161.3</v>
      </c>
      <c r="I607" s="15">
        <v>289</v>
      </c>
      <c r="J607" s="19">
        <f t="shared" si="68"/>
        <v>130000</v>
      </c>
      <c r="K607" s="73"/>
      <c r="L607" s="73"/>
      <c r="M607" s="73"/>
      <c r="N607" s="19">
        <f>SUMIF('2020'!B:B,B607,'2020'!C:C)+SUMIF('2021'!B:B,B607,'2021'!C:C)+SUMIF('2022'!B:B,B607,'2022'!C:C)</f>
        <v>130000</v>
      </c>
      <c r="O607" s="17">
        <v>44925</v>
      </c>
      <c r="P607" s="5" t="s">
        <v>3728</v>
      </c>
    </row>
    <row r="608" spans="1:16" ht="17.25" customHeight="1" x14ac:dyDescent="0.3">
      <c r="A608" s="210" t="s">
        <v>211</v>
      </c>
      <c r="B608" s="21"/>
      <c r="C608" s="3"/>
      <c r="D608" s="3"/>
      <c r="E608" s="3"/>
      <c r="F608" s="3"/>
      <c r="G608" s="26"/>
      <c r="H608" s="73">
        <f t="shared" ref="H608:M608" si="69">SUM(H601:H607)</f>
        <v>9582.4700000000012</v>
      </c>
      <c r="I608" s="73">
        <f t="shared" si="69"/>
        <v>417</v>
      </c>
      <c r="J608" s="73">
        <f t="shared" si="69"/>
        <v>3535312.68</v>
      </c>
      <c r="K608" s="73">
        <f t="shared" si="69"/>
        <v>0</v>
      </c>
      <c r="L608" s="73">
        <f t="shared" si="69"/>
        <v>0</v>
      </c>
      <c r="M608" s="73">
        <f t="shared" si="69"/>
        <v>0</v>
      </c>
      <c r="N608" s="73">
        <f>SUM(N601:N607)</f>
        <v>3535312.68</v>
      </c>
      <c r="O608" s="3"/>
      <c r="P608" s="3"/>
    </row>
    <row r="609" spans="1:16382" ht="17.25" customHeight="1" x14ac:dyDescent="0.3">
      <c r="A609" s="210" t="s">
        <v>610</v>
      </c>
      <c r="B609" s="21"/>
      <c r="C609" s="3"/>
      <c r="D609" s="3"/>
      <c r="E609" s="3"/>
      <c r="F609" s="3"/>
      <c r="G609" s="26"/>
      <c r="H609" s="3"/>
      <c r="I609" s="3"/>
      <c r="J609" s="73"/>
      <c r="K609" s="73"/>
      <c r="L609" s="73"/>
      <c r="M609" s="73"/>
      <c r="N609" s="73"/>
      <c r="O609" s="3"/>
      <c r="P609" s="3"/>
    </row>
    <row r="610" spans="1:16382" ht="17.25" customHeight="1" x14ac:dyDescent="0.3">
      <c r="A610" s="210">
        <f>A607+1</f>
        <v>524</v>
      </c>
      <c r="B610" s="21" t="s">
        <v>609</v>
      </c>
      <c r="C610" s="5">
        <v>1959</v>
      </c>
      <c r="D610" s="3"/>
      <c r="E610" s="15" t="s">
        <v>3645</v>
      </c>
      <c r="F610" s="15">
        <v>3</v>
      </c>
      <c r="G610" s="100"/>
      <c r="H610" s="15">
        <v>1422.92</v>
      </c>
      <c r="I610" s="15">
        <v>34</v>
      </c>
      <c r="J610" s="19">
        <f t="shared" ref="J610:J642" si="70">K610+L610+M610+N610</f>
        <v>433240.23000000004</v>
      </c>
      <c r="K610" s="105"/>
      <c r="L610" s="105"/>
      <c r="M610" s="105"/>
      <c r="N610" s="19">
        <f>SUMIF('2020'!B:B,B610,'2020'!C:C)+SUMIF('2021'!B:B,B610,'2021'!C:C)+SUMIF('2022'!B:B,B610,'2022'!C:C)</f>
        <v>433240.23000000004</v>
      </c>
      <c r="O610" s="17">
        <v>44925</v>
      </c>
      <c r="P610" s="5" t="s">
        <v>3728</v>
      </c>
    </row>
    <row r="611" spans="1:16382" ht="17.25" customHeight="1" x14ac:dyDescent="0.3">
      <c r="A611" s="169">
        <f>A610+1</f>
        <v>525</v>
      </c>
      <c r="B611" s="21" t="s">
        <v>611</v>
      </c>
      <c r="C611" s="5">
        <v>1959</v>
      </c>
      <c r="D611" s="3"/>
      <c r="E611" s="15" t="s">
        <v>3645</v>
      </c>
      <c r="F611" s="15">
        <v>3</v>
      </c>
      <c r="G611" s="100"/>
      <c r="H611" s="15">
        <v>1442.6</v>
      </c>
      <c r="I611" s="15">
        <v>49</v>
      </c>
      <c r="J611" s="19">
        <f t="shared" si="70"/>
        <v>268456.09999999998</v>
      </c>
      <c r="K611" s="105"/>
      <c r="L611" s="105"/>
      <c r="M611" s="105"/>
      <c r="N611" s="19">
        <f>SUMIF('2020'!B:B,B611,'2020'!C:C)+SUMIF('2021'!B:B,B611,'2021'!C:C)+SUMIF('2022'!B:B,B611,'2022'!C:C)</f>
        <v>268456.09999999998</v>
      </c>
      <c r="O611" s="17">
        <v>44925</v>
      </c>
      <c r="P611" s="5" t="s">
        <v>3728</v>
      </c>
      <c r="Q611" s="17">
        <v>44925</v>
      </c>
      <c r="R611" s="5" t="s">
        <v>3728</v>
      </c>
      <c r="S611" s="17">
        <v>44925</v>
      </c>
      <c r="T611" s="5" t="s">
        <v>3728</v>
      </c>
      <c r="U611" s="17">
        <v>44925</v>
      </c>
      <c r="V611" s="5" t="s">
        <v>3728</v>
      </c>
      <c r="W611" s="17">
        <v>44925</v>
      </c>
      <c r="X611" s="5" t="s">
        <v>3728</v>
      </c>
      <c r="Y611" s="17">
        <v>44925</v>
      </c>
      <c r="Z611" s="5" t="s">
        <v>3728</v>
      </c>
      <c r="AA611" s="17">
        <v>44925</v>
      </c>
      <c r="AB611" s="5" t="s">
        <v>3728</v>
      </c>
      <c r="AC611" s="17">
        <v>44925</v>
      </c>
      <c r="AD611" s="5" t="s">
        <v>3728</v>
      </c>
      <c r="AE611" s="17">
        <v>44925</v>
      </c>
      <c r="AF611" s="5" t="s">
        <v>3728</v>
      </c>
      <c r="AG611" s="17">
        <v>44925</v>
      </c>
      <c r="AH611" s="5" t="s">
        <v>3728</v>
      </c>
      <c r="AI611" s="17">
        <v>44925</v>
      </c>
      <c r="AJ611" s="5" t="s">
        <v>3728</v>
      </c>
      <c r="AK611" s="17">
        <v>44925</v>
      </c>
      <c r="AL611" s="5" t="s">
        <v>3728</v>
      </c>
      <c r="AM611" s="17">
        <v>44925</v>
      </c>
      <c r="AN611" s="5" t="s">
        <v>3728</v>
      </c>
      <c r="AO611" s="17">
        <v>44925</v>
      </c>
      <c r="AP611" s="5" t="s">
        <v>3728</v>
      </c>
      <c r="AQ611" s="17">
        <v>44925</v>
      </c>
      <c r="AR611" s="5" t="s">
        <v>3728</v>
      </c>
      <c r="AS611" s="17">
        <v>44925</v>
      </c>
      <c r="AT611" s="5" t="s">
        <v>3728</v>
      </c>
      <c r="AU611" s="17">
        <v>44925</v>
      </c>
      <c r="AV611" s="5" t="s">
        <v>3728</v>
      </c>
      <c r="AW611" s="17">
        <v>44925</v>
      </c>
      <c r="AX611" s="5" t="s">
        <v>3728</v>
      </c>
      <c r="AY611" s="17">
        <v>44925</v>
      </c>
      <c r="AZ611" s="5" t="s">
        <v>3728</v>
      </c>
      <c r="BA611" s="17">
        <v>44925</v>
      </c>
      <c r="BB611" s="5" t="s">
        <v>3728</v>
      </c>
      <c r="BC611" s="17">
        <v>44925</v>
      </c>
      <c r="BD611" s="5" t="s">
        <v>3728</v>
      </c>
      <c r="BE611" s="17">
        <v>44925</v>
      </c>
      <c r="BF611" s="5" t="s">
        <v>3728</v>
      </c>
      <c r="BG611" s="17">
        <v>44925</v>
      </c>
      <c r="BH611" s="5" t="s">
        <v>3728</v>
      </c>
      <c r="BI611" s="17">
        <v>44925</v>
      </c>
      <c r="BJ611" s="5" t="s">
        <v>3728</v>
      </c>
      <c r="BK611" s="17">
        <v>44925</v>
      </c>
      <c r="BL611" s="5" t="s">
        <v>3728</v>
      </c>
      <c r="BM611" s="17">
        <v>44925</v>
      </c>
      <c r="BN611" s="5" t="s">
        <v>3728</v>
      </c>
      <c r="BO611" s="17">
        <v>44925</v>
      </c>
      <c r="BP611" s="5" t="s">
        <v>3728</v>
      </c>
      <c r="BQ611" s="17">
        <v>44925</v>
      </c>
      <c r="BR611" s="5" t="s">
        <v>3728</v>
      </c>
      <c r="BS611" s="17">
        <v>44925</v>
      </c>
      <c r="BT611" s="5" t="s">
        <v>3728</v>
      </c>
      <c r="BU611" s="17">
        <v>44925</v>
      </c>
      <c r="BV611" s="5" t="s">
        <v>3728</v>
      </c>
      <c r="BW611" s="17">
        <v>44925</v>
      </c>
      <c r="BX611" s="5" t="s">
        <v>3728</v>
      </c>
      <c r="BY611" s="17">
        <v>44925</v>
      </c>
      <c r="BZ611" s="5" t="s">
        <v>3728</v>
      </c>
      <c r="CA611" s="17">
        <v>44925</v>
      </c>
      <c r="CB611" s="5" t="s">
        <v>3728</v>
      </c>
      <c r="CC611" s="17">
        <v>44925</v>
      </c>
      <c r="CD611" s="5" t="s">
        <v>3728</v>
      </c>
      <c r="CE611" s="17">
        <v>44925</v>
      </c>
      <c r="CF611" s="5" t="s">
        <v>3728</v>
      </c>
      <c r="CG611" s="17">
        <v>44925</v>
      </c>
      <c r="CH611" s="5" t="s">
        <v>3728</v>
      </c>
      <c r="CI611" s="17">
        <v>44925</v>
      </c>
      <c r="CJ611" s="5" t="s">
        <v>3728</v>
      </c>
      <c r="CK611" s="17">
        <v>44925</v>
      </c>
      <c r="CL611" s="5" t="s">
        <v>3728</v>
      </c>
      <c r="CM611" s="17">
        <v>44925</v>
      </c>
      <c r="CN611" s="5" t="s">
        <v>3728</v>
      </c>
      <c r="CO611" s="17">
        <v>44925</v>
      </c>
      <c r="CP611" s="5" t="s">
        <v>3728</v>
      </c>
      <c r="CQ611" s="17">
        <v>44925</v>
      </c>
      <c r="CR611" s="5" t="s">
        <v>3728</v>
      </c>
      <c r="CS611" s="17">
        <v>44925</v>
      </c>
      <c r="CT611" s="5" t="s">
        <v>3728</v>
      </c>
      <c r="CU611" s="17">
        <v>44925</v>
      </c>
      <c r="CV611" s="5" t="s">
        <v>3728</v>
      </c>
      <c r="CW611" s="17">
        <v>44925</v>
      </c>
      <c r="CX611" s="5" t="s">
        <v>3728</v>
      </c>
      <c r="CY611" s="17">
        <v>44925</v>
      </c>
      <c r="CZ611" s="5" t="s">
        <v>3728</v>
      </c>
      <c r="DA611" s="17">
        <v>44925</v>
      </c>
      <c r="DB611" s="5" t="s">
        <v>3728</v>
      </c>
      <c r="DC611" s="17">
        <v>44925</v>
      </c>
      <c r="DD611" s="5" t="s">
        <v>3728</v>
      </c>
      <c r="DE611" s="17">
        <v>44925</v>
      </c>
      <c r="DF611" s="5" t="s">
        <v>3728</v>
      </c>
      <c r="DG611" s="17">
        <v>44925</v>
      </c>
      <c r="DH611" s="5" t="s">
        <v>3728</v>
      </c>
      <c r="DI611" s="17">
        <v>44925</v>
      </c>
      <c r="DJ611" s="5" t="s">
        <v>3728</v>
      </c>
      <c r="DK611" s="17">
        <v>44925</v>
      </c>
      <c r="DL611" s="5" t="s">
        <v>3728</v>
      </c>
      <c r="DM611" s="17">
        <v>44925</v>
      </c>
      <c r="DN611" s="5" t="s">
        <v>3728</v>
      </c>
      <c r="DO611" s="17">
        <v>44925</v>
      </c>
      <c r="DP611" s="5" t="s">
        <v>3728</v>
      </c>
      <c r="DQ611" s="17">
        <v>44925</v>
      </c>
      <c r="DR611" s="5" t="s">
        <v>3728</v>
      </c>
      <c r="DS611" s="17">
        <v>44925</v>
      </c>
      <c r="DT611" s="5" t="s">
        <v>3728</v>
      </c>
      <c r="DU611" s="17">
        <v>44925</v>
      </c>
      <c r="DV611" s="5" t="s">
        <v>3728</v>
      </c>
      <c r="DW611" s="17">
        <v>44925</v>
      </c>
      <c r="DX611" s="5" t="s">
        <v>3728</v>
      </c>
      <c r="DY611" s="17">
        <v>44925</v>
      </c>
      <c r="DZ611" s="5" t="s">
        <v>3728</v>
      </c>
      <c r="EA611" s="17">
        <v>44925</v>
      </c>
      <c r="EB611" s="5" t="s">
        <v>3728</v>
      </c>
      <c r="EC611" s="17">
        <v>44925</v>
      </c>
      <c r="ED611" s="5" t="s">
        <v>3728</v>
      </c>
      <c r="EE611" s="17">
        <v>44925</v>
      </c>
      <c r="EF611" s="5" t="s">
        <v>3728</v>
      </c>
      <c r="EG611" s="17">
        <v>44925</v>
      </c>
      <c r="EH611" s="5" t="s">
        <v>3728</v>
      </c>
      <c r="EI611" s="17">
        <v>44925</v>
      </c>
      <c r="EJ611" s="5" t="s">
        <v>3728</v>
      </c>
      <c r="EK611" s="17">
        <v>44925</v>
      </c>
      <c r="EL611" s="5" t="s">
        <v>3728</v>
      </c>
      <c r="EM611" s="17">
        <v>44925</v>
      </c>
      <c r="EN611" s="5" t="s">
        <v>3728</v>
      </c>
      <c r="EO611" s="17">
        <v>44925</v>
      </c>
      <c r="EP611" s="5" t="s">
        <v>3728</v>
      </c>
      <c r="EQ611" s="17">
        <v>44925</v>
      </c>
      <c r="ER611" s="5" t="s">
        <v>3728</v>
      </c>
      <c r="ES611" s="17">
        <v>44925</v>
      </c>
      <c r="ET611" s="5" t="s">
        <v>3728</v>
      </c>
      <c r="EU611" s="17">
        <v>44925</v>
      </c>
      <c r="EV611" s="5" t="s">
        <v>3728</v>
      </c>
      <c r="EW611" s="17">
        <v>44925</v>
      </c>
      <c r="EX611" s="5" t="s">
        <v>3728</v>
      </c>
      <c r="EY611" s="17">
        <v>44925</v>
      </c>
      <c r="EZ611" s="5" t="s">
        <v>3728</v>
      </c>
      <c r="FA611" s="17">
        <v>44925</v>
      </c>
      <c r="FB611" s="5" t="s">
        <v>3728</v>
      </c>
      <c r="FC611" s="17">
        <v>44925</v>
      </c>
      <c r="FD611" s="5" t="s">
        <v>3728</v>
      </c>
      <c r="FE611" s="17">
        <v>44925</v>
      </c>
      <c r="FF611" s="5" t="s">
        <v>3728</v>
      </c>
      <c r="FG611" s="17">
        <v>44925</v>
      </c>
      <c r="FH611" s="5" t="s">
        <v>3728</v>
      </c>
      <c r="FI611" s="17">
        <v>44925</v>
      </c>
      <c r="FJ611" s="5" t="s">
        <v>3728</v>
      </c>
      <c r="FK611" s="17">
        <v>44925</v>
      </c>
      <c r="FL611" s="5" t="s">
        <v>3728</v>
      </c>
      <c r="FM611" s="17">
        <v>44925</v>
      </c>
      <c r="FN611" s="5" t="s">
        <v>3728</v>
      </c>
      <c r="FO611" s="17">
        <v>44925</v>
      </c>
      <c r="FP611" s="5" t="s">
        <v>3728</v>
      </c>
      <c r="FQ611" s="17">
        <v>44925</v>
      </c>
      <c r="FR611" s="5" t="s">
        <v>3728</v>
      </c>
      <c r="FS611" s="17">
        <v>44925</v>
      </c>
      <c r="FT611" s="5" t="s">
        <v>3728</v>
      </c>
      <c r="FU611" s="17">
        <v>44925</v>
      </c>
      <c r="FV611" s="5" t="s">
        <v>3728</v>
      </c>
      <c r="FW611" s="17">
        <v>44925</v>
      </c>
      <c r="FX611" s="5" t="s">
        <v>3728</v>
      </c>
      <c r="FY611" s="17">
        <v>44925</v>
      </c>
      <c r="FZ611" s="5" t="s">
        <v>3728</v>
      </c>
      <c r="GA611" s="17">
        <v>44925</v>
      </c>
      <c r="GB611" s="5" t="s">
        <v>3728</v>
      </c>
      <c r="GC611" s="17">
        <v>44925</v>
      </c>
      <c r="GD611" s="5" t="s">
        <v>3728</v>
      </c>
      <c r="GE611" s="17">
        <v>44925</v>
      </c>
      <c r="GF611" s="5" t="s">
        <v>3728</v>
      </c>
      <c r="GG611" s="17">
        <v>44925</v>
      </c>
      <c r="GH611" s="5" t="s">
        <v>3728</v>
      </c>
      <c r="GI611" s="17">
        <v>44925</v>
      </c>
      <c r="GJ611" s="5" t="s">
        <v>3728</v>
      </c>
      <c r="GK611" s="17">
        <v>44925</v>
      </c>
      <c r="GL611" s="5" t="s">
        <v>3728</v>
      </c>
      <c r="GM611" s="17">
        <v>44925</v>
      </c>
      <c r="GN611" s="5" t="s">
        <v>3728</v>
      </c>
      <c r="GO611" s="17">
        <v>44925</v>
      </c>
      <c r="GP611" s="5" t="s">
        <v>3728</v>
      </c>
      <c r="GQ611" s="17">
        <v>44925</v>
      </c>
      <c r="GR611" s="5" t="s">
        <v>3728</v>
      </c>
      <c r="GS611" s="17">
        <v>44925</v>
      </c>
      <c r="GT611" s="5" t="s">
        <v>3728</v>
      </c>
      <c r="GU611" s="17">
        <v>44925</v>
      </c>
      <c r="GV611" s="5" t="s">
        <v>3728</v>
      </c>
      <c r="GW611" s="17">
        <v>44925</v>
      </c>
      <c r="GX611" s="5" t="s">
        <v>3728</v>
      </c>
      <c r="GY611" s="17">
        <v>44925</v>
      </c>
      <c r="GZ611" s="5" t="s">
        <v>3728</v>
      </c>
      <c r="HA611" s="17">
        <v>44925</v>
      </c>
      <c r="HB611" s="5" t="s">
        <v>3728</v>
      </c>
      <c r="HC611" s="17">
        <v>44925</v>
      </c>
      <c r="HD611" s="5" t="s">
        <v>3728</v>
      </c>
      <c r="HE611" s="17">
        <v>44925</v>
      </c>
      <c r="HF611" s="5" t="s">
        <v>3728</v>
      </c>
      <c r="HG611" s="17">
        <v>44925</v>
      </c>
      <c r="HH611" s="5" t="s">
        <v>3728</v>
      </c>
      <c r="HI611" s="17">
        <v>44925</v>
      </c>
      <c r="HJ611" s="5" t="s">
        <v>3728</v>
      </c>
      <c r="HK611" s="17">
        <v>44925</v>
      </c>
      <c r="HL611" s="5" t="s">
        <v>3728</v>
      </c>
      <c r="HM611" s="17">
        <v>44925</v>
      </c>
      <c r="HN611" s="5" t="s">
        <v>3728</v>
      </c>
      <c r="HO611" s="17">
        <v>44925</v>
      </c>
      <c r="HP611" s="5" t="s">
        <v>3728</v>
      </c>
      <c r="HQ611" s="17">
        <v>44925</v>
      </c>
      <c r="HR611" s="5" t="s">
        <v>3728</v>
      </c>
      <c r="HS611" s="17">
        <v>44925</v>
      </c>
      <c r="HT611" s="5" t="s">
        <v>3728</v>
      </c>
      <c r="HU611" s="17">
        <v>44925</v>
      </c>
      <c r="HV611" s="5" t="s">
        <v>3728</v>
      </c>
      <c r="HW611" s="17">
        <v>44925</v>
      </c>
      <c r="HX611" s="5" t="s">
        <v>3728</v>
      </c>
      <c r="HY611" s="17">
        <v>44925</v>
      </c>
      <c r="HZ611" s="5" t="s">
        <v>3728</v>
      </c>
      <c r="IA611" s="17">
        <v>44925</v>
      </c>
      <c r="IB611" s="5" t="s">
        <v>3728</v>
      </c>
      <c r="IC611" s="17">
        <v>44925</v>
      </c>
      <c r="ID611" s="5" t="s">
        <v>3728</v>
      </c>
      <c r="IE611" s="17">
        <v>44925</v>
      </c>
      <c r="IF611" s="5" t="s">
        <v>3728</v>
      </c>
      <c r="IG611" s="17">
        <v>44925</v>
      </c>
      <c r="IH611" s="5" t="s">
        <v>3728</v>
      </c>
      <c r="II611" s="17">
        <v>44925</v>
      </c>
      <c r="IJ611" s="5" t="s">
        <v>3728</v>
      </c>
      <c r="IK611" s="17">
        <v>44925</v>
      </c>
      <c r="IL611" s="5" t="s">
        <v>3728</v>
      </c>
      <c r="IM611" s="17">
        <v>44925</v>
      </c>
      <c r="IN611" s="5" t="s">
        <v>3728</v>
      </c>
      <c r="IO611" s="17">
        <v>44925</v>
      </c>
      <c r="IP611" s="5" t="s">
        <v>3728</v>
      </c>
      <c r="IQ611" s="17">
        <v>44925</v>
      </c>
      <c r="IR611" s="5" t="s">
        <v>3728</v>
      </c>
      <c r="IS611" s="17">
        <v>44925</v>
      </c>
      <c r="IT611" s="5" t="s">
        <v>3728</v>
      </c>
      <c r="IU611" s="17">
        <v>44925</v>
      </c>
      <c r="IV611" s="5" t="s">
        <v>3728</v>
      </c>
      <c r="IW611" s="17">
        <v>44925</v>
      </c>
      <c r="IX611" s="5" t="s">
        <v>3728</v>
      </c>
      <c r="IY611" s="17">
        <v>44925</v>
      </c>
      <c r="IZ611" s="5" t="s">
        <v>3728</v>
      </c>
      <c r="JA611" s="17">
        <v>44925</v>
      </c>
      <c r="JB611" s="5" t="s">
        <v>3728</v>
      </c>
      <c r="JC611" s="17">
        <v>44925</v>
      </c>
      <c r="JD611" s="5" t="s">
        <v>3728</v>
      </c>
      <c r="JE611" s="17">
        <v>44925</v>
      </c>
      <c r="JF611" s="5" t="s">
        <v>3728</v>
      </c>
      <c r="JG611" s="17">
        <v>44925</v>
      </c>
      <c r="JH611" s="5" t="s">
        <v>3728</v>
      </c>
      <c r="JI611" s="17">
        <v>44925</v>
      </c>
      <c r="JJ611" s="5" t="s">
        <v>3728</v>
      </c>
      <c r="JK611" s="17">
        <v>44925</v>
      </c>
      <c r="JL611" s="5" t="s">
        <v>3728</v>
      </c>
      <c r="JM611" s="17">
        <v>44925</v>
      </c>
      <c r="JN611" s="5" t="s">
        <v>3728</v>
      </c>
      <c r="JO611" s="17">
        <v>44925</v>
      </c>
      <c r="JP611" s="5" t="s">
        <v>3728</v>
      </c>
      <c r="JQ611" s="17">
        <v>44925</v>
      </c>
      <c r="JR611" s="5" t="s">
        <v>3728</v>
      </c>
      <c r="JS611" s="17">
        <v>44925</v>
      </c>
      <c r="JT611" s="5" t="s">
        <v>3728</v>
      </c>
      <c r="JU611" s="17">
        <v>44925</v>
      </c>
      <c r="JV611" s="5" t="s">
        <v>3728</v>
      </c>
      <c r="JW611" s="17">
        <v>44925</v>
      </c>
      <c r="JX611" s="5" t="s">
        <v>3728</v>
      </c>
      <c r="JY611" s="17">
        <v>44925</v>
      </c>
      <c r="JZ611" s="5" t="s">
        <v>3728</v>
      </c>
      <c r="KA611" s="17">
        <v>44925</v>
      </c>
      <c r="KB611" s="5" t="s">
        <v>3728</v>
      </c>
      <c r="KC611" s="17">
        <v>44925</v>
      </c>
      <c r="KD611" s="5" t="s">
        <v>3728</v>
      </c>
      <c r="KE611" s="17">
        <v>44925</v>
      </c>
      <c r="KF611" s="5" t="s">
        <v>3728</v>
      </c>
      <c r="KG611" s="17">
        <v>44925</v>
      </c>
      <c r="KH611" s="5" t="s">
        <v>3728</v>
      </c>
      <c r="KI611" s="17">
        <v>44925</v>
      </c>
      <c r="KJ611" s="5" t="s">
        <v>3728</v>
      </c>
      <c r="KK611" s="17">
        <v>44925</v>
      </c>
      <c r="KL611" s="5" t="s">
        <v>3728</v>
      </c>
      <c r="KM611" s="17">
        <v>44925</v>
      </c>
      <c r="KN611" s="5" t="s">
        <v>3728</v>
      </c>
      <c r="KO611" s="17">
        <v>44925</v>
      </c>
      <c r="KP611" s="5" t="s">
        <v>3728</v>
      </c>
      <c r="KQ611" s="17">
        <v>44925</v>
      </c>
      <c r="KR611" s="5" t="s">
        <v>3728</v>
      </c>
      <c r="KS611" s="17">
        <v>44925</v>
      </c>
      <c r="KT611" s="5" t="s">
        <v>3728</v>
      </c>
      <c r="KU611" s="17">
        <v>44925</v>
      </c>
      <c r="KV611" s="5" t="s">
        <v>3728</v>
      </c>
      <c r="KW611" s="17">
        <v>44925</v>
      </c>
      <c r="KX611" s="5" t="s">
        <v>3728</v>
      </c>
      <c r="KY611" s="17">
        <v>44925</v>
      </c>
      <c r="KZ611" s="5" t="s">
        <v>3728</v>
      </c>
      <c r="LA611" s="17">
        <v>44925</v>
      </c>
      <c r="LB611" s="5" t="s">
        <v>3728</v>
      </c>
      <c r="LC611" s="17">
        <v>44925</v>
      </c>
      <c r="LD611" s="5" t="s">
        <v>3728</v>
      </c>
      <c r="LE611" s="17">
        <v>44925</v>
      </c>
      <c r="LF611" s="5" t="s">
        <v>3728</v>
      </c>
      <c r="LG611" s="17">
        <v>44925</v>
      </c>
      <c r="LH611" s="5" t="s">
        <v>3728</v>
      </c>
      <c r="LI611" s="17">
        <v>44925</v>
      </c>
      <c r="LJ611" s="5" t="s">
        <v>3728</v>
      </c>
      <c r="LK611" s="17">
        <v>44925</v>
      </c>
      <c r="LL611" s="5" t="s">
        <v>3728</v>
      </c>
      <c r="LM611" s="17">
        <v>44925</v>
      </c>
      <c r="LN611" s="5" t="s">
        <v>3728</v>
      </c>
      <c r="LO611" s="17">
        <v>44925</v>
      </c>
      <c r="LP611" s="5" t="s">
        <v>3728</v>
      </c>
      <c r="LQ611" s="17">
        <v>44925</v>
      </c>
      <c r="LR611" s="5" t="s">
        <v>3728</v>
      </c>
      <c r="LS611" s="17">
        <v>44925</v>
      </c>
      <c r="LT611" s="5" t="s">
        <v>3728</v>
      </c>
      <c r="LU611" s="17">
        <v>44925</v>
      </c>
      <c r="LV611" s="5" t="s">
        <v>3728</v>
      </c>
      <c r="LW611" s="17">
        <v>44925</v>
      </c>
      <c r="LX611" s="5" t="s">
        <v>3728</v>
      </c>
      <c r="LY611" s="17">
        <v>44925</v>
      </c>
      <c r="LZ611" s="5" t="s">
        <v>3728</v>
      </c>
      <c r="MA611" s="17">
        <v>44925</v>
      </c>
      <c r="MB611" s="5" t="s">
        <v>3728</v>
      </c>
      <c r="MC611" s="17">
        <v>44925</v>
      </c>
      <c r="MD611" s="5" t="s">
        <v>3728</v>
      </c>
      <c r="ME611" s="17">
        <v>44925</v>
      </c>
      <c r="MF611" s="5" t="s">
        <v>3728</v>
      </c>
      <c r="MG611" s="17">
        <v>44925</v>
      </c>
      <c r="MH611" s="5" t="s">
        <v>3728</v>
      </c>
      <c r="MI611" s="17">
        <v>44925</v>
      </c>
      <c r="MJ611" s="5" t="s">
        <v>3728</v>
      </c>
      <c r="MK611" s="17">
        <v>44925</v>
      </c>
      <c r="ML611" s="5" t="s">
        <v>3728</v>
      </c>
      <c r="MM611" s="17">
        <v>44925</v>
      </c>
      <c r="MN611" s="5" t="s">
        <v>3728</v>
      </c>
      <c r="MO611" s="17">
        <v>44925</v>
      </c>
      <c r="MP611" s="5" t="s">
        <v>3728</v>
      </c>
      <c r="MQ611" s="17">
        <v>44925</v>
      </c>
      <c r="MR611" s="5" t="s">
        <v>3728</v>
      </c>
      <c r="MS611" s="17">
        <v>44925</v>
      </c>
      <c r="MT611" s="5" t="s">
        <v>3728</v>
      </c>
      <c r="MU611" s="17">
        <v>44925</v>
      </c>
      <c r="MV611" s="5" t="s">
        <v>3728</v>
      </c>
      <c r="MW611" s="17">
        <v>44925</v>
      </c>
      <c r="MX611" s="5" t="s">
        <v>3728</v>
      </c>
      <c r="MY611" s="17">
        <v>44925</v>
      </c>
      <c r="MZ611" s="5" t="s">
        <v>3728</v>
      </c>
      <c r="NA611" s="17">
        <v>44925</v>
      </c>
      <c r="NB611" s="5" t="s">
        <v>3728</v>
      </c>
      <c r="NC611" s="17">
        <v>44925</v>
      </c>
      <c r="ND611" s="5" t="s">
        <v>3728</v>
      </c>
      <c r="NE611" s="17">
        <v>44925</v>
      </c>
      <c r="NF611" s="5" t="s">
        <v>3728</v>
      </c>
      <c r="NG611" s="17">
        <v>44925</v>
      </c>
      <c r="NH611" s="5" t="s">
        <v>3728</v>
      </c>
      <c r="NI611" s="17">
        <v>44925</v>
      </c>
      <c r="NJ611" s="5" t="s">
        <v>3728</v>
      </c>
      <c r="NK611" s="17">
        <v>44925</v>
      </c>
      <c r="NL611" s="5" t="s">
        <v>3728</v>
      </c>
      <c r="NM611" s="17">
        <v>44925</v>
      </c>
      <c r="NN611" s="5" t="s">
        <v>3728</v>
      </c>
      <c r="NO611" s="17">
        <v>44925</v>
      </c>
      <c r="NP611" s="5" t="s">
        <v>3728</v>
      </c>
      <c r="NQ611" s="17">
        <v>44925</v>
      </c>
      <c r="NR611" s="5" t="s">
        <v>3728</v>
      </c>
      <c r="NS611" s="17">
        <v>44925</v>
      </c>
      <c r="NT611" s="5" t="s">
        <v>3728</v>
      </c>
      <c r="NU611" s="17">
        <v>44925</v>
      </c>
      <c r="NV611" s="5" t="s">
        <v>3728</v>
      </c>
      <c r="NW611" s="17">
        <v>44925</v>
      </c>
      <c r="NX611" s="5" t="s">
        <v>3728</v>
      </c>
      <c r="NY611" s="17">
        <v>44925</v>
      </c>
      <c r="NZ611" s="5" t="s">
        <v>3728</v>
      </c>
      <c r="OA611" s="17">
        <v>44925</v>
      </c>
      <c r="OB611" s="5" t="s">
        <v>3728</v>
      </c>
      <c r="OC611" s="17">
        <v>44925</v>
      </c>
      <c r="OD611" s="5" t="s">
        <v>3728</v>
      </c>
      <c r="OE611" s="17">
        <v>44925</v>
      </c>
      <c r="OF611" s="5" t="s">
        <v>3728</v>
      </c>
      <c r="OG611" s="17">
        <v>44925</v>
      </c>
      <c r="OH611" s="5" t="s">
        <v>3728</v>
      </c>
      <c r="OI611" s="17">
        <v>44925</v>
      </c>
      <c r="OJ611" s="5" t="s">
        <v>3728</v>
      </c>
      <c r="OK611" s="17">
        <v>44925</v>
      </c>
      <c r="OL611" s="5" t="s">
        <v>3728</v>
      </c>
      <c r="OM611" s="17">
        <v>44925</v>
      </c>
      <c r="ON611" s="5" t="s">
        <v>3728</v>
      </c>
      <c r="OO611" s="17">
        <v>44925</v>
      </c>
      <c r="OP611" s="5" t="s">
        <v>3728</v>
      </c>
      <c r="OQ611" s="17">
        <v>44925</v>
      </c>
      <c r="OR611" s="5" t="s">
        <v>3728</v>
      </c>
      <c r="OS611" s="17">
        <v>44925</v>
      </c>
      <c r="OT611" s="5" t="s">
        <v>3728</v>
      </c>
      <c r="OU611" s="17">
        <v>44925</v>
      </c>
      <c r="OV611" s="5" t="s">
        <v>3728</v>
      </c>
      <c r="OW611" s="17">
        <v>44925</v>
      </c>
      <c r="OX611" s="5" t="s">
        <v>3728</v>
      </c>
      <c r="OY611" s="17">
        <v>44925</v>
      </c>
      <c r="OZ611" s="5" t="s">
        <v>3728</v>
      </c>
      <c r="PA611" s="17">
        <v>44925</v>
      </c>
      <c r="PB611" s="5" t="s">
        <v>3728</v>
      </c>
      <c r="PC611" s="17">
        <v>44925</v>
      </c>
      <c r="PD611" s="5" t="s">
        <v>3728</v>
      </c>
      <c r="PE611" s="17">
        <v>44925</v>
      </c>
      <c r="PF611" s="5" t="s">
        <v>3728</v>
      </c>
      <c r="PG611" s="17">
        <v>44925</v>
      </c>
      <c r="PH611" s="5" t="s">
        <v>3728</v>
      </c>
      <c r="PI611" s="17">
        <v>44925</v>
      </c>
      <c r="PJ611" s="5" t="s">
        <v>3728</v>
      </c>
      <c r="PK611" s="17">
        <v>44925</v>
      </c>
      <c r="PL611" s="5" t="s">
        <v>3728</v>
      </c>
      <c r="PM611" s="17">
        <v>44925</v>
      </c>
      <c r="PN611" s="5" t="s">
        <v>3728</v>
      </c>
      <c r="PO611" s="17">
        <v>44925</v>
      </c>
      <c r="PP611" s="5" t="s">
        <v>3728</v>
      </c>
      <c r="PQ611" s="17">
        <v>44925</v>
      </c>
      <c r="PR611" s="5" t="s">
        <v>3728</v>
      </c>
      <c r="PS611" s="17">
        <v>44925</v>
      </c>
      <c r="PT611" s="5" t="s">
        <v>3728</v>
      </c>
      <c r="PU611" s="17">
        <v>44925</v>
      </c>
      <c r="PV611" s="5" t="s">
        <v>3728</v>
      </c>
      <c r="PW611" s="17">
        <v>44925</v>
      </c>
      <c r="PX611" s="5" t="s">
        <v>3728</v>
      </c>
      <c r="PY611" s="17">
        <v>44925</v>
      </c>
      <c r="PZ611" s="5" t="s">
        <v>3728</v>
      </c>
      <c r="QA611" s="17">
        <v>44925</v>
      </c>
      <c r="QB611" s="5" t="s">
        <v>3728</v>
      </c>
      <c r="QC611" s="17">
        <v>44925</v>
      </c>
      <c r="QD611" s="5" t="s">
        <v>3728</v>
      </c>
      <c r="QE611" s="17">
        <v>44925</v>
      </c>
      <c r="QF611" s="5" t="s">
        <v>3728</v>
      </c>
      <c r="QG611" s="17">
        <v>44925</v>
      </c>
      <c r="QH611" s="5" t="s">
        <v>3728</v>
      </c>
      <c r="QI611" s="17">
        <v>44925</v>
      </c>
      <c r="QJ611" s="5" t="s">
        <v>3728</v>
      </c>
      <c r="QK611" s="17">
        <v>44925</v>
      </c>
      <c r="QL611" s="5" t="s">
        <v>3728</v>
      </c>
      <c r="QM611" s="17">
        <v>44925</v>
      </c>
      <c r="QN611" s="5" t="s">
        <v>3728</v>
      </c>
      <c r="QO611" s="17">
        <v>44925</v>
      </c>
      <c r="QP611" s="5" t="s">
        <v>3728</v>
      </c>
      <c r="QQ611" s="17">
        <v>44925</v>
      </c>
      <c r="QR611" s="5" t="s">
        <v>3728</v>
      </c>
      <c r="QS611" s="17">
        <v>44925</v>
      </c>
      <c r="QT611" s="5" t="s">
        <v>3728</v>
      </c>
      <c r="QU611" s="17">
        <v>44925</v>
      </c>
      <c r="QV611" s="5" t="s">
        <v>3728</v>
      </c>
      <c r="QW611" s="17">
        <v>44925</v>
      </c>
      <c r="QX611" s="5" t="s">
        <v>3728</v>
      </c>
      <c r="QY611" s="17">
        <v>44925</v>
      </c>
      <c r="QZ611" s="5" t="s">
        <v>3728</v>
      </c>
      <c r="RA611" s="17">
        <v>44925</v>
      </c>
      <c r="RB611" s="5" t="s">
        <v>3728</v>
      </c>
      <c r="RC611" s="17">
        <v>44925</v>
      </c>
      <c r="RD611" s="5" t="s">
        <v>3728</v>
      </c>
      <c r="RE611" s="17">
        <v>44925</v>
      </c>
      <c r="RF611" s="5" t="s">
        <v>3728</v>
      </c>
      <c r="RG611" s="17">
        <v>44925</v>
      </c>
      <c r="RH611" s="5" t="s">
        <v>3728</v>
      </c>
      <c r="RI611" s="17">
        <v>44925</v>
      </c>
      <c r="RJ611" s="5" t="s">
        <v>3728</v>
      </c>
      <c r="RK611" s="17">
        <v>44925</v>
      </c>
      <c r="RL611" s="5" t="s">
        <v>3728</v>
      </c>
      <c r="RM611" s="17">
        <v>44925</v>
      </c>
      <c r="RN611" s="5" t="s">
        <v>3728</v>
      </c>
      <c r="RO611" s="17">
        <v>44925</v>
      </c>
      <c r="RP611" s="5" t="s">
        <v>3728</v>
      </c>
      <c r="RQ611" s="17">
        <v>44925</v>
      </c>
      <c r="RR611" s="5" t="s">
        <v>3728</v>
      </c>
      <c r="RS611" s="17">
        <v>44925</v>
      </c>
      <c r="RT611" s="5" t="s">
        <v>3728</v>
      </c>
      <c r="RU611" s="17">
        <v>44925</v>
      </c>
      <c r="RV611" s="5" t="s">
        <v>3728</v>
      </c>
      <c r="RW611" s="17">
        <v>44925</v>
      </c>
      <c r="RX611" s="5" t="s">
        <v>3728</v>
      </c>
      <c r="RY611" s="17">
        <v>44925</v>
      </c>
      <c r="RZ611" s="5" t="s">
        <v>3728</v>
      </c>
      <c r="SA611" s="17">
        <v>44925</v>
      </c>
      <c r="SB611" s="5" t="s">
        <v>3728</v>
      </c>
      <c r="SC611" s="17">
        <v>44925</v>
      </c>
      <c r="SD611" s="5" t="s">
        <v>3728</v>
      </c>
      <c r="SE611" s="17">
        <v>44925</v>
      </c>
      <c r="SF611" s="5" t="s">
        <v>3728</v>
      </c>
      <c r="SG611" s="17">
        <v>44925</v>
      </c>
      <c r="SH611" s="5" t="s">
        <v>3728</v>
      </c>
      <c r="SI611" s="17">
        <v>44925</v>
      </c>
      <c r="SJ611" s="5" t="s">
        <v>3728</v>
      </c>
      <c r="SK611" s="17">
        <v>44925</v>
      </c>
      <c r="SL611" s="5" t="s">
        <v>3728</v>
      </c>
      <c r="SM611" s="17">
        <v>44925</v>
      </c>
      <c r="SN611" s="5" t="s">
        <v>3728</v>
      </c>
      <c r="SO611" s="17">
        <v>44925</v>
      </c>
      <c r="SP611" s="5" t="s">
        <v>3728</v>
      </c>
      <c r="SQ611" s="17">
        <v>44925</v>
      </c>
      <c r="SR611" s="5" t="s">
        <v>3728</v>
      </c>
      <c r="SS611" s="17">
        <v>44925</v>
      </c>
      <c r="ST611" s="5" t="s">
        <v>3728</v>
      </c>
      <c r="SU611" s="17">
        <v>44925</v>
      </c>
      <c r="SV611" s="5" t="s">
        <v>3728</v>
      </c>
      <c r="SW611" s="17">
        <v>44925</v>
      </c>
      <c r="SX611" s="5" t="s">
        <v>3728</v>
      </c>
      <c r="SY611" s="17">
        <v>44925</v>
      </c>
      <c r="SZ611" s="5" t="s">
        <v>3728</v>
      </c>
      <c r="TA611" s="17">
        <v>44925</v>
      </c>
      <c r="TB611" s="5" t="s">
        <v>3728</v>
      </c>
      <c r="TC611" s="17">
        <v>44925</v>
      </c>
      <c r="TD611" s="5" t="s">
        <v>3728</v>
      </c>
      <c r="TE611" s="17">
        <v>44925</v>
      </c>
      <c r="TF611" s="5" t="s">
        <v>3728</v>
      </c>
      <c r="TG611" s="17">
        <v>44925</v>
      </c>
      <c r="TH611" s="5" t="s">
        <v>3728</v>
      </c>
      <c r="TI611" s="17">
        <v>44925</v>
      </c>
      <c r="TJ611" s="5" t="s">
        <v>3728</v>
      </c>
      <c r="TK611" s="17">
        <v>44925</v>
      </c>
      <c r="TL611" s="5" t="s">
        <v>3728</v>
      </c>
      <c r="TM611" s="17">
        <v>44925</v>
      </c>
      <c r="TN611" s="5" t="s">
        <v>3728</v>
      </c>
      <c r="TO611" s="17">
        <v>44925</v>
      </c>
      <c r="TP611" s="5" t="s">
        <v>3728</v>
      </c>
      <c r="TQ611" s="17">
        <v>44925</v>
      </c>
      <c r="TR611" s="5" t="s">
        <v>3728</v>
      </c>
      <c r="TS611" s="17">
        <v>44925</v>
      </c>
      <c r="TT611" s="5" t="s">
        <v>3728</v>
      </c>
      <c r="TU611" s="17">
        <v>44925</v>
      </c>
      <c r="TV611" s="5" t="s">
        <v>3728</v>
      </c>
      <c r="TW611" s="17">
        <v>44925</v>
      </c>
      <c r="TX611" s="5" t="s">
        <v>3728</v>
      </c>
      <c r="TY611" s="17">
        <v>44925</v>
      </c>
      <c r="TZ611" s="5" t="s">
        <v>3728</v>
      </c>
      <c r="UA611" s="17">
        <v>44925</v>
      </c>
      <c r="UB611" s="5" t="s">
        <v>3728</v>
      </c>
      <c r="UC611" s="17">
        <v>44925</v>
      </c>
      <c r="UD611" s="5" t="s">
        <v>3728</v>
      </c>
      <c r="UE611" s="17">
        <v>44925</v>
      </c>
      <c r="UF611" s="5" t="s">
        <v>3728</v>
      </c>
      <c r="UG611" s="17">
        <v>44925</v>
      </c>
      <c r="UH611" s="5" t="s">
        <v>3728</v>
      </c>
      <c r="UI611" s="17">
        <v>44925</v>
      </c>
      <c r="UJ611" s="5" t="s">
        <v>3728</v>
      </c>
      <c r="UK611" s="17">
        <v>44925</v>
      </c>
      <c r="UL611" s="5" t="s">
        <v>3728</v>
      </c>
      <c r="UM611" s="17">
        <v>44925</v>
      </c>
      <c r="UN611" s="5" t="s">
        <v>3728</v>
      </c>
      <c r="UO611" s="17">
        <v>44925</v>
      </c>
      <c r="UP611" s="5" t="s">
        <v>3728</v>
      </c>
      <c r="UQ611" s="17">
        <v>44925</v>
      </c>
      <c r="UR611" s="5" t="s">
        <v>3728</v>
      </c>
      <c r="US611" s="17">
        <v>44925</v>
      </c>
      <c r="UT611" s="5" t="s">
        <v>3728</v>
      </c>
      <c r="UU611" s="17">
        <v>44925</v>
      </c>
      <c r="UV611" s="5" t="s">
        <v>3728</v>
      </c>
      <c r="UW611" s="17">
        <v>44925</v>
      </c>
      <c r="UX611" s="5" t="s">
        <v>3728</v>
      </c>
      <c r="UY611" s="17">
        <v>44925</v>
      </c>
      <c r="UZ611" s="5" t="s">
        <v>3728</v>
      </c>
      <c r="VA611" s="17">
        <v>44925</v>
      </c>
      <c r="VB611" s="5" t="s">
        <v>3728</v>
      </c>
      <c r="VC611" s="17">
        <v>44925</v>
      </c>
      <c r="VD611" s="5" t="s">
        <v>3728</v>
      </c>
      <c r="VE611" s="17">
        <v>44925</v>
      </c>
      <c r="VF611" s="5" t="s">
        <v>3728</v>
      </c>
      <c r="VG611" s="17">
        <v>44925</v>
      </c>
      <c r="VH611" s="5" t="s">
        <v>3728</v>
      </c>
      <c r="VI611" s="17">
        <v>44925</v>
      </c>
      <c r="VJ611" s="5" t="s">
        <v>3728</v>
      </c>
      <c r="VK611" s="17">
        <v>44925</v>
      </c>
      <c r="VL611" s="5" t="s">
        <v>3728</v>
      </c>
      <c r="VM611" s="17">
        <v>44925</v>
      </c>
      <c r="VN611" s="5" t="s">
        <v>3728</v>
      </c>
      <c r="VO611" s="17">
        <v>44925</v>
      </c>
      <c r="VP611" s="5" t="s">
        <v>3728</v>
      </c>
      <c r="VQ611" s="17">
        <v>44925</v>
      </c>
      <c r="VR611" s="5" t="s">
        <v>3728</v>
      </c>
      <c r="VS611" s="17">
        <v>44925</v>
      </c>
      <c r="VT611" s="5" t="s">
        <v>3728</v>
      </c>
      <c r="VU611" s="17">
        <v>44925</v>
      </c>
      <c r="VV611" s="5" t="s">
        <v>3728</v>
      </c>
      <c r="VW611" s="17">
        <v>44925</v>
      </c>
      <c r="VX611" s="5" t="s">
        <v>3728</v>
      </c>
      <c r="VY611" s="17">
        <v>44925</v>
      </c>
      <c r="VZ611" s="5" t="s">
        <v>3728</v>
      </c>
      <c r="WA611" s="17">
        <v>44925</v>
      </c>
      <c r="WB611" s="5" t="s">
        <v>3728</v>
      </c>
      <c r="WC611" s="17">
        <v>44925</v>
      </c>
      <c r="WD611" s="5" t="s">
        <v>3728</v>
      </c>
      <c r="WE611" s="17">
        <v>44925</v>
      </c>
      <c r="WF611" s="5" t="s">
        <v>3728</v>
      </c>
      <c r="WG611" s="17">
        <v>44925</v>
      </c>
      <c r="WH611" s="5" t="s">
        <v>3728</v>
      </c>
      <c r="WI611" s="17">
        <v>44925</v>
      </c>
      <c r="WJ611" s="5" t="s">
        <v>3728</v>
      </c>
      <c r="WK611" s="17">
        <v>44925</v>
      </c>
      <c r="WL611" s="5" t="s">
        <v>3728</v>
      </c>
      <c r="WM611" s="17">
        <v>44925</v>
      </c>
      <c r="WN611" s="5" t="s">
        <v>3728</v>
      </c>
      <c r="WO611" s="17">
        <v>44925</v>
      </c>
      <c r="WP611" s="5" t="s">
        <v>3728</v>
      </c>
      <c r="WQ611" s="17">
        <v>44925</v>
      </c>
      <c r="WR611" s="5" t="s">
        <v>3728</v>
      </c>
      <c r="WS611" s="17">
        <v>44925</v>
      </c>
      <c r="WT611" s="5" t="s">
        <v>3728</v>
      </c>
      <c r="WU611" s="17">
        <v>44925</v>
      </c>
      <c r="WV611" s="5" t="s">
        <v>3728</v>
      </c>
      <c r="WW611" s="17">
        <v>44925</v>
      </c>
      <c r="WX611" s="5" t="s">
        <v>3728</v>
      </c>
      <c r="WY611" s="17">
        <v>44925</v>
      </c>
      <c r="WZ611" s="5" t="s">
        <v>3728</v>
      </c>
      <c r="XA611" s="17">
        <v>44925</v>
      </c>
      <c r="XB611" s="5" t="s">
        <v>3728</v>
      </c>
      <c r="XC611" s="17">
        <v>44925</v>
      </c>
      <c r="XD611" s="5" t="s">
        <v>3728</v>
      </c>
      <c r="XE611" s="17">
        <v>44925</v>
      </c>
      <c r="XF611" s="5" t="s">
        <v>3728</v>
      </c>
      <c r="XG611" s="17">
        <v>44925</v>
      </c>
      <c r="XH611" s="5" t="s">
        <v>3728</v>
      </c>
      <c r="XI611" s="17">
        <v>44925</v>
      </c>
      <c r="XJ611" s="5" t="s">
        <v>3728</v>
      </c>
      <c r="XK611" s="17">
        <v>44925</v>
      </c>
      <c r="XL611" s="5" t="s">
        <v>3728</v>
      </c>
      <c r="XM611" s="17">
        <v>44925</v>
      </c>
      <c r="XN611" s="5" t="s">
        <v>3728</v>
      </c>
      <c r="XO611" s="17">
        <v>44925</v>
      </c>
      <c r="XP611" s="5" t="s">
        <v>3728</v>
      </c>
      <c r="XQ611" s="17">
        <v>44925</v>
      </c>
      <c r="XR611" s="5" t="s">
        <v>3728</v>
      </c>
      <c r="XS611" s="17">
        <v>44925</v>
      </c>
      <c r="XT611" s="5" t="s">
        <v>3728</v>
      </c>
      <c r="XU611" s="17">
        <v>44925</v>
      </c>
      <c r="XV611" s="5" t="s">
        <v>3728</v>
      </c>
      <c r="XW611" s="17">
        <v>44925</v>
      </c>
      <c r="XX611" s="5" t="s">
        <v>3728</v>
      </c>
      <c r="XY611" s="17">
        <v>44925</v>
      </c>
      <c r="XZ611" s="5" t="s">
        <v>3728</v>
      </c>
      <c r="YA611" s="17">
        <v>44925</v>
      </c>
      <c r="YB611" s="5" t="s">
        <v>3728</v>
      </c>
      <c r="YC611" s="17">
        <v>44925</v>
      </c>
      <c r="YD611" s="5" t="s">
        <v>3728</v>
      </c>
      <c r="YE611" s="17">
        <v>44925</v>
      </c>
      <c r="YF611" s="5" t="s">
        <v>3728</v>
      </c>
      <c r="YG611" s="17">
        <v>44925</v>
      </c>
      <c r="YH611" s="5" t="s">
        <v>3728</v>
      </c>
      <c r="YI611" s="17">
        <v>44925</v>
      </c>
      <c r="YJ611" s="5" t="s">
        <v>3728</v>
      </c>
      <c r="YK611" s="17">
        <v>44925</v>
      </c>
      <c r="YL611" s="5" t="s">
        <v>3728</v>
      </c>
      <c r="YM611" s="17">
        <v>44925</v>
      </c>
      <c r="YN611" s="5" t="s">
        <v>3728</v>
      </c>
      <c r="YO611" s="17">
        <v>44925</v>
      </c>
      <c r="YP611" s="5" t="s">
        <v>3728</v>
      </c>
      <c r="YQ611" s="17">
        <v>44925</v>
      </c>
      <c r="YR611" s="5" t="s">
        <v>3728</v>
      </c>
      <c r="YS611" s="17">
        <v>44925</v>
      </c>
      <c r="YT611" s="5" t="s">
        <v>3728</v>
      </c>
      <c r="YU611" s="17">
        <v>44925</v>
      </c>
      <c r="YV611" s="5" t="s">
        <v>3728</v>
      </c>
      <c r="YW611" s="17">
        <v>44925</v>
      </c>
      <c r="YX611" s="5" t="s">
        <v>3728</v>
      </c>
      <c r="YY611" s="17">
        <v>44925</v>
      </c>
      <c r="YZ611" s="5" t="s">
        <v>3728</v>
      </c>
      <c r="ZA611" s="17">
        <v>44925</v>
      </c>
      <c r="ZB611" s="5" t="s">
        <v>3728</v>
      </c>
      <c r="ZC611" s="17">
        <v>44925</v>
      </c>
      <c r="ZD611" s="5" t="s">
        <v>3728</v>
      </c>
      <c r="ZE611" s="17">
        <v>44925</v>
      </c>
      <c r="ZF611" s="5" t="s">
        <v>3728</v>
      </c>
      <c r="ZG611" s="17">
        <v>44925</v>
      </c>
      <c r="ZH611" s="5" t="s">
        <v>3728</v>
      </c>
      <c r="ZI611" s="17">
        <v>44925</v>
      </c>
      <c r="ZJ611" s="5" t="s">
        <v>3728</v>
      </c>
      <c r="ZK611" s="17">
        <v>44925</v>
      </c>
      <c r="ZL611" s="5" t="s">
        <v>3728</v>
      </c>
      <c r="ZM611" s="17">
        <v>44925</v>
      </c>
      <c r="ZN611" s="5" t="s">
        <v>3728</v>
      </c>
      <c r="ZO611" s="17">
        <v>44925</v>
      </c>
      <c r="ZP611" s="5" t="s">
        <v>3728</v>
      </c>
      <c r="ZQ611" s="17">
        <v>44925</v>
      </c>
      <c r="ZR611" s="5" t="s">
        <v>3728</v>
      </c>
      <c r="ZS611" s="17">
        <v>44925</v>
      </c>
      <c r="ZT611" s="5" t="s">
        <v>3728</v>
      </c>
      <c r="ZU611" s="17">
        <v>44925</v>
      </c>
      <c r="ZV611" s="5" t="s">
        <v>3728</v>
      </c>
      <c r="ZW611" s="17">
        <v>44925</v>
      </c>
      <c r="ZX611" s="5" t="s">
        <v>3728</v>
      </c>
      <c r="ZY611" s="17">
        <v>44925</v>
      </c>
      <c r="ZZ611" s="5" t="s">
        <v>3728</v>
      </c>
      <c r="AAA611" s="17">
        <v>44925</v>
      </c>
      <c r="AAB611" s="5" t="s">
        <v>3728</v>
      </c>
      <c r="AAC611" s="17">
        <v>44925</v>
      </c>
      <c r="AAD611" s="5" t="s">
        <v>3728</v>
      </c>
      <c r="AAE611" s="17">
        <v>44925</v>
      </c>
      <c r="AAF611" s="5" t="s">
        <v>3728</v>
      </c>
      <c r="AAG611" s="17">
        <v>44925</v>
      </c>
      <c r="AAH611" s="5" t="s">
        <v>3728</v>
      </c>
      <c r="AAI611" s="17">
        <v>44925</v>
      </c>
      <c r="AAJ611" s="5" t="s">
        <v>3728</v>
      </c>
      <c r="AAK611" s="17">
        <v>44925</v>
      </c>
      <c r="AAL611" s="5" t="s">
        <v>3728</v>
      </c>
      <c r="AAM611" s="17">
        <v>44925</v>
      </c>
      <c r="AAN611" s="5" t="s">
        <v>3728</v>
      </c>
      <c r="AAO611" s="17">
        <v>44925</v>
      </c>
      <c r="AAP611" s="5" t="s">
        <v>3728</v>
      </c>
      <c r="AAQ611" s="17">
        <v>44925</v>
      </c>
      <c r="AAR611" s="5" t="s">
        <v>3728</v>
      </c>
      <c r="AAS611" s="17">
        <v>44925</v>
      </c>
      <c r="AAT611" s="5" t="s">
        <v>3728</v>
      </c>
      <c r="AAU611" s="17">
        <v>44925</v>
      </c>
      <c r="AAV611" s="5" t="s">
        <v>3728</v>
      </c>
      <c r="AAW611" s="17">
        <v>44925</v>
      </c>
      <c r="AAX611" s="5" t="s">
        <v>3728</v>
      </c>
      <c r="AAY611" s="17">
        <v>44925</v>
      </c>
      <c r="AAZ611" s="5" t="s">
        <v>3728</v>
      </c>
      <c r="ABA611" s="17">
        <v>44925</v>
      </c>
      <c r="ABB611" s="5" t="s">
        <v>3728</v>
      </c>
      <c r="ABC611" s="17">
        <v>44925</v>
      </c>
      <c r="ABD611" s="5" t="s">
        <v>3728</v>
      </c>
      <c r="ABE611" s="17">
        <v>44925</v>
      </c>
      <c r="ABF611" s="5" t="s">
        <v>3728</v>
      </c>
      <c r="ABG611" s="17">
        <v>44925</v>
      </c>
      <c r="ABH611" s="5" t="s">
        <v>3728</v>
      </c>
      <c r="ABI611" s="17">
        <v>44925</v>
      </c>
      <c r="ABJ611" s="5" t="s">
        <v>3728</v>
      </c>
      <c r="ABK611" s="17">
        <v>44925</v>
      </c>
      <c r="ABL611" s="5" t="s">
        <v>3728</v>
      </c>
      <c r="ABM611" s="17">
        <v>44925</v>
      </c>
      <c r="ABN611" s="5" t="s">
        <v>3728</v>
      </c>
      <c r="ABO611" s="17">
        <v>44925</v>
      </c>
      <c r="ABP611" s="5" t="s">
        <v>3728</v>
      </c>
      <c r="ABQ611" s="17">
        <v>44925</v>
      </c>
      <c r="ABR611" s="5" t="s">
        <v>3728</v>
      </c>
      <c r="ABS611" s="17">
        <v>44925</v>
      </c>
      <c r="ABT611" s="5" t="s">
        <v>3728</v>
      </c>
      <c r="ABU611" s="17">
        <v>44925</v>
      </c>
      <c r="ABV611" s="5" t="s">
        <v>3728</v>
      </c>
      <c r="ABW611" s="17">
        <v>44925</v>
      </c>
      <c r="ABX611" s="5" t="s">
        <v>3728</v>
      </c>
      <c r="ABY611" s="17">
        <v>44925</v>
      </c>
      <c r="ABZ611" s="5" t="s">
        <v>3728</v>
      </c>
      <c r="ACA611" s="17">
        <v>44925</v>
      </c>
      <c r="ACB611" s="5" t="s">
        <v>3728</v>
      </c>
      <c r="ACC611" s="17">
        <v>44925</v>
      </c>
      <c r="ACD611" s="5" t="s">
        <v>3728</v>
      </c>
      <c r="ACE611" s="17">
        <v>44925</v>
      </c>
      <c r="ACF611" s="5" t="s">
        <v>3728</v>
      </c>
      <c r="ACG611" s="17">
        <v>44925</v>
      </c>
      <c r="ACH611" s="5" t="s">
        <v>3728</v>
      </c>
      <c r="ACI611" s="17">
        <v>44925</v>
      </c>
      <c r="ACJ611" s="5" t="s">
        <v>3728</v>
      </c>
      <c r="ACK611" s="17">
        <v>44925</v>
      </c>
      <c r="ACL611" s="5" t="s">
        <v>3728</v>
      </c>
      <c r="ACM611" s="17">
        <v>44925</v>
      </c>
      <c r="ACN611" s="5" t="s">
        <v>3728</v>
      </c>
      <c r="ACO611" s="17">
        <v>44925</v>
      </c>
      <c r="ACP611" s="5" t="s">
        <v>3728</v>
      </c>
      <c r="ACQ611" s="17">
        <v>44925</v>
      </c>
      <c r="ACR611" s="5" t="s">
        <v>3728</v>
      </c>
      <c r="ACS611" s="17">
        <v>44925</v>
      </c>
      <c r="ACT611" s="5" t="s">
        <v>3728</v>
      </c>
      <c r="ACU611" s="17">
        <v>44925</v>
      </c>
      <c r="ACV611" s="5" t="s">
        <v>3728</v>
      </c>
      <c r="ACW611" s="17">
        <v>44925</v>
      </c>
      <c r="ACX611" s="5" t="s">
        <v>3728</v>
      </c>
      <c r="ACY611" s="17">
        <v>44925</v>
      </c>
      <c r="ACZ611" s="5" t="s">
        <v>3728</v>
      </c>
      <c r="ADA611" s="17">
        <v>44925</v>
      </c>
      <c r="ADB611" s="5" t="s">
        <v>3728</v>
      </c>
      <c r="ADC611" s="17">
        <v>44925</v>
      </c>
      <c r="ADD611" s="5" t="s">
        <v>3728</v>
      </c>
      <c r="ADE611" s="17">
        <v>44925</v>
      </c>
      <c r="ADF611" s="5" t="s">
        <v>3728</v>
      </c>
      <c r="ADG611" s="17">
        <v>44925</v>
      </c>
      <c r="ADH611" s="5" t="s">
        <v>3728</v>
      </c>
      <c r="ADI611" s="17">
        <v>44925</v>
      </c>
      <c r="ADJ611" s="5" t="s">
        <v>3728</v>
      </c>
      <c r="ADK611" s="17">
        <v>44925</v>
      </c>
      <c r="ADL611" s="5" t="s">
        <v>3728</v>
      </c>
      <c r="ADM611" s="17">
        <v>44925</v>
      </c>
      <c r="ADN611" s="5" t="s">
        <v>3728</v>
      </c>
      <c r="ADO611" s="17">
        <v>44925</v>
      </c>
      <c r="ADP611" s="5" t="s">
        <v>3728</v>
      </c>
      <c r="ADQ611" s="17">
        <v>44925</v>
      </c>
      <c r="ADR611" s="5" t="s">
        <v>3728</v>
      </c>
      <c r="ADS611" s="17">
        <v>44925</v>
      </c>
      <c r="ADT611" s="5" t="s">
        <v>3728</v>
      </c>
      <c r="ADU611" s="17">
        <v>44925</v>
      </c>
      <c r="ADV611" s="5" t="s">
        <v>3728</v>
      </c>
      <c r="ADW611" s="17">
        <v>44925</v>
      </c>
      <c r="ADX611" s="5" t="s">
        <v>3728</v>
      </c>
      <c r="ADY611" s="17">
        <v>44925</v>
      </c>
      <c r="ADZ611" s="5" t="s">
        <v>3728</v>
      </c>
      <c r="AEA611" s="17">
        <v>44925</v>
      </c>
      <c r="AEB611" s="5" t="s">
        <v>3728</v>
      </c>
      <c r="AEC611" s="17">
        <v>44925</v>
      </c>
      <c r="AED611" s="5" t="s">
        <v>3728</v>
      </c>
      <c r="AEE611" s="17">
        <v>44925</v>
      </c>
      <c r="AEF611" s="5" t="s">
        <v>3728</v>
      </c>
      <c r="AEG611" s="17">
        <v>44925</v>
      </c>
      <c r="AEH611" s="5" t="s">
        <v>3728</v>
      </c>
      <c r="AEI611" s="17">
        <v>44925</v>
      </c>
      <c r="AEJ611" s="5" t="s">
        <v>3728</v>
      </c>
      <c r="AEK611" s="17">
        <v>44925</v>
      </c>
      <c r="AEL611" s="5" t="s">
        <v>3728</v>
      </c>
      <c r="AEM611" s="17">
        <v>44925</v>
      </c>
      <c r="AEN611" s="5" t="s">
        <v>3728</v>
      </c>
      <c r="AEO611" s="17">
        <v>44925</v>
      </c>
      <c r="AEP611" s="5" t="s">
        <v>3728</v>
      </c>
      <c r="AEQ611" s="17">
        <v>44925</v>
      </c>
      <c r="AER611" s="5" t="s">
        <v>3728</v>
      </c>
      <c r="AES611" s="17">
        <v>44925</v>
      </c>
      <c r="AET611" s="5" t="s">
        <v>3728</v>
      </c>
      <c r="AEU611" s="17">
        <v>44925</v>
      </c>
      <c r="AEV611" s="5" t="s">
        <v>3728</v>
      </c>
      <c r="AEW611" s="17">
        <v>44925</v>
      </c>
      <c r="AEX611" s="5" t="s">
        <v>3728</v>
      </c>
      <c r="AEY611" s="17">
        <v>44925</v>
      </c>
      <c r="AEZ611" s="5" t="s">
        <v>3728</v>
      </c>
      <c r="AFA611" s="17">
        <v>44925</v>
      </c>
      <c r="AFB611" s="5" t="s">
        <v>3728</v>
      </c>
      <c r="AFC611" s="17">
        <v>44925</v>
      </c>
      <c r="AFD611" s="5" t="s">
        <v>3728</v>
      </c>
      <c r="AFE611" s="17">
        <v>44925</v>
      </c>
      <c r="AFF611" s="5" t="s">
        <v>3728</v>
      </c>
      <c r="AFG611" s="17">
        <v>44925</v>
      </c>
      <c r="AFH611" s="5" t="s">
        <v>3728</v>
      </c>
      <c r="AFI611" s="17">
        <v>44925</v>
      </c>
      <c r="AFJ611" s="5" t="s">
        <v>3728</v>
      </c>
      <c r="AFK611" s="17">
        <v>44925</v>
      </c>
      <c r="AFL611" s="5" t="s">
        <v>3728</v>
      </c>
      <c r="AFM611" s="17">
        <v>44925</v>
      </c>
      <c r="AFN611" s="5" t="s">
        <v>3728</v>
      </c>
      <c r="AFO611" s="17">
        <v>44925</v>
      </c>
      <c r="AFP611" s="5" t="s">
        <v>3728</v>
      </c>
      <c r="AFQ611" s="17">
        <v>44925</v>
      </c>
      <c r="AFR611" s="5" t="s">
        <v>3728</v>
      </c>
      <c r="AFS611" s="17">
        <v>44925</v>
      </c>
      <c r="AFT611" s="5" t="s">
        <v>3728</v>
      </c>
      <c r="AFU611" s="17">
        <v>44925</v>
      </c>
      <c r="AFV611" s="5" t="s">
        <v>3728</v>
      </c>
      <c r="AFW611" s="17">
        <v>44925</v>
      </c>
      <c r="AFX611" s="5" t="s">
        <v>3728</v>
      </c>
      <c r="AFY611" s="17">
        <v>44925</v>
      </c>
      <c r="AFZ611" s="5" t="s">
        <v>3728</v>
      </c>
      <c r="AGA611" s="17">
        <v>44925</v>
      </c>
      <c r="AGB611" s="5" t="s">
        <v>3728</v>
      </c>
      <c r="AGC611" s="17">
        <v>44925</v>
      </c>
      <c r="AGD611" s="5" t="s">
        <v>3728</v>
      </c>
      <c r="AGE611" s="17">
        <v>44925</v>
      </c>
      <c r="AGF611" s="5" t="s">
        <v>3728</v>
      </c>
      <c r="AGG611" s="17">
        <v>44925</v>
      </c>
      <c r="AGH611" s="5" t="s">
        <v>3728</v>
      </c>
      <c r="AGI611" s="17">
        <v>44925</v>
      </c>
      <c r="AGJ611" s="5" t="s">
        <v>3728</v>
      </c>
      <c r="AGK611" s="17">
        <v>44925</v>
      </c>
      <c r="AGL611" s="5" t="s">
        <v>3728</v>
      </c>
      <c r="AGM611" s="17">
        <v>44925</v>
      </c>
      <c r="AGN611" s="5" t="s">
        <v>3728</v>
      </c>
      <c r="AGO611" s="17">
        <v>44925</v>
      </c>
      <c r="AGP611" s="5" t="s">
        <v>3728</v>
      </c>
      <c r="AGQ611" s="17">
        <v>44925</v>
      </c>
      <c r="AGR611" s="5" t="s">
        <v>3728</v>
      </c>
      <c r="AGS611" s="17">
        <v>44925</v>
      </c>
      <c r="AGT611" s="5" t="s">
        <v>3728</v>
      </c>
      <c r="AGU611" s="17">
        <v>44925</v>
      </c>
      <c r="AGV611" s="5" t="s">
        <v>3728</v>
      </c>
      <c r="AGW611" s="17">
        <v>44925</v>
      </c>
      <c r="AGX611" s="5" t="s">
        <v>3728</v>
      </c>
      <c r="AGY611" s="17">
        <v>44925</v>
      </c>
      <c r="AGZ611" s="5" t="s">
        <v>3728</v>
      </c>
      <c r="AHA611" s="17">
        <v>44925</v>
      </c>
      <c r="AHB611" s="5" t="s">
        <v>3728</v>
      </c>
      <c r="AHC611" s="17">
        <v>44925</v>
      </c>
      <c r="AHD611" s="5" t="s">
        <v>3728</v>
      </c>
      <c r="AHE611" s="17">
        <v>44925</v>
      </c>
      <c r="AHF611" s="5" t="s">
        <v>3728</v>
      </c>
      <c r="AHG611" s="17">
        <v>44925</v>
      </c>
      <c r="AHH611" s="5" t="s">
        <v>3728</v>
      </c>
      <c r="AHI611" s="17">
        <v>44925</v>
      </c>
      <c r="AHJ611" s="5" t="s">
        <v>3728</v>
      </c>
      <c r="AHK611" s="17">
        <v>44925</v>
      </c>
      <c r="AHL611" s="5" t="s">
        <v>3728</v>
      </c>
      <c r="AHM611" s="17">
        <v>44925</v>
      </c>
      <c r="AHN611" s="5" t="s">
        <v>3728</v>
      </c>
      <c r="AHO611" s="17">
        <v>44925</v>
      </c>
      <c r="AHP611" s="5" t="s">
        <v>3728</v>
      </c>
      <c r="AHQ611" s="17">
        <v>44925</v>
      </c>
      <c r="AHR611" s="5" t="s">
        <v>3728</v>
      </c>
      <c r="AHS611" s="17">
        <v>44925</v>
      </c>
      <c r="AHT611" s="5" t="s">
        <v>3728</v>
      </c>
      <c r="AHU611" s="17">
        <v>44925</v>
      </c>
      <c r="AHV611" s="5" t="s">
        <v>3728</v>
      </c>
      <c r="AHW611" s="17">
        <v>44925</v>
      </c>
      <c r="AHX611" s="5" t="s">
        <v>3728</v>
      </c>
      <c r="AHY611" s="17">
        <v>44925</v>
      </c>
      <c r="AHZ611" s="5" t="s">
        <v>3728</v>
      </c>
      <c r="AIA611" s="17">
        <v>44925</v>
      </c>
      <c r="AIB611" s="5" t="s">
        <v>3728</v>
      </c>
      <c r="AIC611" s="17">
        <v>44925</v>
      </c>
      <c r="AID611" s="5" t="s">
        <v>3728</v>
      </c>
      <c r="AIE611" s="17">
        <v>44925</v>
      </c>
      <c r="AIF611" s="5" t="s">
        <v>3728</v>
      </c>
      <c r="AIG611" s="17">
        <v>44925</v>
      </c>
      <c r="AIH611" s="5" t="s">
        <v>3728</v>
      </c>
      <c r="AII611" s="17">
        <v>44925</v>
      </c>
      <c r="AIJ611" s="5" t="s">
        <v>3728</v>
      </c>
      <c r="AIK611" s="17">
        <v>44925</v>
      </c>
      <c r="AIL611" s="5" t="s">
        <v>3728</v>
      </c>
      <c r="AIM611" s="17">
        <v>44925</v>
      </c>
      <c r="AIN611" s="5" t="s">
        <v>3728</v>
      </c>
      <c r="AIO611" s="17">
        <v>44925</v>
      </c>
      <c r="AIP611" s="5" t="s">
        <v>3728</v>
      </c>
      <c r="AIQ611" s="17">
        <v>44925</v>
      </c>
      <c r="AIR611" s="5" t="s">
        <v>3728</v>
      </c>
      <c r="AIS611" s="17">
        <v>44925</v>
      </c>
      <c r="AIT611" s="5" t="s">
        <v>3728</v>
      </c>
      <c r="AIU611" s="17">
        <v>44925</v>
      </c>
      <c r="AIV611" s="5" t="s">
        <v>3728</v>
      </c>
      <c r="AIW611" s="17">
        <v>44925</v>
      </c>
      <c r="AIX611" s="5" t="s">
        <v>3728</v>
      </c>
      <c r="AIY611" s="17">
        <v>44925</v>
      </c>
      <c r="AIZ611" s="5" t="s">
        <v>3728</v>
      </c>
      <c r="AJA611" s="17">
        <v>44925</v>
      </c>
      <c r="AJB611" s="5" t="s">
        <v>3728</v>
      </c>
      <c r="AJC611" s="17">
        <v>44925</v>
      </c>
      <c r="AJD611" s="5" t="s">
        <v>3728</v>
      </c>
      <c r="AJE611" s="17">
        <v>44925</v>
      </c>
      <c r="AJF611" s="5" t="s">
        <v>3728</v>
      </c>
      <c r="AJG611" s="17">
        <v>44925</v>
      </c>
      <c r="AJH611" s="5" t="s">
        <v>3728</v>
      </c>
      <c r="AJI611" s="17">
        <v>44925</v>
      </c>
      <c r="AJJ611" s="5" t="s">
        <v>3728</v>
      </c>
      <c r="AJK611" s="17">
        <v>44925</v>
      </c>
      <c r="AJL611" s="5" t="s">
        <v>3728</v>
      </c>
      <c r="AJM611" s="17">
        <v>44925</v>
      </c>
      <c r="AJN611" s="5" t="s">
        <v>3728</v>
      </c>
      <c r="AJO611" s="17">
        <v>44925</v>
      </c>
      <c r="AJP611" s="5" t="s">
        <v>3728</v>
      </c>
      <c r="AJQ611" s="17">
        <v>44925</v>
      </c>
      <c r="AJR611" s="5" t="s">
        <v>3728</v>
      </c>
      <c r="AJS611" s="17">
        <v>44925</v>
      </c>
      <c r="AJT611" s="5" t="s">
        <v>3728</v>
      </c>
      <c r="AJU611" s="17">
        <v>44925</v>
      </c>
      <c r="AJV611" s="5" t="s">
        <v>3728</v>
      </c>
      <c r="AJW611" s="17">
        <v>44925</v>
      </c>
      <c r="AJX611" s="5" t="s">
        <v>3728</v>
      </c>
      <c r="AJY611" s="17">
        <v>44925</v>
      </c>
      <c r="AJZ611" s="5" t="s">
        <v>3728</v>
      </c>
      <c r="AKA611" s="17">
        <v>44925</v>
      </c>
      <c r="AKB611" s="5" t="s">
        <v>3728</v>
      </c>
      <c r="AKC611" s="17">
        <v>44925</v>
      </c>
      <c r="AKD611" s="5" t="s">
        <v>3728</v>
      </c>
      <c r="AKE611" s="17">
        <v>44925</v>
      </c>
      <c r="AKF611" s="5" t="s">
        <v>3728</v>
      </c>
      <c r="AKG611" s="17">
        <v>44925</v>
      </c>
      <c r="AKH611" s="5" t="s">
        <v>3728</v>
      </c>
      <c r="AKI611" s="17">
        <v>44925</v>
      </c>
      <c r="AKJ611" s="5" t="s">
        <v>3728</v>
      </c>
      <c r="AKK611" s="17">
        <v>44925</v>
      </c>
      <c r="AKL611" s="5" t="s">
        <v>3728</v>
      </c>
      <c r="AKM611" s="17">
        <v>44925</v>
      </c>
      <c r="AKN611" s="5" t="s">
        <v>3728</v>
      </c>
      <c r="AKO611" s="17">
        <v>44925</v>
      </c>
      <c r="AKP611" s="5" t="s">
        <v>3728</v>
      </c>
      <c r="AKQ611" s="17">
        <v>44925</v>
      </c>
      <c r="AKR611" s="5" t="s">
        <v>3728</v>
      </c>
      <c r="AKS611" s="17">
        <v>44925</v>
      </c>
      <c r="AKT611" s="5" t="s">
        <v>3728</v>
      </c>
      <c r="AKU611" s="17">
        <v>44925</v>
      </c>
      <c r="AKV611" s="5" t="s">
        <v>3728</v>
      </c>
      <c r="AKW611" s="17">
        <v>44925</v>
      </c>
      <c r="AKX611" s="5" t="s">
        <v>3728</v>
      </c>
      <c r="AKY611" s="17">
        <v>44925</v>
      </c>
      <c r="AKZ611" s="5" t="s">
        <v>3728</v>
      </c>
      <c r="ALA611" s="17">
        <v>44925</v>
      </c>
      <c r="ALB611" s="5" t="s">
        <v>3728</v>
      </c>
      <c r="ALC611" s="17">
        <v>44925</v>
      </c>
      <c r="ALD611" s="5" t="s">
        <v>3728</v>
      </c>
      <c r="ALE611" s="17">
        <v>44925</v>
      </c>
      <c r="ALF611" s="5" t="s">
        <v>3728</v>
      </c>
      <c r="ALG611" s="17">
        <v>44925</v>
      </c>
      <c r="ALH611" s="5" t="s">
        <v>3728</v>
      </c>
      <c r="ALI611" s="17">
        <v>44925</v>
      </c>
      <c r="ALJ611" s="5" t="s">
        <v>3728</v>
      </c>
      <c r="ALK611" s="17">
        <v>44925</v>
      </c>
      <c r="ALL611" s="5" t="s">
        <v>3728</v>
      </c>
      <c r="ALM611" s="17">
        <v>44925</v>
      </c>
      <c r="ALN611" s="5" t="s">
        <v>3728</v>
      </c>
      <c r="ALO611" s="17">
        <v>44925</v>
      </c>
      <c r="ALP611" s="5" t="s">
        <v>3728</v>
      </c>
      <c r="ALQ611" s="17">
        <v>44925</v>
      </c>
      <c r="ALR611" s="5" t="s">
        <v>3728</v>
      </c>
      <c r="ALS611" s="17">
        <v>44925</v>
      </c>
      <c r="ALT611" s="5" t="s">
        <v>3728</v>
      </c>
      <c r="ALU611" s="17">
        <v>44925</v>
      </c>
      <c r="ALV611" s="5" t="s">
        <v>3728</v>
      </c>
      <c r="ALW611" s="17">
        <v>44925</v>
      </c>
      <c r="ALX611" s="5" t="s">
        <v>3728</v>
      </c>
      <c r="ALY611" s="17">
        <v>44925</v>
      </c>
      <c r="ALZ611" s="5" t="s">
        <v>3728</v>
      </c>
      <c r="AMA611" s="17">
        <v>44925</v>
      </c>
      <c r="AMB611" s="5" t="s">
        <v>3728</v>
      </c>
      <c r="AMC611" s="17">
        <v>44925</v>
      </c>
      <c r="AMD611" s="5" t="s">
        <v>3728</v>
      </c>
      <c r="AME611" s="17">
        <v>44925</v>
      </c>
      <c r="AMF611" s="5" t="s">
        <v>3728</v>
      </c>
      <c r="AMG611" s="17">
        <v>44925</v>
      </c>
      <c r="AMH611" s="5" t="s">
        <v>3728</v>
      </c>
      <c r="AMI611" s="17">
        <v>44925</v>
      </c>
      <c r="AMJ611" s="5" t="s">
        <v>3728</v>
      </c>
      <c r="AMK611" s="17">
        <v>44925</v>
      </c>
      <c r="AML611" s="5" t="s">
        <v>3728</v>
      </c>
      <c r="AMM611" s="17">
        <v>44925</v>
      </c>
      <c r="AMN611" s="5" t="s">
        <v>3728</v>
      </c>
      <c r="AMO611" s="17">
        <v>44925</v>
      </c>
      <c r="AMP611" s="5" t="s">
        <v>3728</v>
      </c>
      <c r="AMQ611" s="17">
        <v>44925</v>
      </c>
      <c r="AMR611" s="5" t="s">
        <v>3728</v>
      </c>
      <c r="AMS611" s="17">
        <v>44925</v>
      </c>
      <c r="AMT611" s="5" t="s">
        <v>3728</v>
      </c>
      <c r="AMU611" s="17">
        <v>44925</v>
      </c>
      <c r="AMV611" s="5" t="s">
        <v>3728</v>
      </c>
      <c r="AMW611" s="17">
        <v>44925</v>
      </c>
      <c r="AMX611" s="5" t="s">
        <v>3728</v>
      </c>
      <c r="AMY611" s="17">
        <v>44925</v>
      </c>
      <c r="AMZ611" s="5" t="s">
        <v>3728</v>
      </c>
      <c r="ANA611" s="17">
        <v>44925</v>
      </c>
      <c r="ANB611" s="5" t="s">
        <v>3728</v>
      </c>
      <c r="ANC611" s="17">
        <v>44925</v>
      </c>
      <c r="AND611" s="5" t="s">
        <v>3728</v>
      </c>
      <c r="ANE611" s="17">
        <v>44925</v>
      </c>
      <c r="ANF611" s="5" t="s">
        <v>3728</v>
      </c>
      <c r="ANG611" s="17">
        <v>44925</v>
      </c>
      <c r="ANH611" s="5" t="s">
        <v>3728</v>
      </c>
      <c r="ANI611" s="17">
        <v>44925</v>
      </c>
      <c r="ANJ611" s="5" t="s">
        <v>3728</v>
      </c>
      <c r="ANK611" s="17">
        <v>44925</v>
      </c>
      <c r="ANL611" s="5" t="s">
        <v>3728</v>
      </c>
      <c r="ANM611" s="17">
        <v>44925</v>
      </c>
      <c r="ANN611" s="5" t="s">
        <v>3728</v>
      </c>
      <c r="ANO611" s="17">
        <v>44925</v>
      </c>
      <c r="ANP611" s="5" t="s">
        <v>3728</v>
      </c>
      <c r="ANQ611" s="17">
        <v>44925</v>
      </c>
      <c r="ANR611" s="5" t="s">
        <v>3728</v>
      </c>
      <c r="ANS611" s="17">
        <v>44925</v>
      </c>
      <c r="ANT611" s="5" t="s">
        <v>3728</v>
      </c>
      <c r="ANU611" s="17">
        <v>44925</v>
      </c>
      <c r="ANV611" s="5" t="s">
        <v>3728</v>
      </c>
      <c r="ANW611" s="17">
        <v>44925</v>
      </c>
      <c r="ANX611" s="5" t="s">
        <v>3728</v>
      </c>
      <c r="ANY611" s="17">
        <v>44925</v>
      </c>
      <c r="ANZ611" s="5" t="s">
        <v>3728</v>
      </c>
      <c r="AOA611" s="17">
        <v>44925</v>
      </c>
      <c r="AOB611" s="5" t="s">
        <v>3728</v>
      </c>
      <c r="AOC611" s="17">
        <v>44925</v>
      </c>
      <c r="AOD611" s="5" t="s">
        <v>3728</v>
      </c>
      <c r="AOE611" s="17">
        <v>44925</v>
      </c>
      <c r="AOF611" s="5" t="s">
        <v>3728</v>
      </c>
      <c r="AOG611" s="17">
        <v>44925</v>
      </c>
      <c r="AOH611" s="5" t="s">
        <v>3728</v>
      </c>
      <c r="AOI611" s="17">
        <v>44925</v>
      </c>
      <c r="AOJ611" s="5" t="s">
        <v>3728</v>
      </c>
      <c r="AOK611" s="17">
        <v>44925</v>
      </c>
      <c r="AOL611" s="5" t="s">
        <v>3728</v>
      </c>
      <c r="AOM611" s="17">
        <v>44925</v>
      </c>
      <c r="AON611" s="5" t="s">
        <v>3728</v>
      </c>
      <c r="AOO611" s="17">
        <v>44925</v>
      </c>
      <c r="AOP611" s="5" t="s">
        <v>3728</v>
      </c>
      <c r="AOQ611" s="17">
        <v>44925</v>
      </c>
      <c r="AOR611" s="5" t="s">
        <v>3728</v>
      </c>
      <c r="AOS611" s="17">
        <v>44925</v>
      </c>
      <c r="AOT611" s="5" t="s">
        <v>3728</v>
      </c>
      <c r="AOU611" s="17">
        <v>44925</v>
      </c>
      <c r="AOV611" s="5" t="s">
        <v>3728</v>
      </c>
      <c r="AOW611" s="17">
        <v>44925</v>
      </c>
      <c r="AOX611" s="5" t="s">
        <v>3728</v>
      </c>
      <c r="AOY611" s="17">
        <v>44925</v>
      </c>
      <c r="AOZ611" s="5" t="s">
        <v>3728</v>
      </c>
      <c r="APA611" s="17">
        <v>44925</v>
      </c>
      <c r="APB611" s="5" t="s">
        <v>3728</v>
      </c>
      <c r="APC611" s="17">
        <v>44925</v>
      </c>
      <c r="APD611" s="5" t="s">
        <v>3728</v>
      </c>
      <c r="APE611" s="17">
        <v>44925</v>
      </c>
      <c r="APF611" s="5" t="s">
        <v>3728</v>
      </c>
      <c r="APG611" s="17">
        <v>44925</v>
      </c>
      <c r="APH611" s="5" t="s">
        <v>3728</v>
      </c>
      <c r="API611" s="17">
        <v>44925</v>
      </c>
      <c r="APJ611" s="5" t="s">
        <v>3728</v>
      </c>
      <c r="APK611" s="17">
        <v>44925</v>
      </c>
      <c r="APL611" s="5" t="s">
        <v>3728</v>
      </c>
      <c r="APM611" s="17">
        <v>44925</v>
      </c>
      <c r="APN611" s="5" t="s">
        <v>3728</v>
      </c>
      <c r="APO611" s="17">
        <v>44925</v>
      </c>
      <c r="APP611" s="5" t="s">
        <v>3728</v>
      </c>
      <c r="APQ611" s="17">
        <v>44925</v>
      </c>
      <c r="APR611" s="5" t="s">
        <v>3728</v>
      </c>
      <c r="APS611" s="17">
        <v>44925</v>
      </c>
      <c r="APT611" s="5" t="s">
        <v>3728</v>
      </c>
      <c r="APU611" s="17">
        <v>44925</v>
      </c>
      <c r="APV611" s="5" t="s">
        <v>3728</v>
      </c>
      <c r="APW611" s="17">
        <v>44925</v>
      </c>
      <c r="APX611" s="5" t="s">
        <v>3728</v>
      </c>
      <c r="APY611" s="17">
        <v>44925</v>
      </c>
      <c r="APZ611" s="5" t="s">
        <v>3728</v>
      </c>
      <c r="AQA611" s="17">
        <v>44925</v>
      </c>
      <c r="AQB611" s="5" t="s">
        <v>3728</v>
      </c>
      <c r="AQC611" s="17">
        <v>44925</v>
      </c>
      <c r="AQD611" s="5" t="s">
        <v>3728</v>
      </c>
      <c r="AQE611" s="17">
        <v>44925</v>
      </c>
      <c r="AQF611" s="5" t="s">
        <v>3728</v>
      </c>
      <c r="AQG611" s="17">
        <v>44925</v>
      </c>
      <c r="AQH611" s="5" t="s">
        <v>3728</v>
      </c>
      <c r="AQI611" s="17">
        <v>44925</v>
      </c>
      <c r="AQJ611" s="5" t="s">
        <v>3728</v>
      </c>
      <c r="AQK611" s="17">
        <v>44925</v>
      </c>
      <c r="AQL611" s="5" t="s">
        <v>3728</v>
      </c>
      <c r="AQM611" s="17">
        <v>44925</v>
      </c>
      <c r="AQN611" s="5" t="s">
        <v>3728</v>
      </c>
      <c r="AQO611" s="17">
        <v>44925</v>
      </c>
      <c r="AQP611" s="5" t="s">
        <v>3728</v>
      </c>
      <c r="AQQ611" s="17">
        <v>44925</v>
      </c>
      <c r="AQR611" s="5" t="s">
        <v>3728</v>
      </c>
      <c r="AQS611" s="17">
        <v>44925</v>
      </c>
      <c r="AQT611" s="5" t="s">
        <v>3728</v>
      </c>
      <c r="AQU611" s="17">
        <v>44925</v>
      </c>
      <c r="AQV611" s="5" t="s">
        <v>3728</v>
      </c>
      <c r="AQW611" s="17">
        <v>44925</v>
      </c>
      <c r="AQX611" s="5" t="s">
        <v>3728</v>
      </c>
      <c r="AQY611" s="17">
        <v>44925</v>
      </c>
      <c r="AQZ611" s="5" t="s">
        <v>3728</v>
      </c>
      <c r="ARA611" s="17">
        <v>44925</v>
      </c>
      <c r="ARB611" s="5" t="s">
        <v>3728</v>
      </c>
      <c r="ARC611" s="17">
        <v>44925</v>
      </c>
      <c r="ARD611" s="5" t="s">
        <v>3728</v>
      </c>
      <c r="ARE611" s="17">
        <v>44925</v>
      </c>
      <c r="ARF611" s="5" t="s">
        <v>3728</v>
      </c>
      <c r="ARG611" s="17">
        <v>44925</v>
      </c>
      <c r="ARH611" s="5" t="s">
        <v>3728</v>
      </c>
      <c r="ARI611" s="17">
        <v>44925</v>
      </c>
      <c r="ARJ611" s="5" t="s">
        <v>3728</v>
      </c>
      <c r="ARK611" s="17">
        <v>44925</v>
      </c>
      <c r="ARL611" s="5" t="s">
        <v>3728</v>
      </c>
      <c r="ARM611" s="17">
        <v>44925</v>
      </c>
      <c r="ARN611" s="5" t="s">
        <v>3728</v>
      </c>
      <c r="ARO611" s="17">
        <v>44925</v>
      </c>
      <c r="ARP611" s="5" t="s">
        <v>3728</v>
      </c>
      <c r="ARQ611" s="17">
        <v>44925</v>
      </c>
      <c r="ARR611" s="5" t="s">
        <v>3728</v>
      </c>
      <c r="ARS611" s="17">
        <v>44925</v>
      </c>
      <c r="ART611" s="5" t="s">
        <v>3728</v>
      </c>
      <c r="ARU611" s="17">
        <v>44925</v>
      </c>
      <c r="ARV611" s="5" t="s">
        <v>3728</v>
      </c>
      <c r="ARW611" s="17">
        <v>44925</v>
      </c>
      <c r="ARX611" s="5" t="s">
        <v>3728</v>
      </c>
      <c r="ARY611" s="17">
        <v>44925</v>
      </c>
      <c r="ARZ611" s="5" t="s">
        <v>3728</v>
      </c>
      <c r="ASA611" s="17">
        <v>44925</v>
      </c>
      <c r="ASB611" s="5" t="s">
        <v>3728</v>
      </c>
      <c r="ASC611" s="17">
        <v>44925</v>
      </c>
      <c r="ASD611" s="5" t="s">
        <v>3728</v>
      </c>
      <c r="ASE611" s="17">
        <v>44925</v>
      </c>
      <c r="ASF611" s="5" t="s">
        <v>3728</v>
      </c>
      <c r="ASG611" s="17">
        <v>44925</v>
      </c>
      <c r="ASH611" s="5" t="s">
        <v>3728</v>
      </c>
      <c r="ASI611" s="17">
        <v>44925</v>
      </c>
      <c r="ASJ611" s="5" t="s">
        <v>3728</v>
      </c>
      <c r="ASK611" s="17">
        <v>44925</v>
      </c>
      <c r="ASL611" s="5" t="s">
        <v>3728</v>
      </c>
      <c r="ASM611" s="17">
        <v>44925</v>
      </c>
      <c r="ASN611" s="5" t="s">
        <v>3728</v>
      </c>
      <c r="ASO611" s="17">
        <v>44925</v>
      </c>
      <c r="ASP611" s="5" t="s">
        <v>3728</v>
      </c>
      <c r="ASQ611" s="17">
        <v>44925</v>
      </c>
      <c r="ASR611" s="5" t="s">
        <v>3728</v>
      </c>
      <c r="ASS611" s="17">
        <v>44925</v>
      </c>
      <c r="AST611" s="5" t="s">
        <v>3728</v>
      </c>
      <c r="ASU611" s="17">
        <v>44925</v>
      </c>
      <c r="ASV611" s="5" t="s">
        <v>3728</v>
      </c>
      <c r="ASW611" s="17">
        <v>44925</v>
      </c>
      <c r="ASX611" s="5" t="s">
        <v>3728</v>
      </c>
      <c r="ASY611" s="17">
        <v>44925</v>
      </c>
      <c r="ASZ611" s="5" t="s">
        <v>3728</v>
      </c>
      <c r="ATA611" s="17">
        <v>44925</v>
      </c>
      <c r="ATB611" s="5" t="s">
        <v>3728</v>
      </c>
      <c r="ATC611" s="17">
        <v>44925</v>
      </c>
      <c r="ATD611" s="5" t="s">
        <v>3728</v>
      </c>
      <c r="ATE611" s="17">
        <v>44925</v>
      </c>
      <c r="ATF611" s="5" t="s">
        <v>3728</v>
      </c>
      <c r="ATG611" s="17">
        <v>44925</v>
      </c>
      <c r="ATH611" s="5" t="s">
        <v>3728</v>
      </c>
      <c r="ATI611" s="17">
        <v>44925</v>
      </c>
      <c r="ATJ611" s="5" t="s">
        <v>3728</v>
      </c>
      <c r="ATK611" s="17">
        <v>44925</v>
      </c>
      <c r="ATL611" s="5" t="s">
        <v>3728</v>
      </c>
      <c r="ATM611" s="17">
        <v>44925</v>
      </c>
      <c r="ATN611" s="5" t="s">
        <v>3728</v>
      </c>
      <c r="ATO611" s="17">
        <v>44925</v>
      </c>
      <c r="ATP611" s="5" t="s">
        <v>3728</v>
      </c>
      <c r="ATQ611" s="17">
        <v>44925</v>
      </c>
      <c r="ATR611" s="5" t="s">
        <v>3728</v>
      </c>
      <c r="ATS611" s="17">
        <v>44925</v>
      </c>
      <c r="ATT611" s="5" t="s">
        <v>3728</v>
      </c>
      <c r="ATU611" s="17">
        <v>44925</v>
      </c>
      <c r="ATV611" s="5" t="s">
        <v>3728</v>
      </c>
      <c r="ATW611" s="17">
        <v>44925</v>
      </c>
      <c r="ATX611" s="5" t="s">
        <v>3728</v>
      </c>
      <c r="ATY611" s="17">
        <v>44925</v>
      </c>
      <c r="ATZ611" s="5" t="s">
        <v>3728</v>
      </c>
      <c r="AUA611" s="17">
        <v>44925</v>
      </c>
      <c r="AUB611" s="5" t="s">
        <v>3728</v>
      </c>
      <c r="AUC611" s="17">
        <v>44925</v>
      </c>
      <c r="AUD611" s="5" t="s">
        <v>3728</v>
      </c>
      <c r="AUE611" s="17">
        <v>44925</v>
      </c>
      <c r="AUF611" s="5" t="s">
        <v>3728</v>
      </c>
      <c r="AUG611" s="17">
        <v>44925</v>
      </c>
      <c r="AUH611" s="5" t="s">
        <v>3728</v>
      </c>
      <c r="AUI611" s="17">
        <v>44925</v>
      </c>
      <c r="AUJ611" s="5" t="s">
        <v>3728</v>
      </c>
      <c r="AUK611" s="17">
        <v>44925</v>
      </c>
      <c r="AUL611" s="5" t="s">
        <v>3728</v>
      </c>
      <c r="AUM611" s="17">
        <v>44925</v>
      </c>
      <c r="AUN611" s="5" t="s">
        <v>3728</v>
      </c>
      <c r="AUO611" s="17">
        <v>44925</v>
      </c>
      <c r="AUP611" s="5" t="s">
        <v>3728</v>
      </c>
      <c r="AUQ611" s="17">
        <v>44925</v>
      </c>
      <c r="AUR611" s="5" t="s">
        <v>3728</v>
      </c>
      <c r="AUS611" s="17">
        <v>44925</v>
      </c>
      <c r="AUT611" s="5" t="s">
        <v>3728</v>
      </c>
      <c r="AUU611" s="17">
        <v>44925</v>
      </c>
      <c r="AUV611" s="5" t="s">
        <v>3728</v>
      </c>
      <c r="AUW611" s="17">
        <v>44925</v>
      </c>
      <c r="AUX611" s="5" t="s">
        <v>3728</v>
      </c>
      <c r="AUY611" s="17">
        <v>44925</v>
      </c>
      <c r="AUZ611" s="5" t="s">
        <v>3728</v>
      </c>
      <c r="AVA611" s="17">
        <v>44925</v>
      </c>
      <c r="AVB611" s="5" t="s">
        <v>3728</v>
      </c>
      <c r="AVC611" s="17">
        <v>44925</v>
      </c>
      <c r="AVD611" s="5" t="s">
        <v>3728</v>
      </c>
      <c r="AVE611" s="17">
        <v>44925</v>
      </c>
      <c r="AVF611" s="5" t="s">
        <v>3728</v>
      </c>
      <c r="AVG611" s="17">
        <v>44925</v>
      </c>
      <c r="AVH611" s="5" t="s">
        <v>3728</v>
      </c>
      <c r="AVI611" s="17">
        <v>44925</v>
      </c>
      <c r="AVJ611" s="5" t="s">
        <v>3728</v>
      </c>
      <c r="AVK611" s="17">
        <v>44925</v>
      </c>
      <c r="AVL611" s="5" t="s">
        <v>3728</v>
      </c>
      <c r="AVM611" s="17">
        <v>44925</v>
      </c>
      <c r="AVN611" s="5" t="s">
        <v>3728</v>
      </c>
      <c r="AVO611" s="17">
        <v>44925</v>
      </c>
      <c r="AVP611" s="5" t="s">
        <v>3728</v>
      </c>
      <c r="AVQ611" s="17">
        <v>44925</v>
      </c>
      <c r="AVR611" s="5" t="s">
        <v>3728</v>
      </c>
      <c r="AVS611" s="17">
        <v>44925</v>
      </c>
      <c r="AVT611" s="5" t="s">
        <v>3728</v>
      </c>
      <c r="AVU611" s="17">
        <v>44925</v>
      </c>
      <c r="AVV611" s="5" t="s">
        <v>3728</v>
      </c>
      <c r="AVW611" s="17">
        <v>44925</v>
      </c>
      <c r="AVX611" s="5" t="s">
        <v>3728</v>
      </c>
      <c r="AVY611" s="17">
        <v>44925</v>
      </c>
      <c r="AVZ611" s="5" t="s">
        <v>3728</v>
      </c>
      <c r="AWA611" s="17">
        <v>44925</v>
      </c>
      <c r="AWB611" s="5" t="s">
        <v>3728</v>
      </c>
      <c r="AWC611" s="17">
        <v>44925</v>
      </c>
      <c r="AWD611" s="5" t="s">
        <v>3728</v>
      </c>
      <c r="AWE611" s="17">
        <v>44925</v>
      </c>
      <c r="AWF611" s="5" t="s">
        <v>3728</v>
      </c>
      <c r="AWG611" s="17">
        <v>44925</v>
      </c>
      <c r="AWH611" s="5" t="s">
        <v>3728</v>
      </c>
      <c r="AWI611" s="17">
        <v>44925</v>
      </c>
      <c r="AWJ611" s="5" t="s">
        <v>3728</v>
      </c>
      <c r="AWK611" s="17">
        <v>44925</v>
      </c>
      <c r="AWL611" s="5" t="s">
        <v>3728</v>
      </c>
      <c r="AWM611" s="17">
        <v>44925</v>
      </c>
      <c r="AWN611" s="5" t="s">
        <v>3728</v>
      </c>
      <c r="AWO611" s="17">
        <v>44925</v>
      </c>
      <c r="AWP611" s="5" t="s">
        <v>3728</v>
      </c>
      <c r="AWQ611" s="17">
        <v>44925</v>
      </c>
      <c r="AWR611" s="5" t="s">
        <v>3728</v>
      </c>
      <c r="AWS611" s="17">
        <v>44925</v>
      </c>
      <c r="AWT611" s="5" t="s">
        <v>3728</v>
      </c>
      <c r="AWU611" s="17">
        <v>44925</v>
      </c>
      <c r="AWV611" s="5" t="s">
        <v>3728</v>
      </c>
      <c r="AWW611" s="17">
        <v>44925</v>
      </c>
      <c r="AWX611" s="5" t="s">
        <v>3728</v>
      </c>
      <c r="AWY611" s="17">
        <v>44925</v>
      </c>
      <c r="AWZ611" s="5" t="s">
        <v>3728</v>
      </c>
      <c r="AXA611" s="17">
        <v>44925</v>
      </c>
      <c r="AXB611" s="5" t="s">
        <v>3728</v>
      </c>
      <c r="AXC611" s="17">
        <v>44925</v>
      </c>
      <c r="AXD611" s="5" t="s">
        <v>3728</v>
      </c>
      <c r="AXE611" s="17">
        <v>44925</v>
      </c>
      <c r="AXF611" s="5" t="s">
        <v>3728</v>
      </c>
      <c r="AXG611" s="17">
        <v>44925</v>
      </c>
      <c r="AXH611" s="5" t="s">
        <v>3728</v>
      </c>
      <c r="AXI611" s="17">
        <v>44925</v>
      </c>
      <c r="AXJ611" s="5" t="s">
        <v>3728</v>
      </c>
      <c r="AXK611" s="17">
        <v>44925</v>
      </c>
      <c r="AXL611" s="5" t="s">
        <v>3728</v>
      </c>
      <c r="AXM611" s="17">
        <v>44925</v>
      </c>
      <c r="AXN611" s="5" t="s">
        <v>3728</v>
      </c>
      <c r="AXO611" s="17">
        <v>44925</v>
      </c>
      <c r="AXP611" s="5" t="s">
        <v>3728</v>
      </c>
      <c r="AXQ611" s="17">
        <v>44925</v>
      </c>
      <c r="AXR611" s="5" t="s">
        <v>3728</v>
      </c>
      <c r="AXS611" s="17">
        <v>44925</v>
      </c>
      <c r="AXT611" s="5" t="s">
        <v>3728</v>
      </c>
      <c r="AXU611" s="17">
        <v>44925</v>
      </c>
      <c r="AXV611" s="5" t="s">
        <v>3728</v>
      </c>
      <c r="AXW611" s="17">
        <v>44925</v>
      </c>
      <c r="AXX611" s="5" t="s">
        <v>3728</v>
      </c>
      <c r="AXY611" s="17">
        <v>44925</v>
      </c>
      <c r="AXZ611" s="5" t="s">
        <v>3728</v>
      </c>
      <c r="AYA611" s="17">
        <v>44925</v>
      </c>
      <c r="AYB611" s="5" t="s">
        <v>3728</v>
      </c>
      <c r="AYC611" s="17">
        <v>44925</v>
      </c>
      <c r="AYD611" s="5" t="s">
        <v>3728</v>
      </c>
      <c r="AYE611" s="17">
        <v>44925</v>
      </c>
      <c r="AYF611" s="5" t="s">
        <v>3728</v>
      </c>
      <c r="AYG611" s="17">
        <v>44925</v>
      </c>
      <c r="AYH611" s="5" t="s">
        <v>3728</v>
      </c>
      <c r="AYI611" s="17">
        <v>44925</v>
      </c>
      <c r="AYJ611" s="5" t="s">
        <v>3728</v>
      </c>
      <c r="AYK611" s="17">
        <v>44925</v>
      </c>
      <c r="AYL611" s="5" t="s">
        <v>3728</v>
      </c>
      <c r="AYM611" s="17">
        <v>44925</v>
      </c>
      <c r="AYN611" s="5" t="s">
        <v>3728</v>
      </c>
      <c r="AYO611" s="17">
        <v>44925</v>
      </c>
      <c r="AYP611" s="5" t="s">
        <v>3728</v>
      </c>
      <c r="AYQ611" s="17">
        <v>44925</v>
      </c>
      <c r="AYR611" s="5" t="s">
        <v>3728</v>
      </c>
      <c r="AYS611" s="17">
        <v>44925</v>
      </c>
      <c r="AYT611" s="5" t="s">
        <v>3728</v>
      </c>
      <c r="AYU611" s="17">
        <v>44925</v>
      </c>
      <c r="AYV611" s="5" t="s">
        <v>3728</v>
      </c>
      <c r="AYW611" s="17">
        <v>44925</v>
      </c>
      <c r="AYX611" s="5" t="s">
        <v>3728</v>
      </c>
      <c r="AYY611" s="17">
        <v>44925</v>
      </c>
      <c r="AYZ611" s="5" t="s">
        <v>3728</v>
      </c>
      <c r="AZA611" s="17">
        <v>44925</v>
      </c>
      <c r="AZB611" s="5" t="s">
        <v>3728</v>
      </c>
      <c r="AZC611" s="17">
        <v>44925</v>
      </c>
      <c r="AZD611" s="5" t="s">
        <v>3728</v>
      </c>
      <c r="AZE611" s="17">
        <v>44925</v>
      </c>
      <c r="AZF611" s="5" t="s">
        <v>3728</v>
      </c>
      <c r="AZG611" s="17">
        <v>44925</v>
      </c>
      <c r="AZH611" s="5" t="s">
        <v>3728</v>
      </c>
      <c r="AZI611" s="17">
        <v>44925</v>
      </c>
      <c r="AZJ611" s="5" t="s">
        <v>3728</v>
      </c>
      <c r="AZK611" s="17">
        <v>44925</v>
      </c>
      <c r="AZL611" s="5" t="s">
        <v>3728</v>
      </c>
      <c r="AZM611" s="17">
        <v>44925</v>
      </c>
      <c r="AZN611" s="5" t="s">
        <v>3728</v>
      </c>
      <c r="AZO611" s="17">
        <v>44925</v>
      </c>
      <c r="AZP611" s="5" t="s">
        <v>3728</v>
      </c>
      <c r="AZQ611" s="17">
        <v>44925</v>
      </c>
      <c r="AZR611" s="5" t="s">
        <v>3728</v>
      </c>
      <c r="AZS611" s="17">
        <v>44925</v>
      </c>
      <c r="AZT611" s="5" t="s">
        <v>3728</v>
      </c>
      <c r="AZU611" s="17">
        <v>44925</v>
      </c>
      <c r="AZV611" s="5" t="s">
        <v>3728</v>
      </c>
      <c r="AZW611" s="17">
        <v>44925</v>
      </c>
      <c r="AZX611" s="5" t="s">
        <v>3728</v>
      </c>
      <c r="AZY611" s="17">
        <v>44925</v>
      </c>
      <c r="AZZ611" s="5" t="s">
        <v>3728</v>
      </c>
      <c r="BAA611" s="17">
        <v>44925</v>
      </c>
      <c r="BAB611" s="5" t="s">
        <v>3728</v>
      </c>
      <c r="BAC611" s="17">
        <v>44925</v>
      </c>
      <c r="BAD611" s="5" t="s">
        <v>3728</v>
      </c>
      <c r="BAE611" s="17">
        <v>44925</v>
      </c>
      <c r="BAF611" s="5" t="s">
        <v>3728</v>
      </c>
      <c r="BAG611" s="17">
        <v>44925</v>
      </c>
      <c r="BAH611" s="5" t="s">
        <v>3728</v>
      </c>
      <c r="BAI611" s="17">
        <v>44925</v>
      </c>
      <c r="BAJ611" s="5" t="s">
        <v>3728</v>
      </c>
      <c r="BAK611" s="17">
        <v>44925</v>
      </c>
      <c r="BAL611" s="5" t="s">
        <v>3728</v>
      </c>
      <c r="BAM611" s="17">
        <v>44925</v>
      </c>
      <c r="BAN611" s="5" t="s">
        <v>3728</v>
      </c>
      <c r="BAO611" s="17">
        <v>44925</v>
      </c>
      <c r="BAP611" s="5" t="s">
        <v>3728</v>
      </c>
      <c r="BAQ611" s="17">
        <v>44925</v>
      </c>
      <c r="BAR611" s="5" t="s">
        <v>3728</v>
      </c>
      <c r="BAS611" s="17">
        <v>44925</v>
      </c>
      <c r="BAT611" s="5" t="s">
        <v>3728</v>
      </c>
      <c r="BAU611" s="17">
        <v>44925</v>
      </c>
      <c r="BAV611" s="5" t="s">
        <v>3728</v>
      </c>
      <c r="BAW611" s="17">
        <v>44925</v>
      </c>
      <c r="BAX611" s="5" t="s">
        <v>3728</v>
      </c>
      <c r="BAY611" s="17">
        <v>44925</v>
      </c>
      <c r="BAZ611" s="5" t="s">
        <v>3728</v>
      </c>
      <c r="BBA611" s="17">
        <v>44925</v>
      </c>
      <c r="BBB611" s="5" t="s">
        <v>3728</v>
      </c>
      <c r="BBC611" s="17">
        <v>44925</v>
      </c>
      <c r="BBD611" s="5" t="s">
        <v>3728</v>
      </c>
      <c r="BBE611" s="17">
        <v>44925</v>
      </c>
      <c r="BBF611" s="5" t="s">
        <v>3728</v>
      </c>
      <c r="BBG611" s="17">
        <v>44925</v>
      </c>
      <c r="BBH611" s="5" t="s">
        <v>3728</v>
      </c>
      <c r="BBI611" s="17">
        <v>44925</v>
      </c>
      <c r="BBJ611" s="5" t="s">
        <v>3728</v>
      </c>
      <c r="BBK611" s="17">
        <v>44925</v>
      </c>
      <c r="BBL611" s="5" t="s">
        <v>3728</v>
      </c>
      <c r="BBM611" s="17">
        <v>44925</v>
      </c>
      <c r="BBN611" s="5" t="s">
        <v>3728</v>
      </c>
      <c r="BBO611" s="17">
        <v>44925</v>
      </c>
      <c r="BBP611" s="5" t="s">
        <v>3728</v>
      </c>
      <c r="BBQ611" s="17">
        <v>44925</v>
      </c>
      <c r="BBR611" s="5" t="s">
        <v>3728</v>
      </c>
      <c r="BBS611" s="17">
        <v>44925</v>
      </c>
      <c r="BBT611" s="5" t="s">
        <v>3728</v>
      </c>
      <c r="BBU611" s="17">
        <v>44925</v>
      </c>
      <c r="BBV611" s="5" t="s">
        <v>3728</v>
      </c>
      <c r="BBW611" s="17">
        <v>44925</v>
      </c>
      <c r="BBX611" s="5" t="s">
        <v>3728</v>
      </c>
      <c r="BBY611" s="17">
        <v>44925</v>
      </c>
      <c r="BBZ611" s="5" t="s">
        <v>3728</v>
      </c>
      <c r="BCA611" s="17">
        <v>44925</v>
      </c>
      <c r="BCB611" s="5" t="s">
        <v>3728</v>
      </c>
      <c r="BCC611" s="17">
        <v>44925</v>
      </c>
      <c r="BCD611" s="5" t="s">
        <v>3728</v>
      </c>
      <c r="BCE611" s="17">
        <v>44925</v>
      </c>
      <c r="BCF611" s="5" t="s">
        <v>3728</v>
      </c>
      <c r="BCG611" s="17">
        <v>44925</v>
      </c>
      <c r="BCH611" s="5" t="s">
        <v>3728</v>
      </c>
      <c r="BCI611" s="17">
        <v>44925</v>
      </c>
      <c r="BCJ611" s="5" t="s">
        <v>3728</v>
      </c>
      <c r="BCK611" s="17">
        <v>44925</v>
      </c>
      <c r="BCL611" s="5" t="s">
        <v>3728</v>
      </c>
      <c r="BCM611" s="17">
        <v>44925</v>
      </c>
      <c r="BCN611" s="5" t="s">
        <v>3728</v>
      </c>
      <c r="BCO611" s="17">
        <v>44925</v>
      </c>
      <c r="BCP611" s="5" t="s">
        <v>3728</v>
      </c>
      <c r="BCQ611" s="17">
        <v>44925</v>
      </c>
      <c r="BCR611" s="5" t="s">
        <v>3728</v>
      </c>
      <c r="BCS611" s="17">
        <v>44925</v>
      </c>
      <c r="BCT611" s="5" t="s">
        <v>3728</v>
      </c>
      <c r="BCU611" s="17">
        <v>44925</v>
      </c>
      <c r="BCV611" s="5" t="s">
        <v>3728</v>
      </c>
      <c r="BCW611" s="17">
        <v>44925</v>
      </c>
      <c r="BCX611" s="5" t="s">
        <v>3728</v>
      </c>
      <c r="BCY611" s="17">
        <v>44925</v>
      </c>
      <c r="BCZ611" s="5" t="s">
        <v>3728</v>
      </c>
      <c r="BDA611" s="17">
        <v>44925</v>
      </c>
      <c r="BDB611" s="5" t="s">
        <v>3728</v>
      </c>
      <c r="BDC611" s="17">
        <v>44925</v>
      </c>
      <c r="BDD611" s="5" t="s">
        <v>3728</v>
      </c>
      <c r="BDE611" s="17">
        <v>44925</v>
      </c>
      <c r="BDF611" s="5" t="s">
        <v>3728</v>
      </c>
      <c r="BDG611" s="17">
        <v>44925</v>
      </c>
      <c r="BDH611" s="5" t="s">
        <v>3728</v>
      </c>
      <c r="BDI611" s="17">
        <v>44925</v>
      </c>
      <c r="BDJ611" s="5" t="s">
        <v>3728</v>
      </c>
      <c r="BDK611" s="17">
        <v>44925</v>
      </c>
      <c r="BDL611" s="5" t="s">
        <v>3728</v>
      </c>
      <c r="BDM611" s="17">
        <v>44925</v>
      </c>
      <c r="BDN611" s="5" t="s">
        <v>3728</v>
      </c>
      <c r="BDO611" s="17">
        <v>44925</v>
      </c>
      <c r="BDP611" s="5" t="s">
        <v>3728</v>
      </c>
      <c r="BDQ611" s="17">
        <v>44925</v>
      </c>
      <c r="BDR611" s="5" t="s">
        <v>3728</v>
      </c>
      <c r="BDS611" s="17">
        <v>44925</v>
      </c>
      <c r="BDT611" s="5" t="s">
        <v>3728</v>
      </c>
      <c r="BDU611" s="17">
        <v>44925</v>
      </c>
      <c r="BDV611" s="5" t="s">
        <v>3728</v>
      </c>
      <c r="BDW611" s="17">
        <v>44925</v>
      </c>
      <c r="BDX611" s="5" t="s">
        <v>3728</v>
      </c>
      <c r="BDY611" s="17">
        <v>44925</v>
      </c>
      <c r="BDZ611" s="5" t="s">
        <v>3728</v>
      </c>
      <c r="BEA611" s="17">
        <v>44925</v>
      </c>
      <c r="BEB611" s="5" t="s">
        <v>3728</v>
      </c>
      <c r="BEC611" s="17">
        <v>44925</v>
      </c>
      <c r="BED611" s="5" t="s">
        <v>3728</v>
      </c>
      <c r="BEE611" s="17">
        <v>44925</v>
      </c>
      <c r="BEF611" s="5" t="s">
        <v>3728</v>
      </c>
      <c r="BEG611" s="17">
        <v>44925</v>
      </c>
      <c r="BEH611" s="5" t="s">
        <v>3728</v>
      </c>
      <c r="BEI611" s="17">
        <v>44925</v>
      </c>
      <c r="BEJ611" s="5" t="s">
        <v>3728</v>
      </c>
      <c r="BEK611" s="17">
        <v>44925</v>
      </c>
      <c r="BEL611" s="5" t="s">
        <v>3728</v>
      </c>
      <c r="BEM611" s="17">
        <v>44925</v>
      </c>
      <c r="BEN611" s="5" t="s">
        <v>3728</v>
      </c>
      <c r="BEO611" s="17">
        <v>44925</v>
      </c>
      <c r="BEP611" s="5" t="s">
        <v>3728</v>
      </c>
      <c r="BEQ611" s="17">
        <v>44925</v>
      </c>
      <c r="BER611" s="5" t="s">
        <v>3728</v>
      </c>
      <c r="BES611" s="17">
        <v>44925</v>
      </c>
      <c r="BET611" s="5" t="s">
        <v>3728</v>
      </c>
      <c r="BEU611" s="17">
        <v>44925</v>
      </c>
      <c r="BEV611" s="5" t="s">
        <v>3728</v>
      </c>
      <c r="BEW611" s="17">
        <v>44925</v>
      </c>
      <c r="BEX611" s="5" t="s">
        <v>3728</v>
      </c>
      <c r="BEY611" s="17">
        <v>44925</v>
      </c>
      <c r="BEZ611" s="5" t="s">
        <v>3728</v>
      </c>
      <c r="BFA611" s="17">
        <v>44925</v>
      </c>
      <c r="BFB611" s="5" t="s">
        <v>3728</v>
      </c>
      <c r="BFC611" s="17">
        <v>44925</v>
      </c>
      <c r="BFD611" s="5" t="s">
        <v>3728</v>
      </c>
      <c r="BFE611" s="17">
        <v>44925</v>
      </c>
      <c r="BFF611" s="5" t="s">
        <v>3728</v>
      </c>
      <c r="BFG611" s="17">
        <v>44925</v>
      </c>
      <c r="BFH611" s="5" t="s">
        <v>3728</v>
      </c>
      <c r="BFI611" s="17">
        <v>44925</v>
      </c>
      <c r="BFJ611" s="5" t="s">
        <v>3728</v>
      </c>
      <c r="BFK611" s="17">
        <v>44925</v>
      </c>
      <c r="BFL611" s="5" t="s">
        <v>3728</v>
      </c>
      <c r="BFM611" s="17">
        <v>44925</v>
      </c>
      <c r="BFN611" s="5" t="s">
        <v>3728</v>
      </c>
      <c r="BFO611" s="17">
        <v>44925</v>
      </c>
      <c r="BFP611" s="5" t="s">
        <v>3728</v>
      </c>
      <c r="BFQ611" s="17">
        <v>44925</v>
      </c>
      <c r="BFR611" s="5" t="s">
        <v>3728</v>
      </c>
      <c r="BFS611" s="17">
        <v>44925</v>
      </c>
      <c r="BFT611" s="5" t="s">
        <v>3728</v>
      </c>
      <c r="BFU611" s="17">
        <v>44925</v>
      </c>
      <c r="BFV611" s="5" t="s">
        <v>3728</v>
      </c>
      <c r="BFW611" s="17">
        <v>44925</v>
      </c>
      <c r="BFX611" s="5" t="s">
        <v>3728</v>
      </c>
      <c r="BFY611" s="17">
        <v>44925</v>
      </c>
      <c r="BFZ611" s="5" t="s">
        <v>3728</v>
      </c>
      <c r="BGA611" s="17">
        <v>44925</v>
      </c>
      <c r="BGB611" s="5" t="s">
        <v>3728</v>
      </c>
      <c r="BGC611" s="17">
        <v>44925</v>
      </c>
      <c r="BGD611" s="5" t="s">
        <v>3728</v>
      </c>
      <c r="BGE611" s="17">
        <v>44925</v>
      </c>
      <c r="BGF611" s="5" t="s">
        <v>3728</v>
      </c>
      <c r="BGG611" s="17">
        <v>44925</v>
      </c>
      <c r="BGH611" s="5" t="s">
        <v>3728</v>
      </c>
      <c r="BGI611" s="17">
        <v>44925</v>
      </c>
      <c r="BGJ611" s="5" t="s">
        <v>3728</v>
      </c>
      <c r="BGK611" s="17">
        <v>44925</v>
      </c>
      <c r="BGL611" s="5" t="s">
        <v>3728</v>
      </c>
      <c r="BGM611" s="17">
        <v>44925</v>
      </c>
      <c r="BGN611" s="5" t="s">
        <v>3728</v>
      </c>
      <c r="BGO611" s="17">
        <v>44925</v>
      </c>
      <c r="BGP611" s="5" t="s">
        <v>3728</v>
      </c>
      <c r="BGQ611" s="17">
        <v>44925</v>
      </c>
      <c r="BGR611" s="5" t="s">
        <v>3728</v>
      </c>
      <c r="BGS611" s="17">
        <v>44925</v>
      </c>
      <c r="BGT611" s="5" t="s">
        <v>3728</v>
      </c>
      <c r="BGU611" s="17">
        <v>44925</v>
      </c>
      <c r="BGV611" s="5" t="s">
        <v>3728</v>
      </c>
      <c r="BGW611" s="17">
        <v>44925</v>
      </c>
      <c r="BGX611" s="5" t="s">
        <v>3728</v>
      </c>
      <c r="BGY611" s="17">
        <v>44925</v>
      </c>
      <c r="BGZ611" s="5" t="s">
        <v>3728</v>
      </c>
      <c r="BHA611" s="17">
        <v>44925</v>
      </c>
      <c r="BHB611" s="5" t="s">
        <v>3728</v>
      </c>
      <c r="BHC611" s="17">
        <v>44925</v>
      </c>
      <c r="BHD611" s="5" t="s">
        <v>3728</v>
      </c>
      <c r="BHE611" s="17">
        <v>44925</v>
      </c>
      <c r="BHF611" s="5" t="s">
        <v>3728</v>
      </c>
      <c r="BHG611" s="17">
        <v>44925</v>
      </c>
      <c r="BHH611" s="5" t="s">
        <v>3728</v>
      </c>
      <c r="BHI611" s="17">
        <v>44925</v>
      </c>
      <c r="BHJ611" s="5" t="s">
        <v>3728</v>
      </c>
      <c r="BHK611" s="17">
        <v>44925</v>
      </c>
      <c r="BHL611" s="5" t="s">
        <v>3728</v>
      </c>
      <c r="BHM611" s="17">
        <v>44925</v>
      </c>
      <c r="BHN611" s="5" t="s">
        <v>3728</v>
      </c>
      <c r="BHO611" s="17">
        <v>44925</v>
      </c>
      <c r="BHP611" s="5" t="s">
        <v>3728</v>
      </c>
      <c r="BHQ611" s="17">
        <v>44925</v>
      </c>
      <c r="BHR611" s="5" t="s">
        <v>3728</v>
      </c>
      <c r="BHS611" s="17">
        <v>44925</v>
      </c>
      <c r="BHT611" s="5" t="s">
        <v>3728</v>
      </c>
      <c r="BHU611" s="17">
        <v>44925</v>
      </c>
      <c r="BHV611" s="5" t="s">
        <v>3728</v>
      </c>
      <c r="BHW611" s="17">
        <v>44925</v>
      </c>
      <c r="BHX611" s="5" t="s">
        <v>3728</v>
      </c>
      <c r="BHY611" s="17">
        <v>44925</v>
      </c>
      <c r="BHZ611" s="5" t="s">
        <v>3728</v>
      </c>
      <c r="BIA611" s="17">
        <v>44925</v>
      </c>
      <c r="BIB611" s="5" t="s">
        <v>3728</v>
      </c>
      <c r="BIC611" s="17">
        <v>44925</v>
      </c>
      <c r="BID611" s="5" t="s">
        <v>3728</v>
      </c>
      <c r="BIE611" s="17">
        <v>44925</v>
      </c>
      <c r="BIF611" s="5" t="s">
        <v>3728</v>
      </c>
      <c r="BIG611" s="17">
        <v>44925</v>
      </c>
      <c r="BIH611" s="5" t="s">
        <v>3728</v>
      </c>
      <c r="BII611" s="17">
        <v>44925</v>
      </c>
      <c r="BIJ611" s="5" t="s">
        <v>3728</v>
      </c>
      <c r="BIK611" s="17">
        <v>44925</v>
      </c>
      <c r="BIL611" s="5" t="s">
        <v>3728</v>
      </c>
      <c r="BIM611" s="17">
        <v>44925</v>
      </c>
      <c r="BIN611" s="5" t="s">
        <v>3728</v>
      </c>
      <c r="BIO611" s="17">
        <v>44925</v>
      </c>
      <c r="BIP611" s="5" t="s">
        <v>3728</v>
      </c>
      <c r="BIQ611" s="17">
        <v>44925</v>
      </c>
      <c r="BIR611" s="5" t="s">
        <v>3728</v>
      </c>
      <c r="BIS611" s="17">
        <v>44925</v>
      </c>
      <c r="BIT611" s="5" t="s">
        <v>3728</v>
      </c>
      <c r="BIU611" s="17">
        <v>44925</v>
      </c>
      <c r="BIV611" s="5" t="s">
        <v>3728</v>
      </c>
      <c r="BIW611" s="17">
        <v>44925</v>
      </c>
      <c r="BIX611" s="5" t="s">
        <v>3728</v>
      </c>
      <c r="BIY611" s="17">
        <v>44925</v>
      </c>
      <c r="BIZ611" s="5" t="s">
        <v>3728</v>
      </c>
      <c r="BJA611" s="17">
        <v>44925</v>
      </c>
      <c r="BJB611" s="5" t="s">
        <v>3728</v>
      </c>
      <c r="BJC611" s="17">
        <v>44925</v>
      </c>
      <c r="BJD611" s="5" t="s">
        <v>3728</v>
      </c>
      <c r="BJE611" s="17">
        <v>44925</v>
      </c>
      <c r="BJF611" s="5" t="s">
        <v>3728</v>
      </c>
      <c r="BJG611" s="17">
        <v>44925</v>
      </c>
      <c r="BJH611" s="5" t="s">
        <v>3728</v>
      </c>
      <c r="BJI611" s="17">
        <v>44925</v>
      </c>
      <c r="BJJ611" s="5" t="s">
        <v>3728</v>
      </c>
      <c r="BJK611" s="17">
        <v>44925</v>
      </c>
      <c r="BJL611" s="5" t="s">
        <v>3728</v>
      </c>
      <c r="BJM611" s="17">
        <v>44925</v>
      </c>
      <c r="BJN611" s="5" t="s">
        <v>3728</v>
      </c>
      <c r="BJO611" s="17">
        <v>44925</v>
      </c>
      <c r="BJP611" s="5" t="s">
        <v>3728</v>
      </c>
      <c r="BJQ611" s="17">
        <v>44925</v>
      </c>
      <c r="BJR611" s="5" t="s">
        <v>3728</v>
      </c>
      <c r="BJS611" s="17">
        <v>44925</v>
      </c>
      <c r="BJT611" s="5" t="s">
        <v>3728</v>
      </c>
      <c r="BJU611" s="17">
        <v>44925</v>
      </c>
      <c r="BJV611" s="5" t="s">
        <v>3728</v>
      </c>
      <c r="BJW611" s="17">
        <v>44925</v>
      </c>
      <c r="BJX611" s="5" t="s">
        <v>3728</v>
      </c>
      <c r="BJY611" s="17">
        <v>44925</v>
      </c>
      <c r="BJZ611" s="5" t="s">
        <v>3728</v>
      </c>
      <c r="BKA611" s="17">
        <v>44925</v>
      </c>
      <c r="BKB611" s="5" t="s">
        <v>3728</v>
      </c>
      <c r="BKC611" s="17">
        <v>44925</v>
      </c>
      <c r="BKD611" s="5" t="s">
        <v>3728</v>
      </c>
      <c r="BKE611" s="17">
        <v>44925</v>
      </c>
      <c r="BKF611" s="5" t="s">
        <v>3728</v>
      </c>
      <c r="BKG611" s="17">
        <v>44925</v>
      </c>
      <c r="BKH611" s="5" t="s">
        <v>3728</v>
      </c>
      <c r="BKI611" s="17">
        <v>44925</v>
      </c>
      <c r="BKJ611" s="5" t="s">
        <v>3728</v>
      </c>
      <c r="BKK611" s="17">
        <v>44925</v>
      </c>
      <c r="BKL611" s="5" t="s">
        <v>3728</v>
      </c>
      <c r="BKM611" s="17">
        <v>44925</v>
      </c>
      <c r="BKN611" s="5" t="s">
        <v>3728</v>
      </c>
      <c r="BKO611" s="17">
        <v>44925</v>
      </c>
      <c r="BKP611" s="5" t="s">
        <v>3728</v>
      </c>
      <c r="BKQ611" s="17">
        <v>44925</v>
      </c>
      <c r="BKR611" s="5" t="s">
        <v>3728</v>
      </c>
      <c r="BKS611" s="17">
        <v>44925</v>
      </c>
      <c r="BKT611" s="5" t="s">
        <v>3728</v>
      </c>
      <c r="BKU611" s="17">
        <v>44925</v>
      </c>
      <c r="BKV611" s="5" t="s">
        <v>3728</v>
      </c>
      <c r="BKW611" s="17">
        <v>44925</v>
      </c>
      <c r="BKX611" s="5" t="s">
        <v>3728</v>
      </c>
      <c r="BKY611" s="17">
        <v>44925</v>
      </c>
      <c r="BKZ611" s="5" t="s">
        <v>3728</v>
      </c>
      <c r="BLA611" s="17">
        <v>44925</v>
      </c>
      <c r="BLB611" s="5" t="s">
        <v>3728</v>
      </c>
      <c r="BLC611" s="17">
        <v>44925</v>
      </c>
      <c r="BLD611" s="5" t="s">
        <v>3728</v>
      </c>
      <c r="BLE611" s="17">
        <v>44925</v>
      </c>
      <c r="BLF611" s="5" t="s">
        <v>3728</v>
      </c>
      <c r="BLG611" s="17">
        <v>44925</v>
      </c>
      <c r="BLH611" s="5" t="s">
        <v>3728</v>
      </c>
      <c r="BLI611" s="17">
        <v>44925</v>
      </c>
      <c r="BLJ611" s="5" t="s">
        <v>3728</v>
      </c>
      <c r="BLK611" s="17">
        <v>44925</v>
      </c>
      <c r="BLL611" s="5" t="s">
        <v>3728</v>
      </c>
      <c r="BLM611" s="17">
        <v>44925</v>
      </c>
      <c r="BLN611" s="5" t="s">
        <v>3728</v>
      </c>
      <c r="BLO611" s="17">
        <v>44925</v>
      </c>
      <c r="BLP611" s="5" t="s">
        <v>3728</v>
      </c>
      <c r="BLQ611" s="17">
        <v>44925</v>
      </c>
      <c r="BLR611" s="5" t="s">
        <v>3728</v>
      </c>
      <c r="BLS611" s="17">
        <v>44925</v>
      </c>
      <c r="BLT611" s="5" t="s">
        <v>3728</v>
      </c>
      <c r="BLU611" s="17">
        <v>44925</v>
      </c>
      <c r="BLV611" s="5" t="s">
        <v>3728</v>
      </c>
      <c r="BLW611" s="17">
        <v>44925</v>
      </c>
      <c r="BLX611" s="5" t="s">
        <v>3728</v>
      </c>
      <c r="BLY611" s="17">
        <v>44925</v>
      </c>
      <c r="BLZ611" s="5" t="s">
        <v>3728</v>
      </c>
      <c r="BMA611" s="17">
        <v>44925</v>
      </c>
      <c r="BMB611" s="5" t="s">
        <v>3728</v>
      </c>
      <c r="BMC611" s="17">
        <v>44925</v>
      </c>
      <c r="BMD611" s="5" t="s">
        <v>3728</v>
      </c>
      <c r="BME611" s="17">
        <v>44925</v>
      </c>
      <c r="BMF611" s="5" t="s">
        <v>3728</v>
      </c>
      <c r="BMG611" s="17">
        <v>44925</v>
      </c>
      <c r="BMH611" s="5" t="s">
        <v>3728</v>
      </c>
      <c r="BMI611" s="17">
        <v>44925</v>
      </c>
      <c r="BMJ611" s="5" t="s">
        <v>3728</v>
      </c>
      <c r="BMK611" s="17">
        <v>44925</v>
      </c>
      <c r="BML611" s="5" t="s">
        <v>3728</v>
      </c>
      <c r="BMM611" s="17">
        <v>44925</v>
      </c>
      <c r="BMN611" s="5" t="s">
        <v>3728</v>
      </c>
      <c r="BMO611" s="17">
        <v>44925</v>
      </c>
      <c r="BMP611" s="5" t="s">
        <v>3728</v>
      </c>
      <c r="BMQ611" s="17">
        <v>44925</v>
      </c>
      <c r="BMR611" s="5" t="s">
        <v>3728</v>
      </c>
      <c r="BMS611" s="17">
        <v>44925</v>
      </c>
      <c r="BMT611" s="5" t="s">
        <v>3728</v>
      </c>
      <c r="BMU611" s="17">
        <v>44925</v>
      </c>
      <c r="BMV611" s="5" t="s">
        <v>3728</v>
      </c>
      <c r="BMW611" s="17">
        <v>44925</v>
      </c>
      <c r="BMX611" s="5" t="s">
        <v>3728</v>
      </c>
      <c r="BMY611" s="17">
        <v>44925</v>
      </c>
      <c r="BMZ611" s="5" t="s">
        <v>3728</v>
      </c>
      <c r="BNA611" s="17">
        <v>44925</v>
      </c>
      <c r="BNB611" s="5" t="s">
        <v>3728</v>
      </c>
      <c r="BNC611" s="17">
        <v>44925</v>
      </c>
      <c r="BND611" s="5" t="s">
        <v>3728</v>
      </c>
      <c r="BNE611" s="17">
        <v>44925</v>
      </c>
      <c r="BNF611" s="5" t="s">
        <v>3728</v>
      </c>
      <c r="BNG611" s="17">
        <v>44925</v>
      </c>
      <c r="BNH611" s="5" t="s">
        <v>3728</v>
      </c>
      <c r="BNI611" s="17">
        <v>44925</v>
      </c>
      <c r="BNJ611" s="5" t="s">
        <v>3728</v>
      </c>
      <c r="BNK611" s="17">
        <v>44925</v>
      </c>
      <c r="BNL611" s="5" t="s">
        <v>3728</v>
      </c>
      <c r="BNM611" s="17">
        <v>44925</v>
      </c>
      <c r="BNN611" s="5" t="s">
        <v>3728</v>
      </c>
      <c r="BNO611" s="17">
        <v>44925</v>
      </c>
      <c r="BNP611" s="5" t="s">
        <v>3728</v>
      </c>
      <c r="BNQ611" s="17">
        <v>44925</v>
      </c>
      <c r="BNR611" s="5" t="s">
        <v>3728</v>
      </c>
      <c r="BNS611" s="17">
        <v>44925</v>
      </c>
      <c r="BNT611" s="5" t="s">
        <v>3728</v>
      </c>
      <c r="BNU611" s="17">
        <v>44925</v>
      </c>
      <c r="BNV611" s="5" t="s">
        <v>3728</v>
      </c>
      <c r="BNW611" s="17">
        <v>44925</v>
      </c>
      <c r="BNX611" s="5" t="s">
        <v>3728</v>
      </c>
      <c r="BNY611" s="17">
        <v>44925</v>
      </c>
      <c r="BNZ611" s="5" t="s">
        <v>3728</v>
      </c>
      <c r="BOA611" s="17">
        <v>44925</v>
      </c>
      <c r="BOB611" s="5" t="s">
        <v>3728</v>
      </c>
      <c r="BOC611" s="17">
        <v>44925</v>
      </c>
      <c r="BOD611" s="5" t="s">
        <v>3728</v>
      </c>
      <c r="BOE611" s="17">
        <v>44925</v>
      </c>
      <c r="BOF611" s="5" t="s">
        <v>3728</v>
      </c>
      <c r="BOG611" s="17">
        <v>44925</v>
      </c>
      <c r="BOH611" s="5" t="s">
        <v>3728</v>
      </c>
      <c r="BOI611" s="17">
        <v>44925</v>
      </c>
      <c r="BOJ611" s="5" t="s">
        <v>3728</v>
      </c>
      <c r="BOK611" s="17">
        <v>44925</v>
      </c>
      <c r="BOL611" s="5" t="s">
        <v>3728</v>
      </c>
      <c r="BOM611" s="17">
        <v>44925</v>
      </c>
      <c r="BON611" s="5" t="s">
        <v>3728</v>
      </c>
      <c r="BOO611" s="17">
        <v>44925</v>
      </c>
      <c r="BOP611" s="5" t="s">
        <v>3728</v>
      </c>
      <c r="BOQ611" s="17">
        <v>44925</v>
      </c>
      <c r="BOR611" s="5" t="s">
        <v>3728</v>
      </c>
      <c r="BOS611" s="17">
        <v>44925</v>
      </c>
      <c r="BOT611" s="5" t="s">
        <v>3728</v>
      </c>
      <c r="BOU611" s="17">
        <v>44925</v>
      </c>
      <c r="BOV611" s="5" t="s">
        <v>3728</v>
      </c>
      <c r="BOW611" s="17">
        <v>44925</v>
      </c>
      <c r="BOX611" s="5" t="s">
        <v>3728</v>
      </c>
      <c r="BOY611" s="17">
        <v>44925</v>
      </c>
      <c r="BOZ611" s="5" t="s">
        <v>3728</v>
      </c>
      <c r="BPA611" s="17">
        <v>44925</v>
      </c>
      <c r="BPB611" s="5" t="s">
        <v>3728</v>
      </c>
      <c r="BPC611" s="17">
        <v>44925</v>
      </c>
      <c r="BPD611" s="5" t="s">
        <v>3728</v>
      </c>
      <c r="BPE611" s="17">
        <v>44925</v>
      </c>
      <c r="BPF611" s="5" t="s">
        <v>3728</v>
      </c>
      <c r="BPG611" s="17">
        <v>44925</v>
      </c>
      <c r="BPH611" s="5" t="s">
        <v>3728</v>
      </c>
      <c r="BPI611" s="17">
        <v>44925</v>
      </c>
      <c r="BPJ611" s="5" t="s">
        <v>3728</v>
      </c>
      <c r="BPK611" s="17">
        <v>44925</v>
      </c>
      <c r="BPL611" s="5" t="s">
        <v>3728</v>
      </c>
      <c r="BPM611" s="17">
        <v>44925</v>
      </c>
      <c r="BPN611" s="5" t="s">
        <v>3728</v>
      </c>
      <c r="BPO611" s="17">
        <v>44925</v>
      </c>
      <c r="BPP611" s="5" t="s">
        <v>3728</v>
      </c>
      <c r="BPQ611" s="17">
        <v>44925</v>
      </c>
      <c r="BPR611" s="5" t="s">
        <v>3728</v>
      </c>
      <c r="BPS611" s="17">
        <v>44925</v>
      </c>
      <c r="BPT611" s="5" t="s">
        <v>3728</v>
      </c>
      <c r="BPU611" s="17">
        <v>44925</v>
      </c>
      <c r="BPV611" s="5" t="s">
        <v>3728</v>
      </c>
      <c r="BPW611" s="17">
        <v>44925</v>
      </c>
      <c r="BPX611" s="5" t="s">
        <v>3728</v>
      </c>
      <c r="BPY611" s="17">
        <v>44925</v>
      </c>
      <c r="BPZ611" s="5" t="s">
        <v>3728</v>
      </c>
      <c r="BQA611" s="17">
        <v>44925</v>
      </c>
      <c r="BQB611" s="5" t="s">
        <v>3728</v>
      </c>
      <c r="BQC611" s="17">
        <v>44925</v>
      </c>
      <c r="BQD611" s="5" t="s">
        <v>3728</v>
      </c>
      <c r="BQE611" s="17">
        <v>44925</v>
      </c>
      <c r="BQF611" s="5" t="s">
        <v>3728</v>
      </c>
      <c r="BQG611" s="17">
        <v>44925</v>
      </c>
      <c r="BQH611" s="5" t="s">
        <v>3728</v>
      </c>
      <c r="BQI611" s="17">
        <v>44925</v>
      </c>
      <c r="BQJ611" s="5" t="s">
        <v>3728</v>
      </c>
      <c r="BQK611" s="17">
        <v>44925</v>
      </c>
      <c r="BQL611" s="5" t="s">
        <v>3728</v>
      </c>
      <c r="BQM611" s="17">
        <v>44925</v>
      </c>
      <c r="BQN611" s="5" t="s">
        <v>3728</v>
      </c>
      <c r="BQO611" s="17">
        <v>44925</v>
      </c>
      <c r="BQP611" s="5" t="s">
        <v>3728</v>
      </c>
      <c r="BQQ611" s="17">
        <v>44925</v>
      </c>
      <c r="BQR611" s="5" t="s">
        <v>3728</v>
      </c>
      <c r="BQS611" s="17">
        <v>44925</v>
      </c>
      <c r="BQT611" s="5" t="s">
        <v>3728</v>
      </c>
      <c r="BQU611" s="17">
        <v>44925</v>
      </c>
      <c r="BQV611" s="5" t="s">
        <v>3728</v>
      </c>
      <c r="BQW611" s="17">
        <v>44925</v>
      </c>
      <c r="BQX611" s="5" t="s">
        <v>3728</v>
      </c>
      <c r="BQY611" s="17">
        <v>44925</v>
      </c>
      <c r="BQZ611" s="5" t="s">
        <v>3728</v>
      </c>
      <c r="BRA611" s="17">
        <v>44925</v>
      </c>
      <c r="BRB611" s="5" t="s">
        <v>3728</v>
      </c>
      <c r="BRC611" s="17">
        <v>44925</v>
      </c>
      <c r="BRD611" s="5" t="s">
        <v>3728</v>
      </c>
      <c r="BRE611" s="17">
        <v>44925</v>
      </c>
      <c r="BRF611" s="5" t="s">
        <v>3728</v>
      </c>
      <c r="BRG611" s="17">
        <v>44925</v>
      </c>
      <c r="BRH611" s="5" t="s">
        <v>3728</v>
      </c>
      <c r="BRI611" s="17">
        <v>44925</v>
      </c>
      <c r="BRJ611" s="5" t="s">
        <v>3728</v>
      </c>
      <c r="BRK611" s="17">
        <v>44925</v>
      </c>
      <c r="BRL611" s="5" t="s">
        <v>3728</v>
      </c>
      <c r="BRM611" s="17">
        <v>44925</v>
      </c>
      <c r="BRN611" s="5" t="s">
        <v>3728</v>
      </c>
      <c r="BRO611" s="17">
        <v>44925</v>
      </c>
      <c r="BRP611" s="5" t="s">
        <v>3728</v>
      </c>
      <c r="BRQ611" s="17">
        <v>44925</v>
      </c>
      <c r="BRR611" s="5" t="s">
        <v>3728</v>
      </c>
      <c r="BRS611" s="17">
        <v>44925</v>
      </c>
      <c r="BRT611" s="5" t="s">
        <v>3728</v>
      </c>
      <c r="BRU611" s="17">
        <v>44925</v>
      </c>
      <c r="BRV611" s="5" t="s">
        <v>3728</v>
      </c>
      <c r="BRW611" s="17">
        <v>44925</v>
      </c>
      <c r="BRX611" s="5" t="s">
        <v>3728</v>
      </c>
      <c r="BRY611" s="17">
        <v>44925</v>
      </c>
      <c r="BRZ611" s="5" t="s">
        <v>3728</v>
      </c>
      <c r="BSA611" s="17">
        <v>44925</v>
      </c>
      <c r="BSB611" s="5" t="s">
        <v>3728</v>
      </c>
      <c r="BSC611" s="17">
        <v>44925</v>
      </c>
      <c r="BSD611" s="5" t="s">
        <v>3728</v>
      </c>
      <c r="BSE611" s="17">
        <v>44925</v>
      </c>
      <c r="BSF611" s="5" t="s">
        <v>3728</v>
      </c>
      <c r="BSG611" s="17">
        <v>44925</v>
      </c>
      <c r="BSH611" s="5" t="s">
        <v>3728</v>
      </c>
      <c r="BSI611" s="17">
        <v>44925</v>
      </c>
      <c r="BSJ611" s="5" t="s">
        <v>3728</v>
      </c>
      <c r="BSK611" s="17">
        <v>44925</v>
      </c>
      <c r="BSL611" s="5" t="s">
        <v>3728</v>
      </c>
      <c r="BSM611" s="17">
        <v>44925</v>
      </c>
      <c r="BSN611" s="5" t="s">
        <v>3728</v>
      </c>
      <c r="BSO611" s="17">
        <v>44925</v>
      </c>
      <c r="BSP611" s="5" t="s">
        <v>3728</v>
      </c>
      <c r="BSQ611" s="17">
        <v>44925</v>
      </c>
      <c r="BSR611" s="5" t="s">
        <v>3728</v>
      </c>
      <c r="BSS611" s="17">
        <v>44925</v>
      </c>
      <c r="BST611" s="5" t="s">
        <v>3728</v>
      </c>
      <c r="BSU611" s="17">
        <v>44925</v>
      </c>
      <c r="BSV611" s="5" t="s">
        <v>3728</v>
      </c>
      <c r="BSW611" s="17">
        <v>44925</v>
      </c>
      <c r="BSX611" s="5" t="s">
        <v>3728</v>
      </c>
      <c r="BSY611" s="17">
        <v>44925</v>
      </c>
      <c r="BSZ611" s="5" t="s">
        <v>3728</v>
      </c>
      <c r="BTA611" s="17">
        <v>44925</v>
      </c>
      <c r="BTB611" s="5" t="s">
        <v>3728</v>
      </c>
      <c r="BTC611" s="17">
        <v>44925</v>
      </c>
      <c r="BTD611" s="5" t="s">
        <v>3728</v>
      </c>
      <c r="BTE611" s="17">
        <v>44925</v>
      </c>
      <c r="BTF611" s="5" t="s">
        <v>3728</v>
      </c>
      <c r="BTG611" s="17">
        <v>44925</v>
      </c>
      <c r="BTH611" s="5" t="s">
        <v>3728</v>
      </c>
      <c r="BTI611" s="17">
        <v>44925</v>
      </c>
      <c r="BTJ611" s="5" t="s">
        <v>3728</v>
      </c>
      <c r="BTK611" s="17">
        <v>44925</v>
      </c>
      <c r="BTL611" s="5" t="s">
        <v>3728</v>
      </c>
      <c r="BTM611" s="17">
        <v>44925</v>
      </c>
      <c r="BTN611" s="5" t="s">
        <v>3728</v>
      </c>
      <c r="BTO611" s="17">
        <v>44925</v>
      </c>
      <c r="BTP611" s="5" t="s">
        <v>3728</v>
      </c>
      <c r="BTQ611" s="17">
        <v>44925</v>
      </c>
      <c r="BTR611" s="5" t="s">
        <v>3728</v>
      </c>
      <c r="BTS611" s="17">
        <v>44925</v>
      </c>
      <c r="BTT611" s="5" t="s">
        <v>3728</v>
      </c>
      <c r="BTU611" s="17">
        <v>44925</v>
      </c>
      <c r="BTV611" s="5" t="s">
        <v>3728</v>
      </c>
      <c r="BTW611" s="17">
        <v>44925</v>
      </c>
      <c r="BTX611" s="5" t="s">
        <v>3728</v>
      </c>
      <c r="BTY611" s="17">
        <v>44925</v>
      </c>
      <c r="BTZ611" s="5" t="s">
        <v>3728</v>
      </c>
      <c r="BUA611" s="17">
        <v>44925</v>
      </c>
      <c r="BUB611" s="5" t="s">
        <v>3728</v>
      </c>
      <c r="BUC611" s="17">
        <v>44925</v>
      </c>
      <c r="BUD611" s="5" t="s">
        <v>3728</v>
      </c>
      <c r="BUE611" s="17">
        <v>44925</v>
      </c>
      <c r="BUF611" s="5" t="s">
        <v>3728</v>
      </c>
      <c r="BUG611" s="17">
        <v>44925</v>
      </c>
      <c r="BUH611" s="5" t="s">
        <v>3728</v>
      </c>
      <c r="BUI611" s="17">
        <v>44925</v>
      </c>
      <c r="BUJ611" s="5" t="s">
        <v>3728</v>
      </c>
      <c r="BUK611" s="17">
        <v>44925</v>
      </c>
      <c r="BUL611" s="5" t="s">
        <v>3728</v>
      </c>
      <c r="BUM611" s="17">
        <v>44925</v>
      </c>
      <c r="BUN611" s="5" t="s">
        <v>3728</v>
      </c>
      <c r="BUO611" s="17">
        <v>44925</v>
      </c>
      <c r="BUP611" s="5" t="s">
        <v>3728</v>
      </c>
      <c r="BUQ611" s="17">
        <v>44925</v>
      </c>
      <c r="BUR611" s="5" t="s">
        <v>3728</v>
      </c>
      <c r="BUS611" s="17">
        <v>44925</v>
      </c>
      <c r="BUT611" s="5" t="s">
        <v>3728</v>
      </c>
      <c r="BUU611" s="17">
        <v>44925</v>
      </c>
      <c r="BUV611" s="5" t="s">
        <v>3728</v>
      </c>
      <c r="BUW611" s="17">
        <v>44925</v>
      </c>
      <c r="BUX611" s="5" t="s">
        <v>3728</v>
      </c>
      <c r="BUY611" s="17">
        <v>44925</v>
      </c>
      <c r="BUZ611" s="5" t="s">
        <v>3728</v>
      </c>
      <c r="BVA611" s="17">
        <v>44925</v>
      </c>
      <c r="BVB611" s="5" t="s">
        <v>3728</v>
      </c>
      <c r="BVC611" s="17">
        <v>44925</v>
      </c>
      <c r="BVD611" s="5" t="s">
        <v>3728</v>
      </c>
      <c r="BVE611" s="17">
        <v>44925</v>
      </c>
      <c r="BVF611" s="5" t="s">
        <v>3728</v>
      </c>
      <c r="BVG611" s="17">
        <v>44925</v>
      </c>
      <c r="BVH611" s="5" t="s">
        <v>3728</v>
      </c>
      <c r="BVI611" s="17">
        <v>44925</v>
      </c>
      <c r="BVJ611" s="5" t="s">
        <v>3728</v>
      </c>
      <c r="BVK611" s="17">
        <v>44925</v>
      </c>
      <c r="BVL611" s="5" t="s">
        <v>3728</v>
      </c>
      <c r="BVM611" s="17">
        <v>44925</v>
      </c>
      <c r="BVN611" s="5" t="s">
        <v>3728</v>
      </c>
      <c r="BVO611" s="17">
        <v>44925</v>
      </c>
      <c r="BVP611" s="5" t="s">
        <v>3728</v>
      </c>
      <c r="BVQ611" s="17">
        <v>44925</v>
      </c>
      <c r="BVR611" s="5" t="s">
        <v>3728</v>
      </c>
      <c r="BVS611" s="17">
        <v>44925</v>
      </c>
      <c r="BVT611" s="5" t="s">
        <v>3728</v>
      </c>
      <c r="BVU611" s="17">
        <v>44925</v>
      </c>
      <c r="BVV611" s="5" t="s">
        <v>3728</v>
      </c>
      <c r="BVW611" s="17">
        <v>44925</v>
      </c>
      <c r="BVX611" s="5" t="s">
        <v>3728</v>
      </c>
      <c r="BVY611" s="17">
        <v>44925</v>
      </c>
      <c r="BVZ611" s="5" t="s">
        <v>3728</v>
      </c>
      <c r="BWA611" s="17">
        <v>44925</v>
      </c>
      <c r="BWB611" s="5" t="s">
        <v>3728</v>
      </c>
      <c r="BWC611" s="17">
        <v>44925</v>
      </c>
      <c r="BWD611" s="5" t="s">
        <v>3728</v>
      </c>
      <c r="BWE611" s="17">
        <v>44925</v>
      </c>
      <c r="BWF611" s="5" t="s">
        <v>3728</v>
      </c>
      <c r="BWG611" s="17">
        <v>44925</v>
      </c>
      <c r="BWH611" s="5" t="s">
        <v>3728</v>
      </c>
      <c r="BWI611" s="17">
        <v>44925</v>
      </c>
      <c r="BWJ611" s="5" t="s">
        <v>3728</v>
      </c>
      <c r="BWK611" s="17">
        <v>44925</v>
      </c>
      <c r="BWL611" s="5" t="s">
        <v>3728</v>
      </c>
      <c r="BWM611" s="17">
        <v>44925</v>
      </c>
      <c r="BWN611" s="5" t="s">
        <v>3728</v>
      </c>
      <c r="BWO611" s="17">
        <v>44925</v>
      </c>
      <c r="BWP611" s="5" t="s">
        <v>3728</v>
      </c>
      <c r="BWQ611" s="17">
        <v>44925</v>
      </c>
      <c r="BWR611" s="5" t="s">
        <v>3728</v>
      </c>
      <c r="BWS611" s="17">
        <v>44925</v>
      </c>
      <c r="BWT611" s="5" t="s">
        <v>3728</v>
      </c>
      <c r="BWU611" s="17">
        <v>44925</v>
      </c>
      <c r="BWV611" s="5" t="s">
        <v>3728</v>
      </c>
      <c r="BWW611" s="17">
        <v>44925</v>
      </c>
      <c r="BWX611" s="5" t="s">
        <v>3728</v>
      </c>
      <c r="BWY611" s="17">
        <v>44925</v>
      </c>
      <c r="BWZ611" s="5" t="s">
        <v>3728</v>
      </c>
      <c r="BXA611" s="17">
        <v>44925</v>
      </c>
      <c r="BXB611" s="5" t="s">
        <v>3728</v>
      </c>
      <c r="BXC611" s="17">
        <v>44925</v>
      </c>
      <c r="BXD611" s="5" t="s">
        <v>3728</v>
      </c>
      <c r="BXE611" s="17">
        <v>44925</v>
      </c>
      <c r="BXF611" s="5" t="s">
        <v>3728</v>
      </c>
      <c r="BXG611" s="17">
        <v>44925</v>
      </c>
      <c r="BXH611" s="5" t="s">
        <v>3728</v>
      </c>
      <c r="BXI611" s="17">
        <v>44925</v>
      </c>
      <c r="BXJ611" s="5" t="s">
        <v>3728</v>
      </c>
      <c r="BXK611" s="17">
        <v>44925</v>
      </c>
      <c r="BXL611" s="5" t="s">
        <v>3728</v>
      </c>
      <c r="BXM611" s="17">
        <v>44925</v>
      </c>
      <c r="BXN611" s="5" t="s">
        <v>3728</v>
      </c>
      <c r="BXO611" s="17">
        <v>44925</v>
      </c>
      <c r="BXP611" s="5" t="s">
        <v>3728</v>
      </c>
      <c r="BXQ611" s="17">
        <v>44925</v>
      </c>
      <c r="BXR611" s="5" t="s">
        <v>3728</v>
      </c>
      <c r="BXS611" s="17">
        <v>44925</v>
      </c>
      <c r="BXT611" s="5" t="s">
        <v>3728</v>
      </c>
      <c r="BXU611" s="17">
        <v>44925</v>
      </c>
      <c r="BXV611" s="5" t="s">
        <v>3728</v>
      </c>
      <c r="BXW611" s="17">
        <v>44925</v>
      </c>
      <c r="BXX611" s="5" t="s">
        <v>3728</v>
      </c>
      <c r="BXY611" s="17">
        <v>44925</v>
      </c>
      <c r="BXZ611" s="5" t="s">
        <v>3728</v>
      </c>
      <c r="BYA611" s="17">
        <v>44925</v>
      </c>
      <c r="BYB611" s="5" t="s">
        <v>3728</v>
      </c>
      <c r="BYC611" s="17">
        <v>44925</v>
      </c>
      <c r="BYD611" s="5" t="s">
        <v>3728</v>
      </c>
      <c r="BYE611" s="17">
        <v>44925</v>
      </c>
      <c r="BYF611" s="5" t="s">
        <v>3728</v>
      </c>
      <c r="BYG611" s="17">
        <v>44925</v>
      </c>
      <c r="BYH611" s="5" t="s">
        <v>3728</v>
      </c>
      <c r="BYI611" s="17">
        <v>44925</v>
      </c>
      <c r="BYJ611" s="5" t="s">
        <v>3728</v>
      </c>
      <c r="BYK611" s="17">
        <v>44925</v>
      </c>
      <c r="BYL611" s="5" t="s">
        <v>3728</v>
      </c>
      <c r="BYM611" s="17">
        <v>44925</v>
      </c>
      <c r="BYN611" s="5" t="s">
        <v>3728</v>
      </c>
      <c r="BYO611" s="17">
        <v>44925</v>
      </c>
      <c r="BYP611" s="5" t="s">
        <v>3728</v>
      </c>
      <c r="BYQ611" s="17">
        <v>44925</v>
      </c>
      <c r="BYR611" s="5" t="s">
        <v>3728</v>
      </c>
      <c r="BYS611" s="17">
        <v>44925</v>
      </c>
      <c r="BYT611" s="5" t="s">
        <v>3728</v>
      </c>
      <c r="BYU611" s="17">
        <v>44925</v>
      </c>
      <c r="BYV611" s="5" t="s">
        <v>3728</v>
      </c>
      <c r="BYW611" s="17">
        <v>44925</v>
      </c>
      <c r="BYX611" s="5" t="s">
        <v>3728</v>
      </c>
      <c r="BYY611" s="17">
        <v>44925</v>
      </c>
      <c r="BYZ611" s="5" t="s">
        <v>3728</v>
      </c>
      <c r="BZA611" s="17">
        <v>44925</v>
      </c>
      <c r="BZB611" s="5" t="s">
        <v>3728</v>
      </c>
      <c r="BZC611" s="17">
        <v>44925</v>
      </c>
      <c r="BZD611" s="5" t="s">
        <v>3728</v>
      </c>
      <c r="BZE611" s="17">
        <v>44925</v>
      </c>
      <c r="BZF611" s="5" t="s">
        <v>3728</v>
      </c>
      <c r="BZG611" s="17">
        <v>44925</v>
      </c>
      <c r="BZH611" s="5" t="s">
        <v>3728</v>
      </c>
      <c r="BZI611" s="17">
        <v>44925</v>
      </c>
      <c r="BZJ611" s="5" t="s">
        <v>3728</v>
      </c>
      <c r="BZK611" s="17">
        <v>44925</v>
      </c>
      <c r="BZL611" s="5" t="s">
        <v>3728</v>
      </c>
      <c r="BZM611" s="17">
        <v>44925</v>
      </c>
      <c r="BZN611" s="5" t="s">
        <v>3728</v>
      </c>
      <c r="BZO611" s="17">
        <v>44925</v>
      </c>
      <c r="BZP611" s="5" t="s">
        <v>3728</v>
      </c>
      <c r="BZQ611" s="17">
        <v>44925</v>
      </c>
      <c r="BZR611" s="5" t="s">
        <v>3728</v>
      </c>
      <c r="BZS611" s="17">
        <v>44925</v>
      </c>
      <c r="BZT611" s="5" t="s">
        <v>3728</v>
      </c>
      <c r="BZU611" s="17">
        <v>44925</v>
      </c>
      <c r="BZV611" s="5" t="s">
        <v>3728</v>
      </c>
      <c r="BZW611" s="17">
        <v>44925</v>
      </c>
      <c r="BZX611" s="5" t="s">
        <v>3728</v>
      </c>
      <c r="BZY611" s="17">
        <v>44925</v>
      </c>
      <c r="BZZ611" s="5" t="s">
        <v>3728</v>
      </c>
      <c r="CAA611" s="17">
        <v>44925</v>
      </c>
      <c r="CAB611" s="5" t="s">
        <v>3728</v>
      </c>
      <c r="CAC611" s="17">
        <v>44925</v>
      </c>
      <c r="CAD611" s="5" t="s">
        <v>3728</v>
      </c>
      <c r="CAE611" s="17">
        <v>44925</v>
      </c>
      <c r="CAF611" s="5" t="s">
        <v>3728</v>
      </c>
      <c r="CAG611" s="17">
        <v>44925</v>
      </c>
      <c r="CAH611" s="5" t="s">
        <v>3728</v>
      </c>
      <c r="CAI611" s="17">
        <v>44925</v>
      </c>
      <c r="CAJ611" s="5" t="s">
        <v>3728</v>
      </c>
      <c r="CAK611" s="17">
        <v>44925</v>
      </c>
      <c r="CAL611" s="5" t="s">
        <v>3728</v>
      </c>
      <c r="CAM611" s="17">
        <v>44925</v>
      </c>
      <c r="CAN611" s="5" t="s">
        <v>3728</v>
      </c>
      <c r="CAO611" s="17">
        <v>44925</v>
      </c>
      <c r="CAP611" s="5" t="s">
        <v>3728</v>
      </c>
      <c r="CAQ611" s="17">
        <v>44925</v>
      </c>
      <c r="CAR611" s="5" t="s">
        <v>3728</v>
      </c>
      <c r="CAS611" s="17">
        <v>44925</v>
      </c>
      <c r="CAT611" s="5" t="s">
        <v>3728</v>
      </c>
      <c r="CAU611" s="17">
        <v>44925</v>
      </c>
      <c r="CAV611" s="5" t="s">
        <v>3728</v>
      </c>
      <c r="CAW611" s="17">
        <v>44925</v>
      </c>
      <c r="CAX611" s="5" t="s">
        <v>3728</v>
      </c>
      <c r="CAY611" s="17">
        <v>44925</v>
      </c>
      <c r="CAZ611" s="5" t="s">
        <v>3728</v>
      </c>
      <c r="CBA611" s="17">
        <v>44925</v>
      </c>
      <c r="CBB611" s="5" t="s">
        <v>3728</v>
      </c>
      <c r="CBC611" s="17">
        <v>44925</v>
      </c>
      <c r="CBD611" s="5" t="s">
        <v>3728</v>
      </c>
      <c r="CBE611" s="17">
        <v>44925</v>
      </c>
      <c r="CBF611" s="5" t="s">
        <v>3728</v>
      </c>
      <c r="CBG611" s="17">
        <v>44925</v>
      </c>
      <c r="CBH611" s="5" t="s">
        <v>3728</v>
      </c>
      <c r="CBI611" s="17">
        <v>44925</v>
      </c>
      <c r="CBJ611" s="5" t="s">
        <v>3728</v>
      </c>
      <c r="CBK611" s="17">
        <v>44925</v>
      </c>
      <c r="CBL611" s="5" t="s">
        <v>3728</v>
      </c>
      <c r="CBM611" s="17">
        <v>44925</v>
      </c>
      <c r="CBN611" s="5" t="s">
        <v>3728</v>
      </c>
      <c r="CBO611" s="17">
        <v>44925</v>
      </c>
      <c r="CBP611" s="5" t="s">
        <v>3728</v>
      </c>
      <c r="CBQ611" s="17">
        <v>44925</v>
      </c>
      <c r="CBR611" s="5" t="s">
        <v>3728</v>
      </c>
      <c r="CBS611" s="17">
        <v>44925</v>
      </c>
      <c r="CBT611" s="5" t="s">
        <v>3728</v>
      </c>
      <c r="CBU611" s="17">
        <v>44925</v>
      </c>
      <c r="CBV611" s="5" t="s">
        <v>3728</v>
      </c>
      <c r="CBW611" s="17">
        <v>44925</v>
      </c>
      <c r="CBX611" s="5" t="s">
        <v>3728</v>
      </c>
      <c r="CBY611" s="17">
        <v>44925</v>
      </c>
      <c r="CBZ611" s="5" t="s">
        <v>3728</v>
      </c>
      <c r="CCA611" s="17">
        <v>44925</v>
      </c>
      <c r="CCB611" s="5" t="s">
        <v>3728</v>
      </c>
      <c r="CCC611" s="17">
        <v>44925</v>
      </c>
      <c r="CCD611" s="5" t="s">
        <v>3728</v>
      </c>
      <c r="CCE611" s="17">
        <v>44925</v>
      </c>
      <c r="CCF611" s="5" t="s">
        <v>3728</v>
      </c>
      <c r="CCG611" s="17">
        <v>44925</v>
      </c>
      <c r="CCH611" s="5" t="s">
        <v>3728</v>
      </c>
      <c r="CCI611" s="17">
        <v>44925</v>
      </c>
      <c r="CCJ611" s="5" t="s">
        <v>3728</v>
      </c>
      <c r="CCK611" s="17">
        <v>44925</v>
      </c>
      <c r="CCL611" s="5" t="s">
        <v>3728</v>
      </c>
      <c r="CCM611" s="17">
        <v>44925</v>
      </c>
      <c r="CCN611" s="5" t="s">
        <v>3728</v>
      </c>
      <c r="CCO611" s="17">
        <v>44925</v>
      </c>
      <c r="CCP611" s="5" t="s">
        <v>3728</v>
      </c>
      <c r="CCQ611" s="17">
        <v>44925</v>
      </c>
      <c r="CCR611" s="5" t="s">
        <v>3728</v>
      </c>
      <c r="CCS611" s="17">
        <v>44925</v>
      </c>
      <c r="CCT611" s="5" t="s">
        <v>3728</v>
      </c>
      <c r="CCU611" s="17">
        <v>44925</v>
      </c>
      <c r="CCV611" s="5" t="s">
        <v>3728</v>
      </c>
      <c r="CCW611" s="17">
        <v>44925</v>
      </c>
      <c r="CCX611" s="5" t="s">
        <v>3728</v>
      </c>
      <c r="CCY611" s="17">
        <v>44925</v>
      </c>
      <c r="CCZ611" s="5" t="s">
        <v>3728</v>
      </c>
      <c r="CDA611" s="17">
        <v>44925</v>
      </c>
      <c r="CDB611" s="5" t="s">
        <v>3728</v>
      </c>
      <c r="CDC611" s="17">
        <v>44925</v>
      </c>
      <c r="CDD611" s="5" t="s">
        <v>3728</v>
      </c>
      <c r="CDE611" s="17">
        <v>44925</v>
      </c>
      <c r="CDF611" s="5" t="s">
        <v>3728</v>
      </c>
      <c r="CDG611" s="17">
        <v>44925</v>
      </c>
      <c r="CDH611" s="5" t="s">
        <v>3728</v>
      </c>
      <c r="CDI611" s="17">
        <v>44925</v>
      </c>
      <c r="CDJ611" s="5" t="s">
        <v>3728</v>
      </c>
      <c r="CDK611" s="17">
        <v>44925</v>
      </c>
      <c r="CDL611" s="5" t="s">
        <v>3728</v>
      </c>
      <c r="CDM611" s="17">
        <v>44925</v>
      </c>
      <c r="CDN611" s="5" t="s">
        <v>3728</v>
      </c>
      <c r="CDO611" s="17">
        <v>44925</v>
      </c>
      <c r="CDP611" s="5" t="s">
        <v>3728</v>
      </c>
      <c r="CDQ611" s="17">
        <v>44925</v>
      </c>
      <c r="CDR611" s="5" t="s">
        <v>3728</v>
      </c>
      <c r="CDS611" s="17">
        <v>44925</v>
      </c>
      <c r="CDT611" s="5" t="s">
        <v>3728</v>
      </c>
      <c r="CDU611" s="17">
        <v>44925</v>
      </c>
      <c r="CDV611" s="5" t="s">
        <v>3728</v>
      </c>
      <c r="CDW611" s="17">
        <v>44925</v>
      </c>
      <c r="CDX611" s="5" t="s">
        <v>3728</v>
      </c>
      <c r="CDY611" s="17">
        <v>44925</v>
      </c>
      <c r="CDZ611" s="5" t="s">
        <v>3728</v>
      </c>
      <c r="CEA611" s="17">
        <v>44925</v>
      </c>
      <c r="CEB611" s="5" t="s">
        <v>3728</v>
      </c>
      <c r="CEC611" s="17">
        <v>44925</v>
      </c>
      <c r="CED611" s="5" t="s">
        <v>3728</v>
      </c>
      <c r="CEE611" s="17">
        <v>44925</v>
      </c>
      <c r="CEF611" s="5" t="s">
        <v>3728</v>
      </c>
      <c r="CEG611" s="17">
        <v>44925</v>
      </c>
      <c r="CEH611" s="5" t="s">
        <v>3728</v>
      </c>
      <c r="CEI611" s="17">
        <v>44925</v>
      </c>
      <c r="CEJ611" s="5" t="s">
        <v>3728</v>
      </c>
      <c r="CEK611" s="17">
        <v>44925</v>
      </c>
      <c r="CEL611" s="5" t="s">
        <v>3728</v>
      </c>
      <c r="CEM611" s="17">
        <v>44925</v>
      </c>
      <c r="CEN611" s="5" t="s">
        <v>3728</v>
      </c>
      <c r="CEO611" s="17">
        <v>44925</v>
      </c>
      <c r="CEP611" s="5" t="s">
        <v>3728</v>
      </c>
      <c r="CEQ611" s="17">
        <v>44925</v>
      </c>
      <c r="CER611" s="5" t="s">
        <v>3728</v>
      </c>
      <c r="CES611" s="17">
        <v>44925</v>
      </c>
      <c r="CET611" s="5" t="s">
        <v>3728</v>
      </c>
      <c r="CEU611" s="17">
        <v>44925</v>
      </c>
      <c r="CEV611" s="5" t="s">
        <v>3728</v>
      </c>
      <c r="CEW611" s="17">
        <v>44925</v>
      </c>
      <c r="CEX611" s="5" t="s">
        <v>3728</v>
      </c>
      <c r="CEY611" s="17">
        <v>44925</v>
      </c>
      <c r="CEZ611" s="5" t="s">
        <v>3728</v>
      </c>
      <c r="CFA611" s="17">
        <v>44925</v>
      </c>
      <c r="CFB611" s="5" t="s">
        <v>3728</v>
      </c>
      <c r="CFC611" s="17">
        <v>44925</v>
      </c>
      <c r="CFD611" s="5" t="s">
        <v>3728</v>
      </c>
      <c r="CFE611" s="17">
        <v>44925</v>
      </c>
      <c r="CFF611" s="5" t="s">
        <v>3728</v>
      </c>
      <c r="CFG611" s="17">
        <v>44925</v>
      </c>
      <c r="CFH611" s="5" t="s">
        <v>3728</v>
      </c>
      <c r="CFI611" s="17">
        <v>44925</v>
      </c>
      <c r="CFJ611" s="5" t="s">
        <v>3728</v>
      </c>
      <c r="CFK611" s="17">
        <v>44925</v>
      </c>
      <c r="CFL611" s="5" t="s">
        <v>3728</v>
      </c>
      <c r="CFM611" s="17">
        <v>44925</v>
      </c>
      <c r="CFN611" s="5" t="s">
        <v>3728</v>
      </c>
      <c r="CFO611" s="17">
        <v>44925</v>
      </c>
      <c r="CFP611" s="5" t="s">
        <v>3728</v>
      </c>
      <c r="CFQ611" s="17">
        <v>44925</v>
      </c>
      <c r="CFR611" s="5" t="s">
        <v>3728</v>
      </c>
      <c r="CFS611" s="17">
        <v>44925</v>
      </c>
      <c r="CFT611" s="5" t="s">
        <v>3728</v>
      </c>
      <c r="CFU611" s="17">
        <v>44925</v>
      </c>
      <c r="CFV611" s="5" t="s">
        <v>3728</v>
      </c>
      <c r="CFW611" s="17">
        <v>44925</v>
      </c>
      <c r="CFX611" s="5" t="s">
        <v>3728</v>
      </c>
      <c r="CFY611" s="17">
        <v>44925</v>
      </c>
      <c r="CFZ611" s="5" t="s">
        <v>3728</v>
      </c>
      <c r="CGA611" s="17">
        <v>44925</v>
      </c>
      <c r="CGB611" s="5" t="s">
        <v>3728</v>
      </c>
      <c r="CGC611" s="17">
        <v>44925</v>
      </c>
      <c r="CGD611" s="5" t="s">
        <v>3728</v>
      </c>
      <c r="CGE611" s="17">
        <v>44925</v>
      </c>
      <c r="CGF611" s="5" t="s">
        <v>3728</v>
      </c>
      <c r="CGG611" s="17">
        <v>44925</v>
      </c>
      <c r="CGH611" s="5" t="s">
        <v>3728</v>
      </c>
      <c r="CGI611" s="17">
        <v>44925</v>
      </c>
      <c r="CGJ611" s="5" t="s">
        <v>3728</v>
      </c>
      <c r="CGK611" s="17">
        <v>44925</v>
      </c>
      <c r="CGL611" s="5" t="s">
        <v>3728</v>
      </c>
      <c r="CGM611" s="17">
        <v>44925</v>
      </c>
      <c r="CGN611" s="5" t="s">
        <v>3728</v>
      </c>
      <c r="CGO611" s="17">
        <v>44925</v>
      </c>
      <c r="CGP611" s="5" t="s">
        <v>3728</v>
      </c>
      <c r="CGQ611" s="17">
        <v>44925</v>
      </c>
      <c r="CGR611" s="5" t="s">
        <v>3728</v>
      </c>
      <c r="CGS611" s="17">
        <v>44925</v>
      </c>
      <c r="CGT611" s="5" t="s">
        <v>3728</v>
      </c>
      <c r="CGU611" s="17">
        <v>44925</v>
      </c>
      <c r="CGV611" s="5" t="s">
        <v>3728</v>
      </c>
      <c r="CGW611" s="17">
        <v>44925</v>
      </c>
      <c r="CGX611" s="5" t="s">
        <v>3728</v>
      </c>
      <c r="CGY611" s="17">
        <v>44925</v>
      </c>
      <c r="CGZ611" s="5" t="s">
        <v>3728</v>
      </c>
      <c r="CHA611" s="17">
        <v>44925</v>
      </c>
      <c r="CHB611" s="5" t="s">
        <v>3728</v>
      </c>
      <c r="CHC611" s="17">
        <v>44925</v>
      </c>
      <c r="CHD611" s="5" t="s">
        <v>3728</v>
      </c>
      <c r="CHE611" s="17">
        <v>44925</v>
      </c>
      <c r="CHF611" s="5" t="s">
        <v>3728</v>
      </c>
      <c r="CHG611" s="17">
        <v>44925</v>
      </c>
      <c r="CHH611" s="5" t="s">
        <v>3728</v>
      </c>
      <c r="CHI611" s="17">
        <v>44925</v>
      </c>
      <c r="CHJ611" s="5" t="s">
        <v>3728</v>
      </c>
      <c r="CHK611" s="17">
        <v>44925</v>
      </c>
      <c r="CHL611" s="5" t="s">
        <v>3728</v>
      </c>
      <c r="CHM611" s="17">
        <v>44925</v>
      </c>
      <c r="CHN611" s="5" t="s">
        <v>3728</v>
      </c>
      <c r="CHO611" s="17">
        <v>44925</v>
      </c>
      <c r="CHP611" s="5" t="s">
        <v>3728</v>
      </c>
      <c r="CHQ611" s="17">
        <v>44925</v>
      </c>
      <c r="CHR611" s="5" t="s">
        <v>3728</v>
      </c>
      <c r="CHS611" s="17">
        <v>44925</v>
      </c>
      <c r="CHT611" s="5" t="s">
        <v>3728</v>
      </c>
      <c r="CHU611" s="17">
        <v>44925</v>
      </c>
      <c r="CHV611" s="5" t="s">
        <v>3728</v>
      </c>
      <c r="CHW611" s="17">
        <v>44925</v>
      </c>
      <c r="CHX611" s="5" t="s">
        <v>3728</v>
      </c>
      <c r="CHY611" s="17">
        <v>44925</v>
      </c>
      <c r="CHZ611" s="5" t="s">
        <v>3728</v>
      </c>
      <c r="CIA611" s="17">
        <v>44925</v>
      </c>
      <c r="CIB611" s="5" t="s">
        <v>3728</v>
      </c>
      <c r="CIC611" s="17">
        <v>44925</v>
      </c>
      <c r="CID611" s="5" t="s">
        <v>3728</v>
      </c>
      <c r="CIE611" s="17">
        <v>44925</v>
      </c>
      <c r="CIF611" s="5" t="s">
        <v>3728</v>
      </c>
      <c r="CIG611" s="17">
        <v>44925</v>
      </c>
      <c r="CIH611" s="5" t="s">
        <v>3728</v>
      </c>
      <c r="CII611" s="17">
        <v>44925</v>
      </c>
      <c r="CIJ611" s="5" t="s">
        <v>3728</v>
      </c>
      <c r="CIK611" s="17">
        <v>44925</v>
      </c>
      <c r="CIL611" s="5" t="s">
        <v>3728</v>
      </c>
      <c r="CIM611" s="17">
        <v>44925</v>
      </c>
      <c r="CIN611" s="5" t="s">
        <v>3728</v>
      </c>
      <c r="CIO611" s="17">
        <v>44925</v>
      </c>
      <c r="CIP611" s="5" t="s">
        <v>3728</v>
      </c>
      <c r="CIQ611" s="17">
        <v>44925</v>
      </c>
      <c r="CIR611" s="5" t="s">
        <v>3728</v>
      </c>
      <c r="CIS611" s="17">
        <v>44925</v>
      </c>
      <c r="CIT611" s="5" t="s">
        <v>3728</v>
      </c>
      <c r="CIU611" s="17">
        <v>44925</v>
      </c>
      <c r="CIV611" s="5" t="s">
        <v>3728</v>
      </c>
      <c r="CIW611" s="17">
        <v>44925</v>
      </c>
      <c r="CIX611" s="5" t="s">
        <v>3728</v>
      </c>
      <c r="CIY611" s="17">
        <v>44925</v>
      </c>
      <c r="CIZ611" s="5" t="s">
        <v>3728</v>
      </c>
      <c r="CJA611" s="17">
        <v>44925</v>
      </c>
      <c r="CJB611" s="5" t="s">
        <v>3728</v>
      </c>
      <c r="CJC611" s="17">
        <v>44925</v>
      </c>
      <c r="CJD611" s="5" t="s">
        <v>3728</v>
      </c>
      <c r="CJE611" s="17">
        <v>44925</v>
      </c>
      <c r="CJF611" s="5" t="s">
        <v>3728</v>
      </c>
      <c r="CJG611" s="17">
        <v>44925</v>
      </c>
      <c r="CJH611" s="5" t="s">
        <v>3728</v>
      </c>
      <c r="CJI611" s="17">
        <v>44925</v>
      </c>
      <c r="CJJ611" s="5" t="s">
        <v>3728</v>
      </c>
      <c r="CJK611" s="17">
        <v>44925</v>
      </c>
      <c r="CJL611" s="5" t="s">
        <v>3728</v>
      </c>
      <c r="CJM611" s="17">
        <v>44925</v>
      </c>
      <c r="CJN611" s="5" t="s">
        <v>3728</v>
      </c>
      <c r="CJO611" s="17">
        <v>44925</v>
      </c>
      <c r="CJP611" s="5" t="s">
        <v>3728</v>
      </c>
      <c r="CJQ611" s="17">
        <v>44925</v>
      </c>
      <c r="CJR611" s="5" t="s">
        <v>3728</v>
      </c>
      <c r="CJS611" s="17">
        <v>44925</v>
      </c>
      <c r="CJT611" s="5" t="s">
        <v>3728</v>
      </c>
      <c r="CJU611" s="17">
        <v>44925</v>
      </c>
      <c r="CJV611" s="5" t="s">
        <v>3728</v>
      </c>
      <c r="CJW611" s="17">
        <v>44925</v>
      </c>
      <c r="CJX611" s="5" t="s">
        <v>3728</v>
      </c>
      <c r="CJY611" s="17">
        <v>44925</v>
      </c>
      <c r="CJZ611" s="5" t="s">
        <v>3728</v>
      </c>
      <c r="CKA611" s="17">
        <v>44925</v>
      </c>
      <c r="CKB611" s="5" t="s">
        <v>3728</v>
      </c>
      <c r="CKC611" s="17">
        <v>44925</v>
      </c>
      <c r="CKD611" s="5" t="s">
        <v>3728</v>
      </c>
      <c r="CKE611" s="17">
        <v>44925</v>
      </c>
      <c r="CKF611" s="5" t="s">
        <v>3728</v>
      </c>
      <c r="CKG611" s="17">
        <v>44925</v>
      </c>
      <c r="CKH611" s="5" t="s">
        <v>3728</v>
      </c>
      <c r="CKI611" s="17">
        <v>44925</v>
      </c>
      <c r="CKJ611" s="5" t="s">
        <v>3728</v>
      </c>
      <c r="CKK611" s="17">
        <v>44925</v>
      </c>
      <c r="CKL611" s="5" t="s">
        <v>3728</v>
      </c>
      <c r="CKM611" s="17">
        <v>44925</v>
      </c>
      <c r="CKN611" s="5" t="s">
        <v>3728</v>
      </c>
      <c r="CKO611" s="17">
        <v>44925</v>
      </c>
      <c r="CKP611" s="5" t="s">
        <v>3728</v>
      </c>
      <c r="CKQ611" s="17">
        <v>44925</v>
      </c>
      <c r="CKR611" s="5" t="s">
        <v>3728</v>
      </c>
      <c r="CKS611" s="17">
        <v>44925</v>
      </c>
      <c r="CKT611" s="5" t="s">
        <v>3728</v>
      </c>
      <c r="CKU611" s="17">
        <v>44925</v>
      </c>
      <c r="CKV611" s="5" t="s">
        <v>3728</v>
      </c>
      <c r="CKW611" s="17">
        <v>44925</v>
      </c>
      <c r="CKX611" s="5" t="s">
        <v>3728</v>
      </c>
      <c r="CKY611" s="17">
        <v>44925</v>
      </c>
      <c r="CKZ611" s="5" t="s">
        <v>3728</v>
      </c>
      <c r="CLA611" s="17">
        <v>44925</v>
      </c>
      <c r="CLB611" s="5" t="s">
        <v>3728</v>
      </c>
      <c r="CLC611" s="17">
        <v>44925</v>
      </c>
      <c r="CLD611" s="5" t="s">
        <v>3728</v>
      </c>
      <c r="CLE611" s="17">
        <v>44925</v>
      </c>
      <c r="CLF611" s="5" t="s">
        <v>3728</v>
      </c>
      <c r="CLG611" s="17">
        <v>44925</v>
      </c>
      <c r="CLH611" s="5" t="s">
        <v>3728</v>
      </c>
      <c r="CLI611" s="17">
        <v>44925</v>
      </c>
      <c r="CLJ611" s="5" t="s">
        <v>3728</v>
      </c>
      <c r="CLK611" s="17">
        <v>44925</v>
      </c>
      <c r="CLL611" s="5" t="s">
        <v>3728</v>
      </c>
      <c r="CLM611" s="17">
        <v>44925</v>
      </c>
      <c r="CLN611" s="5" t="s">
        <v>3728</v>
      </c>
      <c r="CLO611" s="17">
        <v>44925</v>
      </c>
      <c r="CLP611" s="5" t="s">
        <v>3728</v>
      </c>
      <c r="CLQ611" s="17">
        <v>44925</v>
      </c>
      <c r="CLR611" s="5" t="s">
        <v>3728</v>
      </c>
      <c r="CLS611" s="17">
        <v>44925</v>
      </c>
      <c r="CLT611" s="5" t="s">
        <v>3728</v>
      </c>
      <c r="CLU611" s="17">
        <v>44925</v>
      </c>
      <c r="CLV611" s="5" t="s">
        <v>3728</v>
      </c>
      <c r="CLW611" s="17">
        <v>44925</v>
      </c>
      <c r="CLX611" s="5" t="s">
        <v>3728</v>
      </c>
      <c r="CLY611" s="17">
        <v>44925</v>
      </c>
      <c r="CLZ611" s="5" t="s">
        <v>3728</v>
      </c>
      <c r="CMA611" s="17">
        <v>44925</v>
      </c>
      <c r="CMB611" s="5" t="s">
        <v>3728</v>
      </c>
      <c r="CMC611" s="17">
        <v>44925</v>
      </c>
      <c r="CMD611" s="5" t="s">
        <v>3728</v>
      </c>
      <c r="CME611" s="17">
        <v>44925</v>
      </c>
      <c r="CMF611" s="5" t="s">
        <v>3728</v>
      </c>
      <c r="CMG611" s="17">
        <v>44925</v>
      </c>
      <c r="CMH611" s="5" t="s">
        <v>3728</v>
      </c>
      <c r="CMI611" s="17">
        <v>44925</v>
      </c>
      <c r="CMJ611" s="5" t="s">
        <v>3728</v>
      </c>
      <c r="CMK611" s="17">
        <v>44925</v>
      </c>
      <c r="CML611" s="5" t="s">
        <v>3728</v>
      </c>
      <c r="CMM611" s="17">
        <v>44925</v>
      </c>
      <c r="CMN611" s="5" t="s">
        <v>3728</v>
      </c>
      <c r="CMO611" s="17">
        <v>44925</v>
      </c>
      <c r="CMP611" s="5" t="s">
        <v>3728</v>
      </c>
      <c r="CMQ611" s="17">
        <v>44925</v>
      </c>
      <c r="CMR611" s="5" t="s">
        <v>3728</v>
      </c>
      <c r="CMS611" s="17">
        <v>44925</v>
      </c>
      <c r="CMT611" s="5" t="s">
        <v>3728</v>
      </c>
      <c r="CMU611" s="17">
        <v>44925</v>
      </c>
      <c r="CMV611" s="5" t="s">
        <v>3728</v>
      </c>
      <c r="CMW611" s="17">
        <v>44925</v>
      </c>
      <c r="CMX611" s="5" t="s">
        <v>3728</v>
      </c>
      <c r="CMY611" s="17">
        <v>44925</v>
      </c>
      <c r="CMZ611" s="5" t="s">
        <v>3728</v>
      </c>
      <c r="CNA611" s="17">
        <v>44925</v>
      </c>
      <c r="CNB611" s="5" t="s">
        <v>3728</v>
      </c>
      <c r="CNC611" s="17">
        <v>44925</v>
      </c>
      <c r="CND611" s="5" t="s">
        <v>3728</v>
      </c>
      <c r="CNE611" s="17">
        <v>44925</v>
      </c>
      <c r="CNF611" s="5" t="s">
        <v>3728</v>
      </c>
      <c r="CNG611" s="17">
        <v>44925</v>
      </c>
      <c r="CNH611" s="5" t="s">
        <v>3728</v>
      </c>
      <c r="CNI611" s="17">
        <v>44925</v>
      </c>
      <c r="CNJ611" s="5" t="s">
        <v>3728</v>
      </c>
      <c r="CNK611" s="17">
        <v>44925</v>
      </c>
      <c r="CNL611" s="5" t="s">
        <v>3728</v>
      </c>
      <c r="CNM611" s="17">
        <v>44925</v>
      </c>
      <c r="CNN611" s="5" t="s">
        <v>3728</v>
      </c>
      <c r="CNO611" s="17">
        <v>44925</v>
      </c>
      <c r="CNP611" s="5" t="s">
        <v>3728</v>
      </c>
      <c r="CNQ611" s="17">
        <v>44925</v>
      </c>
      <c r="CNR611" s="5" t="s">
        <v>3728</v>
      </c>
      <c r="CNS611" s="17">
        <v>44925</v>
      </c>
      <c r="CNT611" s="5" t="s">
        <v>3728</v>
      </c>
      <c r="CNU611" s="17">
        <v>44925</v>
      </c>
      <c r="CNV611" s="5" t="s">
        <v>3728</v>
      </c>
      <c r="CNW611" s="17">
        <v>44925</v>
      </c>
      <c r="CNX611" s="5" t="s">
        <v>3728</v>
      </c>
      <c r="CNY611" s="17">
        <v>44925</v>
      </c>
      <c r="CNZ611" s="5" t="s">
        <v>3728</v>
      </c>
      <c r="COA611" s="17">
        <v>44925</v>
      </c>
      <c r="COB611" s="5" t="s">
        <v>3728</v>
      </c>
      <c r="COC611" s="17">
        <v>44925</v>
      </c>
      <c r="COD611" s="5" t="s">
        <v>3728</v>
      </c>
      <c r="COE611" s="17">
        <v>44925</v>
      </c>
      <c r="COF611" s="5" t="s">
        <v>3728</v>
      </c>
      <c r="COG611" s="17">
        <v>44925</v>
      </c>
      <c r="COH611" s="5" t="s">
        <v>3728</v>
      </c>
      <c r="COI611" s="17">
        <v>44925</v>
      </c>
      <c r="COJ611" s="5" t="s">
        <v>3728</v>
      </c>
      <c r="COK611" s="17">
        <v>44925</v>
      </c>
      <c r="COL611" s="5" t="s">
        <v>3728</v>
      </c>
      <c r="COM611" s="17">
        <v>44925</v>
      </c>
      <c r="CON611" s="5" t="s">
        <v>3728</v>
      </c>
      <c r="COO611" s="17">
        <v>44925</v>
      </c>
      <c r="COP611" s="5" t="s">
        <v>3728</v>
      </c>
      <c r="COQ611" s="17">
        <v>44925</v>
      </c>
      <c r="COR611" s="5" t="s">
        <v>3728</v>
      </c>
      <c r="COS611" s="17">
        <v>44925</v>
      </c>
      <c r="COT611" s="5" t="s">
        <v>3728</v>
      </c>
      <c r="COU611" s="17">
        <v>44925</v>
      </c>
      <c r="COV611" s="5" t="s">
        <v>3728</v>
      </c>
      <c r="COW611" s="17">
        <v>44925</v>
      </c>
      <c r="COX611" s="5" t="s">
        <v>3728</v>
      </c>
      <c r="COY611" s="17">
        <v>44925</v>
      </c>
      <c r="COZ611" s="5" t="s">
        <v>3728</v>
      </c>
      <c r="CPA611" s="17">
        <v>44925</v>
      </c>
      <c r="CPB611" s="5" t="s">
        <v>3728</v>
      </c>
      <c r="CPC611" s="17">
        <v>44925</v>
      </c>
      <c r="CPD611" s="5" t="s">
        <v>3728</v>
      </c>
      <c r="CPE611" s="17">
        <v>44925</v>
      </c>
      <c r="CPF611" s="5" t="s">
        <v>3728</v>
      </c>
      <c r="CPG611" s="17">
        <v>44925</v>
      </c>
      <c r="CPH611" s="5" t="s">
        <v>3728</v>
      </c>
      <c r="CPI611" s="17">
        <v>44925</v>
      </c>
      <c r="CPJ611" s="5" t="s">
        <v>3728</v>
      </c>
      <c r="CPK611" s="17">
        <v>44925</v>
      </c>
      <c r="CPL611" s="5" t="s">
        <v>3728</v>
      </c>
      <c r="CPM611" s="17">
        <v>44925</v>
      </c>
      <c r="CPN611" s="5" t="s">
        <v>3728</v>
      </c>
      <c r="CPO611" s="17">
        <v>44925</v>
      </c>
      <c r="CPP611" s="5" t="s">
        <v>3728</v>
      </c>
      <c r="CPQ611" s="17">
        <v>44925</v>
      </c>
      <c r="CPR611" s="5" t="s">
        <v>3728</v>
      </c>
      <c r="CPS611" s="17">
        <v>44925</v>
      </c>
      <c r="CPT611" s="5" t="s">
        <v>3728</v>
      </c>
      <c r="CPU611" s="17">
        <v>44925</v>
      </c>
      <c r="CPV611" s="5" t="s">
        <v>3728</v>
      </c>
      <c r="CPW611" s="17">
        <v>44925</v>
      </c>
      <c r="CPX611" s="5" t="s">
        <v>3728</v>
      </c>
      <c r="CPY611" s="17">
        <v>44925</v>
      </c>
      <c r="CPZ611" s="5" t="s">
        <v>3728</v>
      </c>
      <c r="CQA611" s="17">
        <v>44925</v>
      </c>
      <c r="CQB611" s="5" t="s">
        <v>3728</v>
      </c>
      <c r="CQC611" s="17">
        <v>44925</v>
      </c>
      <c r="CQD611" s="5" t="s">
        <v>3728</v>
      </c>
      <c r="CQE611" s="17">
        <v>44925</v>
      </c>
      <c r="CQF611" s="5" t="s">
        <v>3728</v>
      </c>
      <c r="CQG611" s="17">
        <v>44925</v>
      </c>
      <c r="CQH611" s="5" t="s">
        <v>3728</v>
      </c>
      <c r="CQI611" s="17">
        <v>44925</v>
      </c>
      <c r="CQJ611" s="5" t="s">
        <v>3728</v>
      </c>
      <c r="CQK611" s="17">
        <v>44925</v>
      </c>
      <c r="CQL611" s="5" t="s">
        <v>3728</v>
      </c>
      <c r="CQM611" s="17">
        <v>44925</v>
      </c>
      <c r="CQN611" s="5" t="s">
        <v>3728</v>
      </c>
      <c r="CQO611" s="17">
        <v>44925</v>
      </c>
      <c r="CQP611" s="5" t="s">
        <v>3728</v>
      </c>
      <c r="CQQ611" s="17">
        <v>44925</v>
      </c>
      <c r="CQR611" s="5" t="s">
        <v>3728</v>
      </c>
      <c r="CQS611" s="17">
        <v>44925</v>
      </c>
      <c r="CQT611" s="5" t="s">
        <v>3728</v>
      </c>
      <c r="CQU611" s="17">
        <v>44925</v>
      </c>
      <c r="CQV611" s="5" t="s">
        <v>3728</v>
      </c>
      <c r="CQW611" s="17">
        <v>44925</v>
      </c>
      <c r="CQX611" s="5" t="s">
        <v>3728</v>
      </c>
      <c r="CQY611" s="17">
        <v>44925</v>
      </c>
      <c r="CQZ611" s="5" t="s">
        <v>3728</v>
      </c>
      <c r="CRA611" s="17">
        <v>44925</v>
      </c>
      <c r="CRB611" s="5" t="s">
        <v>3728</v>
      </c>
      <c r="CRC611" s="17">
        <v>44925</v>
      </c>
      <c r="CRD611" s="5" t="s">
        <v>3728</v>
      </c>
      <c r="CRE611" s="17">
        <v>44925</v>
      </c>
      <c r="CRF611" s="5" t="s">
        <v>3728</v>
      </c>
      <c r="CRG611" s="17">
        <v>44925</v>
      </c>
      <c r="CRH611" s="5" t="s">
        <v>3728</v>
      </c>
      <c r="CRI611" s="17">
        <v>44925</v>
      </c>
      <c r="CRJ611" s="5" t="s">
        <v>3728</v>
      </c>
      <c r="CRK611" s="17">
        <v>44925</v>
      </c>
      <c r="CRL611" s="5" t="s">
        <v>3728</v>
      </c>
      <c r="CRM611" s="17">
        <v>44925</v>
      </c>
      <c r="CRN611" s="5" t="s">
        <v>3728</v>
      </c>
      <c r="CRO611" s="17">
        <v>44925</v>
      </c>
      <c r="CRP611" s="5" t="s">
        <v>3728</v>
      </c>
      <c r="CRQ611" s="17">
        <v>44925</v>
      </c>
      <c r="CRR611" s="5" t="s">
        <v>3728</v>
      </c>
      <c r="CRS611" s="17">
        <v>44925</v>
      </c>
      <c r="CRT611" s="5" t="s">
        <v>3728</v>
      </c>
      <c r="CRU611" s="17">
        <v>44925</v>
      </c>
      <c r="CRV611" s="5" t="s">
        <v>3728</v>
      </c>
      <c r="CRW611" s="17">
        <v>44925</v>
      </c>
      <c r="CRX611" s="5" t="s">
        <v>3728</v>
      </c>
      <c r="CRY611" s="17">
        <v>44925</v>
      </c>
      <c r="CRZ611" s="5" t="s">
        <v>3728</v>
      </c>
      <c r="CSA611" s="17">
        <v>44925</v>
      </c>
      <c r="CSB611" s="5" t="s">
        <v>3728</v>
      </c>
      <c r="CSC611" s="17">
        <v>44925</v>
      </c>
      <c r="CSD611" s="5" t="s">
        <v>3728</v>
      </c>
      <c r="CSE611" s="17">
        <v>44925</v>
      </c>
      <c r="CSF611" s="5" t="s">
        <v>3728</v>
      </c>
      <c r="CSG611" s="17">
        <v>44925</v>
      </c>
      <c r="CSH611" s="5" t="s">
        <v>3728</v>
      </c>
      <c r="CSI611" s="17">
        <v>44925</v>
      </c>
      <c r="CSJ611" s="5" t="s">
        <v>3728</v>
      </c>
      <c r="CSK611" s="17">
        <v>44925</v>
      </c>
      <c r="CSL611" s="5" t="s">
        <v>3728</v>
      </c>
      <c r="CSM611" s="17">
        <v>44925</v>
      </c>
      <c r="CSN611" s="5" t="s">
        <v>3728</v>
      </c>
      <c r="CSO611" s="17">
        <v>44925</v>
      </c>
      <c r="CSP611" s="5" t="s">
        <v>3728</v>
      </c>
      <c r="CSQ611" s="17">
        <v>44925</v>
      </c>
      <c r="CSR611" s="5" t="s">
        <v>3728</v>
      </c>
      <c r="CSS611" s="17">
        <v>44925</v>
      </c>
      <c r="CST611" s="5" t="s">
        <v>3728</v>
      </c>
      <c r="CSU611" s="17">
        <v>44925</v>
      </c>
      <c r="CSV611" s="5" t="s">
        <v>3728</v>
      </c>
      <c r="CSW611" s="17">
        <v>44925</v>
      </c>
      <c r="CSX611" s="5" t="s">
        <v>3728</v>
      </c>
      <c r="CSY611" s="17">
        <v>44925</v>
      </c>
      <c r="CSZ611" s="5" t="s">
        <v>3728</v>
      </c>
      <c r="CTA611" s="17">
        <v>44925</v>
      </c>
      <c r="CTB611" s="5" t="s">
        <v>3728</v>
      </c>
      <c r="CTC611" s="17">
        <v>44925</v>
      </c>
      <c r="CTD611" s="5" t="s">
        <v>3728</v>
      </c>
      <c r="CTE611" s="17">
        <v>44925</v>
      </c>
      <c r="CTF611" s="5" t="s">
        <v>3728</v>
      </c>
      <c r="CTG611" s="17">
        <v>44925</v>
      </c>
      <c r="CTH611" s="5" t="s">
        <v>3728</v>
      </c>
      <c r="CTI611" s="17">
        <v>44925</v>
      </c>
      <c r="CTJ611" s="5" t="s">
        <v>3728</v>
      </c>
      <c r="CTK611" s="17">
        <v>44925</v>
      </c>
      <c r="CTL611" s="5" t="s">
        <v>3728</v>
      </c>
      <c r="CTM611" s="17">
        <v>44925</v>
      </c>
      <c r="CTN611" s="5" t="s">
        <v>3728</v>
      </c>
      <c r="CTO611" s="17">
        <v>44925</v>
      </c>
      <c r="CTP611" s="5" t="s">
        <v>3728</v>
      </c>
      <c r="CTQ611" s="17">
        <v>44925</v>
      </c>
      <c r="CTR611" s="5" t="s">
        <v>3728</v>
      </c>
      <c r="CTS611" s="17">
        <v>44925</v>
      </c>
      <c r="CTT611" s="5" t="s">
        <v>3728</v>
      </c>
      <c r="CTU611" s="17">
        <v>44925</v>
      </c>
      <c r="CTV611" s="5" t="s">
        <v>3728</v>
      </c>
      <c r="CTW611" s="17">
        <v>44925</v>
      </c>
      <c r="CTX611" s="5" t="s">
        <v>3728</v>
      </c>
      <c r="CTY611" s="17">
        <v>44925</v>
      </c>
      <c r="CTZ611" s="5" t="s">
        <v>3728</v>
      </c>
      <c r="CUA611" s="17">
        <v>44925</v>
      </c>
      <c r="CUB611" s="5" t="s">
        <v>3728</v>
      </c>
      <c r="CUC611" s="17">
        <v>44925</v>
      </c>
      <c r="CUD611" s="5" t="s">
        <v>3728</v>
      </c>
      <c r="CUE611" s="17">
        <v>44925</v>
      </c>
      <c r="CUF611" s="5" t="s">
        <v>3728</v>
      </c>
      <c r="CUG611" s="17">
        <v>44925</v>
      </c>
      <c r="CUH611" s="5" t="s">
        <v>3728</v>
      </c>
      <c r="CUI611" s="17">
        <v>44925</v>
      </c>
      <c r="CUJ611" s="5" t="s">
        <v>3728</v>
      </c>
      <c r="CUK611" s="17">
        <v>44925</v>
      </c>
      <c r="CUL611" s="5" t="s">
        <v>3728</v>
      </c>
      <c r="CUM611" s="17">
        <v>44925</v>
      </c>
      <c r="CUN611" s="5" t="s">
        <v>3728</v>
      </c>
      <c r="CUO611" s="17">
        <v>44925</v>
      </c>
      <c r="CUP611" s="5" t="s">
        <v>3728</v>
      </c>
      <c r="CUQ611" s="17">
        <v>44925</v>
      </c>
      <c r="CUR611" s="5" t="s">
        <v>3728</v>
      </c>
      <c r="CUS611" s="17">
        <v>44925</v>
      </c>
      <c r="CUT611" s="5" t="s">
        <v>3728</v>
      </c>
      <c r="CUU611" s="17">
        <v>44925</v>
      </c>
      <c r="CUV611" s="5" t="s">
        <v>3728</v>
      </c>
      <c r="CUW611" s="17">
        <v>44925</v>
      </c>
      <c r="CUX611" s="5" t="s">
        <v>3728</v>
      </c>
      <c r="CUY611" s="17">
        <v>44925</v>
      </c>
      <c r="CUZ611" s="5" t="s">
        <v>3728</v>
      </c>
      <c r="CVA611" s="17">
        <v>44925</v>
      </c>
      <c r="CVB611" s="5" t="s">
        <v>3728</v>
      </c>
      <c r="CVC611" s="17">
        <v>44925</v>
      </c>
      <c r="CVD611" s="5" t="s">
        <v>3728</v>
      </c>
      <c r="CVE611" s="17">
        <v>44925</v>
      </c>
      <c r="CVF611" s="5" t="s">
        <v>3728</v>
      </c>
      <c r="CVG611" s="17">
        <v>44925</v>
      </c>
      <c r="CVH611" s="5" t="s">
        <v>3728</v>
      </c>
      <c r="CVI611" s="17">
        <v>44925</v>
      </c>
      <c r="CVJ611" s="5" t="s">
        <v>3728</v>
      </c>
      <c r="CVK611" s="17">
        <v>44925</v>
      </c>
      <c r="CVL611" s="5" t="s">
        <v>3728</v>
      </c>
      <c r="CVM611" s="17">
        <v>44925</v>
      </c>
      <c r="CVN611" s="5" t="s">
        <v>3728</v>
      </c>
      <c r="CVO611" s="17">
        <v>44925</v>
      </c>
      <c r="CVP611" s="5" t="s">
        <v>3728</v>
      </c>
      <c r="CVQ611" s="17">
        <v>44925</v>
      </c>
      <c r="CVR611" s="5" t="s">
        <v>3728</v>
      </c>
      <c r="CVS611" s="17">
        <v>44925</v>
      </c>
      <c r="CVT611" s="5" t="s">
        <v>3728</v>
      </c>
      <c r="CVU611" s="17">
        <v>44925</v>
      </c>
      <c r="CVV611" s="5" t="s">
        <v>3728</v>
      </c>
      <c r="CVW611" s="17">
        <v>44925</v>
      </c>
      <c r="CVX611" s="5" t="s">
        <v>3728</v>
      </c>
      <c r="CVY611" s="17">
        <v>44925</v>
      </c>
      <c r="CVZ611" s="5" t="s">
        <v>3728</v>
      </c>
      <c r="CWA611" s="17">
        <v>44925</v>
      </c>
      <c r="CWB611" s="5" t="s">
        <v>3728</v>
      </c>
      <c r="CWC611" s="17">
        <v>44925</v>
      </c>
      <c r="CWD611" s="5" t="s">
        <v>3728</v>
      </c>
      <c r="CWE611" s="17">
        <v>44925</v>
      </c>
      <c r="CWF611" s="5" t="s">
        <v>3728</v>
      </c>
      <c r="CWG611" s="17">
        <v>44925</v>
      </c>
      <c r="CWH611" s="5" t="s">
        <v>3728</v>
      </c>
      <c r="CWI611" s="17">
        <v>44925</v>
      </c>
      <c r="CWJ611" s="5" t="s">
        <v>3728</v>
      </c>
      <c r="CWK611" s="17">
        <v>44925</v>
      </c>
      <c r="CWL611" s="5" t="s">
        <v>3728</v>
      </c>
      <c r="CWM611" s="17">
        <v>44925</v>
      </c>
      <c r="CWN611" s="5" t="s">
        <v>3728</v>
      </c>
      <c r="CWO611" s="17">
        <v>44925</v>
      </c>
      <c r="CWP611" s="5" t="s">
        <v>3728</v>
      </c>
      <c r="CWQ611" s="17">
        <v>44925</v>
      </c>
      <c r="CWR611" s="5" t="s">
        <v>3728</v>
      </c>
      <c r="CWS611" s="17">
        <v>44925</v>
      </c>
      <c r="CWT611" s="5" t="s">
        <v>3728</v>
      </c>
      <c r="CWU611" s="17">
        <v>44925</v>
      </c>
      <c r="CWV611" s="5" t="s">
        <v>3728</v>
      </c>
      <c r="CWW611" s="17">
        <v>44925</v>
      </c>
      <c r="CWX611" s="5" t="s">
        <v>3728</v>
      </c>
      <c r="CWY611" s="17">
        <v>44925</v>
      </c>
      <c r="CWZ611" s="5" t="s">
        <v>3728</v>
      </c>
      <c r="CXA611" s="17">
        <v>44925</v>
      </c>
      <c r="CXB611" s="5" t="s">
        <v>3728</v>
      </c>
      <c r="CXC611" s="17">
        <v>44925</v>
      </c>
      <c r="CXD611" s="5" t="s">
        <v>3728</v>
      </c>
      <c r="CXE611" s="17">
        <v>44925</v>
      </c>
      <c r="CXF611" s="5" t="s">
        <v>3728</v>
      </c>
      <c r="CXG611" s="17">
        <v>44925</v>
      </c>
      <c r="CXH611" s="5" t="s">
        <v>3728</v>
      </c>
      <c r="CXI611" s="17">
        <v>44925</v>
      </c>
      <c r="CXJ611" s="5" t="s">
        <v>3728</v>
      </c>
      <c r="CXK611" s="17">
        <v>44925</v>
      </c>
      <c r="CXL611" s="5" t="s">
        <v>3728</v>
      </c>
      <c r="CXM611" s="17">
        <v>44925</v>
      </c>
      <c r="CXN611" s="5" t="s">
        <v>3728</v>
      </c>
      <c r="CXO611" s="17">
        <v>44925</v>
      </c>
      <c r="CXP611" s="5" t="s">
        <v>3728</v>
      </c>
      <c r="CXQ611" s="17">
        <v>44925</v>
      </c>
      <c r="CXR611" s="5" t="s">
        <v>3728</v>
      </c>
      <c r="CXS611" s="17">
        <v>44925</v>
      </c>
      <c r="CXT611" s="5" t="s">
        <v>3728</v>
      </c>
      <c r="CXU611" s="17">
        <v>44925</v>
      </c>
      <c r="CXV611" s="5" t="s">
        <v>3728</v>
      </c>
      <c r="CXW611" s="17">
        <v>44925</v>
      </c>
      <c r="CXX611" s="5" t="s">
        <v>3728</v>
      </c>
      <c r="CXY611" s="17">
        <v>44925</v>
      </c>
      <c r="CXZ611" s="5" t="s">
        <v>3728</v>
      </c>
      <c r="CYA611" s="17">
        <v>44925</v>
      </c>
      <c r="CYB611" s="5" t="s">
        <v>3728</v>
      </c>
      <c r="CYC611" s="17">
        <v>44925</v>
      </c>
      <c r="CYD611" s="5" t="s">
        <v>3728</v>
      </c>
      <c r="CYE611" s="17">
        <v>44925</v>
      </c>
      <c r="CYF611" s="5" t="s">
        <v>3728</v>
      </c>
      <c r="CYG611" s="17">
        <v>44925</v>
      </c>
      <c r="CYH611" s="5" t="s">
        <v>3728</v>
      </c>
      <c r="CYI611" s="17">
        <v>44925</v>
      </c>
      <c r="CYJ611" s="5" t="s">
        <v>3728</v>
      </c>
      <c r="CYK611" s="17">
        <v>44925</v>
      </c>
      <c r="CYL611" s="5" t="s">
        <v>3728</v>
      </c>
      <c r="CYM611" s="17">
        <v>44925</v>
      </c>
      <c r="CYN611" s="5" t="s">
        <v>3728</v>
      </c>
      <c r="CYO611" s="17">
        <v>44925</v>
      </c>
      <c r="CYP611" s="5" t="s">
        <v>3728</v>
      </c>
      <c r="CYQ611" s="17">
        <v>44925</v>
      </c>
      <c r="CYR611" s="5" t="s">
        <v>3728</v>
      </c>
      <c r="CYS611" s="17">
        <v>44925</v>
      </c>
      <c r="CYT611" s="5" t="s">
        <v>3728</v>
      </c>
      <c r="CYU611" s="17">
        <v>44925</v>
      </c>
      <c r="CYV611" s="5" t="s">
        <v>3728</v>
      </c>
      <c r="CYW611" s="17">
        <v>44925</v>
      </c>
      <c r="CYX611" s="5" t="s">
        <v>3728</v>
      </c>
      <c r="CYY611" s="17">
        <v>44925</v>
      </c>
      <c r="CYZ611" s="5" t="s">
        <v>3728</v>
      </c>
      <c r="CZA611" s="17">
        <v>44925</v>
      </c>
      <c r="CZB611" s="5" t="s">
        <v>3728</v>
      </c>
      <c r="CZC611" s="17">
        <v>44925</v>
      </c>
      <c r="CZD611" s="5" t="s">
        <v>3728</v>
      </c>
      <c r="CZE611" s="17">
        <v>44925</v>
      </c>
      <c r="CZF611" s="5" t="s">
        <v>3728</v>
      </c>
      <c r="CZG611" s="17">
        <v>44925</v>
      </c>
      <c r="CZH611" s="5" t="s">
        <v>3728</v>
      </c>
      <c r="CZI611" s="17">
        <v>44925</v>
      </c>
      <c r="CZJ611" s="5" t="s">
        <v>3728</v>
      </c>
      <c r="CZK611" s="17">
        <v>44925</v>
      </c>
      <c r="CZL611" s="5" t="s">
        <v>3728</v>
      </c>
      <c r="CZM611" s="17">
        <v>44925</v>
      </c>
      <c r="CZN611" s="5" t="s">
        <v>3728</v>
      </c>
      <c r="CZO611" s="17">
        <v>44925</v>
      </c>
      <c r="CZP611" s="5" t="s">
        <v>3728</v>
      </c>
      <c r="CZQ611" s="17">
        <v>44925</v>
      </c>
      <c r="CZR611" s="5" t="s">
        <v>3728</v>
      </c>
      <c r="CZS611" s="17">
        <v>44925</v>
      </c>
      <c r="CZT611" s="5" t="s">
        <v>3728</v>
      </c>
      <c r="CZU611" s="17">
        <v>44925</v>
      </c>
      <c r="CZV611" s="5" t="s">
        <v>3728</v>
      </c>
      <c r="CZW611" s="17">
        <v>44925</v>
      </c>
      <c r="CZX611" s="5" t="s">
        <v>3728</v>
      </c>
      <c r="CZY611" s="17">
        <v>44925</v>
      </c>
      <c r="CZZ611" s="5" t="s">
        <v>3728</v>
      </c>
      <c r="DAA611" s="17">
        <v>44925</v>
      </c>
      <c r="DAB611" s="5" t="s">
        <v>3728</v>
      </c>
      <c r="DAC611" s="17">
        <v>44925</v>
      </c>
      <c r="DAD611" s="5" t="s">
        <v>3728</v>
      </c>
      <c r="DAE611" s="17">
        <v>44925</v>
      </c>
      <c r="DAF611" s="5" t="s">
        <v>3728</v>
      </c>
      <c r="DAG611" s="17">
        <v>44925</v>
      </c>
      <c r="DAH611" s="5" t="s">
        <v>3728</v>
      </c>
      <c r="DAI611" s="17">
        <v>44925</v>
      </c>
      <c r="DAJ611" s="5" t="s">
        <v>3728</v>
      </c>
      <c r="DAK611" s="17">
        <v>44925</v>
      </c>
      <c r="DAL611" s="5" t="s">
        <v>3728</v>
      </c>
      <c r="DAM611" s="17">
        <v>44925</v>
      </c>
      <c r="DAN611" s="5" t="s">
        <v>3728</v>
      </c>
      <c r="DAO611" s="17">
        <v>44925</v>
      </c>
      <c r="DAP611" s="5" t="s">
        <v>3728</v>
      </c>
      <c r="DAQ611" s="17">
        <v>44925</v>
      </c>
      <c r="DAR611" s="5" t="s">
        <v>3728</v>
      </c>
      <c r="DAS611" s="17">
        <v>44925</v>
      </c>
      <c r="DAT611" s="5" t="s">
        <v>3728</v>
      </c>
      <c r="DAU611" s="17">
        <v>44925</v>
      </c>
      <c r="DAV611" s="5" t="s">
        <v>3728</v>
      </c>
      <c r="DAW611" s="17">
        <v>44925</v>
      </c>
      <c r="DAX611" s="5" t="s">
        <v>3728</v>
      </c>
      <c r="DAY611" s="17">
        <v>44925</v>
      </c>
      <c r="DAZ611" s="5" t="s">
        <v>3728</v>
      </c>
      <c r="DBA611" s="17">
        <v>44925</v>
      </c>
      <c r="DBB611" s="5" t="s">
        <v>3728</v>
      </c>
      <c r="DBC611" s="17">
        <v>44925</v>
      </c>
      <c r="DBD611" s="5" t="s">
        <v>3728</v>
      </c>
      <c r="DBE611" s="17">
        <v>44925</v>
      </c>
      <c r="DBF611" s="5" t="s">
        <v>3728</v>
      </c>
      <c r="DBG611" s="17">
        <v>44925</v>
      </c>
      <c r="DBH611" s="5" t="s">
        <v>3728</v>
      </c>
      <c r="DBI611" s="17">
        <v>44925</v>
      </c>
      <c r="DBJ611" s="5" t="s">
        <v>3728</v>
      </c>
      <c r="DBK611" s="17">
        <v>44925</v>
      </c>
      <c r="DBL611" s="5" t="s">
        <v>3728</v>
      </c>
      <c r="DBM611" s="17">
        <v>44925</v>
      </c>
      <c r="DBN611" s="5" t="s">
        <v>3728</v>
      </c>
      <c r="DBO611" s="17">
        <v>44925</v>
      </c>
      <c r="DBP611" s="5" t="s">
        <v>3728</v>
      </c>
      <c r="DBQ611" s="17">
        <v>44925</v>
      </c>
      <c r="DBR611" s="5" t="s">
        <v>3728</v>
      </c>
      <c r="DBS611" s="17">
        <v>44925</v>
      </c>
      <c r="DBT611" s="5" t="s">
        <v>3728</v>
      </c>
      <c r="DBU611" s="17">
        <v>44925</v>
      </c>
      <c r="DBV611" s="5" t="s">
        <v>3728</v>
      </c>
      <c r="DBW611" s="17">
        <v>44925</v>
      </c>
      <c r="DBX611" s="5" t="s">
        <v>3728</v>
      </c>
      <c r="DBY611" s="17">
        <v>44925</v>
      </c>
      <c r="DBZ611" s="5" t="s">
        <v>3728</v>
      </c>
      <c r="DCA611" s="17">
        <v>44925</v>
      </c>
      <c r="DCB611" s="5" t="s">
        <v>3728</v>
      </c>
      <c r="DCC611" s="17">
        <v>44925</v>
      </c>
      <c r="DCD611" s="5" t="s">
        <v>3728</v>
      </c>
      <c r="DCE611" s="17">
        <v>44925</v>
      </c>
      <c r="DCF611" s="5" t="s">
        <v>3728</v>
      </c>
      <c r="DCG611" s="17">
        <v>44925</v>
      </c>
      <c r="DCH611" s="5" t="s">
        <v>3728</v>
      </c>
      <c r="DCI611" s="17">
        <v>44925</v>
      </c>
      <c r="DCJ611" s="5" t="s">
        <v>3728</v>
      </c>
      <c r="DCK611" s="17">
        <v>44925</v>
      </c>
      <c r="DCL611" s="5" t="s">
        <v>3728</v>
      </c>
      <c r="DCM611" s="17">
        <v>44925</v>
      </c>
      <c r="DCN611" s="5" t="s">
        <v>3728</v>
      </c>
      <c r="DCO611" s="17">
        <v>44925</v>
      </c>
      <c r="DCP611" s="5" t="s">
        <v>3728</v>
      </c>
      <c r="DCQ611" s="17">
        <v>44925</v>
      </c>
      <c r="DCR611" s="5" t="s">
        <v>3728</v>
      </c>
      <c r="DCS611" s="17">
        <v>44925</v>
      </c>
      <c r="DCT611" s="5" t="s">
        <v>3728</v>
      </c>
      <c r="DCU611" s="17">
        <v>44925</v>
      </c>
      <c r="DCV611" s="5" t="s">
        <v>3728</v>
      </c>
      <c r="DCW611" s="17">
        <v>44925</v>
      </c>
      <c r="DCX611" s="5" t="s">
        <v>3728</v>
      </c>
      <c r="DCY611" s="17">
        <v>44925</v>
      </c>
      <c r="DCZ611" s="5" t="s">
        <v>3728</v>
      </c>
      <c r="DDA611" s="17">
        <v>44925</v>
      </c>
      <c r="DDB611" s="5" t="s">
        <v>3728</v>
      </c>
      <c r="DDC611" s="17">
        <v>44925</v>
      </c>
      <c r="DDD611" s="5" t="s">
        <v>3728</v>
      </c>
      <c r="DDE611" s="17">
        <v>44925</v>
      </c>
      <c r="DDF611" s="5" t="s">
        <v>3728</v>
      </c>
      <c r="DDG611" s="17">
        <v>44925</v>
      </c>
      <c r="DDH611" s="5" t="s">
        <v>3728</v>
      </c>
      <c r="DDI611" s="17">
        <v>44925</v>
      </c>
      <c r="DDJ611" s="5" t="s">
        <v>3728</v>
      </c>
      <c r="DDK611" s="17">
        <v>44925</v>
      </c>
      <c r="DDL611" s="5" t="s">
        <v>3728</v>
      </c>
      <c r="DDM611" s="17">
        <v>44925</v>
      </c>
      <c r="DDN611" s="5" t="s">
        <v>3728</v>
      </c>
      <c r="DDO611" s="17">
        <v>44925</v>
      </c>
      <c r="DDP611" s="5" t="s">
        <v>3728</v>
      </c>
      <c r="DDQ611" s="17">
        <v>44925</v>
      </c>
      <c r="DDR611" s="5" t="s">
        <v>3728</v>
      </c>
      <c r="DDS611" s="17">
        <v>44925</v>
      </c>
      <c r="DDT611" s="5" t="s">
        <v>3728</v>
      </c>
      <c r="DDU611" s="17">
        <v>44925</v>
      </c>
      <c r="DDV611" s="5" t="s">
        <v>3728</v>
      </c>
      <c r="DDW611" s="17">
        <v>44925</v>
      </c>
      <c r="DDX611" s="5" t="s">
        <v>3728</v>
      </c>
      <c r="DDY611" s="17">
        <v>44925</v>
      </c>
      <c r="DDZ611" s="5" t="s">
        <v>3728</v>
      </c>
      <c r="DEA611" s="17">
        <v>44925</v>
      </c>
      <c r="DEB611" s="5" t="s">
        <v>3728</v>
      </c>
      <c r="DEC611" s="17">
        <v>44925</v>
      </c>
      <c r="DED611" s="5" t="s">
        <v>3728</v>
      </c>
      <c r="DEE611" s="17">
        <v>44925</v>
      </c>
      <c r="DEF611" s="5" t="s">
        <v>3728</v>
      </c>
      <c r="DEG611" s="17">
        <v>44925</v>
      </c>
      <c r="DEH611" s="5" t="s">
        <v>3728</v>
      </c>
      <c r="DEI611" s="17">
        <v>44925</v>
      </c>
      <c r="DEJ611" s="5" t="s">
        <v>3728</v>
      </c>
      <c r="DEK611" s="17">
        <v>44925</v>
      </c>
      <c r="DEL611" s="5" t="s">
        <v>3728</v>
      </c>
      <c r="DEM611" s="17">
        <v>44925</v>
      </c>
      <c r="DEN611" s="5" t="s">
        <v>3728</v>
      </c>
      <c r="DEO611" s="17">
        <v>44925</v>
      </c>
      <c r="DEP611" s="5" t="s">
        <v>3728</v>
      </c>
      <c r="DEQ611" s="17">
        <v>44925</v>
      </c>
      <c r="DER611" s="5" t="s">
        <v>3728</v>
      </c>
      <c r="DES611" s="17">
        <v>44925</v>
      </c>
      <c r="DET611" s="5" t="s">
        <v>3728</v>
      </c>
      <c r="DEU611" s="17">
        <v>44925</v>
      </c>
      <c r="DEV611" s="5" t="s">
        <v>3728</v>
      </c>
      <c r="DEW611" s="17">
        <v>44925</v>
      </c>
      <c r="DEX611" s="5" t="s">
        <v>3728</v>
      </c>
      <c r="DEY611" s="17">
        <v>44925</v>
      </c>
      <c r="DEZ611" s="5" t="s">
        <v>3728</v>
      </c>
      <c r="DFA611" s="17">
        <v>44925</v>
      </c>
      <c r="DFB611" s="5" t="s">
        <v>3728</v>
      </c>
      <c r="DFC611" s="17">
        <v>44925</v>
      </c>
      <c r="DFD611" s="5" t="s">
        <v>3728</v>
      </c>
      <c r="DFE611" s="17">
        <v>44925</v>
      </c>
      <c r="DFF611" s="5" t="s">
        <v>3728</v>
      </c>
      <c r="DFG611" s="17">
        <v>44925</v>
      </c>
      <c r="DFH611" s="5" t="s">
        <v>3728</v>
      </c>
      <c r="DFI611" s="17">
        <v>44925</v>
      </c>
      <c r="DFJ611" s="5" t="s">
        <v>3728</v>
      </c>
      <c r="DFK611" s="17">
        <v>44925</v>
      </c>
      <c r="DFL611" s="5" t="s">
        <v>3728</v>
      </c>
      <c r="DFM611" s="17">
        <v>44925</v>
      </c>
      <c r="DFN611" s="5" t="s">
        <v>3728</v>
      </c>
      <c r="DFO611" s="17">
        <v>44925</v>
      </c>
      <c r="DFP611" s="5" t="s">
        <v>3728</v>
      </c>
      <c r="DFQ611" s="17">
        <v>44925</v>
      </c>
      <c r="DFR611" s="5" t="s">
        <v>3728</v>
      </c>
      <c r="DFS611" s="17">
        <v>44925</v>
      </c>
      <c r="DFT611" s="5" t="s">
        <v>3728</v>
      </c>
      <c r="DFU611" s="17">
        <v>44925</v>
      </c>
      <c r="DFV611" s="5" t="s">
        <v>3728</v>
      </c>
      <c r="DFW611" s="17">
        <v>44925</v>
      </c>
      <c r="DFX611" s="5" t="s">
        <v>3728</v>
      </c>
      <c r="DFY611" s="17">
        <v>44925</v>
      </c>
      <c r="DFZ611" s="5" t="s">
        <v>3728</v>
      </c>
      <c r="DGA611" s="17">
        <v>44925</v>
      </c>
      <c r="DGB611" s="5" t="s">
        <v>3728</v>
      </c>
      <c r="DGC611" s="17">
        <v>44925</v>
      </c>
      <c r="DGD611" s="5" t="s">
        <v>3728</v>
      </c>
      <c r="DGE611" s="17">
        <v>44925</v>
      </c>
      <c r="DGF611" s="5" t="s">
        <v>3728</v>
      </c>
      <c r="DGG611" s="17">
        <v>44925</v>
      </c>
      <c r="DGH611" s="5" t="s">
        <v>3728</v>
      </c>
      <c r="DGI611" s="17">
        <v>44925</v>
      </c>
      <c r="DGJ611" s="5" t="s">
        <v>3728</v>
      </c>
      <c r="DGK611" s="17">
        <v>44925</v>
      </c>
      <c r="DGL611" s="5" t="s">
        <v>3728</v>
      </c>
      <c r="DGM611" s="17">
        <v>44925</v>
      </c>
      <c r="DGN611" s="5" t="s">
        <v>3728</v>
      </c>
      <c r="DGO611" s="17">
        <v>44925</v>
      </c>
      <c r="DGP611" s="5" t="s">
        <v>3728</v>
      </c>
      <c r="DGQ611" s="17">
        <v>44925</v>
      </c>
      <c r="DGR611" s="5" t="s">
        <v>3728</v>
      </c>
      <c r="DGS611" s="17">
        <v>44925</v>
      </c>
      <c r="DGT611" s="5" t="s">
        <v>3728</v>
      </c>
      <c r="DGU611" s="17">
        <v>44925</v>
      </c>
      <c r="DGV611" s="5" t="s">
        <v>3728</v>
      </c>
      <c r="DGW611" s="17">
        <v>44925</v>
      </c>
      <c r="DGX611" s="5" t="s">
        <v>3728</v>
      </c>
      <c r="DGY611" s="17">
        <v>44925</v>
      </c>
      <c r="DGZ611" s="5" t="s">
        <v>3728</v>
      </c>
      <c r="DHA611" s="17">
        <v>44925</v>
      </c>
      <c r="DHB611" s="5" t="s">
        <v>3728</v>
      </c>
      <c r="DHC611" s="17">
        <v>44925</v>
      </c>
      <c r="DHD611" s="5" t="s">
        <v>3728</v>
      </c>
      <c r="DHE611" s="17">
        <v>44925</v>
      </c>
      <c r="DHF611" s="5" t="s">
        <v>3728</v>
      </c>
      <c r="DHG611" s="17">
        <v>44925</v>
      </c>
      <c r="DHH611" s="5" t="s">
        <v>3728</v>
      </c>
      <c r="DHI611" s="17">
        <v>44925</v>
      </c>
      <c r="DHJ611" s="5" t="s">
        <v>3728</v>
      </c>
      <c r="DHK611" s="17">
        <v>44925</v>
      </c>
      <c r="DHL611" s="5" t="s">
        <v>3728</v>
      </c>
      <c r="DHM611" s="17">
        <v>44925</v>
      </c>
      <c r="DHN611" s="5" t="s">
        <v>3728</v>
      </c>
      <c r="DHO611" s="17">
        <v>44925</v>
      </c>
      <c r="DHP611" s="5" t="s">
        <v>3728</v>
      </c>
      <c r="DHQ611" s="17">
        <v>44925</v>
      </c>
      <c r="DHR611" s="5" t="s">
        <v>3728</v>
      </c>
      <c r="DHS611" s="17">
        <v>44925</v>
      </c>
      <c r="DHT611" s="5" t="s">
        <v>3728</v>
      </c>
      <c r="DHU611" s="17">
        <v>44925</v>
      </c>
      <c r="DHV611" s="5" t="s">
        <v>3728</v>
      </c>
      <c r="DHW611" s="17">
        <v>44925</v>
      </c>
      <c r="DHX611" s="5" t="s">
        <v>3728</v>
      </c>
      <c r="DHY611" s="17">
        <v>44925</v>
      </c>
      <c r="DHZ611" s="5" t="s">
        <v>3728</v>
      </c>
      <c r="DIA611" s="17">
        <v>44925</v>
      </c>
      <c r="DIB611" s="5" t="s">
        <v>3728</v>
      </c>
      <c r="DIC611" s="17">
        <v>44925</v>
      </c>
      <c r="DID611" s="5" t="s">
        <v>3728</v>
      </c>
      <c r="DIE611" s="17">
        <v>44925</v>
      </c>
      <c r="DIF611" s="5" t="s">
        <v>3728</v>
      </c>
      <c r="DIG611" s="17">
        <v>44925</v>
      </c>
      <c r="DIH611" s="5" t="s">
        <v>3728</v>
      </c>
      <c r="DII611" s="17">
        <v>44925</v>
      </c>
      <c r="DIJ611" s="5" t="s">
        <v>3728</v>
      </c>
      <c r="DIK611" s="17">
        <v>44925</v>
      </c>
      <c r="DIL611" s="5" t="s">
        <v>3728</v>
      </c>
      <c r="DIM611" s="17">
        <v>44925</v>
      </c>
      <c r="DIN611" s="5" t="s">
        <v>3728</v>
      </c>
      <c r="DIO611" s="17">
        <v>44925</v>
      </c>
      <c r="DIP611" s="5" t="s">
        <v>3728</v>
      </c>
      <c r="DIQ611" s="17">
        <v>44925</v>
      </c>
      <c r="DIR611" s="5" t="s">
        <v>3728</v>
      </c>
      <c r="DIS611" s="17">
        <v>44925</v>
      </c>
      <c r="DIT611" s="5" t="s">
        <v>3728</v>
      </c>
      <c r="DIU611" s="17">
        <v>44925</v>
      </c>
      <c r="DIV611" s="5" t="s">
        <v>3728</v>
      </c>
      <c r="DIW611" s="17">
        <v>44925</v>
      </c>
      <c r="DIX611" s="5" t="s">
        <v>3728</v>
      </c>
      <c r="DIY611" s="17">
        <v>44925</v>
      </c>
      <c r="DIZ611" s="5" t="s">
        <v>3728</v>
      </c>
      <c r="DJA611" s="17">
        <v>44925</v>
      </c>
      <c r="DJB611" s="5" t="s">
        <v>3728</v>
      </c>
      <c r="DJC611" s="17">
        <v>44925</v>
      </c>
      <c r="DJD611" s="5" t="s">
        <v>3728</v>
      </c>
      <c r="DJE611" s="17">
        <v>44925</v>
      </c>
      <c r="DJF611" s="5" t="s">
        <v>3728</v>
      </c>
      <c r="DJG611" s="17">
        <v>44925</v>
      </c>
      <c r="DJH611" s="5" t="s">
        <v>3728</v>
      </c>
      <c r="DJI611" s="17">
        <v>44925</v>
      </c>
      <c r="DJJ611" s="5" t="s">
        <v>3728</v>
      </c>
      <c r="DJK611" s="17">
        <v>44925</v>
      </c>
      <c r="DJL611" s="5" t="s">
        <v>3728</v>
      </c>
      <c r="DJM611" s="17">
        <v>44925</v>
      </c>
      <c r="DJN611" s="5" t="s">
        <v>3728</v>
      </c>
      <c r="DJO611" s="17">
        <v>44925</v>
      </c>
      <c r="DJP611" s="5" t="s">
        <v>3728</v>
      </c>
      <c r="DJQ611" s="17">
        <v>44925</v>
      </c>
      <c r="DJR611" s="5" t="s">
        <v>3728</v>
      </c>
      <c r="DJS611" s="17">
        <v>44925</v>
      </c>
      <c r="DJT611" s="5" t="s">
        <v>3728</v>
      </c>
      <c r="DJU611" s="17">
        <v>44925</v>
      </c>
      <c r="DJV611" s="5" t="s">
        <v>3728</v>
      </c>
      <c r="DJW611" s="17">
        <v>44925</v>
      </c>
      <c r="DJX611" s="5" t="s">
        <v>3728</v>
      </c>
      <c r="DJY611" s="17">
        <v>44925</v>
      </c>
      <c r="DJZ611" s="5" t="s">
        <v>3728</v>
      </c>
      <c r="DKA611" s="17">
        <v>44925</v>
      </c>
      <c r="DKB611" s="5" t="s">
        <v>3728</v>
      </c>
      <c r="DKC611" s="17">
        <v>44925</v>
      </c>
      <c r="DKD611" s="5" t="s">
        <v>3728</v>
      </c>
      <c r="DKE611" s="17">
        <v>44925</v>
      </c>
      <c r="DKF611" s="5" t="s">
        <v>3728</v>
      </c>
      <c r="DKG611" s="17">
        <v>44925</v>
      </c>
      <c r="DKH611" s="5" t="s">
        <v>3728</v>
      </c>
      <c r="DKI611" s="17">
        <v>44925</v>
      </c>
      <c r="DKJ611" s="5" t="s">
        <v>3728</v>
      </c>
      <c r="DKK611" s="17">
        <v>44925</v>
      </c>
      <c r="DKL611" s="5" t="s">
        <v>3728</v>
      </c>
      <c r="DKM611" s="17">
        <v>44925</v>
      </c>
      <c r="DKN611" s="5" t="s">
        <v>3728</v>
      </c>
      <c r="DKO611" s="17">
        <v>44925</v>
      </c>
      <c r="DKP611" s="5" t="s">
        <v>3728</v>
      </c>
      <c r="DKQ611" s="17">
        <v>44925</v>
      </c>
      <c r="DKR611" s="5" t="s">
        <v>3728</v>
      </c>
      <c r="DKS611" s="17">
        <v>44925</v>
      </c>
      <c r="DKT611" s="5" t="s">
        <v>3728</v>
      </c>
      <c r="DKU611" s="17">
        <v>44925</v>
      </c>
      <c r="DKV611" s="5" t="s">
        <v>3728</v>
      </c>
      <c r="DKW611" s="17">
        <v>44925</v>
      </c>
      <c r="DKX611" s="5" t="s">
        <v>3728</v>
      </c>
      <c r="DKY611" s="17">
        <v>44925</v>
      </c>
      <c r="DKZ611" s="5" t="s">
        <v>3728</v>
      </c>
      <c r="DLA611" s="17">
        <v>44925</v>
      </c>
      <c r="DLB611" s="5" t="s">
        <v>3728</v>
      </c>
      <c r="DLC611" s="17">
        <v>44925</v>
      </c>
      <c r="DLD611" s="5" t="s">
        <v>3728</v>
      </c>
      <c r="DLE611" s="17">
        <v>44925</v>
      </c>
      <c r="DLF611" s="5" t="s">
        <v>3728</v>
      </c>
      <c r="DLG611" s="17">
        <v>44925</v>
      </c>
      <c r="DLH611" s="5" t="s">
        <v>3728</v>
      </c>
      <c r="DLI611" s="17">
        <v>44925</v>
      </c>
      <c r="DLJ611" s="5" t="s">
        <v>3728</v>
      </c>
      <c r="DLK611" s="17">
        <v>44925</v>
      </c>
      <c r="DLL611" s="5" t="s">
        <v>3728</v>
      </c>
      <c r="DLM611" s="17">
        <v>44925</v>
      </c>
      <c r="DLN611" s="5" t="s">
        <v>3728</v>
      </c>
      <c r="DLO611" s="17">
        <v>44925</v>
      </c>
      <c r="DLP611" s="5" t="s">
        <v>3728</v>
      </c>
      <c r="DLQ611" s="17">
        <v>44925</v>
      </c>
      <c r="DLR611" s="5" t="s">
        <v>3728</v>
      </c>
      <c r="DLS611" s="17">
        <v>44925</v>
      </c>
      <c r="DLT611" s="5" t="s">
        <v>3728</v>
      </c>
      <c r="DLU611" s="17">
        <v>44925</v>
      </c>
      <c r="DLV611" s="5" t="s">
        <v>3728</v>
      </c>
      <c r="DLW611" s="17">
        <v>44925</v>
      </c>
      <c r="DLX611" s="5" t="s">
        <v>3728</v>
      </c>
      <c r="DLY611" s="17">
        <v>44925</v>
      </c>
      <c r="DLZ611" s="5" t="s">
        <v>3728</v>
      </c>
      <c r="DMA611" s="17">
        <v>44925</v>
      </c>
      <c r="DMB611" s="5" t="s">
        <v>3728</v>
      </c>
      <c r="DMC611" s="17">
        <v>44925</v>
      </c>
      <c r="DMD611" s="5" t="s">
        <v>3728</v>
      </c>
      <c r="DME611" s="17">
        <v>44925</v>
      </c>
      <c r="DMF611" s="5" t="s">
        <v>3728</v>
      </c>
      <c r="DMG611" s="17">
        <v>44925</v>
      </c>
      <c r="DMH611" s="5" t="s">
        <v>3728</v>
      </c>
      <c r="DMI611" s="17">
        <v>44925</v>
      </c>
      <c r="DMJ611" s="5" t="s">
        <v>3728</v>
      </c>
      <c r="DMK611" s="17">
        <v>44925</v>
      </c>
      <c r="DML611" s="5" t="s">
        <v>3728</v>
      </c>
      <c r="DMM611" s="17">
        <v>44925</v>
      </c>
      <c r="DMN611" s="5" t="s">
        <v>3728</v>
      </c>
      <c r="DMO611" s="17">
        <v>44925</v>
      </c>
      <c r="DMP611" s="5" t="s">
        <v>3728</v>
      </c>
      <c r="DMQ611" s="17">
        <v>44925</v>
      </c>
      <c r="DMR611" s="5" t="s">
        <v>3728</v>
      </c>
      <c r="DMS611" s="17">
        <v>44925</v>
      </c>
      <c r="DMT611" s="5" t="s">
        <v>3728</v>
      </c>
      <c r="DMU611" s="17">
        <v>44925</v>
      </c>
      <c r="DMV611" s="5" t="s">
        <v>3728</v>
      </c>
      <c r="DMW611" s="17">
        <v>44925</v>
      </c>
      <c r="DMX611" s="5" t="s">
        <v>3728</v>
      </c>
      <c r="DMY611" s="17">
        <v>44925</v>
      </c>
      <c r="DMZ611" s="5" t="s">
        <v>3728</v>
      </c>
      <c r="DNA611" s="17">
        <v>44925</v>
      </c>
      <c r="DNB611" s="5" t="s">
        <v>3728</v>
      </c>
      <c r="DNC611" s="17">
        <v>44925</v>
      </c>
      <c r="DND611" s="5" t="s">
        <v>3728</v>
      </c>
      <c r="DNE611" s="17">
        <v>44925</v>
      </c>
      <c r="DNF611" s="5" t="s">
        <v>3728</v>
      </c>
      <c r="DNG611" s="17">
        <v>44925</v>
      </c>
      <c r="DNH611" s="5" t="s">
        <v>3728</v>
      </c>
      <c r="DNI611" s="17">
        <v>44925</v>
      </c>
      <c r="DNJ611" s="5" t="s">
        <v>3728</v>
      </c>
      <c r="DNK611" s="17">
        <v>44925</v>
      </c>
      <c r="DNL611" s="5" t="s">
        <v>3728</v>
      </c>
      <c r="DNM611" s="17">
        <v>44925</v>
      </c>
      <c r="DNN611" s="5" t="s">
        <v>3728</v>
      </c>
      <c r="DNO611" s="17">
        <v>44925</v>
      </c>
      <c r="DNP611" s="5" t="s">
        <v>3728</v>
      </c>
      <c r="DNQ611" s="17">
        <v>44925</v>
      </c>
      <c r="DNR611" s="5" t="s">
        <v>3728</v>
      </c>
      <c r="DNS611" s="17">
        <v>44925</v>
      </c>
      <c r="DNT611" s="5" t="s">
        <v>3728</v>
      </c>
      <c r="DNU611" s="17">
        <v>44925</v>
      </c>
      <c r="DNV611" s="5" t="s">
        <v>3728</v>
      </c>
      <c r="DNW611" s="17">
        <v>44925</v>
      </c>
      <c r="DNX611" s="5" t="s">
        <v>3728</v>
      </c>
      <c r="DNY611" s="17">
        <v>44925</v>
      </c>
      <c r="DNZ611" s="5" t="s">
        <v>3728</v>
      </c>
      <c r="DOA611" s="17">
        <v>44925</v>
      </c>
      <c r="DOB611" s="5" t="s">
        <v>3728</v>
      </c>
      <c r="DOC611" s="17">
        <v>44925</v>
      </c>
      <c r="DOD611" s="5" t="s">
        <v>3728</v>
      </c>
      <c r="DOE611" s="17">
        <v>44925</v>
      </c>
      <c r="DOF611" s="5" t="s">
        <v>3728</v>
      </c>
      <c r="DOG611" s="17">
        <v>44925</v>
      </c>
      <c r="DOH611" s="5" t="s">
        <v>3728</v>
      </c>
      <c r="DOI611" s="17">
        <v>44925</v>
      </c>
      <c r="DOJ611" s="5" t="s">
        <v>3728</v>
      </c>
      <c r="DOK611" s="17">
        <v>44925</v>
      </c>
      <c r="DOL611" s="5" t="s">
        <v>3728</v>
      </c>
      <c r="DOM611" s="17">
        <v>44925</v>
      </c>
      <c r="DON611" s="5" t="s">
        <v>3728</v>
      </c>
      <c r="DOO611" s="17">
        <v>44925</v>
      </c>
      <c r="DOP611" s="5" t="s">
        <v>3728</v>
      </c>
      <c r="DOQ611" s="17">
        <v>44925</v>
      </c>
      <c r="DOR611" s="5" t="s">
        <v>3728</v>
      </c>
      <c r="DOS611" s="17">
        <v>44925</v>
      </c>
      <c r="DOT611" s="5" t="s">
        <v>3728</v>
      </c>
      <c r="DOU611" s="17">
        <v>44925</v>
      </c>
      <c r="DOV611" s="5" t="s">
        <v>3728</v>
      </c>
      <c r="DOW611" s="17">
        <v>44925</v>
      </c>
      <c r="DOX611" s="5" t="s">
        <v>3728</v>
      </c>
      <c r="DOY611" s="17">
        <v>44925</v>
      </c>
      <c r="DOZ611" s="5" t="s">
        <v>3728</v>
      </c>
      <c r="DPA611" s="17">
        <v>44925</v>
      </c>
      <c r="DPB611" s="5" t="s">
        <v>3728</v>
      </c>
      <c r="DPC611" s="17">
        <v>44925</v>
      </c>
      <c r="DPD611" s="5" t="s">
        <v>3728</v>
      </c>
      <c r="DPE611" s="17">
        <v>44925</v>
      </c>
      <c r="DPF611" s="5" t="s">
        <v>3728</v>
      </c>
      <c r="DPG611" s="17">
        <v>44925</v>
      </c>
      <c r="DPH611" s="5" t="s">
        <v>3728</v>
      </c>
      <c r="DPI611" s="17">
        <v>44925</v>
      </c>
      <c r="DPJ611" s="5" t="s">
        <v>3728</v>
      </c>
      <c r="DPK611" s="17">
        <v>44925</v>
      </c>
      <c r="DPL611" s="5" t="s">
        <v>3728</v>
      </c>
      <c r="DPM611" s="17">
        <v>44925</v>
      </c>
      <c r="DPN611" s="5" t="s">
        <v>3728</v>
      </c>
      <c r="DPO611" s="17">
        <v>44925</v>
      </c>
      <c r="DPP611" s="5" t="s">
        <v>3728</v>
      </c>
      <c r="DPQ611" s="17">
        <v>44925</v>
      </c>
      <c r="DPR611" s="5" t="s">
        <v>3728</v>
      </c>
      <c r="DPS611" s="17">
        <v>44925</v>
      </c>
      <c r="DPT611" s="5" t="s">
        <v>3728</v>
      </c>
      <c r="DPU611" s="17">
        <v>44925</v>
      </c>
      <c r="DPV611" s="5" t="s">
        <v>3728</v>
      </c>
      <c r="DPW611" s="17">
        <v>44925</v>
      </c>
      <c r="DPX611" s="5" t="s">
        <v>3728</v>
      </c>
      <c r="DPY611" s="17">
        <v>44925</v>
      </c>
      <c r="DPZ611" s="5" t="s">
        <v>3728</v>
      </c>
      <c r="DQA611" s="17">
        <v>44925</v>
      </c>
      <c r="DQB611" s="5" t="s">
        <v>3728</v>
      </c>
      <c r="DQC611" s="17">
        <v>44925</v>
      </c>
      <c r="DQD611" s="5" t="s">
        <v>3728</v>
      </c>
      <c r="DQE611" s="17">
        <v>44925</v>
      </c>
      <c r="DQF611" s="5" t="s">
        <v>3728</v>
      </c>
      <c r="DQG611" s="17">
        <v>44925</v>
      </c>
      <c r="DQH611" s="5" t="s">
        <v>3728</v>
      </c>
      <c r="DQI611" s="17">
        <v>44925</v>
      </c>
      <c r="DQJ611" s="5" t="s">
        <v>3728</v>
      </c>
      <c r="DQK611" s="17">
        <v>44925</v>
      </c>
      <c r="DQL611" s="5" t="s">
        <v>3728</v>
      </c>
      <c r="DQM611" s="17">
        <v>44925</v>
      </c>
      <c r="DQN611" s="5" t="s">
        <v>3728</v>
      </c>
      <c r="DQO611" s="17">
        <v>44925</v>
      </c>
      <c r="DQP611" s="5" t="s">
        <v>3728</v>
      </c>
      <c r="DQQ611" s="17">
        <v>44925</v>
      </c>
      <c r="DQR611" s="5" t="s">
        <v>3728</v>
      </c>
      <c r="DQS611" s="17">
        <v>44925</v>
      </c>
      <c r="DQT611" s="5" t="s">
        <v>3728</v>
      </c>
      <c r="DQU611" s="17">
        <v>44925</v>
      </c>
      <c r="DQV611" s="5" t="s">
        <v>3728</v>
      </c>
      <c r="DQW611" s="17">
        <v>44925</v>
      </c>
      <c r="DQX611" s="5" t="s">
        <v>3728</v>
      </c>
      <c r="DQY611" s="17">
        <v>44925</v>
      </c>
      <c r="DQZ611" s="5" t="s">
        <v>3728</v>
      </c>
      <c r="DRA611" s="17">
        <v>44925</v>
      </c>
      <c r="DRB611" s="5" t="s">
        <v>3728</v>
      </c>
      <c r="DRC611" s="17">
        <v>44925</v>
      </c>
      <c r="DRD611" s="5" t="s">
        <v>3728</v>
      </c>
      <c r="DRE611" s="17">
        <v>44925</v>
      </c>
      <c r="DRF611" s="5" t="s">
        <v>3728</v>
      </c>
      <c r="DRG611" s="17">
        <v>44925</v>
      </c>
      <c r="DRH611" s="5" t="s">
        <v>3728</v>
      </c>
      <c r="DRI611" s="17">
        <v>44925</v>
      </c>
      <c r="DRJ611" s="5" t="s">
        <v>3728</v>
      </c>
      <c r="DRK611" s="17">
        <v>44925</v>
      </c>
      <c r="DRL611" s="5" t="s">
        <v>3728</v>
      </c>
      <c r="DRM611" s="17">
        <v>44925</v>
      </c>
      <c r="DRN611" s="5" t="s">
        <v>3728</v>
      </c>
      <c r="DRO611" s="17">
        <v>44925</v>
      </c>
      <c r="DRP611" s="5" t="s">
        <v>3728</v>
      </c>
      <c r="DRQ611" s="17">
        <v>44925</v>
      </c>
      <c r="DRR611" s="5" t="s">
        <v>3728</v>
      </c>
      <c r="DRS611" s="17">
        <v>44925</v>
      </c>
      <c r="DRT611" s="5" t="s">
        <v>3728</v>
      </c>
      <c r="DRU611" s="17">
        <v>44925</v>
      </c>
      <c r="DRV611" s="5" t="s">
        <v>3728</v>
      </c>
      <c r="DRW611" s="17">
        <v>44925</v>
      </c>
      <c r="DRX611" s="5" t="s">
        <v>3728</v>
      </c>
      <c r="DRY611" s="17">
        <v>44925</v>
      </c>
      <c r="DRZ611" s="5" t="s">
        <v>3728</v>
      </c>
      <c r="DSA611" s="17">
        <v>44925</v>
      </c>
      <c r="DSB611" s="5" t="s">
        <v>3728</v>
      </c>
      <c r="DSC611" s="17">
        <v>44925</v>
      </c>
      <c r="DSD611" s="5" t="s">
        <v>3728</v>
      </c>
      <c r="DSE611" s="17">
        <v>44925</v>
      </c>
      <c r="DSF611" s="5" t="s">
        <v>3728</v>
      </c>
      <c r="DSG611" s="17">
        <v>44925</v>
      </c>
      <c r="DSH611" s="5" t="s">
        <v>3728</v>
      </c>
      <c r="DSI611" s="17">
        <v>44925</v>
      </c>
      <c r="DSJ611" s="5" t="s">
        <v>3728</v>
      </c>
      <c r="DSK611" s="17">
        <v>44925</v>
      </c>
      <c r="DSL611" s="5" t="s">
        <v>3728</v>
      </c>
      <c r="DSM611" s="17">
        <v>44925</v>
      </c>
      <c r="DSN611" s="5" t="s">
        <v>3728</v>
      </c>
      <c r="DSO611" s="17">
        <v>44925</v>
      </c>
      <c r="DSP611" s="5" t="s">
        <v>3728</v>
      </c>
      <c r="DSQ611" s="17">
        <v>44925</v>
      </c>
      <c r="DSR611" s="5" t="s">
        <v>3728</v>
      </c>
      <c r="DSS611" s="17">
        <v>44925</v>
      </c>
      <c r="DST611" s="5" t="s">
        <v>3728</v>
      </c>
      <c r="DSU611" s="17">
        <v>44925</v>
      </c>
      <c r="DSV611" s="5" t="s">
        <v>3728</v>
      </c>
      <c r="DSW611" s="17">
        <v>44925</v>
      </c>
      <c r="DSX611" s="5" t="s">
        <v>3728</v>
      </c>
      <c r="DSY611" s="17">
        <v>44925</v>
      </c>
      <c r="DSZ611" s="5" t="s">
        <v>3728</v>
      </c>
      <c r="DTA611" s="17">
        <v>44925</v>
      </c>
      <c r="DTB611" s="5" t="s">
        <v>3728</v>
      </c>
      <c r="DTC611" s="17">
        <v>44925</v>
      </c>
      <c r="DTD611" s="5" t="s">
        <v>3728</v>
      </c>
      <c r="DTE611" s="17">
        <v>44925</v>
      </c>
      <c r="DTF611" s="5" t="s">
        <v>3728</v>
      </c>
      <c r="DTG611" s="17">
        <v>44925</v>
      </c>
      <c r="DTH611" s="5" t="s">
        <v>3728</v>
      </c>
      <c r="DTI611" s="17">
        <v>44925</v>
      </c>
      <c r="DTJ611" s="5" t="s">
        <v>3728</v>
      </c>
      <c r="DTK611" s="17">
        <v>44925</v>
      </c>
      <c r="DTL611" s="5" t="s">
        <v>3728</v>
      </c>
      <c r="DTM611" s="17">
        <v>44925</v>
      </c>
      <c r="DTN611" s="5" t="s">
        <v>3728</v>
      </c>
      <c r="DTO611" s="17">
        <v>44925</v>
      </c>
      <c r="DTP611" s="5" t="s">
        <v>3728</v>
      </c>
      <c r="DTQ611" s="17">
        <v>44925</v>
      </c>
      <c r="DTR611" s="5" t="s">
        <v>3728</v>
      </c>
      <c r="DTS611" s="17">
        <v>44925</v>
      </c>
      <c r="DTT611" s="5" t="s">
        <v>3728</v>
      </c>
      <c r="DTU611" s="17">
        <v>44925</v>
      </c>
      <c r="DTV611" s="5" t="s">
        <v>3728</v>
      </c>
      <c r="DTW611" s="17">
        <v>44925</v>
      </c>
      <c r="DTX611" s="5" t="s">
        <v>3728</v>
      </c>
      <c r="DTY611" s="17">
        <v>44925</v>
      </c>
      <c r="DTZ611" s="5" t="s">
        <v>3728</v>
      </c>
      <c r="DUA611" s="17">
        <v>44925</v>
      </c>
      <c r="DUB611" s="5" t="s">
        <v>3728</v>
      </c>
      <c r="DUC611" s="17">
        <v>44925</v>
      </c>
      <c r="DUD611" s="5" t="s">
        <v>3728</v>
      </c>
      <c r="DUE611" s="17">
        <v>44925</v>
      </c>
      <c r="DUF611" s="5" t="s">
        <v>3728</v>
      </c>
      <c r="DUG611" s="17">
        <v>44925</v>
      </c>
      <c r="DUH611" s="5" t="s">
        <v>3728</v>
      </c>
      <c r="DUI611" s="17">
        <v>44925</v>
      </c>
      <c r="DUJ611" s="5" t="s">
        <v>3728</v>
      </c>
      <c r="DUK611" s="17">
        <v>44925</v>
      </c>
      <c r="DUL611" s="5" t="s">
        <v>3728</v>
      </c>
      <c r="DUM611" s="17">
        <v>44925</v>
      </c>
      <c r="DUN611" s="5" t="s">
        <v>3728</v>
      </c>
      <c r="DUO611" s="17">
        <v>44925</v>
      </c>
      <c r="DUP611" s="5" t="s">
        <v>3728</v>
      </c>
      <c r="DUQ611" s="17">
        <v>44925</v>
      </c>
      <c r="DUR611" s="5" t="s">
        <v>3728</v>
      </c>
      <c r="DUS611" s="17">
        <v>44925</v>
      </c>
      <c r="DUT611" s="5" t="s">
        <v>3728</v>
      </c>
      <c r="DUU611" s="17">
        <v>44925</v>
      </c>
      <c r="DUV611" s="5" t="s">
        <v>3728</v>
      </c>
      <c r="DUW611" s="17">
        <v>44925</v>
      </c>
      <c r="DUX611" s="5" t="s">
        <v>3728</v>
      </c>
      <c r="DUY611" s="17">
        <v>44925</v>
      </c>
      <c r="DUZ611" s="5" t="s">
        <v>3728</v>
      </c>
      <c r="DVA611" s="17">
        <v>44925</v>
      </c>
      <c r="DVB611" s="5" t="s">
        <v>3728</v>
      </c>
      <c r="DVC611" s="17">
        <v>44925</v>
      </c>
      <c r="DVD611" s="5" t="s">
        <v>3728</v>
      </c>
      <c r="DVE611" s="17">
        <v>44925</v>
      </c>
      <c r="DVF611" s="5" t="s">
        <v>3728</v>
      </c>
      <c r="DVG611" s="17">
        <v>44925</v>
      </c>
      <c r="DVH611" s="5" t="s">
        <v>3728</v>
      </c>
      <c r="DVI611" s="17">
        <v>44925</v>
      </c>
      <c r="DVJ611" s="5" t="s">
        <v>3728</v>
      </c>
      <c r="DVK611" s="17">
        <v>44925</v>
      </c>
      <c r="DVL611" s="5" t="s">
        <v>3728</v>
      </c>
      <c r="DVM611" s="17">
        <v>44925</v>
      </c>
      <c r="DVN611" s="5" t="s">
        <v>3728</v>
      </c>
      <c r="DVO611" s="17">
        <v>44925</v>
      </c>
      <c r="DVP611" s="5" t="s">
        <v>3728</v>
      </c>
      <c r="DVQ611" s="17">
        <v>44925</v>
      </c>
      <c r="DVR611" s="5" t="s">
        <v>3728</v>
      </c>
      <c r="DVS611" s="17">
        <v>44925</v>
      </c>
      <c r="DVT611" s="5" t="s">
        <v>3728</v>
      </c>
      <c r="DVU611" s="17">
        <v>44925</v>
      </c>
      <c r="DVV611" s="5" t="s">
        <v>3728</v>
      </c>
      <c r="DVW611" s="17">
        <v>44925</v>
      </c>
      <c r="DVX611" s="5" t="s">
        <v>3728</v>
      </c>
      <c r="DVY611" s="17">
        <v>44925</v>
      </c>
      <c r="DVZ611" s="5" t="s">
        <v>3728</v>
      </c>
      <c r="DWA611" s="17">
        <v>44925</v>
      </c>
      <c r="DWB611" s="5" t="s">
        <v>3728</v>
      </c>
      <c r="DWC611" s="17">
        <v>44925</v>
      </c>
      <c r="DWD611" s="5" t="s">
        <v>3728</v>
      </c>
      <c r="DWE611" s="17">
        <v>44925</v>
      </c>
      <c r="DWF611" s="5" t="s">
        <v>3728</v>
      </c>
      <c r="DWG611" s="17">
        <v>44925</v>
      </c>
      <c r="DWH611" s="5" t="s">
        <v>3728</v>
      </c>
      <c r="DWI611" s="17">
        <v>44925</v>
      </c>
      <c r="DWJ611" s="5" t="s">
        <v>3728</v>
      </c>
      <c r="DWK611" s="17">
        <v>44925</v>
      </c>
      <c r="DWL611" s="5" t="s">
        <v>3728</v>
      </c>
      <c r="DWM611" s="17">
        <v>44925</v>
      </c>
      <c r="DWN611" s="5" t="s">
        <v>3728</v>
      </c>
      <c r="DWO611" s="17">
        <v>44925</v>
      </c>
      <c r="DWP611" s="5" t="s">
        <v>3728</v>
      </c>
      <c r="DWQ611" s="17">
        <v>44925</v>
      </c>
      <c r="DWR611" s="5" t="s">
        <v>3728</v>
      </c>
      <c r="DWS611" s="17">
        <v>44925</v>
      </c>
      <c r="DWT611" s="5" t="s">
        <v>3728</v>
      </c>
      <c r="DWU611" s="17">
        <v>44925</v>
      </c>
      <c r="DWV611" s="5" t="s">
        <v>3728</v>
      </c>
      <c r="DWW611" s="17">
        <v>44925</v>
      </c>
      <c r="DWX611" s="5" t="s">
        <v>3728</v>
      </c>
      <c r="DWY611" s="17">
        <v>44925</v>
      </c>
      <c r="DWZ611" s="5" t="s">
        <v>3728</v>
      </c>
      <c r="DXA611" s="17">
        <v>44925</v>
      </c>
      <c r="DXB611" s="5" t="s">
        <v>3728</v>
      </c>
      <c r="DXC611" s="17">
        <v>44925</v>
      </c>
      <c r="DXD611" s="5" t="s">
        <v>3728</v>
      </c>
      <c r="DXE611" s="17">
        <v>44925</v>
      </c>
      <c r="DXF611" s="5" t="s">
        <v>3728</v>
      </c>
      <c r="DXG611" s="17">
        <v>44925</v>
      </c>
      <c r="DXH611" s="5" t="s">
        <v>3728</v>
      </c>
      <c r="DXI611" s="17">
        <v>44925</v>
      </c>
      <c r="DXJ611" s="5" t="s">
        <v>3728</v>
      </c>
      <c r="DXK611" s="17">
        <v>44925</v>
      </c>
      <c r="DXL611" s="5" t="s">
        <v>3728</v>
      </c>
      <c r="DXM611" s="17">
        <v>44925</v>
      </c>
      <c r="DXN611" s="5" t="s">
        <v>3728</v>
      </c>
      <c r="DXO611" s="17">
        <v>44925</v>
      </c>
      <c r="DXP611" s="5" t="s">
        <v>3728</v>
      </c>
      <c r="DXQ611" s="17">
        <v>44925</v>
      </c>
      <c r="DXR611" s="5" t="s">
        <v>3728</v>
      </c>
      <c r="DXS611" s="17">
        <v>44925</v>
      </c>
      <c r="DXT611" s="5" t="s">
        <v>3728</v>
      </c>
      <c r="DXU611" s="17">
        <v>44925</v>
      </c>
      <c r="DXV611" s="5" t="s">
        <v>3728</v>
      </c>
      <c r="DXW611" s="17">
        <v>44925</v>
      </c>
      <c r="DXX611" s="5" t="s">
        <v>3728</v>
      </c>
      <c r="DXY611" s="17">
        <v>44925</v>
      </c>
      <c r="DXZ611" s="5" t="s">
        <v>3728</v>
      </c>
      <c r="DYA611" s="17">
        <v>44925</v>
      </c>
      <c r="DYB611" s="5" t="s">
        <v>3728</v>
      </c>
      <c r="DYC611" s="17">
        <v>44925</v>
      </c>
      <c r="DYD611" s="5" t="s">
        <v>3728</v>
      </c>
      <c r="DYE611" s="17">
        <v>44925</v>
      </c>
      <c r="DYF611" s="5" t="s">
        <v>3728</v>
      </c>
      <c r="DYG611" s="17">
        <v>44925</v>
      </c>
      <c r="DYH611" s="5" t="s">
        <v>3728</v>
      </c>
      <c r="DYI611" s="17">
        <v>44925</v>
      </c>
      <c r="DYJ611" s="5" t="s">
        <v>3728</v>
      </c>
      <c r="DYK611" s="17">
        <v>44925</v>
      </c>
      <c r="DYL611" s="5" t="s">
        <v>3728</v>
      </c>
      <c r="DYM611" s="17">
        <v>44925</v>
      </c>
      <c r="DYN611" s="5" t="s">
        <v>3728</v>
      </c>
      <c r="DYO611" s="17">
        <v>44925</v>
      </c>
      <c r="DYP611" s="5" t="s">
        <v>3728</v>
      </c>
      <c r="DYQ611" s="17">
        <v>44925</v>
      </c>
      <c r="DYR611" s="5" t="s">
        <v>3728</v>
      </c>
      <c r="DYS611" s="17">
        <v>44925</v>
      </c>
      <c r="DYT611" s="5" t="s">
        <v>3728</v>
      </c>
      <c r="DYU611" s="17">
        <v>44925</v>
      </c>
      <c r="DYV611" s="5" t="s">
        <v>3728</v>
      </c>
      <c r="DYW611" s="17">
        <v>44925</v>
      </c>
      <c r="DYX611" s="5" t="s">
        <v>3728</v>
      </c>
      <c r="DYY611" s="17">
        <v>44925</v>
      </c>
      <c r="DYZ611" s="5" t="s">
        <v>3728</v>
      </c>
      <c r="DZA611" s="17">
        <v>44925</v>
      </c>
      <c r="DZB611" s="5" t="s">
        <v>3728</v>
      </c>
      <c r="DZC611" s="17">
        <v>44925</v>
      </c>
      <c r="DZD611" s="5" t="s">
        <v>3728</v>
      </c>
      <c r="DZE611" s="17">
        <v>44925</v>
      </c>
      <c r="DZF611" s="5" t="s">
        <v>3728</v>
      </c>
      <c r="DZG611" s="17">
        <v>44925</v>
      </c>
      <c r="DZH611" s="5" t="s">
        <v>3728</v>
      </c>
      <c r="DZI611" s="17">
        <v>44925</v>
      </c>
      <c r="DZJ611" s="5" t="s">
        <v>3728</v>
      </c>
      <c r="DZK611" s="17">
        <v>44925</v>
      </c>
      <c r="DZL611" s="5" t="s">
        <v>3728</v>
      </c>
      <c r="DZM611" s="17">
        <v>44925</v>
      </c>
      <c r="DZN611" s="5" t="s">
        <v>3728</v>
      </c>
      <c r="DZO611" s="17">
        <v>44925</v>
      </c>
      <c r="DZP611" s="5" t="s">
        <v>3728</v>
      </c>
      <c r="DZQ611" s="17">
        <v>44925</v>
      </c>
      <c r="DZR611" s="5" t="s">
        <v>3728</v>
      </c>
      <c r="DZS611" s="17">
        <v>44925</v>
      </c>
      <c r="DZT611" s="5" t="s">
        <v>3728</v>
      </c>
      <c r="DZU611" s="17">
        <v>44925</v>
      </c>
      <c r="DZV611" s="5" t="s">
        <v>3728</v>
      </c>
      <c r="DZW611" s="17">
        <v>44925</v>
      </c>
      <c r="DZX611" s="5" t="s">
        <v>3728</v>
      </c>
      <c r="DZY611" s="17">
        <v>44925</v>
      </c>
      <c r="DZZ611" s="5" t="s">
        <v>3728</v>
      </c>
      <c r="EAA611" s="17">
        <v>44925</v>
      </c>
      <c r="EAB611" s="5" t="s">
        <v>3728</v>
      </c>
      <c r="EAC611" s="17">
        <v>44925</v>
      </c>
      <c r="EAD611" s="5" t="s">
        <v>3728</v>
      </c>
      <c r="EAE611" s="17">
        <v>44925</v>
      </c>
      <c r="EAF611" s="5" t="s">
        <v>3728</v>
      </c>
      <c r="EAG611" s="17">
        <v>44925</v>
      </c>
      <c r="EAH611" s="5" t="s">
        <v>3728</v>
      </c>
      <c r="EAI611" s="17">
        <v>44925</v>
      </c>
      <c r="EAJ611" s="5" t="s">
        <v>3728</v>
      </c>
      <c r="EAK611" s="17">
        <v>44925</v>
      </c>
      <c r="EAL611" s="5" t="s">
        <v>3728</v>
      </c>
      <c r="EAM611" s="17">
        <v>44925</v>
      </c>
      <c r="EAN611" s="5" t="s">
        <v>3728</v>
      </c>
      <c r="EAO611" s="17">
        <v>44925</v>
      </c>
      <c r="EAP611" s="5" t="s">
        <v>3728</v>
      </c>
      <c r="EAQ611" s="17">
        <v>44925</v>
      </c>
      <c r="EAR611" s="5" t="s">
        <v>3728</v>
      </c>
      <c r="EAS611" s="17">
        <v>44925</v>
      </c>
      <c r="EAT611" s="5" t="s">
        <v>3728</v>
      </c>
      <c r="EAU611" s="17">
        <v>44925</v>
      </c>
      <c r="EAV611" s="5" t="s">
        <v>3728</v>
      </c>
      <c r="EAW611" s="17">
        <v>44925</v>
      </c>
      <c r="EAX611" s="5" t="s">
        <v>3728</v>
      </c>
      <c r="EAY611" s="17">
        <v>44925</v>
      </c>
      <c r="EAZ611" s="5" t="s">
        <v>3728</v>
      </c>
      <c r="EBA611" s="17">
        <v>44925</v>
      </c>
      <c r="EBB611" s="5" t="s">
        <v>3728</v>
      </c>
      <c r="EBC611" s="17">
        <v>44925</v>
      </c>
      <c r="EBD611" s="5" t="s">
        <v>3728</v>
      </c>
      <c r="EBE611" s="17">
        <v>44925</v>
      </c>
      <c r="EBF611" s="5" t="s">
        <v>3728</v>
      </c>
      <c r="EBG611" s="17">
        <v>44925</v>
      </c>
      <c r="EBH611" s="5" t="s">
        <v>3728</v>
      </c>
      <c r="EBI611" s="17">
        <v>44925</v>
      </c>
      <c r="EBJ611" s="5" t="s">
        <v>3728</v>
      </c>
      <c r="EBK611" s="17">
        <v>44925</v>
      </c>
      <c r="EBL611" s="5" t="s">
        <v>3728</v>
      </c>
      <c r="EBM611" s="17">
        <v>44925</v>
      </c>
      <c r="EBN611" s="5" t="s">
        <v>3728</v>
      </c>
      <c r="EBO611" s="17">
        <v>44925</v>
      </c>
      <c r="EBP611" s="5" t="s">
        <v>3728</v>
      </c>
      <c r="EBQ611" s="17">
        <v>44925</v>
      </c>
      <c r="EBR611" s="5" t="s">
        <v>3728</v>
      </c>
      <c r="EBS611" s="17">
        <v>44925</v>
      </c>
      <c r="EBT611" s="5" t="s">
        <v>3728</v>
      </c>
      <c r="EBU611" s="17">
        <v>44925</v>
      </c>
      <c r="EBV611" s="5" t="s">
        <v>3728</v>
      </c>
      <c r="EBW611" s="17">
        <v>44925</v>
      </c>
      <c r="EBX611" s="5" t="s">
        <v>3728</v>
      </c>
      <c r="EBY611" s="17">
        <v>44925</v>
      </c>
      <c r="EBZ611" s="5" t="s">
        <v>3728</v>
      </c>
      <c r="ECA611" s="17">
        <v>44925</v>
      </c>
      <c r="ECB611" s="5" t="s">
        <v>3728</v>
      </c>
      <c r="ECC611" s="17">
        <v>44925</v>
      </c>
      <c r="ECD611" s="5" t="s">
        <v>3728</v>
      </c>
      <c r="ECE611" s="17">
        <v>44925</v>
      </c>
      <c r="ECF611" s="5" t="s">
        <v>3728</v>
      </c>
      <c r="ECG611" s="17">
        <v>44925</v>
      </c>
      <c r="ECH611" s="5" t="s">
        <v>3728</v>
      </c>
      <c r="ECI611" s="17">
        <v>44925</v>
      </c>
      <c r="ECJ611" s="5" t="s">
        <v>3728</v>
      </c>
      <c r="ECK611" s="17">
        <v>44925</v>
      </c>
      <c r="ECL611" s="5" t="s">
        <v>3728</v>
      </c>
      <c r="ECM611" s="17">
        <v>44925</v>
      </c>
      <c r="ECN611" s="5" t="s">
        <v>3728</v>
      </c>
      <c r="ECO611" s="17">
        <v>44925</v>
      </c>
      <c r="ECP611" s="5" t="s">
        <v>3728</v>
      </c>
      <c r="ECQ611" s="17">
        <v>44925</v>
      </c>
      <c r="ECR611" s="5" t="s">
        <v>3728</v>
      </c>
      <c r="ECS611" s="17">
        <v>44925</v>
      </c>
      <c r="ECT611" s="5" t="s">
        <v>3728</v>
      </c>
      <c r="ECU611" s="17">
        <v>44925</v>
      </c>
      <c r="ECV611" s="5" t="s">
        <v>3728</v>
      </c>
      <c r="ECW611" s="17">
        <v>44925</v>
      </c>
      <c r="ECX611" s="5" t="s">
        <v>3728</v>
      </c>
      <c r="ECY611" s="17">
        <v>44925</v>
      </c>
      <c r="ECZ611" s="5" t="s">
        <v>3728</v>
      </c>
      <c r="EDA611" s="17">
        <v>44925</v>
      </c>
      <c r="EDB611" s="5" t="s">
        <v>3728</v>
      </c>
      <c r="EDC611" s="17">
        <v>44925</v>
      </c>
      <c r="EDD611" s="5" t="s">
        <v>3728</v>
      </c>
      <c r="EDE611" s="17">
        <v>44925</v>
      </c>
      <c r="EDF611" s="5" t="s">
        <v>3728</v>
      </c>
      <c r="EDG611" s="17">
        <v>44925</v>
      </c>
      <c r="EDH611" s="5" t="s">
        <v>3728</v>
      </c>
      <c r="EDI611" s="17">
        <v>44925</v>
      </c>
      <c r="EDJ611" s="5" t="s">
        <v>3728</v>
      </c>
      <c r="EDK611" s="17">
        <v>44925</v>
      </c>
      <c r="EDL611" s="5" t="s">
        <v>3728</v>
      </c>
      <c r="EDM611" s="17">
        <v>44925</v>
      </c>
      <c r="EDN611" s="5" t="s">
        <v>3728</v>
      </c>
      <c r="EDO611" s="17">
        <v>44925</v>
      </c>
      <c r="EDP611" s="5" t="s">
        <v>3728</v>
      </c>
      <c r="EDQ611" s="17">
        <v>44925</v>
      </c>
      <c r="EDR611" s="5" t="s">
        <v>3728</v>
      </c>
      <c r="EDS611" s="17">
        <v>44925</v>
      </c>
      <c r="EDT611" s="5" t="s">
        <v>3728</v>
      </c>
      <c r="EDU611" s="17">
        <v>44925</v>
      </c>
      <c r="EDV611" s="5" t="s">
        <v>3728</v>
      </c>
      <c r="EDW611" s="17">
        <v>44925</v>
      </c>
      <c r="EDX611" s="5" t="s">
        <v>3728</v>
      </c>
      <c r="EDY611" s="17">
        <v>44925</v>
      </c>
      <c r="EDZ611" s="5" t="s">
        <v>3728</v>
      </c>
      <c r="EEA611" s="17">
        <v>44925</v>
      </c>
      <c r="EEB611" s="5" t="s">
        <v>3728</v>
      </c>
      <c r="EEC611" s="17">
        <v>44925</v>
      </c>
      <c r="EED611" s="5" t="s">
        <v>3728</v>
      </c>
      <c r="EEE611" s="17">
        <v>44925</v>
      </c>
      <c r="EEF611" s="5" t="s">
        <v>3728</v>
      </c>
      <c r="EEG611" s="17">
        <v>44925</v>
      </c>
      <c r="EEH611" s="5" t="s">
        <v>3728</v>
      </c>
      <c r="EEI611" s="17">
        <v>44925</v>
      </c>
      <c r="EEJ611" s="5" t="s">
        <v>3728</v>
      </c>
      <c r="EEK611" s="17">
        <v>44925</v>
      </c>
      <c r="EEL611" s="5" t="s">
        <v>3728</v>
      </c>
      <c r="EEM611" s="17">
        <v>44925</v>
      </c>
      <c r="EEN611" s="5" t="s">
        <v>3728</v>
      </c>
      <c r="EEO611" s="17">
        <v>44925</v>
      </c>
      <c r="EEP611" s="5" t="s">
        <v>3728</v>
      </c>
      <c r="EEQ611" s="17">
        <v>44925</v>
      </c>
      <c r="EER611" s="5" t="s">
        <v>3728</v>
      </c>
      <c r="EES611" s="17">
        <v>44925</v>
      </c>
      <c r="EET611" s="5" t="s">
        <v>3728</v>
      </c>
      <c r="EEU611" s="17">
        <v>44925</v>
      </c>
      <c r="EEV611" s="5" t="s">
        <v>3728</v>
      </c>
      <c r="EEW611" s="17">
        <v>44925</v>
      </c>
      <c r="EEX611" s="5" t="s">
        <v>3728</v>
      </c>
      <c r="EEY611" s="17">
        <v>44925</v>
      </c>
      <c r="EEZ611" s="5" t="s">
        <v>3728</v>
      </c>
      <c r="EFA611" s="17">
        <v>44925</v>
      </c>
      <c r="EFB611" s="5" t="s">
        <v>3728</v>
      </c>
      <c r="EFC611" s="17">
        <v>44925</v>
      </c>
      <c r="EFD611" s="5" t="s">
        <v>3728</v>
      </c>
      <c r="EFE611" s="17">
        <v>44925</v>
      </c>
      <c r="EFF611" s="5" t="s">
        <v>3728</v>
      </c>
      <c r="EFG611" s="17">
        <v>44925</v>
      </c>
      <c r="EFH611" s="5" t="s">
        <v>3728</v>
      </c>
      <c r="EFI611" s="17">
        <v>44925</v>
      </c>
      <c r="EFJ611" s="5" t="s">
        <v>3728</v>
      </c>
      <c r="EFK611" s="17">
        <v>44925</v>
      </c>
      <c r="EFL611" s="5" t="s">
        <v>3728</v>
      </c>
      <c r="EFM611" s="17">
        <v>44925</v>
      </c>
      <c r="EFN611" s="5" t="s">
        <v>3728</v>
      </c>
      <c r="EFO611" s="17">
        <v>44925</v>
      </c>
      <c r="EFP611" s="5" t="s">
        <v>3728</v>
      </c>
      <c r="EFQ611" s="17">
        <v>44925</v>
      </c>
      <c r="EFR611" s="5" t="s">
        <v>3728</v>
      </c>
      <c r="EFS611" s="17">
        <v>44925</v>
      </c>
      <c r="EFT611" s="5" t="s">
        <v>3728</v>
      </c>
      <c r="EFU611" s="17">
        <v>44925</v>
      </c>
      <c r="EFV611" s="5" t="s">
        <v>3728</v>
      </c>
      <c r="EFW611" s="17">
        <v>44925</v>
      </c>
      <c r="EFX611" s="5" t="s">
        <v>3728</v>
      </c>
      <c r="EFY611" s="17">
        <v>44925</v>
      </c>
      <c r="EFZ611" s="5" t="s">
        <v>3728</v>
      </c>
      <c r="EGA611" s="17">
        <v>44925</v>
      </c>
      <c r="EGB611" s="5" t="s">
        <v>3728</v>
      </c>
      <c r="EGC611" s="17">
        <v>44925</v>
      </c>
      <c r="EGD611" s="5" t="s">
        <v>3728</v>
      </c>
      <c r="EGE611" s="17">
        <v>44925</v>
      </c>
      <c r="EGF611" s="5" t="s">
        <v>3728</v>
      </c>
      <c r="EGG611" s="17">
        <v>44925</v>
      </c>
      <c r="EGH611" s="5" t="s">
        <v>3728</v>
      </c>
      <c r="EGI611" s="17">
        <v>44925</v>
      </c>
      <c r="EGJ611" s="5" t="s">
        <v>3728</v>
      </c>
      <c r="EGK611" s="17">
        <v>44925</v>
      </c>
      <c r="EGL611" s="5" t="s">
        <v>3728</v>
      </c>
      <c r="EGM611" s="17">
        <v>44925</v>
      </c>
      <c r="EGN611" s="5" t="s">
        <v>3728</v>
      </c>
      <c r="EGO611" s="17">
        <v>44925</v>
      </c>
      <c r="EGP611" s="5" t="s">
        <v>3728</v>
      </c>
      <c r="EGQ611" s="17">
        <v>44925</v>
      </c>
      <c r="EGR611" s="5" t="s">
        <v>3728</v>
      </c>
      <c r="EGS611" s="17">
        <v>44925</v>
      </c>
      <c r="EGT611" s="5" t="s">
        <v>3728</v>
      </c>
      <c r="EGU611" s="17">
        <v>44925</v>
      </c>
      <c r="EGV611" s="5" t="s">
        <v>3728</v>
      </c>
      <c r="EGW611" s="17">
        <v>44925</v>
      </c>
      <c r="EGX611" s="5" t="s">
        <v>3728</v>
      </c>
      <c r="EGY611" s="17">
        <v>44925</v>
      </c>
      <c r="EGZ611" s="5" t="s">
        <v>3728</v>
      </c>
      <c r="EHA611" s="17">
        <v>44925</v>
      </c>
      <c r="EHB611" s="5" t="s">
        <v>3728</v>
      </c>
      <c r="EHC611" s="17">
        <v>44925</v>
      </c>
      <c r="EHD611" s="5" t="s">
        <v>3728</v>
      </c>
      <c r="EHE611" s="17">
        <v>44925</v>
      </c>
      <c r="EHF611" s="5" t="s">
        <v>3728</v>
      </c>
      <c r="EHG611" s="17">
        <v>44925</v>
      </c>
      <c r="EHH611" s="5" t="s">
        <v>3728</v>
      </c>
      <c r="EHI611" s="17">
        <v>44925</v>
      </c>
      <c r="EHJ611" s="5" t="s">
        <v>3728</v>
      </c>
      <c r="EHK611" s="17">
        <v>44925</v>
      </c>
      <c r="EHL611" s="5" t="s">
        <v>3728</v>
      </c>
      <c r="EHM611" s="17">
        <v>44925</v>
      </c>
      <c r="EHN611" s="5" t="s">
        <v>3728</v>
      </c>
      <c r="EHO611" s="17">
        <v>44925</v>
      </c>
      <c r="EHP611" s="5" t="s">
        <v>3728</v>
      </c>
      <c r="EHQ611" s="17">
        <v>44925</v>
      </c>
      <c r="EHR611" s="5" t="s">
        <v>3728</v>
      </c>
      <c r="EHS611" s="17">
        <v>44925</v>
      </c>
      <c r="EHT611" s="5" t="s">
        <v>3728</v>
      </c>
      <c r="EHU611" s="17">
        <v>44925</v>
      </c>
      <c r="EHV611" s="5" t="s">
        <v>3728</v>
      </c>
      <c r="EHW611" s="17">
        <v>44925</v>
      </c>
      <c r="EHX611" s="5" t="s">
        <v>3728</v>
      </c>
      <c r="EHY611" s="17">
        <v>44925</v>
      </c>
      <c r="EHZ611" s="5" t="s">
        <v>3728</v>
      </c>
      <c r="EIA611" s="17">
        <v>44925</v>
      </c>
      <c r="EIB611" s="5" t="s">
        <v>3728</v>
      </c>
      <c r="EIC611" s="17">
        <v>44925</v>
      </c>
      <c r="EID611" s="5" t="s">
        <v>3728</v>
      </c>
      <c r="EIE611" s="17">
        <v>44925</v>
      </c>
      <c r="EIF611" s="5" t="s">
        <v>3728</v>
      </c>
      <c r="EIG611" s="17">
        <v>44925</v>
      </c>
      <c r="EIH611" s="5" t="s">
        <v>3728</v>
      </c>
      <c r="EII611" s="17">
        <v>44925</v>
      </c>
      <c r="EIJ611" s="5" t="s">
        <v>3728</v>
      </c>
      <c r="EIK611" s="17">
        <v>44925</v>
      </c>
      <c r="EIL611" s="5" t="s">
        <v>3728</v>
      </c>
      <c r="EIM611" s="17">
        <v>44925</v>
      </c>
      <c r="EIN611" s="5" t="s">
        <v>3728</v>
      </c>
      <c r="EIO611" s="17">
        <v>44925</v>
      </c>
      <c r="EIP611" s="5" t="s">
        <v>3728</v>
      </c>
      <c r="EIQ611" s="17">
        <v>44925</v>
      </c>
      <c r="EIR611" s="5" t="s">
        <v>3728</v>
      </c>
      <c r="EIS611" s="17">
        <v>44925</v>
      </c>
      <c r="EIT611" s="5" t="s">
        <v>3728</v>
      </c>
      <c r="EIU611" s="17">
        <v>44925</v>
      </c>
      <c r="EIV611" s="5" t="s">
        <v>3728</v>
      </c>
      <c r="EIW611" s="17">
        <v>44925</v>
      </c>
      <c r="EIX611" s="5" t="s">
        <v>3728</v>
      </c>
      <c r="EIY611" s="17">
        <v>44925</v>
      </c>
      <c r="EIZ611" s="5" t="s">
        <v>3728</v>
      </c>
      <c r="EJA611" s="17">
        <v>44925</v>
      </c>
      <c r="EJB611" s="5" t="s">
        <v>3728</v>
      </c>
      <c r="EJC611" s="17">
        <v>44925</v>
      </c>
      <c r="EJD611" s="5" t="s">
        <v>3728</v>
      </c>
      <c r="EJE611" s="17">
        <v>44925</v>
      </c>
      <c r="EJF611" s="5" t="s">
        <v>3728</v>
      </c>
      <c r="EJG611" s="17">
        <v>44925</v>
      </c>
      <c r="EJH611" s="5" t="s">
        <v>3728</v>
      </c>
      <c r="EJI611" s="17">
        <v>44925</v>
      </c>
      <c r="EJJ611" s="5" t="s">
        <v>3728</v>
      </c>
      <c r="EJK611" s="17">
        <v>44925</v>
      </c>
      <c r="EJL611" s="5" t="s">
        <v>3728</v>
      </c>
      <c r="EJM611" s="17">
        <v>44925</v>
      </c>
      <c r="EJN611" s="5" t="s">
        <v>3728</v>
      </c>
      <c r="EJO611" s="17">
        <v>44925</v>
      </c>
      <c r="EJP611" s="5" t="s">
        <v>3728</v>
      </c>
      <c r="EJQ611" s="17">
        <v>44925</v>
      </c>
      <c r="EJR611" s="5" t="s">
        <v>3728</v>
      </c>
      <c r="EJS611" s="17">
        <v>44925</v>
      </c>
      <c r="EJT611" s="5" t="s">
        <v>3728</v>
      </c>
      <c r="EJU611" s="17">
        <v>44925</v>
      </c>
      <c r="EJV611" s="5" t="s">
        <v>3728</v>
      </c>
      <c r="EJW611" s="17">
        <v>44925</v>
      </c>
      <c r="EJX611" s="5" t="s">
        <v>3728</v>
      </c>
      <c r="EJY611" s="17">
        <v>44925</v>
      </c>
      <c r="EJZ611" s="5" t="s">
        <v>3728</v>
      </c>
      <c r="EKA611" s="17">
        <v>44925</v>
      </c>
      <c r="EKB611" s="5" t="s">
        <v>3728</v>
      </c>
      <c r="EKC611" s="17">
        <v>44925</v>
      </c>
      <c r="EKD611" s="5" t="s">
        <v>3728</v>
      </c>
      <c r="EKE611" s="17">
        <v>44925</v>
      </c>
      <c r="EKF611" s="5" t="s">
        <v>3728</v>
      </c>
      <c r="EKG611" s="17">
        <v>44925</v>
      </c>
      <c r="EKH611" s="5" t="s">
        <v>3728</v>
      </c>
      <c r="EKI611" s="17">
        <v>44925</v>
      </c>
      <c r="EKJ611" s="5" t="s">
        <v>3728</v>
      </c>
      <c r="EKK611" s="17">
        <v>44925</v>
      </c>
      <c r="EKL611" s="5" t="s">
        <v>3728</v>
      </c>
      <c r="EKM611" s="17">
        <v>44925</v>
      </c>
      <c r="EKN611" s="5" t="s">
        <v>3728</v>
      </c>
      <c r="EKO611" s="17">
        <v>44925</v>
      </c>
      <c r="EKP611" s="5" t="s">
        <v>3728</v>
      </c>
      <c r="EKQ611" s="17">
        <v>44925</v>
      </c>
      <c r="EKR611" s="5" t="s">
        <v>3728</v>
      </c>
      <c r="EKS611" s="17">
        <v>44925</v>
      </c>
      <c r="EKT611" s="5" t="s">
        <v>3728</v>
      </c>
      <c r="EKU611" s="17">
        <v>44925</v>
      </c>
      <c r="EKV611" s="5" t="s">
        <v>3728</v>
      </c>
      <c r="EKW611" s="17">
        <v>44925</v>
      </c>
      <c r="EKX611" s="5" t="s">
        <v>3728</v>
      </c>
      <c r="EKY611" s="17">
        <v>44925</v>
      </c>
      <c r="EKZ611" s="5" t="s">
        <v>3728</v>
      </c>
      <c r="ELA611" s="17">
        <v>44925</v>
      </c>
      <c r="ELB611" s="5" t="s">
        <v>3728</v>
      </c>
      <c r="ELC611" s="17">
        <v>44925</v>
      </c>
      <c r="ELD611" s="5" t="s">
        <v>3728</v>
      </c>
      <c r="ELE611" s="17">
        <v>44925</v>
      </c>
      <c r="ELF611" s="5" t="s">
        <v>3728</v>
      </c>
      <c r="ELG611" s="17">
        <v>44925</v>
      </c>
      <c r="ELH611" s="5" t="s">
        <v>3728</v>
      </c>
      <c r="ELI611" s="17">
        <v>44925</v>
      </c>
      <c r="ELJ611" s="5" t="s">
        <v>3728</v>
      </c>
      <c r="ELK611" s="17">
        <v>44925</v>
      </c>
      <c r="ELL611" s="5" t="s">
        <v>3728</v>
      </c>
      <c r="ELM611" s="17">
        <v>44925</v>
      </c>
      <c r="ELN611" s="5" t="s">
        <v>3728</v>
      </c>
      <c r="ELO611" s="17">
        <v>44925</v>
      </c>
      <c r="ELP611" s="5" t="s">
        <v>3728</v>
      </c>
      <c r="ELQ611" s="17">
        <v>44925</v>
      </c>
      <c r="ELR611" s="5" t="s">
        <v>3728</v>
      </c>
      <c r="ELS611" s="17">
        <v>44925</v>
      </c>
      <c r="ELT611" s="5" t="s">
        <v>3728</v>
      </c>
      <c r="ELU611" s="17">
        <v>44925</v>
      </c>
      <c r="ELV611" s="5" t="s">
        <v>3728</v>
      </c>
      <c r="ELW611" s="17">
        <v>44925</v>
      </c>
      <c r="ELX611" s="5" t="s">
        <v>3728</v>
      </c>
      <c r="ELY611" s="17">
        <v>44925</v>
      </c>
      <c r="ELZ611" s="5" t="s">
        <v>3728</v>
      </c>
      <c r="EMA611" s="17">
        <v>44925</v>
      </c>
      <c r="EMB611" s="5" t="s">
        <v>3728</v>
      </c>
      <c r="EMC611" s="17">
        <v>44925</v>
      </c>
      <c r="EMD611" s="5" t="s">
        <v>3728</v>
      </c>
      <c r="EME611" s="17">
        <v>44925</v>
      </c>
      <c r="EMF611" s="5" t="s">
        <v>3728</v>
      </c>
      <c r="EMG611" s="17">
        <v>44925</v>
      </c>
      <c r="EMH611" s="5" t="s">
        <v>3728</v>
      </c>
      <c r="EMI611" s="17">
        <v>44925</v>
      </c>
      <c r="EMJ611" s="5" t="s">
        <v>3728</v>
      </c>
      <c r="EMK611" s="17">
        <v>44925</v>
      </c>
      <c r="EML611" s="5" t="s">
        <v>3728</v>
      </c>
      <c r="EMM611" s="17">
        <v>44925</v>
      </c>
      <c r="EMN611" s="5" t="s">
        <v>3728</v>
      </c>
      <c r="EMO611" s="17">
        <v>44925</v>
      </c>
      <c r="EMP611" s="5" t="s">
        <v>3728</v>
      </c>
      <c r="EMQ611" s="17">
        <v>44925</v>
      </c>
      <c r="EMR611" s="5" t="s">
        <v>3728</v>
      </c>
      <c r="EMS611" s="17">
        <v>44925</v>
      </c>
      <c r="EMT611" s="5" t="s">
        <v>3728</v>
      </c>
      <c r="EMU611" s="17">
        <v>44925</v>
      </c>
      <c r="EMV611" s="5" t="s">
        <v>3728</v>
      </c>
      <c r="EMW611" s="17">
        <v>44925</v>
      </c>
      <c r="EMX611" s="5" t="s">
        <v>3728</v>
      </c>
      <c r="EMY611" s="17">
        <v>44925</v>
      </c>
      <c r="EMZ611" s="5" t="s">
        <v>3728</v>
      </c>
      <c r="ENA611" s="17">
        <v>44925</v>
      </c>
      <c r="ENB611" s="5" t="s">
        <v>3728</v>
      </c>
      <c r="ENC611" s="17">
        <v>44925</v>
      </c>
      <c r="END611" s="5" t="s">
        <v>3728</v>
      </c>
      <c r="ENE611" s="17">
        <v>44925</v>
      </c>
      <c r="ENF611" s="5" t="s">
        <v>3728</v>
      </c>
      <c r="ENG611" s="17">
        <v>44925</v>
      </c>
      <c r="ENH611" s="5" t="s">
        <v>3728</v>
      </c>
      <c r="ENI611" s="17">
        <v>44925</v>
      </c>
      <c r="ENJ611" s="5" t="s">
        <v>3728</v>
      </c>
      <c r="ENK611" s="17">
        <v>44925</v>
      </c>
      <c r="ENL611" s="5" t="s">
        <v>3728</v>
      </c>
      <c r="ENM611" s="17">
        <v>44925</v>
      </c>
      <c r="ENN611" s="5" t="s">
        <v>3728</v>
      </c>
      <c r="ENO611" s="17">
        <v>44925</v>
      </c>
      <c r="ENP611" s="5" t="s">
        <v>3728</v>
      </c>
      <c r="ENQ611" s="17">
        <v>44925</v>
      </c>
      <c r="ENR611" s="5" t="s">
        <v>3728</v>
      </c>
      <c r="ENS611" s="17">
        <v>44925</v>
      </c>
      <c r="ENT611" s="5" t="s">
        <v>3728</v>
      </c>
      <c r="ENU611" s="17">
        <v>44925</v>
      </c>
      <c r="ENV611" s="5" t="s">
        <v>3728</v>
      </c>
      <c r="ENW611" s="17">
        <v>44925</v>
      </c>
      <c r="ENX611" s="5" t="s">
        <v>3728</v>
      </c>
      <c r="ENY611" s="17">
        <v>44925</v>
      </c>
      <c r="ENZ611" s="5" t="s">
        <v>3728</v>
      </c>
      <c r="EOA611" s="17">
        <v>44925</v>
      </c>
      <c r="EOB611" s="5" t="s">
        <v>3728</v>
      </c>
      <c r="EOC611" s="17">
        <v>44925</v>
      </c>
      <c r="EOD611" s="5" t="s">
        <v>3728</v>
      </c>
      <c r="EOE611" s="17">
        <v>44925</v>
      </c>
      <c r="EOF611" s="5" t="s">
        <v>3728</v>
      </c>
      <c r="EOG611" s="17">
        <v>44925</v>
      </c>
      <c r="EOH611" s="5" t="s">
        <v>3728</v>
      </c>
      <c r="EOI611" s="17">
        <v>44925</v>
      </c>
      <c r="EOJ611" s="5" t="s">
        <v>3728</v>
      </c>
      <c r="EOK611" s="17">
        <v>44925</v>
      </c>
      <c r="EOL611" s="5" t="s">
        <v>3728</v>
      </c>
      <c r="EOM611" s="17">
        <v>44925</v>
      </c>
      <c r="EON611" s="5" t="s">
        <v>3728</v>
      </c>
      <c r="EOO611" s="17">
        <v>44925</v>
      </c>
      <c r="EOP611" s="5" t="s">
        <v>3728</v>
      </c>
      <c r="EOQ611" s="17">
        <v>44925</v>
      </c>
      <c r="EOR611" s="5" t="s">
        <v>3728</v>
      </c>
      <c r="EOS611" s="17">
        <v>44925</v>
      </c>
      <c r="EOT611" s="5" t="s">
        <v>3728</v>
      </c>
      <c r="EOU611" s="17">
        <v>44925</v>
      </c>
      <c r="EOV611" s="5" t="s">
        <v>3728</v>
      </c>
      <c r="EOW611" s="17">
        <v>44925</v>
      </c>
      <c r="EOX611" s="5" t="s">
        <v>3728</v>
      </c>
      <c r="EOY611" s="17">
        <v>44925</v>
      </c>
      <c r="EOZ611" s="5" t="s">
        <v>3728</v>
      </c>
      <c r="EPA611" s="17">
        <v>44925</v>
      </c>
      <c r="EPB611" s="5" t="s">
        <v>3728</v>
      </c>
      <c r="EPC611" s="17">
        <v>44925</v>
      </c>
      <c r="EPD611" s="5" t="s">
        <v>3728</v>
      </c>
      <c r="EPE611" s="17">
        <v>44925</v>
      </c>
      <c r="EPF611" s="5" t="s">
        <v>3728</v>
      </c>
      <c r="EPG611" s="17">
        <v>44925</v>
      </c>
      <c r="EPH611" s="5" t="s">
        <v>3728</v>
      </c>
      <c r="EPI611" s="17">
        <v>44925</v>
      </c>
      <c r="EPJ611" s="5" t="s">
        <v>3728</v>
      </c>
      <c r="EPK611" s="17">
        <v>44925</v>
      </c>
      <c r="EPL611" s="5" t="s">
        <v>3728</v>
      </c>
      <c r="EPM611" s="17">
        <v>44925</v>
      </c>
      <c r="EPN611" s="5" t="s">
        <v>3728</v>
      </c>
      <c r="EPO611" s="17">
        <v>44925</v>
      </c>
      <c r="EPP611" s="5" t="s">
        <v>3728</v>
      </c>
      <c r="EPQ611" s="17">
        <v>44925</v>
      </c>
      <c r="EPR611" s="5" t="s">
        <v>3728</v>
      </c>
      <c r="EPS611" s="17">
        <v>44925</v>
      </c>
      <c r="EPT611" s="5" t="s">
        <v>3728</v>
      </c>
      <c r="EPU611" s="17">
        <v>44925</v>
      </c>
      <c r="EPV611" s="5" t="s">
        <v>3728</v>
      </c>
      <c r="EPW611" s="17">
        <v>44925</v>
      </c>
      <c r="EPX611" s="5" t="s">
        <v>3728</v>
      </c>
      <c r="EPY611" s="17">
        <v>44925</v>
      </c>
      <c r="EPZ611" s="5" t="s">
        <v>3728</v>
      </c>
      <c r="EQA611" s="17">
        <v>44925</v>
      </c>
      <c r="EQB611" s="5" t="s">
        <v>3728</v>
      </c>
      <c r="EQC611" s="17">
        <v>44925</v>
      </c>
      <c r="EQD611" s="5" t="s">
        <v>3728</v>
      </c>
      <c r="EQE611" s="17">
        <v>44925</v>
      </c>
      <c r="EQF611" s="5" t="s">
        <v>3728</v>
      </c>
      <c r="EQG611" s="17">
        <v>44925</v>
      </c>
      <c r="EQH611" s="5" t="s">
        <v>3728</v>
      </c>
      <c r="EQI611" s="17">
        <v>44925</v>
      </c>
      <c r="EQJ611" s="5" t="s">
        <v>3728</v>
      </c>
      <c r="EQK611" s="17">
        <v>44925</v>
      </c>
      <c r="EQL611" s="5" t="s">
        <v>3728</v>
      </c>
      <c r="EQM611" s="17">
        <v>44925</v>
      </c>
      <c r="EQN611" s="5" t="s">
        <v>3728</v>
      </c>
      <c r="EQO611" s="17">
        <v>44925</v>
      </c>
      <c r="EQP611" s="5" t="s">
        <v>3728</v>
      </c>
      <c r="EQQ611" s="17">
        <v>44925</v>
      </c>
      <c r="EQR611" s="5" t="s">
        <v>3728</v>
      </c>
      <c r="EQS611" s="17">
        <v>44925</v>
      </c>
      <c r="EQT611" s="5" t="s">
        <v>3728</v>
      </c>
      <c r="EQU611" s="17">
        <v>44925</v>
      </c>
      <c r="EQV611" s="5" t="s">
        <v>3728</v>
      </c>
      <c r="EQW611" s="17">
        <v>44925</v>
      </c>
      <c r="EQX611" s="5" t="s">
        <v>3728</v>
      </c>
      <c r="EQY611" s="17">
        <v>44925</v>
      </c>
      <c r="EQZ611" s="5" t="s">
        <v>3728</v>
      </c>
      <c r="ERA611" s="17">
        <v>44925</v>
      </c>
      <c r="ERB611" s="5" t="s">
        <v>3728</v>
      </c>
      <c r="ERC611" s="17">
        <v>44925</v>
      </c>
      <c r="ERD611" s="5" t="s">
        <v>3728</v>
      </c>
      <c r="ERE611" s="17">
        <v>44925</v>
      </c>
      <c r="ERF611" s="5" t="s">
        <v>3728</v>
      </c>
      <c r="ERG611" s="17">
        <v>44925</v>
      </c>
      <c r="ERH611" s="5" t="s">
        <v>3728</v>
      </c>
      <c r="ERI611" s="17">
        <v>44925</v>
      </c>
      <c r="ERJ611" s="5" t="s">
        <v>3728</v>
      </c>
      <c r="ERK611" s="17">
        <v>44925</v>
      </c>
      <c r="ERL611" s="5" t="s">
        <v>3728</v>
      </c>
      <c r="ERM611" s="17">
        <v>44925</v>
      </c>
      <c r="ERN611" s="5" t="s">
        <v>3728</v>
      </c>
      <c r="ERO611" s="17">
        <v>44925</v>
      </c>
      <c r="ERP611" s="5" t="s">
        <v>3728</v>
      </c>
      <c r="ERQ611" s="17">
        <v>44925</v>
      </c>
      <c r="ERR611" s="5" t="s">
        <v>3728</v>
      </c>
      <c r="ERS611" s="17">
        <v>44925</v>
      </c>
      <c r="ERT611" s="5" t="s">
        <v>3728</v>
      </c>
      <c r="ERU611" s="17">
        <v>44925</v>
      </c>
      <c r="ERV611" s="5" t="s">
        <v>3728</v>
      </c>
      <c r="ERW611" s="17">
        <v>44925</v>
      </c>
      <c r="ERX611" s="5" t="s">
        <v>3728</v>
      </c>
      <c r="ERY611" s="17">
        <v>44925</v>
      </c>
      <c r="ERZ611" s="5" t="s">
        <v>3728</v>
      </c>
      <c r="ESA611" s="17">
        <v>44925</v>
      </c>
      <c r="ESB611" s="5" t="s">
        <v>3728</v>
      </c>
      <c r="ESC611" s="17">
        <v>44925</v>
      </c>
      <c r="ESD611" s="5" t="s">
        <v>3728</v>
      </c>
      <c r="ESE611" s="17">
        <v>44925</v>
      </c>
      <c r="ESF611" s="5" t="s">
        <v>3728</v>
      </c>
      <c r="ESG611" s="17">
        <v>44925</v>
      </c>
      <c r="ESH611" s="5" t="s">
        <v>3728</v>
      </c>
      <c r="ESI611" s="17">
        <v>44925</v>
      </c>
      <c r="ESJ611" s="5" t="s">
        <v>3728</v>
      </c>
      <c r="ESK611" s="17">
        <v>44925</v>
      </c>
      <c r="ESL611" s="5" t="s">
        <v>3728</v>
      </c>
      <c r="ESM611" s="17">
        <v>44925</v>
      </c>
      <c r="ESN611" s="5" t="s">
        <v>3728</v>
      </c>
      <c r="ESO611" s="17">
        <v>44925</v>
      </c>
      <c r="ESP611" s="5" t="s">
        <v>3728</v>
      </c>
      <c r="ESQ611" s="17">
        <v>44925</v>
      </c>
      <c r="ESR611" s="5" t="s">
        <v>3728</v>
      </c>
      <c r="ESS611" s="17">
        <v>44925</v>
      </c>
      <c r="EST611" s="5" t="s">
        <v>3728</v>
      </c>
      <c r="ESU611" s="17">
        <v>44925</v>
      </c>
      <c r="ESV611" s="5" t="s">
        <v>3728</v>
      </c>
      <c r="ESW611" s="17">
        <v>44925</v>
      </c>
      <c r="ESX611" s="5" t="s">
        <v>3728</v>
      </c>
      <c r="ESY611" s="17">
        <v>44925</v>
      </c>
      <c r="ESZ611" s="5" t="s">
        <v>3728</v>
      </c>
      <c r="ETA611" s="17">
        <v>44925</v>
      </c>
      <c r="ETB611" s="5" t="s">
        <v>3728</v>
      </c>
      <c r="ETC611" s="17">
        <v>44925</v>
      </c>
      <c r="ETD611" s="5" t="s">
        <v>3728</v>
      </c>
      <c r="ETE611" s="17">
        <v>44925</v>
      </c>
      <c r="ETF611" s="5" t="s">
        <v>3728</v>
      </c>
      <c r="ETG611" s="17">
        <v>44925</v>
      </c>
      <c r="ETH611" s="5" t="s">
        <v>3728</v>
      </c>
      <c r="ETI611" s="17">
        <v>44925</v>
      </c>
      <c r="ETJ611" s="5" t="s">
        <v>3728</v>
      </c>
      <c r="ETK611" s="17">
        <v>44925</v>
      </c>
      <c r="ETL611" s="5" t="s">
        <v>3728</v>
      </c>
      <c r="ETM611" s="17">
        <v>44925</v>
      </c>
      <c r="ETN611" s="5" t="s">
        <v>3728</v>
      </c>
      <c r="ETO611" s="17">
        <v>44925</v>
      </c>
      <c r="ETP611" s="5" t="s">
        <v>3728</v>
      </c>
      <c r="ETQ611" s="17">
        <v>44925</v>
      </c>
      <c r="ETR611" s="5" t="s">
        <v>3728</v>
      </c>
      <c r="ETS611" s="17">
        <v>44925</v>
      </c>
      <c r="ETT611" s="5" t="s">
        <v>3728</v>
      </c>
      <c r="ETU611" s="17">
        <v>44925</v>
      </c>
      <c r="ETV611" s="5" t="s">
        <v>3728</v>
      </c>
      <c r="ETW611" s="17">
        <v>44925</v>
      </c>
      <c r="ETX611" s="5" t="s">
        <v>3728</v>
      </c>
      <c r="ETY611" s="17">
        <v>44925</v>
      </c>
      <c r="ETZ611" s="5" t="s">
        <v>3728</v>
      </c>
      <c r="EUA611" s="17">
        <v>44925</v>
      </c>
      <c r="EUB611" s="5" t="s">
        <v>3728</v>
      </c>
      <c r="EUC611" s="17">
        <v>44925</v>
      </c>
      <c r="EUD611" s="5" t="s">
        <v>3728</v>
      </c>
      <c r="EUE611" s="17">
        <v>44925</v>
      </c>
      <c r="EUF611" s="5" t="s">
        <v>3728</v>
      </c>
      <c r="EUG611" s="17">
        <v>44925</v>
      </c>
      <c r="EUH611" s="5" t="s">
        <v>3728</v>
      </c>
      <c r="EUI611" s="17">
        <v>44925</v>
      </c>
      <c r="EUJ611" s="5" t="s">
        <v>3728</v>
      </c>
      <c r="EUK611" s="17">
        <v>44925</v>
      </c>
      <c r="EUL611" s="5" t="s">
        <v>3728</v>
      </c>
      <c r="EUM611" s="17">
        <v>44925</v>
      </c>
      <c r="EUN611" s="5" t="s">
        <v>3728</v>
      </c>
      <c r="EUO611" s="17">
        <v>44925</v>
      </c>
      <c r="EUP611" s="5" t="s">
        <v>3728</v>
      </c>
      <c r="EUQ611" s="17">
        <v>44925</v>
      </c>
      <c r="EUR611" s="5" t="s">
        <v>3728</v>
      </c>
      <c r="EUS611" s="17">
        <v>44925</v>
      </c>
      <c r="EUT611" s="5" t="s">
        <v>3728</v>
      </c>
      <c r="EUU611" s="17">
        <v>44925</v>
      </c>
      <c r="EUV611" s="5" t="s">
        <v>3728</v>
      </c>
      <c r="EUW611" s="17">
        <v>44925</v>
      </c>
      <c r="EUX611" s="5" t="s">
        <v>3728</v>
      </c>
      <c r="EUY611" s="17">
        <v>44925</v>
      </c>
      <c r="EUZ611" s="5" t="s">
        <v>3728</v>
      </c>
      <c r="EVA611" s="17">
        <v>44925</v>
      </c>
      <c r="EVB611" s="5" t="s">
        <v>3728</v>
      </c>
      <c r="EVC611" s="17">
        <v>44925</v>
      </c>
      <c r="EVD611" s="5" t="s">
        <v>3728</v>
      </c>
      <c r="EVE611" s="17">
        <v>44925</v>
      </c>
      <c r="EVF611" s="5" t="s">
        <v>3728</v>
      </c>
      <c r="EVG611" s="17">
        <v>44925</v>
      </c>
      <c r="EVH611" s="5" t="s">
        <v>3728</v>
      </c>
      <c r="EVI611" s="17">
        <v>44925</v>
      </c>
      <c r="EVJ611" s="5" t="s">
        <v>3728</v>
      </c>
      <c r="EVK611" s="17">
        <v>44925</v>
      </c>
      <c r="EVL611" s="5" t="s">
        <v>3728</v>
      </c>
      <c r="EVM611" s="17">
        <v>44925</v>
      </c>
      <c r="EVN611" s="5" t="s">
        <v>3728</v>
      </c>
      <c r="EVO611" s="17">
        <v>44925</v>
      </c>
      <c r="EVP611" s="5" t="s">
        <v>3728</v>
      </c>
      <c r="EVQ611" s="17">
        <v>44925</v>
      </c>
      <c r="EVR611" s="5" t="s">
        <v>3728</v>
      </c>
      <c r="EVS611" s="17">
        <v>44925</v>
      </c>
      <c r="EVT611" s="5" t="s">
        <v>3728</v>
      </c>
      <c r="EVU611" s="17">
        <v>44925</v>
      </c>
      <c r="EVV611" s="5" t="s">
        <v>3728</v>
      </c>
      <c r="EVW611" s="17">
        <v>44925</v>
      </c>
      <c r="EVX611" s="5" t="s">
        <v>3728</v>
      </c>
      <c r="EVY611" s="17">
        <v>44925</v>
      </c>
      <c r="EVZ611" s="5" t="s">
        <v>3728</v>
      </c>
      <c r="EWA611" s="17">
        <v>44925</v>
      </c>
      <c r="EWB611" s="5" t="s">
        <v>3728</v>
      </c>
      <c r="EWC611" s="17">
        <v>44925</v>
      </c>
      <c r="EWD611" s="5" t="s">
        <v>3728</v>
      </c>
      <c r="EWE611" s="17">
        <v>44925</v>
      </c>
      <c r="EWF611" s="5" t="s">
        <v>3728</v>
      </c>
      <c r="EWG611" s="17">
        <v>44925</v>
      </c>
      <c r="EWH611" s="5" t="s">
        <v>3728</v>
      </c>
      <c r="EWI611" s="17">
        <v>44925</v>
      </c>
      <c r="EWJ611" s="5" t="s">
        <v>3728</v>
      </c>
      <c r="EWK611" s="17">
        <v>44925</v>
      </c>
      <c r="EWL611" s="5" t="s">
        <v>3728</v>
      </c>
      <c r="EWM611" s="17">
        <v>44925</v>
      </c>
      <c r="EWN611" s="5" t="s">
        <v>3728</v>
      </c>
      <c r="EWO611" s="17">
        <v>44925</v>
      </c>
      <c r="EWP611" s="5" t="s">
        <v>3728</v>
      </c>
      <c r="EWQ611" s="17">
        <v>44925</v>
      </c>
      <c r="EWR611" s="5" t="s">
        <v>3728</v>
      </c>
      <c r="EWS611" s="17">
        <v>44925</v>
      </c>
      <c r="EWT611" s="5" t="s">
        <v>3728</v>
      </c>
      <c r="EWU611" s="17">
        <v>44925</v>
      </c>
      <c r="EWV611" s="5" t="s">
        <v>3728</v>
      </c>
      <c r="EWW611" s="17">
        <v>44925</v>
      </c>
      <c r="EWX611" s="5" t="s">
        <v>3728</v>
      </c>
      <c r="EWY611" s="17">
        <v>44925</v>
      </c>
      <c r="EWZ611" s="5" t="s">
        <v>3728</v>
      </c>
      <c r="EXA611" s="17">
        <v>44925</v>
      </c>
      <c r="EXB611" s="5" t="s">
        <v>3728</v>
      </c>
      <c r="EXC611" s="17">
        <v>44925</v>
      </c>
      <c r="EXD611" s="5" t="s">
        <v>3728</v>
      </c>
      <c r="EXE611" s="17">
        <v>44925</v>
      </c>
      <c r="EXF611" s="5" t="s">
        <v>3728</v>
      </c>
      <c r="EXG611" s="17">
        <v>44925</v>
      </c>
      <c r="EXH611" s="5" t="s">
        <v>3728</v>
      </c>
      <c r="EXI611" s="17">
        <v>44925</v>
      </c>
      <c r="EXJ611" s="5" t="s">
        <v>3728</v>
      </c>
      <c r="EXK611" s="17">
        <v>44925</v>
      </c>
      <c r="EXL611" s="5" t="s">
        <v>3728</v>
      </c>
      <c r="EXM611" s="17">
        <v>44925</v>
      </c>
      <c r="EXN611" s="5" t="s">
        <v>3728</v>
      </c>
      <c r="EXO611" s="17">
        <v>44925</v>
      </c>
      <c r="EXP611" s="5" t="s">
        <v>3728</v>
      </c>
      <c r="EXQ611" s="17">
        <v>44925</v>
      </c>
      <c r="EXR611" s="5" t="s">
        <v>3728</v>
      </c>
      <c r="EXS611" s="17">
        <v>44925</v>
      </c>
      <c r="EXT611" s="5" t="s">
        <v>3728</v>
      </c>
      <c r="EXU611" s="17">
        <v>44925</v>
      </c>
      <c r="EXV611" s="5" t="s">
        <v>3728</v>
      </c>
      <c r="EXW611" s="17">
        <v>44925</v>
      </c>
      <c r="EXX611" s="5" t="s">
        <v>3728</v>
      </c>
      <c r="EXY611" s="17">
        <v>44925</v>
      </c>
      <c r="EXZ611" s="5" t="s">
        <v>3728</v>
      </c>
      <c r="EYA611" s="17">
        <v>44925</v>
      </c>
      <c r="EYB611" s="5" t="s">
        <v>3728</v>
      </c>
      <c r="EYC611" s="17">
        <v>44925</v>
      </c>
      <c r="EYD611" s="5" t="s">
        <v>3728</v>
      </c>
      <c r="EYE611" s="17">
        <v>44925</v>
      </c>
      <c r="EYF611" s="5" t="s">
        <v>3728</v>
      </c>
      <c r="EYG611" s="17">
        <v>44925</v>
      </c>
      <c r="EYH611" s="5" t="s">
        <v>3728</v>
      </c>
      <c r="EYI611" s="17">
        <v>44925</v>
      </c>
      <c r="EYJ611" s="5" t="s">
        <v>3728</v>
      </c>
      <c r="EYK611" s="17">
        <v>44925</v>
      </c>
      <c r="EYL611" s="5" t="s">
        <v>3728</v>
      </c>
      <c r="EYM611" s="17">
        <v>44925</v>
      </c>
      <c r="EYN611" s="5" t="s">
        <v>3728</v>
      </c>
      <c r="EYO611" s="17">
        <v>44925</v>
      </c>
      <c r="EYP611" s="5" t="s">
        <v>3728</v>
      </c>
      <c r="EYQ611" s="17">
        <v>44925</v>
      </c>
      <c r="EYR611" s="5" t="s">
        <v>3728</v>
      </c>
      <c r="EYS611" s="17">
        <v>44925</v>
      </c>
      <c r="EYT611" s="5" t="s">
        <v>3728</v>
      </c>
      <c r="EYU611" s="17">
        <v>44925</v>
      </c>
      <c r="EYV611" s="5" t="s">
        <v>3728</v>
      </c>
      <c r="EYW611" s="17">
        <v>44925</v>
      </c>
      <c r="EYX611" s="5" t="s">
        <v>3728</v>
      </c>
      <c r="EYY611" s="17">
        <v>44925</v>
      </c>
      <c r="EYZ611" s="5" t="s">
        <v>3728</v>
      </c>
      <c r="EZA611" s="17">
        <v>44925</v>
      </c>
      <c r="EZB611" s="5" t="s">
        <v>3728</v>
      </c>
      <c r="EZC611" s="17">
        <v>44925</v>
      </c>
      <c r="EZD611" s="5" t="s">
        <v>3728</v>
      </c>
      <c r="EZE611" s="17">
        <v>44925</v>
      </c>
      <c r="EZF611" s="5" t="s">
        <v>3728</v>
      </c>
      <c r="EZG611" s="17">
        <v>44925</v>
      </c>
      <c r="EZH611" s="5" t="s">
        <v>3728</v>
      </c>
      <c r="EZI611" s="17">
        <v>44925</v>
      </c>
      <c r="EZJ611" s="5" t="s">
        <v>3728</v>
      </c>
      <c r="EZK611" s="17">
        <v>44925</v>
      </c>
      <c r="EZL611" s="5" t="s">
        <v>3728</v>
      </c>
      <c r="EZM611" s="17">
        <v>44925</v>
      </c>
      <c r="EZN611" s="5" t="s">
        <v>3728</v>
      </c>
      <c r="EZO611" s="17">
        <v>44925</v>
      </c>
      <c r="EZP611" s="5" t="s">
        <v>3728</v>
      </c>
      <c r="EZQ611" s="17">
        <v>44925</v>
      </c>
      <c r="EZR611" s="5" t="s">
        <v>3728</v>
      </c>
      <c r="EZS611" s="17">
        <v>44925</v>
      </c>
      <c r="EZT611" s="5" t="s">
        <v>3728</v>
      </c>
      <c r="EZU611" s="17">
        <v>44925</v>
      </c>
      <c r="EZV611" s="5" t="s">
        <v>3728</v>
      </c>
      <c r="EZW611" s="17">
        <v>44925</v>
      </c>
      <c r="EZX611" s="5" t="s">
        <v>3728</v>
      </c>
      <c r="EZY611" s="17">
        <v>44925</v>
      </c>
      <c r="EZZ611" s="5" t="s">
        <v>3728</v>
      </c>
      <c r="FAA611" s="17">
        <v>44925</v>
      </c>
      <c r="FAB611" s="5" t="s">
        <v>3728</v>
      </c>
      <c r="FAC611" s="17">
        <v>44925</v>
      </c>
      <c r="FAD611" s="5" t="s">
        <v>3728</v>
      </c>
      <c r="FAE611" s="17">
        <v>44925</v>
      </c>
      <c r="FAF611" s="5" t="s">
        <v>3728</v>
      </c>
      <c r="FAG611" s="17">
        <v>44925</v>
      </c>
      <c r="FAH611" s="5" t="s">
        <v>3728</v>
      </c>
      <c r="FAI611" s="17">
        <v>44925</v>
      </c>
      <c r="FAJ611" s="5" t="s">
        <v>3728</v>
      </c>
      <c r="FAK611" s="17">
        <v>44925</v>
      </c>
      <c r="FAL611" s="5" t="s">
        <v>3728</v>
      </c>
      <c r="FAM611" s="17">
        <v>44925</v>
      </c>
      <c r="FAN611" s="5" t="s">
        <v>3728</v>
      </c>
      <c r="FAO611" s="17">
        <v>44925</v>
      </c>
      <c r="FAP611" s="5" t="s">
        <v>3728</v>
      </c>
      <c r="FAQ611" s="17">
        <v>44925</v>
      </c>
      <c r="FAR611" s="5" t="s">
        <v>3728</v>
      </c>
      <c r="FAS611" s="17">
        <v>44925</v>
      </c>
      <c r="FAT611" s="5" t="s">
        <v>3728</v>
      </c>
      <c r="FAU611" s="17">
        <v>44925</v>
      </c>
      <c r="FAV611" s="5" t="s">
        <v>3728</v>
      </c>
      <c r="FAW611" s="17">
        <v>44925</v>
      </c>
      <c r="FAX611" s="5" t="s">
        <v>3728</v>
      </c>
      <c r="FAY611" s="17">
        <v>44925</v>
      </c>
      <c r="FAZ611" s="5" t="s">
        <v>3728</v>
      </c>
      <c r="FBA611" s="17">
        <v>44925</v>
      </c>
      <c r="FBB611" s="5" t="s">
        <v>3728</v>
      </c>
      <c r="FBC611" s="17">
        <v>44925</v>
      </c>
      <c r="FBD611" s="5" t="s">
        <v>3728</v>
      </c>
      <c r="FBE611" s="17">
        <v>44925</v>
      </c>
      <c r="FBF611" s="5" t="s">
        <v>3728</v>
      </c>
      <c r="FBG611" s="17">
        <v>44925</v>
      </c>
      <c r="FBH611" s="5" t="s">
        <v>3728</v>
      </c>
      <c r="FBI611" s="17">
        <v>44925</v>
      </c>
      <c r="FBJ611" s="5" t="s">
        <v>3728</v>
      </c>
      <c r="FBK611" s="17">
        <v>44925</v>
      </c>
      <c r="FBL611" s="5" t="s">
        <v>3728</v>
      </c>
      <c r="FBM611" s="17">
        <v>44925</v>
      </c>
      <c r="FBN611" s="5" t="s">
        <v>3728</v>
      </c>
      <c r="FBO611" s="17">
        <v>44925</v>
      </c>
      <c r="FBP611" s="5" t="s">
        <v>3728</v>
      </c>
      <c r="FBQ611" s="17">
        <v>44925</v>
      </c>
      <c r="FBR611" s="5" t="s">
        <v>3728</v>
      </c>
      <c r="FBS611" s="17">
        <v>44925</v>
      </c>
      <c r="FBT611" s="5" t="s">
        <v>3728</v>
      </c>
      <c r="FBU611" s="17">
        <v>44925</v>
      </c>
      <c r="FBV611" s="5" t="s">
        <v>3728</v>
      </c>
      <c r="FBW611" s="17">
        <v>44925</v>
      </c>
      <c r="FBX611" s="5" t="s">
        <v>3728</v>
      </c>
      <c r="FBY611" s="17">
        <v>44925</v>
      </c>
      <c r="FBZ611" s="5" t="s">
        <v>3728</v>
      </c>
      <c r="FCA611" s="17">
        <v>44925</v>
      </c>
      <c r="FCB611" s="5" t="s">
        <v>3728</v>
      </c>
      <c r="FCC611" s="17">
        <v>44925</v>
      </c>
      <c r="FCD611" s="5" t="s">
        <v>3728</v>
      </c>
      <c r="FCE611" s="17">
        <v>44925</v>
      </c>
      <c r="FCF611" s="5" t="s">
        <v>3728</v>
      </c>
      <c r="FCG611" s="17">
        <v>44925</v>
      </c>
      <c r="FCH611" s="5" t="s">
        <v>3728</v>
      </c>
      <c r="FCI611" s="17">
        <v>44925</v>
      </c>
      <c r="FCJ611" s="5" t="s">
        <v>3728</v>
      </c>
      <c r="FCK611" s="17">
        <v>44925</v>
      </c>
      <c r="FCL611" s="5" t="s">
        <v>3728</v>
      </c>
      <c r="FCM611" s="17">
        <v>44925</v>
      </c>
      <c r="FCN611" s="5" t="s">
        <v>3728</v>
      </c>
      <c r="FCO611" s="17">
        <v>44925</v>
      </c>
      <c r="FCP611" s="5" t="s">
        <v>3728</v>
      </c>
      <c r="FCQ611" s="17">
        <v>44925</v>
      </c>
      <c r="FCR611" s="5" t="s">
        <v>3728</v>
      </c>
      <c r="FCS611" s="17">
        <v>44925</v>
      </c>
      <c r="FCT611" s="5" t="s">
        <v>3728</v>
      </c>
      <c r="FCU611" s="17">
        <v>44925</v>
      </c>
      <c r="FCV611" s="5" t="s">
        <v>3728</v>
      </c>
      <c r="FCW611" s="17">
        <v>44925</v>
      </c>
      <c r="FCX611" s="5" t="s">
        <v>3728</v>
      </c>
      <c r="FCY611" s="17">
        <v>44925</v>
      </c>
      <c r="FCZ611" s="5" t="s">
        <v>3728</v>
      </c>
      <c r="FDA611" s="17">
        <v>44925</v>
      </c>
      <c r="FDB611" s="5" t="s">
        <v>3728</v>
      </c>
      <c r="FDC611" s="17">
        <v>44925</v>
      </c>
      <c r="FDD611" s="5" t="s">
        <v>3728</v>
      </c>
      <c r="FDE611" s="17">
        <v>44925</v>
      </c>
      <c r="FDF611" s="5" t="s">
        <v>3728</v>
      </c>
      <c r="FDG611" s="17">
        <v>44925</v>
      </c>
      <c r="FDH611" s="5" t="s">
        <v>3728</v>
      </c>
      <c r="FDI611" s="17">
        <v>44925</v>
      </c>
      <c r="FDJ611" s="5" t="s">
        <v>3728</v>
      </c>
      <c r="FDK611" s="17">
        <v>44925</v>
      </c>
      <c r="FDL611" s="5" t="s">
        <v>3728</v>
      </c>
      <c r="FDM611" s="17">
        <v>44925</v>
      </c>
      <c r="FDN611" s="5" t="s">
        <v>3728</v>
      </c>
      <c r="FDO611" s="17">
        <v>44925</v>
      </c>
      <c r="FDP611" s="5" t="s">
        <v>3728</v>
      </c>
      <c r="FDQ611" s="17">
        <v>44925</v>
      </c>
      <c r="FDR611" s="5" t="s">
        <v>3728</v>
      </c>
      <c r="FDS611" s="17">
        <v>44925</v>
      </c>
      <c r="FDT611" s="5" t="s">
        <v>3728</v>
      </c>
      <c r="FDU611" s="17">
        <v>44925</v>
      </c>
      <c r="FDV611" s="5" t="s">
        <v>3728</v>
      </c>
      <c r="FDW611" s="17">
        <v>44925</v>
      </c>
      <c r="FDX611" s="5" t="s">
        <v>3728</v>
      </c>
      <c r="FDY611" s="17">
        <v>44925</v>
      </c>
      <c r="FDZ611" s="5" t="s">
        <v>3728</v>
      </c>
      <c r="FEA611" s="17">
        <v>44925</v>
      </c>
      <c r="FEB611" s="5" t="s">
        <v>3728</v>
      </c>
      <c r="FEC611" s="17">
        <v>44925</v>
      </c>
      <c r="FED611" s="5" t="s">
        <v>3728</v>
      </c>
      <c r="FEE611" s="17">
        <v>44925</v>
      </c>
      <c r="FEF611" s="5" t="s">
        <v>3728</v>
      </c>
      <c r="FEG611" s="17">
        <v>44925</v>
      </c>
      <c r="FEH611" s="5" t="s">
        <v>3728</v>
      </c>
      <c r="FEI611" s="17">
        <v>44925</v>
      </c>
      <c r="FEJ611" s="5" t="s">
        <v>3728</v>
      </c>
      <c r="FEK611" s="17">
        <v>44925</v>
      </c>
      <c r="FEL611" s="5" t="s">
        <v>3728</v>
      </c>
      <c r="FEM611" s="17">
        <v>44925</v>
      </c>
      <c r="FEN611" s="5" t="s">
        <v>3728</v>
      </c>
      <c r="FEO611" s="17">
        <v>44925</v>
      </c>
      <c r="FEP611" s="5" t="s">
        <v>3728</v>
      </c>
      <c r="FEQ611" s="17">
        <v>44925</v>
      </c>
      <c r="FER611" s="5" t="s">
        <v>3728</v>
      </c>
      <c r="FES611" s="17">
        <v>44925</v>
      </c>
      <c r="FET611" s="5" t="s">
        <v>3728</v>
      </c>
      <c r="FEU611" s="17">
        <v>44925</v>
      </c>
      <c r="FEV611" s="5" t="s">
        <v>3728</v>
      </c>
      <c r="FEW611" s="17">
        <v>44925</v>
      </c>
      <c r="FEX611" s="5" t="s">
        <v>3728</v>
      </c>
      <c r="FEY611" s="17">
        <v>44925</v>
      </c>
      <c r="FEZ611" s="5" t="s">
        <v>3728</v>
      </c>
      <c r="FFA611" s="17">
        <v>44925</v>
      </c>
      <c r="FFB611" s="5" t="s">
        <v>3728</v>
      </c>
      <c r="FFC611" s="17">
        <v>44925</v>
      </c>
      <c r="FFD611" s="5" t="s">
        <v>3728</v>
      </c>
      <c r="FFE611" s="17">
        <v>44925</v>
      </c>
      <c r="FFF611" s="5" t="s">
        <v>3728</v>
      </c>
      <c r="FFG611" s="17">
        <v>44925</v>
      </c>
      <c r="FFH611" s="5" t="s">
        <v>3728</v>
      </c>
      <c r="FFI611" s="17">
        <v>44925</v>
      </c>
      <c r="FFJ611" s="5" t="s">
        <v>3728</v>
      </c>
      <c r="FFK611" s="17">
        <v>44925</v>
      </c>
      <c r="FFL611" s="5" t="s">
        <v>3728</v>
      </c>
      <c r="FFM611" s="17">
        <v>44925</v>
      </c>
      <c r="FFN611" s="5" t="s">
        <v>3728</v>
      </c>
      <c r="FFO611" s="17">
        <v>44925</v>
      </c>
      <c r="FFP611" s="5" t="s">
        <v>3728</v>
      </c>
      <c r="FFQ611" s="17">
        <v>44925</v>
      </c>
      <c r="FFR611" s="5" t="s">
        <v>3728</v>
      </c>
      <c r="FFS611" s="17">
        <v>44925</v>
      </c>
      <c r="FFT611" s="5" t="s">
        <v>3728</v>
      </c>
      <c r="FFU611" s="17">
        <v>44925</v>
      </c>
      <c r="FFV611" s="5" t="s">
        <v>3728</v>
      </c>
      <c r="FFW611" s="17">
        <v>44925</v>
      </c>
      <c r="FFX611" s="5" t="s">
        <v>3728</v>
      </c>
      <c r="FFY611" s="17">
        <v>44925</v>
      </c>
      <c r="FFZ611" s="5" t="s">
        <v>3728</v>
      </c>
      <c r="FGA611" s="17">
        <v>44925</v>
      </c>
      <c r="FGB611" s="5" t="s">
        <v>3728</v>
      </c>
      <c r="FGC611" s="17">
        <v>44925</v>
      </c>
      <c r="FGD611" s="5" t="s">
        <v>3728</v>
      </c>
      <c r="FGE611" s="17">
        <v>44925</v>
      </c>
      <c r="FGF611" s="5" t="s">
        <v>3728</v>
      </c>
      <c r="FGG611" s="17">
        <v>44925</v>
      </c>
      <c r="FGH611" s="5" t="s">
        <v>3728</v>
      </c>
      <c r="FGI611" s="17">
        <v>44925</v>
      </c>
      <c r="FGJ611" s="5" t="s">
        <v>3728</v>
      </c>
      <c r="FGK611" s="17">
        <v>44925</v>
      </c>
      <c r="FGL611" s="5" t="s">
        <v>3728</v>
      </c>
      <c r="FGM611" s="17">
        <v>44925</v>
      </c>
      <c r="FGN611" s="5" t="s">
        <v>3728</v>
      </c>
      <c r="FGO611" s="17">
        <v>44925</v>
      </c>
      <c r="FGP611" s="5" t="s">
        <v>3728</v>
      </c>
      <c r="FGQ611" s="17">
        <v>44925</v>
      </c>
      <c r="FGR611" s="5" t="s">
        <v>3728</v>
      </c>
      <c r="FGS611" s="17">
        <v>44925</v>
      </c>
      <c r="FGT611" s="5" t="s">
        <v>3728</v>
      </c>
      <c r="FGU611" s="17">
        <v>44925</v>
      </c>
      <c r="FGV611" s="5" t="s">
        <v>3728</v>
      </c>
      <c r="FGW611" s="17">
        <v>44925</v>
      </c>
      <c r="FGX611" s="5" t="s">
        <v>3728</v>
      </c>
      <c r="FGY611" s="17">
        <v>44925</v>
      </c>
      <c r="FGZ611" s="5" t="s">
        <v>3728</v>
      </c>
      <c r="FHA611" s="17">
        <v>44925</v>
      </c>
      <c r="FHB611" s="5" t="s">
        <v>3728</v>
      </c>
      <c r="FHC611" s="17">
        <v>44925</v>
      </c>
      <c r="FHD611" s="5" t="s">
        <v>3728</v>
      </c>
      <c r="FHE611" s="17">
        <v>44925</v>
      </c>
      <c r="FHF611" s="5" t="s">
        <v>3728</v>
      </c>
      <c r="FHG611" s="17">
        <v>44925</v>
      </c>
      <c r="FHH611" s="5" t="s">
        <v>3728</v>
      </c>
      <c r="FHI611" s="17">
        <v>44925</v>
      </c>
      <c r="FHJ611" s="5" t="s">
        <v>3728</v>
      </c>
      <c r="FHK611" s="17">
        <v>44925</v>
      </c>
      <c r="FHL611" s="5" t="s">
        <v>3728</v>
      </c>
      <c r="FHM611" s="17">
        <v>44925</v>
      </c>
      <c r="FHN611" s="5" t="s">
        <v>3728</v>
      </c>
      <c r="FHO611" s="17">
        <v>44925</v>
      </c>
      <c r="FHP611" s="5" t="s">
        <v>3728</v>
      </c>
      <c r="FHQ611" s="17">
        <v>44925</v>
      </c>
      <c r="FHR611" s="5" t="s">
        <v>3728</v>
      </c>
      <c r="FHS611" s="17">
        <v>44925</v>
      </c>
      <c r="FHT611" s="5" t="s">
        <v>3728</v>
      </c>
      <c r="FHU611" s="17">
        <v>44925</v>
      </c>
      <c r="FHV611" s="5" t="s">
        <v>3728</v>
      </c>
      <c r="FHW611" s="17">
        <v>44925</v>
      </c>
      <c r="FHX611" s="5" t="s">
        <v>3728</v>
      </c>
      <c r="FHY611" s="17">
        <v>44925</v>
      </c>
      <c r="FHZ611" s="5" t="s">
        <v>3728</v>
      </c>
      <c r="FIA611" s="17">
        <v>44925</v>
      </c>
      <c r="FIB611" s="5" t="s">
        <v>3728</v>
      </c>
      <c r="FIC611" s="17">
        <v>44925</v>
      </c>
      <c r="FID611" s="5" t="s">
        <v>3728</v>
      </c>
      <c r="FIE611" s="17">
        <v>44925</v>
      </c>
      <c r="FIF611" s="5" t="s">
        <v>3728</v>
      </c>
      <c r="FIG611" s="17">
        <v>44925</v>
      </c>
      <c r="FIH611" s="5" t="s">
        <v>3728</v>
      </c>
      <c r="FII611" s="17">
        <v>44925</v>
      </c>
      <c r="FIJ611" s="5" t="s">
        <v>3728</v>
      </c>
      <c r="FIK611" s="17">
        <v>44925</v>
      </c>
      <c r="FIL611" s="5" t="s">
        <v>3728</v>
      </c>
      <c r="FIM611" s="17">
        <v>44925</v>
      </c>
      <c r="FIN611" s="5" t="s">
        <v>3728</v>
      </c>
      <c r="FIO611" s="17">
        <v>44925</v>
      </c>
      <c r="FIP611" s="5" t="s">
        <v>3728</v>
      </c>
      <c r="FIQ611" s="17">
        <v>44925</v>
      </c>
      <c r="FIR611" s="5" t="s">
        <v>3728</v>
      </c>
      <c r="FIS611" s="17">
        <v>44925</v>
      </c>
      <c r="FIT611" s="5" t="s">
        <v>3728</v>
      </c>
      <c r="FIU611" s="17">
        <v>44925</v>
      </c>
      <c r="FIV611" s="5" t="s">
        <v>3728</v>
      </c>
      <c r="FIW611" s="17">
        <v>44925</v>
      </c>
      <c r="FIX611" s="5" t="s">
        <v>3728</v>
      </c>
      <c r="FIY611" s="17">
        <v>44925</v>
      </c>
      <c r="FIZ611" s="5" t="s">
        <v>3728</v>
      </c>
      <c r="FJA611" s="17">
        <v>44925</v>
      </c>
      <c r="FJB611" s="5" t="s">
        <v>3728</v>
      </c>
      <c r="FJC611" s="17">
        <v>44925</v>
      </c>
      <c r="FJD611" s="5" t="s">
        <v>3728</v>
      </c>
      <c r="FJE611" s="17">
        <v>44925</v>
      </c>
      <c r="FJF611" s="5" t="s">
        <v>3728</v>
      </c>
      <c r="FJG611" s="17">
        <v>44925</v>
      </c>
      <c r="FJH611" s="5" t="s">
        <v>3728</v>
      </c>
      <c r="FJI611" s="17">
        <v>44925</v>
      </c>
      <c r="FJJ611" s="5" t="s">
        <v>3728</v>
      </c>
      <c r="FJK611" s="17">
        <v>44925</v>
      </c>
      <c r="FJL611" s="5" t="s">
        <v>3728</v>
      </c>
      <c r="FJM611" s="17">
        <v>44925</v>
      </c>
      <c r="FJN611" s="5" t="s">
        <v>3728</v>
      </c>
      <c r="FJO611" s="17">
        <v>44925</v>
      </c>
      <c r="FJP611" s="5" t="s">
        <v>3728</v>
      </c>
      <c r="FJQ611" s="17">
        <v>44925</v>
      </c>
      <c r="FJR611" s="5" t="s">
        <v>3728</v>
      </c>
      <c r="FJS611" s="17">
        <v>44925</v>
      </c>
      <c r="FJT611" s="5" t="s">
        <v>3728</v>
      </c>
      <c r="FJU611" s="17">
        <v>44925</v>
      </c>
      <c r="FJV611" s="5" t="s">
        <v>3728</v>
      </c>
      <c r="FJW611" s="17">
        <v>44925</v>
      </c>
      <c r="FJX611" s="5" t="s">
        <v>3728</v>
      </c>
      <c r="FJY611" s="17">
        <v>44925</v>
      </c>
      <c r="FJZ611" s="5" t="s">
        <v>3728</v>
      </c>
      <c r="FKA611" s="17">
        <v>44925</v>
      </c>
      <c r="FKB611" s="5" t="s">
        <v>3728</v>
      </c>
      <c r="FKC611" s="17">
        <v>44925</v>
      </c>
      <c r="FKD611" s="5" t="s">
        <v>3728</v>
      </c>
      <c r="FKE611" s="17">
        <v>44925</v>
      </c>
      <c r="FKF611" s="5" t="s">
        <v>3728</v>
      </c>
      <c r="FKG611" s="17">
        <v>44925</v>
      </c>
      <c r="FKH611" s="5" t="s">
        <v>3728</v>
      </c>
      <c r="FKI611" s="17">
        <v>44925</v>
      </c>
      <c r="FKJ611" s="5" t="s">
        <v>3728</v>
      </c>
      <c r="FKK611" s="17">
        <v>44925</v>
      </c>
      <c r="FKL611" s="5" t="s">
        <v>3728</v>
      </c>
      <c r="FKM611" s="17">
        <v>44925</v>
      </c>
      <c r="FKN611" s="5" t="s">
        <v>3728</v>
      </c>
      <c r="FKO611" s="17">
        <v>44925</v>
      </c>
      <c r="FKP611" s="5" t="s">
        <v>3728</v>
      </c>
      <c r="FKQ611" s="17">
        <v>44925</v>
      </c>
      <c r="FKR611" s="5" t="s">
        <v>3728</v>
      </c>
      <c r="FKS611" s="17">
        <v>44925</v>
      </c>
      <c r="FKT611" s="5" t="s">
        <v>3728</v>
      </c>
      <c r="FKU611" s="17">
        <v>44925</v>
      </c>
      <c r="FKV611" s="5" t="s">
        <v>3728</v>
      </c>
      <c r="FKW611" s="17">
        <v>44925</v>
      </c>
      <c r="FKX611" s="5" t="s">
        <v>3728</v>
      </c>
      <c r="FKY611" s="17">
        <v>44925</v>
      </c>
      <c r="FKZ611" s="5" t="s">
        <v>3728</v>
      </c>
      <c r="FLA611" s="17">
        <v>44925</v>
      </c>
      <c r="FLB611" s="5" t="s">
        <v>3728</v>
      </c>
      <c r="FLC611" s="17">
        <v>44925</v>
      </c>
      <c r="FLD611" s="5" t="s">
        <v>3728</v>
      </c>
      <c r="FLE611" s="17">
        <v>44925</v>
      </c>
      <c r="FLF611" s="5" t="s">
        <v>3728</v>
      </c>
      <c r="FLG611" s="17">
        <v>44925</v>
      </c>
      <c r="FLH611" s="5" t="s">
        <v>3728</v>
      </c>
      <c r="FLI611" s="17">
        <v>44925</v>
      </c>
      <c r="FLJ611" s="5" t="s">
        <v>3728</v>
      </c>
      <c r="FLK611" s="17">
        <v>44925</v>
      </c>
      <c r="FLL611" s="5" t="s">
        <v>3728</v>
      </c>
      <c r="FLM611" s="17">
        <v>44925</v>
      </c>
      <c r="FLN611" s="5" t="s">
        <v>3728</v>
      </c>
      <c r="FLO611" s="17">
        <v>44925</v>
      </c>
      <c r="FLP611" s="5" t="s">
        <v>3728</v>
      </c>
      <c r="FLQ611" s="17">
        <v>44925</v>
      </c>
      <c r="FLR611" s="5" t="s">
        <v>3728</v>
      </c>
      <c r="FLS611" s="17">
        <v>44925</v>
      </c>
      <c r="FLT611" s="5" t="s">
        <v>3728</v>
      </c>
      <c r="FLU611" s="17">
        <v>44925</v>
      </c>
      <c r="FLV611" s="5" t="s">
        <v>3728</v>
      </c>
      <c r="FLW611" s="17">
        <v>44925</v>
      </c>
      <c r="FLX611" s="5" t="s">
        <v>3728</v>
      </c>
      <c r="FLY611" s="17">
        <v>44925</v>
      </c>
      <c r="FLZ611" s="5" t="s">
        <v>3728</v>
      </c>
      <c r="FMA611" s="17">
        <v>44925</v>
      </c>
      <c r="FMB611" s="5" t="s">
        <v>3728</v>
      </c>
      <c r="FMC611" s="17">
        <v>44925</v>
      </c>
      <c r="FMD611" s="5" t="s">
        <v>3728</v>
      </c>
      <c r="FME611" s="17">
        <v>44925</v>
      </c>
      <c r="FMF611" s="5" t="s">
        <v>3728</v>
      </c>
      <c r="FMG611" s="17">
        <v>44925</v>
      </c>
      <c r="FMH611" s="5" t="s">
        <v>3728</v>
      </c>
      <c r="FMI611" s="17">
        <v>44925</v>
      </c>
      <c r="FMJ611" s="5" t="s">
        <v>3728</v>
      </c>
      <c r="FMK611" s="17">
        <v>44925</v>
      </c>
      <c r="FML611" s="5" t="s">
        <v>3728</v>
      </c>
      <c r="FMM611" s="17">
        <v>44925</v>
      </c>
      <c r="FMN611" s="5" t="s">
        <v>3728</v>
      </c>
      <c r="FMO611" s="17">
        <v>44925</v>
      </c>
      <c r="FMP611" s="5" t="s">
        <v>3728</v>
      </c>
      <c r="FMQ611" s="17">
        <v>44925</v>
      </c>
      <c r="FMR611" s="5" t="s">
        <v>3728</v>
      </c>
      <c r="FMS611" s="17">
        <v>44925</v>
      </c>
      <c r="FMT611" s="5" t="s">
        <v>3728</v>
      </c>
      <c r="FMU611" s="17">
        <v>44925</v>
      </c>
      <c r="FMV611" s="5" t="s">
        <v>3728</v>
      </c>
      <c r="FMW611" s="17">
        <v>44925</v>
      </c>
      <c r="FMX611" s="5" t="s">
        <v>3728</v>
      </c>
      <c r="FMY611" s="17">
        <v>44925</v>
      </c>
      <c r="FMZ611" s="5" t="s">
        <v>3728</v>
      </c>
      <c r="FNA611" s="17">
        <v>44925</v>
      </c>
      <c r="FNB611" s="5" t="s">
        <v>3728</v>
      </c>
      <c r="FNC611" s="17">
        <v>44925</v>
      </c>
      <c r="FND611" s="5" t="s">
        <v>3728</v>
      </c>
      <c r="FNE611" s="17">
        <v>44925</v>
      </c>
      <c r="FNF611" s="5" t="s">
        <v>3728</v>
      </c>
      <c r="FNG611" s="17">
        <v>44925</v>
      </c>
      <c r="FNH611" s="5" t="s">
        <v>3728</v>
      </c>
      <c r="FNI611" s="17">
        <v>44925</v>
      </c>
      <c r="FNJ611" s="5" t="s">
        <v>3728</v>
      </c>
      <c r="FNK611" s="17">
        <v>44925</v>
      </c>
      <c r="FNL611" s="5" t="s">
        <v>3728</v>
      </c>
      <c r="FNM611" s="17">
        <v>44925</v>
      </c>
      <c r="FNN611" s="5" t="s">
        <v>3728</v>
      </c>
      <c r="FNO611" s="17">
        <v>44925</v>
      </c>
      <c r="FNP611" s="5" t="s">
        <v>3728</v>
      </c>
      <c r="FNQ611" s="17">
        <v>44925</v>
      </c>
      <c r="FNR611" s="5" t="s">
        <v>3728</v>
      </c>
      <c r="FNS611" s="17">
        <v>44925</v>
      </c>
      <c r="FNT611" s="5" t="s">
        <v>3728</v>
      </c>
      <c r="FNU611" s="17">
        <v>44925</v>
      </c>
      <c r="FNV611" s="5" t="s">
        <v>3728</v>
      </c>
      <c r="FNW611" s="17">
        <v>44925</v>
      </c>
      <c r="FNX611" s="5" t="s">
        <v>3728</v>
      </c>
      <c r="FNY611" s="17">
        <v>44925</v>
      </c>
      <c r="FNZ611" s="5" t="s">
        <v>3728</v>
      </c>
      <c r="FOA611" s="17">
        <v>44925</v>
      </c>
      <c r="FOB611" s="5" t="s">
        <v>3728</v>
      </c>
      <c r="FOC611" s="17">
        <v>44925</v>
      </c>
      <c r="FOD611" s="5" t="s">
        <v>3728</v>
      </c>
      <c r="FOE611" s="17">
        <v>44925</v>
      </c>
      <c r="FOF611" s="5" t="s">
        <v>3728</v>
      </c>
      <c r="FOG611" s="17">
        <v>44925</v>
      </c>
      <c r="FOH611" s="5" t="s">
        <v>3728</v>
      </c>
      <c r="FOI611" s="17">
        <v>44925</v>
      </c>
      <c r="FOJ611" s="5" t="s">
        <v>3728</v>
      </c>
      <c r="FOK611" s="17">
        <v>44925</v>
      </c>
      <c r="FOL611" s="5" t="s">
        <v>3728</v>
      </c>
      <c r="FOM611" s="17">
        <v>44925</v>
      </c>
      <c r="FON611" s="5" t="s">
        <v>3728</v>
      </c>
      <c r="FOO611" s="17">
        <v>44925</v>
      </c>
      <c r="FOP611" s="5" t="s">
        <v>3728</v>
      </c>
      <c r="FOQ611" s="17">
        <v>44925</v>
      </c>
      <c r="FOR611" s="5" t="s">
        <v>3728</v>
      </c>
      <c r="FOS611" s="17">
        <v>44925</v>
      </c>
      <c r="FOT611" s="5" t="s">
        <v>3728</v>
      </c>
      <c r="FOU611" s="17">
        <v>44925</v>
      </c>
      <c r="FOV611" s="5" t="s">
        <v>3728</v>
      </c>
      <c r="FOW611" s="17">
        <v>44925</v>
      </c>
      <c r="FOX611" s="5" t="s">
        <v>3728</v>
      </c>
      <c r="FOY611" s="17">
        <v>44925</v>
      </c>
      <c r="FOZ611" s="5" t="s">
        <v>3728</v>
      </c>
      <c r="FPA611" s="17">
        <v>44925</v>
      </c>
      <c r="FPB611" s="5" t="s">
        <v>3728</v>
      </c>
      <c r="FPC611" s="17">
        <v>44925</v>
      </c>
      <c r="FPD611" s="5" t="s">
        <v>3728</v>
      </c>
      <c r="FPE611" s="17">
        <v>44925</v>
      </c>
      <c r="FPF611" s="5" t="s">
        <v>3728</v>
      </c>
      <c r="FPG611" s="17">
        <v>44925</v>
      </c>
      <c r="FPH611" s="5" t="s">
        <v>3728</v>
      </c>
      <c r="FPI611" s="17">
        <v>44925</v>
      </c>
      <c r="FPJ611" s="5" t="s">
        <v>3728</v>
      </c>
      <c r="FPK611" s="17">
        <v>44925</v>
      </c>
      <c r="FPL611" s="5" t="s">
        <v>3728</v>
      </c>
      <c r="FPM611" s="17">
        <v>44925</v>
      </c>
      <c r="FPN611" s="5" t="s">
        <v>3728</v>
      </c>
      <c r="FPO611" s="17">
        <v>44925</v>
      </c>
      <c r="FPP611" s="5" t="s">
        <v>3728</v>
      </c>
      <c r="FPQ611" s="17">
        <v>44925</v>
      </c>
      <c r="FPR611" s="5" t="s">
        <v>3728</v>
      </c>
      <c r="FPS611" s="17">
        <v>44925</v>
      </c>
      <c r="FPT611" s="5" t="s">
        <v>3728</v>
      </c>
      <c r="FPU611" s="17">
        <v>44925</v>
      </c>
      <c r="FPV611" s="5" t="s">
        <v>3728</v>
      </c>
      <c r="FPW611" s="17">
        <v>44925</v>
      </c>
      <c r="FPX611" s="5" t="s">
        <v>3728</v>
      </c>
      <c r="FPY611" s="17">
        <v>44925</v>
      </c>
      <c r="FPZ611" s="5" t="s">
        <v>3728</v>
      </c>
      <c r="FQA611" s="17">
        <v>44925</v>
      </c>
      <c r="FQB611" s="5" t="s">
        <v>3728</v>
      </c>
      <c r="FQC611" s="17">
        <v>44925</v>
      </c>
      <c r="FQD611" s="5" t="s">
        <v>3728</v>
      </c>
      <c r="FQE611" s="17">
        <v>44925</v>
      </c>
      <c r="FQF611" s="5" t="s">
        <v>3728</v>
      </c>
      <c r="FQG611" s="17">
        <v>44925</v>
      </c>
      <c r="FQH611" s="5" t="s">
        <v>3728</v>
      </c>
      <c r="FQI611" s="17">
        <v>44925</v>
      </c>
      <c r="FQJ611" s="5" t="s">
        <v>3728</v>
      </c>
      <c r="FQK611" s="17">
        <v>44925</v>
      </c>
      <c r="FQL611" s="5" t="s">
        <v>3728</v>
      </c>
      <c r="FQM611" s="17">
        <v>44925</v>
      </c>
      <c r="FQN611" s="5" t="s">
        <v>3728</v>
      </c>
      <c r="FQO611" s="17">
        <v>44925</v>
      </c>
      <c r="FQP611" s="5" t="s">
        <v>3728</v>
      </c>
      <c r="FQQ611" s="17">
        <v>44925</v>
      </c>
      <c r="FQR611" s="5" t="s">
        <v>3728</v>
      </c>
      <c r="FQS611" s="17">
        <v>44925</v>
      </c>
      <c r="FQT611" s="5" t="s">
        <v>3728</v>
      </c>
      <c r="FQU611" s="17">
        <v>44925</v>
      </c>
      <c r="FQV611" s="5" t="s">
        <v>3728</v>
      </c>
      <c r="FQW611" s="17">
        <v>44925</v>
      </c>
      <c r="FQX611" s="5" t="s">
        <v>3728</v>
      </c>
      <c r="FQY611" s="17">
        <v>44925</v>
      </c>
      <c r="FQZ611" s="5" t="s">
        <v>3728</v>
      </c>
      <c r="FRA611" s="17">
        <v>44925</v>
      </c>
      <c r="FRB611" s="5" t="s">
        <v>3728</v>
      </c>
      <c r="FRC611" s="17">
        <v>44925</v>
      </c>
      <c r="FRD611" s="5" t="s">
        <v>3728</v>
      </c>
      <c r="FRE611" s="17">
        <v>44925</v>
      </c>
      <c r="FRF611" s="5" t="s">
        <v>3728</v>
      </c>
      <c r="FRG611" s="17">
        <v>44925</v>
      </c>
      <c r="FRH611" s="5" t="s">
        <v>3728</v>
      </c>
      <c r="FRI611" s="17">
        <v>44925</v>
      </c>
      <c r="FRJ611" s="5" t="s">
        <v>3728</v>
      </c>
      <c r="FRK611" s="17">
        <v>44925</v>
      </c>
      <c r="FRL611" s="5" t="s">
        <v>3728</v>
      </c>
      <c r="FRM611" s="17">
        <v>44925</v>
      </c>
      <c r="FRN611" s="5" t="s">
        <v>3728</v>
      </c>
      <c r="FRO611" s="17">
        <v>44925</v>
      </c>
      <c r="FRP611" s="5" t="s">
        <v>3728</v>
      </c>
      <c r="FRQ611" s="17">
        <v>44925</v>
      </c>
      <c r="FRR611" s="5" t="s">
        <v>3728</v>
      </c>
      <c r="FRS611" s="17">
        <v>44925</v>
      </c>
      <c r="FRT611" s="5" t="s">
        <v>3728</v>
      </c>
      <c r="FRU611" s="17">
        <v>44925</v>
      </c>
      <c r="FRV611" s="5" t="s">
        <v>3728</v>
      </c>
      <c r="FRW611" s="17">
        <v>44925</v>
      </c>
      <c r="FRX611" s="5" t="s">
        <v>3728</v>
      </c>
      <c r="FRY611" s="17">
        <v>44925</v>
      </c>
      <c r="FRZ611" s="5" t="s">
        <v>3728</v>
      </c>
      <c r="FSA611" s="17">
        <v>44925</v>
      </c>
      <c r="FSB611" s="5" t="s">
        <v>3728</v>
      </c>
      <c r="FSC611" s="17">
        <v>44925</v>
      </c>
      <c r="FSD611" s="5" t="s">
        <v>3728</v>
      </c>
      <c r="FSE611" s="17">
        <v>44925</v>
      </c>
      <c r="FSF611" s="5" t="s">
        <v>3728</v>
      </c>
      <c r="FSG611" s="17">
        <v>44925</v>
      </c>
      <c r="FSH611" s="5" t="s">
        <v>3728</v>
      </c>
      <c r="FSI611" s="17">
        <v>44925</v>
      </c>
      <c r="FSJ611" s="5" t="s">
        <v>3728</v>
      </c>
      <c r="FSK611" s="17">
        <v>44925</v>
      </c>
      <c r="FSL611" s="5" t="s">
        <v>3728</v>
      </c>
      <c r="FSM611" s="17">
        <v>44925</v>
      </c>
      <c r="FSN611" s="5" t="s">
        <v>3728</v>
      </c>
      <c r="FSO611" s="17">
        <v>44925</v>
      </c>
      <c r="FSP611" s="5" t="s">
        <v>3728</v>
      </c>
      <c r="FSQ611" s="17">
        <v>44925</v>
      </c>
      <c r="FSR611" s="5" t="s">
        <v>3728</v>
      </c>
      <c r="FSS611" s="17">
        <v>44925</v>
      </c>
      <c r="FST611" s="5" t="s">
        <v>3728</v>
      </c>
      <c r="FSU611" s="17">
        <v>44925</v>
      </c>
      <c r="FSV611" s="5" t="s">
        <v>3728</v>
      </c>
      <c r="FSW611" s="17">
        <v>44925</v>
      </c>
      <c r="FSX611" s="5" t="s">
        <v>3728</v>
      </c>
      <c r="FSY611" s="17">
        <v>44925</v>
      </c>
      <c r="FSZ611" s="5" t="s">
        <v>3728</v>
      </c>
      <c r="FTA611" s="17">
        <v>44925</v>
      </c>
      <c r="FTB611" s="5" t="s">
        <v>3728</v>
      </c>
      <c r="FTC611" s="17">
        <v>44925</v>
      </c>
      <c r="FTD611" s="5" t="s">
        <v>3728</v>
      </c>
      <c r="FTE611" s="17">
        <v>44925</v>
      </c>
      <c r="FTF611" s="5" t="s">
        <v>3728</v>
      </c>
      <c r="FTG611" s="17">
        <v>44925</v>
      </c>
      <c r="FTH611" s="5" t="s">
        <v>3728</v>
      </c>
      <c r="FTI611" s="17">
        <v>44925</v>
      </c>
      <c r="FTJ611" s="5" t="s">
        <v>3728</v>
      </c>
      <c r="FTK611" s="17">
        <v>44925</v>
      </c>
      <c r="FTL611" s="5" t="s">
        <v>3728</v>
      </c>
      <c r="FTM611" s="17">
        <v>44925</v>
      </c>
      <c r="FTN611" s="5" t="s">
        <v>3728</v>
      </c>
      <c r="FTO611" s="17">
        <v>44925</v>
      </c>
      <c r="FTP611" s="5" t="s">
        <v>3728</v>
      </c>
      <c r="FTQ611" s="17">
        <v>44925</v>
      </c>
      <c r="FTR611" s="5" t="s">
        <v>3728</v>
      </c>
      <c r="FTS611" s="17">
        <v>44925</v>
      </c>
      <c r="FTT611" s="5" t="s">
        <v>3728</v>
      </c>
      <c r="FTU611" s="17">
        <v>44925</v>
      </c>
      <c r="FTV611" s="5" t="s">
        <v>3728</v>
      </c>
      <c r="FTW611" s="17">
        <v>44925</v>
      </c>
      <c r="FTX611" s="5" t="s">
        <v>3728</v>
      </c>
      <c r="FTY611" s="17">
        <v>44925</v>
      </c>
      <c r="FTZ611" s="5" t="s">
        <v>3728</v>
      </c>
      <c r="FUA611" s="17">
        <v>44925</v>
      </c>
      <c r="FUB611" s="5" t="s">
        <v>3728</v>
      </c>
      <c r="FUC611" s="17">
        <v>44925</v>
      </c>
      <c r="FUD611" s="5" t="s">
        <v>3728</v>
      </c>
      <c r="FUE611" s="17">
        <v>44925</v>
      </c>
      <c r="FUF611" s="5" t="s">
        <v>3728</v>
      </c>
      <c r="FUG611" s="17">
        <v>44925</v>
      </c>
      <c r="FUH611" s="5" t="s">
        <v>3728</v>
      </c>
      <c r="FUI611" s="17">
        <v>44925</v>
      </c>
      <c r="FUJ611" s="5" t="s">
        <v>3728</v>
      </c>
      <c r="FUK611" s="17">
        <v>44925</v>
      </c>
      <c r="FUL611" s="5" t="s">
        <v>3728</v>
      </c>
      <c r="FUM611" s="17">
        <v>44925</v>
      </c>
      <c r="FUN611" s="5" t="s">
        <v>3728</v>
      </c>
      <c r="FUO611" s="17">
        <v>44925</v>
      </c>
      <c r="FUP611" s="5" t="s">
        <v>3728</v>
      </c>
      <c r="FUQ611" s="17">
        <v>44925</v>
      </c>
      <c r="FUR611" s="5" t="s">
        <v>3728</v>
      </c>
      <c r="FUS611" s="17">
        <v>44925</v>
      </c>
      <c r="FUT611" s="5" t="s">
        <v>3728</v>
      </c>
      <c r="FUU611" s="17">
        <v>44925</v>
      </c>
      <c r="FUV611" s="5" t="s">
        <v>3728</v>
      </c>
      <c r="FUW611" s="17">
        <v>44925</v>
      </c>
      <c r="FUX611" s="5" t="s">
        <v>3728</v>
      </c>
      <c r="FUY611" s="17">
        <v>44925</v>
      </c>
      <c r="FUZ611" s="5" t="s">
        <v>3728</v>
      </c>
      <c r="FVA611" s="17">
        <v>44925</v>
      </c>
      <c r="FVB611" s="5" t="s">
        <v>3728</v>
      </c>
      <c r="FVC611" s="17">
        <v>44925</v>
      </c>
      <c r="FVD611" s="5" t="s">
        <v>3728</v>
      </c>
      <c r="FVE611" s="17">
        <v>44925</v>
      </c>
      <c r="FVF611" s="5" t="s">
        <v>3728</v>
      </c>
      <c r="FVG611" s="17">
        <v>44925</v>
      </c>
      <c r="FVH611" s="5" t="s">
        <v>3728</v>
      </c>
      <c r="FVI611" s="17">
        <v>44925</v>
      </c>
      <c r="FVJ611" s="5" t="s">
        <v>3728</v>
      </c>
      <c r="FVK611" s="17">
        <v>44925</v>
      </c>
      <c r="FVL611" s="5" t="s">
        <v>3728</v>
      </c>
      <c r="FVM611" s="17">
        <v>44925</v>
      </c>
      <c r="FVN611" s="5" t="s">
        <v>3728</v>
      </c>
      <c r="FVO611" s="17">
        <v>44925</v>
      </c>
      <c r="FVP611" s="5" t="s">
        <v>3728</v>
      </c>
      <c r="FVQ611" s="17">
        <v>44925</v>
      </c>
      <c r="FVR611" s="5" t="s">
        <v>3728</v>
      </c>
      <c r="FVS611" s="17">
        <v>44925</v>
      </c>
      <c r="FVT611" s="5" t="s">
        <v>3728</v>
      </c>
      <c r="FVU611" s="17">
        <v>44925</v>
      </c>
      <c r="FVV611" s="5" t="s">
        <v>3728</v>
      </c>
      <c r="FVW611" s="17">
        <v>44925</v>
      </c>
      <c r="FVX611" s="5" t="s">
        <v>3728</v>
      </c>
      <c r="FVY611" s="17">
        <v>44925</v>
      </c>
      <c r="FVZ611" s="5" t="s">
        <v>3728</v>
      </c>
      <c r="FWA611" s="17">
        <v>44925</v>
      </c>
      <c r="FWB611" s="5" t="s">
        <v>3728</v>
      </c>
      <c r="FWC611" s="17">
        <v>44925</v>
      </c>
      <c r="FWD611" s="5" t="s">
        <v>3728</v>
      </c>
      <c r="FWE611" s="17">
        <v>44925</v>
      </c>
      <c r="FWF611" s="5" t="s">
        <v>3728</v>
      </c>
      <c r="FWG611" s="17">
        <v>44925</v>
      </c>
      <c r="FWH611" s="5" t="s">
        <v>3728</v>
      </c>
      <c r="FWI611" s="17">
        <v>44925</v>
      </c>
      <c r="FWJ611" s="5" t="s">
        <v>3728</v>
      </c>
      <c r="FWK611" s="17">
        <v>44925</v>
      </c>
      <c r="FWL611" s="5" t="s">
        <v>3728</v>
      </c>
      <c r="FWM611" s="17">
        <v>44925</v>
      </c>
      <c r="FWN611" s="5" t="s">
        <v>3728</v>
      </c>
      <c r="FWO611" s="17">
        <v>44925</v>
      </c>
      <c r="FWP611" s="5" t="s">
        <v>3728</v>
      </c>
      <c r="FWQ611" s="17">
        <v>44925</v>
      </c>
      <c r="FWR611" s="5" t="s">
        <v>3728</v>
      </c>
      <c r="FWS611" s="17">
        <v>44925</v>
      </c>
      <c r="FWT611" s="5" t="s">
        <v>3728</v>
      </c>
      <c r="FWU611" s="17">
        <v>44925</v>
      </c>
      <c r="FWV611" s="5" t="s">
        <v>3728</v>
      </c>
      <c r="FWW611" s="17">
        <v>44925</v>
      </c>
      <c r="FWX611" s="5" t="s">
        <v>3728</v>
      </c>
      <c r="FWY611" s="17">
        <v>44925</v>
      </c>
      <c r="FWZ611" s="5" t="s">
        <v>3728</v>
      </c>
      <c r="FXA611" s="17">
        <v>44925</v>
      </c>
      <c r="FXB611" s="5" t="s">
        <v>3728</v>
      </c>
      <c r="FXC611" s="17">
        <v>44925</v>
      </c>
      <c r="FXD611" s="5" t="s">
        <v>3728</v>
      </c>
      <c r="FXE611" s="17">
        <v>44925</v>
      </c>
      <c r="FXF611" s="5" t="s">
        <v>3728</v>
      </c>
      <c r="FXG611" s="17">
        <v>44925</v>
      </c>
      <c r="FXH611" s="5" t="s">
        <v>3728</v>
      </c>
      <c r="FXI611" s="17">
        <v>44925</v>
      </c>
      <c r="FXJ611" s="5" t="s">
        <v>3728</v>
      </c>
      <c r="FXK611" s="17">
        <v>44925</v>
      </c>
      <c r="FXL611" s="5" t="s">
        <v>3728</v>
      </c>
      <c r="FXM611" s="17">
        <v>44925</v>
      </c>
      <c r="FXN611" s="5" t="s">
        <v>3728</v>
      </c>
      <c r="FXO611" s="17">
        <v>44925</v>
      </c>
      <c r="FXP611" s="5" t="s">
        <v>3728</v>
      </c>
      <c r="FXQ611" s="17">
        <v>44925</v>
      </c>
      <c r="FXR611" s="5" t="s">
        <v>3728</v>
      </c>
      <c r="FXS611" s="17">
        <v>44925</v>
      </c>
      <c r="FXT611" s="5" t="s">
        <v>3728</v>
      </c>
      <c r="FXU611" s="17">
        <v>44925</v>
      </c>
      <c r="FXV611" s="5" t="s">
        <v>3728</v>
      </c>
      <c r="FXW611" s="17">
        <v>44925</v>
      </c>
      <c r="FXX611" s="5" t="s">
        <v>3728</v>
      </c>
      <c r="FXY611" s="17">
        <v>44925</v>
      </c>
      <c r="FXZ611" s="5" t="s">
        <v>3728</v>
      </c>
      <c r="FYA611" s="17">
        <v>44925</v>
      </c>
      <c r="FYB611" s="5" t="s">
        <v>3728</v>
      </c>
      <c r="FYC611" s="17">
        <v>44925</v>
      </c>
      <c r="FYD611" s="5" t="s">
        <v>3728</v>
      </c>
      <c r="FYE611" s="17">
        <v>44925</v>
      </c>
      <c r="FYF611" s="5" t="s">
        <v>3728</v>
      </c>
      <c r="FYG611" s="17">
        <v>44925</v>
      </c>
      <c r="FYH611" s="5" t="s">
        <v>3728</v>
      </c>
      <c r="FYI611" s="17">
        <v>44925</v>
      </c>
      <c r="FYJ611" s="5" t="s">
        <v>3728</v>
      </c>
      <c r="FYK611" s="17">
        <v>44925</v>
      </c>
      <c r="FYL611" s="5" t="s">
        <v>3728</v>
      </c>
      <c r="FYM611" s="17">
        <v>44925</v>
      </c>
      <c r="FYN611" s="5" t="s">
        <v>3728</v>
      </c>
      <c r="FYO611" s="17">
        <v>44925</v>
      </c>
      <c r="FYP611" s="5" t="s">
        <v>3728</v>
      </c>
      <c r="FYQ611" s="17">
        <v>44925</v>
      </c>
      <c r="FYR611" s="5" t="s">
        <v>3728</v>
      </c>
      <c r="FYS611" s="17">
        <v>44925</v>
      </c>
      <c r="FYT611" s="5" t="s">
        <v>3728</v>
      </c>
      <c r="FYU611" s="17">
        <v>44925</v>
      </c>
      <c r="FYV611" s="5" t="s">
        <v>3728</v>
      </c>
      <c r="FYW611" s="17">
        <v>44925</v>
      </c>
      <c r="FYX611" s="5" t="s">
        <v>3728</v>
      </c>
      <c r="FYY611" s="17">
        <v>44925</v>
      </c>
      <c r="FYZ611" s="5" t="s">
        <v>3728</v>
      </c>
      <c r="FZA611" s="17">
        <v>44925</v>
      </c>
      <c r="FZB611" s="5" t="s">
        <v>3728</v>
      </c>
      <c r="FZC611" s="17">
        <v>44925</v>
      </c>
      <c r="FZD611" s="5" t="s">
        <v>3728</v>
      </c>
      <c r="FZE611" s="17">
        <v>44925</v>
      </c>
      <c r="FZF611" s="5" t="s">
        <v>3728</v>
      </c>
      <c r="FZG611" s="17">
        <v>44925</v>
      </c>
      <c r="FZH611" s="5" t="s">
        <v>3728</v>
      </c>
      <c r="FZI611" s="17">
        <v>44925</v>
      </c>
      <c r="FZJ611" s="5" t="s">
        <v>3728</v>
      </c>
      <c r="FZK611" s="17">
        <v>44925</v>
      </c>
      <c r="FZL611" s="5" t="s">
        <v>3728</v>
      </c>
      <c r="FZM611" s="17">
        <v>44925</v>
      </c>
      <c r="FZN611" s="5" t="s">
        <v>3728</v>
      </c>
      <c r="FZO611" s="17">
        <v>44925</v>
      </c>
      <c r="FZP611" s="5" t="s">
        <v>3728</v>
      </c>
      <c r="FZQ611" s="17">
        <v>44925</v>
      </c>
      <c r="FZR611" s="5" t="s">
        <v>3728</v>
      </c>
      <c r="FZS611" s="17">
        <v>44925</v>
      </c>
      <c r="FZT611" s="5" t="s">
        <v>3728</v>
      </c>
      <c r="FZU611" s="17">
        <v>44925</v>
      </c>
      <c r="FZV611" s="5" t="s">
        <v>3728</v>
      </c>
      <c r="FZW611" s="17">
        <v>44925</v>
      </c>
      <c r="FZX611" s="5" t="s">
        <v>3728</v>
      </c>
      <c r="FZY611" s="17">
        <v>44925</v>
      </c>
      <c r="FZZ611" s="5" t="s">
        <v>3728</v>
      </c>
      <c r="GAA611" s="17">
        <v>44925</v>
      </c>
      <c r="GAB611" s="5" t="s">
        <v>3728</v>
      </c>
      <c r="GAC611" s="17">
        <v>44925</v>
      </c>
      <c r="GAD611" s="5" t="s">
        <v>3728</v>
      </c>
      <c r="GAE611" s="17">
        <v>44925</v>
      </c>
      <c r="GAF611" s="5" t="s">
        <v>3728</v>
      </c>
      <c r="GAG611" s="17">
        <v>44925</v>
      </c>
      <c r="GAH611" s="5" t="s">
        <v>3728</v>
      </c>
      <c r="GAI611" s="17">
        <v>44925</v>
      </c>
      <c r="GAJ611" s="5" t="s">
        <v>3728</v>
      </c>
      <c r="GAK611" s="17">
        <v>44925</v>
      </c>
      <c r="GAL611" s="5" t="s">
        <v>3728</v>
      </c>
      <c r="GAM611" s="17">
        <v>44925</v>
      </c>
      <c r="GAN611" s="5" t="s">
        <v>3728</v>
      </c>
      <c r="GAO611" s="17">
        <v>44925</v>
      </c>
      <c r="GAP611" s="5" t="s">
        <v>3728</v>
      </c>
      <c r="GAQ611" s="17">
        <v>44925</v>
      </c>
      <c r="GAR611" s="5" t="s">
        <v>3728</v>
      </c>
      <c r="GAS611" s="17">
        <v>44925</v>
      </c>
      <c r="GAT611" s="5" t="s">
        <v>3728</v>
      </c>
      <c r="GAU611" s="17">
        <v>44925</v>
      </c>
      <c r="GAV611" s="5" t="s">
        <v>3728</v>
      </c>
      <c r="GAW611" s="17">
        <v>44925</v>
      </c>
      <c r="GAX611" s="5" t="s">
        <v>3728</v>
      </c>
      <c r="GAY611" s="17">
        <v>44925</v>
      </c>
      <c r="GAZ611" s="5" t="s">
        <v>3728</v>
      </c>
      <c r="GBA611" s="17">
        <v>44925</v>
      </c>
      <c r="GBB611" s="5" t="s">
        <v>3728</v>
      </c>
      <c r="GBC611" s="17">
        <v>44925</v>
      </c>
      <c r="GBD611" s="5" t="s">
        <v>3728</v>
      </c>
      <c r="GBE611" s="17">
        <v>44925</v>
      </c>
      <c r="GBF611" s="5" t="s">
        <v>3728</v>
      </c>
      <c r="GBG611" s="17">
        <v>44925</v>
      </c>
      <c r="GBH611" s="5" t="s">
        <v>3728</v>
      </c>
      <c r="GBI611" s="17">
        <v>44925</v>
      </c>
      <c r="GBJ611" s="5" t="s">
        <v>3728</v>
      </c>
      <c r="GBK611" s="17">
        <v>44925</v>
      </c>
      <c r="GBL611" s="5" t="s">
        <v>3728</v>
      </c>
      <c r="GBM611" s="17">
        <v>44925</v>
      </c>
      <c r="GBN611" s="5" t="s">
        <v>3728</v>
      </c>
      <c r="GBO611" s="17">
        <v>44925</v>
      </c>
      <c r="GBP611" s="5" t="s">
        <v>3728</v>
      </c>
      <c r="GBQ611" s="17">
        <v>44925</v>
      </c>
      <c r="GBR611" s="5" t="s">
        <v>3728</v>
      </c>
      <c r="GBS611" s="17">
        <v>44925</v>
      </c>
      <c r="GBT611" s="5" t="s">
        <v>3728</v>
      </c>
      <c r="GBU611" s="17">
        <v>44925</v>
      </c>
      <c r="GBV611" s="5" t="s">
        <v>3728</v>
      </c>
      <c r="GBW611" s="17">
        <v>44925</v>
      </c>
      <c r="GBX611" s="5" t="s">
        <v>3728</v>
      </c>
      <c r="GBY611" s="17">
        <v>44925</v>
      </c>
      <c r="GBZ611" s="5" t="s">
        <v>3728</v>
      </c>
      <c r="GCA611" s="17">
        <v>44925</v>
      </c>
      <c r="GCB611" s="5" t="s">
        <v>3728</v>
      </c>
      <c r="GCC611" s="17">
        <v>44925</v>
      </c>
      <c r="GCD611" s="5" t="s">
        <v>3728</v>
      </c>
      <c r="GCE611" s="17">
        <v>44925</v>
      </c>
      <c r="GCF611" s="5" t="s">
        <v>3728</v>
      </c>
      <c r="GCG611" s="17">
        <v>44925</v>
      </c>
      <c r="GCH611" s="5" t="s">
        <v>3728</v>
      </c>
      <c r="GCI611" s="17">
        <v>44925</v>
      </c>
      <c r="GCJ611" s="5" t="s">
        <v>3728</v>
      </c>
      <c r="GCK611" s="17">
        <v>44925</v>
      </c>
      <c r="GCL611" s="5" t="s">
        <v>3728</v>
      </c>
      <c r="GCM611" s="17">
        <v>44925</v>
      </c>
      <c r="GCN611" s="5" t="s">
        <v>3728</v>
      </c>
      <c r="GCO611" s="17">
        <v>44925</v>
      </c>
      <c r="GCP611" s="5" t="s">
        <v>3728</v>
      </c>
      <c r="GCQ611" s="17">
        <v>44925</v>
      </c>
      <c r="GCR611" s="5" t="s">
        <v>3728</v>
      </c>
      <c r="GCS611" s="17">
        <v>44925</v>
      </c>
      <c r="GCT611" s="5" t="s">
        <v>3728</v>
      </c>
      <c r="GCU611" s="17">
        <v>44925</v>
      </c>
      <c r="GCV611" s="5" t="s">
        <v>3728</v>
      </c>
      <c r="GCW611" s="17">
        <v>44925</v>
      </c>
      <c r="GCX611" s="5" t="s">
        <v>3728</v>
      </c>
      <c r="GCY611" s="17">
        <v>44925</v>
      </c>
      <c r="GCZ611" s="5" t="s">
        <v>3728</v>
      </c>
      <c r="GDA611" s="17">
        <v>44925</v>
      </c>
      <c r="GDB611" s="5" t="s">
        <v>3728</v>
      </c>
      <c r="GDC611" s="17">
        <v>44925</v>
      </c>
      <c r="GDD611" s="5" t="s">
        <v>3728</v>
      </c>
      <c r="GDE611" s="17">
        <v>44925</v>
      </c>
      <c r="GDF611" s="5" t="s">
        <v>3728</v>
      </c>
      <c r="GDG611" s="17">
        <v>44925</v>
      </c>
      <c r="GDH611" s="5" t="s">
        <v>3728</v>
      </c>
      <c r="GDI611" s="17">
        <v>44925</v>
      </c>
      <c r="GDJ611" s="5" t="s">
        <v>3728</v>
      </c>
      <c r="GDK611" s="17">
        <v>44925</v>
      </c>
      <c r="GDL611" s="5" t="s">
        <v>3728</v>
      </c>
      <c r="GDM611" s="17">
        <v>44925</v>
      </c>
      <c r="GDN611" s="5" t="s">
        <v>3728</v>
      </c>
      <c r="GDO611" s="17">
        <v>44925</v>
      </c>
      <c r="GDP611" s="5" t="s">
        <v>3728</v>
      </c>
      <c r="GDQ611" s="17">
        <v>44925</v>
      </c>
      <c r="GDR611" s="5" t="s">
        <v>3728</v>
      </c>
      <c r="GDS611" s="17">
        <v>44925</v>
      </c>
      <c r="GDT611" s="5" t="s">
        <v>3728</v>
      </c>
      <c r="GDU611" s="17">
        <v>44925</v>
      </c>
      <c r="GDV611" s="5" t="s">
        <v>3728</v>
      </c>
      <c r="GDW611" s="17">
        <v>44925</v>
      </c>
      <c r="GDX611" s="5" t="s">
        <v>3728</v>
      </c>
      <c r="GDY611" s="17">
        <v>44925</v>
      </c>
      <c r="GDZ611" s="5" t="s">
        <v>3728</v>
      </c>
      <c r="GEA611" s="17">
        <v>44925</v>
      </c>
      <c r="GEB611" s="5" t="s">
        <v>3728</v>
      </c>
      <c r="GEC611" s="17">
        <v>44925</v>
      </c>
      <c r="GED611" s="5" t="s">
        <v>3728</v>
      </c>
      <c r="GEE611" s="17">
        <v>44925</v>
      </c>
      <c r="GEF611" s="5" t="s">
        <v>3728</v>
      </c>
      <c r="GEG611" s="17">
        <v>44925</v>
      </c>
      <c r="GEH611" s="5" t="s">
        <v>3728</v>
      </c>
      <c r="GEI611" s="17">
        <v>44925</v>
      </c>
      <c r="GEJ611" s="5" t="s">
        <v>3728</v>
      </c>
      <c r="GEK611" s="17">
        <v>44925</v>
      </c>
      <c r="GEL611" s="5" t="s">
        <v>3728</v>
      </c>
      <c r="GEM611" s="17">
        <v>44925</v>
      </c>
      <c r="GEN611" s="5" t="s">
        <v>3728</v>
      </c>
      <c r="GEO611" s="17">
        <v>44925</v>
      </c>
      <c r="GEP611" s="5" t="s">
        <v>3728</v>
      </c>
      <c r="GEQ611" s="17">
        <v>44925</v>
      </c>
      <c r="GER611" s="5" t="s">
        <v>3728</v>
      </c>
      <c r="GES611" s="17">
        <v>44925</v>
      </c>
      <c r="GET611" s="5" t="s">
        <v>3728</v>
      </c>
      <c r="GEU611" s="17">
        <v>44925</v>
      </c>
      <c r="GEV611" s="5" t="s">
        <v>3728</v>
      </c>
      <c r="GEW611" s="17">
        <v>44925</v>
      </c>
      <c r="GEX611" s="5" t="s">
        <v>3728</v>
      </c>
      <c r="GEY611" s="17">
        <v>44925</v>
      </c>
      <c r="GEZ611" s="5" t="s">
        <v>3728</v>
      </c>
      <c r="GFA611" s="17">
        <v>44925</v>
      </c>
      <c r="GFB611" s="5" t="s">
        <v>3728</v>
      </c>
      <c r="GFC611" s="17">
        <v>44925</v>
      </c>
      <c r="GFD611" s="5" t="s">
        <v>3728</v>
      </c>
      <c r="GFE611" s="17">
        <v>44925</v>
      </c>
      <c r="GFF611" s="5" t="s">
        <v>3728</v>
      </c>
      <c r="GFG611" s="17">
        <v>44925</v>
      </c>
      <c r="GFH611" s="5" t="s">
        <v>3728</v>
      </c>
      <c r="GFI611" s="17">
        <v>44925</v>
      </c>
      <c r="GFJ611" s="5" t="s">
        <v>3728</v>
      </c>
      <c r="GFK611" s="17">
        <v>44925</v>
      </c>
      <c r="GFL611" s="5" t="s">
        <v>3728</v>
      </c>
      <c r="GFM611" s="17">
        <v>44925</v>
      </c>
      <c r="GFN611" s="5" t="s">
        <v>3728</v>
      </c>
      <c r="GFO611" s="17">
        <v>44925</v>
      </c>
      <c r="GFP611" s="5" t="s">
        <v>3728</v>
      </c>
      <c r="GFQ611" s="17">
        <v>44925</v>
      </c>
      <c r="GFR611" s="5" t="s">
        <v>3728</v>
      </c>
      <c r="GFS611" s="17">
        <v>44925</v>
      </c>
      <c r="GFT611" s="5" t="s">
        <v>3728</v>
      </c>
      <c r="GFU611" s="17">
        <v>44925</v>
      </c>
      <c r="GFV611" s="5" t="s">
        <v>3728</v>
      </c>
      <c r="GFW611" s="17">
        <v>44925</v>
      </c>
      <c r="GFX611" s="5" t="s">
        <v>3728</v>
      </c>
      <c r="GFY611" s="17">
        <v>44925</v>
      </c>
      <c r="GFZ611" s="5" t="s">
        <v>3728</v>
      </c>
      <c r="GGA611" s="17">
        <v>44925</v>
      </c>
      <c r="GGB611" s="5" t="s">
        <v>3728</v>
      </c>
      <c r="GGC611" s="17">
        <v>44925</v>
      </c>
      <c r="GGD611" s="5" t="s">
        <v>3728</v>
      </c>
      <c r="GGE611" s="17">
        <v>44925</v>
      </c>
      <c r="GGF611" s="5" t="s">
        <v>3728</v>
      </c>
      <c r="GGG611" s="17">
        <v>44925</v>
      </c>
      <c r="GGH611" s="5" t="s">
        <v>3728</v>
      </c>
      <c r="GGI611" s="17">
        <v>44925</v>
      </c>
      <c r="GGJ611" s="5" t="s">
        <v>3728</v>
      </c>
      <c r="GGK611" s="17">
        <v>44925</v>
      </c>
      <c r="GGL611" s="5" t="s">
        <v>3728</v>
      </c>
      <c r="GGM611" s="17">
        <v>44925</v>
      </c>
      <c r="GGN611" s="5" t="s">
        <v>3728</v>
      </c>
      <c r="GGO611" s="17">
        <v>44925</v>
      </c>
      <c r="GGP611" s="5" t="s">
        <v>3728</v>
      </c>
      <c r="GGQ611" s="17">
        <v>44925</v>
      </c>
      <c r="GGR611" s="5" t="s">
        <v>3728</v>
      </c>
      <c r="GGS611" s="17">
        <v>44925</v>
      </c>
      <c r="GGT611" s="5" t="s">
        <v>3728</v>
      </c>
      <c r="GGU611" s="17">
        <v>44925</v>
      </c>
      <c r="GGV611" s="5" t="s">
        <v>3728</v>
      </c>
      <c r="GGW611" s="17">
        <v>44925</v>
      </c>
      <c r="GGX611" s="5" t="s">
        <v>3728</v>
      </c>
      <c r="GGY611" s="17">
        <v>44925</v>
      </c>
      <c r="GGZ611" s="5" t="s">
        <v>3728</v>
      </c>
      <c r="GHA611" s="17">
        <v>44925</v>
      </c>
      <c r="GHB611" s="5" t="s">
        <v>3728</v>
      </c>
      <c r="GHC611" s="17">
        <v>44925</v>
      </c>
      <c r="GHD611" s="5" t="s">
        <v>3728</v>
      </c>
      <c r="GHE611" s="17">
        <v>44925</v>
      </c>
      <c r="GHF611" s="5" t="s">
        <v>3728</v>
      </c>
      <c r="GHG611" s="17">
        <v>44925</v>
      </c>
      <c r="GHH611" s="5" t="s">
        <v>3728</v>
      </c>
      <c r="GHI611" s="17">
        <v>44925</v>
      </c>
      <c r="GHJ611" s="5" t="s">
        <v>3728</v>
      </c>
      <c r="GHK611" s="17">
        <v>44925</v>
      </c>
      <c r="GHL611" s="5" t="s">
        <v>3728</v>
      </c>
      <c r="GHM611" s="17">
        <v>44925</v>
      </c>
      <c r="GHN611" s="5" t="s">
        <v>3728</v>
      </c>
      <c r="GHO611" s="17">
        <v>44925</v>
      </c>
      <c r="GHP611" s="5" t="s">
        <v>3728</v>
      </c>
      <c r="GHQ611" s="17">
        <v>44925</v>
      </c>
      <c r="GHR611" s="5" t="s">
        <v>3728</v>
      </c>
      <c r="GHS611" s="17">
        <v>44925</v>
      </c>
      <c r="GHT611" s="5" t="s">
        <v>3728</v>
      </c>
      <c r="GHU611" s="17">
        <v>44925</v>
      </c>
      <c r="GHV611" s="5" t="s">
        <v>3728</v>
      </c>
      <c r="GHW611" s="17">
        <v>44925</v>
      </c>
      <c r="GHX611" s="5" t="s">
        <v>3728</v>
      </c>
      <c r="GHY611" s="17">
        <v>44925</v>
      </c>
      <c r="GHZ611" s="5" t="s">
        <v>3728</v>
      </c>
      <c r="GIA611" s="17">
        <v>44925</v>
      </c>
      <c r="GIB611" s="5" t="s">
        <v>3728</v>
      </c>
      <c r="GIC611" s="17">
        <v>44925</v>
      </c>
      <c r="GID611" s="5" t="s">
        <v>3728</v>
      </c>
      <c r="GIE611" s="17">
        <v>44925</v>
      </c>
      <c r="GIF611" s="5" t="s">
        <v>3728</v>
      </c>
      <c r="GIG611" s="17">
        <v>44925</v>
      </c>
      <c r="GIH611" s="5" t="s">
        <v>3728</v>
      </c>
      <c r="GII611" s="17">
        <v>44925</v>
      </c>
      <c r="GIJ611" s="5" t="s">
        <v>3728</v>
      </c>
      <c r="GIK611" s="17">
        <v>44925</v>
      </c>
      <c r="GIL611" s="5" t="s">
        <v>3728</v>
      </c>
      <c r="GIM611" s="17">
        <v>44925</v>
      </c>
      <c r="GIN611" s="5" t="s">
        <v>3728</v>
      </c>
      <c r="GIO611" s="17">
        <v>44925</v>
      </c>
      <c r="GIP611" s="5" t="s">
        <v>3728</v>
      </c>
      <c r="GIQ611" s="17">
        <v>44925</v>
      </c>
      <c r="GIR611" s="5" t="s">
        <v>3728</v>
      </c>
      <c r="GIS611" s="17">
        <v>44925</v>
      </c>
      <c r="GIT611" s="5" t="s">
        <v>3728</v>
      </c>
      <c r="GIU611" s="17">
        <v>44925</v>
      </c>
      <c r="GIV611" s="5" t="s">
        <v>3728</v>
      </c>
      <c r="GIW611" s="17">
        <v>44925</v>
      </c>
      <c r="GIX611" s="5" t="s">
        <v>3728</v>
      </c>
      <c r="GIY611" s="17">
        <v>44925</v>
      </c>
      <c r="GIZ611" s="5" t="s">
        <v>3728</v>
      </c>
      <c r="GJA611" s="17">
        <v>44925</v>
      </c>
      <c r="GJB611" s="5" t="s">
        <v>3728</v>
      </c>
      <c r="GJC611" s="17">
        <v>44925</v>
      </c>
      <c r="GJD611" s="5" t="s">
        <v>3728</v>
      </c>
      <c r="GJE611" s="17">
        <v>44925</v>
      </c>
      <c r="GJF611" s="5" t="s">
        <v>3728</v>
      </c>
      <c r="GJG611" s="17">
        <v>44925</v>
      </c>
      <c r="GJH611" s="5" t="s">
        <v>3728</v>
      </c>
      <c r="GJI611" s="17">
        <v>44925</v>
      </c>
      <c r="GJJ611" s="5" t="s">
        <v>3728</v>
      </c>
      <c r="GJK611" s="17">
        <v>44925</v>
      </c>
      <c r="GJL611" s="5" t="s">
        <v>3728</v>
      </c>
      <c r="GJM611" s="17">
        <v>44925</v>
      </c>
      <c r="GJN611" s="5" t="s">
        <v>3728</v>
      </c>
      <c r="GJO611" s="17">
        <v>44925</v>
      </c>
      <c r="GJP611" s="5" t="s">
        <v>3728</v>
      </c>
      <c r="GJQ611" s="17">
        <v>44925</v>
      </c>
      <c r="GJR611" s="5" t="s">
        <v>3728</v>
      </c>
      <c r="GJS611" s="17">
        <v>44925</v>
      </c>
      <c r="GJT611" s="5" t="s">
        <v>3728</v>
      </c>
      <c r="GJU611" s="17">
        <v>44925</v>
      </c>
      <c r="GJV611" s="5" t="s">
        <v>3728</v>
      </c>
      <c r="GJW611" s="17">
        <v>44925</v>
      </c>
      <c r="GJX611" s="5" t="s">
        <v>3728</v>
      </c>
      <c r="GJY611" s="17">
        <v>44925</v>
      </c>
      <c r="GJZ611" s="5" t="s">
        <v>3728</v>
      </c>
      <c r="GKA611" s="17">
        <v>44925</v>
      </c>
      <c r="GKB611" s="5" t="s">
        <v>3728</v>
      </c>
      <c r="GKC611" s="17">
        <v>44925</v>
      </c>
      <c r="GKD611" s="5" t="s">
        <v>3728</v>
      </c>
      <c r="GKE611" s="17">
        <v>44925</v>
      </c>
      <c r="GKF611" s="5" t="s">
        <v>3728</v>
      </c>
      <c r="GKG611" s="17">
        <v>44925</v>
      </c>
      <c r="GKH611" s="5" t="s">
        <v>3728</v>
      </c>
      <c r="GKI611" s="17">
        <v>44925</v>
      </c>
      <c r="GKJ611" s="5" t="s">
        <v>3728</v>
      </c>
      <c r="GKK611" s="17">
        <v>44925</v>
      </c>
      <c r="GKL611" s="5" t="s">
        <v>3728</v>
      </c>
      <c r="GKM611" s="17">
        <v>44925</v>
      </c>
      <c r="GKN611" s="5" t="s">
        <v>3728</v>
      </c>
      <c r="GKO611" s="17">
        <v>44925</v>
      </c>
      <c r="GKP611" s="5" t="s">
        <v>3728</v>
      </c>
      <c r="GKQ611" s="17">
        <v>44925</v>
      </c>
      <c r="GKR611" s="5" t="s">
        <v>3728</v>
      </c>
      <c r="GKS611" s="17">
        <v>44925</v>
      </c>
      <c r="GKT611" s="5" t="s">
        <v>3728</v>
      </c>
      <c r="GKU611" s="17">
        <v>44925</v>
      </c>
      <c r="GKV611" s="5" t="s">
        <v>3728</v>
      </c>
      <c r="GKW611" s="17">
        <v>44925</v>
      </c>
      <c r="GKX611" s="5" t="s">
        <v>3728</v>
      </c>
      <c r="GKY611" s="17">
        <v>44925</v>
      </c>
      <c r="GKZ611" s="5" t="s">
        <v>3728</v>
      </c>
      <c r="GLA611" s="17">
        <v>44925</v>
      </c>
      <c r="GLB611" s="5" t="s">
        <v>3728</v>
      </c>
      <c r="GLC611" s="17">
        <v>44925</v>
      </c>
      <c r="GLD611" s="5" t="s">
        <v>3728</v>
      </c>
      <c r="GLE611" s="17">
        <v>44925</v>
      </c>
      <c r="GLF611" s="5" t="s">
        <v>3728</v>
      </c>
      <c r="GLG611" s="17">
        <v>44925</v>
      </c>
      <c r="GLH611" s="5" t="s">
        <v>3728</v>
      </c>
      <c r="GLI611" s="17">
        <v>44925</v>
      </c>
      <c r="GLJ611" s="5" t="s">
        <v>3728</v>
      </c>
      <c r="GLK611" s="17">
        <v>44925</v>
      </c>
      <c r="GLL611" s="5" t="s">
        <v>3728</v>
      </c>
      <c r="GLM611" s="17">
        <v>44925</v>
      </c>
      <c r="GLN611" s="5" t="s">
        <v>3728</v>
      </c>
      <c r="GLO611" s="17">
        <v>44925</v>
      </c>
      <c r="GLP611" s="5" t="s">
        <v>3728</v>
      </c>
      <c r="GLQ611" s="17">
        <v>44925</v>
      </c>
      <c r="GLR611" s="5" t="s">
        <v>3728</v>
      </c>
      <c r="GLS611" s="17">
        <v>44925</v>
      </c>
      <c r="GLT611" s="5" t="s">
        <v>3728</v>
      </c>
      <c r="GLU611" s="17">
        <v>44925</v>
      </c>
      <c r="GLV611" s="5" t="s">
        <v>3728</v>
      </c>
      <c r="GLW611" s="17">
        <v>44925</v>
      </c>
      <c r="GLX611" s="5" t="s">
        <v>3728</v>
      </c>
      <c r="GLY611" s="17">
        <v>44925</v>
      </c>
      <c r="GLZ611" s="5" t="s">
        <v>3728</v>
      </c>
      <c r="GMA611" s="17">
        <v>44925</v>
      </c>
      <c r="GMB611" s="5" t="s">
        <v>3728</v>
      </c>
      <c r="GMC611" s="17">
        <v>44925</v>
      </c>
      <c r="GMD611" s="5" t="s">
        <v>3728</v>
      </c>
      <c r="GME611" s="17">
        <v>44925</v>
      </c>
      <c r="GMF611" s="5" t="s">
        <v>3728</v>
      </c>
      <c r="GMG611" s="17">
        <v>44925</v>
      </c>
      <c r="GMH611" s="5" t="s">
        <v>3728</v>
      </c>
      <c r="GMI611" s="17">
        <v>44925</v>
      </c>
      <c r="GMJ611" s="5" t="s">
        <v>3728</v>
      </c>
      <c r="GMK611" s="17">
        <v>44925</v>
      </c>
      <c r="GML611" s="5" t="s">
        <v>3728</v>
      </c>
      <c r="GMM611" s="17">
        <v>44925</v>
      </c>
      <c r="GMN611" s="5" t="s">
        <v>3728</v>
      </c>
      <c r="GMO611" s="17">
        <v>44925</v>
      </c>
      <c r="GMP611" s="5" t="s">
        <v>3728</v>
      </c>
      <c r="GMQ611" s="17">
        <v>44925</v>
      </c>
      <c r="GMR611" s="5" t="s">
        <v>3728</v>
      </c>
      <c r="GMS611" s="17">
        <v>44925</v>
      </c>
      <c r="GMT611" s="5" t="s">
        <v>3728</v>
      </c>
      <c r="GMU611" s="17">
        <v>44925</v>
      </c>
      <c r="GMV611" s="5" t="s">
        <v>3728</v>
      </c>
      <c r="GMW611" s="17">
        <v>44925</v>
      </c>
      <c r="GMX611" s="5" t="s">
        <v>3728</v>
      </c>
      <c r="GMY611" s="17">
        <v>44925</v>
      </c>
      <c r="GMZ611" s="5" t="s">
        <v>3728</v>
      </c>
      <c r="GNA611" s="17">
        <v>44925</v>
      </c>
      <c r="GNB611" s="5" t="s">
        <v>3728</v>
      </c>
      <c r="GNC611" s="17">
        <v>44925</v>
      </c>
      <c r="GND611" s="5" t="s">
        <v>3728</v>
      </c>
      <c r="GNE611" s="17">
        <v>44925</v>
      </c>
      <c r="GNF611" s="5" t="s">
        <v>3728</v>
      </c>
      <c r="GNG611" s="17">
        <v>44925</v>
      </c>
      <c r="GNH611" s="5" t="s">
        <v>3728</v>
      </c>
      <c r="GNI611" s="17">
        <v>44925</v>
      </c>
      <c r="GNJ611" s="5" t="s">
        <v>3728</v>
      </c>
      <c r="GNK611" s="17">
        <v>44925</v>
      </c>
      <c r="GNL611" s="5" t="s">
        <v>3728</v>
      </c>
      <c r="GNM611" s="17">
        <v>44925</v>
      </c>
      <c r="GNN611" s="5" t="s">
        <v>3728</v>
      </c>
      <c r="GNO611" s="17">
        <v>44925</v>
      </c>
      <c r="GNP611" s="5" t="s">
        <v>3728</v>
      </c>
      <c r="GNQ611" s="17">
        <v>44925</v>
      </c>
      <c r="GNR611" s="5" t="s">
        <v>3728</v>
      </c>
      <c r="GNS611" s="17">
        <v>44925</v>
      </c>
      <c r="GNT611" s="5" t="s">
        <v>3728</v>
      </c>
      <c r="GNU611" s="17">
        <v>44925</v>
      </c>
      <c r="GNV611" s="5" t="s">
        <v>3728</v>
      </c>
      <c r="GNW611" s="17">
        <v>44925</v>
      </c>
      <c r="GNX611" s="5" t="s">
        <v>3728</v>
      </c>
      <c r="GNY611" s="17">
        <v>44925</v>
      </c>
      <c r="GNZ611" s="5" t="s">
        <v>3728</v>
      </c>
      <c r="GOA611" s="17">
        <v>44925</v>
      </c>
      <c r="GOB611" s="5" t="s">
        <v>3728</v>
      </c>
      <c r="GOC611" s="17">
        <v>44925</v>
      </c>
      <c r="GOD611" s="5" t="s">
        <v>3728</v>
      </c>
      <c r="GOE611" s="17">
        <v>44925</v>
      </c>
      <c r="GOF611" s="5" t="s">
        <v>3728</v>
      </c>
      <c r="GOG611" s="17">
        <v>44925</v>
      </c>
      <c r="GOH611" s="5" t="s">
        <v>3728</v>
      </c>
      <c r="GOI611" s="17">
        <v>44925</v>
      </c>
      <c r="GOJ611" s="5" t="s">
        <v>3728</v>
      </c>
      <c r="GOK611" s="17">
        <v>44925</v>
      </c>
      <c r="GOL611" s="5" t="s">
        <v>3728</v>
      </c>
      <c r="GOM611" s="17">
        <v>44925</v>
      </c>
      <c r="GON611" s="5" t="s">
        <v>3728</v>
      </c>
      <c r="GOO611" s="17">
        <v>44925</v>
      </c>
      <c r="GOP611" s="5" t="s">
        <v>3728</v>
      </c>
      <c r="GOQ611" s="17">
        <v>44925</v>
      </c>
      <c r="GOR611" s="5" t="s">
        <v>3728</v>
      </c>
      <c r="GOS611" s="17">
        <v>44925</v>
      </c>
      <c r="GOT611" s="5" t="s">
        <v>3728</v>
      </c>
      <c r="GOU611" s="17">
        <v>44925</v>
      </c>
      <c r="GOV611" s="5" t="s">
        <v>3728</v>
      </c>
      <c r="GOW611" s="17">
        <v>44925</v>
      </c>
      <c r="GOX611" s="5" t="s">
        <v>3728</v>
      </c>
      <c r="GOY611" s="17">
        <v>44925</v>
      </c>
      <c r="GOZ611" s="5" t="s">
        <v>3728</v>
      </c>
      <c r="GPA611" s="17">
        <v>44925</v>
      </c>
      <c r="GPB611" s="5" t="s">
        <v>3728</v>
      </c>
      <c r="GPC611" s="17">
        <v>44925</v>
      </c>
      <c r="GPD611" s="5" t="s">
        <v>3728</v>
      </c>
      <c r="GPE611" s="17">
        <v>44925</v>
      </c>
      <c r="GPF611" s="5" t="s">
        <v>3728</v>
      </c>
      <c r="GPG611" s="17">
        <v>44925</v>
      </c>
      <c r="GPH611" s="5" t="s">
        <v>3728</v>
      </c>
      <c r="GPI611" s="17">
        <v>44925</v>
      </c>
      <c r="GPJ611" s="5" t="s">
        <v>3728</v>
      </c>
      <c r="GPK611" s="17">
        <v>44925</v>
      </c>
      <c r="GPL611" s="5" t="s">
        <v>3728</v>
      </c>
      <c r="GPM611" s="17">
        <v>44925</v>
      </c>
      <c r="GPN611" s="5" t="s">
        <v>3728</v>
      </c>
      <c r="GPO611" s="17">
        <v>44925</v>
      </c>
      <c r="GPP611" s="5" t="s">
        <v>3728</v>
      </c>
      <c r="GPQ611" s="17">
        <v>44925</v>
      </c>
      <c r="GPR611" s="5" t="s">
        <v>3728</v>
      </c>
      <c r="GPS611" s="17">
        <v>44925</v>
      </c>
      <c r="GPT611" s="5" t="s">
        <v>3728</v>
      </c>
      <c r="GPU611" s="17">
        <v>44925</v>
      </c>
      <c r="GPV611" s="5" t="s">
        <v>3728</v>
      </c>
      <c r="GPW611" s="17">
        <v>44925</v>
      </c>
      <c r="GPX611" s="5" t="s">
        <v>3728</v>
      </c>
      <c r="GPY611" s="17">
        <v>44925</v>
      </c>
      <c r="GPZ611" s="5" t="s">
        <v>3728</v>
      </c>
      <c r="GQA611" s="17">
        <v>44925</v>
      </c>
      <c r="GQB611" s="5" t="s">
        <v>3728</v>
      </c>
      <c r="GQC611" s="17">
        <v>44925</v>
      </c>
      <c r="GQD611" s="5" t="s">
        <v>3728</v>
      </c>
      <c r="GQE611" s="17">
        <v>44925</v>
      </c>
      <c r="GQF611" s="5" t="s">
        <v>3728</v>
      </c>
      <c r="GQG611" s="17">
        <v>44925</v>
      </c>
      <c r="GQH611" s="5" t="s">
        <v>3728</v>
      </c>
      <c r="GQI611" s="17">
        <v>44925</v>
      </c>
      <c r="GQJ611" s="5" t="s">
        <v>3728</v>
      </c>
      <c r="GQK611" s="17">
        <v>44925</v>
      </c>
      <c r="GQL611" s="5" t="s">
        <v>3728</v>
      </c>
      <c r="GQM611" s="17">
        <v>44925</v>
      </c>
      <c r="GQN611" s="5" t="s">
        <v>3728</v>
      </c>
      <c r="GQO611" s="17">
        <v>44925</v>
      </c>
      <c r="GQP611" s="5" t="s">
        <v>3728</v>
      </c>
      <c r="GQQ611" s="17">
        <v>44925</v>
      </c>
      <c r="GQR611" s="5" t="s">
        <v>3728</v>
      </c>
      <c r="GQS611" s="17">
        <v>44925</v>
      </c>
      <c r="GQT611" s="5" t="s">
        <v>3728</v>
      </c>
      <c r="GQU611" s="17">
        <v>44925</v>
      </c>
      <c r="GQV611" s="5" t="s">
        <v>3728</v>
      </c>
      <c r="GQW611" s="17">
        <v>44925</v>
      </c>
      <c r="GQX611" s="5" t="s">
        <v>3728</v>
      </c>
      <c r="GQY611" s="17">
        <v>44925</v>
      </c>
      <c r="GQZ611" s="5" t="s">
        <v>3728</v>
      </c>
      <c r="GRA611" s="17">
        <v>44925</v>
      </c>
      <c r="GRB611" s="5" t="s">
        <v>3728</v>
      </c>
      <c r="GRC611" s="17">
        <v>44925</v>
      </c>
      <c r="GRD611" s="5" t="s">
        <v>3728</v>
      </c>
      <c r="GRE611" s="17">
        <v>44925</v>
      </c>
      <c r="GRF611" s="5" t="s">
        <v>3728</v>
      </c>
      <c r="GRG611" s="17">
        <v>44925</v>
      </c>
      <c r="GRH611" s="5" t="s">
        <v>3728</v>
      </c>
      <c r="GRI611" s="17">
        <v>44925</v>
      </c>
      <c r="GRJ611" s="5" t="s">
        <v>3728</v>
      </c>
      <c r="GRK611" s="17">
        <v>44925</v>
      </c>
      <c r="GRL611" s="5" t="s">
        <v>3728</v>
      </c>
      <c r="GRM611" s="17">
        <v>44925</v>
      </c>
      <c r="GRN611" s="5" t="s">
        <v>3728</v>
      </c>
      <c r="GRO611" s="17">
        <v>44925</v>
      </c>
      <c r="GRP611" s="5" t="s">
        <v>3728</v>
      </c>
      <c r="GRQ611" s="17">
        <v>44925</v>
      </c>
      <c r="GRR611" s="5" t="s">
        <v>3728</v>
      </c>
      <c r="GRS611" s="17">
        <v>44925</v>
      </c>
      <c r="GRT611" s="5" t="s">
        <v>3728</v>
      </c>
      <c r="GRU611" s="17">
        <v>44925</v>
      </c>
      <c r="GRV611" s="5" t="s">
        <v>3728</v>
      </c>
      <c r="GRW611" s="17">
        <v>44925</v>
      </c>
      <c r="GRX611" s="5" t="s">
        <v>3728</v>
      </c>
      <c r="GRY611" s="17">
        <v>44925</v>
      </c>
      <c r="GRZ611" s="5" t="s">
        <v>3728</v>
      </c>
      <c r="GSA611" s="17">
        <v>44925</v>
      </c>
      <c r="GSB611" s="5" t="s">
        <v>3728</v>
      </c>
      <c r="GSC611" s="17">
        <v>44925</v>
      </c>
      <c r="GSD611" s="5" t="s">
        <v>3728</v>
      </c>
      <c r="GSE611" s="17">
        <v>44925</v>
      </c>
      <c r="GSF611" s="5" t="s">
        <v>3728</v>
      </c>
      <c r="GSG611" s="17">
        <v>44925</v>
      </c>
      <c r="GSH611" s="5" t="s">
        <v>3728</v>
      </c>
      <c r="GSI611" s="17">
        <v>44925</v>
      </c>
      <c r="GSJ611" s="5" t="s">
        <v>3728</v>
      </c>
      <c r="GSK611" s="17">
        <v>44925</v>
      </c>
      <c r="GSL611" s="5" t="s">
        <v>3728</v>
      </c>
      <c r="GSM611" s="17">
        <v>44925</v>
      </c>
      <c r="GSN611" s="5" t="s">
        <v>3728</v>
      </c>
      <c r="GSO611" s="17">
        <v>44925</v>
      </c>
      <c r="GSP611" s="5" t="s">
        <v>3728</v>
      </c>
      <c r="GSQ611" s="17">
        <v>44925</v>
      </c>
      <c r="GSR611" s="5" t="s">
        <v>3728</v>
      </c>
      <c r="GSS611" s="17">
        <v>44925</v>
      </c>
      <c r="GST611" s="5" t="s">
        <v>3728</v>
      </c>
      <c r="GSU611" s="17">
        <v>44925</v>
      </c>
      <c r="GSV611" s="5" t="s">
        <v>3728</v>
      </c>
      <c r="GSW611" s="17">
        <v>44925</v>
      </c>
      <c r="GSX611" s="5" t="s">
        <v>3728</v>
      </c>
      <c r="GSY611" s="17">
        <v>44925</v>
      </c>
      <c r="GSZ611" s="5" t="s">
        <v>3728</v>
      </c>
      <c r="GTA611" s="17">
        <v>44925</v>
      </c>
      <c r="GTB611" s="5" t="s">
        <v>3728</v>
      </c>
      <c r="GTC611" s="17">
        <v>44925</v>
      </c>
      <c r="GTD611" s="5" t="s">
        <v>3728</v>
      </c>
      <c r="GTE611" s="17">
        <v>44925</v>
      </c>
      <c r="GTF611" s="5" t="s">
        <v>3728</v>
      </c>
      <c r="GTG611" s="17">
        <v>44925</v>
      </c>
      <c r="GTH611" s="5" t="s">
        <v>3728</v>
      </c>
      <c r="GTI611" s="17">
        <v>44925</v>
      </c>
      <c r="GTJ611" s="5" t="s">
        <v>3728</v>
      </c>
      <c r="GTK611" s="17">
        <v>44925</v>
      </c>
      <c r="GTL611" s="5" t="s">
        <v>3728</v>
      </c>
      <c r="GTM611" s="17">
        <v>44925</v>
      </c>
      <c r="GTN611" s="5" t="s">
        <v>3728</v>
      </c>
      <c r="GTO611" s="17">
        <v>44925</v>
      </c>
      <c r="GTP611" s="5" t="s">
        <v>3728</v>
      </c>
      <c r="GTQ611" s="17">
        <v>44925</v>
      </c>
      <c r="GTR611" s="5" t="s">
        <v>3728</v>
      </c>
      <c r="GTS611" s="17">
        <v>44925</v>
      </c>
      <c r="GTT611" s="5" t="s">
        <v>3728</v>
      </c>
      <c r="GTU611" s="17">
        <v>44925</v>
      </c>
      <c r="GTV611" s="5" t="s">
        <v>3728</v>
      </c>
      <c r="GTW611" s="17">
        <v>44925</v>
      </c>
      <c r="GTX611" s="5" t="s">
        <v>3728</v>
      </c>
      <c r="GTY611" s="17">
        <v>44925</v>
      </c>
      <c r="GTZ611" s="5" t="s">
        <v>3728</v>
      </c>
      <c r="GUA611" s="17">
        <v>44925</v>
      </c>
      <c r="GUB611" s="5" t="s">
        <v>3728</v>
      </c>
      <c r="GUC611" s="17">
        <v>44925</v>
      </c>
      <c r="GUD611" s="5" t="s">
        <v>3728</v>
      </c>
      <c r="GUE611" s="17">
        <v>44925</v>
      </c>
      <c r="GUF611" s="5" t="s">
        <v>3728</v>
      </c>
      <c r="GUG611" s="17">
        <v>44925</v>
      </c>
      <c r="GUH611" s="5" t="s">
        <v>3728</v>
      </c>
      <c r="GUI611" s="17">
        <v>44925</v>
      </c>
      <c r="GUJ611" s="5" t="s">
        <v>3728</v>
      </c>
      <c r="GUK611" s="17">
        <v>44925</v>
      </c>
      <c r="GUL611" s="5" t="s">
        <v>3728</v>
      </c>
      <c r="GUM611" s="17">
        <v>44925</v>
      </c>
      <c r="GUN611" s="5" t="s">
        <v>3728</v>
      </c>
      <c r="GUO611" s="17">
        <v>44925</v>
      </c>
      <c r="GUP611" s="5" t="s">
        <v>3728</v>
      </c>
      <c r="GUQ611" s="17">
        <v>44925</v>
      </c>
      <c r="GUR611" s="5" t="s">
        <v>3728</v>
      </c>
      <c r="GUS611" s="17">
        <v>44925</v>
      </c>
      <c r="GUT611" s="5" t="s">
        <v>3728</v>
      </c>
      <c r="GUU611" s="17">
        <v>44925</v>
      </c>
      <c r="GUV611" s="5" t="s">
        <v>3728</v>
      </c>
      <c r="GUW611" s="17">
        <v>44925</v>
      </c>
      <c r="GUX611" s="5" t="s">
        <v>3728</v>
      </c>
      <c r="GUY611" s="17">
        <v>44925</v>
      </c>
      <c r="GUZ611" s="5" t="s">
        <v>3728</v>
      </c>
      <c r="GVA611" s="17">
        <v>44925</v>
      </c>
      <c r="GVB611" s="5" t="s">
        <v>3728</v>
      </c>
      <c r="GVC611" s="17">
        <v>44925</v>
      </c>
      <c r="GVD611" s="5" t="s">
        <v>3728</v>
      </c>
      <c r="GVE611" s="17">
        <v>44925</v>
      </c>
      <c r="GVF611" s="5" t="s">
        <v>3728</v>
      </c>
      <c r="GVG611" s="17">
        <v>44925</v>
      </c>
      <c r="GVH611" s="5" t="s">
        <v>3728</v>
      </c>
      <c r="GVI611" s="17">
        <v>44925</v>
      </c>
      <c r="GVJ611" s="5" t="s">
        <v>3728</v>
      </c>
      <c r="GVK611" s="17">
        <v>44925</v>
      </c>
      <c r="GVL611" s="5" t="s">
        <v>3728</v>
      </c>
      <c r="GVM611" s="17">
        <v>44925</v>
      </c>
      <c r="GVN611" s="5" t="s">
        <v>3728</v>
      </c>
      <c r="GVO611" s="17">
        <v>44925</v>
      </c>
      <c r="GVP611" s="5" t="s">
        <v>3728</v>
      </c>
      <c r="GVQ611" s="17">
        <v>44925</v>
      </c>
      <c r="GVR611" s="5" t="s">
        <v>3728</v>
      </c>
      <c r="GVS611" s="17">
        <v>44925</v>
      </c>
      <c r="GVT611" s="5" t="s">
        <v>3728</v>
      </c>
      <c r="GVU611" s="17">
        <v>44925</v>
      </c>
      <c r="GVV611" s="5" t="s">
        <v>3728</v>
      </c>
      <c r="GVW611" s="17">
        <v>44925</v>
      </c>
      <c r="GVX611" s="5" t="s">
        <v>3728</v>
      </c>
      <c r="GVY611" s="17">
        <v>44925</v>
      </c>
      <c r="GVZ611" s="5" t="s">
        <v>3728</v>
      </c>
      <c r="GWA611" s="17">
        <v>44925</v>
      </c>
      <c r="GWB611" s="5" t="s">
        <v>3728</v>
      </c>
      <c r="GWC611" s="17">
        <v>44925</v>
      </c>
      <c r="GWD611" s="5" t="s">
        <v>3728</v>
      </c>
      <c r="GWE611" s="17">
        <v>44925</v>
      </c>
      <c r="GWF611" s="5" t="s">
        <v>3728</v>
      </c>
      <c r="GWG611" s="17">
        <v>44925</v>
      </c>
      <c r="GWH611" s="5" t="s">
        <v>3728</v>
      </c>
      <c r="GWI611" s="17">
        <v>44925</v>
      </c>
      <c r="GWJ611" s="5" t="s">
        <v>3728</v>
      </c>
      <c r="GWK611" s="17">
        <v>44925</v>
      </c>
      <c r="GWL611" s="5" t="s">
        <v>3728</v>
      </c>
      <c r="GWM611" s="17">
        <v>44925</v>
      </c>
      <c r="GWN611" s="5" t="s">
        <v>3728</v>
      </c>
      <c r="GWO611" s="17">
        <v>44925</v>
      </c>
      <c r="GWP611" s="5" t="s">
        <v>3728</v>
      </c>
      <c r="GWQ611" s="17">
        <v>44925</v>
      </c>
      <c r="GWR611" s="5" t="s">
        <v>3728</v>
      </c>
      <c r="GWS611" s="17">
        <v>44925</v>
      </c>
      <c r="GWT611" s="5" t="s">
        <v>3728</v>
      </c>
      <c r="GWU611" s="17">
        <v>44925</v>
      </c>
      <c r="GWV611" s="5" t="s">
        <v>3728</v>
      </c>
      <c r="GWW611" s="17">
        <v>44925</v>
      </c>
      <c r="GWX611" s="5" t="s">
        <v>3728</v>
      </c>
      <c r="GWY611" s="17">
        <v>44925</v>
      </c>
      <c r="GWZ611" s="5" t="s">
        <v>3728</v>
      </c>
      <c r="GXA611" s="17">
        <v>44925</v>
      </c>
      <c r="GXB611" s="5" t="s">
        <v>3728</v>
      </c>
      <c r="GXC611" s="17">
        <v>44925</v>
      </c>
      <c r="GXD611" s="5" t="s">
        <v>3728</v>
      </c>
      <c r="GXE611" s="17">
        <v>44925</v>
      </c>
      <c r="GXF611" s="5" t="s">
        <v>3728</v>
      </c>
      <c r="GXG611" s="17">
        <v>44925</v>
      </c>
      <c r="GXH611" s="5" t="s">
        <v>3728</v>
      </c>
      <c r="GXI611" s="17">
        <v>44925</v>
      </c>
      <c r="GXJ611" s="5" t="s">
        <v>3728</v>
      </c>
      <c r="GXK611" s="17">
        <v>44925</v>
      </c>
      <c r="GXL611" s="5" t="s">
        <v>3728</v>
      </c>
      <c r="GXM611" s="17">
        <v>44925</v>
      </c>
      <c r="GXN611" s="5" t="s">
        <v>3728</v>
      </c>
      <c r="GXO611" s="17">
        <v>44925</v>
      </c>
      <c r="GXP611" s="5" t="s">
        <v>3728</v>
      </c>
      <c r="GXQ611" s="17">
        <v>44925</v>
      </c>
      <c r="GXR611" s="5" t="s">
        <v>3728</v>
      </c>
      <c r="GXS611" s="17">
        <v>44925</v>
      </c>
      <c r="GXT611" s="5" t="s">
        <v>3728</v>
      </c>
      <c r="GXU611" s="17">
        <v>44925</v>
      </c>
      <c r="GXV611" s="5" t="s">
        <v>3728</v>
      </c>
      <c r="GXW611" s="17">
        <v>44925</v>
      </c>
      <c r="GXX611" s="5" t="s">
        <v>3728</v>
      </c>
      <c r="GXY611" s="17">
        <v>44925</v>
      </c>
      <c r="GXZ611" s="5" t="s">
        <v>3728</v>
      </c>
      <c r="GYA611" s="17">
        <v>44925</v>
      </c>
      <c r="GYB611" s="5" t="s">
        <v>3728</v>
      </c>
      <c r="GYC611" s="17">
        <v>44925</v>
      </c>
      <c r="GYD611" s="5" t="s">
        <v>3728</v>
      </c>
      <c r="GYE611" s="17">
        <v>44925</v>
      </c>
      <c r="GYF611" s="5" t="s">
        <v>3728</v>
      </c>
      <c r="GYG611" s="17">
        <v>44925</v>
      </c>
      <c r="GYH611" s="5" t="s">
        <v>3728</v>
      </c>
      <c r="GYI611" s="17">
        <v>44925</v>
      </c>
      <c r="GYJ611" s="5" t="s">
        <v>3728</v>
      </c>
      <c r="GYK611" s="17">
        <v>44925</v>
      </c>
      <c r="GYL611" s="5" t="s">
        <v>3728</v>
      </c>
      <c r="GYM611" s="17">
        <v>44925</v>
      </c>
      <c r="GYN611" s="5" t="s">
        <v>3728</v>
      </c>
      <c r="GYO611" s="17">
        <v>44925</v>
      </c>
      <c r="GYP611" s="5" t="s">
        <v>3728</v>
      </c>
      <c r="GYQ611" s="17">
        <v>44925</v>
      </c>
      <c r="GYR611" s="5" t="s">
        <v>3728</v>
      </c>
      <c r="GYS611" s="17">
        <v>44925</v>
      </c>
      <c r="GYT611" s="5" t="s">
        <v>3728</v>
      </c>
      <c r="GYU611" s="17">
        <v>44925</v>
      </c>
      <c r="GYV611" s="5" t="s">
        <v>3728</v>
      </c>
      <c r="GYW611" s="17">
        <v>44925</v>
      </c>
      <c r="GYX611" s="5" t="s">
        <v>3728</v>
      </c>
      <c r="GYY611" s="17">
        <v>44925</v>
      </c>
      <c r="GYZ611" s="5" t="s">
        <v>3728</v>
      </c>
      <c r="GZA611" s="17">
        <v>44925</v>
      </c>
      <c r="GZB611" s="5" t="s">
        <v>3728</v>
      </c>
      <c r="GZC611" s="17">
        <v>44925</v>
      </c>
      <c r="GZD611" s="5" t="s">
        <v>3728</v>
      </c>
      <c r="GZE611" s="17">
        <v>44925</v>
      </c>
      <c r="GZF611" s="5" t="s">
        <v>3728</v>
      </c>
      <c r="GZG611" s="17">
        <v>44925</v>
      </c>
      <c r="GZH611" s="5" t="s">
        <v>3728</v>
      </c>
      <c r="GZI611" s="17">
        <v>44925</v>
      </c>
      <c r="GZJ611" s="5" t="s">
        <v>3728</v>
      </c>
      <c r="GZK611" s="17">
        <v>44925</v>
      </c>
      <c r="GZL611" s="5" t="s">
        <v>3728</v>
      </c>
      <c r="GZM611" s="17">
        <v>44925</v>
      </c>
      <c r="GZN611" s="5" t="s">
        <v>3728</v>
      </c>
      <c r="GZO611" s="17">
        <v>44925</v>
      </c>
      <c r="GZP611" s="5" t="s">
        <v>3728</v>
      </c>
      <c r="GZQ611" s="17">
        <v>44925</v>
      </c>
      <c r="GZR611" s="5" t="s">
        <v>3728</v>
      </c>
      <c r="GZS611" s="17">
        <v>44925</v>
      </c>
      <c r="GZT611" s="5" t="s">
        <v>3728</v>
      </c>
      <c r="GZU611" s="17">
        <v>44925</v>
      </c>
      <c r="GZV611" s="5" t="s">
        <v>3728</v>
      </c>
      <c r="GZW611" s="17">
        <v>44925</v>
      </c>
      <c r="GZX611" s="5" t="s">
        <v>3728</v>
      </c>
      <c r="GZY611" s="17">
        <v>44925</v>
      </c>
      <c r="GZZ611" s="5" t="s">
        <v>3728</v>
      </c>
      <c r="HAA611" s="17">
        <v>44925</v>
      </c>
      <c r="HAB611" s="5" t="s">
        <v>3728</v>
      </c>
      <c r="HAC611" s="17">
        <v>44925</v>
      </c>
      <c r="HAD611" s="5" t="s">
        <v>3728</v>
      </c>
      <c r="HAE611" s="17">
        <v>44925</v>
      </c>
      <c r="HAF611" s="5" t="s">
        <v>3728</v>
      </c>
      <c r="HAG611" s="17">
        <v>44925</v>
      </c>
      <c r="HAH611" s="5" t="s">
        <v>3728</v>
      </c>
      <c r="HAI611" s="17">
        <v>44925</v>
      </c>
      <c r="HAJ611" s="5" t="s">
        <v>3728</v>
      </c>
      <c r="HAK611" s="17">
        <v>44925</v>
      </c>
      <c r="HAL611" s="5" t="s">
        <v>3728</v>
      </c>
      <c r="HAM611" s="17">
        <v>44925</v>
      </c>
      <c r="HAN611" s="5" t="s">
        <v>3728</v>
      </c>
      <c r="HAO611" s="17">
        <v>44925</v>
      </c>
      <c r="HAP611" s="5" t="s">
        <v>3728</v>
      </c>
      <c r="HAQ611" s="17">
        <v>44925</v>
      </c>
      <c r="HAR611" s="5" t="s">
        <v>3728</v>
      </c>
      <c r="HAS611" s="17">
        <v>44925</v>
      </c>
      <c r="HAT611" s="5" t="s">
        <v>3728</v>
      </c>
      <c r="HAU611" s="17">
        <v>44925</v>
      </c>
      <c r="HAV611" s="5" t="s">
        <v>3728</v>
      </c>
      <c r="HAW611" s="17">
        <v>44925</v>
      </c>
      <c r="HAX611" s="5" t="s">
        <v>3728</v>
      </c>
      <c r="HAY611" s="17">
        <v>44925</v>
      </c>
      <c r="HAZ611" s="5" t="s">
        <v>3728</v>
      </c>
      <c r="HBA611" s="17">
        <v>44925</v>
      </c>
      <c r="HBB611" s="5" t="s">
        <v>3728</v>
      </c>
      <c r="HBC611" s="17">
        <v>44925</v>
      </c>
      <c r="HBD611" s="5" t="s">
        <v>3728</v>
      </c>
      <c r="HBE611" s="17">
        <v>44925</v>
      </c>
      <c r="HBF611" s="5" t="s">
        <v>3728</v>
      </c>
      <c r="HBG611" s="17">
        <v>44925</v>
      </c>
      <c r="HBH611" s="5" t="s">
        <v>3728</v>
      </c>
      <c r="HBI611" s="17">
        <v>44925</v>
      </c>
      <c r="HBJ611" s="5" t="s">
        <v>3728</v>
      </c>
      <c r="HBK611" s="17">
        <v>44925</v>
      </c>
      <c r="HBL611" s="5" t="s">
        <v>3728</v>
      </c>
      <c r="HBM611" s="17">
        <v>44925</v>
      </c>
      <c r="HBN611" s="5" t="s">
        <v>3728</v>
      </c>
      <c r="HBO611" s="17">
        <v>44925</v>
      </c>
      <c r="HBP611" s="5" t="s">
        <v>3728</v>
      </c>
      <c r="HBQ611" s="17">
        <v>44925</v>
      </c>
      <c r="HBR611" s="5" t="s">
        <v>3728</v>
      </c>
      <c r="HBS611" s="17">
        <v>44925</v>
      </c>
      <c r="HBT611" s="5" t="s">
        <v>3728</v>
      </c>
      <c r="HBU611" s="17">
        <v>44925</v>
      </c>
      <c r="HBV611" s="5" t="s">
        <v>3728</v>
      </c>
      <c r="HBW611" s="17">
        <v>44925</v>
      </c>
      <c r="HBX611" s="5" t="s">
        <v>3728</v>
      </c>
      <c r="HBY611" s="17">
        <v>44925</v>
      </c>
      <c r="HBZ611" s="5" t="s">
        <v>3728</v>
      </c>
      <c r="HCA611" s="17">
        <v>44925</v>
      </c>
      <c r="HCB611" s="5" t="s">
        <v>3728</v>
      </c>
      <c r="HCC611" s="17">
        <v>44925</v>
      </c>
      <c r="HCD611" s="5" t="s">
        <v>3728</v>
      </c>
      <c r="HCE611" s="17">
        <v>44925</v>
      </c>
      <c r="HCF611" s="5" t="s">
        <v>3728</v>
      </c>
      <c r="HCG611" s="17">
        <v>44925</v>
      </c>
      <c r="HCH611" s="5" t="s">
        <v>3728</v>
      </c>
      <c r="HCI611" s="17">
        <v>44925</v>
      </c>
      <c r="HCJ611" s="5" t="s">
        <v>3728</v>
      </c>
      <c r="HCK611" s="17">
        <v>44925</v>
      </c>
      <c r="HCL611" s="5" t="s">
        <v>3728</v>
      </c>
      <c r="HCM611" s="17">
        <v>44925</v>
      </c>
      <c r="HCN611" s="5" t="s">
        <v>3728</v>
      </c>
      <c r="HCO611" s="17">
        <v>44925</v>
      </c>
      <c r="HCP611" s="5" t="s">
        <v>3728</v>
      </c>
      <c r="HCQ611" s="17">
        <v>44925</v>
      </c>
      <c r="HCR611" s="5" t="s">
        <v>3728</v>
      </c>
      <c r="HCS611" s="17">
        <v>44925</v>
      </c>
      <c r="HCT611" s="5" t="s">
        <v>3728</v>
      </c>
      <c r="HCU611" s="17">
        <v>44925</v>
      </c>
      <c r="HCV611" s="5" t="s">
        <v>3728</v>
      </c>
      <c r="HCW611" s="17">
        <v>44925</v>
      </c>
      <c r="HCX611" s="5" t="s">
        <v>3728</v>
      </c>
      <c r="HCY611" s="17">
        <v>44925</v>
      </c>
      <c r="HCZ611" s="5" t="s">
        <v>3728</v>
      </c>
      <c r="HDA611" s="17">
        <v>44925</v>
      </c>
      <c r="HDB611" s="5" t="s">
        <v>3728</v>
      </c>
      <c r="HDC611" s="17">
        <v>44925</v>
      </c>
      <c r="HDD611" s="5" t="s">
        <v>3728</v>
      </c>
      <c r="HDE611" s="17">
        <v>44925</v>
      </c>
      <c r="HDF611" s="5" t="s">
        <v>3728</v>
      </c>
      <c r="HDG611" s="17">
        <v>44925</v>
      </c>
      <c r="HDH611" s="5" t="s">
        <v>3728</v>
      </c>
      <c r="HDI611" s="17">
        <v>44925</v>
      </c>
      <c r="HDJ611" s="5" t="s">
        <v>3728</v>
      </c>
      <c r="HDK611" s="17">
        <v>44925</v>
      </c>
      <c r="HDL611" s="5" t="s">
        <v>3728</v>
      </c>
      <c r="HDM611" s="17">
        <v>44925</v>
      </c>
      <c r="HDN611" s="5" t="s">
        <v>3728</v>
      </c>
      <c r="HDO611" s="17">
        <v>44925</v>
      </c>
      <c r="HDP611" s="5" t="s">
        <v>3728</v>
      </c>
      <c r="HDQ611" s="17">
        <v>44925</v>
      </c>
      <c r="HDR611" s="5" t="s">
        <v>3728</v>
      </c>
      <c r="HDS611" s="17">
        <v>44925</v>
      </c>
      <c r="HDT611" s="5" t="s">
        <v>3728</v>
      </c>
      <c r="HDU611" s="17">
        <v>44925</v>
      </c>
      <c r="HDV611" s="5" t="s">
        <v>3728</v>
      </c>
      <c r="HDW611" s="17">
        <v>44925</v>
      </c>
      <c r="HDX611" s="5" t="s">
        <v>3728</v>
      </c>
      <c r="HDY611" s="17">
        <v>44925</v>
      </c>
      <c r="HDZ611" s="5" t="s">
        <v>3728</v>
      </c>
      <c r="HEA611" s="17">
        <v>44925</v>
      </c>
      <c r="HEB611" s="5" t="s">
        <v>3728</v>
      </c>
      <c r="HEC611" s="17">
        <v>44925</v>
      </c>
      <c r="HED611" s="5" t="s">
        <v>3728</v>
      </c>
      <c r="HEE611" s="17">
        <v>44925</v>
      </c>
      <c r="HEF611" s="5" t="s">
        <v>3728</v>
      </c>
      <c r="HEG611" s="17">
        <v>44925</v>
      </c>
      <c r="HEH611" s="5" t="s">
        <v>3728</v>
      </c>
      <c r="HEI611" s="17">
        <v>44925</v>
      </c>
      <c r="HEJ611" s="5" t="s">
        <v>3728</v>
      </c>
      <c r="HEK611" s="17">
        <v>44925</v>
      </c>
      <c r="HEL611" s="5" t="s">
        <v>3728</v>
      </c>
      <c r="HEM611" s="17">
        <v>44925</v>
      </c>
      <c r="HEN611" s="5" t="s">
        <v>3728</v>
      </c>
      <c r="HEO611" s="17">
        <v>44925</v>
      </c>
      <c r="HEP611" s="5" t="s">
        <v>3728</v>
      </c>
      <c r="HEQ611" s="17">
        <v>44925</v>
      </c>
      <c r="HER611" s="5" t="s">
        <v>3728</v>
      </c>
      <c r="HES611" s="17">
        <v>44925</v>
      </c>
      <c r="HET611" s="5" t="s">
        <v>3728</v>
      </c>
      <c r="HEU611" s="17">
        <v>44925</v>
      </c>
      <c r="HEV611" s="5" t="s">
        <v>3728</v>
      </c>
      <c r="HEW611" s="17">
        <v>44925</v>
      </c>
      <c r="HEX611" s="5" t="s">
        <v>3728</v>
      </c>
      <c r="HEY611" s="17">
        <v>44925</v>
      </c>
      <c r="HEZ611" s="5" t="s">
        <v>3728</v>
      </c>
      <c r="HFA611" s="17">
        <v>44925</v>
      </c>
      <c r="HFB611" s="5" t="s">
        <v>3728</v>
      </c>
      <c r="HFC611" s="17">
        <v>44925</v>
      </c>
      <c r="HFD611" s="5" t="s">
        <v>3728</v>
      </c>
      <c r="HFE611" s="17">
        <v>44925</v>
      </c>
      <c r="HFF611" s="5" t="s">
        <v>3728</v>
      </c>
      <c r="HFG611" s="17">
        <v>44925</v>
      </c>
      <c r="HFH611" s="5" t="s">
        <v>3728</v>
      </c>
      <c r="HFI611" s="17">
        <v>44925</v>
      </c>
      <c r="HFJ611" s="5" t="s">
        <v>3728</v>
      </c>
      <c r="HFK611" s="17">
        <v>44925</v>
      </c>
      <c r="HFL611" s="5" t="s">
        <v>3728</v>
      </c>
      <c r="HFM611" s="17">
        <v>44925</v>
      </c>
      <c r="HFN611" s="5" t="s">
        <v>3728</v>
      </c>
      <c r="HFO611" s="17">
        <v>44925</v>
      </c>
      <c r="HFP611" s="5" t="s">
        <v>3728</v>
      </c>
      <c r="HFQ611" s="17">
        <v>44925</v>
      </c>
      <c r="HFR611" s="5" t="s">
        <v>3728</v>
      </c>
      <c r="HFS611" s="17">
        <v>44925</v>
      </c>
      <c r="HFT611" s="5" t="s">
        <v>3728</v>
      </c>
      <c r="HFU611" s="17">
        <v>44925</v>
      </c>
      <c r="HFV611" s="5" t="s">
        <v>3728</v>
      </c>
      <c r="HFW611" s="17">
        <v>44925</v>
      </c>
      <c r="HFX611" s="5" t="s">
        <v>3728</v>
      </c>
      <c r="HFY611" s="17">
        <v>44925</v>
      </c>
      <c r="HFZ611" s="5" t="s">
        <v>3728</v>
      </c>
      <c r="HGA611" s="17">
        <v>44925</v>
      </c>
      <c r="HGB611" s="5" t="s">
        <v>3728</v>
      </c>
      <c r="HGC611" s="17">
        <v>44925</v>
      </c>
      <c r="HGD611" s="5" t="s">
        <v>3728</v>
      </c>
      <c r="HGE611" s="17">
        <v>44925</v>
      </c>
      <c r="HGF611" s="5" t="s">
        <v>3728</v>
      </c>
      <c r="HGG611" s="17">
        <v>44925</v>
      </c>
      <c r="HGH611" s="5" t="s">
        <v>3728</v>
      </c>
      <c r="HGI611" s="17">
        <v>44925</v>
      </c>
      <c r="HGJ611" s="5" t="s">
        <v>3728</v>
      </c>
      <c r="HGK611" s="17">
        <v>44925</v>
      </c>
      <c r="HGL611" s="5" t="s">
        <v>3728</v>
      </c>
      <c r="HGM611" s="17">
        <v>44925</v>
      </c>
      <c r="HGN611" s="5" t="s">
        <v>3728</v>
      </c>
      <c r="HGO611" s="17">
        <v>44925</v>
      </c>
      <c r="HGP611" s="5" t="s">
        <v>3728</v>
      </c>
      <c r="HGQ611" s="17">
        <v>44925</v>
      </c>
      <c r="HGR611" s="5" t="s">
        <v>3728</v>
      </c>
      <c r="HGS611" s="17">
        <v>44925</v>
      </c>
      <c r="HGT611" s="5" t="s">
        <v>3728</v>
      </c>
      <c r="HGU611" s="17">
        <v>44925</v>
      </c>
      <c r="HGV611" s="5" t="s">
        <v>3728</v>
      </c>
      <c r="HGW611" s="17">
        <v>44925</v>
      </c>
      <c r="HGX611" s="5" t="s">
        <v>3728</v>
      </c>
      <c r="HGY611" s="17">
        <v>44925</v>
      </c>
      <c r="HGZ611" s="5" t="s">
        <v>3728</v>
      </c>
      <c r="HHA611" s="17">
        <v>44925</v>
      </c>
      <c r="HHB611" s="5" t="s">
        <v>3728</v>
      </c>
      <c r="HHC611" s="17">
        <v>44925</v>
      </c>
      <c r="HHD611" s="5" t="s">
        <v>3728</v>
      </c>
      <c r="HHE611" s="17">
        <v>44925</v>
      </c>
      <c r="HHF611" s="5" t="s">
        <v>3728</v>
      </c>
      <c r="HHG611" s="17">
        <v>44925</v>
      </c>
      <c r="HHH611" s="5" t="s">
        <v>3728</v>
      </c>
      <c r="HHI611" s="17">
        <v>44925</v>
      </c>
      <c r="HHJ611" s="5" t="s">
        <v>3728</v>
      </c>
      <c r="HHK611" s="17">
        <v>44925</v>
      </c>
      <c r="HHL611" s="5" t="s">
        <v>3728</v>
      </c>
      <c r="HHM611" s="17">
        <v>44925</v>
      </c>
      <c r="HHN611" s="5" t="s">
        <v>3728</v>
      </c>
      <c r="HHO611" s="17">
        <v>44925</v>
      </c>
      <c r="HHP611" s="5" t="s">
        <v>3728</v>
      </c>
      <c r="HHQ611" s="17">
        <v>44925</v>
      </c>
      <c r="HHR611" s="5" t="s">
        <v>3728</v>
      </c>
      <c r="HHS611" s="17">
        <v>44925</v>
      </c>
      <c r="HHT611" s="5" t="s">
        <v>3728</v>
      </c>
      <c r="HHU611" s="17">
        <v>44925</v>
      </c>
      <c r="HHV611" s="5" t="s">
        <v>3728</v>
      </c>
      <c r="HHW611" s="17">
        <v>44925</v>
      </c>
      <c r="HHX611" s="5" t="s">
        <v>3728</v>
      </c>
      <c r="HHY611" s="17">
        <v>44925</v>
      </c>
      <c r="HHZ611" s="5" t="s">
        <v>3728</v>
      </c>
      <c r="HIA611" s="17">
        <v>44925</v>
      </c>
      <c r="HIB611" s="5" t="s">
        <v>3728</v>
      </c>
      <c r="HIC611" s="17">
        <v>44925</v>
      </c>
      <c r="HID611" s="5" t="s">
        <v>3728</v>
      </c>
      <c r="HIE611" s="17">
        <v>44925</v>
      </c>
      <c r="HIF611" s="5" t="s">
        <v>3728</v>
      </c>
      <c r="HIG611" s="17">
        <v>44925</v>
      </c>
      <c r="HIH611" s="5" t="s">
        <v>3728</v>
      </c>
      <c r="HII611" s="17">
        <v>44925</v>
      </c>
      <c r="HIJ611" s="5" t="s">
        <v>3728</v>
      </c>
      <c r="HIK611" s="17">
        <v>44925</v>
      </c>
      <c r="HIL611" s="5" t="s">
        <v>3728</v>
      </c>
      <c r="HIM611" s="17">
        <v>44925</v>
      </c>
      <c r="HIN611" s="5" t="s">
        <v>3728</v>
      </c>
      <c r="HIO611" s="17">
        <v>44925</v>
      </c>
      <c r="HIP611" s="5" t="s">
        <v>3728</v>
      </c>
      <c r="HIQ611" s="17">
        <v>44925</v>
      </c>
      <c r="HIR611" s="5" t="s">
        <v>3728</v>
      </c>
      <c r="HIS611" s="17">
        <v>44925</v>
      </c>
      <c r="HIT611" s="5" t="s">
        <v>3728</v>
      </c>
      <c r="HIU611" s="17">
        <v>44925</v>
      </c>
      <c r="HIV611" s="5" t="s">
        <v>3728</v>
      </c>
      <c r="HIW611" s="17">
        <v>44925</v>
      </c>
      <c r="HIX611" s="5" t="s">
        <v>3728</v>
      </c>
      <c r="HIY611" s="17">
        <v>44925</v>
      </c>
      <c r="HIZ611" s="5" t="s">
        <v>3728</v>
      </c>
      <c r="HJA611" s="17">
        <v>44925</v>
      </c>
      <c r="HJB611" s="5" t="s">
        <v>3728</v>
      </c>
      <c r="HJC611" s="17">
        <v>44925</v>
      </c>
      <c r="HJD611" s="5" t="s">
        <v>3728</v>
      </c>
      <c r="HJE611" s="17">
        <v>44925</v>
      </c>
      <c r="HJF611" s="5" t="s">
        <v>3728</v>
      </c>
      <c r="HJG611" s="17">
        <v>44925</v>
      </c>
      <c r="HJH611" s="5" t="s">
        <v>3728</v>
      </c>
      <c r="HJI611" s="17">
        <v>44925</v>
      </c>
      <c r="HJJ611" s="5" t="s">
        <v>3728</v>
      </c>
      <c r="HJK611" s="17">
        <v>44925</v>
      </c>
      <c r="HJL611" s="5" t="s">
        <v>3728</v>
      </c>
      <c r="HJM611" s="17">
        <v>44925</v>
      </c>
      <c r="HJN611" s="5" t="s">
        <v>3728</v>
      </c>
      <c r="HJO611" s="17">
        <v>44925</v>
      </c>
      <c r="HJP611" s="5" t="s">
        <v>3728</v>
      </c>
      <c r="HJQ611" s="17">
        <v>44925</v>
      </c>
      <c r="HJR611" s="5" t="s">
        <v>3728</v>
      </c>
      <c r="HJS611" s="17">
        <v>44925</v>
      </c>
      <c r="HJT611" s="5" t="s">
        <v>3728</v>
      </c>
      <c r="HJU611" s="17">
        <v>44925</v>
      </c>
      <c r="HJV611" s="5" t="s">
        <v>3728</v>
      </c>
      <c r="HJW611" s="17">
        <v>44925</v>
      </c>
      <c r="HJX611" s="5" t="s">
        <v>3728</v>
      </c>
      <c r="HJY611" s="17">
        <v>44925</v>
      </c>
      <c r="HJZ611" s="5" t="s">
        <v>3728</v>
      </c>
      <c r="HKA611" s="17">
        <v>44925</v>
      </c>
      <c r="HKB611" s="5" t="s">
        <v>3728</v>
      </c>
      <c r="HKC611" s="17">
        <v>44925</v>
      </c>
      <c r="HKD611" s="5" t="s">
        <v>3728</v>
      </c>
      <c r="HKE611" s="17">
        <v>44925</v>
      </c>
      <c r="HKF611" s="5" t="s">
        <v>3728</v>
      </c>
      <c r="HKG611" s="17">
        <v>44925</v>
      </c>
      <c r="HKH611" s="5" t="s">
        <v>3728</v>
      </c>
      <c r="HKI611" s="17">
        <v>44925</v>
      </c>
      <c r="HKJ611" s="5" t="s">
        <v>3728</v>
      </c>
      <c r="HKK611" s="17">
        <v>44925</v>
      </c>
      <c r="HKL611" s="5" t="s">
        <v>3728</v>
      </c>
      <c r="HKM611" s="17">
        <v>44925</v>
      </c>
      <c r="HKN611" s="5" t="s">
        <v>3728</v>
      </c>
      <c r="HKO611" s="17">
        <v>44925</v>
      </c>
      <c r="HKP611" s="5" t="s">
        <v>3728</v>
      </c>
      <c r="HKQ611" s="17">
        <v>44925</v>
      </c>
      <c r="HKR611" s="5" t="s">
        <v>3728</v>
      </c>
      <c r="HKS611" s="17">
        <v>44925</v>
      </c>
      <c r="HKT611" s="5" t="s">
        <v>3728</v>
      </c>
      <c r="HKU611" s="17">
        <v>44925</v>
      </c>
      <c r="HKV611" s="5" t="s">
        <v>3728</v>
      </c>
      <c r="HKW611" s="17">
        <v>44925</v>
      </c>
      <c r="HKX611" s="5" t="s">
        <v>3728</v>
      </c>
      <c r="HKY611" s="17">
        <v>44925</v>
      </c>
      <c r="HKZ611" s="5" t="s">
        <v>3728</v>
      </c>
      <c r="HLA611" s="17">
        <v>44925</v>
      </c>
      <c r="HLB611" s="5" t="s">
        <v>3728</v>
      </c>
      <c r="HLC611" s="17">
        <v>44925</v>
      </c>
      <c r="HLD611" s="5" t="s">
        <v>3728</v>
      </c>
      <c r="HLE611" s="17">
        <v>44925</v>
      </c>
      <c r="HLF611" s="5" t="s">
        <v>3728</v>
      </c>
      <c r="HLG611" s="17">
        <v>44925</v>
      </c>
      <c r="HLH611" s="5" t="s">
        <v>3728</v>
      </c>
      <c r="HLI611" s="17">
        <v>44925</v>
      </c>
      <c r="HLJ611" s="5" t="s">
        <v>3728</v>
      </c>
      <c r="HLK611" s="17">
        <v>44925</v>
      </c>
      <c r="HLL611" s="5" t="s">
        <v>3728</v>
      </c>
      <c r="HLM611" s="17">
        <v>44925</v>
      </c>
      <c r="HLN611" s="5" t="s">
        <v>3728</v>
      </c>
      <c r="HLO611" s="17">
        <v>44925</v>
      </c>
      <c r="HLP611" s="5" t="s">
        <v>3728</v>
      </c>
      <c r="HLQ611" s="17">
        <v>44925</v>
      </c>
      <c r="HLR611" s="5" t="s">
        <v>3728</v>
      </c>
      <c r="HLS611" s="17">
        <v>44925</v>
      </c>
      <c r="HLT611" s="5" t="s">
        <v>3728</v>
      </c>
      <c r="HLU611" s="17">
        <v>44925</v>
      </c>
      <c r="HLV611" s="5" t="s">
        <v>3728</v>
      </c>
      <c r="HLW611" s="17">
        <v>44925</v>
      </c>
      <c r="HLX611" s="5" t="s">
        <v>3728</v>
      </c>
      <c r="HLY611" s="17">
        <v>44925</v>
      </c>
      <c r="HLZ611" s="5" t="s">
        <v>3728</v>
      </c>
      <c r="HMA611" s="17">
        <v>44925</v>
      </c>
      <c r="HMB611" s="5" t="s">
        <v>3728</v>
      </c>
      <c r="HMC611" s="17">
        <v>44925</v>
      </c>
      <c r="HMD611" s="5" t="s">
        <v>3728</v>
      </c>
      <c r="HME611" s="17">
        <v>44925</v>
      </c>
      <c r="HMF611" s="5" t="s">
        <v>3728</v>
      </c>
      <c r="HMG611" s="17">
        <v>44925</v>
      </c>
      <c r="HMH611" s="5" t="s">
        <v>3728</v>
      </c>
      <c r="HMI611" s="17">
        <v>44925</v>
      </c>
      <c r="HMJ611" s="5" t="s">
        <v>3728</v>
      </c>
      <c r="HMK611" s="17">
        <v>44925</v>
      </c>
      <c r="HML611" s="5" t="s">
        <v>3728</v>
      </c>
      <c r="HMM611" s="17">
        <v>44925</v>
      </c>
      <c r="HMN611" s="5" t="s">
        <v>3728</v>
      </c>
      <c r="HMO611" s="17">
        <v>44925</v>
      </c>
      <c r="HMP611" s="5" t="s">
        <v>3728</v>
      </c>
      <c r="HMQ611" s="17">
        <v>44925</v>
      </c>
      <c r="HMR611" s="5" t="s">
        <v>3728</v>
      </c>
      <c r="HMS611" s="17">
        <v>44925</v>
      </c>
      <c r="HMT611" s="5" t="s">
        <v>3728</v>
      </c>
      <c r="HMU611" s="17">
        <v>44925</v>
      </c>
      <c r="HMV611" s="5" t="s">
        <v>3728</v>
      </c>
      <c r="HMW611" s="17">
        <v>44925</v>
      </c>
      <c r="HMX611" s="5" t="s">
        <v>3728</v>
      </c>
      <c r="HMY611" s="17">
        <v>44925</v>
      </c>
      <c r="HMZ611" s="5" t="s">
        <v>3728</v>
      </c>
      <c r="HNA611" s="17">
        <v>44925</v>
      </c>
      <c r="HNB611" s="5" t="s">
        <v>3728</v>
      </c>
      <c r="HNC611" s="17">
        <v>44925</v>
      </c>
      <c r="HND611" s="5" t="s">
        <v>3728</v>
      </c>
      <c r="HNE611" s="17">
        <v>44925</v>
      </c>
      <c r="HNF611" s="5" t="s">
        <v>3728</v>
      </c>
      <c r="HNG611" s="17">
        <v>44925</v>
      </c>
      <c r="HNH611" s="5" t="s">
        <v>3728</v>
      </c>
      <c r="HNI611" s="17">
        <v>44925</v>
      </c>
      <c r="HNJ611" s="5" t="s">
        <v>3728</v>
      </c>
      <c r="HNK611" s="17">
        <v>44925</v>
      </c>
      <c r="HNL611" s="5" t="s">
        <v>3728</v>
      </c>
      <c r="HNM611" s="17">
        <v>44925</v>
      </c>
      <c r="HNN611" s="5" t="s">
        <v>3728</v>
      </c>
      <c r="HNO611" s="17">
        <v>44925</v>
      </c>
      <c r="HNP611" s="5" t="s">
        <v>3728</v>
      </c>
      <c r="HNQ611" s="17">
        <v>44925</v>
      </c>
      <c r="HNR611" s="5" t="s">
        <v>3728</v>
      </c>
      <c r="HNS611" s="17">
        <v>44925</v>
      </c>
      <c r="HNT611" s="5" t="s">
        <v>3728</v>
      </c>
      <c r="HNU611" s="17">
        <v>44925</v>
      </c>
      <c r="HNV611" s="5" t="s">
        <v>3728</v>
      </c>
      <c r="HNW611" s="17">
        <v>44925</v>
      </c>
      <c r="HNX611" s="5" t="s">
        <v>3728</v>
      </c>
      <c r="HNY611" s="17">
        <v>44925</v>
      </c>
      <c r="HNZ611" s="5" t="s">
        <v>3728</v>
      </c>
      <c r="HOA611" s="17">
        <v>44925</v>
      </c>
      <c r="HOB611" s="5" t="s">
        <v>3728</v>
      </c>
      <c r="HOC611" s="17">
        <v>44925</v>
      </c>
      <c r="HOD611" s="5" t="s">
        <v>3728</v>
      </c>
      <c r="HOE611" s="17">
        <v>44925</v>
      </c>
      <c r="HOF611" s="5" t="s">
        <v>3728</v>
      </c>
      <c r="HOG611" s="17">
        <v>44925</v>
      </c>
      <c r="HOH611" s="5" t="s">
        <v>3728</v>
      </c>
      <c r="HOI611" s="17">
        <v>44925</v>
      </c>
      <c r="HOJ611" s="5" t="s">
        <v>3728</v>
      </c>
      <c r="HOK611" s="17">
        <v>44925</v>
      </c>
      <c r="HOL611" s="5" t="s">
        <v>3728</v>
      </c>
      <c r="HOM611" s="17">
        <v>44925</v>
      </c>
      <c r="HON611" s="5" t="s">
        <v>3728</v>
      </c>
      <c r="HOO611" s="17">
        <v>44925</v>
      </c>
      <c r="HOP611" s="5" t="s">
        <v>3728</v>
      </c>
      <c r="HOQ611" s="17">
        <v>44925</v>
      </c>
      <c r="HOR611" s="5" t="s">
        <v>3728</v>
      </c>
      <c r="HOS611" s="17">
        <v>44925</v>
      </c>
      <c r="HOT611" s="5" t="s">
        <v>3728</v>
      </c>
      <c r="HOU611" s="17">
        <v>44925</v>
      </c>
      <c r="HOV611" s="5" t="s">
        <v>3728</v>
      </c>
      <c r="HOW611" s="17">
        <v>44925</v>
      </c>
      <c r="HOX611" s="5" t="s">
        <v>3728</v>
      </c>
      <c r="HOY611" s="17">
        <v>44925</v>
      </c>
      <c r="HOZ611" s="5" t="s">
        <v>3728</v>
      </c>
      <c r="HPA611" s="17">
        <v>44925</v>
      </c>
      <c r="HPB611" s="5" t="s">
        <v>3728</v>
      </c>
      <c r="HPC611" s="17">
        <v>44925</v>
      </c>
      <c r="HPD611" s="5" t="s">
        <v>3728</v>
      </c>
      <c r="HPE611" s="17">
        <v>44925</v>
      </c>
      <c r="HPF611" s="5" t="s">
        <v>3728</v>
      </c>
      <c r="HPG611" s="17">
        <v>44925</v>
      </c>
      <c r="HPH611" s="5" t="s">
        <v>3728</v>
      </c>
      <c r="HPI611" s="17">
        <v>44925</v>
      </c>
      <c r="HPJ611" s="5" t="s">
        <v>3728</v>
      </c>
      <c r="HPK611" s="17">
        <v>44925</v>
      </c>
      <c r="HPL611" s="5" t="s">
        <v>3728</v>
      </c>
      <c r="HPM611" s="17">
        <v>44925</v>
      </c>
      <c r="HPN611" s="5" t="s">
        <v>3728</v>
      </c>
      <c r="HPO611" s="17">
        <v>44925</v>
      </c>
      <c r="HPP611" s="5" t="s">
        <v>3728</v>
      </c>
      <c r="HPQ611" s="17">
        <v>44925</v>
      </c>
      <c r="HPR611" s="5" t="s">
        <v>3728</v>
      </c>
      <c r="HPS611" s="17">
        <v>44925</v>
      </c>
      <c r="HPT611" s="5" t="s">
        <v>3728</v>
      </c>
      <c r="HPU611" s="17">
        <v>44925</v>
      </c>
      <c r="HPV611" s="5" t="s">
        <v>3728</v>
      </c>
      <c r="HPW611" s="17">
        <v>44925</v>
      </c>
      <c r="HPX611" s="5" t="s">
        <v>3728</v>
      </c>
      <c r="HPY611" s="17">
        <v>44925</v>
      </c>
      <c r="HPZ611" s="5" t="s">
        <v>3728</v>
      </c>
      <c r="HQA611" s="17">
        <v>44925</v>
      </c>
      <c r="HQB611" s="5" t="s">
        <v>3728</v>
      </c>
      <c r="HQC611" s="17">
        <v>44925</v>
      </c>
      <c r="HQD611" s="5" t="s">
        <v>3728</v>
      </c>
      <c r="HQE611" s="17">
        <v>44925</v>
      </c>
      <c r="HQF611" s="5" t="s">
        <v>3728</v>
      </c>
      <c r="HQG611" s="17">
        <v>44925</v>
      </c>
      <c r="HQH611" s="5" t="s">
        <v>3728</v>
      </c>
      <c r="HQI611" s="17">
        <v>44925</v>
      </c>
      <c r="HQJ611" s="5" t="s">
        <v>3728</v>
      </c>
      <c r="HQK611" s="17">
        <v>44925</v>
      </c>
      <c r="HQL611" s="5" t="s">
        <v>3728</v>
      </c>
      <c r="HQM611" s="17">
        <v>44925</v>
      </c>
      <c r="HQN611" s="5" t="s">
        <v>3728</v>
      </c>
      <c r="HQO611" s="17">
        <v>44925</v>
      </c>
      <c r="HQP611" s="5" t="s">
        <v>3728</v>
      </c>
      <c r="HQQ611" s="17">
        <v>44925</v>
      </c>
      <c r="HQR611" s="5" t="s">
        <v>3728</v>
      </c>
      <c r="HQS611" s="17">
        <v>44925</v>
      </c>
      <c r="HQT611" s="5" t="s">
        <v>3728</v>
      </c>
      <c r="HQU611" s="17">
        <v>44925</v>
      </c>
      <c r="HQV611" s="5" t="s">
        <v>3728</v>
      </c>
      <c r="HQW611" s="17">
        <v>44925</v>
      </c>
      <c r="HQX611" s="5" t="s">
        <v>3728</v>
      </c>
      <c r="HQY611" s="17">
        <v>44925</v>
      </c>
      <c r="HQZ611" s="5" t="s">
        <v>3728</v>
      </c>
      <c r="HRA611" s="17">
        <v>44925</v>
      </c>
      <c r="HRB611" s="5" t="s">
        <v>3728</v>
      </c>
      <c r="HRC611" s="17">
        <v>44925</v>
      </c>
      <c r="HRD611" s="5" t="s">
        <v>3728</v>
      </c>
      <c r="HRE611" s="17">
        <v>44925</v>
      </c>
      <c r="HRF611" s="5" t="s">
        <v>3728</v>
      </c>
      <c r="HRG611" s="17">
        <v>44925</v>
      </c>
      <c r="HRH611" s="5" t="s">
        <v>3728</v>
      </c>
      <c r="HRI611" s="17">
        <v>44925</v>
      </c>
      <c r="HRJ611" s="5" t="s">
        <v>3728</v>
      </c>
      <c r="HRK611" s="17">
        <v>44925</v>
      </c>
      <c r="HRL611" s="5" t="s">
        <v>3728</v>
      </c>
      <c r="HRM611" s="17">
        <v>44925</v>
      </c>
      <c r="HRN611" s="5" t="s">
        <v>3728</v>
      </c>
      <c r="HRO611" s="17">
        <v>44925</v>
      </c>
      <c r="HRP611" s="5" t="s">
        <v>3728</v>
      </c>
      <c r="HRQ611" s="17">
        <v>44925</v>
      </c>
      <c r="HRR611" s="5" t="s">
        <v>3728</v>
      </c>
      <c r="HRS611" s="17">
        <v>44925</v>
      </c>
      <c r="HRT611" s="5" t="s">
        <v>3728</v>
      </c>
      <c r="HRU611" s="17">
        <v>44925</v>
      </c>
      <c r="HRV611" s="5" t="s">
        <v>3728</v>
      </c>
      <c r="HRW611" s="17">
        <v>44925</v>
      </c>
      <c r="HRX611" s="5" t="s">
        <v>3728</v>
      </c>
      <c r="HRY611" s="17">
        <v>44925</v>
      </c>
      <c r="HRZ611" s="5" t="s">
        <v>3728</v>
      </c>
      <c r="HSA611" s="17">
        <v>44925</v>
      </c>
      <c r="HSB611" s="5" t="s">
        <v>3728</v>
      </c>
      <c r="HSC611" s="17">
        <v>44925</v>
      </c>
      <c r="HSD611" s="5" t="s">
        <v>3728</v>
      </c>
      <c r="HSE611" s="17">
        <v>44925</v>
      </c>
      <c r="HSF611" s="5" t="s">
        <v>3728</v>
      </c>
      <c r="HSG611" s="17">
        <v>44925</v>
      </c>
      <c r="HSH611" s="5" t="s">
        <v>3728</v>
      </c>
      <c r="HSI611" s="17">
        <v>44925</v>
      </c>
      <c r="HSJ611" s="5" t="s">
        <v>3728</v>
      </c>
      <c r="HSK611" s="17">
        <v>44925</v>
      </c>
      <c r="HSL611" s="5" t="s">
        <v>3728</v>
      </c>
      <c r="HSM611" s="17">
        <v>44925</v>
      </c>
      <c r="HSN611" s="5" t="s">
        <v>3728</v>
      </c>
      <c r="HSO611" s="17">
        <v>44925</v>
      </c>
      <c r="HSP611" s="5" t="s">
        <v>3728</v>
      </c>
      <c r="HSQ611" s="17">
        <v>44925</v>
      </c>
      <c r="HSR611" s="5" t="s">
        <v>3728</v>
      </c>
      <c r="HSS611" s="17">
        <v>44925</v>
      </c>
      <c r="HST611" s="5" t="s">
        <v>3728</v>
      </c>
      <c r="HSU611" s="17">
        <v>44925</v>
      </c>
      <c r="HSV611" s="5" t="s">
        <v>3728</v>
      </c>
      <c r="HSW611" s="17">
        <v>44925</v>
      </c>
      <c r="HSX611" s="5" t="s">
        <v>3728</v>
      </c>
      <c r="HSY611" s="17">
        <v>44925</v>
      </c>
      <c r="HSZ611" s="5" t="s">
        <v>3728</v>
      </c>
      <c r="HTA611" s="17">
        <v>44925</v>
      </c>
      <c r="HTB611" s="5" t="s">
        <v>3728</v>
      </c>
      <c r="HTC611" s="17">
        <v>44925</v>
      </c>
      <c r="HTD611" s="5" t="s">
        <v>3728</v>
      </c>
      <c r="HTE611" s="17">
        <v>44925</v>
      </c>
      <c r="HTF611" s="5" t="s">
        <v>3728</v>
      </c>
      <c r="HTG611" s="17">
        <v>44925</v>
      </c>
      <c r="HTH611" s="5" t="s">
        <v>3728</v>
      </c>
      <c r="HTI611" s="17">
        <v>44925</v>
      </c>
      <c r="HTJ611" s="5" t="s">
        <v>3728</v>
      </c>
      <c r="HTK611" s="17">
        <v>44925</v>
      </c>
      <c r="HTL611" s="5" t="s">
        <v>3728</v>
      </c>
      <c r="HTM611" s="17">
        <v>44925</v>
      </c>
      <c r="HTN611" s="5" t="s">
        <v>3728</v>
      </c>
      <c r="HTO611" s="17">
        <v>44925</v>
      </c>
      <c r="HTP611" s="5" t="s">
        <v>3728</v>
      </c>
      <c r="HTQ611" s="17">
        <v>44925</v>
      </c>
      <c r="HTR611" s="5" t="s">
        <v>3728</v>
      </c>
      <c r="HTS611" s="17">
        <v>44925</v>
      </c>
      <c r="HTT611" s="5" t="s">
        <v>3728</v>
      </c>
      <c r="HTU611" s="17">
        <v>44925</v>
      </c>
      <c r="HTV611" s="5" t="s">
        <v>3728</v>
      </c>
      <c r="HTW611" s="17">
        <v>44925</v>
      </c>
      <c r="HTX611" s="5" t="s">
        <v>3728</v>
      </c>
      <c r="HTY611" s="17">
        <v>44925</v>
      </c>
      <c r="HTZ611" s="5" t="s">
        <v>3728</v>
      </c>
      <c r="HUA611" s="17">
        <v>44925</v>
      </c>
      <c r="HUB611" s="5" t="s">
        <v>3728</v>
      </c>
      <c r="HUC611" s="17">
        <v>44925</v>
      </c>
      <c r="HUD611" s="5" t="s">
        <v>3728</v>
      </c>
      <c r="HUE611" s="17">
        <v>44925</v>
      </c>
      <c r="HUF611" s="5" t="s">
        <v>3728</v>
      </c>
      <c r="HUG611" s="17">
        <v>44925</v>
      </c>
      <c r="HUH611" s="5" t="s">
        <v>3728</v>
      </c>
      <c r="HUI611" s="17">
        <v>44925</v>
      </c>
      <c r="HUJ611" s="5" t="s">
        <v>3728</v>
      </c>
      <c r="HUK611" s="17">
        <v>44925</v>
      </c>
      <c r="HUL611" s="5" t="s">
        <v>3728</v>
      </c>
      <c r="HUM611" s="17">
        <v>44925</v>
      </c>
      <c r="HUN611" s="5" t="s">
        <v>3728</v>
      </c>
      <c r="HUO611" s="17">
        <v>44925</v>
      </c>
      <c r="HUP611" s="5" t="s">
        <v>3728</v>
      </c>
      <c r="HUQ611" s="17">
        <v>44925</v>
      </c>
      <c r="HUR611" s="5" t="s">
        <v>3728</v>
      </c>
      <c r="HUS611" s="17">
        <v>44925</v>
      </c>
      <c r="HUT611" s="5" t="s">
        <v>3728</v>
      </c>
      <c r="HUU611" s="17">
        <v>44925</v>
      </c>
      <c r="HUV611" s="5" t="s">
        <v>3728</v>
      </c>
      <c r="HUW611" s="17">
        <v>44925</v>
      </c>
      <c r="HUX611" s="5" t="s">
        <v>3728</v>
      </c>
      <c r="HUY611" s="17">
        <v>44925</v>
      </c>
      <c r="HUZ611" s="5" t="s">
        <v>3728</v>
      </c>
      <c r="HVA611" s="17">
        <v>44925</v>
      </c>
      <c r="HVB611" s="5" t="s">
        <v>3728</v>
      </c>
      <c r="HVC611" s="17">
        <v>44925</v>
      </c>
      <c r="HVD611" s="5" t="s">
        <v>3728</v>
      </c>
      <c r="HVE611" s="17">
        <v>44925</v>
      </c>
      <c r="HVF611" s="5" t="s">
        <v>3728</v>
      </c>
      <c r="HVG611" s="17">
        <v>44925</v>
      </c>
      <c r="HVH611" s="5" t="s">
        <v>3728</v>
      </c>
      <c r="HVI611" s="17">
        <v>44925</v>
      </c>
      <c r="HVJ611" s="5" t="s">
        <v>3728</v>
      </c>
      <c r="HVK611" s="17">
        <v>44925</v>
      </c>
      <c r="HVL611" s="5" t="s">
        <v>3728</v>
      </c>
      <c r="HVM611" s="17">
        <v>44925</v>
      </c>
      <c r="HVN611" s="5" t="s">
        <v>3728</v>
      </c>
      <c r="HVO611" s="17">
        <v>44925</v>
      </c>
      <c r="HVP611" s="5" t="s">
        <v>3728</v>
      </c>
      <c r="HVQ611" s="17">
        <v>44925</v>
      </c>
      <c r="HVR611" s="5" t="s">
        <v>3728</v>
      </c>
      <c r="HVS611" s="17">
        <v>44925</v>
      </c>
      <c r="HVT611" s="5" t="s">
        <v>3728</v>
      </c>
      <c r="HVU611" s="17">
        <v>44925</v>
      </c>
      <c r="HVV611" s="5" t="s">
        <v>3728</v>
      </c>
      <c r="HVW611" s="17">
        <v>44925</v>
      </c>
      <c r="HVX611" s="5" t="s">
        <v>3728</v>
      </c>
      <c r="HVY611" s="17">
        <v>44925</v>
      </c>
      <c r="HVZ611" s="5" t="s">
        <v>3728</v>
      </c>
      <c r="HWA611" s="17">
        <v>44925</v>
      </c>
      <c r="HWB611" s="5" t="s">
        <v>3728</v>
      </c>
      <c r="HWC611" s="17">
        <v>44925</v>
      </c>
      <c r="HWD611" s="5" t="s">
        <v>3728</v>
      </c>
      <c r="HWE611" s="17">
        <v>44925</v>
      </c>
      <c r="HWF611" s="5" t="s">
        <v>3728</v>
      </c>
      <c r="HWG611" s="17">
        <v>44925</v>
      </c>
      <c r="HWH611" s="5" t="s">
        <v>3728</v>
      </c>
      <c r="HWI611" s="17">
        <v>44925</v>
      </c>
      <c r="HWJ611" s="5" t="s">
        <v>3728</v>
      </c>
      <c r="HWK611" s="17">
        <v>44925</v>
      </c>
      <c r="HWL611" s="5" t="s">
        <v>3728</v>
      </c>
      <c r="HWM611" s="17">
        <v>44925</v>
      </c>
      <c r="HWN611" s="5" t="s">
        <v>3728</v>
      </c>
      <c r="HWO611" s="17">
        <v>44925</v>
      </c>
      <c r="HWP611" s="5" t="s">
        <v>3728</v>
      </c>
      <c r="HWQ611" s="17">
        <v>44925</v>
      </c>
      <c r="HWR611" s="5" t="s">
        <v>3728</v>
      </c>
      <c r="HWS611" s="17">
        <v>44925</v>
      </c>
      <c r="HWT611" s="5" t="s">
        <v>3728</v>
      </c>
      <c r="HWU611" s="17">
        <v>44925</v>
      </c>
      <c r="HWV611" s="5" t="s">
        <v>3728</v>
      </c>
      <c r="HWW611" s="17">
        <v>44925</v>
      </c>
      <c r="HWX611" s="5" t="s">
        <v>3728</v>
      </c>
      <c r="HWY611" s="17">
        <v>44925</v>
      </c>
      <c r="HWZ611" s="5" t="s">
        <v>3728</v>
      </c>
      <c r="HXA611" s="17">
        <v>44925</v>
      </c>
      <c r="HXB611" s="5" t="s">
        <v>3728</v>
      </c>
      <c r="HXC611" s="17">
        <v>44925</v>
      </c>
      <c r="HXD611" s="5" t="s">
        <v>3728</v>
      </c>
      <c r="HXE611" s="17">
        <v>44925</v>
      </c>
      <c r="HXF611" s="5" t="s">
        <v>3728</v>
      </c>
      <c r="HXG611" s="17">
        <v>44925</v>
      </c>
      <c r="HXH611" s="5" t="s">
        <v>3728</v>
      </c>
      <c r="HXI611" s="17">
        <v>44925</v>
      </c>
      <c r="HXJ611" s="5" t="s">
        <v>3728</v>
      </c>
      <c r="HXK611" s="17">
        <v>44925</v>
      </c>
      <c r="HXL611" s="5" t="s">
        <v>3728</v>
      </c>
      <c r="HXM611" s="17">
        <v>44925</v>
      </c>
      <c r="HXN611" s="5" t="s">
        <v>3728</v>
      </c>
      <c r="HXO611" s="17">
        <v>44925</v>
      </c>
      <c r="HXP611" s="5" t="s">
        <v>3728</v>
      </c>
      <c r="HXQ611" s="17">
        <v>44925</v>
      </c>
      <c r="HXR611" s="5" t="s">
        <v>3728</v>
      </c>
      <c r="HXS611" s="17">
        <v>44925</v>
      </c>
      <c r="HXT611" s="5" t="s">
        <v>3728</v>
      </c>
      <c r="HXU611" s="17">
        <v>44925</v>
      </c>
      <c r="HXV611" s="5" t="s">
        <v>3728</v>
      </c>
      <c r="HXW611" s="17">
        <v>44925</v>
      </c>
      <c r="HXX611" s="5" t="s">
        <v>3728</v>
      </c>
      <c r="HXY611" s="17">
        <v>44925</v>
      </c>
      <c r="HXZ611" s="5" t="s">
        <v>3728</v>
      </c>
      <c r="HYA611" s="17">
        <v>44925</v>
      </c>
      <c r="HYB611" s="5" t="s">
        <v>3728</v>
      </c>
      <c r="HYC611" s="17">
        <v>44925</v>
      </c>
      <c r="HYD611" s="5" t="s">
        <v>3728</v>
      </c>
      <c r="HYE611" s="17">
        <v>44925</v>
      </c>
      <c r="HYF611" s="5" t="s">
        <v>3728</v>
      </c>
      <c r="HYG611" s="17">
        <v>44925</v>
      </c>
      <c r="HYH611" s="5" t="s">
        <v>3728</v>
      </c>
      <c r="HYI611" s="17">
        <v>44925</v>
      </c>
      <c r="HYJ611" s="5" t="s">
        <v>3728</v>
      </c>
      <c r="HYK611" s="17">
        <v>44925</v>
      </c>
      <c r="HYL611" s="5" t="s">
        <v>3728</v>
      </c>
      <c r="HYM611" s="17">
        <v>44925</v>
      </c>
      <c r="HYN611" s="5" t="s">
        <v>3728</v>
      </c>
      <c r="HYO611" s="17">
        <v>44925</v>
      </c>
      <c r="HYP611" s="5" t="s">
        <v>3728</v>
      </c>
      <c r="HYQ611" s="17">
        <v>44925</v>
      </c>
      <c r="HYR611" s="5" t="s">
        <v>3728</v>
      </c>
      <c r="HYS611" s="17">
        <v>44925</v>
      </c>
      <c r="HYT611" s="5" t="s">
        <v>3728</v>
      </c>
      <c r="HYU611" s="17">
        <v>44925</v>
      </c>
      <c r="HYV611" s="5" t="s">
        <v>3728</v>
      </c>
      <c r="HYW611" s="17">
        <v>44925</v>
      </c>
      <c r="HYX611" s="5" t="s">
        <v>3728</v>
      </c>
      <c r="HYY611" s="17">
        <v>44925</v>
      </c>
      <c r="HYZ611" s="5" t="s">
        <v>3728</v>
      </c>
      <c r="HZA611" s="17">
        <v>44925</v>
      </c>
      <c r="HZB611" s="5" t="s">
        <v>3728</v>
      </c>
      <c r="HZC611" s="17">
        <v>44925</v>
      </c>
      <c r="HZD611" s="5" t="s">
        <v>3728</v>
      </c>
      <c r="HZE611" s="17">
        <v>44925</v>
      </c>
      <c r="HZF611" s="5" t="s">
        <v>3728</v>
      </c>
      <c r="HZG611" s="17">
        <v>44925</v>
      </c>
      <c r="HZH611" s="5" t="s">
        <v>3728</v>
      </c>
      <c r="HZI611" s="17">
        <v>44925</v>
      </c>
      <c r="HZJ611" s="5" t="s">
        <v>3728</v>
      </c>
      <c r="HZK611" s="17">
        <v>44925</v>
      </c>
      <c r="HZL611" s="5" t="s">
        <v>3728</v>
      </c>
      <c r="HZM611" s="17">
        <v>44925</v>
      </c>
      <c r="HZN611" s="5" t="s">
        <v>3728</v>
      </c>
      <c r="HZO611" s="17">
        <v>44925</v>
      </c>
      <c r="HZP611" s="5" t="s">
        <v>3728</v>
      </c>
      <c r="HZQ611" s="17">
        <v>44925</v>
      </c>
      <c r="HZR611" s="5" t="s">
        <v>3728</v>
      </c>
      <c r="HZS611" s="17">
        <v>44925</v>
      </c>
      <c r="HZT611" s="5" t="s">
        <v>3728</v>
      </c>
      <c r="HZU611" s="17">
        <v>44925</v>
      </c>
      <c r="HZV611" s="5" t="s">
        <v>3728</v>
      </c>
      <c r="HZW611" s="17">
        <v>44925</v>
      </c>
      <c r="HZX611" s="5" t="s">
        <v>3728</v>
      </c>
      <c r="HZY611" s="17">
        <v>44925</v>
      </c>
      <c r="HZZ611" s="5" t="s">
        <v>3728</v>
      </c>
      <c r="IAA611" s="17">
        <v>44925</v>
      </c>
      <c r="IAB611" s="5" t="s">
        <v>3728</v>
      </c>
      <c r="IAC611" s="17">
        <v>44925</v>
      </c>
      <c r="IAD611" s="5" t="s">
        <v>3728</v>
      </c>
      <c r="IAE611" s="17">
        <v>44925</v>
      </c>
      <c r="IAF611" s="5" t="s">
        <v>3728</v>
      </c>
      <c r="IAG611" s="17">
        <v>44925</v>
      </c>
      <c r="IAH611" s="5" t="s">
        <v>3728</v>
      </c>
      <c r="IAI611" s="17">
        <v>44925</v>
      </c>
      <c r="IAJ611" s="5" t="s">
        <v>3728</v>
      </c>
      <c r="IAK611" s="17">
        <v>44925</v>
      </c>
      <c r="IAL611" s="5" t="s">
        <v>3728</v>
      </c>
      <c r="IAM611" s="17">
        <v>44925</v>
      </c>
      <c r="IAN611" s="5" t="s">
        <v>3728</v>
      </c>
      <c r="IAO611" s="17">
        <v>44925</v>
      </c>
      <c r="IAP611" s="5" t="s">
        <v>3728</v>
      </c>
      <c r="IAQ611" s="17">
        <v>44925</v>
      </c>
      <c r="IAR611" s="5" t="s">
        <v>3728</v>
      </c>
      <c r="IAS611" s="17">
        <v>44925</v>
      </c>
      <c r="IAT611" s="5" t="s">
        <v>3728</v>
      </c>
      <c r="IAU611" s="17">
        <v>44925</v>
      </c>
      <c r="IAV611" s="5" t="s">
        <v>3728</v>
      </c>
      <c r="IAW611" s="17">
        <v>44925</v>
      </c>
      <c r="IAX611" s="5" t="s">
        <v>3728</v>
      </c>
      <c r="IAY611" s="17">
        <v>44925</v>
      </c>
      <c r="IAZ611" s="5" t="s">
        <v>3728</v>
      </c>
      <c r="IBA611" s="17">
        <v>44925</v>
      </c>
      <c r="IBB611" s="5" t="s">
        <v>3728</v>
      </c>
      <c r="IBC611" s="17">
        <v>44925</v>
      </c>
      <c r="IBD611" s="5" t="s">
        <v>3728</v>
      </c>
      <c r="IBE611" s="17">
        <v>44925</v>
      </c>
      <c r="IBF611" s="5" t="s">
        <v>3728</v>
      </c>
      <c r="IBG611" s="17">
        <v>44925</v>
      </c>
      <c r="IBH611" s="5" t="s">
        <v>3728</v>
      </c>
      <c r="IBI611" s="17">
        <v>44925</v>
      </c>
      <c r="IBJ611" s="5" t="s">
        <v>3728</v>
      </c>
      <c r="IBK611" s="17">
        <v>44925</v>
      </c>
      <c r="IBL611" s="5" t="s">
        <v>3728</v>
      </c>
      <c r="IBM611" s="17">
        <v>44925</v>
      </c>
      <c r="IBN611" s="5" t="s">
        <v>3728</v>
      </c>
      <c r="IBO611" s="17">
        <v>44925</v>
      </c>
      <c r="IBP611" s="5" t="s">
        <v>3728</v>
      </c>
      <c r="IBQ611" s="17">
        <v>44925</v>
      </c>
      <c r="IBR611" s="5" t="s">
        <v>3728</v>
      </c>
      <c r="IBS611" s="17">
        <v>44925</v>
      </c>
      <c r="IBT611" s="5" t="s">
        <v>3728</v>
      </c>
      <c r="IBU611" s="17">
        <v>44925</v>
      </c>
      <c r="IBV611" s="5" t="s">
        <v>3728</v>
      </c>
      <c r="IBW611" s="17">
        <v>44925</v>
      </c>
      <c r="IBX611" s="5" t="s">
        <v>3728</v>
      </c>
      <c r="IBY611" s="17">
        <v>44925</v>
      </c>
      <c r="IBZ611" s="5" t="s">
        <v>3728</v>
      </c>
      <c r="ICA611" s="17">
        <v>44925</v>
      </c>
      <c r="ICB611" s="5" t="s">
        <v>3728</v>
      </c>
      <c r="ICC611" s="17">
        <v>44925</v>
      </c>
      <c r="ICD611" s="5" t="s">
        <v>3728</v>
      </c>
      <c r="ICE611" s="17">
        <v>44925</v>
      </c>
      <c r="ICF611" s="5" t="s">
        <v>3728</v>
      </c>
      <c r="ICG611" s="17">
        <v>44925</v>
      </c>
      <c r="ICH611" s="5" t="s">
        <v>3728</v>
      </c>
      <c r="ICI611" s="17">
        <v>44925</v>
      </c>
      <c r="ICJ611" s="5" t="s">
        <v>3728</v>
      </c>
      <c r="ICK611" s="17">
        <v>44925</v>
      </c>
      <c r="ICL611" s="5" t="s">
        <v>3728</v>
      </c>
      <c r="ICM611" s="17">
        <v>44925</v>
      </c>
      <c r="ICN611" s="5" t="s">
        <v>3728</v>
      </c>
      <c r="ICO611" s="17">
        <v>44925</v>
      </c>
      <c r="ICP611" s="5" t="s">
        <v>3728</v>
      </c>
      <c r="ICQ611" s="17">
        <v>44925</v>
      </c>
      <c r="ICR611" s="5" t="s">
        <v>3728</v>
      </c>
      <c r="ICS611" s="17">
        <v>44925</v>
      </c>
      <c r="ICT611" s="5" t="s">
        <v>3728</v>
      </c>
      <c r="ICU611" s="17">
        <v>44925</v>
      </c>
      <c r="ICV611" s="5" t="s">
        <v>3728</v>
      </c>
      <c r="ICW611" s="17">
        <v>44925</v>
      </c>
      <c r="ICX611" s="5" t="s">
        <v>3728</v>
      </c>
      <c r="ICY611" s="17">
        <v>44925</v>
      </c>
      <c r="ICZ611" s="5" t="s">
        <v>3728</v>
      </c>
      <c r="IDA611" s="17">
        <v>44925</v>
      </c>
      <c r="IDB611" s="5" t="s">
        <v>3728</v>
      </c>
      <c r="IDC611" s="17">
        <v>44925</v>
      </c>
      <c r="IDD611" s="5" t="s">
        <v>3728</v>
      </c>
      <c r="IDE611" s="17">
        <v>44925</v>
      </c>
      <c r="IDF611" s="5" t="s">
        <v>3728</v>
      </c>
      <c r="IDG611" s="17">
        <v>44925</v>
      </c>
      <c r="IDH611" s="5" t="s">
        <v>3728</v>
      </c>
      <c r="IDI611" s="17">
        <v>44925</v>
      </c>
      <c r="IDJ611" s="5" t="s">
        <v>3728</v>
      </c>
      <c r="IDK611" s="17">
        <v>44925</v>
      </c>
      <c r="IDL611" s="5" t="s">
        <v>3728</v>
      </c>
      <c r="IDM611" s="17">
        <v>44925</v>
      </c>
      <c r="IDN611" s="5" t="s">
        <v>3728</v>
      </c>
      <c r="IDO611" s="17">
        <v>44925</v>
      </c>
      <c r="IDP611" s="5" t="s">
        <v>3728</v>
      </c>
      <c r="IDQ611" s="17">
        <v>44925</v>
      </c>
      <c r="IDR611" s="5" t="s">
        <v>3728</v>
      </c>
      <c r="IDS611" s="17">
        <v>44925</v>
      </c>
      <c r="IDT611" s="5" t="s">
        <v>3728</v>
      </c>
      <c r="IDU611" s="17">
        <v>44925</v>
      </c>
      <c r="IDV611" s="5" t="s">
        <v>3728</v>
      </c>
      <c r="IDW611" s="17">
        <v>44925</v>
      </c>
      <c r="IDX611" s="5" t="s">
        <v>3728</v>
      </c>
      <c r="IDY611" s="17">
        <v>44925</v>
      </c>
      <c r="IDZ611" s="5" t="s">
        <v>3728</v>
      </c>
      <c r="IEA611" s="17">
        <v>44925</v>
      </c>
      <c r="IEB611" s="5" t="s">
        <v>3728</v>
      </c>
      <c r="IEC611" s="17">
        <v>44925</v>
      </c>
      <c r="IED611" s="5" t="s">
        <v>3728</v>
      </c>
      <c r="IEE611" s="17">
        <v>44925</v>
      </c>
      <c r="IEF611" s="5" t="s">
        <v>3728</v>
      </c>
      <c r="IEG611" s="17">
        <v>44925</v>
      </c>
      <c r="IEH611" s="5" t="s">
        <v>3728</v>
      </c>
      <c r="IEI611" s="17">
        <v>44925</v>
      </c>
      <c r="IEJ611" s="5" t="s">
        <v>3728</v>
      </c>
      <c r="IEK611" s="17">
        <v>44925</v>
      </c>
      <c r="IEL611" s="5" t="s">
        <v>3728</v>
      </c>
      <c r="IEM611" s="17">
        <v>44925</v>
      </c>
      <c r="IEN611" s="5" t="s">
        <v>3728</v>
      </c>
      <c r="IEO611" s="17">
        <v>44925</v>
      </c>
      <c r="IEP611" s="5" t="s">
        <v>3728</v>
      </c>
      <c r="IEQ611" s="17">
        <v>44925</v>
      </c>
      <c r="IER611" s="5" t="s">
        <v>3728</v>
      </c>
      <c r="IES611" s="17">
        <v>44925</v>
      </c>
      <c r="IET611" s="5" t="s">
        <v>3728</v>
      </c>
      <c r="IEU611" s="17">
        <v>44925</v>
      </c>
      <c r="IEV611" s="5" t="s">
        <v>3728</v>
      </c>
      <c r="IEW611" s="17">
        <v>44925</v>
      </c>
      <c r="IEX611" s="5" t="s">
        <v>3728</v>
      </c>
      <c r="IEY611" s="17">
        <v>44925</v>
      </c>
      <c r="IEZ611" s="5" t="s">
        <v>3728</v>
      </c>
      <c r="IFA611" s="17">
        <v>44925</v>
      </c>
      <c r="IFB611" s="5" t="s">
        <v>3728</v>
      </c>
      <c r="IFC611" s="17">
        <v>44925</v>
      </c>
      <c r="IFD611" s="5" t="s">
        <v>3728</v>
      </c>
      <c r="IFE611" s="17">
        <v>44925</v>
      </c>
      <c r="IFF611" s="5" t="s">
        <v>3728</v>
      </c>
      <c r="IFG611" s="17">
        <v>44925</v>
      </c>
      <c r="IFH611" s="5" t="s">
        <v>3728</v>
      </c>
      <c r="IFI611" s="17">
        <v>44925</v>
      </c>
      <c r="IFJ611" s="5" t="s">
        <v>3728</v>
      </c>
      <c r="IFK611" s="17">
        <v>44925</v>
      </c>
      <c r="IFL611" s="5" t="s">
        <v>3728</v>
      </c>
      <c r="IFM611" s="17">
        <v>44925</v>
      </c>
      <c r="IFN611" s="5" t="s">
        <v>3728</v>
      </c>
      <c r="IFO611" s="17">
        <v>44925</v>
      </c>
      <c r="IFP611" s="5" t="s">
        <v>3728</v>
      </c>
      <c r="IFQ611" s="17">
        <v>44925</v>
      </c>
      <c r="IFR611" s="5" t="s">
        <v>3728</v>
      </c>
      <c r="IFS611" s="17">
        <v>44925</v>
      </c>
      <c r="IFT611" s="5" t="s">
        <v>3728</v>
      </c>
      <c r="IFU611" s="17">
        <v>44925</v>
      </c>
      <c r="IFV611" s="5" t="s">
        <v>3728</v>
      </c>
      <c r="IFW611" s="17">
        <v>44925</v>
      </c>
      <c r="IFX611" s="5" t="s">
        <v>3728</v>
      </c>
      <c r="IFY611" s="17">
        <v>44925</v>
      </c>
      <c r="IFZ611" s="5" t="s">
        <v>3728</v>
      </c>
      <c r="IGA611" s="17">
        <v>44925</v>
      </c>
      <c r="IGB611" s="5" t="s">
        <v>3728</v>
      </c>
      <c r="IGC611" s="17">
        <v>44925</v>
      </c>
      <c r="IGD611" s="5" t="s">
        <v>3728</v>
      </c>
      <c r="IGE611" s="17">
        <v>44925</v>
      </c>
      <c r="IGF611" s="5" t="s">
        <v>3728</v>
      </c>
      <c r="IGG611" s="17">
        <v>44925</v>
      </c>
      <c r="IGH611" s="5" t="s">
        <v>3728</v>
      </c>
      <c r="IGI611" s="17">
        <v>44925</v>
      </c>
      <c r="IGJ611" s="5" t="s">
        <v>3728</v>
      </c>
      <c r="IGK611" s="17">
        <v>44925</v>
      </c>
      <c r="IGL611" s="5" t="s">
        <v>3728</v>
      </c>
      <c r="IGM611" s="17">
        <v>44925</v>
      </c>
      <c r="IGN611" s="5" t="s">
        <v>3728</v>
      </c>
      <c r="IGO611" s="17">
        <v>44925</v>
      </c>
      <c r="IGP611" s="5" t="s">
        <v>3728</v>
      </c>
      <c r="IGQ611" s="17">
        <v>44925</v>
      </c>
      <c r="IGR611" s="5" t="s">
        <v>3728</v>
      </c>
      <c r="IGS611" s="17">
        <v>44925</v>
      </c>
      <c r="IGT611" s="5" t="s">
        <v>3728</v>
      </c>
      <c r="IGU611" s="17">
        <v>44925</v>
      </c>
      <c r="IGV611" s="5" t="s">
        <v>3728</v>
      </c>
      <c r="IGW611" s="17">
        <v>44925</v>
      </c>
      <c r="IGX611" s="5" t="s">
        <v>3728</v>
      </c>
      <c r="IGY611" s="17">
        <v>44925</v>
      </c>
      <c r="IGZ611" s="5" t="s">
        <v>3728</v>
      </c>
      <c r="IHA611" s="17">
        <v>44925</v>
      </c>
      <c r="IHB611" s="5" t="s">
        <v>3728</v>
      </c>
      <c r="IHC611" s="17">
        <v>44925</v>
      </c>
      <c r="IHD611" s="5" t="s">
        <v>3728</v>
      </c>
      <c r="IHE611" s="17">
        <v>44925</v>
      </c>
      <c r="IHF611" s="5" t="s">
        <v>3728</v>
      </c>
      <c r="IHG611" s="17">
        <v>44925</v>
      </c>
      <c r="IHH611" s="5" t="s">
        <v>3728</v>
      </c>
      <c r="IHI611" s="17">
        <v>44925</v>
      </c>
      <c r="IHJ611" s="5" t="s">
        <v>3728</v>
      </c>
      <c r="IHK611" s="17">
        <v>44925</v>
      </c>
      <c r="IHL611" s="5" t="s">
        <v>3728</v>
      </c>
      <c r="IHM611" s="17">
        <v>44925</v>
      </c>
      <c r="IHN611" s="5" t="s">
        <v>3728</v>
      </c>
      <c r="IHO611" s="17">
        <v>44925</v>
      </c>
      <c r="IHP611" s="5" t="s">
        <v>3728</v>
      </c>
      <c r="IHQ611" s="17">
        <v>44925</v>
      </c>
      <c r="IHR611" s="5" t="s">
        <v>3728</v>
      </c>
      <c r="IHS611" s="17">
        <v>44925</v>
      </c>
      <c r="IHT611" s="5" t="s">
        <v>3728</v>
      </c>
      <c r="IHU611" s="17">
        <v>44925</v>
      </c>
      <c r="IHV611" s="5" t="s">
        <v>3728</v>
      </c>
      <c r="IHW611" s="17">
        <v>44925</v>
      </c>
      <c r="IHX611" s="5" t="s">
        <v>3728</v>
      </c>
      <c r="IHY611" s="17">
        <v>44925</v>
      </c>
      <c r="IHZ611" s="5" t="s">
        <v>3728</v>
      </c>
      <c r="IIA611" s="17">
        <v>44925</v>
      </c>
      <c r="IIB611" s="5" t="s">
        <v>3728</v>
      </c>
      <c r="IIC611" s="17">
        <v>44925</v>
      </c>
      <c r="IID611" s="5" t="s">
        <v>3728</v>
      </c>
      <c r="IIE611" s="17">
        <v>44925</v>
      </c>
      <c r="IIF611" s="5" t="s">
        <v>3728</v>
      </c>
      <c r="IIG611" s="17">
        <v>44925</v>
      </c>
      <c r="IIH611" s="5" t="s">
        <v>3728</v>
      </c>
      <c r="III611" s="17">
        <v>44925</v>
      </c>
      <c r="IIJ611" s="5" t="s">
        <v>3728</v>
      </c>
      <c r="IIK611" s="17">
        <v>44925</v>
      </c>
      <c r="IIL611" s="5" t="s">
        <v>3728</v>
      </c>
      <c r="IIM611" s="17">
        <v>44925</v>
      </c>
      <c r="IIN611" s="5" t="s">
        <v>3728</v>
      </c>
      <c r="IIO611" s="17">
        <v>44925</v>
      </c>
      <c r="IIP611" s="5" t="s">
        <v>3728</v>
      </c>
      <c r="IIQ611" s="17">
        <v>44925</v>
      </c>
      <c r="IIR611" s="5" t="s">
        <v>3728</v>
      </c>
      <c r="IIS611" s="17">
        <v>44925</v>
      </c>
      <c r="IIT611" s="5" t="s">
        <v>3728</v>
      </c>
      <c r="IIU611" s="17">
        <v>44925</v>
      </c>
      <c r="IIV611" s="5" t="s">
        <v>3728</v>
      </c>
      <c r="IIW611" s="17">
        <v>44925</v>
      </c>
      <c r="IIX611" s="5" t="s">
        <v>3728</v>
      </c>
      <c r="IIY611" s="17">
        <v>44925</v>
      </c>
      <c r="IIZ611" s="5" t="s">
        <v>3728</v>
      </c>
      <c r="IJA611" s="17">
        <v>44925</v>
      </c>
      <c r="IJB611" s="5" t="s">
        <v>3728</v>
      </c>
      <c r="IJC611" s="17">
        <v>44925</v>
      </c>
      <c r="IJD611" s="5" t="s">
        <v>3728</v>
      </c>
      <c r="IJE611" s="17">
        <v>44925</v>
      </c>
      <c r="IJF611" s="5" t="s">
        <v>3728</v>
      </c>
      <c r="IJG611" s="17">
        <v>44925</v>
      </c>
      <c r="IJH611" s="5" t="s">
        <v>3728</v>
      </c>
      <c r="IJI611" s="17">
        <v>44925</v>
      </c>
      <c r="IJJ611" s="5" t="s">
        <v>3728</v>
      </c>
      <c r="IJK611" s="17">
        <v>44925</v>
      </c>
      <c r="IJL611" s="5" t="s">
        <v>3728</v>
      </c>
      <c r="IJM611" s="17">
        <v>44925</v>
      </c>
      <c r="IJN611" s="5" t="s">
        <v>3728</v>
      </c>
      <c r="IJO611" s="17">
        <v>44925</v>
      </c>
      <c r="IJP611" s="5" t="s">
        <v>3728</v>
      </c>
      <c r="IJQ611" s="17">
        <v>44925</v>
      </c>
      <c r="IJR611" s="5" t="s">
        <v>3728</v>
      </c>
      <c r="IJS611" s="17">
        <v>44925</v>
      </c>
      <c r="IJT611" s="5" t="s">
        <v>3728</v>
      </c>
      <c r="IJU611" s="17">
        <v>44925</v>
      </c>
      <c r="IJV611" s="5" t="s">
        <v>3728</v>
      </c>
      <c r="IJW611" s="17">
        <v>44925</v>
      </c>
      <c r="IJX611" s="5" t="s">
        <v>3728</v>
      </c>
      <c r="IJY611" s="17">
        <v>44925</v>
      </c>
      <c r="IJZ611" s="5" t="s">
        <v>3728</v>
      </c>
      <c r="IKA611" s="17">
        <v>44925</v>
      </c>
      <c r="IKB611" s="5" t="s">
        <v>3728</v>
      </c>
      <c r="IKC611" s="17">
        <v>44925</v>
      </c>
      <c r="IKD611" s="5" t="s">
        <v>3728</v>
      </c>
      <c r="IKE611" s="17">
        <v>44925</v>
      </c>
      <c r="IKF611" s="5" t="s">
        <v>3728</v>
      </c>
      <c r="IKG611" s="17">
        <v>44925</v>
      </c>
      <c r="IKH611" s="5" t="s">
        <v>3728</v>
      </c>
      <c r="IKI611" s="17">
        <v>44925</v>
      </c>
      <c r="IKJ611" s="5" t="s">
        <v>3728</v>
      </c>
      <c r="IKK611" s="17">
        <v>44925</v>
      </c>
      <c r="IKL611" s="5" t="s">
        <v>3728</v>
      </c>
      <c r="IKM611" s="17">
        <v>44925</v>
      </c>
      <c r="IKN611" s="5" t="s">
        <v>3728</v>
      </c>
      <c r="IKO611" s="17">
        <v>44925</v>
      </c>
      <c r="IKP611" s="5" t="s">
        <v>3728</v>
      </c>
      <c r="IKQ611" s="17">
        <v>44925</v>
      </c>
      <c r="IKR611" s="5" t="s">
        <v>3728</v>
      </c>
      <c r="IKS611" s="17">
        <v>44925</v>
      </c>
      <c r="IKT611" s="5" t="s">
        <v>3728</v>
      </c>
      <c r="IKU611" s="17">
        <v>44925</v>
      </c>
      <c r="IKV611" s="5" t="s">
        <v>3728</v>
      </c>
      <c r="IKW611" s="17">
        <v>44925</v>
      </c>
      <c r="IKX611" s="5" t="s">
        <v>3728</v>
      </c>
      <c r="IKY611" s="17">
        <v>44925</v>
      </c>
      <c r="IKZ611" s="5" t="s">
        <v>3728</v>
      </c>
      <c r="ILA611" s="17">
        <v>44925</v>
      </c>
      <c r="ILB611" s="5" t="s">
        <v>3728</v>
      </c>
      <c r="ILC611" s="17">
        <v>44925</v>
      </c>
      <c r="ILD611" s="5" t="s">
        <v>3728</v>
      </c>
      <c r="ILE611" s="17">
        <v>44925</v>
      </c>
      <c r="ILF611" s="5" t="s">
        <v>3728</v>
      </c>
      <c r="ILG611" s="17">
        <v>44925</v>
      </c>
      <c r="ILH611" s="5" t="s">
        <v>3728</v>
      </c>
      <c r="ILI611" s="17">
        <v>44925</v>
      </c>
      <c r="ILJ611" s="5" t="s">
        <v>3728</v>
      </c>
      <c r="ILK611" s="17">
        <v>44925</v>
      </c>
      <c r="ILL611" s="5" t="s">
        <v>3728</v>
      </c>
      <c r="ILM611" s="17">
        <v>44925</v>
      </c>
      <c r="ILN611" s="5" t="s">
        <v>3728</v>
      </c>
      <c r="ILO611" s="17">
        <v>44925</v>
      </c>
      <c r="ILP611" s="5" t="s">
        <v>3728</v>
      </c>
      <c r="ILQ611" s="17">
        <v>44925</v>
      </c>
      <c r="ILR611" s="5" t="s">
        <v>3728</v>
      </c>
      <c r="ILS611" s="17">
        <v>44925</v>
      </c>
      <c r="ILT611" s="5" t="s">
        <v>3728</v>
      </c>
      <c r="ILU611" s="17">
        <v>44925</v>
      </c>
      <c r="ILV611" s="5" t="s">
        <v>3728</v>
      </c>
      <c r="ILW611" s="17">
        <v>44925</v>
      </c>
      <c r="ILX611" s="5" t="s">
        <v>3728</v>
      </c>
      <c r="ILY611" s="17">
        <v>44925</v>
      </c>
      <c r="ILZ611" s="5" t="s">
        <v>3728</v>
      </c>
      <c r="IMA611" s="17">
        <v>44925</v>
      </c>
      <c r="IMB611" s="5" t="s">
        <v>3728</v>
      </c>
      <c r="IMC611" s="17">
        <v>44925</v>
      </c>
      <c r="IMD611" s="5" t="s">
        <v>3728</v>
      </c>
      <c r="IME611" s="17">
        <v>44925</v>
      </c>
      <c r="IMF611" s="5" t="s">
        <v>3728</v>
      </c>
      <c r="IMG611" s="17">
        <v>44925</v>
      </c>
      <c r="IMH611" s="5" t="s">
        <v>3728</v>
      </c>
      <c r="IMI611" s="17">
        <v>44925</v>
      </c>
      <c r="IMJ611" s="5" t="s">
        <v>3728</v>
      </c>
      <c r="IMK611" s="17">
        <v>44925</v>
      </c>
      <c r="IML611" s="5" t="s">
        <v>3728</v>
      </c>
      <c r="IMM611" s="17">
        <v>44925</v>
      </c>
      <c r="IMN611" s="5" t="s">
        <v>3728</v>
      </c>
      <c r="IMO611" s="17">
        <v>44925</v>
      </c>
      <c r="IMP611" s="5" t="s">
        <v>3728</v>
      </c>
      <c r="IMQ611" s="17">
        <v>44925</v>
      </c>
      <c r="IMR611" s="5" t="s">
        <v>3728</v>
      </c>
      <c r="IMS611" s="17">
        <v>44925</v>
      </c>
      <c r="IMT611" s="5" t="s">
        <v>3728</v>
      </c>
      <c r="IMU611" s="17">
        <v>44925</v>
      </c>
      <c r="IMV611" s="5" t="s">
        <v>3728</v>
      </c>
      <c r="IMW611" s="17">
        <v>44925</v>
      </c>
      <c r="IMX611" s="5" t="s">
        <v>3728</v>
      </c>
      <c r="IMY611" s="17">
        <v>44925</v>
      </c>
      <c r="IMZ611" s="5" t="s">
        <v>3728</v>
      </c>
      <c r="INA611" s="17">
        <v>44925</v>
      </c>
      <c r="INB611" s="5" t="s">
        <v>3728</v>
      </c>
      <c r="INC611" s="17">
        <v>44925</v>
      </c>
      <c r="IND611" s="5" t="s">
        <v>3728</v>
      </c>
      <c r="INE611" s="17">
        <v>44925</v>
      </c>
      <c r="INF611" s="5" t="s">
        <v>3728</v>
      </c>
      <c r="ING611" s="17">
        <v>44925</v>
      </c>
      <c r="INH611" s="5" t="s">
        <v>3728</v>
      </c>
      <c r="INI611" s="17">
        <v>44925</v>
      </c>
      <c r="INJ611" s="5" t="s">
        <v>3728</v>
      </c>
      <c r="INK611" s="17">
        <v>44925</v>
      </c>
      <c r="INL611" s="5" t="s">
        <v>3728</v>
      </c>
      <c r="INM611" s="17">
        <v>44925</v>
      </c>
      <c r="INN611" s="5" t="s">
        <v>3728</v>
      </c>
      <c r="INO611" s="17">
        <v>44925</v>
      </c>
      <c r="INP611" s="5" t="s">
        <v>3728</v>
      </c>
      <c r="INQ611" s="17">
        <v>44925</v>
      </c>
      <c r="INR611" s="5" t="s">
        <v>3728</v>
      </c>
      <c r="INS611" s="17">
        <v>44925</v>
      </c>
      <c r="INT611" s="5" t="s">
        <v>3728</v>
      </c>
      <c r="INU611" s="17">
        <v>44925</v>
      </c>
      <c r="INV611" s="5" t="s">
        <v>3728</v>
      </c>
      <c r="INW611" s="17">
        <v>44925</v>
      </c>
      <c r="INX611" s="5" t="s">
        <v>3728</v>
      </c>
      <c r="INY611" s="17">
        <v>44925</v>
      </c>
      <c r="INZ611" s="5" t="s">
        <v>3728</v>
      </c>
      <c r="IOA611" s="17">
        <v>44925</v>
      </c>
      <c r="IOB611" s="5" t="s">
        <v>3728</v>
      </c>
      <c r="IOC611" s="17">
        <v>44925</v>
      </c>
      <c r="IOD611" s="5" t="s">
        <v>3728</v>
      </c>
      <c r="IOE611" s="17">
        <v>44925</v>
      </c>
      <c r="IOF611" s="5" t="s">
        <v>3728</v>
      </c>
      <c r="IOG611" s="17">
        <v>44925</v>
      </c>
      <c r="IOH611" s="5" t="s">
        <v>3728</v>
      </c>
      <c r="IOI611" s="17">
        <v>44925</v>
      </c>
      <c r="IOJ611" s="5" t="s">
        <v>3728</v>
      </c>
      <c r="IOK611" s="17">
        <v>44925</v>
      </c>
      <c r="IOL611" s="5" t="s">
        <v>3728</v>
      </c>
      <c r="IOM611" s="17">
        <v>44925</v>
      </c>
      <c r="ION611" s="5" t="s">
        <v>3728</v>
      </c>
      <c r="IOO611" s="17">
        <v>44925</v>
      </c>
      <c r="IOP611" s="5" t="s">
        <v>3728</v>
      </c>
      <c r="IOQ611" s="17">
        <v>44925</v>
      </c>
      <c r="IOR611" s="5" t="s">
        <v>3728</v>
      </c>
      <c r="IOS611" s="17">
        <v>44925</v>
      </c>
      <c r="IOT611" s="5" t="s">
        <v>3728</v>
      </c>
      <c r="IOU611" s="17">
        <v>44925</v>
      </c>
      <c r="IOV611" s="5" t="s">
        <v>3728</v>
      </c>
      <c r="IOW611" s="17">
        <v>44925</v>
      </c>
      <c r="IOX611" s="5" t="s">
        <v>3728</v>
      </c>
      <c r="IOY611" s="17">
        <v>44925</v>
      </c>
      <c r="IOZ611" s="5" t="s">
        <v>3728</v>
      </c>
      <c r="IPA611" s="17">
        <v>44925</v>
      </c>
      <c r="IPB611" s="5" t="s">
        <v>3728</v>
      </c>
      <c r="IPC611" s="17">
        <v>44925</v>
      </c>
      <c r="IPD611" s="5" t="s">
        <v>3728</v>
      </c>
      <c r="IPE611" s="17">
        <v>44925</v>
      </c>
      <c r="IPF611" s="5" t="s">
        <v>3728</v>
      </c>
      <c r="IPG611" s="17">
        <v>44925</v>
      </c>
      <c r="IPH611" s="5" t="s">
        <v>3728</v>
      </c>
      <c r="IPI611" s="17">
        <v>44925</v>
      </c>
      <c r="IPJ611" s="5" t="s">
        <v>3728</v>
      </c>
      <c r="IPK611" s="17">
        <v>44925</v>
      </c>
      <c r="IPL611" s="5" t="s">
        <v>3728</v>
      </c>
      <c r="IPM611" s="17">
        <v>44925</v>
      </c>
      <c r="IPN611" s="5" t="s">
        <v>3728</v>
      </c>
      <c r="IPO611" s="17">
        <v>44925</v>
      </c>
      <c r="IPP611" s="5" t="s">
        <v>3728</v>
      </c>
      <c r="IPQ611" s="17">
        <v>44925</v>
      </c>
      <c r="IPR611" s="5" t="s">
        <v>3728</v>
      </c>
      <c r="IPS611" s="17">
        <v>44925</v>
      </c>
      <c r="IPT611" s="5" t="s">
        <v>3728</v>
      </c>
      <c r="IPU611" s="17">
        <v>44925</v>
      </c>
      <c r="IPV611" s="5" t="s">
        <v>3728</v>
      </c>
      <c r="IPW611" s="17">
        <v>44925</v>
      </c>
      <c r="IPX611" s="5" t="s">
        <v>3728</v>
      </c>
      <c r="IPY611" s="17">
        <v>44925</v>
      </c>
      <c r="IPZ611" s="5" t="s">
        <v>3728</v>
      </c>
      <c r="IQA611" s="17">
        <v>44925</v>
      </c>
      <c r="IQB611" s="5" t="s">
        <v>3728</v>
      </c>
      <c r="IQC611" s="17">
        <v>44925</v>
      </c>
      <c r="IQD611" s="5" t="s">
        <v>3728</v>
      </c>
      <c r="IQE611" s="17">
        <v>44925</v>
      </c>
      <c r="IQF611" s="5" t="s">
        <v>3728</v>
      </c>
      <c r="IQG611" s="17">
        <v>44925</v>
      </c>
      <c r="IQH611" s="5" t="s">
        <v>3728</v>
      </c>
      <c r="IQI611" s="17">
        <v>44925</v>
      </c>
      <c r="IQJ611" s="5" t="s">
        <v>3728</v>
      </c>
      <c r="IQK611" s="17">
        <v>44925</v>
      </c>
      <c r="IQL611" s="5" t="s">
        <v>3728</v>
      </c>
      <c r="IQM611" s="17">
        <v>44925</v>
      </c>
      <c r="IQN611" s="5" t="s">
        <v>3728</v>
      </c>
      <c r="IQO611" s="17">
        <v>44925</v>
      </c>
      <c r="IQP611" s="5" t="s">
        <v>3728</v>
      </c>
      <c r="IQQ611" s="17">
        <v>44925</v>
      </c>
      <c r="IQR611" s="5" t="s">
        <v>3728</v>
      </c>
      <c r="IQS611" s="17">
        <v>44925</v>
      </c>
      <c r="IQT611" s="5" t="s">
        <v>3728</v>
      </c>
      <c r="IQU611" s="17">
        <v>44925</v>
      </c>
      <c r="IQV611" s="5" t="s">
        <v>3728</v>
      </c>
      <c r="IQW611" s="17">
        <v>44925</v>
      </c>
      <c r="IQX611" s="5" t="s">
        <v>3728</v>
      </c>
      <c r="IQY611" s="17">
        <v>44925</v>
      </c>
      <c r="IQZ611" s="5" t="s">
        <v>3728</v>
      </c>
      <c r="IRA611" s="17">
        <v>44925</v>
      </c>
      <c r="IRB611" s="5" t="s">
        <v>3728</v>
      </c>
      <c r="IRC611" s="17">
        <v>44925</v>
      </c>
      <c r="IRD611" s="5" t="s">
        <v>3728</v>
      </c>
      <c r="IRE611" s="17">
        <v>44925</v>
      </c>
      <c r="IRF611" s="5" t="s">
        <v>3728</v>
      </c>
      <c r="IRG611" s="17">
        <v>44925</v>
      </c>
      <c r="IRH611" s="5" t="s">
        <v>3728</v>
      </c>
      <c r="IRI611" s="17">
        <v>44925</v>
      </c>
      <c r="IRJ611" s="5" t="s">
        <v>3728</v>
      </c>
      <c r="IRK611" s="17">
        <v>44925</v>
      </c>
      <c r="IRL611" s="5" t="s">
        <v>3728</v>
      </c>
      <c r="IRM611" s="17">
        <v>44925</v>
      </c>
      <c r="IRN611" s="5" t="s">
        <v>3728</v>
      </c>
      <c r="IRO611" s="17">
        <v>44925</v>
      </c>
      <c r="IRP611" s="5" t="s">
        <v>3728</v>
      </c>
      <c r="IRQ611" s="17">
        <v>44925</v>
      </c>
      <c r="IRR611" s="5" t="s">
        <v>3728</v>
      </c>
      <c r="IRS611" s="17">
        <v>44925</v>
      </c>
      <c r="IRT611" s="5" t="s">
        <v>3728</v>
      </c>
      <c r="IRU611" s="17">
        <v>44925</v>
      </c>
      <c r="IRV611" s="5" t="s">
        <v>3728</v>
      </c>
      <c r="IRW611" s="17">
        <v>44925</v>
      </c>
      <c r="IRX611" s="5" t="s">
        <v>3728</v>
      </c>
      <c r="IRY611" s="17">
        <v>44925</v>
      </c>
      <c r="IRZ611" s="5" t="s">
        <v>3728</v>
      </c>
      <c r="ISA611" s="17">
        <v>44925</v>
      </c>
      <c r="ISB611" s="5" t="s">
        <v>3728</v>
      </c>
      <c r="ISC611" s="17">
        <v>44925</v>
      </c>
      <c r="ISD611" s="5" t="s">
        <v>3728</v>
      </c>
      <c r="ISE611" s="17">
        <v>44925</v>
      </c>
      <c r="ISF611" s="5" t="s">
        <v>3728</v>
      </c>
      <c r="ISG611" s="17">
        <v>44925</v>
      </c>
      <c r="ISH611" s="5" t="s">
        <v>3728</v>
      </c>
      <c r="ISI611" s="17">
        <v>44925</v>
      </c>
      <c r="ISJ611" s="5" t="s">
        <v>3728</v>
      </c>
      <c r="ISK611" s="17">
        <v>44925</v>
      </c>
      <c r="ISL611" s="5" t="s">
        <v>3728</v>
      </c>
      <c r="ISM611" s="17">
        <v>44925</v>
      </c>
      <c r="ISN611" s="5" t="s">
        <v>3728</v>
      </c>
      <c r="ISO611" s="17">
        <v>44925</v>
      </c>
      <c r="ISP611" s="5" t="s">
        <v>3728</v>
      </c>
      <c r="ISQ611" s="17">
        <v>44925</v>
      </c>
      <c r="ISR611" s="5" t="s">
        <v>3728</v>
      </c>
      <c r="ISS611" s="17">
        <v>44925</v>
      </c>
      <c r="IST611" s="5" t="s">
        <v>3728</v>
      </c>
      <c r="ISU611" s="17">
        <v>44925</v>
      </c>
      <c r="ISV611" s="5" t="s">
        <v>3728</v>
      </c>
      <c r="ISW611" s="17">
        <v>44925</v>
      </c>
      <c r="ISX611" s="5" t="s">
        <v>3728</v>
      </c>
      <c r="ISY611" s="17">
        <v>44925</v>
      </c>
      <c r="ISZ611" s="5" t="s">
        <v>3728</v>
      </c>
      <c r="ITA611" s="17">
        <v>44925</v>
      </c>
      <c r="ITB611" s="5" t="s">
        <v>3728</v>
      </c>
      <c r="ITC611" s="17">
        <v>44925</v>
      </c>
      <c r="ITD611" s="5" t="s">
        <v>3728</v>
      </c>
      <c r="ITE611" s="17">
        <v>44925</v>
      </c>
      <c r="ITF611" s="5" t="s">
        <v>3728</v>
      </c>
      <c r="ITG611" s="17">
        <v>44925</v>
      </c>
      <c r="ITH611" s="5" t="s">
        <v>3728</v>
      </c>
      <c r="ITI611" s="17">
        <v>44925</v>
      </c>
      <c r="ITJ611" s="5" t="s">
        <v>3728</v>
      </c>
      <c r="ITK611" s="17">
        <v>44925</v>
      </c>
      <c r="ITL611" s="5" t="s">
        <v>3728</v>
      </c>
      <c r="ITM611" s="17">
        <v>44925</v>
      </c>
      <c r="ITN611" s="5" t="s">
        <v>3728</v>
      </c>
      <c r="ITO611" s="17">
        <v>44925</v>
      </c>
      <c r="ITP611" s="5" t="s">
        <v>3728</v>
      </c>
      <c r="ITQ611" s="17">
        <v>44925</v>
      </c>
      <c r="ITR611" s="5" t="s">
        <v>3728</v>
      </c>
      <c r="ITS611" s="17">
        <v>44925</v>
      </c>
      <c r="ITT611" s="5" t="s">
        <v>3728</v>
      </c>
      <c r="ITU611" s="17">
        <v>44925</v>
      </c>
      <c r="ITV611" s="5" t="s">
        <v>3728</v>
      </c>
      <c r="ITW611" s="17">
        <v>44925</v>
      </c>
      <c r="ITX611" s="5" t="s">
        <v>3728</v>
      </c>
      <c r="ITY611" s="17">
        <v>44925</v>
      </c>
      <c r="ITZ611" s="5" t="s">
        <v>3728</v>
      </c>
      <c r="IUA611" s="17">
        <v>44925</v>
      </c>
      <c r="IUB611" s="5" t="s">
        <v>3728</v>
      </c>
      <c r="IUC611" s="17">
        <v>44925</v>
      </c>
      <c r="IUD611" s="5" t="s">
        <v>3728</v>
      </c>
      <c r="IUE611" s="17">
        <v>44925</v>
      </c>
      <c r="IUF611" s="5" t="s">
        <v>3728</v>
      </c>
      <c r="IUG611" s="17">
        <v>44925</v>
      </c>
      <c r="IUH611" s="5" t="s">
        <v>3728</v>
      </c>
      <c r="IUI611" s="17">
        <v>44925</v>
      </c>
      <c r="IUJ611" s="5" t="s">
        <v>3728</v>
      </c>
      <c r="IUK611" s="17">
        <v>44925</v>
      </c>
      <c r="IUL611" s="5" t="s">
        <v>3728</v>
      </c>
      <c r="IUM611" s="17">
        <v>44925</v>
      </c>
      <c r="IUN611" s="5" t="s">
        <v>3728</v>
      </c>
      <c r="IUO611" s="17">
        <v>44925</v>
      </c>
      <c r="IUP611" s="5" t="s">
        <v>3728</v>
      </c>
      <c r="IUQ611" s="17">
        <v>44925</v>
      </c>
      <c r="IUR611" s="5" t="s">
        <v>3728</v>
      </c>
      <c r="IUS611" s="17">
        <v>44925</v>
      </c>
      <c r="IUT611" s="5" t="s">
        <v>3728</v>
      </c>
      <c r="IUU611" s="17">
        <v>44925</v>
      </c>
      <c r="IUV611" s="5" t="s">
        <v>3728</v>
      </c>
      <c r="IUW611" s="17">
        <v>44925</v>
      </c>
      <c r="IUX611" s="5" t="s">
        <v>3728</v>
      </c>
      <c r="IUY611" s="17">
        <v>44925</v>
      </c>
      <c r="IUZ611" s="5" t="s">
        <v>3728</v>
      </c>
      <c r="IVA611" s="17">
        <v>44925</v>
      </c>
      <c r="IVB611" s="5" t="s">
        <v>3728</v>
      </c>
      <c r="IVC611" s="17">
        <v>44925</v>
      </c>
      <c r="IVD611" s="5" t="s">
        <v>3728</v>
      </c>
      <c r="IVE611" s="17">
        <v>44925</v>
      </c>
      <c r="IVF611" s="5" t="s">
        <v>3728</v>
      </c>
      <c r="IVG611" s="17">
        <v>44925</v>
      </c>
      <c r="IVH611" s="5" t="s">
        <v>3728</v>
      </c>
      <c r="IVI611" s="17">
        <v>44925</v>
      </c>
      <c r="IVJ611" s="5" t="s">
        <v>3728</v>
      </c>
      <c r="IVK611" s="17">
        <v>44925</v>
      </c>
      <c r="IVL611" s="5" t="s">
        <v>3728</v>
      </c>
      <c r="IVM611" s="17">
        <v>44925</v>
      </c>
      <c r="IVN611" s="5" t="s">
        <v>3728</v>
      </c>
      <c r="IVO611" s="17">
        <v>44925</v>
      </c>
      <c r="IVP611" s="5" t="s">
        <v>3728</v>
      </c>
      <c r="IVQ611" s="17">
        <v>44925</v>
      </c>
      <c r="IVR611" s="5" t="s">
        <v>3728</v>
      </c>
      <c r="IVS611" s="17">
        <v>44925</v>
      </c>
      <c r="IVT611" s="5" t="s">
        <v>3728</v>
      </c>
      <c r="IVU611" s="17">
        <v>44925</v>
      </c>
      <c r="IVV611" s="5" t="s">
        <v>3728</v>
      </c>
      <c r="IVW611" s="17">
        <v>44925</v>
      </c>
      <c r="IVX611" s="5" t="s">
        <v>3728</v>
      </c>
      <c r="IVY611" s="17">
        <v>44925</v>
      </c>
      <c r="IVZ611" s="5" t="s">
        <v>3728</v>
      </c>
      <c r="IWA611" s="17">
        <v>44925</v>
      </c>
      <c r="IWB611" s="5" t="s">
        <v>3728</v>
      </c>
      <c r="IWC611" s="17">
        <v>44925</v>
      </c>
      <c r="IWD611" s="5" t="s">
        <v>3728</v>
      </c>
      <c r="IWE611" s="17">
        <v>44925</v>
      </c>
      <c r="IWF611" s="5" t="s">
        <v>3728</v>
      </c>
      <c r="IWG611" s="17">
        <v>44925</v>
      </c>
      <c r="IWH611" s="5" t="s">
        <v>3728</v>
      </c>
      <c r="IWI611" s="17">
        <v>44925</v>
      </c>
      <c r="IWJ611" s="5" t="s">
        <v>3728</v>
      </c>
      <c r="IWK611" s="17">
        <v>44925</v>
      </c>
      <c r="IWL611" s="5" t="s">
        <v>3728</v>
      </c>
      <c r="IWM611" s="17">
        <v>44925</v>
      </c>
      <c r="IWN611" s="5" t="s">
        <v>3728</v>
      </c>
      <c r="IWO611" s="17">
        <v>44925</v>
      </c>
      <c r="IWP611" s="5" t="s">
        <v>3728</v>
      </c>
      <c r="IWQ611" s="17">
        <v>44925</v>
      </c>
      <c r="IWR611" s="5" t="s">
        <v>3728</v>
      </c>
      <c r="IWS611" s="17">
        <v>44925</v>
      </c>
      <c r="IWT611" s="5" t="s">
        <v>3728</v>
      </c>
      <c r="IWU611" s="17">
        <v>44925</v>
      </c>
      <c r="IWV611" s="5" t="s">
        <v>3728</v>
      </c>
      <c r="IWW611" s="17">
        <v>44925</v>
      </c>
      <c r="IWX611" s="5" t="s">
        <v>3728</v>
      </c>
      <c r="IWY611" s="17">
        <v>44925</v>
      </c>
      <c r="IWZ611" s="5" t="s">
        <v>3728</v>
      </c>
      <c r="IXA611" s="17">
        <v>44925</v>
      </c>
      <c r="IXB611" s="5" t="s">
        <v>3728</v>
      </c>
      <c r="IXC611" s="17">
        <v>44925</v>
      </c>
      <c r="IXD611" s="5" t="s">
        <v>3728</v>
      </c>
      <c r="IXE611" s="17">
        <v>44925</v>
      </c>
      <c r="IXF611" s="5" t="s">
        <v>3728</v>
      </c>
      <c r="IXG611" s="17">
        <v>44925</v>
      </c>
      <c r="IXH611" s="5" t="s">
        <v>3728</v>
      </c>
      <c r="IXI611" s="17">
        <v>44925</v>
      </c>
      <c r="IXJ611" s="5" t="s">
        <v>3728</v>
      </c>
      <c r="IXK611" s="17">
        <v>44925</v>
      </c>
      <c r="IXL611" s="5" t="s">
        <v>3728</v>
      </c>
      <c r="IXM611" s="17">
        <v>44925</v>
      </c>
      <c r="IXN611" s="5" t="s">
        <v>3728</v>
      </c>
      <c r="IXO611" s="17">
        <v>44925</v>
      </c>
      <c r="IXP611" s="5" t="s">
        <v>3728</v>
      </c>
      <c r="IXQ611" s="17">
        <v>44925</v>
      </c>
      <c r="IXR611" s="5" t="s">
        <v>3728</v>
      </c>
      <c r="IXS611" s="17">
        <v>44925</v>
      </c>
      <c r="IXT611" s="5" t="s">
        <v>3728</v>
      </c>
      <c r="IXU611" s="17">
        <v>44925</v>
      </c>
      <c r="IXV611" s="5" t="s">
        <v>3728</v>
      </c>
      <c r="IXW611" s="17">
        <v>44925</v>
      </c>
      <c r="IXX611" s="5" t="s">
        <v>3728</v>
      </c>
      <c r="IXY611" s="17">
        <v>44925</v>
      </c>
      <c r="IXZ611" s="5" t="s">
        <v>3728</v>
      </c>
      <c r="IYA611" s="17">
        <v>44925</v>
      </c>
      <c r="IYB611" s="5" t="s">
        <v>3728</v>
      </c>
      <c r="IYC611" s="17">
        <v>44925</v>
      </c>
      <c r="IYD611" s="5" t="s">
        <v>3728</v>
      </c>
      <c r="IYE611" s="17">
        <v>44925</v>
      </c>
      <c r="IYF611" s="5" t="s">
        <v>3728</v>
      </c>
      <c r="IYG611" s="17">
        <v>44925</v>
      </c>
      <c r="IYH611" s="5" t="s">
        <v>3728</v>
      </c>
      <c r="IYI611" s="17">
        <v>44925</v>
      </c>
      <c r="IYJ611" s="5" t="s">
        <v>3728</v>
      </c>
      <c r="IYK611" s="17">
        <v>44925</v>
      </c>
      <c r="IYL611" s="5" t="s">
        <v>3728</v>
      </c>
      <c r="IYM611" s="17">
        <v>44925</v>
      </c>
      <c r="IYN611" s="5" t="s">
        <v>3728</v>
      </c>
      <c r="IYO611" s="17">
        <v>44925</v>
      </c>
      <c r="IYP611" s="5" t="s">
        <v>3728</v>
      </c>
      <c r="IYQ611" s="17">
        <v>44925</v>
      </c>
      <c r="IYR611" s="5" t="s">
        <v>3728</v>
      </c>
      <c r="IYS611" s="17">
        <v>44925</v>
      </c>
      <c r="IYT611" s="5" t="s">
        <v>3728</v>
      </c>
      <c r="IYU611" s="17">
        <v>44925</v>
      </c>
      <c r="IYV611" s="5" t="s">
        <v>3728</v>
      </c>
      <c r="IYW611" s="17">
        <v>44925</v>
      </c>
      <c r="IYX611" s="5" t="s">
        <v>3728</v>
      </c>
      <c r="IYY611" s="17">
        <v>44925</v>
      </c>
      <c r="IYZ611" s="5" t="s">
        <v>3728</v>
      </c>
      <c r="IZA611" s="17">
        <v>44925</v>
      </c>
      <c r="IZB611" s="5" t="s">
        <v>3728</v>
      </c>
      <c r="IZC611" s="17">
        <v>44925</v>
      </c>
      <c r="IZD611" s="5" t="s">
        <v>3728</v>
      </c>
      <c r="IZE611" s="17">
        <v>44925</v>
      </c>
      <c r="IZF611" s="5" t="s">
        <v>3728</v>
      </c>
      <c r="IZG611" s="17">
        <v>44925</v>
      </c>
      <c r="IZH611" s="5" t="s">
        <v>3728</v>
      </c>
      <c r="IZI611" s="17">
        <v>44925</v>
      </c>
      <c r="IZJ611" s="5" t="s">
        <v>3728</v>
      </c>
      <c r="IZK611" s="17">
        <v>44925</v>
      </c>
      <c r="IZL611" s="5" t="s">
        <v>3728</v>
      </c>
      <c r="IZM611" s="17">
        <v>44925</v>
      </c>
      <c r="IZN611" s="5" t="s">
        <v>3728</v>
      </c>
      <c r="IZO611" s="17">
        <v>44925</v>
      </c>
      <c r="IZP611" s="5" t="s">
        <v>3728</v>
      </c>
      <c r="IZQ611" s="17">
        <v>44925</v>
      </c>
      <c r="IZR611" s="5" t="s">
        <v>3728</v>
      </c>
      <c r="IZS611" s="17">
        <v>44925</v>
      </c>
      <c r="IZT611" s="5" t="s">
        <v>3728</v>
      </c>
      <c r="IZU611" s="17">
        <v>44925</v>
      </c>
      <c r="IZV611" s="5" t="s">
        <v>3728</v>
      </c>
      <c r="IZW611" s="17">
        <v>44925</v>
      </c>
      <c r="IZX611" s="5" t="s">
        <v>3728</v>
      </c>
      <c r="IZY611" s="17">
        <v>44925</v>
      </c>
      <c r="IZZ611" s="5" t="s">
        <v>3728</v>
      </c>
      <c r="JAA611" s="17">
        <v>44925</v>
      </c>
      <c r="JAB611" s="5" t="s">
        <v>3728</v>
      </c>
      <c r="JAC611" s="17">
        <v>44925</v>
      </c>
      <c r="JAD611" s="5" t="s">
        <v>3728</v>
      </c>
      <c r="JAE611" s="17">
        <v>44925</v>
      </c>
      <c r="JAF611" s="5" t="s">
        <v>3728</v>
      </c>
      <c r="JAG611" s="17">
        <v>44925</v>
      </c>
      <c r="JAH611" s="5" t="s">
        <v>3728</v>
      </c>
      <c r="JAI611" s="17">
        <v>44925</v>
      </c>
      <c r="JAJ611" s="5" t="s">
        <v>3728</v>
      </c>
      <c r="JAK611" s="17">
        <v>44925</v>
      </c>
      <c r="JAL611" s="5" t="s">
        <v>3728</v>
      </c>
      <c r="JAM611" s="17">
        <v>44925</v>
      </c>
      <c r="JAN611" s="5" t="s">
        <v>3728</v>
      </c>
      <c r="JAO611" s="17">
        <v>44925</v>
      </c>
      <c r="JAP611" s="5" t="s">
        <v>3728</v>
      </c>
      <c r="JAQ611" s="17">
        <v>44925</v>
      </c>
      <c r="JAR611" s="5" t="s">
        <v>3728</v>
      </c>
      <c r="JAS611" s="17">
        <v>44925</v>
      </c>
      <c r="JAT611" s="5" t="s">
        <v>3728</v>
      </c>
      <c r="JAU611" s="17">
        <v>44925</v>
      </c>
      <c r="JAV611" s="5" t="s">
        <v>3728</v>
      </c>
      <c r="JAW611" s="17">
        <v>44925</v>
      </c>
      <c r="JAX611" s="5" t="s">
        <v>3728</v>
      </c>
      <c r="JAY611" s="17">
        <v>44925</v>
      </c>
      <c r="JAZ611" s="5" t="s">
        <v>3728</v>
      </c>
      <c r="JBA611" s="17">
        <v>44925</v>
      </c>
      <c r="JBB611" s="5" t="s">
        <v>3728</v>
      </c>
      <c r="JBC611" s="17">
        <v>44925</v>
      </c>
      <c r="JBD611" s="5" t="s">
        <v>3728</v>
      </c>
      <c r="JBE611" s="17">
        <v>44925</v>
      </c>
      <c r="JBF611" s="5" t="s">
        <v>3728</v>
      </c>
      <c r="JBG611" s="17">
        <v>44925</v>
      </c>
      <c r="JBH611" s="5" t="s">
        <v>3728</v>
      </c>
      <c r="JBI611" s="17">
        <v>44925</v>
      </c>
      <c r="JBJ611" s="5" t="s">
        <v>3728</v>
      </c>
      <c r="JBK611" s="17">
        <v>44925</v>
      </c>
      <c r="JBL611" s="5" t="s">
        <v>3728</v>
      </c>
      <c r="JBM611" s="17">
        <v>44925</v>
      </c>
      <c r="JBN611" s="5" t="s">
        <v>3728</v>
      </c>
      <c r="JBO611" s="17">
        <v>44925</v>
      </c>
      <c r="JBP611" s="5" t="s">
        <v>3728</v>
      </c>
      <c r="JBQ611" s="17">
        <v>44925</v>
      </c>
      <c r="JBR611" s="5" t="s">
        <v>3728</v>
      </c>
      <c r="JBS611" s="17">
        <v>44925</v>
      </c>
      <c r="JBT611" s="5" t="s">
        <v>3728</v>
      </c>
      <c r="JBU611" s="17">
        <v>44925</v>
      </c>
      <c r="JBV611" s="5" t="s">
        <v>3728</v>
      </c>
      <c r="JBW611" s="17">
        <v>44925</v>
      </c>
      <c r="JBX611" s="5" t="s">
        <v>3728</v>
      </c>
      <c r="JBY611" s="17">
        <v>44925</v>
      </c>
      <c r="JBZ611" s="5" t="s">
        <v>3728</v>
      </c>
      <c r="JCA611" s="17">
        <v>44925</v>
      </c>
      <c r="JCB611" s="5" t="s">
        <v>3728</v>
      </c>
      <c r="JCC611" s="17">
        <v>44925</v>
      </c>
      <c r="JCD611" s="5" t="s">
        <v>3728</v>
      </c>
      <c r="JCE611" s="17">
        <v>44925</v>
      </c>
      <c r="JCF611" s="5" t="s">
        <v>3728</v>
      </c>
      <c r="JCG611" s="17">
        <v>44925</v>
      </c>
      <c r="JCH611" s="5" t="s">
        <v>3728</v>
      </c>
      <c r="JCI611" s="17">
        <v>44925</v>
      </c>
      <c r="JCJ611" s="5" t="s">
        <v>3728</v>
      </c>
      <c r="JCK611" s="17">
        <v>44925</v>
      </c>
      <c r="JCL611" s="5" t="s">
        <v>3728</v>
      </c>
      <c r="JCM611" s="17">
        <v>44925</v>
      </c>
      <c r="JCN611" s="5" t="s">
        <v>3728</v>
      </c>
      <c r="JCO611" s="17">
        <v>44925</v>
      </c>
      <c r="JCP611" s="5" t="s">
        <v>3728</v>
      </c>
      <c r="JCQ611" s="17">
        <v>44925</v>
      </c>
      <c r="JCR611" s="5" t="s">
        <v>3728</v>
      </c>
      <c r="JCS611" s="17">
        <v>44925</v>
      </c>
      <c r="JCT611" s="5" t="s">
        <v>3728</v>
      </c>
      <c r="JCU611" s="17">
        <v>44925</v>
      </c>
      <c r="JCV611" s="5" t="s">
        <v>3728</v>
      </c>
      <c r="JCW611" s="17">
        <v>44925</v>
      </c>
      <c r="JCX611" s="5" t="s">
        <v>3728</v>
      </c>
      <c r="JCY611" s="17">
        <v>44925</v>
      </c>
      <c r="JCZ611" s="5" t="s">
        <v>3728</v>
      </c>
      <c r="JDA611" s="17">
        <v>44925</v>
      </c>
      <c r="JDB611" s="5" t="s">
        <v>3728</v>
      </c>
      <c r="JDC611" s="17">
        <v>44925</v>
      </c>
      <c r="JDD611" s="5" t="s">
        <v>3728</v>
      </c>
      <c r="JDE611" s="17">
        <v>44925</v>
      </c>
      <c r="JDF611" s="5" t="s">
        <v>3728</v>
      </c>
      <c r="JDG611" s="17">
        <v>44925</v>
      </c>
      <c r="JDH611" s="5" t="s">
        <v>3728</v>
      </c>
      <c r="JDI611" s="17">
        <v>44925</v>
      </c>
      <c r="JDJ611" s="5" t="s">
        <v>3728</v>
      </c>
      <c r="JDK611" s="17">
        <v>44925</v>
      </c>
      <c r="JDL611" s="5" t="s">
        <v>3728</v>
      </c>
      <c r="JDM611" s="17">
        <v>44925</v>
      </c>
      <c r="JDN611" s="5" t="s">
        <v>3728</v>
      </c>
      <c r="JDO611" s="17">
        <v>44925</v>
      </c>
      <c r="JDP611" s="5" t="s">
        <v>3728</v>
      </c>
      <c r="JDQ611" s="17">
        <v>44925</v>
      </c>
      <c r="JDR611" s="5" t="s">
        <v>3728</v>
      </c>
      <c r="JDS611" s="17">
        <v>44925</v>
      </c>
      <c r="JDT611" s="5" t="s">
        <v>3728</v>
      </c>
      <c r="JDU611" s="17">
        <v>44925</v>
      </c>
      <c r="JDV611" s="5" t="s">
        <v>3728</v>
      </c>
      <c r="JDW611" s="17">
        <v>44925</v>
      </c>
      <c r="JDX611" s="5" t="s">
        <v>3728</v>
      </c>
      <c r="JDY611" s="17">
        <v>44925</v>
      </c>
      <c r="JDZ611" s="5" t="s">
        <v>3728</v>
      </c>
      <c r="JEA611" s="17">
        <v>44925</v>
      </c>
      <c r="JEB611" s="5" t="s">
        <v>3728</v>
      </c>
      <c r="JEC611" s="17">
        <v>44925</v>
      </c>
      <c r="JED611" s="5" t="s">
        <v>3728</v>
      </c>
      <c r="JEE611" s="17">
        <v>44925</v>
      </c>
      <c r="JEF611" s="5" t="s">
        <v>3728</v>
      </c>
      <c r="JEG611" s="17">
        <v>44925</v>
      </c>
      <c r="JEH611" s="5" t="s">
        <v>3728</v>
      </c>
      <c r="JEI611" s="17">
        <v>44925</v>
      </c>
      <c r="JEJ611" s="5" t="s">
        <v>3728</v>
      </c>
      <c r="JEK611" s="17">
        <v>44925</v>
      </c>
      <c r="JEL611" s="5" t="s">
        <v>3728</v>
      </c>
      <c r="JEM611" s="17">
        <v>44925</v>
      </c>
      <c r="JEN611" s="5" t="s">
        <v>3728</v>
      </c>
      <c r="JEO611" s="17">
        <v>44925</v>
      </c>
      <c r="JEP611" s="5" t="s">
        <v>3728</v>
      </c>
      <c r="JEQ611" s="17">
        <v>44925</v>
      </c>
      <c r="JER611" s="5" t="s">
        <v>3728</v>
      </c>
      <c r="JES611" s="17">
        <v>44925</v>
      </c>
      <c r="JET611" s="5" t="s">
        <v>3728</v>
      </c>
      <c r="JEU611" s="17">
        <v>44925</v>
      </c>
      <c r="JEV611" s="5" t="s">
        <v>3728</v>
      </c>
      <c r="JEW611" s="17">
        <v>44925</v>
      </c>
      <c r="JEX611" s="5" t="s">
        <v>3728</v>
      </c>
      <c r="JEY611" s="17">
        <v>44925</v>
      </c>
      <c r="JEZ611" s="5" t="s">
        <v>3728</v>
      </c>
      <c r="JFA611" s="17">
        <v>44925</v>
      </c>
      <c r="JFB611" s="5" t="s">
        <v>3728</v>
      </c>
      <c r="JFC611" s="17">
        <v>44925</v>
      </c>
      <c r="JFD611" s="5" t="s">
        <v>3728</v>
      </c>
      <c r="JFE611" s="17">
        <v>44925</v>
      </c>
      <c r="JFF611" s="5" t="s">
        <v>3728</v>
      </c>
      <c r="JFG611" s="17">
        <v>44925</v>
      </c>
      <c r="JFH611" s="5" t="s">
        <v>3728</v>
      </c>
      <c r="JFI611" s="17">
        <v>44925</v>
      </c>
      <c r="JFJ611" s="5" t="s">
        <v>3728</v>
      </c>
      <c r="JFK611" s="17">
        <v>44925</v>
      </c>
      <c r="JFL611" s="5" t="s">
        <v>3728</v>
      </c>
      <c r="JFM611" s="17">
        <v>44925</v>
      </c>
      <c r="JFN611" s="5" t="s">
        <v>3728</v>
      </c>
      <c r="JFO611" s="17">
        <v>44925</v>
      </c>
      <c r="JFP611" s="5" t="s">
        <v>3728</v>
      </c>
      <c r="JFQ611" s="17">
        <v>44925</v>
      </c>
      <c r="JFR611" s="5" t="s">
        <v>3728</v>
      </c>
      <c r="JFS611" s="17">
        <v>44925</v>
      </c>
      <c r="JFT611" s="5" t="s">
        <v>3728</v>
      </c>
      <c r="JFU611" s="17">
        <v>44925</v>
      </c>
      <c r="JFV611" s="5" t="s">
        <v>3728</v>
      </c>
      <c r="JFW611" s="17">
        <v>44925</v>
      </c>
      <c r="JFX611" s="5" t="s">
        <v>3728</v>
      </c>
      <c r="JFY611" s="17">
        <v>44925</v>
      </c>
      <c r="JFZ611" s="5" t="s">
        <v>3728</v>
      </c>
      <c r="JGA611" s="17">
        <v>44925</v>
      </c>
      <c r="JGB611" s="5" t="s">
        <v>3728</v>
      </c>
      <c r="JGC611" s="17">
        <v>44925</v>
      </c>
      <c r="JGD611" s="5" t="s">
        <v>3728</v>
      </c>
      <c r="JGE611" s="17">
        <v>44925</v>
      </c>
      <c r="JGF611" s="5" t="s">
        <v>3728</v>
      </c>
      <c r="JGG611" s="17">
        <v>44925</v>
      </c>
      <c r="JGH611" s="5" t="s">
        <v>3728</v>
      </c>
      <c r="JGI611" s="17">
        <v>44925</v>
      </c>
      <c r="JGJ611" s="5" t="s">
        <v>3728</v>
      </c>
      <c r="JGK611" s="17">
        <v>44925</v>
      </c>
      <c r="JGL611" s="5" t="s">
        <v>3728</v>
      </c>
      <c r="JGM611" s="17">
        <v>44925</v>
      </c>
      <c r="JGN611" s="5" t="s">
        <v>3728</v>
      </c>
      <c r="JGO611" s="17">
        <v>44925</v>
      </c>
      <c r="JGP611" s="5" t="s">
        <v>3728</v>
      </c>
      <c r="JGQ611" s="17">
        <v>44925</v>
      </c>
      <c r="JGR611" s="5" t="s">
        <v>3728</v>
      </c>
      <c r="JGS611" s="17">
        <v>44925</v>
      </c>
      <c r="JGT611" s="5" t="s">
        <v>3728</v>
      </c>
      <c r="JGU611" s="17">
        <v>44925</v>
      </c>
      <c r="JGV611" s="5" t="s">
        <v>3728</v>
      </c>
      <c r="JGW611" s="17">
        <v>44925</v>
      </c>
      <c r="JGX611" s="5" t="s">
        <v>3728</v>
      </c>
      <c r="JGY611" s="17">
        <v>44925</v>
      </c>
      <c r="JGZ611" s="5" t="s">
        <v>3728</v>
      </c>
      <c r="JHA611" s="17">
        <v>44925</v>
      </c>
      <c r="JHB611" s="5" t="s">
        <v>3728</v>
      </c>
      <c r="JHC611" s="17">
        <v>44925</v>
      </c>
      <c r="JHD611" s="5" t="s">
        <v>3728</v>
      </c>
      <c r="JHE611" s="17">
        <v>44925</v>
      </c>
      <c r="JHF611" s="5" t="s">
        <v>3728</v>
      </c>
      <c r="JHG611" s="17">
        <v>44925</v>
      </c>
      <c r="JHH611" s="5" t="s">
        <v>3728</v>
      </c>
      <c r="JHI611" s="17">
        <v>44925</v>
      </c>
      <c r="JHJ611" s="5" t="s">
        <v>3728</v>
      </c>
      <c r="JHK611" s="17">
        <v>44925</v>
      </c>
      <c r="JHL611" s="5" t="s">
        <v>3728</v>
      </c>
      <c r="JHM611" s="17">
        <v>44925</v>
      </c>
      <c r="JHN611" s="5" t="s">
        <v>3728</v>
      </c>
      <c r="JHO611" s="17">
        <v>44925</v>
      </c>
      <c r="JHP611" s="5" t="s">
        <v>3728</v>
      </c>
      <c r="JHQ611" s="17">
        <v>44925</v>
      </c>
      <c r="JHR611" s="5" t="s">
        <v>3728</v>
      </c>
      <c r="JHS611" s="17">
        <v>44925</v>
      </c>
      <c r="JHT611" s="5" t="s">
        <v>3728</v>
      </c>
      <c r="JHU611" s="17">
        <v>44925</v>
      </c>
      <c r="JHV611" s="5" t="s">
        <v>3728</v>
      </c>
      <c r="JHW611" s="17">
        <v>44925</v>
      </c>
      <c r="JHX611" s="5" t="s">
        <v>3728</v>
      </c>
      <c r="JHY611" s="17">
        <v>44925</v>
      </c>
      <c r="JHZ611" s="5" t="s">
        <v>3728</v>
      </c>
      <c r="JIA611" s="17">
        <v>44925</v>
      </c>
      <c r="JIB611" s="5" t="s">
        <v>3728</v>
      </c>
      <c r="JIC611" s="17">
        <v>44925</v>
      </c>
      <c r="JID611" s="5" t="s">
        <v>3728</v>
      </c>
      <c r="JIE611" s="17">
        <v>44925</v>
      </c>
      <c r="JIF611" s="5" t="s">
        <v>3728</v>
      </c>
      <c r="JIG611" s="17">
        <v>44925</v>
      </c>
      <c r="JIH611" s="5" t="s">
        <v>3728</v>
      </c>
      <c r="JII611" s="17">
        <v>44925</v>
      </c>
      <c r="JIJ611" s="5" t="s">
        <v>3728</v>
      </c>
      <c r="JIK611" s="17">
        <v>44925</v>
      </c>
      <c r="JIL611" s="5" t="s">
        <v>3728</v>
      </c>
      <c r="JIM611" s="17">
        <v>44925</v>
      </c>
      <c r="JIN611" s="5" t="s">
        <v>3728</v>
      </c>
      <c r="JIO611" s="17">
        <v>44925</v>
      </c>
      <c r="JIP611" s="5" t="s">
        <v>3728</v>
      </c>
      <c r="JIQ611" s="17">
        <v>44925</v>
      </c>
      <c r="JIR611" s="5" t="s">
        <v>3728</v>
      </c>
      <c r="JIS611" s="17">
        <v>44925</v>
      </c>
      <c r="JIT611" s="5" t="s">
        <v>3728</v>
      </c>
      <c r="JIU611" s="17">
        <v>44925</v>
      </c>
      <c r="JIV611" s="5" t="s">
        <v>3728</v>
      </c>
      <c r="JIW611" s="17">
        <v>44925</v>
      </c>
      <c r="JIX611" s="5" t="s">
        <v>3728</v>
      </c>
      <c r="JIY611" s="17">
        <v>44925</v>
      </c>
      <c r="JIZ611" s="5" t="s">
        <v>3728</v>
      </c>
      <c r="JJA611" s="17">
        <v>44925</v>
      </c>
      <c r="JJB611" s="5" t="s">
        <v>3728</v>
      </c>
      <c r="JJC611" s="17">
        <v>44925</v>
      </c>
      <c r="JJD611" s="5" t="s">
        <v>3728</v>
      </c>
      <c r="JJE611" s="17">
        <v>44925</v>
      </c>
      <c r="JJF611" s="5" t="s">
        <v>3728</v>
      </c>
      <c r="JJG611" s="17">
        <v>44925</v>
      </c>
      <c r="JJH611" s="5" t="s">
        <v>3728</v>
      </c>
      <c r="JJI611" s="17">
        <v>44925</v>
      </c>
      <c r="JJJ611" s="5" t="s">
        <v>3728</v>
      </c>
      <c r="JJK611" s="17">
        <v>44925</v>
      </c>
      <c r="JJL611" s="5" t="s">
        <v>3728</v>
      </c>
      <c r="JJM611" s="17">
        <v>44925</v>
      </c>
      <c r="JJN611" s="5" t="s">
        <v>3728</v>
      </c>
      <c r="JJO611" s="17">
        <v>44925</v>
      </c>
      <c r="JJP611" s="5" t="s">
        <v>3728</v>
      </c>
      <c r="JJQ611" s="17">
        <v>44925</v>
      </c>
      <c r="JJR611" s="5" t="s">
        <v>3728</v>
      </c>
      <c r="JJS611" s="17">
        <v>44925</v>
      </c>
      <c r="JJT611" s="5" t="s">
        <v>3728</v>
      </c>
      <c r="JJU611" s="17">
        <v>44925</v>
      </c>
      <c r="JJV611" s="5" t="s">
        <v>3728</v>
      </c>
      <c r="JJW611" s="17">
        <v>44925</v>
      </c>
      <c r="JJX611" s="5" t="s">
        <v>3728</v>
      </c>
      <c r="JJY611" s="17">
        <v>44925</v>
      </c>
      <c r="JJZ611" s="5" t="s">
        <v>3728</v>
      </c>
      <c r="JKA611" s="17">
        <v>44925</v>
      </c>
      <c r="JKB611" s="5" t="s">
        <v>3728</v>
      </c>
      <c r="JKC611" s="17">
        <v>44925</v>
      </c>
      <c r="JKD611" s="5" t="s">
        <v>3728</v>
      </c>
      <c r="JKE611" s="17">
        <v>44925</v>
      </c>
      <c r="JKF611" s="5" t="s">
        <v>3728</v>
      </c>
      <c r="JKG611" s="17">
        <v>44925</v>
      </c>
      <c r="JKH611" s="5" t="s">
        <v>3728</v>
      </c>
      <c r="JKI611" s="17">
        <v>44925</v>
      </c>
      <c r="JKJ611" s="5" t="s">
        <v>3728</v>
      </c>
      <c r="JKK611" s="17">
        <v>44925</v>
      </c>
      <c r="JKL611" s="5" t="s">
        <v>3728</v>
      </c>
      <c r="JKM611" s="17">
        <v>44925</v>
      </c>
      <c r="JKN611" s="5" t="s">
        <v>3728</v>
      </c>
      <c r="JKO611" s="17">
        <v>44925</v>
      </c>
      <c r="JKP611" s="5" t="s">
        <v>3728</v>
      </c>
      <c r="JKQ611" s="17">
        <v>44925</v>
      </c>
      <c r="JKR611" s="5" t="s">
        <v>3728</v>
      </c>
      <c r="JKS611" s="17">
        <v>44925</v>
      </c>
      <c r="JKT611" s="5" t="s">
        <v>3728</v>
      </c>
      <c r="JKU611" s="17">
        <v>44925</v>
      </c>
      <c r="JKV611" s="5" t="s">
        <v>3728</v>
      </c>
      <c r="JKW611" s="17">
        <v>44925</v>
      </c>
      <c r="JKX611" s="5" t="s">
        <v>3728</v>
      </c>
      <c r="JKY611" s="17">
        <v>44925</v>
      </c>
      <c r="JKZ611" s="5" t="s">
        <v>3728</v>
      </c>
      <c r="JLA611" s="17">
        <v>44925</v>
      </c>
      <c r="JLB611" s="5" t="s">
        <v>3728</v>
      </c>
      <c r="JLC611" s="17">
        <v>44925</v>
      </c>
      <c r="JLD611" s="5" t="s">
        <v>3728</v>
      </c>
      <c r="JLE611" s="17">
        <v>44925</v>
      </c>
      <c r="JLF611" s="5" t="s">
        <v>3728</v>
      </c>
      <c r="JLG611" s="17">
        <v>44925</v>
      </c>
      <c r="JLH611" s="5" t="s">
        <v>3728</v>
      </c>
      <c r="JLI611" s="17">
        <v>44925</v>
      </c>
      <c r="JLJ611" s="5" t="s">
        <v>3728</v>
      </c>
      <c r="JLK611" s="17">
        <v>44925</v>
      </c>
      <c r="JLL611" s="5" t="s">
        <v>3728</v>
      </c>
      <c r="JLM611" s="17">
        <v>44925</v>
      </c>
      <c r="JLN611" s="5" t="s">
        <v>3728</v>
      </c>
      <c r="JLO611" s="17">
        <v>44925</v>
      </c>
      <c r="JLP611" s="5" t="s">
        <v>3728</v>
      </c>
      <c r="JLQ611" s="17">
        <v>44925</v>
      </c>
      <c r="JLR611" s="5" t="s">
        <v>3728</v>
      </c>
      <c r="JLS611" s="17">
        <v>44925</v>
      </c>
      <c r="JLT611" s="5" t="s">
        <v>3728</v>
      </c>
      <c r="JLU611" s="17">
        <v>44925</v>
      </c>
      <c r="JLV611" s="5" t="s">
        <v>3728</v>
      </c>
      <c r="JLW611" s="17">
        <v>44925</v>
      </c>
      <c r="JLX611" s="5" t="s">
        <v>3728</v>
      </c>
      <c r="JLY611" s="17">
        <v>44925</v>
      </c>
      <c r="JLZ611" s="5" t="s">
        <v>3728</v>
      </c>
      <c r="JMA611" s="17">
        <v>44925</v>
      </c>
      <c r="JMB611" s="5" t="s">
        <v>3728</v>
      </c>
      <c r="JMC611" s="17">
        <v>44925</v>
      </c>
      <c r="JMD611" s="5" t="s">
        <v>3728</v>
      </c>
      <c r="JME611" s="17">
        <v>44925</v>
      </c>
      <c r="JMF611" s="5" t="s">
        <v>3728</v>
      </c>
      <c r="JMG611" s="17">
        <v>44925</v>
      </c>
      <c r="JMH611" s="5" t="s">
        <v>3728</v>
      </c>
      <c r="JMI611" s="17">
        <v>44925</v>
      </c>
      <c r="JMJ611" s="5" t="s">
        <v>3728</v>
      </c>
      <c r="JMK611" s="17">
        <v>44925</v>
      </c>
      <c r="JML611" s="5" t="s">
        <v>3728</v>
      </c>
      <c r="JMM611" s="17">
        <v>44925</v>
      </c>
      <c r="JMN611" s="5" t="s">
        <v>3728</v>
      </c>
      <c r="JMO611" s="17">
        <v>44925</v>
      </c>
      <c r="JMP611" s="5" t="s">
        <v>3728</v>
      </c>
      <c r="JMQ611" s="17">
        <v>44925</v>
      </c>
      <c r="JMR611" s="5" t="s">
        <v>3728</v>
      </c>
      <c r="JMS611" s="17">
        <v>44925</v>
      </c>
      <c r="JMT611" s="5" t="s">
        <v>3728</v>
      </c>
      <c r="JMU611" s="17">
        <v>44925</v>
      </c>
      <c r="JMV611" s="5" t="s">
        <v>3728</v>
      </c>
      <c r="JMW611" s="17">
        <v>44925</v>
      </c>
      <c r="JMX611" s="5" t="s">
        <v>3728</v>
      </c>
      <c r="JMY611" s="17">
        <v>44925</v>
      </c>
      <c r="JMZ611" s="5" t="s">
        <v>3728</v>
      </c>
      <c r="JNA611" s="17">
        <v>44925</v>
      </c>
      <c r="JNB611" s="5" t="s">
        <v>3728</v>
      </c>
      <c r="JNC611" s="17">
        <v>44925</v>
      </c>
      <c r="JND611" s="5" t="s">
        <v>3728</v>
      </c>
      <c r="JNE611" s="17">
        <v>44925</v>
      </c>
      <c r="JNF611" s="5" t="s">
        <v>3728</v>
      </c>
      <c r="JNG611" s="17">
        <v>44925</v>
      </c>
      <c r="JNH611" s="5" t="s">
        <v>3728</v>
      </c>
      <c r="JNI611" s="17">
        <v>44925</v>
      </c>
      <c r="JNJ611" s="5" t="s">
        <v>3728</v>
      </c>
      <c r="JNK611" s="17">
        <v>44925</v>
      </c>
      <c r="JNL611" s="5" t="s">
        <v>3728</v>
      </c>
      <c r="JNM611" s="17">
        <v>44925</v>
      </c>
      <c r="JNN611" s="5" t="s">
        <v>3728</v>
      </c>
      <c r="JNO611" s="17">
        <v>44925</v>
      </c>
      <c r="JNP611" s="5" t="s">
        <v>3728</v>
      </c>
      <c r="JNQ611" s="17">
        <v>44925</v>
      </c>
      <c r="JNR611" s="5" t="s">
        <v>3728</v>
      </c>
      <c r="JNS611" s="17">
        <v>44925</v>
      </c>
      <c r="JNT611" s="5" t="s">
        <v>3728</v>
      </c>
      <c r="JNU611" s="17">
        <v>44925</v>
      </c>
      <c r="JNV611" s="5" t="s">
        <v>3728</v>
      </c>
      <c r="JNW611" s="17">
        <v>44925</v>
      </c>
      <c r="JNX611" s="5" t="s">
        <v>3728</v>
      </c>
      <c r="JNY611" s="17">
        <v>44925</v>
      </c>
      <c r="JNZ611" s="5" t="s">
        <v>3728</v>
      </c>
      <c r="JOA611" s="17">
        <v>44925</v>
      </c>
      <c r="JOB611" s="5" t="s">
        <v>3728</v>
      </c>
      <c r="JOC611" s="17">
        <v>44925</v>
      </c>
      <c r="JOD611" s="5" t="s">
        <v>3728</v>
      </c>
      <c r="JOE611" s="17">
        <v>44925</v>
      </c>
      <c r="JOF611" s="5" t="s">
        <v>3728</v>
      </c>
      <c r="JOG611" s="17">
        <v>44925</v>
      </c>
      <c r="JOH611" s="5" t="s">
        <v>3728</v>
      </c>
      <c r="JOI611" s="17">
        <v>44925</v>
      </c>
      <c r="JOJ611" s="5" t="s">
        <v>3728</v>
      </c>
      <c r="JOK611" s="17">
        <v>44925</v>
      </c>
      <c r="JOL611" s="5" t="s">
        <v>3728</v>
      </c>
      <c r="JOM611" s="17">
        <v>44925</v>
      </c>
      <c r="JON611" s="5" t="s">
        <v>3728</v>
      </c>
      <c r="JOO611" s="17">
        <v>44925</v>
      </c>
      <c r="JOP611" s="5" t="s">
        <v>3728</v>
      </c>
      <c r="JOQ611" s="17">
        <v>44925</v>
      </c>
      <c r="JOR611" s="5" t="s">
        <v>3728</v>
      </c>
      <c r="JOS611" s="17">
        <v>44925</v>
      </c>
      <c r="JOT611" s="5" t="s">
        <v>3728</v>
      </c>
      <c r="JOU611" s="17">
        <v>44925</v>
      </c>
      <c r="JOV611" s="5" t="s">
        <v>3728</v>
      </c>
      <c r="JOW611" s="17">
        <v>44925</v>
      </c>
      <c r="JOX611" s="5" t="s">
        <v>3728</v>
      </c>
      <c r="JOY611" s="17">
        <v>44925</v>
      </c>
      <c r="JOZ611" s="5" t="s">
        <v>3728</v>
      </c>
      <c r="JPA611" s="17">
        <v>44925</v>
      </c>
      <c r="JPB611" s="5" t="s">
        <v>3728</v>
      </c>
      <c r="JPC611" s="17">
        <v>44925</v>
      </c>
      <c r="JPD611" s="5" t="s">
        <v>3728</v>
      </c>
      <c r="JPE611" s="17">
        <v>44925</v>
      </c>
      <c r="JPF611" s="5" t="s">
        <v>3728</v>
      </c>
      <c r="JPG611" s="17">
        <v>44925</v>
      </c>
      <c r="JPH611" s="5" t="s">
        <v>3728</v>
      </c>
      <c r="JPI611" s="17">
        <v>44925</v>
      </c>
      <c r="JPJ611" s="5" t="s">
        <v>3728</v>
      </c>
      <c r="JPK611" s="17">
        <v>44925</v>
      </c>
      <c r="JPL611" s="5" t="s">
        <v>3728</v>
      </c>
      <c r="JPM611" s="17">
        <v>44925</v>
      </c>
      <c r="JPN611" s="5" t="s">
        <v>3728</v>
      </c>
      <c r="JPO611" s="17">
        <v>44925</v>
      </c>
      <c r="JPP611" s="5" t="s">
        <v>3728</v>
      </c>
      <c r="JPQ611" s="17">
        <v>44925</v>
      </c>
      <c r="JPR611" s="5" t="s">
        <v>3728</v>
      </c>
      <c r="JPS611" s="17">
        <v>44925</v>
      </c>
      <c r="JPT611" s="5" t="s">
        <v>3728</v>
      </c>
      <c r="JPU611" s="17">
        <v>44925</v>
      </c>
      <c r="JPV611" s="5" t="s">
        <v>3728</v>
      </c>
      <c r="JPW611" s="17">
        <v>44925</v>
      </c>
      <c r="JPX611" s="5" t="s">
        <v>3728</v>
      </c>
      <c r="JPY611" s="17">
        <v>44925</v>
      </c>
      <c r="JPZ611" s="5" t="s">
        <v>3728</v>
      </c>
      <c r="JQA611" s="17">
        <v>44925</v>
      </c>
      <c r="JQB611" s="5" t="s">
        <v>3728</v>
      </c>
      <c r="JQC611" s="17">
        <v>44925</v>
      </c>
      <c r="JQD611" s="5" t="s">
        <v>3728</v>
      </c>
      <c r="JQE611" s="17">
        <v>44925</v>
      </c>
      <c r="JQF611" s="5" t="s">
        <v>3728</v>
      </c>
      <c r="JQG611" s="17">
        <v>44925</v>
      </c>
      <c r="JQH611" s="5" t="s">
        <v>3728</v>
      </c>
      <c r="JQI611" s="17">
        <v>44925</v>
      </c>
      <c r="JQJ611" s="5" t="s">
        <v>3728</v>
      </c>
      <c r="JQK611" s="17">
        <v>44925</v>
      </c>
      <c r="JQL611" s="5" t="s">
        <v>3728</v>
      </c>
      <c r="JQM611" s="17">
        <v>44925</v>
      </c>
      <c r="JQN611" s="5" t="s">
        <v>3728</v>
      </c>
      <c r="JQO611" s="17">
        <v>44925</v>
      </c>
      <c r="JQP611" s="5" t="s">
        <v>3728</v>
      </c>
      <c r="JQQ611" s="17">
        <v>44925</v>
      </c>
      <c r="JQR611" s="5" t="s">
        <v>3728</v>
      </c>
      <c r="JQS611" s="17">
        <v>44925</v>
      </c>
      <c r="JQT611" s="5" t="s">
        <v>3728</v>
      </c>
      <c r="JQU611" s="17">
        <v>44925</v>
      </c>
      <c r="JQV611" s="5" t="s">
        <v>3728</v>
      </c>
      <c r="JQW611" s="17">
        <v>44925</v>
      </c>
      <c r="JQX611" s="5" t="s">
        <v>3728</v>
      </c>
      <c r="JQY611" s="17">
        <v>44925</v>
      </c>
      <c r="JQZ611" s="5" t="s">
        <v>3728</v>
      </c>
      <c r="JRA611" s="17">
        <v>44925</v>
      </c>
      <c r="JRB611" s="5" t="s">
        <v>3728</v>
      </c>
      <c r="JRC611" s="17">
        <v>44925</v>
      </c>
      <c r="JRD611" s="5" t="s">
        <v>3728</v>
      </c>
      <c r="JRE611" s="17">
        <v>44925</v>
      </c>
      <c r="JRF611" s="5" t="s">
        <v>3728</v>
      </c>
      <c r="JRG611" s="17">
        <v>44925</v>
      </c>
      <c r="JRH611" s="5" t="s">
        <v>3728</v>
      </c>
      <c r="JRI611" s="17">
        <v>44925</v>
      </c>
      <c r="JRJ611" s="5" t="s">
        <v>3728</v>
      </c>
      <c r="JRK611" s="17">
        <v>44925</v>
      </c>
      <c r="JRL611" s="5" t="s">
        <v>3728</v>
      </c>
      <c r="JRM611" s="17">
        <v>44925</v>
      </c>
      <c r="JRN611" s="5" t="s">
        <v>3728</v>
      </c>
      <c r="JRO611" s="17">
        <v>44925</v>
      </c>
      <c r="JRP611" s="5" t="s">
        <v>3728</v>
      </c>
      <c r="JRQ611" s="17">
        <v>44925</v>
      </c>
      <c r="JRR611" s="5" t="s">
        <v>3728</v>
      </c>
      <c r="JRS611" s="17">
        <v>44925</v>
      </c>
      <c r="JRT611" s="5" t="s">
        <v>3728</v>
      </c>
      <c r="JRU611" s="17">
        <v>44925</v>
      </c>
      <c r="JRV611" s="5" t="s">
        <v>3728</v>
      </c>
      <c r="JRW611" s="17">
        <v>44925</v>
      </c>
      <c r="JRX611" s="5" t="s">
        <v>3728</v>
      </c>
      <c r="JRY611" s="17">
        <v>44925</v>
      </c>
      <c r="JRZ611" s="5" t="s">
        <v>3728</v>
      </c>
      <c r="JSA611" s="17">
        <v>44925</v>
      </c>
      <c r="JSB611" s="5" t="s">
        <v>3728</v>
      </c>
      <c r="JSC611" s="17">
        <v>44925</v>
      </c>
      <c r="JSD611" s="5" t="s">
        <v>3728</v>
      </c>
      <c r="JSE611" s="17">
        <v>44925</v>
      </c>
      <c r="JSF611" s="5" t="s">
        <v>3728</v>
      </c>
      <c r="JSG611" s="17">
        <v>44925</v>
      </c>
      <c r="JSH611" s="5" t="s">
        <v>3728</v>
      </c>
      <c r="JSI611" s="17">
        <v>44925</v>
      </c>
      <c r="JSJ611" s="5" t="s">
        <v>3728</v>
      </c>
      <c r="JSK611" s="17">
        <v>44925</v>
      </c>
      <c r="JSL611" s="5" t="s">
        <v>3728</v>
      </c>
      <c r="JSM611" s="17">
        <v>44925</v>
      </c>
      <c r="JSN611" s="5" t="s">
        <v>3728</v>
      </c>
      <c r="JSO611" s="17">
        <v>44925</v>
      </c>
      <c r="JSP611" s="5" t="s">
        <v>3728</v>
      </c>
      <c r="JSQ611" s="17">
        <v>44925</v>
      </c>
      <c r="JSR611" s="5" t="s">
        <v>3728</v>
      </c>
      <c r="JSS611" s="17">
        <v>44925</v>
      </c>
      <c r="JST611" s="5" t="s">
        <v>3728</v>
      </c>
      <c r="JSU611" s="17">
        <v>44925</v>
      </c>
      <c r="JSV611" s="5" t="s">
        <v>3728</v>
      </c>
      <c r="JSW611" s="17">
        <v>44925</v>
      </c>
      <c r="JSX611" s="5" t="s">
        <v>3728</v>
      </c>
      <c r="JSY611" s="17">
        <v>44925</v>
      </c>
      <c r="JSZ611" s="5" t="s">
        <v>3728</v>
      </c>
      <c r="JTA611" s="17">
        <v>44925</v>
      </c>
      <c r="JTB611" s="5" t="s">
        <v>3728</v>
      </c>
      <c r="JTC611" s="17">
        <v>44925</v>
      </c>
      <c r="JTD611" s="5" t="s">
        <v>3728</v>
      </c>
      <c r="JTE611" s="17">
        <v>44925</v>
      </c>
      <c r="JTF611" s="5" t="s">
        <v>3728</v>
      </c>
      <c r="JTG611" s="17">
        <v>44925</v>
      </c>
      <c r="JTH611" s="5" t="s">
        <v>3728</v>
      </c>
      <c r="JTI611" s="17">
        <v>44925</v>
      </c>
      <c r="JTJ611" s="5" t="s">
        <v>3728</v>
      </c>
      <c r="JTK611" s="17">
        <v>44925</v>
      </c>
      <c r="JTL611" s="5" t="s">
        <v>3728</v>
      </c>
      <c r="JTM611" s="17">
        <v>44925</v>
      </c>
      <c r="JTN611" s="5" t="s">
        <v>3728</v>
      </c>
      <c r="JTO611" s="17">
        <v>44925</v>
      </c>
      <c r="JTP611" s="5" t="s">
        <v>3728</v>
      </c>
      <c r="JTQ611" s="17">
        <v>44925</v>
      </c>
      <c r="JTR611" s="5" t="s">
        <v>3728</v>
      </c>
      <c r="JTS611" s="17">
        <v>44925</v>
      </c>
      <c r="JTT611" s="5" t="s">
        <v>3728</v>
      </c>
      <c r="JTU611" s="17">
        <v>44925</v>
      </c>
      <c r="JTV611" s="5" t="s">
        <v>3728</v>
      </c>
      <c r="JTW611" s="17">
        <v>44925</v>
      </c>
      <c r="JTX611" s="5" t="s">
        <v>3728</v>
      </c>
      <c r="JTY611" s="17">
        <v>44925</v>
      </c>
      <c r="JTZ611" s="5" t="s">
        <v>3728</v>
      </c>
      <c r="JUA611" s="17">
        <v>44925</v>
      </c>
      <c r="JUB611" s="5" t="s">
        <v>3728</v>
      </c>
      <c r="JUC611" s="17">
        <v>44925</v>
      </c>
      <c r="JUD611" s="5" t="s">
        <v>3728</v>
      </c>
      <c r="JUE611" s="17">
        <v>44925</v>
      </c>
      <c r="JUF611" s="5" t="s">
        <v>3728</v>
      </c>
      <c r="JUG611" s="17">
        <v>44925</v>
      </c>
      <c r="JUH611" s="5" t="s">
        <v>3728</v>
      </c>
      <c r="JUI611" s="17">
        <v>44925</v>
      </c>
      <c r="JUJ611" s="5" t="s">
        <v>3728</v>
      </c>
      <c r="JUK611" s="17">
        <v>44925</v>
      </c>
      <c r="JUL611" s="5" t="s">
        <v>3728</v>
      </c>
      <c r="JUM611" s="17">
        <v>44925</v>
      </c>
      <c r="JUN611" s="5" t="s">
        <v>3728</v>
      </c>
      <c r="JUO611" s="17">
        <v>44925</v>
      </c>
      <c r="JUP611" s="5" t="s">
        <v>3728</v>
      </c>
      <c r="JUQ611" s="17">
        <v>44925</v>
      </c>
      <c r="JUR611" s="5" t="s">
        <v>3728</v>
      </c>
      <c r="JUS611" s="17">
        <v>44925</v>
      </c>
      <c r="JUT611" s="5" t="s">
        <v>3728</v>
      </c>
      <c r="JUU611" s="17">
        <v>44925</v>
      </c>
      <c r="JUV611" s="5" t="s">
        <v>3728</v>
      </c>
      <c r="JUW611" s="17">
        <v>44925</v>
      </c>
      <c r="JUX611" s="5" t="s">
        <v>3728</v>
      </c>
      <c r="JUY611" s="17">
        <v>44925</v>
      </c>
      <c r="JUZ611" s="5" t="s">
        <v>3728</v>
      </c>
      <c r="JVA611" s="17">
        <v>44925</v>
      </c>
      <c r="JVB611" s="5" t="s">
        <v>3728</v>
      </c>
      <c r="JVC611" s="17">
        <v>44925</v>
      </c>
      <c r="JVD611" s="5" t="s">
        <v>3728</v>
      </c>
      <c r="JVE611" s="17">
        <v>44925</v>
      </c>
      <c r="JVF611" s="5" t="s">
        <v>3728</v>
      </c>
      <c r="JVG611" s="17">
        <v>44925</v>
      </c>
      <c r="JVH611" s="5" t="s">
        <v>3728</v>
      </c>
      <c r="JVI611" s="17">
        <v>44925</v>
      </c>
      <c r="JVJ611" s="5" t="s">
        <v>3728</v>
      </c>
      <c r="JVK611" s="17">
        <v>44925</v>
      </c>
      <c r="JVL611" s="5" t="s">
        <v>3728</v>
      </c>
      <c r="JVM611" s="17">
        <v>44925</v>
      </c>
      <c r="JVN611" s="5" t="s">
        <v>3728</v>
      </c>
      <c r="JVO611" s="17">
        <v>44925</v>
      </c>
      <c r="JVP611" s="5" t="s">
        <v>3728</v>
      </c>
      <c r="JVQ611" s="17">
        <v>44925</v>
      </c>
      <c r="JVR611" s="5" t="s">
        <v>3728</v>
      </c>
      <c r="JVS611" s="17">
        <v>44925</v>
      </c>
      <c r="JVT611" s="5" t="s">
        <v>3728</v>
      </c>
      <c r="JVU611" s="17">
        <v>44925</v>
      </c>
      <c r="JVV611" s="5" t="s">
        <v>3728</v>
      </c>
      <c r="JVW611" s="17">
        <v>44925</v>
      </c>
      <c r="JVX611" s="5" t="s">
        <v>3728</v>
      </c>
      <c r="JVY611" s="17">
        <v>44925</v>
      </c>
      <c r="JVZ611" s="5" t="s">
        <v>3728</v>
      </c>
      <c r="JWA611" s="17">
        <v>44925</v>
      </c>
      <c r="JWB611" s="5" t="s">
        <v>3728</v>
      </c>
      <c r="JWC611" s="17">
        <v>44925</v>
      </c>
      <c r="JWD611" s="5" t="s">
        <v>3728</v>
      </c>
      <c r="JWE611" s="17">
        <v>44925</v>
      </c>
      <c r="JWF611" s="5" t="s">
        <v>3728</v>
      </c>
      <c r="JWG611" s="17">
        <v>44925</v>
      </c>
      <c r="JWH611" s="5" t="s">
        <v>3728</v>
      </c>
      <c r="JWI611" s="17">
        <v>44925</v>
      </c>
      <c r="JWJ611" s="5" t="s">
        <v>3728</v>
      </c>
      <c r="JWK611" s="17">
        <v>44925</v>
      </c>
      <c r="JWL611" s="5" t="s">
        <v>3728</v>
      </c>
      <c r="JWM611" s="17">
        <v>44925</v>
      </c>
      <c r="JWN611" s="5" t="s">
        <v>3728</v>
      </c>
      <c r="JWO611" s="17">
        <v>44925</v>
      </c>
      <c r="JWP611" s="5" t="s">
        <v>3728</v>
      </c>
      <c r="JWQ611" s="17">
        <v>44925</v>
      </c>
      <c r="JWR611" s="5" t="s">
        <v>3728</v>
      </c>
      <c r="JWS611" s="17">
        <v>44925</v>
      </c>
      <c r="JWT611" s="5" t="s">
        <v>3728</v>
      </c>
      <c r="JWU611" s="17">
        <v>44925</v>
      </c>
      <c r="JWV611" s="5" t="s">
        <v>3728</v>
      </c>
      <c r="JWW611" s="17">
        <v>44925</v>
      </c>
      <c r="JWX611" s="5" t="s">
        <v>3728</v>
      </c>
      <c r="JWY611" s="17">
        <v>44925</v>
      </c>
      <c r="JWZ611" s="5" t="s">
        <v>3728</v>
      </c>
      <c r="JXA611" s="17">
        <v>44925</v>
      </c>
      <c r="JXB611" s="5" t="s">
        <v>3728</v>
      </c>
      <c r="JXC611" s="17">
        <v>44925</v>
      </c>
      <c r="JXD611" s="5" t="s">
        <v>3728</v>
      </c>
      <c r="JXE611" s="17">
        <v>44925</v>
      </c>
      <c r="JXF611" s="5" t="s">
        <v>3728</v>
      </c>
      <c r="JXG611" s="17">
        <v>44925</v>
      </c>
      <c r="JXH611" s="5" t="s">
        <v>3728</v>
      </c>
      <c r="JXI611" s="17">
        <v>44925</v>
      </c>
      <c r="JXJ611" s="5" t="s">
        <v>3728</v>
      </c>
      <c r="JXK611" s="17">
        <v>44925</v>
      </c>
      <c r="JXL611" s="5" t="s">
        <v>3728</v>
      </c>
      <c r="JXM611" s="17">
        <v>44925</v>
      </c>
      <c r="JXN611" s="5" t="s">
        <v>3728</v>
      </c>
      <c r="JXO611" s="17">
        <v>44925</v>
      </c>
      <c r="JXP611" s="5" t="s">
        <v>3728</v>
      </c>
      <c r="JXQ611" s="17">
        <v>44925</v>
      </c>
      <c r="JXR611" s="5" t="s">
        <v>3728</v>
      </c>
      <c r="JXS611" s="17">
        <v>44925</v>
      </c>
      <c r="JXT611" s="5" t="s">
        <v>3728</v>
      </c>
      <c r="JXU611" s="17">
        <v>44925</v>
      </c>
      <c r="JXV611" s="5" t="s">
        <v>3728</v>
      </c>
      <c r="JXW611" s="17">
        <v>44925</v>
      </c>
      <c r="JXX611" s="5" t="s">
        <v>3728</v>
      </c>
      <c r="JXY611" s="17">
        <v>44925</v>
      </c>
      <c r="JXZ611" s="5" t="s">
        <v>3728</v>
      </c>
      <c r="JYA611" s="17">
        <v>44925</v>
      </c>
      <c r="JYB611" s="5" t="s">
        <v>3728</v>
      </c>
      <c r="JYC611" s="17">
        <v>44925</v>
      </c>
      <c r="JYD611" s="5" t="s">
        <v>3728</v>
      </c>
      <c r="JYE611" s="17">
        <v>44925</v>
      </c>
      <c r="JYF611" s="5" t="s">
        <v>3728</v>
      </c>
      <c r="JYG611" s="17">
        <v>44925</v>
      </c>
      <c r="JYH611" s="5" t="s">
        <v>3728</v>
      </c>
      <c r="JYI611" s="17">
        <v>44925</v>
      </c>
      <c r="JYJ611" s="5" t="s">
        <v>3728</v>
      </c>
      <c r="JYK611" s="17">
        <v>44925</v>
      </c>
      <c r="JYL611" s="5" t="s">
        <v>3728</v>
      </c>
      <c r="JYM611" s="17">
        <v>44925</v>
      </c>
      <c r="JYN611" s="5" t="s">
        <v>3728</v>
      </c>
      <c r="JYO611" s="17">
        <v>44925</v>
      </c>
      <c r="JYP611" s="5" t="s">
        <v>3728</v>
      </c>
      <c r="JYQ611" s="17">
        <v>44925</v>
      </c>
      <c r="JYR611" s="5" t="s">
        <v>3728</v>
      </c>
      <c r="JYS611" s="17">
        <v>44925</v>
      </c>
      <c r="JYT611" s="5" t="s">
        <v>3728</v>
      </c>
      <c r="JYU611" s="17">
        <v>44925</v>
      </c>
      <c r="JYV611" s="5" t="s">
        <v>3728</v>
      </c>
      <c r="JYW611" s="17">
        <v>44925</v>
      </c>
      <c r="JYX611" s="5" t="s">
        <v>3728</v>
      </c>
      <c r="JYY611" s="17">
        <v>44925</v>
      </c>
      <c r="JYZ611" s="5" t="s">
        <v>3728</v>
      </c>
      <c r="JZA611" s="17">
        <v>44925</v>
      </c>
      <c r="JZB611" s="5" t="s">
        <v>3728</v>
      </c>
      <c r="JZC611" s="17">
        <v>44925</v>
      </c>
      <c r="JZD611" s="5" t="s">
        <v>3728</v>
      </c>
      <c r="JZE611" s="17">
        <v>44925</v>
      </c>
      <c r="JZF611" s="5" t="s">
        <v>3728</v>
      </c>
      <c r="JZG611" s="17">
        <v>44925</v>
      </c>
      <c r="JZH611" s="5" t="s">
        <v>3728</v>
      </c>
      <c r="JZI611" s="17">
        <v>44925</v>
      </c>
      <c r="JZJ611" s="5" t="s">
        <v>3728</v>
      </c>
      <c r="JZK611" s="17">
        <v>44925</v>
      </c>
      <c r="JZL611" s="5" t="s">
        <v>3728</v>
      </c>
      <c r="JZM611" s="17">
        <v>44925</v>
      </c>
      <c r="JZN611" s="5" t="s">
        <v>3728</v>
      </c>
      <c r="JZO611" s="17">
        <v>44925</v>
      </c>
      <c r="JZP611" s="5" t="s">
        <v>3728</v>
      </c>
      <c r="JZQ611" s="17">
        <v>44925</v>
      </c>
      <c r="JZR611" s="5" t="s">
        <v>3728</v>
      </c>
      <c r="JZS611" s="17">
        <v>44925</v>
      </c>
      <c r="JZT611" s="5" t="s">
        <v>3728</v>
      </c>
      <c r="JZU611" s="17">
        <v>44925</v>
      </c>
      <c r="JZV611" s="5" t="s">
        <v>3728</v>
      </c>
      <c r="JZW611" s="17">
        <v>44925</v>
      </c>
      <c r="JZX611" s="5" t="s">
        <v>3728</v>
      </c>
      <c r="JZY611" s="17">
        <v>44925</v>
      </c>
      <c r="JZZ611" s="5" t="s">
        <v>3728</v>
      </c>
      <c r="KAA611" s="17">
        <v>44925</v>
      </c>
      <c r="KAB611" s="5" t="s">
        <v>3728</v>
      </c>
      <c r="KAC611" s="17">
        <v>44925</v>
      </c>
      <c r="KAD611" s="5" t="s">
        <v>3728</v>
      </c>
      <c r="KAE611" s="17">
        <v>44925</v>
      </c>
      <c r="KAF611" s="5" t="s">
        <v>3728</v>
      </c>
      <c r="KAG611" s="17">
        <v>44925</v>
      </c>
      <c r="KAH611" s="5" t="s">
        <v>3728</v>
      </c>
      <c r="KAI611" s="17">
        <v>44925</v>
      </c>
      <c r="KAJ611" s="5" t="s">
        <v>3728</v>
      </c>
      <c r="KAK611" s="17">
        <v>44925</v>
      </c>
      <c r="KAL611" s="5" t="s">
        <v>3728</v>
      </c>
      <c r="KAM611" s="17">
        <v>44925</v>
      </c>
      <c r="KAN611" s="5" t="s">
        <v>3728</v>
      </c>
      <c r="KAO611" s="17">
        <v>44925</v>
      </c>
      <c r="KAP611" s="5" t="s">
        <v>3728</v>
      </c>
      <c r="KAQ611" s="17">
        <v>44925</v>
      </c>
      <c r="KAR611" s="5" t="s">
        <v>3728</v>
      </c>
      <c r="KAS611" s="17">
        <v>44925</v>
      </c>
      <c r="KAT611" s="5" t="s">
        <v>3728</v>
      </c>
      <c r="KAU611" s="17">
        <v>44925</v>
      </c>
      <c r="KAV611" s="5" t="s">
        <v>3728</v>
      </c>
      <c r="KAW611" s="17">
        <v>44925</v>
      </c>
      <c r="KAX611" s="5" t="s">
        <v>3728</v>
      </c>
      <c r="KAY611" s="17">
        <v>44925</v>
      </c>
      <c r="KAZ611" s="5" t="s">
        <v>3728</v>
      </c>
      <c r="KBA611" s="17">
        <v>44925</v>
      </c>
      <c r="KBB611" s="5" t="s">
        <v>3728</v>
      </c>
      <c r="KBC611" s="17">
        <v>44925</v>
      </c>
      <c r="KBD611" s="5" t="s">
        <v>3728</v>
      </c>
      <c r="KBE611" s="17">
        <v>44925</v>
      </c>
      <c r="KBF611" s="5" t="s">
        <v>3728</v>
      </c>
      <c r="KBG611" s="17">
        <v>44925</v>
      </c>
      <c r="KBH611" s="5" t="s">
        <v>3728</v>
      </c>
      <c r="KBI611" s="17">
        <v>44925</v>
      </c>
      <c r="KBJ611" s="5" t="s">
        <v>3728</v>
      </c>
      <c r="KBK611" s="17">
        <v>44925</v>
      </c>
      <c r="KBL611" s="5" t="s">
        <v>3728</v>
      </c>
      <c r="KBM611" s="17">
        <v>44925</v>
      </c>
      <c r="KBN611" s="5" t="s">
        <v>3728</v>
      </c>
      <c r="KBO611" s="17">
        <v>44925</v>
      </c>
      <c r="KBP611" s="5" t="s">
        <v>3728</v>
      </c>
      <c r="KBQ611" s="17">
        <v>44925</v>
      </c>
      <c r="KBR611" s="5" t="s">
        <v>3728</v>
      </c>
      <c r="KBS611" s="17">
        <v>44925</v>
      </c>
      <c r="KBT611" s="5" t="s">
        <v>3728</v>
      </c>
      <c r="KBU611" s="17">
        <v>44925</v>
      </c>
      <c r="KBV611" s="5" t="s">
        <v>3728</v>
      </c>
      <c r="KBW611" s="17">
        <v>44925</v>
      </c>
      <c r="KBX611" s="5" t="s">
        <v>3728</v>
      </c>
      <c r="KBY611" s="17">
        <v>44925</v>
      </c>
      <c r="KBZ611" s="5" t="s">
        <v>3728</v>
      </c>
      <c r="KCA611" s="17">
        <v>44925</v>
      </c>
      <c r="KCB611" s="5" t="s">
        <v>3728</v>
      </c>
      <c r="KCC611" s="17">
        <v>44925</v>
      </c>
      <c r="KCD611" s="5" t="s">
        <v>3728</v>
      </c>
      <c r="KCE611" s="17">
        <v>44925</v>
      </c>
      <c r="KCF611" s="5" t="s">
        <v>3728</v>
      </c>
      <c r="KCG611" s="17">
        <v>44925</v>
      </c>
      <c r="KCH611" s="5" t="s">
        <v>3728</v>
      </c>
      <c r="KCI611" s="17">
        <v>44925</v>
      </c>
      <c r="KCJ611" s="5" t="s">
        <v>3728</v>
      </c>
      <c r="KCK611" s="17">
        <v>44925</v>
      </c>
      <c r="KCL611" s="5" t="s">
        <v>3728</v>
      </c>
      <c r="KCM611" s="17">
        <v>44925</v>
      </c>
      <c r="KCN611" s="5" t="s">
        <v>3728</v>
      </c>
      <c r="KCO611" s="17">
        <v>44925</v>
      </c>
      <c r="KCP611" s="5" t="s">
        <v>3728</v>
      </c>
      <c r="KCQ611" s="17">
        <v>44925</v>
      </c>
      <c r="KCR611" s="5" t="s">
        <v>3728</v>
      </c>
      <c r="KCS611" s="17">
        <v>44925</v>
      </c>
      <c r="KCT611" s="5" t="s">
        <v>3728</v>
      </c>
      <c r="KCU611" s="17">
        <v>44925</v>
      </c>
      <c r="KCV611" s="5" t="s">
        <v>3728</v>
      </c>
      <c r="KCW611" s="17">
        <v>44925</v>
      </c>
      <c r="KCX611" s="5" t="s">
        <v>3728</v>
      </c>
      <c r="KCY611" s="17">
        <v>44925</v>
      </c>
      <c r="KCZ611" s="5" t="s">
        <v>3728</v>
      </c>
      <c r="KDA611" s="17">
        <v>44925</v>
      </c>
      <c r="KDB611" s="5" t="s">
        <v>3728</v>
      </c>
      <c r="KDC611" s="17">
        <v>44925</v>
      </c>
      <c r="KDD611" s="5" t="s">
        <v>3728</v>
      </c>
      <c r="KDE611" s="17">
        <v>44925</v>
      </c>
      <c r="KDF611" s="5" t="s">
        <v>3728</v>
      </c>
      <c r="KDG611" s="17">
        <v>44925</v>
      </c>
      <c r="KDH611" s="5" t="s">
        <v>3728</v>
      </c>
      <c r="KDI611" s="17">
        <v>44925</v>
      </c>
      <c r="KDJ611" s="5" t="s">
        <v>3728</v>
      </c>
      <c r="KDK611" s="17">
        <v>44925</v>
      </c>
      <c r="KDL611" s="5" t="s">
        <v>3728</v>
      </c>
      <c r="KDM611" s="17">
        <v>44925</v>
      </c>
      <c r="KDN611" s="5" t="s">
        <v>3728</v>
      </c>
      <c r="KDO611" s="17">
        <v>44925</v>
      </c>
      <c r="KDP611" s="5" t="s">
        <v>3728</v>
      </c>
      <c r="KDQ611" s="17">
        <v>44925</v>
      </c>
      <c r="KDR611" s="5" t="s">
        <v>3728</v>
      </c>
      <c r="KDS611" s="17">
        <v>44925</v>
      </c>
      <c r="KDT611" s="5" t="s">
        <v>3728</v>
      </c>
      <c r="KDU611" s="17">
        <v>44925</v>
      </c>
      <c r="KDV611" s="5" t="s">
        <v>3728</v>
      </c>
      <c r="KDW611" s="17">
        <v>44925</v>
      </c>
      <c r="KDX611" s="5" t="s">
        <v>3728</v>
      </c>
      <c r="KDY611" s="17">
        <v>44925</v>
      </c>
      <c r="KDZ611" s="5" t="s">
        <v>3728</v>
      </c>
      <c r="KEA611" s="17">
        <v>44925</v>
      </c>
      <c r="KEB611" s="5" t="s">
        <v>3728</v>
      </c>
      <c r="KEC611" s="17">
        <v>44925</v>
      </c>
      <c r="KED611" s="5" t="s">
        <v>3728</v>
      </c>
      <c r="KEE611" s="17">
        <v>44925</v>
      </c>
      <c r="KEF611" s="5" t="s">
        <v>3728</v>
      </c>
      <c r="KEG611" s="17">
        <v>44925</v>
      </c>
      <c r="KEH611" s="5" t="s">
        <v>3728</v>
      </c>
      <c r="KEI611" s="17">
        <v>44925</v>
      </c>
      <c r="KEJ611" s="5" t="s">
        <v>3728</v>
      </c>
      <c r="KEK611" s="17">
        <v>44925</v>
      </c>
      <c r="KEL611" s="5" t="s">
        <v>3728</v>
      </c>
      <c r="KEM611" s="17">
        <v>44925</v>
      </c>
      <c r="KEN611" s="5" t="s">
        <v>3728</v>
      </c>
      <c r="KEO611" s="17">
        <v>44925</v>
      </c>
      <c r="KEP611" s="5" t="s">
        <v>3728</v>
      </c>
      <c r="KEQ611" s="17">
        <v>44925</v>
      </c>
      <c r="KER611" s="5" t="s">
        <v>3728</v>
      </c>
      <c r="KES611" s="17">
        <v>44925</v>
      </c>
      <c r="KET611" s="5" t="s">
        <v>3728</v>
      </c>
      <c r="KEU611" s="17">
        <v>44925</v>
      </c>
      <c r="KEV611" s="5" t="s">
        <v>3728</v>
      </c>
      <c r="KEW611" s="17">
        <v>44925</v>
      </c>
      <c r="KEX611" s="5" t="s">
        <v>3728</v>
      </c>
      <c r="KEY611" s="17">
        <v>44925</v>
      </c>
      <c r="KEZ611" s="5" t="s">
        <v>3728</v>
      </c>
      <c r="KFA611" s="17">
        <v>44925</v>
      </c>
      <c r="KFB611" s="5" t="s">
        <v>3728</v>
      </c>
      <c r="KFC611" s="17">
        <v>44925</v>
      </c>
      <c r="KFD611" s="5" t="s">
        <v>3728</v>
      </c>
      <c r="KFE611" s="17">
        <v>44925</v>
      </c>
      <c r="KFF611" s="5" t="s">
        <v>3728</v>
      </c>
      <c r="KFG611" s="17">
        <v>44925</v>
      </c>
      <c r="KFH611" s="5" t="s">
        <v>3728</v>
      </c>
      <c r="KFI611" s="17">
        <v>44925</v>
      </c>
      <c r="KFJ611" s="5" t="s">
        <v>3728</v>
      </c>
      <c r="KFK611" s="17">
        <v>44925</v>
      </c>
      <c r="KFL611" s="5" t="s">
        <v>3728</v>
      </c>
      <c r="KFM611" s="17">
        <v>44925</v>
      </c>
      <c r="KFN611" s="5" t="s">
        <v>3728</v>
      </c>
      <c r="KFO611" s="17">
        <v>44925</v>
      </c>
      <c r="KFP611" s="5" t="s">
        <v>3728</v>
      </c>
      <c r="KFQ611" s="17">
        <v>44925</v>
      </c>
      <c r="KFR611" s="5" t="s">
        <v>3728</v>
      </c>
      <c r="KFS611" s="17">
        <v>44925</v>
      </c>
      <c r="KFT611" s="5" t="s">
        <v>3728</v>
      </c>
      <c r="KFU611" s="17">
        <v>44925</v>
      </c>
      <c r="KFV611" s="5" t="s">
        <v>3728</v>
      </c>
      <c r="KFW611" s="17">
        <v>44925</v>
      </c>
      <c r="KFX611" s="5" t="s">
        <v>3728</v>
      </c>
      <c r="KFY611" s="17">
        <v>44925</v>
      </c>
      <c r="KFZ611" s="5" t="s">
        <v>3728</v>
      </c>
      <c r="KGA611" s="17">
        <v>44925</v>
      </c>
      <c r="KGB611" s="5" t="s">
        <v>3728</v>
      </c>
      <c r="KGC611" s="17">
        <v>44925</v>
      </c>
      <c r="KGD611" s="5" t="s">
        <v>3728</v>
      </c>
      <c r="KGE611" s="17">
        <v>44925</v>
      </c>
      <c r="KGF611" s="5" t="s">
        <v>3728</v>
      </c>
      <c r="KGG611" s="17">
        <v>44925</v>
      </c>
      <c r="KGH611" s="5" t="s">
        <v>3728</v>
      </c>
      <c r="KGI611" s="17">
        <v>44925</v>
      </c>
      <c r="KGJ611" s="5" t="s">
        <v>3728</v>
      </c>
      <c r="KGK611" s="17">
        <v>44925</v>
      </c>
      <c r="KGL611" s="5" t="s">
        <v>3728</v>
      </c>
      <c r="KGM611" s="17">
        <v>44925</v>
      </c>
      <c r="KGN611" s="5" t="s">
        <v>3728</v>
      </c>
      <c r="KGO611" s="17">
        <v>44925</v>
      </c>
      <c r="KGP611" s="5" t="s">
        <v>3728</v>
      </c>
      <c r="KGQ611" s="17">
        <v>44925</v>
      </c>
      <c r="KGR611" s="5" t="s">
        <v>3728</v>
      </c>
      <c r="KGS611" s="17">
        <v>44925</v>
      </c>
      <c r="KGT611" s="5" t="s">
        <v>3728</v>
      </c>
      <c r="KGU611" s="17">
        <v>44925</v>
      </c>
      <c r="KGV611" s="5" t="s">
        <v>3728</v>
      </c>
      <c r="KGW611" s="17">
        <v>44925</v>
      </c>
      <c r="KGX611" s="5" t="s">
        <v>3728</v>
      </c>
      <c r="KGY611" s="17">
        <v>44925</v>
      </c>
      <c r="KGZ611" s="5" t="s">
        <v>3728</v>
      </c>
      <c r="KHA611" s="17">
        <v>44925</v>
      </c>
      <c r="KHB611" s="5" t="s">
        <v>3728</v>
      </c>
      <c r="KHC611" s="17">
        <v>44925</v>
      </c>
      <c r="KHD611" s="5" t="s">
        <v>3728</v>
      </c>
      <c r="KHE611" s="17">
        <v>44925</v>
      </c>
      <c r="KHF611" s="5" t="s">
        <v>3728</v>
      </c>
      <c r="KHG611" s="17">
        <v>44925</v>
      </c>
      <c r="KHH611" s="5" t="s">
        <v>3728</v>
      </c>
      <c r="KHI611" s="17">
        <v>44925</v>
      </c>
      <c r="KHJ611" s="5" t="s">
        <v>3728</v>
      </c>
      <c r="KHK611" s="17">
        <v>44925</v>
      </c>
      <c r="KHL611" s="5" t="s">
        <v>3728</v>
      </c>
      <c r="KHM611" s="17">
        <v>44925</v>
      </c>
      <c r="KHN611" s="5" t="s">
        <v>3728</v>
      </c>
      <c r="KHO611" s="17">
        <v>44925</v>
      </c>
      <c r="KHP611" s="5" t="s">
        <v>3728</v>
      </c>
      <c r="KHQ611" s="17">
        <v>44925</v>
      </c>
      <c r="KHR611" s="5" t="s">
        <v>3728</v>
      </c>
      <c r="KHS611" s="17">
        <v>44925</v>
      </c>
      <c r="KHT611" s="5" t="s">
        <v>3728</v>
      </c>
      <c r="KHU611" s="17">
        <v>44925</v>
      </c>
      <c r="KHV611" s="5" t="s">
        <v>3728</v>
      </c>
      <c r="KHW611" s="17">
        <v>44925</v>
      </c>
      <c r="KHX611" s="5" t="s">
        <v>3728</v>
      </c>
      <c r="KHY611" s="17">
        <v>44925</v>
      </c>
      <c r="KHZ611" s="5" t="s">
        <v>3728</v>
      </c>
      <c r="KIA611" s="17">
        <v>44925</v>
      </c>
      <c r="KIB611" s="5" t="s">
        <v>3728</v>
      </c>
      <c r="KIC611" s="17">
        <v>44925</v>
      </c>
      <c r="KID611" s="5" t="s">
        <v>3728</v>
      </c>
      <c r="KIE611" s="17">
        <v>44925</v>
      </c>
      <c r="KIF611" s="5" t="s">
        <v>3728</v>
      </c>
      <c r="KIG611" s="17">
        <v>44925</v>
      </c>
      <c r="KIH611" s="5" t="s">
        <v>3728</v>
      </c>
      <c r="KII611" s="17">
        <v>44925</v>
      </c>
      <c r="KIJ611" s="5" t="s">
        <v>3728</v>
      </c>
      <c r="KIK611" s="17">
        <v>44925</v>
      </c>
      <c r="KIL611" s="5" t="s">
        <v>3728</v>
      </c>
      <c r="KIM611" s="17">
        <v>44925</v>
      </c>
      <c r="KIN611" s="5" t="s">
        <v>3728</v>
      </c>
      <c r="KIO611" s="17">
        <v>44925</v>
      </c>
      <c r="KIP611" s="5" t="s">
        <v>3728</v>
      </c>
      <c r="KIQ611" s="17">
        <v>44925</v>
      </c>
      <c r="KIR611" s="5" t="s">
        <v>3728</v>
      </c>
      <c r="KIS611" s="17">
        <v>44925</v>
      </c>
      <c r="KIT611" s="5" t="s">
        <v>3728</v>
      </c>
      <c r="KIU611" s="17">
        <v>44925</v>
      </c>
      <c r="KIV611" s="5" t="s">
        <v>3728</v>
      </c>
      <c r="KIW611" s="17">
        <v>44925</v>
      </c>
      <c r="KIX611" s="5" t="s">
        <v>3728</v>
      </c>
      <c r="KIY611" s="17">
        <v>44925</v>
      </c>
      <c r="KIZ611" s="5" t="s">
        <v>3728</v>
      </c>
      <c r="KJA611" s="17">
        <v>44925</v>
      </c>
      <c r="KJB611" s="5" t="s">
        <v>3728</v>
      </c>
      <c r="KJC611" s="17">
        <v>44925</v>
      </c>
      <c r="KJD611" s="5" t="s">
        <v>3728</v>
      </c>
      <c r="KJE611" s="17">
        <v>44925</v>
      </c>
      <c r="KJF611" s="5" t="s">
        <v>3728</v>
      </c>
      <c r="KJG611" s="17">
        <v>44925</v>
      </c>
      <c r="KJH611" s="5" t="s">
        <v>3728</v>
      </c>
      <c r="KJI611" s="17">
        <v>44925</v>
      </c>
      <c r="KJJ611" s="5" t="s">
        <v>3728</v>
      </c>
      <c r="KJK611" s="17">
        <v>44925</v>
      </c>
      <c r="KJL611" s="5" t="s">
        <v>3728</v>
      </c>
      <c r="KJM611" s="17">
        <v>44925</v>
      </c>
      <c r="KJN611" s="5" t="s">
        <v>3728</v>
      </c>
      <c r="KJO611" s="17">
        <v>44925</v>
      </c>
      <c r="KJP611" s="5" t="s">
        <v>3728</v>
      </c>
      <c r="KJQ611" s="17">
        <v>44925</v>
      </c>
      <c r="KJR611" s="5" t="s">
        <v>3728</v>
      </c>
      <c r="KJS611" s="17">
        <v>44925</v>
      </c>
      <c r="KJT611" s="5" t="s">
        <v>3728</v>
      </c>
      <c r="KJU611" s="17">
        <v>44925</v>
      </c>
      <c r="KJV611" s="5" t="s">
        <v>3728</v>
      </c>
      <c r="KJW611" s="17">
        <v>44925</v>
      </c>
      <c r="KJX611" s="5" t="s">
        <v>3728</v>
      </c>
      <c r="KJY611" s="17">
        <v>44925</v>
      </c>
      <c r="KJZ611" s="5" t="s">
        <v>3728</v>
      </c>
      <c r="KKA611" s="17">
        <v>44925</v>
      </c>
      <c r="KKB611" s="5" t="s">
        <v>3728</v>
      </c>
      <c r="KKC611" s="17">
        <v>44925</v>
      </c>
      <c r="KKD611" s="5" t="s">
        <v>3728</v>
      </c>
      <c r="KKE611" s="17">
        <v>44925</v>
      </c>
      <c r="KKF611" s="5" t="s">
        <v>3728</v>
      </c>
      <c r="KKG611" s="17">
        <v>44925</v>
      </c>
      <c r="KKH611" s="5" t="s">
        <v>3728</v>
      </c>
      <c r="KKI611" s="17">
        <v>44925</v>
      </c>
      <c r="KKJ611" s="5" t="s">
        <v>3728</v>
      </c>
      <c r="KKK611" s="17">
        <v>44925</v>
      </c>
      <c r="KKL611" s="5" t="s">
        <v>3728</v>
      </c>
      <c r="KKM611" s="17">
        <v>44925</v>
      </c>
      <c r="KKN611" s="5" t="s">
        <v>3728</v>
      </c>
      <c r="KKO611" s="17">
        <v>44925</v>
      </c>
      <c r="KKP611" s="5" t="s">
        <v>3728</v>
      </c>
      <c r="KKQ611" s="17">
        <v>44925</v>
      </c>
      <c r="KKR611" s="5" t="s">
        <v>3728</v>
      </c>
      <c r="KKS611" s="17">
        <v>44925</v>
      </c>
      <c r="KKT611" s="5" t="s">
        <v>3728</v>
      </c>
      <c r="KKU611" s="17">
        <v>44925</v>
      </c>
      <c r="KKV611" s="5" t="s">
        <v>3728</v>
      </c>
      <c r="KKW611" s="17">
        <v>44925</v>
      </c>
      <c r="KKX611" s="5" t="s">
        <v>3728</v>
      </c>
      <c r="KKY611" s="17">
        <v>44925</v>
      </c>
      <c r="KKZ611" s="5" t="s">
        <v>3728</v>
      </c>
      <c r="KLA611" s="17">
        <v>44925</v>
      </c>
      <c r="KLB611" s="5" t="s">
        <v>3728</v>
      </c>
      <c r="KLC611" s="17">
        <v>44925</v>
      </c>
      <c r="KLD611" s="5" t="s">
        <v>3728</v>
      </c>
      <c r="KLE611" s="17">
        <v>44925</v>
      </c>
      <c r="KLF611" s="5" t="s">
        <v>3728</v>
      </c>
      <c r="KLG611" s="17">
        <v>44925</v>
      </c>
      <c r="KLH611" s="5" t="s">
        <v>3728</v>
      </c>
      <c r="KLI611" s="17">
        <v>44925</v>
      </c>
      <c r="KLJ611" s="5" t="s">
        <v>3728</v>
      </c>
      <c r="KLK611" s="17">
        <v>44925</v>
      </c>
      <c r="KLL611" s="5" t="s">
        <v>3728</v>
      </c>
      <c r="KLM611" s="17">
        <v>44925</v>
      </c>
      <c r="KLN611" s="5" t="s">
        <v>3728</v>
      </c>
      <c r="KLO611" s="17">
        <v>44925</v>
      </c>
      <c r="KLP611" s="5" t="s">
        <v>3728</v>
      </c>
      <c r="KLQ611" s="17">
        <v>44925</v>
      </c>
      <c r="KLR611" s="5" t="s">
        <v>3728</v>
      </c>
      <c r="KLS611" s="17">
        <v>44925</v>
      </c>
      <c r="KLT611" s="5" t="s">
        <v>3728</v>
      </c>
      <c r="KLU611" s="17">
        <v>44925</v>
      </c>
      <c r="KLV611" s="5" t="s">
        <v>3728</v>
      </c>
      <c r="KLW611" s="17">
        <v>44925</v>
      </c>
      <c r="KLX611" s="5" t="s">
        <v>3728</v>
      </c>
      <c r="KLY611" s="17">
        <v>44925</v>
      </c>
      <c r="KLZ611" s="5" t="s">
        <v>3728</v>
      </c>
      <c r="KMA611" s="17">
        <v>44925</v>
      </c>
      <c r="KMB611" s="5" t="s">
        <v>3728</v>
      </c>
      <c r="KMC611" s="17">
        <v>44925</v>
      </c>
      <c r="KMD611" s="5" t="s">
        <v>3728</v>
      </c>
      <c r="KME611" s="17">
        <v>44925</v>
      </c>
      <c r="KMF611" s="5" t="s">
        <v>3728</v>
      </c>
      <c r="KMG611" s="17">
        <v>44925</v>
      </c>
      <c r="KMH611" s="5" t="s">
        <v>3728</v>
      </c>
      <c r="KMI611" s="17">
        <v>44925</v>
      </c>
      <c r="KMJ611" s="5" t="s">
        <v>3728</v>
      </c>
      <c r="KMK611" s="17">
        <v>44925</v>
      </c>
      <c r="KML611" s="5" t="s">
        <v>3728</v>
      </c>
      <c r="KMM611" s="17">
        <v>44925</v>
      </c>
      <c r="KMN611" s="5" t="s">
        <v>3728</v>
      </c>
      <c r="KMO611" s="17">
        <v>44925</v>
      </c>
      <c r="KMP611" s="5" t="s">
        <v>3728</v>
      </c>
      <c r="KMQ611" s="17">
        <v>44925</v>
      </c>
      <c r="KMR611" s="5" t="s">
        <v>3728</v>
      </c>
      <c r="KMS611" s="17">
        <v>44925</v>
      </c>
      <c r="KMT611" s="5" t="s">
        <v>3728</v>
      </c>
      <c r="KMU611" s="17">
        <v>44925</v>
      </c>
      <c r="KMV611" s="5" t="s">
        <v>3728</v>
      </c>
      <c r="KMW611" s="17">
        <v>44925</v>
      </c>
      <c r="KMX611" s="5" t="s">
        <v>3728</v>
      </c>
      <c r="KMY611" s="17">
        <v>44925</v>
      </c>
      <c r="KMZ611" s="5" t="s">
        <v>3728</v>
      </c>
      <c r="KNA611" s="17">
        <v>44925</v>
      </c>
      <c r="KNB611" s="5" t="s">
        <v>3728</v>
      </c>
      <c r="KNC611" s="17">
        <v>44925</v>
      </c>
      <c r="KND611" s="5" t="s">
        <v>3728</v>
      </c>
      <c r="KNE611" s="17">
        <v>44925</v>
      </c>
      <c r="KNF611" s="5" t="s">
        <v>3728</v>
      </c>
      <c r="KNG611" s="17">
        <v>44925</v>
      </c>
      <c r="KNH611" s="5" t="s">
        <v>3728</v>
      </c>
      <c r="KNI611" s="17">
        <v>44925</v>
      </c>
      <c r="KNJ611" s="5" t="s">
        <v>3728</v>
      </c>
      <c r="KNK611" s="17">
        <v>44925</v>
      </c>
      <c r="KNL611" s="5" t="s">
        <v>3728</v>
      </c>
      <c r="KNM611" s="17">
        <v>44925</v>
      </c>
      <c r="KNN611" s="5" t="s">
        <v>3728</v>
      </c>
      <c r="KNO611" s="17">
        <v>44925</v>
      </c>
      <c r="KNP611" s="5" t="s">
        <v>3728</v>
      </c>
      <c r="KNQ611" s="17">
        <v>44925</v>
      </c>
      <c r="KNR611" s="5" t="s">
        <v>3728</v>
      </c>
      <c r="KNS611" s="17">
        <v>44925</v>
      </c>
      <c r="KNT611" s="5" t="s">
        <v>3728</v>
      </c>
      <c r="KNU611" s="17">
        <v>44925</v>
      </c>
      <c r="KNV611" s="5" t="s">
        <v>3728</v>
      </c>
      <c r="KNW611" s="17">
        <v>44925</v>
      </c>
      <c r="KNX611" s="5" t="s">
        <v>3728</v>
      </c>
      <c r="KNY611" s="17">
        <v>44925</v>
      </c>
      <c r="KNZ611" s="5" t="s">
        <v>3728</v>
      </c>
      <c r="KOA611" s="17">
        <v>44925</v>
      </c>
      <c r="KOB611" s="5" t="s">
        <v>3728</v>
      </c>
      <c r="KOC611" s="17">
        <v>44925</v>
      </c>
      <c r="KOD611" s="5" t="s">
        <v>3728</v>
      </c>
      <c r="KOE611" s="17">
        <v>44925</v>
      </c>
      <c r="KOF611" s="5" t="s">
        <v>3728</v>
      </c>
      <c r="KOG611" s="17">
        <v>44925</v>
      </c>
      <c r="KOH611" s="5" t="s">
        <v>3728</v>
      </c>
      <c r="KOI611" s="17">
        <v>44925</v>
      </c>
      <c r="KOJ611" s="5" t="s">
        <v>3728</v>
      </c>
      <c r="KOK611" s="17">
        <v>44925</v>
      </c>
      <c r="KOL611" s="5" t="s">
        <v>3728</v>
      </c>
      <c r="KOM611" s="17">
        <v>44925</v>
      </c>
      <c r="KON611" s="5" t="s">
        <v>3728</v>
      </c>
      <c r="KOO611" s="17">
        <v>44925</v>
      </c>
      <c r="KOP611" s="5" t="s">
        <v>3728</v>
      </c>
      <c r="KOQ611" s="17">
        <v>44925</v>
      </c>
      <c r="KOR611" s="5" t="s">
        <v>3728</v>
      </c>
      <c r="KOS611" s="17">
        <v>44925</v>
      </c>
      <c r="KOT611" s="5" t="s">
        <v>3728</v>
      </c>
      <c r="KOU611" s="17">
        <v>44925</v>
      </c>
      <c r="KOV611" s="5" t="s">
        <v>3728</v>
      </c>
      <c r="KOW611" s="17">
        <v>44925</v>
      </c>
      <c r="KOX611" s="5" t="s">
        <v>3728</v>
      </c>
      <c r="KOY611" s="17">
        <v>44925</v>
      </c>
      <c r="KOZ611" s="5" t="s">
        <v>3728</v>
      </c>
      <c r="KPA611" s="17">
        <v>44925</v>
      </c>
      <c r="KPB611" s="5" t="s">
        <v>3728</v>
      </c>
      <c r="KPC611" s="17">
        <v>44925</v>
      </c>
      <c r="KPD611" s="5" t="s">
        <v>3728</v>
      </c>
      <c r="KPE611" s="17">
        <v>44925</v>
      </c>
      <c r="KPF611" s="5" t="s">
        <v>3728</v>
      </c>
      <c r="KPG611" s="17">
        <v>44925</v>
      </c>
      <c r="KPH611" s="5" t="s">
        <v>3728</v>
      </c>
      <c r="KPI611" s="17">
        <v>44925</v>
      </c>
      <c r="KPJ611" s="5" t="s">
        <v>3728</v>
      </c>
      <c r="KPK611" s="17">
        <v>44925</v>
      </c>
      <c r="KPL611" s="5" t="s">
        <v>3728</v>
      </c>
      <c r="KPM611" s="17">
        <v>44925</v>
      </c>
      <c r="KPN611" s="5" t="s">
        <v>3728</v>
      </c>
      <c r="KPO611" s="17">
        <v>44925</v>
      </c>
      <c r="KPP611" s="5" t="s">
        <v>3728</v>
      </c>
      <c r="KPQ611" s="17">
        <v>44925</v>
      </c>
      <c r="KPR611" s="5" t="s">
        <v>3728</v>
      </c>
      <c r="KPS611" s="17">
        <v>44925</v>
      </c>
      <c r="KPT611" s="5" t="s">
        <v>3728</v>
      </c>
      <c r="KPU611" s="17">
        <v>44925</v>
      </c>
      <c r="KPV611" s="5" t="s">
        <v>3728</v>
      </c>
      <c r="KPW611" s="17">
        <v>44925</v>
      </c>
      <c r="KPX611" s="5" t="s">
        <v>3728</v>
      </c>
      <c r="KPY611" s="17">
        <v>44925</v>
      </c>
      <c r="KPZ611" s="5" t="s">
        <v>3728</v>
      </c>
      <c r="KQA611" s="17">
        <v>44925</v>
      </c>
      <c r="KQB611" s="5" t="s">
        <v>3728</v>
      </c>
      <c r="KQC611" s="17">
        <v>44925</v>
      </c>
      <c r="KQD611" s="5" t="s">
        <v>3728</v>
      </c>
      <c r="KQE611" s="17">
        <v>44925</v>
      </c>
      <c r="KQF611" s="5" t="s">
        <v>3728</v>
      </c>
      <c r="KQG611" s="17">
        <v>44925</v>
      </c>
      <c r="KQH611" s="5" t="s">
        <v>3728</v>
      </c>
      <c r="KQI611" s="17">
        <v>44925</v>
      </c>
      <c r="KQJ611" s="5" t="s">
        <v>3728</v>
      </c>
      <c r="KQK611" s="17">
        <v>44925</v>
      </c>
      <c r="KQL611" s="5" t="s">
        <v>3728</v>
      </c>
      <c r="KQM611" s="17">
        <v>44925</v>
      </c>
      <c r="KQN611" s="5" t="s">
        <v>3728</v>
      </c>
      <c r="KQO611" s="17">
        <v>44925</v>
      </c>
      <c r="KQP611" s="5" t="s">
        <v>3728</v>
      </c>
      <c r="KQQ611" s="17">
        <v>44925</v>
      </c>
      <c r="KQR611" s="5" t="s">
        <v>3728</v>
      </c>
      <c r="KQS611" s="17">
        <v>44925</v>
      </c>
      <c r="KQT611" s="5" t="s">
        <v>3728</v>
      </c>
      <c r="KQU611" s="17">
        <v>44925</v>
      </c>
      <c r="KQV611" s="5" t="s">
        <v>3728</v>
      </c>
      <c r="KQW611" s="17">
        <v>44925</v>
      </c>
      <c r="KQX611" s="5" t="s">
        <v>3728</v>
      </c>
      <c r="KQY611" s="17">
        <v>44925</v>
      </c>
      <c r="KQZ611" s="5" t="s">
        <v>3728</v>
      </c>
      <c r="KRA611" s="17">
        <v>44925</v>
      </c>
      <c r="KRB611" s="5" t="s">
        <v>3728</v>
      </c>
      <c r="KRC611" s="17">
        <v>44925</v>
      </c>
      <c r="KRD611" s="5" t="s">
        <v>3728</v>
      </c>
      <c r="KRE611" s="17">
        <v>44925</v>
      </c>
      <c r="KRF611" s="5" t="s">
        <v>3728</v>
      </c>
      <c r="KRG611" s="17">
        <v>44925</v>
      </c>
      <c r="KRH611" s="5" t="s">
        <v>3728</v>
      </c>
      <c r="KRI611" s="17">
        <v>44925</v>
      </c>
      <c r="KRJ611" s="5" t="s">
        <v>3728</v>
      </c>
      <c r="KRK611" s="17">
        <v>44925</v>
      </c>
      <c r="KRL611" s="5" t="s">
        <v>3728</v>
      </c>
      <c r="KRM611" s="17">
        <v>44925</v>
      </c>
      <c r="KRN611" s="5" t="s">
        <v>3728</v>
      </c>
      <c r="KRO611" s="17">
        <v>44925</v>
      </c>
      <c r="KRP611" s="5" t="s">
        <v>3728</v>
      </c>
      <c r="KRQ611" s="17">
        <v>44925</v>
      </c>
      <c r="KRR611" s="5" t="s">
        <v>3728</v>
      </c>
      <c r="KRS611" s="17">
        <v>44925</v>
      </c>
      <c r="KRT611" s="5" t="s">
        <v>3728</v>
      </c>
      <c r="KRU611" s="17">
        <v>44925</v>
      </c>
      <c r="KRV611" s="5" t="s">
        <v>3728</v>
      </c>
      <c r="KRW611" s="17">
        <v>44925</v>
      </c>
      <c r="KRX611" s="5" t="s">
        <v>3728</v>
      </c>
      <c r="KRY611" s="17">
        <v>44925</v>
      </c>
      <c r="KRZ611" s="5" t="s">
        <v>3728</v>
      </c>
      <c r="KSA611" s="17">
        <v>44925</v>
      </c>
      <c r="KSB611" s="5" t="s">
        <v>3728</v>
      </c>
      <c r="KSC611" s="17">
        <v>44925</v>
      </c>
      <c r="KSD611" s="5" t="s">
        <v>3728</v>
      </c>
      <c r="KSE611" s="17">
        <v>44925</v>
      </c>
      <c r="KSF611" s="5" t="s">
        <v>3728</v>
      </c>
      <c r="KSG611" s="17">
        <v>44925</v>
      </c>
      <c r="KSH611" s="5" t="s">
        <v>3728</v>
      </c>
      <c r="KSI611" s="17">
        <v>44925</v>
      </c>
      <c r="KSJ611" s="5" t="s">
        <v>3728</v>
      </c>
      <c r="KSK611" s="17">
        <v>44925</v>
      </c>
      <c r="KSL611" s="5" t="s">
        <v>3728</v>
      </c>
      <c r="KSM611" s="17">
        <v>44925</v>
      </c>
      <c r="KSN611" s="5" t="s">
        <v>3728</v>
      </c>
      <c r="KSO611" s="17">
        <v>44925</v>
      </c>
      <c r="KSP611" s="5" t="s">
        <v>3728</v>
      </c>
      <c r="KSQ611" s="17">
        <v>44925</v>
      </c>
      <c r="KSR611" s="5" t="s">
        <v>3728</v>
      </c>
      <c r="KSS611" s="17">
        <v>44925</v>
      </c>
      <c r="KST611" s="5" t="s">
        <v>3728</v>
      </c>
      <c r="KSU611" s="17">
        <v>44925</v>
      </c>
      <c r="KSV611" s="5" t="s">
        <v>3728</v>
      </c>
      <c r="KSW611" s="17">
        <v>44925</v>
      </c>
      <c r="KSX611" s="5" t="s">
        <v>3728</v>
      </c>
      <c r="KSY611" s="17">
        <v>44925</v>
      </c>
      <c r="KSZ611" s="5" t="s">
        <v>3728</v>
      </c>
      <c r="KTA611" s="17">
        <v>44925</v>
      </c>
      <c r="KTB611" s="5" t="s">
        <v>3728</v>
      </c>
      <c r="KTC611" s="17">
        <v>44925</v>
      </c>
      <c r="KTD611" s="5" t="s">
        <v>3728</v>
      </c>
      <c r="KTE611" s="17">
        <v>44925</v>
      </c>
      <c r="KTF611" s="5" t="s">
        <v>3728</v>
      </c>
      <c r="KTG611" s="17">
        <v>44925</v>
      </c>
      <c r="KTH611" s="5" t="s">
        <v>3728</v>
      </c>
      <c r="KTI611" s="17">
        <v>44925</v>
      </c>
      <c r="KTJ611" s="5" t="s">
        <v>3728</v>
      </c>
      <c r="KTK611" s="17">
        <v>44925</v>
      </c>
      <c r="KTL611" s="5" t="s">
        <v>3728</v>
      </c>
      <c r="KTM611" s="17">
        <v>44925</v>
      </c>
      <c r="KTN611" s="5" t="s">
        <v>3728</v>
      </c>
      <c r="KTO611" s="17">
        <v>44925</v>
      </c>
      <c r="KTP611" s="5" t="s">
        <v>3728</v>
      </c>
      <c r="KTQ611" s="17">
        <v>44925</v>
      </c>
      <c r="KTR611" s="5" t="s">
        <v>3728</v>
      </c>
      <c r="KTS611" s="17">
        <v>44925</v>
      </c>
      <c r="KTT611" s="5" t="s">
        <v>3728</v>
      </c>
      <c r="KTU611" s="17">
        <v>44925</v>
      </c>
      <c r="KTV611" s="5" t="s">
        <v>3728</v>
      </c>
      <c r="KTW611" s="17">
        <v>44925</v>
      </c>
      <c r="KTX611" s="5" t="s">
        <v>3728</v>
      </c>
      <c r="KTY611" s="17">
        <v>44925</v>
      </c>
      <c r="KTZ611" s="5" t="s">
        <v>3728</v>
      </c>
      <c r="KUA611" s="17">
        <v>44925</v>
      </c>
      <c r="KUB611" s="5" t="s">
        <v>3728</v>
      </c>
      <c r="KUC611" s="17">
        <v>44925</v>
      </c>
      <c r="KUD611" s="5" t="s">
        <v>3728</v>
      </c>
      <c r="KUE611" s="17">
        <v>44925</v>
      </c>
      <c r="KUF611" s="5" t="s">
        <v>3728</v>
      </c>
      <c r="KUG611" s="17">
        <v>44925</v>
      </c>
      <c r="KUH611" s="5" t="s">
        <v>3728</v>
      </c>
      <c r="KUI611" s="17">
        <v>44925</v>
      </c>
      <c r="KUJ611" s="5" t="s">
        <v>3728</v>
      </c>
      <c r="KUK611" s="17">
        <v>44925</v>
      </c>
      <c r="KUL611" s="5" t="s">
        <v>3728</v>
      </c>
      <c r="KUM611" s="17">
        <v>44925</v>
      </c>
      <c r="KUN611" s="5" t="s">
        <v>3728</v>
      </c>
      <c r="KUO611" s="17">
        <v>44925</v>
      </c>
      <c r="KUP611" s="5" t="s">
        <v>3728</v>
      </c>
      <c r="KUQ611" s="17">
        <v>44925</v>
      </c>
      <c r="KUR611" s="5" t="s">
        <v>3728</v>
      </c>
      <c r="KUS611" s="17">
        <v>44925</v>
      </c>
      <c r="KUT611" s="5" t="s">
        <v>3728</v>
      </c>
      <c r="KUU611" s="17">
        <v>44925</v>
      </c>
      <c r="KUV611" s="5" t="s">
        <v>3728</v>
      </c>
      <c r="KUW611" s="17">
        <v>44925</v>
      </c>
      <c r="KUX611" s="5" t="s">
        <v>3728</v>
      </c>
      <c r="KUY611" s="17">
        <v>44925</v>
      </c>
      <c r="KUZ611" s="5" t="s">
        <v>3728</v>
      </c>
      <c r="KVA611" s="17">
        <v>44925</v>
      </c>
      <c r="KVB611" s="5" t="s">
        <v>3728</v>
      </c>
      <c r="KVC611" s="17">
        <v>44925</v>
      </c>
      <c r="KVD611" s="5" t="s">
        <v>3728</v>
      </c>
      <c r="KVE611" s="17">
        <v>44925</v>
      </c>
      <c r="KVF611" s="5" t="s">
        <v>3728</v>
      </c>
      <c r="KVG611" s="17">
        <v>44925</v>
      </c>
      <c r="KVH611" s="5" t="s">
        <v>3728</v>
      </c>
      <c r="KVI611" s="17">
        <v>44925</v>
      </c>
      <c r="KVJ611" s="5" t="s">
        <v>3728</v>
      </c>
      <c r="KVK611" s="17">
        <v>44925</v>
      </c>
      <c r="KVL611" s="5" t="s">
        <v>3728</v>
      </c>
      <c r="KVM611" s="17">
        <v>44925</v>
      </c>
      <c r="KVN611" s="5" t="s">
        <v>3728</v>
      </c>
      <c r="KVO611" s="17">
        <v>44925</v>
      </c>
      <c r="KVP611" s="5" t="s">
        <v>3728</v>
      </c>
      <c r="KVQ611" s="17">
        <v>44925</v>
      </c>
      <c r="KVR611" s="5" t="s">
        <v>3728</v>
      </c>
      <c r="KVS611" s="17">
        <v>44925</v>
      </c>
      <c r="KVT611" s="5" t="s">
        <v>3728</v>
      </c>
      <c r="KVU611" s="17">
        <v>44925</v>
      </c>
      <c r="KVV611" s="5" t="s">
        <v>3728</v>
      </c>
      <c r="KVW611" s="17">
        <v>44925</v>
      </c>
      <c r="KVX611" s="5" t="s">
        <v>3728</v>
      </c>
      <c r="KVY611" s="17">
        <v>44925</v>
      </c>
      <c r="KVZ611" s="5" t="s">
        <v>3728</v>
      </c>
      <c r="KWA611" s="17">
        <v>44925</v>
      </c>
      <c r="KWB611" s="5" t="s">
        <v>3728</v>
      </c>
      <c r="KWC611" s="17">
        <v>44925</v>
      </c>
      <c r="KWD611" s="5" t="s">
        <v>3728</v>
      </c>
      <c r="KWE611" s="17">
        <v>44925</v>
      </c>
      <c r="KWF611" s="5" t="s">
        <v>3728</v>
      </c>
      <c r="KWG611" s="17">
        <v>44925</v>
      </c>
      <c r="KWH611" s="5" t="s">
        <v>3728</v>
      </c>
      <c r="KWI611" s="17">
        <v>44925</v>
      </c>
      <c r="KWJ611" s="5" t="s">
        <v>3728</v>
      </c>
      <c r="KWK611" s="17">
        <v>44925</v>
      </c>
      <c r="KWL611" s="5" t="s">
        <v>3728</v>
      </c>
      <c r="KWM611" s="17">
        <v>44925</v>
      </c>
      <c r="KWN611" s="5" t="s">
        <v>3728</v>
      </c>
      <c r="KWO611" s="17">
        <v>44925</v>
      </c>
      <c r="KWP611" s="5" t="s">
        <v>3728</v>
      </c>
      <c r="KWQ611" s="17">
        <v>44925</v>
      </c>
      <c r="KWR611" s="5" t="s">
        <v>3728</v>
      </c>
      <c r="KWS611" s="17">
        <v>44925</v>
      </c>
      <c r="KWT611" s="5" t="s">
        <v>3728</v>
      </c>
      <c r="KWU611" s="17">
        <v>44925</v>
      </c>
      <c r="KWV611" s="5" t="s">
        <v>3728</v>
      </c>
      <c r="KWW611" s="17">
        <v>44925</v>
      </c>
      <c r="KWX611" s="5" t="s">
        <v>3728</v>
      </c>
      <c r="KWY611" s="17">
        <v>44925</v>
      </c>
      <c r="KWZ611" s="5" t="s">
        <v>3728</v>
      </c>
      <c r="KXA611" s="17">
        <v>44925</v>
      </c>
      <c r="KXB611" s="5" t="s">
        <v>3728</v>
      </c>
      <c r="KXC611" s="17">
        <v>44925</v>
      </c>
      <c r="KXD611" s="5" t="s">
        <v>3728</v>
      </c>
      <c r="KXE611" s="17">
        <v>44925</v>
      </c>
      <c r="KXF611" s="5" t="s">
        <v>3728</v>
      </c>
      <c r="KXG611" s="17">
        <v>44925</v>
      </c>
      <c r="KXH611" s="5" t="s">
        <v>3728</v>
      </c>
      <c r="KXI611" s="17">
        <v>44925</v>
      </c>
      <c r="KXJ611" s="5" t="s">
        <v>3728</v>
      </c>
      <c r="KXK611" s="17">
        <v>44925</v>
      </c>
      <c r="KXL611" s="5" t="s">
        <v>3728</v>
      </c>
      <c r="KXM611" s="17">
        <v>44925</v>
      </c>
      <c r="KXN611" s="5" t="s">
        <v>3728</v>
      </c>
      <c r="KXO611" s="17">
        <v>44925</v>
      </c>
      <c r="KXP611" s="5" t="s">
        <v>3728</v>
      </c>
      <c r="KXQ611" s="17">
        <v>44925</v>
      </c>
      <c r="KXR611" s="5" t="s">
        <v>3728</v>
      </c>
      <c r="KXS611" s="17">
        <v>44925</v>
      </c>
      <c r="KXT611" s="5" t="s">
        <v>3728</v>
      </c>
      <c r="KXU611" s="17">
        <v>44925</v>
      </c>
      <c r="KXV611" s="5" t="s">
        <v>3728</v>
      </c>
      <c r="KXW611" s="17">
        <v>44925</v>
      </c>
      <c r="KXX611" s="5" t="s">
        <v>3728</v>
      </c>
      <c r="KXY611" s="17">
        <v>44925</v>
      </c>
      <c r="KXZ611" s="5" t="s">
        <v>3728</v>
      </c>
      <c r="KYA611" s="17">
        <v>44925</v>
      </c>
      <c r="KYB611" s="5" t="s">
        <v>3728</v>
      </c>
      <c r="KYC611" s="17">
        <v>44925</v>
      </c>
      <c r="KYD611" s="5" t="s">
        <v>3728</v>
      </c>
      <c r="KYE611" s="17">
        <v>44925</v>
      </c>
      <c r="KYF611" s="5" t="s">
        <v>3728</v>
      </c>
      <c r="KYG611" s="17">
        <v>44925</v>
      </c>
      <c r="KYH611" s="5" t="s">
        <v>3728</v>
      </c>
      <c r="KYI611" s="17">
        <v>44925</v>
      </c>
      <c r="KYJ611" s="5" t="s">
        <v>3728</v>
      </c>
      <c r="KYK611" s="17">
        <v>44925</v>
      </c>
      <c r="KYL611" s="5" t="s">
        <v>3728</v>
      </c>
      <c r="KYM611" s="17">
        <v>44925</v>
      </c>
      <c r="KYN611" s="5" t="s">
        <v>3728</v>
      </c>
      <c r="KYO611" s="17">
        <v>44925</v>
      </c>
      <c r="KYP611" s="5" t="s">
        <v>3728</v>
      </c>
      <c r="KYQ611" s="17">
        <v>44925</v>
      </c>
      <c r="KYR611" s="5" t="s">
        <v>3728</v>
      </c>
      <c r="KYS611" s="17">
        <v>44925</v>
      </c>
      <c r="KYT611" s="5" t="s">
        <v>3728</v>
      </c>
      <c r="KYU611" s="17">
        <v>44925</v>
      </c>
      <c r="KYV611" s="5" t="s">
        <v>3728</v>
      </c>
      <c r="KYW611" s="17">
        <v>44925</v>
      </c>
      <c r="KYX611" s="5" t="s">
        <v>3728</v>
      </c>
      <c r="KYY611" s="17">
        <v>44925</v>
      </c>
      <c r="KYZ611" s="5" t="s">
        <v>3728</v>
      </c>
      <c r="KZA611" s="17">
        <v>44925</v>
      </c>
      <c r="KZB611" s="5" t="s">
        <v>3728</v>
      </c>
      <c r="KZC611" s="17">
        <v>44925</v>
      </c>
      <c r="KZD611" s="5" t="s">
        <v>3728</v>
      </c>
      <c r="KZE611" s="17">
        <v>44925</v>
      </c>
      <c r="KZF611" s="5" t="s">
        <v>3728</v>
      </c>
      <c r="KZG611" s="17">
        <v>44925</v>
      </c>
      <c r="KZH611" s="5" t="s">
        <v>3728</v>
      </c>
      <c r="KZI611" s="17">
        <v>44925</v>
      </c>
      <c r="KZJ611" s="5" t="s">
        <v>3728</v>
      </c>
      <c r="KZK611" s="17">
        <v>44925</v>
      </c>
      <c r="KZL611" s="5" t="s">
        <v>3728</v>
      </c>
      <c r="KZM611" s="17">
        <v>44925</v>
      </c>
      <c r="KZN611" s="5" t="s">
        <v>3728</v>
      </c>
      <c r="KZO611" s="17">
        <v>44925</v>
      </c>
      <c r="KZP611" s="5" t="s">
        <v>3728</v>
      </c>
      <c r="KZQ611" s="17">
        <v>44925</v>
      </c>
      <c r="KZR611" s="5" t="s">
        <v>3728</v>
      </c>
      <c r="KZS611" s="17">
        <v>44925</v>
      </c>
      <c r="KZT611" s="5" t="s">
        <v>3728</v>
      </c>
      <c r="KZU611" s="17">
        <v>44925</v>
      </c>
      <c r="KZV611" s="5" t="s">
        <v>3728</v>
      </c>
      <c r="KZW611" s="17">
        <v>44925</v>
      </c>
      <c r="KZX611" s="5" t="s">
        <v>3728</v>
      </c>
      <c r="KZY611" s="17">
        <v>44925</v>
      </c>
      <c r="KZZ611" s="5" t="s">
        <v>3728</v>
      </c>
      <c r="LAA611" s="17">
        <v>44925</v>
      </c>
      <c r="LAB611" s="5" t="s">
        <v>3728</v>
      </c>
      <c r="LAC611" s="17">
        <v>44925</v>
      </c>
      <c r="LAD611" s="5" t="s">
        <v>3728</v>
      </c>
      <c r="LAE611" s="17">
        <v>44925</v>
      </c>
      <c r="LAF611" s="5" t="s">
        <v>3728</v>
      </c>
      <c r="LAG611" s="17">
        <v>44925</v>
      </c>
      <c r="LAH611" s="5" t="s">
        <v>3728</v>
      </c>
      <c r="LAI611" s="17">
        <v>44925</v>
      </c>
      <c r="LAJ611" s="5" t="s">
        <v>3728</v>
      </c>
      <c r="LAK611" s="17">
        <v>44925</v>
      </c>
      <c r="LAL611" s="5" t="s">
        <v>3728</v>
      </c>
      <c r="LAM611" s="17">
        <v>44925</v>
      </c>
      <c r="LAN611" s="5" t="s">
        <v>3728</v>
      </c>
      <c r="LAO611" s="17">
        <v>44925</v>
      </c>
      <c r="LAP611" s="5" t="s">
        <v>3728</v>
      </c>
      <c r="LAQ611" s="17">
        <v>44925</v>
      </c>
      <c r="LAR611" s="5" t="s">
        <v>3728</v>
      </c>
      <c r="LAS611" s="17">
        <v>44925</v>
      </c>
      <c r="LAT611" s="5" t="s">
        <v>3728</v>
      </c>
      <c r="LAU611" s="17">
        <v>44925</v>
      </c>
      <c r="LAV611" s="5" t="s">
        <v>3728</v>
      </c>
      <c r="LAW611" s="17">
        <v>44925</v>
      </c>
      <c r="LAX611" s="5" t="s">
        <v>3728</v>
      </c>
      <c r="LAY611" s="17">
        <v>44925</v>
      </c>
      <c r="LAZ611" s="5" t="s">
        <v>3728</v>
      </c>
      <c r="LBA611" s="17">
        <v>44925</v>
      </c>
      <c r="LBB611" s="5" t="s">
        <v>3728</v>
      </c>
      <c r="LBC611" s="17">
        <v>44925</v>
      </c>
      <c r="LBD611" s="5" t="s">
        <v>3728</v>
      </c>
      <c r="LBE611" s="17">
        <v>44925</v>
      </c>
      <c r="LBF611" s="5" t="s">
        <v>3728</v>
      </c>
      <c r="LBG611" s="17">
        <v>44925</v>
      </c>
      <c r="LBH611" s="5" t="s">
        <v>3728</v>
      </c>
      <c r="LBI611" s="17">
        <v>44925</v>
      </c>
      <c r="LBJ611" s="5" t="s">
        <v>3728</v>
      </c>
      <c r="LBK611" s="17">
        <v>44925</v>
      </c>
      <c r="LBL611" s="5" t="s">
        <v>3728</v>
      </c>
      <c r="LBM611" s="17">
        <v>44925</v>
      </c>
      <c r="LBN611" s="5" t="s">
        <v>3728</v>
      </c>
      <c r="LBO611" s="17">
        <v>44925</v>
      </c>
      <c r="LBP611" s="5" t="s">
        <v>3728</v>
      </c>
      <c r="LBQ611" s="17">
        <v>44925</v>
      </c>
      <c r="LBR611" s="5" t="s">
        <v>3728</v>
      </c>
      <c r="LBS611" s="17">
        <v>44925</v>
      </c>
      <c r="LBT611" s="5" t="s">
        <v>3728</v>
      </c>
      <c r="LBU611" s="17">
        <v>44925</v>
      </c>
      <c r="LBV611" s="5" t="s">
        <v>3728</v>
      </c>
      <c r="LBW611" s="17">
        <v>44925</v>
      </c>
      <c r="LBX611" s="5" t="s">
        <v>3728</v>
      </c>
      <c r="LBY611" s="17">
        <v>44925</v>
      </c>
      <c r="LBZ611" s="5" t="s">
        <v>3728</v>
      </c>
      <c r="LCA611" s="17">
        <v>44925</v>
      </c>
      <c r="LCB611" s="5" t="s">
        <v>3728</v>
      </c>
      <c r="LCC611" s="17">
        <v>44925</v>
      </c>
      <c r="LCD611" s="5" t="s">
        <v>3728</v>
      </c>
      <c r="LCE611" s="17">
        <v>44925</v>
      </c>
      <c r="LCF611" s="5" t="s">
        <v>3728</v>
      </c>
      <c r="LCG611" s="17">
        <v>44925</v>
      </c>
      <c r="LCH611" s="5" t="s">
        <v>3728</v>
      </c>
      <c r="LCI611" s="17">
        <v>44925</v>
      </c>
      <c r="LCJ611" s="5" t="s">
        <v>3728</v>
      </c>
      <c r="LCK611" s="17">
        <v>44925</v>
      </c>
      <c r="LCL611" s="5" t="s">
        <v>3728</v>
      </c>
      <c r="LCM611" s="17">
        <v>44925</v>
      </c>
      <c r="LCN611" s="5" t="s">
        <v>3728</v>
      </c>
      <c r="LCO611" s="17">
        <v>44925</v>
      </c>
      <c r="LCP611" s="5" t="s">
        <v>3728</v>
      </c>
      <c r="LCQ611" s="17">
        <v>44925</v>
      </c>
      <c r="LCR611" s="5" t="s">
        <v>3728</v>
      </c>
      <c r="LCS611" s="17">
        <v>44925</v>
      </c>
      <c r="LCT611" s="5" t="s">
        <v>3728</v>
      </c>
      <c r="LCU611" s="17">
        <v>44925</v>
      </c>
      <c r="LCV611" s="5" t="s">
        <v>3728</v>
      </c>
      <c r="LCW611" s="17">
        <v>44925</v>
      </c>
      <c r="LCX611" s="5" t="s">
        <v>3728</v>
      </c>
      <c r="LCY611" s="17">
        <v>44925</v>
      </c>
      <c r="LCZ611" s="5" t="s">
        <v>3728</v>
      </c>
      <c r="LDA611" s="17">
        <v>44925</v>
      </c>
      <c r="LDB611" s="5" t="s">
        <v>3728</v>
      </c>
      <c r="LDC611" s="17">
        <v>44925</v>
      </c>
      <c r="LDD611" s="5" t="s">
        <v>3728</v>
      </c>
      <c r="LDE611" s="17">
        <v>44925</v>
      </c>
      <c r="LDF611" s="5" t="s">
        <v>3728</v>
      </c>
      <c r="LDG611" s="17">
        <v>44925</v>
      </c>
      <c r="LDH611" s="5" t="s">
        <v>3728</v>
      </c>
      <c r="LDI611" s="17">
        <v>44925</v>
      </c>
      <c r="LDJ611" s="5" t="s">
        <v>3728</v>
      </c>
      <c r="LDK611" s="17">
        <v>44925</v>
      </c>
      <c r="LDL611" s="5" t="s">
        <v>3728</v>
      </c>
      <c r="LDM611" s="17">
        <v>44925</v>
      </c>
      <c r="LDN611" s="5" t="s">
        <v>3728</v>
      </c>
      <c r="LDO611" s="17">
        <v>44925</v>
      </c>
      <c r="LDP611" s="5" t="s">
        <v>3728</v>
      </c>
      <c r="LDQ611" s="17">
        <v>44925</v>
      </c>
      <c r="LDR611" s="5" t="s">
        <v>3728</v>
      </c>
      <c r="LDS611" s="17">
        <v>44925</v>
      </c>
      <c r="LDT611" s="5" t="s">
        <v>3728</v>
      </c>
      <c r="LDU611" s="17">
        <v>44925</v>
      </c>
      <c r="LDV611" s="5" t="s">
        <v>3728</v>
      </c>
      <c r="LDW611" s="17">
        <v>44925</v>
      </c>
      <c r="LDX611" s="5" t="s">
        <v>3728</v>
      </c>
      <c r="LDY611" s="17">
        <v>44925</v>
      </c>
      <c r="LDZ611" s="5" t="s">
        <v>3728</v>
      </c>
      <c r="LEA611" s="17">
        <v>44925</v>
      </c>
      <c r="LEB611" s="5" t="s">
        <v>3728</v>
      </c>
      <c r="LEC611" s="17">
        <v>44925</v>
      </c>
      <c r="LED611" s="5" t="s">
        <v>3728</v>
      </c>
      <c r="LEE611" s="17">
        <v>44925</v>
      </c>
      <c r="LEF611" s="5" t="s">
        <v>3728</v>
      </c>
      <c r="LEG611" s="17">
        <v>44925</v>
      </c>
      <c r="LEH611" s="5" t="s">
        <v>3728</v>
      </c>
      <c r="LEI611" s="17">
        <v>44925</v>
      </c>
      <c r="LEJ611" s="5" t="s">
        <v>3728</v>
      </c>
      <c r="LEK611" s="17">
        <v>44925</v>
      </c>
      <c r="LEL611" s="5" t="s">
        <v>3728</v>
      </c>
      <c r="LEM611" s="17">
        <v>44925</v>
      </c>
      <c r="LEN611" s="5" t="s">
        <v>3728</v>
      </c>
      <c r="LEO611" s="17">
        <v>44925</v>
      </c>
      <c r="LEP611" s="5" t="s">
        <v>3728</v>
      </c>
      <c r="LEQ611" s="17">
        <v>44925</v>
      </c>
      <c r="LER611" s="5" t="s">
        <v>3728</v>
      </c>
      <c r="LES611" s="17">
        <v>44925</v>
      </c>
      <c r="LET611" s="5" t="s">
        <v>3728</v>
      </c>
      <c r="LEU611" s="17">
        <v>44925</v>
      </c>
      <c r="LEV611" s="5" t="s">
        <v>3728</v>
      </c>
      <c r="LEW611" s="17">
        <v>44925</v>
      </c>
      <c r="LEX611" s="5" t="s">
        <v>3728</v>
      </c>
      <c r="LEY611" s="17">
        <v>44925</v>
      </c>
      <c r="LEZ611" s="5" t="s">
        <v>3728</v>
      </c>
      <c r="LFA611" s="17">
        <v>44925</v>
      </c>
      <c r="LFB611" s="5" t="s">
        <v>3728</v>
      </c>
      <c r="LFC611" s="17">
        <v>44925</v>
      </c>
      <c r="LFD611" s="5" t="s">
        <v>3728</v>
      </c>
      <c r="LFE611" s="17">
        <v>44925</v>
      </c>
      <c r="LFF611" s="5" t="s">
        <v>3728</v>
      </c>
      <c r="LFG611" s="17">
        <v>44925</v>
      </c>
      <c r="LFH611" s="5" t="s">
        <v>3728</v>
      </c>
      <c r="LFI611" s="17">
        <v>44925</v>
      </c>
      <c r="LFJ611" s="5" t="s">
        <v>3728</v>
      </c>
      <c r="LFK611" s="17">
        <v>44925</v>
      </c>
      <c r="LFL611" s="5" t="s">
        <v>3728</v>
      </c>
      <c r="LFM611" s="17">
        <v>44925</v>
      </c>
      <c r="LFN611" s="5" t="s">
        <v>3728</v>
      </c>
      <c r="LFO611" s="17">
        <v>44925</v>
      </c>
      <c r="LFP611" s="5" t="s">
        <v>3728</v>
      </c>
      <c r="LFQ611" s="17">
        <v>44925</v>
      </c>
      <c r="LFR611" s="5" t="s">
        <v>3728</v>
      </c>
      <c r="LFS611" s="17">
        <v>44925</v>
      </c>
      <c r="LFT611" s="5" t="s">
        <v>3728</v>
      </c>
      <c r="LFU611" s="17">
        <v>44925</v>
      </c>
      <c r="LFV611" s="5" t="s">
        <v>3728</v>
      </c>
      <c r="LFW611" s="17">
        <v>44925</v>
      </c>
      <c r="LFX611" s="5" t="s">
        <v>3728</v>
      </c>
      <c r="LFY611" s="17">
        <v>44925</v>
      </c>
      <c r="LFZ611" s="5" t="s">
        <v>3728</v>
      </c>
      <c r="LGA611" s="17">
        <v>44925</v>
      </c>
      <c r="LGB611" s="5" t="s">
        <v>3728</v>
      </c>
      <c r="LGC611" s="17">
        <v>44925</v>
      </c>
      <c r="LGD611" s="5" t="s">
        <v>3728</v>
      </c>
      <c r="LGE611" s="17">
        <v>44925</v>
      </c>
      <c r="LGF611" s="5" t="s">
        <v>3728</v>
      </c>
      <c r="LGG611" s="17">
        <v>44925</v>
      </c>
      <c r="LGH611" s="5" t="s">
        <v>3728</v>
      </c>
      <c r="LGI611" s="17">
        <v>44925</v>
      </c>
      <c r="LGJ611" s="5" t="s">
        <v>3728</v>
      </c>
      <c r="LGK611" s="17">
        <v>44925</v>
      </c>
      <c r="LGL611" s="5" t="s">
        <v>3728</v>
      </c>
      <c r="LGM611" s="17">
        <v>44925</v>
      </c>
      <c r="LGN611" s="5" t="s">
        <v>3728</v>
      </c>
      <c r="LGO611" s="17">
        <v>44925</v>
      </c>
      <c r="LGP611" s="5" t="s">
        <v>3728</v>
      </c>
      <c r="LGQ611" s="17">
        <v>44925</v>
      </c>
      <c r="LGR611" s="5" t="s">
        <v>3728</v>
      </c>
      <c r="LGS611" s="17">
        <v>44925</v>
      </c>
      <c r="LGT611" s="5" t="s">
        <v>3728</v>
      </c>
      <c r="LGU611" s="17">
        <v>44925</v>
      </c>
      <c r="LGV611" s="5" t="s">
        <v>3728</v>
      </c>
      <c r="LGW611" s="17">
        <v>44925</v>
      </c>
      <c r="LGX611" s="5" t="s">
        <v>3728</v>
      </c>
      <c r="LGY611" s="17">
        <v>44925</v>
      </c>
      <c r="LGZ611" s="5" t="s">
        <v>3728</v>
      </c>
      <c r="LHA611" s="17">
        <v>44925</v>
      </c>
      <c r="LHB611" s="5" t="s">
        <v>3728</v>
      </c>
      <c r="LHC611" s="17">
        <v>44925</v>
      </c>
      <c r="LHD611" s="5" t="s">
        <v>3728</v>
      </c>
      <c r="LHE611" s="17">
        <v>44925</v>
      </c>
      <c r="LHF611" s="5" t="s">
        <v>3728</v>
      </c>
      <c r="LHG611" s="17">
        <v>44925</v>
      </c>
      <c r="LHH611" s="5" t="s">
        <v>3728</v>
      </c>
      <c r="LHI611" s="17">
        <v>44925</v>
      </c>
      <c r="LHJ611" s="5" t="s">
        <v>3728</v>
      </c>
      <c r="LHK611" s="17">
        <v>44925</v>
      </c>
      <c r="LHL611" s="5" t="s">
        <v>3728</v>
      </c>
      <c r="LHM611" s="17">
        <v>44925</v>
      </c>
      <c r="LHN611" s="5" t="s">
        <v>3728</v>
      </c>
      <c r="LHO611" s="17">
        <v>44925</v>
      </c>
      <c r="LHP611" s="5" t="s">
        <v>3728</v>
      </c>
      <c r="LHQ611" s="17">
        <v>44925</v>
      </c>
      <c r="LHR611" s="5" t="s">
        <v>3728</v>
      </c>
      <c r="LHS611" s="17">
        <v>44925</v>
      </c>
      <c r="LHT611" s="5" t="s">
        <v>3728</v>
      </c>
      <c r="LHU611" s="17">
        <v>44925</v>
      </c>
      <c r="LHV611" s="5" t="s">
        <v>3728</v>
      </c>
      <c r="LHW611" s="17">
        <v>44925</v>
      </c>
      <c r="LHX611" s="5" t="s">
        <v>3728</v>
      </c>
      <c r="LHY611" s="17">
        <v>44925</v>
      </c>
      <c r="LHZ611" s="5" t="s">
        <v>3728</v>
      </c>
      <c r="LIA611" s="17">
        <v>44925</v>
      </c>
      <c r="LIB611" s="5" t="s">
        <v>3728</v>
      </c>
      <c r="LIC611" s="17">
        <v>44925</v>
      </c>
      <c r="LID611" s="5" t="s">
        <v>3728</v>
      </c>
      <c r="LIE611" s="17">
        <v>44925</v>
      </c>
      <c r="LIF611" s="5" t="s">
        <v>3728</v>
      </c>
      <c r="LIG611" s="17">
        <v>44925</v>
      </c>
      <c r="LIH611" s="5" t="s">
        <v>3728</v>
      </c>
      <c r="LII611" s="17">
        <v>44925</v>
      </c>
      <c r="LIJ611" s="5" t="s">
        <v>3728</v>
      </c>
      <c r="LIK611" s="17">
        <v>44925</v>
      </c>
      <c r="LIL611" s="5" t="s">
        <v>3728</v>
      </c>
      <c r="LIM611" s="17">
        <v>44925</v>
      </c>
      <c r="LIN611" s="5" t="s">
        <v>3728</v>
      </c>
      <c r="LIO611" s="17">
        <v>44925</v>
      </c>
      <c r="LIP611" s="5" t="s">
        <v>3728</v>
      </c>
      <c r="LIQ611" s="17">
        <v>44925</v>
      </c>
      <c r="LIR611" s="5" t="s">
        <v>3728</v>
      </c>
      <c r="LIS611" s="17">
        <v>44925</v>
      </c>
      <c r="LIT611" s="5" t="s">
        <v>3728</v>
      </c>
      <c r="LIU611" s="17">
        <v>44925</v>
      </c>
      <c r="LIV611" s="5" t="s">
        <v>3728</v>
      </c>
      <c r="LIW611" s="17">
        <v>44925</v>
      </c>
      <c r="LIX611" s="5" t="s">
        <v>3728</v>
      </c>
      <c r="LIY611" s="17">
        <v>44925</v>
      </c>
      <c r="LIZ611" s="5" t="s">
        <v>3728</v>
      </c>
      <c r="LJA611" s="17">
        <v>44925</v>
      </c>
      <c r="LJB611" s="5" t="s">
        <v>3728</v>
      </c>
      <c r="LJC611" s="17">
        <v>44925</v>
      </c>
      <c r="LJD611" s="5" t="s">
        <v>3728</v>
      </c>
      <c r="LJE611" s="17">
        <v>44925</v>
      </c>
      <c r="LJF611" s="5" t="s">
        <v>3728</v>
      </c>
      <c r="LJG611" s="17">
        <v>44925</v>
      </c>
      <c r="LJH611" s="5" t="s">
        <v>3728</v>
      </c>
      <c r="LJI611" s="17">
        <v>44925</v>
      </c>
      <c r="LJJ611" s="5" t="s">
        <v>3728</v>
      </c>
      <c r="LJK611" s="17">
        <v>44925</v>
      </c>
      <c r="LJL611" s="5" t="s">
        <v>3728</v>
      </c>
      <c r="LJM611" s="17">
        <v>44925</v>
      </c>
      <c r="LJN611" s="5" t="s">
        <v>3728</v>
      </c>
      <c r="LJO611" s="17">
        <v>44925</v>
      </c>
      <c r="LJP611" s="5" t="s">
        <v>3728</v>
      </c>
      <c r="LJQ611" s="17">
        <v>44925</v>
      </c>
      <c r="LJR611" s="5" t="s">
        <v>3728</v>
      </c>
      <c r="LJS611" s="17">
        <v>44925</v>
      </c>
      <c r="LJT611" s="5" t="s">
        <v>3728</v>
      </c>
      <c r="LJU611" s="17">
        <v>44925</v>
      </c>
      <c r="LJV611" s="5" t="s">
        <v>3728</v>
      </c>
      <c r="LJW611" s="17">
        <v>44925</v>
      </c>
      <c r="LJX611" s="5" t="s">
        <v>3728</v>
      </c>
      <c r="LJY611" s="17">
        <v>44925</v>
      </c>
      <c r="LJZ611" s="5" t="s">
        <v>3728</v>
      </c>
      <c r="LKA611" s="17">
        <v>44925</v>
      </c>
      <c r="LKB611" s="5" t="s">
        <v>3728</v>
      </c>
      <c r="LKC611" s="17">
        <v>44925</v>
      </c>
      <c r="LKD611" s="5" t="s">
        <v>3728</v>
      </c>
      <c r="LKE611" s="17">
        <v>44925</v>
      </c>
      <c r="LKF611" s="5" t="s">
        <v>3728</v>
      </c>
      <c r="LKG611" s="17">
        <v>44925</v>
      </c>
      <c r="LKH611" s="5" t="s">
        <v>3728</v>
      </c>
      <c r="LKI611" s="17">
        <v>44925</v>
      </c>
      <c r="LKJ611" s="5" t="s">
        <v>3728</v>
      </c>
      <c r="LKK611" s="17">
        <v>44925</v>
      </c>
      <c r="LKL611" s="5" t="s">
        <v>3728</v>
      </c>
      <c r="LKM611" s="17">
        <v>44925</v>
      </c>
      <c r="LKN611" s="5" t="s">
        <v>3728</v>
      </c>
      <c r="LKO611" s="17">
        <v>44925</v>
      </c>
      <c r="LKP611" s="5" t="s">
        <v>3728</v>
      </c>
      <c r="LKQ611" s="17">
        <v>44925</v>
      </c>
      <c r="LKR611" s="5" t="s">
        <v>3728</v>
      </c>
      <c r="LKS611" s="17">
        <v>44925</v>
      </c>
      <c r="LKT611" s="5" t="s">
        <v>3728</v>
      </c>
      <c r="LKU611" s="17">
        <v>44925</v>
      </c>
      <c r="LKV611" s="5" t="s">
        <v>3728</v>
      </c>
      <c r="LKW611" s="17">
        <v>44925</v>
      </c>
      <c r="LKX611" s="5" t="s">
        <v>3728</v>
      </c>
      <c r="LKY611" s="17">
        <v>44925</v>
      </c>
      <c r="LKZ611" s="5" t="s">
        <v>3728</v>
      </c>
      <c r="LLA611" s="17">
        <v>44925</v>
      </c>
      <c r="LLB611" s="5" t="s">
        <v>3728</v>
      </c>
      <c r="LLC611" s="17">
        <v>44925</v>
      </c>
      <c r="LLD611" s="5" t="s">
        <v>3728</v>
      </c>
      <c r="LLE611" s="17">
        <v>44925</v>
      </c>
      <c r="LLF611" s="5" t="s">
        <v>3728</v>
      </c>
      <c r="LLG611" s="17">
        <v>44925</v>
      </c>
      <c r="LLH611" s="5" t="s">
        <v>3728</v>
      </c>
      <c r="LLI611" s="17">
        <v>44925</v>
      </c>
      <c r="LLJ611" s="5" t="s">
        <v>3728</v>
      </c>
      <c r="LLK611" s="17">
        <v>44925</v>
      </c>
      <c r="LLL611" s="5" t="s">
        <v>3728</v>
      </c>
      <c r="LLM611" s="17">
        <v>44925</v>
      </c>
      <c r="LLN611" s="5" t="s">
        <v>3728</v>
      </c>
      <c r="LLO611" s="17">
        <v>44925</v>
      </c>
      <c r="LLP611" s="5" t="s">
        <v>3728</v>
      </c>
      <c r="LLQ611" s="17">
        <v>44925</v>
      </c>
      <c r="LLR611" s="5" t="s">
        <v>3728</v>
      </c>
      <c r="LLS611" s="17">
        <v>44925</v>
      </c>
      <c r="LLT611" s="5" t="s">
        <v>3728</v>
      </c>
      <c r="LLU611" s="17">
        <v>44925</v>
      </c>
      <c r="LLV611" s="5" t="s">
        <v>3728</v>
      </c>
      <c r="LLW611" s="17">
        <v>44925</v>
      </c>
      <c r="LLX611" s="5" t="s">
        <v>3728</v>
      </c>
      <c r="LLY611" s="17">
        <v>44925</v>
      </c>
      <c r="LLZ611" s="5" t="s">
        <v>3728</v>
      </c>
      <c r="LMA611" s="17">
        <v>44925</v>
      </c>
      <c r="LMB611" s="5" t="s">
        <v>3728</v>
      </c>
      <c r="LMC611" s="17">
        <v>44925</v>
      </c>
      <c r="LMD611" s="5" t="s">
        <v>3728</v>
      </c>
      <c r="LME611" s="17">
        <v>44925</v>
      </c>
      <c r="LMF611" s="5" t="s">
        <v>3728</v>
      </c>
      <c r="LMG611" s="17">
        <v>44925</v>
      </c>
      <c r="LMH611" s="5" t="s">
        <v>3728</v>
      </c>
      <c r="LMI611" s="17">
        <v>44925</v>
      </c>
      <c r="LMJ611" s="5" t="s">
        <v>3728</v>
      </c>
      <c r="LMK611" s="17">
        <v>44925</v>
      </c>
      <c r="LML611" s="5" t="s">
        <v>3728</v>
      </c>
      <c r="LMM611" s="17">
        <v>44925</v>
      </c>
      <c r="LMN611" s="5" t="s">
        <v>3728</v>
      </c>
      <c r="LMO611" s="17">
        <v>44925</v>
      </c>
      <c r="LMP611" s="5" t="s">
        <v>3728</v>
      </c>
      <c r="LMQ611" s="17">
        <v>44925</v>
      </c>
      <c r="LMR611" s="5" t="s">
        <v>3728</v>
      </c>
      <c r="LMS611" s="17">
        <v>44925</v>
      </c>
      <c r="LMT611" s="5" t="s">
        <v>3728</v>
      </c>
      <c r="LMU611" s="17">
        <v>44925</v>
      </c>
      <c r="LMV611" s="5" t="s">
        <v>3728</v>
      </c>
      <c r="LMW611" s="17">
        <v>44925</v>
      </c>
      <c r="LMX611" s="5" t="s">
        <v>3728</v>
      </c>
      <c r="LMY611" s="17">
        <v>44925</v>
      </c>
      <c r="LMZ611" s="5" t="s">
        <v>3728</v>
      </c>
      <c r="LNA611" s="17">
        <v>44925</v>
      </c>
      <c r="LNB611" s="5" t="s">
        <v>3728</v>
      </c>
      <c r="LNC611" s="17">
        <v>44925</v>
      </c>
      <c r="LND611" s="5" t="s">
        <v>3728</v>
      </c>
      <c r="LNE611" s="17">
        <v>44925</v>
      </c>
      <c r="LNF611" s="5" t="s">
        <v>3728</v>
      </c>
      <c r="LNG611" s="17">
        <v>44925</v>
      </c>
      <c r="LNH611" s="5" t="s">
        <v>3728</v>
      </c>
      <c r="LNI611" s="17">
        <v>44925</v>
      </c>
      <c r="LNJ611" s="5" t="s">
        <v>3728</v>
      </c>
      <c r="LNK611" s="17">
        <v>44925</v>
      </c>
      <c r="LNL611" s="5" t="s">
        <v>3728</v>
      </c>
      <c r="LNM611" s="17">
        <v>44925</v>
      </c>
      <c r="LNN611" s="5" t="s">
        <v>3728</v>
      </c>
      <c r="LNO611" s="17">
        <v>44925</v>
      </c>
      <c r="LNP611" s="5" t="s">
        <v>3728</v>
      </c>
      <c r="LNQ611" s="17">
        <v>44925</v>
      </c>
      <c r="LNR611" s="5" t="s">
        <v>3728</v>
      </c>
      <c r="LNS611" s="17">
        <v>44925</v>
      </c>
      <c r="LNT611" s="5" t="s">
        <v>3728</v>
      </c>
      <c r="LNU611" s="17">
        <v>44925</v>
      </c>
      <c r="LNV611" s="5" t="s">
        <v>3728</v>
      </c>
      <c r="LNW611" s="17">
        <v>44925</v>
      </c>
      <c r="LNX611" s="5" t="s">
        <v>3728</v>
      </c>
      <c r="LNY611" s="17">
        <v>44925</v>
      </c>
      <c r="LNZ611" s="5" t="s">
        <v>3728</v>
      </c>
      <c r="LOA611" s="17">
        <v>44925</v>
      </c>
      <c r="LOB611" s="5" t="s">
        <v>3728</v>
      </c>
      <c r="LOC611" s="17">
        <v>44925</v>
      </c>
      <c r="LOD611" s="5" t="s">
        <v>3728</v>
      </c>
      <c r="LOE611" s="17">
        <v>44925</v>
      </c>
      <c r="LOF611" s="5" t="s">
        <v>3728</v>
      </c>
      <c r="LOG611" s="17">
        <v>44925</v>
      </c>
      <c r="LOH611" s="5" t="s">
        <v>3728</v>
      </c>
      <c r="LOI611" s="17">
        <v>44925</v>
      </c>
      <c r="LOJ611" s="5" t="s">
        <v>3728</v>
      </c>
      <c r="LOK611" s="17">
        <v>44925</v>
      </c>
      <c r="LOL611" s="5" t="s">
        <v>3728</v>
      </c>
      <c r="LOM611" s="17">
        <v>44925</v>
      </c>
      <c r="LON611" s="5" t="s">
        <v>3728</v>
      </c>
      <c r="LOO611" s="17">
        <v>44925</v>
      </c>
      <c r="LOP611" s="5" t="s">
        <v>3728</v>
      </c>
      <c r="LOQ611" s="17">
        <v>44925</v>
      </c>
      <c r="LOR611" s="5" t="s">
        <v>3728</v>
      </c>
      <c r="LOS611" s="17">
        <v>44925</v>
      </c>
      <c r="LOT611" s="5" t="s">
        <v>3728</v>
      </c>
      <c r="LOU611" s="17">
        <v>44925</v>
      </c>
      <c r="LOV611" s="5" t="s">
        <v>3728</v>
      </c>
      <c r="LOW611" s="17">
        <v>44925</v>
      </c>
      <c r="LOX611" s="5" t="s">
        <v>3728</v>
      </c>
      <c r="LOY611" s="17">
        <v>44925</v>
      </c>
      <c r="LOZ611" s="5" t="s">
        <v>3728</v>
      </c>
      <c r="LPA611" s="17">
        <v>44925</v>
      </c>
      <c r="LPB611" s="5" t="s">
        <v>3728</v>
      </c>
      <c r="LPC611" s="17">
        <v>44925</v>
      </c>
      <c r="LPD611" s="5" t="s">
        <v>3728</v>
      </c>
      <c r="LPE611" s="17">
        <v>44925</v>
      </c>
      <c r="LPF611" s="5" t="s">
        <v>3728</v>
      </c>
      <c r="LPG611" s="17">
        <v>44925</v>
      </c>
      <c r="LPH611" s="5" t="s">
        <v>3728</v>
      </c>
      <c r="LPI611" s="17">
        <v>44925</v>
      </c>
      <c r="LPJ611" s="5" t="s">
        <v>3728</v>
      </c>
      <c r="LPK611" s="17">
        <v>44925</v>
      </c>
      <c r="LPL611" s="5" t="s">
        <v>3728</v>
      </c>
      <c r="LPM611" s="17">
        <v>44925</v>
      </c>
      <c r="LPN611" s="5" t="s">
        <v>3728</v>
      </c>
      <c r="LPO611" s="17">
        <v>44925</v>
      </c>
      <c r="LPP611" s="5" t="s">
        <v>3728</v>
      </c>
      <c r="LPQ611" s="17">
        <v>44925</v>
      </c>
      <c r="LPR611" s="5" t="s">
        <v>3728</v>
      </c>
      <c r="LPS611" s="17">
        <v>44925</v>
      </c>
      <c r="LPT611" s="5" t="s">
        <v>3728</v>
      </c>
      <c r="LPU611" s="17">
        <v>44925</v>
      </c>
      <c r="LPV611" s="5" t="s">
        <v>3728</v>
      </c>
      <c r="LPW611" s="17">
        <v>44925</v>
      </c>
      <c r="LPX611" s="5" t="s">
        <v>3728</v>
      </c>
      <c r="LPY611" s="17">
        <v>44925</v>
      </c>
      <c r="LPZ611" s="5" t="s">
        <v>3728</v>
      </c>
      <c r="LQA611" s="17">
        <v>44925</v>
      </c>
      <c r="LQB611" s="5" t="s">
        <v>3728</v>
      </c>
      <c r="LQC611" s="17">
        <v>44925</v>
      </c>
      <c r="LQD611" s="5" t="s">
        <v>3728</v>
      </c>
      <c r="LQE611" s="17">
        <v>44925</v>
      </c>
      <c r="LQF611" s="5" t="s">
        <v>3728</v>
      </c>
      <c r="LQG611" s="17">
        <v>44925</v>
      </c>
      <c r="LQH611" s="5" t="s">
        <v>3728</v>
      </c>
      <c r="LQI611" s="17">
        <v>44925</v>
      </c>
      <c r="LQJ611" s="5" t="s">
        <v>3728</v>
      </c>
      <c r="LQK611" s="17">
        <v>44925</v>
      </c>
      <c r="LQL611" s="5" t="s">
        <v>3728</v>
      </c>
      <c r="LQM611" s="17">
        <v>44925</v>
      </c>
      <c r="LQN611" s="5" t="s">
        <v>3728</v>
      </c>
      <c r="LQO611" s="17">
        <v>44925</v>
      </c>
      <c r="LQP611" s="5" t="s">
        <v>3728</v>
      </c>
      <c r="LQQ611" s="17">
        <v>44925</v>
      </c>
      <c r="LQR611" s="5" t="s">
        <v>3728</v>
      </c>
      <c r="LQS611" s="17">
        <v>44925</v>
      </c>
      <c r="LQT611" s="5" t="s">
        <v>3728</v>
      </c>
      <c r="LQU611" s="17">
        <v>44925</v>
      </c>
      <c r="LQV611" s="5" t="s">
        <v>3728</v>
      </c>
      <c r="LQW611" s="17">
        <v>44925</v>
      </c>
      <c r="LQX611" s="5" t="s">
        <v>3728</v>
      </c>
      <c r="LQY611" s="17">
        <v>44925</v>
      </c>
      <c r="LQZ611" s="5" t="s">
        <v>3728</v>
      </c>
      <c r="LRA611" s="17">
        <v>44925</v>
      </c>
      <c r="LRB611" s="5" t="s">
        <v>3728</v>
      </c>
      <c r="LRC611" s="17">
        <v>44925</v>
      </c>
      <c r="LRD611" s="5" t="s">
        <v>3728</v>
      </c>
      <c r="LRE611" s="17">
        <v>44925</v>
      </c>
      <c r="LRF611" s="5" t="s">
        <v>3728</v>
      </c>
      <c r="LRG611" s="17">
        <v>44925</v>
      </c>
      <c r="LRH611" s="5" t="s">
        <v>3728</v>
      </c>
      <c r="LRI611" s="17">
        <v>44925</v>
      </c>
      <c r="LRJ611" s="5" t="s">
        <v>3728</v>
      </c>
      <c r="LRK611" s="17">
        <v>44925</v>
      </c>
      <c r="LRL611" s="5" t="s">
        <v>3728</v>
      </c>
      <c r="LRM611" s="17">
        <v>44925</v>
      </c>
      <c r="LRN611" s="5" t="s">
        <v>3728</v>
      </c>
      <c r="LRO611" s="17">
        <v>44925</v>
      </c>
      <c r="LRP611" s="5" t="s">
        <v>3728</v>
      </c>
      <c r="LRQ611" s="17">
        <v>44925</v>
      </c>
      <c r="LRR611" s="5" t="s">
        <v>3728</v>
      </c>
      <c r="LRS611" s="17">
        <v>44925</v>
      </c>
      <c r="LRT611" s="5" t="s">
        <v>3728</v>
      </c>
      <c r="LRU611" s="17">
        <v>44925</v>
      </c>
      <c r="LRV611" s="5" t="s">
        <v>3728</v>
      </c>
      <c r="LRW611" s="17">
        <v>44925</v>
      </c>
      <c r="LRX611" s="5" t="s">
        <v>3728</v>
      </c>
      <c r="LRY611" s="17">
        <v>44925</v>
      </c>
      <c r="LRZ611" s="5" t="s">
        <v>3728</v>
      </c>
      <c r="LSA611" s="17">
        <v>44925</v>
      </c>
      <c r="LSB611" s="5" t="s">
        <v>3728</v>
      </c>
      <c r="LSC611" s="17">
        <v>44925</v>
      </c>
      <c r="LSD611" s="5" t="s">
        <v>3728</v>
      </c>
      <c r="LSE611" s="17">
        <v>44925</v>
      </c>
      <c r="LSF611" s="5" t="s">
        <v>3728</v>
      </c>
      <c r="LSG611" s="17">
        <v>44925</v>
      </c>
      <c r="LSH611" s="5" t="s">
        <v>3728</v>
      </c>
      <c r="LSI611" s="17">
        <v>44925</v>
      </c>
      <c r="LSJ611" s="5" t="s">
        <v>3728</v>
      </c>
      <c r="LSK611" s="17">
        <v>44925</v>
      </c>
      <c r="LSL611" s="5" t="s">
        <v>3728</v>
      </c>
      <c r="LSM611" s="17">
        <v>44925</v>
      </c>
      <c r="LSN611" s="5" t="s">
        <v>3728</v>
      </c>
      <c r="LSO611" s="17">
        <v>44925</v>
      </c>
      <c r="LSP611" s="5" t="s">
        <v>3728</v>
      </c>
      <c r="LSQ611" s="17">
        <v>44925</v>
      </c>
      <c r="LSR611" s="5" t="s">
        <v>3728</v>
      </c>
      <c r="LSS611" s="17">
        <v>44925</v>
      </c>
      <c r="LST611" s="5" t="s">
        <v>3728</v>
      </c>
      <c r="LSU611" s="17">
        <v>44925</v>
      </c>
      <c r="LSV611" s="5" t="s">
        <v>3728</v>
      </c>
      <c r="LSW611" s="17">
        <v>44925</v>
      </c>
      <c r="LSX611" s="5" t="s">
        <v>3728</v>
      </c>
      <c r="LSY611" s="17">
        <v>44925</v>
      </c>
      <c r="LSZ611" s="5" t="s">
        <v>3728</v>
      </c>
      <c r="LTA611" s="17">
        <v>44925</v>
      </c>
      <c r="LTB611" s="5" t="s">
        <v>3728</v>
      </c>
      <c r="LTC611" s="17">
        <v>44925</v>
      </c>
      <c r="LTD611" s="5" t="s">
        <v>3728</v>
      </c>
      <c r="LTE611" s="17">
        <v>44925</v>
      </c>
      <c r="LTF611" s="5" t="s">
        <v>3728</v>
      </c>
      <c r="LTG611" s="17">
        <v>44925</v>
      </c>
      <c r="LTH611" s="5" t="s">
        <v>3728</v>
      </c>
      <c r="LTI611" s="17">
        <v>44925</v>
      </c>
      <c r="LTJ611" s="5" t="s">
        <v>3728</v>
      </c>
      <c r="LTK611" s="17">
        <v>44925</v>
      </c>
      <c r="LTL611" s="5" t="s">
        <v>3728</v>
      </c>
      <c r="LTM611" s="17">
        <v>44925</v>
      </c>
      <c r="LTN611" s="5" t="s">
        <v>3728</v>
      </c>
      <c r="LTO611" s="17">
        <v>44925</v>
      </c>
      <c r="LTP611" s="5" t="s">
        <v>3728</v>
      </c>
      <c r="LTQ611" s="17">
        <v>44925</v>
      </c>
      <c r="LTR611" s="5" t="s">
        <v>3728</v>
      </c>
      <c r="LTS611" s="17">
        <v>44925</v>
      </c>
      <c r="LTT611" s="5" t="s">
        <v>3728</v>
      </c>
      <c r="LTU611" s="17">
        <v>44925</v>
      </c>
      <c r="LTV611" s="5" t="s">
        <v>3728</v>
      </c>
      <c r="LTW611" s="17">
        <v>44925</v>
      </c>
      <c r="LTX611" s="5" t="s">
        <v>3728</v>
      </c>
      <c r="LTY611" s="17">
        <v>44925</v>
      </c>
      <c r="LTZ611" s="5" t="s">
        <v>3728</v>
      </c>
      <c r="LUA611" s="17">
        <v>44925</v>
      </c>
      <c r="LUB611" s="5" t="s">
        <v>3728</v>
      </c>
      <c r="LUC611" s="17">
        <v>44925</v>
      </c>
      <c r="LUD611" s="5" t="s">
        <v>3728</v>
      </c>
      <c r="LUE611" s="17">
        <v>44925</v>
      </c>
      <c r="LUF611" s="5" t="s">
        <v>3728</v>
      </c>
      <c r="LUG611" s="17">
        <v>44925</v>
      </c>
      <c r="LUH611" s="5" t="s">
        <v>3728</v>
      </c>
      <c r="LUI611" s="17">
        <v>44925</v>
      </c>
      <c r="LUJ611" s="5" t="s">
        <v>3728</v>
      </c>
      <c r="LUK611" s="17">
        <v>44925</v>
      </c>
      <c r="LUL611" s="5" t="s">
        <v>3728</v>
      </c>
      <c r="LUM611" s="17">
        <v>44925</v>
      </c>
      <c r="LUN611" s="5" t="s">
        <v>3728</v>
      </c>
      <c r="LUO611" s="17">
        <v>44925</v>
      </c>
      <c r="LUP611" s="5" t="s">
        <v>3728</v>
      </c>
      <c r="LUQ611" s="17">
        <v>44925</v>
      </c>
      <c r="LUR611" s="5" t="s">
        <v>3728</v>
      </c>
      <c r="LUS611" s="17">
        <v>44925</v>
      </c>
      <c r="LUT611" s="5" t="s">
        <v>3728</v>
      </c>
      <c r="LUU611" s="17">
        <v>44925</v>
      </c>
      <c r="LUV611" s="5" t="s">
        <v>3728</v>
      </c>
      <c r="LUW611" s="17">
        <v>44925</v>
      </c>
      <c r="LUX611" s="5" t="s">
        <v>3728</v>
      </c>
      <c r="LUY611" s="17">
        <v>44925</v>
      </c>
      <c r="LUZ611" s="5" t="s">
        <v>3728</v>
      </c>
      <c r="LVA611" s="17">
        <v>44925</v>
      </c>
      <c r="LVB611" s="5" t="s">
        <v>3728</v>
      </c>
      <c r="LVC611" s="17">
        <v>44925</v>
      </c>
      <c r="LVD611" s="5" t="s">
        <v>3728</v>
      </c>
      <c r="LVE611" s="17">
        <v>44925</v>
      </c>
      <c r="LVF611" s="5" t="s">
        <v>3728</v>
      </c>
      <c r="LVG611" s="17">
        <v>44925</v>
      </c>
      <c r="LVH611" s="5" t="s">
        <v>3728</v>
      </c>
      <c r="LVI611" s="17">
        <v>44925</v>
      </c>
      <c r="LVJ611" s="5" t="s">
        <v>3728</v>
      </c>
      <c r="LVK611" s="17">
        <v>44925</v>
      </c>
      <c r="LVL611" s="5" t="s">
        <v>3728</v>
      </c>
      <c r="LVM611" s="17">
        <v>44925</v>
      </c>
      <c r="LVN611" s="5" t="s">
        <v>3728</v>
      </c>
      <c r="LVO611" s="17">
        <v>44925</v>
      </c>
      <c r="LVP611" s="5" t="s">
        <v>3728</v>
      </c>
      <c r="LVQ611" s="17">
        <v>44925</v>
      </c>
      <c r="LVR611" s="5" t="s">
        <v>3728</v>
      </c>
      <c r="LVS611" s="17">
        <v>44925</v>
      </c>
      <c r="LVT611" s="5" t="s">
        <v>3728</v>
      </c>
      <c r="LVU611" s="17">
        <v>44925</v>
      </c>
      <c r="LVV611" s="5" t="s">
        <v>3728</v>
      </c>
      <c r="LVW611" s="17">
        <v>44925</v>
      </c>
      <c r="LVX611" s="5" t="s">
        <v>3728</v>
      </c>
      <c r="LVY611" s="17">
        <v>44925</v>
      </c>
      <c r="LVZ611" s="5" t="s">
        <v>3728</v>
      </c>
      <c r="LWA611" s="17">
        <v>44925</v>
      </c>
      <c r="LWB611" s="5" t="s">
        <v>3728</v>
      </c>
      <c r="LWC611" s="17">
        <v>44925</v>
      </c>
      <c r="LWD611" s="5" t="s">
        <v>3728</v>
      </c>
      <c r="LWE611" s="17">
        <v>44925</v>
      </c>
      <c r="LWF611" s="5" t="s">
        <v>3728</v>
      </c>
      <c r="LWG611" s="17">
        <v>44925</v>
      </c>
      <c r="LWH611" s="5" t="s">
        <v>3728</v>
      </c>
      <c r="LWI611" s="17">
        <v>44925</v>
      </c>
      <c r="LWJ611" s="5" t="s">
        <v>3728</v>
      </c>
      <c r="LWK611" s="17">
        <v>44925</v>
      </c>
      <c r="LWL611" s="5" t="s">
        <v>3728</v>
      </c>
      <c r="LWM611" s="17">
        <v>44925</v>
      </c>
      <c r="LWN611" s="5" t="s">
        <v>3728</v>
      </c>
      <c r="LWO611" s="17">
        <v>44925</v>
      </c>
      <c r="LWP611" s="5" t="s">
        <v>3728</v>
      </c>
      <c r="LWQ611" s="17">
        <v>44925</v>
      </c>
      <c r="LWR611" s="5" t="s">
        <v>3728</v>
      </c>
      <c r="LWS611" s="17">
        <v>44925</v>
      </c>
      <c r="LWT611" s="5" t="s">
        <v>3728</v>
      </c>
      <c r="LWU611" s="17">
        <v>44925</v>
      </c>
      <c r="LWV611" s="5" t="s">
        <v>3728</v>
      </c>
      <c r="LWW611" s="17">
        <v>44925</v>
      </c>
      <c r="LWX611" s="5" t="s">
        <v>3728</v>
      </c>
      <c r="LWY611" s="17">
        <v>44925</v>
      </c>
      <c r="LWZ611" s="5" t="s">
        <v>3728</v>
      </c>
      <c r="LXA611" s="17">
        <v>44925</v>
      </c>
      <c r="LXB611" s="5" t="s">
        <v>3728</v>
      </c>
      <c r="LXC611" s="17">
        <v>44925</v>
      </c>
      <c r="LXD611" s="5" t="s">
        <v>3728</v>
      </c>
      <c r="LXE611" s="17">
        <v>44925</v>
      </c>
      <c r="LXF611" s="5" t="s">
        <v>3728</v>
      </c>
      <c r="LXG611" s="17">
        <v>44925</v>
      </c>
      <c r="LXH611" s="5" t="s">
        <v>3728</v>
      </c>
      <c r="LXI611" s="17">
        <v>44925</v>
      </c>
      <c r="LXJ611" s="5" t="s">
        <v>3728</v>
      </c>
      <c r="LXK611" s="17">
        <v>44925</v>
      </c>
      <c r="LXL611" s="5" t="s">
        <v>3728</v>
      </c>
      <c r="LXM611" s="17">
        <v>44925</v>
      </c>
      <c r="LXN611" s="5" t="s">
        <v>3728</v>
      </c>
      <c r="LXO611" s="17">
        <v>44925</v>
      </c>
      <c r="LXP611" s="5" t="s">
        <v>3728</v>
      </c>
      <c r="LXQ611" s="17">
        <v>44925</v>
      </c>
      <c r="LXR611" s="5" t="s">
        <v>3728</v>
      </c>
      <c r="LXS611" s="17">
        <v>44925</v>
      </c>
      <c r="LXT611" s="5" t="s">
        <v>3728</v>
      </c>
      <c r="LXU611" s="17">
        <v>44925</v>
      </c>
      <c r="LXV611" s="5" t="s">
        <v>3728</v>
      </c>
      <c r="LXW611" s="17">
        <v>44925</v>
      </c>
      <c r="LXX611" s="5" t="s">
        <v>3728</v>
      </c>
      <c r="LXY611" s="17">
        <v>44925</v>
      </c>
      <c r="LXZ611" s="5" t="s">
        <v>3728</v>
      </c>
      <c r="LYA611" s="17">
        <v>44925</v>
      </c>
      <c r="LYB611" s="5" t="s">
        <v>3728</v>
      </c>
      <c r="LYC611" s="17">
        <v>44925</v>
      </c>
      <c r="LYD611" s="5" t="s">
        <v>3728</v>
      </c>
      <c r="LYE611" s="17">
        <v>44925</v>
      </c>
      <c r="LYF611" s="5" t="s">
        <v>3728</v>
      </c>
      <c r="LYG611" s="17">
        <v>44925</v>
      </c>
      <c r="LYH611" s="5" t="s">
        <v>3728</v>
      </c>
      <c r="LYI611" s="17">
        <v>44925</v>
      </c>
      <c r="LYJ611" s="5" t="s">
        <v>3728</v>
      </c>
      <c r="LYK611" s="17">
        <v>44925</v>
      </c>
      <c r="LYL611" s="5" t="s">
        <v>3728</v>
      </c>
      <c r="LYM611" s="17">
        <v>44925</v>
      </c>
      <c r="LYN611" s="5" t="s">
        <v>3728</v>
      </c>
      <c r="LYO611" s="17">
        <v>44925</v>
      </c>
      <c r="LYP611" s="5" t="s">
        <v>3728</v>
      </c>
      <c r="LYQ611" s="17">
        <v>44925</v>
      </c>
      <c r="LYR611" s="5" t="s">
        <v>3728</v>
      </c>
      <c r="LYS611" s="17">
        <v>44925</v>
      </c>
      <c r="LYT611" s="5" t="s">
        <v>3728</v>
      </c>
      <c r="LYU611" s="17">
        <v>44925</v>
      </c>
      <c r="LYV611" s="5" t="s">
        <v>3728</v>
      </c>
      <c r="LYW611" s="17">
        <v>44925</v>
      </c>
      <c r="LYX611" s="5" t="s">
        <v>3728</v>
      </c>
      <c r="LYY611" s="17">
        <v>44925</v>
      </c>
      <c r="LYZ611" s="5" t="s">
        <v>3728</v>
      </c>
      <c r="LZA611" s="17">
        <v>44925</v>
      </c>
      <c r="LZB611" s="5" t="s">
        <v>3728</v>
      </c>
      <c r="LZC611" s="17">
        <v>44925</v>
      </c>
      <c r="LZD611" s="5" t="s">
        <v>3728</v>
      </c>
      <c r="LZE611" s="17">
        <v>44925</v>
      </c>
      <c r="LZF611" s="5" t="s">
        <v>3728</v>
      </c>
      <c r="LZG611" s="17">
        <v>44925</v>
      </c>
      <c r="LZH611" s="5" t="s">
        <v>3728</v>
      </c>
      <c r="LZI611" s="17">
        <v>44925</v>
      </c>
      <c r="LZJ611" s="5" t="s">
        <v>3728</v>
      </c>
      <c r="LZK611" s="17">
        <v>44925</v>
      </c>
      <c r="LZL611" s="5" t="s">
        <v>3728</v>
      </c>
      <c r="LZM611" s="17">
        <v>44925</v>
      </c>
      <c r="LZN611" s="5" t="s">
        <v>3728</v>
      </c>
      <c r="LZO611" s="17">
        <v>44925</v>
      </c>
      <c r="LZP611" s="5" t="s">
        <v>3728</v>
      </c>
      <c r="LZQ611" s="17">
        <v>44925</v>
      </c>
      <c r="LZR611" s="5" t="s">
        <v>3728</v>
      </c>
      <c r="LZS611" s="17">
        <v>44925</v>
      </c>
      <c r="LZT611" s="5" t="s">
        <v>3728</v>
      </c>
      <c r="LZU611" s="17">
        <v>44925</v>
      </c>
      <c r="LZV611" s="5" t="s">
        <v>3728</v>
      </c>
      <c r="LZW611" s="17">
        <v>44925</v>
      </c>
      <c r="LZX611" s="5" t="s">
        <v>3728</v>
      </c>
      <c r="LZY611" s="17">
        <v>44925</v>
      </c>
      <c r="LZZ611" s="5" t="s">
        <v>3728</v>
      </c>
      <c r="MAA611" s="17">
        <v>44925</v>
      </c>
      <c r="MAB611" s="5" t="s">
        <v>3728</v>
      </c>
      <c r="MAC611" s="17">
        <v>44925</v>
      </c>
      <c r="MAD611" s="5" t="s">
        <v>3728</v>
      </c>
      <c r="MAE611" s="17">
        <v>44925</v>
      </c>
      <c r="MAF611" s="5" t="s">
        <v>3728</v>
      </c>
      <c r="MAG611" s="17">
        <v>44925</v>
      </c>
      <c r="MAH611" s="5" t="s">
        <v>3728</v>
      </c>
      <c r="MAI611" s="17">
        <v>44925</v>
      </c>
      <c r="MAJ611" s="5" t="s">
        <v>3728</v>
      </c>
      <c r="MAK611" s="17">
        <v>44925</v>
      </c>
      <c r="MAL611" s="5" t="s">
        <v>3728</v>
      </c>
      <c r="MAM611" s="17">
        <v>44925</v>
      </c>
      <c r="MAN611" s="5" t="s">
        <v>3728</v>
      </c>
      <c r="MAO611" s="17">
        <v>44925</v>
      </c>
      <c r="MAP611" s="5" t="s">
        <v>3728</v>
      </c>
      <c r="MAQ611" s="17">
        <v>44925</v>
      </c>
      <c r="MAR611" s="5" t="s">
        <v>3728</v>
      </c>
      <c r="MAS611" s="17">
        <v>44925</v>
      </c>
      <c r="MAT611" s="5" t="s">
        <v>3728</v>
      </c>
      <c r="MAU611" s="17">
        <v>44925</v>
      </c>
      <c r="MAV611" s="5" t="s">
        <v>3728</v>
      </c>
      <c r="MAW611" s="17">
        <v>44925</v>
      </c>
      <c r="MAX611" s="5" t="s">
        <v>3728</v>
      </c>
      <c r="MAY611" s="17">
        <v>44925</v>
      </c>
      <c r="MAZ611" s="5" t="s">
        <v>3728</v>
      </c>
      <c r="MBA611" s="17">
        <v>44925</v>
      </c>
      <c r="MBB611" s="5" t="s">
        <v>3728</v>
      </c>
      <c r="MBC611" s="17">
        <v>44925</v>
      </c>
      <c r="MBD611" s="5" t="s">
        <v>3728</v>
      </c>
      <c r="MBE611" s="17">
        <v>44925</v>
      </c>
      <c r="MBF611" s="5" t="s">
        <v>3728</v>
      </c>
      <c r="MBG611" s="17">
        <v>44925</v>
      </c>
      <c r="MBH611" s="5" t="s">
        <v>3728</v>
      </c>
      <c r="MBI611" s="17">
        <v>44925</v>
      </c>
      <c r="MBJ611" s="5" t="s">
        <v>3728</v>
      </c>
      <c r="MBK611" s="17">
        <v>44925</v>
      </c>
      <c r="MBL611" s="5" t="s">
        <v>3728</v>
      </c>
      <c r="MBM611" s="17">
        <v>44925</v>
      </c>
      <c r="MBN611" s="5" t="s">
        <v>3728</v>
      </c>
      <c r="MBO611" s="17">
        <v>44925</v>
      </c>
      <c r="MBP611" s="5" t="s">
        <v>3728</v>
      </c>
      <c r="MBQ611" s="17">
        <v>44925</v>
      </c>
      <c r="MBR611" s="5" t="s">
        <v>3728</v>
      </c>
      <c r="MBS611" s="17">
        <v>44925</v>
      </c>
      <c r="MBT611" s="5" t="s">
        <v>3728</v>
      </c>
      <c r="MBU611" s="17">
        <v>44925</v>
      </c>
      <c r="MBV611" s="5" t="s">
        <v>3728</v>
      </c>
      <c r="MBW611" s="17">
        <v>44925</v>
      </c>
      <c r="MBX611" s="5" t="s">
        <v>3728</v>
      </c>
      <c r="MBY611" s="17">
        <v>44925</v>
      </c>
      <c r="MBZ611" s="5" t="s">
        <v>3728</v>
      </c>
      <c r="MCA611" s="17">
        <v>44925</v>
      </c>
      <c r="MCB611" s="5" t="s">
        <v>3728</v>
      </c>
      <c r="MCC611" s="17">
        <v>44925</v>
      </c>
      <c r="MCD611" s="5" t="s">
        <v>3728</v>
      </c>
      <c r="MCE611" s="17">
        <v>44925</v>
      </c>
      <c r="MCF611" s="5" t="s">
        <v>3728</v>
      </c>
      <c r="MCG611" s="17">
        <v>44925</v>
      </c>
      <c r="MCH611" s="5" t="s">
        <v>3728</v>
      </c>
      <c r="MCI611" s="17">
        <v>44925</v>
      </c>
      <c r="MCJ611" s="5" t="s">
        <v>3728</v>
      </c>
      <c r="MCK611" s="17">
        <v>44925</v>
      </c>
      <c r="MCL611" s="5" t="s">
        <v>3728</v>
      </c>
      <c r="MCM611" s="17">
        <v>44925</v>
      </c>
      <c r="MCN611" s="5" t="s">
        <v>3728</v>
      </c>
      <c r="MCO611" s="17">
        <v>44925</v>
      </c>
      <c r="MCP611" s="5" t="s">
        <v>3728</v>
      </c>
      <c r="MCQ611" s="17">
        <v>44925</v>
      </c>
      <c r="MCR611" s="5" t="s">
        <v>3728</v>
      </c>
      <c r="MCS611" s="17">
        <v>44925</v>
      </c>
      <c r="MCT611" s="5" t="s">
        <v>3728</v>
      </c>
      <c r="MCU611" s="17">
        <v>44925</v>
      </c>
      <c r="MCV611" s="5" t="s">
        <v>3728</v>
      </c>
      <c r="MCW611" s="17">
        <v>44925</v>
      </c>
      <c r="MCX611" s="5" t="s">
        <v>3728</v>
      </c>
      <c r="MCY611" s="17">
        <v>44925</v>
      </c>
      <c r="MCZ611" s="5" t="s">
        <v>3728</v>
      </c>
      <c r="MDA611" s="17">
        <v>44925</v>
      </c>
      <c r="MDB611" s="5" t="s">
        <v>3728</v>
      </c>
      <c r="MDC611" s="17">
        <v>44925</v>
      </c>
      <c r="MDD611" s="5" t="s">
        <v>3728</v>
      </c>
      <c r="MDE611" s="17">
        <v>44925</v>
      </c>
      <c r="MDF611" s="5" t="s">
        <v>3728</v>
      </c>
      <c r="MDG611" s="17">
        <v>44925</v>
      </c>
      <c r="MDH611" s="5" t="s">
        <v>3728</v>
      </c>
      <c r="MDI611" s="17">
        <v>44925</v>
      </c>
      <c r="MDJ611" s="5" t="s">
        <v>3728</v>
      </c>
      <c r="MDK611" s="17">
        <v>44925</v>
      </c>
      <c r="MDL611" s="5" t="s">
        <v>3728</v>
      </c>
      <c r="MDM611" s="17">
        <v>44925</v>
      </c>
      <c r="MDN611" s="5" t="s">
        <v>3728</v>
      </c>
      <c r="MDO611" s="17">
        <v>44925</v>
      </c>
      <c r="MDP611" s="5" t="s">
        <v>3728</v>
      </c>
      <c r="MDQ611" s="17">
        <v>44925</v>
      </c>
      <c r="MDR611" s="5" t="s">
        <v>3728</v>
      </c>
      <c r="MDS611" s="17">
        <v>44925</v>
      </c>
      <c r="MDT611" s="5" t="s">
        <v>3728</v>
      </c>
      <c r="MDU611" s="17">
        <v>44925</v>
      </c>
      <c r="MDV611" s="5" t="s">
        <v>3728</v>
      </c>
      <c r="MDW611" s="17">
        <v>44925</v>
      </c>
      <c r="MDX611" s="5" t="s">
        <v>3728</v>
      </c>
      <c r="MDY611" s="17">
        <v>44925</v>
      </c>
      <c r="MDZ611" s="5" t="s">
        <v>3728</v>
      </c>
      <c r="MEA611" s="17">
        <v>44925</v>
      </c>
      <c r="MEB611" s="5" t="s">
        <v>3728</v>
      </c>
      <c r="MEC611" s="17">
        <v>44925</v>
      </c>
      <c r="MED611" s="5" t="s">
        <v>3728</v>
      </c>
      <c r="MEE611" s="17">
        <v>44925</v>
      </c>
      <c r="MEF611" s="5" t="s">
        <v>3728</v>
      </c>
      <c r="MEG611" s="17">
        <v>44925</v>
      </c>
      <c r="MEH611" s="5" t="s">
        <v>3728</v>
      </c>
      <c r="MEI611" s="17">
        <v>44925</v>
      </c>
      <c r="MEJ611" s="5" t="s">
        <v>3728</v>
      </c>
      <c r="MEK611" s="17">
        <v>44925</v>
      </c>
      <c r="MEL611" s="5" t="s">
        <v>3728</v>
      </c>
      <c r="MEM611" s="17">
        <v>44925</v>
      </c>
      <c r="MEN611" s="5" t="s">
        <v>3728</v>
      </c>
      <c r="MEO611" s="17">
        <v>44925</v>
      </c>
      <c r="MEP611" s="5" t="s">
        <v>3728</v>
      </c>
      <c r="MEQ611" s="17">
        <v>44925</v>
      </c>
      <c r="MER611" s="5" t="s">
        <v>3728</v>
      </c>
      <c r="MES611" s="17">
        <v>44925</v>
      </c>
      <c r="MET611" s="5" t="s">
        <v>3728</v>
      </c>
      <c r="MEU611" s="17">
        <v>44925</v>
      </c>
      <c r="MEV611" s="5" t="s">
        <v>3728</v>
      </c>
      <c r="MEW611" s="17">
        <v>44925</v>
      </c>
      <c r="MEX611" s="5" t="s">
        <v>3728</v>
      </c>
      <c r="MEY611" s="17">
        <v>44925</v>
      </c>
      <c r="MEZ611" s="5" t="s">
        <v>3728</v>
      </c>
      <c r="MFA611" s="17">
        <v>44925</v>
      </c>
      <c r="MFB611" s="5" t="s">
        <v>3728</v>
      </c>
      <c r="MFC611" s="17">
        <v>44925</v>
      </c>
      <c r="MFD611" s="5" t="s">
        <v>3728</v>
      </c>
      <c r="MFE611" s="17">
        <v>44925</v>
      </c>
      <c r="MFF611" s="5" t="s">
        <v>3728</v>
      </c>
      <c r="MFG611" s="17">
        <v>44925</v>
      </c>
      <c r="MFH611" s="5" t="s">
        <v>3728</v>
      </c>
      <c r="MFI611" s="17">
        <v>44925</v>
      </c>
      <c r="MFJ611" s="5" t="s">
        <v>3728</v>
      </c>
      <c r="MFK611" s="17">
        <v>44925</v>
      </c>
      <c r="MFL611" s="5" t="s">
        <v>3728</v>
      </c>
      <c r="MFM611" s="17">
        <v>44925</v>
      </c>
      <c r="MFN611" s="5" t="s">
        <v>3728</v>
      </c>
      <c r="MFO611" s="17">
        <v>44925</v>
      </c>
      <c r="MFP611" s="5" t="s">
        <v>3728</v>
      </c>
      <c r="MFQ611" s="17">
        <v>44925</v>
      </c>
      <c r="MFR611" s="5" t="s">
        <v>3728</v>
      </c>
      <c r="MFS611" s="17">
        <v>44925</v>
      </c>
      <c r="MFT611" s="5" t="s">
        <v>3728</v>
      </c>
      <c r="MFU611" s="17">
        <v>44925</v>
      </c>
      <c r="MFV611" s="5" t="s">
        <v>3728</v>
      </c>
      <c r="MFW611" s="17">
        <v>44925</v>
      </c>
      <c r="MFX611" s="5" t="s">
        <v>3728</v>
      </c>
      <c r="MFY611" s="17">
        <v>44925</v>
      </c>
      <c r="MFZ611" s="5" t="s">
        <v>3728</v>
      </c>
      <c r="MGA611" s="17">
        <v>44925</v>
      </c>
      <c r="MGB611" s="5" t="s">
        <v>3728</v>
      </c>
      <c r="MGC611" s="17">
        <v>44925</v>
      </c>
      <c r="MGD611" s="5" t="s">
        <v>3728</v>
      </c>
      <c r="MGE611" s="17">
        <v>44925</v>
      </c>
      <c r="MGF611" s="5" t="s">
        <v>3728</v>
      </c>
      <c r="MGG611" s="17">
        <v>44925</v>
      </c>
      <c r="MGH611" s="5" t="s">
        <v>3728</v>
      </c>
      <c r="MGI611" s="17">
        <v>44925</v>
      </c>
      <c r="MGJ611" s="5" t="s">
        <v>3728</v>
      </c>
      <c r="MGK611" s="17">
        <v>44925</v>
      </c>
      <c r="MGL611" s="5" t="s">
        <v>3728</v>
      </c>
      <c r="MGM611" s="17">
        <v>44925</v>
      </c>
      <c r="MGN611" s="5" t="s">
        <v>3728</v>
      </c>
      <c r="MGO611" s="17">
        <v>44925</v>
      </c>
      <c r="MGP611" s="5" t="s">
        <v>3728</v>
      </c>
      <c r="MGQ611" s="17">
        <v>44925</v>
      </c>
      <c r="MGR611" s="5" t="s">
        <v>3728</v>
      </c>
      <c r="MGS611" s="17">
        <v>44925</v>
      </c>
      <c r="MGT611" s="5" t="s">
        <v>3728</v>
      </c>
      <c r="MGU611" s="17">
        <v>44925</v>
      </c>
      <c r="MGV611" s="5" t="s">
        <v>3728</v>
      </c>
      <c r="MGW611" s="17">
        <v>44925</v>
      </c>
      <c r="MGX611" s="5" t="s">
        <v>3728</v>
      </c>
      <c r="MGY611" s="17">
        <v>44925</v>
      </c>
      <c r="MGZ611" s="5" t="s">
        <v>3728</v>
      </c>
      <c r="MHA611" s="17">
        <v>44925</v>
      </c>
      <c r="MHB611" s="5" t="s">
        <v>3728</v>
      </c>
      <c r="MHC611" s="17">
        <v>44925</v>
      </c>
      <c r="MHD611" s="5" t="s">
        <v>3728</v>
      </c>
      <c r="MHE611" s="17">
        <v>44925</v>
      </c>
      <c r="MHF611" s="5" t="s">
        <v>3728</v>
      </c>
      <c r="MHG611" s="17">
        <v>44925</v>
      </c>
      <c r="MHH611" s="5" t="s">
        <v>3728</v>
      </c>
      <c r="MHI611" s="17">
        <v>44925</v>
      </c>
      <c r="MHJ611" s="5" t="s">
        <v>3728</v>
      </c>
      <c r="MHK611" s="17">
        <v>44925</v>
      </c>
      <c r="MHL611" s="5" t="s">
        <v>3728</v>
      </c>
      <c r="MHM611" s="17">
        <v>44925</v>
      </c>
      <c r="MHN611" s="5" t="s">
        <v>3728</v>
      </c>
      <c r="MHO611" s="17">
        <v>44925</v>
      </c>
      <c r="MHP611" s="5" t="s">
        <v>3728</v>
      </c>
      <c r="MHQ611" s="17">
        <v>44925</v>
      </c>
      <c r="MHR611" s="5" t="s">
        <v>3728</v>
      </c>
      <c r="MHS611" s="17">
        <v>44925</v>
      </c>
      <c r="MHT611" s="5" t="s">
        <v>3728</v>
      </c>
      <c r="MHU611" s="17">
        <v>44925</v>
      </c>
      <c r="MHV611" s="5" t="s">
        <v>3728</v>
      </c>
      <c r="MHW611" s="17">
        <v>44925</v>
      </c>
      <c r="MHX611" s="5" t="s">
        <v>3728</v>
      </c>
      <c r="MHY611" s="17">
        <v>44925</v>
      </c>
      <c r="MHZ611" s="5" t="s">
        <v>3728</v>
      </c>
      <c r="MIA611" s="17">
        <v>44925</v>
      </c>
      <c r="MIB611" s="5" t="s">
        <v>3728</v>
      </c>
      <c r="MIC611" s="17">
        <v>44925</v>
      </c>
      <c r="MID611" s="5" t="s">
        <v>3728</v>
      </c>
      <c r="MIE611" s="17">
        <v>44925</v>
      </c>
      <c r="MIF611" s="5" t="s">
        <v>3728</v>
      </c>
      <c r="MIG611" s="17">
        <v>44925</v>
      </c>
      <c r="MIH611" s="5" t="s">
        <v>3728</v>
      </c>
      <c r="MII611" s="17">
        <v>44925</v>
      </c>
      <c r="MIJ611" s="5" t="s">
        <v>3728</v>
      </c>
      <c r="MIK611" s="17">
        <v>44925</v>
      </c>
      <c r="MIL611" s="5" t="s">
        <v>3728</v>
      </c>
      <c r="MIM611" s="17">
        <v>44925</v>
      </c>
      <c r="MIN611" s="5" t="s">
        <v>3728</v>
      </c>
      <c r="MIO611" s="17">
        <v>44925</v>
      </c>
      <c r="MIP611" s="5" t="s">
        <v>3728</v>
      </c>
      <c r="MIQ611" s="17">
        <v>44925</v>
      </c>
      <c r="MIR611" s="5" t="s">
        <v>3728</v>
      </c>
      <c r="MIS611" s="17">
        <v>44925</v>
      </c>
      <c r="MIT611" s="5" t="s">
        <v>3728</v>
      </c>
      <c r="MIU611" s="17">
        <v>44925</v>
      </c>
      <c r="MIV611" s="5" t="s">
        <v>3728</v>
      </c>
      <c r="MIW611" s="17">
        <v>44925</v>
      </c>
      <c r="MIX611" s="5" t="s">
        <v>3728</v>
      </c>
      <c r="MIY611" s="17">
        <v>44925</v>
      </c>
      <c r="MIZ611" s="5" t="s">
        <v>3728</v>
      </c>
      <c r="MJA611" s="17">
        <v>44925</v>
      </c>
      <c r="MJB611" s="5" t="s">
        <v>3728</v>
      </c>
      <c r="MJC611" s="17">
        <v>44925</v>
      </c>
      <c r="MJD611" s="5" t="s">
        <v>3728</v>
      </c>
      <c r="MJE611" s="17">
        <v>44925</v>
      </c>
      <c r="MJF611" s="5" t="s">
        <v>3728</v>
      </c>
      <c r="MJG611" s="17">
        <v>44925</v>
      </c>
      <c r="MJH611" s="5" t="s">
        <v>3728</v>
      </c>
      <c r="MJI611" s="17">
        <v>44925</v>
      </c>
      <c r="MJJ611" s="5" t="s">
        <v>3728</v>
      </c>
      <c r="MJK611" s="17">
        <v>44925</v>
      </c>
      <c r="MJL611" s="5" t="s">
        <v>3728</v>
      </c>
      <c r="MJM611" s="17">
        <v>44925</v>
      </c>
      <c r="MJN611" s="5" t="s">
        <v>3728</v>
      </c>
      <c r="MJO611" s="17">
        <v>44925</v>
      </c>
      <c r="MJP611" s="5" t="s">
        <v>3728</v>
      </c>
      <c r="MJQ611" s="17">
        <v>44925</v>
      </c>
      <c r="MJR611" s="5" t="s">
        <v>3728</v>
      </c>
      <c r="MJS611" s="17">
        <v>44925</v>
      </c>
      <c r="MJT611" s="5" t="s">
        <v>3728</v>
      </c>
      <c r="MJU611" s="17">
        <v>44925</v>
      </c>
      <c r="MJV611" s="5" t="s">
        <v>3728</v>
      </c>
      <c r="MJW611" s="17">
        <v>44925</v>
      </c>
      <c r="MJX611" s="5" t="s">
        <v>3728</v>
      </c>
      <c r="MJY611" s="17">
        <v>44925</v>
      </c>
      <c r="MJZ611" s="5" t="s">
        <v>3728</v>
      </c>
      <c r="MKA611" s="17">
        <v>44925</v>
      </c>
      <c r="MKB611" s="5" t="s">
        <v>3728</v>
      </c>
      <c r="MKC611" s="17">
        <v>44925</v>
      </c>
      <c r="MKD611" s="5" t="s">
        <v>3728</v>
      </c>
      <c r="MKE611" s="17">
        <v>44925</v>
      </c>
      <c r="MKF611" s="5" t="s">
        <v>3728</v>
      </c>
      <c r="MKG611" s="17">
        <v>44925</v>
      </c>
      <c r="MKH611" s="5" t="s">
        <v>3728</v>
      </c>
      <c r="MKI611" s="17">
        <v>44925</v>
      </c>
      <c r="MKJ611" s="5" t="s">
        <v>3728</v>
      </c>
      <c r="MKK611" s="17">
        <v>44925</v>
      </c>
      <c r="MKL611" s="5" t="s">
        <v>3728</v>
      </c>
      <c r="MKM611" s="17">
        <v>44925</v>
      </c>
      <c r="MKN611" s="5" t="s">
        <v>3728</v>
      </c>
      <c r="MKO611" s="17">
        <v>44925</v>
      </c>
      <c r="MKP611" s="5" t="s">
        <v>3728</v>
      </c>
      <c r="MKQ611" s="17">
        <v>44925</v>
      </c>
      <c r="MKR611" s="5" t="s">
        <v>3728</v>
      </c>
      <c r="MKS611" s="17">
        <v>44925</v>
      </c>
      <c r="MKT611" s="5" t="s">
        <v>3728</v>
      </c>
      <c r="MKU611" s="17">
        <v>44925</v>
      </c>
      <c r="MKV611" s="5" t="s">
        <v>3728</v>
      </c>
      <c r="MKW611" s="17">
        <v>44925</v>
      </c>
      <c r="MKX611" s="5" t="s">
        <v>3728</v>
      </c>
      <c r="MKY611" s="17">
        <v>44925</v>
      </c>
      <c r="MKZ611" s="5" t="s">
        <v>3728</v>
      </c>
      <c r="MLA611" s="17">
        <v>44925</v>
      </c>
      <c r="MLB611" s="5" t="s">
        <v>3728</v>
      </c>
      <c r="MLC611" s="17">
        <v>44925</v>
      </c>
      <c r="MLD611" s="5" t="s">
        <v>3728</v>
      </c>
      <c r="MLE611" s="17">
        <v>44925</v>
      </c>
      <c r="MLF611" s="5" t="s">
        <v>3728</v>
      </c>
      <c r="MLG611" s="17">
        <v>44925</v>
      </c>
      <c r="MLH611" s="5" t="s">
        <v>3728</v>
      </c>
      <c r="MLI611" s="17">
        <v>44925</v>
      </c>
      <c r="MLJ611" s="5" t="s">
        <v>3728</v>
      </c>
      <c r="MLK611" s="17">
        <v>44925</v>
      </c>
      <c r="MLL611" s="5" t="s">
        <v>3728</v>
      </c>
      <c r="MLM611" s="17">
        <v>44925</v>
      </c>
      <c r="MLN611" s="5" t="s">
        <v>3728</v>
      </c>
      <c r="MLO611" s="17">
        <v>44925</v>
      </c>
      <c r="MLP611" s="5" t="s">
        <v>3728</v>
      </c>
      <c r="MLQ611" s="17">
        <v>44925</v>
      </c>
      <c r="MLR611" s="5" t="s">
        <v>3728</v>
      </c>
      <c r="MLS611" s="17">
        <v>44925</v>
      </c>
      <c r="MLT611" s="5" t="s">
        <v>3728</v>
      </c>
      <c r="MLU611" s="17">
        <v>44925</v>
      </c>
      <c r="MLV611" s="5" t="s">
        <v>3728</v>
      </c>
      <c r="MLW611" s="17">
        <v>44925</v>
      </c>
      <c r="MLX611" s="5" t="s">
        <v>3728</v>
      </c>
      <c r="MLY611" s="17">
        <v>44925</v>
      </c>
      <c r="MLZ611" s="5" t="s">
        <v>3728</v>
      </c>
      <c r="MMA611" s="17">
        <v>44925</v>
      </c>
      <c r="MMB611" s="5" t="s">
        <v>3728</v>
      </c>
      <c r="MMC611" s="17">
        <v>44925</v>
      </c>
      <c r="MMD611" s="5" t="s">
        <v>3728</v>
      </c>
      <c r="MME611" s="17">
        <v>44925</v>
      </c>
      <c r="MMF611" s="5" t="s">
        <v>3728</v>
      </c>
      <c r="MMG611" s="17">
        <v>44925</v>
      </c>
      <c r="MMH611" s="5" t="s">
        <v>3728</v>
      </c>
      <c r="MMI611" s="17">
        <v>44925</v>
      </c>
      <c r="MMJ611" s="5" t="s">
        <v>3728</v>
      </c>
      <c r="MMK611" s="17">
        <v>44925</v>
      </c>
      <c r="MML611" s="5" t="s">
        <v>3728</v>
      </c>
      <c r="MMM611" s="17">
        <v>44925</v>
      </c>
      <c r="MMN611" s="5" t="s">
        <v>3728</v>
      </c>
      <c r="MMO611" s="17">
        <v>44925</v>
      </c>
      <c r="MMP611" s="5" t="s">
        <v>3728</v>
      </c>
      <c r="MMQ611" s="17">
        <v>44925</v>
      </c>
      <c r="MMR611" s="5" t="s">
        <v>3728</v>
      </c>
      <c r="MMS611" s="17">
        <v>44925</v>
      </c>
      <c r="MMT611" s="5" t="s">
        <v>3728</v>
      </c>
      <c r="MMU611" s="17">
        <v>44925</v>
      </c>
      <c r="MMV611" s="5" t="s">
        <v>3728</v>
      </c>
      <c r="MMW611" s="17">
        <v>44925</v>
      </c>
      <c r="MMX611" s="5" t="s">
        <v>3728</v>
      </c>
      <c r="MMY611" s="17">
        <v>44925</v>
      </c>
      <c r="MMZ611" s="5" t="s">
        <v>3728</v>
      </c>
      <c r="MNA611" s="17">
        <v>44925</v>
      </c>
      <c r="MNB611" s="5" t="s">
        <v>3728</v>
      </c>
      <c r="MNC611" s="17">
        <v>44925</v>
      </c>
      <c r="MND611" s="5" t="s">
        <v>3728</v>
      </c>
      <c r="MNE611" s="17">
        <v>44925</v>
      </c>
      <c r="MNF611" s="5" t="s">
        <v>3728</v>
      </c>
      <c r="MNG611" s="17">
        <v>44925</v>
      </c>
      <c r="MNH611" s="5" t="s">
        <v>3728</v>
      </c>
      <c r="MNI611" s="17">
        <v>44925</v>
      </c>
      <c r="MNJ611" s="5" t="s">
        <v>3728</v>
      </c>
      <c r="MNK611" s="17">
        <v>44925</v>
      </c>
      <c r="MNL611" s="5" t="s">
        <v>3728</v>
      </c>
      <c r="MNM611" s="17">
        <v>44925</v>
      </c>
      <c r="MNN611" s="5" t="s">
        <v>3728</v>
      </c>
      <c r="MNO611" s="17">
        <v>44925</v>
      </c>
      <c r="MNP611" s="5" t="s">
        <v>3728</v>
      </c>
      <c r="MNQ611" s="17">
        <v>44925</v>
      </c>
      <c r="MNR611" s="5" t="s">
        <v>3728</v>
      </c>
      <c r="MNS611" s="17">
        <v>44925</v>
      </c>
      <c r="MNT611" s="5" t="s">
        <v>3728</v>
      </c>
      <c r="MNU611" s="17">
        <v>44925</v>
      </c>
      <c r="MNV611" s="5" t="s">
        <v>3728</v>
      </c>
      <c r="MNW611" s="17">
        <v>44925</v>
      </c>
      <c r="MNX611" s="5" t="s">
        <v>3728</v>
      </c>
      <c r="MNY611" s="17">
        <v>44925</v>
      </c>
      <c r="MNZ611" s="5" t="s">
        <v>3728</v>
      </c>
      <c r="MOA611" s="17">
        <v>44925</v>
      </c>
      <c r="MOB611" s="5" t="s">
        <v>3728</v>
      </c>
      <c r="MOC611" s="17">
        <v>44925</v>
      </c>
      <c r="MOD611" s="5" t="s">
        <v>3728</v>
      </c>
      <c r="MOE611" s="17">
        <v>44925</v>
      </c>
      <c r="MOF611" s="5" t="s">
        <v>3728</v>
      </c>
      <c r="MOG611" s="17">
        <v>44925</v>
      </c>
      <c r="MOH611" s="5" t="s">
        <v>3728</v>
      </c>
      <c r="MOI611" s="17">
        <v>44925</v>
      </c>
      <c r="MOJ611" s="5" t="s">
        <v>3728</v>
      </c>
      <c r="MOK611" s="17">
        <v>44925</v>
      </c>
      <c r="MOL611" s="5" t="s">
        <v>3728</v>
      </c>
      <c r="MOM611" s="17">
        <v>44925</v>
      </c>
      <c r="MON611" s="5" t="s">
        <v>3728</v>
      </c>
      <c r="MOO611" s="17">
        <v>44925</v>
      </c>
      <c r="MOP611" s="5" t="s">
        <v>3728</v>
      </c>
      <c r="MOQ611" s="17">
        <v>44925</v>
      </c>
      <c r="MOR611" s="5" t="s">
        <v>3728</v>
      </c>
      <c r="MOS611" s="17">
        <v>44925</v>
      </c>
      <c r="MOT611" s="5" t="s">
        <v>3728</v>
      </c>
      <c r="MOU611" s="17">
        <v>44925</v>
      </c>
      <c r="MOV611" s="5" t="s">
        <v>3728</v>
      </c>
      <c r="MOW611" s="17">
        <v>44925</v>
      </c>
      <c r="MOX611" s="5" t="s">
        <v>3728</v>
      </c>
      <c r="MOY611" s="17">
        <v>44925</v>
      </c>
      <c r="MOZ611" s="5" t="s">
        <v>3728</v>
      </c>
      <c r="MPA611" s="17">
        <v>44925</v>
      </c>
      <c r="MPB611" s="5" t="s">
        <v>3728</v>
      </c>
      <c r="MPC611" s="17">
        <v>44925</v>
      </c>
      <c r="MPD611" s="5" t="s">
        <v>3728</v>
      </c>
      <c r="MPE611" s="17">
        <v>44925</v>
      </c>
      <c r="MPF611" s="5" t="s">
        <v>3728</v>
      </c>
      <c r="MPG611" s="17">
        <v>44925</v>
      </c>
      <c r="MPH611" s="5" t="s">
        <v>3728</v>
      </c>
      <c r="MPI611" s="17">
        <v>44925</v>
      </c>
      <c r="MPJ611" s="5" t="s">
        <v>3728</v>
      </c>
      <c r="MPK611" s="17">
        <v>44925</v>
      </c>
      <c r="MPL611" s="5" t="s">
        <v>3728</v>
      </c>
      <c r="MPM611" s="17">
        <v>44925</v>
      </c>
      <c r="MPN611" s="5" t="s">
        <v>3728</v>
      </c>
      <c r="MPO611" s="17">
        <v>44925</v>
      </c>
      <c r="MPP611" s="5" t="s">
        <v>3728</v>
      </c>
      <c r="MPQ611" s="17">
        <v>44925</v>
      </c>
      <c r="MPR611" s="5" t="s">
        <v>3728</v>
      </c>
      <c r="MPS611" s="17">
        <v>44925</v>
      </c>
      <c r="MPT611" s="5" t="s">
        <v>3728</v>
      </c>
      <c r="MPU611" s="17">
        <v>44925</v>
      </c>
      <c r="MPV611" s="5" t="s">
        <v>3728</v>
      </c>
      <c r="MPW611" s="17">
        <v>44925</v>
      </c>
      <c r="MPX611" s="5" t="s">
        <v>3728</v>
      </c>
      <c r="MPY611" s="17">
        <v>44925</v>
      </c>
      <c r="MPZ611" s="5" t="s">
        <v>3728</v>
      </c>
      <c r="MQA611" s="17">
        <v>44925</v>
      </c>
      <c r="MQB611" s="5" t="s">
        <v>3728</v>
      </c>
      <c r="MQC611" s="17">
        <v>44925</v>
      </c>
      <c r="MQD611" s="5" t="s">
        <v>3728</v>
      </c>
      <c r="MQE611" s="17">
        <v>44925</v>
      </c>
      <c r="MQF611" s="5" t="s">
        <v>3728</v>
      </c>
      <c r="MQG611" s="17">
        <v>44925</v>
      </c>
      <c r="MQH611" s="5" t="s">
        <v>3728</v>
      </c>
      <c r="MQI611" s="17">
        <v>44925</v>
      </c>
      <c r="MQJ611" s="5" t="s">
        <v>3728</v>
      </c>
      <c r="MQK611" s="17">
        <v>44925</v>
      </c>
      <c r="MQL611" s="5" t="s">
        <v>3728</v>
      </c>
      <c r="MQM611" s="17">
        <v>44925</v>
      </c>
      <c r="MQN611" s="5" t="s">
        <v>3728</v>
      </c>
      <c r="MQO611" s="17">
        <v>44925</v>
      </c>
      <c r="MQP611" s="5" t="s">
        <v>3728</v>
      </c>
      <c r="MQQ611" s="17">
        <v>44925</v>
      </c>
      <c r="MQR611" s="5" t="s">
        <v>3728</v>
      </c>
      <c r="MQS611" s="17">
        <v>44925</v>
      </c>
      <c r="MQT611" s="5" t="s">
        <v>3728</v>
      </c>
      <c r="MQU611" s="17">
        <v>44925</v>
      </c>
      <c r="MQV611" s="5" t="s">
        <v>3728</v>
      </c>
      <c r="MQW611" s="17">
        <v>44925</v>
      </c>
      <c r="MQX611" s="5" t="s">
        <v>3728</v>
      </c>
      <c r="MQY611" s="17">
        <v>44925</v>
      </c>
      <c r="MQZ611" s="5" t="s">
        <v>3728</v>
      </c>
      <c r="MRA611" s="17">
        <v>44925</v>
      </c>
      <c r="MRB611" s="5" t="s">
        <v>3728</v>
      </c>
      <c r="MRC611" s="17">
        <v>44925</v>
      </c>
      <c r="MRD611" s="5" t="s">
        <v>3728</v>
      </c>
      <c r="MRE611" s="17">
        <v>44925</v>
      </c>
      <c r="MRF611" s="5" t="s">
        <v>3728</v>
      </c>
      <c r="MRG611" s="17">
        <v>44925</v>
      </c>
      <c r="MRH611" s="5" t="s">
        <v>3728</v>
      </c>
      <c r="MRI611" s="17">
        <v>44925</v>
      </c>
      <c r="MRJ611" s="5" t="s">
        <v>3728</v>
      </c>
      <c r="MRK611" s="17">
        <v>44925</v>
      </c>
      <c r="MRL611" s="5" t="s">
        <v>3728</v>
      </c>
      <c r="MRM611" s="17">
        <v>44925</v>
      </c>
      <c r="MRN611" s="5" t="s">
        <v>3728</v>
      </c>
      <c r="MRO611" s="17">
        <v>44925</v>
      </c>
      <c r="MRP611" s="5" t="s">
        <v>3728</v>
      </c>
      <c r="MRQ611" s="17">
        <v>44925</v>
      </c>
      <c r="MRR611" s="5" t="s">
        <v>3728</v>
      </c>
      <c r="MRS611" s="17">
        <v>44925</v>
      </c>
      <c r="MRT611" s="5" t="s">
        <v>3728</v>
      </c>
      <c r="MRU611" s="17">
        <v>44925</v>
      </c>
      <c r="MRV611" s="5" t="s">
        <v>3728</v>
      </c>
      <c r="MRW611" s="17">
        <v>44925</v>
      </c>
      <c r="MRX611" s="5" t="s">
        <v>3728</v>
      </c>
      <c r="MRY611" s="17">
        <v>44925</v>
      </c>
      <c r="MRZ611" s="5" t="s">
        <v>3728</v>
      </c>
      <c r="MSA611" s="17">
        <v>44925</v>
      </c>
      <c r="MSB611" s="5" t="s">
        <v>3728</v>
      </c>
      <c r="MSC611" s="17">
        <v>44925</v>
      </c>
      <c r="MSD611" s="5" t="s">
        <v>3728</v>
      </c>
      <c r="MSE611" s="17">
        <v>44925</v>
      </c>
      <c r="MSF611" s="5" t="s">
        <v>3728</v>
      </c>
      <c r="MSG611" s="17">
        <v>44925</v>
      </c>
      <c r="MSH611" s="5" t="s">
        <v>3728</v>
      </c>
      <c r="MSI611" s="17">
        <v>44925</v>
      </c>
      <c r="MSJ611" s="5" t="s">
        <v>3728</v>
      </c>
      <c r="MSK611" s="17">
        <v>44925</v>
      </c>
      <c r="MSL611" s="5" t="s">
        <v>3728</v>
      </c>
      <c r="MSM611" s="17">
        <v>44925</v>
      </c>
      <c r="MSN611" s="5" t="s">
        <v>3728</v>
      </c>
      <c r="MSO611" s="17">
        <v>44925</v>
      </c>
      <c r="MSP611" s="5" t="s">
        <v>3728</v>
      </c>
      <c r="MSQ611" s="17">
        <v>44925</v>
      </c>
      <c r="MSR611" s="5" t="s">
        <v>3728</v>
      </c>
      <c r="MSS611" s="17">
        <v>44925</v>
      </c>
      <c r="MST611" s="5" t="s">
        <v>3728</v>
      </c>
      <c r="MSU611" s="17">
        <v>44925</v>
      </c>
      <c r="MSV611" s="5" t="s">
        <v>3728</v>
      </c>
      <c r="MSW611" s="17">
        <v>44925</v>
      </c>
      <c r="MSX611" s="5" t="s">
        <v>3728</v>
      </c>
      <c r="MSY611" s="17">
        <v>44925</v>
      </c>
      <c r="MSZ611" s="5" t="s">
        <v>3728</v>
      </c>
      <c r="MTA611" s="17">
        <v>44925</v>
      </c>
      <c r="MTB611" s="5" t="s">
        <v>3728</v>
      </c>
      <c r="MTC611" s="17">
        <v>44925</v>
      </c>
      <c r="MTD611" s="5" t="s">
        <v>3728</v>
      </c>
      <c r="MTE611" s="17">
        <v>44925</v>
      </c>
      <c r="MTF611" s="5" t="s">
        <v>3728</v>
      </c>
      <c r="MTG611" s="17">
        <v>44925</v>
      </c>
      <c r="MTH611" s="5" t="s">
        <v>3728</v>
      </c>
      <c r="MTI611" s="17">
        <v>44925</v>
      </c>
      <c r="MTJ611" s="5" t="s">
        <v>3728</v>
      </c>
      <c r="MTK611" s="17">
        <v>44925</v>
      </c>
      <c r="MTL611" s="5" t="s">
        <v>3728</v>
      </c>
      <c r="MTM611" s="17">
        <v>44925</v>
      </c>
      <c r="MTN611" s="5" t="s">
        <v>3728</v>
      </c>
      <c r="MTO611" s="17">
        <v>44925</v>
      </c>
      <c r="MTP611" s="5" t="s">
        <v>3728</v>
      </c>
      <c r="MTQ611" s="17">
        <v>44925</v>
      </c>
      <c r="MTR611" s="5" t="s">
        <v>3728</v>
      </c>
      <c r="MTS611" s="17">
        <v>44925</v>
      </c>
      <c r="MTT611" s="5" t="s">
        <v>3728</v>
      </c>
      <c r="MTU611" s="17">
        <v>44925</v>
      </c>
      <c r="MTV611" s="5" t="s">
        <v>3728</v>
      </c>
      <c r="MTW611" s="17">
        <v>44925</v>
      </c>
      <c r="MTX611" s="5" t="s">
        <v>3728</v>
      </c>
      <c r="MTY611" s="17">
        <v>44925</v>
      </c>
      <c r="MTZ611" s="5" t="s">
        <v>3728</v>
      </c>
      <c r="MUA611" s="17">
        <v>44925</v>
      </c>
      <c r="MUB611" s="5" t="s">
        <v>3728</v>
      </c>
      <c r="MUC611" s="17">
        <v>44925</v>
      </c>
      <c r="MUD611" s="5" t="s">
        <v>3728</v>
      </c>
      <c r="MUE611" s="17">
        <v>44925</v>
      </c>
      <c r="MUF611" s="5" t="s">
        <v>3728</v>
      </c>
      <c r="MUG611" s="17">
        <v>44925</v>
      </c>
      <c r="MUH611" s="5" t="s">
        <v>3728</v>
      </c>
      <c r="MUI611" s="17">
        <v>44925</v>
      </c>
      <c r="MUJ611" s="5" t="s">
        <v>3728</v>
      </c>
      <c r="MUK611" s="17">
        <v>44925</v>
      </c>
      <c r="MUL611" s="5" t="s">
        <v>3728</v>
      </c>
      <c r="MUM611" s="17">
        <v>44925</v>
      </c>
      <c r="MUN611" s="5" t="s">
        <v>3728</v>
      </c>
      <c r="MUO611" s="17">
        <v>44925</v>
      </c>
      <c r="MUP611" s="5" t="s">
        <v>3728</v>
      </c>
      <c r="MUQ611" s="17">
        <v>44925</v>
      </c>
      <c r="MUR611" s="5" t="s">
        <v>3728</v>
      </c>
      <c r="MUS611" s="17">
        <v>44925</v>
      </c>
      <c r="MUT611" s="5" t="s">
        <v>3728</v>
      </c>
      <c r="MUU611" s="17">
        <v>44925</v>
      </c>
      <c r="MUV611" s="5" t="s">
        <v>3728</v>
      </c>
      <c r="MUW611" s="17">
        <v>44925</v>
      </c>
      <c r="MUX611" s="5" t="s">
        <v>3728</v>
      </c>
      <c r="MUY611" s="17">
        <v>44925</v>
      </c>
      <c r="MUZ611" s="5" t="s">
        <v>3728</v>
      </c>
      <c r="MVA611" s="17">
        <v>44925</v>
      </c>
      <c r="MVB611" s="5" t="s">
        <v>3728</v>
      </c>
      <c r="MVC611" s="17">
        <v>44925</v>
      </c>
      <c r="MVD611" s="5" t="s">
        <v>3728</v>
      </c>
      <c r="MVE611" s="17">
        <v>44925</v>
      </c>
      <c r="MVF611" s="5" t="s">
        <v>3728</v>
      </c>
      <c r="MVG611" s="17">
        <v>44925</v>
      </c>
      <c r="MVH611" s="5" t="s">
        <v>3728</v>
      </c>
      <c r="MVI611" s="17">
        <v>44925</v>
      </c>
      <c r="MVJ611" s="5" t="s">
        <v>3728</v>
      </c>
      <c r="MVK611" s="17">
        <v>44925</v>
      </c>
      <c r="MVL611" s="5" t="s">
        <v>3728</v>
      </c>
      <c r="MVM611" s="17">
        <v>44925</v>
      </c>
      <c r="MVN611" s="5" t="s">
        <v>3728</v>
      </c>
      <c r="MVO611" s="17">
        <v>44925</v>
      </c>
      <c r="MVP611" s="5" t="s">
        <v>3728</v>
      </c>
      <c r="MVQ611" s="17">
        <v>44925</v>
      </c>
      <c r="MVR611" s="5" t="s">
        <v>3728</v>
      </c>
      <c r="MVS611" s="17">
        <v>44925</v>
      </c>
      <c r="MVT611" s="5" t="s">
        <v>3728</v>
      </c>
      <c r="MVU611" s="17">
        <v>44925</v>
      </c>
      <c r="MVV611" s="5" t="s">
        <v>3728</v>
      </c>
      <c r="MVW611" s="17">
        <v>44925</v>
      </c>
      <c r="MVX611" s="5" t="s">
        <v>3728</v>
      </c>
      <c r="MVY611" s="17">
        <v>44925</v>
      </c>
      <c r="MVZ611" s="5" t="s">
        <v>3728</v>
      </c>
      <c r="MWA611" s="17">
        <v>44925</v>
      </c>
      <c r="MWB611" s="5" t="s">
        <v>3728</v>
      </c>
      <c r="MWC611" s="17">
        <v>44925</v>
      </c>
      <c r="MWD611" s="5" t="s">
        <v>3728</v>
      </c>
      <c r="MWE611" s="17">
        <v>44925</v>
      </c>
      <c r="MWF611" s="5" t="s">
        <v>3728</v>
      </c>
      <c r="MWG611" s="17">
        <v>44925</v>
      </c>
      <c r="MWH611" s="5" t="s">
        <v>3728</v>
      </c>
      <c r="MWI611" s="17">
        <v>44925</v>
      </c>
      <c r="MWJ611" s="5" t="s">
        <v>3728</v>
      </c>
      <c r="MWK611" s="17">
        <v>44925</v>
      </c>
      <c r="MWL611" s="5" t="s">
        <v>3728</v>
      </c>
      <c r="MWM611" s="17">
        <v>44925</v>
      </c>
      <c r="MWN611" s="5" t="s">
        <v>3728</v>
      </c>
      <c r="MWO611" s="17">
        <v>44925</v>
      </c>
      <c r="MWP611" s="5" t="s">
        <v>3728</v>
      </c>
      <c r="MWQ611" s="17">
        <v>44925</v>
      </c>
      <c r="MWR611" s="5" t="s">
        <v>3728</v>
      </c>
      <c r="MWS611" s="17">
        <v>44925</v>
      </c>
      <c r="MWT611" s="5" t="s">
        <v>3728</v>
      </c>
      <c r="MWU611" s="17">
        <v>44925</v>
      </c>
      <c r="MWV611" s="5" t="s">
        <v>3728</v>
      </c>
      <c r="MWW611" s="17">
        <v>44925</v>
      </c>
      <c r="MWX611" s="5" t="s">
        <v>3728</v>
      </c>
      <c r="MWY611" s="17">
        <v>44925</v>
      </c>
      <c r="MWZ611" s="5" t="s">
        <v>3728</v>
      </c>
      <c r="MXA611" s="17">
        <v>44925</v>
      </c>
      <c r="MXB611" s="5" t="s">
        <v>3728</v>
      </c>
      <c r="MXC611" s="17">
        <v>44925</v>
      </c>
      <c r="MXD611" s="5" t="s">
        <v>3728</v>
      </c>
      <c r="MXE611" s="17">
        <v>44925</v>
      </c>
      <c r="MXF611" s="5" t="s">
        <v>3728</v>
      </c>
      <c r="MXG611" s="17">
        <v>44925</v>
      </c>
      <c r="MXH611" s="5" t="s">
        <v>3728</v>
      </c>
      <c r="MXI611" s="17">
        <v>44925</v>
      </c>
      <c r="MXJ611" s="5" t="s">
        <v>3728</v>
      </c>
      <c r="MXK611" s="17">
        <v>44925</v>
      </c>
      <c r="MXL611" s="5" t="s">
        <v>3728</v>
      </c>
      <c r="MXM611" s="17">
        <v>44925</v>
      </c>
      <c r="MXN611" s="5" t="s">
        <v>3728</v>
      </c>
      <c r="MXO611" s="17">
        <v>44925</v>
      </c>
      <c r="MXP611" s="5" t="s">
        <v>3728</v>
      </c>
      <c r="MXQ611" s="17">
        <v>44925</v>
      </c>
      <c r="MXR611" s="5" t="s">
        <v>3728</v>
      </c>
      <c r="MXS611" s="17">
        <v>44925</v>
      </c>
      <c r="MXT611" s="5" t="s">
        <v>3728</v>
      </c>
      <c r="MXU611" s="17">
        <v>44925</v>
      </c>
      <c r="MXV611" s="5" t="s">
        <v>3728</v>
      </c>
      <c r="MXW611" s="17">
        <v>44925</v>
      </c>
      <c r="MXX611" s="5" t="s">
        <v>3728</v>
      </c>
      <c r="MXY611" s="17">
        <v>44925</v>
      </c>
      <c r="MXZ611" s="5" t="s">
        <v>3728</v>
      </c>
      <c r="MYA611" s="17">
        <v>44925</v>
      </c>
      <c r="MYB611" s="5" t="s">
        <v>3728</v>
      </c>
      <c r="MYC611" s="17">
        <v>44925</v>
      </c>
      <c r="MYD611" s="5" t="s">
        <v>3728</v>
      </c>
      <c r="MYE611" s="17">
        <v>44925</v>
      </c>
      <c r="MYF611" s="5" t="s">
        <v>3728</v>
      </c>
      <c r="MYG611" s="17">
        <v>44925</v>
      </c>
      <c r="MYH611" s="5" t="s">
        <v>3728</v>
      </c>
      <c r="MYI611" s="17">
        <v>44925</v>
      </c>
      <c r="MYJ611" s="5" t="s">
        <v>3728</v>
      </c>
      <c r="MYK611" s="17">
        <v>44925</v>
      </c>
      <c r="MYL611" s="5" t="s">
        <v>3728</v>
      </c>
      <c r="MYM611" s="17">
        <v>44925</v>
      </c>
      <c r="MYN611" s="5" t="s">
        <v>3728</v>
      </c>
      <c r="MYO611" s="17">
        <v>44925</v>
      </c>
      <c r="MYP611" s="5" t="s">
        <v>3728</v>
      </c>
      <c r="MYQ611" s="17">
        <v>44925</v>
      </c>
      <c r="MYR611" s="5" t="s">
        <v>3728</v>
      </c>
      <c r="MYS611" s="17">
        <v>44925</v>
      </c>
      <c r="MYT611" s="5" t="s">
        <v>3728</v>
      </c>
      <c r="MYU611" s="17">
        <v>44925</v>
      </c>
      <c r="MYV611" s="5" t="s">
        <v>3728</v>
      </c>
      <c r="MYW611" s="17">
        <v>44925</v>
      </c>
      <c r="MYX611" s="5" t="s">
        <v>3728</v>
      </c>
      <c r="MYY611" s="17">
        <v>44925</v>
      </c>
      <c r="MYZ611" s="5" t="s">
        <v>3728</v>
      </c>
      <c r="MZA611" s="17">
        <v>44925</v>
      </c>
      <c r="MZB611" s="5" t="s">
        <v>3728</v>
      </c>
      <c r="MZC611" s="17">
        <v>44925</v>
      </c>
      <c r="MZD611" s="5" t="s">
        <v>3728</v>
      </c>
      <c r="MZE611" s="17">
        <v>44925</v>
      </c>
      <c r="MZF611" s="5" t="s">
        <v>3728</v>
      </c>
      <c r="MZG611" s="17">
        <v>44925</v>
      </c>
      <c r="MZH611" s="5" t="s">
        <v>3728</v>
      </c>
      <c r="MZI611" s="17">
        <v>44925</v>
      </c>
      <c r="MZJ611" s="5" t="s">
        <v>3728</v>
      </c>
      <c r="MZK611" s="17">
        <v>44925</v>
      </c>
      <c r="MZL611" s="5" t="s">
        <v>3728</v>
      </c>
      <c r="MZM611" s="17">
        <v>44925</v>
      </c>
      <c r="MZN611" s="5" t="s">
        <v>3728</v>
      </c>
      <c r="MZO611" s="17">
        <v>44925</v>
      </c>
      <c r="MZP611" s="5" t="s">
        <v>3728</v>
      </c>
      <c r="MZQ611" s="17">
        <v>44925</v>
      </c>
      <c r="MZR611" s="5" t="s">
        <v>3728</v>
      </c>
      <c r="MZS611" s="17">
        <v>44925</v>
      </c>
      <c r="MZT611" s="5" t="s">
        <v>3728</v>
      </c>
      <c r="MZU611" s="17">
        <v>44925</v>
      </c>
      <c r="MZV611" s="5" t="s">
        <v>3728</v>
      </c>
      <c r="MZW611" s="17">
        <v>44925</v>
      </c>
      <c r="MZX611" s="5" t="s">
        <v>3728</v>
      </c>
      <c r="MZY611" s="17">
        <v>44925</v>
      </c>
      <c r="MZZ611" s="5" t="s">
        <v>3728</v>
      </c>
      <c r="NAA611" s="17">
        <v>44925</v>
      </c>
      <c r="NAB611" s="5" t="s">
        <v>3728</v>
      </c>
      <c r="NAC611" s="17">
        <v>44925</v>
      </c>
      <c r="NAD611" s="5" t="s">
        <v>3728</v>
      </c>
      <c r="NAE611" s="17">
        <v>44925</v>
      </c>
      <c r="NAF611" s="5" t="s">
        <v>3728</v>
      </c>
      <c r="NAG611" s="17">
        <v>44925</v>
      </c>
      <c r="NAH611" s="5" t="s">
        <v>3728</v>
      </c>
      <c r="NAI611" s="17">
        <v>44925</v>
      </c>
      <c r="NAJ611" s="5" t="s">
        <v>3728</v>
      </c>
      <c r="NAK611" s="17">
        <v>44925</v>
      </c>
      <c r="NAL611" s="5" t="s">
        <v>3728</v>
      </c>
      <c r="NAM611" s="17">
        <v>44925</v>
      </c>
      <c r="NAN611" s="5" t="s">
        <v>3728</v>
      </c>
      <c r="NAO611" s="17">
        <v>44925</v>
      </c>
      <c r="NAP611" s="5" t="s">
        <v>3728</v>
      </c>
      <c r="NAQ611" s="17">
        <v>44925</v>
      </c>
      <c r="NAR611" s="5" t="s">
        <v>3728</v>
      </c>
      <c r="NAS611" s="17">
        <v>44925</v>
      </c>
      <c r="NAT611" s="5" t="s">
        <v>3728</v>
      </c>
      <c r="NAU611" s="17">
        <v>44925</v>
      </c>
      <c r="NAV611" s="5" t="s">
        <v>3728</v>
      </c>
      <c r="NAW611" s="17">
        <v>44925</v>
      </c>
      <c r="NAX611" s="5" t="s">
        <v>3728</v>
      </c>
      <c r="NAY611" s="17">
        <v>44925</v>
      </c>
      <c r="NAZ611" s="5" t="s">
        <v>3728</v>
      </c>
      <c r="NBA611" s="17">
        <v>44925</v>
      </c>
      <c r="NBB611" s="5" t="s">
        <v>3728</v>
      </c>
      <c r="NBC611" s="17">
        <v>44925</v>
      </c>
      <c r="NBD611" s="5" t="s">
        <v>3728</v>
      </c>
      <c r="NBE611" s="17">
        <v>44925</v>
      </c>
      <c r="NBF611" s="5" t="s">
        <v>3728</v>
      </c>
      <c r="NBG611" s="17">
        <v>44925</v>
      </c>
      <c r="NBH611" s="5" t="s">
        <v>3728</v>
      </c>
      <c r="NBI611" s="17">
        <v>44925</v>
      </c>
      <c r="NBJ611" s="5" t="s">
        <v>3728</v>
      </c>
      <c r="NBK611" s="17">
        <v>44925</v>
      </c>
      <c r="NBL611" s="5" t="s">
        <v>3728</v>
      </c>
      <c r="NBM611" s="17">
        <v>44925</v>
      </c>
      <c r="NBN611" s="5" t="s">
        <v>3728</v>
      </c>
      <c r="NBO611" s="17">
        <v>44925</v>
      </c>
      <c r="NBP611" s="5" t="s">
        <v>3728</v>
      </c>
      <c r="NBQ611" s="17">
        <v>44925</v>
      </c>
      <c r="NBR611" s="5" t="s">
        <v>3728</v>
      </c>
      <c r="NBS611" s="17">
        <v>44925</v>
      </c>
      <c r="NBT611" s="5" t="s">
        <v>3728</v>
      </c>
      <c r="NBU611" s="17">
        <v>44925</v>
      </c>
      <c r="NBV611" s="5" t="s">
        <v>3728</v>
      </c>
      <c r="NBW611" s="17">
        <v>44925</v>
      </c>
      <c r="NBX611" s="5" t="s">
        <v>3728</v>
      </c>
      <c r="NBY611" s="17">
        <v>44925</v>
      </c>
      <c r="NBZ611" s="5" t="s">
        <v>3728</v>
      </c>
      <c r="NCA611" s="17">
        <v>44925</v>
      </c>
      <c r="NCB611" s="5" t="s">
        <v>3728</v>
      </c>
      <c r="NCC611" s="17">
        <v>44925</v>
      </c>
      <c r="NCD611" s="5" t="s">
        <v>3728</v>
      </c>
      <c r="NCE611" s="17">
        <v>44925</v>
      </c>
      <c r="NCF611" s="5" t="s">
        <v>3728</v>
      </c>
      <c r="NCG611" s="17">
        <v>44925</v>
      </c>
      <c r="NCH611" s="5" t="s">
        <v>3728</v>
      </c>
      <c r="NCI611" s="17">
        <v>44925</v>
      </c>
      <c r="NCJ611" s="5" t="s">
        <v>3728</v>
      </c>
      <c r="NCK611" s="17">
        <v>44925</v>
      </c>
      <c r="NCL611" s="5" t="s">
        <v>3728</v>
      </c>
      <c r="NCM611" s="17">
        <v>44925</v>
      </c>
      <c r="NCN611" s="5" t="s">
        <v>3728</v>
      </c>
      <c r="NCO611" s="17">
        <v>44925</v>
      </c>
      <c r="NCP611" s="5" t="s">
        <v>3728</v>
      </c>
      <c r="NCQ611" s="17">
        <v>44925</v>
      </c>
      <c r="NCR611" s="5" t="s">
        <v>3728</v>
      </c>
      <c r="NCS611" s="17">
        <v>44925</v>
      </c>
      <c r="NCT611" s="5" t="s">
        <v>3728</v>
      </c>
      <c r="NCU611" s="17">
        <v>44925</v>
      </c>
      <c r="NCV611" s="5" t="s">
        <v>3728</v>
      </c>
      <c r="NCW611" s="17">
        <v>44925</v>
      </c>
      <c r="NCX611" s="5" t="s">
        <v>3728</v>
      </c>
      <c r="NCY611" s="17">
        <v>44925</v>
      </c>
      <c r="NCZ611" s="5" t="s">
        <v>3728</v>
      </c>
      <c r="NDA611" s="17">
        <v>44925</v>
      </c>
      <c r="NDB611" s="5" t="s">
        <v>3728</v>
      </c>
      <c r="NDC611" s="17">
        <v>44925</v>
      </c>
      <c r="NDD611" s="5" t="s">
        <v>3728</v>
      </c>
      <c r="NDE611" s="17">
        <v>44925</v>
      </c>
      <c r="NDF611" s="5" t="s">
        <v>3728</v>
      </c>
      <c r="NDG611" s="17">
        <v>44925</v>
      </c>
      <c r="NDH611" s="5" t="s">
        <v>3728</v>
      </c>
      <c r="NDI611" s="17">
        <v>44925</v>
      </c>
      <c r="NDJ611" s="5" t="s">
        <v>3728</v>
      </c>
      <c r="NDK611" s="17">
        <v>44925</v>
      </c>
      <c r="NDL611" s="5" t="s">
        <v>3728</v>
      </c>
      <c r="NDM611" s="17">
        <v>44925</v>
      </c>
      <c r="NDN611" s="5" t="s">
        <v>3728</v>
      </c>
      <c r="NDO611" s="17">
        <v>44925</v>
      </c>
      <c r="NDP611" s="5" t="s">
        <v>3728</v>
      </c>
      <c r="NDQ611" s="17">
        <v>44925</v>
      </c>
      <c r="NDR611" s="5" t="s">
        <v>3728</v>
      </c>
      <c r="NDS611" s="17">
        <v>44925</v>
      </c>
      <c r="NDT611" s="5" t="s">
        <v>3728</v>
      </c>
      <c r="NDU611" s="17">
        <v>44925</v>
      </c>
      <c r="NDV611" s="5" t="s">
        <v>3728</v>
      </c>
      <c r="NDW611" s="17">
        <v>44925</v>
      </c>
      <c r="NDX611" s="5" t="s">
        <v>3728</v>
      </c>
      <c r="NDY611" s="17">
        <v>44925</v>
      </c>
      <c r="NDZ611" s="5" t="s">
        <v>3728</v>
      </c>
      <c r="NEA611" s="17">
        <v>44925</v>
      </c>
      <c r="NEB611" s="5" t="s">
        <v>3728</v>
      </c>
      <c r="NEC611" s="17">
        <v>44925</v>
      </c>
      <c r="NED611" s="5" t="s">
        <v>3728</v>
      </c>
      <c r="NEE611" s="17">
        <v>44925</v>
      </c>
      <c r="NEF611" s="5" t="s">
        <v>3728</v>
      </c>
      <c r="NEG611" s="17">
        <v>44925</v>
      </c>
      <c r="NEH611" s="5" t="s">
        <v>3728</v>
      </c>
      <c r="NEI611" s="17">
        <v>44925</v>
      </c>
      <c r="NEJ611" s="5" t="s">
        <v>3728</v>
      </c>
      <c r="NEK611" s="17">
        <v>44925</v>
      </c>
      <c r="NEL611" s="5" t="s">
        <v>3728</v>
      </c>
      <c r="NEM611" s="17">
        <v>44925</v>
      </c>
      <c r="NEN611" s="5" t="s">
        <v>3728</v>
      </c>
      <c r="NEO611" s="17">
        <v>44925</v>
      </c>
      <c r="NEP611" s="5" t="s">
        <v>3728</v>
      </c>
      <c r="NEQ611" s="17">
        <v>44925</v>
      </c>
      <c r="NER611" s="5" t="s">
        <v>3728</v>
      </c>
      <c r="NES611" s="17">
        <v>44925</v>
      </c>
      <c r="NET611" s="5" t="s">
        <v>3728</v>
      </c>
      <c r="NEU611" s="17">
        <v>44925</v>
      </c>
      <c r="NEV611" s="5" t="s">
        <v>3728</v>
      </c>
      <c r="NEW611" s="17">
        <v>44925</v>
      </c>
      <c r="NEX611" s="5" t="s">
        <v>3728</v>
      </c>
      <c r="NEY611" s="17">
        <v>44925</v>
      </c>
      <c r="NEZ611" s="5" t="s">
        <v>3728</v>
      </c>
      <c r="NFA611" s="17">
        <v>44925</v>
      </c>
      <c r="NFB611" s="5" t="s">
        <v>3728</v>
      </c>
      <c r="NFC611" s="17">
        <v>44925</v>
      </c>
      <c r="NFD611" s="5" t="s">
        <v>3728</v>
      </c>
      <c r="NFE611" s="17">
        <v>44925</v>
      </c>
      <c r="NFF611" s="5" t="s">
        <v>3728</v>
      </c>
      <c r="NFG611" s="17">
        <v>44925</v>
      </c>
      <c r="NFH611" s="5" t="s">
        <v>3728</v>
      </c>
      <c r="NFI611" s="17">
        <v>44925</v>
      </c>
      <c r="NFJ611" s="5" t="s">
        <v>3728</v>
      </c>
      <c r="NFK611" s="17">
        <v>44925</v>
      </c>
      <c r="NFL611" s="5" t="s">
        <v>3728</v>
      </c>
      <c r="NFM611" s="17">
        <v>44925</v>
      </c>
      <c r="NFN611" s="5" t="s">
        <v>3728</v>
      </c>
      <c r="NFO611" s="17">
        <v>44925</v>
      </c>
      <c r="NFP611" s="5" t="s">
        <v>3728</v>
      </c>
      <c r="NFQ611" s="17">
        <v>44925</v>
      </c>
      <c r="NFR611" s="5" t="s">
        <v>3728</v>
      </c>
      <c r="NFS611" s="17">
        <v>44925</v>
      </c>
      <c r="NFT611" s="5" t="s">
        <v>3728</v>
      </c>
      <c r="NFU611" s="17">
        <v>44925</v>
      </c>
      <c r="NFV611" s="5" t="s">
        <v>3728</v>
      </c>
      <c r="NFW611" s="17">
        <v>44925</v>
      </c>
      <c r="NFX611" s="5" t="s">
        <v>3728</v>
      </c>
      <c r="NFY611" s="17">
        <v>44925</v>
      </c>
      <c r="NFZ611" s="5" t="s">
        <v>3728</v>
      </c>
      <c r="NGA611" s="17">
        <v>44925</v>
      </c>
      <c r="NGB611" s="5" t="s">
        <v>3728</v>
      </c>
      <c r="NGC611" s="17">
        <v>44925</v>
      </c>
      <c r="NGD611" s="5" t="s">
        <v>3728</v>
      </c>
      <c r="NGE611" s="17">
        <v>44925</v>
      </c>
      <c r="NGF611" s="5" t="s">
        <v>3728</v>
      </c>
      <c r="NGG611" s="17">
        <v>44925</v>
      </c>
      <c r="NGH611" s="5" t="s">
        <v>3728</v>
      </c>
      <c r="NGI611" s="17">
        <v>44925</v>
      </c>
      <c r="NGJ611" s="5" t="s">
        <v>3728</v>
      </c>
      <c r="NGK611" s="17">
        <v>44925</v>
      </c>
      <c r="NGL611" s="5" t="s">
        <v>3728</v>
      </c>
      <c r="NGM611" s="17">
        <v>44925</v>
      </c>
      <c r="NGN611" s="5" t="s">
        <v>3728</v>
      </c>
      <c r="NGO611" s="17">
        <v>44925</v>
      </c>
      <c r="NGP611" s="5" t="s">
        <v>3728</v>
      </c>
      <c r="NGQ611" s="17">
        <v>44925</v>
      </c>
      <c r="NGR611" s="5" t="s">
        <v>3728</v>
      </c>
      <c r="NGS611" s="17">
        <v>44925</v>
      </c>
      <c r="NGT611" s="5" t="s">
        <v>3728</v>
      </c>
      <c r="NGU611" s="17">
        <v>44925</v>
      </c>
      <c r="NGV611" s="5" t="s">
        <v>3728</v>
      </c>
      <c r="NGW611" s="17">
        <v>44925</v>
      </c>
      <c r="NGX611" s="5" t="s">
        <v>3728</v>
      </c>
      <c r="NGY611" s="17">
        <v>44925</v>
      </c>
      <c r="NGZ611" s="5" t="s">
        <v>3728</v>
      </c>
      <c r="NHA611" s="17">
        <v>44925</v>
      </c>
      <c r="NHB611" s="5" t="s">
        <v>3728</v>
      </c>
      <c r="NHC611" s="17">
        <v>44925</v>
      </c>
      <c r="NHD611" s="5" t="s">
        <v>3728</v>
      </c>
      <c r="NHE611" s="17">
        <v>44925</v>
      </c>
      <c r="NHF611" s="5" t="s">
        <v>3728</v>
      </c>
      <c r="NHG611" s="17">
        <v>44925</v>
      </c>
      <c r="NHH611" s="5" t="s">
        <v>3728</v>
      </c>
      <c r="NHI611" s="17">
        <v>44925</v>
      </c>
      <c r="NHJ611" s="5" t="s">
        <v>3728</v>
      </c>
      <c r="NHK611" s="17">
        <v>44925</v>
      </c>
      <c r="NHL611" s="5" t="s">
        <v>3728</v>
      </c>
      <c r="NHM611" s="17">
        <v>44925</v>
      </c>
      <c r="NHN611" s="5" t="s">
        <v>3728</v>
      </c>
      <c r="NHO611" s="17">
        <v>44925</v>
      </c>
      <c r="NHP611" s="5" t="s">
        <v>3728</v>
      </c>
      <c r="NHQ611" s="17">
        <v>44925</v>
      </c>
      <c r="NHR611" s="5" t="s">
        <v>3728</v>
      </c>
      <c r="NHS611" s="17">
        <v>44925</v>
      </c>
      <c r="NHT611" s="5" t="s">
        <v>3728</v>
      </c>
      <c r="NHU611" s="17">
        <v>44925</v>
      </c>
      <c r="NHV611" s="5" t="s">
        <v>3728</v>
      </c>
      <c r="NHW611" s="17">
        <v>44925</v>
      </c>
      <c r="NHX611" s="5" t="s">
        <v>3728</v>
      </c>
      <c r="NHY611" s="17">
        <v>44925</v>
      </c>
      <c r="NHZ611" s="5" t="s">
        <v>3728</v>
      </c>
      <c r="NIA611" s="17">
        <v>44925</v>
      </c>
      <c r="NIB611" s="5" t="s">
        <v>3728</v>
      </c>
      <c r="NIC611" s="17">
        <v>44925</v>
      </c>
      <c r="NID611" s="5" t="s">
        <v>3728</v>
      </c>
      <c r="NIE611" s="17">
        <v>44925</v>
      </c>
      <c r="NIF611" s="5" t="s">
        <v>3728</v>
      </c>
      <c r="NIG611" s="17">
        <v>44925</v>
      </c>
      <c r="NIH611" s="5" t="s">
        <v>3728</v>
      </c>
      <c r="NII611" s="17">
        <v>44925</v>
      </c>
      <c r="NIJ611" s="5" t="s">
        <v>3728</v>
      </c>
      <c r="NIK611" s="17">
        <v>44925</v>
      </c>
      <c r="NIL611" s="5" t="s">
        <v>3728</v>
      </c>
      <c r="NIM611" s="17">
        <v>44925</v>
      </c>
      <c r="NIN611" s="5" t="s">
        <v>3728</v>
      </c>
      <c r="NIO611" s="17">
        <v>44925</v>
      </c>
      <c r="NIP611" s="5" t="s">
        <v>3728</v>
      </c>
      <c r="NIQ611" s="17">
        <v>44925</v>
      </c>
      <c r="NIR611" s="5" t="s">
        <v>3728</v>
      </c>
      <c r="NIS611" s="17">
        <v>44925</v>
      </c>
      <c r="NIT611" s="5" t="s">
        <v>3728</v>
      </c>
      <c r="NIU611" s="17">
        <v>44925</v>
      </c>
      <c r="NIV611" s="5" t="s">
        <v>3728</v>
      </c>
      <c r="NIW611" s="17">
        <v>44925</v>
      </c>
      <c r="NIX611" s="5" t="s">
        <v>3728</v>
      </c>
      <c r="NIY611" s="17">
        <v>44925</v>
      </c>
      <c r="NIZ611" s="5" t="s">
        <v>3728</v>
      </c>
      <c r="NJA611" s="17">
        <v>44925</v>
      </c>
      <c r="NJB611" s="5" t="s">
        <v>3728</v>
      </c>
      <c r="NJC611" s="17">
        <v>44925</v>
      </c>
      <c r="NJD611" s="5" t="s">
        <v>3728</v>
      </c>
      <c r="NJE611" s="17">
        <v>44925</v>
      </c>
      <c r="NJF611" s="5" t="s">
        <v>3728</v>
      </c>
      <c r="NJG611" s="17">
        <v>44925</v>
      </c>
      <c r="NJH611" s="5" t="s">
        <v>3728</v>
      </c>
      <c r="NJI611" s="17">
        <v>44925</v>
      </c>
      <c r="NJJ611" s="5" t="s">
        <v>3728</v>
      </c>
      <c r="NJK611" s="17">
        <v>44925</v>
      </c>
      <c r="NJL611" s="5" t="s">
        <v>3728</v>
      </c>
      <c r="NJM611" s="17">
        <v>44925</v>
      </c>
      <c r="NJN611" s="5" t="s">
        <v>3728</v>
      </c>
      <c r="NJO611" s="17">
        <v>44925</v>
      </c>
      <c r="NJP611" s="5" t="s">
        <v>3728</v>
      </c>
      <c r="NJQ611" s="17">
        <v>44925</v>
      </c>
      <c r="NJR611" s="5" t="s">
        <v>3728</v>
      </c>
      <c r="NJS611" s="17">
        <v>44925</v>
      </c>
      <c r="NJT611" s="5" t="s">
        <v>3728</v>
      </c>
      <c r="NJU611" s="17">
        <v>44925</v>
      </c>
      <c r="NJV611" s="5" t="s">
        <v>3728</v>
      </c>
      <c r="NJW611" s="17">
        <v>44925</v>
      </c>
      <c r="NJX611" s="5" t="s">
        <v>3728</v>
      </c>
      <c r="NJY611" s="17">
        <v>44925</v>
      </c>
      <c r="NJZ611" s="5" t="s">
        <v>3728</v>
      </c>
      <c r="NKA611" s="17">
        <v>44925</v>
      </c>
      <c r="NKB611" s="5" t="s">
        <v>3728</v>
      </c>
      <c r="NKC611" s="17">
        <v>44925</v>
      </c>
      <c r="NKD611" s="5" t="s">
        <v>3728</v>
      </c>
      <c r="NKE611" s="17">
        <v>44925</v>
      </c>
      <c r="NKF611" s="5" t="s">
        <v>3728</v>
      </c>
      <c r="NKG611" s="17">
        <v>44925</v>
      </c>
      <c r="NKH611" s="5" t="s">
        <v>3728</v>
      </c>
      <c r="NKI611" s="17">
        <v>44925</v>
      </c>
      <c r="NKJ611" s="5" t="s">
        <v>3728</v>
      </c>
      <c r="NKK611" s="17">
        <v>44925</v>
      </c>
      <c r="NKL611" s="5" t="s">
        <v>3728</v>
      </c>
      <c r="NKM611" s="17">
        <v>44925</v>
      </c>
      <c r="NKN611" s="5" t="s">
        <v>3728</v>
      </c>
      <c r="NKO611" s="17">
        <v>44925</v>
      </c>
      <c r="NKP611" s="5" t="s">
        <v>3728</v>
      </c>
      <c r="NKQ611" s="17">
        <v>44925</v>
      </c>
      <c r="NKR611" s="5" t="s">
        <v>3728</v>
      </c>
      <c r="NKS611" s="17">
        <v>44925</v>
      </c>
      <c r="NKT611" s="5" t="s">
        <v>3728</v>
      </c>
      <c r="NKU611" s="17">
        <v>44925</v>
      </c>
      <c r="NKV611" s="5" t="s">
        <v>3728</v>
      </c>
      <c r="NKW611" s="17">
        <v>44925</v>
      </c>
      <c r="NKX611" s="5" t="s">
        <v>3728</v>
      </c>
      <c r="NKY611" s="17">
        <v>44925</v>
      </c>
      <c r="NKZ611" s="5" t="s">
        <v>3728</v>
      </c>
      <c r="NLA611" s="17">
        <v>44925</v>
      </c>
      <c r="NLB611" s="5" t="s">
        <v>3728</v>
      </c>
      <c r="NLC611" s="17">
        <v>44925</v>
      </c>
      <c r="NLD611" s="5" t="s">
        <v>3728</v>
      </c>
      <c r="NLE611" s="17">
        <v>44925</v>
      </c>
      <c r="NLF611" s="5" t="s">
        <v>3728</v>
      </c>
      <c r="NLG611" s="17">
        <v>44925</v>
      </c>
      <c r="NLH611" s="5" t="s">
        <v>3728</v>
      </c>
      <c r="NLI611" s="17">
        <v>44925</v>
      </c>
      <c r="NLJ611" s="5" t="s">
        <v>3728</v>
      </c>
      <c r="NLK611" s="17">
        <v>44925</v>
      </c>
      <c r="NLL611" s="5" t="s">
        <v>3728</v>
      </c>
      <c r="NLM611" s="17">
        <v>44925</v>
      </c>
      <c r="NLN611" s="5" t="s">
        <v>3728</v>
      </c>
      <c r="NLO611" s="17">
        <v>44925</v>
      </c>
      <c r="NLP611" s="5" t="s">
        <v>3728</v>
      </c>
      <c r="NLQ611" s="17">
        <v>44925</v>
      </c>
      <c r="NLR611" s="5" t="s">
        <v>3728</v>
      </c>
      <c r="NLS611" s="17">
        <v>44925</v>
      </c>
      <c r="NLT611" s="5" t="s">
        <v>3728</v>
      </c>
      <c r="NLU611" s="17">
        <v>44925</v>
      </c>
      <c r="NLV611" s="5" t="s">
        <v>3728</v>
      </c>
      <c r="NLW611" s="17">
        <v>44925</v>
      </c>
      <c r="NLX611" s="5" t="s">
        <v>3728</v>
      </c>
      <c r="NLY611" s="17">
        <v>44925</v>
      </c>
      <c r="NLZ611" s="5" t="s">
        <v>3728</v>
      </c>
      <c r="NMA611" s="17">
        <v>44925</v>
      </c>
      <c r="NMB611" s="5" t="s">
        <v>3728</v>
      </c>
      <c r="NMC611" s="17">
        <v>44925</v>
      </c>
      <c r="NMD611" s="5" t="s">
        <v>3728</v>
      </c>
      <c r="NME611" s="17">
        <v>44925</v>
      </c>
      <c r="NMF611" s="5" t="s">
        <v>3728</v>
      </c>
      <c r="NMG611" s="17">
        <v>44925</v>
      </c>
      <c r="NMH611" s="5" t="s">
        <v>3728</v>
      </c>
      <c r="NMI611" s="17">
        <v>44925</v>
      </c>
      <c r="NMJ611" s="5" t="s">
        <v>3728</v>
      </c>
      <c r="NMK611" s="17">
        <v>44925</v>
      </c>
      <c r="NML611" s="5" t="s">
        <v>3728</v>
      </c>
      <c r="NMM611" s="17">
        <v>44925</v>
      </c>
      <c r="NMN611" s="5" t="s">
        <v>3728</v>
      </c>
      <c r="NMO611" s="17">
        <v>44925</v>
      </c>
      <c r="NMP611" s="5" t="s">
        <v>3728</v>
      </c>
      <c r="NMQ611" s="17">
        <v>44925</v>
      </c>
      <c r="NMR611" s="5" t="s">
        <v>3728</v>
      </c>
      <c r="NMS611" s="17">
        <v>44925</v>
      </c>
      <c r="NMT611" s="5" t="s">
        <v>3728</v>
      </c>
      <c r="NMU611" s="17">
        <v>44925</v>
      </c>
      <c r="NMV611" s="5" t="s">
        <v>3728</v>
      </c>
      <c r="NMW611" s="17">
        <v>44925</v>
      </c>
      <c r="NMX611" s="5" t="s">
        <v>3728</v>
      </c>
      <c r="NMY611" s="17">
        <v>44925</v>
      </c>
      <c r="NMZ611" s="5" t="s">
        <v>3728</v>
      </c>
      <c r="NNA611" s="17">
        <v>44925</v>
      </c>
      <c r="NNB611" s="5" t="s">
        <v>3728</v>
      </c>
      <c r="NNC611" s="17">
        <v>44925</v>
      </c>
      <c r="NND611" s="5" t="s">
        <v>3728</v>
      </c>
      <c r="NNE611" s="17">
        <v>44925</v>
      </c>
      <c r="NNF611" s="5" t="s">
        <v>3728</v>
      </c>
      <c r="NNG611" s="17">
        <v>44925</v>
      </c>
      <c r="NNH611" s="5" t="s">
        <v>3728</v>
      </c>
      <c r="NNI611" s="17">
        <v>44925</v>
      </c>
      <c r="NNJ611" s="5" t="s">
        <v>3728</v>
      </c>
      <c r="NNK611" s="17">
        <v>44925</v>
      </c>
      <c r="NNL611" s="5" t="s">
        <v>3728</v>
      </c>
      <c r="NNM611" s="17">
        <v>44925</v>
      </c>
      <c r="NNN611" s="5" t="s">
        <v>3728</v>
      </c>
      <c r="NNO611" s="17">
        <v>44925</v>
      </c>
      <c r="NNP611" s="5" t="s">
        <v>3728</v>
      </c>
      <c r="NNQ611" s="17">
        <v>44925</v>
      </c>
      <c r="NNR611" s="5" t="s">
        <v>3728</v>
      </c>
      <c r="NNS611" s="17">
        <v>44925</v>
      </c>
      <c r="NNT611" s="5" t="s">
        <v>3728</v>
      </c>
      <c r="NNU611" s="17">
        <v>44925</v>
      </c>
      <c r="NNV611" s="5" t="s">
        <v>3728</v>
      </c>
      <c r="NNW611" s="17">
        <v>44925</v>
      </c>
      <c r="NNX611" s="5" t="s">
        <v>3728</v>
      </c>
      <c r="NNY611" s="17">
        <v>44925</v>
      </c>
      <c r="NNZ611" s="5" t="s">
        <v>3728</v>
      </c>
      <c r="NOA611" s="17">
        <v>44925</v>
      </c>
      <c r="NOB611" s="5" t="s">
        <v>3728</v>
      </c>
      <c r="NOC611" s="17">
        <v>44925</v>
      </c>
      <c r="NOD611" s="5" t="s">
        <v>3728</v>
      </c>
      <c r="NOE611" s="17">
        <v>44925</v>
      </c>
      <c r="NOF611" s="5" t="s">
        <v>3728</v>
      </c>
      <c r="NOG611" s="17">
        <v>44925</v>
      </c>
      <c r="NOH611" s="5" t="s">
        <v>3728</v>
      </c>
      <c r="NOI611" s="17">
        <v>44925</v>
      </c>
      <c r="NOJ611" s="5" t="s">
        <v>3728</v>
      </c>
      <c r="NOK611" s="17">
        <v>44925</v>
      </c>
      <c r="NOL611" s="5" t="s">
        <v>3728</v>
      </c>
      <c r="NOM611" s="17">
        <v>44925</v>
      </c>
      <c r="NON611" s="5" t="s">
        <v>3728</v>
      </c>
      <c r="NOO611" s="17">
        <v>44925</v>
      </c>
      <c r="NOP611" s="5" t="s">
        <v>3728</v>
      </c>
      <c r="NOQ611" s="17">
        <v>44925</v>
      </c>
      <c r="NOR611" s="5" t="s">
        <v>3728</v>
      </c>
      <c r="NOS611" s="17">
        <v>44925</v>
      </c>
      <c r="NOT611" s="5" t="s">
        <v>3728</v>
      </c>
      <c r="NOU611" s="17">
        <v>44925</v>
      </c>
      <c r="NOV611" s="5" t="s">
        <v>3728</v>
      </c>
      <c r="NOW611" s="17">
        <v>44925</v>
      </c>
      <c r="NOX611" s="5" t="s">
        <v>3728</v>
      </c>
      <c r="NOY611" s="17">
        <v>44925</v>
      </c>
      <c r="NOZ611" s="5" t="s">
        <v>3728</v>
      </c>
      <c r="NPA611" s="17">
        <v>44925</v>
      </c>
      <c r="NPB611" s="5" t="s">
        <v>3728</v>
      </c>
      <c r="NPC611" s="17">
        <v>44925</v>
      </c>
      <c r="NPD611" s="5" t="s">
        <v>3728</v>
      </c>
      <c r="NPE611" s="17">
        <v>44925</v>
      </c>
      <c r="NPF611" s="5" t="s">
        <v>3728</v>
      </c>
      <c r="NPG611" s="17">
        <v>44925</v>
      </c>
      <c r="NPH611" s="5" t="s">
        <v>3728</v>
      </c>
      <c r="NPI611" s="17">
        <v>44925</v>
      </c>
      <c r="NPJ611" s="5" t="s">
        <v>3728</v>
      </c>
      <c r="NPK611" s="17">
        <v>44925</v>
      </c>
      <c r="NPL611" s="5" t="s">
        <v>3728</v>
      </c>
      <c r="NPM611" s="17">
        <v>44925</v>
      </c>
      <c r="NPN611" s="5" t="s">
        <v>3728</v>
      </c>
      <c r="NPO611" s="17">
        <v>44925</v>
      </c>
      <c r="NPP611" s="5" t="s">
        <v>3728</v>
      </c>
      <c r="NPQ611" s="17">
        <v>44925</v>
      </c>
      <c r="NPR611" s="5" t="s">
        <v>3728</v>
      </c>
      <c r="NPS611" s="17">
        <v>44925</v>
      </c>
      <c r="NPT611" s="5" t="s">
        <v>3728</v>
      </c>
      <c r="NPU611" s="17">
        <v>44925</v>
      </c>
      <c r="NPV611" s="5" t="s">
        <v>3728</v>
      </c>
      <c r="NPW611" s="17">
        <v>44925</v>
      </c>
      <c r="NPX611" s="5" t="s">
        <v>3728</v>
      </c>
      <c r="NPY611" s="17">
        <v>44925</v>
      </c>
      <c r="NPZ611" s="5" t="s">
        <v>3728</v>
      </c>
      <c r="NQA611" s="17">
        <v>44925</v>
      </c>
      <c r="NQB611" s="5" t="s">
        <v>3728</v>
      </c>
      <c r="NQC611" s="17">
        <v>44925</v>
      </c>
      <c r="NQD611" s="5" t="s">
        <v>3728</v>
      </c>
      <c r="NQE611" s="17">
        <v>44925</v>
      </c>
      <c r="NQF611" s="5" t="s">
        <v>3728</v>
      </c>
      <c r="NQG611" s="17">
        <v>44925</v>
      </c>
      <c r="NQH611" s="5" t="s">
        <v>3728</v>
      </c>
      <c r="NQI611" s="17">
        <v>44925</v>
      </c>
      <c r="NQJ611" s="5" t="s">
        <v>3728</v>
      </c>
      <c r="NQK611" s="17">
        <v>44925</v>
      </c>
      <c r="NQL611" s="5" t="s">
        <v>3728</v>
      </c>
      <c r="NQM611" s="17">
        <v>44925</v>
      </c>
      <c r="NQN611" s="5" t="s">
        <v>3728</v>
      </c>
      <c r="NQO611" s="17">
        <v>44925</v>
      </c>
      <c r="NQP611" s="5" t="s">
        <v>3728</v>
      </c>
      <c r="NQQ611" s="17">
        <v>44925</v>
      </c>
      <c r="NQR611" s="5" t="s">
        <v>3728</v>
      </c>
      <c r="NQS611" s="17">
        <v>44925</v>
      </c>
      <c r="NQT611" s="5" t="s">
        <v>3728</v>
      </c>
      <c r="NQU611" s="17">
        <v>44925</v>
      </c>
      <c r="NQV611" s="5" t="s">
        <v>3728</v>
      </c>
      <c r="NQW611" s="17">
        <v>44925</v>
      </c>
      <c r="NQX611" s="5" t="s">
        <v>3728</v>
      </c>
      <c r="NQY611" s="17">
        <v>44925</v>
      </c>
      <c r="NQZ611" s="5" t="s">
        <v>3728</v>
      </c>
      <c r="NRA611" s="17">
        <v>44925</v>
      </c>
      <c r="NRB611" s="5" t="s">
        <v>3728</v>
      </c>
      <c r="NRC611" s="17">
        <v>44925</v>
      </c>
      <c r="NRD611" s="5" t="s">
        <v>3728</v>
      </c>
      <c r="NRE611" s="17">
        <v>44925</v>
      </c>
      <c r="NRF611" s="5" t="s">
        <v>3728</v>
      </c>
      <c r="NRG611" s="17">
        <v>44925</v>
      </c>
      <c r="NRH611" s="5" t="s">
        <v>3728</v>
      </c>
      <c r="NRI611" s="17">
        <v>44925</v>
      </c>
      <c r="NRJ611" s="5" t="s">
        <v>3728</v>
      </c>
      <c r="NRK611" s="17">
        <v>44925</v>
      </c>
      <c r="NRL611" s="5" t="s">
        <v>3728</v>
      </c>
      <c r="NRM611" s="17">
        <v>44925</v>
      </c>
      <c r="NRN611" s="5" t="s">
        <v>3728</v>
      </c>
      <c r="NRO611" s="17">
        <v>44925</v>
      </c>
      <c r="NRP611" s="5" t="s">
        <v>3728</v>
      </c>
      <c r="NRQ611" s="17">
        <v>44925</v>
      </c>
      <c r="NRR611" s="5" t="s">
        <v>3728</v>
      </c>
      <c r="NRS611" s="17">
        <v>44925</v>
      </c>
      <c r="NRT611" s="5" t="s">
        <v>3728</v>
      </c>
      <c r="NRU611" s="17">
        <v>44925</v>
      </c>
      <c r="NRV611" s="5" t="s">
        <v>3728</v>
      </c>
      <c r="NRW611" s="17">
        <v>44925</v>
      </c>
      <c r="NRX611" s="5" t="s">
        <v>3728</v>
      </c>
      <c r="NRY611" s="17">
        <v>44925</v>
      </c>
      <c r="NRZ611" s="5" t="s">
        <v>3728</v>
      </c>
      <c r="NSA611" s="17">
        <v>44925</v>
      </c>
      <c r="NSB611" s="5" t="s">
        <v>3728</v>
      </c>
      <c r="NSC611" s="17">
        <v>44925</v>
      </c>
      <c r="NSD611" s="5" t="s">
        <v>3728</v>
      </c>
      <c r="NSE611" s="17">
        <v>44925</v>
      </c>
      <c r="NSF611" s="5" t="s">
        <v>3728</v>
      </c>
      <c r="NSG611" s="17">
        <v>44925</v>
      </c>
      <c r="NSH611" s="5" t="s">
        <v>3728</v>
      </c>
      <c r="NSI611" s="17">
        <v>44925</v>
      </c>
      <c r="NSJ611" s="5" t="s">
        <v>3728</v>
      </c>
      <c r="NSK611" s="17">
        <v>44925</v>
      </c>
      <c r="NSL611" s="5" t="s">
        <v>3728</v>
      </c>
      <c r="NSM611" s="17">
        <v>44925</v>
      </c>
      <c r="NSN611" s="5" t="s">
        <v>3728</v>
      </c>
      <c r="NSO611" s="17">
        <v>44925</v>
      </c>
      <c r="NSP611" s="5" t="s">
        <v>3728</v>
      </c>
      <c r="NSQ611" s="17">
        <v>44925</v>
      </c>
      <c r="NSR611" s="5" t="s">
        <v>3728</v>
      </c>
      <c r="NSS611" s="17">
        <v>44925</v>
      </c>
      <c r="NST611" s="5" t="s">
        <v>3728</v>
      </c>
      <c r="NSU611" s="17">
        <v>44925</v>
      </c>
      <c r="NSV611" s="5" t="s">
        <v>3728</v>
      </c>
      <c r="NSW611" s="17">
        <v>44925</v>
      </c>
      <c r="NSX611" s="5" t="s">
        <v>3728</v>
      </c>
      <c r="NSY611" s="17">
        <v>44925</v>
      </c>
      <c r="NSZ611" s="5" t="s">
        <v>3728</v>
      </c>
      <c r="NTA611" s="17">
        <v>44925</v>
      </c>
      <c r="NTB611" s="5" t="s">
        <v>3728</v>
      </c>
      <c r="NTC611" s="17">
        <v>44925</v>
      </c>
      <c r="NTD611" s="5" t="s">
        <v>3728</v>
      </c>
      <c r="NTE611" s="17">
        <v>44925</v>
      </c>
      <c r="NTF611" s="5" t="s">
        <v>3728</v>
      </c>
      <c r="NTG611" s="17">
        <v>44925</v>
      </c>
      <c r="NTH611" s="5" t="s">
        <v>3728</v>
      </c>
      <c r="NTI611" s="17">
        <v>44925</v>
      </c>
      <c r="NTJ611" s="5" t="s">
        <v>3728</v>
      </c>
      <c r="NTK611" s="17">
        <v>44925</v>
      </c>
      <c r="NTL611" s="5" t="s">
        <v>3728</v>
      </c>
      <c r="NTM611" s="17">
        <v>44925</v>
      </c>
      <c r="NTN611" s="5" t="s">
        <v>3728</v>
      </c>
      <c r="NTO611" s="17">
        <v>44925</v>
      </c>
      <c r="NTP611" s="5" t="s">
        <v>3728</v>
      </c>
      <c r="NTQ611" s="17">
        <v>44925</v>
      </c>
      <c r="NTR611" s="5" t="s">
        <v>3728</v>
      </c>
      <c r="NTS611" s="17">
        <v>44925</v>
      </c>
      <c r="NTT611" s="5" t="s">
        <v>3728</v>
      </c>
      <c r="NTU611" s="17">
        <v>44925</v>
      </c>
      <c r="NTV611" s="5" t="s">
        <v>3728</v>
      </c>
      <c r="NTW611" s="17">
        <v>44925</v>
      </c>
      <c r="NTX611" s="5" t="s">
        <v>3728</v>
      </c>
      <c r="NTY611" s="17">
        <v>44925</v>
      </c>
      <c r="NTZ611" s="5" t="s">
        <v>3728</v>
      </c>
      <c r="NUA611" s="17">
        <v>44925</v>
      </c>
      <c r="NUB611" s="5" t="s">
        <v>3728</v>
      </c>
      <c r="NUC611" s="17">
        <v>44925</v>
      </c>
      <c r="NUD611" s="5" t="s">
        <v>3728</v>
      </c>
      <c r="NUE611" s="17">
        <v>44925</v>
      </c>
      <c r="NUF611" s="5" t="s">
        <v>3728</v>
      </c>
      <c r="NUG611" s="17">
        <v>44925</v>
      </c>
      <c r="NUH611" s="5" t="s">
        <v>3728</v>
      </c>
      <c r="NUI611" s="17">
        <v>44925</v>
      </c>
      <c r="NUJ611" s="5" t="s">
        <v>3728</v>
      </c>
      <c r="NUK611" s="17">
        <v>44925</v>
      </c>
      <c r="NUL611" s="5" t="s">
        <v>3728</v>
      </c>
      <c r="NUM611" s="17">
        <v>44925</v>
      </c>
      <c r="NUN611" s="5" t="s">
        <v>3728</v>
      </c>
      <c r="NUO611" s="17">
        <v>44925</v>
      </c>
      <c r="NUP611" s="5" t="s">
        <v>3728</v>
      </c>
      <c r="NUQ611" s="17">
        <v>44925</v>
      </c>
      <c r="NUR611" s="5" t="s">
        <v>3728</v>
      </c>
      <c r="NUS611" s="17">
        <v>44925</v>
      </c>
      <c r="NUT611" s="5" t="s">
        <v>3728</v>
      </c>
      <c r="NUU611" s="17">
        <v>44925</v>
      </c>
      <c r="NUV611" s="5" t="s">
        <v>3728</v>
      </c>
      <c r="NUW611" s="17">
        <v>44925</v>
      </c>
      <c r="NUX611" s="5" t="s">
        <v>3728</v>
      </c>
      <c r="NUY611" s="17">
        <v>44925</v>
      </c>
      <c r="NUZ611" s="5" t="s">
        <v>3728</v>
      </c>
      <c r="NVA611" s="17">
        <v>44925</v>
      </c>
      <c r="NVB611" s="5" t="s">
        <v>3728</v>
      </c>
      <c r="NVC611" s="17">
        <v>44925</v>
      </c>
      <c r="NVD611" s="5" t="s">
        <v>3728</v>
      </c>
      <c r="NVE611" s="17">
        <v>44925</v>
      </c>
      <c r="NVF611" s="5" t="s">
        <v>3728</v>
      </c>
      <c r="NVG611" s="17">
        <v>44925</v>
      </c>
      <c r="NVH611" s="5" t="s">
        <v>3728</v>
      </c>
      <c r="NVI611" s="17">
        <v>44925</v>
      </c>
      <c r="NVJ611" s="5" t="s">
        <v>3728</v>
      </c>
      <c r="NVK611" s="17">
        <v>44925</v>
      </c>
      <c r="NVL611" s="5" t="s">
        <v>3728</v>
      </c>
      <c r="NVM611" s="17">
        <v>44925</v>
      </c>
      <c r="NVN611" s="5" t="s">
        <v>3728</v>
      </c>
      <c r="NVO611" s="17">
        <v>44925</v>
      </c>
      <c r="NVP611" s="5" t="s">
        <v>3728</v>
      </c>
      <c r="NVQ611" s="17">
        <v>44925</v>
      </c>
      <c r="NVR611" s="5" t="s">
        <v>3728</v>
      </c>
      <c r="NVS611" s="17">
        <v>44925</v>
      </c>
      <c r="NVT611" s="5" t="s">
        <v>3728</v>
      </c>
      <c r="NVU611" s="17">
        <v>44925</v>
      </c>
      <c r="NVV611" s="5" t="s">
        <v>3728</v>
      </c>
      <c r="NVW611" s="17">
        <v>44925</v>
      </c>
      <c r="NVX611" s="5" t="s">
        <v>3728</v>
      </c>
      <c r="NVY611" s="17">
        <v>44925</v>
      </c>
      <c r="NVZ611" s="5" t="s">
        <v>3728</v>
      </c>
      <c r="NWA611" s="17">
        <v>44925</v>
      </c>
      <c r="NWB611" s="5" t="s">
        <v>3728</v>
      </c>
      <c r="NWC611" s="17">
        <v>44925</v>
      </c>
      <c r="NWD611" s="5" t="s">
        <v>3728</v>
      </c>
      <c r="NWE611" s="17">
        <v>44925</v>
      </c>
      <c r="NWF611" s="5" t="s">
        <v>3728</v>
      </c>
      <c r="NWG611" s="17">
        <v>44925</v>
      </c>
      <c r="NWH611" s="5" t="s">
        <v>3728</v>
      </c>
      <c r="NWI611" s="17">
        <v>44925</v>
      </c>
      <c r="NWJ611" s="5" t="s">
        <v>3728</v>
      </c>
      <c r="NWK611" s="17">
        <v>44925</v>
      </c>
      <c r="NWL611" s="5" t="s">
        <v>3728</v>
      </c>
      <c r="NWM611" s="17">
        <v>44925</v>
      </c>
      <c r="NWN611" s="5" t="s">
        <v>3728</v>
      </c>
      <c r="NWO611" s="17">
        <v>44925</v>
      </c>
      <c r="NWP611" s="5" t="s">
        <v>3728</v>
      </c>
      <c r="NWQ611" s="17">
        <v>44925</v>
      </c>
      <c r="NWR611" s="5" t="s">
        <v>3728</v>
      </c>
      <c r="NWS611" s="17">
        <v>44925</v>
      </c>
      <c r="NWT611" s="5" t="s">
        <v>3728</v>
      </c>
      <c r="NWU611" s="17">
        <v>44925</v>
      </c>
      <c r="NWV611" s="5" t="s">
        <v>3728</v>
      </c>
      <c r="NWW611" s="17">
        <v>44925</v>
      </c>
      <c r="NWX611" s="5" t="s">
        <v>3728</v>
      </c>
      <c r="NWY611" s="17">
        <v>44925</v>
      </c>
      <c r="NWZ611" s="5" t="s">
        <v>3728</v>
      </c>
      <c r="NXA611" s="17">
        <v>44925</v>
      </c>
      <c r="NXB611" s="5" t="s">
        <v>3728</v>
      </c>
      <c r="NXC611" s="17">
        <v>44925</v>
      </c>
      <c r="NXD611" s="5" t="s">
        <v>3728</v>
      </c>
      <c r="NXE611" s="17">
        <v>44925</v>
      </c>
      <c r="NXF611" s="5" t="s">
        <v>3728</v>
      </c>
      <c r="NXG611" s="17">
        <v>44925</v>
      </c>
      <c r="NXH611" s="5" t="s">
        <v>3728</v>
      </c>
      <c r="NXI611" s="17">
        <v>44925</v>
      </c>
      <c r="NXJ611" s="5" t="s">
        <v>3728</v>
      </c>
      <c r="NXK611" s="17">
        <v>44925</v>
      </c>
      <c r="NXL611" s="5" t="s">
        <v>3728</v>
      </c>
      <c r="NXM611" s="17">
        <v>44925</v>
      </c>
      <c r="NXN611" s="5" t="s">
        <v>3728</v>
      </c>
      <c r="NXO611" s="17">
        <v>44925</v>
      </c>
      <c r="NXP611" s="5" t="s">
        <v>3728</v>
      </c>
      <c r="NXQ611" s="17">
        <v>44925</v>
      </c>
      <c r="NXR611" s="5" t="s">
        <v>3728</v>
      </c>
      <c r="NXS611" s="17">
        <v>44925</v>
      </c>
      <c r="NXT611" s="5" t="s">
        <v>3728</v>
      </c>
      <c r="NXU611" s="17">
        <v>44925</v>
      </c>
      <c r="NXV611" s="5" t="s">
        <v>3728</v>
      </c>
      <c r="NXW611" s="17">
        <v>44925</v>
      </c>
      <c r="NXX611" s="5" t="s">
        <v>3728</v>
      </c>
      <c r="NXY611" s="17">
        <v>44925</v>
      </c>
      <c r="NXZ611" s="5" t="s">
        <v>3728</v>
      </c>
      <c r="NYA611" s="17">
        <v>44925</v>
      </c>
      <c r="NYB611" s="5" t="s">
        <v>3728</v>
      </c>
      <c r="NYC611" s="17">
        <v>44925</v>
      </c>
      <c r="NYD611" s="5" t="s">
        <v>3728</v>
      </c>
      <c r="NYE611" s="17">
        <v>44925</v>
      </c>
      <c r="NYF611" s="5" t="s">
        <v>3728</v>
      </c>
      <c r="NYG611" s="17">
        <v>44925</v>
      </c>
      <c r="NYH611" s="5" t="s">
        <v>3728</v>
      </c>
      <c r="NYI611" s="17">
        <v>44925</v>
      </c>
      <c r="NYJ611" s="5" t="s">
        <v>3728</v>
      </c>
      <c r="NYK611" s="17">
        <v>44925</v>
      </c>
      <c r="NYL611" s="5" t="s">
        <v>3728</v>
      </c>
      <c r="NYM611" s="17">
        <v>44925</v>
      </c>
      <c r="NYN611" s="5" t="s">
        <v>3728</v>
      </c>
      <c r="NYO611" s="17">
        <v>44925</v>
      </c>
      <c r="NYP611" s="5" t="s">
        <v>3728</v>
      </c>
      <c r="NYQ611" s="17">
        <v>44925</v>
      </c>
      <c r="NYR611" s="5" t="s">
        <v>3728</v>
      </c>
      <c r="NYS611" s="17">
        <v>44925</v>
      </c>
      <c r="NYT611" s="5" t="s">
        <v>3728</v>
      </c>
      <c r="NYU611" s="17">
        <v>44925</v>
      </c>
      <c r="NYV611" s="5" t="s">
        <v>3728</v>
      </c>
      <c r="NYW611" s="17">
        <v>44925</v>
      </c>
      <c r="NYX611" s="5" t="s">
        <v>3728</v>
      </c>
      <c r="NYY611" s="17">
        <v>44925</v>
      </c>
      <c r="NYZ611" s="5" t="s">
        <v>3728</v>
      </c>
      <c r="NZA611" s="17">
        <v>44925</v>
      </c>
      <c r="NZB611" s="5" t="s">
        <v>3728</v>
      </c>
      <c r="NZC611" s="17">
        <v>44925</v>
      </c>
      <c r="NZD611" s="5" t="s">
        <v>3728</v>
      </c>
      <c r="NZE611" s="17">
        <v>44925</v>
      </c>
      <c r="NZF611" s="5" t="s">
        <v>3728</v>
      </c>
      <c r="NZG611" s="17">
        <v>44925</v>
      </c>
      <c r="NZH611" s="5" t="s">
        <v>3728</v>
      </c>
      <c r="NZI611" s="17">
        <v>44925</v>
      </c>
      <c r="NZJ611" s="5" t="s">
        <v>3728</v>
      </c>
      <c r="NZK611" s="17">
        <v>44925</v>
      </c>
      <c r="NZL611" s="5" t="s">
        <v>3728</v>
      </c>
      <c r="NZM611" s="17">
        <v>44925</v>
      </c>
      <c r="NZN611" s="5" t="s">
        <v>3728</v>
      </c>
      <c r="NZO611" s="17">
        <v>44925</v>
      </c>
      <c r="NZP611" s="5" t="s">
        <v>3728</v>
      </c>
      <c r="NZQ611" s="17">
        <v>44925</v>
      </c>
      <c r="NZR611" s="5" t="s">
        <v>3728</v>
      </c>
      <c r="NZS611" s="17">
        <v>44925</v>
      </c>
      <c r="NZT611" s="5" t="s">
        <v>3728</v>
      </c>
      <c r="NZU611" s="17">
        <v>44925</v>
      </c>
      <c r="NZV611" s="5" t="s">
        <v>3728</v>
      </c>
      <c r="NZW611" s="17">
        <v>44925</v>
      </c>
      <c r="NZX611" s="5" t="s">
        <v>3728</v>
      </c>
      <c r="NZY611" s="17">
        <v>44925</v>
      </c>
      <c r="NZZ611" s="5" t="s">
        <v>3728</v>
      </c>
      <c r="OAA611" s="17">
        <v>44925</v>
      </c>
      <c r="OAB611" s="5" t="s">
        <v>3728</v>
      </c>
      <c r="OAC611" s="17">
        <v>44925</v>
      </c>
      <c r="OAD611" s="5" t="s">
        <v>3728</v>
      </c>
      <c r="OAE611" s="17">
        <v>44925</v>
      </c>
      <c r="OAF611" s="5" t="s">
        <v>3728</v>
      </c>
      <c r="OAG611" s="17">
        <v>44925</v>
      </c>
      <c r="OAH611" s="5" t="s">
        <v>3728</v>
      </c>
      <c r="OAI611" s="17">
        <v>44925</v>
      </c>
      <c r="OAJ611" s="5" t="s">
        <v>3728</v>
      </c>
      <c r="OAK611" s="17">
        <v>44925</v>
      </c>
      <c r="OAL611" s="5" t="s">
        <v>3728</v>
      </c>
      <c r="OAM611" s="17">
        <v>44925</v>
      </c>
      <c r="OAN611" s="5" t="s">
        <v>3728</v>
      </c>
      <c r="OAO611" s="17">
        <v>44925</v>
      </c>
      <c r="OAP611" s="5" t="s">
        <v>3728</v>
      </c>
      <c r="OAQ611" s="17">
        <v>44925</v>
      </c>
      <c r="OAR611" s="5" t="s">
        <v>3728</v>
      </c>
      <c r="OAS611" s="17">
        <v>44925</v>
      </c>
      <c r="OAT611" s="5" t="s">
        <v>3728</v>
      </c>
      <c r="OAU611" s="17">
        <v>44925</v>
      </c>
      <c r="OAV611" s="5" t="s">
        <v>3728</v>
      </c>
      <c r="OAW611" s="17">
        <v>44925</v>
      </c>
      <c r="OAX611" s="5" t="s">
        <v>3728</v>
      </c>
      <c r="OAY611" s="17">
        <v>44925</v>
      </c>
      <c r="OAZ611" s="5" t="s">
        <v>3728</v>
      </c>
      <c r="OBA611" s="17">
        <v>44925</v>
      </c>
      <c r="OBB611" s="5" t="s">
        <v>3728</v>
      </c>
      <c r="OBC611" s="17">
        <v>44925</v>
      </c>
      <c r="OBD611" s="5" t="s">
        <v>3728</v>
      </c>
      <c r="OBE611" s="17">
        <v>44925</v>
      </c>
      <c r="OBF611" s="5" t="s">
        <v>3728</v>
      </c>
      <c r="OBG611" s="17">
        <v>44925</v>
      </c>
      <c r="OBH611" s="5" t="s">
        <v>3728</v>
      </c>
      <c r="OBI611" s="17">
        <v>44925</v>
      </c>
      <c r="OBJ611" s="5" t="s">
        <v>3728</v>
      </c>
      <c r="OBK611" s="17">
        <v>44925</v>
      </c>
      <c r="OBL611" s="5" t="s">
        <v>3728</v>
      </c>
      <c r="OBM611" s="17">
        <v>44925</v>
      </c>
      <c r="OBN611" s="5" t="s">
        <v>3728</v>
      </c>
      <c r="OBO611" s="17">
        <v>44925</v>
      </c>
      <c r="OBP611" s="5" t="s">
        <v>3728</v>
      </c>
      <c r="OBQ611" s="17">
        <v>44925</v>
      </c>
      <c r="OBR611" s="5" t="s">
        <v>3728</v>
      </c>
      <c r="OBS611" s="17">
        <v>44925</v>
      </c>
      <c r="OBT611" s="5" t="s">
        <v>3728</v>
      </c>
      <c r="OBU611" s="17">
        <v>44925</v>
      </c>
      <c r="OBV611" s="5" t="s">
        <v>3728</v>
      </c>
      <c r="OBW611" s="17">
        <v>44925</v>
      </c>
      <c r="OBX611" s="5" t="s">
        <v>3728</v>
      </c>
      <c r="OBY611" s="17">
        <v>44925</v>
      </c>
      <c r="OBZ611" s="5" t="s">
        <v>3728</v>
      </c>
      <c r="OCA611" s="17">
        <v>44925</v>
      </c>
      <c r="OCB611" s="5" t="s">
        <v>3728</v>
      </c>
      <c r="OCC611" s="17">
        <v>44925</v>
      </c>
      <c r="OCD611" s="5" t="s">
        <v>3728</v>
      </c>
      <c r="OCE611" s="17">
        <v>44925</v>
      </c>
      <c r="OCF611" s="5" t="s">
        <v>3728</v>
      </c>
      <c r="OCG611" s="17">
        <v>44925</v>
      </c>
      <c r="OCH611" s="5" t="s">
        <v>3728</v>
      </c>
      <c r="OCI611" s="17">
        <v>44925</v>
      </c>
      <c r="OCJ611" s="5" t="s">
        <v>3728</v>
      </c>
      <c r="OCK611" s="17">
        <v>44925</v>
      </c>
      <c r="OCL611" s="5" t="s">
        <v>3728</v>
      </c>
      <c r="OCM611" s="17">
        <v>44925</v>
      </c>
      <c r="OCN611" s="5" t="s">
        <v>3728</v>
      </c>
      <c r="OCO611" s="17">
        <v>44925</v>
      </c>
      <c r="OCP611" s="5" t="s">
        <v>3728</v>
      </c>
      <c r="OCQ611" s="17">
        <v>44925</v>
      </c>
      <c r="OCR611" s="5" t="s">
        <v>3728</v>
      </c>
      <c r="OCS611" s="17">
        <v>44925</v>
      </c>
      <c r="OCT611" s="5" t="s">
        <v>3728</v>
      </c>
      <c r="OCU611" s="17">
        <v>44925</v>
      </c>
      <c r="OCV611" s="5" t="s">
        <v>3728</v>
      </c>
      <c r="OCW611" s="17">
        <v>44925</v>
      </c>
      <c r="OCX611" s="5" t="s">
        <v>3728</v>
      </c>
      <c r="OCY611" s="17">
        <v>44925</v>
      </c>
      <c r="OCZ611" s="5" t="s">
        <v>3728</v>
      </c>
      <c r="ODA611" s="17">
        <v>44925</v>
      </c>
      <c r="ODB611" s="5" t="s">
        <v>3728</v>
      </c>
      <c r="ODC611" s="17">
        <v>44925</v>
      </c>
      <c r="ODD611" s="5" t="s">
        <v>3728</v>
      </c>
      <c r="ODE611" s="17">
        <v>44925</v>
      </c>
      <c r="ODF611" s="5" t="s">
        <v>3728</v>
      </c>
      <c r="ODG611" s="17">
        <v>44925</v>
      </c>
      <c r="ODH611" s="5" t="s">
        <v>3728</v>
      </c>
      <c r="ODI611" s="17">
        <v>44925</v>
      </c>
      <c r="ODJ611" s="5" t="s">
        <v>3728</v>
      </c>
      <c r="ODK611" s="17">
        <v>44925</v>
      </c>
      <c r="ODL611" s="5" t="s">
        <v>3728</v>
      </c>
      <c r="ODM611" s="17">
        <v>44925</v>
      </c>
      <c r="ODN611" s="5" t="s">
        <v>3728</v>
      </c>
      <c r="ODO611" s="17">
        <v>44925</v>
      </c>
      <c r="ODP611" s="5" t="s">
        <v>3728</v>
      </c>
      <c r="ODQ611" s="17">
        <v>44925</v>
      </c>
      <c r="ODR611" s="5" t="s">
        <v>3728</v>
      </c>
      <c r="ODS611" s="17">
        <v>44925</v>
      </c>
      <c r="ODT611" s="5" t="s">
        <v>3728</v>
      </c>
      <c r="ODU611" s="17">
        <v>44925</v>
      </c>
      <c r="ODV611" s="5" t="s">
        <v>3728</v>
      </c>
      <c r="ODW611" s="17">
        <v>44925</v>
      </c>
      <c r="ODX611" s="5" t="s">
        <v>3728</v>
      </c>
      <c r="ODY611" s="17">
        <v>44925</v>
      </c>
      <c r="ODZ611" s="5" t="s">
        <v>3728</v>
      </c>
      <c r="OEA611" s="17">
        <v>44925</v>
      </c>
      <c r="OEB611" s="5" t="s">
        <v>3728</v>
      </c>
      <c r="OEC611" s="17">
        <v>44925</v>
      </c>
      <c r="OED611" s="5" t="s">
        <v>3728</v>
      </c>
      <c r="OEE611" s="17">
        <v>44925</v>
      </c>
      <c r="OEF611" s="5" t="s">
        <v>3728</v>
      </c>
      <c r="OEG611" s="17">
        <v>44925</v>
      </c>
      <c r="OEH611" s="5" t="s">
        <v>3728</v>
      </c>
      <c r="OEI611" s="17">
        <v>44925</v>
      </c>
      <c r="OEJ611" s="5" t="s">
        <v>3728</v>
      </c>
      <c r="OEK611" s="17">
        <v>44925</v>
      </c>
      <c r="OEL611" s="5" t="s">
        <v>3728</v>
      </c>
      <c r="OEM611" s="17">
        <v>44925</v>
      </c>
      <c r="OEN611" s="5" t="s">
        <v>3728</v>
      </c>
      <c r="OEO611" s="17">
        <v>44925</v>
      </c>
      <c r="OEP611" s="5" t="s">
        <v>3728</v>
      </c>
      <c r="OEQ611" s="17">
        <v>44925</v>
      </c>
      <c r="OER611" s="5" t="s">
        <v>3728</v>
      </c>
      <c r="OES611" s="17">
        <v>44925</v>
      </c>
      <c r="OET611" s="5" t="s">
        <v>3728</v>
      </c>
      <c r="OEU611" s="17">
        <v>44925</v>
      </c>
      <c r="OEV611" s="5" t="s">
        <v>3728</v>
      </c>
      <c r="OEW611" s="17">
        <v>44925</v>
      </c>
      <c r="OEX611" s="5" t="s">
        <v>3728</v>
      </c>
      <c r="OEY611" s="17">
        <v>44925</v>
      </c>
      <c r="OEZ611" s="5" t="s">
        <v>3728</v>
      </c>
      <c r="OFA611" s="17">
        <v>44925</v>
      </c>
      <c r="OFB611" s="5" t="s">
        <v>3728</v>
      </c>
      <c r="OFC611" s="17">
        <v>44925</v>
      </c>
      <c r="OFD611" s="5" t="s">
        <v>3728</v>
      </c>
      <c r="OFE611" s="17">
        <v>44925</v>
      </c>
      <c r="OFF611" s="5" t="s">
        <v>3728</v>
      </c>
      <c r="OFG611" s="17">
        <v>44925</v>
      </c>
      <c r="OFH611" s="5" t="s">
        <v>3728</v>
      </c>
      <c r="OFI611" s="17">
        <v>44925</v>
      </c>
      <c r="OFJ611" s="5" t="s">
        <v>3728</v>
      </c>
      <c r="OFK611" s="17">
        <v>44925</v>
      </c>
      <c r="OFL611" s="5" t="s">
        <v>3728</v>
      </c>
      <c r="OFM611" s="17">
        <v>44925</v>
      </c>
      <c r="OFN611" s="5" t="s">
        <v>3728</v>
      </c>
      <c r="OFO611" s="17">
        <v>44925</v>
      </c>
      <c r="OFP611" s="5" t="s">
        <v>3728</v>
      </c>
      <c r="OFQ611" s="17">
        <v>44925</v>
      </c>
      <c r="OFR611" s="5" t="s">
        <v>3728</v>
      </c>
      <c r="OFS611" s="17">
        <v>44925</v>
      </c>
      <c r="OFT611" s="5" t="s">
        <v>3728</v>
      </c>
      <c r="OFU611" s="17">
        <v>44925</v>
      </c>
      <c r="OFV611" s="5" t="s">
        <v>3728</v>
      </c>
      <c r="OFW611" s="17">
        <v>44925</v>
      </c>
      <c r="OFX611" s="5" t="s">
        <v>3728</v>
      </c>
      <c r="OFY611" s="17">
        <v>44925</v>
      </c>
      <c r="OFZ611" s="5" t="s">
        <v>3728</v>
      </c>
      <c r="OGA611" s="17">
        <v>44925</v>
      </c>
      <c r="OGB611" s="5" t="s">
        <v>3728</v>
      </c>
      <c r="OGC611" s="17">
        <v>44925</v>
      </c>
      <c r="OGD611" s="5" t="s">
        <v>3728</v>
      </c>
      <c r="OGE611" s="17">
        <v>44925</v>
      </c>
      <c r="OGF611" s="5" t="s">
        <v>3728</v>
      </c>
      <c r="OGG611" s="17">
        <v>44925</v>
      </c>
      <c r="OGH611" s="5" t="s">
        <v>3728</v>
      </c>
      <c r="OGI611" s="17">
        <v>44925</v>
      </c>
      <c r="OGJ611" s="5" t="s">
        <v>3728</v>
      </c>
      <c r="OGK611" s="17">
        <v>44925</v>
      </c>
      <c r="OGL611" s="5" t="s">
        <v>3728</v>
      </c>
      <c r="OGM611" s="17">
        <v>44925</v>
      </c>
      <c r="OGN611" s="5" t="s">
        <v>3728</v>
      </c>
      <c r="OGO611" s="17">
        <v>44925</v>
      </c>
      <c r="OGP611" s="5" t="s">
        <v>3728</v>
      </c>
      <c r="OGQ611" s="17">
        <v>44925</v>
      </c>
      <c r="OGR611" s="5" t="s">
        <v>3728</v>
      </c>
      <c r="OGS611" s="17">
        <v>44925</v>
      </c>
      <c r="OGT611" s="5" t="s">
        <v>3728</v>
      </c>
      <c r="OGU611" s="17">
        <v>44925</v>
      </c>
      <c r="OGV611" s="5" t="s">
        <v>3728</v>
      </c>
      <c r="OGW611" s="17">
        <v>44925</v>
      </c>
      <c r="OGX611" s="5" t="s">
        <v>3728</v>
      </c>
      <c r="OGY611" s="17">
        <v>44925</v>
      </c>
      <c r="OGZ611" s="5" t="s">
        <v>3728</v>
      </c>
      <c r="OHA611" s="17">
        <v>44925</v>
      </c>
      <c r="OHB611" s="5" t="s">
        <v>3728</v>
      </c>
      <c r="OHC611" s="17">
        <v>44925</v>
      </c>
      <c r="OHD611" s="5" t="s">
        <v>3728</v>
      </c>
      <c r="OHE611" s="17">
        <v>44925</v>
      </c>
      <c r="OHF611" s="5" t="s">
        <v>3728</v>
      </c>
      <c r="OHG611" s="17">
        <v>44925</v>
      </c>
      <c r="OHH611" s="5" t="s">
        <v>3728</v>
      </c>
      <c r="OHI611" s="17">
        <v>44925</v>
      </c>
      <c r="OHJ611" s="5" t="s">
        <v>3728</v>
      </c>
      <c r="OHK611" s="17">
        <v>44925</v>
      </c>
      <c r="OHL611" s="5" t="s">
        <v>3728</v>
      </c>
      <c r="OHM611" s="17">
        <v>44925</v>
      </c>
      <c r="OHN611" s="5" t="s">
        <v>3728</v>
      </c>
      <c r="OHO611" s="17">
        <v>44925</v>
      </c>
      <c r="OHP611" s="5" t="s">
        <v>3728</v>
      </c>
      <c r="OHQ611" s="17">
        <v>44925</v>
      </c>
      <c r="OHR611" s="5" t="s">
        <v>3728</v>
      </c>
      <c r="OHS611" s="17">
        <v>44925</v>
      </c>
      <c r="OHT611" s="5" t="s">
        <v>3728</v>
      </c>
      <c r="OHU611" s="17">
        <v>44925</v>
      </c>
      <c r="OHV611" s="5" t="s">
        <v>3728</v>
      </c>
      <c r="OHW611" s="17">
        <v>44925</v>
      </c>
      <c r="OHX611" s="5" t="s">
        <v>3728</v>
      </c>
      <c r="OHY611" s="17">
        <v>44925</v>
      </c>
      <c r="OHZ611" s="5" t="s">
        <v>3728</v>
      </c>
      <c r="OIA611" s="17">
        <v>44925</v>
      </c>
      <c r="OIB611" s="5" t="s">
        <v>3728</v>
      </c>
      <c r="OIC611" s="17">
        <v>44925</v>
      </c>
      <c r="OID611" s="5" t="s">
        <v>3728</v>
      </c>
      <c r="OIE611" s="17">
        <v>44925</v>
      </c>
      <c r="OIF611" s="5" t="s">
        <v>3728</v>
      </c>
      <c r="OIG611" s="17">
        <v>44925</v>
      </c>
      <c r="OIH611" s="5" t="s">
        <v>3728</v>
      </c>
      <c r="OII611" s="17">
        <v>44925</v>
      </c>
      <c r="OIJ611" s="5" t="s">
        <v>3728</v>
      </c>
      <c r="OIK611" s="17">
        <v>44925</v>
      </c>
      <c r="OIL611" s="5" t="s">
        <v>3728</v>
      </c>
      <c r="OIM611" s="17">
        <v>44925</v>
      </c>
      <c r="OIN611" s="5" t="s">
        <v>3728</v>
      </c>
      <c r="OIO611" s="17">
        <v>44925</v>
      </c>
      <c r="OIP611" s="5" t="s">
        <v>3728</v>
      </c>
      <c r="OIQ611" s="17">
        <v>44925</v>
      </c>
      <c r="OIR611" s="5" t="s">
        <v>3728</v>
      </c>
      <c r="OIS611" s="17">
        <v>44925</v>
      </c>
      <c r="OIT611" s="5" t="s">
        <v>3728</v>
      </c>
      <c r="OIU611" s="17">
        <v>44925</v>
      </c>
      <c r="OIV611" s="5" t="s">
        <v>3728</v>
      </c>
      <c r="OIW611" s="17">
        <v>44925</v>
      </c>
      <c r="OIX611" s="5" t="s">
        <v>3728</v>
      </c>
      <c r="OIY611" s="17">
        <v>44925</v>
      </c>
      <c r="OIZ611" s="5" t="s">
        <v>3728</v>
      </c>
      <c r="OJA611" s="17">
        <v>44925</v>
      </c>
      <c r="OJB611" s="5" t="s">
        <v>3728</v>
      </c>
      <c r="OJC611" s="17">
        <v>44925</v>
      </c>
      <c r="OJD611" s="5" t="s">
        <v>3728</v>
      </c>
      <c r="OJE611" s="17">
        <v>44925</v>
      </c>
      <c r="OJF611" s="5" t="s">
        <v>3728</v>
      </c>
      <c r="OJG611" s="17">
        <v>44925</v>
      </c>
      <c r="OJH611" s="5" t="s">
        <v>3728</v>
      </c>
      <c r="OJI611" s="17">
        <v>44925</v>
      </c>
      <c r="OJJ611" s="5" t="s">
        <v>3728</v>
      </c>
      <c r="OJK611" s="17">
        <v>44925</v>
      </c>
      <c r="OJL611" s="5" t="s">
        <v>3728</v>
      </c>
      <c r="OJM611" s="17">
        <v>44925</v>
      </c>
      <c r="OJN611" s="5" t="s">
        <v>3728</v>
      </c>
      <c r="OJO611" s="17">
        <v>44925</v>
      </c>
      <c r="OJP611" s="5" t="s">
        <v>3728</v>
      </c>
      <c r="OJQ611" s="17">
        <v>44925</v>
      </c>
      <c r="OJR611" s="5" t="s">
        <v>3728</v>
      </c>
      <c r="OJS611" s="17">
        <v>44925</v>
      </c>
      <c r="OJT611" s="5" t="s">
        <v>3728</v>
      </c>
      <c r="OJU611" s="17">
        <v>44925</v>
      </c>
      <c r="OJV611" s="5" t="s">
        <v>3728</v>
      </c>
      <c r="OJW611" s="17">
        <v>44925</v>
      </c>
      <c r="OJX611" s="5" t="s">
        <v>3728</v>
      </c>
      <c r="OJY611" s="17">
        <v>44925</v>
      </c>
      <c r="OJZ611" s="5" t="s">
        <v>3728</v>
      </c>
      <c r="OKA611" s="17">
        <v>44925</v>
      </c>
      <c r="OKB611" s="5" t="s">
        <v>3728</v>
      </c>
      <c r="OKC611" s="17">
        <v>44925</v>
      </c>
      <c r="OKD611" s="5" t="s">
        <v>3728</v>
      </c>
      <c r="OKE611" s="17">
        <v>44925</v>
      </c>
      <c r="OKF611" s="5" t="s">
        <v>3728</v>
      </c>
      <c r="OKG611" s="17">
        <v>44925</v>
      </c>
      <c r="OKH611" s="5" t="s">
        <v>3728</v>
      </c>
      <c r="OKI611" s="17">
        <v>44925</v>
      </c>
      <c r="OKJ611" s="5" t="s">
        <v>3728</v>
      </c>
      <c r="OKK611" s="17">
        <v>44925</v>
      </c>
      <c r="OKL611" s="5" t="s">
        <v>3728</v>
      </c>
      <c r="OKM611" s="17">
        <v>44925</v>
      </c>
      <c r="OKN611" s="5" t="s">
        <v>3728</v>
      </c>
      <c r="OKO611" s="17">
        <v>44925</v>
      </c>
      <c r="OKP611" s="5" t="s">
        <v>3728</v>
      </c>
      <c r="OKQ611" s="17">
        <v>44925</v>
      </c>
      <c r="OKR611" s="5" t="s">
        <v>3728</v>
      </c>
      <c r="OKS611" s="17">
        <v>44925</v>
      </c>
      <c r="OKT611" s="5" t="s">
        <v>3728</v>
      </c>
      <c r="OKU611" s="17">
        <v>44925</v>
      </c>
      <c r="OKV611" s="5" t="s">
        <v>3728</v>
      </c>
      <c r="OKW611" s="17">
        <v>44925</v>
      </c>
      <c r="OKX611" s="5" t="s">
        <v>3728</v>
      </c>
      <c r="OKY611" s="17">
        <v>44925</v>
      </c>
      <c r="OKZ611" s="5" t="s">
        <v>3728</v>
      </c>
      <c r="OLA611" s="17">
        <v>44925</v>
      </c>
      <c r="OLB611" s="5" t="s">
        <v>3728</v>
      </c>
      <c r="OLC611" s="17">
        <v>44925</v>
      </c>
      <c r="OLD611" s="5" t="s">
        <v>3728</v>
      </c>
      <c r="OLE611" s="17">
        <v>44925</v>
      </c>
      <c r="OLF611" s="5" t="s">
        <v>3728</v>
      </c>
      <c r="OLG611" s="17">
        <v>44925</v>
      </c>
      <c r="OLH611" s="5" t="s">
        <v>3728</v>
      </c>
      <c r="OLI611" s="17">
        <v>44925</v>
      </c>
      <c r="OLJ611" s="5" t="s">
        <v>3728</v>
      </c>
      <c r="OLK611" s="17">
        <v>44925</v>
      </c>
      <c r="OLL611" s="5" t="s">
        <v>3728</v>
      </c>
      <c r="OLM611" s="17">
        <v>44925</v>
      </c>
      <c r="OLN611" s="5" t="s">
        <v>3728</v>
      </c>
      <c r="OLO611" s="17">
        <v>44925</v>
      </c>
      <c r="OLP611" s="5" t="s">
        <v>3728</v>
      </c>
      <c r="OLQ611" s="17">
        <v>44925</v>
      </c>
      <c r="OLR611" s="5" t="s">
        <v>3728</v>
      </c>
      <c r="OLS611" s="17">
        <v>44925</v>
      </c>
      <c r="OLT611" s="5" t="s">
        <v>3728</v>
      </c>
      <c r="OLU611" s="17">
        <v>44925</v>
      </c>
      <c r="OLV611" s="5" t="s">
        <v>3728</v>
      </c>
      <c r="OLW611" s="17">
        <v>44925</v>
      </c>
      <c r="OLX611" s="5" t="s">
        <v>3728</v>
      </c>
      <c r="OLY611" s="17">
        <v>44925</v>
      </c>
      <c r="OLZ611" s="5" t="s">
        <v>3728</v>
      </c>
      <c r="OMA611" s="17">
        <v>44925</v>
      </c>
      <c r="OMB611" s="5" t="s">
        <v>3728</v>
      </c>
      <c r="OMC611" s="17">
        <v>44925</v>
      </c>
      <c r="OMD611" s="5" t="s">
        <v>3728</v>
      </c>
      <c r="OME611" s="17">
        <v>44925</v>
      </c>
      <c r="OMF611" s="5" t="s">
        <v>3728</v>
      </c>
      <c r="OMG611" s="17">
        <v>44925</v>
      </c>
      <c r="OMH611" s="5" t="s">
        <v>3728</v>
      </c>
      <c r="OMI611" s="17">
        <v>44925</v>
      </c>
      <c r="OMJ611" s="5" t="s">
        <v>3728</v>
      </c>
      <c r="OMK611" s="17">
        <v>44925</v>
      </c>
      <c r="OML611" s="5" t="s">
        <v>3728</v>
      </c>
      <c r="OMM611" s="17">
        <v>44925</v>
      </c>
      <c r="OMN611" s="5" t="s">
        <v>3728</v>
      </c>
      <c r="OMO611" s="17">
        <v>44925</v>
      </c>
      <c r="OMP611" s="5" t="s">
        <v>3728</v>
      </c>
      <c r="OMQ611" s="17">
        <v>44925</v>
      </c>
      <c r="OMR611" s="5" t="s">
        <v>3728</v>
      </c>
      <c r="OMS611" s="17">
        <v>44925</v>
      </c>
      <c r="OMT611" s="5" t="s">
        <v>3728</v>
      </c>
      <c r="OMU611" s="17">
        <v>44925</v>
      </c>
      <c r="OMV611" s="5" t="s">
        <v>3728</v>
      </c>
      <c r="OMW611" s="17">
        <v>44925</v>
      </c>
      <c r="OMX611" s="5" t="s">
        <v>3728</v>
      </c>
      <c r="OMY611" s="17">
        <v>44925</v>
      </c>
      <c r="OMZ611" s="5" t="s">
        <v>3728</v>
      </c>
      <c r="ONA611" s="17">
        <v>44925</v>
      </c>
      <c r="ONB611" s="5" t="s">
        <v>3728</v>
      </c>
      <c r="ONC611" s="17">
        <v>44925</v>
      </c>
      <c r="OND611" s="5" t="s">
        <v>3728</v>
      </c>
      <c r="ONE611" s="17">
        <v>44925</v>
      </c>
      <c r="ONF611" s="5" t="s">
        <v>3728</v>
      </c>
      <c r="ONG611" s="17">
        <v>44925</v>
      </c>
      <c r="ONH611" s="5" t="s">
        <v>3728</v>
      </c>
      <c r="ONI611" s="17">
        <v>44925</v>
      </c>
      <c r="ONJ611" s="5" t="s">
        <v>3728</v>
      </c>
      <c r="ONK611" s="17">
        <v>44925</v>
      </c>
      <c r="ONL611" s="5" t="s">
        <v>3728</v>
      </c>
      <c r="ONM611" s="17">
        <v>44925</v>
      </c>
      <c r="ONN611" s="5" t="s">
        <v>3728</v>
      </c>
      <c r="ONO611" s="17">
        <v>44925</v>
      </c>
      <c r="ONP611" s="5" t="s">
        <v>3728</v>
      </c>
      <c r="ONQ611" s="17">
        <v>44925</v>
      </c>
      <c r="ONR611" s="5" t="s">
        <v>3728</v>
      </c>
      <c r="ONS611" s="17">
        <v>44925</v>
      </c>
      <c r="ONT611" s="5" t="s">
        <v>3728</v>
      </c>
      <c r="ONU611" s="17">
        <v>44925</v>
      </c>
      <c r="ONV611" s="5" t="s">
        <v>3728</v>
      </c>
      <c r="ONW611" s="17">
        <v>44925</v>
      </c>
      <c r="ONX611" s="5" t="s">
        <v>3728</v>
      </c>
      <c r="ONY611" s="17">
        <v>44925</v>
      </c>
      <c r="ONZ611" s="5" t="s">
        <v>3728</v>
      </c>
      <c r="OOA611" s="17">
        <v>44925</v>
      </c>
      <c r="OOB611" s="5" t="s">
        <v>3728</v>
      </c>
      <c r="OOC611" s="17">
        <v>44925</v>
      </c>
      <c r="OOD611" s="5" t="s">
        <v>3728</v>
      </c>
      <c r="OOE611" s="17">
        <v>44925</v>
      </c>
      <c r="OOF611" s="5" t="s">
        <v>3728</v>
      </c>
      <c r="OOG611" s="17">
        <v>44925</v>
      </c>
      <c r="OOH611" s="5" t="s">
        <v>3728</v>
      </c>
      <c r="OOI611" s="17">
        <v>44925</v>
      </c>
      <c r="OOJ611" s="5" t="s">
        <v>3728</v>
      </c>
      <c r="OOK611" s="17">
        <v>44925</v>
      </c>
      <c r="OOL611" s="5" t="s">
        <v>3728</v>
      </c>
      <c r="OOM611" s="17">
        <v>44925</v>
      </c>
      <c r="OON611" s="5" t="s">
        <v>3728</v>
      </c>
      <c r="OOO611" s="17">
        <v>44925</v>
      </c>
      <c r="OOP611" s="5" t="s">
        <v>3728</v>
      </c>
      <c r="OOQ611" s="17">
        <v>44925</v>
      </c>
      <c r="OOR611" s="5" t="s">
        <v>3728</v>
      </c>
      <c r="OOS611" s="17">
        <v>44925</v>
      </c>
      <c r="OOT611" s="5" t="s">
        <v>3728</v>
      </c>
      <c r="OOU611" s="17">
        <v>44925</v>
      </c>
      <c r="OOV611" s="5" t="s">
        <v>3728</v>
      </c>
      <c r="OOW611" s="17">
        <v>44925</v>
      </c>
      <c r="OOX611" s="5" t="s">
        <v>3728</v>
      </c>
      <c r="OOY611" s="17">
        <v>44925</v>
      </c>
      <c r="OOZ611" s="5" t="s">
        <v>3728</v>
      </c>
      <c r="OPA611" s="17">
        <v>44925</v>
      </c>
      <c r="OPB611" s="5" t="s">
        <v>3728</v>
      </c>
      <c r="OPC611" s="17">
        <v>44925</v>
      </c>
      <c r="OPD611" s="5" t="s">
        <v>3728</v>
      </c>
      <c r="OPE611" s="17">
        <v>44925</v>
      </c>
      <c r="OPF611" s="5" t="s">
        <v>3728</v>
      </c>
      <c r="OPG611" s="17">
        <v>44925</v>
      </c>
      <c r="OPH611" s="5" t="s">
        <v>3728</v>
      </c>
      <c r="OPI611" s="17">
        <v>44925</v>
      </c>
      <c r="OPJ611" s="5" t="s">
        <v>3728</v>
      </c>
      <c r="OPK611" s="17">
        <v>44925</v>
      </c>
      <c r="OPL611" s="5" t="s">
        <v>3728</v>
      </c>
      <c r="OPM611" s="17">
        <v>44925</v>
      </c>
      <c r="OPN611" s="5" t="s">
        <v>3728</v>
      </c>
      <c r="OPO611" s="17">
        <v>44925</v>
      </c>
      <c r="OPP611" s="5" t="s">
        <v>3728</v>
      </c>
      <c r="OPQ611" s="17">
        <v>44925</v>
      </c>
      <c r="OPR611" s="5" t="s">
        <v>3728</v>
      </c>
      <c r="OPS611" s="17">
        <v>44925</v>
      </c>
      <c r="OPT611" s="5" t="s">
        <v>3728</v>
      </c>
      <c r="OPU611" s="17">
        <v>44925</v>
      </c>
      <c r="OPV611" s="5" t="s">
        <v>3728</v>
      </c>
      <c r="OPW611" s="17">
        <v>44925</v>
      </c>
      <c r="OPX611" s="5" t="s">
        <v>3728</v>
      </c>
      <c r="OPY611" s="17">
        <v>44925</v>
      </c>
      <c r="OPZ611" s="5" t="s">
        <v>3728</v>
      </c>
      <c r="OQA611" s="17">
        <v>44925</v>
      </c>
      <c r="OQB611" s="5" t="s">
        <v>3728</v>
      </c>
      <c r="OQC611" s="17">
        <v>44925</v>
      </c>
      <c r="OQD611" s="5" t="s">
        <v>3728</v>
      </c>
      <c r="OQE611" s="17">
        <v>44925</v>
      </c>
      <c r="OQF611" s="5" t="s">
        <v>3728</v>
      </c>
      <c r="OQG611" s="17">
        <v>44925</v>
      </c>
      <c r="OQH611" s="5" t="s">
        <v>3728</v>
      </c>
      <c r="OQI611" s="17">
        <v>44925</v>
      </c>
      <c r="OQJ611" s="5" t="s">
        <v>3728</v>
      </c>
      <c r="OQK611" s="17">
        <v>44925</v>
      </c>
      <c r="OQL611" s="5" t="s">
        <v>3728</v>
      </c>
      <c r="OQM611" s="17">
        <v>44925</v>
      </c>
      <c r="OQN611" s="5" t="s">
        <v>3728</v>
      </c>
      <c r="OQO611" s="17">
        <v>44925</v>
      </c>
      <c r="OQP611" s="5" t="s">
        <v>3728</v>
      </c>
      <c r="OQQ611" s="17">
        <v>44925</v>
      </c>
      <c r="OQR611" s="5" t="s">
        <v>3728</v>
      </c>
      <c r="OQS611" s="17">
        <v>44925</v>
      </c>
      <c r="OQT611" s="5" t="s">
        <v>3728</v>
      </c>
      <c r="OQU611" s="17">
        <v>44925</v>
      </c>
      <c r="OQV611" s="5" t="s">
        <v>3728</v>
      </c>
      <c r="OQW611" s="17">
        <v>44925</v>
      </c>
      <c r="OQX611" s="5" t="s">
        <v>3728</v>
      </c>
      <c r="OQY611" s="17">
        <v>44925</v>
      </c>
      <c r="OQZ611" s="5" t="s">
        <v>3728</v>
      </c>
      <c r="ORA611" s="17">
        <v>44925</v>
      </c>
      <c r="ORB611" s="5" t="s">
        <v>3728</v>
      </c>
      <c r="ORC611" s="17">
        <v>44925</v>
      </c>
      <c r="ORD611" s="5" t="s">
        <v>3728</v>
      </c>
      <c r="ORE611" s="17">
        <v>44925</v>
      </c>
      <c r="ORF611" s="5" t="s">
        <v>3728</v>
      </c>
      <c r="ORG611" s="17">
        <v>44925</v>
      </c>
      <c r="ORH611" s="5" t="s">
        <v>3728</v>
      </c>
      <c r="ORI611" s="17">
        <v>44925</v>
      </c>
      <c r="ORJ611" s="5" t="s">
        <v>3728</v>
      </c>
      <c r="ORK611" s="17">
        <v>44925</v>
      </c>
      <c r="ORL611" s="5" t="s">
        <v>3728</v>
      </c>
      <c r="ORM611" s="17">
        <v>44925</v>
      </c>
      <c r="ORN611" s="5" t="s">
        <v>3728</v>
      </c>
      <c r="ORO611" s="17">
        <v>44925</v>
      </c>
      <c r="ORP611" s="5" t="s">
        <v>3728</v>
      </c>
      <c r="ORQ611" s="17">
        <v>44925</v>
      </c>
      <c r="ORR611" s="5" t="s">
        <v>3728</v>
      </c>
      <c r="ORS611" s="17">
        <v>44925</v>
      </c>
      <c r="ORT611" s="5" t="s">
        <v>3728</v>
      </c>
      <c r="ORU611" s="17">
        <v>44925</v>
      </c>
      <c r="ORV611" s="5" t="s">
        <v>3728</v>
      </c>
      <c r="ORW611" s="17">
        <v>44925</v>
      </c>
      <c r="ORX611" s="5" t="s">
        <v>3728</v>
      </c>
      <c r="ORY611" s="17">
        <v>44925</v>
      </c>
      <c r="ORZ611" s="5" t="s">
        <v>3728</v>
      </c>
      <c r="OSA611" s="17">
        <v>44925</v>
      </c>
      <c r="OSB611" s="5" t="s">
        <v>3728</v>
      </c>
      <c r="OSC611" s="17">
        <v>44925</v>
      </c>
      <c r="OSD611" s="5" t="s">
        <v>3728</v>
      </c>
      <c r="OSE611" s="17">
        <v>44925</v>
      </c>
      <c r="OSF611" s="5" t="s">
        <v>3728</v>
      </c>
      <c r="OSG611" s="17">
        <v>44925</v>
      </c>
      <c r="OSH611" s="5" t="s">
        <v>3728</v>
      </c>
      <c r="OSI611" s="17">
        <v>44925</v>
      </c>
      <c r="OSJ611" s="5" t="s">
        <v>3728</v>
      </c>
      <c r="OSK611" s="17">
        <v>44925</v>
      </c>
      <c r="OSL611" s="5" t="s">
        <v>3728</v>
      </c>
      <c r="OSM611" s="17">
        <v>44925</v>
      </c>
      <c r="OSN611" s="5" t="s">
        <v>3728</v>
      </c>
      <c r="OSO611" s="17">
        <v>44925</v>
      </c>
      <c r="OSP611" s="5" t="s">
        <v>3728</v>
      </c>
      <c r="OSQ611" s="17">
        <v>44925</v>
      </c>
      <c r="OSR611" s="5" t="s">
        <v>3728</v>
      </c>
      <c r="OSS611" s="17">
        <v>44925</v>
      </c>
      <c r="OST611" s="5" t="s">
        <v>3728</v>
      </c>
      <c r="OSU611" s="17">
        <v>44925</v>
      </c>
      <c r="OSV611" s="5" t="s">
        <v>3728</v>
      </c>
      <c r="OSW611" s="17">
        <v>44925</v>
      </c>
      <c r="OSX611" s="5" t="s">
        <v>3728</v>
      </c>
      <c r="OSY611" s="17">
        <v>44925</v>
      </c>
      <c r="OSZ611" s="5" t="s">
        <v>3728</v>
      </c>
      <c r="OTA611" s="17">
        <v>44925</v>
      </c>
      <c r="OTB611" s="5" t="s">
        <v>3728</v>
      </c>
      <c r="OTC611" s="17">
        <v>44925</v>
      </c>
      <c r="OTD611" s="5" t="s">
        <v>3728</v>
      </c>
      <c r="OTE611" s="17">
        <v>44925</v>
      </c>
      <c r="OTF611" s="5" t="s">
        <v>3728</v>
      </c>
      <c r="OTG611" s="17">
        <v>44925</v>
      </c>
      <c r="OTH611" s="5" t="s">
        <v>3728</v>
      </c>
      <c r="OTI611" s="17">
        <v>44925</v>
      </c>
      <c r="OTJ611" s="5" t="s">
        <v>3728</v>
      </c>
      <c r="OTK611" s="17">
        <v>44925</v>
      </c>
      <c r="OTL611" s="5" t="s">
        <v>3728</v>
      </c>
      <c r="OTM611" s="17">
        <v>44925</v>
      </c>
      <c r="OTN611" s="5" t="s">
        <v>3728</v>
      </c>
      <c r="OTO611" s="17">
        <v>44925</v>
      </c>
      <c r="OTP611" s="5" t="s">
        <v>3728</v>
      </c>
      <c r="OTQ611" s="17">
        <v>44925</v>
      </c>
      <c r="OTR611" s="5" t="s">
        <v>3728</v>
      </c>
      <c r="OTS611" s="17">
        <v>44925</v>
      </c>
      <c r="OTT611" s="5" t="s">
        <v>3728</v>
      </c>
      <c r="OTU611" s="17">
        <v>44925</v>
      </c>
      <c r="OTV611" s="5" t="s">
        <v>3728</v>
      </c>
      <c r="OTW611" s="17">
        <v>44925</v>
      </c>
      <c r="OTX611" s="5" t="s">
        <v>3728</v>
      </c>
      <c r="OTY611" s="17">
        <v>44925</v>
      </c>
      <c r="OTZ611" s="5" t="s">
        <v>3728</v>
      </c>
      <c r="OUA611" s="17">
        <v>44925</v>
      </c>
      <c r="OUB611" s="5" t="s">
        <v>3728</v>
      </c>
      <c r="OUC611" s="17">
        <v>44925</v>
      </c>
      <c r="OUD611" s="5" t="s">
        <v>3728</v>
      </c>
      <c r="OUE611" s="17">
        <v>44925</v>
      </c>
      <c r="OUF611" s="5" t="s">
        <v>3728</v>
      </c>
      <c r="OUG611" s="17">
        <v>44925</v>
      </c>
      <c r="OUH611" s="5" t="s">
        <v>3728</v>
      </c>
      <c r="OUI611" s="17">
        <v>44925</v>
      </c>
      <c r="OUJ611" s="5" t="s">
        <v>3728</v>
      </c>
      <c r="OUK611" s="17">
        <v>44925</v>
      </c>
      <c r="OUL611" s="5" t="s">
        <v>3728</v>
      </c>
      <c r="OUM611" s="17">
        <v>44925</v>
      </c>
      <c r="OUN611" s="5" t="s">
        <v>3728</v>
      </c>
      <c r="OUO611" s="17">
        <v>44925</v>
      </c>
      <c r="OUP611" s="5" t="s">
        <v>3728</v>
      </c>
      <c r="OUQ611" s="17">
        <v>44925</v>
      </c>
      <c r="OUR611" s="5" t="s">
        <v>3728</v>
      </c>
      <c r="OUS611" s="17">
        <v>44925</v>
      </c>
      <c r="OUT611" s="5" t="s">
        <v>3728</v>
      </c>
      <c r="OUU611" s="17">
        <v>44925</v>
      </c>
      <c r="OUV611" s="5" t="s">
        <v>3728</v>
      </c>
      <c r="OUW611" s="17">
        <v>44925</v>
      </c>
      <c r="OUX611" s="5" t="s">
        <v>3728</v>
      </c>
      <c r="OUY611" s="17">
        <v>44925</v>
      </c>
      <c r="OUZ611" s="5" t="s">
        <v>3728</v>
      </c>
      <c r="OVA611" s="17">
        <v>44925</v>
      </c>
      <c r="OVB611" s="5" t="s">
        <v>3728</v>
      </c>
      <c r="OVC611" s="17">
        <v>44925</v>
      </c>
      <c r="OVD611" s="5" t="s">
        <v>3728</v>
      </c>
      <c r="OVE611" s="17">
        <v>44925</v>
      </c>
      <c r="OVF611" s="5" t="s">
        <v>3728</v>
      </c>
      <c r="OVG611" s="17">
        <v>44925</v>
      </c>
      <c r="OVH611" s="5" t="s">
        <v>3728</v>
      </c>
      <c r="OVI611" s="17">
        <v>44925</v>
      </c>
      <c r="OVJ611" s="5" t="s">
        <v>3728</v>
      </c>
      <c r="OVK611" s="17">
        <v>44925</v>
      </c>
      <c r="OVL611" s="5" t="s">
        <v>3728</v>
      </c>
      <c r="OVM611" s="17">
        <v>44925</v>
      </c>
      <c r="OVN611" s="5" t="s">
        <v>3728</v>
      </c>
      <c r="OVO611" s="17">
        <v>44925</v>
      </c>
      <c r="OVP611" s="5" t="s">
        <v>3728</v>
      </c>
      <c r="OVQ611" s="17">
        <v>44925</v>
      </c>
      <c r="OVR611" s="5" t="s">
        <v>3728</v>
      </c>
      <c r="OVS611" s="17">
        <v>44925</v>
      </c>
      <c r="OVT611" s="5" t="s">
        <v>3728</v>
      </c>
      <c r="OVU611" s="17">
        <v>44925</v>
      </c>
      <c r="OVV611" s="5" t="s">
        <v>3728</v>
      </c>
      <c r="OVW611" s="17">
        <v>44925</v>
      </c>
      <c r="OVX611" s="5" t="s">
        <v>3728</v>
      </c>
      <c r="OVY611" s="17">
        <v>44925</v>
      </c>
      <c r="OVZ611" s="5" t="s">
        <v>3728</v>
      </c>
      <c r="OWA611" s="17">
        <v>44925</v>
      </c>
      <c r="OWB611" s="5" t="s">
        <v>3728</v>
      </c>
      <c r="OWC611" s="17">
        <v>44925</v>
      </c>
      <c r="OWD611" s="5" t="s">
        <v>3728</v>
      </c>
      <c r="OWE611" s="17">
        <v>44925</v>
      </c>
      <c r="OWF611" s="5" t="s">
        <v>3728</v>
      </c>
      <c r="OWG611" s="17">
        <v>44925</v>
      </c>
      <c r="OWH611" s="5" t="s">
        <v>3728</v>
      </c>
      <c r="OWI611" s="17">
        <v>44925</v>
      </c>
      <c r="OWJ611" s="5" t="s">
        <v>3728</v>
      </c>
      <c r="OWK611" s="17">
        <v>44925</v>
      </c>
      <c r="OWL611" s="5" t="s">
        <v>3728</v>
      </c>
      <c r="OWM611" s="17">
        <v>44925</v>
      </c>
      <c r="OWN611" s="5" t="s">
        <v>3728</v>
      </c>
      <c r="OWO611" s="17">
        <v>44925</v>
      </c>
      <c r="OWP611" s="5" t="s">
        <v>3728</v>
      </c>
      <c r="OWQ611" s="17">
        <v>44925</v>
      </c>
      <c r="OWR611" s="5" t="s">
        <v>3728</v>
      </c>
      <c r="OWS611" s="17">
        <v>44925</v>
      </c>
      <c r="OWT611" s="5" t="s">
        <v>3728</v>
      </c>
      <c r="OWU611" s="17">
        <v>44925</v>
      </c>
      <c r="OWV611" s="5" t="s">
        <v>3728</v>
      </c>
      <c r="OWW611" s="17">
        <v>44925</v>
      </c>
      <c r="OWX611" s="5" t="s">
        <v>3728</v>
      </c>
      <c r="OWY611" s="17">
        <v>44925</v>
      </c>
      <c r="OWZ611" s="5" t="s">
        <v>3728</v>
      </c>
      <c r="OXA611" s="17">
        <v>44925</v>
      </c>
      <c r="OXB611" s="5" t="s">
        <v>3728</v>
      </c>
      <c r="OXC611" s="17">
        <v>44925</v>
      </c>
      <c r="OXD611" s="5" t="s">
        <v>3728</v>
      </c>
      <c r="OXE611" s="17">
        <v>44925</v>
      </c>
      <c r="OXF611" s="5" t="s">
        <v>3728</v>
      </c>
      <c r="OXG611" s="17">
        <v>44925</v>
      </c>
      <c r="OXH611" s="5" t="s">
        <v>3728</v>
      </c>
      <c r="OXI611" s="17">
        <v>44925</v>
      </c>
      <c r="OXJ611" s="5" t="s">
        <v>3728</v>
      </c>
      <c r="OXK611" s="17">
        <v>44925</v>
      </c>
      <c r="OXL611" s="5" t="s">
        <v>3728</v>
      </c>
      <c r="OXM611" s="17">
        <v>44925</v>
      </c>
      <c r="OXN611" s="5" t="s">
        <v>3728</v>
      </c>
      <c r="OXO611" s="17">
        <v>44925</v>
      </c>
      <c r="OXP611" s="5" t="s">
        <v>3728</v>
      </c>
      <c r="OXQ611" s="17">
        <v>44925</v>
      </c>
      <c r="OXR611" s="5" t="s">
        <v>3728</v>
      </c>
      <c r="OXS611" s="17">
        <v>44925</v>
      </c>
      <c r="OXT611" s="5" t="s">
        <v>3728</v>
      </c>
      <c r="OXU611" s="17">
        <v>44925</v>
      </c>
      <c r="OXV611" s="5" t="s">
        <v>3728</v>
      </c>
      <c r="OXW611" s="17">
        <v>44925</v>
      </c>
      <c r="OXX611" s="5" t="s">
        <v>3728</v>
      </c>
      <c r="OXY611" s="17">
        <v>44925</v>
      </c>
      <c r="OXZ611" s="5" t="s">
        <v>3728</v>
      </c>
      <c r="OYA611" s="17">
        <v>44925</v>
      </c>
      <c r="OYB611" s="5" t="s">
        <v>3728</v>
      </c>
      <c r="OYC611" s="17">
        <v>44925</v>
      </c>
      <c r="OYD611" s="5" t="s">
        <v>3728</v>
      </c>
      <c r="OYE611" s="17">
        <v>44925</v>
      </c>
      <c r="OYF611" s="5" t="s">
        <v>3728</v>
      </c>
      <c r="OYG611" s="17">
        <v>44925</v>
      </c>
      <c r="OYH611" s="5" t="s">
        <v>3728</v>
      </c>
      <c r="OYI611" s="17">
        <v>44925</v>
      </c>
      <c r="OYJ611" s="5" t="s">
        <v>3728</v>
      </c>
      <c r="OYK611" s="17">
        <v>44925</v>
      </c>
      <c r="OYL611" s="5" t="s">
        <v>3728</v>
      </c>
      <c r="OYM611" s="17">
        <v>44925</v>
      </c>
      <c r="OYN611" s="5" t="s">
        <v>3728</v>
      </c>
      <c r="OYO611" s="17">
        <v>44925</v>
      </c>
      <c r="OYP611" s="5" t="s">
        <v>3728</v>
      </c>
      <c r="OYQ611" s="17">
        <v>44925</v>
      </c>
      <c r="OYR611" s="5" t="s">
        <v>3728</v>
      </c>
      <c r="OYS611" s="17">
        <v>44925</v>
      </c>
      <c r="OYT611" s="5" t="s">
        <v>3728</v>
      </c>
      <c r="OYU611" s="17">
        <v>44925</v>
      </c>
      <c r="OYV611" s="5" t="s">
        <v>3728</v>
      </c>
      <c r="OYW611" s="17">
        <v>44925</v>
      </c>
      <c r="OYX611" s="5" t="s">
        <v>3728</v>
      </c>
      <c r="OYY611" s="17">
        <v>44925</v>
      </c>
      <c r="OYZ611" s="5" t="s">
        <v>3728</v>
      </c>
      <c r="OZA611" s="17">
        <v>44925</v>
      </c>
      <c r="OZB611" s="5" t="s">
        <v>3728</v>
      </c>
      <c r="OZC611" s="17">
        <v>44925</v>
      </c>
      <c r="OZD611" s="5" t="s">
        <v>3728</v>
      </c>
      <c r="OZE611" s="17">
        <v>44925</v>
      </c>
      <c r="OZF611" s="5" t="s">
        <v>3728</v>
      </c>
      <c r="OZG611" s="17">
        <v>44925</v>
      </c>
      <c r="OZH611" s="5" t="s">
        <v>3728</v>
      </c>
      <c r="OZI611" s="17">
        <v>44925</v>
      </c>
      <c r="OZJ611" s="5" t="s">
        <v>3728</v>
      </c>
      <c r="OZK611" s="17">
        <v>44925</v>
      </c>
      <c r="OZL611" s="5" t="s">
        <v>3728</v>
      </c>
      <c r="OZM611" s="17">
        <v>44925</v>
      </c>
      <c r="OZN611" s="5" t="s">
        <v>3728</v>
      </c>
      <c r="OZO611" s="17">
        <v>44925</v>
      </c>
      <c r="OZP611" s="5" t="s">
        <v>3728</v>
      </c>
      <c r="OZQ611" s="17">
        <v>44925</v>
      </c>
      <c r="OZR611" s="5" t="s">
        <v>3728</v>
      </c>
      <c r="OZS611" s="17">
        <v>44925</v>
      </c>
      <c r="OZT611" s="5" t="s">
        <v>3728</v>
      </c>
      <c r="OZU611" s="17">
        <v>44925</v>
      </c>
      <c r="OZV611" s="5" t="s">
        <v>3728</v>
      </c>
      <c r="OZW611" s="17">
        <v>44925</v>
      </c>
      <c r="OZX611" s="5" t="s">
        <v>3728</v>
      </c>
      <c r="OZY611" s="17">
        <v>44925</v>
      </c>
      <c r="OZZ611" s="5" t="s">
        <v>3728</v>
      </c>
      <c r="PAA611" s="17">
        <v>44925</v>
      </c>
      <c r="PAB611" s="5" t="s">
        <v>3728</v>
      </c>
      <c r="PAC611" s="17">
        <v>44925</v>
      </c>
      <c r="PAD611" s="5" t="s">
        <v>3728</v>
      </c>
      <c r="PAE611" s="17">
        <v>44925</v>
      </c>
      <c r="PAF611" s="5" t="s">
        <v>3728</v>
      </c>
      <c r="PAG611" s="17">
        <v>44925</v>
      </c>
      <c r="PAH611" s="5" t="s">
        <v>3728</v>
      </c>
      <c r="PAI611" s="17">
        <v>44925</v>
      </c>
      <c r="PAJ611" s="5" t="s">
        <v>3728</v>
      </c>
      <c r="PAK611" s="17">
        <v>44925</v>
      </c>
      <c r="PAL611" s="5" t="s">
        <v>3728</v>
      </c>
      <c r="PAM611" s="17">
        <v>44925</v>
      </c>
      <c r="PAN611" s="5" t="s">
        <v>3728</v>
      </c>
      <c r="PAO611" s="17">
        <v>44925</v>
      </c>
      <c r="PAP611" s="5" t="s">
        <v>3728</v>
      </c>
      <c r="PAQ611" s="17">
        <v>44925</v>
      </c>
      <c r="PAR611" s="5" t="s">
        <v>3728</v>
      </c>
      <c r="PAS611" s="17">
        <v>44925</v>
      </c>
      <c r="PAT611" s="5" t="s">
        <v>3728</v>
      </c>
      <c r="PAU611" s="17">
        <v>44925</v>
      </c>
      <c r="PAV611" s="5" t="s">
        <v>3728</v>
      </c>
      <c r="PAW611" s="17">
        <v>44925</v>
      </c>
      <c r="PAX611" s="5" t="s">
        <v>3728</v>
      </c>
      <c r="PAY611" s="17">
        <v>44925</v>
      </c>
      <c r="PAZ611" s="5" t="s">
        <v>3728</v>
      </c>
      <c r="PBA611" s="17">
        <v>44925</v>
      </c>
      <c r="PBB611" s="5" t="s">
        <v>3728</v>
      </c>
      <c r="PBC611" s="17">
        <v>44925</v>
      </c>
      <c r="PBD611" s="5" t="s">
        <v>3728</v>
      </c>
      <c r="PBE611" s="17">
        <v>44925</v>
      </c>
      <c r="PBF611" s="5" t="s">
        <v>3728</v>
      </c>
      <c r="PBG611" s="17">
        <v>44925</v>
      </c>
      <c r="PBH611" s="5" t="s">
        <v>3728</v>
      </c>
      <c r="PBI611" s="17">
        <v>44925</v>
      </c>
      <c r="PBJ611" s="5" t="s">
        <v>3728</v>
      </c>
      <c r="PBK611" s="17">
        <v>44925</v>
      </c>
      <c r="PBL611" s="5" t="s">
        <v>3728</v>
      </c>
      <c r="PBM611" s="17">
        <v>44925</v>
      </c>
      <c r="PBN611" s="5" t="s">
        <v>3728</v>
      </c>
      <c r="PBO611" s="17">
        <v>44925</v>
      </c>
      <c r="PBP611" s="5" t="s">
        <v>3728</v>
      </c>
      <c r="PBQ611" s="17">
        <v>44925</v>
      </c>
      <c r="PBR611" s="5" t="s">
        <v>3728</v>
      </c>
      <c r="PBS611" s="17">
        <v>44925</v>
      </c>
      <c r="PBT611" s="5" t="s">
        <v>3728</v>
      </c>
      <c r="PBU611" s="17">
        <v>44925</v>
      </c>
      <c r="PBV611" s="5" t="s">
        <v>3728</v>
      </c>
      <c r="PBW611" s="17">
        <v>44925</v>
      </c>
      <c r="PBX611" s="5" t="s">
        <v>3728</v>
      </c>
      <c r="PBY611" s="17">
        <v>44925</v>
      </c>
      <c r="PBZ611" s="5" t="s">
        <v>3728</v>
      </c>
      <c r="PCA611" s="17">
        <v>44925</v>
      </c>
      <c r="PCB611" s="5" t="s">
        <v>3728</v>
      </c>
      <c r="PCC611" s="17">
        <v>44925</v>
      </c>
      <c r="PCD611" s="5" t="s">
        <v>3728</v>
      </c>
      <c r="PCE611" s="17">
        <v>44925</v>
      </c>
      <c r="PCF611" s="5" t="s">
        <v>3728</v>
      </c>
      <c r="PCG611" s="17">
        <v>44925</v>
      </c>
      <c r="PCH611" s="5" t="s">
        <v>3728</v>
      </c>
      <c r="PCI611" s="17">
        <v>44925</v>
      </c>
      <c r="PCJ611" s="5" t="s">
        <v>3728</v>
      </c>
      <c r="PCK611" s="17">
        <v>44925</v>
      </c>
      <c r="PCL611" s="5" t="s">
        <v>3728</v>
      </c>
      <c r="PCM611" s="17">
        <v>44925</v>
      </c>
      <c r="PCN611" s="5" t="s">
        <v>3728</v>
      </c>
      <c r="PCO611" s="17">
        <v>44925</v>
      </c>
      <c r="PCP611" s="5" t="s">
        <v>3728</v>
      </c>
      <c r="PCQ611" s="17">
        <v>44925</v>
      </c>
      <c r="PCR611" s="5" t="s">
        <v>3728</v>
      </c>
      <c r="PCS611" s="17">
        <v>44925</v>
      </c>
      <c r="PCT611" s="5" t="s">
        <v>3728</v>
      </c>
      <c r="PCU611" s="17">
        <v>44925</v>
      </c>
      <c r="PCV611" s="5" t="s">
        <v>3728</v>
      </c>
      <c r="PCW611" s="17">
        <v>44925</v>
      </c>
      <c r="PCX611" s="5" t="s">
        <v>3728</v>
      </c>
      <c r="PCY611" s="17">
        <v>44925</v>
      </c>
      <c r="PCZ611" s="5" t="s">
        <v>3728</v>
      </c>
      <c r="PDA611" s="17">
        <v>44925</v>
      </c>
      <c r="PDB611" s="5" t="s">
        <v>3728</v>
      </c>
      <c r="PDC611" s="17">
        <v>44925</v>
      </c>
      <c r="PDD611" s="5" t="s">
        <v>3728</v>
      </c>
      <c r="PDE611" s="17">
        <v>44925</v>
      </c>
      <c r="PDF611" s="5" t="s">
        <v>3728</v>
      </c>
      <c r="PDG611" s="17">
        <v>44925</v>
      </c>
      <c r="PDH611" s="5" t="s">
        <v>3728</v>
      </c>
      <c r="PDI611" s="17">
        <v>44925</v>
      </c>
      <c r="PDJ611" s="5" t="s">
        <v>3728</v>
      </c>
      <c r="PDK611" s="17">
        <v>44925</v>
      </c>
      <c r="PDL611" s="5" t="s">
        <v>3728</v>
      </c>
      <c r="PDM611" s="17">
        <v>44925</v>
      </c>
      <c r="PDN611" s="5" t="s">
        <v>3728</v>
      </c>
      <c r="PDO611" s="17">
        <v>44925</v>
      </c>
      <c r="PDP611" s="5" t="s">
        <v>3728</v>
      </c>
      <c r="PDQ611" s="17">
        <v>44925</v>
      </c>
      <c r="PDR611" s="5" t="s">
        <v>3728</v>
      </c>
      <c r="PDS611" s="17">
        <v>44925</v>
      </c>
      <c r="PDT611" s="5" t="s">
        <v>3728</v>
      </c>
      <c r="PDU611" s="17">
        <v>44925</v>
      </c>
      <c r="PDV611" s="5" t="s">
        <v>3728</v>
      </c>
      <c r="PDW611" s="17">
        <v>44925</v>
      </c>
      <c r="PDX611" s="5" t="s">
        <v>3728</v>
      </c>
      <c r="PDY611" s="17">
        <v>44925</v>
      </c>
      <c r="PDZ611" s="5" t="s">
        <v>3728</v>
      </c>
      <c r="PEA611" s="17">
        <v>44925</v>
      </c>
      <c r="PEB611" s="5" t="s">
        <v>3728</v>
      </c>
      <c r="PEC611" s="17">
        <v>44925</v>
      </c>
      <c r="PED611" s="5" t="s">
        <v>3728</v>
      </c>
      <c r="PEE611" s="17">
        <v>44925</v>
      </c>
      <c r="PEF611" s="5" t="s">
        <v>3728</v>
      </c>
      <c r="PEG611" s="17">
        <v>44925</v>
      </c>
      <c r="PEH611" s="5" t="s">
        <v>3728</v>
      </c>
      <c r="PEI611" s="17">
        <v>44925</v>
      </c>
      <c r="PEJ611" s="5" t="s">
        <v>3728</v>
      </c>
      <c r="PEK611" s="17">
        <v>44925</v>
      </c>
      <c r="PEL611" s="5" t="s">
        <v>3728</v>
      </c>
      <c r="PEM611" s="17">
        <v>44925</v>
      </c>
      <c r="PEN611" s="5" t="s">
        <v>3728</v>
      </c>
      <c r="PEO611" s="17">
        <v>44925</v>
      </c>
      <c r="PEP611" s="5" t="s">
        <v>3728</v>
      </c>
      <c r="PEQ611" s="17">
        <v>44925</v>
      </c>
      <c r="PER611" s="5" t="s">
        <v>3728</v>
      </c>
      <c r="PES611" s="17">
        <v>44925</v>
      </c>
      <c r="PET611" s="5" t="s">
        <v>3728</v>
      </c>
      <c r="PEU611" s="17">
        <v>44925</v>
      </c>
      <c r="PEV611" s="5" t="s">
        <v>3728</v>
      </c>
      <c r="PEW611" s="17">
        <v>44925</v>
      </c>
      <c r="PEX611" s="5" t="s">
        <v>3728</v>
      </c>
      <c r="PEY611" s="17">
        <v>44925</v>
      </c>
      <c r="PEZ611" s="5" t="s">
        <v>3728</v>
      </c>
      <c r="PFA611" s="17">
        <v>44925</v>
      </c>
      <c r="PFB611" s="5" t="s">
        <v>3728</v>
      </c>
      <c r="PFC611" s="17">
        <v>44925</v>
      </c>
      <c r="PFD611" s="5" t="s">
        <v>3728</v>
      </c>
      <c r="PFE611" s="17">
        <v>44925</v>
      </c>
      <c r="PFF611" s="5" t="s">
        <v>3728</v>
      </c>
      <c r="PFG611" s="17">
        <v>44925</v>
      </c>
      <c r="PFH611" s="5" t="s">
        <v>3728</v>
      </c>
      <c r="PFI611" s="17">
        <v>44925</v>
      </c>
      <c r="PFJ611" s="5" t="s">
        <v>3728</v>
      </c>
      <c r="PFK611" s="17">
        <v>44925</v>
      </c>
      <c r="PFL611" s="5" t="s">
        <v>3728</v>
      </c>
      <c r="PFM611" s="17">
        <v>44925</v>
      </c>
      <c r="PFN611" s="5" t="s">
        <v>3728</v>
      </c>
      <c r="PFO611" s="17">
        <v>44925</v>
      </c>
      <c r="PFP611" s="5" t="s">
        <v>3728</v>
      </c>
      <c r="PFQ611" s="17">
        <v>44925</v>
      </c>
      <c r="PFR611" s="5" t="s">
        <v>3728</v>
      </c>
      <c r="PFS611" s="17">
        <v>44925</v>
      </c>
      <c r="PFT611" s="5" t="s">
        <v>3728</v>
      </c>
      <c r="PFU611" s="17">
        <v>44925</v>
      </c>
      <c r="PFV611" s="5" t="s">
        <v>3728</v>
      </c>
      <c r="PFW611" s="17">
        <v>44925</v>
      </c>
      <c r="PFX611" s="5" t="s">
        <v>3728</v>
      </c>
      <c r="PFY611" s="17">
        <v>44925</v>
      </c>
      <c r="PFZ611" s="5" t="s">
        <v>3728</v>
      </c>
      <c r="PGA611" s="17">
        <v>44925</v>
      </c>
      <c r="PGB611" s="5" t="s">
        <v>3728</v>
      </c>
      <c r="PGC611" s="17">
        <v>44925</v>
      </c>
      <c r="PGD611" s="5" t="s">
        <v>3728</v>
      </c>
      <c r="PGE611" s="17">
        <v>44925</v>
      </c>
      <c r="PGF611" s="5" t="s">
        <v>3728</v>
      </c>
      <c r="PGG611" s="17">
        <v>44925</v>
      </c>
      <c r="PGH611" s="5" t="s">
        <v>3728</v>
      </c>
      <c r="PGI611" s="17">
        <v>44925</v>
      </c>
      <c r="PGJ611" s="5" t="s">
        <v>3728</v>
      </c>
      <c r="PGK611" s="17">
        <v>44925</v>
      </c>
      <c r="PGL611" s="5" t="s">
        <v>3728</v>
      </c>
      <c r="PGM611" s="17">
        <v>44925</v>
      </c>
      <c r="PGN611" s="5" t="s">
        <v>3728</v>
      </c>
      <c r="PGO611" s="17">
        <v>44925</v>
      </c>
      <c r="PGP611" s="5" t="s">
        <v>3728</v>
      </c>
      <c r="PGQ611" s="17">
        <v>44925</v>
      </c>
      <c r="PGR611" s="5" t="s">
        <v>3728</v>
      </c>
      <c r="PGS611" s="17">
        <v>44925</v>
      </c>
      <c r="PGT611" s="5" t="s">
        <v>3728</v>
      </c>
      <c r="PGU611" s="17">
        <v>44925</v>
      </c>
      <c r="PGV611" s="5" t="s">
        <v>3728</v>
      </c>
      <c r="PGW611" s="17">
        <v>44925</v>
      </c>
      <c r="PGX611" s="5" t="s">
        <v>3728</v>
      </c>
      <c r="PGY611" s="17">
        <v>44925</v>
      </c>
      <c r="PGZ611" s="5" t="s">
        <v>3728</v>
      </c>
      <c r="PHA611" s="17">
        <v>44925</v>
      </c>
      <c r="PHB611" s="5" t="s">
        <v>3728</v>
      </c>
      <c r="PHC611" s="17">
        <v>44925</v>
      </c>
      <c r="PHD611" s="5" t="s">
        <v>3728</v>
      </c>
      <c r="PHE611" s="17">
        <v>44925</v>
      </c>
      <c r="PHF611" s="5" t="s">
        <v>3728</v>
      </c>
      <c r="PHG611" s="17">
        <v>44925</v>
      </c>
      <c r="PHH611" s="5" t="s">
        <v>3728</v>
      </c>
      <c r="PHI611" s="17">
        <v>44925</v>
      </c>
      <c r="PHJ611" s="5" t="s">
        <v>3728</v>
      </c>
      <c r="PHK611" s="17">
        <v>44925</v>
      </c>
      <c r="PHL611" s="5" t="s">
        <v>3728</v>
      </c>
      <c r="PHM611" s="17">
        <v>44925</v>
      </c>
      <c r="PHN611" s="5" t="s">
        <v>3728</v>
      </c>
      <c r="PHO611" s="17">
        <v>44925</v>
      </c>
      <c r="PHP611" s="5" t="s">
        <v>3728</v>
      </c>
      <c r="PHQ611" s="17">
        <v>44925</v>
      </c>
      <c r="PHR611" s="5" t="s">
        <v>3728</v>
      </c>
      <c r="PHS611" s="17">
        <v>44925</v>
      </c>
      <c r="PHT611" s="5" t="s">
        <v>3728</v>
      </c>
      <c r="PHU611" s="17">
        <v>44925</v>
      </c>
      <c r="PHV611" s="5" t="s">
        <v>3728</v>
      </c>
      <c r="PHW611" s="17">
        <v>44925</v>
      </c>
      <c r="PHX611" s="5" t="s">
        <v>3728</v>
      </c>
      <c r="PHY611" s="17">
        <v>44925</v>
      </c>
      <c r="PHZ611" s="5" t="s">
        <v>3728</v>
      </c>
      <c r="PIA611" s="17">
        <v>44925</v>
      </c>
      <c r="PIB611" s="5" t="s">
        <v>3728</v>
      </c>
      <c r="PIC611" s="17">
        <v>44925</v>
      </c>
      <c r="PID611" s="5" t="s">
        <v>3728</v>
      </c>
      <c r="PIE611" s="17">
        <v>44925</v>
      </c>
      <c r="PIF611" s="5" t="s">
        <v>3728</v>
      </c>
      <c r="PIG611" s="17">
        <v>44925</v>
      </c>
      <c r="PIH611" s="5" t="s">
        <v>3728</v>
      </c>
      <c r="PII611" s="17">
        <v>44925</v>
      </c>
      <c r="PIJ611" s="5" t="s">
        <v>3728</v>
      </c>
      <c r="PIK611" s="17">
        <v>44925</v>
      </c>
      <c r="PIL611" s="5" t="s">
        <v>3728</v>
      </c>
      <c r="PIM611" s="17">
        <v>44925</v>
      </c>
      <c r="PIN611" s="5" t="s">
        <v>3728</v>
      </c>
      <c r="PIO611" s="17">
        <v>44925</v>
      </c>
      <c r="PIP611" s="5" t="s">
        <v>3728</v>
      </c>
      <c r="PIQ611" s="17">
        <v>44925</v>
      </c>
      <c r="PIR611" s="5" t="s">
        <v>3728</v>
      </c>
      <c r="PIS611" s="17">
        <v>44925</v>
      </c>
      <c r="PIT611" s="5" t="s">
        <v>3728</v>
      </c>
      <c r="PIU611" s="17">
        <v>44925</v>
      </c>
      <c r="PIV611" s="5" t="s">
        <v>3728</v>
      </c>
      <c r="PIW611" s="17">
        <v>44925</v>
      </c>
      <c r="PIX611" s="5" t="s">
        <v>3728</v>
      </c>
      <c r="PIY611" s="17">
        <v>44925</v>
      </c>
      <c r="PIZ611" s="5" t="s">
        <v>3728</v>
      </c>
      <c r="PJA611" s="17">
        <v>44925</v>
      </c>
      <c r="PJB611" s="5" t="s">
        <v>3728</v>
      </c>
      <c r="PJC611" s="17">
        <v>44925</v>
      </c>
      <c r="PJD611" s="5" t="s">
        <v>3728</v>
      </c>
      <c r="PJE611" s="17">
        <v>44925</v>
      </c>
      <c r="PJF611" s="5" t="s">
        <v>3728</v>
      </c>
      <c r="PJG611" s="17">
        <v>44925</v>
      </c>
      <c r="PJH611" s="5" t="s">
        <v>3728</v>
      </c>
      <c r="PJI611" s="17">
        <v>44925</v>
      </c>
      <c r="PJJ611" s="5" t="s">
        <v>3728</v>
      </c>
      <c r="PJK611" s="17">
        <v>44925</v>
      </c>
      <c r="PJL611" s="5" t="s">
        <v>3728</v>
      </c>
      <c r="PJM611" s="17">
        <v>44925</v>
      </c>
      <c r="PJN611" s="5" t="s">
        <v>3728</v>
      </c>
      <c r="PJO611" s="17">
        <v>44925</v>
      </c>
      <c r="PJP611" s="5" t="s">
        <v>3728</v>
      </c>
      <c r="PJQ611" s="17">
        <v>44925</v>
      </c>
      <c r="PJR611" s="5" t="s">
        <v>3728</v>
      </c>
      <c r="PJS611" s="17">
        <v>44925</v>
      </c>
      <c r="PJT611" s="5" t="s">
        <v>3728</v>
      </c>
      <c r="PJU611" s="17">
        <v>44925</v>
      </c>
      <c r="PJV611" s="5" t="s">
        <v>3728</v>
      </c>
      <c r="PJW611" s="17">
        <v>44925</v>
      </c>
      <c r="PJX611" s="5" t="s">
        <v>3728</v>
      </c>
      <c r="PJY611" s="17">
        <v>44925</v>
      </c>
      <c r="PJZ611" s="5" t="s">
        <v>3728</v>
      </c>
      <c r="PKA611" s="17">
        <v>44925</v>
      </c>
      <c r="PKB611" s="5" t="s">
        <v>3728</v>
      </c>
      <c r="PKC611" s="17">
        <v>44925</v>
      </c>
      <c r="PKD611" s="5" t="s">
        <v>3728</v>
      </c>
      <c r="PKE611" s="17">
        <v>44925</v>
      </c>
      <c r="PKF611" s="5" t="s">
        <v>3728</v>
      </c>
      <c r="PKG611" s="17">
        <v>44925</v>
      </c>
      <c r="PKH611" s="5" t="s">
        <v>3728</v>
      </c>
      <c r="PKI611" s="17">
        <v>44925</v>
      </c>
      <c r="PKJ611" s="5" t="s">
        <v>3728</v>
      </c>
      <c r="PKK611" s="17">
        <v>44925</v>
      </c>
      <c r="PKL611" s="5" t="s">
        <v>3728</v>
      </c>
      <c r="PKM611" s="17">
        <v>44925</v>
      </c>
      <c r="PKN611" s="5" t="s">
        <v>3728</v>
      </c>
      <c r="PKO611" s="17">
        <v>44925</v>
      </c>
      <c r="PKP611" s="5" t="s">
        <v>3728</v>
      </c>
      <c r="PKQ611" s="17">
        <v>44925</v>
      </c>
      <c r="PKR611" s="5" t="s">
        <v>3728</v>
      </c>
      <c r="PKS611" s="17">
        <v>44925</v>
      </c>
      <c r="PKT611" s="5" t="s">
        <v>3728</v>
      </c>
      <c r="PKU611" s="17">
        <v>44925</v>
      </c>
      <c r="PKV611" s="5" t="s">
        <v>3728</v>
      </c>
      <c r="PKW611" s="17">
        <v>44925</v>
      </c>
      <c r="PKX611" s="5" t="s">
        <v>3728</v>
      </c>
      <c r="PKY611" s="17">
        <v>44925</v>
      </c>
      <c r="PKZ611" s="5" t="s">
        <v>3728</v>
      </c>
      <c r="PLA611" s="17">
        <v>44925</v>
      </c>
      <c r="PLB611" s="5" t="s">
        <v>3728</v>
      </c>
      <c r="PLC611" s="17">
        <v>44925</v>
      </c>
      <c r="PLD611" s="5" t="s">
        <v>3728</v>
      </c>
      <c r="PLE611" s="17">
        <v>44925</v>
      </c>
      <c r="PLF611" s="5" t="s">
        <v>3728</v>
      </c>
      <c r="PLG611" s="17">
        <v>44925</v>
      </c>
      <c r="PLH611" s="5" t="s">
        <v>3728</v>
      </c>
      <c r="PLI611" s="17">
        <v>44925</v>
      </c>
      <c r="PLJ611" s="5" t="s">
        <v>3728</v>
      </c>
      <c r="PLK611" s="17">
        <v>44925</v>
      </c>
      <c r="PLL611" s="5" t="s">
        <v>3728</v>
      </c>
      <c r="PLM611" s="17">
        <v>44925</v>
      </c>
      <c r="PLN611" s="5" t="s">
        <v>3728</v>
      </c>
      <c r="PLO611" s="17">
        <v>44925</v>
      </c>
      <c r="PLP611" s="5" t="s">
        <v>3728</v>
      </c>
      <c r="PLQ611" s="17">
        <v>44925</v>
      </c>
      <c r="PLR611" s="5" t="s">
        <v>3728</v>
      </c>
      <c r="PLS611" s="17">
        <v>44925</v>
      </c>
      <c r="PLT611" s="5" t="s">
        <v>3728</v>
      </c>
      <c r="PLU611" s="17">
        <v>44925</v>
      </c>
      <c r="PLV611" s="5" t="s">
        <v>3728</v>
      </c>
      <c r="PLW611" s="17">
        <v>44925</v>
      </c>
      <c r="PLX611" s="5" t="s">
        <v>3728</v>
      </c>
      <c r="PLY611" s="17">
        <v>44925</v>
      </c>
      <c r="PLZ611" s="5" t="s">
        <v>3728</v>
      </c>
      <c r="PMA611" s="17">
        <v>44925</v>
      </c>
      <c r="PMB611" s="5" t="s">
        <v>3728</v>
      </c>
      <c r="PMC611" s="17">
        <v>44925</v>
      </c>
      <c r="PMD611" s="5" t="s">
        <v>3728</v>
      </c>
      <c r="PME611" s="17">
        <v>44925</v>
      </c>
      <c r="PMF611" s="5" t="s">
        <v>3728</v>
      </c>
      <c r="PMG611" s="17">
        <v>44925</v>
      </c>
      <c r="PMH611" s="5" t="s">
        <v>3728</v>
      </c>
      <c r="PMI611" s="17">
        <v>44925</v>
      </c>
      <c r="PMJ611" s="5" t="s">
        <v>3728</v>
      </c>
      <c r="PMK611" s="17">
        <v>44925</v>
      </c>
      <c r="PML611" s="5" t="s">
        <v>3728</v>
      </c>
      <c r="PMM611" s="17">
        <v>44925</v>
      </c>
      <c r="PMN611" s="5" t="s">
        <v>3728</v>
      </c>
      <c r="PMO611" s="17">
        <v>44925</v>
      </c>
      <c r="PMP611" s="5" t="s">
        <v>3728</v>
      </c>
      <c r="PMQ611" s="17">
        <v>44925</v>
      </c>
      <c r="PMR611" s="5" t="s">
        <v>3728</v>
      </c>
      <c r="PMS611" s="17">
        <v>44925</v>
      </c>
      <c r="PMT611" s="5" t="s">
        <v>3728</v>
      </c>
      <c r="PMU611" s="17">
        <v>44925</v>
      </c>
      <c r="PMV611" s="5" t="s">
        <v>3728</v>
      </c>
      <c r="PMW611" s="17">
        <v>44925</v>
      </c>
      <c r="PMX611" s="5" t="s">
        <v>3728</v>
      </c>
      <c r="PMY611" s="17">
        <v>44925</v>
      </c>
      <c r="PMZ611" s="5" t="s">
        <v>3728</v>
      </c>
      <c r="PNA611" s="17">
        <v>44925</v>
      </c>
      <c r="PNB611" s="5" t="s">
        <v>3728</v>
      </c>
      <c r="PNC611" s="17">
        <v>44925</v>
      </c>
      <c r="PND611" s="5" t="s">
        <v>3728</v>
      </c>
      <c r="PNE611" s="17">
        <v>44925</v>
      </c>
      <c r="PNF611" s="5" t="s">
        <v>3728</v>
      </c>
      <c r="PNG611" s="17">
        <v>44925</v>
      </c>
      <c r="PNH611" s="5" t="s">
        <v>3728</v>
      </c>
      <c r="PNI611" s="17">
        <v>44925</v>
      </c>
      <c r="PNJ611" s="5" t="s">
        <v>3728</v>
      </c>
      <c r="PNK611" s="17">
        <v>44925</v>
      </c>
      <c r="PNL611" s="5" t="s">
        <v>3728</v>
      </c>
      <c r="PNM611" s="17">
        <v>44925</v>
      </c>
      <c r="PNN611" s="5" t="s">
        <v>3728</v>
      </c>
      <c r="PNO611" s="17">
        <v>44925</v>
      </c>
      <c r="PNP611" s="5" t="s">
        <v>3728</v>
      </c>
      <c r="PNQ611" s="17">
        <v>44925</v>
      </c>
      <c r="PNR611" s="5" t="s">
        <v>3728</v>
      </c>
      <c r="PNS611" s="17">
        <v>44925</v>
      </c>
      <c r="PNT611" s="5" t="s">
        <v>3728</v>
      </c>
      <c r="PNU611" s="17">
        <v>44925</v>
      </c>
      <c r="PNV611" s="5" t="s">
        <v>3728</v>
      </c>
      <c r="PNW611" s="17">
        <v>44925</v>
      </c>
      <c r="PNX611" s="5" t="s">
        <v>3728</v>
      </c>
      <c r="PNY611" s="17">
        <v>44925</v>
      </c>
      <c r="PNZ611" s="5" t="s">
        <v>3728</v>
      </c>
      <c r="POA611" s="17">
        <v>44925</v>
      </c>
      <c r="POB611" s="5" t="s">
        <v>3728</v>
      </c>
      <c r="POC611" s="17">
        <v>44925</v>
      </c>
      <c r="POD611" s="5" t="s">
        <v>3728</v>
      </c>
      <c r="POE611" s="17">
        <v>44925</v>
      </c>
      <c r="POF611" s="5" t="s">
        <v>3728</v>
      </c>
      <c r="POG611" s="17">
        <v>44925</v>
      </c>
      <c r="POH611" s="5" t="s">
        <v>3728</v>
      </c>
      <c r="POI611" s="17">
        <v>44925</v>
      </c>
      <c r="POJ611" s="5" t="s">
        <v>3728</v>
      </c>
      <c r="POK611" s="17">
        <v>44925</v>
      </c>
      <c r="POL611" s="5" t="s">
        <v>3728</v>
      </c>
      <c r="POM611" s="17">
        <v>44925</v>
      </c>
      <c r="PON611" s="5" t="s">
        <v>3728</v>
      </c>
      <c r="POO611" s="17">
        <v>44925</v>
      </c>
      <c r="POP611" s="5" t="s">
        <v>3728</v>
      </c>
      <c r="POQ611" s="17">
        <v>44925</v>
      </c>
      <c r="POR611" s="5" t="s">
        <v>3728</v>
      </c>
      <c r="POS611" s="17">
        <v>44925</v>
      </c>
      <c r="POT611" s="5" t="s">
        <v>3728</v>
      </c>
      <c r="POU611" s="17">
        <v>44925</v>
      </c>
      <c r="POV611" s="5" t="s">
        <v>3728</v>
      </c>
      <c r="POW611" s="17">
        <v>44925</v>
      </c>
      <c r="POX611" s="5" t="s">
        <v>3728</v>
      </c>
      <c r="POY611" s="17">
        <v>44925</v>
      </c>
      <c r="POZ611" s="5" t="s">
        <v>3728</v>
      </c>
      <c r="PPA611" s="17">
        <v>44925</v>
      </c>
      <c r="PPB611" s="5" t="s">
        <v>3728</v>
      </c>
      <c r="PPC611" s="17">
        <v>44925</v>
      </c>
      <c r="PPD611" s="5" t="s">
        <v>3728</v>
      </c>
      <c r="PPE611" s="17">
        <v>44925</v>
      </c>
      <c r="PPF611" s="5" t="s">
        <v>3728</v>
      </c>
      <c r="PPG611" s="17">
        <v>44925</v>
      </c>
      <c r="PPH611" s="5" t="s">
        <v>3728</v>
      </c>
      <c r="PPI611" s="17">
        <v>44925</v>
      </c>
      <c r="PPJ611" s="5" t="s">
        <v>3728</v>
      </c>
      <c r="PPK611" s="17">
        <v>44925</v>
      </c>
      <c r="PPL611" s="5" t="s">
        <v>3728</v>
      </c>
      <c r="PPM611" s="17">
        <v>44925</v>
      </c>
      <c r="PPN611" s="5" t="s">
        <v>3728</v>
      </c>
      <c r="PPO611" s="17">
        <v>44925</v>
      </c>
      <c r="PPP611" s="5" t="s">
        <v>3728</v>
      </c>
      <c r="PPQ611" s="17">
        <v>44925</v>
      </c>
      <c r="PPR611" s="5" t="s">
        <v>3728</v>
      </c>
      <c r="PPS611" s="17">
        <v>44925</v>
      </c>
      <c r="PPT611" s="5" t="s">
        <v>3728</v>
      </c>
      <c r="PPU611" s="17">
        <v>44925</v>
      </c>
      <c r="PPV611" s="5" t="s">
        <v>3728</v>
      </c>
      <c r="PPW611" s="17">
        <v>44925</v>
      </c>
      <c r="PPX611" s="5" t="s">
        <v>3728</v>
      </c>
      <c r="PPY611" s="17">
        <v>44925</v>
      </c>
      <c r="PPZ611" s="5" t="s">
        <v>3728</v>
      </c>
      <c r="PQA611" s="17">
        <v>44925</v>
      </c>
      <c r="PQB611" s="5" t="s">
        <v>3728</v>
      </c>
      <c r="PQC611" s="17">
        <v>44925</v>
      </c>
      <c r="PQD611" s="5" t="s">
        <v>3728</v>
      </c>
      <c r="PQE611" s="17">
        <v>44925</v>
      </c>
      <c r="PQF611" s="5" t="s">
        <v>3728</v>
      </c>
      <c r="PQG611" s="17">
        <v>44925</v>
      </c>
      <c r="PQH611" s="5" t="s">
        <v>3728</v>
      </c>
      <c r="PQI611" s="17">
        <v>44925</v>
      </c>
      <c r="PQJ611" s="5" t="s">
        <v>3728</v>
      </c>
      <c r="PQK611" s="17">
        <v>44925</v>
      </c>
      <c r="PQL611" s="5" t="s">
        <v>3728</v>
      </c>
      <c r="PQM611" s="17">
        <v>44925</v>
      </c>
      <c r="PQN611" s="5" t="s">
        <v>3728</v>
      </c>
      <c r="PQO611" s="17">
        <v>44925</v>
      </c>
      <c r="PQP611" s="5" t="s">
        <v>3728</v>
      </c>
      <c r="PQQ611" s="17">
        <v>44925</v>
      </c>
      <c r="PQR611" s="5" t="s">
        <v>3728</v>
      </c>
      <c r="PQS611" s="17">
        <v>44925</v>
      </c>
      <c r="PQT611" s="5" t="s">
        <v>3728</v>
      </c>
      <c r="PQU611" s="17">
        <v>44925</v>
      </c>
      <c r="PQV611" s="5" t="s">
        <v>3728</v>
      </c>
      <c r="PQW611" s="17">
        <v>44925</v>
      </c>
      <c r="PQX611" s="5" t="s">
        <v>3728</v>
      </c>
      <c r="PQY611" s="17">
        <v>44925</v>
      </c>
      <c r="PQZ611" s="5" t="s">
        <v>3728</v>
      </c>
      <c r="PRA611" s="17">
        <v>44925</v>
      </c>
      <c r="PRB611" s="5" t="s">
        <v>3728</v>
      </c>
      <c r="PRC611" s="17">
        <v>44925</v>
      </c>
      <c r="PRD611" s="5" t="s">
        <v>3728</v>
      </c>
      <c r="PRE611" s="17">
        <v>44925</v>
      </c>
      <c r="PRF611" s="5" t="s">
        <v>3728</v>
      </c>
      <c r="PRG611" s="17">
        <v>44925</v>
      </c>
      <c r="PRH611" s="5" t="s">
        <v>3728</v>
      </c>
      <c r="PRI611" s="17">
        <v>44925</v>
      </c>
      <c r="PRJ611" s="5" t="s">
        <v>3728</v>
      </c>
      <c r="PRK611" s="17">
        <v>44925</v>
      </c>
      <c r="PRL611" s="5" t="s">
        <v>3728</v>
      </c>
      <c r="PRM611" s="17">
        <v>44925</v>
      </c>
      <c r="PRN611" s="5" t="s">
        <v>3728</v>
      </c>
      <c r="PRO611" s="17">
        <v>44925</v>
      </c>
      <c r="PRP611" s="5" t="s">
        <v>3728</v>
      </c>
      <c r="PRQ611" s="17">
        <v>44925</v>
      </c>
      <c r="PRR611" s="5" t="s">
        <v>3728</v>
      </c>
      <c r="PRS611" s="17">
        <v>44925</v>
      </c>
      <c r="PRT611" s="5" t="s">
        <v>3728</v>
      </c>
      <c r="PRU611" s="17">
        <v>44925</v>
      </c>
      <c r="PRV611" s="5" t="s">
        <v>3728</v>
      </c>
      <c r="PRW611" s="17">
        <v>44925</v>
      </c>
      <c r="PRX611" s="5" t="s">
        <v>3728</v>
      </c>
      <c r="PRY611" s="17">
        <v>44925</v>
      </c>
      <c r="PRZ611" s="5" t="s">
        <v>3728</v>
      </c>
      <c r="PSA611" s="17">
        <v>44925</v>
      </c>
      <c r="PSB611" s="5" t="s">
        <v>3728</v>
      </c>
      <c r="PSC611" s="17">
        <v>44925</v>
      </c>
      <c r="PSD611" s="5" t="s">
        <v>3728</v>
      </c>
      <c r="PSE611" s="17">
        <v>44925</v>
      </c>
      <c r="PSF611" s="5" t="s">
        <v>3728</v>
      </c>
      <c r="PSG611" s="17">
        <v>44925</v>
      </c>
      <c r="PSH611" s="5" t="s">
        <v>3728</v>
      </c>
      <c r="PSI611" s="17">
        <v>44925</v>
      </c>
      <c r="PSJ611" s="5" t="s">
        <v>3728</v>
      </c>
      <c r="PSK611" s="17">
        <v>44925</v>
      </c>
      <c r="PSL611" s="5" t="s">
        <v>3728</v>
      </c>
      <c r="PSM611" s="17">
        <v>44925</v>
      </c>
      <c r="PSN611" s="5" t="s">
        <v>3728</v>
      </c>
      <c r="PSO611" s="17">
        <v>44925</v>
      </c>
      <c r="PSP611" s="5" t="s">
        <v>3728</v>
      </c>
      <c r="PSQ611" s="17">
        <v>44925</v>
      </c>
      <c r="PSR611" s="5" t="s">
        <v>3728</v>
      </c>
      <c r="PSS611" s="17">
        <v>44925</v>
      </c>
      <c r="PST611" s="5" t="s">
        <v>3728</v>
      </c>
      <c r="PSU611" s="17">
        <v>44925</v>
      </c>
      <c r="PSV611" s="5" t="s">
        <v>3728</v>
      </c>
      <c r="PSW611" s="17">
        <v>44925</v>
      </c>
      <c r="PSX611" s="5" t="s">
        <v>3728</v>
      </c>
      <c r="PSY611" s="17">
        <v>44925</v>
      </c>
      <c r="PSZ611" s="5" t="s">
        <v>3728</v>
      </c>
      <c r="PTA611" s="17">
        <v>44925</v>
      </c>
      <c r="PTB611" s="5" t="s">
        <v>3728</v>
      </c>
      <c r="PTC611" s="17">
        <v>44925</v>
      </c>
      <c r="PTD611" s="5" t="s">
        <v>3728</v>
      </c>
      <c r="PTE611" s="17">
        <v>44925</v>
      </c>
      <c r="PTF611" s="5" t="s">
        <v>3728</v>
      </c>
      <c r="PTG611" s="17">
        <v>44925</v>
      </c>
      <c r="PTH611" s="5" t="s">
        <v>3728</v>
      </c>
      <c r="PTI611" s="17">
        <v>44925</v>
      </c>
      <c r="PTJ611" s="5" t="s">
        <v>3728</v>
      </c>
      <c r="PTK611" s="17">
        <v>44925</v>
      </c>
      <c r="PTL611" s="5" t="s">
        <v>3728</v>
      </c>
      <c r="PTM611" s="17">
        <v>44925</v>
      </c>
      <c r="PTN611" s="5" t="s">
        <v>3728</v>
      </c>
      <c r="PTO611" s="17">
        <v>44925</v>
      </c>
      <c r="PTP611" s="5" t="s">
        <v>3728</v>
      </c>
      <c r="PTQ611" s="17">
        <v>44925</v>
      </c>
      <c r="PTR611" s="5" t="s">
        <v>3728</v>
      </c>
      <c r="PTS611" s="17">
        <v>44925</v>
      </c>
      <c r="PTT611" s="5" t="s">
        <v>3728</v>
      </c>
      <c r="PTU611" s="17">
        <v>44925</v>
      </c>
      <c r="PTV611" s="5" t="s">
        <v>3728</v>
      </c>
      <c r="PTW611" s="17">
        <v>44925</v>
      </c>
      <c r="PTX611" s="5" t="s">
        <v>3728</v>
      </c>
      <c r="PTY611" s="17">
        <v>44925</v>
      </c>
      <c r="PTZ611" s="5" t="s">
        <v>3728</v>
      </c>
      <c r="PUA611" s="17">
        <v>44925</v>
      </c>
      <c r="PUB611" s="5" t="s">
        <v>3728</v>
      </c>
      <c r="PUC611" s="17">
        <v>44925</v>
      </c>
      <c r="PUD611" s="5" t="s">
        <v>3728</v>
      </c>
      <c r="PUE611" s="17">
        <v>44925</v>
      </c>
      <c r="PUF611" s="5" t="s">
        <v>3728</v>
      </c>
      <c r="PUG611" s="17">
        <v>44925</v>
      </c>
      <c r="PUH611" s="5" t="s">
        <v>3728</v>
      </c>
      <c r="PUI611" s="17">
        <v>44925</v>
      </c>
      <c r="PUJ611" s="5" t="s">
        <v>3728</v>
      </c>
      <c r="PUK611" s="17">
        <v>44925</v>
      </c>
      <c r="PUL611" s="5" t="s">
        <v>3728</v>
      </c>
      <c r="PUM611" s="17">
        <v>44925</v>
      </c>
      <c r="PUN611" s="5" t="s">
        <v>3728</v>
      </c>
      <c r="PUO611" s="17">
        <v>44925</v>
      </c>
      <c r="PUP611" s="5" t="s">
        <v>3728</v>
      </c>
      <c r="PUQ611" s="17">
        <v>44925</v>
      </c>
      <c r="PUR611" s="5" t="s">
        <v>3728</v>
      </c>
      <c r="PUS611" s="17">
        <v>44925</v>
      </c>
      <c r="PUT611" s="5" t="s">
        <v>3728</v>
      </c>
      <c r="PUU611" s="17">
        <v>44925</v>
      </c>
      <c r="PUV611" s="5" t="s">
        <v>3728</v>
      </c>
      <c r="PUW611" s="17">
        <v>44925</v>
      </c>
      <c r="PUX611" s="5" t="s">
        <v>3728</v>
      </c>
      <c r="PUY611" s="17">
        <v>44925</v>
      </c>
      <c r="PUZ611" s="5" t="s">
        <v>3728</v>
      </c>
      <c r="PVA611" s="17">
        <v>44925</v>
      </c>
      <c r="PVB611" s="5" t="s">
        <v>3728</v>
      </c>
      <c r="PVC611" s="17">
        <v>44925</v>
      </c>
      <c r="PVD611" s="5" t="s">
        <v>3728</v>
      </c>
      <c r="PVE611" s="17">
        <v>44925</v>
      </c>
      <c r="PVF611" s="5" t="s">
        <v>3728</v>
      </c>
      <c r="PVG611" s="17">
        <v>44925</v>
      </c>
      <c r="PVH611" s="5" t="s">
        <v>3728</v>
      </c>
      <c r="PVI611" s="17">
        <v>44925</v>
      </c>
      <c r="PVJ611" s="5" t="s">
        <v>3728</v>
      </c>
      <c r="PVK611" s="17">
        <v>44925</v>
      </c>
      <c r="PVL611" s="5" t="s">
        <v>3728</v>
      </c>
      <c r="PVM611" s="17">
        <v>44925</v>
      </c>
      <c r="PVN611" s="5" t="s">
        <v>3728</v>
      </c>
      <c r="PVO611" s="17">
        <v>44925</v>
      </c>
      <c r="PVP611" s="5" t="s">
        <v>3728</v>
      </c>
      <c r="PVQ611" s="17">
        <v>44925</v>
      </c>
      <c r="PVR611" s="5" t="s">
        <v>3728</v>
      </c>
      <c r="PVS611" s="17">
        <v>44925</v>
      </c>
      <c r="PVT611" s="5" t="s">
        <v>3728</v>
      </c>
      <c r="PVU611" s="17">
        <v>44925</v>
      </c>
      <c r="PVV611" s="5" t="s">
        <v>3728</v>
      </c>
      <c r="PVW611" s="17">
        <v>44925</v>
      </c>
      <c r="PVX611" s="5" t="s">
        <v>3728</v>
      </c>
      <c r="PVY611" s="17">
        <v>44925</v>
      </c>
      <c r="PVZ611" s="5" t="s">
        <v>3728</v>
      </c>
      <c r="PWA611" s="17">
        <v>44925</v>
      </c>
      <c r="PWB611" s="5" t="s">
        <v>3728</v>
      </c>
      <c r="PWC611" s="17">
        <v>44925</v>
      </c>
      <c r="PWD611" s="5" t="s">
        <v>3728</v>
      </c>
      <c r="PWE611" s="17">
        <v>44925</v>
      </c>
      <c r="PWF611" s="5" t="s">
        <v>3728</v>
      </c>
      <c r="PWG611" s="17">
        <v>44925</v>
      </c>
      <c r="PWH611" s="5" t="s">
        <v>3728</v>
      </c>
      <c r="PWI611" s="17">
        <v>44925</v>
      </c>
      <c r="PWJ611" s="5" t="s">
        <v>3728</v>
      </c>
      <c r="PWK611" s="17">
        <v>44925</v>
      </c>
      <c r="PWL611" s="5" t="s">
        <v>3728</v>
      </c>
      <c r="PWM611" s="17">
        <v>44925</v>
      </c>
      <c r="PWN611" s="5" t="s">
        <v>3728</v>
      </c>
      <c r="PWO611" s="17">
        <v>44925</v>
      </c>
      <c r="PWP611" s="5" t="s">
        <v>3728</v>
      </c>
      <c r="PWQ611" s="17">
        <v>44925</v>
      </c>
      <c r="PWR611" s="5" t="s">
        <v>3728</v>
      </c>
      <c r="PWS611" s="17">
        <v>44925</v>
      </c>
      <c r="PWT611" s="5" t="s">
        <v>3728</v>
      </c>
      <c r="PWU611" s="17">
        <v>44925</v>
      </c>
      <c r="PWV611" s="5" t="s">
        <v>3728</v>
      </c>
      <c r="PWW611" s="17">
        <v>44925</v>
      </c>
      <c r="PWX611" s="5" t="s">
        <v>3728</v>
      </c>
      <c r="PWY611" s="17">
        <v>44925</v>
      </c>
      <c r="PWZ611" s="5" t="s">
        <v>3728</v>
      </c>
      <c r="PXA611" s="17">
        <v>44925</v>
      </c>
      <c r="PXB611" s="5" t="s">
        <v>3728</v>
      </c>
      <c r="PXC611" s="17">
        <v>44925</v>
      </c>
      <c r="PXD611" s="5" t="s">
        <v>3728</v>
      </c>
      <c r="PXE611" s="17">
        <v>44925</v>
      </c>
      <c r="PXF611" s="5" t="s">
        <v>3728</v>
      </c>
      <c r="PXG611" s="17">
        <v>44925</v>
      </c>
      <c r="PXH611" s="5" t="s">
        <v>3728</v>
      </c>
      <c r="PXI611" s="17">
        <v>44925</v>
      </c>
      <c r="PXJ611" s="5" t="s">
        <v>3728</v>
      </c>
      <c r="PXK611" s="17">
        <v>44925</v>
      </c>
      <c r="PXL611" s="5" t="s">
        <v>3728</v>
      </c>
      <c r="PXM611" s="17">
        <v>44925</v>
      </c>
      <c r="PXN611" s="5" t="s">
        <v>3728</v>
      </c>
      <c r="PXO611" s="17">
        <v>44925</v>
      </c>
      <c r="PXP611" s="5" t="s">
        <v>3728</v>
      </c>
      <c r="PXQ611" s="17">
        <v>44925</v>
      </c>
      <c r="PXR611" s="5" t="s">
        <v>3728</v>
      </c>
      <c r="PXS611" s="17">
        <v>44925</v>
      </c>
      <c r="PXT611" s="5" t="s">
        <v>3728</v>
      </c>
      <c r="PXU611" s="17">
        <v>44925</v>
      </c>
      <c r="PXV611" s="5" t="s">
        <v>3728</v>
      </c>
      <c r="PXW611" s="17">
        <v>44925</v>
      </c>
      <c r="PXX611" s="5" t="s">
        <v>3728</v>
      </c>
      <c r="PXY611" s="17">
        <v>44925</v>
      </c>
      <c r="PXZ611" s="5" t="s">
        <v>3728</v>
      </c>
      <c r="PYA611" s="17">
        <v>44925</v>
      </c>
      <c r="PYB611" s="5" t="s">
        <v>3728</v>
      </c>
      <c r="PYC611" s="17">
        <v>44925</v>
      </c>
      <c r="PYD611" s="5" t="s">
        <v>3728</v>
      </c>
      <c r="PYE611" s="17">
        <v>44925</v>
      </c>
      <c r="PYF611" s="5" t="s">
        <v>3728</v>
      </c>
      <c r="PYG611" s="17">
        <v>44925</v>
      </c>
      <c r="PYH611" s="5" t="s">
        <v>3728</v>
      </c>
      <c r="PYI611" s="17">
        <v>44925</v>
      </c>
      <c r="PYJ611" s="5" t="s">
        <v>3728</v>
      </c>
      <c r="PYK611" s="17">
        <v>44925</v>
      </c>
      <c r="PYL611" s="5" t="s">
        <v>3728</v>
      </c>
      <c r="PYM611" s="17">
        <v>44925</v>
      </c>
      <c r="PYN611" s="5" t="s">
        <v>3728</v>
      </c>
      <c r="PYO611" s="17">
        <v>44925</v>
      </c>
      <c r="PYP611" s="5" t="s">
        <v>3728</v>
      </c>
      <c r="PYQ611" s="17">
        <v>44925</v>
      </c>
      <c r="PYR611" s="5" t="s">
        <v>3728</v>
      </c>
      <c r="PYS611" s="17">
        <v>44925</v>
      </c>
      <c r="PYT611" s="5" t="s">
        <v>3728</v>
      </c>
      <c r="PYU611" s="17">
        <v>44925</v>
      </c>
      <c r="PYV611" s="5" t="s">
        <v>3728</v>
      </c>
      <c r="PYW611" s="17">
        <v>44925</v>
      </c>
      <c r="PYX611" s="5" t="s">
        <v>3728</v>
      </c>
      <c r="PYY611" s="17">
        <v>44925</v>
      </c>
      <c r="PYZ611" s="5" t="s">
        <v>3728</v>
      </c>
      <c r="PZA611" s="17">
        <v>44925</v>
      </c>
      <c r="PZB611" s="5" t="s">
        <v>3728</v>
      </c>
      <c r="PZC611" s="17">
        <v>44925</v>
      </c>
      <c r="PZD611" s="5" t="s">
        <v>3728</v>
      </c>
      <c r="PZE611" s="17">
        <v>44925</v>
      </c>
      <c r="PZF611" s="5" t="s">
        <v>3728</v>
      </c>
      <c r="PZG611" s="17">
        <v>44925</v>
      </c>
      <c r="PZH611" s="5" t="s">
        <v>3728</v>
      </c>
      <c r="PZI611" s="17">
        <v>44925</v>
      </c>
      <c r="PZJ611" s="5" t="s">
        <v>3728</v>
      </c>
      <c r="PZK611" s="17">
        <v>44925</v>
      </c>
      <c r="PZL611" s="5" t="s">
        <v>3728</v>
      </c>
      <c r="PZM611" s="17">
        <v>44925</v>
      </c>
      <c r="PZN611" s="5" t="s">
        <v>3728</v>
      </c>
      <c r="PZO611" s="17">
        <v>44925</v>
      </c>
      <c r="PZP611" s="5" t="s">
        <v>3728</v>
      </c>
      <c r="PZQ611" s="17">
        <v>44925</v>
      </c>
      <c r="PZR611" s="5" t="s">
        <v>3728</v>
      </c>
      <c r="PZS611" s="17">
        <v>44925</v>
      </c>
      <c r="PZT611" s="5" t="s">
        <v>3728</v>
      </c>
      <c r="PZU611" s="17">
        <v>44925</v>
      </c>
      <c r="PZV611" s="5" t="s">
        <v>3728</v>
      </c>
      <c r="PZW611" s="17">
        <v>44925</v>
      </c>
      <c r="PZX611" s="5" t="s">
        <v>3728</v>
      </c>
      <c r="PZY611" s="17">
        <v>44925</v>
      </c>
      <c r="PZZ611" s="5" t="s">
        <v>3728</v>
      </c>
      <c r="QAA611" s="17">
        <v>44925</v>
      </c>
      <c r="QAB611" s="5" t="s">
        <v>3728</v>
      </c>
      <c r="QAC611" s="17">
        <v>44925</v>
      </c>
      <c r="QAD611" s="5" t="s">
        <v>3728</v>
      </c>
      <c r="QAE611" s="17">
        <v>44925</v>
      </c>
      <c r="QAF611" s="5" t="s">
        <v>3728</v>
      </c>
      <c r="QAG611" s="17">
        <v>44925</v>
      </c>
      <c r="QAH611" s="5" t="s">
        <v>3728</v>
      </c>
      <c r="QAI611" s="17">
        <v>44925</v>
      </c>
      <c r="QAJ611" s="5" t="s">
        <v>3728</v>
      </c>
      <c r="QAK611" s="17">
        <v>44925</v>
      </c>
      <c r="QAL611" s="5" t="s">
        <v>3728</v>
      </c>
      <c r="QAM611" s="17">
        <v>44925</v>
      </c>
      <c r="QAN611" s="5" t="s">
        <v>3728</v>
      </c>
      <c r="QAO611" s="17">
        <v>44925</v>
      </c>
      <c r="QAP611" s="5" t="s">
        <v>3728</v>
      </c>
      <c r="QAQ611" s="17">
        <v>44925</v>
      </c>
      <c r="QAR611" s="5" t="s">
        <v>3728</v>
      </c>
      <c r="QAS611" s="17">
        <v>44925</v>
      </c>
      <c r="QAT611" s="5" t="s">
        <v>3728</v>
      </c>
      <c r="QAU611" s="17">
        <v>44925</v>
      </c>
      <c r="QAV611" s="5" t="s">
        <v>3728</v>
      </c>
      <c r="QAW611" s="17">
        <v>44925</v>
      </c>
      <c r="QAX611" s="5" t="s">
        <v>3728</v>
      </c>
      <c r="QAY611" s="17">
        <v>44925</v>
      </c>
      <c r="QAZ611" s="5" t="s">
        <v>3728</v>
      </c>
      <c r="QBA611" s="17">
        <v>44925</v>
      </c>
      <c r="QBB611" s="5" t="s">
        <v>3728</v>
      </c>
      <c r="QBC611" s="17">
        <v>44925</v>
      </c>
      <c r="QBD611" s="5" t="s">
        <v>3728</v>
      </c>
      <c r="QBE611" s="17">
        <v>44925</v>
      </c>
      <c r="QBF611" s="5" t="s">
        <v>3728</v>
      </c>
      <c r="QBG611" s="17">
        <v>44925</v>
      </c>
      <c r="QBH611" s="5" t="s">
        <v>3728</v>
      </c>
      <c r="QBI611" s="17">
        <v>44925</v>
      </c>
      <c r="QBJ611" s="5" t="s">
        <v>3728</v>
      </c>
      <c r="QBK611" s="17">
        <v>44925</v>
      </c>
      <c r="QBL611" s="5" t="s">
        <v>3728</v>
      </c>
      <c r="QBM611" s="17">
        <v>44925</v>
      </c>
      <c r="QBN611" s="5" t="s">
        <v>3728</v>
      </c>
      <c r="QBO611" s="17">
        <v>44925</v>
      </c>
      <c r="QBP611" s="5" t="s">
        <v>3728</v>
      </c>
      <c r="QBQ611" s="17">
        <v>44925</v>
      </c>
      <c r="QBR611" s="5" t="s">
        <v>3728</v>
      </c>
      <c r="QBS611" s="17">
        <v>44925</v>
      </c>
      <c r="QBT611" s="5" t="s">
        <v>3728</v>
      </c>
      <c r="QBU611" s="17">
        <v>44925</v>
      </c>
      <c r="QBV611" s="5" t="s">
        <v>3728</v>
      </c>
      <c r="QBW611" s="17">
        <v>44925</v>
      </c>
      <c r="QBX611" s="5" t="s">
        <v>3728</v>
      </c>
      <c r="QBY611" s="17">
        <v>44925</v>
      </c>
      <c r="QBZ611" s="5" t="s">
        <v>3728</v>
      </c>
      <c r="QCA611" s="17">
        <v>44925</v>
      </c>
      <c r="QCB611" s="5" t="s">
        <v>3728</v>
      </c>
      <c r="QCC611" s="17">
        <v>44925</v>
      </c>
      <c r="QCD611" s="5" t="s">
        <v>3728</v>
      </c>
      <c r="QCE611" s="17">
        <v>44925</v>
      </c>
      <c r="QCF611" s="5" t="s">
        <v>3728</v>
      </c>
      <c r="QCG611" s="17">
        <v>44925</v>
      </c>
      <c r="QCH611" s="5" t="s">
        <v>3728</v>
      </c>
      <c r="QCI611" s="17">
        <v>44925</v>
      </c>
      <c r="QCJ611" s="5" t="s">
        <v>3728</v>
      </c>
      <c r="QCK611" s="17">
        <v>44925</v>
      </c>
      <c r="QCL611" s="5" t="s">
        <v>3728</v>
      </c>
      <c r="QCM611" s="17">
        <v>44925</v>
      </c>
      <c r="QCN611" s="5" t="s">
        <v>3728</v>
      </c>
      <c r="QCO611" s="17">
        <v>44925</v>
      </c>
      <c r="QCP611" s="5" t="s">
        <v>3728</v>
      </c>
      <c r="QCQ611" s="17">
        <v>44925</v>
      </c>
      <c r="QCR611" s="5" t="s">
        <v>3728</v>
      </c>
      <c r="QCS611" s="17">
        <v>44925</v>
      </c>
      <c r="QCT611" s="5" t="s">
        <v>3728</v>
      </c>
      <c r="QCU611" s="17">
        <v>44925</v>
      </c>
      <c r="QCV611" s="5" t="s">
        <v>3728</v>
      </c>
      <c r="QCW611" s="17">
        <v>44925</v>
      </c>
      <c r="QCX611" s="5" t="s">
        <v>3728</v>
      </c>
      <c r="QCY611" s="17">
        <v>44925</v>
      </c>
      <c r="QCZ611" s="5" t="s">
        <v>3728</v>
      </c>
      <c r="QDA611" s="17">
        <v>44925</v>
      </c>
      <c r="QDB611" s="5" t="s">
        <v>3728</v>
      </c>
      <c r="QDC611" s="17">
        <v>44925</v>
      </c>
      <c r="QDD611" s="5" t="s">
        <v>3728</v>
      </c>
      <c r="QDE611" s="17">
        <v>44925</v>
      </c>
      <c r="QDF611" s="5" t="s">
        <v>3728</v>
      </c>
      <c r="QDG611" s="17">
        <v>44925</v>
      </c>
      <c r="QDH611" s="5" t="s">
        <v>3728</v>
      </c>
      <c r="QDI611" s="17">
        <v>44925</v>
      </c>
      <c r="QDJ611" s="5" t="s">
        <v>3728</v>
      </c>
      <c r="QDK611" s="17">
        <v>44925</v>
      </c>
      <c r="QDL611" s="5" t="s">
        <v>3728</v>
      </c>
      <c r="QDM611" s="17">
        <v>44925</v>
      </c>
      <c r="QDN611" s="5" t="s">
        <v>3728</v>
      </c>
      <c r="QDO611" s="17">
        <v>44925</v>
      </c>
      <c r="QDP611" s="5" t="s">
        <v>3728</v>
      </c>
      <c r="QDQ611" s="17">
        <v>44925</v>
      </c>
      <c r="QDR611" s="5" t="s">
        <v>3728</v>
      </c>
      <c r="QDS611" s="17">
        <v>44925</v>
      </c>
      <c r="QDT611" s="5" t="s">
        <v>3728</v>
      </c>
      <c r="QDU611" s="17">
        <v>44925</v>
      </c>
      <c r="QDV611" s="5" t="s">
        <v>3728</v>
      </c>
      <c r="QDW611" s="17">
        <v>44925</v>
      </c>
      <c r="QDX611" s="5" t="s">
        <v>3728</v>
      </c>
      <c r="QDY611" s="17">
        <v>44925</v>
      </c>
      <c r="QDZ611" s="5" t="s">
        <v>3728</v>
      </c>
      <c r="QEA611" s="17">
        <v>44925</v>
      </c>
      <c r="QEB611" s="5" t="s">
        <v>3728</v>
      </c>
      <c r="QEC611" s="17">
        <v>44925</v>
      </c>
      <c r="QED611" s="5" t="s">
        <v>3728</v>
      </c>
      <c r="QEE611" s="17">
        <v>44925</v>
      </c>
      <c r="QEF611" s="5" t="s">
        <v>3728</v>
      </c>
      <c r="QEG611" s="17">
        <v>44925</v>
      </c>
      <c r="QEH611" s="5" t="s">
        <v>3728</v>
      </c>
      <c r="QEI611" s="17">
        <v>44925</v>
      </c>
      <c r="QEJ611" s="5" t="s">
        <v>3728</v>
      </c>
      <c r="QEK611" s="17">
        <v>44925</v>
      </c>
      <c r="QEL611" s="5" t="s">
        <v>3728</v>
      </c>
      <c r="QEM611" s="17">
        <v>44925</v>
      </c>
      <c r="QEN611" s="5" t="s">
        <v>3728</v>
      </c>
      <c r="QEO611" s="17">
        <v>44925</v>
      </c>
      <c r="QEP611" s="5" t="s">
        <v>3728</v>
      </c>
      <c r="QEQ611" s="17">
        <v>44925</v>
      </c>
      <c r="QER611" s="5" t="s">
        <v>3728</v>
      </c>
      <c r="QES611" s="17">
        <v>44925</v>
      </c>
      <c r="QET611" s="5" t="s">
        <v>3728</v>
      </c>
      <c r="QEU611" s="17">
        <v>44925</v>
      </c>
      <c r="QEV611" s="5" t="s">
        <v>3728</v>
      </c>
      <c r="QEW611" s="17">
        <v>44925</v>
      </c>
      <c r="QEX611" s="5" t="s">
        <v>3728</v>
      </c>
      <c r="QEY611" s="17">
        <v>44925</v>
      </c>
      <c r="QEZ611" s="5" t="s">
        <v>3728</v>
      </c>
      <c r="QFA611" s="17">
        <v>44925</v>
      </c>
      <c r="QFB611" s="5" t="s">
        <v>3728</v>
      </c>
      <c r="QFC611" s="17">
        <v>44925</v>
      </c>
      <c r="QFD611" s="5" t="s">
        <v>3728</v>
      </c>
      <c r="QFE611" s="17">
        <v>44925</v>
      </c>
      <c r="QFF611" s="5" t="s">
        <v>3728</v>
      </c>
      <c r="QFG611" s="17">
        <v>44925</v>
      </c>
      <c r="QFH611" s="5" t="s">
        <v>3728</v>
      </c>
      <c r="QFI611" s="17">
        <v>44925</v>
      </c>
      <c r="QFJ611" s="5" t="s">
        <v>3728</v>
      </c>
      <c r="QFK611" s="17">
        <v>44925</v>
      </c>
      <c r="QFL611" s="5" t="s">
        <v>3728</v>
      </c>
      <c r="QFM611" s="17">
        <v>44925</v>
      </c>
      <c r="QFN611" s="5" t="s">
        <v>3728</v>
      </c>
      <c r="QFO611" s="17">
        <v>44925</v>
      </c>
      <c r="QFP611" s="5" t="s">
        <v>3728</v>
      </c>
      <c r="QFQ611" s="17">
        <v>44925</v>
      </c>
      <c r="QFR611" s="5" t="s">
        <v>3728</v>
      </c>
      <c r="QFS611" s="17">
        <v>44925</v>
      </c>
      <c r="QFT611" s="5" t="s">
        <v>3728</v>
      </c>
      <c r="QFU611" s="17">
        <v>44925</v>
      </c>
      <c r="QFV611" s="5" t="s">
        <v>3728</v>
      </c>
      <c r="QFW611" s="17">
        <v>44925</v>
      </c>
      <c r="QFX611" s="5" t="s">
        <v>3728</v>
      </c>
      <c r="QFY611" s="17">
        <v>44925</v>
      </c>
      <c r="QFZ611" s="5" t="s">
        <v>3728</v>
      </c>
      <c r="QGA611" s="17">
        <v>44925</v>
      </c>
      <c r="QGB611" s="5" t="s">
        <v>3728</v>
      </c>
      <c r="QGC611" s="17">
        <v>44925</v>
      </c>
      <c r="QGD611" s="5" t="s">
        <v>3728</v>
      </c>
      <c r="QGE611" s="17">
        <v>44925</v>
      </c>
      <c r="QGF611" s="5" t="s">
        <v>3728</v>
      </c>
      <c r="QGG611" s="17">
        <v>44925</v>
      </c>
      <c r="QGH611" s="5" t="s">
        <v>3728</v>
      </c>
      <c r="QGI611" s="17">
        <v>44925</v>
      </c>
      <c r="QGJ611" s="5" t="s">
        <v>3728</v>
      </c>
      <c r="QGK611" s="17">
        <v>44925</v>
      </c>
      <c r="QGL611" s="5" t="s">
        <v>3728</v>
      </c>
      <c r="QGM611" s="17">
        <v>44925</v>
      </c>
      <c r="QGN611" s="5" t="s">
        <v>3728</v>
      </c>
      <c r="QGO611" s="17">
        <v>44925</v>
      </c>
      <c r="QGP611" s="5" t="s">
        <v>3728</v>
      </c>
      <c r="QGQ611" s="17">
        <v>44925</v>
      </c>
      <c r="QGR611" s="5" t="s">
        <v>3728</v>
      </c>
      <c r="QGS611" s="17">
        <v>44925</v>
      </c>
      <c r="QGT611" s="5" t="s">
        <v>3728</v>
      </c>
      <c r="QGU611" s="17">
        <v>44925</v>
      </c>
      <c r="QGV611" s="5" t="s">
        <v>3728</v>
      </c>
      <c r="QGW611" s="17">
        <v>44925</v>
      </c>
      <c r="QGX611" s="5" t="s">
        <v>3728</v>
      </c>
      <c r="QGY611" s="17">
        <v>44925</v>
      </c>
      <c r="QGZ611" s="5" t="s">
        <v>3728</v>
      </c>
      <c r="QHA611" s="17">
        <v>44925</v>
      </c>
      <c r="QHB611" s="5" t="s">
        <v>3728</v>
      </c>
      <c r="QHC611" s="17">
        <v>44925</v>
      </c>
      <c r="QHD611" s="5" t="s">
        <v>3728</v>
      </c>
      <c r="QHE611" s="17">
        <v>44925</v>
      </c>
      <c r="QHF611" s="5" t="s">
        <v>3728</v>
      </c>
      <c r="QHG611" s="17">
        <v>44925</v>
      </c>
      <c r="QHH611" s="5" t="s">
        <v>3728</v>
      </c>
      <c r="QHI611" s="17">
        <v>44925</v>
      </c>
      <c r="QHJ611" s="5" t="s">
        <v>3728</v>
      </c>
      <c r="QHK611" s="17">
        <v>44925</v>
      </c>
      <c r="QHL611" s="5" t="s">
        <v>3728</v>
      </c>
      <c r="QHM611" s="17">
        <v>44925</v>
      </c>
      <c r="QHN611" s="5" t="s">
        <v>3728</v>
      </c>
      <c r="QHO611" s="17">
        <v>44925</v>
      </c>
      <c r="QHP611" s="5" t="s">
        <v>3728</v>
      </c>
      <c r="QHQ611" s="17">
        <v>44925</v>
      </c>
      <c r="QHR611" s="5" t="s">
        <v>3728</v>
      </c>
      <c r="QHS611" s="17">
        <v>44925</v>
      </c>
      <c r="QHT611" s="5" t="s">
        <v>3728</v>
      </c>
      <c r="QHU611" s="17">
        <v>44925</v>
      </c>
      <c r="QHV611" s="5" t="s">
        <v>3728</v>
      </c>
      <c r="QHW611" s="17">
        <v>44925</v>
      </c>
      <c r="QHX611" s="5" t="s">
        <v>3728</v>
      </c>
      <c r="QHY611" s="17">
        <v>44925</v>
      </c>
      <c r="QHZ611" s="5" t="s">
        <v>3728</v>
      </c>
      <c r="QIA611" s="17">
        <v>44925</v>
      </c>
      <c r="QIB611" s="5" t="s">
        <v>3728</v>
      </c>
      <c r="QIC611" s="17">
        <v>44925</v>
      </c>
      <c r="QID611" s="5" t="s">
        <v>3728</v>
      </c>
      <c r="QIE611" s="17">
        <v>44925</v>
      </c>
      <c r="QIF611" s="5" t="s">
        <v>3728</v>
      </c>
      <c r="QIG611" s="17">
        <v>44925</v>
      </c>
      <c r="QIH611" s="5" t="s">
        <v>3728</v>
      </c>
      <c r="QII611" s="17">
        <v>44925</v>
      </c>
      <c r="QIJ611" s="5" t="s">
        <v>3728</v>
      </c>
      <c r="QIK611" s="17">
        <v>44925</v>
      </c>
      <c r="QIL611" s="5" t="s">
        <v>3728</v>
      </c>
      <c r="QIM611" s="17">
        <v>44925</v>
      </c>
      <c r="QIN611" s="5" t="s">
        <v>3728</v>
      </c>
      <c r="QIO611" s="17">
        <v>44925</v>
      </c>
      <c r="QIP611" s="5" t="s">
        <v>3728</v>
      </c>
      <c r="QIQ611" s="17">
        <v>44925</v>
      </c>
      <c r="QIR611" s="5" t="s">
        <v>3728</v>
      </c>
      <c r="QIS611" s="17">
        <v>44925</v>
      </c>
      <c r="QIT611" s="5" t="s">
        <v>3728</v>
      </c>
      <c r="QIU611" s="17">
        <v>44925</v>
      </c>
      <c r="QIV611" s="5" t="s">
        <v>3728</v>
      </c>
      <c r="QIW611" s="17">
        <v>44925</v>
      </c>
      <c r="QIX611" s="5" t="s">
        <v>3728</v>
      </c>
      <c r="QIY611" s="17">
        <v>44925</v>
      </c>
      <c r="QIZ611" s="5" t="s">
        <v>3728</v>
      </c>
      <c r="QJA611" s="17">
        <v>44925</v>
      </c>
      <c r="QJB611" s="5" t="s">
        <v>3728</v>
      </c>
      <c r="QJC611" s="17">
        <v>44925</v>
      </c>
      <c r="QJD611" s="5" t="s">
        <v>3728</v>
      </c>
      <c r="QJE611" s="17">
        <v>44925</v>
      </c>
      <c r="QJF611" s="5" t="s">
        <v>3728</v>
      </c>
      <c r="QJG611" s="17">
        <v>44925</v>
      </c>
      <c r="QJH611" s="5" t="s">
        <v>3728</v>
      </c>
      <c r="QJI611" s="17">
        <v>44925</v>
      </c>
      <c r="QJJ611" s="5" t="s">
        <v>3728</v>
      </c>
      <c r="QJK611" s="17">
        <v>44925</v>
      </c>
      <c r="QJL611" s="5" t="s">
        <v>3728</v>
      </c>
      <c r="QJM611" s="17">
        <v>44925</v>
      </c>
      <c r="QJN611" s="5" t="s">
        <v>3728</v>
      </c>
      <c r="QJO611" s="17">
        <v>44925</v>
      </c>
      <c r="QJP611" s="5" t="s">
        <v>3728</v>
      </c>
      <c r="QJQ611" s="17">
        <v>44925</v>
      </c>
      <c r="QJR611" s="5" t="s">
        <v>3728</v>
      </c>
      <c r="QJS611" s="17">
        <v>44925</v>
      </c>
      <c r="QJT611" s="5" t="s">
        <v>3728</v>
      </c>
      <c r="QJU611" s="17">
        <v>44925</v>
      </c>
      <c r="QJV611" s="5" t="s">
        <v>3728</v>
      </c>
      <c r="QJW611" s="17">
        <v>44925</v>
      </c>
      <c r="QJX611" s="5" t="s">
        <v>3728</v>
      </c>
      <c r="QJY611" s="17">
        <v>44925</v>
      </c>
      <c r="QJZ611" s="5" t="s">
        <v>3728</v>
      </c>
      <c r="QKA611" s="17">
        <v>44925</v>
      </c>
      <c r="QKB611" s="5" t="s">
        <v>3728</v>
      </c>
      <c r="QKC611" s="17">
        <v>44925</v>
      </c>
      <c r="QKD611" s="5" t="s">
        <v>3728</v>
      </c>
      <c r="QKE611" s="17">
        <v>44925</v>
      </c>
      <c r="QKF611" s="5" t="s">
        <v>3728</v>
      </c>
      <c r="QKG611" s="17">
        <v>44925</v>
      </c>
      <c r="QKH611" s="5" t="s">
        <v>3728</v>
      </c>
      <c r="QKI611" s="17">
        <v>44925</v>
      </c>
      <c r="QKJ611" s="5" t="s">
        <v>3728</v>
      </c>
      <c r="QKK611" s="17">
        <v>44925</v>
      </c>
      <c r="QKL611" s="5" t="s">
        <v>3728</v>
      </c>
      <c r="QKM611" s="17">
        <v>44925</v>
      </c>
      <c r="QKN611" s="5" t="s">
        <v>3728</v>
      </c>
      <c r="QKO611" s="17">
        <v>44925</v>
      </c>
      <c r="QKP611" s="5" t="s">
        <v>3728</v>
      </c>
      <c r="QKQ611" s="17">
        <v>44925</v>
      </c>
      <c r="QKR611" s="5" t="s">
        <v>3728</v>
      </c>
      <c r="QKS611" s="17">
        <v>44925</v>
      </c>
      <c r="QKT611" s="5" t="s">
        <v>3728</v>
      </c>
      <c r="QKU611" s="17">
        <v>44925</v>
      </c>
      <c r="QKV611" s="5" t="s">
        <v>3728</v>
      </c>
      <c r="QKW611" s="17">
        <v>44925</v>
      </c>
      <c r="QKX611" s="5" t="s">
        <v>3728</v>
      </c>
      <c r="QKY611" s="17">
        <v>44925</v>
      </c>
      <c r="QKZ611" s="5" t="s">
        <v>3728</v>
      </c>
      <c r="QLA611" s="17">
        <v>44925</v>
      </c>
      <c r="QLB611" s="5" t="s">
        <v>3728</v>
      </c>
      <c r="QLC611" s="17">
        <v>44925</v>
      </c>
      <c r="QLD611" s="5" t="s">
        <v>3728</v>
      </c>
      <c r="QLE611" s="17">
        <v>44925</v>
      </c>
      <c r="QLF611" s="5" t="s">
        <v>3728</v>
      </c>
      <c r="QLG611" s="17">
        <v>44925</v>
      </c>
      <c r="QLH611" s="5" t="s">
        <v>3728</v>
      </c>
      <c r="QLI611" s="17">
        <v>44925</v>
      </c>
      <c r="QLJ611" s="5" t="s">
        <v>3728</v>
      </c>
      <c r="QLK611" s="17">
        <v>44925</v>
      </c>
      <c r="QLL611" s="5" t="s">
        <v>3728</v>
      </c>
      <c r="QLM611" s="17">
        <v>44925</v>
      </c>
      <c r="QLN611" s="5" t="s">
        <v>3728</v>
      </c>
      <c r="QLO611" s="17">
        <v>44925</v>
      </c>
      <c r="QLP611" s="5" t="s">
        <v>3728</v>
      </c>
      <c r="QLQ611" s="17">
        <v>44925</v>
      </c>
      <c r="QLR611" s="5" t="s">
        <v>3728</v>
      </c>
      <c r="QLS611" s="17">
        <v>44925</v>
      </c>
      <c r="QLT611" s="5" t="s">
        <v>3728</v>
      </c>
      <c r="QLU611" s="17">
        <v>44925</v>
      </c>
      <c r="QLV611" s="5" t="s">
        <v>3728</v>
      </c>
      <c r="QLW611" s="17">
        <v>44925</v>
      </c>
      <c r="QLX611" s="5" t="s">
        <v>3728</v>
      </c>
      <c r="QLY611" s="17">
        <v>44925</v>
      </c>
      <c r="QLZ611" s="5" t="s">
        <v>3728</v>
      </c>
      <c r="QMA611" s="17">
        <v>44925</v>
      </c>
      <c r="QMB611" s="5" t="s">
        <v>3728</v>
      </c>
      <c r="QMC611" s="17">
        <v>44925</v>
      </c>
      <c r="QMD611" s="5" t="s">
        <v>3728</v>
      </c>
      <c r="QME611" s="17">
        <v>44925</v>
      </c>
      <c r="QMF611" s="5" t="s">
        <v>3728</v>
      </c>
      <c r="QMG611" s="17">
        <v>44925</v>
      </c>
      <c r="QMH611" s="5" t="s">
        <v>3728</v>
      </c>
      <c r="QMI611" s="17">
        <v>44925</v>
      </c>
      <c r="QMJ611" s="5" t="s">
        <v>3728</v>
      </c>
      <c r="QMK611" s="17">
        <v>44925</v>
      </c>
      <c r="QML611" s="5" t="s">
        <v>3728</v>
      </c>
      <c r="QMM611" s="17">
        <v>44925</v>
      </c>
      <c r="QMN611" s="5" t="s">
        <v>3728</v>
      </c>
      <c r="QMO611" s="17">
        <v>44925</v>
      </c>
      <c r="QMP611" s="5" t="s">
        <v>3728</v>
      </c>
      <c r="QMQ611" s="17">
        <v>44925</v>
      </c>
      <c r="QMR611" s="5" t="s">
        <v>3728</v>
      </c>
      <c r="QMS611" s="17">
        <v>44925</v>
      </c>
      <c r="QMT611" s="5" t="s">
        <v>3728</v>
      </c>
      <c r="QMU611" s="17">
        <v>44925</v>
      </c>
      <c r="QMV611" s="5" t="s">
        <v>3728</v>
      </c>
      <c r="QMW611" s="17">
        <v>44925</v>
      </c>
      <c r="QMX611" s="5" t="s">
        <v>3728</v>
      </c>
      <c r="QMY611" s="17">
        <v>44925</v>
      </c>
      <c r="QMZ611" s="5" t="s">
        <v>3728</v>
      </c>
      <c r="QNA611" s="17">
        <v>44925</v>
      </c>
      <c r="QNB611" s="5" t="s">
        <v>3728</v>
      </c>
      <c r="QNC611" s="17">
        <v>44925</v>
      </c>
      <c r="QND611" s="5" t="s">
        <v>3728</v>
      </c>
      <c r="QNE611" s="17">
        <v>44925</v>
      </c>
      <c r="QNF611" s="5" t="s">
        <v>3728</v>
      </c>
      <c r="QNG611" s="17">
        <v>44925</v>
      </c>
      <c r="QNH611" s="5" t="s">
        <v>3728</v>
      </c>
      <c r="QNI611" s="17">
        <v>44925</v>
      </c>
      <c r="QNJ611" s="5" t="s">
        <v>3728</v>
      </c>
      <c r="QNK611" s="17">
        <v>44925</v>
      </c>
      <c r="QNL611" s="5" t="s">
        <v>3728</v>
      </c>
      <c r="QNM611" s="17">
        <v>44925</v>
      </c>
      <c r="QNN611" s="5" t="s">
        <v>3728</v>
      </c>
      <c r="QNO611" s="17">
        <v>44925</v>
      </c>
      <c r="QNP611" s="5" t="s">
        <v>3728</v>
      </c>
      <c r="QNQ611" s="17">
        <v>44925</v>
      </c>
      <c r="QNR611" s="5" t="s">
        <v>3728</v>
      </c>
      <c r="QNS611" s="17">
        <v>44925</v>
      </c>
      <c r="QNT611" s="5" t="s">
        <v>3728</v>
      </c>
      <c r="QNU611" s="17">
        <v>44925</v>
      </c>
      <c r="QNV611" s="5" t="s">
        <v>3728</v>
      </c>
      <c r="QNW611" s="17">
        <v>44925</v>
      </c>
      <c r="QNX611" s="5" t="s">
        <v>3728</v>
      </c>
      <c r="QNY611" s="17">
        <v>44925</v>
      </c>
      <c r="QNZ611" s="5" t="s">
        <v>3728</v>
      </c>
      <c r="QOA611" s="17">
        <v>44925</v>
      </c>
      <c r="QOB611" s="5" t="s">
        <v>3728</v>
      </c>
      <c r="QOC611" s="17">
        <v>44925</v>
      </c>
      <c r="QOD611" s="5" t="s">
        <v>3728</v>
      </c>
      <c r="QOE611" s="17">
        <v>44925</v>
      </c>
      <c r="QOF611" s="5" t="s">
        <v>3728</v>
      </c>
      <c r="QOG611" s="17">
        <v>44925</v>
      </c>
      <c r="QOH611" s="5" t="s">
        <v>3728</v>
      </c>
      <c r="QOI611" s="17">
        <v>44925</v>
      </c>
      <c r="QOJ611" s="5" t="s">
        <v>3728</v>
      </c>
      <c r="QOK611" s="17">
        <v>44925</v>
      </c>
      <c r="QOL611" s="5" t="s">
        <v>3728</v>
      </c>
      <c r="QOM611" s="17">
        <v>44925</v>
      </c>
      <c r="QON611" s="5" t="s">
        <v>3728</v>
      </c>
      <c r="QOO611" s="17">
        <v>44925</v>
      </c>
      <c r="QOP611" s="5" t="s">
        <v>3728</v>
      </c>
      <c r="QOQ611" s="17">
        <v>44925</v>
      </c>
      <c r="QOR611" s="5" t="s">
        <v>3728</v>
      </c>
      <c r="QOS611" s="17">
        <v>44925</v>
      </c>
      <c r="QOT611" s="5" t="s">
        <v>3728</v>
      </c>
      <c r="QOU611" s="17">
        <v>44925</v>
      </c>
      <c r="QOV611" s="5" t="s">
        <v>3728</v>
      </c>
      <c r="QOW611" s="17">
        <v>44925</v>
      </c>
      <c r="QOX611" s="5" t="s">
        <v>3728</v>
      </c>
      <c r="QOY611" s="17">
        <v>44925</v>
      </c>
      <c r="QOZ611" s="5" t="s">
        <v>3728</v>
      </c>
      <c r="QPA611" s="17">
        <v>44925</v>
      </c>
      <c r="QPB611" s="5" t="s">
        <v>3728</v>
      </c>
      <c r="QPC611" s="17">
        <v>44925</v>
      </c>
      <c r="QPD611" s="5" t="s">
        <v>3728</v>
      </c>
      <c r="QPE611" s="17">
        <v>44925</v>
      </c>
      <c r="QPF611" s="5" t="s">
        <v>3728</v>
      </c>
      <c r="QPG611" s="17">
        <v>44925</v>
      </c>
      <c r="QPH611" s="5" t="s">
        <v>3728</v>
      </c>
      <c r="QPI611" s="17">
        <v>44925</v>
      </c>
      <c r="QPJ611" s="5" t="s">
        <v>3728</v>
      </c>
      <c r="QPK611" s="17">
        <v>44925</v>
      </c>
      <c r="QPL611" s="5" t="s">
        <v>3728</v>
      </c>
      <c r="QPM611" s="17">
        <v>44925</v>
      </c>
      <c r="QPN611" s="5" t="s">
        <v>3728</v>
      </c>
      <c r="QPO611" s="17">
        <v>44925</v>
      </c>
      <c r="QPP611" s="5" t="s">
        <v>3728</v>
      </c>
      <c r="QPQ611" s="17">
        <v>44925</v>
      </c>
      <c r="QPR611" s="5" t="s">
        <v>3728</v>
      </c>
      <c r="QPS611" s="17">
        <v>44925</v>
      </c>
      <c r="QPT611" s="5" t="s">
        <v>3728</v>
      </c>
      <c r="QPU611" s="17">
        <v>44925</v>
      </c>
      <c r="QPV611" s="5" t="s">
        <v>3728</v>
      </c>
      <c r="QPW611" s="17">
        <v>44925</v>
      </c>
      <c r="QPX611" s="5" t="s">
        <v>3728</v>
      </c>
      <c r="QPY611" s="17">
        <v>44925</v>
      </c>
      <c r="QPZ611" s="5" t="s">
        <v>3728</v>
      </c>
      <c r="QQA611" s="17">
        <v>44925</v>
      </c>
      <c r="QQB611" s="5" t="s">
        <v>3728</v>
      </c>
      <c r="QQC611" s="17">
        <v>44925</v>
      </c>
      <c r="QQD611" s="5" t="s">
        <v>3728</v>
      </c>
      <c r="QQE611" s="17">
        <v>44925</v>
      </c>
      <c r="QQF611" s="5" t="s">
        <v>3728</v>
      </c>
      <c r="QQG611" s="17">
        <v>44925</v>
      </c>
      <c r="QQH611" s="5" t="s">
        <v>3728</v>
      </c>
      <c r="QQI611" s="17">
        <v>44925</v>
      </c>
      <c r="QQJ611" s="5" t="s">
        <v>3728</v>
      </c>
      <c r="QQK611" s="17">
        <v>44925</v>
      </c>
      <c r="QQL611" s="5" t="s">
        <v>3728</v>
      </c>
      <c r="QQM611" s="17">
        <v>44925</v>
      </c>
      <c r="QQN611" s="5" t="s">
        <v>3728</v>
      </c>
      <c r="QQO611" s="17">
        <v>44925</v>
      </c>
      <c r="QQP611" s="5" t="s">
        <v>3728</v>
      </c>
      <c r="QQQ611" s="17">
        <v>44925</v>
      </c>
      <c r="QQR611" s="5" t="s">
        <v>3728</v>
      </c>
      <c r="QQS611" s="17">
        <v>44925</v>
      </c>
      <c r="QQT611" s="5" t="s">
        <v>3728</v>
      </c>
      <c r="QQU611" s="17">
        <v>44925</v>
      </c>
      <c r="QQV611" s="5" t="s">
        <v>3728</v>
      </c>
      <c r="QQW611" s="17">
        <v>44925</v>
      </c>
      <c r="QQX611" s="5" t="s">
        <v>3728</v>
      </c>
      <c r="QQY611" s="17">
        <v>44925</v>
      </c>
      <c r="QQZ611" s="5" t="s">
        <v>3728</v>
      </c>
      <c r="QRA611" s="17">
        <v>44925</v>
      </c>
      <c r="QRB611" s="5" t="s">
        <v>3728</v>
      </c>
      <c r="QRC611" s="17">
        <v>44925</v>
      </c>
      <c r="QRD611" s="5" t="s">
        <v>3728</v>
      </c>
      <c r="QRE611" s="17">
        <v>44925</v>
      </c>
      <c r="QRF611" s="5" t="s">
        <v>3728</v>
      </c>
      <c r="QRG611" s="17">
        <v>44925</v>
      </c>
      <c r="QRH611" s="5" t="s">
        <v>3728</v>
      </c>
      <c r="QRI611" s="17">
        <v>44925</v>
      </c>
      <c r="QRJ611" s="5" t="s">
        <v>3728</v>
      </c>
      <c r="QRK611" s="17">
        <v>44925</v>
      </c>
      <c r="QRL611" s="5" t="s">
        <v>3728</v>
      </c>
      <c r="QRM611" s="17">
        <v>44925</v>
      </c>
      <c r="QRN611" s="5" t="s">
        <v>3728</v>
      </c>
      <c r="QRO611" s="17">
        <v>44925</v>
      </c>
      <c r="QRP611" s="5" t="s">
        <v>3728</v>
      </c>
      <c r="QRQ611" s="17">
        <v>44925</v>
      </c>
      <c r="QRR611" s="5" t="s">
        <v>3728</v>
      </c>
      <c r="QRS611" s="17">
        <v>44925</v>
      </c>
      <c r="QRT611" s="5" t="s">
        <v>3728</v>
      </c>
      <c r="QRU611" s="17">
        <v>44925</v>
      </c>
      <c r="QRV611" s="5" t="s">
        <v>3728</v>
      </c>
      <c r="QRW611" s="17">
        <v>44925</v>
      </c>
      <c r="QRX611" s="5" t="s">
        <v>3728</v>
      </c>
      <c r="QRY611" s="17">
        <v>44925</v>
      </c>
      <c r="QRZ611" s="5" t="s">
        <v>3728</v>
      </c>
      <c r="QSA611" s="17">
        <v>44925</v>
      </c>
      <c r="QSB611" s="5" t="s">
        <v>3728</v>
      </c>
      <c r="QSC611" s="17">
        <v>44925</v>
      </c>
      <c r="QSD611" s="5" t="s">
        <v>3728</v>
      </c>
      <c r="QSE611" s="17">
        <v>44925</v>
      </c>
      <c r="QSF611" s="5" t="s">
        <v>3728</v>
      </c>
      <c r="QSG611" s="17">
        <v>44925</v>
      </c>
      <c r="QSH611" s="5" t="s">
        <v>3728</v>
      </c>
      <c r="QSI611" s="17">
        <v>44925</v>
      </c>
      <c r="QSJ611" s="5" t="s">
        <v>3728</v>
      </c>
      <c r="QSK611" s="17">
        <v>44925</v>
      </c>
      <c r="QSL611" s="5" t="s">
        <v>3728</v>
      </c>
      <c r="QSM611" s="17">
        <v>44925</v>
      </c>
      <c r="QSN611" s="5" t="s">
        <v>3728</v>
      </c>
      <c r="QSO611" s="17">
        <v>44925</v>
      </c>
      <c r="QSP611" s="5" t="s">
        <v>3728</v>
      </c>
      <c r="QSQ611" s="17">
        <v>44925</v>
      </c>
      <c r="QSR611" s="5" t="s">
        <v>3728</v>
      </c>
      <c r="QSS611" s="17">
        <v>44925</v>
      </c>
      <c r="QST611" s="5" t="s">
        <v>3728</v>
      </c>
      <c r="QSU611" s="17">
        <v>44925</v>
      </c>
      <c r="QSV611" s="5" t="s">
        <v>3728</v>
      </c>
      <c r="QSW611" s="17">
        <v>44925</v>
      </c>
      <c r="QSX611" s="5" t="s">
        <v>3728</v>
      </c>
      <c r="QSY611" s="17">
        <v>44925</v>
      </c>
      <c r="QSZ611" s="5" t="s">
        <v>3728</v>
      </c>
      <c r="QTA611" s="17">
        <v>44925</v>
      </c>
      <c r="QTB611" s="5" t="s">
        <v>3728</v>
      </c>
      <c r="QTC611" s="17">
        <v>44925</v>
      </c>
      <c r="QTD611" s="5" t="s">
        <v>3728</v>
      </c>
      <c r="QTE611" s="17">
        <v>44925</v>
      </c>
      <c r="QTF611" s="5" t="s">
        <v>3728</v>
      </c>
      <c r="QTG611" s="17">
        <v>44925</v>
      </c>
      <c r="QTH611" s="5" t="s">
        <v>3728</v>
      </c>
      <c r="QTI611" s="17">
        <v>44925</v>
      </c>
      <c r="QTJ611" s="5" t="s">
        <v>3728</v>
      </c>
      <c r="QTK611" s="17">
        <v>44925</v>
      </c>
      <c r="QTL611" s="5" t="s">
        <v>3728</v>
      </c>
      <c r="QTM611" s="17">
        <v>44925</v>
      </c>
      <c r="QTN611" s="5" t="s">
        <v>3728</v>
      </c>
      <c r="QTO611" s="17">
        <v>44925</v>
      </c>
      <c r="QTP611" s="5" t="s">
        <v>3728</v>
      </c>
      <c r="QTQ611" s="17">
        <v>44925</v>
      </c>
      <c r="QTR611" s="5" t="s">
        <v>3728</v>
      </c>
      <c r="QTS611" s="17">
        <v>44925</v>
      </c>
      <c r="QTT611" s="5" t="s">
        <v>3728</v>
      </c>
      <c r="QTU611" s="17">
        <v>44925</v>
      </c>
      <c r="QTV611" s="5" t="s">
        <v>3728</v>
      </c>
      <c r="QTW611" s="17">
        <v>44925</v>
      </c>
      <c r="QTX611" s="5" t="s">
        <v>3728</v>
      </c>
      <c r="QTY611" s="17">
        <v>44925</v>
      </c>
      <c r="QTZ611" s="5" t="s">
        <v>3728</v>
      </c>
      <c r="QUA611" s="17">
        <v>44925</v>
      </c>
      <c r="QUB611" s="5" t="s">
        <v>3728</v>
      </c>
      <c r="QUC611" s="17">
        <v>44925</v>
      </c>
      <c r="QUD611" s="5" t="s">
        <v>3728</v>
      </c>
      <c r="QUE611" s="17">
        <v>44925</v>
      </c>
      <c r="QUF611" s="5" t="s">
        <v>3728</v>
      </c>
      <c r="QUG611" s="17">
        <v>44925</v>
      </c>
      <c r="QUH611" s="5" t="s">
        <v>3728</v>
      </c>
      <c r="QUI611" s="17">
        <v>44925</v>
      </c>
      <c r="QUJ611" s="5" t="s">
        <v>3728</v>
      </c>
      <c r="QUK611" s="17">
        <v>44925</v>
      </c>
      <c r="QUL611" s="5" t="s">
        <v>3728</v>
      </c>
      <c r="QUM611" s="17">
        <v>44925</v>
      </c>
      <c r="QUN611" s="5" t="s">
        <v>3728</v>
      </c>
      <c r="QUO611" s="17">
        <v>44925</v>
      </c>
      <c r="QUP611" s="5" t="s">
        <v>3728</v>
      </c>
      <c r="QUQ611" s="17">
        <v>44925</v>
      </c>
      <c r="QUR611" s="5" t="s">
        <v>3728</v>
      </c>
      <c r="QUS611" s="17">
        <v>44925</v>
      </c>
      <c r="QUT611" s="5" t="s">
        <v>3728</v>
      </c>
      <c r="QUU611" s="17">
        <v>44925</v>
      </c>
      <c r="QUV611" s="5" t="s">
        <v>3728</v>
      </c>
      <c r="QUW611" s="17">
        <v>44925</v>
      </c>
      <c r="QUX611" s="5" t="s">
        <v>3728</v>
      </c>
      <c r="QUY611" s="17">
        <v>44925</v>
      </c>
      <c r="QUZ611" s="5" t="s">
        <v>3728</v>
      </c>
      <c r="QVA611" s="17">
        <v>44925</v>
      </c>
      <c r="QVB611" s="5" t="s">
        <v>3728</v>
      </c>
      <c r="QVC611" s="17">
        <v>44925</v>
      </c>
      <c r="QVD611" s="5" t="s">
        <v>3728</v>
      </c>
      <c r="QVE611" s="17">
        <v>44925</v>
      </c>
      <c r="QVF611" s="5" t="s">
        <v>3728</v>
      </c>
      <c r="QVG611" s="17">
        <v>44925</v>
      </c>
      <c r="QVH611" s="5" t="s">
        <v>3728</v>
      </c>
      <c r="QVI611" s="17">
        <v>44925</v>
      </c>
      <c r="QVJ611" s="5" t="s">
        <v>3728</v>
      </c>
      <c r="QVK611" s="17">
        <v>44925</v>
      </c>
      <c r="QVL611" s="5" t="s">
        <v>3728</v>
      </c>
      <c r="QVM611" s="17">
        <v>44925</v>
      </c>
      <c r="QVN611" s="5" t="s">
        <v>3728</v>
      </c>
      <c r="QVO611" s="17">
        <v>44925</v>
      </c>
      <c r="QVP611" s="5" t="s">
        <v>3728</v>
      </c>
      <c r="QVQ611" s="17">
        <v>44925</v>
      </c>
      <c r="QVR611" s="5" t="s">
        <v>3728</v>
      </c>
      <c r="QVS611" s="17">
        <v>44925</v>
      </c>
      <c r="QVT611" s="5" t="s">
        <v>3728</v>
      </c>
      <c r="QVU611" s="17">
        <v>44925</v>
      </c>
      <c r="QVV611" s="5" t="s">
        <v>3728</v>
      </c>
      <c r="QVW611" s="17">
        <v>44925</v>
      </c>
      <c r="QVX611" s="5" t="s">
        <v>3728</v>
      </c>
      <c r="QVY611" s="17">
        <v>44925</v>
      </c>
      <c r="QVZ611" s="5" t="s">
        <v>3728</v>
      </c>
      <c r="QWA611" s="17">
        <v>44925</v>
      </c>
      <c r="QWB611" s="5" t="s">
        <v>3728</v>
      </c>
      <c r="QWC611" s="17">
        <v>44925</v>
      </c>
      <c r="QWD611" s="5" t="s">
        <v>3728</v>
      </c>
      <c r="QWE611" s="17">
        <v>44925</v>
      </c>
      <c r="QWF611" s="5" t="s">
        <v>3728</v>
      </c>
      <c r="QWG611" s="17">
        <v>44925</v>
      </c>
      <c r="QWH611" s="5" t="s">
        <v>3728</v>
      </c>
      <c r="QWI611" s="17">
        <v>44925</v>
      </c>
      <c r="QWJ611" s="5" t="s">
        <v>3728</v>
      </c>
      <c r="QWK611" s="17">
        <v>44925</v>
      </c>
      <c r="QWL611" s="5" t="s">
        <v>3728</v>
      </c>
      <c r="QWM611" s="17">
        <v>44925</v>
      </c>
      <c r="QWN611" s="5" t="s">
        <v>3728</v>
      </c>
      <c r="QWO611" s="17">
        <v>44925</v>
      </c>
      <c r="QWP611" s="5" t="s">
        <v>3728</v>
      </c>
      <c r="QWQ611" s="17">
        <v>44925</v>
      </c>
      <c r="QWR611" s="5" t="s">
        <v>3728</v>
      </c>
      <c r="QWS611" s="17">
        <v>44925</v>
      </c>
      <c r="QWT611" s="5" t="s">
        <v>3728</v>
      </c>
      <c r="QWU611" s="17">
        <v>44925</v>
      </c>
      <c r="QWV611" s="5" t="s">
        <v>3728</v>
      </c>
      <c r="QWW611" s="17">
        <v>44925</v>
      </c>
      <c r="QWX611" s="5" t="s">
        <v>3728</v>
      </c>
      <c r="QWY611" s="17">
        <v>44925</v>
      </c>
      <c r="QWZ611" s="5" t="s">
        <v>3728</v>
      </c>
      <c r="QXA611" s="17">
        <v>44925</v>
      </c>
      <c r="QXB611" s="5" t="s">
        <v>3728</v>
      </c>
      <c r="QXC611" s="17">
        <v>44925</v>
      </c>
      <c r="QXD611" s="5" t="s">
        <v>3728</v>
      </c>
      <c r="QXE611" s="17">
        <v>44925</v>
      </c>
      <c r="QXF611" s="5" t="s">
        <v>3728</v>
      </c>
      <c r="QXG611" s="17">
        <v>44925</v>
      </c>
      <c r="QXH611" s="5" t="s">
        <v>3728</v>
      </c>
      <c r="QXI611" s="17">
        <v>44925</v>
      </c>
      <c r="QXJ611" s="5" t="s">
        <v>3728</v>
      </c>
      <c r="QXK611" s="17">
        <v>44925</v>
      </c>
      <c r="QXL611" s="5" t="s">
        <v>3728</v>
      </c>
      <c r="QXM611" s="17">
        <v>44925</v>
      </c>
      <c r="QXN611" s="5" t="s">
        <v>3728</v>
      </c>
      <c r="QXO611" s="17">
        <v>44925</v>
      </c>
      <c r="QXP611" s="5" t="s">
        <v>3728</v>
      </c>
      <c r="QXQ611" s="17">
        <v>44925</v>
      </c>
      <c r="QXR611" s="5" t="s">
        <v>3728</v>
      </c>
      <c r="QXS611" s="17">
        <v>44925</v>
      </c>
      <c r="QXT611" s="5" t="s">
        <v>3728</v>
      </c>
      <c r="QXU611" s="17">
        <v>44925</v>
      </c>
      <c r="QXV611" s="5" t="s">
        <v>3728</v>
      </c>
      <c r="QXW611" s="17">
        <v>44925</v>
      </c>
      <c r="QXX611" s="5" t="s">
        <v>3728</v>
      </c>
      <c r="QXY611" s="17">
        <v>44925</v>
      </c>
      <c r="QXZ611" s="5" t="s">
        <v>3728</v>
      </c>
      <c r="QYA611" s="17">
        <v>44925</v>
      </c>
      <c r="QYB611" s="5" t="s">
        <v>3728</v>
      </c>
      <c r="QYC611" s="17">
        <v>44925</v>
      </c>
      <c r="QYD611" s="5" t="s">
        <v>3728</v>
      </c>
      <c r="QYE611" s="17">
        <v>44925</v>
      </c>
      <c r="QYF611" s="5" t="s">
        <v>3728</v>
      </c>
      <c r="QYG611" s="17">
        <v>44925</v>
      </c>
      <c r="QYH611" s="5" t="s">
        <v>3728</v>
      </c>
      <c r="QYI611" s="17">
        <v>44925</v>
      </c>
      <c r="QYJ611" s="5" t="s">
        <v>3728</v>
      </c>
      <c r="QYK611" s="17">
        <v>44925</v>
      </c>
      <c r="QYL611" s="5" t="s">
        <v>3728</v>
      </c>
      <c r="QYM611" s="17">
        <v>44925</v>
      </c>
      <c r="QYN611" s="5" t="s">
        <v>3728</v>
      </c>
      <c r="QYO611" s="17">
        <v>44925</v>
      </c>
      <c r="QYP611" s="5" t="s">
        <v>3728</v>
      </c>
      <c r="QYQ611" s="17">
        <v>44925</v>
      </c>
      <c r="QYR611" s="5" t="s">
        <v>3728</v>
      </c>
      <c r="QYS611" s="17">
        <v>44925</v>
      </c>
      <c r="QYT611" s="5" t="s">
        <v>3728</v>
      </c>
      <c r="QYU611" s="17">
        <v>44925</v>
      </c>
      <c r="QYV611" s="5" t="s">
        <v>3728</v>
      </c>
      <c r="QYW611" s="17">
        <v>44925</v>
      </c>
      <c r="QYX611" s="5" t="s">
        <v>3728</v>
      </c>
      <c r="QYY611" s="17">
        <v>44925</v>
      </c>
      <c r="QYZ611" s="5" t="s">
        <v>3728</v>
      </c>
      <c r="QZA611" s="17">
        <v>44925</v>
      </c>
      <c r="QZB611" s="5" t="s">
        <v>3728</v>
      </c>
      <c r="QZC611" s="17">
        <v>44925</v>
      </c>
      <c r="QZD611" s="5" t="s">
        <v>3728</v>
      </c>
      <c r="QZE611" s="17">
        <v>44925</v>
      </c>
      <c r="QZF611" s="5" t="s">
        <v>3728</v>
      </c>
      <c r="QZG611" s="17">
        <v>44925</v>
      </c>
      <c r="QZH611" s="5" t="s">
        <v>3728</v>
      </c>
      <c r="QZI611" s="17">
        <v>44925</v>
      </c>
      <c r="QZJ611" s="5" t="s">
        <v>3728</v>
      </c>
      <c r="QZK611" s="17">
        <v>44925</v>
      </c>
      <c r="QZL611" s="5" t="s">
        <v>3728</v>
      </c>
      <c r="QZM611" s="17">
        <v>44925</v>
      </c>
      <c r="QZN611" s="5" t="s">
        <v>3728</v>
      </c>
      <c r="QZO611" s="17">
        <v>44925</v>
      </c>
      <c r="QZP611" s="5" t="s">
        <v>3728</v>
      </c>
      <c r="QZQ611" s="17">
        <v>44925</v>
      </c>
      <c r="QZR611" s="5" t="s">
        <v>3728</v>
      </c>
      <c r="QZS611" s="17">
        <v>44925</v>
      </c>
      <c r="QZT611" s="5" t="s">
        <v>3728</v>
      </c>
      <c r="QZU611" s="17">
        <v>44925</v>
      </c>
      <c r="QZV611" s="5" t="s">
        <v>3728</v>
      </c>
      <c r="QZW611" s="17">
        <v>44925</v>
      </c>
      <c r="QZX611" s="5" t="s">
        <v>3728</v>
      </c>
      <c r="QZY611" s="17">
        <v>44925</v>
      </c>
      <c r="QZZ611" s="5" t="s">
        <v>3728</v>
      </c>
      <c r="RAA611" s="17">
        <v>44925</v>
      </c>
      <c r="RAB611" s="5" t="s">
        <v>3728</v>
      </c>
      <c r="RAC611" s="17">
        <v>44925</v>
      </c>
      <c r="RAD611" s="5" t="s">
        <v>3728</v>
      </c>
      <c r="RAE611" s="17">
        <v>44925</v>
      </c>
      <c r="RAF611" s="5" t="s">
        <v>3728</v>
      </c>
      <c r="RAG611" s="17">
        <v>44925</v>
      </c>
      <c r="RAH611" s="5" t="s">
        <v>3728</v>
      </c>
      <c r="RAI611" s="17">
        <v>44925</v>
      </c>
      <c r="RAJ611" s="5" t="s">
        <v>3728</v>
      </c>
      <c r="RAK611" s="17">
        <v>44925</v>
      </c>
      <c r="RAL611" s="5" t="s">
        <v>3728</v>
      </c>
      <c r="RAM611" s="17">
        <v>44925</v>
      </c>
      <c r="RAN611" s="5" t="s">
        <v>3728</v>
      </c>
      <c r="RAO611" s="17">
        <v>44925</v>
      </c>
      <c r="RAP611" s="5" t="s">
        <v>3728</v>
      </c>
      <c r="RAQ611" s="17">
        <v>44925</v>
      </c>
      <c r="RAR611" s="5" t="s">
        <v>3728</v>
      </c>
      <c r="RAS611" s="17">
        <v>44925</v>
      </c>
      <c r="RAT611" s="5" t="s">
        <v>3728</v>
      </c>
      <c r="RAU611" s="17">
        <v>44925</v>
      </c>
      <c r="RAV611" s="5" t="s">
        <v>3728</v>
      </c>
      <c r="RAW611" s="17">
        <v>44925</v>
      </c>
      <c r="RAX611" s="5" t="s">
        <v>3728</v>
      </c>
      <c r="RAY611" s="17">
        <v>44925</v>
      </c>
      <c r="RAZ611" s="5" t="s">
        <v>3728</v>
      </c>
      <c r="RBA611" s="17">
        <v>44925</v>
      </c>
      <c r="RBB611" s="5" t="s">
        <v>3728</v>
      </c>
      <c r="RBC611" s="17">
        <v>44925</v>
      </c>
      <c r="RBD611" s="5" t="s">
        <v>3728</v>
      </c>
      <c r="RBE611" s="17">
        <v>44925</v>
      </c>
      <c r="RBF611" s="5" t="s">
        <v>3728</v>
      </c>
      <c r="RBG611" s="17">
        <v>44925</v>
      </c>
      <c r="RBH611" s="5" t="s">
        <v>3728</v>
      </c>
      <c r="RBI611" s="17">
        <v>44925</v>
      </c>
      <c r="RBJ611" s="5" t="s">
        <v>3728</v>
      </c>
      <c r="RBK611" s="17">
        <v>44925</v>
      </c>
      <c r="RBL611" s="5" t="s">
        <v>3728</v>
      </c>
      <c r="RBM611" s="17">
        <v>44925</v>
      </c>
      <c r="RBN611" s="5" t="s">
        <v>3728</v>
      </c>
      <c r="RBO611" s="17">
        <v>44925</v>
      </c>
      <c r="RBP611" s="5" t="s">
        <v>3728</v>
      </c>
      <c r="RBQ611" s="17">
        <v>44925</v>
      </c>
      <c r="RBR611" s="5" t="s">
        <v>3728</v>
      </c>
      <c r="RBS611" s="17">
        <v>44925</v>
      </c>
      <c r="RBT611" s="5" t="s">
        <v>3728</v>
      </c>
      <c r="RBU611" s="17">
        <v>44925</v>
      </c>
      <c r="RBV611" s="5" t="s">
        <v>3728</v>
      </c>
      <c r="RBW611" s="17">
        <v>44925</v>
      </c>
      <c r="RBX611" s="5" t="s">
        <v>3728</v>
      </c>
      <c r="RBY611" s="17">
        <v>44925</v>
      </c>
      <c r="RBZ611" s="5" t="s">
        <v>3728</v>
      </c>
      <c r="RCA611" s="17">
        <v>44925</v>
      </c>
      <c r="RCB611" s="5" t="s">
        <v>3728</v>
      </c>
      <c r="RCC611" s="17">
        <v>44925</v>
      </c>
      <c r="RCD611" s="5" t="s">
        <v>3728</v>
      </c>
      <c r="RCE611" s="17">
        <v>44925</v>
      </c>
      <c r="RCF611" s="5" t="s">
        <v>3728</v>
      </c>
      <c r="RCG611" s="17">
        <v>44925</v>
      </c>
      <c r="RCH611" s="5" t="s">
        <v>3728</v>
      </c>
      <c r="RCI611" s="17">
        <v>44925</v>
      </c>
      <c r="RCJ611" s="5" t="s">
        <v>3728</v>
      </c>
      <c r="RCK611" s="17">
        <v>44925</v>
      </c>
      <c r="RCL611" s="5" t="s">
        <v>3728</v>
      </c>
      <c r="RCM611" s="17">
        <v>44925</v>
      </c>
      <c r="RCN611" s="5" t="s">
        <v>3728</v>
      </c>
      <c r="RCO611" s="17">
        <v>44925</v>
      </c>
      <c r="RCP611" s="5" t="s">
        <v>3728</v>
      </c>
      <c r="RCQ611" s="17">
        <v>44925</v>
      </c>
      <c r="RCR611" s="5" t="s">
        <v>3728</v>
      </c>
      <c r="RCS611" s="17">
        <v>44925</v>
      </c>
      <c r="RCT611" s="5" t="s">
        <v>3728</v>
      </c>
      <c r="RCU611" s="17">
        <v>44925</v>
      </c>
      <c r="RCV611" s="5" t="s">
        <v>3728</v>
      </c>
      <c r="RCW611" s="17">
        <v>44925</v>
      </c>
      <c r="RCX611" s="5" t="s">
        <v>3728</v>
      </c>
      <c r="RCY611" s="17">
        <v>44925</v>
      </c>
      <c r="RCZ611" s="5" t="s">
        <v>3728</v>
      </c>
      <c r="RDA611" s="17">
        <v>44925</v>
      </c>
      <c r="RDB611" s="5" t="s">
        <v>3728</v>
      </c>
      <c r="RDC611" s="17">
        <v>44925</v>
      </c>
      <c r="RDD611" s="5" t="s">
        <v>3728</v>
      </c>
      <c r="RDE611" s="17">
        <v>44925</v>
      </c>
      <c r="RDF611" s="5" t="s">
        <v>3728</v>
      </c>
      <c r="RDG611" s="17">
        <v>44925</v>
      </c>
      <c r="RDH611" s="5" t="s">
        <v>3728</v>
      </c>
      <c r="RDI611" s="17">
        <v>44925</v>
      </c>
      <c r="RDJ611" s="5" t="s">
        <v>3728</v>
      </c>
      <c r="RDK611" s="17">
        <v>44925</v>
      </c>
      <c r="RDL611" s="5" t="s">
        <v>3728</v>
      </c>
      <c r="RDM611" s="17">
        <v>44925</v>
      </c>
      <c r="RDN611" s="5" t="s">
        <v>3728</v>
      </c>
      <c r="RDO611" s="17">
        <v>44925</v>
      </c>
      <c r="RDP611" s="5" t="s">
        <v>3728</v>
      </c>
      <c r="RDQ611" s="17">
        <v>44925</v>
      </c>
      <c r="RDR611" s="5" t="s">
        <v>3728</v>
      </c>
      <c r="RDS611" s="17">
        <v>44925</v>
      </c>
      <c r="RDT611" s="5" t="s">
        <v>3728</v>
      </c>
      <c r="RDU611" s="17">
        <v>44925</v>
      </c>
      <c r="RDV611" s="5" t="s">
        <v>3728</v>
      </c>
      <c r="RDW611" s="17">
        <v>44925</v>
      </c>
      <c r="RDX611" s="5" t="s">
        <v>3728</v>
      </c>
      <c r="RDY611" s="17">
        <v>44925</v>
      </c>
      <c r="RDZ611" s="5" t="s">
        <v>3728</v>
      </c>
      <c r="REA611" s="17">
        <v>44925</v>
      </c>
      <c r="REB611" s="5" t="s">
        <v>3728</v>
      </c>
      <c r="REC611" s="17">
        <v>44925</v>
      </c>
      <c r="RED611" s="5" t="s">
        <v>3728</v>
      </c>
      <c r="REE611" s="17">
        <v>44925</v>
      </c>
      <c r="REF611" s="5" t="s">
        <v>3728</v>
      </c>
      <c r="REG611" s="17">
        <v>44925</v>
      </c>
      <c r="REH611" s="5" t="s">
        <v>3728</v>
      </c>
      <c r="REI611" s="17">
        <v>44925</v>
      </c>
      <c r="REJ611" s="5" t="s">
        <v>3728</v>
      </c>
      <c r="REK611" s="17">
        <v>44925</v>
      </c>
      <c r="REL611" s="5" t="s">
        <v>3728</v>
      </c>
      <c r="REM611" s="17">
        <v>44925</v>
      </c>
      <c r="REN611" s="5" t="s">
        <v>3728</v>
      </c>
      <c r="REO611" s="17">
        <v>44925</v>
      </c>
      <c r="REP611" s="5" t="s">
        <v>3728</v>
      </c>
      <c r="REQ611" s="17">
        <v>44925</v>
      </c>
      <c r="RER611" s="5" t="s">
        <v>3728</v>
      </c>
      <c r="RES611" s="17">
        <v>44925</v>
      </c>
      <c r="RET611" s="5" t="s">
        <v>3728</v>
      </c>
      <c r="REU611" s="17">
        <v>44925</v>
      </c>
      <c r="REV611" s="5" t="s">
        <v>3728</v>
      </c>
      <c r="REW611" s="17">
        <v>44925</v>
      </c>
      <c r="REX611" s="5" t="s">
        <v>3728</v>
      </c>
      <c r="REY611" s="17">
        <v>44925</v>
      </c>
      <c r="REZ611" s="5" t="s">
        <v>3728</v>
      </c>
      <c r="RFA611" s="17">
        <v>44925</v>
      </c>
      <c r="RFB611" s="5" t="s">
        <v>3728</v>
      </c>
      <c r="RFC611" s="17">
        <v>44925</v>
      </c>
      <c r="RFD611" s="5" t="s">
        <v>3728</v>
      </c>
      <c r="RFE611" s="17">
        <v>44925</v>
      </c>
      <c r="RFF611" s="5" t="s">
        <v>3728</v>
      </c>
      <c r="RFG611" s="17">
        <v>44925</v>
      </c>
      <c r="RFH611" s="5" t="s">
        <v>3728</v>
      </c>
      <c r="RFI611" s="17">
        <v>44925</v>
      </c>
      <c r="RFJ611" s="5" t="s">
        <v>3728</v>
      </c>
      <c r="RFK611" s="17">
        <v>44925</v>
      </c>
      <c r="RFL611" s="5" t="s">
        <v>3728</v>
      </c>
      <c r="RFM611" s="17">
        <v>44925</v>
      </c>
      <c r="RFN611" s="5" t="s">
        <v>3728</v>
      </c>
      <c r="RFO611" s="17">
        <v>44925</v>
      </c>
      <c r="RFP611" s="5" t="s">
        <v>3728</v>
      </c>
      <c r="RFQ611" s="17">
        <v>44925</v>
      </c>
      <c r="RFR611" s="5" t="s">
        <v>3728</v>
      </c>
      <c r="RFS611" s="17">
        <v>44925</v>
      </c>
      <c r="RFT611" s="5" t="s">
        <v>3728</v>
      </c>
      <c r="RFU611" s="17">
        <v>44925</v>
      </c>
      <c r="RFV611" s="5" t="s">
        <v>3728</v>
      </c>
      <c r="RFW611" s="17">
        <v>44925</v>
      </c>
      <c r="RFX611" s="5" t="s">
        <v>3728</v>
      </c>
      <c r="RFY611" s="17">
        <v>44925</v>
      </c>
      <c r="RFZ611" s="5" t="s">
        <v>3728</v>
      </c>
      <c r="RGA611" s="17">
        <v>44925</v>
      </c>
      <c r="RGB611" s="5" t="s">
        <v>3728</v>
      </c>
      <c r="RGC611" s="17">
        <v>44925</v>
      </c>
      <c r="RGD611" s="5" t="s">
        <v>3728</v>
      </c>
      <c r="RGE611" s="17">
        <v>44925</v>
      </c>
      <c r="RGF611" s="5" t="s">
        <v>3728</v>
      </c>
      <c r="RGG611" s="17">
        <v>44925</v>
      </c>
      <c r="RGH611" s="5" t="s">
        <v>3728</v>
      </c>
      <c r="RGI611" s="17">
        <v>44925</v>
      </c>
      <c r="RGJ611" s="5" t="s">
        <v>3728</v>
      </c>
      <c r="RGK611" s="17">
        <v>44925</v>
      </c>
      <c r="RGL611" s="5" t="s">
        <v>3728</v>
      </c>
      <c r="RGM611" s="17">
        <v>44925</v>
      </c>
      <c r="RGN611" s="5" t="s">
        <v>3728</v>
      </c>
      <c r="RGO611" s="17">
        <v>44925</v>
      </c>
      <c r="RGP611" s="5" t="s">
        <v>3728</v>
      </c>
      <c r="RGQ611" s="17">
        <v>44925</v>
      </c>
      <c r="RGR611" s="5" t="s">
        <v>3728</v>
      </c>
      <c r="RGS611" s="17">
        <v>44925</v>
      </c>
      <c r="RGT611" s="5" t="s">
        <v>3728</v>
      </c>
      <c r="RGU611" s="17">
        <v>44925</v>
      </c>
      <c r="RGV611" s="5" t="s">
        <v>3728</v>
      </c>
      <c r="RGW611" s="17">
        <v>44925</v>
      </c>
      <c r="RGX611" s="5" t="s">
        <v>3728</v>
      </c>
      <c r="RGY611" s="17">
        <v>44925</v>
      </c>
      <c r="RGZ611" s="5" t="s">
        <v>3728</v>
      </c>
      <c r="RHA611" s="17">
        <v>44925</v>
      </c>
      <c r="RHB611" s="5" t="s">
        <v>3728</v>
      </c>
      <c r="RHC611" s="17">
        <v>44925</v>
      </c>
      <c r="RHD611" s="5" t="s">
        <v>3728</v>
      </c>
      <c r="RHE611" s="17">
        <v>44925</v>
      </c>
      <c r="RHF611" s="5" t="s">
        <v>3728</v>
      </c>
      <c r="RHG611" s="17">
        <v>44925</v>
      </c>
      <c r="RHH611" s="5" t="s">
        <v>3728</v>
      </c>
      <c r="RHI611" s="17">
        <v>44925</v>
      </c>
      <c r="RHJ611" s="5" t="s">
        <v>3728</v>
      </c>
      <c r="RHK611" s="17">
        <v>44925</v>
      </c>
      <c r="RHL611" s="5" t="s">
        <v>3728</v>
      </c>
      <c r="RHM611" s="17">
        <v>44925</v>
      </c>
      <c r="RHN611" s="5" t="s">
        <v>3728</v>
      </c>
      <c r="RHO611" s="17">
        <v>44925</v>
      </c>
      <c r="RHP611" s="5" t="s">
        <v>3728</v>
      </c>
      <c r="RHQ611" s="17">
        <v>44925</v>
      </c>
      <c r="RHR611" s="5" t="s">
        <v>3728</v>
      </c>
      <c r="RHS611" s="17">
        <v>44925</v>
      </c>
      <c r="RHT611" s="5" t="s">
        <v>3728</v>
      </c>
      <c r="RHU611" s="17">
        <v>44925</v>
      </c>
      <c r="RHV611" s="5" t="s">
        <v>3728</v>
      </c>
      <c r="RHW611" s="17">
        <v>44925</v>
      </c>
      <c r="RHX611" s="5" t="s">
        <v>3728</v>
      </c>
      <c r="RHY611" s="17">
        <v>44925</v>
      </c>
      <c r="RHZ611" s="5" t="s">
        <v>3728</v>
      </c>
      <c r="RIA611" s="17">
        <v>44925</v>
      </c>
      <c r="RIB611" s="5" t="s">
        <v>3728</v>
      </c>
      <c r="RIC611" s="17">
        <v>44925</v>
      </c>
      <c r="RID611" s="5" t="s">
        <v>3728</v>
      </c>
      <c r="RIE611" s="17">
        <v>44925</v>
      </c>
      <c r="RIF611" s="5" t="s">
        <v>3728</v>
      </c>
      <c r="RIG611" s="17">
        <v>44925</v>
      </c>
      <c r="RIH611" s="5" t="s">
        <v>3728</v>
      </c>
      <c r="RII611" s="17">
        <v>44925</v>
      </c>
      <c r="RIJ611" s="5" t="s">
        <v>3728</v>
      </c>
      <c r="RIK611" s="17">
        <v>44925</v>
      </c>
      <c r="RIL611" s="5" t="s">
        <v>3728</v>
      </c>
      <c r="RIM611" s="17">
        <v>44925</v>
      </c>
      <c r="RIN611" s="5" t="s">
        <v>3728</v>
      </c>
      <c r="RIO611" s="17">
        <v>44925</v>
      </c>
      <c r="RIP611" s="5" t="s">
        <v>3728</v>
      </c>
      <c r="RIQ611" s="17">
        <v>44925</v>
      </c>
      <c r="RIR611" s="5" t="s">
        <v>3728</v>
      </c>
      <c r="RIS611" s="17">
        <v>44925</v>
      </c>
      <c r="RIT611" s="5" t="s">
        <v>3728</v>
      </c>
      <c r="RIU611" s="17">
        <v>44925</v>
      </c>
      <c r="RIV611" s="5" t="s">
        <v>3728</v>
      </c>
      <c r="RIW611" s="17">
        <v>44925</v>
      </c>
      <c r="RIX611" s="5" t="s">
        <v>3728</v>
      </c>
      <c r="RIY611" s="17">
        <v>44925</v>
      </c>
      <c r="RIZ611" s="5" t="s">
        <v>3728</v>
      </c>
      <c r="RJA611" s="17">
        <v>44925</v>
      </c>
      <c r="RJB611" s="5" t="s">
        <v>3728</v>
      </c>
      <c r="RJC611" s="17">
        <v>44925</v>
      </c>
      <c r="RJD611" s="5" t="s">
        <v>3728</v>
      </c>
      <c r="RJE611" s="17">
        <v>44925</v>
      </c>
      <c r="RJF611" s="5" t="s">
        <v>3728</v>
      </c>
      <c r="RJG611" s="17">
        <v>44925</v>
      </c>
      <c r="RJH611" s="5" t="s">
        <v>3728</v>
      </c>
      <c r="RJI611" s="17">
        <v>44925</v>
      </c>
      <c r="RJJ611" s="5" t="s">
        <v>3728</v>
      </c>
      <c r="RJK611" s="17">
        <v>44925</v>
      </c>
      <c r="RJL611" s="5" t="s">
        <v>3728</v>
      </c>
      <c r="RJM611" s="17">
        <v>44925</v>
      </c>
      <c r="RJN611" s="5" t="s">
        <v>3728</v>
      </c>
      <c r="RJO611" s="17">
        <v>44925</v>
      </c>
      <c r="RJP611" s="5" t="s">
        <v>3728</v>
      </c>
      <c r="RJQ611" s="17">
        <v>44925</v>
      </c>
      <c r="RJR611" s="5" t="s">
        <v>3728</v>
      </c>
      <c r="RJS611" s="17">
        <v>44925</v>
      </c>
      <c r="RJT611" s="5" t="s">
        <v>3728</v>
      </c>
      <c r="RJU611" s="17">
        <v>44925</v>
      </c>
      <c r="RJV611" s="5" t="s">
        <v>3728</v>
      </c>
      <c r="RJW611" s="17">
        <v>44925</v>
      </c>
      <c r="RJX611" s="5" t="s">
        <v>3728</v>
      </c>
      <c r="RJY611" s="17">
        <v>44925</v>
      </c>
      <c r="RJZ611" s="5" t="s">
        <v>3728</v>
      </c>
      <c r="RKA611" s="17">
        <v>44925</v>
      </c>
      <c r="RKB611" s="5" t="s">
        <v>3728</v>
      </c>
      <c r="RKC611" s="17">
        <v>44925</v>
      </c>
      <c r="RKD611" s="5" t="s">
        <v>3728</v>
      </c>
      <c r="RKE611" s="17">
        <v>44925</v>
      </c>
      <c r="RKF611" s="5" t="s">
        <v>3728</v>
      </c>
      <c r="RKG611" s="17">
        <v>44925</v>
      </c>
      <c r="RKH611" s="5" t="s">
        <v>3728</v>
      </c>
      <c r="RKI611" s="17">
        <v>44925</v>
      </c>
      <c r="RKJ611" s="5" t="s">
        <v>3728</v>
      </c>
      <c r="RKK611" s="17">
        <v>44925</v>
      </c>
      <c r="RKL611" s="5" t="s">
        <v>3728</v>
      </c>
      <c r="RKM611" s="17">
        <v>44925</v>
      </c>
      <c r="RKN611" s="5" t="s">
        <v>3728</v>
      </c>
      <c r="RKO611" s="17">
        <v>44925</v>
      </c>
      <c r="RKP611" s="5" t="s">
        <v>3728</v>
      </c>
      <c r="RKQ611" s="17">
        <v>44925</v>
      </c>
      <c r="RKR611" s="5" t="s">
        <v>3728</v>
      </c>
      <c r="RKS611" s="17">
        <v>44925</v>
      </c>
      <c r="RKT611" s="5" t="s">
        <v>3728</v>
      </c>
      <c r="RKU611" s="17">
        <v>44925</v>
      </c>
      <c r="RKV611" s="5" t="s">
        <v>3728</v>
      </c>
      <c r="RKW611" s="17">
        <v>44925</v>
      </c>
      <c r="RKX611" s="5" t="s">
        <v>3728</v>
      </c>
      <c r="RKY611" s="17">
        <v>44925</v>
      </c>
      <c r="RKZ611" s="5" t="s">
        <v>3728</v>
      </c>
      <c r="RLA611" s="17">
        <v>44925</v>
      </c>
      <c r="RLB611" s="5" t="s">
        <v>3728</v>
      </c>
      <c r="RLC611" s="17">
        <v>44925</v>
      </c>
      <c r="RLD611" s="5" t="s">
        <v>3728</v>
      </c>
      <c r="RLE611" s="17">
        <v>44925</v>
      </c>
      <c r="RLF611" s="5" t="s">
        <v>3728</v>
      </c>
      <c r="RLG611" s="17">
        <v>44925</v>
      </c>
      <c r="RLH611" s="5" t="s">
        <v>3728</v>
      </c>
      <c r="RLI611" s="17">
        <v>44925</v>
      </c>
      <c r="RLJ611" s="5" t="s">
        <v>3728</v>
      </c>
      <c r="RLK611" s="17">
        <v>44925</v>
      </c>
      <c r="RLL611" s="5" t="s">
        <v>3728</v>
      </c>
      <c r="RLM611" s="17">
        <v>44925</v>
      </c>
      <c r="RLN611" s="5" t="s">
        <v>3728</v>
      </c>
      <c r="RLO611" s="17">
        <v>44925</v>
      </c>
      <c r="RLP611" s="5" t="s">
        <v>3728</v>
      </c>
      <c r="RLQ611" s="17">
        <v>44925</v>
      </c>
      <c r="RLR611" s="5" t="s">
        <v>3728</v>
      </c>
      <c r="RLS611" s="17">
        <v>44925</v>
      </c>
      <c r="RLT611" s="5" t="s">
        <v>3728</v>
      </c>
      <c r="RLU611" s="17">
        <v>44925</v>
      </c>
      <c r="RLV611" s="5" t="s">
        <v>3728</v>
      </c>
      <c r="RLW611" s="17">
        <v>44925</v>
      </c>
      <c r="RLX611" s="5" t="s">
        <v>3728</v>
      </c>
      <c r="RLY611" s="17">
        <v>44925</v>
      </c>
      <c r="RLZ611" s="5" t="s">
        <v>3728</v>
      </c>
      <c r="RMA611" s="17">
        <v>44925</v>
      </c>
      <c r="RMB611" s="5" t="s">
        <v>3728</v>
      </c>
      <c r="RMC611" s="17">
        <v>44925</v>
      </c>
      <c r="RMD611" s="5" t="s">
        <v>3728</v>
      </c>
      <c r="RME611" s="17">
        <v>44925</v>
      </c>
      <c r="RMF611" s="5" t="s">
        <v>3728</v>
      </c>
      <c r="RMG611" s="17">
        <v>44925</v>
      </c>
      <c r="RMH611" s="5" t="s">
        <v>3728</v>
      </c>
      <c r="RMI611" s="17">
        <v>44925</v>
      </c>
      <c r="RMJ611" s="5" t="s">
        <v>3728</v>
      </c>
      <c r="RMK611" s="17">
        <v>44925</v>
      </c>
      <c r="RML611" s="5" t="s">
        <v>3728</v>
      </c>
      <c r="RMM611" s="17">
        <v>44925</v>
      </c>
      <c r="RMN611" s="5" t="s">
        <v>3728</v>
      </c>
      <c r="RMO611" s="17">
        <v>44925</v>
      </c>
      <c r="RMP611" s="5" t="s">
        <v>3728</v>
      </c>
      <c r="RMQ611" s="17">
        <v>44925</v>
      </c>
      <c r="RMR611" s="5" t="s">
        <v>3728</v>
      </c>
      <c r="RMS611" s="17">
        <v>44925</v>
      </c>
      <c r="RMT611" s="5" t="s">
        <v>3728</v>
      </c>
      <c r="RMU611" s="17">
        <v>44925</v>
      </c>
      <c r="RMV611" s="5" t="s">
        <v>3728</v>
      </c>
      <c r="RMW611" s="17">
        <v>44925</v>
      </c>
      <c r="RMX611" s="5" t="s">
        <v>3728</v>
      </c>
      <c r="RMY611" s="17">
        <v>44925</v>
      </c>
      <c r="RMZ611" s="5" t="s">
        <v>3728</v>
      </c>
      <c r="RNA611" s="17">
        <v>44925</v>
      </c>
      <c r="RNB611" s="5" t="s">
        <v>3728</v>
      </c>
      <c r="RNC611" s="17">
        <v>44925</v>
      </c>
      <c r="RND611" s="5" t="s">
        <v>3728</v>
      </c>
      <c r="RNE611" s="17">
        <v>44925</v>
      </c>
      <c r="RNF611" s="5" t="s">
        <v>3728</v>
      </c>
      <c r="RNG611" s="17">
        <v>44925</v>
      </c>
      <c r="RNH611" s="5" t="s">
        <v>3728</v>
      </c>
      <c r="RNI611" s="17">
        <v>44925</v>
      </c>
      <c r="RNJ611" s="5" t="s">
        <v>3728</v>
      </c>
      <c r="RNK611" s="17">
        <v>44925</v>
      </c>
      <c r="RNL611" s="5" t="s">
        <v>3728</v>
      </c>
      <c r="RNM611" s="17">
        <v>44925</v>
      </c>
      <c r="RNN611" s="5" t="s">
        <v>3728</v>
      </c>
      <c r="RNO611" s="17">
        <v>44925</v>
      </c>
      <c r="RNP611" s="5" t="s">
        <v>3728</v>
      </c>
      <c r="RNQ611" s="17">
        <v>44925</v>
      </c>
      <c r="RNR611" s="5" t="s">
        <v>3728</v>
      </c>
      <c r="RNS611" s="17">
        <v>44925</v>
      </c>
      <c r="RNT611" s="5" t="s">
        <v>3728</v>
      </c>
      <c r="RNU611" s="17">
        <v>44925</v>
      </c>
      <c r="RNV611" s="5" t="s">
        <v>3728</v>
      </c>
      <c r="RNW611" s="17">
        <v>44925</v>
      </c>
      <c r="RNX611" s="5" t="s">
        <v>3728</v>
      </c>
      <c r="RNY611" s="17">
        <v>44925</v>
      </c>
      <c r="RNZ611" s="5" t="s">
        <v>3728</v>
      </c>
      <c r="ROA611" s="17">
        <v>44925</v>
      </c>
      <c r="ROB611" s="5" t="s">
        <v>3728</v>
      </c>
      <c r="ROC611" s="17">
        <v>44925</v>
      </c>
      <c r="ROD611" s="5" t="s">
        <v>3728</v>
      </c>
      <c r="ROE611" s="17">
        <v>44925</v>
      </c>
      <c r="ROF611" s="5" t="s">
        <v>3728</v>
      </c>
      <c r="ROG611" s="17">
        <v>44925</v>
      </c>
      <c r="ROH611" s="5" t="s">
        <v>3728</v>
      </c>
      <c r="ROI611" s="17">
        <v>44925</v>
      </c>
      <c r="ROJ611" s="5" t="s">
        <v>3728</v>
      </c>
      <c r="ROK611" s="17">
        <v>44925</v>
      </c>
      <c r="ROL611" s="5" t="s">
        <v>3728</v>
      </c>
      <c r="ROM611" s="17">
        <v>44925</v>
      </c>
      <c r="RON611" s="5" t="s">
        <v>3728</v>
      </c>
      <c r="ROO611" s="17">
        <v>44925</v>
      </c>
      <c r="ROP611" s="5" t="s">
        <v>3728</v>
      </c>
      <c r="ROQ611" s="17">
        <v>44925</v>
      </c>
      <c r="ROR611" s="5" t="s">
        <v>3728</v>
      </c>
      <c r="ROS611" s="17">
        <v>44925</v>
      </c>
      <c r="ROT611" s="5" t="s">
        <v>3728</v>
      </c>
      <c r="ROU611" s="17">
        <v>44925</v>
      </c>
      <c r="ROV611" s="5" t="s">
        <v>3728</v>
      </c>
      <c r="ROW611" s="17">
        <v>44925</v>
      </c>
      <c r="ROX611" s="5" t="s">
        <v>3728</v>
      </c>
      <c r="ROY611" s="17">
        <v>44925</v>
      </c>
      <c r="ROZ611" s="5" t="s">
        <v>3728</v>
      </c>
      <c r="RPA611" s="17">
        <v>44925</v>
      </c>
      <c r="RPB611" s="5" t="s">
        <v>3728</v>
      </c>
      <c r="RPC611" s="17">
        <v>44925</v>
      </c>
      <c r="RPD611" s="5" t="s">
        <v>3728</v>
      </c>
      <c r="RPE611" s="17">
        <v>44925</v>
      </c>
      <c r="RPF611" s="5" t="s">
        <v>3728</v>
      </c>
      <c r="RPG611" s="17">
        <v>44925</v>
      </c>
      <c r="RPH611" s="5" t="s">
        <v>3728</v>
      </c>
      <c r="RPI611" s="17">
        <v>44925</v>
      </c>
      <c r="RPJ611" s="5" t="s">
        <v>3728</v>
      </c>
      <c r="RPK611" s="17">
        <v>44925</v>
      </c>
      <c r="RPL611" s="5" t="s">
        <v>3728</v>
      </c>
      <c r="RPM611" s="17">
        <v>44925</v>
      </c>
      <c r="RPN611" s="5" t="s">
        <v>3728</v>
      </c>
      <c r="RPO611" s="17">
        <v>44925</v>
      </c>
      <c r="RPP611" s="5" t="s">
        <v>3728</v>
      </c>
      <c r="RPQ611" s="17">
        <v>44925</v>
      </c>
      <c r="RPR611" s="5" t="s">
        <v>3728</v>
      </c>
      <c r="RPS611" s="17">
        <v>44925</v>
      </c>
      <c r="RPT611" s="5" t="s">
        <v>3728</v>
      </c>
      <c r="RPU611" s="17">
        <v>44925</v>
      </c>
      <c r="RPV611" s="5" t="s">
        <v>3728</v>
      </c>
      <c r="RPW611" s="17">
        <v>44925</v>
      </c>
      <c r="RPX611" s="5" t="s">
        <v>3728</v>
      </c>
      <c r="RPY611" s="17">
        <v>44925</v>
      </c>
      <c r="RPZ611" s="5" t="s">
        <v>3728</v>
      </c>
      <c r="RQA611" s="17">
        <v>44925</v>
      </c>
      <c r="RQB611" s="5" t="s">
        <v>3728</v>
      </c>
      <c r="RQC611" s="17">
        <v>44925</v>
      </c>
      <c r="RQD611" s="5" t="s">
        <v>3728</v>
      </c>
      <c r="RQE611" s="17">
        <v>44925</v>
      </c>
      <c r="RQF611" s="5" t="s">
        <v>3728</v>
      </c>
      <c r="RQG611" s="17">
        <v>44925</v>
      </c>
      <c r="RQH611" s="5" t="s">
        <v>3728</v>
      </c>
      <c r="RQI611" s="17">
        <v>44925</v>
      </c>
      <c r="RQJ611" s="5" t="s">
        <v>3728</v>
      </c>
      <c r="RQK611" s="17">
        <v>44925</v>
      </c>
      <c r="RQL611" s="5" t="s">
        <v>3728</v>
      </c>
      <c r="RQM611" s="17">
        <v>44925</v>
      </c>
      <c r="RQN611" s="5" t="s">
        <v>3728</v>
      </c>
      <c r="RQO611" s="17">
        <v>44925</v>
      </c>
      <c r="RQP611" s="5" t="s">
        <v>3728</v>
      </c>
      <c r="RQQ611" s="17">
        <v>44925</v>
      </c>
      <c r="RQR611" s="5" t="s">
        <v>3728</v>
      </c>
      <c r="RQS611" s="17">
        <v>44925</v>
      </c>
      <c r="RQT611" s="5" t="s">
        <v>3728</v>
      </c>
      <c r="RQU611" s="17">
        <v>44925</v>
      </c>
      <c r="RQV611" s="5" t="s">
        <v>3728</v>
      </c>
      <c r="RQW611" s="17">
        <v>44925</v>
      </c>
      <c r="RQX611" s="5" t="s">
        <v>3728</v>
      </c>
      <c r="RQY611" s="17">
        <v>44925</v>
      </c>
      <c r="RQZ611" s="5" t="s">
        <v>3728</v>
      </c>
      <c r="RRA611" s="17">
        <v>44925</v>
      </c>
      <c r="RRB611" s="5" t="s">
        <v>3728</v>
      </c>
      <c r="RRC611" s="17">
        <v>44925</v>
      </c>
      <c r="RRD611" s="5" t="s">
        <v>3728</v>
      </c>
      <c r="RRE611" s="17">
        <v>44925</v>
      </c>
      <c r="RRF611" s="5" t="s">
        <v>3728</v>
      </c>
      <c r="RRG611" s="17">
        <v>44925</v>
      </c>
      <c r="RRH611" s="5" t="s">
        <v>3728</v>
      </c>
      <c r="RRI611" s="17">
        <v>44925</v>
      </c>
      <c r="RRJ611" s="5" t="s">
        <v>3728</v>
      </c>
      <c r="RRK611" s="17">
        <v>44925</v>
      </c>
      <c r="RRL611" s="5" t="s">
        <v>3728</v>
      </c>
      <c r="RRM611" s="17">
        <v>44925</v>
      </c>
      <c r="RRN611" s="5" t="s">
        <v>3728</v>
      </c>
      <c r="RRO611" s="17">
        <v>44925</v>
      </c>
      <c r="RRP611" s="5" t="s">
        <v>3728</v>
      </c>
      <c r="RRQ611" s="17">
        <v>44925</v>
      </c>
      <c r="RRR611" s="5" t="s">
        <v>3728</v>
      </c>
      <c r="RRS611" s="17">
        <v>44925</v>
      </c>
      <c r="RRT611" s="5" t="s">
        <v>3728</v>
      </c>
      <c r="RRU611" s="17">
        <v>44925</v>
      </c>
      <c r="RRV611" s="5" t="s">
        <v>3728</v>
      </c>
      <c r="RRW611" s="17">
        <v>44925</v>
      </c>
      <c r="RRX611" s="5" t="s">
        <v>3728</v>
      </c>
      <c r="RRY611" s="17">
        <v>44925</v>
      </c>
      <c r="RRZ611" s="5" t="s">
        <v>3728</v>
      </c>
      <c r="RSA611" s="17">
        <v>44925</v>
      </c>
      <c r="RSB611" s="5" t="s">
        <v>3728</v>
      </c>
      <c r="RSC611" s="17">
        <v>44925</v>
      </c>
      <c r="RSD611" s="5" t="s">
        <v>3728</v>
      </c>
      <c r="RSE611" s="17">
        <v>44925</v>
      </c>
      <c r="RSF611" s="5" t="s">
        <v>3728</v>
      </c>
      <c r="RSG611" s="17">
        <v>44925</v>
      </c>
      <c r="RSH611" s="5" t="s">
        <v>3728</v>
      </c>
      <c r="RSI611" s="17">
        <v>44925</v>
      </c>
      <c r="RSJ611" s="5" t="s">
        <v>3728</v>
      </c>
      <c r="RSK611" s="17">
        <v>44925</v>
      </c>
      <c r="RSL611" s="5" t="s">
        <v>3728</v>
      </c>
      <c r="RSM611" s="17">
        <v>44925</v>
      </c>
      <c r="RSN611" s="5" t="s">
        <v>3728</v>
      </c>
      <c r="RSO611" s="17">
        <v>44925</v>
      </c>
      <c r="RSP611" s="5" t="s">
        <v>3728</v>
      </c>
      <c r="RSQ611" s="17">
        <v>44925</v>
      </c>
      <c r="RSR611" s="5" t="s">
        <v>3728</v>
      </c>
      <c r="RSS611" s="17">
        <v>44925</v>
      </c>
      <c r="RST611" s="5" t="s">
        <v>3728</v>
      </c>
      <c r="RSU611" s="17">
        <v>44925</v>
      </c>
      <c r="RSV611" s="5" t="s">
        <v>3728</v>
      </c>
      <c r="RSW611" s="17">
        <v>44925</v>
      </c>
      <c r="RSX611" s="5" t="s">
        <v>3728</v>
      </c>
      <c r="RSY611" s="17">
        <v>44925</v>
      </c>
      <c r="RSZ611" s="5" t="s">
        <v>3728</v>
      </c>
      <c r="RTA611" s="17">
        <v>44925</v>
      </c>
      <c r="RTB611" s="5" t="s">
        <v>3728</v>
      </c>
      <c r="RTC611" s="17">
        <v>44925</v>
      </c>
      <c r="RTD611" s="5" t="s">
        <v>3728</v>
      </c>
      <c r="RTE611" s="17">
        <v>44925</v>
      </c>
      <c r="RTF611" s="5" t="s">
        <v>3728</v>
      </c>
      <c r="RTG611" s="17">
        <v>44925</v>
      </c>
      <c r="RTH611" s="5" t="s">
        <v>3728</v>
      </c>
      <c r="RTI611" s="17">
        <v>44925</v>
      </c>
      <c r="RTJ611" s="5" t="s">
        <v>3728</v>
      </c>
      <c r="RTK611" s="17">
        <v>44925</v>
      </c>
      <c r="RTL611" s="5" t="s">
        <v>3728</v>
      </c>
      <c r="RTM611" s="17">
        <v>44925</v>
      </c>
      <c r="RTN611" s="5" t="s">
        <v>3728</v>
      </c>
      <c r="RTO611" s="17">
        <v>44925</v>
      </c>
      <c r="RTP611" s="5" t="s">
        <v>3728</v>
      </c>
      <c r="RTQ611" s="17">
        <v>44925</v>
      </c>
      <c r="RTR611" s="5" t="s">
        <v>3728</v>
      </c>
      <c r="RTS611" s="17">
        <v>44925</v>
      </c>
      <c r="RTT611" s="5" t="s">
        <v>3728</v>
      </c>
      <c r="RTU611" s="17">
        <v>44925</v>
      </c>
      <c r="RTV611" s="5" t="s">
        <v>3728</v>
      </c>
      <c r="RTW611" s="17">
        <v>44925</v>
      </c>
      <c r="RTX611" s="5" t="s">
        <v>3728</v>
      </c>
      <c r="RTY611" s="17">
        <v>44925</v>
      </c>
      <c r="RTZ611" s="5" t="s">
        <v>3728</v>
      </c>
      <c r="RUA611" s="17">
        <v>44925</v>
      </c>
      <c r="RUB611" s="5" t="s">
        <v>3728</v>
      </c>
      <c r="RUC611" s="17">
        <v>44925</v>
      </c>
      <c r="RUD611" s="5" t="s">
        <v>3728</v>
      </c>
      <c r="RUE611" s="17">
        <v>44925</v>
      </c>
      <c r="RUF611" s="5" t="s">
        <v>3728</v>
      </c>
      <c r="RUG611" s="17">
        <v>44925</v>
      </c>
      <c r="RUH611" s="5" t="s">
        <v>3728</v>
      </c>
      <c r="RUI611" s="17">
        <v>44925</v>
      </c>
      <c r="RUJ611" s="5" t="s">
        <v>3728</v>
      </c>
      <c r="RUK611" s="17">
        <v>44925</v>
      </c>
      <c r="RUL611" s="5" t="s">
        <v>3728</v>
      </c>
      <c r="RUM611" s="17">
        <v>44925</v>
      </c>
      <c r="RUN611" s="5" t="s">
        <v>3728</v>
      </c>
      <c r="RUO611" s="17">
        <v>44925</v>
      </c>
      <c r="RUP611" s="5" t="s">
        <v>3728</v>
      </c>
      <c r="RUQ611" s="17">
        <v>44925</v>
      </c>
      <c r="RUR611" s="5" t="s">
        <v>3728</v>
      </c>
      <c r="RUS611" s="17">
        <v>44925</v>
      </c>
      <c r="RUT611" s="5" t="s">
        <v>3728</v>
      </c>
      <c r="RUU611" s="17">
        <v>44925</v>
      </c>
      <c r="RUV611" s="5" t="s">
        <v>3728</v>
      </c>
      <c r="RUW611" s="17">
        <v>44925</v>
      </c>
      <c r="RUX611" s="5" t="s">
        <v>3728</v>
      </c>
      <c r="RUY611" s="17">
        <v>44925</v>
      </c>
      <c r="RUZ611" s="5" t="s">
        <v>3728</v>
      </c>
      <c r="RVA611" s="17">
        <v>44925</v>
      </c>
      <c r="RVB611" s="5" t="s">
        <v>3728</v>
      </c>
      <c r="RVC611" s="17">
        <v>44925</v>
      </c>
      <c r="RVD611" s="5" t="s">
        <v>3728</v>
      </c>
      <c r="RVE611" s="17">
        <v>44925</v>
      </c>
      <c r="RVF611" s="5" t="s">
        <v>3728</v>
      </c>
      <c r="RVG611" s="17">
        <v>44925</v>
      </c>
      <c r="RVH611" s="5" t="s">
        <v>3728</v>
      </c>
      <c r="RVI611" s="17">
        <v>44925</v>
      </c>
      <c r="RVJ611" s="5" t="s">
        <v>3728</v>
      </c>
      <c r="RVK611" s="17">
        <v>44925</v>
      </c>
      <c r="RVL611" s="5" t="s">
        <v>3728</v>
      </c>
      <c r="RVM611" s="17">
        <v>44925</v>
      </c>
      <c r="RVN611" s="5" t="s">
        <v>3728</v>
      </c>
      <c r="RVO611" s="17">
        <v>44925</v>
      </c>
      <c r="RVP611" s="5" t="s">
        <v>3728</v>
      </c>
      <c r="RVQ611" s="17">
        <v>44925</v>
      </c>
      <c r="RVR611" s="5" t="s">
        <v>3728</v>
      </c>
      <c r="RVS611" s="17">
        <v>44925</v>
      </c>
      <c r="RVT611" s="5" t="s">
        <v>3728</v>
      </c>
      <c r="RVU611" s="17">
        <v>44925</v>
      </c>
      <c r="RVV611" s="5" t="s">
        <v>3728</v>
      </c>
      <c r="RVW611" s="17">
        <v>44925</v>
      </c>
      <c r="RVX611" s="5" t="s">
        <v>3728</v>
      </c>
      <c r="RVY611" s="17">
        <v>44925</v>
      </c>
      <c r="RVZ611" s="5" t="s">
        <v>3728</v>
      </c>
      <c r="RWA611" s="17">
        <v>44925</v>
      </c>
      <c r="RWB611" s="5" t="s">
        <v>3728</v>
      </c>
      <c r="RWC611" s="17">
        <v>44925</v>
      </c>
      <c r="RWD611" s="5" t="s">
        <v>3728</v>
      </c>
      <c r="RWE611" s="17">
        <v>44925</v>
      </c>
      <c r="RWF611" s="5" t="s">
        <v>3728</v>
      </c>
      <c r="RWG611" s="17">
        <v>44925</v>
      </c>
      <c r="RWH611" s="5" t="s">
        <v>3728</v>
      </c>
      <c r="RWI611" s="17">
        <v>44925</v>
      </c>
      <c r="RWJ611" s="5" t="s">
        <v>3728</v>
      </c>
      <c r="RWK611" s="17">
        <v>44925</v>
      </c>
      <c r="RWL611" s="5" t="s">
        <v>3728</v>
      </c>
      <c r="RWM611" s="17">
        <v>44925</v>
      </c>
      <c r="RWN611" s="5" t="s">
        <v>3728</v>
      </c>
      <c r="RWO611" s="17">
        <v>44925</v>
      </c>
      <c r="RWP611" s="5" t="s">
        <v>3728</v>
      </c>
      <c r="RWQ611" s="17">
        <v>44925</v>
      </c>
      <c r="RWR611" s="5" t="s">
        <v>3728</v>
      </c>
      <c r="RWS611" s="17">
        <v>44925</v>
      </c>
      <c r="RWT611" s="5" t="s">
        <v>3728</v>
      </c>
      <c r="RWU611" s="17">
        <v>44925</v>
      </c>
      <c r="RWV611" s="5" t="s">
        <v>3728</v>
      </c>
      <c r="RWW611" s="17">
        <v>44925</v>
      </c>
      <c r="RWX611" s="5" t="s">
        <v>3728</v>
      </c>
      <c r="RWY611" s="17">
        <v>44925</v>
      </c>
      <c r="RWZ611" s="5" t="s">
        <v>3728</v>
      </c>
      <c r="RXA611" s="17">
        <v>44925</v>
      </c>
      <c r="RXB611" s="5" t="s">
        <v>3728</v>
      </c>
      <c r="RXC611" s="17">
        <v>44925</v>
      </c>
      <c r="RXD611" s="5" t="s">
        <v>3728</v>
      </c>
      <c r="RXE611" s="17">
        <v>44925</v>
      </c>
      <c r="RXF611" s="5" t="s">
        <v>3728</v>
      </c>
      <c r="RXG611" s="17">
        <v>44925</v>
      </c>
      <c r="RXH611" s="5" t="s">
        <v>3728</v>
      </c>
      <c r="RXI611" s="17">
        <v>44925</v>
      </c>
      <c r="RXJ611" s="5" t="s">
        <v>3728</v>
      </c>
      <c r="RXK611" s="17">
        <v>44925</v>
      </c>
      <c r="RXL611" s="5" t="s">
        <v>3728</v>
      </c>
      <c r="RXM611" s="17">
        <v>44925</v>
      </c>
      <c r="RXN611" s="5" t="s">
        <v>3728</v>
      </c>
      <c r="RXO611" s="17">
        <v>44925</v>
      </c>
      <c r="RXP611" s="5" t="s">
        <v>3728</v>
      </c>
      <c r="RXQ611" s="17">
        <v>44925</v>
      </c>
      <c r="RXR611" s="5" t="s">
        <v>3728</v>
      </c>
      <c r="RXS611" s="17">
        <v>44925</v>
      </c>
      <c r="RXT611" s="5" t="s">
        <v>3728</v>
      </c>
      <c r="RXU611" s="17">
        <v>44925</v>
      </c>
      <c r="RXV611" s="5" t="s">
        <v>3728</v>
      </c>
      <c r="RXW611" s="17">
        <v>44925</v>
      </c>
      <c r="RXX611" s="5" t="s">
        <v>3728</v>
      </c>
      <c r="RXY611" s="17">
        <v>44925</v>
      </c>
      <c r="RXZ611" s="5" t="s">
        <v>3728</v>
      </c>
      <c r="RYA611" s="17">
        <v>44925</v>
      </c>
      <c r="RYB611" s="5" t="s">
        <v>3728</v>
      </c>
      <c r="RYC611" s="17">
        <v>44925</v>
      </c>
      <c r="RYD611" s="5" t="s">
        <v>3728</v>
      </c>
      <c r="RYE611" s="17">
        <v>44925</v>
      </c>
      <c r="RYF611" s="5" t="s">
        <v>3728</v>
      </c>
      <c r="RYG611" s="17">
        <v>44925</v>
      </c>
      <c r="RYH611" s="5" t="s">
        <v>3728</v>
      </c>
      <c r="RYI611" s="17">
        <v>44925</v>
      </c>
      <c r="RYJ611" s="5" t="s">
        <v>3728</v>
      </c>
      <c r="RYK611" s="17">
        <v>44925</v>
      </c>
      <c r="RYL611" s="5" t="s">
        <v>3728</v>
      </c>
      <c r="RYM611" s="17">
        <v>44925</v>
      </c>
      <c r="RYN611" s="5" t="s">
        <v>3728</v>
      </c>
      <c r="RYO611" s="17">
        <v>44925</v>
      </c>
      <c r="RYP611" s="5" t="s">
        <v>3728</v>
      </c>
      <c r="RYQ611" s="17">
        <v>44925</v>
      </c>
      <c r="RYR611" s="5" t="s">
        <v>3728</v>
      </c>
      <c r="RYS611" s="17">
        <v>44925</v>
      </c>
      <c r="RYT611" s="5" t="s">
        <v>3728</v>
      </c>
      <c r="RYU611" s="17">
        <v>44925</v>
      </c>
      <c r="RYV611" s="5" t="s">
        <v>3728</v>
      </c>
      <c r="RYW611" s="17">
        <v>44925</v>
      </c>
      <c r="RYX611" s="5" t="s">
        <v>3728</v>
      </c>
      <c r="RYY611" s="17">
        <v>44925</v>
      </c>
      <c r="RYZ611" s="5" t="s">
        <v>3728</v>
      </c>
      <c r="RZA611" s="17">
        <v>44925</v>
      </c>
      <c r="RZB611" s="5" t="s">
        <v>3728</v>
      </c>
      <c r="RZC611" s="17">
        <v>44925</v>
      </c>
      <c r="RZD611" s="5" t="s">
        <v>3728</v>
      </c>
      <c r="RZE611" s="17">
        <v>44925</v>
      </c>
      <c r="RZF611" s="5" t="s">
        <v>3728</v>
      </c>
      <c r="RZG611" s="17">
        <v>44925</v>
      </c>
      <c r="RZH611" s="5" t="s">
        <v>3728</v>
      </c>
      <c r="RZI611" s="17">
        <v>44925</v>
      </c>
      <c r="RZJ611" s="5" t="s">
        <v>3728</v>
      </c>
      <c r="RZK611" s="17">
        <v>44925</v>
      </c>
      <c r="RZL611" s="5" t="s">
        <v>3728</v>
      </c>
      <c r="RZM611" s="17">
        <v>44925</v>
      </c>
      <c r="RZN611" s="5" t="s">
        <v>3728</v>
      </c>
      <c r="RZO611" s="17">
        <v>44925</v>
      </c>
      <c r="RZP611" s="5" t="s">
        <v>3728</v>
      </c>
      <c r="RZQ611" s="17">
        <v>44925</v>
      </c>
      <c r="RZR611" s="5" t="s">
        <v>3728</v>
      </c>
      <c r="RZS611" s="17">
        <v>44925</v>
      </c>
      <c r="RZT611" s="5" t="s">
        <v>3728</v>
      </c>
      <c r="RZU611" s="17">
        <v>44925</v>
      </c>
      <c r="RZV611" s="5" t="s">
        <v>3728</v>
      </c>
      <c r="RZW611" s="17">
        <v>44925</v>
      </c>
      <c r="RZX611" s="5" t="s">
        <v>3728</v>
      </c>
      <c r="RZY611" s="17">
        <v>44925</v>
      </c>
      <c r="RZZ611" s="5" t="s">
        <v>3728</v>
      </c>
      <c r="SAA611" s="17">
        <v>44925</v>
      </c>
      <c r="SAB611" s="5" t="s">
        <v>3728</v>
      </c>
      <c r="SAC611" s="17">
        <v>44925</v>
      </c>
      <c r="SAD611" s="5" t="s">
        <v>3728</v>
      </c>
      <c r="SAE611" s="17">
        <v>44925</v>
      </c>
      <c r="SAF611" s="5" t="s">
        <v>3728</v>
      </c>
      <c r="SAG611" s="17">
        <v>44925</v>
      </c>
      <c r="SAH611" s="5" t="s">
        <v>3728</v>
      </c>
      <c r="SAI611" s="17">
        <v>44925</v>
      </c>
      <c r="SAJ611" s="5" t="s">
        <v>3728</v>
      </c>
      <c r="SAK611" s="17">
        <v>44925</v>
      </c>
      <c r="SAL611" s="5" t="s">
        <v>3728</v>
      </c>
      <c r="SAM611" s="17">
        <v>44925</v>
      </c>
      <c r="SAN611" s="5" t="s">
        <v>3728</v>
      </c>
      <c r="SAO611" s="17">
        <v>44925</v>
      </c>
      <c r="SAP611" s="5" t="s">
        <v>3728</v>
      </c>
      <c r="SAQ611" s="17">
        <v>44925</v>
      </c>
      <c r="SAR611" s="5" t="s">
        <v>3728</v>
      </c>
      <c r="SAS611" s="17">
        <v>44925</v>
      </c>
      <c r="SAT611" s="5" t="s">
        <v>3728</v>
      </c>
      <c r="SAU611" s="17">
        <v>44925</v>
      </c>
      <c r="SAV611" s="5" t="s">
        <v>3728</v>
      </c>
      <c r="SAW611" s="17">
        <v>44925</v>
      </c>
      <c r="SAX611" s="5" t="s">
        <v>3728</v>
      </c>
      <c r="SAY611" s="17">
        <v>44925</v>
      </c>
      <c r="SAZ611" s="5" t="s">
        <v>3728</v>
      </c>
      <c r="SBA611" s="17">
        <v>44925</v>
      </c>
      <c r="SBB611" s="5" t="s">
        <v>3728</v>
      </c>
      <c r="SBC611" s="17">
        <v>44925</v>
      </c>
      <c r="SBD611" s="5" t="s">
        <v>3728</v>
      </c>
      <c r="SBE611" s="17">
        <v>44925</v>
      </c>
      <c r="SBF611" s="5" t="s">
        <v>3728</v>
      </c>
      <c r="SBG611" s="17">
        <v>44925</v>
      </c>
      <c r="SBH611" s="5" t="s">
        <v>3728</v>
      </c>
      <c r="SBI611" s="17">
        <v>44925</v>
      </c>
      <c r="SBJ611" s="5" t="s">
        <v>3728</v>
      </c>
      <c r="SBK611" s="17">
        <v>44925</v>
      </c>
      <c r="SBL611" s="5" t="s">
        <v>3728</v>
      </c>
      <c r="SBM611" s="17">
        <v>44925</v>
      </c>
      <c r="SBN611" s="5" t="s">
        <v>3728</v>
      </c>
      <c r="SBO611" s="17">
        <v>44925</v>
      </c>
      <c r="SBP611" s="5" t="s">
        <v>3728</v>
      </c>
      <c r="SBQ611" s="17">
        <v>44925</v>
      </c>
      <c r="SBR611" s="5" t="s">
        <v>3728</v>
      </c>
      <c r="SBS611" s="17">
        <v>44925</v>
      </c>
      <c r="SBT611" s="5" t="s">
        <v>3728</v>
      </c>
      <c r="SBU611" s="17">
        <v>44925</v>
      </c>
      <c r="SBV611" s="5" t="s">
        <v>3728</v>
      </c>
      <c r="SBW611" s="17">
        <v>44925</v>
      </c>
      <c r="SBX611" s="5" t="s">
        <v>3728</v>
      </c>
      <c r="SBY611" s="17">
        <v>44925</v>
      </c>
      <c r="SBZ611" s="5" t="s">
        <v>3728</v>
      </c>
      <c r="SCA611" s="17">
        <v>44925</v>
      </c>
      <c r="SCB611" s="5" t="s">
        <v>3728</v>
      </c>
      <c r="SCC611" s="17">
        <v>44925</v>
      </c>
      <c r="SCD611" s="5" t="s">
        <v>3728</v>
      </c>
      <c r="SCE611" s="17">
        <v>44925</v>
      </c>
      <c r="SCF611" s="5" t="s">
        <v>3728</v>
      </c>
      <c r="SCG611" s="17">
        <v>44925</v>
      </c>
      <c r="SCH611" s="5" t="s">
        <v>3728</v>
      </c>
      <c r="SCI611" s="17">
        <v>44925</v>
      </c>
      <c r="SCJ611" s="5" t="s">
        <v>3728</v>
      </c>
      <c r="SCK611" s="17">
        <v>44925</v>
      </c>
      <c r="SCL611" s="5" t="s">
        <v>3728</v>
      </c>
      <c r="SCM611" s="17">
        <v>44925</v>
      </c>
      <c r="SCN611" s="5" t="s">
        <v>3728</v>
      </c>
      <c r="SCO611" s="17">
        <v>44925</v>
      </c>
      <c r="SCP611" s="5" t="s">
        <v>3728</v>
      </c>
      <c r="SCQ611" s="17">
        <v>44925</v>
      </c>
      <c r="SCR611" s="5" t="s">
        <v>3728</v>
      </c>
      <c r="SCS611" s="17">
        <v>44925</v>
      </c>
      <c r="SCT611" s="5" t="s">
        <v>3728</v>
      </c>
      <c r="SCU611" s="17">
        <v>44925</v>
      </c>
      <c r="SCV611" s="5" t="s">
        <v>3728</v>
      </c>
      <c r="SCW611" s="17">
        <v>44925</v>
      </c>
      <c r="SCX611" s="5" t="s">
        <v>3728</v>
      </c>
      <c r="SCY611" s="17">
        <v>44925</v>
      </c>
      <c r="SCZ611" s="5" t="s">
        <v>3728</v>
      </c>
      <c r="SDA611" s="17">
        <v>44925</v>
      </c>
      <c r="SDB611" s="5" t="s">
        <v>3728</v>
      </c>
      <c r="SDC611" s="17">
        <v>44925</v>
      </c>
      <c r="SDD611" s="5" t="s">
        <v>3728</v>
      </c>
      <c r="SDE611" s="17">
        <v>44925</v>
      </c>
      <c r="SDF611" s="5" t="s">
        <v>3728</v>
      </c>
      <c r="SDG611" s="17">
        <v>44925</v>
      </c>
      <c r="SDH611" s="5" t="s">
        <v>3728</v>
      </c>
      <c r="SDI611" s="17">
        <v>44925</v>
      </c>
      <c r="SDJ611" s="5" t="s">
        <v>3728</v>
      </c>
      <c r="SDK611" s="17">
        <v>44925</v>
      </c>
      <c r="SDL611" s="5" t="s">
        <v>3728</v>
      </c>
      <c r="SDM611" s="17">
        <v>44925</v>
      </c>
      <c r="SDN611" s="5" t="s">
        <v>3728</v>
      </c>
      <c r="SDO611" s="17">
        <v>44925</v>
      </c>
      <c r="SDP611" s="5" t="s">
        <v>3728</v>
      </c>
      <c r="SDQ611" s="17">
        <v>44925</v>
      </c>
      <c r="SDR611" s="5" t="s">
        <v>3728</v>
      </c>
      <c r="SDS611" s="17">
        <v>44925</v>
      </c>
      <c r="SDT611" s="5" t="s">
        <v>3728</v>
      </c>
      <c r="SDU611" s="17">
        <v>44925</v>
      </c>
      <c r="SDV611" s="5" t="s">
        <v>3728</v>
      </c>
      <c r="SDW611" s="17">
        <v>44925</v>
      </c>
      <c r="SDX611" s="5" t="s">
        <v>3728</v>
      </c>
      <c r="SDY611" s="17">
        <v>44925</v>
      </c>
      <c r="SDZ611" s="5" t="s">
        <v>3728</v>
      </c>
      <c r="SEA611" s="17">
        <v>44925</v>
      </c>
      <c r="SEB611" s="5" t="s">
        <v>3728</v>
      </c>
      <c r="SEC611" s="17">
        <v>44925</v>
      </c>
      <c r="SED611" s="5" t="s">
        <v>3728</v>
      </c>
      <c r="SEE611" s="17">
        <v>44925</v>
      </c>
      <c r="SEF611" s="5" t="s">
        <v>3728</v>
      </c>
      <c r="SEG611" s="17">
        <v>44925</v>
      </c>
      <c r="SEH611" s="5" t="s">
        <v>3728</v>
      </c>
      <c r="SEI611" s="17">
        <v>44925</v>
      </c>
      <c r="SEJ611" s="5" t="s">
        <v>3728</v>
      </c>
      <c r="SEK611" s="17">
        <v>44925</v>
      </c>
      <c r="SEL611" s="5" t="s">
        <v>3728</v>
      </c>
      <c r="SEM611" s="17">
        <v>44925</v>
      </c>
      <c r="SEN611" s="5" t="s">
        <v>3728</v>
      </c>
      <c r="SEO611" s="17">
        <v>44925</v>
      </c>
      <c r="SEP611" s="5" t="s">
        <v>3728</v>
      </c>
      <c r="SEQ611" s="17">
        <v>44925</v>
      </c>
      <c r="SER611" s="5" t="s">
        <v>3728</v>
      </c>
      <c r="SES611" s="17">
        <v>44925</v>
      </c>
      <c r="SET611" s="5" t="s">
        <v>3728</v>
      </c>
      <c r="SEU611" s="17">
        <v>44925</v>
      </c>
      <c r="SEV611" s="5" t="s">
        <v>3728</v>
      </c>
      <c r="SEW611" s="17">
        <v>44925</v>
      </c>
      <c r="SEX611" s="5" t="s">
        <v>3728</v>
      </c>
      <c r="SEY611" s="17">
        <v>44925</v>
      </c>
      <c r="SEZ611" s="5" t="s">
        <v>3728</v>
      </c>
      <c r="SFA611" s="17">
        <v>44925</v>
      </c>
      <c r="SFB611" s="5" t="s">
        <v>3728</v>
      </c>
      <c r="SFC611" s="17">
        <v>44925</v>
      </c>
      <c r="SFD611" s="5" t="s">
        <v>3728</v>
      </c>
      <c r="SFE611" s="17">
        <v>44925</v>
      </c>
      <c r="SFF611" s="5" t="s">
        <v>3728</v>
      </c>
      <c r="SFG611" s="17">
        <v>44925</v>
      </c>
      <c r="SFH611" s="5" t="s">
        <v>3728</v>
      </c>
      <c r="SFI611" s="17">
        <v>44925</v>
      </c>
      <c r="SFJ611" s="5" t="s">
        <v>3728</v>
      </c>
      <c r="SFK611" s="17">
        <v>44925</v>
      </c>
      <c r="SFL611" s="5" t="s">
        <v>3728</v>
      </c>
      <c r="SFM611" s="17">
        <v>44925</v>
      </c>
      <c r="SFN611" s="5" t="s">
        <v>3728</v>
      </c>
      <c r="SFO611" s="17">
        <v>44925</v>
      </c>
      <c r="SFP611" s="5" t="s">
        <v>3728</v>
      </c>
      <c r="SFQ611" s="17">
        <v>44925</v>
      </c>
      <c r="SFR611" s="5" t="s">
        <v>3728</v>
      </c>
      <c r="SFS611" s="17">
        <v>44925</v>
      </c>
      <c r="SFT611" s="5" t="s">
        <v>3728</v>
      </c>
      <c r="SFU611" s="17">
        <v>44925</v>
      </c>
      <c r="SFV611" s="5" t="s">
        <v>3728</v>
      </c>
      <c r="SFW611" s="17">
        <v>44925</v>
      </c>
      <c r="SFX611" s="5" t="s">
        <v>3728</v>
      </c>
      <c r="SFY611" s="17">
        <v>44925</v>
      </c>
      <c r="SFZ611" s="5" t="s">
        <v>3728</v>
      </c>
      <c r="SGA611" s="17">
        <v>44925</v>
      </c>
      <c r="SGB611" s="5" t="s">
        <v>3728</v>
      </c>
      <c r="SGC611" s="17">
        <v>44925</v>
      </c>
      <c r="SGD611" s="5" t="s">
        <v>3728</v>
      </c>
      <c r="SGE611" s="17">
        <v>44925</v>
      </c>
      <c r="SGF611" s="5" t="s">
        <v>3728</v>
      </c>
      <c r="SGG611" s="17">
        <v>44925</v>
      </c>
      <c r="SGH611" s="5" t="s">
        <v>3728</v>
      </c>
      <c r="SGI611" s="17">
        <v>44925</v>
      </c>
      <c r="SGJ611" s="5" t="s">
        <v>3728</v>
      </c>
      <c r="SGK611" s="17">
        <v>44925</v>
      </c>
      <c r="SGL611" s="5" t="s">
        <v>3728</v>
      </c>
      <c r="SGM611" s="17">
        <v>44925</v>
      </c>
      <c r="SGN611" s="5" t="s">
        <v>3728</v>
      </c>
      <c r="SGO611" s="17">
        <v>44925</v>
      </c>
      <c r="SGP611" s="5" t="s">
        <v>3728</v>
      </c>
      <c r="SGQ611" s="17">
        <v>44925</v>
      </c>
      <c r="SGR611" s="5" t="s">
        <v>3728</v>
      </c>
      <c r="SGS611" s="17">
        <v>44925</v>
      </c>
      <c r="SGT611" s="5" t="s">
        <v>3728</v>
      </c>
      <c r="SGU611" s="17">
        <v>44925</v>
      </c>
      <c r="SGV611" s="5" t="s">
        <v>3728</v>
      </c>
      <c r="SGW611" s="17">
        <v>44925</v>
      </c>
      <c r="SGX611" s="5" t="s">
        <v>3728</v>
      </c>
      <c r="SGY611" s="17">
        <v>44925</v>
      </c>
      <c r="SGZ611" s="5" t="s">
        <v>3728</v>
      </c>
      <c r="SHA611" s="17">
        <v>44925</v>
      </c>
      <c r="SHB611" s="5" t="s">
        <v>3728</v>
      </c>
      <c r="SHC611" s="17">
        <v>44925</v>
      </c>
      <c r="SHD611" s="5" t="s">
        <v>3728</v>
      </c>
      <c r="SHE611" s="17">
        <v>44925</v>
      </c>
      <c r="SHF611" s="5" t="s">
        <v>3728</v>
      </c>
      <c r="SHG611" s="17">
        <v>44925</v>
      </c>
      <c r="SHH611" s="5" t="s">
        <v>3728</v>
      </c>
      <c r="SHI611" s="17">
        <v>44925</v>
      </c>
      <c r="SHJ611" s="5" t="s">
        <v>3728</v>
      </c>
      <c r="SHK611" s="17">
        <v>44925</v>
      </c>
      <c r="SHL611" s="5" t="s">
        <v>3728</v>
      </c>
      <c r="SHM611" s="17">
        <v>44925</v>
      </c>
      <c r="SHN611" s="5" t="s">
        <v>3728</v>
      </c>
      <c r="SHO611" s="17">
        <v>44925</v>
      </c>
      <c r="SHP611" s="5" t="s">
        <v>3728</v>
      </c>
      <c r="SHQ611" s="17">
        <v>44925</v>
      </c>
      <c r="SHR611" s="5" t="s">
        <v>3728</v>
      </c>
      <c r="SHS611" s="17">
        <v>44925</v>
      </c>
      <c r="SHT611" s="5" t="s">
        <v>3728</v>
      </c>
      <c r="SHU611" s="17">
        <v>44925</v>
      </c>
      <c r="SHV611" s="5" t="s">
        <v>3728</v>
      </c>
      <c r="SHW611" s="17">
        <v>44925</v>
      </c>
      <c r="SHX611" s="5" t="s">
        <v>3728</v>
      </c>
      <c r="SHY611" s="17">
        <v>44925</v>
      </c>
      <c r="SHZ611" s="5" t="s">
        <v>3728</v>
      </c>
      <c r="SIA611" s="17">
        <v>44925</v>
      </c>
      <c r="SIB611" s="5" t="s">
        <v>3728</v>
      </c>
      <c r="SIC611" s="17">
        <v>44925</v>
      </c>
      <c r="SID611" s="5" t="s">
        <v>3728</v>
      </c>
      <c r="SIE611" s="17">
        <v>44925</v>
      </c>
      <c r="SIF611" s="5" t="s">
        <v>3728</v>
      </c>
      <c r="SIG611" s="17">
        <v>44925</v>
      </c>
      <c r="SIH611" s="5" t="s">
        <v>3728</v>
      </c>
      <c r="SII611" s="17">
        <v>44925</v>
      </c>
      <c r="SIJ611" s="5" t="s">
        <v>3728</v>
      </c>
      <c r="SIK611" s="17">
        <v>44925</v>
      </c>
      <c r="SIL611" s="5" t="s">
        <v>3728</v>
      </c>
      <c r="SIM611" s="17">
        <v>44925</v>
      </c>
      <c r="SIN611" s="5" t="s">
        <v>3728</v>
      </c>
      <c r="SIO611" s="17">
        <v>44925</v>
      </c>
      <c r="SIP611" s="5" t="s">
        <v>3728</v>
      </c>
      <c r="SIQ611" s="17">
        <v>44925</v>
      </c>
      <c r="SIR611" s="5" t="s">
        <v>3728</v>
      </c>
      <c r="SIS611" s="17">
        <v>44925</v>
      </c>
      <c r="SIT611" s="5" t="s">
        <v>3728</v>
      </c>
      <c r="SIU611" s="17">
        <v>44925</v>
      </c>
      <c r="SIV611" s="5" t="s">
        <v>3728</v>
      </c>
      <c r="SIW611" s="17">
        <v>44925</v>
      </c>
      <c r="SIX611" s="5" t="s">
        <v>3728</v>
      </c>
      <c r="SIY611" s="17">
        <v>44925</v>
      </c>
      <c r="SIZ611" s="5" t="s">
        <v>3728</v>
      </c>
      <c r="SJA611" s="17">
        <v>44925</v>
      </c>
      <c r="SJB611" s="5" t="s">
        <v>3728</v>
      </c>
      <c r="SJC611" s="17">
        <v>44925</v>
      </c>
      <c r="SJD611" s="5" t="s">
        <v>3728</v>
      </c>
      <c r="SJE611" s="17">
        <v>44925</v>
      </c>
      <c r="SJF611" s="5" t="s">
        <v>3728</v>
      </c>
      <c r="SJG611" s="17">
        <v>44925</v>
      </c>
      <c r="SJH611" s="5" t="s">
        <v>3728</v>
      </c>
      <c r="SJI611" s="17">
        <v>44925</v>
      </c>
      <c r="SJJ611" s="5" t="s">
        <v>3728</v>
      </c>
      <c r="SJK611" s="17">
        <v>44925</v>
      </c>
      <c r="SJL611" s="5" t="s">
        <v>3728</v>
      </c>
      <c r="SJM611" s="17">
        <v>44925</v>
      </c>
      <c r="SJN611" s="5" t="s">
        <v>3728</v>
      </c>
      <c r="SJO611" s="17">
        <v>44925</v>
      </c>
      <c r="SJP611" s="5" t="s">
        <v>3728</v>
      </c>
      <c r="SJQ611" s="17">
        <v>44925</v>
      </c>
      <c r="SJR611" s="5" t="s">
        <v>3728</v>
      </c>
      <c r="SJS611" s="17">
        <v>44925</v>
      </c>
      <c r="SJT611" s="5" t="s">
        <v>3728</v>
      </c>
      <c r="SJU611" s="17">
        <v>44925</v>
      </c>
      <c r="SJV611" s="5" t="s">
        <v>3728</v>
      </c>
      <c r="SJW611" s="17">
        <v>44925</v>
      </c>
      <c r="SJX611" s="5" t="s">
        <v>3728</v>
      </c>
      <c r="SJY611" s="17">
        <v>44925</v>
      </c>
      <c r="SJZ611" s="5" t="s">
        <v>3728</v>
      </c>
      <c r="SKA611" s="17">
        <v>44925</v>
      </c>
      <c r="SKB611" s="5" t="s">
        <v>3728</v>
      </c>
      <c r="SKC611" s="17">
        <v>44925</v>
      </c>
      <c r="SKD611" s="5" t="s">
        <v>3728</v>
      </c>
      <c r="SKE611" s="17">
        <v>44925</v>
      </c>
      <c r="SKF611" s="5" t="s">
        <v>3728</v>
      </c>
      <c r="SKG611" s="17">
        <v>44925</v>
      </c>
      <c r="SKH611" s="5" t="s">
        <v>3728</v>
      </c>
      <c r="SKI611" s="17">
        <v>44925</v>
      </c>
      <c r="SKJ611" s="5" t="s">
        <v>3728</v>
      </c>
      <c r="SKK611" s="17">
        <v>44925</v>
      </c>
      <c r="SKL611" s="5" t="s">
        <v>3728</v>
      </c>
      <c r="SKM611" s="17">
        <v>44925</v>
      </c>
      <c r="SKN611" s="5" t="s">
        <v>3728</v>
      </c>
      <c r="SKO611" s="17">
        <v>44925</v>
      </c>
      <c r="SKP611" s="5" t="s">
        <v>3728</v>
      </c>
      <c r="SKQ611" s="17">
        <v>44925</v>
      </c>
      <c r="SKR611" s="5" t="s">
        <v>3728</v>
      </c>
      <c r="SKS611" s="17">
        <v>44925</v>
      </c>
      <c r="SKT611" s="5" t="s">
        <v>3728</v>
      </c>
      <c r="SKU611" s="17">
        <v>44925</v>
      </c>
      <c r="SKV611" s="5" t="s">
        <v>3728</v>
      </c>
      <c r="SKW611" s="17">
        <v>44925</v>
      </c>
      <c r="SKX611" s="5" t="s">
        <v>3728</v>
      </c>
      <c r="SKY611" s="17">
        <v>44925</v>
      </c>
      <c r="SKZ611" s="5" t="s">
        <v>3728</v>
      </c>
      <c r="SLA611" s="17">
        <v>44925</v>
      </c>
      <c r="SLB611" s="5" t="s">
        <v>3728</v>
      </c>
      <c r="SLC611" s="17">
        <v>44925</v>
      </c>
      <c r="SLD611" s="5" t="s">
        <v>3728</v>
      </c>
      <c r="SLE611" s="17">
        <v>44925</v>
      </c>
      <c r="SLF611" s="5" t="s">
        <v>3728</v>
      </c>
      <c r="SLG611" s="17">
        <v>44925</v>
      </c>
      <c r="SLH611" s="5" t="s">
        <v>3728</v>
      </c>
      <c r="SLI611" s="17">
        <v>44925</v>
      </c>
      <c r="SLJ611" s="5" t="s">
        <v>3728</v>
      </c>
      <c r="SLK611" s="17">
        <v>44925</v>
      </c>
      <c r="SLL611" s="5" t="s">
        <v>3728</v>
      </c>
      <c r="SLM611" s="17">
        <v>44925</v>
      </c>
      <c r="SLN611" s="5" t="s">
        <v>3728</v>
      </c>
      <c r="SLO611" s="17">
        <v>44925</v>
      </c>
      <c r="SLP611" s="5" t="s">
        <v>3728</v>
      </c>
      <c r="SLQ611" s="17">
        <v>44925</v>
      </c>
      <c r="SLR611" s="5" t="s">
        <v>3728</v>
      </c>
      <c r="SLS611" s="17">
        <v>44925</v>
      </c>
      <c r="SLT611" s="5" t="s">
        <v>3728</v>
      </c>
      <c r="SLU611" s="17">
        <v>44925</v>
      </c>
      <c r="SLV611" s="5" t="s">
        <v>3728</v>
      </c>
      <c r="SLW611" s="17">
        <v>44925</v>
      </c>
      <c r="SLX611" s="5" t="s">
        <v>3728</v>
      </c>
      <c r="SLY611" s="17">
        <v>44925</v>
      </c>
      <c r="SLZ611" s="5" t="s">
        <v>3728</v>
      </c>
      <c r="SMA611" s="17">
        <v>44925</v>
      </c>
      <c r="SMB611" s="5" t="s">
        <v>3728</v>
      </c>
      <c r="SMC611" s="17">
        <v>44925</v>
      </c>
      <c r="SMD611" s="5" t="s">
        <v>3728</v>
      </c>
      <c r="SME611" s="17">
        <v>44925</v>
      </c>
      <c r="SMF611" s="5" t="s">
        <v>3728</v>
      </c>
      <c r="SMG611" s="17">
        <v>44925</v>
      </c>
      <c r="SMH611" s="5" t="s">
        <v>3728</v>
      </c>
      <c r="SMI611" s="17">
        <v>44925</v>
      </c>
      <c r="SMJ611" s="5" t="s">
        <v>3728</v>
      </c>
      <c r="SMK611" s="17">
        <v>44925</v>
      </c>
      <c r="SML611" s="5" t="s">
        <v>3728</v>
      </c>
      <c r="SMM611" s="17">
        <v>44925</v>
      </c>
      <c r="SMN611" s="5" t="s">
        <v>3728</v>
      </c>
      <c r="SMO611" s="17">
        <v>44925</v>
      </c>
      <c r="SMP611" s="5" t="s">
        <v>3728</v>
      </c>
      <c r="SMQ611" s="17">
        <v>44925</v>
      </c>
      <c r="SMR611" s="5" t="s">
        <v>3728</v>
      </c>
      <c r="SMS611" s="17">
        <v>44925</v>
      </c>
      <c r="SMT611" s="5" t="s">
        <v>3728</v>
      </c>
      <c r="SMU611" s="17">
        <v>44925</v>
      </c>
      <c r="SMV611" s="5" t="s">
        <v>3728</v>
      </c>
      <c r="SMW611" s="17">
        <v>44925</v>
      </c>
      <c r="SMX611" s="5" t="s">
        <v>3728</v>
      </c>
      <c r="SMY611" s="17">
        <v>44925</v>
      </c>
      <c r="SMZ611" s="5" t="s">
        <v>3728</v>
      </c>
      <c r="SNA611" s="17">
        <v>44925</v>
      </c>
      <c r="SNB611" s="5" t="s">
        <v>3728</v>
      </c>
      <c r="SNC611" s="17">
        <v>44925</v>
      </c>
      <c r="SND611" s="5" t="s">
        <v>3728</v>
      </c>
      <c r="SNE611" s="17">
        <v>44925</v>
      </c>
      <c r="SNF611" s="5" t="s">
        <v>3728</v>
      </c>
      <c r="SNG611" s="17">
        <v>44925</v>
      </c>
      <c r="SNH611" s="5" t="s">
        <v>3728</v>
      </c>
      <c r="SNI611" s="17">
        <v>44925</v>
      </c>
      <c r="SNJ611" s="5" t="s">
        <v>3728</v>
      </c>
      <c r="SNK611" s="17">
        <v>44925</v>
      </c>
      <c r="SNL611" s="5" t="s">
        <v>3728</v>
      </c>
      <c r="SNM611" s="17">
        <v>44925</v>
      </c>
      <c r="SNN611" s="5" t="s">
        <v>3728</v>
      </c>
      <c r="SNO611" s="17">
        <v>44925</v>
      </c>
      <c r="SNP611" s="5" t="s">
        <v>3728</v>
      </c>
      <c r="SNQ611" s="17">
        <v>44925</v>
      </c>
      <c r="SNR611" s="5" t="s">
        <v>3728</v>
      </c>
      <c r="SNS611" s="17">
        <v>44925</v>
      </c>
      <c r="SNT611" s="5" t="s">
        <v>3728</v>
      </c>
      <c r="SNU611" s="17">
        <v>44925</v>
      </c>
      <c r="SNV611" s="5" t="s">
        <v>3728</v>
      </c>
      <c r="SNW611" s="17">
        <v>44925</v>
      </c>
      <c r="SNX611" s="5" t="s">
        <v>3728</v>
      </c>
      <c r="SNY611" s="17">
        <v>44925</v>
      </c>
      <c r="SNZ611" s="5" t="s">
        <v>3728</v>
      </c>
      <c r="SOA611" s="17">
        <v>44925</v>
      </c>
      <c r="SOB611" s="5" t="s">
        <v>3728</v>
      </c>
      <c r="SOC611" s="17">
        <v>44925</v>
      </c>
      <c r="SOD611" s="5" t="s">
        <v>3728</v>
      </c>
      <c r="SOE611" s="17">
        <v>44925</v>
      </c>
      <c r="SOF611" s="5" t="s">
        <v>3728</v>
      </c>
      <c r="SOG611" s="17">
        <v>44925</v>
      </c>
      <c r="SOH611" s="5" t="s">
        <v>3728</v>
      </c>
      <c r="SOI611" s="17">
        <v>44925</v>
      </c>
      <c r="SOJ611" s="5" t="s">
        <v>3728</v>
      </c>
      <c r="SOK611" s="17">
        <v>44925</v>
      </c>
      <c r="SOL611" s="5" t="s">
        <v>3728</v>
      </c>
      <c r="SOM611" s="17">
        <v>44925</v>
      </c>
      <c r="SON611" s="5" t="s">
        <v>3728</v>
      </c>
      <c r="SOO611" s="17">
        <v>44925</v>
      </c>
      <c r="SOP611" s="5" t="s">
        <v>3728</v>
      </c>
      <c r="SOQ611" s="17">
        <v>44925</v>
      </c>
      <c r="SOR611" s="5" t="s">
        <v>3728</v>
      </c>
      <c r="SOS611" s="17">
        <v>44925</v>
      </c>
      <c r="SOT611" s="5" t="s">
        <v>3728</v>
      </c>
      <c r="SOU611" s="17">
        <v>44925</v>
      </c>
      <c r="SOV611" s="5" t="s">
        <v>3728</v>
      </c>
      <c r="SOW611" s="17">
        <v>44925</v>
      </c>
      <c r="SOX611" s="5" t="s">
        <v>3728</v>
      </c>
      <c r="SOY611" s="17">
        <v>44925</v>
      </c>
      <c r="SOZ611" s="5" t="s">
        <v>3728</v>
      </c>
      <c r="SPA611" s="17">
        <v>44925</v>
      </c>
      <c r="SPB611" s="5" t="s">
        <v>3728</v>
      </c>
      <c r="SPC611" s="17">
        <v>44925</v>
      </c>
      <c r="SPD611" s="5" t="s">
        <v>3728</v>
      </c>
      <c r="SPE611" s="17">
        <v>44925</v>
      </c>
      <c r="SPF611" s="5" t="s">
        <v>3728</v>
      </c>
      <c r="SPG611" s="17">
        <v>44925</v>
      </c>
      <c r="SPH611" s="5" t="s">
        <v>3728</v>
      </c>
      <c r="SPI611" s="17">
        <v>44925</v>
      </c>
      <c r="SPJ611" s="5" t="s">
        <v>3728</v>
      </c>
      <c r="SPK611" s="17">
        <v>44925</v>
      </c>
      <c r="SPL611" s="5" t="s">
        <v>3728</v>
      </c>
      <c r="SPM611" s="17">
        <v>44925</v>
      </c>
      <c r="SPN611" s="5" t="s">
        <v>3728</v>
      </c>
      <c r="SPO611" s="17">
        <v>44925</v>
      </c>
      <c r="SPP611" s="5" t="s">
        <v>3728</v>
      </c>
      <c r="SPQ611" s="17">
        <v>44925</v>
      </c>
      <c r="SPR611" s="5" t="s">
        <v>3728</v>
      </c>
      <c r="SPS611" s="17">
        <v>44925</v>
      </c>
      <c r="SPT611" s="5" t="s">
        <v>3728</v>
      </c>
      <c r="SPU611" s="17">
        <v>44925</v>
      </c>
      <c r="SPV611" s="5" t="s">
        <v>3728</v>
      </c>
      <c r="SPW611" s="17">
        <v>44925</v>
      </c>
      <c r="SPX611" s="5" t="s">
        <v>3728</v>
      </c>
      <c r="SPY611" s="17">
        <v>44925</v>
      </c>
      <c r="SPZ611" s="5" t="s">
        <v>3728</v>
      </c>
      <c r="SQA611" s="17">
        <v>44925</v>
      </c>
      <c r="SQB611" s="5" t="s">
        <v>3728</v>
      </c>
      <c r="SQC611" s="17">
        <v>44925</v>
      </c>
      <c r="SQD611" s="5" t="s">
        <v>3728</v>
      </c>
      <c r="SQE611" s="17">
        <v>44925</v>
      </c>
      <c r="SQF611" s="5" t="s">
        <v>3728</v>
      </c>
      <c r="SQG611" s="17">
        <v>44925</v>
      </c>
      <c r="SQH611" s="5" t="s">
        <v>3728</v>
      </c>
      <c r="SQI611" s="17">
        <v>44925</v>
      </c>
      <c r="SQJ611" s="5" t="s">
        <v>3728</v>
      </c>
      <c r="SQK611" s="17">
        <v>44925</v>
      </c>
      <c r="SQL611" s="5" t="s">
        <v>3728</v>
      </c>
      <c r="SQM611" s="17">
        <v>44925</v>
      </c>
      <c r="SQN611" s="5" t="s">
        <v>3728</v>
      </c>
      <c r="SQO611" s="17">
        <v>44925</v>
      </c>
      <c r="SQP611" s="5" t="s">
        <v>3728</v>
      </c>
      <c r="SQQ611" s="17">
        <v>44925</v>
      </c>
      <c r="SQR611" s="5" t="s">
        <v>3728</v>
      </c>
      <c r="SQS611" s="17">
        <v>44925</v>
      </c>
      <c r="SQT611" s="5" t="s">
        <v>3728</v>
      </c>
      <c r="SQU611" s="17">
        <v>44925</v>
      </c>
      <c r="SQV611" s="5" t="s">
        <v>3728</v>
      </c>
      <c r="SQW611" s="17">
        <v>44925</v>
      </c>
      <c r="SQX611" s="5" t="s">
        <v>3728</v>
      </c>
      <c r="SQY611" s="17">
        <v>44925</v>
      </c>
      <c r="SQZ611" s="5" t="s">
        <v>3728</v>
      </c>
      <c r="SRA611" s="17">
        <v>44925</v>
      </c>
      <c r="SRB611" s="5" t="s">
        <v>3728</v>
      </c>
      <c r="SRC611" s="17">
        <v>44925</v>
      </c>
      <c r="SRD611" s="5" t="s">
        <v>3728</v>
      </c>
      <c r="SRE611" s="17">
        <v>44925</v>
      </c>
      <c r="SRF611" s="5" t="s">
        <v>3728</v>
      </c>
      <c r="SRG611" s="17">
        <v>44925</v>
      </c>
      <c r="SRH611" s="5" t="s">
        <v>3728</v>
      </c>
      <c r="SRI611" s="17">
        <v>44925</v>
      </c>
      <c r="SRJ611" s="5" t="s">
        <v>3728</v>
      </c>
      <c r="SRK611" s="17">
        <v>44925</v>
      </c>
      <c r="SRL611" s="5" t="s">
        <v>3728</v>
      </c>
      <c r="SRM611" s="17">
        <v>44925</v>
      </c>
      <c r="SRN611" s="5" t="s">
        <v>3728</v>
      </c>
      <c r="SRO611" s="17">
        <v>44925</v>
      </c>
      <c r="SRP611" s="5" t="s">
        <v>3728</v>
      </c>
      <c r="SRQ611" s="17">
        <v>44925</v>
      </c>
      <c r="SRR611" s="5" t="s">
        <v>3728</v>
      </c>
      <c r="SRS611" s="17">
        <v>44925</v>
      </c>
      <c r="SRT611" s="5" t="s">
        <v>3728</v>
      </c>
      <c r="SRU611" s="17">
        <v>44925</v>
      </c>
      <c r="SRV611" s="5" t="s">
        <v>3728</v>
      </c>
      <c r="SRW611" s="17">
        <v>44925</v>
      </c>
      <c r="SRX611" s="5" t="s">
        <v>3728</v>
      </c>
      <c r="SRY611" s="17">
        <v>44925</v>
      </c>
      <c r="SRZ611" s="5" t="s">
        <v>3728</v>
      </c>
      <c r="SSA611" s="17">
        <v>44925</v>
      </c>
      <c r="SSB611" s="5" t="s">
        <v>3728</v>
      </c>
      <c r="SSC611" s="17">
        <v>44925</v>
      </c>
      <c r="SSD611" s="5" t="s">
        <v>3728</v>
      </c>
      <c r="SSE611" s="17">
        <v>44925</v>
      </c>
      <c r="SSF611" s="5" t="s">
        <v>3728</v>
      </c>
      <c r="SSG611" s="17">
        <v>44925</v>
      </c>
      <c r="SSH611" s="5" t="s">
        <v>3728</v>
      </c>
      <c r="SSI611" s="17">
        <v>44925</v>
      </c>
      <c r="SSJ611" s="5" t="s">
        <v>3728</v>
      </c>
      <c r="SSK611" s="17">
        <v>44925</v>
      </c>
      <c r="SSL611" s="5" t="s">
        <v>3728</v>
      </c>
      <c r="SSM611" s="17">
        <v>44925</v>
      </c>
      <c r="SSN611" s="5" t="s">
        <v>3728</v>
      </c>
      <c r="SSO611" s="17">
        <v>44925</v>
      </c>
      <c r="SSP611" s="5" t="s">
        <v>3728</v>
      </c>
      <c r="SSQ611" s="17">
        <v>44925</v>
      </c>
      <c r="SSR611" s="5" t="s">
        <v>3728</v>
      </c>
      <c r="SSS611" s="17">
        <v>44925</v>
      </c>
      <c r="SST611" s="5" t="s">
        <v>3728</v>
      </c>
      <c r="SSU611" s="17">
        <v>44925</v>
      </c>
      <c r="SSV611" s="5" t="s">
        <v>3728</v>
      </c>
      <c r="SSW611" s="17">
        <v>44925</v>
      </c>
      <c r="SSX611" s="5" t="s">
        <v>3728</v>
      </c>
      <c r="SSY611" s="17">
        <v>44925</v>
      </c>
      <c r="SSZ611" s="5" t="s">
        <v>3728</v>
      </c>
      <c r="STA611" s="17">
        <v>44925</v>
      </c>
      <c r="STB611" s="5" t="s">
        <v>3728</v>
      </c>
      <c r="STC611" s="17">
        <v>44925</v>
      </c>
      <c r="STD611" s="5" t="s">
        <v>3728</v>
      </c>
      <c r="STE611" s="17">
        <v>44925</v>
      </c>
      <c r="STF611" s="5" t="s">
        <v>3728</v>
      </c>
      <c r="STG611" s="17">
        <v>44925</v>
      </c>
      <c r="STH611" s="5" t="s">
        <v>3728</v>
      </c>
      <c r="STI611" s="17">
        <v>44925</v>
      </c>
      <c r="STJ611" s="5" t="s">
        <v>3728</v>
      </c>
      <c r="STK611" s="17">
        <v>44925</v>
      </c>
      <c r="STL611" s="5" t="s">
        <v>3728</v>
      </c>
      <c r="STM611" s="17">
        <v>44925</v>
      </c>
      <c r="STN611" s="5" t="s">
        <v>3728</v>
      </c>
      <c r="STO611" s="17">
        <v>44925</v>
      </c>
      <c r="STP611" s="5" t="s">
        <v>3728</v>
      </c>
      <c r="STQ611" s="17">
        <v>44925</v>
      </c>
      <c r="STR611" s="5" t="s">
        <v>3728</v>
      </c>
      <c r="STS611" s="17">
        <v>44925</v>
      </c>
      <c r="STT611" s="5" t="s">
        <v>3728</v>
      </c>
      <c r="STU611" s="17">
        <v>44925</v>
      </c>
      <c r="STV611" s="5" t="s">
        <v>3728</v>
      </c>
      <c r="STW611" s="17">
        <v>44925</v>
      </c>
      <c r="STX611" s="5" t="s">
        <v>3728</v>
      </c>
      <c r="STY611" s="17">
        <v>44925</v>
      </c>
      <c r="STZ611" s="5" t="s">
        <v>3728</v>
      </c>
      <c r="SUA611" s="17">
        <v>44925</v>
      </c>
      <c r="SUB611" s="5" t="s">
        <v>3728</v>
      </c>
      <c r="SUC611" s="17">
        <v>44925</v>
      </c>
      <c r="SUD611" s="5" t="s">
        <v>3728</v>
      </c>
      <c r="SUE611" s="17">
        <v>44925</v>
      </c>
      <c r="SUF611" s="5" t="s">
        <v>3728</v>
      </c>
      <c r="SUG611" s="17">
        <v>44925</v>
      </c>
      <c r="SUH611" s="5" t="s">
        <v>3728</v>
      </c>
      <c r="SUI611" s="17">
        <v>44925</v>
      </c>
      <c r="SUJ611" s="5" t="s">
        <v>3728</v>
      </c>
      <c r="SUK611" s="17">
        <v>44925</v>
      </c>
      <c r="SUL611" s="5" t="s">
        <v>3728</v>
      </c>
      <c r="SUM611" s="17">
        <v>44925</v>
      </c>
      <c r="SUN611" s="5" t="s">
        <v>3728</v>
      </c>
      <c r="SUO611" s="17">
        <v>44925</v>
      </c>
      <c r="SUP611" s="5" t="s">
        <v>3728</v>
      </c>
      <c r="SUQ611" s="17">
        <v>44925</v>
      </c>
      <c r="SUR611" s="5" t="s">
        <v>3728</v>
      </c>
      <c r="SUS611" s="17">
        <v>44925</v>
      </c>
      <c r="SUT611" s="5" t="s">
        <v>3728</v>
      </c>
      <c r="SUU611" s="17">
        <v>44925</v>
      </c>
      <c r="SUV611" s="5" t="s">
        <v>3728</v>
      </c>
      <c r="SUW611" s="17">
        <v>44925</v>
      </c>
      <c r="SUX611" s="5" t="s">
        <v>3728</v>
      </c>
      <c r="SUY611" s="17">
        <v>44925</v>
      </c>
      <c r="SUZ611" s="5" t="s">
        <v>3728</v>
      </c>
      <c r="SVA611" s="17">
        <v>44925</v>
      </c>
      <c r="SVB611" s="5" t="s">
        <v>3728</v>
      </c>
      <c r="SVC611" s="17">
        <v>44925</v>
      </c>
      <c r="SVD611" s="5" t="s">
        <v>3728</v>
      </c>
      <c r="SVE611" s="17">
        <v>44925</v>
      </c>
      <c r="SVF611" s="5" t="s">
        <v>3728</v>
      </c>
      <c r="SVG611" s="17">
        <v>44925</v>
      </c>
      <c r="SVH611" s="5" t="s">
        <v>3728</v>
      </c>
      <c r="SVI611" s="17">
        <v>44925</v>
      </c>
      <c r="SVJ611" s="5" t="s">
        <v>3728</v>
      </c>
      <c r="SVK611" s="17">
        <v>44925</v>
      </c>
      <c r="SVL611" s="5" t="s">
        <v>3728</v>
      </c>
      <c r="SVM611" s="17">
        <v>44925</v>
      </c>
      <c r="SVN611" s="5" t="s">
        <v>3728</v>
      </c>
      <c r="SVO611" s="17">
        <v>44925</v>
      </c>
      <c r="SVP611" s="5" t="s">
        <v>3728</v>
      </c>
      <c r="SVQ611" s="17">
        <v>44925</v>
      </c>
      <c r="SVR611" s="5" t="s">
        <v>3728</v>
      </c>
      <c r="SVS611" s="17">
        <v>44925</v>
      </c>
      <c r="SVT611" s="5" t="s">
        <v>3728</v>
      </c>
      <c r="SVU611" s="17">
        <v>44925</v>
      </c>
      <c r="SVV611" s="5" t="s">
        <v>3728</v>
      </c>
      <c r="SVW611" s="17">
        <v>44925</v>
      </c>
      <c r="SVX611" s="5" t="s">
        <v>3728</v>
      </c>
      <c r="SVY611" s="17">
        <v>44925</v>
      </c>
      <c r="SVZ611" s="5" t="s">
        <v>3728</v>
      </c>
      <c r="SWA611" s="17">
        <v>44925</v>
      </c>
      <c r="SWB611" s="5" t="s">
        <v>3728</v>
      </c>
      <c r="SWC611" s="17">
        <v>44925</v>
      </c>
      <c r="SWD611" s="5" t="s">
        <v>3728</v>
      </c>
      <c r="SWE611" s="17">
        <v>44925</v>
      </c>
      <c r="SWF611" s="5" t="s">
        <v>3728</v>
      </c>
      <c r="SWG611" s="17">
        <v>44925</v>
      </c>
      <c r="SWH611" s="5" t="s">
        <v>3728</v>
      </c>
      <c r="SWI611" s="17">
        <v>44925</v>
      </c>
      <c r="SWJ611" s="5" t="s">
        <v>3728</v>
      </c>
      <c r="SWK611" s="17">
        <v>44925</v>
      </c>
      <c r="SWL611" s="5" t="s">
        <v>3728</v>
      </c>
      <c r="SWM611" s="17">
        <v>44925</v>
      </c>
      <c r="SWN611" s="5" t="s">
        <v>3728</v>
      </c>
      <c r="SWO611" s="17">
        <v>44925</v>
      </c>
      <c r="SWP611" s="5" t="s">
        <v>3728</v>
      </c>
      <c r="SWQ611" s="17">
        <v>44925</v>
      </c>
      <c r="SWR611" s="5" t="s">
        <v>3728</v>
      </c>
      <c r="SWS611" s="17">
        <v>44925</v>
      </c>
      <c r="SWT611" s="5" t="s">
        <v>3728</v>
      </c>
      <c r="SWU611" s="17">
        <v>44925</v>
      </c>
      <c r="SWV611" s="5" t="s">
        <v>3728</v>
      </c>
      <c r="SWW611" s="17">
        <v>44925</v>
      </c>
      <c r="SWX611" s="5" t="s">
        <v>3728</v>
      </c>
      <c r="SWY611" s="17">
        <v>44925</v>
      </c>
      <c r="SWZ611" s="5" t="s">
        <v>3728</v>
      </c>
      <c r="SXA611" s="17">
        <v>44925</v>
      </c>
      <c r="SXB611" s="5" t="s">
        <v>3728</v>
      </c>
      <c r="SXC611" s="17">
        <v>44925</v>
      </c>
      <c r="SXD611" s="5" t="s">
        <v>3728</v>
      </c>
      <c r="SXE611" s="17">
        <v>44925</v>
      </c>
      <c r="SXF611" s="5" t="s">
        <v>3728</v>
      </c>
      <c r="SXG611" s="17">
        <v>44925</v>
      </c>
      <c r="SXH611" s="5" t="s">
        <v>3728</v>
      </c>
      <c r="SXI611" s="17">
        <v>44925</v>
      </c>
      <c r="SXJ611" s="5" t="s">
        <v>3728</v>
      </c>
      <c r="SXK611" s="17">
        <v>44925</v>
      </c>
      <c r="SXL611" s="5" t="s">
        <v>3728</v>
      </c>
      <c r="SXM611" s="17">
        <v>44925</v>
      </c>
      <c r="SXN611" s="5" t="s">
        <v>3728</v>
      </c>
      <c r="SXO611" s="17">
        <v>44925</v>
      </c>
      <c r="SXP611" s="5" t="s">
        <v>3728</v>
      </c>
      <c r="SXQ611" s="17">
        <v>44925</v>
      </c>
      <c r="SXR611" s="5" t="s">
        <v>3728</v>
      </c>
      <c r="SXS611" s="17">
        <v>44925</v>
      </c>
      <c r="SXT611" s="5" t="s">
        <v>3728</v>
      </c>
      <c r="SXU611" s="17">
        <v>44925</v>
      </c>
      <c r="SXV611" s="5" t="s">
        <v>3728</v>
      </c>
      <c r="SXW611" s="17">
        <v>44925</v>
      </c>
      <c r="SXX611" s="5" t="s">
        <v>3728</v>
      </c>
      <c r="SXY611" s="17">
        <v>44925</v>
      </c>
      <c r="SXZ611" s="5" t="s">
        <v>3728</v>
      </c>
      <c r="SYA611" s="17">
        <v>44925</v>
      </c>
      <c r="SYB611" s="5" t="s">
        <v>3728</v>
      </c>
      <c r="SYC611" s="17">
        <v>44925</v>
      </c>
      <c r="SYD611" s="5" t="s">
        <v>3728</v>
      </c>
      <c r="SYE611" s="17">
        <v>44925</v>
      </c>
      <c r="SYF611" s="5" t="s">
        <v>3728</v>
      </c>
      <c r="SYG611" s="17">
        <v>44925</v>
      </c>
      <c r="SYH611" s="5" t="s">
        <v>3728</v>
      </c>
      <c r="SYI611" s="17">
        <v>44925</v>
      </c>
      <c r="SYJ611" s="5" t="s">
        <v>3728</v>
      </c>
      <c r="SYK611" s="17">
        <v>44925</v>
      </c>
      <c r="SYL611" s="5" t="s">
        <v>3728</v>
      </c>
      <c r="SYM611" s="17">
        <v>44925</v>
      </c>
      <c r="SYN611" s="5" t="s">
        <v>3728</v>
      </c>
      <c r="SYO611" s="17">
        <v>44925</v>
      </c>
      <c r="SYP611" s="5" t="s">
        <v>3728</v>
      </c>
      <c r="SYQ611" s="17">
        <v>44925</v>
      </c>
      <c r="SYR611" s="5" t="s">
        <v>3728</v>
      </c>
      <c r="SYS611" s="17">
        <v>44925</v>
      </c>
      <c r="SYT611" s="5" t="s">
        <v>3728</v>
      </c>
      <c r="SYU611" s="17">
        <v>44925</v>
      </c>
      <c r="SYV611" s="5" t="s">
        <v>3728</v>
      </c>
      <c r="SYW611" s="17">
        <v>44925</v>
      </c>
      <c r="SYX611" s="5" t="s">
        <v>3728</v>
      </c>
      <c r="SYY611" s="17">
        <v>44925</v>
      </c>
      <c r="SYZ611" s="5" t="s">
        <v>3728</v>
      </c>
      <c r="SZA611" s="17">
        <v>44925</v>
      </c>
      <c r="SZB611" s="5" t="s">
        <v>3728</v>
      </c>
      <c r="SZC611" s="17">
        <v>44925</v>
      </c>
      <c r="SZD611" s="5" t="s">
        <v>3728</v>
      </c>
      <c r="SZE611" s="17">
        <v>44925</v>
      </c>
      <c r="SZF611" s="5" t="s">
        <v>3728</v>
      </c>
      <c r="SZG611" s="17">
        <v>44925</v>
      </c>
      <c r="SZH611" s="5" t="s">
        <v>3728</v>
      </c>
      <c r="SZI611" s="17">
        <v>44925</v>
      </c>
      <c r="SZJ611" s="5" t="s">
        <v>3728</v>
      </c>
      <c r="SZK611" s="17">
        <v>44925</v>
      </c>
      <c r="SZL611" s="5" t="s">
        <v>3728</v>
      </c>
      <c r="SZM611" s="17">
        <v>44925</v>
      </c>
      <c r="SZN611" s="5" t="s">
        <v>3728</v>
      </c>
      <c r="SZO611" s="17">
        <v>44925</v>
      </c>
      <c r="SZP611" s="5" t="s">
        <v>3728</v>
      </c>
      <c r="SZQ611" s="17">
        <v>44925</v>
      </c>
      <c r="SZR611" s="5" t="s">
        <v>3728</v>
      </c>
      <c r="SZS611" s="17">
        <v>44925</v>
      </c>
      <c r="SZT611" s="5" t="s">
        <v>3728</v>
      </c>
      <c r="SZU611" s="17">
        <v>44925</v>
      </c>
      <c r="SZV611" s="5" t="s">
        <v>3728</v>
      </c>
      <c r="SZW611" s="17">
        <v>44925</v>
      </c>
      <c r="SZX611" s="5" t="s">
        <v>3728</v>
      </c>
      <c r="SZY611" s="17">
        <v>44925</v>
      </c>
      <c r="SZZ611" s="5" t="s">
        <v>3728</v>
      </c>
      <c r="TAA611" s="17">
        <v>44925</v>
      </c>
      <c r="TAB611" s="5" t="s">
        <v>3728</v>
      </c>
      <c r="TAC611" s="17">
        <v>44925</v>
      </c>
      <c r="TAD611" s="5" t="s">
        <v>3728</v>
      </c>
      <c r="TAE611" s="17">
        <v>44925</v>
      </c>
      <c r="TAF611" s="5" t="s">
        <v>3728</v>
      </c>
      <c r="TAG611" s="17">
        <v>44925</v>
      </c>
      <c r="TAH611" s="5" t="s">
        <v>3728</v>
      </c>
      <c r="TAI611" s="17">
        <v>44925</v>
      </c>
      <c r="TAJ611" s="5" t="s">
        <v>3728</v>
      </c>
      <c r="TAK611" s="17">
        <v>44925</v>
      </c>
      <c r="TAL611" s="5" t="s">
        <v>3728</v>
      </c>
      <c r="TAM611" s="17">
        <v>44925</v>
      </c>
      <c r="TAN611" s="5" t="s">
        <v>3728</v>
      </c>
      <c r="TAO611" s="17">
        <v>44925</v>
      </c>
      <c r="TAP611" s="5" t="s">
        <v>3728</v>
      </c>
      <c r="TAQ611" s="17">
        <v>44925</v>
      </c>
      <c r="TAR611" s="5" t="s">
        <v>3728</v>
      </c>
      <c r="TAS611" s="17">
        <v>44925</v>
      </c>
      <c r="TAT611" s="5" t="s">
        <v>3728</v>
      </c>
      <c r="TAU611" s="17">
        <v>44925</v>
      </c>
      <c r="TAV611" s="5" t="s">
        <v>3728</v>
      </c>
      <c r="TAW611" s="17">
        <v>44925</v>
      </c>
      <c r="TAX611" s="5" t="s">
        <v>3728</v>
      </c>
      <c r="TAY611" s="17">
        <v>44925</v>
      </c>
      <c r="TAZ611" s="5" t="s">
        <v>3728</v>
      </c>
      <c r="TBA611" s="17">
        <v>44925</v>
      </c>
      <c r="TBB611" s="5" t="s">
        <v>3728</v>
      </c>
      <c r="TBC611" s="17">
        <v>44925</v>
      </c>
      <c r="TBD611" s="5" t="s">
        <v>3728</v>
      </c>
      <c r="TBE611" s="17">
        <v>44925</v>
      </c>
      <c r="TBF611" s="5" t="s">
        <v>3728</v>
      </c>
      <c r="TBG611" s="17">
        <v>44925</v>
      </c>
      <c r="TBH611" s="5" t="s">
        <v>3728</v>
      </c>
      <c r="TBI611" s="17">
        <v>44925</v>
      </c>
      <c r="TBJ611" s="5" t="s">
        <v>3728</v>
      </c>
      <c r="TBK611" s="17">
        <v>44925</v>
      </c>
      <c r="TBL611" s="5" t="s">
        <v>3728</v>
      </c>
      <c r="TBM611" s="17">
        <v>44925</v>
      </c>
      <c r="TBN611" s="5" t="s">
        <v>3728</v>
      </c>
      <c r="TBO611" s="17">
        <v>44925</v>
      </c>
      <c r="TBP611" s="5" t="s">
        <v>3728</v>
      </c>
      <c r="TBQ611" s="17">
        <v>44925</v>
      </c>
      <c r="TBR611" s="5" t="s">
        <v>3728</v>
      </c>
      <c r="TBS611" s="17">
        <v>44925</v>
      </c>
      <c r="TBT611" s="5" t="s">
        <v>3728</v>
      </c>
      <c r="TBU611" s="17">
        <v>44925</v>
      </c>
      <c r="TBV611" s="5" t="s">
        <v>3728</v>
      </c>
      <c r="TBW611" s="17">
        <v>44925</v>
      </c>
      <c r="TBX611" s="5" t="s">
        <v>3728</v>
      </c>
      <c r="TBY611" s="17">
        <v>44925</v>
      </c>
      <c r="TBZ611" s="5" t="s">
        <v>3728</v>
      </c>
      <c r="TCA611" s="17">
        <v>44925</v>
      </c>
      <c r="TCB611" s="5" t="s">
        <v>3728</v>
      </c>
      <c r="TCC611" s="17">
        <v>44925</v>
      </c>
      <c r="TCD611" s="5" t="s">
        <v>3728</v>
      </c>
      <c r="TCE611" s="17">
        <v>44925</v>
      </c>
      <c r="TCF611" s="5" t="s">
        <v>3728</v>
      </c>
      <c r="TCG611" s="17">
        <v>44925</v>
      </c>
      <c r="TCH611" s="5" t="s">
        <v>3728</v>
      </c>
      <c r="TCI611" s="17">
        <v>44925</v>
      </c>
      <c r="TCJ611" s="5" t="s">
        <v>3728</v>
      </c>
      <c r="TCK611" s="17">
        <v>44925</v>
      </c>
      <c r="TCL611" s="5" t="s">
        <v>3728</v>
      </c>
      <c r="TCM611" s="17">
        <v>44925</v>
      </c>
      <c r="TCN611" s="5" t="s">
        <v>3728</v>
      </c>
      <c r="TCO611" s="17">
        <v>44925</v>
      </c>
      <c r="TCP611" s="5" t="s">
        <v>3728</v>
      </c>
      <c r="TCQ611" s="17">
        <v>44925</v>
      </c>
      <c r="TCR611" s="5" t="s">
        <v>3728</v>
      </c>
      <c r="TCS611" s="17">
        <v>44925</v>
      </c>
      <c r="TCT611" s="5" t="s">
        <v>3728</v>
      </c>
      <c r="TCU611" s="17">
        <v>44925</v>
      </c>
      <c r="TCV611" s="5" t="s">
        <v>3728</v>
      </c>
      <c r="TCW611" s="17">
        <v>44925</v>
      </c>
      <c r="TCX611" s="5" t="s">
        <v>3728</v>
      </c>
      <c r="TCY611" s="17">
        <v>44925</v>
      </c>
      <c r="TCZ611" s="5" t="s">
        <v>3728</v>
      </c>
      <c r="TDA611" s="17">
        <v>44925</v>
      </c>
      <c r="TDB611" s="5" t="s">
        <v>3728</v>
      </c>
      <c r="TDC611" s="17">
        <v>44925</v>
      </c>
      <c r="TDD611" s="5" t="s">
        <v>3728</v>
      </c>
      <c r="TDE611" s="17">
        <v>44925</v>
      </c>
      <c r="TDF611" s="5" t="s">
        <v>3728</v>
      </c>
      <c r="TDG611" s="17">
        <v>44925</v>
      </c>
      <c r="TDH611" s="5" t="s">
        <v>3728</v>
      </c>
      <c r="TDI611" s="17">
        <v>44925</v>
      </c>
      <c r="TDJ611" s="5" t="s">
        <v>3728</v>
      </c>
      <c r="TDK611" s="17">
        <v>44925</v>
      </c>
      <c r="TDL611" s="5" t="s">
        <v>3728</v>
      </c>
      <c r="TDM611" s="17">
        <v>44925</v>
      </c>
      <c r="TDN611" s="5" t="s">
        <v>3728</v>
      </c>
      <c r="TDO611" s="17">
        <v>44925</v>
      </c>
      <c r="TDP611" s="5" t="s">
        <v>3728</v>
      </c>
      <c r="TDQ611" s="17">
        <v>44925</v>
      </c>
      <c r="TDR611" s="5" t="s">
        <v>3728</v>
      </c>
      <c r="TDS611" s="17">
        <v>44925</v>
      </c>
      <c r="TDT611" s="5" t="s">
        <v>3728</v>
      </c>
      <c r="TDU611" s="17">
        <v>44925</v>
      </c>
      <c r="TDV611" s="5" t="s">
        <v>3728</v>
      </c>
      <c r="TDW611" s="17">
        <v>44925</v>
      </c>
      <c r="TDX611" s="5" t="s">
        <v>3728</v>
      </c>
      <c r="TDY611" s="17">
        <v>44925</v>
      </c>
      <c r="TDZ611" s="5" t="s">
        <v>3728</v>
      </c>
      <c r="TEA611" s="17">
        <v>44925</v>
      </c>
      <c r="TEB611" s="5" t="s">
        <v>3728</v>
      </c>
      <c r="TEC611" s="17">
        <v>44925</v>
      </c>
      <c r="TED611" s="5" t="s">
        <v>3728</v>
      </c>
      <c r="TEE611" s="17">
        <v>44925</v>
      </c>
      <c r="TEF611" s="5" t="s">
        <v>3728</v>
      </c>
      <c r="TEG611" s="17">
        <v>44925</v>
      </c>
      <c r="TEH611" s="5" t="s">
        <v>3728</v>
      </c>
      <c r="TEI611" s="17">
        <v>44925</v>
      </c>
      <c r="TEJ611" s="5" t="s">
        <v>3728</v>
      </c>
      <c r="TEK611" s="17">
        <v>44925</v>
      </c>
      <c r="TEL611" s="5" t="s">
        <v>3728</v>
      </c>
      <c r="TEM611" s="17">
        <v>44925</v>
      </c>
      <c r="TEN611" s="5" t="s">
        <v>3728</v>
      </c>
      <c r="TEO611" s="17">
        <v>44925</v>
      </c>
      <c r="TEP611" s="5" t="s">
        <v>3728</v>
      </c>
      <c r="TEQ611" s="17">
        <v>44925</v>
      </c>
      <c r="TER611" s="5" t="s">
        <v>3728</v>
      </c>
      <c r="TES611" s="17">
        <v>44925</v>
      </c>
      <c r="TET611" s="5" t="s">
        <v>3728</v>
      </c>
      <c r="TEU611" s="17">
        <v>44925</v>
      </c>
      <c r="TEV611" s="5" t="s">
        <v>3728</v>
      </c>
      <c r="TEW611" s="17">
        <v>44925</v>
      </c>
      <c r="TEX611" s="5" t="s">
        <v>3728</v>
      </c>
      <c r="TEY611" s="17">
        <v>44925</v>
      </c>
      <c r="TEZ611" s="5" t="s">
        <v>3728</v>
      </c>
      <c r="TFA611" s="17">
        <v>44925</v>
      </c>
      <c r="TFB611" s="5" t="s">
        <v>3728</v>
      </c>
      <c r="TFC611" s="17">
        <v>44925</v>
      </c>
      <c r="TFD611" s="5" t="s">
        <v>3728</v>
      </c>
      <c r="TFE611" s="17">
        <v>44925</v>
      </c>
      <c r="TFF611" s="5" t="s">
        <v>3728</v>
      </c>
      <c r="TFG611" s="17">
        <v>44925</v>
      </c>
      <c r="TFH611" s="5" t="s">
        <v>3728</v>
      </c>
      <c r="TFI611" s="17">
        <v>44925</v>
      </c>
      <c r="TFJ611" s="5" t="s">
        <v>3728</v>
      </c>
      <c r="TFK611" s="17">
        <v>44925</v>
      </c>
      <c r="TFL611" s="5" t="s">
        <v>3728</v>
      </c>
      <c r="TFM611" s="17">
        <v>44925</v>
      </c>
      <c r="TFN611" s="5" t="s">
        <v>3728</v>
      </c>
      <c r="TFO611" s="17">
        <v>44925</v>
      </c>
      <c r="TFP611" s="5" t="s">
        <v>3728</v>
      </c>
      <c r="TFQ611" s="17">
        <v>44925</v>
      </c>
      <c r="TFR611" s="5" t="s">
        <v>3728</v>
      </c>
      <c r="TFS611" s="17">
        <v>44925</v>
      </c>
      <c r="TFT611" s="5" t="s">
        <v>3728</v>
      </c>
      <c r="TFU611" s="17">
        <v>44925</v>
      </c>
      <c r="TFV611" s="5" t="s">
        <v>3728</v>
      </c>
      <c r="TFW611" s="17">
        <v>44925</v>
      </c>
      <c r="TFX611" s="5" t="s">
        <v>3728</v>
      </c>
      <c r="TFY611" s="17">
        <v>44925</v>
      </c>
      <c r="TFZ611" s="5" t="s">
        <v>3728</v>
      </c>
      <c r="TGA611" s="17">
        <v>44925</v>
      </c>
      <c r="TGB611" s="5" t="s">
        <v>3728</v>
      </c>
      <c r="TGC611" s="17">
        <v>44925</v>
      </c>
      <c r="TGD611" s="5" t="s">
        <v>3728</v>
      </c>
      <c r="TGE611" s="17">
        <v>44925</v>
      </c>
      <c r="TGF611" s="5" t="s">
        <v>3728</v>
      </c>
      <c r="TGG611" s="17">
        <v>44925</v>
      </c>
      <c r="TGH611" s="5" t="s">
        <v>3728</v>
      </c>
      <c r="TGI611" s="17">
        <v>44925</v>
      </c>
      <c r="TGJ611" s="5" t="s">
        <v>3728</v>
      </c>
      <c r="TGK611" s="17">
        <v>44925</v>
      </c>
      <c r="TGL611" s="5" t="s">
        <v>3728</v>
      </c>
      <c r="TGM611" s="17">
        <v>44925</v>
      </c>
      <c r="TGN611" s="5" t="s">
        <v>3728</v>
      </c>
      <c r="TGO611" s="17">
        <v>44925</v>
      </c>
      <c r="TGP611" s="5" t="s">
        <v>3728</v>
      </c>
      <c r="TGQ611" s="17">
        <v>44925</v>
      </c>
      <c r="TGR611" s="5" t="s">
        <v>3728</v>
      </c>
      <c r="TGS611" s="17">
        <v>44925</v>
      </c>
      <c r="TGT611" s="5" t="s">
        <v>3728</v>
      </c>
      <c r="TGU611" s="17">
        <v>44925</v>
      </c>
      <c r="TGV611" s="5" t="s">
        <v>3728</v>
      </c>
      <c r="TGW611" s="17">
        <v>44925</v>
      </c>
      <c r="TGX611" s="5" t="s">
        <v>3728</v>
      </c>
      <c r="TGY611" s="17">
        <v>44925</v>
      </c>
      <c r="TGZ611" s="5" t="s">
        <v>3728</v>
      </c>
      <c r="THA611" s="17">
        <v>44925</v>
      </c>
      <c r="THB611" s="5" t="s">
        <v>3728</v>
      </c>
      <c r="THC611" s="17">
        <v>44925</v>
      </c>
      <c r="THD611" s="5" t="s">
        <v>3728</v>
      </c>
      <c r="THE611" s="17">
        <v>44925</v>
      </c>
      <c r="THF611" s="5" t="s">
        <v>3728</v>
      </c>
      <c r="THG611" s="17">
        <v>44925</v>
      </c>
      <c r="THH611" s="5" t="s">
        <v>3728</v>
      </c>
      <c r="THI611" s="17">
        <v>44925</v>
      </c>
      <c r="THJ611" s="5" t="s">
        <v>3728</v>
      </c>
      <c r="THK611" s="17">
        <v>44925</v>
      </c>
      <c r="THL611" s="5" t="s">
        <v>3728</v>
      </c>
      <c r="THM611" s="17">
        <v>44925</v>
      </c>
      <c r="THN611" s="5" t="s">
        <v>3728</v>
      </c>
      <c r="THO611" s="17">
        <v>44925</v>
      </c>
      <c r="THP611" s="5" t="s">
        <v>3728</v>
      </c>
      <c r="THQ611" s="17">
        <v>44925</v>
      </c>
      <c r="THR611" s="5" t="s">
        <v>3728</v>
      </c>
      <c r="THS611" s="17">
        <v>44925</v>
      </c>
      <c r="THT611" s="5" t="s">
        <v>3728</v>
      </c>
      <c r="THU611" s="17">
        <v>44925</v>
      </c>
      <c r="THV611" s="5" t="s">
        <v>3728</v>
      </c>
      <c r="THW611" s="17">
        <v>44925</v>
      </c>
      <c r="THX611" s="5" t="s">
        <v>3728</v>
      </c>
      <c r="THY611" s="17">
        <v>44925</v>
      </c>
      <c r="THZ611" s="5" t="s">
        <v>3728</v>
      </c>
      <c r="TIA611" s="17">
        <v>44925</v>
      </c>
      <c r="TIB611" s="5" t="s">
        <v>3728</v>
      </c>
      <c r="TIC611" s="17">
        <v>44925</v>
      </c>
      <c r="TID611" s="5" t="s">
        <v>3728</v>
      </c>
      <c r="TIE611" s="17">
        <v>44925</v>
      </c>
      <c r="TIF611" s="5" t="s">
        <v>3728</v>
      </c>
      <c r="TIG611" s="17">
        <v>44925</v>
      </c>
      <c r="TIH611" s="5" t="s">
        <v>3728</v>
      </c>
      <c r="TII611" s="17">
        <v>44925</v>
      </c>
      <c r="TIJ611" s="5" t="s">
        <v>3728</v>
      </c>
      <c r="TIK611" s="17">
        <v>44925</v>
      </c>
      <c r="TIL611" s="5" t="s">
        <v>3728</v>
      </c>
      <c r="TIM611" s="17">
        <v>44925</v>
      </c>
      <c r="TIN611" s="5" t="s">
        <v>3728</v>
      </c>
      <c r="TIO611" s="17">
        <v>44925</v>
      </c>
      <c r="TIP611" s="5" t="s">
        <v>3728</v>
      </c>
      <c r="TIQ611" s="17">
        <v>44925</v>
      </c>
      <c r="TIR611" s="5" t="s">
        <v>3728</v>
      </c>
      <c r="TIS611" s="17">
        <v>44925</v>
      </c>
      <c r="TIT611" s="5" t="s">
        <v>3728</v>
      </c>
      <c r="TIU611" s="17">
        <v>44925</v>
      </c>
      <c r="TIV611" s="5" t="s">
        <v>3728</v>
      </c>
      <c r="TIW611" s="17">
        <v>44925</v>
      </c>
      <c r="TIX611" s="5" t="s">
        <v>3728</v>
      </c>
      <c r="TIY611" s="17">
        <v>44925</v>
      </c>
      <c r="TIZ611" s="5" t="s">
        <v>3728</v>
      </c>
      <c r="TJA611" s="17">
        <v>44925</v>
      </c>
      <c r="TJB611" s="5" t="s">
        <v>3728</v>
      </c>
      <c r="TJC611" s="17">
        <v>44925</v>
      </c>
      <c r="TJD611" s="5" t="s">
        <v>3728</v>
      </c>
      <c r="TJE611" s="17">
        <v>44925</v>
      </c>
      <c r="TJF611" s="5" t="s">
        <v>3728</v>
      </c>
      <c r="TJG611" s="17">
        <v>44925</v>
      </c>
      <c r="TJH611" s="5" t="s">
        <v>3728</v>
      </c>
      <c r="TJI611" s="17">
        <v>44925</v>
      </c>
      <c r="TJJ611" s="5" t="s">
        <v>3728</v>
      </c>
      <c r="TJK611" s="17">
        <v>44925</v>
      </c>
      <c r="TJL611" s="5" t="s">
        <v>3728</v>
      </c>
      <c r="TJM611" s="17">
        <v>44925</v>
      </c>
      <c r="TJN611" s="5" t="s">
        <v>3728</v>
      </c>
      <c r="TJO611" s="17">
        <v>44925</v>
      </c>
      <c r="TJP611" s="5" t="s">
        <v>3728</v>
      </c>
      <c r="TJQ611" s="17">
        <v>44925</v>
      </c>
      <c r="TJR611" s="5" t="s">
        <v>3728</v>
      </c>
      <c r="TJS611" s="17">
        <v>44925</v>
      </c>
      <c r="TJT611" s="5" t="s">
        <v>3728</v>
      </c>
      <c r="TJU611" s="17">
        <v>44925</v>
      </c>
      <c r="TJV611" s="5" t="s">
        <v>3728</v>
      </c>
      <c r="TJW611" s="17">
        <v>44925</v>
      </c>
      <c r="TJX611" s="5" t="s">
        <v>3728</v>
      </c>
      <c r="TJY611" s="17">
        <v>44925</v>
      </c>
      <c r="TJZ611" s="5" t="s">
        <v>3728</v>
      </c>
      <c r="TKA611" s="17">
        <v>44925</v>
      </c>
      <c r="TKB611" s="5" t="s">
        <v>3728</v>
      </c>
      <c r="TKC611" s="17">
        <v>44925</v>
      </c>
      <c r="TKD611" s="5" t="s">
        <v>3728</v>
      </c>
      <c r="TKE611" s="17">
        <v>44925</v>
      </c>
      <c r="TKF611" s="5" t="s">
        <v>3728</v>
      </c>
      <c r="TKG611" s="17">
        <v>44925</v>
      </c>
      <c r="TKH611" s="5" t="s">
        <v>3728</v>
      </c>
      <c r="TKI611" s="17">
        <v>44925</v>
      </c>
      <c r="TKJ611" s="5" t="s">
        <v>3728</v>
      </c>
      <c r="TKK611" s="17">
        <v>44925</v>
      </c>
      <c r="TKL611" s="5" t="s">
        <v>3728</v>
      </c>
      <c r="TKM611" s="17">
        <v>44925</v>
      </c>
      <c r="TKN611" s="5" t="s">
        <v>3728</v>
      </c>
      <c r="TKO611" s="17">
        <v>44925</v>
      </c>
      <c r="TKP611" s="5" t="s">
        <v>3728</v>
      </c>
      <c r="TKQ611" s="17">
        <v>44925</v>
      </c>
      <c r="TKR611" s="5" t="s">
        <v>3728</v>
      </c>
      <c r="TKS611" s="17">
        <v>44925</v>
      </c>
      <c r="TKT611" s="5" t="s">
        <v>3728</v>
      </c>
      <c r="TKU611" s="17">
        <v>44925</v>
      </c>
      <c r="TKV611" s="5" t="s">
        <v>3728</v>
      </c>
      <c r="TKW611" s="17">
        <v>44925</v>
      </c>
      <c r="TKX611" s="5" t="s">
        <v>3728</v>
      </c>
      <c r="TKY611" s="17">
        <v>44925</v>
      </c>
      <c r="TKZ611" s="5" t="s">
        <v>3728</v>
      </c>
      <c r="TLA611" s="17">
        <v>44925</v>
      </c>
      <c r="TLB611" s="5" t="s">
        <v>3728</v>
      </c>
      <c r="TLC611" s="17">
        <v>44925</v>
      </c>
      <c r="TLD611" s="5" t="s">
        <v>3728</v>
      </c>
      <c r="TLE611" s="17">
        <v>44925</v>
      </c>
      <c r="TLF611" s="5" t="s">
        <v>3728</v>
      </c>
      <c r="TLG611" s="17">
        <v>44925</v>
      </c>
      <c r="TLH611" s="5" t="s">
        <v>3728</v>
      </c>
      <c r="TLI611" s="17">
        <v>44925</v>
      </c>
      <c r="TLJ611" s="5" t="s">
        <v>3728</v>
      </c>
      <c r="TLK611" s="17">
        <v>44925</v>
      </c>
      <c r="TLL611" s="5" t="s">
        <v>3728</v>
      </c>
      <c r="TLM611" s="17">
        <v>44925</v>
      </c>
      <c r="TLN611" s="5" t="s">
        <v>3728</v>
      </c>
      <c r="TLO611" s="17">
        <v>44925</v>
      </c>
      <c r="TLP611" s="5" t="s">
        <v>3728</v>
      </c>
      <c r="TLQ611" s="17">
        <v>44925</v>
      </c>
      <c r="TLR611" s="5" t="s">
        <v>3728</v>
      </c>
      <c r="TLS611" s="17">
        <v>44925</v>
      </c>
      <c r="TLT611" s="5" t="s">
        <v>3728</v>
      </c>
      <c r="TLU611" s="17">
        <v>44925</v>
      </c>
      <c r="TLV611" s="5" t="s">
        <v>3728</v>
      </c>
      <c r="TLW611" s="17">
        <v>44925</v>
      </c>
      <c r="TLX611" s="5" t="s">
        <v>3728</v>
      </c>
      <c r="TLY611" s="17">
        <v>44925</v>
      </c>
      <c r="TLZ611" s="5" t="s">
        <v>3728</v>
      </c>
      <c r="TMA611" s="17">
        <v>44925</v>
      </c>
      <c r="TMB611" s="5" t="s">
        <v>3728</v>
      </c>
      <c r="TMC611" s="17">
        <v>44925</v>
      </c>
      <c r="TMD611" s="5" t="s">
        <v>3728</v>
      </c>
      <c r="TME611" s="17">
        <v>44925</v>
      </c>
      <c r="TMF611" s="5" t="s">
        <v>3728</v>
      </c>
      <c r="TMG611" s="17">
        <v>44925</v>
      </c>
      <c r="TMH611" s="5" t="s">
        <v>3728</v>
      </c>
      <c r="TMI611" s="17">
        <v>44925</v>
      </c>
      <c r="TMJ611" s="5" t="s">
        <v>3728</v>
      </c>
      <c r="TMK611" s="17">
        <v>44925</v>
      </c>
      <c r="TML611" s="5" t="s">
        <v>3728</v>
      </c>
      <c r="TMM611" s="17">
        <v>44925</v>
      </c>
      <c r="TMN611" s="5" t="s">
        <v>3728</v>
      </c>
      <c r="TMO611" s="17">
        <v>44925</v>
      </c>
      <c r="TMP611" s="5" t="s">
        <v>3728</v>
      </c>
      <c r="TMQ611" s="17">
        <v>44925</v>
      </c>
      <c r="TMR611" s="5" t="s">
        <v>3728</v>
      </c>
      <c r="TMS611" s="17">
        <v>44925</v>
      </c>
      <c r="TMT611" s="5" t="s">
        <v>3728</v>
      </c>
      <c r="TMU611" s="17">
        <v>44925</v>
      </c>
      <c r="TMV611" s="5" t="s">
        <v>3728</v>
      </c>
      <c r="TMW611" s="17">
        <v>44925</v>
      </c>
      <c r="TMX611" s="5" t="s">
        <v>3728</v>
      </c>
      <c r="TMY611" s="17">
        <v>44925</v>
      </c>
      <c r="TMZ611" s="5" t="s">
        <v>3728</v>
      </c>
      <c r="TNA611" s="17">
        <v>44925</v>
      </c>
      <c r="TNB611" s="5" t="s">
        <v>3728</v>
      </c>
      <c r="TNC611" s="17">
        <v>44925</v>
      </c>
      <c r="TND611" s="5" t="s">
        <v>3728</v>
      </c>
      <c r="TNE611" s="17">
        <v>44925</v>
      </c>
      <c r="TNF611" s="5" t="s">
        <v>3728</v>
      </c>
      <c r="TNG611" s="17">
        <v>44925</v>
      </c>
      <c r="TNH611" s="5" t="s">
        <v>3728</v>
      </c>
      <c r="TNI611" s="17">
        <v>44925</v>
      </c>
      <c r="TNJ611" s="5" t="s">
        <v>3728</v>
      </c>
      <c r="TNK611" s="17">
        <v>44925</v>
      </c>
      <c r="TNL611" s="5" t="s">
        <v>3728</v>
      </c>
      <c r="TNM611" s="17">
        <v>44925</v>
      </c>
      <c r="TNN611" s="5" t="s">
        <v>3728</v>
      </c>
      <c r="TNO611" s="17">
        <v>44925</v>
      </c>
      <c r="TNP611" s="5" t="s">
        <v>3728</v>
      </c>
      <c r="TNQ611" s="17">
        <v>44925</v>
      </c>
      <c r="TNR611" s="5" t="s">
        <v>3728</v>
      </c>
      <c r="TNS611" s="17">
        <v>44925</v>
      </c>
      <c r="TNT611" s="5" t="s">
        <v>3728</v>
      </c>
      <c r="TNU611" s="17">
        <v>44925</v>
      </c>
      <c r="TNV611" s="5" t="s">
        <v>3728</v>
      </c>
      <c r="TNW611" s="17">
        <v>44925</v>
      </c>
      <c r="TNX611" s="5" t="s">
        <v>3728</v>
      </c>
      <c r="TNY611" s="17">
        <v>44925</v>
      </c>
      <c r="TNZ611" s="5" t="s">
        <v>3728</v>
      </c>
      <c r="TOA611" s="17">
        <v>44925</v>
      </c>
      <c r="TOB611" s="5" t="s">
        <v>3728</v>
      </c>
      <c r="TOC611" s="17">
        <v>44925</v>
      </c>
      <c r="TOD611" s="5" t="s">
        <v>3728</v>
      </c>
      <c r="TOE611" s="17">
        <v>44925</v>
      </c>
      <c r="TOF611" s="5" t="s">
        <v>3728</v>
      </c>
      <c r="TOG611" s="17">
        <v>44925</v>
      </c>
      <c r="TOH611" s="5" t="s">
        <v>3728</v>
      </c>
      <c r="TOI611" s="17">
        <v>44925</v>
      </c>
      <c r="TOJ611" s="5" t="s">
        <v>3728</v>
      </c>
      <c r="TOK611" s="17">
        <v>44925</v>
      </c>
      <c r="TOL611" s="5" t="s">
        <v>3728</v>
      </c>
      <c r="TOM611" s="17">
        <v>44925</v>
      </c>
      <c r="TON611" s="5" t="s">
        <v>3728</v>
      </c>
      <c r="TOO611" s="17">
        <v>44925</v>
      </c>
      <c r="TOP611" s="5" t="s">
        <v>3728</v>
      </c>
      <c r="TOQ611" s="17">
        <v>44925</v>
      </c>
      <c r="TOR611" s="5" t="s">
        <v>3728</v>
      </c>
      <c r="TOS611" s="17">
        <v>44925</v>
      </c>
      <c r="TOT611" s="5" t="s">
        <v>3728</v>
      </c>
      <c r="TOU611" s="17">
        <v>44925</v>
      </c>
      <c r="TOV611" s="5" t="s">
        <v>3728</v>
      </c>
      <c r="TOW611" s="17">
        <v>44925</v>
      </c>
      <c r="TOX611" s="5" t="s">
        <v>3728</v>
      </c>
      <c r="TOY611" s="17">
        <v>44925</v>
      </c>
      <c r="TOZ611" s="5" t="s">
        <v>3728</v>
      </c>
      <c r="TPA611" s="17">
        <v>44925</v>
      </c>
      <c r="TPB611" s="5" t="s">
        <v>3728</v>
      </c>
      <c r="TPC611" s="17">
        <v>44925</v>
      </c>
      <c r="TPD611" s="5" t="s">
        <v>3728</v>
      </c>
      <c r="TPE611" s="17">
        <v>44925</v>
      </c>
      <c r="TPF611" s="5" t="s">
        <v>3728</v>
      </c>
      <c r="TPG611" s="17">
        <v>44925</v>
      </c>
      <c r="TPH611" s="5" t="s">
        <v>3728</v>
      </c>
      <c r="TPI611" s="17">
        <v>44925</v>
      </c>
      <c r="TPJ611" s="5" t="s">
        <v>3728</v>
      </c>
      <c r="TPK611" s="17">
        <v>44925</v>
      </c>
      <c r="TPL611" s="5" t="s">
        <v>3728</v>
      </c>
      <c r="TPM611" s="17">
        <v>44925</v>
      </c>
      <c r="TPN611" s="5" t="s">
        <v>3728</v>
      </c>
      <c r="TPO611" s="17">
        <v>44925</v>
      </c>
      <c r="TPP611" s="5" t="s">
        <v>3728</v>
      </c>
      <c r="TPQ611" s="17">
        <v>44925</v>
      </c>
      <c r="TPR611" s="5" t="s">
        <v>3728</v>
      </c>
      <c r="TPS611" s="17">
        <v>44925</v>
      </c>
      <c r="TPT611" s="5" t="s">
        <v>3728</v>
      </c>
      <c r="TPU611" s="17">
        <v>44925</v>
      </c>
      <c r="TPV611" s="5" t="s">
        <v>3728</v>
      </c>
      <c r="TPW611" s="17">
        <v>44925</v>
      </c>
      <c r="TPX611" s="5" t="s">
        <v>3728</v>
      </c>
      <c r="TPY611" s="17">
        <v>44925</v>
      </c>
      <c r="TPZ611" s="5" t="s">
        <v>3728</v>
      </c>
      <c r="TQA611" s="17">
        <v>44925</v>
      </c>
      <c r="TQB611" s="5" t="s">
        <v>3728</v>
      </c>
      <c r="TQC611" s="17">
        <v>44925</v>
      </c>
      <c r="TQD611" s="5" t="s">
        <v>3728</v>
      </c>
      <c r="TQE611" s="17">
        <v>44925</v>
      </c>
      <c r="TQF611" s="5" t="s">
        <v>3728</v>
      </c>
      <c r="TQG611" s="17">
        <v>44925</v>
      </c>
      <c r="TQH611" s="5" t="s">
        <v>3728</v>
      </c>
      <c r="TQI611" s="17">
        <v>44925</v>
      </c>
      <c r="TQJ611" s="5" t="s">
        <v>3728</v>
      </c>
      <c r="TQK611" s="17">
        <v>44925</v>
      </c>
      <c r="TQL611" s="5" t="s">
        <v>3728</v>
      </c>
      <c r="TQM611" s="17">
        <v>44925</v>
      </c>
      <c r="TQN611" s="5" t="s">
        <v>3728</v>
      </c>
      <c r="TQO611" s="17">
        <v>44925</v>
      </c>
      <c r="TQP611" s="5" t="s">
        <v>3728</v>
      </c>
      <c r="TQQ611" s="17">
        <v>44925</v>
      </c>
      <c r="TQR611" s="5" t="s">
        <v>3728</v>
      </c>
      <c r="TQS611" s="17">
        <v>44925</v>
      </c>
      <c r="TQT611" s="5" t="s">
        <v>3728</v>
      </c>
      <c r="TQU611" s="17">
        <v>44925</v>
      </c>
      <c r="TQV611" s="5" t="s">
        <v>3728</v>
      </c>
      <c r="TQW611" s="17">
        <v>44925</v>
      </c>
      <c r="TQX611" s="5" t="s">
        <v>3728</v>
      </c>
      <c r="TQY611" s="17">
        <v>44925</v>
      </c>
      <c r="TQZ611" s="5" t="s">
        <v>3728</v>
      </c>
      <c r="TRA611" s="17">
        <v>44925</v>
      </c>
      <c r="TRB611" s="5" t="s">
        <v>3728</v>
      </c>
      <c r="TRC611" s="17">
        <v>44925</v>
      </c>
      <c r="TRD611" s="5" t="s">
        <v>3728</v>
      </c>
      <c r="TRE611" s="17">
        <v>44925</v>
      </c>
      <c r="TRF611" s="5" t="s">
        <v>3728</v>
      </c>
      <c r="TRG611" s="17">
        <v>44925</v>
      </c>
      <c r="TRH611" s="5" t="s">
        <v>3728</v>
      </c>
      <c r="TRI611" s="17">
        <v>44925</v>
      </c>
      <c r="TRJ611" s="5" t="s">
        <v>3728</v>
      </c>
      <c r="TRK611" s="17">
        <v>44925</v>
      </c>
      <c r="TRL611" s="5" t="s">
        <v>3728</v>
      </c>
      <c r="TRM611" s="17">
        <v>44925</v>
      </c>
      <c r="TRN611" s="5" t="s">
        <v>3728</v>
      </c>
      <c r="TRO611" s="17">
        <v>44925</v>
      </c>
      <c r="TRP611" s="5" t="s">
        <v>3728</v>
      </c>
      <c r="TRQ611" s="17">
        <v>44925</v>
      </c>
      <c r="TRR611" s="5" t="s">
        <v>3728</v>
      </c>
      <c r="TRS611" s="17">
        <v>44925</v>
      </c>
      <c r="TRT611" s="5" t="s">
        <v>3728</v>
      </c>
      <c r="TRU611" s="17">
        <v>44925</v>
      </c>
      <c r="TRV611" s="5" t="s">
        <v>3728</v>
      </c>
      <c r="TRW611" s="17">
        <v>44925</v>
      </c>
      <c r="TRX611" s="5" t="s">
        <v>3728</v>
      </c>
      <c r="TRY611" s="17">
        <v>44925</v>
      </c>
      <c r="TRZ611" s="5" t="s">
        <v>3728</v>
      </c>
      <c r="TSA611" s="17">
        <v>44925</v>
      </c>
      <c r="TSB611" s="5" t="s">
        <v>3728</v>
      </c>
      <c r="TSC611" s="17">
        <v>44925</v>
      </c>
      <c r="TSD611" s="5" t="s">
        <v>3728</v>
      </c>
      <c r="TSE611" s="17">
        <v>44925</v>
      </c>
      <c r="TSF611" s="5" t="s">
        <v>3728</v>
      </c>
      <c r="TSG611" s="17">
        <v>44925</v>
      </c>
      <c r="TSH611" s="5" t="s">
        <v>3728</v>
      </c>
      <c r="TSI611" s="17">
        <v>44925</v>
      </c>
      <c r="TSJ611" s="5" t="s">
        <v>3728</v>
      </c>
      <c r="TSK611" s="17">
        <v>44925</v>
      </c>
      <c r="TSL611" s="5" t="s">
        <v>3728</v>
      </c>
      <c r="TSM611" s="17">
        <v>44925</v>
      </c>
      <c r="TSN611" s="5" t="s">
        <v>3728</v>
      </c>
      <c r="TSO611" s="17">
        <v>44925</v>
      </c>
      <c r="TSP611" s="5" t="s">
        <v>3728</v>
      </c>
      <c r="TSQ611" s="17">
        <v>44925</v>
      </c>
      <c r="TSR611" s="5" t="s">
        <v>3728</v>
      </c>
      <c r="TSS611" s="17">
        <v>44925</v>
      </c>
      <c r="TST611" s="5" t="s">
        <v>3728</v>
      </c>
      <c r="TSU611" s="17">
        <v>44925</v>
      </c>
      <c r="TSV611" s="5" t="s">
        <v>3728</v>
      </c>
      <c r="TSW611" s="17">
        <v>44925</v>
      </c>
      <c r="TSX611" s="5" t="s">
        <v>3728</v>
      </c>
      <c r="TSY611" s="17">
        <v>44925</v>
      </c>
      <c r="TSZ611" s="5" t="s">
        <v>3728</v>
      </c>
      <c r="TTA611" s="17">
        <v>44925</v>
      </c>
      <c r="TTB611" s="5" t="s">
        <v>3728</v>
      </c>
      <c r="TTC611" s="17">
        <v>44925</v>
      </c>
      <c r="TTD611" s="5" t="s">
        <v>3728</v>
      </c>
      <c r="TTE611" s="17">
        <v>44925</v>
      </c>
      <c r="TTF611" s="5" t="s">
        <v>3728</v>
      </c>
      <c r="TTG611" s="17">
        <v>44925</v>
      </c>
      <c r="TTH611" s="5" t="s">
        <v>3728</v>
      </c>
      <c r="TTI611" s="17">
        <v>44925</v>
      </c>
      <c r="TTJ611" s="5" t="s">
        <v>3728</v>
      </c>
      <c r="TTK611" s="17">
        <v>44925</v>
      </c>
      <c r="TTL611" s="5" t="s">
        <v>3728</v>
      </c>
      <c r="TTM611" s="17">
        <v>44925</v>
      </c>
      <c r="TTN611" s="5" t="s">
        <v>3728</v>
      </c>
      <c r="TTO611" s="17">
        <v>44925</v>
      </c>
      <c r="TTP611" s="5" t="s">
        <v>3728</v>
      </c>
      <c r="TTQ611" s="17">
        <v>44925</v>
      </c>
      <c r="TTR611" s="5" t="s">
        <v>3728</v>
      </c>
      <c r="TTS611" s="17">
        <v>44925</v>
      </c>
      <c r="TTT611" s="5" t="s">
        <v>3728</v>
      </c>
      <c r="TTU611" s="17">
        <v>44925</v>
      </c>
      <c r="TTV611" s="5" t="s">
        <v>3728</v>
      </c>
      <c r="TTW611" s="17">
        <v>44925</v>
      </c>
      <c r="TTX611" s="5" t="s">
        <v>3728</v>
      </c>
      <c r="TTY611" s="17">
        <v>44925</v>
      </c>
      <c r="TTZ611" s="5" t="s">
        <v>3728</v>
      </c>
      <c r="TUA611" s="17">
        <v>44925</v>
      </c>
      <c r="TUB611" s="5" t="s">
        <v>3728</v>
      </c>
      <c r="TUC611" s="17">
        <v>44925</v>
      </c>
      <c r="TUD611" s="5" t="s">
        <v>3728</v>
      </c>
      <c r="TUE611" s="17">
        <v>44925</v>
      </c>
      <c r="TUF611" s="5" t="s">
        <v>3728</v>
      </c>
      <c r="TUG611" s="17">
        <v>44925</v>
      </c>
      <c r="TUH611" s="5" t="s">
        <v>3728</v>
      </c>
      <c r="TUI611" s="17">
        <v>44925</v>
      </c>
      <c r="TUJ611" s="5" t="s">
        <v>3728</v>
      </c>
      <c r="TUK611" s="17">
        <v>44925</v>
      </c>
      <c r="TUL611" s="5" t="s">
        <v>3728</v>
      </c>
      <c r="TUM611" s="17">
        <v>44925</v>
      </c>
      <c r="TUN611" s="5" t="s">
        <v>3728</v>
      </c>
      <c r="TUO611" s="17">
        <v>44925</v>
      </c>
      <c r="TUP611" s="5" t="s">
        <v>3728</v>
      </c>
      <c r="TUQ611" s="17">
        <v>44925</v>
      </c>
      <c r="TUR611" s="5" t="s">
        <v>3728</v>
      </c>
      <c r="TUS611" s="17">
        <v>44925</v>
      </c>
      <c r="TUT611" s="5" t="s">
        <v>3728</v>
      </c>
      <c r="TUU611" s="17">
        <v>44925</v>
      </c>
      <c r="TUV611" s="5" t="s">
        <v>3728</v>
      </c>
      <c r="TUW611" s="17">
        <v>44925</v>
      </c>
      <c r="TUX611" s="5" t="s">
        <v>3728</v>
      </c>
      <c r="TUY611" s="17">
        <v>44925</v>
      </c>
      <c r="TUZ611" s="5" t="s">
        <v>3728</v>
      </c>
      <c r="TVA611" s="17">
        <v>44925</v>
      </c>
      <c r="TVB611" s="5" t="s">
        <v>3728</v>
      </c>
      <c r="TVC611" s="17">
        <v>44925</v>
      </c>
      <c r="TVD611" s="5" t="s">
        <v>3728</v>
      </c>
      <c r="TVE611" s="17">
        <v>44925</v>
      </c>
      <c r="TVF611" s="5" t="s">
        <v>3728</v>
      </c>
      <c r="TVG611" s="17">
        <v>44925</v>
      </c>
      <c r="TVH611" s="5" t="s">
        <v>3728</v>
      </c>
      <c r="TVI611" s="17">
        <v>44925</v>
      </c>
      <c r="TVJ611" s="5" t="s">
        <v>3728</v>
      </c>
      <c r="TVK611" s="17">
        <v>44925</v>
      </c>
      <c r="TVL611" s="5" t="s">
        <v>3728</v>
      </c>
      <c r="TVM611" s="17">
        <v>44925</v>
      </c>
      <c r="TVN611" s="5" t="s">
        <v>3728</v>
      </c>
      <c r="TVO611" s="17">
        <v>44925</v>
      </c>
      <c r="TVP611" s="5" t="s">
        <v>3728</v>
      </c>
      <c r="TVQ611" s="17">
        <v>44925</v>
      </c>
      <c r="TVR611" s="5" t="s">
        <v>3728</v>
      </c>
      <c r="TVS611" s="17">
        <v>44925</v>
      </c>
      <c r="TVT611" s="5" t="s">
        <v>3728</v>
      </c>
      <c r="TVU611" s="17">
        <v>44925</v>
      </c>
      <c r="TVV611" s="5" t="s">
        <v>3728</v>
      </c>
      <c r="TVW611" s="17">
        <v>44925</v>
      </c>
      <c r="TVX611" s="5" t="s">
        <v>3728</v>
      </c>
      <c r="TVY611" s="17">
        <v>44925</v>
      </c>
      <c r="TVZ611" s="5" t="s">
        <v>3728</v>
      </c>
      <c r="TWA611" s="17">
        <v>44925</v>
      </c>
      <c r="TWB611" s="5" t="s">
        <v>3728</v>
      </c>
      <c r="TWC611" s="17">
        <v>44925</v>
      </c>
      <c r="TWD611" s="5" t="s">
        <v>3728</v>
      </c>
      <c r="TWE611" s="17">
        <v>44925</v>
      </c>
      <c r="TWF611" s="5" t="s">
        <v>3728</v>
      </c>
      <c r="TWG611" s="17">
        <v>44925</v>
      </c>
      <c r="TWH611" s="5" t="s">
        <v>3728</v>
      </c>
      <c r="TWI611" s="17">
        <v>44925</v>
      </c>
      <c r="TWJ611" s="5" t="s">
        <v>3728</v>
      </c>
      <c r="TWK611" s="17">
        <v>44925</v>
      </c>
      <c r="TWL611" s="5" t="s">
        <v>3728</v>
      </c>
      <c r="TWM611" s="17">
        <v>44925</v>
      </c>
      <c r="TWN611" s="5" t="s">
        <v>3728</v>
      </c>
      <c r="TWO611" s="17">
        <v>44925</v>
      </c>
      <c r="TWP611" s="5" t="s">
        <v>3728</v>
      </c>
      <c r="TWQ611" s="17">
        <v>44925</v>
      </c>
      <c r="TWR611" s="5" t="s">
        <v>3728</v>
      </c>
      <c r="TWS611" s="17">
        <v>44925</v>
      </c>
      <c r="TWT611" s="5" t="s">
        <v>3728</v>
      </c>
      <c r="TWU611" s="17">
        <v>44925</v>
      </c>
      <c r="TWV611" s="5" t="s">
        <v>3728</v>
      </c>
      <c r="TWW611" s="17">
        <v>44925</v>
      </c>
      <c r="TWX611" s="5" t="s">
        <v>3728</v>
      </c>
      <c r="TWY611" s="17">
        <v>44925</v>
      </c>
      <c r="TWZ611" s="5" t="s">
        <v>3728</v>
      </c>
      <c r="TXA611" s="17">
        <v>44925</v>
      </c>
      <c r="TXB611" s="5" t="s">
        <v>3728</v>
      </c>
      <c r="TXC611" s="17">
        <v>44925</v>
      </c>
      <c r="TXD611" s="5" t="s">
        <v>3728</v>
      </c>
      <c r="TXE611" s="17">
        <v>44925</v>
      </c>
      <c r="TXF611" s="5" t="s">
        <v>3728</v>
      </c>
      <c r="TXG611" s="17">
        <v>44925</v>
      </c>
      <c r="TXH611" s="5" t="s">
        <v>3728</v>
      </c>
      <c r="TXI611" s="17">
        <v>44925</v>
      </c>
      <c r="TXJ611" s="5" t="s">
        <v>3728</v>
      </c>
      <c r="TXK611" s="17">
        <v>44925</v>
      </c>
      <c r="TXL611" s="5" t="s">
        <v>3728</v>
      </c>
      <c r="TXM611" s="17">
        <v>44925</v>
      </c>
      <c r="TXN611" s="5" t="s">
        <v>3728</v>
      </c>
      <c r="TXO611" s="17">
        <v>44925</v>
      </c>
      <c r="TXP611" s="5" t="s">
        <v>3728</v>
      </c>
      <c r="TXQ611" s="17">
        <v>44925</v>
      </c>
      <c r="TXR611" s="5" t="s">
        <v>3728</v>
      </c>
      <c r="TXS611" s="17">
        <v>44925</v>
      </c>
      <c r="TXT611" s="5" t="s">
        <v>3728</v>
      </c>
      <c r="TXU611" s="17">
        <v>44925</v>
      </c>
      <c r="TXV611" s="5" t="s">
        <v>3728</v>
      </c>
      <c r="TXW611" s="17">
        <v>44925</v>
      </c>
      <c r="TXX611" s="5" t="s">
        <v>3728</v>
      </c>
      <c r="TXY611" s="17">
        <v>44925</v>
      </c>
      <c r="TXZ611" s="5" t="s">
        <v>3728</v>
      </c>
      <c r="TYA611" s="17">
        <v>44925</v>
      </c>
      <c r="TYB611" s="5" t="s">
        <v>3728</v>
      </c>
      <c r="TYC611" s="17">
        <v>44925</v>
      </c>
      <c r="TYD611" s="5" t="s">
        <v>3728</v>
      </c>
      <c r="TYE611" s="17">
        <v>44925</v>
      </c>
      <c r="TYF611" s="5" t="s">
        <v>3728</v>
      </c>
      <c r="TYG611" s="17">
        <v>44925</v>
      </c>
      <c r="TYH611" s="5" t="s">
        <v>3728</v>
      </c>
      <c r="TYI611" s="17">
        <v>44925</v>
      </c>
      <c r="TYJ611" s="5" t="s">
        <v>3728</v>
      </c>
      <c r="TYK611" s="17">
        <v>44925</v>
      </c>
      <c r="TYL611" s="5" t="s">
        <v>3728</v>
      </c>
      <c r="TYM611" s="17">
        <v>44925</v>
      </c>
      <c r="TYN611" s="5" t="s">
        <v>3728</v>
      </c>
      <c r="TYO611" s="17">
        <v>44925</v>
      </c>
      <c r="TYP611" s="5" t="s">
        <v>3728</v>
      </c>
      <c r="TYQ611" s="17">
        <v>44925</v>
      </c>
      <c r="TYR611" s="5" t="s">
        <v>3728</v>
      </c>
      <c r="TYS611" s="17">
        <v>44925</v>
      </c>
      <c r="TYT611" s="5" t="s">
        <v>3728</v>
      </c>
      <c r="TYU611" s="17">
        <v>44925</v>
      </c>
      <c r="TYV611" s="5" t="s">
        <v>3728</v>
      </c>
      <c r="TYW611" s="17">
        <v>44925</v>
      </c>
      <c r="TYX611" s="5" t="s">
        <v>3728</v>
      </c>
      <c r="TYY611" s="17">
        <v>44925</v>
      </c>
      <c r="TYZ611" s="5" t="s">
        <v>3728</v>
      </c>
      <c r="TZA611" s="17">
        <v>44925</v>
      </c>
      <c r="TZB611" s="5" t="s">
        <v>3728</v>
      </c>
      <c r="TZC611" s="17">
        <v>44925</v>
      </c>
      <c r="TZD611" s="5" t="s">
        <v>3728</v>
      </c>
      <c r="TZE611" s="17">
        <v>44925</v>
      </c>
      <c r="TZF611" s="5" t="s">
        <v>3728</v>
      </c>
      <c r="TZG611" s="17">
        <v>44925</v>
      </c>
      <c r="TZH611" s="5" t="s">
        <v>3728</v>
      </c>
      <c r="TZI611" s="17">
        <v>44925</v>
      </c>
      <c r="TZJ611" s="5" t="s">
        <v>3728</v>
      </c>
      <c r="TZK611" s="17">
        <v>44925</v>
      </c>
      <c r="TZL611" s="5" t="s">
        <v>3728</v>
      </c>
      <c r="TZM611" s="17">
        <v>44925</v>
      </c>
      <c r="TZN611" s="5" t="s">
        <v>3728</v>
      </c>
      <c r="TZO611" s="17">
        <v>44925</v>
      </c>
      <c r="TZP611" s="5" t="s">
        <v>3728</v>
      </c>
      <c r="TZQ611" s="17">
        <v>44925</v>
      </c>
      <c r="TZR611" s="5" t="s">
        <v>3728</v>
      </c>
      <c r="TZS611" s="17">
        <v>44925</v>
      </c>
      <c r="TZT611" s="5" t="s">
        <v>3728</v>
      </c>
      <c r="TZU611" s="17">
        <v>44925</v>
      </c>
      <c r="TZV611" s="5" t="s">
        <v>3728</v>
      </c>
      <c r="TZW611" s="17">
        <v>44925</v>
      </c>
      <c r="TZX611" s="5" t="s">
        <v>3728</v>
      </c>
      <c r="TZY611" s="17">
        <v>44925</v>
      </c>
      <c r="TZZ611" s="5" t="s">
        <v>3728</v>
      </c>
      <c r="UAA611" s="17">
        <v>44925</v>
      </c>
      <c r="UAB611" s="5" t="s">
        <v>3728</v>
      </c>
      <c r="UAC611" s="17">
        <v>44925</v>
      </c>
      <c r="UAD611" s="5" t="s">
        <v>3728</v>
      </c>
      <c r="UAE611" s="17">
        <v>44925</v>
      </c>
      <c r="UAF611" s="5" t="s">
        <v>3728</v>
      </c>
      <c r="UAG611" s="17">
        <v>44925</v>
      </c>
      <c r="UAH611" s="5" t="s">
        <v>3728</v>
      </c>
      <c r="UAI611" s="17">
        <v>44925</v>
      </c>
      <c r="UAJ611" s="5" t="s">
        <v>3728</v>
      </c>
      <c r="UAK611" s="17">
        <v>44925</v>
      </c>
      <c r="UAL611" s="5" t="s">
        <v>3728</v>
      </c>
      <c r="UAM611" s="17">
        <v>44925</v>
      </c>
      <c r="UAN611" s="5" t="s">
        <v>3728</v>
      </c>
      <c r="UAO611" s="17">
        <v>44925</v>
      </c>
      <c r="UAP611" s="5" t="s">
        <v>3728</v>
      </c>
      <c r="UAQ611" s="17">
        <v>44925</v>
      </c>
      <c r="UAR611" s="5" t="s">
        <v>3728</v>
      </c>
      <c r="UAS611" s="17">
        <v>44925</v>
      </c>
      <c r="UAT611" s="5" t="s">
        <v>3728</v>
      </c>
      <c r="UAU611" s="17">
        <v>44925</v>
      </c>
      <c r="UAV611" s="5" t="s">
        <v>3728</v>
      </c>
      <c r="UAW611" s="17">
        <v>44925</v>
      </c>
      <c r="UAX611" s="5" t="s">
        <v>3728</v>
      </c>
      <c r="UAY611" s="17">
        <v>44925</v>
      </c>
      <c r="UAZ611" s="5" t="s">
        <v>3728</v>
      </c>
      <c r="UBA611" s="17">
        <v>44925</v>
      </c>
      <c r="UBB611" s="5" t="s">
        <v>3728</v>
      </c>
      <c r="UBC611" s="17">
        <v>44925</v>
      </c>
      <c r="UBD611" s="5" t="s">
        <v>3728</v>
      </c>
      <c r="UBE611" s="17">
        <v>44925</v>
      </c>
      <c r="UBF611" s="5" t="s">
        <v>3728</v>
      </c>
      <c r="UBG611" s="17">
        <v>44925</v>
      </c>
      <c r="UBH611" s="5" t="s">
        <v>3728</v>
      </c>
      <c r="UBI611" s="17">
        <v>44925</v>
      </c>
      <c r="UBJ611" s="5" t="s">
        <v>3728</v>
      </c>
      <c r="UBK611" s="17">
        <v>44925</v>
      </c>
      <c r="UBL611" s="5" t="s">
        <v>3728</v>
      </c>
      <c r="UBM611" s="17">
        <v>44925</v>
      </c>
      <c r="UBN611" s="5" t="s">
        <v>3728</v>
      </c>
      <c r="UBO611" s="17">
        <v>44925</v>
      </c>
      <c r="UBP611" s="5" t="s">
        <v>3728</v>
      </c>
      <c r="UBQ611" s="17">
        <v>44925</v>
      </c>
      <c r="UBR611" s="5" t="s">
        <v>3728</v>
      </c>
      <c r="UBS611" s="17">
        <v>44925</v>
      </c>
      <c r="UBT611" s="5" t="s">
        <v>3728</v>
      </c>
      <c r="UBU611" s="17">
        <v>44925</v>
      </c>
      <c r="UBV611" s="5" t="s">
        <v>3728</v>
      </c>
      <c r="UBW611" s="17">
        <v>44925</v>
      </c>
      <c r="UBX611" s="5" t="s">
        <v>3728</v>
      </c>
      <c r="UBY611" s="17">
        <v>44925</v>
      </c>
      <c r="UBZ611" s="5" t="s">
        <v>3728</v>
      </c>
      <c r="UCA611" s="17">
        <v>44925</v>
      </c>
      <c r="UCB611" s="5" t="s">
        <v>3728</v>
      </c>
      <c r="UCC611" s="17">
        <v>44925</v>
      </c>
      <c r="UCD611" s="5" t="s">
        <v>3728</v>
      </c>
      <c r="UCE611" s="17">
        <v>44925</v>
      </c>
      <c r="UCF611" s="5" t="s">
        <v>3728</v>
      </c>
      <c r="UCG611" s="17">
        <v>44925</v>
      </c>
      <c r="UCH611" s="5" t="s">
        <v>3728</v>
      </c>
      <c r="UCI611" s="17">
        <v>44925</v>
      </c>
      <c r="UCJ611" s="5" t="s">
        <v>3728</v>
      </c>
      <c r="UCK611" s="17">
        <v>44925</v>
      </c>
      <c r="UCL611" s="5" t="s">
        <v>3728</v>
      </c>
      <c r="UCM611" s="17">
        <v>44925</v>
      </c>
      <c r="UCN611" s="5" t="s">
        <v>3728</v>
      </c>
      <c r="UCO611" s="17">
        <v>44925</v>
      </c>
      <c r="UCP611" s="5" t="s">
        <v>3728</v>
      </c>
      <c r="UCQ611" s="17">
        <v>44925</v>
      </c>
      <c r="UCR611" s="5" t="s">
        <v>3728</v>
      </c>
      <c r="UCS611" s="17">
        <v>44925</v>
      </c>
      <c r="UCT611" s="5" t="s">
        <v>3728</v>
      </c>
      <c r="UCU611" s="17">
        <v>44925</v>
      </c>
      <c r="UCV611" s="5" t="s">
        <v>3728</v>
      </c>
      <c r="UCW611" s="17">
        <v>44925</v>
      </c>
      <c r="UCX611" s="5" t="s">
        <v>3728</v>
      </c>
      <c r="UCY611" s="17">
        <v>44925</v>
      </c>
      <c r="UCZ611" s="5" t="s">
        <v>3728</v>
      </c>
      <c r="UDA611" s="17">
        <v>44925</v>
      </c>
      <c r="UDB611" s="5" t="s">
        <v>3728</v>
      </c>
      <c r="UDC611" s="17">
        <v>44925</v>
      </c>
      <c r="UDD611" s="5" t="s">
        <v>3728</v>
      </c>
      <c r="UDE611" s="17">
        <v>44925</v>
      </c>
      <c r="UDF611" s="5" t="s">
        <v>3728</v>
      </c>
      <c r="UDG611" s="17">
        <v>44925</v>
      </c>
      <c r="UDH611" s="5" t="s">
        <v>3728</v>
      </c>
      <c r="UDI611" s="17">
        <v>44925</v>
      </c>
      <c r="UDJ611" s="5" t="s">
        <v>3728</v>
      </c>
      <c r="UDK611" s="17">
        <v>44925</v>
      </c>
      <c r="UDL611" s="5" t="s">
        <v>3728</v>
      </c>
      <c r="UDM611" s="17">
        <v>44925</v>
      </c>
      <c r="UDN611" s="5" t="s">
        <v>3728</v>
      </c>
      <c r="UDO611" s="17">
        <v>44925</v>
      </c>
      <c r="UDP611" s="5" t="s">
        <v>3728</v>
      </c>
      <c r="UDQ611" s="17">
        <v>44925</v>
      </c>
      <c r="UDR611" s="5" t="s">
        <v>3728</v>
      </c>
      <c r="UDS611" s="17">
        <v>44925</v>
      </c>
      <c r="UDT611" s="5" t="s">
        <v>3728</v>
      </c>
      <c r="UDU611" s="17">
        <v>44925</v>
      </c>
      <c r="UDV611" s="5" t="s">
        <v>3728</v>
      </c>
      <c r="UDW611" s="17">
        <v>44925</v>
      </c>
      <c r="UDX611" s="5" t="s">
        <v>3728</v>
      </c>
      <c r="UDY611" s="17">
        <v>44925</v>
      </c>
      <c r="UDZ611" s="5" t="s">
        <v>3728</v>
      </c>
      <c r="UEA611" s="17">
        <v>44925</v>
      </c>
      <c r="UEB611" s="5" t="s">
        <v>3728</v>
      </c>
      <c r="UEC611" s="17">
        <v>44925</v>
      </c>
      <c r="UED611" s="5" t="s">
        <v>3728</v>
      </c>
      <c r="UEE611" s="17">
        <v>44925</v>
      </c>
      <c r="UEF611" s="5" t="s">
        <v>3728</v>
      </c>
      <c r="UEG611" s="17">
        <v>44925</v>
      </c>
      <c r="UEH611" s="5" t="s">
        <v>3728</v>
      </c>
      <c r="UEI611" s="17">
        <v>44925</v>
      </c>
      <c r="UEJ611" s="5" t="s">
        <v>3728</v>
      </c>
      <c r="UEK611" s="17">
        <v>44925</v>
      </c>
      <c r="UEL611" s="5" t="s">
        <v>3728</v>
      </c>
      <c r="UEM611" s="17">
        <v>44925</v>
      </c>
      <c r="UEN611" s="5" t="s">
        <v>3728</v>
      </c>
      <c r="UEO611" s="17">
        <v>44925</v>
      </c>
      <c r="UEP611" s="5" t="s">
        <v>3728</v>
      </c>
      <c r="UEQ611" s="17">
        <v>44925</v>
      </c>
      <c r="UER611" s="5" t="s">
        <v>3728</v>
      </c>
      <c r="UES611" s="17">
        <v>44925</v>
      </c>
      <c r="UET611" s="5" t="s">
        <v>3728</v>
      </c>
      <c r="UEU611" s="17">
        <v>44925</v>
      </c>
      <c r="UEV611" s="5" t="s">
        <v>3728</v>
      </c>
      <c r="UEW611" s="17">
        <v>44925</v>
      </c>
      <c r="UEX611" s="5" t="s">
        <v>3728</v>
      </c>
      <c r="UEY611" s="17">
        <v>44925</v>
      </c>
      <c r="UEZ611" s="5" t="s">
        <v>3728</v>
      </c>
      <c r="UFA611" s="17">
        <v>44925</v>
      </c>
      <c r="UFB611" s="5" t="s">
        <v>3728</v>
      </c>
      <c r="UFC611" s="17">
        <v>44925</v>
      </c>
      <c r="UFD611" s="5" t="s">
        <v>3728</v>
      </c>
      <c r="UFE611" s="17">
        <v>44925</v>
      </c>
      <c r="UFF611" s="5" t="s">
        <v>3728</v>
      </c>
      <c r="UFG611" s="17">
        <v>44925</v>
      </c>
      <c r="UFH611" s="5" t="s">
        <v>3728</v>
      </c>
      <c r="UFI611" s="17">
        <v>44925</v>
      </c>
      <c r="UFJ611" s="5" t="s">
        <v>3728</v>
      </c>
      <c r="UFK611" s="17">
        <v>44925</v>
      </c>
      <c r="UFL611" s="5" t="s">
        <v>3728</v>
      </c>
      <c r="UFM611" s="17">
        <v>44925</v>
      </c>
      <c r="UFN611" s="5" t="s">
        <v>3728</v>
      </c>
      <c r="UFO611" s="17">
        <v>44925</v>
      </c>
      <c r="UFP611" s="5" t="s">
        <v>3728</v>
      </c>
      <c r="UFQ611" s="17">
        <v>44925</v>
      </c>
      <c r="UFR611" s="5" t="s">
        <v>3728</v>
      </c>
      <c r="UFS611" s="17">
        <v>44925</v>
      </c>
      <c r="UFT611" s="5" t="s">
        <v>3728</v>
      </c>
      <c r="UFU611" s="17">
        <v>44925</v>
      </c>
      <c r="UFV611" s="5" t="s">
        <v>3728</v>
      </c>
      <c r="UFW611" s="17">
        <v>44925</v>
      </c>
      <c r="UFX611" s="5" t="s">
        <v>3728</v>
      </c>
      <c r="UFY611" s="17">
        <v>44925</v>
      </c>
      <c r="UFZ611" s="5" t="s">
        <v>3728</v>
      </c>
      <c r="UGA611" s="17">
        <v>44925</v>
      </c>
      <c r="UGB611" s="5" t="s">
        <v>3728</v>
      </c>
      <c r="UGC611" s="17">
        <v>44925</v>
      </c>
      <c r="UGD611" s="5" t="s">
        <v>3728</v>
      </c>
      <c r="UGE611" s="17">
        <v>44925</v>
      </c>
      <c r="UGF611" s="5" t="s">
        <v>3728</v>
      </c>
      <c r="UGG611" s="17">
        <v>44925</v>
      </c>
      <c r="UGH611" s="5" t="s">
        <v>3728</v>
      </c>
      <c r="UGI611" s="17">
        <v>44925</v>
      </c>
      <c r="UGJ611" s="5" t="s">
        <v>3728</v>
      </c>
      <c r="UGK611" s="17">
        <v>44925</v>
      </c>
      <c r="UGL611" s="5" t="s">
        <v>3728</v>
      </c>
      <c r="UGM611" s="17">
        <v>44925</v>
      </c>
      <c r="UGN611" s="5" t="s">
        <v>3728</v>
      </c>
      <c r="UGO611" s="17">
        <v>44925</v>
      </c>
      <c r="UGP611" s="5" t="s">
        <v>3728</v>
      </c>
      <c r="UGQ611" s="17">
        <v>44925</v>
      </c>
      <c r="UGR611" s="5" t="s">
        <v>3728</v>
      </c>
      <c r="UGS611" s="17">
        <v>44925</v>
      </c>
      <c r="UGT611" s="5" t="s">
        <v>3728</v>
      </c>
      <c r="UGU611" s="17">
        <v>44925</v>
      </c>
      <c r="UGV611" s="5" t="s">
        <v>3728</v>
      </c>
      <c r="UGW611" s="17">
        <v>44925</v>
      </c>
      <c r="UGX611" s="5" t="s">
        <v>3728</v>
      </c>
      <c r="UGY611" s="17">
        <v>44925</v>
      </c>
      <c r="UGZ611" s="5" t="s">
        <v>3728</v>
      </c>
      <c r="UHA611" s="17">
        <v>44925</v>
      </c>
      <c r="UHB611" s="5" t="s">
        <v>3728</v>
      </c>
      <c r="UHC611" s="17">
        <v>44925</v>
      </c>
      <c r="UHD611" s="5" t="s">
        <v>3728</v>
      </c>
      <c r="UHE611" s="17">
        <v>44925</v>
      </c>
      <c r="UHF611" s="5" t="s">
        <v>3728</v>
      </c>
      <c r="UHG611" s="17">
        <v>44925</v>
      </c>
      <c r="UHH611" s="5" t="s">
        <v>3728</v>
      </c>
      <c r="UHI611" s="17">
        <v>44925</v>
      </c>
      <c r="UHJ611" s="5" t="s">
        <v>3728</v>
      </c>
      <c r="UHK611" s="17">
        <v>44925</v>
      </c>
      <c r="UHL611" s="5" t="s">
        <v>3728</v>
      </c>
      <c r="UHM611" s="17">
        <v>44925</v>
      </c>
      <c r="UHN611" s="5" t="s">
        <v>3728</v>
      </c>
      <c r="UHO611" s="17">
        <v>44925</v>
      </c>
      <c r="UHP611" s="5" t="s">
        <v>3728</v>
      </c>
      <c r="UHQ611" s="17">
        <v>44925</v>
      </c>
      <c r="UHR611" s="5" t="s">
        <v>3728</v>
      </c>
      <c r="UHS611" s="17">
        <v>44925</v>
      </c>
      <c r="UHT611" s="5" t="s">
        <v>3728</v>
      </c>
      <c r="UHU611" s="17">
        <v>44925</v>
      </c>
      <c r="UHV611" s="5" t="s">
        <v>3728</v>
      </c>
      <c r="UHW611" s="17">
        <v>44925</v>
      </c>
      <c r="UHX611" s="5" t="s">
        <v>3728</v>
      </c>
      <c r="UHY611" s="17">
        <v>44925</v>
      </c>
      <c r="UHZ611" s="5" t="s">
        <v>3728</v>
      </c>
      <c r="UIA611" s="17">
        <v>44925</v>
      </c>
      <c r="UIB611" s="5" t="s">
        <v>3728</v>
      </c>
      <c r="UIC611" s="17">
        <v>44925</v>
      </c>
      <c r="UID611" s="5" t="s">
        <v>3728</v>
      </c>
      <c r="UIE611" s="17">
        <v>44925</v>
      </c>
      <c r="UIF611" s="5" t="s">
        <v>3728</v>
      </c>
      <c r="UIG611" s="17">
        <v>44925</v>
      </c>
      <c r="UIH611" s="5" t="s">
        <v>3728</v>
      </c>
      <c r="UII611" s="17">
        <v>44925</v>
      </c>
      <c r="UIJ611" s="5" t="s">
        <v>3728</v>
      </c>
      <c r="UIK611" s="17">
        <v>44925</v>
      </c>
      <c r="UIL611" s="5" t="s">
        <v>3728</v>
      </c>
      <c r="UIM611" s="17">
        <v>44925</v>
      </c>
      <c r="UIN611" s="5" t="s">
        <v>3728</v>
      </c>
      <c r="UIO611" s="17">
        <v>44925</v>
      </c>
      <c r="UIP611" s="5" t="s">
        <v>3728</v>
      </c>
      <c r="UIQ611" s="17">
        <v>44925</v>
      </c>
      <c r="UIR611" s="5" t="s">
        <v>3728</v>
      </c>
      <c r="UIS611" s="17">
        <v>44925</v>
      </c>
      <c r="UIT611" s="5" t="s">
        <v>3728</v>
      </c>
      <c r="UIU611" s="17">
        <v>44925</v>
      </c>
      <c r="UIV611" s="5" t="s">
        <v>3728</v>
      </c>
      <c r="UIW611" s="17">
        <v>44925</v>
      </c>
      <c r="UIX611" s="5" t="s">
        <v>3728</v>
      </c>
      <c r="UIY611" s="17">
        <v>44925</v>
      </c>
      <c r="UIZ611" s="5" t="s">
        <v>3728</v>
      </c>
      <c r="UJA611" s="17">
        <v>44925</v>
      </c>
      <c r="UJB611" s="5" t="s">
        <v>3728</v>
      </c>
      <c r="UJC611" s="17">
        <v>44925</v>
      </c>
      <c r="UJD611" s="5" t="s">
        <v>3728</v>
      </c>
      <c r="UJE611" s="17">
        <v>44925</v>
      </c>
      <c r="UJF611" s="5" t="s">
        <v>3728</v>
      </c>
      <c r="UJG611" s="17">
        <v>44925</v>
      </c>
      <c r="UJH611" s="5" t="s">
        <v>3728</v>
      </c>
      <c r="UJI611" s="17">
        <v>44925</v>
      </c>
      <c r="UJJ611" s="5" t="s">
        <v>3728</v>
      </c>
      <c r="UJK611" s="17">
        <v>44925</v>
      </c>
      <c r="UJL611" s="5" t="s">
        <v>3728</v>
      </c>
      <c r="UJM611" s="17">
        <v>44925</v>
      </c>
      <c r="UJN611" s="5" t="s">
        <v>3728</v>
      </c>
      <c r="UJO611" s="17">
        <v>44925</v>
      </c>
      <c r="UJP611" s="5" t="s">
        <v>3728</v>
      </c>
      <c r="UJQ611" s="17">
        <v>44925</v>
      </c>
      <c r="UJR611" s="5" t="s">
        <v>3728</v>
      </c>
      <c r="UJS611" s="17">
        <v>44925</v>
      </c>
      <c r="UJT611" s="5" t="s">
        <v>3728</v>
      </c>
      <c r="UJU611" s="17">
        <v>44925</v>
      </c>
      <c r="UJV611" s="5" t="s">
        <v>3728</v>
      </c>
      <c r="UJW611" s="17">
        <v>44925</v>
      </c>
      <c r="UJX611" s="5" t="s">
        <v>3728</v>
      </c>
      <c r="UJY611" s="17">
        <v>44925</v>
      </c>
      <c r="UJZ611" s="5" t="s">
        <v>3728</v>
      </c>
      <c r="UKA611" s="17">
        <v>44925</v>
      </c>
      <c r="UKB611" s="5" t="s">
        <v>3728</v>
      </c>
      <c r="UKC611" s="17">
        <v>44925</v>
      </c>
      <c r="UKD611" s="5" t="s">
        <v>3728</v>
      </c>
      <c r="UKE611" s="17">
        <v>44925</v>
      </c>
      <c r="UKF611" s="5" t="s">
        <v>3728</v>
      </c>
      <c r="UKG611" s="17">
        <v>44925</v>
      </c>
      <c r="UKH611" s="5" t="s">
        <v>3728</v>
      </c>
      <c r="UKI611" s="17">
        <v>44925</v>
      </c>
      <c r="UKJ611" s="5" t="s">
        <v>3728</v>
      </c>
      <c r="UKK611" s="17">
        <v>44925</v>
      </c>
      <c r="UKL611" s="5" t="s">
        <v>3728</v>
      </c>
      <c r="UKM611" s="17">
        <v>44925</v>
      </c>
      <c r="UKN611" s="5" t="s">
        <v>3728</v>
      </c>
      <c r="UKO611" s="17">
        <v>44925</v>
      </c>
      <c r="UKP611" s="5" t="s">
        <v>3728</v>
      </c>
      <c r="UKQ611" s="17">
        <v>44925</v>
      </c>
      <c r="UKR611" s="5" t="s">
        <v>3728</v>
      </c>
      <c r="UKS611" s="17">
        <v>44925</v>
      </c>
      <c r="UKT611" s="5" t="s">
        <v>3728</v>
      </c>
      <c r="UKU611" s="17">
        <v>44925</v>
      </c>
      <c r="UKV611" s="5" t="s">
        <v>3728</v>
      </c>
      <c r="UKW611" s="17">
        <v>44925</v>
      </c>
      <c r="UKX611" s="5" t="s">
        <v>3728</v>
      </c>
      <c r="UKY611" s="17">
        <v>44925</v>
      </c>
      <c r="UKZ611" s="5" t="s">
        <v>3728</v>
      </c>
      <c r="ULA611" s="17">
        <v>44925</v>
      </c>
      <c r="ULB611" s="5" t="s">
        <v>3728</v>
      </c>
      <c r="ULC611" s="17">
        <v>44925</v>
      </c>
      <c r="ULD611" s="5" t="s">
        <v>3728</v>
      </c>
      <c r="ULE611" s="17">
        <v>44925</v>
      </c>
      <c r="ULF611" s="5" t="s">
        <v>3728</v>
      </c>
      <c r="ULG611" s="17">
        <v>44925</v>
      </c>
      <c r="ULH611" s="5" t="s">
        <v>3728</v>
      </c>
      <c r="ULI611" s="17">
        <v>44925</v>
      </c>
      <c r="ULJ611" s="5" t="s">
        <v>3728</v>
      </c>
      <c r="ULK611" s="17">
        <v>44925</v>
      </c>
      <c r="ULL611" s="5" t="s">
        <v>3728</v>
      </c>
      <c r="ULM611" s="17">
        <v>44925</v>
      </c>
      <c r="ULN611" s="5" t="s">
        <v>3728</v>
      </c>
      <c r="ULO611" s="17">
        <v>44925</v>
      </c>
      <c r="ULP611" s="5" t="s">
        <v>3728</v>
      </c>
      <c r="ULQ611" s="17">
        <v>44925</v>
      </c>
      <c r="ULR611" s="5" t="s">
        <v>3728</v>
      </c>
      <c r="ULS611" s="17">
        <v>44925</v>
      </c>
      <c r="ULT611" s="5" t="s">
        <v>3728</v>
      </c>
      <c r="ULU611" s="17">
        <v>44925</v>
      </c>
      <c r="ULV611" s="5" t="s">
        <v>3728</v>
      </c>
      <c r="ULW611" s="17">
        <v>44925</v>
      </c>
      <c r="ULX611" s="5" t="s">
        <v>3728</v>
      </c>
      <c r="ULY611" s="17">
        <v>44925</v>
      </c>
      <c r="ULZ611" s="5" t="s">
        <v>3728</v>
      </c>
      <c r="UMA611" s="17">
        <v>44925</v>
      </c>
      <c r="UMB611" s="5" t="s">
        <v>3728</v>
      </c>
      <c r="UMC611" s="17">
        <v>44925</v>
      </c>
      <c r="UMD611" s="5" t="s">
        <v>3728</v>
      </c>
      <c r="UME611" s="17">
        <v>44925</v>
      </c>
      <c r="UMF611" s="5" t="s">
        <v>3728</v>
      </c>
      <c r="UMG611" s="17">
        <v>44925</v>
      </c>
      <c r="UMH611" s="5" t="s">
        <v>3728</v>
      </c>
      <c r="UMI611" s="17">
        <v>44925</v>
      </c>
      <c r="UMJ611" s="5" t="s">
        <v>3728</v>
      </c>
      <c r="UMK611" s="17">
        <v>44925</v>
      </c>
      <c r="UML611" s="5" t="s">
        <v>3728</v>
      </c>
      <c r="UMM611" s="17">
        <v>44925</v>
      </c>
      <c r="UMN611" s="5" t="s">
        <v>3728</v>
      </c>
      <c r="UMO611" s="17">
        <v>44925</v>
      </c>
      <c r="UMP611" s="5" t="s">
        <v>3728</v>
      </c>
      <c r="UMQ611" s="17">
        <v>44925</v>
      </c>
      <c r="UMR611" s="5" t="s">
        <v>3728</v>
      </c>
      <c r="UMS611" s="17">
        <v>44925</v>
      </c>
      <c r="UMT611" s="5" t="s">
        <v>3728</v>
      </c>
      <c r="UMU611" s="17">
        <v>44925</v>
      </c>
      <c r="UMV611" s="5" t="s">
        <v>3728</v>
      </c>
      <c r="UMW611" s="17">
        <v>44925</v>
      </c>
      <c r="UMX611" s="5" t="s">
        <v>3728</v>
      </c>
      <c r="UMY611" s="17">
        <v>44925</v>
      </c>
      <c r="UMZ611" s="5" t="s">
        <v>3728</v>
      </c>
      <c r="UNA611" s="17">
        <v>44925</v>
      </c>
      <c r="UNB611" s="5" t="s">
        <v>3728</v>
      </c>
      <c r="UNC611" s="17">
        <v>44925</v>
      </c>
      <c r="UND611" s="5" t="s">
        <v>3728</v>
      </c>
      <c r="UNE611" s="17">
        <v>44925</v>
      </c>
      <c r="UNF611" s="5" t="s">
        <v>3728</v>
      </c>
      <c r="UNG611" s="17">
        <v>44925</v>
      </c>
      <c r="UNH611" s="5" t="s">
        <v>3728</v>
      </c>
      <c r="UNI611" s="17">
        <v>44925</v>
      </c>
      <c r="UNJ611" s="5" t="s">
        <v>3728</v>
      </c>
      <c r="UNK611" s="17">
        <v>44925</v>
      </c>
      <c r="UNL611" s="5" t="s">
        <v>3728</v>
      </c>
      <c r="UNM611" s="17">
        <v>44925</v>
      </c>
      <c r="UNN611" s="5" t="s">
        <v>3728</v>
      </c>
      <c r="UNO611" s="17">
        <v>44925</v>
      </c>
      <c r="UNP611" s="5" t="s">
        <v>3728</v>
      </c>
      <c r="UNQ611" s="17">
        <v>44925</v>
      </c>
      <c r="UNR611" s="5" t="s">
        <v>3728</v>
      </c>
      <c r="UNS611" s="17">
        <v>44925</v>
      </c>
      <c r="UNT611" s="5" t="s">
        <v>3728</v>
      </c>
      <c r="UNU611" s="17">
        <v>44925</v>
      </c>
      <c r="UNV611" s="5" t="s">
        <v>3728</v>
      </c>
      <c r="UNW611" s="17">
        <v>44925</v>
      </c>
      <c r="UNX611" s="5" t="s">
        <v>3728</v>
      </c>
      <c r="UNY611" s="17">
        <v>44925</v>
      </c>
      <c r="UNZ611" s="5" t="s">
        <v>3728</v>
      </c>
      <c r="UOA611" s="17">
        <v>44925</v>
      </c>
      <c r="UOB611" s="5" t="s">
        <v>3728</v>
      </c>
      <c r="UOC611" s="17">
        <v>44925</v>
      </c>
      <c r="UOD611" s="5" t="s">
        <v>3728</v>
      </c>
      <c r="UOE611" s="17">
        <v>44925</v>
      </c>
      <c r="UOF611" s="5" t="s">
        <v>3728</v>
      </c>
      <c r="UOG611" s="17">
        <v>44925</v>
      </c>
      <c r="UOH611" s="5" t="s">
        <v>3728</v>
      </c>
      <c r="UOI611" s="17">
        <v>44925</v>
      </c>
      <c r="UOJ611" s="5" t="s">
        <v>3728</v>
      </c>
      <c r="UOK611" s="17">
        <v>44925</v>
      </c>
      <c r="UOL611" s="5" t="s">
        <v>3728</v>
      </c>
      <c r="UOM611" s="17">
        <v>44925</v>
      </c>
      <c r="UON611" s="5" t="s">
        <v>3728</v>
      </c>
      <c r="UOO611" s="17">
        <v>44925</v>
      </c>
      <c r="UOP611" s="5" t="s">
        <v>3728</v>
      </c>
      <c r="UOQ611" s="17">
        <v>44925</v>
      </c>
      <c r="UOR611" s="5" t="s">
        <v>3728</v>
      </c>
      <c r="UOS611" s="17">
        <v>44925</v>
      </c>
      <c r="UOT611" s="5" t="s">
        <v>3728</v>
      </c>
      <c r="UOU611" s="17">
        <v>44925</v>
      </c>
      <c r="UOV611" s="5" t="s">
        <v>3728</v>
      </c>
      <c r="UOW611" s="17">
        <v>44925</v>
      </c>
      <c r="UOX611" s="5" t="s">
        <v>3728</v>
      </c>
      <c r="UOY611" s="17">
        <v>44925</v>
      </c>
      <c r="UOZ611" s="5" t="s">
        <v>3728</v>
      </c>
      <c r="UPA611" s="17">
        <v>44925</v>
      </c>
      <c r="UPB611" s="5" t="s">
        <v>3728</v>
      </c>
      <c r="UPC611" s="17">
        <v>44925</v>
      </c>
      <c r="UPD611" s="5" t="s">
        <v>3728</v>
      </c>
      <c r="UPE611" s="17">
        <v>44925</v>
      </c>
      <c r="UPF611" s="5" t="s">
        <v>3728</v>
      </c>
      <c r="UPG611" s="17">
        <v>44925</v>
      </c>
      <c r="UPH611" s="5" t="s">
        <v>3728</v>
      </c>
      <c r="UPI611" s="17">
        <v>44925</v>
      </c>
      <c r="UPJ611" s="5" t="s">
        <v>3728</v>
      </c>
      <c r="UPK611" s="17">
        <v>44925</v>
      </c>
      <c r="UPL611" s="5" t="s">
        <v>3728</v>
      </c>
      <c r="UPM611" s="17">
        <v>44925</v>
      </c>
      <c r="UPN611" s="5" t="s">
        <v>3728</v>
      </c>
      <c r="UPO611" s="17">
        <v>44925</v>
      </c>
      <c r="UPP611" s="5" t="s">
        <v>3728</v>
      </c>
      <c r="UPQ611" s="17">
        <v>44925</v>
      </c>
      <c r="UPR611" s="5" t="s">
        <v>3728</v>
      </c>
      <c r="UPS611" s="17">
        <v>44925</v>
      </c>
      <c r="UPT611" s="5" t="s">
        <v>3728</v>
      </c>
      <c r="UPU611" s="17">
        <v>44925</v>
      </c>
      <c r="UPV611" s="5" t="s">
        <v>3728</v>
      </c>
      <c r="UPW611" s="17">
        <v>44925</v>
      </c>
      <c r="UPX611" s="5" t="s">
        <v>3728</v>
      </c>
      <c r="UPY611" s="17">
        <v>44925</v>
      </c>
      <c r="UPZ611" s="5" t="s">
        <v>3728</v>
      </c>
      <c r="UQA611" s="17">
        <v>44925</v>
      </c>
      <c r="UQB611" s="5" t="s">
        <v>3728</v>
      </c>
      <c r="UQC611" s="17">
        <v>44925</v>
      </c>
      <c r="UQD611" s="5" t="s">
        <v>3728</v>
      </c>
      <c r="UQE611" s="17">
        <v>44925</v>
      </c>
      <c r="UQF611" s="5" t="s">
        <v>3728</v>
      </c>
      <c r="UQG611" s="17">
        <v>44925</v>
      </c>
      <c r="UQH611" s="5" t="s">
        <v>3728</v>
      </c>
      <c r="UQI611" s="17">
        <v>44925</v>
      </c>
      <c r="UQJ611" s="5" t="s">
        <v>3728</v>
      </c>
      <c r="UQK611" s="17">
        <v>44925</v>
      </c>
      <c r="UQL611" s="5" t="s">
        <v>3728</v>
      </c>
      <c r="UQM611" s="17">
        <v>44925</v>
      </c>
      <c r="UQN611" s="5" t="s">
        <v>3728</v>
      </c>
      <c r="UQO611" s="17">
        <v>44925</v>
      </c>
      <c r="UQP611" s="5" t="s">
        <v>3728</v>
      </c>
      <c r="UQQ611" s="17">
        <v>44925</v>
      </c>
      <c r="UQR611" s="5" t="s">
        <v>3728</v>
      </c>
      <c r="UQS611" s="17">
        <v>44925</v>
      </c>
      <c r="UQT611" s="5" t="s">
        <v>3728</v>
      </c>
      <c r="UQU611" s="17">
        <v>44925</v>
      </c>
      <c r="UQV611" s="5" t="s">
        <v>3728</v>
      </c>
      <c r="UQW611" s="17">
        <v>44925</v>
      </c>
      <c r="UQX611" s="5" t="s">
        <v>3728</v>
      </c>
      <c r="UQY611" s="17">
        <v>44925</v>
      </c>
      <c r="UQZ611" s="5" t="s">
        <v>3728</v>
      </c>
      <c r="URA611" s="17">
        <v>44925</v>
      </c>
      <c r="URB611" s="5" t="s">
        <v>3728</v>
      </c>
      <c r="URC611" s="17">
        <v>44925</v>
      </c>
      <c r="URD611" s="5" t="s">
        <v>3728</v>
      </c>
      <c r="URE611" s="17">
        <v>44925</v>
      </c>
      <c r="URF611" s="5" t="s">
        <v>3728</v>
      </c>
      <c r="URG611" s="17">
        <v>44925</v>
      </c>
      <c r="URH611" s="5" t="s">
        <v>3728</v>
      </c>
      <c r="URI611" s="17">
        <v>44925</v>
      </c>
      <c r="URJ611" s="5" t="s">
        <v>3728</v>
      </c>
      <c r="URK611" s="17">
        <v>44925</v>
      </c>
      <c r="URL611" s="5" t="s">
        <v>3728</v>
      </c>
      <c r="URM611" s="17">
        <v>44925</v>
      </c>
      <c r="URN611" s="5" t="s">
        <v>3728</v>
      </c>
      <c r="URO611" s="17">
        <v>44925</v>
      </c>
      <c r="URP611" s="5" t="s">
        <v>3728</v>
      </c>
      <c r="URQ611" s="17">
        <v>44925</v>
      </c>
      <c r="URR611" s="5" t="s">
        <v>3728</v>
      </c>
      <c r="URS611" s="17">
        <v>44925</v>
      </c>
      <c r="URT611" s="5" t="s">
        <v>3728</v>
      </c>
      <c r="URU611" s="17">
        <v>44925</v>
      </c>
      <c r="URV611" s="5" t="s">
        <v>3728</v>
      </c>
      <c r="URW611" s="17">
        <v>44925</v>
      </c>
      <c r="URX611" s="5" t="s">
        <v>3728</v>
      </c>
      <c r="URY611" s="17">
        <v>44925</v>
      </c>
      <c r="URZ611" s="5" t="s">
        <v>3728</v>
      </c>
      <c r="USA611" s="17">
        <v>44925</v>
      </c>
      <c r="USB611" s="5" t="s">
        <v>3728</v>
      </c>
      <c r="USC611" s="17">
        <v>44925</v>
      </c>
      <c r="USD611" s="5" t="s">
        <v>3728</v>
      </c>
      <c r="USE611" s="17">
        <v>44925</v>
      </c>
      <c r="USF611" s="5" t="s">
        <v>3728</v>
      </c>
      <c r="USG611" s="17">
        <v>44925</v>
      </c>
      <c r="USH611" s="5" t="s">
        <v>3728</v>
      </c>
      <c r="USI611" s="17">
        <v>44925</v>
      </c>
      <c r="USJ611" s="5" t="s">
        <v>3728</v>
      </c>
      <c r="USK611" s="17">
        <v>44925</v>
      </c>
      <c r="USL611" s="5" t="s">
        <v>3728</v>
      </c>
      <c r="USM611" s="17">
        <v>44925</v>
      </c>
      <c r="USN611" s="5" t="s">
        <v>3728</v>
      </c>
      <c r="USO611" s="17">
        <v>44925</v>
      </c>
      <c r="USP611" s="5" t="s">
        <v>3728</v>
      </c>
      <c r="USQ611" s="17">
        <v>44925</v>
      </c>
      <c r="USR611" s="5" t="s">
        <v>3728</v>
      </c>
      <c r="USS611" s="17">
        <v>44925</v>
      </c>
      <c r="UST611" s="5" t="s">
        <v>3728</v>
      </c>
      <c r="USU611" s="17">
        <v>44925</v>
      </c>
      <c r="USV611" s="5" t="s">
        <v>3728</v>
      </c>
      <c r="USW611" s="17">
        <v>44925</v>
      </c>
      <c r="USX611" s="5" t="s">
        <v>3728</v>
      </c>
      <c r="USY611" s="17">
        <v>44925</v>
      </c>
      <c r="USZ611" s="5" t="s">
        <v>3728</v>
      </c>
      <c r="UTA611" s="17">
        <v>44925</v>
      </c>
      <c r="UTB611" s="5" t="s">
        <v>3728</v>
      </c>
      <c r="UTC611" s="17">
        <v>44925</v>
      </c>
      <c r="UTD611" s="5" t="s">
        <v>3728</v>
      </c>
      <c r="UTE611" s="17">
        <v>44925</v>
      </c>
      <c r="UTF611" s="5" t="s">
        <v>3728</v>
      </c>
      <c r="UTG611" s="17">
        <v>44925</v>
      </c>
      <c r="UTH611" s="5" t="s">
        <v>3728</v>
      </c>
      <c r="UTI611" s="17">
        <v>44925</v>
      </c>
      <c r="UTJ611" s="5" t="s">
        <v>3728</v>
      </c>
      <c r="UTK611" s="17">
        <v>44925</v>
      </c>
      <c r="UTL611" s="5" t="s">
        <v>3728</v>
      </c>
      <c r="UTM611" s="17">
        <v>44925</v>
      </c>
      <c r="UTN611" s="5" t="s">
        <v>3728</v>
      </c>
      <c r="UTO611" s="17">
        <v>44925</v>
      </c>
      <c r="UTP611" s="5" t="s">
        <v>3728</v>
      </c>
      <c r="UTQ611" s="17">
        <v>44925</v>
      </c>
      <c r="UTR611" s="5" t="s">
        <v>3728</v>
      </c>
      <c r="UTS611" s="17">
        <v>44925</v>
      </c>
      <c r="UTT611" s="5" t="s">
        <v>3728</v>
      </c>
      <c r="UTU611" s="17">
        <v>44925</v>
      </c>
      <c r="UTV611" s="5" t="s">
        <v>3728</v>
      </c>
      <c r="UTW611" s="17">
        <v>44925</v>
      </c>
      <c r="UTX611" s="5" t="s">
        <v>3728</v>
      </c>
      <c r="UTY611" s="17">
        <v>44925</v>
      </c>
      <c r="UTZ611" s="5" t="s">
        <v>3728</v>
      </c>
      <c r="UUA611" s="17">
        <v>44925</v>
      </c>
      <c r="UUB611" s="5" t="s">
        <v>3728</v>
      </c>
      <c r="UUC611" s="17">
        <v>44925</v>
      </c>
      <c r="UUD611" s="5" t="s">
        <v>3728</v>
      </c>
      <c r="UUE611" s="17">
        <v>44925</v>
      </c>
      <c r="UUF611" s="5" t="s">
        <v>3728</v>
      </c>
      <c r="UUG611" s="17">
        <v>44925</v>
      </c>
      <c r="UUH611" s="5" t="s">
        <v>3728</v>
      </c>
      <c r="UUI611" s="17">
        <v>44925</v>
      </c>
      <c r="UUJ611" s="5" t="s">
        <v>3728</v>
      </c>
      <c r="UUK611" s="17">
        <v>44925</v>
      </c>
      <c r="UUL611" s="5" t="s">
        <v>3728</v>
      </c>
      <c r="UUM611" s="17">
        <v>44925</v>
      </c>
      <c r="UUN611" s="5" t="s">
        <v>3728</v>
      </c>
      <c r="UUO611" s="17">
        <v>44925</v>
      </c>
      <c r="UUP611" s="5" t="s">
        <v>3728</v>
      </c>
      <c r="UUQ611" s="17">
        <v>44925</v>
      </c>
      <c r="UUR611" s="5" t="s">
        <v>3728</v>
      </c>
      <c r="UUS611" s="17">
        <v>44925</v>
      </c>
      <c r="UUT611" s="5" t="s">
        <v>3728</v>
      </c>
      <c r="UUU611" s="17">
        <v>44925</v>
      </c>
      <c r="UUV611" s="5" t="s">
        <v>3728</v>
      </c>
      <c r="UUW611" s="17">
        <v>44925</v>
      </c>
      <c r="UUX611" s="5" t="s">
        <v>3728</v>
      </c>
      <c r="UUY611" s="17">
        <v>44925</v>
      </c>
      <c r="UUZ611" s="5" t="s">
        <v>3728</v>
      </c>
      <c r="UVA611" s="17">
        <v>44925</v>
      </c>
      <c r="UVB611" s="5" t="s">
        <v>3728</v>
      </c>
      <c r="UVC611" s="17">
        <v>44925</v>
      </c>
      <c r="UVD611" s="5" t="s">
        <v>3728</v>
      </c>
      <c r="UVE611" s="17">
        <v>44925</v>
      </c>
      <c r="UVF611" s="5" t="s">
        <v>3728</v>
      </c>
      <c r="UVG611" s="17">
        <v>44925</v>
      </c>
      <c r="UVH611" s="5" t="s">
        <v>3728</v>
      </c>
      <c r="UVI611" s="17">
        <v>44925</v>
      </c>
      <c r="UVJ611" s="5" t="s">
        <v>3728</v>
      </c>
      <c r="UVK611" s="17">
        <v>44925</v>
      </c>
      <c r="UVL611" s="5" t="s">
        <v>3728</v>
      </c>
      <c r="UVM611" s="17">
        <v>44925</v>
      </c>
      <c r="UVN611" s="5" t="s">
        <v>3728</v>
      </c>
      <c r="UVO611" s="17">
        <v>44925</v>
      </c>
      <c r="UVP611" s="5" t="s">
        <v>3728</v>
      </c>
      <c r="UVQ611" s="17">
        <v>44925</v>
      </c>
      <c r="UVR611" s="5" t="s">
        <v>3728</v>
      </c>
      <c r="UVS611" s="17">
        <v>44925</v>
      </c>
      <c r="UVT611" s="5" t="s">
        <v>3728</v>
      </c>
      <c r="UVU611" s="17">
        <v>44925</v>
      </c>
      <c r="UVV611" s="5" t="s">
        <v>3728</v>
      </c>
      <c r="UVW611" s="17">
        <v>44925</v>
      </c>
      <c r="UVX611" s="5" t="s">
        <v>3728</v>
      </c>
      <c r="UVY611" s="17">
        <v>44925</v>
      </c>
      <c r="UVZ611" s="5" t="s">
        <v>3728</v>
      </c>
      <c r="UWA611" s="17">
        <v>44925</v>
      </c>
      <c r="UWB611" s="5" t="s">
        <v>3728</v>
      </c>
      <c r="UWC611" s="17">
        <v>44925</v>
      </c>
      <c r="UWD611" s="5" t="s">
        <v>3728</v>
      </c>
      <c r="UWE611" s="17">
        <v>44925</v>
      </c>
      <c r="UWF611" s="5" t="s">
        <v>3728</v>
      </c>
      <c r="UWG611" s="17">
        <v>44925</v>
      </c>
      <c r="UWH611" s="5" t="s">
        <v>3728</v>
      </c>
      <c r="UWI611" s="17">
        <v>44925</v>
      </c>
      <c r="UWJ611" s="5" t="s">
        <v>3728</v>
      </c>
      <c r="UWK611" s="17">
        <v>44925</v>
      </c>
      <c r="UWL611" s="5" t="s">
        <v>3728</v>
      </c>
      <c r="UWM611" s="17">
        <v>44925</v>
      </c>
      <c r="UWN611" s="5" t="s">
        <v>3728</v>
      </c>
      <c r="UWO611" s="17">
        <v>44925</v>
      </c>
      <c r="UWP611" s="5" t="s">
        <v>3728</v>
      </c>
      <c r="UWQ611" s="17">
        <v>44925</v>
      </c>
      <c r="UWR611" s="5" t="s">
        <v>3728</v>
      </c>
      <c r="UWS611" s="17">
        <v>44925</v>
      </c>
      <c r="UWT611" s="5" t="s">
        <v>3728</v>
      </c>
      <c r="UWU611" s="17">
        <v>44925</v>
      </c>
      <c r="UWV611" s="5" t="s">
        <v>3728</v>
      </c>
      <c r="UWW611" s="17">
        <v>44925</v>
      </c>
      <c r="UWX611" s="5" t="s">
        <v>3728</v>
      </c>
      <c r="UWY611" s="17">
        <v>44925</v>
      </c>
      <c r="UWZ611" s="5" t="s">
        <v>3728</v>
      </c>
      <c r="UXA611" s="17">
        <v>44925</v>
      </c>
      <c r="UXB611" s="5" t="s">
        <v>3728</v>
      </c>
      <c r="UXC611" s="17">
        <v>44925</v>
      </c>
      <c r="UXD611" s="5" t="s">
        <v>3728</v>
      </c>
      <c r="UXE611" s="17">
        <v>44925</v>
      </c>
      <c r="UXF611" s="5" t="s">
        <v>3728</v>
      </c>
      <c r="UXG611" s="17">
        <v>44925</v>
      </c>
      <c r="UXH611" s="5" t="s">
        <v>3728</v>
      </c>
      <c r="UXI611" s="17">
        <v>44925</v>
      </c>
      <c r="UXJ611" s="5" t="s">
        <v>3728</v>
      </c>
      <c r="UXK611" s="17">
        <v>44925</v>
      </c>
      <c r="UXL611" s="5" t="s">
        <v>3728</v>
      </c>
      <c r="UXM611" s="17">
        <v>44925</v>
      </c>
      <c r="UXN611" s="5" t="s">
        <v>3728</v>
      </c>
      <c r="UXO611" s="17">
        <v>44925</v>
      </c>
      <c r="UXP611" s="5" t="s">
        <v>3728</v>
      </c>
      <c r="UXQ611" s="17">
        <v>44925</v>
      </c>
      <c r="UXR611" s="5" t="s">
        <v>3728</v>
      </c>
      <c r="UXS611" s="17">
        <v>44925</v>
      </c>
      <c r="UXT611" s="5" t="s">
        <v>3728</v>
      </c>
      <c r="UXU611" s="17">
        <v>44925</v>
      </c>
      <c r="UXV611" s="5" t="s">
        <v>3728</v>
      </c>
      <c r="UXW611" s="17">
        <v>44925</v>
      </c>
      <c r="UXX611" s="5" t="s">
        <v>3728</v>
      </c>
      <c r="UXY611" s="17">
        <v>44925</v>
      </c>
      <c r="UXZ611" s="5" t="s">
        <v>3728</v>
      </c>
      <c r="UYA611" s="17">
        <v>44925</v>
      </c>
      <c r="UYB611" s="5" t="s">
        <v>3728</v>
      </c>
      <c r="UYC611" s="17">
        <v>44925</v>
      </c>
      <c r="UYD611" s="5" t="s">
        <v>3728</v>
      </c>
      <c r="UYE611" s="17">
        <v>44925</v>
      </c>
      <c r="UYF611" s="5" t="s">
        <v>3728</v>
      </c>
      <c r="UYG611" s="17">
        <v>44925</v>
      </c>
      <c r="UYH611" s="5" t="s">
        <v>3728</v>
      </c>
      <c r="UYI611" s="17">
        <v>44925</v>
      </c>
      <c r="UYJ611" s="5" t="s">
        <v>3728</v>
      </c>
      <c r="UYK611" s="17">
        <v>44925</v>
      </c>
      <c r="UYL611" s="5" t="s">
        <v>3728</v>
      </c>
      <c r="UYM611" s="17">
        <v>44925</v>
      </c>
      <c r="UYN611" s="5" t="s">
        <v>3728</v>
      </c>
      <c r="UYO611" s="17">
        <v>44925</v>
      </c>
      <c r="UYP611" s="5" t="s">
        <v>3728</v>
      </c>
      <c r="UYQ611" s="17">
        <v>44925</v>
      </c>
      <c r="UYR611" s="5" t="s">
        <v>3728</v>
      </c>
      <c r="UYS611" s="17">
        <v>44925</v>
      </c>
      <c r="UYT611" s="5" t="s">
        <v>3728</v>
      </c>
      <c r="UYU611" s="17">
        <v>44925</v>
      </c>
      <c r="UYV611" s="5" t="s">
        <v>3728</v>
      </c>
      <c r="UYW611" s="17">
        <v>44925</v>
      </c>
      <c r="UYX611" s="5" t="s">
        <v>3728</v>
      </c>
      <c r="UYY611" s="17">
        <v>44925</v>
      </c>
      <c r="UYZ611" s="5" t="s">
        <v>3728</v>
      </c>
      <c r="UZA611" s="17">
        <v>44925</v>
      </c>
      <c r="UZB611" s="5" t="s">
        <v>3728</v>
      </c>
      <c r="UZC611" s="17">
        <v>44925</v>
      </c>
      <c r="UZD611" s="5" t="s">
        <v>3728</v>
      </c>
      <c r="UZE611" s="17">
        <v>44925</v>
      </c>
      <c r="UZF611" s="5" t="s">
        <v>3728</v>
      </c>
      <c r="UZG611" s="17">
        <v>44925</v>
      </c>
      <c r="UZH611" s="5" t="s">
        <v>3728</v>
      </c>
      <c r="UZI611" s="17">
        <v>44925</v>
      </c>
      <c r="UZJ611" s="5" t="s">
        <v>3728</v>
      </c>
      <c r="UZK611" s="17">
        <v>44925</v>
      </c>
      <c r="UZL611" s="5" t="s">
        <v>3728</v>
      </c>
      <c r="UZM611" s="17">
        <v>44925</v>
      </c>
      <c r="UZN611" s="5" t="s">
        <v>3728</v>
      </c>
      <c r="UZO611" s="17">
        <v>44925</v>
      </c>
      <c r="UZP611" s="5" t="s">
        <v>3728</v>
      </c>
      <c r="UZQ611" s="17">
        <v>44925</v>
      </c>
      <c r="UZR611" s="5" t="s">
        <v>3728</v>
      </c>
      <c r="UZS611" s="17">
        <v>44925</v>
      </c>
      <c r="UZT611" s="5" t="s">
        <v>3728</v>
      </c>
      <c r="UZU611" s="17">
        <v>44925</v>
      </c>
      <c r="UZV611" s="5" t="s">
        <v>3728</v>
      </c>
      <c r="UZW611" s="17">
        <v>44925</v>
      </c>
      <c r="UZX611" s="5" t="s">
        <v>3728</v>
      </c>
      <c r="UZY611" s="17">
        <v>44925</v>
      </c>
      <c r="UZZ611" s="5" t="s">
        <v>3728</v>
      </c>
      <c r="VAA611" s="17">
        <v>44925</v>
      </c>
      <c r="VAB611" s="5" t="s">
        <v>3728</v>
      </c>
      <c r="VAC611" s="17">
        <v>44925</v>
      </c>
      <c r="VAD611" s="5" t="s">
        <v>3728</v>
      </c>
      <c r="VAE611" s="17">
        <v>44925</v>
      </c>
      <c r="VAF611" s="5" t="s">
        <v>3728</v>
      </c>
      <c r="VAG611" s="17">
        <v>44925</v>
      </c>
      <c r="VAH611" s="5" t="s">
        <v>3728</v>
      </c>
      <c r="VAI611" s="17">
        <v>44925</v>
      </c>
      <c r="VAJ611" s="5" t="s">
        <v>3728</v>
      </c>
      <c r="VAK611" s="17">
        <v>44925</v>
      </c>
      <c r="VAL611" s="5" t="s">
        <v>3728</v>
      </c>
      <c r="VAM611" s="17">
        <v>44925</v>
      </c>
      <c r="VAN611" s="5" t="s">
        <v>3728</v>
      </c>
      <c r="VAO611" s="17">
        <v>44925</v>
      </c>
      <c r="VAP611" s="5" t="s">
        <v>3728</v>
      </c>
      <c r="VAQ611" s="17">
        <v>44925</v>
      </c>
      <c r="VAR611" s="5" t="s">
        <v>3728</v>
      </c>
      <c r="VAS611" s="17">
        <v>44925</v>
      </c>
      <c r="VAT611" s="5" t="s">
        <v>3728</v>
      </c>
      <c r="VAU611" s="17">
        <v>44925</v>
      </c>
      <c r="VAV611" s="5" t="s">
        <v>3728</v>
      </c>
      <c r="VAW611" s="17">
        <v>44925</v>
      </c>
      <c r="VAX611" s="5" t="s">
        <v>3728</v>
      </c>
      <c r="VAY611" s="17">
        <v>44925</v>
      </c>
      <c r="VAZ611" s="5" t="s">
        <v>3728</v>
      </c>
      <c r="VBA611" s="17">
        <v>44925</v>
      </c>
      <c r="VBB611" s="5" t="s">
        <v>3728</v>
      </c>
      <c r="VBC611" s="17">
        <v>44925</v>
      </c>
      <c r="VBD611" s="5" t="s">
        <v>3728</v>
      </c>
      <c r="VBE611" s="17">
        <v>44925</v>
      </c>
      <c r="VBF611" s="5" t="s">
        <v>3728</v>
      </c>
      <c r="VBG611" s="17">
        <v>44925</v>
      </c>
      <c r="VBH611" s="5" t="s">
        <v>3728</v>
      </c>
      <c r="VBI611" s="17">
        <v>44925</v>
      </c>
      <c r="VBJ611" s="5" t="s">
        <v>3728</v>
      </c>
      <c r="VBK611" s="17">
        <v>44925</v>
      </c>
      <c r="VBL611" s="5" t="s">
        <v>3728</v>
      </c>
      <c r="VBM611" s="17">
        <v>44925</v>
      </c>
      <c r="VBN611" s="5" t="s">
        <v>3728</v>
      </c>
      <c r="VBO611" s="17">
        <v>44925</v>
      </c>
      <c r="VBP611" s="5" t="s">
        <v>3728</v>
      </c>
      <c r="VBQ611" s="17">
        <v>44925</v>
      </c>
      <c r="VBR611" s="5" t="s">
        <v>3728</v>
      </c>
      <c r="VBS611" s="17">
        <v>44925</v>
      </c>
      <c r="VBT611" s="5" t="s">
        <v>3728</v>
      </c>
      <c r="VBU611" s="17">
        <v>44925</v>
      </c>
      <c r="VBV611" s="5" t="s">
        <v>3728</v>
      </c>
      <c r="VBW611" s="17">
        <v>44925</v>
      </c>
      <c r="VBX611" s="5" t="s">
        <v>3728</v>
      </c>
      <c r="VBY611" s="17">
        <v>44925</v>
      </c>
      <c r="VBZ611" s="5" t="s">
        <v>3728</v>
      </c>
      <c r="VCA611" s="17">
        <v>44925</v>
      </c>
      <c r="VCB611" s="5" t="s">
        <v>3728</v>
      </c>
      <c r="VCC611" s="17">
        <v>44925</v>
      </c>
      <c r="VCD611" s="5" t="s">
        <v>3728</v>
      </c>
      <c r="VCE611" s="17">
        <v>44925</v>
      </c>
      <c r="VCF611" s="5" t="s">
        <v>3728</v>
      </c>
      <c r="VCG611" s="17">
        <v>44925</v>
      </c>
      <c r="VCH611" s="5" t="s">
        <v>3728</v>
      </c>
      <c r="VCI611" s="17">
        <v>44925</v>
      </c>
      <c r="VCJ611" s="5" t="s">
        <v>3728</v>
      </c>
      <c r="VCK611" s="17">
        <v>44925</v>
      </c>
      <c r="VCL611" s="5" t="s">
        <v>3728</v>
      </c>
      <c r="VCM611" s="17">
        <v>44925</v>
      </c>
      <c r="VCN611" s="5" t="s">
        <v>3728</v>
      </c>
      <c r="VCO611" s="17">
        <v>44925</v>
      </c>
      <c r="VCP611" s="5" t="s">
        <v>3728</v>
      </c>
      <c r="VCQ611" s="17">
        <v>44925</v>
      </c>
      <c r="VCR611" s="5" t="s">
        <v>3728</v>
      </c>
      <c r="VCS611" s="17">
        <v>44925</v>
      </c>
      <c r="VCT611" s="5" t="s">
        <v>3728</v>
      </c>
      <c r="VCU611" s="17">
        <v>44925</v>
      </c>
      <c r="VCV611" s="5" t="s">
        <v>3728</v>
      </c>
      <c r="VCW611" s="17">
        <v>44925</v>
      </c>
      <c r="VCX611" s="5" t="s">
        <v>3728</v>
      </c>
      <c r="VCY611" s="17">
        <v>44925</v>
      </c>
      <c r="VCZ611" s="5" t="s">
        <v>3728</v>
      </c>
      <c r="VDA611" s="17">
        <v>44925</v>
      </c>
      <c r="VDB611" s="5" t="s">
        <v>3728</v>
      </c>
      <c r="VDC611" s="17">
        <v>44925</v>
      </c>
      <c r="VDD611" s="5" t="s">
        <v>3728</v>
      </c>
      <c r="VDE611" s="17">
        <v>44925</v>
      </c>
      <c r="VDF611" s="5" t="s">
        <v>3728</v>
      </c>
      <c r="VDG611" s="17">
        <v>44925</v>
      </c>
      <c r="VDH611" s="5" t="s">
        <v>3728</v>
      </c>
      <c r="VDI611" s="17">
        <v>44925</v>
      </c>
      <c r="VDJ611" s="5" t="s">
        <v>3728</v>
      </c>
      <c r="VDK611" s="17">
        <v>44925</v>
      </c>
      <c r="VDL611" s="5" t="s">
        <v>3728</v>
      </c>
      <c r="VDM611" s="17">
        <v>44925</v>
      </c>
      <c r="VDN611" s="5" t="s">
        <v>3728</v>
      </c>
      <c r="VDO611" s="17">
        <v>44925</v>
      </c>
      <c r="VDP611" s="5" t="s">
        <v>3728</v>
      </c>
      <c r="VDQ611" s="17">
        <v>44925</v>
      </c>
      <c r="VDR611" s="5" t="s">
        <v>3728</v>
      </c>
      <c r="VDS611" s="17">
        <v>44925</v>
      </c>
      <c r="VDT611" s="5" t="s">
        <v>3728</v>
      </c>
      <c r="VDU611" s="17">
        <v>44925</v>
      </c>
      <c r="VDV611" s="5" t="s">
        <v>3728</v>
      </c>
      <c r="VDW611" s="17">
        <v>44925</v>
      </c>
      <c r="VDX611" s="5" t="s">
        <v>3728</v>
      </c>
      <c r="VDY611" s="17">
        <v>44925</v>
      </c>
      <c r="VDZ611" s="5" t="s">
        <v>3728</v>
      </c>
      <c r="VEA611" s="17">
        <v>44925</v>
      </c>
      <c r="VEB611" s="5" t="s">
        <v>3728</v>
      </c>
      <c r="VEC611" s="17">
        <v>44925</v>
      </c>
      <c r="VED611" s="5" t="s">
        <v>3728</v>
      </c>
      <c r="VEE611" s="17">
        <v>44925</v>
      </c>
      <c r="VEF611" s="5" t="s">
        <v>3728</v>
      </c>
      <c r="VEG611" s="17">
        <v>44925</v>
      </c>
      <c r="VEH611" s="5" t="s">
        <v>3728</v>
      </c>
      <c r="VEI611" s="17">
        <v>44925</v>
      </c>
      <c r="VEJ611" s="5" t="s">
        <v>3728</v>
      </c>
      <c r="VEK611" s="17">
        <v>44925</v>
      </c>
      <c r="VEL611" s="5" t="s">
        <v>3728</v>
      </c>
      <c r="VEM611" s="17">
        <v>44925</v>
      </c>
      <c r="VEN611" s="5" t="s">
        <v>3728</v>
      </c>
      <c r="VEO611" s="17">
        <v>44925</v>
      </c>
      <c r="VEP611" s="5" t="s">
        <v>3728</v>
      </c>
      <c r="VEQ611" s="17">
        <v>44925</v>
      </c>
      <c r="VER611" s="5" t="s">
        <v>3728</v>
      </c>
      <c r="VES611" s="17">
        <v>44925</v>
      </c>
      <c r="VET611" s="5" t="s">
        <v>3728</v>
      </c>
      <c r="VEU611" s="17">
        <v>44925</v>
      </c>
      <c r="VEV611" s="5" t="s">
        <v>3728</v>
      </c>
      <c r="VEW611" s="17">
        <v>44925</v>
      </c>
      <c r="VEX611" s="5" t="s">
        <v>3728</v>
      </c>
      <c r="VEY611" s="17">
        <v>44925</v>
      </c>
      <c r="VEZ611" s="5" t="s">
        <v>3728</v>
      </c>
      <c r="VFA611" s="17">
        <v>44925</v>
      </c>
      <c r="VFB611" s="5" t="s">
        <v>3728</v>
      </c>
      <c r="VFC611" s="17">
        <v>44925</v>
      </c>
      <c r="VFD611" s="5" t="s">
        <v>3728</v>
      </c>
      <c r="VFE611" s="17">
        <v>44925</v>
      </c>
      <c r="VFF611" s="5" t="s">
        <v>3728</v>
      </c>
      <c r="VFG611" s="17">
        <v>44925</v>
      </c>
      <c r="VFH611" s="5" t="s">
        <v>3728</v>
      </c>
      <c r="VFI611" s="17">
        <v>44925</v>
      </c>
      <c r="VFJ611" s="5" t="s">
        <v>3728</v>
      </c>
      <c r="VFK611" s="17">
        <v>44925</v>
      </c>
      <c r="VFL611" s="5" t="s">
        <v>3728</v>
      </c>
      <c r="VFM611" s="17">
        <v>44925</v>
      </c>
      <c r="VFN611" s="5" t="s">
        <v>3728</v>
      </c>
      <c r="VFO611" s="17">
        <v>44925</v>
      </c>
      <c r="VFP611" s="5" t="s">
        <v>3728</v>
      </c>
      <c r="VFQ611" s="17">
        <v>44925</v>
      </c>
      <c r="VFR611" s="5" t="s">
        <v>3728</v>
      </c>
      <c r="VFS611" s="17">
        <v>44925</v>
      </c>
      <c r="VFT611" s="5" t="s">
        <v>3728</v>
      </c>
      <c r="VFU611" s="17">
        <v>44925</v>
      </c>
      <c r="VFV611" s="5" t="s">
        <v>3728</v>
      </c>
      <c r="VFW611" s="17">
        <v>44925</v>
      </c>
      <c r="VFX611" s="5" t="s">
        <v>3728</v>
      </c>
      <c r="VFY611" s="17">
        <v>44925</v>
      </c>
      <c r="VFZ611" s="5" t="s">
        <v>3728</v>
      </c>
      <c r="VGA611" s="17">
        <v>44925</v>
      </c>
      <c r="VGB611" s="5" t="s">
        <v>3728</v>
      </c>
      <c r="VGC611" s="17">
        <v>44925</v>
      </c>
      <c r="VGD611" s="5" t="s">
        <v>3728</v>
      </c>
      <c r="VGE611" s="17">
        <v>44925</v>
      </c>
      <c r="VGF611" s="5" t="s">
        <v>3728</v>
      </c>
      <c r="VGG611" s="17">
        <v>44925</v>
      </c>
      <c r="VGH611" s="5" t="s">
        <v>3728</v>
      </c>
      <c r="VGI611" s="17">
        <v>44925</v>
      </c>
      <c r="VGJ611" s="5" t="s">
        <v>3728</v>
      </c>
      <c r="VGK611" s="17">
        <v>44925</v>
      </c>
      <c r="VGL611" s="5" t="s">
        <v>3728</v>
      </c>
      <c r="VGM611" s="17">
        <v>44925</v>
      </c>
      <c r="VGN611" s="5" t="s">
        <v>3728</v>
      </c>
      <c r="VGO611" s="17">
        <v>44925</v>
      </c>
      <c r="VGP611" s="5" t="s">
        <v>3728</v>
      </c>
      <c r="VGQ611" s="17">
        <v>44925</v>
      </c>
      <c r="VGR611" s="5" t="s">
        <v>3728</v>
      </c>
      <c r="VGS611" s="17">
        <v>44925</v>
      </c>
      <c r="VGT611" s="5" t="s">
        <v>3728</v>
      </c>
      <c r="VGU611" s="17">
        <v>44925</v>
      </c>
      <c r="VGV611" s="5" t="s">
        <v>3728</v>
      </c>
      <c r="VGW611" s="17">
        <v>44925</v>
      </c>
      <c r="VGX611" s="5" t="s">
        <v>3728</v>
      </c>
      <c r="VGY611" s="17">
        <v>44925</v>
      </c>
      <c r="VGZ611" s="5" t="s">
        <v>3728</v>
      </c>
      <c r="VHA611" s="17">
        <v>44925</v>
      </c>
      <c r="VHB611" s="5" t="s">
        <v>3728</v>
      </c>
      <c r="VHC611" s="17">
        <v>44925</v>
      </c>
      <c r="VHD611" s="5" t="s">
        <v>3728</v>
      </c>
      <c r="VHE611" s="17">
        <v>44925</v>
      </c>
      <c r="VHF611" s="5" t="s">
        <v>3728</v>
      </c>
      <c r="VHG611" s="17">
        <v>44925</v>
      </c>
      <c r="VHH611" s="5" t="s">
        <v>3728</v>
      </c>
      <c r="VHI611" s="17">
        <v>44925</v>
      </c>
      <c r="VHJ611" s="5" t="s">
        <v>3728</v>
      </c>
      <c r="VHK611" s="17">
        <v>44925</v>
      </c>
      <c r="VHL611" s="5" t="s">
        <v>3728</v>
      </c>
      <c r="VHM611" s="17">
        <v>44925</v>
      </c>
      <c r="VHN611" s="5" t="s">
        <v>3728</v>
      </c>
      <c r="VHO611" s="17">
        <v>44925</v>
      </c>
      <c r="VHP611" s="5" t="s">
        <v>3728</v>
      </c>
      <c r="VHQ611" s="17">
        <v>44925</v>
      </c>
      <c r="VHR611" s="5" t="s">
        <v>3728</v>
      </c>
      <c r="VHS611" s="17">
        <v>44925</v>
      </c>
      <c r="VHT611" s="5" t="s">
        <v>3728</v>
      </c>
      <c r="VHU611" s="17">
        <v>44925</v>
      </c>
      <c r="VHV611" s="5" t="s">
        <v>3728</v>
      </c>
      <c r="VHW611" s="17">
        <v>44925</v>
      </c>
      <c r="VHX611" s="5" t="s">
        <v>3728</v>
      </c>
      <c r="VHY611" s="17">
        <v>44925</v>
      </c>
      <c r="VHZ611" s="5" t="s">
        <v>3728</v>
      </c>
      <c r="VIA611" s="17">
        <v>44925</v>
      </c>
      <c r="VIB611" s="5" t="s">
        <v>3728</v>
      </c>
      <c r="VIC611" s="17">
        <v>44925</v>
      </c>
      <c r="VID611" s="5" t="s">
        <v>3728</v>
      </c>
      <c r="VIE611" s="17">
        <v>44925</v>
      </c>
      <c r="VIF611" s="5" t="s">
        <v>3728</v>
      </c>
      <c r="VIG611" s="17">
        <v>44925</v>
      </c>
      <c r="VIH611" s="5" t="s">
        <v>3728</v>
      </c>
      <c r="VII611" s="17">
        <v>44925</v>
      </c>
      <c r="VIJ611" s="5" t="s">
        <v>3728</v>
      </c>
      <c r="VIK611" s="17">
        <v>44925</v>
      </c>
      <c r="VIL611" s="5" t="s">
        <v>3728</v>
      </c>
      <c r="VIM611" s="17">
        <v>44925</v>
      </c>
      <c r="VIN611" s="5" t="s">
        <v>3728</v>
      </c>
      <c r="VIO611" s="17">
        <v>44925</v>
      </c>
      <c r="VIP611" s="5" t="s">
        <v>3728</v>
      </c>
      <c r="VIQ611" s="17">
        <v>44925</v>
      </c>
      <c r="VIR611" s="5" t="s">
        <v>3728</v>
      </c>
      <c r="VIS611" s="17">
        <v>44925</v>
      </c>
      <c r="VIT611" s="5" t="s">
        <v>3728</v>
      </c>
      <c r="VIU611" s="17">
        <v>44925</v>
      </c>
      <c r="VIV611" s="5" t="s">
        <v>3728</v>
      </c>
      <c r="VIW611" s="17">
        <v>44925</v>
      </c>
      <c r="VIX611" s="5" t="s">
        <v>3728</v>
      </c>
      <c r="VIY611" s="17">
        <v>44925</v>
      </c>
      <c r="VIZ611" s="5" t="s">
        <v>3728</v>
      </c>
      <c r="VJA611" s="17">
        <v>44925</v>
      </c>
      <c r="VJB611" s="5" t="s">
        <v>3728</v>
      </c>
      <c r="VJC611" s="17">
        <v>44925</v>
      </c>
      <c r="VJD611" s="5" t="s">
        <v>3728</v>
      </c>
      <c r="VJE611" s="17">
        <v>44925</v>
      </c>
      <c r="VJF611" s="5" t="s">
        <v>3728</v>
      </c>
      <c r="VJG611" s="17">
        <v>44925</v>
      </c>
      <c r="VJH611" s="5" t="s">
        <v>3728</v>
      </c>
      <c r="VJI611" s="17">
        <v>44925</v>
      </c>
      <c r="VJJ611" s="5" t="s">
        <v>3728</v>
      </c>
      <c r="VJK611" s="17">
        <v>44925</v>
      </c>
      <c r="VJL611" s="5" t="s">
        <v>3728</v>
      </c>
      <c r="VJM611" s="17">
        <v>44925</v>
      </c>
      <c r="VJN611" s="5" t="s">
        <v>3728</v>
      </c>
      <c r="VJO611" s="17">
        <v>44925</v>
      </c>
      <c r="VJP611" s="5" t="s">
        <v>3728</v>
      </c>
      <c r="VJQ611" s="17">
        <v>44925</v>
      </c>
      <c r="VJR611" s="5" t="s">
        <v>3728</v>
      </c>
      <c r="VJS611" s="17">
        <v>44925</v>
      </c>
      <c r="VJT611" s="5" t="s">
        <v>3728</v>
      </c>
      <c r="VJU611" s="17">
        <v>44925</v>
      </c>
      <c r="VJV611" s="5" t="s">
        <v>3728</v>
      </c>
      <c r="VJW611" s="17">
        <v>44925</v>
      </c>
      <c r="VJX611" s="5" t="s">
        <v>3728</v>
      </c>
      <c r="VJY611" s="17">
        <v>44925</v>
      </c>
      <c r="VJZ611" s="5" t="s">
        <v>3728</v>
      </c>
      <c r="VKA611" s="17">
        <v>44925</v>
      </c>
      <c r="VKB611" s="5" t="s">
        <v>3728</v>
      </c>
      <c r="VKC611" s="17">
        <v>44925</v>
      </c>
      <c r="VKD611" s="5" t="s">
        <v>3728</v>
      </c>
      <c r="VKE611" s="17">
        <v>44925</v>
      </c>
      <c r="VKF611" s="5" t="s">
        <v>3728</v>
      </c>
      <c r="VKG611" s="17">
        <v>44925</v>
      </c>
      <c r="VKH611" s="5" t="s">
        <v>3728</v>
      </c>
      <c r="VKI611" s="17">
        <v>44925</v>
      </c>
      <c r="VKJ611" s="5" t="s">
        <v>3728</v>
      </c>
      <c r="VKK611" s="17">
        <v>44925</v>
      </c>
      <c r="VKL611" s="5" t="s">
        <v>3728</v>
      </c>
      <c r="VKM611" s="17">
        <v>44925</v>
      </c>
      <c r="VKN611" s="5" t="s">
        <v>3728</v>
      </c>
      <c r="VKO611" s="17">
        <v>44925</v>
      </c>
      <c r="VKP611" s="5" t="s">
        <v>3728</v>
      </c>
      <c r="VKQ611" s="17">
        <v>44925</v>
      </c>
      <c r="VKR611" s="5" t="s">
        <v>3728</v>
      </c>
      <c r="VKS611" s="17">
        <v>44925</v>
      </c>
      <c r="VKT611" s="5" t="s">
        <v>3728</v>
      </c>
      <c r="VKU611" s="17">
        <v>44925</v>
      </c>
      <c r="VKV611" s="5" t="s">
        <v>3728</v>
      </c>
      <c r="VKW611" s="17">
        <v>44925</v>
      </c>
      <c r="VKX611" s="5" t="s">
        <v>3728</v>
      </c>
      <c r="VKY611" s="17">
        <v>44925</v>
      </c>
      <c r="VKZ611" s="5" t="s">
        <v>3728</v>
      </c>
      <c r="VLA611" s="17">
        <v>44925</v>
      </c>
      <c r="VLB611" s="5" t="s">
        <v>3728</v>
      </c>
      <c r="VLC611" s="17">
        <v>44925</v>
      </c>
      <c r="VLD611" s="5" t="s">
        <v>3728</v>
      </c>
      <c r="VLE611" s="17">
        <v>44925</v>
      </c>
      <c r="VLF611" s="5" t="s">
        <v>3728</v>
      </c>
      <c r="VLG611" s="17">
        <v>44925</v>
      </c>
      <c r="VLH611" s="5" t="s">
        <v>3728</v>
      </c>
      <c r="VLI611" s="17">
        <v>44925</v>
      </c>
      <c r="VLJ611" s="5" t="s">
        <v>3728</v>
      </c>
      <c r="VLK611" s="17">
        <v>44925</v>
      </c>
      <c r="VLL611" s="5" t="s">
        <v>3728</v>
      </c>
      <c r="VLM611" s="17">
        <v>44925</v>
      </c>
      <c r="VLN611" s="5" t="s">
        <v>3728</v>
      </c>
      <c r="VLO611" s="17">
        <v>44925</v>
      </c>
      <c r="VLP611" s="5" t="s">
        <v>3728</v>
      </c>
      <c r="VLQ611" s="17">
        <v>44925</v>
      </c>
      <c r="VLR611" s="5" t="s">
        <v>3728</v>
      </c>
      <c r="VLS611" s="17">
        <v>44925</v>
      </c>
      <c r="VLT611" s="5" t="s">
        <v>3728</v>
      </c>
      <c r="VLU611" s="17">
        <v>44925</v>
      </c>
      <c r="VLV611" s="5" t="s">
        <v>3728</v>
      </c>
      <c r="VLW611" s="17">
        <v>44925</v>
      </c>
      <c r="VLX611" s="5" t="s">
        <v>3728</v>
      </c>
      <c r="VLY611" s="17">
        <v>44925</v>
      </c>
      <c r="VLZ611" s="5" t="s">
        <v>3728</v>
      </c>
      <c r="VMA611" s="17">
        <v>44925</v>
      </c>
      <c r="VMB611" s="5" t="s">
        <v>3728</v>
      </c>
      <c r="VMC611" s="17">
        <v>44925</v>
      </c>
      <c r="VMD611" s="5" t="s">
        <v>3728</v>
      </c>
      <c r="VME611" s="17">
        <v>44925</v>
      </c>
      <c r="VMF611" s="5" t="s">
        <v>3728</v>
      </c>
      <c r="VMG611" s="17">
        <v>44925</v>
      </c>
      <c r="VMH611" s="5" t="s">
        <v>3728</v>
      </c>
      <c r="VMI611" s="17">
        <v>44925</v>
      </c>
      <c r="VMJ611" s="5" t="s">
        <v>3728</v>
      </c>
      <c r="VMK611" s="17">
        <v>44925</v>
      </c>
      <c r="VML611" s="5" t="s">
        <v>3728</v>
      </c>
      <c r="VMM611" s="17">
        <v>44925</v>
      </c>
      <c r="VMN611" s="5" t="s">
        <v>3728</v>
      </c>
      <c r="VMO611" s="17">
        <v>44925</v>
      </c>
      <c r="VMP611" s="5" t="s">
        <v>3728</v>
      </c>
      <c r="VMQ611" s="17">
        <v>44925</v>
      </c>
      <c r="VMR611" s="5" t="s">
        <v>3728</v>
      </c>
      <c r="VMS611" s="17">
        <v>44925</v>
      </c>
      <c r="VMT611" s="5" t="s">
        <v>3728</v>
      </c>
      <c r="VMU611" s="17">
        <v>44925</v>
      </c>
      <c r="VMV611" s="5" t="s">
        <v>3728</v>
      </c>
      <c r="VMW611" s="17">
        <v>44925</v>
      </c>
      <c r="VMX611" s="5" t="s">
        <v>3728</v>
      </c>
      <c r="VMY611" s="17">
        <v>44925</v>
      </c>
      <c r="VMZ611" s="5" t="s">
        <v>3728</v>
      </c>
      <c r="VNA611" s="17">
        <v>44925</v>
      </c>
      <c r="VNB611" s="5" t="s">
        <v>3728</v>
      </c>
      <c r="VNC611" s="17">
        <v>44925</v>
      </c>
      <c r="VND611" s="5" t="s">
        <v>3728</v>
      </c>
      <c r="VNE611" s="17">
        <v>44925</v>
      </c>
      <c r="VNF611" s="5" t="s">
        <v>3728</v>
      </c>
      <c r="VNG611" s="17">
        <v>44925</v>
      </c>
      <c r="VNH611" s="5" t="s">
        <v>3728</v>
      </c>
      <c r="VNI611" s="17">
        <v>44925</v>
      </c>
      <c r="VNJ611" s="5" t="s">
        <v>3728</v>
      </c>
      <c r="VNK611" s="17">
        <v>44925</v>
      </c>
      <c r="VNL611" s="5" t="s">
        <v>3728</v>
      </c>
      <c r="VNM611" s="17">
        <v>44925</v>
      </c>
      <c r="VNN611" s="5" t="s">
        <v>3728</v>
      </c>
      <c r="VNO611" s="17">
        <v>44925</v>
      </c>
      <c r="VNP611" s="5" t="s">
        <v>3728</v>
      </c>
      <c r="VNQ611" s="17">
        <v>44925</v>
      </c>
      <c r="VNR611" s="5" t="s">
        <v>3728</v>
      </c>
      <c r="VNS611" s="17">
        <v>44925</v>
      </c>
      <c r="VNT611" s="5" t="s">
        <v>3728</v>
      </c>
      <c r="VNU611" s="17">
        <v>44925</v>
      </c>
      <c r="VNV611" s="5" t="s">
        <v>3728</v>
      </c>
      <c r="VNW611" s="17">
        <v>44925</v>
      </c>
      <c r="VNX611" s="5" t="s">
        <v>3728</v>
      </c>
      <c r="VNY611" s="17">
        <v>44925</v>
      </c>
      <c r="VNZ611" s="5" t="s">
        <v>3728</v>
      </c>
      <c r="VOA611" s="17">
        <v>44925</v>
      </c>
      <c r="VOB611" s="5" t="s">
        <v>3728</v>
      </c>
      <c r="VOC611" s="17">
        <v>44925</v>
      </c>
      <c r="VOD611" s="5" t="s">
        <v>3728</v>
      </c>
      <c r="VOE611" s="17">
        <v>44925</v>
      </c>
      <c r="VOF611" s="5" t="s">
        <v>3728</v>
      </c>
      <c r="VOG611" s="17">
        <v>44925</v>
      </c>
      <c r="VOH611" s="5" t="s">
        <v>3728</v>
      </c>
      <c r="VOI611" s="17">
        <v>44925</v>
      </c>
      <c r="VOJ611" s="5" t="s">
        <v>3728</v>
      </c>
      <c r="VOK611" s="17">
        <v>44925</v>
      </c>
      <c r="VOL611" s="5" t="s">
        <v>3728</v>
      </c>
      <c r="VOM611" s="17">
        <v>44925</v>
      </c>
      <c r="VON611" s="5" t="s">
        <v>3728</v>
      </c>
      <c r="VOO611" s="17">
        <v>44925</v>
      </c>
      <c r="VOP611" s="5" t="s">
        <v>3728</v>
      </c>
      <c r="VOQ611" s="17">
        <v>44925</v>
      </c>
      <c r="VOR611" s="5" t="s">
        <v>3728</v>
      </c>
      <c r="VOS611" s="17">
        <v>44925</v>
      </c>
      <c r="VOT611" s="5" t="s">
        <v>3728</v>
      </c>
      <c r="VOU611" s="17">
        <v>44925</v>
      </c>
      <c r="VOV611" s="5" t="s">
        <v>3728</v>
      </c>
      <c r="VOW611" s="17">
        <v>44925</v>
      </c>
      <c r="VOX611" s="5" t="s">
        <v>3728</v>
      </c>
      <c r="VOY611" s="17">
        <v>44925</v>
      </c>
      <c r="VOZ611" s="5" t="s">
        <v>3728</v>
      </c>
      <c r="VPA611" s="17">
        <v>44925</v>
      </c>
      <c r="VPB611" s="5" t="s">
        <v>3728</v>
      </c>
      <c r="VPC611" s="17">
        <v>44925</v>
      </c>
      <c r="VPD611" s="5" t="s">
        <v>3728</v>
      </c>
      <c r="VPE611" s="17">
        <v>44925</v>
      </c>
      <c r="VPF611" s="5" t="s">
        <v>3728</v>
      </c>
      <c r="VPG611" s="17">
        <v>44925</v>
      </c>
      <c r="VPH611" s="5" t="s">
        <v>3728</v>
      </c>
      <c r="VPI611" s="17">
        <v>44925</v>
      </c>
      <c r="VPJ611" s="5" t="s">
        <v>3728</v>
      </c>
      <c r="VPK611" s="17">
        <v>44925</v>
      </c>
      <c r="VPL611" s="5" t="s">
        <v>3728</v>
      </c>
      <c r="VPM611" s="17">
        <v>44925</v>
      </c>
      <c r="VPN611" s="5" t="s">
        <v>3728</v>
      </c>
      <c r="VPO611" s="17">
        <v>44925</v>
      </c>
      <c r="VPP611" s="5" t="s">
        <v>3728</v>
      </c>
      <c r="VPQ611" s="17">
        <v>44925</v>
      </c>
      <c r="VPR611" s="5" t="s">
        <v>3728</v>
      </c>
      <c r="VPS611" s="17">
        <v>44925</v>
      </c>
      <c r="VPT611" s="5" t="s">
        <v>3728</v>
      </c>
      <c r="VPU611" s="17">
        <v>44925</v>
      </c>
      <c r="VPV611" s="5" t="s">
        <v>3728</v>
      </c>
      <c r="VPW611" s="17">
        <v>44925</v>
      </c>
      <c r="VPX611" s="5" t="s">
        <v>3728</v>
      </c>
      <c r="VPY611" s="17">
        <v>44925</v>
      </c>
      <c r="VPZ611" s="5" t="s">
        <v>3728</v>
      </c>
      <c r="VQA611" s="17">
        <v>44925</v>
      </c>
      <c r="VQB611" s="5" t="s">
        <v>3728</v>
      </c>
      <c r="VQC611" s="17">
        <v>44925</v>
      </c>
      <c r="VQD611" s="5" t="s">
        <v>3728</v>
      </c>
      <c r="VQE611" s="17">
        <v>44925</v>
      </c>
      <c r="VQF611" s="5" t="s">
        <v>3728</v>
      </c>
      <c r="VQG611" s="17">
        <v>44925</v>
      </c>
      <c r="VQH611" s="5" t="s">
        <v>3728</v>
      </c>
      <c r="VQI611" s="17">
        <v>44925</v>
      </c>
      <c r="VQJ611" s="5" t="s">
        <v>3728</v>
      </c>
      <c r="VQK611" s="17">
        <v>44925</v>
      </c>
      <c r="VQL611" s="5" t="s">
        <v>3728</v>
      </c>
      <c r="VQM611" s="17">
        <v>44925</v>
      </c>
      <c r="VQN611" s="5" t="s">
        <v>3728</v>
      </c>
      <c r="VQO611" s="17">
        <v>44925</v>
      </c>
      <c r="VQP611" s="5" t="s">
        <v>3728</v>
      </c>
      <c r="VQQ611" s="17">
        <v>44925</v>
      </c>
      <c r="VQR611" s="5" t="s">
        <v>3728</v>
      </c>
      <c r="VQS611" s="17">
        <v>44925</v>
      </c>
      <c r="VQT611" s="5" t="s">
        <v>3728</v>
      </c>
      <c r="VQU611" s="17">
        <v>44925</v>
      </c>
      <c r="VQV611" s="5" t="s">
        <v>3728</v>
      </c>
      <c r="VQW611" s="17">
        <v>44925</v>
      </c>
      <c r="VQX611" s="5" t="s">
        <v>3728</v>
      </c>
      <c r="VQY611" s="17">
        <v>44925</v>
      </c>
      <c r="VQZ611" s="5" t="s">
        <v>3728</v>
      </c>
      <c r="VRA611" s="17">
        <v>44925</v>
      </c>
      <c r="VRB611" s="5" t="s">
        <v>3728</v>
      </c>
      <c r="VRC611" s="17">
        <v>44925</v>
      </c>
      <c r="VRD611" s="5" t="s">
        <v>3728</v>
      </c>
      <c r="VRE611" s="17">
        <v>44925</v>
      </c>
      <c r="VRF611" s="5" t="s">
        <v>3728</v>
      </c>
      <c r="VRG611" s="17">
        <v>44925</v>
      </c>
      <c r="VRH611" s="5" t="s">
        <v>3728</v>
      </c>
      <c r="VRI611" s="17">
        <v>44925</v>
      </c>
      <c r="VRJ611" s="5" t="s">
        <v>3728</v>
      </c>
      <c r="VRK611" s="17">
        <v>44925</v>
      </c>
      <c r="VRL611" s="5" t="s">
        <v>3728</v>
      </c>
      <c r="VRM611" s="17">
        <v>44925</v>
      </c>
      <c r="VRN611" s="5" t="s">
        <v>3728</v>
      </c>
      <c r="VRO611" s="17">
        <v>44925</v>
      </c>
      <c r="VRP611" s="5" t="s">
        <v>3728</v>
      </c>
      <c r="VRQ611" s="17">
        <v>44925</v>
      </c>
      <c r="VRR611" s="5" t="s">
        <v>3728</v>
      </c>
      <c r="VRS611" s="17">
        <v>44925</v>
      </c>
      <c r="VRT611" s="5" t="s">
        <v>3728</v>
      </c>
      <c r="VRU611" s="17">
        <v>44925</v>
      </c>
      <c r="VRV611" s="5" t="s">
        <v>3728</v>
      </c>
      <c r="VRW611" s="17">
        <v>44925</v>
      </c>
      <c r="VRX611" s="5" t="s">
        <v>3728</v>
      </c>
      <c r="VRY611" s="17">
        <v>44925</v>
      </c>
      <c r="VRZ611" s="5" t="s">
        <v>3728</v>
      </c>
      <c r="VSA611" s="17">
        <v>44925</v>
      </c>
      <c r="VSB611" s="5" t="s">
        <v>3728</v>
      </c>
      <c r="VSC611" s="17">
        <v>44925</v>
      </c>
      <c r="VSD611" s="5" t="s">
        <v>3728</v>
      </c>
      <c r="VSE611" s="17">
        <v>44925</v>
      </c>
      <c r="VSF611" s="5" t="s">
        <v>3728</v>
      </c>
      <c r="VSG611" s="17">
        <v>44925</v>
      </c>
      <c r="VSH611" s="5" t="s">
        <v>3728</v>
      </c>
      <c r="VSI611" s="17">
        <v>44925</v>
      </c>
      <c r="VSJ611" s="5" t="s">
        <v>3728</v>
      </c>
      <c r="VSK611" s="17">
        <v>44925</v>
      </c>
      <c r="VSL611" s="5" t="s">
        <v>3728</v>
      </c>
      <c r="VSM611" s="17">
        <v>44925</v>
      </c>
      <c r="VSN611" s="5" t="s">
        <v>3728</v>
      </c>
      <c r="VSO611" s="17">
        <v>44925</v>
      </c>
      <c r="VSP611" s="5" t="s">
        <v>3728</v>
      </c>
      <c r="VSQ611" s="17">
        <v>44925</v>
      </c>
      <c r="VSR611" s="5" t="s">
        <v>3728</v>
      </c>
      <c r="VSS611" s="17">
        <v>44925</v>
      </c>
      <c r="VST611" s="5" t="s">
        <v>3728</v>
      </c>
      <c r="VSU611" s="17">
        <v>44925</v>
      </c>
      <c r="VSV611" s="5" t="s">
        <v>3728</v>
      </c>
      <c r="VSW611" s="17">
        <v>44925</v>
      </c>
      <c r="VSX611" s="5" t="s">
        <v>3728</v>
      </c>
      <c r="VSY611" s="17">
        <v>44925</v>
      </c>
      <c r="VSZ611" s="5" t="s">
        <v>3728</v>
      </c>
      <c r="VTA611" s="17">
        <v>44925</v>
      </c>
      <c r="VTB611" s="5" t="s">
        <v>3728</v>
      </c>
      <c r="VTC611" s="17">
        <v>44925</v>
      </c>
      <c r="VTD611" s="5" t="s">
        <v>3728</v>
      </c>
      <c r="VTE611" s="17">
        <v>44925</v>
      </c>
      <c r="VTF611" s="5" t="s">
        <v>3728</v>
      </c>
      <c r="VTG611" s="17">
        <v>44925</v>
      </c>
      <c r="VTH611" s="5" t="s">
        <v>3728</v>
      </c>
      <c r="VTI611" s="17">
        <v>44925</v>
      </c>
      <c r="VTJ611" s="5" t="s">
        <v>3728</v>
      </c>
      <c r="VTK611" s="17">
        <v>44925</v>
      </c>
      <c r="VTL611" s="5" t="s">
        <v>3728</v>
      </c>
      <c r="VTM611" s="17">
        <v>44925</v>
      </c>
      <c r="VTN611" s="5" t="s">
        <v>3728</v>
      </c>
      <c r="VTO611" s="17">
        <v>44925</v>
      </c>
      <c r="VTP611" s="5" t="s">
        <v>3728</v>
      </c>
      <c r="VTQ611" s="17">
        <v>44925</v>
      </c>
      <c r="VTR611" s="5" t="s">
        <v>3728</v>
      </c>
      <c r="VTS611" s="17">
        <v>44925</v>
      </c>
      <c r="VTT611" s="5" t="s">
        <v>3728</v>
      </c>
      <c r="VTU611" s="17">
        <v>44925</v>
      </c>
      <c r="VTV611" s="5" t="s">
        <v>3728</v>
      </c>
      <c r="VTW611" s="17">
        <v>44925</v>
      </c>
      <c r="VTX611" s="5" t="s">
        <v>3728</v>
      </c>
      <c r="VTY611" s="17">
        <v>44925</v>
      </c>
      <c r="VTZ611" s="5" t="s">
        <v>3728</v>
      </c>
      <c r="VUA611" s="17">
        <v>44925</v>
      </c>
      <c r="VUB611" s="5" t="s">
        <v>3728</v>
      </c>
      <c r="VUC611" s="17">
        <v>44925</v>
      </c>
      <c r="VUD611" s="5" t="s">
        <v>3728</v>
      </c>
      <c r="VUE611" s="17">
        <v>44925</v>
      </c>
      <c r="VUF611" s="5" t="s">
        <v>3728</v>
      </c>
      <c r="VUG611" s="17">
        <v>44925</v>
      </c>
      <c r="VUH611" s="5" t="s">
        <v>3728</v>
      </c>
      <c r="VUI611" s="17">
        <v>44925</v>
      </c>
      <c r="VUJ611" s="5" t="s">
        <v>3728</v>
      </c>
      <c r="VUK611" s="17">
        <v>44925</v>
      </c>
      <c r="VUL611" s="5" t="s">
        <v>3728</v>
      </c>
      <c r="VUM611" s="17">
        <v>44925</v>
      </c>
      <c r="VUN611" s="5" t="s">
        <v>3728</v>
      </c>
      <c r="VUO611" s="17">
        <v>44925</v>
      </c>
      <c r="VUP611" s="5" t="s">
        <v>3728</v>
      </c>
      <c r="VUQ611" s="17">
        <v>44925</v>
      </c>
      <c r="VUR611" s="5" t="s">
        <v>3728</v>
      </c>
      <c r="VUS611" s="17">
        <v>44925</v>
      </c>
      <c r="VUT611" s="5" t="s">
        <v>3728</v>
      </c>
      <c r="VUU611" s="17">
        <v>44925</v>
      </c>
      <c r="VUV611" s="5" t="s">
        <v>3728</v>
      </c>
      <c r="VUW611" s="17">
        <v>44925</v>
      </c>
      <c r="VUX611" s="5" t="s">
        <v>3728</v>
      </c>
      <c r="VUY611" s="17">
        <v>44925</v>
      </c>
      <c r="VUZ611" s="5" t="s">
        <v>3728</v>
      </c>
      <c r="VVA611" s="17">
        <v>44925</v>
      </c>
      <c r="VVB611" s="5" t="s">
        <v>3728</v>
      </c>
      <c r="VVC611" s="17">
        <v>44925</v>
      </c>
      <c r="VVD611" s="5" t="s">
        <v>3728</v>
      </c>
      <c r="VVE611" s="17">
        <v>44925</v>
      </c>
      <c r="VVF611" s="5" t="s">
        <v>3728</v>
      </c>
      <c r="VVG611" s="17">
        <v>44925</v>
      </c>
      <c r="VVH611" s="5" t="s">
        <v>3728</v>
      </c>
      <c r="VVI611" s="17">
        <v>44925</v>
      </c>
      <c r="VVJ611" s="5" t="s">
        <v>3728</v>
      </c>
      <c r="VVK611" s="17">
        <v>44925</v>
      </c>
      <c r="VVL611" s="5" t="s">
        <v>3728</v>
      </c>
      <c r="VVM611" s="17">
        <v>44925</v>
      </c>
      <c r="VVN611" s="5" t="s">
        <v>3728</v>
      </c>
      <c r="VVO611" s="17">
        <v>44925</v>
      </c>
      <c r="VVP611" s="5" t="s">
        <v>3728</v>
      </c>
      <c r="VVQ611" s="17">
        <v>44925</v>
      </c>
      <c r="VVR611" s="5" t="s">
        <v>3728</v>
      </c>
      <c r="VVS611" s="17">
        <v>44925</v>
      </c>
      <c r="VVT611" s="5" t="s">
        <v>3728</v>
      </c>
      <c r="VVU611" s="17">
        <v>44925</v>
      </c>
      <c r="VVV611" s="5" t="s">
        <v>3728</v>
      </c>
      <c r="VVW611" s="17">
        <v>44925</v>
      </c>
      <c r="VVX611" s="5" t="s">
        <v>3728</v>
      </c>
      <c r="VVY611" s="17">
        <v>44925</v>
      </c>
      <c r="VVZ611" s="5" t="s">
        <v>3728</v>
      </c>
      <c r="VWA611" s="17">
        <v>44925</v>
      </c>
      <c r="VWB611" s="5" t="s">
        <v>3728</v>
      </c>
      <c r="VWC611" s="17">
        <v>44925</v>
      </c>
      <c r="VWD611" s="5" t="s">
        <v>3728</v>
      </c>
      <c r="VWE611" s="17">
        <v>44925</v>
      </c>
      <c r="VWF611" s="5" t="s">
        <v>3728</v>
      </c>
      <c r="VWG611" s="17">
        <v>44925</v>
      </c>
      <c r="VWH611" s="5" t="s">
        <v>3728</v>
      </c>
      <c r="VWI611" s="17">
        <v>44925</v>
      </c>
      <c r="VWJ611" s="5" t="s">
        <v>3728</v>
      </c>
      <c r="VWK611" s="17">
        <v>44925</v>
      </c>
      <c r="VWL611" s="5" t="s">
        <v>3728</v>
      </c>
      <c r="VWM611" s="17">
        <v>44925</v>
      </c>
      <c r="VWN611" s="5" t="s">
        <v>3728</v>
      </c>
      <c r="VWO611" s="17">
        <v>44925</v>
      </c>
      <c r="VWP611" s="5" t="s">
        <v>3728</v>
      </c>
      <c r="VWQ611" s="17">
        <v>44925</v>
      </c>
      <c r="VWR611" s="5" t="s">
        <v>3728</v>
      </c>
      <c r="VWS611" s="17">
        <v>44925</v>
      </c>
      <c r="VWT611" s="5" t="s">
        <v>3728</v>
      </c>
      <c r="VWU611" s="17">
        <v>44925</v>
      </c>
      <c r="VWV611" s="5" t="s">
        <v>3728</v>
      </c>
      <c r="VWW611" s="17">
        <v>44925</v>
      </c>
      <c r="VWX611" s="5" t="s">
        <v>3728</v>
      </c>
      <c r="VWY611" s="17">
        <v>44925</v>
      </c>
      <c r="VWZ611" s="5" t="s">
        <v>3728</v>
      </c>
      <c r="VXA611" s="17">
        <v>44925</v>
      </c>
      <c r="VXB611" s="5" t="s">
        <v>3728</v>
      </c>
      <c r="VXC611" s="17">
        <v>44925</v>
      </c>
      <c r="VXD611" s="5" t="s">
        <v>3728</v>
      </c>
      <c r="VXE611" s="17">
        <v>44925</v>
      </c>
      <c r="VXF611" s="5" t="s">
        <v>3728</v>
      </c>
      <c r="VXG611" s="17">
        <v>44925</v>
      </c>
      <c r="VXH611" s="5" t="s">
        <v>3728</v>
      </c>
      <c r="VXI611" s="17">
        <v>44925</v>
      </c>
      <c r="VXJ611" s="5" t="s">
        <v>3728</v>
      </c>
      <c r="VXK611" s="17">
        <v>44925</v>
      </c>
      <c r="VXL611" s="5" t="s">
        <v>3728</v>
      </c>
      <c r="VXM611" s="17">
        <v>44925</v>
      </c>
      <c r="VXN611" s="5" t="s">
        <v>3728</v>
      </c>
      <c r="VXO611" s="17">
        <v>44925</v>
      </c>
      <c r="VXP611" s="5" t="s">
        <v>3728</v>
      </c>
      <c r="VXQ611" s="17">
        <v>44925</v>
      </c>
      <c r="VXR611" s="5" t="s">
        <v>3728</v>
      </c>
      <c r="VXS611" s="17">
        <v>44925</v>
      </c>
      <c r="VXT611" s="5" t="s">
        <v>3728</v>
      </c>
      <c r="VXU611" s="17">
        <v>44925</v>
      </c>
      <c r="VXV611" s="5" t="s">
        <v>3728</v>
      </c>
      <c r="VXW611" s="17">
        <v>44925</v>
      </c>
      <c r="VXX611" s="5" t="s">
        <v>3728</v>
      </c>
      <c r="VXY611" s="17">
        <v>44925</v>
      </c>
      <c r="VXZ611" s="5" t="s">
        <v>3728</v>
      </c>
      <c r="VYA611" s="17">
        <v>44925</v>
      </c>
      <c r="VYB611" s="5" t="s">
        <v>3728</v>
      </c>
      <c r="VYC611" s="17">
        <v>44925</v>
      </c>
      <c r="VYD611" s="5" t="s">
        <v>3728</v>
      </c>
      <c r="VYE611" s="17">
        <v>44925</v>
      </c>
      <c r="VYF611" s="5" t="s">
        <v>3728</v>
      </c>
      <c r="VYG611" s="17">
        <v>44925</v>
      </c>
      <c r="VYH611" s="5" t="s">
        <v>3728</v>
      </c>
      <c r="VYI611" s="17">
        <v>44925</v>
      </c>
      <c r="VYJ611" s="5" t="s">
        <v>3728</v>
      </c>
      <c r="VYK611" s="17">
        <v>44925</v>
      </c>
      <c r="VYL611" s="5" t="s">
        <v>3728</v>
      </c>
      <c r="VYM611" s="17">
        <v>44925</v>
      </c>
      <c r="VYN611" s="5" t="s">
        <v>3728</v>
      </c>
      <c r="VYO611" s="17">
        <v>44925</v>
      </c>
      <c r="VYP611" s="5" t="s">
        <v>3728</v>
      </c>
      <c r="VYQ611" s="17">
        <v>44925</v>
      </c>
      <c r="VYR611" s="5" t="s">
        <v>3728</v>
      </c>
      <c r="VYS611" s="17">
        <v>44925</v>
      </c>
      <c r="VYT611" s="5" t="s">
        <v>3728</v>
      </c>
      <c r="VYU611" s="17">
        <v>44925</v>
      </c>
      <c r="VYV611" s="5" t="s">
        <v>3728</v>
      </c>
      <c r="VYW611" s="17">
        <v>44925</v>
      </c>
      <c r="VYX611" s="5" t="s">
        <v>3728</v>
      </c>
      <c r="VYY611" s="17">
        <v>44925</v>
      </c>
      <c r="VYZ611" s="5" t="s">
        <v>3728</v>
      </c>
      <c r="VZA611" s="17">
        <v>44925</v>
      </c>
      <c r="VZB611" s="5" t="s">
        <v>3728</v>
      </c>
      <c r="VZC611" s="17">
        <v>44925</v>
      </c>
      <c r="VZD611" s="5" t="s">
        <v>3728</v>
      </c>
      <c r="VZE611" s="17">
        <v>44925</v>
      </c>
      <c r="VZF611" s="5" t="s">
        <v>3728</v>
      </c>
      <c r="VZG611" s="17">
        <v>44925</v>
      </c>
      <c r="VZH611" s="5" t="s">
        <v>3728</v>
      </c>
      <c r="VZI611" s="17">
        <v>44925</v>
      </c>
      <c r="VZJ611" s="5" t="s">
        <v>3728</v>
      </c>
      <c r="VZK611" s="17">
        <v>44925</v>
      </c>
      <c r="VZL611" s="5" t="s">
        <v>3728</v>
      </c>
      <c r="VZM611" s="17">
        <v>44925</v>
      </c>
      <c r="VZN611" s="5" t="s">
        <v>3728</v>
      </c>
      <c r="VZO611" s="17">
        <v>44925</v>
      </c>
      <c r="VZP611" s="5" t="s">
        <v>3728</v>
      </c>
      <c r="VZQ611" s="17">
        <v>44925</v>
      </c>
      <c r="VZR611" s="5" t="s">
        <v>3728</v>
      </c>
      <c r="VZS611" s="17">
        <v>44925</v>
      </c>
      <c r="VZT611" s="5" t="s">
        <v>3728</v>
      </c>
      <c r="VZU611" s="17">
        <v>44925</v>
      </c>
      <c r="VZV611" s="5" t="s">
        <v>3728</v>
      </c>
      <c r="VZW611" s="17">
        <v>44925</v>
      </c>
      <c r="VZX611" s="5" t="s">
        <v>3728</v>
      </c>
      <c r="VZY611" s="17">
        <v>44925</v>
      </c>
      <c r="VZZ611" s="5" t="s">
        <v>3728</v>
      </c>
      <c r="WAA611" s="17">
        <v>44925</v>
      </c>
      <c r="WAB611" s="5" t="s">
        <v>3728</v>
      </c>
      <c r="WAC611" s="17">
        <v>44925</v>
      </c>
      <c r="WAD611" s="5" t="s">
        <v>3728</v>
      </c>
      <c r="WAE611" s="17">
        <v>44925</v>
      </c>
      <c r="WAF611" s="5" t="s">
        <v>3728</v>
      </c>
      <c r="WAG611" s="17">
        <v>44925</v>
      </c>
      <c r="WAH611" s="5" t="s">
        <v>3728</v>
      </c>
      <c r="WAI611" s="17">
        <v>44925</v>
      </c>
      <c r="WAJ611" s="5" t="s">
        <v>3728</v>
      </c>
      <c r="WAK611" s="17">
        <v>44925</v>
      </c>
      <c r="WAL611" s="5" t="s">
        <v>3728</v>
      </c>
      <c r="WAM611" s="17">
        <v>44925</v>
      </c>
      <c r="WAN611" s="5" t="s">
        <v>3728</v>
      </c>
      <c r="WAO611" s="17">
        <v>44925</v>
      </c>
      <c r="WAP611" s="5" t="s">
        <v>3728</v>
      </c>
      <c r="WAQ611" s="17">
        <v>44925</v>
      </c>
      <c r="WAR611" s="5" t="s">
        <v>3728</v>
      </c>
      <c r="WAS611" s="17">
        <v>44925</v>
      </c>
      <c r="WAT611" s="5" t="s">
        <v>3728</v>
      </c>
      <c r="WAU611" s="17">
        <v>44925</v>
      </c>
      <c r="WAV611" s="5" t="s">
        <v>3728</v>
      </c>
      <c r="WAW611" s="17">
        <v>44925</v>
      </c>
      <c r="WAX611" s="5" t="s">
        <v>3728</v>
      </c>
      <c r="WAY611" s="17">
        <v>44925</v>
      </c>
      <c r="WAZ611" s="5" t="s">
        <v>3728</v>
      </c>
      <c r="WBA611" s="17">
        <v>44925</v>
      </c>
      <c r="WBB611" s="5" t="s">
        <v>3728</v>
      </c>
      <c r="WBC611" s="17">
        <v>44925</v>
      </c>
      <c r="WBD611" s="5" t="s">
        <v>3728</v>
      </c>
      <c r="WBE611" s="17">
        <v>44925</v>
      </c>
      <c r="WBF611" s="5" t="s">
        <v>3728</v>
      </c>
      <c r="WBG611" s="17">
        <v>44925</v>
      </c>
      <c r="WBH611" s="5" t="s">
        <v>3728</v>
      </c>
      <c r="WBI611" s="17">
        <v>44925</v>
      </c>
      <c r="WBJ611" s="5" t="s">
        <v>3728</v>
      </c>
      <c r="WBK611" s="17">
        <v>44925</v>
      </c>
      <c r="WBL611" s="5" t="s">
        <v>3728</v>
      </c>
      <c r="WBM611" s="17">
        <v>44925</v>
      </c>
      <c r="WBN611" s="5" t="s">
        <v>3728</v>
      </c>
      <c r="WBO611" s="17">
        <v>44925</v>
      </c>
      <c r="WBP611" s="5" t="s">
        <v>3728</v>
      </c>
      <c r="WBQ611" s="17">
        <v>44925</v>
      </c>
      <c r="WBR611" s="5" t="s">
        <v>3728</v>
      </c>
      <c r="WBS611" s="17">
        <v>44925</v>
      </c>
      <c r="WBT611" s="5" t="s">
        <v>3728</v>
      </c>
      <c r="WBU611" s="17">
        <v>44925</v>
      </c>
      <c r="WBV611" s="5" t="s">
        <v>3728</v>
      </c>
      <c r="WBW611" s="17">
        <v>44925</v>
      </c>
      <c r="WBX611" s="5" t="s">
        <v>3728</v>
      </c>
      <c r="WBY611" s="17">
        <v>44925</v>
      </c>
      <c r="WBZ611" s="5" t="s">
        <v>3728</v>
      </c>
      <c r="WCA611" s="17">
        <v>44925</v>
      </c>
      <c r="WCB611" s="5" t="s">
        <v>3728</v>
      </c>
      <c r="WCC611" s="17">
        <v>44925</v>
      </c>
      <c r="WCD611" s="5" t="s">
        <v>3728</v>
      </c>
      <c r="WCE611" s="17">
        <v>44925</v>
      </c>
      <c r="WCF611" s="5" t="s">
        <v>3728</v>
      </c>
      <c r="WCG611" s="17">
        <v>44925</v>
      </c>
      <c r="WCH611" s="5" t="s">
        <v>3728</v>
      </c>
      <c r="WCI611" s="17">
        <v>44925</v>
      </c>
      <c r="WCJ611" s="5" t="s">
        <v>3728</v>
      </c>
      <c r="WCK611" s="17">
        <v>44925</v>
      </c>
      <c r="WCL611" s="5" t="s">
        <v>3728</v>
      </c>
      <c r="WCM611" s="17">
        <v>44925</v>
      </c>
      <c r="WCN611" s="5" t="s">
        <v>3728</v>
      </c>
      <c r="WCO611" s="17">
        <v>44925</v>
      </c>
      <c r="WCP611" s="5" t="s">
        <v>3728</v>
      </c>
      <c r="WCQ611" s="17">
        <v>44925</v>
      </c>
      <c r="WCR611" s="5" t="s">
        <v>3728</v>
      </c>
      <c r="WCS611" s="17">
        <v>44925</v>
      </c>
      <c r="WCT611" s="5" t="s">
        <v>3728</v>
      </c>
      <c r="WCU611" s="17">
        <v>44925</v>
      </c>
      <c r="WCV611" s="5" t="s">
        <v>3728</v>
      </c>
      <c r="WCW611" s="17">
        <v>44925</v>
      </c>
      <c r="WCX611" s="5" t="s">
        <v>3728</v>
      </c>
      <c r="WCY611" s="17">
        <v>44925</v>
      </c>
      <c r="WCZ611" s="5" t="s">
        <v>3728</v>
      </c>
      <c r="WDA611" s="17">
        <v>44925</v>
      </c>
      <c r="WDB611" s="5" t="s">
        <v>3728</v>
      </c>
      <c r="WDC611" s="17">
        <v>44925</v>
      </c>
      <c r="WDD611" s="5" t="s">
        <v>3728</v>
      </c>
      <c r="WDE611" s="17">
        <v>44925</v>
      </c>
      <c r="WDF611" s="5" t="s">
        <v>3728</v>
      </c>
      <c r="WDG611" s="17">
        <v>44925</v>
      </c>
      <c r="WDH611" s="5" t="s">
        <v>3728</v>
      </c>
      <c r="WDI611" s="17">
        <v>44925</v>
      </c>
      <c r="WDJ611" s="5" t="s">
        <v>3728</v>
      </c>
      <c r="WDK611" s="17">
        <v>44925</v>
      </c>
      <c r="WDL611" s="5" t="s">
        <v>3728</v>
      </c>
      <c r="WDM611" s="17">
        <v>44925</v>
      </c>
      <c r="WDN611" s="5" t="s">
        <v>3728</v>
      </c>
      <c r="WDO611" s="17">
        <v>44925</v>
      </c>
      <c r="WDP611" s="5" t="s">
        <v>3728</v>
      </c>
      <c r="WDQ611" s="17">
        <v>44925</v>
      </c>
      <c r="WDR611" s="5" t="s">
        <v>3728</v>
      </c>
      <c r="WDS611" s="17">
        <v>44925</v>
      </c>
      <c r="WDT611" s="5" t="s">
        <v>3728</v>
      </c>
      <c r="WDU611" s="17">
        <v>44925</v>
      </c>
      <c r="WDV611" s="5" t="s">
        <v>3728</v>
      </c>
      <c r="WDW611" s="17">
        <v>44925</v>
      </c>
      <c r="WDX611" s="5" t="s">
        <v>3728</v>
      </c>
      <c r="WDY611" s="17">
        <v>44925</v>
      </c>
      <c r="WDZ611" s="5" t="s">
        <v>3728</v>
      </c>
      <c r="WEA611" s="17">
        <v>44925</v>
      </c>
      <c r="WEB611" s="5" t="s">
        <v>3728</v>
      </c>
      <c r="WEC611" s="17">
        <v>44925</v>
      </c>
      <c r="WED611" s="5" t="s">
        <v>3728</v>
      </c>
      <c r="WEE611" s="17">
        <v>44925</v>
      </c>
      <c r="WEF611" s="5" t="s">
        <v>3728</v>
      </c>
      <c r="WEG611" s="17">
        <v>44925</v>
      </c>
      <c r="WEH611" s="5" t="s">
        <v>3728</v>
      </c>
      <c r="WEI611" s="17">
        <v>44925</v>
      </c>
      <c r="WEJ611" s="5" t="s">
        <v>3728</v>
      </c>
      <c r="WEK611" s="17">
        <v>44925</v>
      </c>
      <c r="WEL611" s="5" t="s">
        <v>3728</v>
      </c>
      <c r="WEM611" s="17">
        <v>44925</v>
      </c>
      <c r="WEN611" s="5" t="s">
        <v>3728</v>
      </c>
      <c r="WEO611" s="17">
        <v>44925</v>
      </c>
      <c r="WEP611" s="5" t="s">
        <v>3728</v>
      </c>
      <c r="WEQ611" s="17">
        <v>44925</v>
      </c>
      <c r="WER611" s="5" t="s">
        <v>3728</v>
      </c>
      <c r="WES611" s="17">
        <v>44925</v>
      </c>
      <c r="WET611" s="5" t="s">
        <v>3728</v>
      </c>
      <c r="WEU611" s="17">
        <v>44925</v>
      </c>
      <c r="WEV611" s="5" t="s">
        <v>3728</v>
      </c>
      <c r="WEW611" s="17">
        <v>44925</v>
      </c>
      <c r="WEX611" s="5" t="s">
        <v>3728</v>
      </c>
      <c r="WEY611" s="17">
        <v>44925</v>
      </c>
      <c r="WEZ611" s="5" t="s">
        <v>3728</v>
      </c>
      <c r="WFA611" s="17">
        <v>44925</v>
      </c>
      <c r="WFB611" s="5" t="s">
        <v>3728</v>
      </c>
      <c r="WFC611" s="17">
        <v>44925</v>
      </c>
      <c r="WFD611" s="5" t="s">
        <v>3728</v>
      </c>
      <c r="WFE611" s="17">
        <v>44925</v>
      </c>
      <c r="WFF611" s="5" t="s">
        <v>3728</v>
      </c>
      <c r="WFG611" s="17">
        <v>44925</v>
      </c>
      <c r="WFH611" s="5" t="s">
        <v>3728</v>
      </c>
      <c r="WFI611" s="17">
        <v>44925</v>
      </c>
      <c r="WFJ611" s="5" t="s">
        <v>3728</v>
      </c>
      <c r="WFK611" s="17">
        <v>44925</v>
      </c>
      <c r="WFL611" s="5" t="s">
        <v>3728</v>
      </c>
      <c r="WFM611" s="17">
        <v>44925</v>
      </c>
      <c r="WFN611" s="5" t="s">
        <v>3728</v>
      </c>
      <c r="WFO611" s="17">
        <v>44925</v>
      </c>
      <c r="WFP611" s="5" t="s">
        <v>3728</v>
      </c>
      <c r="WFQ611" s="17">
        <v>44925</v>
      </c>
      <c r="WFR611" s="5" t="s">
        <v>3728</v>
      </c>
      <c r="WFS611" s="17">
        <v>44925</v>
      </c>
      <c r="WFT611" s="5" t="s">
        <v>3728</v>
      </c>
      <c r="WFU611" s="17">
        <v>44925</v>
      </c>
      <c r="WFV611" s="5" t="s">
        <v>3728</v>
      </c>
      <c r="WFW611" s="17">
        <v>44925</v>
      </c>
      <c r="WFX611" s="5" t="s">
        <v>3728</v>
      </c>
      <c r="WFY611" s="17">
        <v>44925</v>
      </c>
      <c r="WFZ611" s="5" t="s">
        <v>3728</v>
      </c>
      <c r="WGA611" s="17">
        <v>44925</v>
      </c>
      <c r="WGB611" s="5" t="s">
        <v>3728</v>
      </c>
      <c r="WGC611" s="17">
        <v>44925</v>
      </c>
      <c r="WGD611" s="5" t="s">
        <v>3728</v>
      </c>
      <c r="WGE611" s="17">
        <v>44925</v>
      </c>
      <c r="WGF611" s="5" t="s">
        <v>3728</v>
      </c>
      <c r="WGG611" s="17">
        <v>44925</v>
      </c>
      <c r="WGH611" s="5" t="s">
        <v>3728</v>
      </c>
      <c r="WGI611" s="17">
        <v>44925</v>
      </c>
      <c r="WGJ611" s="5" t="s">
        <v>3728</v>
      </c>
      <c r="WGK611" s="17">
        <v>44925</v>
      </c>
      <c r="WGL611" s="5" t="s">
        <v>3728</v>
      </c>
      <c r="WGM611" s="17">
        <v>44925</v>
      </c>
      <c r="WGN611" s="5" t="s">
        <v>3728</v>
      </c>
      <c r="WGO611" s="17">
        <v>44925</v>
      </c>
      <c r="WGP611" s="5" t="s">
        <v>3728</v>
      </c>
      <c r="WGQ611" s="17">
        <v>44925</v>
      </c>
      <c r="WGR611" s="5" t="s">
        <v>3728</v>
      </c>
      <c r="WGS611" s="17">
        <v>44925</v>
      </c>
      <c r="WGT611" s="5" t="s">
        <v>3728</v>
      </c>
      <c r="WGU611" s="17">
        <v>44925</v>
      </c>
      <c r="WGV611" s="5" t="s">
        <v>3728</v>
      </c>
      <c r="WGW611" s="17">
        <v>44925</v>
      </c>
      <c r="WGX611" s="5" t="s">
        <v>3728</v>
      </c>
      <c r="WGY611" s="17">
        <v>44925</v>
      </c>
      <c r="WGZ611" s="5" t="s">
        <v>3728</v>
      </c>
      <c r="WHA611" s="17">
        <v>44925</v>
      </c>
      <c r="WHB611" s="5" t="s">
        <v>3728</v>
      </c>
      <c r="WHC611" s="17">
        <v>44925</v>
      </c>
      <c r="WHD611" s="5" t="s">
        <v>3728</v>
      </c>
      <c r="WHE611" s="17">
        <v>44925</v>
      </c>
      <c r="WHF611" s="5" t="s">
        <v>3728</v>
      </c>
      <c r="WHG611" s="17">
        <v>44925</v>
      </c>
      <c r="WHH611" s="5" t="s">
        <v>3728</v>
      </c>
      <c r="WHI611" s="17">
        <v>44925</v>
      </c>
      <c r="WHJ611" s="5" t="s">
        <v>3728</v>
      </c>
      <c r="WHK611" s="17">
        <v>44925</v>
      </c>
      <c r="WHL611" s="5" t="s">
        <v>3728</v>
      </c>
      <c r="WHM611" s="17">
        <v>44925</v>
      </c>
      <c r="WHN611" s="5" t="s">
        <v>3728</v>
      </c>
      <c r="WHO611" s="17">
        <v>44925</v>
      </c>
      <c r="WHP611" s="5" t="s">
        <v>3728</v>
      </c>
      <c r="WHQ611" s="17">
        <v>44925</v>
      </c>
      <c r="WHR611" s="5" t="s">
        <v>3728</v>
      </c>
      <c r="WHS611" s="17">
        <v>44925</v>
      </c>
      <c r="WHT611" s="5" t="s">
        <v>3728</v>
      </c>
      <c r="WHU611" s="17">
        <v>44925</v>
      </c>
      <c r="WHV611" s="5" t="s">
        <v>3728</v>
      </c>
      <c r="WHW611" s="17">
        <v>44925</v>
      </c>
      <c r="WHX611" s="5" t="s">
        <v>3728</v>
      </c>
      <c r="WHY611" s="17">
        <v>44925</v>
      </c>
      <c r="WHZ611" s="5" t="s">
        <v>3728</v>
      </c>
      <c r="WIA611" s="17">
        <v>44925</v>
      </c>
      <c r="WIB611" s="5" t="s">
        <v>3728</v>
      </c>
      <c r="WIC611" s="17">
        <v>44925</v>
      </c>
      <c r="WID611" s="5" t="s">
        <v>3728</v>
      </c>
      <c r="WIE611" s="17">
        <v>44925</v>
      </c>
      <c r="WIF611" s="5" t="s">
        <v>3728</v>
      </c>
      <c r="WIG611" s="17">
        <v>44925</v>
      </c>
      <c r="WIH611" s="5" t="s">
        <v>3728</v>
      </c>
      <c r="WII611" s="17">
        <v>44925</v>
      </c>
      <c r="WIJ611" s="5" t="s">
        <v>3728</v>
      </c>
      <c r="WIK611" s="17">
        <v>44925</v>
      </c>
      <c r="WIL611" s="5" t="s">
        <v>3728</v>
      </c>
      <c r="WIM611" s="17">
        <v>44925</v>
      </c>
      <c r="WIN611" s="5" t="s">
        <v>3728</v>
      </c>
      <c r="WIO611" s="17">
        <v>44925</v>
      </c>
      <c r="WIP611" s="5" t="s">
        <v>3728</v>
      </c>
      <c r="WIQ611" s="17">
        <v>44925</v>
      </c>
      <c r="WIR611" s="5" t="s">
        <v>3728</v>
      </c>
      <c r="WIS611" s="17">
        <v>44925</v>
      </c>
      <c r="WIT611" s="5" t="s">
        <v>3728</v>
      </c>
      <c r="WIU611" s="17">
        <v>44925</v>
      </c>
      <c r="WIV611" s="5" t="s">
        <v>3728</v>
      </c>
      <c r="WIW611" s="17">
        <v>44925</v>
      </c>
      <c r="WIX611" s="5" t="s">
        <v>3728</v>
      </c>
      <c r="WIY611" s="17">
        <v>44925</v>
      </c>
      <c r="WIZ611" s="5" t="s">
        <v>3728</v>
      </c>
      <c r="WJA611" s="17">
        <v>44925</v>
      </c>
      <c r="WJB611" s="5" t="s">
        <v>3728</v>
      </c>
      <c r="WJC611" s="17">
        <v>44925</v>
      </c>
      <c r="WJD611" s="5" t="s">
        <v>3728</v>
      </c>
      <c r="WJE611" s="17">
        <v>44925</v>
      </c>
      <c r="WJF611" s="5" t="s">
        <v>3728</v>
      </c>
      <c r="WJG611" s="17">
        <v>44925</v>
      </c>
      <c r="WJH611" s="5" t="s">
        <v>3728</v>
      </c>
      <c r="WJI611" s="17">
        <v>44925</v>
      </c>
      <c r="WJJ611" s="5" t="s">
        <v>3728</v>
      </c>
      <c r="WJK611" s="17">
        <v>44925</v>
      </c>
      <c r="WJL611" s="5" t="s">
        <v>3728</v>
      </c>
      <c r="WJM611" s="17">
        <v>44925</v>
      </c>
      <c r="WJN611" s="5" t="s">
        <v>3728</v>
      </c>
      <c r="WJO611" s="17">
        <v>44925</v>
      </c>
      <c r="WJP611" s="5" t="s">
        <v>3728</v>
      </c>
      <c r="WJQ611" s="17">
        <v>44925</v>
      </c>
      <c r="WJR611" s="5" t="s">
        <v>3728</v>
      </c>
      <c r="WJS611" s="17">
        <v>44925</v>
      </c>
      <c r="WJT611" s="5" t="s">
        <v>3728</v>
      </c>
      <c r="WJU611" s="17">
        <v>44925</v>
      </c>
      <c r="WJV611" s="5" t="s">
        <v>3728</v>
      </c>
      <c r="WJW611" s="17">
        <v>44925</v>
      </c>
      <c r="WJX611" s="5" t="s">
        <v>3728</v>
      </c>
      <c r="WJY611" s="17">
        <v>44925</v>
      </c>
      <c r="WJZ611" s="5" t="s">
        <v>3728</v>
      </c>
      <c r="WKA611" s="17">
        <v>44925</v>
      </c>
      <c r="WKB611" s="5" t="s">
        <v>3728</v>
      </c>
      <c r="WKC611" s="17">
        <v>44925</v>
      </c>
      <c r="WKD611" s="5" t="s">
        <v>3728</v>
      </c>
      <c r="WKE611" s="17">
        <v>44925</v>
      </c>
      <c r="WKF611" s="5" t="s">
        <v>3728</v>
      </c>
      <c r="WKG611" s="17">
        <v>44925</v>
      </c>
      <c r="WKH611" s="5" t="s">
        <v>3728</v>
      </c>
      <c r="WKI611" s="17">
        <v>44925</v>
      </c>
      <c r="WKJ611" s="5" t="s">
        <v>3728</v>
      </c>
      <c r="WKK611" s="17">
        <v>44925</v>
      </c>
      <c r="WKL611" s="5" t="s">
        <v>3728</v>
      </c>
      <c r="WKM611" s="17">
        <v>44925</v>
      </c>
      <c r="WKN611" s="5" t="s">
        <v>3728</v>
      </c>
      <c r="WKO611" s="17">
        <v>44925</v>
      </c>
      <c r="WKP611" s="5" t="s">
        <v>3728</v>
      </c>
      <c r="WKQ611" s="17">
        <v>44925</v>
      </c>
      <c r="WKR611" s="5" t="s">
        <v>3728</v>
      </c>
      <c r="WKS611" s="17">
        <v>44925</v>
      </c>
      <c r="WKT611" s="5" t="s">
        <v>3728</v>
      </c>
      <c r="WKU611" s="17">
        <v>44925</v>
      </c>
      <c r="WKV611" s="5" t="s">
        <v>3728</v>
      </c>
      <c r="WKW611" s="17">
        <v>44925</v>
      </c>
      <c r="WKX611" s="5" t="s">
        <v>3728</v>
      </c>
      <c r="WKY611" s="17">
        <v>44925</v>
      </c>
      <c r="WKZ611" s="5" t="s">
        <v>3728</v>
      </c>
      <c r="WLA611" s="17">
        <v>44925</v>
      </c>
      <c r="WLB611" s="5" t="s">
        <v>3728</v>
      </c>
      <c r="WLC611" s="17">
        <v>44925</v>
      </c>
      <c r="WLD611" s="5" t="s">
        <v>3728</v>
      </c>
      <c r="WLE611" s="17">
        <v>44925</v>
      </c>
      <c r="WLF611" s="5" t="s">
        <v>3728</v>
      </c>
      <c r="WLG611" s="17">
        <v>44925</v>
      </c>
      <c r="WLH611" s="5" t="s">
        <v>3728</v>
      </c>
      <c r="WLI611" s="17">
        <v>44925</v>
      </c>
      <c r="WLJ611" s="5" t="s">
        <v>3728</v>
      </c>
      <c r="WLK611" s="17">
        <v>44925</v>
      </c>
      <c r="WLL611" s="5" t="s">
        <v>3728</v>
      </c>
      <c r="WLM611" s="17">
        <v>44925</v>
      </c>
      <c r="WLN611" s="5" t="s">
        <v>3728</v>
      </c>
      <c r="WLO611" s="17">
        <v>44925</v>
      </c>
      <c r="WLP611" s="5" t="s">
        <v>3728</v>
      </c>
      <c r="WLQ611" s="17">
        <v>44925</v>
      </c>
      <c r="WLR611" s="5" t="s">
        <v>3728</v>
      </c>
      <c r="WLS611" s="17">
        <v>44925</v>
      </c>
      <c r="WLT611" s="5" t="s">
        <v>3728</v>
      </c>
      <c r="WLU611" s="17">
        <v>44925</v>
      </c>
      <c r="WLV611" s="5" t="s">
        <v>3728</v>
      </c>
      <c r="WLW611" s="17">
        <v>44925</v>
      </c>
      <c r="WLX611" s="5" t="s">
        <v>3728</v>
      </c>
      <c r="WLY611" s="17">
        <v>44925</v>
      </c>
      <c r="WLZ611" s="5" t="s">
        <v>3728</v>
      </c>
      <c r="WMA611" s="17">
        <v>44925</v>
      </c>
      <c r="WMB611" s="5" t="s">
        <v>3728</v>
      </c>
      <c r="WMC611" s="17">
        <v>44925</v>
      </c>
      <c r="WMD611" s="5" t="s">
        <v>3728</v>
      </c>
      <c r="WME611" s="17">
        <v>44925</v>
      </c>
      <c r="WMF611" s="5" t="s">
        <v>3728</v>
      </c>
      <c r="WMG611" s="17">
        <v>44925</v>
      </c>
      <c r="WMH611" s="5" t="s">
        <v>3728</v>
      </c>
      <c r="WMI611" s="17">
        <v>44925</v>
      </c>
      <c r="WMJ611" s="5" t="s">
        <v>3728</v>
      </c>
      <c r="WMK611" s="17">
        <v>44925</v>
      </c>
      <c r="WML611" s="5" t="s">
        <v>3728</v>
      </c>
      <c r="WMM611" s="17">
        <v>44925</v>
      </c>
      <c r="WMN611" s="5" t="s">
        <v>3728</v>
      </c>
      <c r="WMO611" s="17">
        <v>44925</v>
      </c>
      <c r="WMP611" s="5" t="s">
        <v>3728</v>
      </c>
      <c r="WMQ611" s="17">
        <v>44925</v>
      </c>
      <c r="WMR611" s="5" t="s">
        <v>3728</v>
      </c>
      <c r="WMS611" s="17">
        <v>44925</v>
      </c>
      <c r="WMT611" s="5" t="s">
        <v>3728</v>
      </c>
      <c r="WMU611" s="17">
        <v>44925</v>
      </c>
      <c r="WMV611" s="5" t="s">
        <v>3728</v>
      </c>
      <c r="WMW611" s="17">
        <v>44925</v>
      </c>
      <c r="WMX611" s="5" t="s">
        <v>3728</v>
      </c>
      <c r="WMY611" s="17">
        <v>44925</v>
      </c>
      <c r="WMZ611" s="5" t="s">
        <v>3728</v>
      </c>
      <c r="WNA611" s="17">
        <v>44925</v>
      </c>
      <c r="WNB611" s="5" t="s">
        <v>3728</v>
      </c>
      <c r="WNC611" s="17">
        <v>44925</v>
      </c>
      <c r="WND611" s="5" t="s">
        <v>3728</v>
      </c>
      <c r="WNE611" s="17">
        <v>44925</v>
      </c>
      <c r="WNF611" s="5" t="s">
        <v>3728</v>
      </c>
      <c r="WNG611" s="17">
        <v>44925</v>
      </c>
      <c r="WNH611" s="5" t="s">
        <v>3728</v>
      </c>
      <c r="WNI611" s="17">
        <v>44925</v>
      </c>
      <c r="WNJ611" s="5" t="s">
        <v>3728</v>
      </c>
      <c r="WNK611" s="17">
        <v>44925</v>
      </c>
      <c r="WNL611" s="5" t="s">
        <v>3728</v>
      </c>
      <c r="WNM611" s="17">
        <v>44925</v>
      </c>
      <c r="WNN611" s="5" t="s">
        <v>3728</v>
      </c>
      <c r="WNO611" s="17">
        <v>44925</v>
      </c>
      <c r="WNP611" s="5" t="s">
        <v>3728</v>
      </c>
      <c r="WNQ611" s="17">
        <v>44925</v>
      </c>
      <c r="WNR611" s="5" t="s">
        <v>3728</v>
      </c>
      <c r="WNS611" s="17">
        <v>44925</v>
      </c>
      <c r="WNT611" s="5" t="s">
        <v>3728</v>
      </c>
      <c r="WNU611" s="17">
        <v>44925</v>
      </c>
      <c r="WNV611" s="5" t="s">
        <v>3728</v>
      </c>
      <c r="WNW611" s="17">
        <v>44925</v>
      </c>
      <c r="WNX611" s="5" t="s">
        <v>3728</v>
      </c>
      <c r="WNY611" s="17">
        <v>44925</v>
      </c>
      <c r="WNZ611" s="5" t="s">
        <v>3728</v>
      </c>
      <c r="WOA611" s="17">
        <v>44925</v>
      </c>
      <c r="WOB611" s="5" t="s">
        <v>3728</v>
      </c>
      <c r="WOC611" s="17">
        <v>44925</v>
      </c>
      <c r="WOD611" s="5" t="s">
        <v>3728</v>
      </c>
      <c r="WOE611" s="17">
        <v>44925</v>
      </c>
      <c r="WOF611" s="5" t="s">
        <v>3728</v>
      </c>
      <c r="WOG611" s="17">
        <v>44925</v>
      </c>
      <c r="WOH611" s="5" t="s">
        <v>3728</v>
      </c>
      <c r="WOI611" s="17">
        <v>44925</v>
      </c>
      <c r="WOJ611" s="5" t="s">
        <v>3728</v>
      </c>
      <c r="WOK611" s="17">
        <v>44925</v>
      </c>
      <c r="WOL611" s="5" t="s">
        <v>3728</v>
      </c>
      <c r="WOM611" s="17">
        <v>44925</v>
      </c>
      <c r="WON611" s="5" t="s">
        <v>3728</v>
      </c>
      <c r="WOO611" s="17">
        <v>44925</v>
      </c>
      <c r="WOP611" s="5" t="s">
        <v>3728</v>
      </c>
      <c r="WOQ611" s="17">
        <v>44925</v>
      </c>
      <c r="WOR611" s="5" t="s">
        <v>3728</v>
      </c>
      <c r="WOS611" s="17">
        <v>44925</v>
      </c>
      <c r="WOT611" s="5" t="s">
        <v>3728</v>
      </c>
      <c r="WOU611" s="17">
        <v>44925</v>
      </c>
      <c r="WOV611" s="5" t="s">
        <v>3728</v>
      </c>
      <c r="WOW611" s="17">
        <v>44925</v>
      </c>
      <c r="WOX611" s="5" t="s">
        <v>3728</v>
      </c>
      <c r="WOY611" s="17">
        <v>44925</v>
      </c>
      <c r="WOZ611" s="5" t="s">
        <v>3728</v>
      </c>
      <c r="WPA611" s="17">
        <v>44925</v>
      </c>
      <c r="WPB611" s="5" t="s">
        <v>3728</v>
      </c>
      <c r="WPC611" s="17">
        <v>44925</v>
      </c>
      <c r="WPD611" s="5" t="s">
        <v>3728</v>
      </c>
      <c r="WPE611" s="17">
        <v>44925</v>
      </c>
      <c r="WPF611" s="5" t="s">
        <v>3728</v>
      </c>
      <c r="WPG611" s="17">
        <v>44925</v>
      </c>
      <c r="WPH611" s="5" t="s">
        <v>3728</v>
      </c>
      <c r="WPI611" s="17">
        <v>44925</v>
      </c>
      <c r="WPJ611" s="5" t="s">
        <v>3728</v>
      </c>
      <c r="WPK611" s="17">
        <v>44925</v>
      </c>
      <c r="WPL611" s="5" t="s">
        <v>3728</v>
      </c>
      <c r="WPM611" s="17">
        <v>44925</v>
      </c>
      <c r="WPN611" s="5" t="s">
        <v>3728</v>
      </c>
      <c r="WPO611" s="17">
        <v>44925</v>
      </c>
      <c r="WPP611" s="5" t="s">
        <v>3728</v>
      </c>
      <c r="WPQ611" s="17">
        <v>44925</v>
      </c>
      <c r="WPR611" s="5" t="s">
        <v>3728</v>
      </c>
      <c r="WPS611" s="17">
        <v>44925</v>
      </c>
      <c r="WPT611" s="5" t="s">
        <v>3728</v>
      </c>
      <c r="WPU611" s="17">
        <v>44925</v>
      </c>
      <c r="WPV611" s="5" t="s">
        <v>3728</v>
      </c>
      <c r="WPW611" s="17">
        <v>44925</v>
      </c>
      <c r="WPX611" s="5" t="s">
        <v>3728</v>
      </c>
      <c r="WPY611" s="17">
        <v>44925</v>
      </c>
      <c r="WPZ611" s="5" t="s">
        <v>3728</v>
      </c>
      <c r="WQA611" s="17">
        <v>44925</v>
      </c>
      <c r="WQB611" s="5" t="s">
        <v>3728</v>
      </c>
      <c r="WQC611" s="17">
        <v>44925</v>
      </c>
      <c r="WQD611" s="5" t="s">
        <v>3728</v>
      </c>
      <c r="WQE611" s="17">
        <v>44925</v>
      </c>
      <c r="WQF611" s="5" t="s">
        <v>3728</v>
      </c>
      <c r="WQG611" s="17">
        <v>44925</v>
      </c>
      <c r="WQH611" s="5" t="s">
        <v>3728</v>
      </c>
      <c r="WQI611" s="17">
        <v>44925</v>
      </c>
      <c r="WQJ611" s="5" t="s">
        <v>3728</v>
      </c>
      <c r="WQK611" s="17">
        <v>44925</v>
      </c>
      <c r="WQL611" s="5" t="s">
        <v>3728</v>
      </c>
      <c r="WQM611" s="17">
        <v>44925</v>
      </c>
      <c r="WQN611" s="5" t="s">
        <v>3728</v>
      </c>
      <c r="WQO611" s="17">
        <v>44925</v>
      </c>
      <c r="WQP611" s="5" t="s">
        <v>3728</v>
      </c>
      <c r="WQQ611" s="17">
        <v>44925</v>
      </c>
      <c r="WQR611" s="5" t="s">
        <v>3728</v>
      </c>
      <c r="WQS611" s="17">
        <v>44925</v>
      </c>
      <c r="WQT611" s="5" t="s">
        <v>3728</v>
      </c>
      <c r="WQU611" s="17">
        <v>44925</v>
      </c>
      <c r="WQV611" s="5" t="s">
        <v>3728</v>
      </c>
      <c r="WQW611" s="17">
        <v>44925</v>
      </c>
      <c r="WQX611" s="5" t="s">
        <v>3728</v>
      </c>
      <c r="WQY611" s="17">
        <v>44925</v>
      </c>
      <c r="WQZ611" s="5" t="s">
        <v>3728</v>
      </c>
      <c r="WRA611" s="17">
        <v>44925</v>
      </c>
      <c r="WRB611" s="5" t="s">
        <v>3728</v>
      </c>
      <c r="WRC611" s="17">
        <v>44925</v>
      </c>
      <c r="WRD611" s="5" t="s">
        <v>3728</v>
      </c>
      <c r="WRE611" s="17">
        <v>44925</v>
      </c>
      <c r="WRF611" s="5" t="s">
        <v>3728</v>
      </c>
      <c r="WRG611" s="17">
        <v>44925</v>
      </c>
      <c r="WRH611" s="5" t="s">
        <v>3728</v>
      </c>
      <c r="WRI611" s="17">
        <v>44925</v>
      </c>
      <c r="WRJ611" s="5" t="s">
        <v>3728</v>
      </c>
      <c r="WRK611" s="17">
        <v>44925</v>
      </c>
      <c r="WRL611" s="5" t="s">
        <v>3728</v>
      </c>
      <c r="WRM611" s="17">
        <v>44925</v>
      </c>
      <c r="WRN611" s="5" t="s">
        <v>3728</v>
      </c>
      <c r="WRO611" s="17">
        <v>44925</v>
      </c>
      <c r="WRP611" s="5" t="s">
        <v>3728</v>
      </c>
      <c r="WRQ611" s="17">
        <v>44925</v>
      </c>
      <c r="WRR611" s="5" t="s">
        <v>3728</v>
      </c>
      <c r="WRS611" s="17">
        <v>44925</v>
      </c>
      <c r="WRT611" s="5" t="s">
        <v>3728</v>
      </c>
      <c r="WRU611" s="17">
        <v>44925</v>
      </c>
      <c r="WRV611" s="5" t="s">
        <v>3728</v>
      </c>
      <c r="WRW611" s="17">
        <v>44925</v>
      </c>
      <c r="WRX611" s="5" t="s">
        <v>3728</v>
      </c>
      <c r="WRY611" s="17">
        <v>44925</v>
      </c>
      <c r="WRZ611" s="5" t="s">
        <v>3728</v>
      </c>
      <c r="WSA611" s="17">
        <v>44925</v>
      </c>
      <c r="WSB611" s="5" t="s">
        <v>3728</v>
      </c>
      <c r="WSC611" s="17">
        <v>44925</v>
      </c>
      <c r="WSD611" s="5" t="s">
        <v>3728</v>
      </c>
      <c r="WSE611" s="17">
        <v>44925</v>
      </c>
      <c r="WSF611" s="5" t="s">
        <v>3728</v>
      </c>
      <c r="WSG611" s="17">
        <v>44925</v>
      </c>
      <c r="WSH611" s="5" t="s">
        <v>3728</v>
      </c>
      <c r="WSI611" s="17">
        <v>44925</v>
      </c>
      <c r="WSJ611" s="5" t="s">
        <v>3728</v>
      </c>
      <c r="WSK611" s="17">
        <v>44925</v>
      </c>
      <c r="WSL611" s="5" t="s">
        <v>3728</v>
      </c>
      <c r="WSM611" s="17">
        <v>44925</v>
      </c>
      <c r="WSN611" s="5" t="s">
        <v>3728</v>
      </c>
      <c r="WSO611" s="17">
        <v>44925</v>
      </c>
      <c r="WSP611" s="5" t="s">
        <v>3728</v>
      </c>
      <c r="WSQ611" s="17">
        <v>44925</v>
      </c>
      <c r="WSR611" s="5" t="s">
        <v>3728</v>
      </c>
      <c r="WSS611" s="17">
        <v>44925</v>
      </c>
      <c r="WST611" s="5" t="s">
        <v>3728</v>
      </c>
      <c r="WSU611" s="17">
        <v>44925</v>
      </c>
      <c r="WSV611" s="5" t="s">
        <v>3728</v>
      </c>
      <c r="WSW611" s="17">
        <v>44925</v>
      </c>
      <c r="WSX611" s="5" t="s">
        <v>3728</v>
      </c>
      <c r="WSY611" s="17">
        <v>44925</v>
      </c>
      <c r="WSZ611" s="5" t="s">
        <v>3728</v>
      </c>
      <c r="WTA611" s="17">
        <v>44925</v>
      </c>
      <c r="WTB611" s="5" t="s">
        <v>3728</v>
      </c>
      <c r="WTC611" s="17">
        <v>44925</v>
      </c>
      <c r="WTD611" s="5" t="s">
        <v>3728</v>
      </c>
      <c r="WTE611" s="17">
        <v>44925</v>
      </c>
      <c r="WTF611" s="5" t="s">
        <v>3728</v>
      </c>
      <c r="WTG611" s="17">
        <v>44925</v>
      </c>
      <c r="WTH611" s="5" t="s">
        <v>3728</v>
      </c>
      <c r="WTI611" s="17">
        <v>44925</v>
      </c>
      <c r="WTJ611" s="5" t="s">
        <v>3728</v>
      </c>
      <c r="WTK611" s="17">
        <v>44925</v>
      </c>
      <c r="WTL611" s="5" t="s">
        <v>3728</v>
      </c>
      <c r="WTM611" s="17">
        <v>44925</v>
      </c>
      <c r="WTN611" s="5" t="s">
        <v>3728</v>
      </c>
      <c r="WTO611" s="17">
        <v>44925</v>
      </c>
      <c r="WTP611" s="5" t="s">
        <v>3728</v>
      </c>
      <c r="WTQ611" s="17">
        <v>44925</v>
      </c>
      <c r="WTR611" s="5" t="s">
        <v>3728</v>
      </c>
      <c r="WTS611" s="17">
        <v>44925</v>
      </c>
      <c r="WTT611" s="5" t="s">
        <v>3728</v>
      </c>
      <c r="WTU611" s="17">
        <v>44925</v>
      </c>
      <c r="WTV611" s="5" t="s">
        <v>3728</v>
      </c>
      <c r="WTW611" s="17">
        <v>44925</v>
      </c>
      <c r="WTX611" s="5" t="s">
        <v>3728</v>
      </c>
      <c r="WTY611" s="17">
        <v>44925</v>
      </c>
      <c r="WTZ611" s="5" t="s">
        <v>3728</v>
      </c>
      <c r="WUA611" s="17">
        <v>44925</v>
      </c>
      <c r="WUB611" s="5" t="s">
        <v>3728</v>
      </c>
      <c r="WUC611" s="17">
        <v>44925</v>
      </c>
      <c r="WUD611" s="5" t="s">
        <v>3728</v>
      </c>
      <c r="WUE611" s="17">
        <v>44925</v>
      </c>
      <c r="WUF611" s="5" t="s">
        <v>3728</v>
      </c>
      <c r="WUG611" s="17">
        <v>44925</v>
      </c>
      <c r="WUH611" s="5" t="s">
        <v>3728</v>
      </c>
      <c r="WUI611" s="17">
        <v>44925</v>
      </c>
      <c r="WUJ611" s="5" t="s">
        <v>3728</v>
      </c>
      <c r="WUK611" s="17">
        <v>44925</v>
      </c>
      <c r="WUL611" s="5" t="s">
        <v>3728</v>
      </c>
      <c r="WUM611" s="17">
        <v>44925</v>
      </c>
      <c r="WUN611" s="5" t="s">
        <v>3728</v>
      </c>
      <c r="WUO611" s="17">
        <v>44925</v>
      </c>
      <c r="WUP611" s="5" t="s">
        <v>3728</v>
      </c>
      <c r="WUQ611" s="17">
        <v>44925</v>
      </c>
      <c r="WUR611" s="5" t="s">
        <v>3728</v>
      </c>
      <c r="WUS611" s="17">
        <v>44925</v>
      </c>
      <c r="WUT611" s="5" t="s">
        <v>3728</v>
      </c>
      <c r="WUU611" s="17">
        <v>44925</v>
      </c>
      <c r="WUV611" s="5" t="s">
        <v>3728</v>
      </c>
      <c r="WUW611" s="17">
        <v>44925</v>
      </c>
      <c r="WUX611" s="5" t="s">
        <v>3728</v>
      </c>
      <c r="WUY611" s="17">
        <v>44925</v>
      </c>
      <c r="WUZ611" s="5" t="s">
        <v>3728</v>
      </c>
      <c r="WVA611" s="17">
        <v>44925</v>
      </c>
      <c r="WVB611" s="5" t="s">
        <v>3728</v>
      </c>
      <c r="WVC611" s="17">
        <v>44925</v>
      </c>
      <c r="WVD611" s="5" t="s">
        <v>3728</v>
      </c>
      <c r="WVE611" s="17">
        <v>44925</v>
      </c>
      <c r="WVF611" s="5" t="s">
        <v>3728</v>
      </c>
      <c r="WVG611" s="17">
        <v>44925</v>
      </c>
      <c r="WVH611" s="5" t="s">
        <v>3728</v>
      </c>
      <c r="WVI611" s="17">
        <v>44925</v>
      </c>
      <c r="WVJ611" s="5" t="s">
        <v>3728</v>
      </c>
      <c r="WVK611" s="17">
        <v>44925</v>
      </c>
      <c r="WVL611" s="5" t="s">
        <v>3728</v>
      </c>
      <c r="WVM611" s="17">
        <v>44925</v>
      </c>
      <c r="WVN611" s="5" t="s">
        <v>3728</v>
      </c>
      <c r="WVO611" s="17">
        <v>44925</v>
      </c>
      <c r="WVP611" s="5" t="s">
        <v>3728</v>
      </c>
      <c r="WVQ611" s="17">
        <v>44925</v>
      </c>
      <c r="WVR611" s="5" t="s">
        <v>3728</v>
      </c>
      <c r="WVS611" s="17">
        <v>44925</v>
      </c>
      <c r="WVT611" s="5" t="s">
        <v>3728</v>
      </c>
      <c r="WVU611" s="17">
        <v>44925</v>
      </c>
      <c r="WVV611" s="5" t="s">
        <v>3728</v>
      </c>
      <c r="WVW611" s="17">
        <v>44925</v>
      </c>
      <c r="WVX611" s="5" t="s">
        <v>3728</v>
      </c>
      <c r="WVY611" s="17">
        <v>44925</v>
      </c>
      <c r="WVZ611" s="5" t="s">
        <v>3728</v>
      </c>
      <c r="WWA611" s="17">
        <v>44925</v>
      </c>
      <c r="WWB611" s="5" t="s">
        <v>3728</v>
      </c>
      <c r="WWC611" s="17">
        <v>44925</v>
      </c>
      <c r="WWD611" s="5" t="s">
        <v>3728</v>
      </c>
      <c r="WWE611" s="17">
        <v>44925</v>
      </c>
      <c r="WWF611" s="5" t="s">
        <v>3728</v>
      </c>
      <c r="WWG611" s="17">
        <v>44925</v>
      </c>
      <c r="WWH611" s="5" t="s">
        <v>3728</v>
      </c>
      <c r="WWI611" s="17">
        <v>44925</v>
      </c>
      <c r="WWJ611" s="5" t="s">
        <v>3728</v>
      </c>
      <c r="WWK611" s="17">
        <v>44925</v>
      </c>
      <c r="WWL611" s="5" t="s">
        <v>3728</v>
      </c>
      <c r="WWM611" s="17">
        <v>44925</v>
      </c>
      <c r="WWN611" s="5" t="s">
        <v>3728</v>
      </c>
      <c r="WWO611" s="17">
        <v>44925</v>
      </c>
      <c r="WWP611" s="5" t="s">
        <v>3728</v>
      </c>
      <c r="WWQ611" s="17">
        <v>44925</v>
      </c>
      <c r="WWR611" s="5" t="s">
        <v>3728</v>
      </c>
      <c r="WWS611" s="17">
        <v>44925</v>
      </c>
      <c r="WWT611" s="5" t="s">
        <v>3728</v>
      </c>
      <c r="WWU611" s="17">
        <v>44925</v>
      </c>
      <c r="WWV611" s="5" t="s">
        <v>3728</v>
      </c>
      <c r="WWW611" s="17">
        <v>44925</v>
      </c>
      <c r="WWX611" s="5" t="s">
        <v>3728</v>
      </c>
      <c r="WWY611" s="17">
        <v>44925</v>
      </c>
      <c r="WWZ611" s="5" t="s">
        <v>3728</v>
      </c>
      <c r="WXA611" s="17">
        <v>44925</v>
      </c>
      <c r="WXB611" s="5" t="s">
        <v>3728</v>
      </c>
      <c r="WXC611" s="17">
        <v>44925</v>
      </c>
      <c r="WXD611" s="5" t="s">
        <v>3728</v>
      </c>
      <c r="WXE611" s="17">
        <v>44925</v>
      </c>
      <c r="WXF611" s="5" t="s">
        <v>3728</v>
      </c>
      <c r="WXG611" s="17">
        <v>44925</v>
      </c>
      <c r="WXH611" s="5" t="s">
        <v>3728</v>
      </c>
      <c r="WXI611" s="17">
        <v>44925</v>
      </c>
      <c r="WXJ611" s="5" t="s">
        <v>3728</v>
      </c>
      <c r="WXK611" s="17">
        <v>44925</v>
      </c>
      <c r="WXL611" s="5" t="s">
        <v>3728</v>
      </c>
      <c r="WXM611" s="17">
        <v>44925</v>
      </c>
      <c r="WXN611" s="5" t="s">
        <v>3728</v>
      </c>
      <c r="WXO611" s="17">
        <v>44925</v>
      </c>
      <c r="WXP611" s="5" t="s">
        <v>3728</v>
      </c>
      <c r="WXQ611" s="17">
        <v>44925</v>
      </c>
      <c r="WXR611" s="5" t="s">
        <v>3728</v>
      </c>
      <c r="WXS611" s="17">
        <v>44925</v>
      </c>
      <c r="WXT611" s="5" t="s">
        <v>3728</v>
      </c>
      <c r="WXU611" s="17">
        <v>44925</v>
      </c>
      <c r="WXV611" s="5" t="s">
        <v>3728</v>
      </c>
      <c r="WXW611" s="17">
        <v>44925</v>
      </c>
      <c r="WXX611" s="5" t="s">
        <v>3728</v>
      </c>
      <c r="WXY611" s="17">
        <v>44925</v>
      </c>
      <c r="WXZ611" s="5" t="s">
        <v>3728</v>
      </c>
      <c r="WYA611" s="17">
        <v>44925</v>
      </c>
      <c r="WYB611" s="5" t="s">
        <v>3728</v>
      </c>
      <c r="WYC611" s="17">
        <v>44925</v>
      </c>
      <c r="WYD611" s="5" t="s">
        <v>3728</v>
      </c>
      <c r="WYE611" s="17">
        <v>44925</v>
      </c>
      <c r="WYF611" s="5" t="s">
        <v>3728</v>
      </c>
      <c r="WYG611" s="17">
        <v>44925</v>
      </c>
      <c r="WYH611" s="5" t="s">
        <v>3728</v>
      </c>
      <c r="WYI611" s="17">
        <v>44925</v>
      </c>
      <c r="WYJ611" s="5" t="s">
        <v>3728</v>
      </c>
      <c r="WYK611" s="17">
        <v>44925</v>
      </c>
      <c r="WYL611" s="5" t="s">
        <v>3728</v>
      </c>
      <c r="WYM611" s="17">
        <v>44925</v>
      </c>
      <c r="WYN611" s="5" t="s">
        <v>3728</v>
      </c>
      <c r="WYO611" s="17">
        <v>44925</v>
      </c>
      <c r="WYP611" s="5" t="s">
        <v>3728</v>
      </c>
      <c r="WYQ611" s="17">
        <v>44925</v>
      </c>
      <c r="WYR611" s="5" t="s">
        <v>3728</v>
      </c>
      <c r="WYS611" s="17">
        <v>44925</v>
      </c>
      <c r="WYT611" s="5" t="s">
        <v>3728</v>
      </c>
      <c r="WYU611" s="17">
        <v>44925</v>
      </c>
      <c r="WYV611" s="5" t="s">
        <v>3728</v>
      </c>
      <c r="WYW611" s="17">
        <v>44925</v>
      </c>
      <c r="WYX611" s="5" t="s">
        <v>3728</v>
      </c>
      <c r="WYY611" s="17">
        <v>44925</v>
      </c>
      <c r="WYZ611" s="5" t="s">
        <v>3728</v>
      </c>
      <c r="WZA611" s="17">
        <v>44925</v>
      </c>
      <c r="WZB611" s="5" t="s">
        <v>3728</v>
      </c>
      <c r="WZC611" s="17">
        <v>44925</v>
      </c>
      <c r="WZD611" s="5" t="s">
        <v>3728</v>
      </c>
      <c r="WZE611" s="17">
        <v>44925</v>
      </c>
      <c r="WZF611" s="5" t="s">
        <v>3728</v>
      </c>
      <c r="WZG611" s="17">
        <v>44925</v>
      </c>
      <c r="WZH611" s="5" t="s">
        <v>3728</v>
      </c>
      <c r="WZI611" s="17">
        <v>44925</v>
      </c>
      <c r="WZJ611" s="5" t="s">
        <v>3728</v>
      </c>
      <c r="WZK611" s="17">
        <v>44925</v>
      </c>
      <c r="WZL611" s="5" t="s">
        <v>3728</v>
      </c>
      <c r="WZM611" s="17">
        <v>44925</v>
      </c>
      <c r="WZN611" s="5" t="s">
        <v>3728</v>
      </c>
      <c r="WZO611" s="17">
        <v>44925</v>
      </c>
      <c r="WZP611" s="5" t="s">
        <v>3728</v>
      </c>
      <c r="WZQ611" s="17">
        <v>44925</v>
      </c>
      <c r="WZR611" s="5" t="s">
        <v>3728</v>
      </c>
      <c r="WZS611" s="17">
        <v>44925</v>
      </c>
      <c r="WZT611" s="5" t="s">
        <v>3728</v>
      </c>
      <c r="WZU611" s="17">
        <v>44925</v>
      </c>
      <c r="WZV611" s="5" t="s">
        <v>3728</v>
      </c>
      <c r="WZW611" s="17">
        <v>44925</v>
      </c>
      <c r="WZX611" s="5" t="s">
        <v>3728</v>
      </c>
      <c r="WZY611" s="17">
        <v>44925</v>
      </c>
      <c r="WZZ611" s="5" t="s">
        <v>3728</v>
      </c>
      <c r="XAA611" s="17">
        <v>44925</v>
      </c>
      <c r="XAB611" s="5" t="s">
        <v>3728</v>
      </c>
      <c r="XAC611" s="17">
        <v>44925</v>
      </c>
      <c r="XAD611" s="5" t="s">
        <v>3728</v>
      </c>
      <c r="XAE611" s="17">
        <v>44925</v>
      </c>
      <c r="XAF611" s="5" t="s">
        <v>3728</v>
      </c>
      <c r="XAG611" s="17">
        <v>44925</v>
      </c>
      <c r="XAH611" s="5" t="s">
        <v>3728</v>
      </c>
      <c r="XAI611" s="17">
        <v>44925</v>
      </c>
      <c r="XAJ611" s="5" t="s">
        <v>3728</v>
      </c>
      <c r="XAK611" s="17">
        <v>44925</v>
      </c>
      <c r="XAL611" s="5" t="s">
        <v>3728</v>
      </c>
      <c r="XAM611" s="17">
        <v>44925</v>
      </c>
      <c r="XAN611" s="5" t="s">
        <v>3728</v>
      </c>
      <c r="XAO611" s="17">
        <v>44925</v>
      </c>
      <c r="XAP611" s="5" t="s">
        <v>3728</v>
      </c>
      <c r="XAQ611" s="17">
        <v>44925</v>
      </c>
      <c r="XAR611" s="5" t="s">
        <v>3728</v>
      </c>
      <c r="XAS611" s="17">
        <v>44925</v>
      </c>
      <c r="XAT611" s="5" t="s">
        <v>3728</v>
      </c>
      <c r="XAU611" s="17">
        <v>44925</v>
      </c>
      <c r="XAV611" s="5" t="s">
        <v>3728</v>
      </c>
      <c r="XAW611" s="17">
        <v>44925</v>
      </c>
      <c r="XAX611" s="5" t="s">
        <v>3728</v>
      </c>
      <c r="XAY611" s="17">
        <v>44925</v>
      </c>
      <c r="XAZ611" s="5" t="s">
        <v>3728</v>
      </c>
      <c r="XBA611" s="17">
        <v>44925</v>
      </c>
      <c r="XBB611" s="5" t="s">
        <v>3728</v>
      </c>
      <c r="XBC611" s="17">
        <v>44925</v>
      </c>
      <c r="XBD611" s="5" t="s">
        <v>3728</v>
      </c>
      <c r="XBE611" s="17">
        <v>44925</v>
      </c>
      <c r="XBF611" s="5" t="s">
        <v>3728</v>
      </c>
      <c r="XBG611" s="17">
        <v>44925</v>
      </c>
      <c r="XBH611" s="5" t="s">
        <v>3728</v>
      </c>
      <c r="XBI611" s="17">
        <v>44925</v>
      </c>
      <c r="XBJ611" s="5" t="s">
        <v>3728</v>
      </c>
      <c r="XBK611" s="17">
        <v>44925</v>
      </c>
      <c r="XBL611" s="5" t="s">
        <v>3728</v>
      </c>
      <c r="XBM611" s="17">
        <v>44925</v>
      </c>
      <c r="XBN611" s="5" t="s">
        <v>3728</v>
      </c>
      <c r="XBO611" s="17">
        <v>44925</v>
      </c>
      <c r="XBP611" s="5" t="s">
        <v>3728</v>
      </c>
      <c r="XBQ611" s="17">
        <v>44925</v>
      </c>
      <c r="XBR611" s="5" t="s">
        <v>3728</v>
      </c>
      <c r="XBS611" s="17">
        <v>44925</v>
      </c>
      <c r="XBT611" s="5" t="s">
        <v>3728</v>
      </c>
      <c r="XBU611" s="17">
        <v>44925</v>
      </c>
      <c r="XBV611" s="5" t="s">
        <v>3728</v>
      </c>
      <c r="XBW611" s="17">
        <v>44925</v>
      </c>
      <c r="XBX611" s="5" t="s">
        <v>3728</v>
      </c>
      <c r="XBY611" s="17">
        <v>44925</v>
      </c>
      <c r="XBZ611" s="5" t="s">
        <v>3728</v>
      </c>
      <c r="XCA611" s="17">
        <v>44925</v>
      </c>
      <c r="XCB611" s="5" t="s">
        <v>3728</v>
      </c>
      <c r="XCC611" s="17">
        <v>44925</v>
      </c>
      <c r="XCD611" s="5" t="s">
        <v>3728</v>
      </c>
      <c r="XCE611" s="17">
        <v>44925</v>
      </c>
      <c r="XCF611" s="5" t="s">
        <v>3728</v>
      </c>
      <c r="XCG611" s="17">
        <v>44925</v>
      </c>
      <c r="XCH611" s="5" t="s">
        <v>3728</v>
      </c>
      <c r="XCI611" s="17">
        <v>44925</v>
      </c>
      <c r="XCJ611" s="5" t="s">
        <v>3728</v>
      </c>
      <c r="XCK611" s="17">
        <v>44925</v>
      </c>
      <c r="XCL611" s="5" t="s">
        <v>3728</v>
      </c>
      <c r="XCM611" s="17">
        <v>44925</v>
      </c>
      <c r="XCN611" s="5" t="s">
        <v>3728</v>
      </c>
      <c r="XCO611" s="17">
        <v>44925</v>
      </c>
      <c r="XCP611" s="5" t="s">
        <v>3728</v>
      </c>
      <c r="XCQ611" s="17">
        <v>44925</v>
      </c>
      <c r="XCR611" s="5" t="s">
        <v>3728</v>
      </c>
      <c r="XCS611" s="17">
        <v>44925</v>
      </c>
      <c r="XCT611" s="5" t="s">
        <v>3728</v>
      </c>
      <c r="XCU611" s="17">
        <v>44925</v>
      </c>
      <c r="XCV611" s="5" t="s">
        <v>3728</v>
      </c>
      <c r="XCW611" s="17">
        <v>44925</v>
      </c>
      <c r="XCX611" s="5" t="s">
        <v>3728</v>
      </c>
      <c r="XCY611" s="17">
        <v>44925</v>
      </c>
      <c r="XCZ611" s="5" t="s">
        <v>3728</v>
      </c>
      <c r="XDA611" s="17">
        <v>44925</v>
      </c>
      <c r="XDB611" s="5" t="s">
        <v>3728</v>
      </c>
      <c r="XDC611" s="17">
        <v>44925</v>
      </c>
      <c r="XDD611" s="5" t="s">
        <v>3728</v>
      </c>
      <c r="XDE611" s="17">
        <v>44925</v>
      </c>
      <c r="XDF611" s="5" t="s">
        <v>3728</v>
      </c>
      <c r="XDG611" s="17">
        <v>44925</v>
      </c>
      <c r="XDH611" s="5" t="s">
        <v>3728</v>
      </c>
      <c r="XDI611" s="17">
        <v>44925</v>
      </c>
      <c r="XDJ611" s="5" t="s">
        <v>3728</v>
      </c>
      <c r="XDK611" s="17">
        <v>44925</v>
      </c>
      <c r="XDL611" s="5" t="s">
        <v>3728</v>
      </c>
      <c r="XDM611" s="17">
        <v>44925</v>
      </c>
      <c r="XDN611" s="5" t="s">
        <v>3728</v>
      </c>
      <c r="XDO611" s="17">
        <v>44925</v>
      </c>
      <c r="XDP611" s="5" t="s">
        <v>3728</v>
      </c>
      <c r="XDQ611" s="17">
        <v>44925</v>
      </c>
      <c r="XDR611" s="5" t="s">
        <v>3728</v>
      </c>
      <c r="XDS611" s="17">
        <v>44925</v>
      </c>
      <c r="XDT611" s="5" t="s">
        <v>3728</v>
      </c>
      <c r="XDU611" s="17">
        <v>44925</v>
      </c>
      <c r="XDV611" s="5" t="s">
        <v>3728</v>
      </c>
      <c r="XDW611" s="17">
        <v>44925</v>
      </c>
      <c r="XDX611" s="5" t="s">
        <v>3728</v>
      </c>
      <c r="XDY611" s="17">
        <v>44925</v>
      </c>
      <c r="XDZ611" s="5" t="s">
        <v>3728</v>
      </c>
      <c r="XEA611" s="17">
        <v>44925</v>
      </c>
      <c r="XEB611" s="5" t="s">
        <v>3728</v>
      </c>
      <c r="XEC611" s="17">
        <v>44925</v>
      </c>
      <c r="XED611" s="5" t="s">
        <v>3728</v>
      </c>
      <c r="XEE611" s="17">
        <v>44925</v>
      </c>
      <c r="XEF611" s="5" t="s">
        <v>3728</v>
      </c>
      <c r="XEG611" s="17">
        <v>44925</v>
      </c>
      <c r="XEH611" s="5" t="s">
        <v>3728</v>
      </c>
      <c r="XEI611" s="17">
        <v>44925</v>
      </c>
      <c r="XEJ611" s="5" t="s">
        <v>3728</v>
      </c>
      <c r="XEK611" s="17">
        <v>44925</v>
      </c>
      <c r="XEL611" s="5" t="s">
        <v>3728</v>
      </c>
      <c r="XEM611" s="17">
        <v>44925</v>
      </c>
      <c r="XEN611" s="5" t="s">
        <v>3728</v>
      </c>
      <c r="XEO611" s="17">
        <v>44925</v>
      </c>
      <c r="XEP611" s="5" t="s">
        <v>3728</v>
      </c>
      <c r="XEQ611" s="17">
        <v>44925</v>
      </c>
      <c r="XER611" s="5" t="s">
        <v>3728</v>
      </c>
      <c r="XES611" s="17">
        <v>44925</v>
      </c>
      <c r="XET611" s="5" t="s">
        <v>3728</v>
      </c>
      <c r="XEU611" s="17">
        <v>44925</v>
      </c>
      <c r="XEV611" s="5" t="s">
        <v>3728</v>
      </c>
      <c r="XEW611" s="17">
        <v>44925</v>
      </c>
      <c r="XEX611" s="5" t="s">
        <v>3728</v>
      </c>
      <c r="XEY611" s="17">
        <v>44925</v>
      </c>
      <c r="XEZ611" s="5" t="s">
        <v>3728</v>
      </c>
      <c r="XFA611" s="17">
        <v>44925</v>
      </c>
      <c r="XFB611" s="5" t="s">
        <v>3728</v>
      </c>
    </row>
    <row r="612" spans="1:16382" ht="17.25" customHeight="1" x14ac:dyDescent="0.3">
      <c r="A612" s="169">
        <f t="shared" si="66"/>
        <v>526</v>
      </c>
      <c r="B612" s="21" t="s">
        <v>612</v>
      </c>
      <c r="C612" s="5">
        <v>1959</v>
      </c>
      <c r="D612" s="3"/>
      <c r="E612" s="15" t="s">
        <v>3645</v>
      </c>
      <c r="F612" s="15">
        <v>3</v>
      </c>
      <c r="G612" s="100"/>
      <c r="H612" s="15">
        <v>1434</v>
      </c>
      <c r="I612" s="15">
        <v>64</v>
      </c>
      <c r="J612" s="19">
        <f t="shared" si="70"/>
        <v>267665.78000000003</v>
      </c>
      <c r="K612" s="105"/>
      <c r="L612" s="105"/>
      <c r="M612" s="105"/>
      <c r="N612" s="19">
        <f>SUMIF('2020'!B:B,B612,'2020'!C:C)+SUMIF('2021'!B:B,B612,'2021'!C:C)+SUMIF('2022'!B:B,B612,'2022'!C:C)</f>
        <v>267665.78000000003</v>
      </c>
      <c r="O612" s="17">
        <v>44925</v>
      </c>
      <c r="P612" s="5" t="s">
        <v>3728</v>
      </c>
      <c r="Q612" s="17">
        <v>44925</v>
      </c>
      <c r="R612" s="5" t="s">
        <v>3728</v>
      </c>
      <c r="S612" s="17">
        <v>44925</v>
      </c>
      <c r="T612" s="5" t="s">
        <v>3728</v>
      </c>
      <c r="U612" s="17">
        <v>44925</v>
      </c>
      <c r="V612" s="5" t="s">
        <v>3728</v>
      </c>
      <c r="W612" s="17">
        <v>44925</v>
      </c>
      <c r="X612" s="5" t="s">
        <v>3728</v>
      </c>
      <c r="Y612" s="17">
        <v>44925</v>
      </c>
      <c r="Z612" s="5" t="s">
        <v>3728</v>
      </c>
      <c r="AA612" s="17">
        <v>44925</v>
      </c>
      <c r="AB612" s="5" t="s">
        <v>3728</v>
      </c>
      <c r="AC612" s="17">
        <v>44925</v>
      </c>
      <c r="AD612" s="5" t="s">
        <v>3728</v>
      </c>
      <c r="AE612" s="17">
        <v>44925</v>
      </c>
      <c r="AF612" s="5" t="s">
        <v>3728</v>
      </c>
      <c r="AG612" s="17">
        <v>44925</v>
      </c>
      <c r="AH612" s="5" t="s">
        <v>3728</v>
      </c>
      <c r="AI612" s="17">
        <v>44925</v>
      </c>
      <c r="AJ612" s="5" t="s">
        <v>3728</v>
      </c>
      <c r="AK612" s="17">
        <v>44925</v>
      </c>
      <c r="AL612" s="5" t="s">
        <v>3728</v>
      </c>
      <c r="AM612" s="17">
        <v>44925</v>
      </c>
      <c r="AN612" s="5" t="s">
        <v>3728</v>
      </c>
      <c r="AO612" s="17">
        <v>44925</v>
      </c>
      <c r="AP612" s="5" t="s">
        <v>3728</v>
      </c>
      <c r="AQ612" s="17">
        <v>44925</v>
      </c>
      <c r="AR612" s="5" t="s">
        <v>3728</v>
      </c>
      <c r="AS612" s="17">
        <v>44925</v>
      </c>
      <c r="AT612" s="5" t="s">
        <v>3728</v>
      </c>
      <c r="AU612" s="17">
        <v>44925</v>
      </c>
      <c r="AV612" s="5" t="s">
        <v>3728</v>
      </c>
      <c r="AW612" s="17">
        <v>44925</v>
      </c>
      <c r="AX612" s="5" t="s">
        <v>3728</v>
      </c>
      <c r="AY612" s="17">
        <v>44925</v>
      </c>
      <c r="AZ612" s="5" t="s">
        <v>3728</v>
      </c>
      <c r="BA612" s="17">
        <v>44925</v>
      </c>
      <c r="BB612" s="5" t="s">
        <v>3728</v>
      </c>
      <c r="BC612" s="17">
        <v>44925</v>
      </c>
      <c r="BD612" s="5" t="s">
        <v>3728</v>
      </c>
      <c r="BE612" s="17">
        <v>44925</v>
      </c>
      <c r="BF612" s="5" t="s">
        <v>3728</v>
      </c>
      <c r="BG612" s="17">
        <v>44925</v>
      </c>
      <c r="BH612" s="5" t="s">
        <v>3728</v>
      </c>
      <c r="BI612" s="17">
        <v>44925</v>
      </c>
      <c r="BJ612" s="5" t="s">
        <v>3728</v>
      </c>
      <c r="BK612" s="17">
        <v>44925</v>
      </c>
      <c r="BL612" s="5" t="s">
        <v>3728</v>
      </c>
      <c r="BM612" s="17">
        <v>44925</v>
      </c>
      <c r="BN612" s="5" t="s">
        <v>3728</v>
      </c>
      <c r="BO612" s="17">
        <v>44925</v>
      </c>
      <c r="BP612" s="5" t="s">
        <v>3728</v>
      </c>
      <c r="BQ612" s="17">
        <v>44925</v>
      </c>
      <c r="BR612" s="5" t="s">
        <v>3728</v>
      </c>
      <c r="BS612" s="17">
        <v>44925</v>
      </c>
      <c r="BT612" s="5" t="s">
        <v>3728</v>
      </c>
      <c r="BU612" s="17">
        <v>44925</v>
      </c>
      <c r="BV612" s="5" t="s">
        <v>3728</v>
      </c>
      <c r="BW612" s="17">
        <v>44925</v>
      </c>
      <c r="BX612" s="5" t="s">
        <v>3728</v>
      </c>
      <c r="BY612" s="17">
        <v>44925</v>
      </c>
      <c r="BZ612" s="5" t="s">
        <v>3728</v>
      </c>
      <c r="CA612" s="17">
        <v>44925</v>
      </c>
      <c r="CB612" s="5" t="s">
        <v>3728</v>
      </c>
      <c r="CC612" s="17">
        <v>44925</v>
      </c>
      <c r="CD612" s="5" t="s">
        <v>3728</v>
      </c>
      <c r="CE612" s="17">
        <v>44925</v>
      </c>
      <c r="CF612" s="5" t="s">
        <v>3728</v>
      </c>
      <c r="CG612" s="17">
        <v>44925</v>
      </c>
      <c r="CH612" s="5" t="s">
        <v>3728</v>
      </c>
      <c r="CI612" s="17">
        <v>44925</v>
      </c>
      <c r="CJ612" s="5" t="s">
        <v>3728</v>
      </c>
      <c r="CK612" s="17">
        <v>44925</v>
      </c>
      <c r="CL612" s="5" t="s">
        <v>3728</v>
      </c>
      <c r="CM612" s="17">
        <v>44925</v>
      </c>
      <c r="CN612" s="5" t="s">
        <v>3728</v>
      </c>
      <c r="CO612" s="17">
        <v>44925</v>
      </c>
      <c r="CP612" s="5" t="s">
        <v>3728</v>
      </c>
      <c r="CQ612" s="17">
        <v>44925</v>
      </c>
      <c r="CR612" s="5" t="s">
        <v>3728</v>
      </c>
      <c r="CS612" s="17">
        <v>44925</v>
      </c>
      <c r="CT612" s="5" t="s">
        <v>3728</v>
      </c>
      <c r="CU612" s="17">
        <v>44925</v>
      </c>
      <c r="CV612" s="5" t="s">
        <v>3728</v>
      </c>
      <c r="CW612" s="17">
        <v>44925</v>
      </c>
      <c r="CX612" s="5" t="s">
        <v>3728</v>
      </c>
      <c r="CY612" s="17">
        <v>44925</v>
      </c>
      <c r="CZ612" s="5" t="s">
        <v>3728</v>
      </c>
      <c r="DA612" s="17">
        <v>44925</v>
      </c>
      <c r="DB612" s="5" t="s">
        <v>3728</v>
      </c>
      <c r="DC612" s="17">
        <v>44925</v>
      </c>
      <c r="DD612" s="5" t="s">
        <v>3728</v>
      </c>
      <c r="DE612" s="17">
        <v>44925</v>
      </c>
      <c r="DF612" s="5" t="s">
        <v>3728</v>
      </c>
      <c r="DG612" s="17">
        <v>44925</v>
      </c>
      <c r="DH612" s="5" t="s">
        <v>3728</v>
      </c>
      <c r="DI612" s="17">
        <v>44925</v>
      </c>
      <c r="DJ612" s="5" t="s">
        <v>3728</v>
      </c>
      <c r="DK612" s="17">
        <v>44925</v>
      </c>
      <c r="DL612" s="5" t="s">
        <v>3728</v>
      </c>
      <c r="DM612" s="17">
        <v>44925</v>
      </c>
      <c r="DN612" s="5" t="s">
        <v>3728</v>
      </c>
      <c r="DO612" s="17">
        <v>44925</v>
      </c>
      <c r="DP612" s="5" t="s">
        <v>3728</v>
      </c>
      <c r="DQ612" s="17">
        <v>44925</v>
      </c>
      <c r="DR612" s="5" t="s">
        <v>3728</v>
      </c>
      <c r="DS612" s="17">
        <v>44925</v>
      </c>
      <c r="DT612" s="5" t="s">
        <v>3728</v>
      </c>
      <c r="DU612" s="17">
        <v>44925</v>
      </c>
      <c r="DV612" s="5" t="s">
        <v>3728</v>
      </c>
      <c r="DW612" s="17">
        <v>44925</v>
      </c>
      <c r="DX612" s="5" t="s">
        <v>3728</v>
      </c>
      <c r="DY612" s="17">
        <v>44925</v>
      </c>
      <c r="DZ612" s="5" t="s">
        <v>3728</v>
      </c>
      <c r="EA612" s="17">
        <v>44925</v>
      </c>
      <c r="EB612" s="5" t="s">
        <v>3728</v>
      </c>
      <c r="EC612" s="17">
        <v>44925</v>
      </c>
      <c r="ED612" s="5" t="s">
        <v>3728</v>
      </c>
      <c r="EE612" s="17">
        <v>44925</v>
      </c>
      <c r="EF612" s="5" t="s">
        <v>3728</v>
      </c>
      <c r="EG612" s="17">
        <v>44925</v>
      </c>
      <c r="EH612" s="5" t="s">
        <v>3728</v>
      </c>
      <c r="EI612" s="17">
        <v>44925</v>
      </c>
      <c r="EJ612" s="5" t="s">
        <v>3728</v>
      </c>
      <c r="EK612" s="17">
        <v>44925</v>
      </c>
      <c r="EL612" s="5" t="s">
        <v>3728</v>
      </c>
      <c r="EM612" s="17">
        <v>44925</v>
      </c>
      <c r="EN612" s="5" t="s">
        <v>3728</v>
      </c>
      <c r="EO612" s="17">
        <v>44925</v>
      </c>
      <c r="EP612" s="5" t="s">
        <v>3728</v>
      </c>
      <c r="EQ612" s="17">
        <v>44925</v>
      </c>
      <c r="ER612" s="5" t="s">
        <v>3728</v>
      </c>
      <c r="ES612" s="17">
        <v>44925</v>
      </c>
      <c r="ET612" s="5" t="s">
        <v>3728</v>
      </c>
      <c r="EU612" s="17">
        <v>44925</v>
      </c>
      <c r="EV612" s="5" t="s">
        <v>3728</v>
      </c>
      <c r="EW612" s="17">
        <v>44925</v>
      </c>
      <c r="EX612" s="5" t="s">
        <v>3728</v>
      </c>
      <c r="EY612" s="17">
        <v>44925</v>
      </c>
      <c r="EZ612" s="5" t="s">
        <v>3728</v>
      </c>
      <c r="FA612" s="17">
        <v>44925</v>
      </c>
      <c r="FB612" s="5" t="s">
        <v>3728</v>
      </c>
      <c r="FC612" s="17">
        <v>44925</v>
      </c>
      <c r="FD612" s="5" t="s">
        <v>3728</v>
      </c>
      <c r="FE612" s="17">
        <v>44925</v>
      </c>
      <c r="FF612" s="5" t="s">
        <v>3728</v>
      </c>
      <c r="FG612" s="17">
        <v>44925</v>
      </c>
      <c r="FH612" s="5" t="s">
        <v>3728</v>
      </c>
      <c r="FI612" s="17">
        <v>44925</v>
      </c>
      <c r="FJ612" s="5" t="s">
        <v>3728</v>
      </c>
      <c r="FK612" s="17">
        <v>44925</v>
      </c>
      <c r="FL612" s="5" t="s">
        <v>3728</v>
      </c>
      <c r="FM612" s="17">
        <v>44925</v>
      </c>
      <c r="FN612" s="5" t="s">
        <v>3728</v>
      </c>
      <c r="FO612" s="17">
        <v>44925</v>
      </c>
      <c r="FP612" s="5" t="s">
        <v>3728</v>
      </c>
      <c r="FQ612" s="17">
        <v>44925</v>
      </c>
      <c r="FR612" s="5" t="s">
        <v>3728</v>
      </c>
      <c r="FS612" s="17">
        <v>44925</v>
      </c>
      <c r="FT612" s="5" t="s">
        <v>3728</v>
      </c>
      <c r="FU612" s="17">
        <v>44925</v>
      </c>
      <c r="FV612" s="5" t="s">
        <v>3728</v>
      </c>
      <c r="FW612" s="17">
        <v>44925</v>
      </c>
      <c r="FX612" s="5" t="s">
        <v>3728</v>
      </c>
      <c r="FY612" s="17">
        <v>44925</v>
      </c>
      <c r="FZ612" s="5" t="s">
        <v>3728</v>
      </c>
      <c r="GA612" s="17">
        <v>44925</v>
      </c>
      <c r="GB612" s="5" t="s">
        <v>3728</v>
      </c>
      <c r="GC612" s="17">
        <v>44925</v>
      </c>
      <c r="GD612" s="5" t="s">
        <v>3728</v>
      </c>
      <c r="GE612" s="17">
        <v>44925</v>
      </c>
      <c r="GF612" s="5" t="s">
        <v>3728</v>
      </c>
      <c r="GG612" s="17">
        <v>44925</v>
      </c>
      <c r="GH612" s="5" t="s">
        <v>3728</v>
      </c>
      <c r="GI612" s="17">
        <v>44925</v>
      </c>
      <c r="GJ612" s="5" t="s">
        <v>3728</v>
      </c>
      <c r="GK612" s="17">
        <v>44925</v>
      </c>
      <c r="GL612" s="5" t="s">
        <v>3728</v>
      </c>
      <c r="GM612" s="17">
        <v>44925</v>
      </c>
      <c r="GN612" s="5" t="s">
        <v>3728</v>
      </c>
      <c r="GO612" s="17">
        <v>44925</v>
      </c>
      <c r="GP612" s="5" t="s">
        <v>3728</v>
      </c>
      <c r="GQ612" s="17">
        <v>44925</v>
      </c>
      <c r="GR612" s="5" t="s">
        <v>3728</v>
      </c>
      <c r="GS612" s="17">
        <v>44925</v>
      </c>
      <c r="GT612" s="5" t="s">
        <v>3728</v>
      </c>
      <c r="GU612" s="17">
        <v>44925</v>
      </c>
      <c r="GV612" s="5" t="s">
        <v>3728</v>
      </c>
      <c r="GW612" s="17">
        <v>44925</v>
      </c>
      <c r="GX612" s="5" t="s">
        <v>3728</v>
      </c>
      <c r="GY612" s="17">
        <v>44925</v>
      </c>
      <c r="GZ612" s="5" t="s">
        <v>3728</v>
      </c>
      <c r="HA612" s="17">
        <v>44925</v>
      </c>
      <c r="HB612" s="5" t="s">
        <v>3728</v>
      </c>
      <c r="HC612" s="17">
        <v>44925</v>
      </c>
      <c r="HD612" s="5" t="s">
        <v>3728</v>
      </c>
      <c r="HE612" s="17">
        <v>44925</v>
      </c>
      <c r="HF612" s="5" t="s">
        <v>3728</v>
      </c>
      <c r="HG612" s="17">
        <v>44925</v>
      </c>
      <c r="HH612" s="5" t="s">
        <v>3728</v>
      </c>
      <c r="HI612" s="17">
        <v>44925</v>
      </c>
      <c r="HJ612" s="5" t="s">
        <v>3728</v>
      </c>
      <c r="HK612" s="17">
        <v>44925</v>
      </c>
      <c r="HL612" s="5" t="s">
        <v>3728</v>
      </c>
      <c r="HM612" s="17">
        <v>44925</v>
      </c>
      <c r="HN612" s="5" t="s">
        <v>3728</v>
      </c>
      <c r="HO612" s="17">
        <v>44925</v>
      </c>
      <c r="HP612" s="5" t="s">
        <v>3728</v>
      </c>
      <c r="HQ612" s="17">
        <v>44925</v>
      </c>
      <c r="HR612" s="5" t="s">
        <v>3728</v>
      </c>
      <c r="HS612" s="17">
        <v>44925</v>
      </c>
      <c r="HT612" s="5" t="s">
        <v>3728</v>
      </c>
      <c r="HU612" s="17">
        <v>44925</v>
      </c>
      <c r="HV612" s="5" t="s">
        <v>3728</v>
      </c>
      <c r="HW612" s="17">
        <v>44925</v>
      </c>
      <c r="HX612" s="5" t="s">
        <v>3728</v>
      </c>
      <c r="HY612" s="17">
        <v>44925</v>
      </c>
      <c r="HZ612" s="5" t="s">
        <v>3728</v>
      </c>
      <c r="IA612" s="17">
        <v>44925</v>
      </c>
      <c r="IB612" s="5" t="s">
        <v>3728</v>
      </c>
      <c r="IC612" s="17">
        <v>44925</v>
      </c>
      <c r="ID612" s="5" t="s">
        <v>3728</v>
      </c>
      <c r="IE612" s="17">
        <v>44925</v>
      </c>
      <c r="IF612" s="5" t="s">
        <v>3728</v>
      </c>
      <c r="IG612" s="17">
        <v>44925</v>
      </c>
      <c r="IH612" s="5" t="s">
        <v>3728</v>
      </c>
      <c r="II612" s="17">
        <v>44925</v>
      </c>
      <c r="IJ612" s="5" t="s">
        <v>3728</v>
      </c>
      <c r="IK612" s="17">
        <v>44925</v>
      </c>
      <c r="IL612" s="5" t="s">
        <v>3728</v>
      </c>
      <c r="IM612" s="17">
        <v>44925</v>
      </c>
      <c r="IN612" s="5" t="s">
        <v>3728</v>
      </c>
      <c r="IO612" s="17">
        <v>44925</v>
      </c>
      <c r="IP612" s="5" t="s">
        <v>3728</v>
      </c>
      <c r="IQ612" s="17">
        <v>44925</v>
      </c>
      <c r="IR612" s="5" t="s">
        <v>3728</v>
      </c>
      <c r="IS612" s="17">
        <v>44925</v>
      </c>
      <c r="IT612" s="5" t="s">
        <v>3728</v>
      </c>
      <c r="IU612" s="17">
        <v>44925</v>
      </c>
      <c r="IV612" s="5" t="s">
        <v>3728</v>
      </c>
      <c r="IW612" s="17">
        <v>44925</v>
      </c>
      <c r="IX612" s="5" t="s">
        <v>3728</v>
      </c>
      <c r="IY612" s="17">
        <v>44925</v>
      </c>
      <c r="IZ612" s="5" t="s">
        <v>3728</v>
      </c>
      <c r="JA612" s="17">
        <v>44925</v>
      </c>
      <c r="JB612" s="5" t="s">
        <v>3728</v>
      </c>
      <c r="JC612" s="17">
        <v>44925</v>
      </c>
      <c r="JD612" s="5" t="s">
        <v>3728</v>
      </c>
      <c r="JE612" s="17">
        <v>44925</v>
      </c>
      <c r="JF612" s="5" t="s">
        <v>3728</v>
      </c>
      <c r="JG612" s="17">
        <v>44925</v>
      </c>
      <c r="JH612" s="5" t="s">
        <v>3728</v>
      </c>
      <c r="JI612" s="17">
        <v>44925</v>
      </c>
      <c r="JJ612" s="5" t="s">
        <v>3728</v>
      </c>
      <c r="JK612" s="17">
        <v>44925</v>
      </c>
      <c r="JL612" s="5" t="s">
        <v>3728</v>
      </c>
      <c r="JM612" s="17">
        <v>44925</v>
      </c>
      <c r="JN612" s="5" t="s">
        <v>3728</v>
      </c>
      <c r="JO612" s="17">
        <v>44925</v>
      </c>
      <c r="JP612" s="5" t="s">
        <v>3728</v>
      </c>
      <c r="JQ612" s="17">
        <v>44925</v>
      </c>
      <c r="JR612" s="5" t="s">
        <v>3728</v>
      </c>
      <c r="JS612" s="17">
        <v>44925</v>
      </c>
      <c r="JT612" s="5" t="s">
        <v>3728</v>
      </c>
      <c r="JU612" s="17">
        <v>44925</v>
      </c>
      <c r="JV612" s="5" t="s">
        <v>3728</v>
      </c>
      <c r="JW612" s="17">
        <v>44925</v>
      </c>
      <c r="JX612" s="5" t="s">
        <v>3728</v>
      </c>
      <c r="JY612" s="17">
        <v>44925</v>
      </c>
      <c r="JZ612" s="5" t="s">
        <v>3728</v>
      </c>
      <c r="KA612" s="17">
        <v>44925</v>
      </c>
      <c r="KB612" s="5" t="s">
        <v>3728</v>
      </c>
      <c r="KC612" s="17">
        <v>44925</v>
      </c>
      <c r="KD612" s="5" t="s">
        <v>3728</v>
      </c>
      <c r="KE612" s="17">
        <v>44925</v>
      </c>
      <c r="KF612" s="5" t="s">
        <v>3728</v>
      </c>
      <c r="KG612" s="17">
        <v>44925</v>
      </c>
      <c r="KH612" s="5" t="s">
        <v>3728</v>
      </c>
      <c r="KI612" s="17">
        <v>44925</v>
      </c>
      <c r="KJ612" s="5" t="s">
        <v>3728</v>
      </c>
      <c r="KK612" s="17">
        <v>44925</v>
      </c>
      <c r="KL612" s="5" t="s">
        <v>3728</v>
      </c>
      <c r="KM612" s="17">
        <v>44925</v>
      </c>
      <c r="KN612" s="5" t="s">
        <v>3728</v>
      </c>
      <c r="KO612" s="17">
        <v>44925</v>
      </c>
      <c r="KP612" s="5" t="s">
        <v>3728</v>
      </c>
      <c r="KQ612" s="17">
        <v>44925</v>
      </c>
      <c r="KR612" s="5" t="s">
        <v>3728</v>
      </c>
      <c r="KS612" s="17">
        <v>44925</v>
      </c>
      <c r="KT612" s="5" t="s">
        <v>3728</v>
      </c>
      <c r="KU612" s="17">
        <v>44925</v>
      </c>
      <c r="KV612" s="5" t="s">
        <v>3728</v>
      </c>
      <c r="KW612" s="17">
        <v>44925</v>
      </c>
      <c r="KX612" s="5" t="s">
        <v>3728</v>
      </c>
      <c r="KY612" s="17">
        <v>44925</v>
      </c>
      <c r="KZ612" s="5" t="s">
        <v>3728</v>
      </c>
      <c r="LA612" s="17">
        <v>44925</v>
      </c>
      <c r="LB612" s="5" t="s">
        <v>3728</v>
      </c>
      <c r="LC612" s="17">
        <v>44925</v>
      </c>
      <c r="LD612" s="5" t="s">
        <v>3728</v>
      </c>
      <c r="LE612" s="17">
        <v>44925</v>
      </c>
      <c r="LF612" s="5" t="s">
        <v>3728</v>
      </c>
      <c r="LG612" s="17">
        <v>44925</v>
      </c>
      <c r="LH612" s="5" t="s">
        <v>3728</v>
      </c>
      <c r="LI612" s="17">
        <v>44925</v>
      </c>
      <c r="LJ612" s="5" t="s">
        <v>3728</v>
      </c>
      <c r="LK612" s="17">
        <v>44925</v>
      </c>
      <c r="LL612" s="5" t="s">
        <v>3728</v>
      </c>
      <c r="LM612" s="17">
        <v>44925</v>
      </c>
      <c r="LN612" s="5" t="s">
        <v>3728</v>
      </c>
      <c r="LO612" s="17">
        <v>44925</v>
      </c>
      <c r="LP612" s="5" t="s">
        <v>3728</v>
      </c>
      <c r="LQ612" s="17">
        <v>44925</v>
      </c>
      <c r="LR612" s="5" t="s">
        <v>3728</v>
      </c>
      <c r="LS612" s="17">
        <v>44925</v>
      </c>
      <c r="LT612" s="5" t="s">
        <v>3728</v>
      </c>
      <c r="LU612" s="17">
        <v>44925</v>
      </c>
      <c r="LV612" s="5" t="s">
        <v>3728</v>
      </c>
      <c r="LW612" s="17">
        <v>44925</v>
      </c>
      <c r="LX612" s="5" t="s">
        <v>3728</v>
      </c>
      <c r="LY612" s="17">
        <v>44925</v>
      </c>
      <c r="LZ612" s="5" t="s">
        <v>3728</v>
      </c>
      <c r="MA612" s="17">
        <v>44925</v>
      </c>
      <c r="MB612" s="5" t="s">
        <v>3728</v>
      </c>
      <c r="MC612" s="17">
        <v>44925</v>
      </c>
      <c r="MD612" s="5" t="s">
        <v>3728</v>
      </c>
      <c r="ME612" s="17">
        <v>44925</v>
      </c>
      <c r="MF612" s="5" t="s">
        <v>3728</v>
      </c>
      <c r="MG612" s="17">
        <v>44925</v>
      </c>
      <c r="MH612" s="5" t="s">
        <v>3728</v>
      </c>
      <c r="MI612" s="17">
        <v>44925</v>
      </c>
      <c r="MJ612" s="5" t="s">
        <v>3728</v>
      </c>
      <c r="MK612" s="17">
        <v>44925</v>
      </c>
      <c r="ML612" s="5" t="s">
        <v>3728</v>
      </c>
      <c r="MM612" s="17">
        <v>44925</v>
      </c>
      <c r="MN612" s="5" t="s">
        <v>3728</v>
      </c>
      <c r="MO612" s="17">
        <v>44925</v>
      </c>
      <c r="MP612" s="5" t="s">
        <v>3728</v>
      </c>
      <c r="MQ612" s="17">
        <v>44925</v>
      </c>
      <c r="MR612" s="5" t="s">
        <v>3728</v>
      </c>
      <c r="MS612" s="17">
        <v>44925</v>
      </c>
      <c r="MT612" s="5" t="s">
        <v>3728</v>
      </c>
      <c r="MU612" s="17">
        <v>44925</v>
      </c>
      <c r="MV612" s="5" t="s">
        <v>3728</v>
      </c>
      <c r="MW612" s="17">
        <v>44925</v>
      </c>
      <c r="MX612" s="5" t="s">
        <v>3728</v>
      </c>
      <c r="MY612" s="17">
        <v>44925</v>
      </c>
      <c r="MZ612" s="5" t="s">
        <v>3728</v>
      </c>
      <c r="NA612" s="17">
        <v>44925</v>
      </c>
      <c r="NB612" s="5" t="s">
        <v>3728</v>
      </c>
      <c r="NC612" s="17">
        <v>44925</v>
      </c>
      <c r="ND612" s="5" t="s">
        <v>3728</v>
      </c>
      <c r="NE612" s="17">
        <v>44925</v>
      </c>
      <c r="NF612" s="5" t="s">
        <v>3728</v>
      </c>
      <c r="NG612" s="17">
        <v>44925</v>
      </c>
      <c r="NH612" s="5" t="s">
        <v>3728</v>
      </c>
      <c r="NI612" s="17">
        <v>44925</v>
      </c>
      <c r="NJ612" s="5" t="s">
        <v>3728</v>
      </c>
      <c r="NK612" s="17">
        <v>44925</v>
      </c>
      <c r="NL612" s="5" t="s">
        <v>3728</v>
      </c>
      <c r="NM612" s="17">
        <v>44925</v>
      </c>
      <c r="NN612" s="5" t="s">
        <v>3728</v>
      </c>
      <c r="NO612" s="17">
        <v>44925</v>
      </c>
      <c r="NP612" s="5" t="s">
        <v>3728</v>
      </c>
      <c r="NQ612" s="17">
        <v>44925</v>
      </c>
      <c r="NR612" s="5" t="s">
        <v>3728</v>
      </c>
      <c r="NS612" s="17">
        <v>44925</v>
      </c>
      <c r="NT612" s="5" t="s">
        <v>3728</v>
      </c>
      <c r="NU612" s="17">
        <v>44925</v>
      </c>
      <c r="NV612" s="5" t="s">
        <v>3728</v>
      </c>
      <c r="NW612" s="17">
        <v>44925</v>
      </c>
      <c r="NX612" s="5" t="s">
        <v>3728</v>
      </c>
      <c r="NY612" s="17">
        <v>44925</v>
      </c>
      <c r="NZ612" s="5" t="s">
        <v>3728</v>
      </c>
      <c r="OA612" s="17">
        <v>44925</v>
      </c>
      <c r="OB612" s="5" t="s">
        <v>3728</v>
      </c>
      <c r="OC612" s="17">
        <v>44925</v>
      </c>
      <c r="OD612" s="5" t="s">
        <v>3728</v>
      </c>
      <c r="OE612" s="17">
        <v>44925</v>
      </c>
      <c r="OF612" s="5" t="s">
        <v>3728</v>
      </c>
      <c r="OG612" s="17">
        <v>44925</v>
      </c>
      <c r="OH612" s="5" t="s">
        <v>3728</v>
      </c>
      <c r="OI612" s="17">
        <v>44925</v>
      </c>
      <c r="OJ612" s="5" t="s">
        <v>3728</v>
      </c>
      <c r="OK612" s="17">
        <v>44925</v>
      </c>
      <c r="OL612" s="5" t="s">
        <v>3728</v>
      </c>
      <c r="OM612" s="17">
        <v>44925</v>
      </c>
      <c r="ON612" s="5" t="s">
        <v>3728</v>
      </c>
      <c r="OO612" s="17">
        <v>44925</v>
      </c>
      <c r="OP612" s="5" t="s">
        <v>3728</v>
      </c>
      <c r="OQ612" s="17">
        <v>44925</v>
      </c>
      <c r="OR612" s="5" t="s">
        <v>3728</v>
      </c>
      <c r="OS612" s="17">
        <v>44925</v>
      </c>
      <c r="OT612" s="5" t="s">
        <v>3728</v>
      </c>
      <c r="OU612" s="17">
        <v>44925</v>
      </c>
      <c r="OV612" s="5" t="s">
        <v>3728</v>
      </c>
      <c r="OW612" s="17">
        <v>44925</v>
      </c>
      <c r="OX612" s="5" t="s">
        <v>3728</v>
      </c>
      <c r="OY612" s="17">
        <v>44925</v>
      </c>
      <c r="OZ612" s="5" t="s">
        <v>3728</v>
      </c>
      <c r="PA612" s="17">
        <v>44925</v>
      </c>
      <c r="PB612" s="5" t="s">
        <v>3728</v>
      </c>
      <c r="PC612" s="17">
        <v>44925</v>
      </c>
      <c r="PD612" s="5" t="s">
        <v>3728</v>
      </c>
      <c r="PE612" s="17">
        <v>44925</v>
      </c>
      <c r="PF612" s="5" t="s">
        <v>3728</v>
      </c>
      <c r="PG612" s="17">
        <v>44925</v>
      </c>
      <c r="PH612" s="5" t="s">
        <v>3728</v>
      </c>
      <c r="PI612" s="17">
        <v>44925</v>
      </c>
      <c r="PJ612" s="5" t="s">
        <v>3728</v>
      </c>
      <c r="PK612" s="17">
        <v>44925</v>
      </c>
      <c r="PL612" s="5" t="s">
        <v>3728</v>
      </c>
      <c r="PM612" s="17">
        <v>44925</v>
      </c>
      <c r="PN612" s="5" t="s">
        <v>3728</v>
      </c>
      <c r="PO612" s="17">
        <v>44925</v>
      </c>
      <c r="PP612" s="5" t="s">
        <v>3728</v>
      </c>
      <c r="PQ612" s="17">
        <v>44925</v>
      </c>
      <c r="PR612" s="5" t="s">
        <v>3728</v>
      </c>
      <c r="PS612" s="17">
        <v>44925</v>
      </c>
      <c r="PT612" s="5" t="s">
        <v>3728</v>
      </c>
      <c r="PU612" s="17">
        <v>44925</v>
      </c>
      <c r="PV612" s="5" t="s">
        <v>3728</v>
      </c>
      <c r="PW612" s="17">
        <v>44925</v>
      </c>
      <c r="PX612" s="5" t="s">
        <v>3728</v>
      </c>
      <c r="PY612" s="17">
        <v>44925</v>
      </c>
      <c r="PZ612" s="5" t="s">
        <v>3728</v>
      </c>
      <c r="QA612" s="17">
        <v>44925</v>
      </c>
      <c r="QB612" s="5" t="s">
        <v>3728</v>
      </c>
      <c r="QC612" s="17">
        <v>44925</v>
      </c>
      <c r="QD612" s="5" t="s">
        <v>3728</v>
      </c>
      <c r="QE612" s="17">
        <v>44925</v>
      </c>
      <c r="QF612" s="5" t="s">
        <v>3728</v>
      </c>
      <c r="QG612" s="17">
        <v>44925</v>
      </c>
      <c r="QH612" s="5" t="s">
        <v>3728</v>
      </c>
      <c r="QI612" s="17">
        <v>44925</v>
      </c>
      <c r="QJ612" s="5" t="s">
        <v>3728</v>
      </c>
      <c r="QK612" s="17">
        <v>44925</v>
      </c>
      <c r="QL612" s="5" t="s">
        <v>3728</v>
      </c>
      <c r="QM612" s="17">
        <v>44925</v>
      </c>
      <c r="QN612" s="5" t="s">
        <v>3728</v>
      </c>
      <c r="QO612" s="17">
        <v>44925</v>
      </c>
      <c r="QP612" s="5" t="s">
        <v>3728</v>
      </c>
      <c r="QQ612" s="17">
        <v>44925</v>
      </c>
      <c r="QR612" s="5" t="s">
        <v>3728</v>
      </c>
      <c r="QS612" s="17">
        <v>44925</v>
      </c>
      <c r="QT612" s="5" t="s">
        <v>3728</v>
      </c>
      <c r="QU612" s="17">
        <v>44925</v>
      </c>
      <c r="QV612" s="5" t="s">
        <v>3728</v>
      </c>
      <c r="QW612" s="17">
        <v>44925</v>
      </c>
      <c r="QX612" s="5" t="s">
        <v>3728</v>
      </c>
      <c r="QY612" s="17">
        <v>44925</v>
      </c>
      <c r="QZ612" s="5" t="s">
        <v>3728</v>
      </c>
      <c r="RA612" s="17">
        <v>44925</v>
      </c>
      <c r="RB612" s="5" t="s">
        <v>3728</v>
      </c>
      <c r="RC612" s="17">
        <v>44925</v>
      </c>
      <c r="RD612" s="5" t="s">
        <v>3728</v>
      </c>
      <c r="RE612" s="17">
        <v>44925</v>
      </c>
      <c r="RF612" s="5" t="s">
        <v>3728</v>
      </c>
      <c r="RG612" s="17">
        <v>44925</v>
      </c>
      <c r="RH612" s="5" t="s">
        <v>3728</v>
      </c>
      <c r="RI612" s="17">
        <v>44925</v>
      </c>
      <c r="RJ612" s="5" t="s">
        <v>3728</v>
      </c>
      <c r="RK612" s="17">
        <v>44925</v>
      </c>
      <c r="RL612" s="5" t="s">
        <v>3728</v>
      </c>
      <c r="RM612" s="17">
        <v>44925</v>
      </c>
      <c r="RN612" s="5" t="s">
        <v>3728</v>
      </c>
      <c r="RO612" s="17">
        <v>44925</v>
      </c>
      <c r="RP612" s="5" t="s">
        <v>3728</v>
      </c>
      <c r="RQ612" s="17">
        <v>44925</v>
      </c>
      <c r="RR612" s="5" t="s">
        <v>3728</v>
      </c>
      <c r="RS612" s="17">
        <v>44925</v>
      </c>
      <c r="RT612" s="5" t="s">
        <v>3728</v>
      </c>
      <c r="RU612" s="17">
        <v>44925</v>
      </c>
      <c r="RV612" s="5" t="s">
        <v>3728</v>
      </c>
      <c r="RW612" s="17">
        <v>44925</v>
      </c>
      <c r="RX612" s="5" t="s">
        <v>3728</v>
      </c>
      <c r="RY612" s="17">
        <v>44925</v>
      </c>
      <c r="RZ612" s="5" t="s">
        <v>3728</v>
      </c>
      <c r="SA612" s="17">
        <v>44925</v>
      </c>
      <c r="SB612" s="5" t="s">
        <v>3728</v>
      </c>
      <c r="SC612" s="17">
        <v>44925</v>
      </c>
      <c r="SD612" s="5" t="s">
        <v>3728</v>
      </c>
      <c r="SE612" s="17">
        <v>44925</v>
      </c>
      <c r="SF612" s="5" t="s">
        <v>3728</v>
      </c>
      <c r="SG612" s="17">
        <v>44925</v>
      </c>
      <c r="SH612" s="5" t="s">
        <v>3728</v>
      </c>
      <c r="SI612" s="17">
        <v>44925</v>
      </c>
      <c r="SJ612" s="5" t="s">
        <v>3728</v>
      </c>
      <c r="SK612" s="17">
        <v>44925</v>
      </c>
      <c r="SL612" s="5" t="s">
        <v>3728</v>
      </c>
      <c r="SM612" s="17">
        <v>44925</v>
      </c>
      <c r="SN612" s="5" t="s">
        <v>3728</v>
      </c>
      <c r="SO612" s="17">
        <v>44925</v>
      </c>
      <c r="SP612" s="5" t="s">
        <v>3728</v>
      </c>
      <c r="SQ612" s="17">
        <v>44925</v>
      </c>
      <c r="SR612" s="5" t="s">
        <v>3728</v>
      </c>
      <c r="SS612" s="17">
        <v>44925</v>
      </c>
      <c r="ST612" s="5" t="s">
        <v>3728</v>
      </c>
      <c r="SU612" s="17">
        <v>44925</v>
      </c>
      <c r="SV612" s="5" t="s">
        <v>3728</v>
      </c>
      <c r="SW612" s="17">
        <v>44925</v>
      </c>
      <c r="SX612" s="5" t="s">
        <v>3728</v>
      </c>
      <c r="SY612" s="17">
        <v>44925</v>
      </c>
      <c r="SZ612" s="5" t="s">
        <v>3728</v>
      </c>
      <c r="TA612" s="17">
        <v>44925</v>
      </c>
      <c r="TB612" s="5" t="s">
        <v>3728</v>
      </c>
      <c r="TC612" s="17">
        <v>44925</v>
      </c>
      <c r="TD612" s="5" t="s">
        <v>3728</v>
      </c>
      <c r="TE612" s="17">
        <v>44925</v>
      </c>
      <c r="TF612" s="5" t="s">
        <v>3728</v>
      </c>
      <c r="TG612" s="17">
        <v>44925</v>
      </c>
      <c r="TH612" s="5" t="s">
        <v>3728</v>
      </c>
      <c r="TI612" s="17">
        <v>44925</v>
      </c>
      <c r="TJ612" s="5" t="s">
        <v>3728</v>
      </c>
      <c r="TK612" s="17">
        <v>44925</v>
      </c>
      <c r="TL612" s="5" t="s">
        <v>3728</v>
      </c>
      <c r="TM612" s="17">
        <v>44925</v>
      </c>
      <c r="TN612" s="5" t="s">
        <v>3728</v>
      </c>
      <c r="TO612" s="17">
        <v>44925</v>
      </c>
      <c r="TP612" s="5" t="s">
        <v>3728</v>
      </c>
      <c r="TQ612" s="17">
        <v>44925</v>
      </c>
      <c r="TR612" s="5" t="s">
        <v>3728</v>
      </c>
      <c r="TS612" s="17">
        <v>44925</v>
      </c>
      <c r="TT612" s="5" t="s">
        <v>3728</v>
      </c>
      <c r="TU612" s="17">
        <v>44925</v>
      </c>
      <c r="TV612" s="5" t="s">
        <v>3728</v>
      </c>
      <c r="TW612" s="17">
        <v>44925</v>
      </c>
      <c r="TX612" s="5" t="s">
        <v>3728</v>
      </c>
      <c r="TY612" s="17">
        <v>44925</v>
      </c>
      <c r="TZ612" s="5" t="s">
        <v>3728</v>
      </c>
      <c r="UA612" s="17">
        <v>44925</v>
      </c>
      <c r="UB612" s="5" t="s">
        <v>3728</v>
      </c>
      <c r="UC612" s="17">
        <v>44925</v>
      </c>
      <c r="UD612" s="5" t="s">
        <v>3728</v>
      </c>
      <c r="UE612" s="17">
        <v>44925</v>
      </c>
      <c r="UF612" s="5" t="s">
        <v>3728</v>
      </c>
      <c r="UG612" s="17">
        <v>44925</v>
      </c>
      <c r="UH612" s="5" t="s">
        <v>3728</v>
      </c>
      <c r="UI612" s="17">
        <v>44925</v>
      </c>
      <c r="UJ612" s="5" t="s">
        <v>3728</v>
      </c>
      <c r="UK612" s="17">
        <v>44925</v>
      </c>
      <c r="UL612" s="5" t="s">
        <v>3728</v>
      </c>
      <c r="UM612" s="17">
        <v>44925</v>
      </c>
      <c r="UN612" s="5" t="s">
        <v>3728</v>
      </c>
      <c r="UO612" s="17">
        <v>44925</v>
      </c>
      <c r="UP612" s="5" t="s">
        <v>3728</v>
      </c>
      <c r="UQ612" s="17">
        <v>44925</v>
      </c>
      <c r="UR612" s="5" t="s">
        <v>3728</v>
      </c>
      <c r="US612" s="17">
        <v>44925</v>
      </c>
      <c r="UT612" s="5" t="s">
        <v>3728</v>
      </c>
      <c r="UU612" s="17">
        <v>44925</v>
      </c>
      <c r="UV612" s="5" t="s">
        <v>3728</v>
      </c>
      <c r="UW612" s="17">
        <v>44925</v>
      </c>
      <c r="UX612" s="5" t="s">
        <v>3728</v>
      </c>
      <c r="UY612" s="17">
        <v>44925</v>
      </c>
      <c r="UZ612" s="5" t="s">
        <v>3728</v>
      </c>
      <c r="VA612" s="17">
        <v>44925</v>
      </c>
      <c r="VB612" s="5" t="s">
        <v>3728</v>
      </c>
      <c r="VC612" s="17">
        <v>44925</v>
      </c>
      <c r="VD612" s="5" t="s">
        <v>3728</v>
      </c>
      <c r="VE612" s="17">
        <v>44925</v>
      </c>
      <c r="VF612" s="5" t="s">
        <v>3728</v>
      </c>
      <c r="VG612" s="17">
        <v>44925</v>
      </c>
      <c r="VH612" s="5" t="s">
        <v>3728</v>
      </c>
      <c r="VI612" s="17">
        <v>44925</v>
      </c>
      <c r="VJ612" s="5" t="s">
        <v>3728</v>
      </c>
      <c r="VK612" s="17">
        <v>44925</v>
      </c>
      <c r="VL612" s="5" t="s">
        <v>3728</v>
      </c>
      <c r="VM612" s="17">
        <v>44925</v>
      </c>
      <c r="VN612" s="5" t="s">
        <v>3728</v>
      </c>
      <c r="VO612" s="17">
        <v>44925</v>
      </c>
      <c r="VP612" s="5" t="s">
        <v>3728</v>
      </c>
      <c r="VQ612" s="17">
        <v>44925</v>
      </c>
      <c r="VR612" s="5" t="s">
        <v>3728</v>
      </c>
      <c r="VS612" s="17">
        <v>44925</v>
      </c>
      <c r="VT612" s="5" t="s">
        <v>3728</v>
      </c>
      <c r="VU612" s="17">
        <v>44925</v>
      </c>
      <c r="VV612" s="5" t="s">
        <v>3728</v>
      </c>
      <c r="VW612" s="17">
        <v>44925</v>
      </c>
      <c r="VX612" s="5" t="s">
        <v>3728</v>
      </c>
      <c r="VY612" s="17">
        <v>44925</v>
      </c>
      <c r="VZ612" s="5" t="s">
        <v>3728</v>
      </c>
      <c r="WA612" s="17">
        <v>44925</v>
      </c>
      <c r="WB612" s="5" t="s">
        <v>3728</v>
      </c>
      <c r="WC612" s="17">
        <v>44925</v>
      </c>
      <c r="WD612" s="5" t="s">
        <v>3728</v>
      </c>
      <c r="WE612" s="17">
        <v>44925</v>
      </c>
      <c r="WF612" s="5" t="s">
        <v>3728</v>
      </c>
      <c r="WG612" s="17">
        <v>44925</v>
      </c>
      <c r="WH612" s="5" t="s">
        <v>3728</v>
      </c>
      <c r="WI612" s="17">
        <v>44925</v>
      </c>
      <c r="WJ612" s="5" t="s">
        <v>3728</v>
      </c>
      <c r="WK612" s="17">
        <v>44925</v>
      </c>
      <c r="WL612" s="5" t="s">
        <v>3728</v>
      </c>
      <c r="WM612" s="17">
        <v>44925</v>
      </c>
      <c r="WN612" s="5" t="s">
        <v>3728</v>
      </c>
      <c r="WO612" s="17">
        <v>44925</v>
      </c>
      <c r="WP612" s="5" t="s">
        <v>3728</v>
      </c>
      <c r="WQ612" s="17">
        <v>44925</v>
      </c>
      <c r="WR612" s="5" t="s">
        <v>3728</v>
      </c>
      <c r="WS612" s="17">
        <v>44925</v>
      </c>
      <c r="WT612" s="5" t="s">
        <v>3728</v>
      </c>
      <c r="WU612" s="17">
        <v>44925</v>
      </c>
      <c r="WV612" s="5" t="s">
        <v>3728</v>
      </c>
      <c r="WW612" s="17">
        <v>44925</v>
      </c>
      <c r="WX612" s="5" t="s">
        <v>3728</v>
      </c>
      <c r="WY612" s="17">
        <v>44925</v>
      </c>
      <c r="WZ612" s="5" t="s">
        <v>3728</v>
      </c>
      <c r="XA612" s="17">
        <v>44925</v>
      </c>
      <c r="XB612" s="5" t="s">
        <v>3728</v>
      </c>
      <c r="XC612" s="17">
        <v>44925</v>
      </c>
      <c r="XD612" s="5" t="s">
        <v>3728</v>
      </c>
      <c r="XE612" s="17">
        <v>44925</v>
      </c>
      <c r="XF612" s="5" t="s">
        <v>3728</v>
      </c>
      <c r="XG612" s="17">
        <v>44925</v>
      </c>
      <c r="XH612" s="5" t="s">
        <v>3728</v>
      </c>
      <c r="XI612" s="17">
        <v>44925</v>
      </c>
      <c r="XJ612" s="5" t="s">
        <v>3728</v>
      </c>
      <c r="XK612" s="17">
        <v>44925</v>
      </c>
      <c r="XL612" s="5" t="s">
        <v>3728</v>
      </c>
      <c r="XM612" s="17">
        <v>44925</v>
      </c>
      <c r="XN612" s="5" t="s">
        <v>3728</v>
      </c>
      <c r="XO612" s="17">
        <v>44925</v>
      </c>
      <c r="XP612" s="5" t="s">
        <v>3728</v>
      </c>
      <c r="XQ612" s="17">
        <v>44925</v>
      </c>
      <c r="XR612" s="5" t="s">
        <v>3728</v>
      </c>
      <c r="XS612" s="17">
        <v>44925</v>
      </c>
      <c r="XT612" s="5" t="s">
        <v>3728</v>
      </c>
      <c r="XU612" s="17">
        <v>44925</v>
      </c>
      <c r="XV612" s="5" t="s">
        <v>3728</v>
      </c>
      <c r="XW612" s="17">
        <v>44925</v>
      </c>
      <c r="XX612" s="5" t="s">
        <v>3728</v>
      </c>
      <c r="XY612" s="17">
        <v>44925</v>
      </c>
      <c r="XZ612" s="5" t="s">
        <v>3728</v>
      </c>
      <c r="YA612" s="17">
        <v>44925</v>
      </c>
      <c r="YB612" s="5" t="s">
        <v>3728</v>
      </c>
      <c r="YC612" s="17">
        <v>44925</v>
      </c>
      <c r="YD612" s="5" t="s">
        <v>3728</v>
      </c>
      <c r="YE612" s="17">
        <v>44925</v>
      </c>
      <c r="YF612" s="5" t="s">
        <v>3728</v>
      </c>
      <c r="YG612" s="17">
        <v>44925</v>
      </c>
      <c r="YH612" s="5" t="s">
        <v>3728</v>
      </c>
      <c r="YI612" s="17">
        <v>44925</v>
      </c>
      <c r="YJ612" s="5" t="s">
        <v>3728</v>
      </c>
      <c r="YK612" s="17">
        <v>44925</v>
      </c>
      <c r="YL612" s="5" t="s">
        <v>3728</v>
      </c>
      <c r="YM612" s="17">
        <v>44925</v>
      </c>
      <c r="YN612" s="5" t="s">
        <v>3728</v>
      </c>
      <c r="YO612" s="17">
        <v>44925</v>
      </c>
      <c r="YP612" s="5" t="s">
        <v>3728</v>
      </c>
      <c r="YQ612" s="17">
        <v>44925</v>
      </c>
      <c r="YR612" s="5" t="s">
        <v>3728</v>
      </c>
      <c r="YS612" s="17">
        <v>44925</v>
      </c>
      <c r="YT612" s="5" t="s">
        <v>3728</v>
      </c>
      <c r="YU612" s="17">
        <v>44925</v>
      </c>
      <c r="YV612" s="5" t="s">
        <v>3728</v>
      </c>
      <c r="YW612" s="17">
        <v>44925</v>
      </c>
      <c r="YX612" s="5" t="s">
        <v>3728</v>
      </c>
      <c r="YY612" s="17">
        <v>44925</v>
      </c>
      <c r="YZ612" s="5" t="s">
        <v>3728</v>
      </c>
      <c r="ZA612" s="17">
        <v>44925</v>
      </c>
      <c r="ZB612" s="5" t="s">
        <v>3728</v>
      </c>
      <c r="ZC612" s="17">
        <v>44925</v>
      </c>
      <c r="ZD612" s="5" t="s">
        <v>3728</v>
      </c>
      <c r="ZE612" s="17">
        <v>44925</v>
      </c>
      <c r="ZF612" s="5" t="s">
        <v>3728</v>
      </c>
      <c r="ZG612" s="17">
        <v>44925</v>
      </c>
      <c r="ZH612" s="5" t="s">
        <v>3728</v>
      </c>
      <c r="ZI612" s="17">
        <v>44925</v>
      </c>
      <c r="ZJ612" s="5" t="s">
        <v>3728</v>
      </c>
      <c r="ZK612" s="17">
        <v>44925</v>
      </c>
      <c r="ZL612" s="5" t="s">
        <v>3728</v>
      </c>
      <c r="ZM612" s="17">
        <v>44925</v>
      </c>
      <c r="ZN612" s="5" t="s">
        <v>3728</v>
      </c>
      <c r="ZO612" s="17">
        <v>44925</v>
      </c>
      <c r="ZP612" s="5" t="s">
        <v>3728</v>
      </c>
      <c r="ZQ612" s="17">
        <v>44925</v>
      </c>
      <c r="ZR612" s="5" t="s">
        <v>3728</v>
      </c>
      <c r="ZS612" s="17">
        <v>44925</v>
      </c>
      <c r="ZT612" s="5" t="s">
        <v>3728</v>
      </c>
      <c r="ZU612" s="17">
        <v>44925</v>
      </c>
      <c r="ZV612" s="5" t="s">
        <v>3728</v>
      </c>
      <c r="ZW612" s="17">
        <v>44925</v>
      </c>
      <c r="ZX612" s="5" t="s">
        <v>3728</v>
      </c>
      <c r="ZY612" s="17">
        <v>44925</v>
      </c>
      <c r="ZZ612" s="5" t="s">
        <v>3728</v>
      </c>
      <c r="AAA612" s="17">
        <v>44925</v>
      </c>
      <c r="AAB612" s="5" t="s">
        <v>3728</v>
      </c>
      <c r="AAC612" s="17">
        <v>44925</v>
      </c>
      <c r="AAD612" s="5" t="s">
        <v>3728</v>
      </c>
      <c r="AAE612" s="17">
        <v>44925</v>
      </c>
      <c r="AAF612" s="5" t="s">
        <v>3728</v>
      </c>
      <c r="AAG612" s="17">
        <v>44925</v>
      </c>
      <c r="AAH612" s="5" t="s">
        <v>3728</v>
      </c>
      <c r="AAI612" s="17">
        <v>44925</v>
      </c>
      <c r="AAJ612" s="5" t="s">
        <v>3728</v>
      </c>
      <c r="AAK612" s="17">
        <v>44925</v>
      </c>
      <c r="AAL612" s="5" t="s">
        <v>3728</v>
      </c>
      <c r="AAM612" s="17">
        <v>44925</v>
      </c>
      <c r="AAN612" s="5" t="s">
        <v>3728</v>
      </c>
      <c r="AAO612" s="17">
        <v>44925</v>
      </c>
      <c r="AAP612" s="5" t="s">
        <v>3728</v>
      </c>
      <c r="AAQ612" s="17">
        <v>44925</v>
      </c>
      <c r="AAR612" s="5" t="s">
        <v>3728</v>
      </c>
      <c r="AAS612" s="17">
        <v>44925</v>
      </c>
      <c r="AAT612" s="5" t="s">
        <v>3728</v>
      </c>
      <c r="AAU612" s="17">
        <v>44925</v>
      </c>
      <c r="AAV612" s="5" t="s">
        <v>3728</v>
      </c>
      <c r="AAW612" s="17">
        <v>44925</v>
      </c>
      <c r="AAX612" s="5" t="s">
        <v>3728</v>
      </c>
      <c r="AAY612" s="17">
        <v>44925</v>
      </c>
      <c r="AAZ612" s="5" t="s">
        <v>3728</v>
      </c>
      <c r="ABA612" s="17">
        <v>44925</v>
      </c>
      <c r="ABB612" s="5" t="s">
        <v>3728</v>
      </c>
      <c r="ABC612" s="17">
        <v>44925</v>
      </c>
      <c r="ABD612" s="5" t="s">
        <v>3728</v>
      </c>
      <c r="ABE612" s="17">
        <v>44925</v>
      </c>
      <c r="ABF612" s="5" t="s">
        <v>3728</v>
      </c>
      <c r="ABG612" s="17">
        <v>44925</v>
      </c>
      <c r="ABH612" s="5" t="s">
        <v>3728</v>
      </c>
      <c r="ABI612" s="17">
        <v>44925</v>
      </c>
      <c r="ABJ612" s="5" t="s">
        <v>3728</v>
      </c>
      <c r="ABK612" s="17">
        <v>44925</v>
      </c>
      <c r="ABL612" s="5" t="s">
        <v>3728</v>
      </c>
      <c r="ABM612" s="17">
        <v>44925</v>
      </c>
      <c r="ABN612" s="5" t="s">
        <v>3728</v>
      </c>
      <c r="ABO612" s="17">
        <v>44925</v>
      </c>
      <c r="ABP612" s="5" t="s">
        <v>3728</v>
      </c>
      <c r="ABQ612" s="17">
        <v>44925</v>
      </c>
      <c r="ABR612" s="5" t="s">
        <v>3728</v>
      </c>
      <c r="ABS612" s="17">
        <v>44925</v>
      </c>
      <c r="ABT612" s="5" t="s">
        <v>3728</v>
      </c>
      <c r="ABU612" s="17">
        <v>44925</v>
      </c>
      <c r="ABV612" s="5" t="s">
        <v>3728</v>
      </c>
      <c r="ABW612" s="17">
        <v>44925</v>
      </c>
      <c r="ABX612" s="5" t="s">
        <v>3728</v>
      </c>
      <c r="ABY612" s="17">
        <v>44925</v>
      </c>
      <c r="ABZ612" s="5" t="s">
        <v>3728</v>
      </c>
      <c r="ACA612" s="17">
        <v>44925</v>
      </c>
      <c r="ACB612" s="5" t="s">
        <v>3728</v>
      </c>
      <c r="ACC612" s="17">
        <v>44925</v>
      </c>
      <c r="ACD612" s="5" t="s">
        <v>3728</v>
      </c>
      <c r="ACE612" s="17">
        <v>44925</v>
      </c>
      <c r="ACF612" s="5" t="s">
        <v>3728</v>
      </c>
      <c r="ACG612" s="17">
        <v>44925</v>
      </c>
      <c r="ACH612" s="5" t="s">
        <v>3728</v>
      </c>
      <c r="ACI612" s="17">
        <v>44925</v>
      </c>
      <c r="ACJ612" s="5" t="s">
        <v>3728</v>
      </c>
      <c r="ACK612" s="17">
        <v>44925</v>
      </c>
      <c r="ACL612" s="5" t="s">
        <v>3728</v>
      </c>
      <c r="ACM612" s="17">
        <v>44925</v>
      </c>
      <c r="ACN612" s="5" t="s">
        <v>3728</v>
      </c>
      <c r="ACO612" s="17">
        <v>44925</v>
      </c>
      <c r="ACP612" s="5" t="s">
        <v>3728</v>
      </c>
      <c r="ACQ612" s="17">
        <v>44925</v>
      </c>
      <c r="ACR612" s="5" t="s">
        <v>3728</v>
      </c>
      <c r="ACS612" s="17">
        <v>44925</v>
      </c>
      <c r="ACT612" s="5" t="s">
        <v>3728</v>
      </c>
      <c r="ACU612" s="17">
        <v>44925</v>
      </c>
      <c r="ACV612" s="5" t="s">
        <v>3728</v>
      </c>
      <c r="ACW612" s="17">
        <v>44925</v>
      </c>
      <c r="ACX612" s="5" t="s">
        <v>3728</v>
      </c>
      <c r="ACY612" s="17">
        <v>44925</v>
      </c>
      <c r="ACZ612" s="5" t="s">
        <v>3728</v>
      </c>
      <c r="ADA612" s="17">
        <v>44925</v>
      </c>
      <c r="ADB612" s="5" t="s">
        <v>3728</v>
      </c>
      <c r="ADC612" s="17">
        <v>44925</v>
      </c>
      <c r="ADD612" s="5" t="s">
        <v>3728</v>
      </c>
      <c r="ADE612" s="17">
        <v>44925</v>
      </c>
      <c r="ADF612" s="5" t="s">
        <v>3728</v>
      </c>
      <c r="ADG612" s="17">
        <v>44925</v>
      </c>
      <c r="ADH612" s="5" t="s">
        <v>3728</v>
      </c>
      <c r="ADI612" s="17">
        <v>44925</v>
      </c>
      <c r="ADJ612" s="5" t="s">
        <v>3728</v>
      </c>
      <c r="ADK612" s="17">
        <v>44925</v>
      </c>
      <c r="ADL612" s="5" t="s">
        <v>3728</v>
      </c>
      <c r="ADM612" s="17">
        <v>44925</v>
      </c>
      <c r="ADN612" s="5" t="s">
        <v>3728</v>
      </c>
      <c r="ADO612" s="17">
        <v>44925</v>
      </c>
      <c r="ADP612" s="5" t="s">
        <v>3728</v>
      </c>
      <c r="ADQ612" s="17">
        <v>44925</v>
      </c>
      <c r="ADR612" s="5" t="s">
        <v>3728</v>
      </c>
      <c r="ADS612" s="17">
        <v>44925</v>
      </c>
      <c r="ADT612" s="5" t="s">
        <v>3728</v>
      </c>
      <c r="ADU612" s="17">
        <v>44925</v>
      </c>
      <c r="ADV612" s="5" t="s">
        <v>3728</v>
      </c>
      <c r="ADW612" s="17">
        <v>44925</v>
      </c>
      <c r="ADX612" s="5" t="s">
        <v>3728</v>
      </c>
      <c r="ADY612" s="17">
        <v>44925</v>
      </c>
      <c r="ADZ612" s="5" t="s">
        <v>3728</v>
      </c>
      <c r="AEA612" s="17">
        <v>44925</v>
      </c>
      <c r="AEB612" s="5" t="s">
        <v>3728</v>
      </c>
      <c r="AEC612" s="17">
        <v>44925</v>
      </c>
      <c r="AED612" s="5" t="s">
        <v>3728</v>
      </c>
      <c r="AEE612" s="17">
        <v>44925</v>
      </c>
      <c r="AEF612" s="5" t="s">
        <v>3728</v>
      </c>
      <c r="AEG612" s="17">
        <v>44925</v>
      </c>
      <c r="AEH612" s="5" t="s">
        <v>3728</v>
      </c>
      <c r="AEI612" s="17">
        <v>44925</v>
      </c>
      <c r="AEJ612" s="5" t="s">
        <v>3728</v>
      </c>
      <c r="AEK612" s="17">
        <v>44925</v>
      </c>
      <c r="AEL612" s="5" t="s">
        <v>3728</v>
      </c>
      <c r="AEM612" s="17">
        <v>44925</v>
      </c>
      <c r="AEN612" s="5" t="s">
        <v>3728</v>
      </c>
      <c r="AEO612" s="17">
        <v>44925</v>
      </c>
      <c r="AEP612" s="5" t="s">
        <v>3728</v>
      </c>
      <c r="AEQ612" s="17">
        <v>44925</v>
      </c>
      <c r="AER612" s="5" t="s">
        <v>3728</v>
      </c>
      <c r="AES612" s="17">
        <v>44925</v>
      </c>
      <c r="AET612" s="5" t="s">
        <v>3728</v>
      </c>
      <c r="AEU612" s="17">
        <v>44925</v>
      </c>
      <c r="AEV612" s="5" t="s">
        <v>3728</v>
      </c>
      <c r="AEW612" s="17">
        <v>44925</v>
      </c>
      <c r="AEX612" s="5" t="s">
        <v>3728</v>
      </c>
      <c r="AEY612" s="17">
        <v>44925</v>
      </c>
      <c r="AEZ612" s="5" t="s">
        <v>3728</v>
      </c>
      <c r="AFA612" s="17">
        <v>44925</v>
      </c>
      <c r="AFB612" s="5" t="s">
        <v>3728</v>
      </c>
      <c r="AFC612" s="17">
        <v>44925</v>
      </c>
      <c r="AFD612" s="5" t="s">
        <v>3728</v>
      </c>
      <c r="AFE612" s="17">
        <v>44925</v>
      </c>
      <c r="AFF612" s="5" t="s">
        <v>3728</v>
      </c>
      <c r="AFG612" s="17">
        <v>44925</v>
      </c>
      <c r="AFH612" s="5" t="s">
        <v>3728</v>
      </c>
      <c r="AFI612" s="17">
        <v>44925</v>
      </c>
      <c r="AFJ612" s="5" t="s">
        <v>3728</v>
      </c>
      <c r="AFK612" s="17">
        <v>44925</v>
      </c>
      <c r="AFL612" s="5" t="s">
        <v>3728</v>
      </c>
      <c r="AFM612" s="17">
        <v>44925</v>
      </c>
      <c r="AFN612" s="5" t="s">
        <v>3728</v>
      </c>
      <c r="AFO612" s="17">
        <v>44925</v>
      </c>
      <c r="AFP612" s="5" t="s">
        <v>3728</v>
      </c>
      <c r="AFQ612" s="17">
        <v>44925</v>
      </c>
      <c r="AFR612" s="5" t="s">
        <v>3728</v>
      </c>
      <c r="AFS612" s="17">
        <v>44925</v>
      </c>
      <c r="AFT612" s="5" t="s">
        <v>3728</v>
      </c>
      <c r="AFU612" s="17">
        <v>44925</v>
      </c>
      <c r="AFV612" s="5" t="s">
        <v>3728</v>
      </c>
      <c r="AFW612" s="17">
        <v>44925</v>
      </c>
      <c r="AFX612" s="5" t="s">
        <v>3728</v>
      </c>
      <c r="AFY612" s="17">
        <v>44925</v>
      </c>
      <c r="AFZ612" s="5" t="s">
        <v>3728</v>
      </c>
      <c r="AGA612" s="17">
        <v>44925</v>
      </c>
      <c r="AGB612" s="5" t="s">
        <v>3728</v>
      </c>
      <c r="AGC612" s="17">
        <v>44925</v>
      </c>
      <c r="AGD612" s="5" t="s">
        <v>3728</v>
      </c>
      <c r="AGE612" s="17">
        <v>44925</v>
      </c>
      <c r="AGF612" s="5" t="s">
        <v>3728</v>
      </c>
      <c r="AGG612" s="17">
        <v>44925</v>
      </c>
      <c r="AGH612" s="5" t="s">
        <v>3728</v>
      </c>
      <c r="AGI612" s="17">
        <v>44925</v>
      </c>
      <c r="AGJ612" s="5" t="s">
        <v>3728</v>
      </c>
      <c r="AGK612" s="17">
        <v>44925</v>
      </c>
      <c r="AGL612" s="5" t="s">
        <v>3728</v>
      </c>
      <c r="AGM612" s="17">
        <v>44925</v>
      </c>
      <c r="AGN612" s="5" t="s">
        <v>3728</v>
      </c>
      <c r="AGO612" s="17">
        <v>44925</v>
      </c>
      <c r="AGP612" s="5" t="s">
        <v>3728</v>
      </c>
      <c r="AGQ612" s="17">
        <v>44925</v>
      </c>
      <c r="AGR612" s="5" t="s">
        <v>3728</v>
      </c>
      <c r="AGS612" s="17">
        <v>44925</v>
      </c>
      <c r="AGT612" s="5" t="s">
        <v>3728</v>
      </c>
      <c r="AGU612" s="17">
        <v>44925</v>
      </c>
      <c r="AGV612" s="5" t="s">
        <v>3728</v>
      </c>
      <c r="AGW612" s="17">
        <v>44925</v>
      </c>
      <c r="AGX612" s="5" t="s">
        <v>3728</v>
      </c>
      <c r="AGY612" s="17">
        <v>44925</v>
      </c>
      <c r="AGZ612" s="5" t="s">
        <v>3728</v>
      </c>
      <c r="AHA612" s="17">
        <v>44925</v>
      </c>
      <c r="AHB612" s="5" t="s">
        <v>3728</v>
      </c>
      <c r="AHC612" s="17">
        <v>44925</v>
      </c>
      <c r="AHD612" s="5" t="s">
        <v>3728</v>
      </c>
      <c r="AHE612" s="17">
        <v>44925</v>
      </c>
      <c r="AHF612" s="5" t="s">
        <v>3728</v>
      </c>
      <c r="AHG612" s="17">
        <v>44925</v>
      </c>
      <c r="AHH612" s="5" t="s">
        <v>3728</v>
      </c>
      <c r="AHI612" s="17">
        <v>44925</v>
      </c>
      <c r="AHJ612" s="5" t="s">
        <v>3728</v>
      </c>
      <c r="AHK612" s="17">
        <v>44925</v>
      </c>
      <c r="AHL612" s="5" t="s">
        <v>3728</v>
      </c>
      <c r="AHM612" s="17">
        <v>44925</v>
      </c>
      <c r="AHN612" s="5" t="s">
        <v>3728</v>
      </c>
      <c r="AHO612" s="17">
        <v>44925</v>
      </c>
      <c r="AHP612" s="5" t="s">
        <v>3728</v>
      </c>
      <c r="AHQ612" s="17">
        <v>44925</v>
      </c>
      <c r="AHR612" s="5" t="s">
        <v>3728</v>
      </c>
      <c r="AHS612" s="17">
        <v>44925</v>
      </c>
      <c r="AHT612" s="5" t="s">
        <v>3728</v>
      </c>
      <c r="AHU612" s="17">
        <v>44925</v>
      </c>
      <c r="AHV612" s="5" t="s">
        <v>3728</v>
      </c>
      <c r="AHW612" s="17">
        <v>44925</v>
      </c>
      <c r="AHX612" s="5" t="s">
        <v>3728</v>
      </c>
      <c r="AHY612" s="17">
        <v>44925</v>
      </c>
      <c r="AHZ612" s="5" t="s">
        <v>3728</v>
      </c>
      <c r="AIA612" s="17">
        <v>44925</v>
      </c>
      <c r="AIB612" s="5" t="s">
        <v>3728</v>
      </c>
      <c r="AIC612" s="17">
        <v>44925</v>
      </c>
      <c r="AID612" s="5" t="s">
        <v>3728</v>
      </c>
      <c r="AIE612" s="17">
        <v>44925</v>
      </c>
      <c r="AIF612" s="5" t="s">
        <v>3728</v>
      </c>
      <c r="AIG612" s="17">
        <v>44925</v>
      </c>
      <c r="AIH612" s="5" t="s">
        <v>3728</v>
      </c>
      <c r="AII612" s="17">
        <v>44925</v>
      </c>
      <c r="AIJ612" s="5" t="s">
        <v>3728</v>
      </c>
      <c r="AIK612" s="17">
        <v>44925</v>
      </c>
      <c r="AIL612" s="5" t="s">
        <v>3728</v>
      </c>
      <c r="AIM612" s="17">
        <v>44925</v>
      </c>
      <c r="AIN612" s="5" t="s">
        <v>3728</v>
      </c>
      <c r="AIO612" s="17">
        <v>44925</v>
      </c>
      <c r="AIP612" s="5" t="s">
        <v>3728</v>
      </c>
      <c r="AIQ612" s="17">
        <v>44925</v>
      </c>
      <c r="AIR612" s="5" t="s">
        <v>3728</v>
      </c>
      <c r="AIS612" s="17">
        <v>44925</v>
      </c>
      <c r="AIT612" s="5" t="s">
        <v>3728</v>
      </c>
      <c r="AIU612" s="17">
        <v>44925</v>
      </c>
      <c r="AIV612" s="5" t="s">
        <v>3728</v>
      </c>
      <c r="AIW612" s="17">
        <v>44925</v>
      </c>
      <c r="AIX612" s="5" t="s">
        <v>3728</v>
      </c>
      <c r="AIY612" s="17">
        <v>44925</v>
      </c>
      <c r="AIZ612" s="5" t="s">
        <v>3728</v>
      </c>
      <c r="AJA612" s="17">
        <v>44925</v>
      </c>
      <c r="AJB612" s="5" t="s">
        <v>3728</v>
      </c>
      <c r="AJC612" s="17">
        <v>44925</v>
      </c>
      <c r="AJD612" s="5" t="s">
        <v>3728</v>
      </c>
      <c r="AJE612" s="17">
        <v>44925</v>
      </c>
      <c r="AJF612" s="5" t="s">
        <v>3728</v>
      </c>
      <c r="AJG612" s="17">
        <v>44925</v>
      </c>
      <c r="AJH612" s="5" t="s">
        <v>3728</v>
      </c>
      <c r="AJI612" s="17">
        <v>44925</v>
      </c>
      <c r="AJJ612" s="5" t="s">
        <v>3728</v>
      </c>
      <c r="AJK612" s="17">
        <v>44925</v>
      </c>
      <c r="AJL612" s="5" t="s">
        <v>3728</v>
      </c>
      <c r="AJM612" s="17">
        <v>44925</v>
      </c>
      <c r="AJN612" s="5" t="s">
        <v>3728</v>
      </c>
      <c r="AJO612" s="17">
        <v>44925</v>
      </c>
      <c r="AJP612" s="5" t="s">
        <v>3728</v>
      </c>
      <c r="AJQ612" s="17">
        <v>44925</v>
      </c>
      <c r="AJR612" s="5" t="s">
        <v>3728</v>
      </c>
      <c r="AJS612" s="17">
        <v>44925</v>
      </c>
      <c r="AJT612" s="5" t="s">
        <v>3728</v>
      </c>
      <c r="AJU612" s="17">
        <v>44925</v>
      </c>
      <c r="AJV612" s="5" t="s">
        <v>3728</v>
      </c>
      <c r="AJW612" s="17">
        <v>44925</v>
      </c>
      <c r="AJX612" s="5" t="s">
        <v>3728</v>
      </c>
      <c r="AJY612" s="17">
        <v>44925</v>
      </c>
      <c r="AJZ612" s="5" t="s">
        <v>3728</v>
      </c>
      <c r="AKA612" s="17">
        <v>44925</v>
      </c>
      <c r="AKB612" s="5" t="s">
        <v>3728</v>
      </c>
      <c r="AKC612" s="17">
        <v>44925</v>
      </c>
      <c r="AKD612" s="5" t="s">
        <v>3728</v>
      </c>
      <c r="AKE612" s="17">
        <v>44925</v>
      </c>
      <c r="AKF612" s="5" t="s">
        <v>3728</v>
      </c>
      <c r="AKG612" s="17">
        <v>44925</v>
      </c>
      <c r="AKH612" s="5" t="s">
        <v>3728</v>
      </c>
      <c r="AKI612" s="17">
        <v>44925</v>
      </c>
      <c r="AKJ612" s="5" t="s">
        <v>3728</v>
      </c>
      <c r="AKK612" s="17">
        <v>44925</v>
      </c>
      <c r="AKL612" s="5" t="s">
        <v>3728</v>
      </c>
      <c r="AKM612" s="17">
        <v>44925</v>
      </c>
      <c r="AKN612" s="5" t="s">
        <v>3728</v>
      </c>
      <c r="AKO612" s="17">
        <v>44925</v>
      </c>
      <c r="AKP612" s="5" t="s">
        <v>3728</v>
      </c>
      <c r="AKQ612" s="17">
        <v>44925</v>
      </c>
      <c r="AKR612" s="5" t="s">
        <v>3728</v>
      </c>
      <c r="AKS612" s="17">
        <v>44925</v>
      </c>
      <c r="AKT612" s="5" t="s">
        <v>3728</v>
      </c>
      <c r="AKU612" s="17">
        <v>44925</v>
      </c>
      <c r="AKV612" s="5" t="s">
        <v>3728</v>
      </c>
      <c r="AKW612" s="17">
        <v>44925</v>
      </c>
      <c r="AKX612" s="5" t="s">
        <v>3728</v>
      </c>
      <c r="AKY612" s="17">
        <v>44925</v>
      </c>
      <c r="AKZ612" s="5" t="s">
        <v>3728</v>
      </c>
      <c r="ALA612" s="17">
        <v>44925</v>
      </c>
      <c r="ALB612" s="5" t="s">
        <v>3728</v>
      </c>
      <c r="ALC612" s="17">
        <v>44925</v>
      </c>
      <c r="ALD612" s="5" t="s">
        <v>3728</v>
      </c>
      <c r="ALE612" s="17">
        <v>44925</v>
      </c>
      <c r="ALF612" s="5" t="s">
        <v>3728</v>
      </c>
      <c r="ALG612" s="17">
        <v>44925</v>
      </c>
      <c r="ALH612" s="5" t="s">
        <v>3728</v>
      </c>
      <c r="ALI612" s="17">
        <v>44925</v>
      </c>
      <c r="ALJ612" s="5" t="s">
        <v>3728</v>
      </c>
      <c r="ALK612" s="17">
        <v>44925</v>
      </c>
      <c r="ALL612" s="5" t="s">
        <v>3728</v>
      </c>
      <c r="ALM612" s="17">
        <v>44925</v>
      </c>
      <c r="ALN612" s="5" t="s">
        <v>3728</v>
      </c>
      <c r="ALO612" s="17">
        <v>44925</v>
      </c>
      <c r="ALP612" s="5" t="s">
        <v>3728</v>
      </c>
      <c r="ALQ612" s="17">
        <v>44925</v>
      </c>
      <c r="ALR612" s="5" t="s">
        <v>3728</v>
      </c>
      <c r="ALS612" s="17">
        <v>44925</v>
      </c>
      <c r="ALT612" s="5" t="s">
        <v>3728</v>
      </c>
      <c r="ALU612" s="17">
        <v>44925</v>
      </c>
      <c r="ALV612" s="5" t="s">
        <v>3728</v>
      </c>
      <c r="ALW612" s="17">
        <v>44925</v>
      </c>
      <c r="ALX612" s="5" t="s">
        <v>3728</v>
      </c>
      <c r="ALY612" s="17">
        <v>44925</v>
      </c>
      <c r="ALZ612" s="5" t="s">
        <v>3728</v>
      </c>
      <c r="AMA612" s="17">
        <v>44925</v>
      </c>
      <c r="AMB612" s="5" t="s">
        <v>3728</v>
      </c>
      <c r="AMC612" s="17">
        <v>44925</v>
      </c>
      <c r="AMD612" s="5" t="s">
        <v>3728</v>
      </c>
      <c r="AME612" s="17">
        <v>44925</v>
      </c>
      <c r="AMF612" s="5" t="s">
        <v>3728</v>
      </c>
      <c r="AMG612" s="17">
        <v>44925</v>
      </c>
      <c r="AMH612" s="5" t="s">
        <v>3728</v>
      </c>
      <c r="AMI612" s="17">
        <v>44925</v>
      </c>
      <c r="AMJ612" s="5" t="s">
        <v>3728</v>
      </c>
      <c r="AMK612" s="17">
        <v>44925</v>
      </c>
      <c r="AML612" s="5" t="s">
        <v>3728</v>
      </c>
      <c r="AMM612" s="17">
        <v>44925</v>
      </c>
      <c r="AMN612" s="5" t="s">
        <v>3728</v>
      </c>
      <c r="AMO612" s="17">
        <v>44925</v>
      </c>
      <c r="AMP612" s="5" t="s">
        <v>3728</v>
      </c>
      <c r="AMQ612" s="17">
        <v>44925</v>
      </c>
      <c r="AMR612" s="5" t="s">
        <v>3728</v>
      </c>
      <c r="AMS612" s="17">
        <v>44925</v>
      </c>
      <c r="AMT612" s="5" t="s">
        <v>3728</v>
      </c>
      <c r="AMU612" s="17">
        <v>44925</v>
      </c>
      <c r="AMV612" s="5" t="s">
        <v>3728</v>
      </c>
      <c r="AMW612" s="17">
        <v>44925</v>
      </c>
      <c r="AMX612" s="5" t="s">
        <v>3728</v>
      </c>
      <c r="AMY612" s="17">
        <v>44925</v>
      </c>
      <c r="AMZ612" s="5" t="s">
        <v>3728</v>
      </c>
      <c r="ANA612" s="17">
        <v>44925</v>
      </c>
      <c r="ANB612" s="5" t="s">
        <v>3728</v>
      </c>
      <c r="ANC612" s="17">
        <v>44925</v>
      </c>
      <c r="AND612" s="5" t="s">
        <v>3728</v>
      </c>
      <c r="ANE612" s="17">
        <v>44925</v>
      </c>
      <c r="ANF612" s="5" t="s">
        <v>3728</v>
      </c>
      <c r="ANG612" s="17">
        <v>44925</v>
      </c>
      <c r="ANH612" s="5" t="s">
        <v>3728</v>
      </c>
      <c r="ANI612" s="17">
        <v>44925</v>
      </c>
      <c r="ANJ612" s="5" t="s">
        <v>3728</v>
      </c>
      <c r="ANK612" s="17">
        <v>44925</v>
      </c>
      <c r="ANL612" s="5" t="s">
        <v>3728</v>
      </c>
      <c r="ANM612" s="17">
        <v>44925</v>
      </c>
      <c r="ANN612" s="5" t="s">
        <v>3728</v>
      </c>
      <c r="ANO612" s="17">
        <v>44925</v>
      </c>
      <c r="ANP612" s="5" t="s">
        <v>3728</v>
      </c>
      <c r="ANQ612" s="17">
        <v>44925</v>
      </c>
      <c r="ANR612" s="5" t="s">
        <v>3728</v>
      </c>
      <c r="ANS612" s="17">
        <v>44925</v>
      </c>
      <c r="ANT612" s="5" t="s">
        <v>3728</v>
      </c>
      <c r="ANU612" s="17">
        <v>44925</v>
      </c>
      <c r="ANV612" s="5" t="s">
        <v>3728</v>
      </c>
      <c r="ANW612" s="17">
        <v>44925</v>
      </c>
      <c r="ANX612" s="5" t="s">
        <v>3728</v>
      </c>
      <c r="ANY612" s="17">
        <v>44925</v>
      </c>
      <c r="ANZ612" s="5" t="s">
        <v>3728</v>
      </c>
      <c r="AOA612" s="17">
        <v>44925</v>
      </c>
      <c r="AOB612" s="5" t="s">
        <v>3728</v>
      </c>
      <c r="AOC612" s="17">
        <v>44925</v>
      </c>
      <c r="AOD612" s="5" t="s">
        <v>3728</v>
      </c>
      <c r="AOE612" s="17">
        <v>44925</v>
      </c>
      <c r="AOF612" s="5" t="s">
        <v>3728</v>
      </c>
      <c r="AOG612" s="17">
        <v>44925</v>
      </c>
      <c r="AOH612" s="5" t="s">
        <v>3728</v>
      </c>
      <c r="AOI612" s="17">
        <v>44925</v>
      </c>
      <c r="AOJ612" s="5" t="s">
        <v>3728</v>
      </c>
      <c r="AOK612" s="17">
        <v>44925</v>
      </c>
      <c r="AOL612" s="5" t="s">
        <v>3728</v>
      </c>
      <c r="AOM612" s="17">
        <v>44925</v>
      </c>
      <c r="AON612" s="5" t="s">
        <v>3728</v>
      </c>
      <c r="AOO612" s="17">
        <v>44925</v>
      </c>
      <c r="AOP612" s="5" t="s">
        <v>3728</v>
      </c>
      <c r="AOQ612" s="17">
        <v>44925</v>
      </c>
      <c r="AOR612" s="5" t="s">
        <v>3728</v>
      </c>
      <c r="AOS612" s="17">
        <v>44925</v>
      </c>
      <c r="AOT612" s="5" t="s">
        <v>3728</v>
      </c>
      <c r="AOU612" s="17">
        <v>44925</v>
      </c>
      <c r="AOV612" s="5" t="s">
        <v>3728</v>
      </c>
      <c r="AOW612" s="17">
        <v>44925</v>
      </c>
      <c r="AOX612" s="5" t="s">
        <v>3728</v>
      </c>
      <c r="AOY612" s="17">
        <v>44925</v>
      </c>
      <c r="AOZ612" s="5" t="s">
        <v>3728</v>
      </c>
      <c r="APA612" s="17">
        <v>44925</v>
      </c>
      <c r="APB612" s="5" t="s">
        <v>3728</v>
      </c>
      <c r="APC612" s="17">
        <v>44925</v>
      </c>
      <c r="APD612" s="5" t="s">
        <v>3728</v>
      </c>
      <c r="APE612" s="17">
        <v>44925</v>
      </c>
      <c r="APF612" s="5" t="s">
        <v>3728</v>
      </c>
      <c r="APG612" s="17">
        <v>44925</v>
      </c>
      <c r="APH612" s="5" t="s">
        <v>3728</v>
      </c>
      <c r="API612" s="17">
        <v>44925</v>
      </c>
      <c r="APJ612" s="5" t="s">
        <v>3728</v>
      </c>
      <c r="APK612" s="17">
        <v>44925</v>
      </c>
      <c r="APL612" s="5" t="s">
        <v>3728</v>
      </c>
      <c r="APM612" s="17">
        <v>44925</v>
      </c>
      <c r="APN612" s="5" t="s">
        <v>3728</v>
      </c>
      <c r="APO612" s="17">
        <v>44925</v>
      </c>
      <c r="APP612" s="5" t="s">
        <v>3728</v>
      </c>
      <c r="APQ612" s="17">
        <v>44925</v>
      </c>
      <c r="APR612" s="5" t="s">
        <v>3728</v>
      </c>
      <c r="APS612" s="17">
        <v>44925</v>
      </c>
      <c r="APT612" s="5" t="s">
        <v>3728</v>
      </c>
      <c r="APU612" s="17">
        <v>44925</v>
      </c>
      <c r="APV612" s="5" t="s">
        <v>3728</v>
      </c>
      <c r="APW612" s="17">
        <v>44925</v>
      </c>
      <c r="APX612" s="5" t="s">
        <v>3728</v>
      </c>
      <c r="APY612" s="17">
        <v>44925</v>
      </c>
      <c r="APZ612" s="5" t="s">
        <v>3728</v>
      </c>
      <c r="AQA612" s="17">
        <v>44925</v>
      </c>
      <c r="AQB612" s="5" t="s">
        <v>3728</v>
      </c>
      <c r="AQC612" s="17">
        <v>44925</v>
      </c>
      <c r="AQD612" s="5" t="s">
        <v>3728</v>
      </c>
      <c r="AQE612" s="17">
        <v>44925</v>
      </c>
      <c r="AQF612" s="5" t="s">
        <v>3728</v>
      </c>
      <c r="AQG612" s="17">
        <v>44925</v>
      </c>
      <c r="AQH612" s="5" t="s">
        <v>3728</v>
      </c>
      <c r="AQI612" s="17">
        <v>44925</v>
      </c>
      <c r="AQJ612" s="5" t="s">
        <v>3728</v>
      </c>
      <c r="AQK612" s="17">
        <v>44925</v>
      </c>
      <c r="AQL612" s="5" t="s">
        <v>3728</v>
      </c>
      <c r="AQM612" s="17">
        <v>44925</v>
      </c>
      <c r="AQN612" s="5" t="s">
        <v>3728</v>
      </c>
      <c r="AQO612" s="17">
        <v>44925</v>
      </c>
      <c r="AQP612" s="5" t="s">
        <v>3728</v>
      </c>
      <c r="AQQ612" s="17">
        <v>44925</v>
      </c>
      <c r="AQR612" s="5" t="s">
        <v>3728</v>
      </c>
      <c r="AQS612" s="17">
        <v>44925</v>
      </c>
      <c r="AQT612" s="5" t="s">
        <v>3728</v>
      </c>
      <c r="AQU612" s="17">
        <v>44925</v>
      </c>
      <c r="AQV612" s="5" t="s">
        <v>3728</v>
      </c>
      <c r="AQW612" s="17">
        <v>44925</v>
      </c>
      <c r="AQX612" s="5" t="s">
        <v>3728</v>
      </c>
      <c r="AQY612" s="17">
        <v>44925</v>
      </c>
      <c r="AQZ612" s="5" t="s">
        <v>3728</v>
      </c>
      <c r="ARA612" s="17">
        <v>44925</v>
      </c>
      <c r="ARB612" s="5" t="s">
        <v>3728</v>
      </c>
      <c r="ARC612" s="17">
        <v>44925</v>
      </c>
      <c r="ARD612" s="5" t="s">
        <v>3728</v>
      </c>
      <c r="ARE612" s="17">
        <v>44925</v>
      </c>
      <c r="ARF612" s="5" t="s">
        <v>3728</v>
      </c>
      <c r="ARG612" s="17">
        <v>44925</v>
      </c>
      <c r="ARH612" s="5" t="s">
        <v>3728</v>
      </c>
      <c r="ARI612" s="17">
        <v>44925</v>
      </c>
      <c r="ARJ612" s="5" t="s">
        <v>3728</v>
      </c>
      <c r="ARK612" s="17">
        <v>44925</v>
      </c>
      <c r="ARL612" s="5" t="s">
        <v>3728</v>
      </c>
      <c r="ARM612" s="17">
        <v>44925</v>
      </c>
      <c r="ARN612" s="5" t="s">
        <v>3728</v>
      </c>
      <c r="ARO612" s="17">
        <v>44925</v>
      </c>
      <c r="ARP612" s="5" t="s">
        <v>3728</v>
      </c>
      <c r="ARQ612" s="17">
        <v>44925</v>
      </c>
      <c r="ARR612" s="5" t="s">
        <v>3728</v>
      </c>
      <c r="ARS612" s="17">
        <v>44925</v>
      </c>
      <c r="ART612" s="5" t="s">
        <v>3728</v>
      </c>
      <c r="ARU612" s="17">
        <v>44925</v>
      </c>
      <c r="ARV612" s="5" t="s">
        <v>3728</v>
      </c>
      <c r="ARW612" s="17">
        <v>44925</v>
      </c>
      <c r="ARX612" s="5" t="s">
        <v>3728</v>
      </c>
      <c r="ARY612" s="17">
        <v>44925</v>
      </c>
      <c r="ARZ612" s="5" t="s">
        <v>3728</v>
      </c>
      <c r="ASA612" s="17">
        <v>44925</v>
      </c>
      <c r="ASB612" s="5" t="s">
        <v>3728</v>
      </c>
      <c r="ASC612" s="17">
        <v>44925</v>
      </c>
      <c r="ASD612" s="5" t="s">
        <v>3728</v>
      </c>
      <c r="ASE612" s="17">
        <v>44925</v>
      </c>
      <c r="ASF612" s="5" t="s">
        <v>3728</v>
      </c>
      <c r="ASG612" s="17">
        <v>44925</v>
      </c>
      <c r="ASH612" s="5" t="s">
        <v>3728</v>
      </c>
      <c r="ASI612" s="17">
        <v>44925</v>
      </c>
      <c r="ASJ612" s="5" t="s">
        <v>3728</v>
      </c>
      <c r="ASK612" s="17">
        <v>44925</v>
      </c>
      <c r="ASL612" s="5" t="s">
        <v>3728</v>
      </c>
      <c r="ASM612" s="17">
        <v>44925</v>
      </c>
      <c r="ASN612" s="5" t="s">
        <v>3728</v>
      </c>
      <c r="ASO612" s="17">
        <v>44925</v>
      </c>
      <c r="ASP612" s="5" t="s">
        <v>3728</v>
      </c>
      <c r="ASQ612" s="17">
        <v>44925</v>
      </c>
      <c r="ASR612" s="5" t="s">
        <v>3728</v>
      </c>
      <c r="ASS612" s="17">
        <v>44925</v>
      </c>
      <c r="AST612" s="5" t="s">
        <v>3728</v>
      </c>
      <c r="ASU612" s="17">
        <v>44925</v>
      </c>
      <c r="ASV612" s="5" t="s">
        <v>3728</v>
      </c>
      <c r="ASW612" s="17">
        <v>44925</v>
      </c>
      <c r="ASX612" s="5" t="s">
        <v>3728</v>
      </c>
      <c r="ASY612" s="17">
        <v>44925</v>
      </c>
      <c r="ASZ612" s="5" t="s">
        <v>3728</v>
      </c>
      <c r="ATA612" s="17">
        <v>44925</v>
      </c>
      <c r="ATB612" s="5" t="s">
        <v>3728</v>
      </c>
      <c r="ATC612" s="17">
        <v>44925</v>
      </c>
      <c r="ATD612" s="5" t="s">
        <v>3728</v>
      </c>
      <c r="ATE612" s="17">
        <v>44925</v>
      </c>
      <c r="ATF612" s="5" t="s">
        <v>3728</v>
      </c>
      <c r="ATG612" s="17">
        <v>44925</v>
      </c>
      <c r="ATH612" s="5" t="s">
        <v>3728</v>
      </c>
      <c r="ATI612" s="17">
        <v>44925</v>
      </c>
      <c r="ATJ612" s="5" t="s">
        <v>3728</v>
      </c>
      <c r="ATK612" s="17">
        <v>44925</v>
      </c>
      <c r="ATL612" s="5" t="s">
        <v>3728</v>
      </c>
      <c r="ATM612" s="17">
        <v>44925</v>
      </c>
      <c r="ATN612" s="5" t="s">
        <v>3728</v>
      </c>
      <c r="ATO612" s="17">
        <v>44925</v>
      </c>
      <c r="ATP612" s="5" t="s">
        <v>3728</v>
      </c>
      <c r="ATQ612" s="17">
        <v>44925</v>
      </c>
      <c r="ATR612" s="5" t="s">
        <v>3728</v>
      </c>
      <c r="ATS612" s="17">
        <v>44925</v>
      </c>
      <c r="ATT612" s="5" t="s">
        <v>3728</v>
      </c>
      <c r="ATU612" s="17">
        <v>44925</v>
      </c>
      <c r="ATV612" s="5" t="s">
        <v>3728</v>
      </c>
      <c r="ATW612" s="17">
        <v>44925</v>
      </c>
      <c r="ATX612" s="5" t="s">
        <v>3728</v>
      </c>
      <c r="ATY612" s="17">
        <v>44925</v>
      </c>
      <c r="ATZ612" s="5" t="s">
        <v>3728</v>
      </c>
      <c r="AUA612" s="17">
        <v>44925</v>
      </c>
      <c r="AUB612" s="5" t="s">
        <v>3728</v>
      </c>
      <c r="AUC612" s="17">
        <v>44925</v>
      </c>
      <c r="AUD612" s="5" t="s">
        <v>3728</v>
      </c>
      <c r="AUE612" s="17">
        <v>44925</v>
      </c>
      <c r="AUF612" s="5" t="s">
        <v>3728</v>
      </c>
      <c r="AUG612" s="17">
        <v>44925</v>
      </c>
      <c r="AUH612" s="5" t="s">
        <v>3728</v>
      </c>
      <c r="AUI612" s="17">
        <v>44925</v>
      </c>
      <c r="AUJ612" s="5" t="s">
        <v>3728</v>
      </c>
      <c r="AUK612" s="17">
        <v>44925</v>
      </c>
      <c r="AUL612" s="5" t="s">
        <v>3728</v>
      </c>
      <c r="AUM612" s="17">
        <v>44925</v>
      </c>
      <c r="AUN612" s="5" t="s">
        <v>3728</v>
      </c>
      <c r="AUO612" s="17">
        <v>44925</v>
      </c>
      <c r="AUP612" s="5" t="s">
        <v>3728</v>
      </c>
      <c r="AUQ612" s="17">
        <v>44925</v>
      </c>
      <c r="AUR612" s="5" t="s">
        <v>3728</v>
      </c>
      <c r="AUS612" s="17">
        <v>44925</v>
      </c>
      <c r="AUT612" s="5" t="s">
        <v>3728</v>
      </c>
      <c r="AUU612" s="17">
        <v>44925</v>
      </c>
      <c r="AUV612" s="5" t="s">
        <v>3728</v>
      </c>
      <c r="AUW612" s="17">
        <v>44925</v>
      </c>
      <c r="AUX612" s="5" t="s">
        <v>3728</v>
      </c>
      <c r="AUY612" s="17">
        <v>44925</v>
      </c>
      <c r="AUZ612" s="5" t="s">
        <v>3728</v>
      </c>
      <c r="AVA612" s="17">
        <v>44925</v>
      </c>
      <c r="AVB612" s="5" t="s">
        <v>3728</v>
      </c>
      <c r="AVC612" s="17">
        <v>44925</v>
      </c>
      <c r="AVD612" s="5" t="s">
        <v>3728</v>
      </c>
      <c r="AVE612" s="17">
        <v>44925</v>
      </c>
      <c r="AVF612" s="5" t="s">
        <v>3728</v>
      </c>
      <c r="AVG612" s="17">
        <v>44925</v>
      </c>
      <c r="AVH612" s="5" t="s">
        <v>3728</v>
      </c>
      <c r="AVI612" s="17">
        <v>44925</v>
      </c>
      <c r="AVJ612" s="5" t="s">
        <v>3728</v>
      </c>
      <c r="AVK612" s="17">
        <v>44925</v>
      </c>
      <c r="AVL612" s="5" t="s">
        <v>3728</v>
      </c>
      <c r="AVM612" s="17">
        <v>44925</v>
      </c>
      <c r="AVN612" s="5" t="s">
        <v>3728</v>
      </c>
      <c r="AVO612" s="17">
        <v>44925</v>
      </c>
      <c r="AVP612" s="5" t="s">
        <v>3728</v>
      </c>
      <c r="AVQ612" s="17">
        <v>44925</v>
      </c>
      <c r="AVR612" s="5" t="s">
        <v>3728</v>
      </c>
      <c r="AVS612" s="17">
        <v>44925</v>
      </c>
      <c r="AVT612" s="5" t="s">
        <v>3728</v>
      </c>
      <c r="AVU612" s="17">
        <v>44925</v>
      </c>
      <c r="AVV612" s="5" t="s">
        <v>3728</v>
      </c>
      <c r="AVW612" s="17">
        <v>44925</v>
      </c>
      <c r="AVX612" s="5" t="s">
        <v>3728</v>
      </c>
      <c r="AVY612" s="17">
        <v>44925</v>
      </c>
      <c r="AVZ612" s="5" t="s">
        <v>3728</v>
      </c>
      <c r="AWA612" s="17">
        <v>44925</v>
      </c>
      <c r="AWB612" s="5" t="s">
        <v>3728</v>
      </c>
      <c r="AWC612" s="17">
        <v>44925</v>
      </c>
      <c r="AWD612" s="5" t="s">
        <v>3728</v>
      </c>
      <c r="AWE612" s="17">
        <v>44925</v>
      </c>
      <c r="AWF612" s="5" t="s">
        <v>3728</v>
      </c>
      <c r="AWG612" s="17">
        <v>44925</v>
      </c>
      <c r="AWH612" s="5" t="s">
        <v>3728</v>
      </c>
      <c r="AWI612" s="17">
        <v>44925</v>
      </c>
      <c r="AWJ612" s="5" t="s">
        <v>3728</v>
      </c>
      <c r="AWK612" s="17">
        <v>44925</v>
      </c>
      <c r="AWL612" s="5" t="s">
        <v>3728</v>
      </c>
      <c r="AWM612" s="17">
        <v>44925</v>
      </c>
      <c r="AWN612" s="5" t="s">
        <v>3728</v>
      </c>
      <c r="AWO612" s="17">
        <v>44925</v>
      </c>
      <c r="AWP612" s="5" t="s">
        <v>3728</v>
      </c>
      <c r="AWQ612" s="17">
        <v>44925</v>
      </c>
      <c r="AWR612" s="5" t="s">
        <v>3728</v>
      </c>
      <c r="AWS612" s="17">
        <v>44925</v>
      </c>
      <c r="AWT612" s="5" t="s">
        <v>3728</v>
      </c>
      <c r="AWU612" s="17">
        <v>44925</v>
      </c>
      <c r="AWV612" s="5" t="s">
        <v>3728</v>
      </c>
      <c r="AWW612" s="17">
        <v>44925</v>
      </c>
      <c r="AWX612" s="5" t="s">
        <v>3728</v>
      </c>
      <c r="AWY612" s="17">
        <v>44925</v>
      </c>
      <c r="AWZ612" s="5" t="s">
        <v>3728</v>
      </c>
      <c r="AXA612" s="17">
        <v>44925</v>
      </c>
      <c r="AXB612" s="5" t="s">
        <v>3728</v>
      </c>
      <c r="AXC612" s="17">
        <v>44925</v>
      </c>
      <c r="AXD612" s="5" t="s">
        <v>3728</v>
      </c>
      <c r="AXE612" s="17">
        <v>44925</v>
      </c>
      <c r="AXF612" s="5" t="s">
        <v>3728</v>
      </c>
      <c r="AXG612" s="17">
        <v>44925</v>
      </c>
      <c r="AXH612" s="5" t="s">
        <v>3728</v>
      </c>
      <c r="AXI612" s="17">
        <v>44925</v>
      </c>
      <c r="AXJ612" s="5" t="s">
        <v>3728</v>
      </c>
      <c r="AXK612" s="17">
        <v>44925</v>
      </c>
      <c r="AXL612" s="5" t="s">
        <v>3728</v>
      </c>
      <c r="AXM612" s="17">
        <v>44925</v>
      </c>
      <c r="AXN612" s="5" t="s">
        <v>3728</v>
      </c>
      <c r="AXO612" s="17">
        <v>44925</v>
      </c>
      <c r="AXP612" s="5" t="s">
        <v>3728</v>
      </c>
      <c r="AXQ612" s="17">
        <v>44925</v>
      </c>
      <c r="AXR612" s="5" t="s">
        <v>3728</v>
      </c>
      <c r="AXS612" s="17">
        <v>44925</v>
      </c>
      <c r="AXT612" s="5" t="s">
        <v>3728</v>
      </c>
      <c r="AXU612" s="17">
        <v>44925</v>
      </c>
      <c r="AXV612" s="5" t="s">
        <v>3728</v>
      </c>
      <c r="AXW612" s="17">
        <v>44925</v>
      </c>
      <c r="AXX612" s="5" t="s">
        <v>3728</v>
      </c>
      <c r="AXY612" s="17">
        <v>44925</v>
      </c>
      <c r="AXZ612" s="5" t="s">
        <v>3728</v>
      </c>
      <c r="AYA612" s="17">
        <v>44925</v>
      </c>
      <c r="AYB612" s="5" t="s">
        <v>3728</v>
      </c>
      <c r="AYC612" s="17">
        <v>44925</v>
      </c>
      <c r="AYD612" s="5" t="s">
        <v>3728</v>
      </c>
      <c r="AYE612" s="17">
        <v>44925</v>
      </c>
      <c r="AYF612" s="5" t="s">
        <v>3728</v>
      </c>
      <c r="AYG612" s="17">
        <v>44925</v>
      </c>
      <c r="AYH612" s="5" t="s">
        <v>3728</v>
      </c>
      <c r="AYI612" s="17">
        <v>44925</v>
      </c>
      <c r="AYJ612" s="5" t="s">
        <v>3728</v>
      </c>
      <c r="AYK612" s="17">
        <v>44925</v>
      </c>
      <c r="AYL612" s="5" t="s">
        <v>3728</v>
      </c>
      <c r="AYM612" s="17">
        <v>44925</v>
      </c>
      <c r="AYN612" s="5" t="s">
        <v>3728</v>
      </c>
      <c r="AYO612" s="17">
        <v>44925</v>
      </c>
      <c r="AYP612" s="5" t="s">
        <v>3728</v>
      </c>
      <c r="AYQ612" s="17">
        <v>44925</v>
      </c>
      <c r="AYR612" s="5" t="s">
        <v>3728</v>
      </c>
      <c r="AYS612" s="17">
        <v>44925</v>
      </c>
      <c r="AYT612" s="5" t="s">
        <v>3728</v>
      </c>
      <c r="AYU612" s="17">
        <v>44925</v>
      </c>
      <c r="AYV612" s="5" t="s">
        <v>3728</v>
      </c>
      <c r="AYW612" s="17">
        <v>44925</v>
      </c>
      <c r="AYX612" s="5" t="s">
        <v>3728</v>
      </c>
      <c r="AYY612" s="17">
        <v>44925</v>
      </c>
      <c r="AYZ612" s="5" t="s">
        <v>3728</v>
      </c>
      <c r="AZA612" s="17">
        <v>44925</v>
      </c>
      <c r="AZB612" s="5" t="s">
        <v>3728</v>
      </c>
      <c r="AZC612" s="17">
        <v>44925</v>
      </c>
      <c r="AZD612" s="5" t="s">
        <v>3728</v>
      </c>
      <c r="AZE612" s="17">
        <v>44925</v>
      </c>
      <c r="AZF612" s="5" t="s">
        <v>3728</v>
      </c>
      <c r="AZG612" s="17">
        <v>44925</v>
      </c>
      <c r="AZH612" s="5" t="s">
        <v>3728</v>
      </c>
      <c r="AZI612" s="17">
        <v>44925</v>
      </c>
      <c r="AZJ612" s="5" t="s">
        <v>3728</v>
      </c>
      <c r="AZK612" s="17">
        <v>44925</v>
      </c>
      <c r="AZL612" s="5" t="s">
        <v>3728</v>
      </c>
      <c r="AZM612" s="17">
        <v>44925</v>
      </c>
      <c r="AZN612" s="5" t="s">
        <v>3728</v>
      </c>
      <c r="AZO612" s="17">
        <v>44925</v>
      </c>
      <c r="AZP612" s="5" t="s">
        <v>3728</v>
      </c>
      <c r="AZQ612" s="17">
        <v>44925</v>
      </c>
      <c r="AZR612" s="5" t="s">
        <v>3728</v>
      </c>
      <c r="AZS612" s="17">
        <v>44925</v>
      </c>
      <c r="AZT612" s="5" t="s">
        <v>3728</v>
      </c>
      <c r="AZU612" s="17">
        <v>44925</v>
      </c>
      <c r="AZV612" s="5" t="s">
        <v>3728</v>
      </c>
      <c r="AZW612" s="17">
        <v>44925</v>
      </c>
      <c r="AZX612" s="5" t="s">
        <v>3728</v>
      </c>
      <c r="AZY612" s="17">
        <v>44925</v>
      </c>
      <c r="AZZ612" s="5" t="s">
        <v>3728</v>
      </c>
      <c r="BAA612" s="17">
        <v>44925</v>
      </c>
      <c r="BAB612" s="5" t="s">
        <v>3728</v>
      </c>
      <c r="BAC612" s="17">
        <v>44925</v>
      </c>
      <c r="BAD612" s="5" t="s">
        <v>3728</v>
      </c>
      <c r="BAE612" s="17">
        <v>44925</v>
      </c>
      <c r="BAF612" s="5" t="s">
        <v>3728</v>
      </c>
      <c r="BAG612" s="17">
        <v>44925</v>
      </c>
      <c r="BAH612" s="5" t="s">
        <v>3728</v>
      </c>
      <c r="BAI612" s="17">
        <v>44925</v>
      </c>
      <c r="BAJ612" s="5" t="s">
        <v>3728</v>
      </c>
      <c r="BAK612" s="17">
        <v>44925</v>
      </c>
      <c r="BAL612" s="5" t="s">
        <v>3728</v>
      </c>
      <c r="BAM612" s="17">
        <v>44925</v>
      </c>
      <c r="BAN612" s="5" t="s">
        <v>3728</v>
      </c>
      <c r="BAO612" s="17">
        <v>44925</v>
      </c>
      <c r="BAP612" s="5" t="s">
        <v>3728</v>
      </c>
      <c r="BAQ612" s="17">
        <v>44925</v>
      </c>
      <c r="BAR612" s="5" t="s">
        <v>3728</v>
      </c>
      <c r="BAS612" s="17">
        <v>44925</v>
      </c>
      <c r="BAT612" s="5" t="s">
        <v>3728</v>
      </c>
      <c r="BAU612" s="17">
        <v>44925</v>
      </c>
      <c r="BAV612" s="5" t="s">
        <v>3728</v>
      </c>
      <c r="BAW612" s="17">
        <v>44925</v>
      </c>
      <c r="BAX612" s="5" t="s">
        <v>3728</v>
      </c>
      <c r="BAY612" s="17">
        <v>44925</v>
      </c>
      <c r="BAZ612" s="5" t="s">
        <v>3728</v>
      </c>
      <c r="BBA612" s="17">
        <v>44925</v>
      </c>
      <c r="BBB612" s="5" t="s">
        <v>3728</v>
      </c>
      <c r="BBC612" s="17">
        <v>44925</v>
      </c>
      <c r="BBD612" s="5" t="s">
        <v>3728</v>
      </c>
      <c r="BBE612" s="17">
        <v>44925</v>
      </c>
      <c r="BBF612" s="5" t="s">
        <v>3728</v>
      </c>
      <c r="BBG612" s="17">
        <v>44925</v>
      </c>
      <c r="BBH612" s="5" t="s">
        <v>3728</v>
      </c>
      <c r="BBI612" s="17">
        <v>44925</v>
      </c>
      <c r="BBJ612" s="5" t="s">
        <v>3728</v>
      </c>
      <c r="BBK612" s="17">
        <v>44925</v>
      </c>
      <c r="BBL612" s="5" t="s">
        <v>3728</v>
      </c>
      <c r="BBM612" s="17">
        <v>44925</v>
      </c>
      <c r="BBN612" s="5" t="s">
        <v>3728</v>
      </c>
      <c r="BBO612" s="17">
        <v>44925</v>
      </c>
      <c r="BBP612" s="5" t="s">
        <v>3728</v>
      </c>
      <c r="BBQ612" s="17">
        <v>44925</v>
      </c>
      <c r="BBR612" s="5" t="s">
        <v>3728</v>
      </c>
      <c r="BBS612" s="17">
        <v>44925</v>
      </c>
      <c r="BBT612" s="5" t="s">
        <v>3728</v>
      </c>
      <c r="BBU612" s="17">
        <v>44925</v>
      </c>
      <c r="BBV612" s="5" t="s">
        <v>3728</v>
      </c>
      <c r="BBW612" s="17">
        <v>44925</v>
      </c>
      <c r="BBX612" s="5" t="s">
        <v>3728</v>
      </c>
      <c r="BBY612" s="17">
        <v>44925</v>
      </c>
      <c r="BBZ612" s="5" t="s">
        <v>3728</v>
      </c>
      <c r="BCA612" s="17">
        <v>44925</v>
      </c>
      <c r="BCB612" s="5" t="s">
        <v>3728</v>
      </c>
      <c r="BCC612" s="17">
        <v>44925</v>
      </c>
      <c r="BCD612" s="5" t="s">
        <v>3728</v>
      </c>
      <c r="BCE612" s="17">
        <v>44925</v>
      </c>
      <c r="BCF612" s="5" t="s">
        <v>3728</v>
      </c>
      <c r="BCG612" s="17">
        <v>44925</v>
      </c>
      <c r="BCH612" s="5" t="s">
        <v>3728</v>
      </c>
      <c r="BCI612" s="17">
        <v>44925</v>
      </c>
      <c r="BCJ612" s="5" t="s">
        <v>3728</v>
      </c>
      <c r="BCK612" s="17">
        <v>44925</v>
      </c>
      <c r="BCL612" s="5" t="s">
        <v>3728</v>
      </c>
      <c r="BCM612" s="17">
        <v>44925</v>
      </c>
      <c r="BCN612" s="5" t="s">
        <v>3728</v>
      </c>
      <c r="BCO612" s="17">
        <v>44925</v>
      </c>
      <c r="BCP612" s="5" t="s">
        <v>3728</v>
      </c>
      <c r="BCQ612" s="17">
        <v>44925</v>
      </c>
      <c r="BCR612" s="5" t="s">
        <v>3728</v>
      </c>
      <c r="BCS612" s="17">
        <v>44925</v>
      </c>
      <c r="BCT612" s="5" t="s">
        <v>3728</v>
      </c>
      <c r="BCU612" s="17">
        <v>44925</v>
      </c>
      <c r="BCV612" s="5" t="s">
        <v>3728</v>
      </c>
      <c r="BCW612" s="17">
        <v>44925</v>
      </c>
      <c r="BCX612" s="5" t="s">
        <v>3728</v>
      </c>
      <c r="BCY612" s="17">
        <v>44925</v>
      </c>
      <c r="BCZ612" s="5" t="s">
        <v>3728</v>
      </c>
      <c r="BDA612" s="17">
        <v>44925</v>
      </c>
      <c r="BDB612" s="5" t="s">
        <v>3728</v>
      </c>
      <c r="BDC612" s="17">
        <v>44925</v>
      </c>
      <c r="BDD612" s="5" t="s">
        <v>3728</v>
      </c>
      <c r="BDE612" s="17">
        <v>44925</v>
      </c>
      <c r="BDF612" s="5" t="s">
        <v>3728</v>
      </c>
      <c r="BDG612" s="17">
        <v>44925</v>
      </c>
      <c r="BDH612" s="5" t="s">
        <v>3728</v>
      </c>
      <c r="BDI612" s="17">
        <v>44925</v>
      </c>
      <c r="BDJ612" s="5" t="s">
        <v>3728</v>
      </c>
      <c r="BDK612" s="17">
        <v>44925</v>
      </c>
      <c r="BDL612" s="5" t="s">
        <v>3728</v>
      </c>
      <c r="BDM612" s="17">
        <v>44925</v>
      </c>
      <c r="BDN612" s="5" t="s">
        <v>3728</v>
      </c>
      <c r="BDO612" s="17">
        <v>44925</v>
      </c>
      <c r="BDP612" s="5" t="s">
        <v>3728</v>
      </c>
      <c r="BDQ612" s="17">
        <v>44925</v>
      </c>
      <c r="BDR612" s="5" t="s">
        <v>3728</v>
      </c>
      <c r="BDS612" s="17">
        <v>44925</v>
      </c>
      <c r="BDT612" s="5" t="s">
        <v>3728</v>
      </c>
      <c r="BDU612" s="17">
        <v>44925</v>
      </c>
      <c r="BDV612" s="5" t="s">
        <v>3728</v>
      </c>
      <c r="BDW612" s="17">
        <v>44925</v>
      </c>
      <c r="BDX612" s="5" t="s">
        <v>3728</v>
      </c>
      <c r="BDY612" s="17">
        <v>44925</v>
      </c>
      <c r="BDZ612" s="5" t="s">
        <v>3728</v>
      </c>
      <c r="BEA612" s="17">
        <v>44925</v>
      </c>
      <c r="BEB612" s="5" t="s">
        <v>3728</v>
      </c>
      <c r="BEC612" s="17">
        <v>44925</v>
      </c>
      <c r="BED612" s="5" t="s">
        <v>3728</v>
      </c>
      <c r="BEE612" s="17">
        <v>44925</v>
      </c>
      <c r="BEF612" s="5" t="s">
        <v>3728</v>
      </c>
      <c r="BEG612" s="17">
        <v>44925</v>
      </c>
      <c r="BEH612" s="5" t="s">
        <v>3728</v>
      </c>
      <c r="BEI612" s="17">
        <v>44925</v>
      </c>
      <c r="BEJ612" s="5" t="s">
        <v>3728</v>
      </c>
      <c r="BEK612" s="17">
        <v>44925</v>
      </c>
      <c r="BEL612" s="5" t="s">
        <v>3728</v>
      </c>
      <c r="BEM612" s="17">
        <v>44925</v>
      </c>
      <c r="BEN612" s="5" t="s">
        <v>3728</v>
      </c>
      <c r="BEO612" s="17">
        <v>44925</v>
      </c>
      <c r="BEP612" s="5" t="s">
        <v>3728</v>
      </c>
      <c r="BEQ612" s="17">
        <v>44925</v>
      </c>
      <c r="BER612" s="5" t="s">
        <v>3728</v>
      </c>
      <c r="BES612" s="17">
        <v>44925</v>
      </c>
      <c r="BET612" s="5" t="s">
        <v>3728</v>
      </c>
      <c r="BEU612" s="17">
        <v>44925</v>
      </c>
      <c r="BEV612" s="5" t="s">
        <v>3728</v>
      </c>
      <c r="BEW612" s="17">
        <v>44925</v>
      </c>
      <c r="BEX612" s="5" t="s">
        <v>3728</v>
      </c>
      <c r="BEY612" s="17">
        <v>44925</v>
      </c>
      <c r="BEZ612" s="5" t="s">
        <v>3728</v>
      </c>
      <c r="BFA612" s="17">
        <v>44925</v>
      </c>
      <c r="BFB612" s="5" t="s">
        <v>3728</v>
      </c>
      <c r="BFC612" s="17">
        <v>44925</v>
      </c>
      <c r="BFD612" s="5" t="s">
        <v>3728</v>
      </c>
      <c r="BFE612" s="17">
        <v>44925</v>
      </c>
      <c r="BFF612" s="5" t="s">
        <v>3728</v>
      </c>
      <c r="BFG612" s="17">
        <v>44925</v>
      </c>
      <c r="BFH612" s="5" t="s">
        <v>3728</v>
      </c>
      <c r="BFI612" s="17">
        <v>44925</v>
      </c>
      <c r="BFJ612" s="5" t="s">
        <v>3728</v>
      </c>
      <c r="BFK612" s="17">
        <v>44925</v>
      </c>
      <c r="BFL612" s="5" t="s">
        <v>3728</v>
      </c>
      <c r="BFM612" s="17">
        <v>44925</v>
      </c>
      <c r="BFN612" s="5" t="s">
        <v>3728</v>
      </c>
      <c r="BFO612" s="17">
        <v>44925</v>
      </c>
      <c r="BFP612" s="5" t="s">
        <v>3728</v>
      </c>
      <c r="BFQ612" s="17">
        <v>44925</v>
      </c>
      <c r="BFR612" s="5" t="s">
        <v>3728</v>
      </c>
      <c r="BFS612" s="17">
        <v>44925</v>
      </c>
      <c r="BFT612" s="5" t="s">
        <v>3728</v>
      </c>
      <c r="BFU612" s="17">
        <v>44925</v>
      </c>
      <c r="BFV612" s="5" t="s">
        <v>3728</v>
      </c>
      <c r="BFW612" s="17">
        <v>44925</v>
      </c>
      <c r="BFX612" s="5" t="s">
        <v>3728</v>
      </c>
      <c r="BFY612" s="17">
        <v>44925</v>
      </c>
      <c r="BFZ612" s="5" t="s">
        <v>3728</v>
      </c>
      <c r="BGA612" s="17">
        <v>44925</v>
      </c>
      <c r="BGB612" s="5" t="s">
        <v>3728</v>
      </c>
      <c r="BGC612" s="17">
        <v>44925</v>
      </c>
      <c r="BGD612" s="5" t="s">
        <v>3728</v>
      </c>
      <c r="BGE612" s="17">
        <v>44925</v>
      </c>
      <c r="BGF612" s="5" t="s">
        <v>3728</v>
      </c>
      <c r="BGG612" s="17">
        <v>44925</v>
      </c>
      <c r="BGH612" s="5" t="s">
        <v>3728</v>
      </c>
      <c r="BGI612" s="17">
        <v>44925</v>
      </c>
      <c r="BGJ612" s="5" t="s">
        <v>3728</v>
      </c>
      <c r="BGK612" s="17">
        <v>44925</v>
      </c>
      <c r="BGL612" s="5" t="s">
        <v>3728</v>
      </c>
      <c r="BGM612" s="17">
        <v>44925</v>
      </c>
      <c r="BGN612" s="5" t="s">
        <v>3728</v>
      </c>
      <c r="BGO612" s="17">
        <v>44925</v>
      </c>
      <c r="BGP612" s="5" t="s">
        <v>3728</v>
      </c>
      <c r="BGQ612" s="17">
        <v>44925</v>
      </c>
      <c r="BGR612" s="5" t="s">
        <v>3728</v>
      </c>
      <c r="BGS612" s="17">
        <v>44925</v>
      </c>
      <c r="BGT612" s="5" t="s">
        <v>3728</v>
      </c>
      <c r="BGU612" s="17">
        <v>44925</v>
      </c>
      <c r="BGV612" s="5" t="s">
        <v>3728</v>
      </c>
      <c r="BGW612" s="17">
        <v>44925</v>
      </c>
      <c r="BGX612" s="5" t="s">
        <v>3728</v>
      </c>
      <c r="BGY612" s="17">
        <v>44925</v>
      </c>
      <c r="BGZ612" s="5" t="s">
        <v>3728</v>
      </c>
      <c r="BHA612" s="17">
        <v>44925</v>
      </c>
      <c r="BHB612" s="5" t="s">
        <v>3728</v>
      </c>
      <c r="BHC612" s="17">
        <v>44925</v>
      </c>
      <c r="BHD612" s="5" t="s">
        <v>3728</v>
      </c>
      <c r="BHE612" s="17">
        <v>44925</v>
      </c>
      <c r="BHF612" s="5" t="s">
        <v>3728</v>
      </c>
      <c r="BHG612" s="17">
        <v>44925</v>
      </c>
      <c r="BHH612" s="5" t="s">
        <v>3728</v>
      </c>
      <c r="BHI612" s="17">
        <v>44925</v>
      </c>
      <c r="BHJ612" s="5" t="s">
        <v>3728</v>
      </c>
      <c r="BHK612" s="17">
        <v>44925</v>
      </c>
      <c r="BHL612" s="5" t="s">
        <v>3728</v>
      </c>
      <c r="BHM612" s="17">
        <v>44925</v>
      </c>
      <c r="BHN612" s="5" t="s">
        <v>3728</v>
      </c>
      <c r="BHO612" s="17">
        <v>44925</v>
      </c>
      <c r="BHP612" s="5" t="s">
        <v>3728</v>
      </c>
      <c r="BHQ612" s="17">
        <v>44925</v>
      </c>
      <c r="BHR612" s="5" t="s">
        <v>3728</v>
      </c>
      <c r="BHS612" s="17">
        <v>44925</v>
      </c>
      <c r="BHT612" s="5" t="s">
        <v>3728</v>
      </c>
      <c r="BHU612" s="17">
        <v>44925</v>
      </c>
      <c r="BHV612" s="5" t="s">
        <v>3728</v>
      </c>
      <c r="BHW612" s="17">
        <v>44925</v>
      </c>
      <c r="BHX612" s="5" t="s">
        <v>3728</v>
      </c>
      <c r="BHY612" s="17">
        <v>44925</v>
      </c>
      <c r="BHZ612" s="5" t="s">
        <v>3728</v>
      </c>
      <c r="BIA612" s="17">
        <v>44925</v>
      </c>
      <c r="BIB612" s="5" t="s">
        <v>3728</v>
      </c>
      <c r="BIC612" s="17">
        <v>44925</v>
      </c>
      <c r="BID612" s="5" t="s">
        <v>3728</v>
      </c>
      <c r="BIE612" s="17">
        <v>44925</v>
      </c>
      <c r="BIF612" s="5" t="s">
        <v>3728</v>
      </c>
      <c r="BIG612" s="17">
        <v>44925</v>
      </c>
      <c r="BIH612" s="5" t="s">
        <v>3728</v>
      </c>
      <c r="BII612" s="17">
        <v>44925</v>
      </c>
      <c r="BIJ612" s="5" t="s">
        <v>3728</v>
      </c>
      <c r="BIK612" s="17">
        <v>44925</v>
      </c>
      <c r="BIL612" s="5" t="s">
        <v>3728</v>
      </c>
      <c r="BIM612" s="17">
        <v>44925</v>
      </c>
      <c r="BIN612" s="5" t="s">
        <v>3728</v>
      </c>
      <c r="BIO612" s="17">
        <v>44925</v>
      </c>
      <c r="BIP612" s="5" t="s">
        <v>3728</v>
      </c>
      <c r="BIQ612" s="17">
        <v>44925</v>
      </c>
      <c r="BIR612" s="5" t="s">
        <v>3728</v>
      </c>
      <c r="BIS612" s="17">
        <v>44925</v>
      </c>
      <c r="BIT612" s="5" t="s">
        <v>3728</v>
      </c>
      <c r="BIU612" s="17">
        <v>44925</v>
      </c>
      <c r="BIV612" s="5" t="s">
        <v>3728</v>
      </c>
      <c r="BIW612" s="17">
        <v>44925</v>
      </c>
      <c r="BIX612" s="5" t="s">
        <v>3728</v>
      </c>
      <c r="BIY612" s="17">
        <v>44925</v>
      </c>
      <c r="BIZ612" s="5" t="s">
        <v>3728</v>
      </c>
      <c r="BJA612" s="17">
        <v>44925</v>
      </c>
      <c r="BJB612" s="5" t="s">
        <v>3728</v>
      </c>
      <c r="BJC612" s="17">
        <v>44925</v>
      </c>
      <c r="BJD612" s="5" t="s">
        <v>3728</v>
      </c>
      <c r="BJE612" s="17">
        <v>44925</v>
      </c>
      <c r="BJF612" s="5" t="s">
        <v>3728</v>
      </c>
      <c r="BJG612" s="17">
        <v>44925</v>
      </c>
      <c r="BJH612" s="5" t="s">
        <v>3728</v>
      </c>
      <c r="BJI612" s="17">
        <v>44925</v>
      </c>
      <c r="BJJ612" s="5" t="s">
        <v>3728</v>
      </c>
      <c r="BJK612" s="17">
        <v>44925</v>
      </c>
      <c r="BJL612" s="5" t="s">
        <v>3728</v>
      </c>
      <c r="BJM612" s="17">
        <v>44925</v>
      </c>
      <c r="BJN612" s="5" t="s">
        <v>3728</v>
      </c>
      <c r="BJO612" s="17">
        <v>44925</v>
      </c>
      <c r="BJP612" s="5" t="s">
        <v>3728</v>
      </c>
      <c r="BJQ612" s="17">
        <v>44925</v>
      </c>
      <c r="BJR612" s="5" t="s">
        <v>3728</v>
      </c>
      <c r="BJS612" s="17">
        <v>44925</v>
      </c>
      <c r="BJT612" s="5" t="s">
        <v>3728</v>
      </c>
      <c r="BJU612" s="17">
        <v>44925</v>
      </c>
      <c r="BJV612" s="5" t="s">
        <v>3728</v>
      </c>
      <c r="BJW612" s="17">
        <v>44925</v>
      </c>
      <c r="BJX612" s="5" t="s">
        <v>3728</v>
      </c>
      <c r="BJY612" s="17">
        <v>44925</v>
      </c>
      <c r="BJZ612" s="5" t="s">
        <v>3728</v>
      </c>
      <c r="BKA612" s="17">
        <v>44925</v>
      </c>
      <c r="BKB612" s="5" t="s">
        <v>3728</v>
      </c>
      <c r="BKC612" s="17">
        <v>44925</v>
      </c>
      <c r="BKD612" s="5" t="s">
        <v>3728</v>
      </c>
      <c r="BKE612" s="17">
        <v>44925</v>
      </c>
      <c r="BKF612" s="5" t="s">
        <v>3728</v>
      </c>
      <c r="BKG612" s="17">
        <v>44925</v>
      </c>
      <c r="BKH612" s="5" t="s">
        <v>3728</v>
      </c>
      <c r="BKI612" s="17">
        <v>44925</v>
      </c>
      <c r="BKJ612" s="5" t="s">
        <v>3728</v>
      </c>
      <c r="BKK612" s="17">
        <v>44925</v>
      </c>
      <c r="BKL612" s="5" t="s">
        <v>3728</v>
      </c>
      <c r="BKM612" s="17">
        <v>44925</v>
      </c>
      <c r="BKN612" s="5" t="s">
        <v>3728</v>
      </c>
      <c r="BKO612" s="17">
        <v>44925</v>
      </c>
      <c r="BKP612" s="5" t="s">
        <v>3728</v>
      </c>
      <c r="BKQ612" s="17">
        <v>44925</v>
      </c>
      <c r="BKR612" s="5" t="s">
        <v>3728</v>
      </c>
      <c r="BKS612" s="17">
        <v>44925</v>
      </c>
      <c r="BKT612" s="5" t="s">
        <v>3728</v>
      </c>
      <c r="BKU612" s="17">
        <v>44925</v>
      </c>
      <c r="BKV612" s="5" t="s">
        <v>3728</v>
      </c>
      <c r="BKW612" s="17">
        <v>44925</v>
      </c>
      <c r="BKX612" s="5" t="s">
        <v>3728</v>
      </c>
      <c r="BKY612" s="17">
        <v>44925</v>
      </c>
      <c r="BKZ612" s="5" t="s">
        <v>3728</v>
      </c>
      <c r="BLA612" s="17">
        <v>44925</v>
      </c>
      <c r="BLB612" s="5" t="s">
        <v>3728</v>
      </c>
      <c r="BLC612" s="17">
        <v>44925</v>
      </c>
      <c r="BLD612" s="5" t="s">
        <v>3728</v>
      </c>
      <c r="BLE612" s="17">
        <v>44925</v>
      </c>
      <c r="BLF612" s="5" t="s">
        <v>3728</v>
      </c>
      <c r="BLG612" s="17">
        <v>44925</v>
      </c>
      <c r="BLH612" s="5" t="s">
        <v>3728</v>
      </c>
      <c r="BLI612" s="17">
        <v>44925</v>
      </c>
      <c r="BLJ612" s="5" t="s">
        <v>3728</v>
      </c>
      <c r="BLK612" s="17">
        <v>44925</v>
      </c>
      <c r="BLL612" s="5" t="s">
        <v>3728</v>
      </c>
      <c r="BLM612" s="17">
        <v>44925</v>
      </c>
      <c r="BLN612" s="5" t="s">
        <v>3728</v>
      </c>
      <c r="BLO612" s="17">
        <v>44925</v>
      </c>
      <c r="BLP612" s="5" t="s">
        <v>3728</v>
      </c>
      <c r="BLQ612" s="17">
        <v>44925</v>
      </c>
      <c r="BLR612" s="5" t="s">
        <v>3728</v>
      </c>
      <c r="BLS612" s="17">
        <v>44925</v>
      </c>
      <c r="BLT612" s="5" t="s">
        <v>3728</v>
      </c>
      <c r="BLU612" s="17">
        <v>44925</v>
      </c>
      <c r="BLV612" s="5" t="s">
        <v>3728</v>
      </c>
      <c r="BLW612" s="17">
        <v>44925</v>
      </c>
      <c r="BLX612" s="5" t="s">
        <v>3728</v>
      </c>
      <c r="BLY612" s="17">
        <v>44925</v>
      </c>
      <c r="BLZ612" s="5" t="s">
        <v>3728</v>
      </c>
      <c r="BMA612" s="17">
        <v>44925</v>
      </c>
      <c r="BMB612" s="5" t="s">
        <v>3728</v>
      </c>
      <c r="BMC612" s="17">
        <v>44925</v>
      </c>
      <c r="BMD612" s="5" t="s">
        <v>3728</v>
      </c>
      <c r="BME612" s="17">
        <v>44925</v>
      </c>
      <c r="BMF612" s="5" t="s">
        <v>3728</v>
      </c>
      <c r="BMG612" s="17">
        <v>44925</v>
      </c>
      <c r="BMH612" s="5" t="s">
        <v>3728</v>
      </c>
      <c r="BMI612" s="17">
        <v>44925</v>
      </c>
      <c r="BMJ612" s="5" t="s">
        <v>3728</v>
      </c>
      <c r="BMK612" s="17">
        <v>44925</v>
      </c>
      <c r="BML612" s="5" t="s">
        <v>3728</v>
      </c>
      <c r="BMM612" s="17">
        <v>44925</v>
      </c>
      <c r="BMN612" s="5" t="s">
        <v>3728</v>
      </c>
      <c r="BMO612" s="17">
        <v>44925</v>
      </c>
      <c r="BMP612" s="5" t="s">
        <v>3728</v>
      </c>
      <c r="BMQ612" s="17">
        <v>44925</v>
      </c>
      <c r="BMR612" s="5" t="s">
        <v>3728</v>
      </c>
      <c r="BMS612" s="17">
        <v>44925</v>
      </c>
      <c r="BMT612" s="5" t="s">
        <v>3728</v>
      </c>
      <c r="BMU612" s="17">
        <v>44925</v>
      </c>
      <c r="BMV612" s="5" t="s">
        <v>3728</v>
      </c>
      <c r="BMW612" s="17">
        <v>44925</v>
      </c>
      <c r="BMX612" s="5" t="s">
        <v>3728</v>
      </c>
      <c r="BMY612" s="17">
        <v>44925</v>
      </c>
      <c r="BMZ612" s="5" t="s">
        <v>3728</v>
      </c>
      <c r="BNA612" s="17">
        <v>44925</v>
      </c>
      <c r="BNB612" s="5" t="s">
        <v>3728</v>
      </c>
      <c r="BNC612" s="17">
        <v>44925</v>
      </c>
      <c r="BND612" s="5" t="s">
        <v>3728</v>
      </c>
      <c r="BNE612" s="17">
        <v>44925</v>
      </c>
      <c r="BNF612" s="5" t="s">
        <v>3728</v>
      </c>
      <c r="BNG612" s="17">
        <v>44925</v>
      </c>
      <c r="BNH612" s="5" t="s">
        <v>3728</v>
      </c>
      <c r="BNI612" s="17">
        <v>44925</v>
      </c>
      <c r="BNJ612" s="5" t="s">
        <v>3728</v>
      </c>
      <c r="BNK612" s="17">
        <v>44925</v>
      </c>
      <c r="BNL612" s="5" t="s">
        <v>3728</v>
      </c>
      <c r="BNM612" s="17">
        <v>44925</v>
      </c>
      <c r="BNN612" s="5" t="s">
        <v>3728</v>
      </c>
      <c r="BNO612" s="17">
        <v>44925</v>
      </c>
      <c r="BNP612" s="5" t="s">
        <v>3728</v>
      </c>
      <c r="BNQ612" s="17">
        <v>44925</v>
      </c>
      <c r="BNR612" s="5" t="s">
        <v>3728</v>
      </c>
      <c r="BNS612" s="17">
        <v>44925</v>
      </c>
      <c r="BNT612" s="5" t="s">
        <v>3728</v>
      </c>
      <c r="BNU612" s="17">
        <v>44925</v>
      </c>
      <c r="BNV612" s="5" t="s">
        <v>3728</v>
      </c>
      <c r="BNW612" s="17">
        <v>44925</v>
      </c>
      <c r="BNX612" s="5" t="s">
        <v>3728</v>
      </c>
      <c r="BNY612" s="17">
        <v>44925</v>
      </c>
      <c r="BNZ612" s="5" t="s">
        <v>3728</v>
      </c>
      <c r="BOA612" s="17">
        <v>44925</v>
      </c>
      <c r="BOB612" s="5" t="s">
        <v>3728</v>
      </c>
      <c r="BOC612" s="17">
        <v>44925</v>
      </c>
      <c r="BOD612" s="5" t="s">
        <v>3728</v>
      </c>
      <c r="BOE612" s="17">
        <v>44925</v>
      </c>
      <c r="BOF612" s="5" t="s">
        <v>3728</v>
      </c>
      <c r="BOG612" s="17">
        <v>44925</v>
      </c>
      <c r="BOH612" s="5" t="s">
        <v>3728</v>
      </c>
      <c r="BOI612" s="17">
        <v>44925</v>
      </c>
      <c r="BOJ612" s="5" t="s">
        <v>3728</v>
      </c>
      <c r="BOK612" s="17">
        <v>44925</v>
      </c>
      <c r="BOL612" s="5" t="s">
        <v>3728</v>
      </c>
      <c r="BOM612" s="17">
        <v>44925</v>
      </c>
      <c r="BON612" s="5" t="s">
        <v>3728</v>
      </c>
      <c r="BOO612" s="17">
        <v>44925</v>
      </c>
      <c r="BOP612" s="5" t="s">
        <v>3728</v>
      </c>
      <c r="BOQ612" s="17">
        <v>44925</v>
      </c>
      <c r="BOR612" s="5" t="s">
        <v>3728</v>
      </c>
      <c r="BOS612" s="17">
        <v>44925</v>
      </c>
      <c r="BOT612" s="5" t="s">
        <v>3728</v>
      </c>
      <c r="BOU612" s="17">
        <v>44925</v>
      </c>
      <c r="BOV612" s="5" t="s">
        <v>3728</v>
      </c>
      <c r="BOW612" s="17">
        <v>44925</v>
      </c>
      <c r="BOX612" s="5" t="s">
        <v>3728</v>
      </c>
      <c r="BOY612" s="17">
        <v>44925</v>
      </c>
      <c r="BOZ612" s="5" t="s">
        <v>3728</v>
      </c>
      <c r="BPA612" s="17">
        <v>44925</v>
      </c>
      <c r="BPB612" s="5" t="s">
        <v>3728</v>
      </c>
      <c r="BPC612" s="17">
        <v>44925</v>
      </c>
      <c r="BPD612" s="5" t="s">
        <v>3728</v>
      </c>
      <c r="BPE612" s="17">
        <v>44925</v>
      </c>
      <c r="BPF612" s="5" t="s">
        <v>3728</v>
      </c>
      <c r="BPG612" s="17">
        <v>44925</v>
      </c>
      <c r="BPH612" s="5" t="s">
        <v>3728</v>
      </c>
      <c r="BPI612" s="17">
        <v>44925</v>
      </c>
      <c r="BPJ612" s="5" t="s">
        <v>3728</v>
      </c>
      <c r="BPK612" s="17">
        <v>44925</v>
      </c>
      <c r="BPL612" s="5" t="s">
        <v>3728</v>
      </c>
      <c r="BPM612" s="17">
        <v>44925</v>
      </c>
      <c r="BPN612" s="5" t="s">
        <v>3728</v>
      </c>
      <c r="BPO612" s="17">
        <v>44925</v>
      </c>
      <c r="BPP612" s="5" t="s">
        <v>3728</v>
      </c>
      <c r="BPQ612" s="17">
        <v>44925</v>
      </c>
      <c r="BPR612" s="5" t="s">
        <v>3728</v>
      </c>
      <c r="BPS612" s="17">
        <v>44925</v>
      </c>
      <c r="BPT612" s="5" t="s">
        <v>3728</v>
      </c>
      <c r="BPU612" s="17">
        <v>44925</v>
      </c>
      <c r="BPV612" s="5" t="s">
        <v>3728</v>
      </c>
      <c r="BPW612" s="17">
        <v>44925</v>
      </c>
      <c r="BPX612" s="5" t="s">
        <v>3728</v>
      </c>
      <c r="BPY612" s="17">
        <v>44925</v>
      </c>
      <c r="BPZ612" s="5" t="s">
        <v>3728</v>
      </c>
      <c r="BQA612" s="17">
        <v>44925</v>
      </c>
      <c r="BQB612" s="5" t="s">
        <v>3728</v>
      </c>
      <c r="BQC612" s="17">
        <v>44925</v>
      </c>
      <c r="BQD612" s="5" t="s">
        <v>3728</v>
      </c>
      <c r="BQE612" s="17">
        <v>44925</v>
      </c>
      <c r="BQF612" s="5" t="s">
        <v>3728</v>
      </c>
      <c r="BQG612" s="17">
        <v>44925</v>
      </c>
      <c r="BQH612" s="5" t="s">
        <v>3728</v>
      </c>
      <c r="BQI612" s="17">
        <v>44925</v>
      </c>
      <c r="BQJ612" s="5" t="s">
        <v>3728</v>
      </c>
      <c r="BQK612" s="17">
        <v>44925</v>
      </c>
      <c r="BQL612" s="5" t="s">
        <v>3728</v>
      </c>
      <c r="BQM612" s="17">
        <v>44925</v>
      </c>
      <c r="BQN612" s="5" t="s">
        <v>3728</v>
      </c>
      <c r="BQO612" s="17">
        <v>44925</v>
      </c>
      <c r="BQP612" s="5" t="s">
        <v>3728</v>
      </c>
      <c r="BQQ612" s="17">
        <v>44925</v>
      </c>
      <c r="BQR612" s="5" t="s">
        <v>3728</v>
      </c>
      <c r="BQS612" s="17">
        <v>44925</v>
      </c>
      <c r="BQT612" s="5" t="s">
        <v>3728</v>
      </c>
      <c r="BQU612" s="17">
        <v>44925</v>
      </c>
      <c r="BQV612" s="5" t="s">
        <v>3728</v>
      </c>
      <c r="BQW612" s="17">
        <v>44925</v>
      </c>
      <c r="BQX612" s="5" t="s">
        <v>3728</v>
      </c>
      <c r="BQY612" s="17">
        <v>44925</v>
      </c>
      <c r="BQZ612" s="5" t="s">
        <v>3728</v>
      </c>
      <c r="BRA612" s="17">
        <v>44925</v>
      </c>
      <c r="BRB612" s="5" t="s">
        <v>3728</v>
      </c>
      <c r="BRC612" s="17">
        <v>44925</v>
      </c>
      <c r="BRD612" s="5" t="s">
        <v>3728</v>
      </c>
      <c r="BRE612" s="17">
        <v>44925</v>
      </c>
      <c r="BRF612" s="5" t="s">
        <v>3728</v>
      </c>
      <c r="BRG612" s="17">
        <v>44925</v>
      </c>
      <c r="BRH612" s="5" t="s">
        <v>3728</v>
      </c>
      <c r="BRI612" s="17">
        <v>44925</v>
      </c>
      <c r="BRJ612" s="5" t="s">
        <v>3728</v>
      </c>
      <c r="BRK612" s="17">
        <v>44925</v>
      </c>
      <c r="BRL612" s="5" t="s">
        <v>3728</v>
      </c>
      <c r="BRM612" s="17">
        <v>44925</v>
      </c>
      <c r="BRN612" s="5" t="s">
        <v>3728</v>
      </c>
      <c r="BRO612" s="17">
        <v>44925</v>
      </c>
      <c r="BRP612" s="5" t="s">
        <v>3728</v>
      </c>
      <c r="BRQ612" s="17">
        <v>44925</v>
      </c>
      <c r="BRR612" s="5" t="s">
        <v>3728</v>
      </c>
      <c r="BRS612" s="17">
        <v>44925</v>
      </c>
      <c r="BRT612" s="5" t="s">
        <v>3728</v>
      </c>
      <c r="BRU612" s="17">
        <v>44925</v>
      </c>
      <c r="BRV612" s="5" t="s">
        <v>3728</v>
      </c>
      <c r="BRW612" s="17">
        <v>44925</v>
      </c>
      <c r="BRX612" s="5" t="s">
        <v>3728</v>
      </c>
      <c r="BRY612" s="17">
        <v>44925</v>
      </c>
      <c r="BRZ612" s="5" t="s">
        <v>3728</v>
      </c>
      <c r="BSA612" s="17">
        <v>44925</v>
      </c>
      <c r="BSB612" s="5" t="s">
        <v>3728</v>
      </c>
      <c r="BSC612" s="17">
        <v>44925</v>
      </c>
      <c r="BSD612" s="5" t="s">
        <v>3728</v>
      </c>
      <c r="BSE612" s="17">
        <v>44925</v>
      </c>
      <c r="BSF612" s="5" t="s">
        <v>3728</v>
      </c>
      <c r="BSG612" s="17">
        <v>44925</v>
      </c>
      <c r="BSH612" s="5" t="s">
        <v>3728</v>
      </c>
      <c r="BSI612" s="17">
        <v>44925</v>
      </c>
      <c r="BSJ612" s="5" t="s">
        <v>3728</v>
      </c>
      <c r="BSK612" s="17">
        <v>44925</v>
      </c>
      <c r="BSL612" s="5" t="s">
        <v>3728</v>
      </c>
      <c r="BSM612" s="17">
        <v>44925</v>
      </c>
      <c r="BSN612" s="5" t="s">
        <v>3728</v>
      </c>
      <c r="BSO612" s="17">
        <v>44925</v>
      </c>
      <c r="BSP612" s="5" t="s">
        <v>3728</v>
      </c>
      <c r="BSQ612" s="17">
        <v>44925</v>
      </c>
      <c r="BSR612" s="5" t="s">
        <v>3728</v>
      </c>
      <c r="BSS612" s="17">
        <v>44925</v>
      </c>
      <c r="BST612" s="5" t="s">
        <v>3728</v>
      </c>
      <c r="BSU612" s="17">
        <v>44925</v>
      </c>
      <c r="BSV612" s="5" t="s">
        <v>3728</v>
      </c>
      <c r="BSW612" s="17">
        <v>44925</v>
      </c>
      <c r="BSX612" s="5" t="s">
        <v>3728</v>
      </c>
      <c r="BSY612" s="17">
        <v>44925</v>
      </c>
      <c r="BSZ612" s="5" t="s">
        <v>3728</v>
      </c>
      <c r="BTA612" s="17">
        <v>44925</v>
      </c>
      <c r="BTB612" s="5" t="s">
        <v>3728</v>
      </c>
      <c r="BTC612" s="17">
        <v>44925</v>
      </c>
      <c r="BTD612" s="5" t="s">
        <v>3728</v>
      </c>
      <c r="BTE612" s="17">
        <v>44925</v>
      </c>
      <c r="BTF612" s="5" t="s">
        <v>3728</v>
      </c>
      <c r="BTG612" s="17">
        <v>44925</v>
      </c>
      <c r="BTH612" s="5" t="s">
        <v>3728</v>
      </c>
      <c r="BTI612" s="17">
        <v>44925</v>
      </c>
      <c r="BTJ612" s="5" t="s">
        <v>3728</v>
      </c>
      <c r="BTK612" s="17">
        <v>44925</v>
      </c>
      <c r="BTL612" s="5" t="s">
        <v>3728</v>
      </c>
      <c r="BTM612" s="17">
        <v>44925</v>
      </c>
      <c r="BTN612" s="5" t="s">
        <v>3728</v>
      </c>
      <c r="BTO612" s="17">
        <v>44925</v>
      </c>
      <c r="BTP612" s="5" t="s">
        <v>3728</v>
      </c>
      <c r="BTQ612" s="17">
        <v>44925</v>
      </c>
      <c r="BTR612" s="5" t="s">
        <v>3728</v>
      </c>
      <c r="BTS612" s="17">
        <v>44925</v>
      </c>
      <c r="BTT612" s="5" t="s">
        <v>3728</v>
      </c>
      <c r="BTU612" s="17">
        <v>44925</v>
      </c>
      <c r="BTV612" s="5" t="s">
        <v>3728</v>
      </c>
      <c r="BTW612" s="17">
        <v>44925</v>
      </c>
      <c r="BTX612" s="5" t="s">
        <v>3728</v>
      </c>
      <c r="BTY612" s="17">
        <v>44925</v>
      </c>
      <c r="BTZ612" s="5" t="s">
        <v>3728</v>
      </c>
      <c r="BUA612" s="17">
        <v>44925</v>
      </c>
      <c r="BUB612" s="5" t="s">
        <v>3728</v>
      </c>
      <c r="BUC612" s="17">
        <v>44925</v>
      </c>
      <c r="BUD612" s="5" t="s">
        <v>3728</v>
      </c>
      <c r="BUE612" s="17">
        <v>44925</v>
      </c>
      <c r="BUF612" s="5" t="s">
        <v>3728</v>
      </c>
      <c r="BUG612" s="17">
        <v>44925</v>
      </c>
      <c r="BUH612" s="5" t="s">
        <v>3728</v>
      </c>
      <c r="BUI612" s="17">
        <v>44925</v>
      </c>
      <c r="BUJ612" s="5" t="s">
        <v>3728</v>
      </c>
      <c r="BUK612" s="17">
        <v>44925</v>
      </c>
      <c r="BUL612" s="5" t="s">
        <v>3728</v>
      </c>
      <c r="BUM612" s="17">
        <v>44925</v>
      </c>
      <c r="BUN612" s="5" t="s">
        <v>3728</v>
      </c>
      <c r="BUO612" s="17">
        <v>44925</v>
      </c>
      <c r="BUP612" s="5" t="s">
        <v>3728</v>
      </c>
      <c r="BUQ612" s="17">
        <v>44925</v>
      </c>
      <c r="BUR612" s="5" t="s">
        <v>3728</v>
      </c>
      <c r="BUS612" s="17">
        <v>44925</v>
      </c>
      <c r="BUT612" s="5" t="s">
        <v>3728</v>
      </c>
      <c r="BUU612" s="17">
        <v>44925</v>
      </c>
      <c r="BUV612" s="5" t="s">
        <v>3728</v>
      </c>
      <c r="BUW612" s="17">
        <v>44925</v>
      </c>
      <c r="BUX612" s="5" t="s">
        <v>3728</v>
      </c>
      <c r="BUY612" s="17">
        <v>44925</v>
      </c>
      <c r="BUZ612" s="5" t="s">
        <v>3728</v>
      </c>
      <c r="BVA612" s="17">
        <v>44925</v>
      </c>
      <c r="BVB612" s="5" t="s">
        <v>3728</v>
      </c>
      <c r="BVC612" s="17">
        <v>44925</v>
      </c>
      <c r="BVD612" s="5" t="s">
        <v>3728</v>
      </c>
      <c r="BVE612" s="17">
        <v>44925</v>
      </c>
      <c r="BVF612" s="5" t="s">
        <v>3728</v>
      </c>
      <c r="BVG612" s="17">
        <v>44925</v>
      </c>
      <c r="BVH612" s="5" t="s">
        <v>3728</v>
      </c>
      <c r="BVI612" s="17">
        <v>44925</v>
      </c>
      <c r="BVJ612" s="5" t="s">
        <v>3728</v>
      </c>
      <c r="BVK612" s="17">
        <v>44925</v>
      </c>
      <c r="BVL612" s="5" t="s">
        <v>3728</v>
      </c>
      <c r="BVM612" s="17">
        <v>44925</v>
      </c>
      <c r="BVN612" s="5" t="s">
        <v>3728</v>
      </c>
      <c r="BVO612" s="17">
        <v>44925</v>
      </c>
      <c r="BVP612" s="5" t="s">
        <v>3728</v>
      </c>
      <c r="BVQ612" s="17">
        <v>44925</v>
      </c>
      <c r="BVR612" s="5" t="s">
        <v>3728</v>
      </c>
      <c r="BVS612" s="17">
        <v>44925</v>
      </c>
      <c r="BVT612" s="5" t="s">
        <v>3728</v>
      </c>
      <c r="BVU612" s="17">
        <v>44925</v>
      </c>
      <c r="BVV612" s="5" t="s">
        <v>3728</v>
      </c>
      <c r="BVW612" s="17">
        <v>44925</v>
      </c>
      <c r="BVX612" s="5" t="s">
        <v>3728</v>
      </c>
      <c r="BVY612" s="17">
        <v>44925</v>
      </c>
      <c r="BVZ612" s="5" t="s">
        <v>3728</v>
      </c>
      <c r="BWA612" s="17">
        <v>44925</v>
      </c>
      <c r="BWB612" s="5" t="s">
        <v>3728</v>
      </c>
      <c r="BWC612" s="17">
        <v>44925</v>
      </c>
      <c r="BWD612" s="5" t="s">
        <v>3728</v>
      </c>
      <c r="BWE612" s="17">
        <v>44925</v>
      </c>
      <c r="BWF612" s="5" t="s">
        <v>3728</v>
      </c>
      <c r="BWG612" s="17">
        <v>44925</v>
      </c>
      <c r="BWH612" s="5" t="s">
        <v>3728</v>
      </c>
      <c r="BWI612" s="17">
        <v>44925</v>
      </c>
      <c r="BWJ612" s="5" t="s">
        <v>3728</v>
      </c>
      <c r="BWK612" s="17">
        <v>44925</v>
      </c>
      <c r="BWL612" s="5" t="s">
        <v>3728</v>
      </c>
      <c r="BWM612" s="17">
        <v>44925</v>
      </c>
      <c r="BWN612" s="5" t="s">
        <v>3728</v>
      </c>
      <c r="BWO612" s="17">
        <v>44925</v>
      </c>
      <c r="BWP612" s="5" t="s">
        <v>3728</v>
      </c>
      <c r="BWQ612" s="17">
        <v>44925</v>
      </c>
      <c r="BWR612" s="5" t="s">
        <v>3728</v>
      </c>
      <c r="BWS612" s="17">
        <v>44925</v>
      </c>
      <c r="BWT612" s="5" t="s">
        <v>3728</v>
      </c>
      <c r="BWU612" s="17">
        <v>44925</v>
      </c>
      <c r="BWV612" s="5" t="s">
        <v>3728</v>
      </c>
      <c r="BWW612" s="17">
        <v>44925</v>
      </c>
      <c r="BWX612" s="5" t="s">
        <v>3728</v>
      </c>
      <c r="BWY612" s="17">
        <v>44925</v>
      </c>
      <c r="BWZ612" s="5" t="s">
        <v>3728</v>
      </c>
      <c r="BXA612" s="17">
        <v>44925</v>
      </c>
      <c r="BXB612" s="5" t="s">
        <v>3728</v>
      </c>
      <c r="BXC612" s="17">
        <v>44925</v>
      </c>
      <c r="BXD612" s="5" t="s">
        <v>3728</v>
      </c>
      <c r="BXE612" s="17">
        <v>44925</v>
      </c>
      <c r="BXF612" s="5" t="s">
        <v>3728</v>
      </c>
      <c r="BXG612" s="17">
        <v>44925</v>
      </c>
      <c r="BXH612" s="5" t="s">
        <v>3728</v>
      </c>
      <c r="BXI612" s="17">
        <v>44925</v>
      </c>
      <c r="BXJ612" s="5" t="s">
        <v>3728</v>
      </c>
      <c r="BXK612" s="17">
        <v>44925</v>
      </c>
      <c r="BXL612" s="5" t="s">
        <v>3728</v>
      </c>
      <c r="BXM612" s="17">
        <v>44925</v>
      </c>
      <c r="BXN612" s="5" t="s">
        <v>3728</v>
      </c>
      <c r="BXO612" s="17">
        <v>44925</v>
      </c>
      <c r="BXP612" s="5" t="s">
        <v>3728</v>
      </c>
      <c r="BXQ612" s="17">
        <v>44925</v>
      </c>
      <c r="BXR612" s="5" t="s">
        <v>3728</v>
      </c>
      <c r="BXS612" s="17">
        <v>44925</v>
      </c>
      <c r="BXT612" s="5" t="s">
        <v>3728</v>
      </c>
      <c r="BXU612" s="17">
        <v>44925</v>
      </c>
      <c r="BXV612" s="5" t="s">
        <v>3728</v>
      </c>
      <c r="BXW612" s="17">
        <v>44925</v>
      </c>
      <c r="BXX612" s="5" t="s">
        <v>3728</v>
      </c>
      <c r="BXY612" s="17">
        <v>44925</v>
      </c>
      <c r="BXZ612" s="5" t="s">
        <v>3728</v>
      </c>
      <c r="BYA612" s="17">
        <v>44925</v>
      </c>
      <c r="BYB612" s="5" t="s">
        <v>3728</v>
      </c>
      <c r="BYC612" s="17">
        <v>44925</v>
      </c>
      <c r="BYD612" s="5" t="s">
        <v>3728</v>
      </c>
      <c r="BYE612" s="17">
        <v>44925</v>
      </c>
      <c r="BYF612" s="5" t="s">
        <v>3728</v>
      </c>
      <c r="BYG612" s="17">
        <v>44925</v>
      </c>
      <c r="BYH612" s="5" t="s">
        <v>3728</v>
      </c>
      <c r="BYI612" s="17">
        <v>44925</v>
      </c>
      <c r="BYJ612" s="5" t="s">
        <v>3728</v>
      </c>
      <c r="BYK612" s="17">
        <v>44925</v>
      </c>
      <c r="BYL612" s="5" t="s">
        <v>3728</v>
      </c>
      <c r="BYM612" s="17">
        <v>44925</v>
      </c>
      <c r="BYN612" s="5" t="s">
        <v>3728</v>
      </c>
      <c r="BYO612" s="17">
        <v>44925</v>
      </c>
      <c r="BYP612" s="5" t="s">
        <v>3728</v>
      </c>
      <c r="BYQ612" s="17">
        <v>44925</v>
      </c>
      <c r="BYR612" s="5" t="s">
        <v>3728</v>
      </c>
      <c r="BYS612" s="17">
        <v>44925</v>
      </c>
      <c r="BYT612" s="5" t="s">
        <v>3728</v>
      </c>
      <c r="BYU612" s="17">
        <v>44925</v>
      </c>
      <c r="BYV612" s="5" t="s">
        <v>3728</v>
      </c>
      <c r="BYW612" s="17">
        <v>44925</v>
      </c>
      <c r="BYX612" s="5" t="s">
        <v>3728</v>
      </c>
      <c r="BYY612" s="17">
        <v>44925</v>
      </c>
      <c r="BYZ612" s="5" t="s">
        <v>3728</v>
      </c>
      <c r="BZA612" s="17">
        <v>44925</v>
      </c>
      <c r="BZB612" s="5" t="s">
        <v>3728</v>
      </c>
      <c r="BZC612" s="17">
        <v>44925</v>
      </c>
      <c r="BZD612" s="5" t="s">
        <v>3728</v>
      </c>
      <c r="BZE612" s="17">
        <v>44925</v>
      </c>
      <c r="BZF612" s="5" t="s">
        <v>3728</v>
      </c>
      <c r="BZG612" s="17">
        <v>44925</v>
      </c>
      <c r="BZH612" s="5" t="s">
        <v>3728</v>
      </c>
      <c r="BZI612" s="17">
        <v>44925</v>
      </c>
      <c r="BZJ612" s="5" t="s">
        <v>3728</v>
      </c>
      <c r="BZK612" s="17">
        <v>44925</v>
      </c>
      <c r="BZL612" s="5" t="s">
        <v>3728</v>
      </c>
      <c r="BZM612" s="17">
        <v>44925</v>
      </c>
      <c r="BZN612" s="5" t="s">
        <v>3728</v>
      </c>
      <c r="BZO612" s="17">
        <v>44925</v>
      </c>
      <c r="BZP612" s="5" t="s">
        <v>3728</v>
      </c>
      <c r="BZQ612" s="17">
        <v>44925</v>
      </c>
      <c r="BZR612" s="5" t="s">
        <v>3728</v>
      </c>
      <c r="BZS612" s="17">
        <v>44925</v>
      </c>
      <c r="BZT612" s="5" t="s">
        <v>3728</v>
      </c>
      <c r="BZU612" s="17">
        <v>44925</v>
      </c>
      <c r="BZV612" s="5" t="s">
        <v>3728</v>
      </c>
      <c r="BZW612" s="17">
        <v>44925</v>
      </c>
      <c r="BZX612" s="5" t="s">
        <v>3728</v>
      </c>
      <c r="BZY612" s="17">
        <v>44925</v>
      </c>
      <c r="BZZ612" s="5" t="s">
        <v>3728</v>
      </c>
      <c r="CAA612" s="17">
        <v>44925</v>
      </c>
      <c r="CAB612" s="5" t="s">
        <v>3728</v>
      </c>
      <c r="CAC612" s="17">
        <v>44925</v>
      </c>
      <c r="CAD612" s="5" t="s">
        <v>3728</v>
      </c>
      <c r="CAE612" s="17">
        <v>44925</v>
      </c>
      <c r="CAF612" s="5" t="s">
        <v>3728</v>
      </c>
      <c r="CAG612" s="17">
        <v>44925</v>
      </c>
      <c r="CAH612" s="5" t="s">
        <v>3728</v>
      </c>
      <c r="CAI612" s="17">
        <v>44925</v>
      </c>
      <c r="CAJ612" s="5" t="s">
        <v>3728</v>
      </c>
      <c r="CAK612" s="17">
        <v>44925</v>
      </c>
      <c r="CAL612" s="5" t="s">
        <v>3728</v>
      </c>
      <c r="CAM612" s="17">
        <v>44925</v>
      </c>
      <c r="CAN612" s="5" t="s">
        <v>3728</v>
      </c>
      <c r="CAO612" s="17">
        <v>44925</v>
      </c>
      <c r="CAP612" s="5" t="s">
        <v>3728</v>
      </c>
      <c r="CAQ612" s="17">
        <v>44925</v>
      </c>
      <c r="CAR612" s="5" t="s">
        <v>3728</v>
      </c>
      <c r="CAS612" s="17">
        <v>44925</v>
      </c>
      <c r="CAT612" s="5" t="s">
        <v>3728</v>
      </c>
      <c r="CAU612" s="17">
        <v>44925</v>
      </c>
      <c r="CAV612" s="5" t="s">
        <v>3728</v>
      </c>
      <c r="CAW612" s="17">
        <v>44925</v>
      </c>
      <c r="CAX612" s="5" t="s">
        <v>3728</v>
      </c>
      <c r="CAY612" s="17">
        <v>44925</v>
      </c>
      <c r="CAZ612" s="5" t="s">
        <v>3728</v>
      </c>
      <c r="CBA612" s="17">
        <v>44925</v>
      </c>
      <c r="CBB612" s="5" t="s">
        <v>3728</v>
      </c>
      <c r="CBC612" s="17">
        <v>44925</v>
      </c>
      <c r="CBD612" s="5" t="s">
        <v>3728</v>
      </c>
      <c r="CBE612" s="17">
        <v>44925</v>
      </c>
      <c r="CBF612" s="5" t="s">
        <v>3728</v>
      </c>
      <c r="CBG612" s="17">
        <v>44925</v>
      </c>
      <c r="CBH612" s="5" t="s">
        <v>3728</v>
      </c>
      <c r="CBI612" s="17">
        <v>44925</v>
      </c>
      <c r="CBJ612" s="5" t="s">
        <v>3728</v>
      </c>
      <c r="CBK612" s="17">
        <v>44925</v>
      </c>
      <c r="CBL612" s="5" t="s">
        <v>3728</v>
      </c>
      <c r="CBM612" s="17">
        <v>44925</v>
      </c>
      <c r="CBN612" s="5" t="s">
        <v>3728</v>
      </c>
      <c r="CBO612" s="17">
        <v>44925</v>
      </c>
      <c r="CBP612" s="5" t="s">
        <v>3728</v>
      </c>
      <c r="CBQ612" s="17">
        <v>44925</v>
      </c>
      <c r="CBR612" s="5" t="s">
        <v>3728</v>
      </c>
      <c r="CBS612" s="17">
        <v>44925</v>
      </c>
      <c r="CBT612" s="5" t="s">
        <v>3728</v>
      </c>
      <c r="CBU612" s="17">
        <v>44925</v>
      </c>
      <c r="CBV612" s="5" t="s">
        <v>3728</v>
      </c>
      <c r="CBW612" s="17">
        <v>44925</v>
      </c>
      <c r="CBX612" s="5" t="s">
        <v>3728</v>
      </c>
      <c r="CBY612" s="17">
        <v>44925</v>
      </c>
      <c r="CBZ612" s="5" t="s">
        <v>3728</v>
      </c>
      <c r="CCA612" s="17">
        <v>44925</v>
      </c>
      <c r="CCB612" s="5" t="s">
        <v>3728</v>
      </c>
      <c r="CCC612" s="17">
        <v>44925</v>
      </c>
      <c r="CCD612" s="5" t="s">
        <v>3728</v>
      </c>
      <c r="CCE612" s="17">
        <v>44925</v>
      </c>
      <c r="CCF612" s="5" t="s">
        <v>3728</v>
      </c>
      <c r="CCG612" s="17">
        <v>44925</v>
      </c>
      <c r="CCH612" s="5" t="s">
        <v>3728</v>
      </c>
      <c r="CCI612" s="17">
        <v>44925</v>
      </c>
      <c r="CCJ612" s="5" t="s">
        <v>3728</v>
      </c>
      <c r="CCK612" s="17">
        <v>44925</v>
      </c>
      <c r="CCL612" s="5" t="s">
        <v>3728</v>
      </c>
      <c r="CCM612" s="17">
        <v>44925</v>
      </c>
      <c r="CCN612" s="5" t="s">
        <v>3728</v>
      </c>
      <c r="CCO612" s="17">
        <v>44925</v>
      </c>
      <c r="CCP612" s="5" t="s">
        <v>3728</v>
      </c>
      <c r="CCQ612" s="17">
        <v>44925</v>
      </c>
      <c r="CCR612" s="5" t="s">
        <v>3728</v>
      </c>
      <c r="CCS612" s="17">
        <v>44925</v>
      </c>
      <c r="CCT612" s="5" t="s">
        <v>3728</v>
      </c>
      <c r="CCU612" s="17">
        <v>44925</v>
      </c>
      <c r="CCV612" s="5" t="s">
        <v>3728</v>
      </c>
      <c r="CCW612" s="17">
        <v>44925</v>
      </c>
      <c r="CCX612" s="5" t="s">
        <v>3728</v>
      </c>
      <c r="CCY612" s="17">
        <v>44925</v>
      </c>
      <c r="CCZ612" s="5" t="s">
        <v>3728</v>
      </c>
      <c r="CDA612" s="17">
        <v>44925</v>
      </c>
      <c r="CDB612" s="5" t="s">
        <v>3728</v>
      </c>
      <c r="CDC612" s="17">
        <v>44925</v>
      </c>
      <c r="CDD612" s="5" t="s">
        <v>3728</v>
      </c>
      <c r="CDE612" s="17">
        <v>44925</v>
      </c>
      <c r="CDF612" s="5" t="s">
        <v>3728</v>
      </c>
      <c r="CDG612" s="17">
        <v>44925</v>
      </c>
      <c r="CDH612" s="5" t="s">
        <v>3728</v>
      </c>
      <c r="CDI612" s="17">
        <v>44925</v>
      </c>
      <c r="CDJ612" s="5" t="s">
        <v>3728</v>
      </c>
      <c r="CDK612" s="17">
        <v>44925</v>
      </c>
      <c r="CDL612" s="5" t="s">
        <v>3728</v>
      </c>
      <c r="CDM612" s="17">
        <v>44925</v>
      </c>
      <c r="CDN612" s="5" t="s">
        <v>3728</v>
      </c>
      <c r="CDO612" s="17">
        <v>44925</v>
      </c>
      <c r="CDP612" s="5" t="s">
        <v>3728</v>
      </c>
      <c r="CDQ612" s="17">
        <v>44925</v>
      </c>
      <c r="CDR612" s="5" t="s">
        <v>3728</v>
      </c>
      <c r="CDS612" s="17">
        <v>44925</v>
      </c>
      <c r="CDT612" s="5" t="s">
        <v>3728</v>
      </c>
      <c r="CDU612" s="17">
        <v>44925</v>
      </c>
      <c r="CDV612" s="5" t="s">
        <v>3728</v>
      </c>
      <c r="CDW612" s="17">
        <v>44925</v>
      </c>
      <c r="CDX612" s="5" t="s">
        <v>3728</v>
      </c>
      <c r="CDY612" s="17">
        <v>44925</v>
      </c>
      <c r="CDZ612" s="5" t="s">
        <v>3728</v>
      </c>
      <c r="CEA612" s="17">
        <v>44925</v>
      </c>
      <c r="CEB612" s="5" t="s">
        <v>3728</v>
      </c>
      <c r="CEC612" s="17">
        <v>44925</v>
      </c>
      <c r="CED612" s="5" t="s">
        <v>3728</v>
      </c>
      <c r="CEE612" s="17">
        <v>44925</v>
      </c>
      <c r="CEF612" s="5" t="s">
        <v>3728</v>
      </c>
      <c r="CEG612" s="17">
        <v>44925</v>
      </c>
      <c r="CEH612" s="5" t="s">
        <v>3728</v>
      </c>
      <c r="CEI612" s="17">
        <v>44925</v>
      </c>
      <c r="CEJ612" s="5" t="s">
        <v>3728</v>
      </c>
      <c r="CEK612" s="17">
        <v>44925</v>
      </c>
      <c r="CEL612" s="5" t="s">
        <v>3728</v>
      </c>
      <c r="CEM612" s="17">
        <v>44925</v>
      </c>
      <c r="CEN612" s="5" t="s">
        <v>3728</v>
      </c>
      <c r="CEO612" s="17">
        <v>44925</v>
      </c>
      <c r="CEP612" s="5" t="s">
        <v>3728</v>
      </c>
      <c r="CEQ612" s="17">
        <v>44925</v>
      </c>
      <c r="CER612" s="5" t="s">
        <v>3728</v>
      </c>
      <c r="CES612" s="17">
        <v>44925</v>
      </c>
      <c r="CET612" s="5" t="s">
        <v>3728</v>
      </c>
      <c r="CEU612" s="17">
        <v>44925</v>
      </c>
      <c r="CEV612" s="5" t="s">
        <v>3728</v>
      </c>
      <c r="CEW612" s="17">
        <v>44925</v>
      </c>
      <c r="CEX612" s="5" t="s">
        <v>3728</v>
      </c>
      <c r="CEY612" s="17">
        <v>44925</v>
      </c>
      <c r="CEZ612" s="5" t="s">
        <v>3728</v>
      </c>
      <c r="CFA612" s="17">
        <v>44925</v>
      </c>
      <c r="CFB612" s="5" t="s">
        <v>3728</v>
      </c>
      <c r="CFC612" s="17">
        <v>44925</v>
      </c>
      <c r="CFD612" s="5" t="s">
        <v>3728</v>
      </c>
      <c r="CFE612" s="17">
        <v>44925</v>
      </c>
      <c r="CFF612" s="5" t="s">
        <v>3728</v>
      </c>
      <c r="CFG612" s="17">
        <v>44925</v>
      </c>
      <c r="CFH612" s="5" t="s">
        <v>3728</v>
      </c>
      <c r="CFI612" s="17">
        <v>44925</v>
      </c>
      <c r="CFJ612" s="5" t="s">
        <v>3728</v>
      </c>
      <c r="CFK612" s="17">
        <v>44925</v>
      </c>
      <c r="CFL612" s="5" t="s">
        <v>3728</v>
      </c>
      <c r="CFM612" s="17">
        <v>44925</v>
      </c>
      <c r="CFN612" s="5" t="s">
        <v>3728</v>
      </c>
      <c r="CFO612" s="17">
        <v>44925</v>
      </c>
      <c r="CFP612" s="5" t="s">
        <v>3728</v>
      </c>
      <c r="CFQ612" s="17">
        <v>44925</v>
      </c>
      <c r="CFR612" s="5" t="s">
        <v>3728</v>
      </c>
      <c r="CFS612" s="17">
        <v>44925</v>
      </c>
      <c r="CFT612" s="5" t="s">
        <v>3728</v>
      </c>
      <c r="CFU612" s="17">
        <v>44925</v>
      </c>
      <c r="CFV612" s="5" t="s">
        <v>3728</v>
      </c>
      <c r="CFW612" s="17">
        <v>44925</v>
      </c>
      <c r="CFX612" s="5" t="s">
        <v>3728</v>
      </c>
      <c r="CFY612" s="17">
        <v>44925</v>
      </c>
      <c r="CFZ612" s="5" t="s">
        <v>3728</v>
      </c>
      <c r="CGA612" s="17">
        <v>44925</v>
      </c>
      <c r="CGB612" s="5" t="s">
        <v>3728</v>
      </c>
      <c r="CGC612" s="17">
        <v>44925</v>
      </c>
      <c r="CGD612" s="5" t="s">
        <v>3728</v>
      </c>
      <c r="CGE612" s="17">
        <v>44925</v>
      </c>
      <c r="CGF612" s="5" t="s">
        <v>3728</v>
      </c>
      <c r="CGG612" s="17">
        <v>44925</v>
      </c>
      <c r="CGH612" s="5" t="s">
        <v>3728</v>
      </c>
      <c r="CGI612" s="17">
        <v>44925</v>
      </c>
      <c r="CGJ612" s="5" t="s">
        <v>3728</v>
      </c>
      <c r="CGK612" s="17">
        <v>44925</v>
      </c>
      <c r="CGL612" s="5" t="s">
        <v>3728</v>
      </c>
      <c r="CGM612" s="17">
        <v>44925</v>
      </c>
      <c r="CGN612" s="5" t="s">
        <v>3728</v>
      </c>
      <c r="CGO612" s="17">
        <v>44925</v>
      </c>
      <c r="CGP612" s="5" t="s">
        <v>3728</v>
      </c>
      <c r="CGQ612" s="17">
        <v>44925</v>
      </c>
      <c r="CGR612" s="5" t="s">
        <v>3728</v>
      </c>
      <c r="CGS612" s="17">
        <v>44925</v>
      </c>
      <c r="CGT612" s="5" t="s">
        <v>3728</v>
      </c>
      <c r="CGU612" s="17">
        <v>44925</v>
      </c>
      <c r="CGV612" s="5" t="s">
        <v>3728</v>
      </c>
      <c r="CGW612" s="17">
        <v>44925</v>
      </c>
      <c r="CGX612" s="5" t="s">
        <v>3728</v>
      </c>
      <c r="CGY612" s="17">
        <v>44925</v>
      </c>
      <c r="CGZ612" s="5" t="s">
        <v>3728</v>
      </c>
      <c r="CHA612" s="17">
        <v>44925</v>
      </c>
      <c r="CHB612" s="5" t="s">
        <v>3728</v>
      </c>
      <c r="CHC612" s="17">
        <v>44925</v>
      </c>
      <c r="CHD612" s="5" t="s">
        <v>3728</v>
      </c>
      <c r="CHE612" s="17">
        <v>44925</v>
      </c>
      <c r="CHF612" s="5" t="s">
        <v>3728</v>
      </c>
      <c r="CHG612" s="17">
        <v>44925</v>
      </c>
      <c r="CHH612" s="5" t="s">
        <v>3728</v>
      </c>
      <c r="CHI612" s="17">
        <v>44925</v>
      </c>
      <c r="CHJ612" s="5" t="s">
        <v>3728</v>
      </c>
      <c r="CHK612" s="17">
        <v>44925</v>
      </c>
      <c r="CHL612" s="5" t="s">
        <v>3728</v>
      </c>
      <c r="CHM612" s="17">
        <v>44925</v>
      </c>
      <c r="CHN612" s="5" t="s">
        <v>3728</v>
      </c>
      <c r="CHO612" s="17">
        <v>44925</v>
      </c>
      <c r="CHP612" s="5" t="s">
        <v>3728</v>
      </c>
      <c r="CHQ612" s="17">
        <v>44925</v>
      </c>
      <c r="CHR612" s="5" t="s">
        <v>3728</v>
      </c>
      <c r="CHS612" s="17">
        <v>44925</v>
      </c>
      <c r="CHT612" s="5" t="s">
        <v>3728</v>
      </c>
      <c r="CHU612" s="17">
        <v>44925</v>
      </c>
      <c r="CHV612" s="5" t="s">
        <v>3728</v>
      </c>
      <c r="CHW612" s="17">
        <v>44925</v>
      </c>
      <c r="CHX612" s="5" t="s">
        <v>3728</v>
      </c>
      <c r="CHY612" s="17">
        <v>44925</v>
      </c>
      <c r="CHZ612" s="5" t="s">
        <v>3728</v>
      </c>
      <c r="CIA612" s="17">
        <v>44925</v>
      </c>
      <c r="CIB612" s="5" t="s">
        <v>3728</v>
      </c>
      <c r="CIC612" s="17">
        <v>44925</v>
      </c>
      <c r="CID612" s="5" t="s">
        <v>3728</v>
      </c>
      <c r="CIE612" s="17">
        <v>44925</v>
      </c>
      <c r="CIF612" s="5" t="s">
        <v>3728</v>
      </c>
      <c r="CIG612" s="17">
        <v>44925</v>
      </c>
      <c r="CIH612" s="5" t="s">
        <v>3728</v>
      </c>
      <c r="CII612" s="17">
        <v>44925</v>
      </c>
      <c r="CIJ612" s="5" t="s">
        <v>3728</v>
      </c>
      <c r="CIK612" s="17">
        <v>44925</v>
      </c>
      <c r="CIL612" s="5" t="s">
        <v>3728</v>
      </c>
      <c r="CIM612" s="17">
        <v>44925</v>
      </c>
      <c r="CIN612" s="5" t="s">
        <v>3728</v>
      </c>
      <c r="CIO612" s="17">
        <v>44925</v>
      </c>
      <c r="CIP612" s="5" t="s">
        <v>3728</v>
      </c>
      <c r="CIQ612" s="17">
        <v>44925</v>
      </c>
      <c r="CIR612" s="5" t="s">
        <v>3728</v>
      </c>
      <c r="CIS612" s="17">
        <v>44925</v>
      </c>
      <c r="CIT612" s="5" t="s">
        <v>3728</v>
      </c>
      <c r="CIU612" s="17">
        <v>44925</v>
      </c>
      <c r="CIV612" s="5" t="s">
        <v>3728</v>
      </c>
      <c r="CIW612" s="17">
        <v>44925</v>
      </c>
      <c r="CIX612" s="5" t="s">
        <v>3728</v>
      </c>
      <c r="CIY612" s="17">
        <v>44925</v>
      </c>
      <c r="CIZ612" s="5" t="s">
        <v>3728</v>
      </c>
      <c r="CJA612" s="17">
        <v>44925</v>
      </c>
      <c r="CJB612" s="5" t="s">
        <v>3728</v>
      </c>
      <c r="CJC612" s="17">
        <v>44925</v>
      </c>
      <c r="CJD612" s="5" t="s">
        <v>3728</v>
      </c>
      <c r="CJE612" s="17">
        <v>44925</v>
      </c>
      <c r="CJF612" s="5" t="s">
        <v>3728</v>
      </c>
      <c r="CJG612" s="17">
        <v>44925</v>
      </c>
      <c r="CJH612" s="5" t="s">
        <v>3728</v>
      </c>
      <c r="CJI612" s="17">
        <v>44925</v>
      </c>
      <c r="CJJ612" s="5" t="s">
        <v>3728</v>
      </c>
      <c r="CJK612" s="17">
        <v>44925</v>
      </c>
      <c r="CJL612" s="5" t="s">
        <v>3728</v>
      </c>
      <c r="CJM612" s="17">
        <v>44925</v>
      </c>
      <c r="CJN612" s="5" t="s">
        <v>3728</v>
      </c>
      <c r="CJO612" s="17">
        <v>44925</v>
      </c>
      <c r="CJP612" s="5" t="s">
        <v>3728</v>
      </c>
      <c r="CJQ612" s="17">
        <v>44925</v>
      </c>
      <c r="CJR612" s="5" t="s">
        <v>3728</v>
      </c>
      <c r="CJS612" s="17">
        <v>44925</v>
      </c>
      <c r="CJT612" s="5" t="s">
        <v>3728</v>
      </c>
      <c r="CJU612" s="17">
        <v>44925</v>
      </c>
      <c r="CJV612" s="5" t="s">
        <v>3728</v>
      </c>
      <c r="CJW612" s="17">
        <v>44925</v>
      </c>
      <c r="CJX612" s="5" t="s">
        <v>3728</v>
      </c>
      <c r="CJY612" s="17">
        <v>44925</v>
      </c>
      <c r="CJZ612" s="5" t="s">
        <v>3728</v>
      </c>
      <c r="CKA612" s="17">
        <v>44925</v>
      </c>
      <c r="CKB612" s="5" t="s">
        <v>3728</v>
      </c>
      <c r="CKC612" s="17">
        <v>44925</v>
      </c>
      <c r="CKD612" s="5" t="s">
        <v>3728</v>
      </c>
      <c r="CKE612" s="17">
        <v>44925</v>
      </c>
      <c r="CKF612" s="5" t="s">
        <v>3728</v>
      </c>
      <c r="CKG612" s="17">
        <v>44925</v>
      </c>
      <c r="CKH612" s="5" t="s">
        <v>3728</v>
      </c>
      <c r="CKI612" s="17">
        <v>44925</v>
      </c>
      <c r="CKJ612" s="5" t="s">
        <v>3728</v>
      </c>
      <c r="CKK612" s="17">
        <v>44925</v>
      </c>
      <c r="CKL612" s="5" t="s">
        <v>3728</v>
      </c>
      <c r="CKM612" s="17">
        <v>44925</v>
      </c>
      <c r="CKN612" s="5" t="s">
        <v>3728</v>
      </c>
      <c r="CKO612" s="17">
        <v>44925</v>
      </c>
      <c r="CKP612" s="5" t="s">
        <v>3728</v>
      </c>
      <c r="CKQ612" s="17">
        <v>44925</v>
      </c>
      <c r="CKR612" s="5" t="s">
        <v>3728</v>
      </c>
      <c r="CKS612" s="17">
        <v>44925</v>
      </c>
      <c r="CKT612" s="5" t="s">
        <v>3728</v>
      </c>
      <c r="CKU612" s="17">
        <v>44925</v>
      </c>
      <c r="CKV612" s="5" t="s">
        <v>3728</v>
      </c>
      <c r="CKW612" s="17">
        <v>44925</v>
      </c>
      <c r="CKX612" s="5" t="s">
        <v>3728</v>
      </c>
      <c r="CKY612" s="17">
        <v>44925</v>
      </c>
      <c r="CKZ612" s="5" t="s">
        <v>3728</v>
      </c>
      <c r="CLA612" s="17">
        <v>44925</v>
      </c>
      <c r="CLB612" s="5" t="s">
        <v>3728</v>
      </c>
      <c r="CLC612" s="17">
        <v>44925</v>
      </c>
      <c r="CLD612" s="5" t="s">
        <v>3728</v>
      </c>
      <c r="CLE612" s="17">
        <v>44925</v>
      </c>
      <c r="CLF612" s="5" t="s">
        <v>3728</v>
      </c>
      <c r="CLG612" s="17">
        <v>44925</v>
      </c>
      <c r="CLH612" s="5" t="s">
        <v>3728</v>
      </c>
      <c r="CLI612" s="17">
        <v>44925</v>
      </c>
      <c r="CLJ612" s="5" t="s">
        <v>3728</v>
      </c>
      <c r="CLK612" s="17">
        <v>44925</v>
      </c>
      <c r="CLL612" s="5" t="s">
        <v>3728</v>
      </c>
      <c r="CLM612" s="17">
        <v>44925</v>
      </c>
      <c r="CLN612" s="5" t="s">
        <v>3728</v>
      </c>
      <c r="CLO612" s="17">
        <v>44925</v>
      </c>
      <c r="CLP612" s="5" t="s">
        <v>3728</v>
      </c>
      <c r="CLQ612" s="17">
        <v>44925</v>
      </c>
      <c r="CLR612" s="5" t="s">
        <v>3728</v>
      </c>
      <c r="CLS612" s="17">
        <v>44925</v>
      </c>
      <c r="CLT612" s="5" t="s">
        <v>3728</v>
      </c>
      <c r="CLU612" s="17">
        <v>44925</v>
      </c>
      <c r="CLV612" s="5" t="s">
        <v>3728</v>
      </c>
      <c r="CLW612" s="17">
        <v>44925</v>
      </c>
      <c r="CLX612" s="5" t="s">
        <v>3728</v>
      </c>
      <c r="CLY612" s="17">
        <v>44925</v>
      </c>
      <c r="CLZ612" s="5" t="s">
        <v>3728</v>
      </c>
      <c r="CMA612" s="17">
        <v>44925</v>
      </c>
      <c r="CMB612" s="5" t="s">
        <v>3728</v>
      </c>
      <c r="CMC612" s="17">
        <v>44925</v>
      </c>
      <c r="CMD612" s="5" t="s">
        <v>3728</v>
      </c>
      <c r="CME612" s="17">
        <v>44925</v>
      </c>
      <c r="CMF612" s="5" t="s">
        <v>3728</v>
      </c>
      <c r="CMG612" s="17">
        <v>44925</v>
      </c>
      <c r="CMH612" s="5" t="s">
        <v>3728</v>
      </c>
      <c r="CMI612" s="17">
        <v>44925</v>
      </c>
      <c r="CMJ612" s="5" t="s">
        <v>3728</v>
      </c>
      <c r="CMK612" s="17">
        <v>44925</v>
      </c>
      <c r="CML612" s="5" t="s">
        <v>3728</v>
      </c>
      <c r="CMM612" s="17">
        <v>44925</v>
      </c>
      <c r="CMN612" s="5" t="s">
        <v>3728</v>
      </c>
      <c r="CMO612" s="17">
        <v>44925</v>
      </c>
      <c r="CMP612" s="5" t="s">
        <v>3728</v>
      </c>
      <c r="CMQ612" s="17">
        <v>44925</v>
      </c>
      <c r="CMR612" s="5" t="s">
        <v>3728</v>
      </c>
      <c r="CMS612" s="17">
        <v>44925</v>
      </c>
      <c r="CMT612" s="5" t="s">
        <v>3728</v>
      </c>
      <c r="CMU612" s="17">
        <v>44925</v>
      </c>
      <c r="CMV612" s="5" t="s">
        <v>3728</v>
      </c>
      <c r="CMW612" s="17">
        <v>44925</v>
      </c>
      <c r="CMX612" s="5" t="s">
        <v>3728</v>
      </c>
      <c r="CMY612" s="17">
        <v>44925</v>
      </c>
      <c r="CMZ612" s="5" t="s">
        <v>3728</v>
      </c>
      <c r="CNA612" s="17">
        <v>44925</v>
      </c>
      <c r="CNB612" s="5" t="s">
        <v>3728</v>
      </c>
      <c r="CNC612" s="17">
        <v>44925</v>
      </c>
      <c r="CND612" s="5" t="s">
        <v>3728</v>
      </c>
      <c r="CNE612" s="17">
        <v>44925</v>
      </c>
      <c r="CNF612" s="5" t="s">
        <v>3728</v>
      </c>
      <c r="CNG612" s="17">
        <v>44925</v>
      </c>
      <c r="CNH612" s="5" t="s">
        <v>3728</v>
      </c>
      <c r="CNI612" s="17">
        <v>44925</v>
      </c>
      <c r="CNJ612" s="5" t="s">
        <v>3728</v>
      </c>
      <c r="CNK612" s="17">
        <v>44925</v>
      </c>
      <c r="CNL612" s="5" t="s">
        <v>3728</v>
      </c>
      <c r="CNM612" s="17">
        <v>44925</v>
      </c>
      <c r="CNN612" s="5" t="s">
        <v>3728</v>
      </c>
      <c r="CNO612" s="17">
        <v>44925</v>
      </c>
      <c r="CNP612" s="5" t="s">
        <v>3728</v>
      </c>
      <c r="CNQ612" s="17">
        <v>44925</v>
      </c>
      <c r="CNR612" s="5" t="s">
        <v>3728</v>
      </c>
      <c r="CNS612" s="17">
        <v>44925</v>
      </c>
      <c r="CNT612" s="5" t="s">
        <v>3728</v>
      </c>
      <c r="CNU612" s="17">
        <v>44925</v>
      </c>
      <c r="CNV612" s="5" t="s">
        <v>3728</v>
      </c>
      <c r="CNW612" s="17">
        <v>44925</v>
      </c>
      <c r="CNX612" s="5" t="s">
        <v>3728</v>
      </c>
      <c r="CNY612" s="17">
        <v>44925</v>
      </c>
      <c r="CNZ612" s="5" t="s">
        <v>3728</v>
      </c>
      <c r="COA612" s="17">
        <v>44925</v>
      </c>
      <c r="COB612" s="5" t="s">
        <v>3728</v>
      </c>
      <c r="COC612" s="17">
        <v>44925</v>
      </c>
      <c r="COD612" s="5" t="s">
        <v>3728</v>
      </c>
      <c r="COE612" s="17">
        <v>44925</v>
      </c>
      <c r="COF612" s="5" t="s">
        <v>3728</v>
      </c>
      <c r="COG612" s="17">
        <v>44925</v>
      </c>
      <c r="COH612" s="5" t="s">
        <v>3728</v>
      </c>
      <c r="COI612" s="17">
        <v>44925</v>
      </c>
      <c r="COJ612" s="5" t="s">
        <v>3728</v>
      </c>
      <c r="COK612" s="17">
        <v>44925</v>
      </c>
      <c r="COL612" s="5" t="s">
        <v>3728</v>
      </c>
      <c r="COM612" s="17">
        <v>44925</v>
      </c>
      <c r="CON612" s="5" t="s">
        <v>3728</v>
      </c>
      <c r="COO612" s="17">
        <v>44925</v>
      </c>
      <c r="COP612" s="5" t="s">
        <v>3728</v>
      </c>
      <c r="COQ612" s="17">
        <v>44925</v>
      </c>
      <c r="COR612" s="5" t="s">
        <v>3728</v>
      </c>
      <c r="COS612" s="17">
        <v>44925</v>
      </c>
      <c r="COT612" s="5" t="s">
        <v>3728</v>
      </c>
      <c r="COU612" s="17">
        <v>44925</v>
      </c>
      <c r="COV612" s="5" t="s">
        <v>3728</v>
      </c>
      <c r="COW612" s="17">
        <v>44925</v>
      </c>
      <c r="COX612" s="5" t="s">
        <v>3728</v>
      </c>
      <c r="COY612" s="17">
        <v>44925</v>
      </c>
      <c r="COZ612" s="5" t="s">
        <v>3728</v>
      </c>
      <c r="CPA612" s="17">
        <v>44925</v>
      </c>
      <c r="CPB612" s="5" t="s">
        <v>3728</v>
      </c>
      <c r="CPC612" s="17">
        <v>44925</v>
      </c>
      <c r="CPD612" s="5" t="s">
        <v>3728</v>
      </c>
      <c r="CPE612" s="17">
        <v>44925</v>
      </c>
      <c r="CPF612" s="5" t="s">
        <v>3728</v>
      </c>
      <c r="CPG612" s="17">
        <v>44925</v>
      </c>
      <c r="CPH612" s="5" t="s">
        <v>3728</v>
      </c>
      <c r="CPI612" s="17">
        <v>44925</v>
      </c>
      <c r="CPJ612" s="5" t="s">
        <v>3728</v>
      </c>
      <c r="CPK612" s="17">
        <v>44925</v>
      </c>
      <c r="CPL612" s="5" t="s">
        <v>3728</v>
      </c>
      <c r="CPM612" s="17">
        <v>44925</v>
      </c>
      <c r="CPN612" s="5" t="s">
        <v>3728</v>
      </c>
      <c r="CPO612" s="17">
        <v>44925</v>
      </c>
      <c r="CPP612" s="5" t="s">
        <v>3728</v>
      </c>
      <c r="CPQ612" s="17">
        <v>44925</v>
      </c>
      <c r="CPR612" s="5" t="s">
        <v>3728</v>
      </c>
      <c r="CPS612" s="17">
        <v>44925</v>
      </c>
      <c r="CPT612" s="5" t="s">
        <v>3728</v>
      </c>
      <c r="CPU612" s="17">
        <v>44925</v>
      </c>
      <c r="CPV612" s="5" t="s">
        <v>3728</v>
      </c>
      <c r="CPW612" s="17">
        <v>44925</v>
      </c>
      <c r="CPX612" s="5" t="s">
        <v>3728</v>
      </c>
      <c r="CPY612" s="17">
        <v>44925</v>
      </c>
      <c r="CPZ612" s="5" t="s">
        <v>3728</v>
      </c>
      <c r="CQA612" s="17">
        <v>44925</v>
      </c>
      <c r="CQB612" s="5" t="s">
        <v>3728</v>
      </c>
      <c r="CQC612" s="17">
        <v>44925</v>
      </c>
      <c r="CQD612" s="5" t="s">
        <v>3728</v>
      </c>
      <c r="CQE612" s="17">
        <v>44925</v>
      </c>
      <c r="CQF612" s="5" t="s">
        <v>3728</v>
      </c>
      <c r="CQG612" s="17">
        <v>44925</v>
      </c>
      <c r="CQH612" s="5" t="s">
        <v>3728</v>
      </c>
      <c r="CQI612" s="17">
        <v>44925</v>
      </c>
      <c r="CQJ612" s="5" t="s">
        <v>3728</v>
      </c>
      <c r="CQK612" s="17">
        <v>44925</v>
      </c>
      <c r="CQL612" s="5" t="s">
        <v>3728</v>
      </c>
      <c r="CQM612" s="17">
        <v>44925</v>
      </c>
      <c r="CQN612" s="5" t="s">
        <v>3728</v>
      </c>
      <c r="CQO612" s="17">
        <v>44925</v>
      </c>
      <c r="CQP612" s="5" t="s">
        <v>3728</v>
      </c>
      <c r="CQQ612" s="17">
        <v>44925</v>
      </c>
      <c r="CQR612" s="5" t="s">
        <v>3728</v>
      </c>
      <c r="CQS612" s="17">
        <v>44925</v>
      </c>
      <c r="CQT612" s="5" t="s">
        <v>3728</v>
      </c>
      <c r="CQU612" s="17">
        <v>44925</v>
      </c>
      <c r="CQV612" s="5" t="s">
        <v>3728</v>
      </c>
      <c r="CQW612" s="17">
        <v>44925</v>
      </c>
      <c r="CQX612" s="5" t="s">
        <v>3728</v>
      </c>
      <c r="CQY612" s="17">
        <v>44925</v>
      </c>
      <c r="CQZ612" s="5" t="s">
        <v>3728</v>
      </c>
      <c r="CRA612" s="17">
        <v>44925</v>
      </c>
      <c r="CRB612" s="5" t="s">
        <v>3728</v>
      </c>
      <c r="CRC612" s="17">
        <v>44925</v>
      </c>
      <c r="CRD612" s="5" t="s">
        <v>3728</v>
      </c>
      <c r="CRE612" s="17">
        <v>44925</v>
      </c>
      <c r="CRF612" s="5" t="s">
        <v>3728</v>
      </c>
      <c r="CRG612" s="17">
        <v>44925</v>
      </c>
      <c r="CRH612" s="5" t="s">
        <v>3728</v>
      </c>
      <c r="CRI612" s="17">
        <v>44925</v>
      </c>
      <c r="CRJ612" s="5" t="s">
        <v>3728</v>
      </c>
      <c r="CRK612" s="17">
        <v>44925</v>
      </c>
      <c r="CRL612" s="5" t="s">
        <v>3728</v>
      </c>
      <c r="CRM612" s="17">
        <v>44925</v>
      </c>
      <c r="CRN612" s="5" t="s">
        <v>3728</v>
      </c>
      <c r="CRO612" s="17">
        <v>44925</v>
      </c>
      <c r="CRP612" s="5" t="s">
        <v>3728</v>
      </c>
      <c r="CRQ612" s="17">
        <v>44925</v>
      </c>
      <c r="CRR612" s="5" t="s">
        <v>3728</v>
      </c>
      <c r="CRS612" s="17">
        <v>44925</v>
      </c>
      <c r="CRT612" s="5" t="s">
        <v>3728</v>
      </c>
      <c r="CRU612" s="17">
        <v>44925</v>
      </c>
      <c r="CRV612" s="5" t="s">
        <v>3728</v>
      </c>
      <c r="CRW612" s="17">
        <v>44925</v>
      </c>
      <c r="CRX612" s="5" t="s">
        <v>3728</v>
      </c>
      <c r="CRY612" s="17">
        <v>44925</v>
      </c>
      <c r="CRZ612" s="5" t="s">
        <v>3728</v>
      </c>
      <c r="CSA612" s="17">
        <v>44925</v>
      </c>
      <c r="CSB612" s="5" t="s">
        <v>3728</v>
      </c>
      <c r="CSC612" s="17">
        <v>44925</v>
      </c>
      <c r="CSD612" s="5" t="s">
        <v>3728</v>
      </c>
      <c r="CSE612" s="17">
        <v>44925</v>
      </c>
      <c r="CSF612" s="5" t="s">
        <v>3728</v>
      </c>
      <c r="CSG612" s="17">
        <v>44925</v>
      </c>
      <c r="CSH612" s="5" t="s">
        <v>3728</v>
      </c>
      <c r="CSI612" s="17">
        <v>44925</v>
      </c>
      <c r="CSJ612" s="5" t="s">
        <v>3728</v>
      </c>
      <c r="CSK612" s="17">
        <v>44925</v>
      </c>
      <c r="CSL612" s="5" t="s">
        <v>3728</v>
      </c>
      <c r="CSM612" s="17">
        <v>44925</v>
      </c>
      <c r="CSN612" s="5" t="s">
        <v>3728</v>
      </c>
      <c r="CSO612" s="17">
        <v>44925</v>
      </c>
      <c r="CSP612" s="5" t="s">
        <v>3728</v>
      </c>
      <c r="CSQ612" s="17">
        <v>44925</v>
      </c>
      <c r="CSR612" s="5" t="s">
        <v>3728</v>
      </c>
      <c r="CSS612" s="17">
        <v>44925</v>
      </c>
      <c r="CST612" s="5" t="s">
        <v>3728</v>
      </c>
      <c r="CSU612" s="17">
        <v>44925</v>
      </c>
      <c r="CSV612" s="5" t="s">
        <v>3728</v>
      </c>
      <c r="CSW612" s="17">
        <v>44925</v>
      </c>
      <c r="CSX612" s="5" t="s">
        <v>3728</v>
      </c>
      <c r="CSY612" s="17">
        <v>44925</v>
      </c>
      <c r="CSZ612" s="5" t="s">
        <v>3728</v>
      </c>
      <c r="CTA612" s="17">
        <v>44925</v>
      </c>
      <c r="CTB612" s="5" t="s">
        <v>3728</v>
      </c>
      <c r="CTC612" s="17">
        <v>44925</v>
      </c>
      <c r="CTD612" s="5" t="s">
        <v>3728</v>
      </c>
      <c r="CTE612" s="17">
        <v>44925</v>
      </c>
      <c r="CTF612" s="5" t="s">
        <v>3728</v>
      </c>
      <c r="CTG612" s="17">
        <v>44925</v>
      </c>
      <c r="CTH612" s="5" t="s">
        <v>3728</v>
      </c>
      <c r="CTI612" s="17">
        <v>44925</v>
      </c>
      <c r="CTJ612" s="5" t="s">
        <v>3728</v>
      </c>
      <c r="CTK612" s="17">
        <v>44925</v>
      </c>
      <c r="CTL612" s="5" t="s">
        <v>3728</v>
      </c>
      <c r="CTM612" s="17">
        <v>44925</v>
      </c>
      <c r="CTN612" s="5" t="s">
        <v>3728</v>
      </c>
      <c r="CTO612" s="17">
        <v>44925</v>
      </c>
      <c r="CTP612" s="5" t="s">
        <v>3728</v>
      </c>
      <c r="CTQ612" s="17">
        <v>44925</v>
      </c>
      <c r="CTR612" s="5" t="s">
        <v>3728</v>
      </c>
      <c r="CTS612" s="17">
        <v>44925</v>
      </c>
      <c r="CTT612" s="5" t="s">
        <v>3728</v>
      </c>
      <c r="CTU612" s="17">
        <v>44925</v>
      </c>
      <c r="CTV612" s="5" t="s">
        <v>3728</v>
      </c>
      <c r="CTW612" s="17">
        <v>44925</v>
      </c>
      <c r="CTX612" s="5" t="s">
        <v>3728</v>
      </c>
      <c r="CTY612" s="17">
        <v>44925</v>
      </c>
      <c r="CTZ612" s="5" t="s">
        <v>3728</v>
      </c>
      <c r="CUA612" s="17">
        <v>44925</v>
      </c>
      <c r="CUB612" s="5" t="s">
        <v>3728</v>
      </c>
      <c r="CUC612" s="17">
        <v>44925</v>
      </c>
      <c r="CUD612" s="5" t="s">
        <v>3728</v>
      </c>
      <c r="CUE612" s="17">
        <v>44925</v>
      </c>
      <c r="CUF612" s="5" t="s">
        <v>3728</v>
      </c>
      <c r="CUG612" s="17">
        <v>44925</v>
      </c>
      <c r="CUH612" s="5" t="s">
        <v>3728</v>
      </c>
      <c r="CUI612" s="17">
        <v>44925</v>
      </c>
      <c r="CUJ612" s="5" t="s">
        <v>3728</v>
      </c>
      <c r="CUK612" s="17">
        <v>44925</v>
      </c>
      <c r="CUL612" s="5" t="s">
        <v>3728</v>
      </c>
      <c r="CUM612" s="17">
        <v>44925</v>
      </c>
      <c r="CUN612" s="5" t="s">
        <v>3728</v>
      </c>
      <c r="CUO612" s="17">
        <v>44925</v>
      </c>
      <c r="CUP612" s="5" t="s">
        <v>3728</v>
      </c>
      <c r="CUQ612" s="17">
        <v>44925</v>
      </c>
      <c r="CUR612" s="5" t="s">
        <v>3728</v>
      </c>
      <c r="CUS612" s="17">
        <v>44925</v>
      </c>
      <c r="CUT612" s="5" t="s">
        <v>3728</v>
      </c>
      <c r="CUU612" s="17">
        <v>44925</v>
      </c>
      <c r="CUV612" s="5" t="s">
        <v>3728</v>
      </c>
      <c r="CUW612" s="17">
        <v>44925</v>
      </c>
      <c r="CUX612" s="5" t="s">
        <v>3728</v>
      </c>
      <c r="CUY612" s="17">
        <v>44925</v>
      </c>
      <c r="CUZ612" s="5" t="s">
        <v>3728</v>
      </c>
      <c r="CVA612" s="17">
        <v>44925</v>
      </c>
      <c r="CVB612" s="5" t="s">
        <v>3728</v>
      </c>
      <c r="CVC612" s="17">
        <v>44925</v>
      </c>
      <c r="CVD612" s="5" t="s">
        <v>3728</v>
      </c>
      <c r="CVE612" s="17">
        <v>44925</v>
      </c>
      <c r="CVF612" s="5" t="s">
        <v>3728</v>
      </c>
      <c r="CVG612" s="17">
        <v>44925</v>
      </c>
      <c r="CVH612" s="5" t="s">
        <v>3728</v>
      </c>
      <c r="CVI612" s="17">
        <v>44925</v>
      </c>
      <c r="CVJ612" s="5" t="s">
        <v>3728</v>
      </c>
      <c r="CVK612" s="17">
        <v>44925</v>
      </c>
      <c r="CVL612" s="5" t="s">
        <v>3728</v>
      </c>
      <c r="CVM612" s="17">
        <v>44925</v>
      </c>
      <c r="CVN612" s="5" t="s">
        <v>3728</v>
      </c>
      <c r="CVO612" s="17">
        <v>44925</v>
      </c>
      <c r="CVP612" s="5" t="s">
        <v>3728</v>
      </c>
      <c r="CVQ612" s="17">
        <v>44925</v>
      </c>
      <c r="CVR612" s="5" t="s">
        <v>3728</v>
      </c>
      <c r="CVS612" s="17">
        <v>44925</v>
      </c>
      <c r="CVT612" s="5" t="s">
        <v>3728</v>
      </c>
      <c r="CVU612" s="17">
        <v>44925</v>
      </c>
      <c r="CVV612" s="5" t="s">
        <v>3728</v>
      </c>
      <c r="CVW612" s="17">
        <v>44925</v>
      </c>
      <c r="CVX612" s="5" t="s">
        <v>3728</v>
      </c>
      <c r="CVY612" s="17">
        <v>44925</v>
      </c>
      <c r="CVZ612" s="5" t="s">
        <v>3728</v>
      </c>
      <c r="CWA612" s="17">
        <v>44925</v>
      </c>
      <c r="CWB612" s="5" t="s">
        <v>3728</v>
      </c>
      <c r="CWC612" s="17">
        <v>44925</v>
      </c>
      <c r="CWD612" s="5" t="s">
        <v>3728</v>
      </c>
      <c r="CWE612" s="17">
        <v>44925</v>
      </c>
      <c r="CWF612" s="5" t="s">
        <v>3728</v>
      </c>
      <c r="CWG612" s="17">
        <v>44925</v>
      </c>
      <c r="CWH612" s="5" t="s">
        <v>3728</v>
      </c>
      <c r="CWI612" s="17">
        <v>44925</v>
      </c>
      <c r="CWJ612" s="5" t="s">
        <v>3728</v>
      </c>
      <c r="CWK612" s="17">
        <v>44925</v>
      </c>
      <c r="CWL612" s="5" t="s">
        <v>3728</v>
      </c>
      <c r="CWM612" s="17">
        <v>44925</v>
      </c>
      <c r="CWN612" s="5" t="s">
        <v>3728</v>
      </c>
      <c r="CWO612" s="17">
        <v>44925</v>
      </c>
      <c r="CWP612" s="5" t="s">
        <v>3728</v>
      </c>
      <c r="CWQ612" s="17">
        <v>44925</v>
      </c>
      <c r="CWR612" s="5" t="s">
        <v>3728</v>
      </c>
      <c r="CWS612" s="17">
        <v>44925</v>
      </c>
      <c r="CWT612" s="5" t="s">
        <v>3728</v>
      </c>
      <c r="CWU612" s="17">
        <v>44925</v>
      </c>
      <c r="CWV612" s="5" t="s">
        <v>3728</v>
      </c>
      <c r="CWW612" s="17">
        <v>44925</v>
      </c>
      <c r="CWX612" s="5" t="s">
        <v>3728</v>
      </c>
      <c r="CWY612" s="17">
        <v>44925</v>
      </c>
      <c r="CWZ612" s="5" t="s">
        <v>3728</v>
      </c>
      <c r="CXA612" s="17">
        <v>44925</v>
      </c>
      <c r="CXB612" s="5" t="s">
        <v>3728</v>
      </c>
      <c r="CXC612" s="17">
        <v>44925</v>
      </c>
      <c r="CXD612" s="5" t="s">
        <v>3728</v>
      </c>
      <c r="CXE612" s="17">
        <v>44925</v>
      </c>
      <c r="CXF612" s="5" t="s">
        <v>3728</v>
      </c>
      <c r="CXG612" s="17">
        <v>44925</v>
      </c>
      <c r="CXH612" s="5" t="s">
        <v>3728</v>
      </c>
      <c r="CXI612" s="17">
        <v>44925</v>
      </c>
      <c r="CXJ612" s="5" t="s">
        <v>3728</v>
      </c>
      <c r="CXK612" s="17">
        <v>44925</v>
      </c>
      <c r="CXL612" s="5" t="s">
        <v>3728</v>
      </c>
      <c r="CXM612" s="17">
        <v>44925</v>
      </c>
      <c r="CXN612" s="5" t="s">
        <v>3728</v>
      </c>
      <c r="CXO612" s="17">
        <v>44925</v>
      </c>
      <c r="CXP612" s="5" t="s">
        <v>3728</v>
      </c>
      <c r="CXQ612" s="17">
        <v>44925</v>
      </c>
      <c r="CXR612" s="5" t="s">
        <v>3728</v>
      </c>
      <c r="CXS612" s="17">
        <v>44925</v>
      </c>
      <c r="CXT612" s="5" t="s">
        <v>3728</v>
      </c>
      <c r="CXU612" s="17">
        <v>44925</v>
      </c>
      <c r="CXV612" s="5" t="s">
        <v>3728</v>
      </c>
      <c r="CXW612" s="17">
        <v>44925</v>
      </c>
      <c r="CXX612" s="5" t="s">
        <v>3728</v>
      </c>
      <c r="CXY612" s="17">
        <v>44925</v>
      </c>
      <c r="CXZ612" s="5" t="s">
        <v>3728</v>
      </c>
      <c r="CYA612" s="17">
        <v>44925</v>
      </c>
      <c r="CYB612" s="5" t="s">
        <v>3728</v>
      </c>
      <c r="CYC612" s="17">
        <v>44925</v>
      </c>
      <c r="CYD612" s="5" t="s">
        <v>3728</v>
      </c>
      <c r="CYE612" s="17">
        <v>44925</v>
      </c>
      <c r="CYF612" s="5" t="s">
        <v>3728</v>
      </c>
      <c r="CYG612" s="17">
        <v>44925</v>
      </c>
      <c r="CYH612" s="5" t="s">
        <v>3728</v>
      </c>
      <c r="CYI612" s="17">
        <v>44925</v>
      </c>
      <c r="CYJ612" s="5" t="s">
        <v>3728</v>
      </c>
      <c r="CYK612" s="17">
        <v>44925</v>
      </c>
      <c r="CYL612" s="5" t="s">
        <v>3728</v>
      </c>
      <c r="CYM612" s="17">
        <v>44925</v>
      </c>
      <c r="CYN612" s="5" t="s">
        <v>3728</v>
      </c>
      <c r="CYO612" s="17">
        <v>44925</v>
      </c>
      <c r="CYP612" s="5" t="s">
        <v>3728</v>
      </c>
      <c r="CYQ612" s="17">
        <v>44925</v>
      </c>
      <c r="CYR612" s="5" t="s">
        <v>3728</v>
      </c>
      <c r="CYS612" s="17">
        <v>44925</v>
      </c>
      <c r="CYT612" s="5" t="s">
        <v>3728</v>
      </c>
      <c r="CYU612" s="17">
        <v>44925</v>
      </c>
      <c r="CYV612" s="5" t="s">
        <v>3728</v>
      </c>
      <c r="CYW612" s="17">
        <v>44925</v>
      </c>
      <c r="CYX612" s="5" t="s">
        <v>3728</v>
      </c>
      <c r="CYY612" s="17">
        <v>44925</v>
      </c>
      <c r="CYZ612" s="5" t="s">
        <v>3728</v>
      </c>
      <c r="CZA612" s="17">
        <v>44925</v>
      </c>
      <c r="CZB612" s="5" t="s">
        <v>3728</v>
      </c>
      <c r="CZC612" s="17">
        <v>44925</v>
      </c>
      <c r="CZD612" s="5" t="s">
        <v>3728</v>
      </c>
      <c r="CZE612" s="17">
        <v>44925</v>
      </c>
      <c r="CZF612" s="5" t="s">
        <v>3728</v>
      </c>
      <c r="CZG612" s="17">
        <v>44925</v>
      </c>
      <c r="CZH612" s="5" t="s">
        <v>3728</v>
      </c>
      <c r="CZI612" s="17">
        <v>44925</v>
      </c>
      <c r="CZJ612" s="5" t="s">
        <v>3728</v>
      </c>
      <c r="CZK612" s="17">
        <v>44925</v>
      </c>
      <c r="CZL612" s="5" t="s">
        <v>3728</v>
      </c>
      <c r="CZM612" s="17">
        <v>44925</v>
      </c>
      <c r="CZN612" s="5" t="s">
        <v>3728</v>
      </c>
      <c r="CZO612" s="17">
        <v>44925</v>
      </c>
      <c r="CZP612" s="5" t="s">
        <v>3728</v>
      </c>
      <c r="CZQ612" s="17">
        <v>44925</v>
      </c>
      <c r="CZR612" s="5" t="s">
        <v>3728</v>
      </c>
      <c r="CZS612" s="17">
        <v>44925</v>
      </c>
      <c r="CZT612" s="5" t="s">
        <v>3728</v>
      </c>
      <c r="CZU612" s="17">
        <v>44925</v>
      </c>
      <c r="CZV612" s="5" t="s">
        <v>3728</v>
      </c>
      <c r="CZW612" s="17">
        <v>44925</v>
      </c>
      <c r="CZX612" s="5" t="s">
        <v>3728</v>
      </c>
      <c r="CZY612" s="17">
        <v>44925</v>
      </c>
      <c r="CZZ612" s="5" t="s">
        <v>3728</v>
      </c>
      <c r="DAA612" s="17">
        <v>44925</v>
      </c>
      <c r="DAB612" s="5" t="s">
        <v>3728</v>
      </c>
      <c r="DAC612" s="17">
        <v>44925</v>
      </c>
      <c r="DAD612" s="5" t="s">
        <v>3728</v>
      </c>
      <c r="DAE612" s="17">
        <v>44925</v>
      </c>
      <c r="DAF612" s="5" t="s">
        <v>3728</v>
      </c>
      <c r="DAG612" s="17">
        <v>44925</v>
      </c>
      <c r="DAH612" s="5" t="s">
        <v>3728</v>
      </c>
      <c r="DAI612" s="17">
        <v>44925</v>
      </c>
      <c r="DAJ612" s="5" t="s">
        <v>3728</v>
      </c>
      <c r="DAK612" s="17">
        <v>44925</v>
      </c>
      <c r="DAL612" s="5" t="s">
        <v>3728</v>
      </c>
      <c r="DAM612" s="17">
        <v>44925</v>
      </c>
      <c r="DAN612" s="5" t="s">
        <v>3728</v>
      </c>
      <c r="DAO612" s="17">
        <v>44925</v>
      </c>
      <c r="DAP612" s="5" t="s">
        <v>3728</v>
      </c>
      <c r="DAQ612" s="17">
        <v>44925</v>
      </c>
      <c r="DAR612" s="5" t="s">
        <v>3728</v>
      </c>
      <c r="DAS612" s="17">
        <v>44925</v>
      </c>
      <c r="DAT612" s="5" t="s">
        <v>3728</v>
      </c>
      <c r="DAU612" s="17">
        <v>44925</v>
      </c>
      <c r="DAV612" s="5" t="s">
        <v>3728</v>
      </c>
      <c r="DAW612" s="17">
        <v>44925</v>
      </c>
      <c r="DAX612" s="5" t="s">
        <v>3728</v>
      </c>
      <c r="DAY612" s="17">
        <v>44925</v>
      </c>
      <c r="DAZ612" s="5" t="s">
        <v>3728</v>
      </c>
      <c r="DBA612" s="17">
        <v>44925</v>
      </c>
      <c r="DBB612" s="5" t="s">
        <v>3728</v>
      </c>
      <c r="DBC612" s="17">
        <v>44925</v>
      </c>
      <c r="DBD612" s="5" t="s">
        <v>3728</v>
      </c>
      <c r="DBE612" s="17">
        <v>44925</v>
      </c>
      <c r="DBF612" s="5" t="s">
        <v>3728</v>
      </c>
      <c r="DBG612" s="17">
        <v>44925</v>
      </c>
      <c r="DBH612" s="5" t="s">
        <v>3728</v>
      </c>
      <c r="DBI612" s="17">
        <v>44925</v>
      </c>
      <c r="DBJ612" s="5" t="s">
        <v>3728</v>
      </c>
      <c r="DBK612" s="17">
        <v>44925</v>
      </c>
      <c r="DBL612" s="5" t="s">
        <v>3728</v>
      </c>
      <c r="DBM612" s="17">
        <v>44925</v>
      </c>
      <c r="DBN612" s="5" t="s">
        <v>3728</v>
      </c>
      <c r="DBO612" s="17">
        <v>44925</v>
      </c>
      <c r="DBP612" s="5" t="s">
        <v>3728</v>
      </c>
      <c r="DBQ612" s="17">
        <v>44925</v>
      </c>
      <c r="DBR612" s="5" t="s">
        <v>3728</v>
      </c>
      <c r="DBS612" s="17">
        <v>44925</v>
      </c>
      <c r="DBT612" s="5" t="s">
        <v>3728</v>
      </c>
      <c r="DBU612" s="17">
        <v>44925</v>
      </c>
      <c r="DBV612" s="5" t="s">
        <v>3728</v>
      </c>
      <c r="DBW612" s="17">
        <v>44925</v>
      </c>
      <c r="DBX612" s="5" t="s">
        <v>3728</v>
      </c>
      <c r="DBY612" s="17">
        <v>44925</v>
      </c>
      <c r="DBZ612" s="5" t="s">
        <v>3728</v>
      </c>
      <c r="DCA612" s="17">
        <v>44925</v>
      </c>
      <c r="DCB612" s="5" t="s">
        <v>3728</v>
      </c>
      <c r="DCC612" s="17">
        <v>44925</v>
      </c>
      <c r="DCD612" s="5" t="s">
        <v>3728</v>
      </c>
      <c r="DCE612" s="17">
        <v>44925</v>
      </c>
      <c r="DCF612" s="5" t="s">
        <v>3728</v>
      </c>
      <c r="DCG612" s="17">
        <v>44925</v>
      </c>
      <c r="DCH612" s="5" t="s">
        <v>3728</v>
      </c>
      <c r="DCI612" s="17">
        <v>44925</v>
      </c>
      <c r="DCJ612" s="5" t="s">
        <v>3728</v>
      </c>
      <c r="DCK612" s="17">
        <v>44925</v>
      </c>
      <c r="DCL612" s="5" t="s">
        <v>3728</v>
      </c>
      <c r="DCM612" s="17">
        <v>44925</v>
      </c>
      <c r="DCN612" s="5" t="s">
        <v>3728</v>
      </c>
      <c r="DCO612" s="17">
        <v>44925</v>
      </c>
      <c r="DCP612" s="5" t="s">
        <v>3728</v>
      </c>
      <c r="DCQ612" s="17">
        <v>44925</v>
      </c>
      <c r="DCR612" s="5" t="s">
        <v>3728</v>
      </c>
      <c r="DCS612" s="17">
        <v>44925</v>
      </c>
      <c r="DCT612" s="5" t="s">
        <v>3728</v>
      </c>
      <c r="DCU612" s="17">
        <v>44925</v>
      </c>
      <c r="DCV612" s="5" t="s">
        <v>3728</v>
      </c>
      <c r="DCW612" s="17">
        <v>44925</v>
      </c>
      <c r="DCX612" s="5" t="s">
        <v>3728</v>
      </c>
      <c r="DCY612" s="17">
        <v>44925</v>
      </c>
      <c r="DCZ612" s="5" t="s">
        <v>3728</v>
      </c>
      <c r="DDA612" s="17">
        <v>44925</v>
      </c>
      <c r="DDB612" s="5" t="s">
        <v>3728</v>
      </c>
      <c r="DDC612" s="17">
        <v>44925</v>
      </c>
      <c r="DDD612" s="5" t="s">
        <v>3728</v>
      </c>
      <c r="DDE612" s="17">
        <v>44925</v>
      </c>
      <c r="DDF612" s="5" t="s">
        <v>3728</v>
      </c>
      <c r="DDG612" s="17">
        <v>44925</v>
      </c>
      <c r="DDH612" s="5" t="s">
        <v>3728</v>
      </c>
      <c r="DDI612" s="17">
        <v>44925</v>
      </c>
      <c r="DDJ612" s="5" t="s">
        <v>3728</v>
      </c>
      <c r="DDK612" s="17">
        <v>44925</v>
      </c>
      <c r="DDL612" s="5" t="s">
        <v>3728</v>
      </c>
      <c r="DDM612" s="17">
        <v>44925</v>
      </c>
      <c r="DDN612" s="5" t="s">
        <v>3728</v>
      </c>
      <c r="DDO612" s="17">
        <v>44925</v>
      </c>
      <c r="DDP612" s="5" t="s">
        <v>3728</v>
      </c>
      <c r="DDQ612" s="17">
        <v>44925</v>
      </c>
      <c r="DDR612" s="5" t="s">
        <v>3728</v>
      </c>
      <c r="DDS612" s="17">
        <v>44925</v>
      </c>
      <c r="DDT612" s="5" t="s">
        <v>3728</v>
      </c>
      <c r="DDU612" s="17">
        <v>44925</v>
      </c>
      <c r="DDV612" s="5" t="s">
        <v>3728</v>
      </c>
      <c r="DDW612" s="17">
        <v>44925</v>
      </c>
      <c r="DDX612" s="5" t="s">
        <v>3728</v>
      </c>
      <c r="DDY612" s="17">
        <v>44925</v>
      </c>
      <c r="DDZ612" s="5" t="s">
        <v>3728</v>
      </c>
      <c r="DEA612" s="17">
        <v>44925</v>
      </c>
      <c r="DEB612" s="5" t="s">
        <v>3728</v>
      </c>
      <c r="DEC612" s="17">
        <v>44925</v>
      </c>
      <c r="DED612" s="5" t="s">
        <v>3728</v>
      </c>
      <c r="DEE612" s="17">
        <v>44925</v>
      </c>
      <c r="DEF612" s="5" t="s">
        <v>3728</v>
      </c>
      <c r="DEG612" s="17">
        <v>44925</v>
      </c>
      <c r="DEH612" s="5" t="s">
        <v>3728</v>
      </c>
      <c r="DEI612" s="17">
        <v>44925</v>
      </c>
      <c r="DEJ612" s="5" t="s">
        <v>3728</v>
      </c>
      <c r="DEK612" s="17">
        <v>44925</v>
      </c>
      <c r="DEL612" s="5" t="s">
        <v>3728</v>
      </c>
      <c r="DEM612" s="17">
        <v>44925</v>
      </c>
      <c r="DEN612" s="5" t="s">
        <v>3728</v>
      </c>
      <c r="DEO612" s="17">
        <v>44925</v>
      </c>
      <c r="DEP612" s="5" t="s">
        <v>3728</v>
      </c>
      <c r="DEQ612" s="17">
        <v>44925</v>
      </c>
      <c r="DER612" s="5" t="s">
        <v>3728</v>
      </c>
      <c r="DES612" s="17">
        <v>44925</v>
      </c>
      <c r="DET612" s="5" t="s">
        <v>3728</v>
      </c>
      <c r="DEU612" s="17">
        <v>44925</v>
      </c>
      <c r="DEV612" s="5" t="s">
        <v>3728</v>
      </c>
      <c r="DEW612" s="17">
        <v>44925</v>
      </c>
      <c r="DEX612" s="5" t="s">
        <v>3728</v>
      </c>
      <c r="DEY612" s="17">
        <v>44925</v>
      </c>
      <c r="DEZ612" s="5" t="s">
        <v>3728</v>
      </c>
      <c r="DFA612" s="17">
        <v>44925</v>
      </c>
      <c r="DFB612" s="5" t="s">
        <v>3728</v>
      </c>
      <c r="DFC612" s="17">
        <v>44925</v>
      </c>
      <c r="DFD612" s="5" t="s">
        <v>3728</v>
      </c>
      <c r="DFE612" s="17">
        <v>44925</v>
      </c>
      <c r="DFF612" s="5" t="s">
        <v>3728</v>
      </c>
      <c r="DFG612" s="17">
        <v>44925</v>
      </c>
      <c r="DFH612" s="5" t="s">
        <v>3728</v>
      </c>
      <c r="DFI612" s="17">
        <v>44925</v>
      </c>
      <c r="DFJ612" s="5" t="s">
        <v>3728</v>
      </c>
      <c r="DFK612" s="17">
        <v>44925</v>
      </c>
      <c r="DFL612" s="5" t="s">
        <v>3728</v>
      </c>
      <c r="DFM612" s="17">
        <v>44925</v>
      </c>
      <c r="DFN612" s="5" t="s">
        <v>3728</v>
      </c>
      <c r="DFO612" s="17">
        <v>44925</v>
      </c>
      <c r="DFP612" s="5" t="s">
        <v>3728</v>
      </c>
      <c r="DFQ612" s="17">
        <v>44925</v>
      </c>
      <c r="DFR612" s="5" t="s">
        <v>3728</v>
      </c>
      <c r="DFS612" s="17">
        <v>44925</v>
      </c>
      <c r="DFT612" s="5" t="s">
        <v>3728</v>
      </c>
      <c r="DFU612" s="17">
        <v>44925</v>
      </c>
      <c r="DFV612" s="5" t="s">
        <v>3728</v>
      </c>
      <c r="DFW612" s="17">
        <v>44925</v>
      </c>
      <c r="DFX612" s="5" t="s">
        <v>3728</v>
      </c>
      <c r="DFY612" s="17">
        <v>44925</v>
      </c>
      <c r="DFZ612" s="5" t="s">
        <v>3728</v>
      </c>
      <c r="DGA612" s="17">
        <v>44925</v>
      </c>
      <c r="DGB612" s="5" t="s">
        <v>3728</v>
      </c>
      <c r="DGC612" s="17">
        <v>44925</v>
      </c>
      <c r="DGD612" s="5" t="s">
        <v>3728</v>
      </c>
      <c r="DGE612" s="17">
        <v>44925</v>
      </c>
      <c r="DGF612" s="5" t="s">
        <v>3728</v>
      </c>
      <c r="DGG612" s="17">
        <v>44925</v>
      </c>
      <c r="DGH612" s="5" t="s">
        <v>3728</v>
      </c>
      <c r="DGI612" s="17">
        <v>44925</v>
      </c>
      <c r="DGJ612" s="5" t="s">
        <v>3728</v>
      </c>
      <c r="DGK612" s="17">
        <v>44925</v>
      </c>
      <c r="DGL612" s="5" t="s">
        <v>3728</v>
      </c>
      <c r="DGM612" s="17">
        <v>44925</v>
      </c>
      <c r="DGN612" s="5" t="s">
        <v>3728</v>
      </c>
      <c r="DGO612" s="17">
        <v>44925</v>
      </c>
      <c r="DGP612" s="5" t="s">
        <v>3728</v>
      </c>
      <c r="DGQ612" s="17">
        <v>44925</v>
      </c>
      <c r="DGR612" s="5" t="s">
        <v>3728</v>
      </c>
      <c r="DGS612" s="17">
        <v>44925</v>
      </c>
      <c r="DGT612" s="5" t="s">
        <v>3728</v>
      </c>
      <c r="DGU612" s="17">
        <v>44925</v>
      </c>
      <c r="DGV612" s="5" t="s">
        <v>3728</v>
      </c>
      <c r="DGW612" s="17">
        <v>44925</v>
      </c>
      <c r="DGX612" s="5" t="s">
        <v>3728</v>
      </c>
      <c r="DGY612" s="17">
        <v>44925</v>
      </c>
      <c r="DGZ612" s="5" t="s">
        <v>3728</v>
      </c>
      <c r="DHA612" s="17">
        <v>44925</v>
      </c>
      <c r="DHB612" s="5" t="s">
        <v>3728</v>
      </c>
      <c r="DHC612" s="17">
        <v>44925</v>
      </c>
      <c r="DHD612" s="5" t="s">
        <v>3728</v>
      </c>
      <c r="DHE612" s="17">
        <v>44925</v>
      </c>
      <c r="DHF612" s="5" t="s">
        <v>3728</v>
      </c>
      <c r="DHG612" s="17">
        <v>44925</v>
      </c>
      <c r="DHH612" s="5" t="s">
        <v>3728</v>
      </c>
      <c r="DHI612" s="17">
        <v>44925</v>
      </c>
      <c r="DHJ612" s="5" t="s">
        <v>3728</v>
      </c>
      <c r="DHK612" s="17">
        <v>44925</v>
      </c>
      <c r="DHL612" s="5" t="s">
        <v>3728</v>
      </c>
      <c r="DHM612" s="17">
        <v>44925</v>
      </c>
      <c r="DHN612" s="5" t="s">
        <v>3728</v>
      </c>
      <c r="DHO612" s="17">
        <v>44925</v>
      </c>
      <c r="DHP612" s="5" t="s">
        <v>3728</v>
      </c>
      <c r="DHQ612" s="17">
        <v>44925</v>
      </c>
      <c r="DHR612" s="5" t="s">
        <v>3728</v>
      </c>
      <c r="DHS612" s="17">
        <v>44925</v>
      </c>
      <c r="DHT612" s="5" t="s">
        <v>3728</v>
      </c>
      <c r="DHU612" s="17">
        <v>44925</v>
      </c>
      <c r="DHV612" s="5" t="s">
        <v>3728</v>
      </c>
      <c r="DHW612" s="17">
        <v>44925</v>
      </c>
      <c r="DHX612" s="5" t="s">
        <v>3728</v>
      </c>
      <c r="DHY612" s="17">
        <v>44925</v>
      </c>
      <c r="DHZ612" s="5" t="s">
        <v>3728</v>
      </c>
      <c r="DIA612" s="17">
        <v>44925</v>
      </c>
      <c r="DIB612" s="5" t="s">
        <v>3728</v>
      </c>
      <c r="DIC612" s="17">
        <v>44925</v>
      </c>
      <c r="DID612" s="5" t="s">
        <v>3728</v>
      </c>
      <c r="DIE612" s="17">
        <v>44925</v>
      </c>
      <c r="DIF612" s="5" t="s">
        <v>3728</v>
      </c>
      <c r="DIG612" s="17">
        <v>44925</v>
      </c>
      <c r="DIH612" s="5" t="s">
        <v>3728</v>
      </c>
      <c r="DII612" s="17">
        <v>44925</v>
      </c>
      <c r="DIJ612" s="5" t="s">
        <v>3728</v>
      </c>
      <c r="DIK612" s="17">
        <v>44925</v>
      </c>
      <c r="DIL612" s="5" t="s">
        <v>3728</v>
      </c>
      <c r="DIM612" s="17">
        <v>44925</v>
      </c>
      <c r="DIN612" s="5" t="s">
        <v>3728</v>
      </c>
      <c r="DIO612" s="17">
        <v>44925</v>
      </c>
      <c r="DIP612" s="5" t="s">
        <v>3728</v>
      </c>
      <c r="DIQ612" s="17">
        <v>44925</v>
      </c>
      <c r="DIR612" s="5" t="s">
        <v>3728</v>
      </c>
      <c r="DIS612" s="17">
        <v>44925</v>
      </c>
      <c r="DIT612" s="5" t="s">
        <v>3728</v>
      </c>
      <c r="DIU612" s="17">
        <v>44925</v>
      </c>
      <c r="DIV612" s="5" t="s">
        <v>3728</v>
      </c>
      <c r="DIW612" s="17">
        <v>44925</v>
      </c>
      <c r="DIX612" s="5" t="s">
        <v>3728</v>
      </c>
      <c r="DIY612" s="17">
        <v>44925</v>
      </c>
      <c r="DIZ612" s="5" t="s">
        <v>3728</v>
      </c>
      <c r="DJA612" s="17">
        <v>44925</v>
      </c>
      <c r="DJB612" s="5" t="s">
        <v>3728</v>
      </c>
      <c r="DJC612" s="17">
        <v>44925</v>
      </c>
      <c r="DJD612" s="5" t="s">
        <v>3728</v>
      </c>
      <c r="DJE612" s="17">
        <v>44925</v>
      </c>
      <c r="DJF612" s="5" t="s">
        <v>3728</v>
      </c>
      <c r="DJG612" s="17">
        <v>44925</v>
      </c>
      <c r="DJH612" s="5" t="s">
        <v>3728</v>
      </c>
      <c r="DJI612" s="17">
        <v>44925</v>
      </c>
      <c r="DJJ612" s="5" t="s">
        <v>3728</v>
      </c>
      <c r="DJK612" s="17">
        <v>44925</v>
      </c>
      <c r="DJL612" s="5" t="s">
        <v>3728</v>
      </c>
      <c r="DJM612" s="17">
        <v>44925</v>
      </c>
      <c r="DJN612" s="5" t="s">
        <v>3728</v>
      </c>
      <c r="DJO612" s="17">
        <v>44925</v>
      </c>
      <c r="DJP612" s="5" t="s">
        <v>3728</v>
      </c>
      <c r="DJQ612" s="17">
        <v>44925</v>
      </c>
      <c r="DJR612" s="5" t="s">
        <v>3728</v>
      </c>
      <c r="DJS612" s="17">
        <v>44925</v>
      </c>
      <c r="DJT612" s="5" t="s">
        <v>3728</v>
      </c>
      <c r="DJU612" s="17">
        <v>44925</v>
      </c>
      <c r="DJV612" s="5" t="s">
        <v>3728</v>
      </c>
      <c r="DJW612" s="17">
        <v>44925</v>
      </c>
      <c r="DJX612" s="5" t="s">
        <v>3728</v>
      </c>
      <c r="DJY612" s="17">
        <v>44925</v>
      </c>
      <c r="DJZ612" s="5" t="s">
        <v>3728</v>
      </c>
      <c r="DKA612" s="17">
        <v>44925</v>
      </c>
      <c r="DKB612" s="5" t="s">
        <v>3728</v>
      </c>
      <c r="DKC612" s="17">
        <v>44925</v>
      </c>
      <c r="DKD612" s="5" t="s">
        <v>3728</v>
      </c>
      <c r="DKE612" s="17">
        <v>44925</v>
      </c>
      <c r="DKF612" s="5" t="s">
        <v>3728</v>
      </c>
      <c r="DKG612" s="17">
        <v>44925</v>
      </c>
      <c r="DKH612" s="5" t="s">
        <v>3728</v>
      </c>
      <c r="DKI612" s="17">
        <v>44925</v>
      </c>
      <c r="DKJ612" s="5" t="s">
        <v>3728</v>
      </c>
      <c r="DKK612" s="17">
        <v>44925</v>
      </c>
      <c r="DKL612" s="5" t="s">
        <v>3728</v>
      </c>
      <c r="DKM612" s="17">
        <v>44925</v>
      </c>
      <c r="DKN612" s="5" t="s">
        <v>3728</v>
      </c>
      <c r="DKO612" s="17">
        <v>44925</v>
      </c>
      <c r="DKP612" s="5" t="s">
        <v>3728</v>
      </c>
      <c r="DKQ612" s="17">
        <v>44925</v>
      </c>
      <c r="DKR612" s="5" t="s">
        <v>3728</v>
      </c>
      <c r="DKS612" s="17">
        <v>44925</v>
      </c>
      <c r="DKT612" s="5" t="s">
        <v>3728</v>
      </c>
      <c r="DKU612" s="17">
        <v>44925</v>
      </c>
      <c r="DKV612" s="5" t="s">
        <v>3728</v>
      </c>
      <c r="DKW612" s="17">
        <v>44925</v>
      </c>
      <c r="DKX612" s="5" t="s">
        <v>3728</v>
      </c>
      <c r="DKY612" s="17">
        <v>44925</v>
      </c>
      <c r="DKZ612" s="5" t="s">
        <v>3728</v>
      </c>
      <c r="DLA612" s="17">
        <v>44925</v>
      </c>
      <c r="DLB612" s="5" t="s">
        <v>3728</v>
      </c>
      <c r="DLC612" s="17">
        <v>44925</v>
      </c>
      <c r="DLD612" s="5" t="s">
        <v>3728</v>
      </c>
      <c r="DLE612" s="17">
        <v>44925</v>
      </c>
      <c r="DLF612" s="5" t="s">
        <v>3728</v>
      </c>
      <c r="DLG612" s="17">
        <v>44925</v>
      </c>
      <c r="DLH612" s="5" t="s">
        <v>3728</v>
      </c>
      <c r="DLI612" s="17">
        <v>44925</v>
      </c>
      <c r="DLJ612" s="5" t="s">
        <v>3728</v>
      </c>
      <c r="DLK612" s="17">
        <v>44925</v>
      </c>
      <c r="DLL612" s="5" t="s">
        <v>3728</v>
      </c>
      <c r="DLM612" s="17">
        <v>44925</v>
      </c>
      <c r="DLN612" s="5" t="s">
        <v>3728</v>
      </c>
      <c r="DLO612" s="17">
        <v>44925</v>
      </c>
      <c r="DLP612" s="5" t="s">
        <v>3728</v>
      </c>
      <c r="DLQ612" s="17">
        <v>44925</v>
      </c>
      <c r="DLR612" s="5" t="s">
        <v>3728</v>
      </c>
      <c r="DLS612" s="17">
        <v>44925</v>
      </c>
      <c r="DLT612" s="5" t="s">
        <v>3728</v>
      </c>
      <c r="DLU612" s="17">
        <v>44925</v>
      </c>
      <c r="DLV612" s="5" t="s">
        <v>3728</v>
      </c>
      <c r="DLW612" s="17">
        <v>44925</v>
      </c>
      <c r="DLX612" s="5" t="s">
        <v>3728</v>
      </c>
      <c r="DLY612" s="17">
        <v>44925</v>
      </c>
      <c r="DLZ612" s="5" t="s">
        <v>3728</v>
      </c>
      <c r="DMA612" s="17">
        <v>44925</v>
      </c>
      <c r="DMB612" s="5" t="s">
        <v>3728</v>
      </c>
      <c r="DMC612" s="17">
        <v>44925</v>
      </c>
      <c r="DMD612" s="5" t="s">
        <v>3728</v>
      </c>
      <c r="DME612" s="17">
        <v>44925</v>
      </c>
      <c r="DMF612" s="5" t="s">
        <v>3728</v>
      </c>
      <c r="DMG612" s="17">
        <v>44925</v>
      </c>
      <c r="DMH612" s="5" t="s">
        <v>3728</v>
      </c>
      <c r="DMI612" s="17">
        <v>44925</v>
      </c>
      <c r="DMJ612" s="5" t="s">
        <v>3728</v>
      </c>
      <c r="DMK612" s="17">
        <v>44925</v>
      </c>
      <c r="DML612" s="5" t="s">
        <v>3728</v>
      </c>
      <c r="DMM612" s="17">
        <v>44925</v>
      </c>
      <c r="DMN612" s="5" t="s">
        <v>3728</v>
      </c>
      <c r="DMO612" s="17">
        <v>44925</v>
      </c>
      <c r="DMP612" s="5" t="s">
        <v>3728</v>
      </c>
      <c r="DMQ612" s="17">
        <v>44925</v>
      </c>
      <c r="DMR612" s="5" t="s">
        <v>3728</v>
      </c>
      <c r="DMS612" s="17">
        <v>44925</v>
      </c>
      <c r="DMT612" s="5" t="s">
        <v>3728</v>
      </c>
      <c r="DMU612" s="17">
        <v>44925</v>
      </c>
      <c r="DMV612" s="5" t="s">
        <v>3728</v>
      </c>
      <c r="DMW612" s="17">
        <v>44925</v>
      </c>
      <c r="DMX612" s="5" t="s">
        <v>3728</v>
      </c>
      <c r="DMY612" s="17">
        <v>44925</v>
      </c>
      <c r="DMZ612" s="5" t="s">
        <v>3728</v>
      </c>
      <c r="DNA612" s="17">
        <v>44925</v>
      </c>
      <c r="DNB612" s="5" t="s">
        <v>3728</v>
      </c>
      <c r="DNC612" s="17">
        <v>44925</v>
      </c>
      <c r="DND612" s="5" t="s">
        <v>3728</v>
      </c>
      <c r="DNE612" s="17">
        <v>44925</v>
      </c>
      <c r="DNF612" s="5" t="s">
        <v>3728</v>
      </c>
      <c r="DNG612" s="17">
        <v>44925</v>
      </c>
      <c r="DNH612" s="5" t="s">
        <v>3728</v>
      </c>
      <c r="DNI612" s="17">
        <v>44925</v>
      </c>
      <c r="DNJ612" s="5" t="s">
        <v>3728</v>
      </c>
      <c r="DNK612" s="17">
        <v>44925</v>
      </c>
      <c r="DNL612" s="5" t="s">
        <v>3728</v>
      </c>
      <c r="DNM612" s="17">
        <v>44925</v>
      </c>
      <c r="DNN612" s="5" t="s">
        <v>3728</v>
      </c>
      <c r="DNO612" s="17">
        <v>44925</v>
      </c>
      <c r="DNP612" s="5" t="s">
        <v>3728</v>
      </c>
      <c r="DNQ612" s="17">
        <v>44925</v>
      </c>
      <c r="DNR612" s="5" t="s">
        <v>3728</v>
      </c>
      <c r="DNS612" s="17">
        <v>44925</v>
      </c>
      <c r="DNT612" s="5" t="s">
        <v>3728</v>
      </c>
      <c r="DNU612" s="17">
        <v>44925</v>
      </c>
      <c r="DNV612" s="5" t="s">
        <v>3728</v>
      </c>
      <c r="DNW612" s="17">
        <v>44925</v>
      </c>
      <c r="DNX612" s="5" t="s">
        <v>3728</v>
      </c>
      <c r="DNY612" s="17">
        <v>44925</v>
      </c>
      <c r="DNZ612" s="5" t="s">
        <v>3728</v>
      </c>
      <c r="DOA612" s="17">
        <v>44925</v>
      </c>
      <c r="DOB612" s="5" t="s">
        <v>3728</v>
      </c>
      <c r="DOC612" s="17">
        <v>44925</v>
      </c>
      <c r="DOD612" s="5" t="s">
        <v>3728</v>
      </c>
      <c r="DOE612" s="17">
        <v>44925</v>
      </c>
      <c r="DOF612" s="5" t="s">
        <v>3728</v>
      </c>
      <c r="DOG612" s="17">
        <v>44925</v>
      </c>
      <c r="DOH612" s="5" t="s">
        <v>3728</v>
      </c>
      <c r="DOI612" s="17">
        <v>44925</v>
      </c>
      <c r="DOJ612" s="5" t="s">
        <v>3728</v>
      </c>
      <c r="DOK612" s="17">
        <v>44925</v>
      </c>
      <c r="DOL612" s="5" t="s">
        <v>3728</v>
      </c>
      <c r="DOM612" s="17">
        <v>44925</v>
      </c>
      <c r="DON612" s="5" t="s">
        <v>3728</v>
      </c>
      <c r="DOO612" s="17">
        <v>44925</v>
      </c>
      <c r="DOP612" s="5" t="s">
        <v>3728</v>
      </c>
      <c r="DOQ612" s="17">
        <v>44925</v>
      </c>
      <c r="DOR612" s="5" t="s">
        <v>3728</v>
      </c>
      <c r="DOS612" s="17">
        <v>44925</v>
      </c>
      <c r="DOT612" s="5" t="s">
        <v>3728</v>
      </c>
      <c r="DOU612" s="17">
        <v>44925</v>
      </c>
      <c r="DOV612" s="5" t="s">
        <v>3728</v>
      </c>
      <c r="DOW612" s="17">
        <v>44925</v>
      </c>
      <c r="DOX612" s="5" t="s">
        <v>3728</v>
      </c>
      <c r="DOY612" s="17">
        <v>44925</v>
      </c>
      <c r="DOZ612" s="5" t="s">
        <v>3728</v>
      </c>
      <c r="DPA612" s="17">
        <v>44925</v>
      </c>
      <c r="DPB612" s="5" t="s">
        <v>3728</v>
      </c>
      <c r="DPC612" s="17">
        <v>44925</v>
      </c>
      <c r="DPD612" s="5" t="s">
        <v>3728</v>
      </c>
      <c r="DPE612" s="17">
        <v>44925</v>
      </c>
      <c r="DPF612" s="5" t="s">
        <v>3728</v>
      </c>
      <c r="DPG612" s="17">
        <v>44925</v>
      </c>
      <c r="DPH612" s="5" t="s">
        <v>3728</v>
      </c>
      <c r="DPI612" s="17">
        <v>44925</v>
      </c>
      <c r="DPJ612" s="5" t="s">
        <v>3728</v>
      </c>
      <c r="DPK612" s="17">
        <v>44925</v>
      </c>
      <c r="DPL612" s="5" t="s">
        <v>3728</v>
      </c>
      <c r="DPM612" s="17">
        <v>44925</v>
      </c>
      <c r="DPN612" s="5" t="s">
        <v>3728</v>
      </c>
      <c r="DPO612" s="17">
        <v>44925</v>
      </c>
      <c r="DPP612" s="5" t="s">
        <v>3728</v>
      </c>
      <c r="DPQ612" s="17">
        <v>44925</v>
      </c>
      <c r="DPR612" s="5" t="s">
        <v>3728</v>
      </c>
      <c r="DPS612" s="17">
        <v>44925</v>
      </c>
      <c r="DPT612" s="5" t="s">
        <v>3728</v>
      </c>
      <c r="DPU612" s="17">
        <v>44925</v>
      </c>
      <c r="DPV612" s="5" t="s">
        <v>3728</v>
      </c>
      <c r="DPW612" s="17">
        <v>44925</v>
      </c>
      <c r="DPX612" s="5" t="s">
        <v>3728</v>
      </c>
      <c r="DPY612" s="17">
        <v>44925</v>
      </c>
      <c r="DPZ612" s="5" t="s">
        <v>3728</v>
      </c>
      <c r="DQA612" s="17">
        <v>44925</v>
      </c>
      <c r="DQB612" s="5" t="s">
        <v>3728</v>
      </c>
      <c r="DQC612" s="17">
        <v>44925</v>
      </c>
      <c r="DQD612" s="5" t="s">
        <v>3728</v>
      </c>
      <c r="DQE612" s="17">
        <v>44925</v>
      </c>
      <c r="DQF612" s="5" t="s">
        <v>3728</v>
      </c>
      <c r="DQG612" s="17">
        <v>44925</v>
      </c>
      <c r="DQH612" s="5" t="s">
        <v>3728</v>
      </c>
      <c r="DQI612" s="17">
        <v>44925</v>
      </c>
      <c r="DQJ612" s="5" t="s">
        <v>3728</v>
      </c>
      <c r="DQK612" s="17">
        <v>44925</v>
      </c>
      <c r="DQL612" s="5" t="s">
        <v>3728</v>
      </c>
      <c r="DQM612" s="17">
        <v>44925</v>
      </c>
      <c r="DQN612" s="5" t="s">
        <v>3728</v>
      </c>
      <c r="DQO612" s="17">
        <v>44925</v>
      </c>
      <c r="DQP612" s="5" t="s">
        <v>3728</v>
      </c>
      <c r="DQQ612" s="17">
        <v>44925</v>
      </c>
      <c r="DQR612" s="5" t="s">
        <v>3728</v>
      </c>
      <c r="DQS612" s="17">
        <v>44925</v>
      </c>
      <c r="DQT612" s="5" t="s">
        <v>3728</v>
      </c>
      <c r="DQU612" s="17">
        <v>44925</v>
      </c>
      <c r="DQV612" s="5" t="s">
        <v>3728</v>
      </c>
      <c r="DQW612" s="17">
        <v>44925</v>
      </c>
      <c r="DQX612" s="5" t="s">
        <v>3728</v>
      </c>
      <c r="DQY612" s="17">
        <v>44925</v>
      </c>
      <c r="DQZ612" s="5" t="s">
        <v>3728</v>
      </c>
      <c r="DRA612" s="17">
        <v>44925</v>
      </c>
      <c r="DRB612" s="5" t="s">
        <v>3728</v>
      </c>
      <c r="DRC612" s="17">
        <v>44925</v>
      </c>
      <c r="DRD612" s="5" t="s">
        <v>3728</v>
      </c>
      <c r="DRE612" s="17">
        <v>44925</v>
      </c>
      <c r="DRF612" s="5" t="s">
        <v>3728</v>
      </c>
      <c r="DRG612" s="17">
        <v>44925</v>
      </c>
      <c r="DRH612" s="5" t="s">
        <v>3728</v>
      </c>
      <c r="DRI612" s="17">
        <v>44925</v>
      </c>
      <c r="DRJ612" s="5" t="s">
        <v>3728</v>
      </c>
      <c r="DRK612" s="17">
        <v>44925</v>
      </c>
      <c r="DRL612" s="5" t="s">
        <v>3728</v>
      </c>
      <c r="DRM612" s="17">
        <v>44925</v>
      </c>
      <c r="DRN612" s="5" t="s">
        <v>3728</v>
      </c>
      <c r="DRO612" s="17">
        <v>44925</v>
      </c>
      <c r="DRP612" s="5" t="s">
        <v>3728</v>
      </c>
      <c r="DRQ612" s="17">
        <v>44925</v>
      </c>
      <c r="DRR612" s="5" t="s">
        <v>3728</v>
      </c>
      <c r="DRS612" s="17">
        <v>44925</v>
      </c>
      <c r="DRT612" s="5" t="s">
        <v>3728</v>
      </c>
      <c r="DRU612" s="17">
        <v>44925</v>
      </c>
      <c r="DRV612" s="5" t="s">
        <v>3728</v>
      </c>
      <c r="DRW612" s="17">
        <v>44925</v>
      </c>
      <c r="DRX612" s="5" t="s">
        <v>3728</v>
      </c>
      <c r="DRY612" s="17">
        <v>44925</v>
      </c>
      <c r="DRZ612" s="5" t="s">
        <v>3728</v>
      </c>
      <c r="DSA612" s="17">
        <v>44925</v>
      </c>
      <c r="DSB612" s="5" t="s">
        <v>3728</v>
      </c>
      <c r="DSC612" s="17">
        <v>44925</v>
      </c>
      <c r="DSD612" s="5" t="s">
        <v>3728</v>
      </c>
      <c r="DSE612" s="17">
        <v>44925</v>
      </c>
      <c r="DSF612" s="5" t="s">
        <v>3728</v>
      </c>
      <c r="DSG612" s="17">
        <v>44925</v>
      </c>
      <c r="DSH612" s="5" t="s">
        <v>3728</v>
      </c>
      <c r="DSI612" s="17">
        <v>44925</v>
      </c>
      <c r="DSJ612" s="5" t="s">
        <v>3728</v>
      </c>
      <c r="DSK612" s="17">
        <v>44925</v>
      </c>
      <c r="DSL612" s="5" t="s">
        <v>3728</v>
      </c>
      <c r="DSM612" s="17">
        <v>44925</v>
      </c>
      <c r="DSN612" s="5" t="s">
        <v>3728</v>
      </c>
      <c r="DSO612" s="17">
        <v>44925</v>
      </c>
      <c r="DSP612" s="5" t="s">
        <v>3728</v>
      </c>
      <c r="DSQ612" s="17">
        <v>44925</v>
      </c>
      <c r="DSR612" s="5" t="s">
        <v>3728</v>
      </c>
      <c r="DSS612" s="17">
        <v>44925</v>
      </c>
      <c r="DST612" s="5" t="s">
        <v>3728</v>
      </c>
      <c r="DSU612" s="17">
        <v>44925</v>
      </c>
      <c r="DSV612" s="5" t="s">
        <v>3728</v>
      </c>
      <c r="DSW612" s="17">
        <v>44925</v>
      </c>
      <c r="DSX612" s="5" t="s">
        <v>3728</v>
      </c>
      <c r="DSY612" s="17">
        <v>44925</v>
      </c>
      <c r="DSZ612" s="5" t="s">
        <v>3728</v>
      </c>
      <c r="DTA612" s="17">
        <v>44925</v>
      </c>
      <c r="DTB612" s="5" t="s">
        <v>3728</v>
      </c>
      <c r="DTC612" s="17">
        <v>44925</v>
      </c>
      <c r="DTD612" s="5" t="s">
        <v>3728</v>
      </c>
      <c r="DTE612" s="17">
        <v>44925</v>
      </c>
      <c r="DTF612" s="5" t="s">
        <v>3728</v>
      </c>
      <c r="DTG612" s="17">
        <v>44925</v>
      </c>
      <c r="DTH612" s="5" t="s">
        <v>3728</v>
      </c>
      <c r="DTI612" s="17">
        <v>44925</v>
      </c>
      <c r="DTJ612" s="5" t="s">
        <v>3728</v>
      </c>
      <c r="DTK612" s="17">
        <v>44925</v>
      </c>
      <c r="DTL612" s="5" t="s">
        <v>3728</v>
      </c>
      <c r="DTM612" s="17">
        <v>44925</v>
      </c>
      <c r="DTN612" s="5" t="s">
        <v>3728</v>
      </c>
      <c r="DTO612" s="17">
        <v>44925</v>
      </c>
      <c r="DTP612" s="5" t="s">
        <v>3728</v>
      </c>
      <c r="DTQ612" s="17">
        <v>44925</v>
      </c>
      <c r="DTR612" s="5" t="s">
        <v>3728</v>
      </c>
      <c r="DTS612" s="17">
        <v>44925</v>
      </c>
      <c r="DTT612" s="5" t="s">
        <v>3728</v>
      </c>
      <c r="DTU612" s="17">
        <v>44925</v>
      </c>
      <c r="DTV612" s="5" t="s">
        <v>3728</v>
      </c>
      <c r="DTW612" s="17">
        <v>44925</v>
      </c>
      <c r="DTX612" s="5" t="s">
        <v>3728</v>
      </c>
      <c r="DTY612" s="17">
        <v>44925</v>
      </c>
      <c r="DTZ612" s="5" t="s">
        <v>3728</v>
      </c>
      <c r="DUA612" s="17">
        <v>44925</v>
      </c>
      <c r="DUB612" s="5" t="s">
        <v>3728</v>
      </c>
      <c r="DUC612" s="17">
        <v>44925</v>
      </c>
      <c r="DUD612" s="5" t="s">
        <v>3728</v>
      </c>
      <c r="DUE612" s="17">
        <v>44925</v>
      </c>
      <c r="DUF612" s="5" t="s">
        <v>3728</v>
      </c>
      <c r="DUG612" s="17">
        <v>44925</v>
      </c>
      <c r="DUH612" s="5" t="s">
        <v>3728</v>
      </c>
      <c r="DUI612" s="17">
        <v>44925</v>
      </c>
      <c r="DUJ612" s="5" t="s">
        <v>3728</v>
      </c>
      <c r="DUK612" s="17">
        <v>44925</v>
      </c>
      <c r="DUL612" s="5" t="s">
        <v>3728</v>
      </c>
      <c r="DUM612" s="17">
        <v>44925</v>
      </c>
      <c r="DUN612" s="5" t="s">
        <v>3728</v>
      </c>
      <c r="DUO612" s="17">
        <v>44925</v>
      </c>
      <c r="DUP612" s="5" t="s">
        <v>3728</v>
      </c>
      <c r="DUQ612" s="17">
        <v>44925</v>
      </c>
      <c r="DUR612" s="5" t="s">
        <v>3728</v>
      </c>
      <c r="DUS612" s="17">
        <v>44925</v>
      </c>
      <c r="DUT612" s="5" t="s">
        <v>3728</v>
      </c>
      <c r="DUU612" s="17">
        <v>44925</v>
      </c>
      <c r="DUV612" s="5" t="s">
        <v>3728</v>
      </c>
      <c r="DUW612" s="17">
        <v>44925</v>
      </c>
      <c r="DUX612" s="5" t="s">
        <v>3728</v>
      </c>
      <c r="DUY612" s="17">
        <v>44925</v>
      </c>
      <c r="DUZ612" s="5" t="s">
        <v>3728</v>
      </c>
      <c r="DVA612" s="17">
        <v>44925</v>
      </c>
      <c r="DVB612" s="5" t="s">
        <v>3728</v>
      </c>
      <c r="DVC612" s="17">
        <v>44925</v>
      </c>
      <c r="DVD612" s="5" t="s">
        <v>3728</v>
      </c>
      <c r="DVE612" s="17">
        <v>44925</v>
      </c>
      <c r="DVF612" s="5" t="s">
        <v>3728</v>
      </c>
      <c r="DVG612" s="17">
        <v>44925</v>
      </c>
      <c r="DVH612" s="5" t="s">
        <v>3728</v>
      </c>
      <c r="DVI612" s="17">
        <v>44925</v>
      </c>
      <c r="DVJ612" s="5" t="s">
        <v>3728</v>
      </c>
      <c r="DVK612" s="17">
        <v>44925</v>
      </c>
      <c r="DVL612" s="5" t="s">
        <v>3728</v>
      </c>
      <c r="DVM612" s="17">
        <v>44925</v>
      </c>
      <c r="DVN612" s="5" t="s">
        <v>3728</v>
      </c>
      <c r="DVO612" s="17">
        <v>44925</v>
      </c>
      <c r="DVP612" s="5" t="s">
        <v>3728</v>
      </c>
      <c r="DVQ612" s="17">
        <v>44925</v>
      </c>
      <c r="DVR612" s="5" t="s">
        <v>3728</v>
      </c>
      <c r="DVS612" s="17">
        <v>44925</v>
      </c>
      <c r="DVT612" s="5" t="s">
        <v>3728</v>
      </c>
      <c r="DVU612" s="17">
        <v>44925</v>
      </c>
      <c r="DVV612" s="5" t="s">
        <v>3728</v>
      </c>
      <c r="DVW612" s="17">
        <v>44925</v>
      </c>
      <c r="DVX612" s="5" t="s">
        <v>3728</v>
      </c>
      <c r="DVY612" s="17">
        <v>44925</v>
      </c>
      <c r="DVZ612" s="5" t="s">
        <v>3728</v>
      </c>
      <c r="DWA612" s="17">
        <v>44925</v>
      </c>
      <c r="DWB612" s="5" t="s">
        <v>3728</v>
      </c>
      <c r="DWC612" s="17">
        <v>44925</v>
      </c>
      <c r="DWD612" s="5" t="s">
        <v>3728</v>
      </c>
      <c r="DWE612" s="17">
        <v>44925</v>
      </c>
      <c r="DWF612" s="5" t="s">
        <v>3728</v>
      </c>
      <c r="DWG612" s="17">
        <v>44925</v>
      </c>
      <c r="DWH612" s="5" t="s">
        <v>3728</v>
      </c>
      <c r="DWI612" s="17">
        <v>44925</v>
      </c>
      <c r="DWJ612" s="5" t="s">
        <v>3728</v>
      </c>
      <c r="DWK612" s="17">
        <v>44925</v>
      </c>
      <c r="DWL612" s="5" t="s">
        <v>3728</v>
      </c>
      <c r="DWM612" s="17">
        <v>44925</v>
      </c>
      <c r="DWN612" s="5" t="s">
        <v>3728</v>
      </c>
      <c r="DWO612" s="17">
        <v>44925</v>
      </c>
      <c r="DWP612" s="5" t="s">
        <v>3728</v>
      </c>
      <c r="DWQ612" s="17">
        <v>44925</v>
      </c>
      <c r="DWR612" s="5" t="s">
        <v>3728</v>
      </c>
      <c r="DWS612" s="17">
        <v>44925</v>
      </c>
      <c r="DWT612" s="5" t="s">
        <v>3728</v>
      </c>
      <c r="DWU612" s="17">
        <v>44925</v>
      </c>
      <c r="DWV612" s="5" t="s">
        <v>3728</v>
      </c>
      <c r="DWW612" s="17">
        <v>44925</v>
      </c>
      <c r="DWX612" s="5" t="s">
        <v>3728</v>
      </c>
      <c r="DWY612" s="17">
        <v>44925</v>
      </c>
      <c r="DWZ612" s="5" t="s">
        <v>3728</v>
      </c>
      <c r="DXA612" s="17">
        <v>44925</v>
      </c>
      <c r="DXB612" s="5" t="s">
        <v>3728</v>
      </c>
      <c r="DXC612" s="17">
        <v>44925</v>
      </c>
      <c r="DXD612" s="5" t="s">
        <v>3728</v>
      </c>
      <c r="DXE612" s="17">
        <v>44925</v>
      </c>
      <c r="DXF612" s="5" t="s">
        <v>3728</v>
      </c>
      <c r="DXG612" s="17">
        <v>44925</v>
      </c>
      <c r="DXH612" s="5" t="s">
        <v>3728</v>
      </c>
      <c r="DXI612" s="17">
        <v>44925</v>
      </c>
      <c r="DXJ612" s="5" t="s">
        <v>3728</v>
      </c>
      <c r="DXK612" s="17">
        <v>44925</v>
      </c>
      <c r="DXL612" s="5" t="s">
        <v>3728</v>
      </c>
      <c r="DXM612" s="17">
        <v>44925</v>
      </c>
      <c r="DXN612" s="5" t="s">
        <v>3728</v>
      </c>
      <c r="DXO612" s="17">
        <v>44925</v>
      </c>
      <c r="DXP612" s="5" t="s">
        <v>3728</v>
      </c>
      <c r="DXQ612" s="17">
        <v>44925</v>
      </c>
      <c r="DXR612" s="5" t="s">
        <v>3728</v>
      </c>
      <c r="DXS612" s="17">
        <v>44925</v>
      </c>
      <c r="DXT612" s="5" t="s">
        <v>3728</v>
      </c>
      <c r="DXU612" s="17">
        <v>44925</v>
      </c>
      <c r="DXV612" s="5" t="s">
        <v>3728</v>
      </c>
      <c r="DXW612" s="17">
        <v>44925</v>
      </c>
      <c r="DXX612" s="5" t="s">
        <v>3728</v>
      </c>
      <c r="DXY612" s="17">
        <v>44925</v>
      </c>
      <c r="DXZ612" s="5" t="s">
        <v>3728</v>
      </c>
      <c r="DYA612" s="17">
        <v>44925</v>
      </c>
      <c r="DYB612" s="5" t="s">
        <v>3728</v>
      </c>
      <c r="DYC612" s="17">
        <v>44925</v>
      </c>
      <c r="DYD612" s="5" t="s">
        <v>3728</v>
      </c>
      <c r="DYE612" s="17">
        <v>44925</v>
      </c>
      <c r="DYF612" s="5" t="s">
        <v>3728</v>
      </c>
      <c r="DYG612" s="17">
        <v>44925</v>
      </c>
      <c r="DYH612" s="5" t="s">
        <v>3728</v>
      </c>
      <c r="DYI612" s="17">
        <v>44925</v>
      </c>
      <c r="DYJ612" s="5" t="s">
        <v>3728</v>
      </c>
      <c r="DYK612" s="17">
        <v>44925</v>
      </c>
      <c r="DYL612" s="5" t="s">
        <v>3728</v>
      </c>
      <c r="DYM612" s="17">
        <v>44925</v>
      </c>
      <c r="DYN612" s="5" t="s">
        <v>3728</v>
      </c>
      <c r="DYO612" s="17">
        <v>44925</v>
      </c>
      <c r="DYP612" s="5" t="s">
        <v>3728</v>
      </c>
      <c r="DYQ612" s="17">
        <v>44925</v>
      </c>
      <c r="DYR612" s="5" t="s">
        <v>3728</v>
      </c>
      <c r="DYS612" s="17">
        <v>44925</v>
      </c>
      <c r="DYT612" s="5" t="s">
        <v>3728</v>
      </c>
      <c r="DYU612" s="17">
        <v>44925</v>
      </c>
      <c r="DYV612" s="5" t="s">
        <v>3728</v>
      </c>
      <c r="DYW612" s="17">
        <v>44925</v>
      </c>
      <c r="DYX612" s="5" t="s">
        <v>3728</v>
      </c>
      <c r="DYY612" s="17">
        <v>44925</v>
      </c>
      <c r="DYZ612" s="5" t="s">
        <v>3728</v>
      </c>
      <c r="DZA612" s="17">
        <v>44925</v>
      </c>
      <c r="DZB612" s="5" t="s">
        <v>3728</v>
      </c>
      <c r="DZC612" s="17">
        <v>44925</v>
      </c>
      <c r="DZD612" s="5" t="s">
        <v>3728</v>
      </c>
      <c r="DZE612" s="17">
        <v>44925</v>
      </c>
      <c r="DZF612" s="5" t="s">
        <v>3728</v>
      </c>
      <c r="DZG612" s="17">
        <v>44925</v>
      </c>
      <c r="DZH612" s="5" t="s">
        <v>3728</v>
      </c>
      <c r="DZI612" s="17">
        <v>44925</v>
      </c>
      <c r="DZJ612" s="5" t="s">
        <v>3728</v>
      </c>
      <c r="DZK612" s="17">
        <v>44925</v>
      </c>
      <c r="DZL612" s="5" t="s">
        <v>3728</v>
      </c>
      <c r="DZM612" s="17">
        <v>44925</v>
      </c>
      <c r="DZN612" s="5" t="s">
        <v>3728</v>
      </c>
      <c r="DZO612" s="17">
        <v>44925</v>
      </c>
      <c r="DZP612" s="5" t="s">
        <v>3728</v>
      </c>
      <c r="DZQ612" s="17">
        <v>44925</v>
      </c>
      <c r="DZR612" s="5" t="s">
        <v>3728</v>
      </c>
      <c r="DZS612" s="17">
        <v>44925</v>
      </c>
      <c r="DZT612" s="5" t="s">
        <v>3728</v>
      </c>
      <c r="DZU612" s="17">
        <v>44925</v>
      </c>
      <c r="DZV612" s="5" t="s">
        <v>3728</v>
      </c>
      <c r="DZW612" s="17">
        <v>44925</v>
      </c>
      <c r="DZX612" s="5" t="s">
        <v>3728</v>
      </c>
      <c r="DZY612" s="17">
        <v>44925</v>
      </c>
      <c r="DZZ612" s="5" t="s">
        <v>3728</v>
      </c>
      <c r="EAA612" s="17">
        <v>44925</v>
      </c>
      <c r="EAB612" s="5" t="s">
        <v>3728</v>
      </c>
      <c r="EAC612" s="17">
        <v>44925</v>
      </c>
      <c r="EAD612" s="5" t="s">
        <v>3728</v>
      </c>
      <c r="EAE612" s="17">
        <v>44925</v>
      </c>
      <c r="EAF612" s="5" t="s">
        <v>3728</v>
      </c>
      <c r="EAG612" s="17">
        <v>44925</v>
      </c>
      <c r="EAH612" s="5" t="s">
        <v>3728</v>
      </c>
      <c r="EAI612" s="17">
        <v>44925</v>
      </c>
      <c r="EAJ612" s="5" t="s">
        <v>3728</v>
      </c>
      <c r="EAK612" s="17">
        <v>44925</v>
      </c>
      <c r="EAL612" s="5" t="s">
        <v>3728</v>
      </c>
      <c r="EAM612" s="17">
        <v>44925</v>
      </c>
      <c r="EAN612" s="5" t="s">
        <v>3728</v>
      </c>
      <c r="EAO612" s="17">
        <v>44925</v>
      </c>
      <c r="EAP612" s="5" t="s">
        <v>3728</v>
      </c>
      <c r="EAQ612" s="17">
        <v>44925</v>
      </c>
      <c r="EAR612" s="5" t="s">
        <v>3728</v>
      </c>
      <c r="EAS612" s="17">
        <v>44925</v>
      </c>
      <c r="EAT612" s="5" t="s">
        <v>3728</v>
      </c>
      <c r="EAU612" s="17">
        <v>44925</v>
      </c>
      <c r="EAV612" s="5" t="s">
        <v>3728</v>
      </c>
      <c r="EAW612" s="17">
        <v>44925</v>
      </c>
      <c r="EAX612" s="5" t="s">
        <v>3728</v>
      </c>
      <c r="EAY612" s="17">
        <v>44925</v>
      </c>
      <c r="EAZ612" s="5" t="s">
        <v>3728</v>
      </c>
      <c r="EBA612" s="17">
        <v>44925</v>
      </c>
      <c r="EBB612" s="5" t="s">
        <v>3728</v>
      </c>
      <c r="EBC612" s="17">
        <v>44925</v>
      </c>
      <c r="EBD612" s="5" t="s">
        <v>3728</v>
      </c>
      <c r="EBE612" s="17">
        <v>44925</v>
      </c>
      <c r="EBF612" s="5" t="s">
        <v>3728</v>
      </c>
      <c r="EBG612" s="17">
        <v>44925</v>
      </c>
      <c r="EBH612" s="5" t="s">
        <v>3728</v>
      </c>
      <c r="EBI612" s="17">
        <v>44925</v>
      </c>
      <c r="EBJ612" s="5" t="s">
        <v>3728</v>
      </c>
      <c r="EBK612" s="17">
        <v>44925</v>
      </c>
      <c r="EBL612" s="5" t="s">
        <v>3728</v>
      </c>
      <c r="EBM612" s="17">
        <v>44925</v>
      </c>
      <c r="EBN612" s="5" t="s">
        <v>3728</v>
      </c>
      <c r="EBO612" s="17">
        <v>44925</v>
      </c>
      <c r="EBP612" s="5" t="s">
        <v>3728</v>
      </c>
      <c r="EBQ612" s="17">
        <v>44925</v>
      </c>
      <c r="EBR612" s="5" t="s">
        <v>3728</v>
      </c>
      <c r="EBS612" s="17">
        <v>44925</v>
      </c>
      <c r="EBT612" s="5" t="s">
        <v>3728</v>
      </c>
      <c r="EBU612" s="17">
        <v>44925</v>
      </c>
      <c r="EBV612" s="5" t="s">
        <v>3728</v>
      </c>
      <c r="EBW612" s="17">
        <v>44925</v>
      </c>
      <c r="EBX612" s="5" t="s">
        <v>3728</v>
      </c>
      <c r="EBY612" s="17">
        <v>44925</v>
      </c>
      <c r="EBZ612" s="5" t="s">
        <v>3728</v>
      </c>
      <c r="ECA612" s="17">
        <v>44925</v>
      </c>
      <c r="ECB612" s="5" t="s">
        <v>3728</v>
      </c>
      <c r="ECC612" s="17">
        <v>44925</v>
      </c>
      <c r="ECD612" s="5" t="s">
        <v>3728</v>
      </c>
      <c r="ECE612" s="17">
        <v>44925</v>
      </c>
      <c r="ECF612" s="5" t="s">
        <v>3728</v>
      </c>
      <c r="ECG612" s="17">
        <v>44925</v>
      </c>
      <c r="ECH612" s="5" t="s">
        <v>3728</v>
      </c>
      <c r="ECI612" s="17">
        <v>44925</v>
      </c>
      <c r="ECJ612" s="5" t="s">
        <v>3728</v>
      </c>
      <c r="ECK612" s="17">
        <v>44925</v>
      </c>
      <c r="ECL612" s="5" t="s">
        <v>3728</v>
      </c>
      <c r="ECM612" s="17">
        <v>44925</v>
      </c>
      <c r="ECN612" s="5" t="s">
        <v>3728</v>
      </c>
      <c r="ECO612" s="17">
        <v>44925</v>
      </c>
      <c r="ECP612" s="5" t="s">
        <v>3728</v>
      </c>
      <c r="ECQ612" s="17">
        <v>44925</v>
      </c>
      <c r="ECR612" s="5" t="s">
        <v>3728</v>
      </c>
      <c r="ECS612" s="17">
        <v>44925</v>
      </c>
      <c r="ECT612" s="5" t="s">
        <v>3728</v>
      </c>
      <c r="ECU612" s="17">
        <v>44925</v>
      </c>
      <c r="ECV612" s="5" t="s">
        <v>3728</v>
      </c>
      <c r="ECW612" s="17">
        <v>44925</v>
      </c>
      <c r="ECX612" s="5" t="s">
        <v>3728</v>
      </c>
      <c r="ECY612" s="17">
        <v>44925</v>
      </c>
      <c r="ECZ612" s="5" t="s">
        <v>3728</v>
      </c>
      <c r="EDA612" s="17">
        <v>44925</v>
      </c>
      <c r="EDB612" s="5" t="s">
        <v>3728</v>
      </c>
      <c r="EDC612" s="17">
        <v>44925</v>
      </c>
      <c r="EDD612" s="5" t="s">
        <v>3728</v>
      </c>
      <c r="EDE612" s="17">
        <v>44925</v>
      </c>
      <c r="EDF612" s="5" t="s">
        <v>3728</v>
      </c>
      <c r="EDG612" s="17">
        <v>44925</v>
      </c>
      <c r="EDH612" s="5" t="s">
        <v>3728</v>
      </c>
      <c r="EDI612" s="17">
        <v>44925</v>
      </c>
      <c r="EDJ612" s="5" t="s">
        <v>3728</v>
      </c>
      <c r="EDK612" s="17">
        <v>44925</v>
      </c>
      <c r="EDL612" s="5" t="s">
        <v>3728</v>
      </c>
      <c r="EDM612" s="17">
        <v>44925</v>
      </c>
      <c r="EDN612" s="5" t="s">
        <v>3728</v>
      </c>
      <c r="EDO612" s="17">
        <v>44925</v>
      </c>
      <c r="EDP612" s="5" t="s">
        <v>3728</v>
      </c>
      <c r="EDQ612" s="17">
        <v>44925</v>
      </c>
      <c r="EDR612" s="5" t="s">
        <v>3728</v>
      </c>
      <c r="EDS612" s="17">
        <v>44925</v>
      </c>
      <c r="EDT612" s="5" t="s">
        <v>3728</v>
      </c>
      <c r="EDU612" s="17">
        <v>44925</v>
      </c>
      <c r="EDV612" s="5" t="s">
        <v>3728</v>
      </c>
      <c r="EDW612" s="17">
        <v>44925</v>
      </c>
      <c r="EDX612" s="5" t="s">
        <v>3728</v>
      </c>
      <c r="EDY612" s="17">
        <v>44925</v>
      </c>
      <c r="EDZ612" s="5" t="s">
        <v>3728</v>
      </c>
      <c r="EEA612" s="17">
        <v>44925</v>
      </c>
      <c r="EEB612" s="5" t="s">
        <v>3728</v>
      </c>
      <c r="EEC612" s="17">
        <v>44925</v>
      </c>
      <c r="EED612" s="5" t="s">
        <v>3728</v>
      </c>
      <c r="EEE612" s="17">
        <v>44925</v>
      </c>
      <c r="EEF612" s="5" t="s">
        <v>3728</v>
      </c>
      <c r="EEG612" s="17">
        <v>44925</v>
      </c>
      <c r="EEH612" s="5" t="s">
        <v>3728</v>
      </c>
      <c r="EEI612" s="17">
        <v>44925</v>
      </c>
      <c r="EEJ612" s="5" t="s">
        <v>3728</v>
      </c>
      <c r="EEK612" s="17">
        <v>44925</v>
      </c>
      <c r="EEL612" s="5" t="s">
        <v>3728</v>
      </c>
      <c r="EEM612" s="17">
        <v>44925</v>
      </c>
      <c r="EEN612" s="5" t="s">
        <v>3728</v>
      </c>
      <c r="EEO612" s="17">
        <v>44925</v>
      </c>
      <c r="EEP612" s="5" t="s">
        <v>3728</v>
      </c>
      <c r="EEQ612" s="17">
        <v>44925</v>
      </c>
      <c r="EER612" s="5" t="s">
        <v>3728</v>
      </c>
      <c r="EES612" s="17">
        <v>44925</v>
      </c>
      <c r="EET612" s="5" t="s">
        <v>3728</v>
      </c>
      <c r="EEU612" s="17">
        <v>44925</v>
      </c>
      <c r="EEV612" s="5" t="s">
        <v>3728</v>
      </c>
      <c r="EEW612" s="17">
        <v>44925</v>
      </c>
      <c r="EEX612" s="5" t="s">
        <v>3728</v>
      </c>
      <c r="EEY612" s="17">
        <v>44925</v>
      </c>
      <c r="EEZ612" s="5" t="s">
        <v>3728</v>
      </c>
      <c r="EFA612" s="17">
        <v>44925</v>
      </c>
      <c r="EFB612" s="5" t="s">
        <v>3728</v>
      </c>
      <c r="EFC612" s="17">
        <v>44925</v>
      </c>
      <c r="EFD612" s="5" t="s">
        <v>3728</v>
      </c>
      <c r="EFE612" s="17">
        <v>44925</v>
      </c>
      <c r="EFF612" s="5" t="s">
        <v>3728</v>
      </c>
      <c r="EFG612" s="17">
        <v>44925</v>
      </c>
      <c r="EFH612" s="5" t="s">
        <v>3728</v>
      </c>
      <c r="EFI612" s="17">
        <v>44925</v>
      </c>
      <c r="EFJ612" s="5" t="s">
        <v>3728</v>
      </c>
      <c r="EFK612" s="17">
        <v>44925</v>
      </c>
      <c r="EFL612" s="5" t="s">
        <v>3728</v>
      </c>
      <c r="EFM612" s="17">
        <v>44925</v>
      </c>
      <c r="EFN612" s="5" t="s">
        <v>3728</v>
      </c>
      <c r="EFO612" s="17">
        <v>44925</v>
      </c>
      <c r="EFP612" s="5" t="s">
        <v>3728</v>
      </c>
      <c r="EFQ612" s="17">
        <v>44925</v>
      </c>
      <c r="EFR612" s="5" t="s">
        <v>3728</v>
      </c>
      <c r="EFS612" s="17">
        <v>44925</v>
      </c>
      <c r="EFT612" s="5" t="s">
        <v>3728</v>
      </c>
      <c r="EFU612" s="17">
        <v>44925</v>
      </c>
      <c r="EFV612" s="5" t="s">
        <v>3728</v>
      </c>
      <c r="EFW612" s="17">
        <v>44925</v>
      </c>
      <c r="EFX612" s="5" t="s">
        <v>3728</v>
      </c>
      <c r="EFY612" s="17">
        <v>44925</v>
      </c>
      <c r="EFZ612" s="5" t="s">
        <v>3728</v>
      </c>
      <c r="EGA612" s="17">
        <v>44925</v>
      </c>
      <c r="EGB612" s="5" t="s">
        <v>3728</v>
      </c>
      <c r="EGC612" s="17">
        <v>44925</v>
      </c>
      <c r="EGD612" s="5" t="s">
        <v>3728</v>
      </c>
      <c r="EGE612" s="17">
        <v>44925</v>
      </c>
      <c r="EGF612" s="5" t="s">
        <v>3728</v>
      </c>
      <c r="EGG612" s="17">
        <v>44925</v>
      </c>
      <c r="EGH612" s="5" t="s">
        <v>3728</v>
      </c>
      <c r="EGI612" s="17">
        <v>44925</v>
      </c>
      <c r="EGJ612" s="5" t="s">
        <v>3728</v>
      </c>
      <c r="EGK612" s="17">
        <v>44925</v>
      </c>
      <c r="EGL612" s="5" t="s">
        <v>3728</v>
      </c>
      <c r="EGM612" s="17">
        <v>44925</v>
      </c>
      <c r="EGN612" s="5" t="s">
        <v>3728</v>
      </c>
      <c r="EGO612" s="17">
        <v>44925</v>
      </c>
      <c r="EGP612" s="5" t="s">
        <v>3728</v>
      </c>
      <c r="EGQ612" s="17">
        <v>44925</v>
      </c>
      <c r="EGR612" s="5" t="s">
        <v>3728</v>
      </c>
      <c r="EGS612" s="17">
        <v>44925</v>
      </c>
      <c r="EGT612" s="5" t="s">
        <v>3728</v>
      </c>
      <c r="EGU612" s="17">
        <v>44925</v>
      </c>
      <c r="EGV612" s="5" t="s">
        <v>3728</v>
      </c>
      <c r="EGW612" s="17">
        <v>44925</v>
      </c>
      <c r="EGX612" s="5" t="s">
        <v>3728</v>
      </c>
      <c r="EGY612" s="17">
        <v>44925</v>
      </c>
      <c r="EGZ612" s="5" t="s">
        <v>3728</v>
      </c>
      <c r="EHA612" s="17">
        <v>44925</v>
      </c>
      <c r="EHB612" s="5" t="s">
        <v>3728</v>
      </c>
      <c r="EHC612" s="17">
        <v>44925</v>
      </c>
      <c r="EHD612" s="5" t="s">
        <v>3728</v>
      </c>
      <c r="EHE612" s="17">
        <v>44925</v>
      </c>
      <c r="EHF612" s="5" t="s">
        <v>3728</v>
      </c>
      <c r="EHG612" s="17">
        <v>44925</v>
      </c>
      <c r="EHH612" s="5" t="s">
        <v>3728</v>
      </c>
      <c r="EHI612" s="17">
        <v>44925</v>
      </c>
      <c r="EHJ612" s="5" t="s">
        <v>3728</v>
      </c>
      <c r="EHK612" s="17">
        <v>44925</v>
      </c>
      <c r="EHL612" s="5" t="s">
        <v>3728</v>
      </c>
      <c r="EHM612" s="17">
        <v>44925</v>
      </c>
      <c r="EHN612" s="5" t="s">
        <v>3728</v>
      </c>
      <c r="EHO612" s="17">
        <v>44925</v>
      </c>
      <c r="EHP612" s="5" t="s">
        <v>3728</v>
      </c>
      <c r="EHQ612" s="17">
        <v>44925</v>
      </c>
      <c r="EHR612" s="5" t="s">
        <v>3728</v>
      </c>
      <c r="EHS612" s="17">
        <v>44925</v>
      </c>
      <c r="EHT612" s="5" t="s">
        <v>3728</v>
      </c>
      <c r="EHU612" s="17">
        <v>44925</v>
      </c>
      <c r="EHV612" s="5" t="s">
        <v>3728</v>
      </c>
      <c r="EHW612" s="17">
        <v>44925</v>
      </c>
      <c r="EHX612" s="5" t="s">
        <v>3728</v>
      </c>
      <c r="EHY612" s="17">
        <v>44925</v>
      </c>
      <c r="EHZ612" s="5" t="s">
        <v>3728</v>
      </c>
      <c r="EIA612" s="17">
        <v>44925</v>
      </c>
      <c r="EIB612" s="5" t="s">
        <v>3728</v>
      </c>
      <c r="EIC612" s="17">
        <v>44925</v>
      </c>
      <c r="EID612" s="5" t="s">
        <v>3728</v>
      </c>
      <c r="EIE612" s="17">
        <v>44925</v>
      </c>
      <c r="EIF612" s="5" t="s">
        <v>3728</v>
      </c>
      <c r="EIG612" s="17">
        <v>44925</v>
      </c>
      <c r="EIH612" s="5" t="s">
        <v>3728</v>
      </c>
      <c r="EII612" s="17">
        <v>44925</v>
      </c>
      <c r="EIJ612" s="5" t="s">
        <v>3728</v>
      </c>
      <c r="EIK612" s="17">
        <v>44925</v>
      </c>
      <c r="EIL612" s="5" t="s">
        <v>3728</v>
      </c>
      <c r="EIM612" s="17">
        <v>44925</v>
      </c>
      <c r="EIN612" s="5" t="s">
        <v>3728</v>
      </c>
      <c r="EIO612" s="17">
        <v>44925</v>
      </c>
      <c r="EIP612" s="5" t="s">
        <v>3728</v>
      </c>
      <c r="EIQ612" s="17">
        <v>44925</v>
      </c>
      <c r="EIR612" s="5" t="s">
        <v>3728</v>
      </c>
      <c r="EIS612" s="17">
        <v>44925</v>
      </c>
      <c r="EIT612" s="5" t="s">
        <v>3728</v>
      </c>
      <c r="EIU612" s="17">
        <v>44925</v>
      </c>
      <c r="EIV612" s="5" t="s">
        <v>3728</v>
      </c>
      <c r="EIW612" s="17">
        <v>44925</v>
      </c>
      <c r="EIX612" s="5" t="s">
        <v>3728</v>
      </c>
      <c r="EIY612" s="17">
        <v>44925</v>
      </c>
      <c r="EIZ612" s="5" t="s">
        <v>3728</v>
      </c>
      <c r="EJA612" s="17">
        <v>44925</v>
      </c>
      <c r="EJB612" s="5" t="s">
        <v>3728</v>
      </c>
      <c r="EJC612" s="17">
        <v>44925</v>
      </c>
      <c r="EJD612" s="5" t="s">
        <v>3728</v>
      </c>
      <c r="EJE612" s="17">
        <v>44925</v>
      </c>
      <c r="EJF612" s="5" t="s">
        <v>3728</v>
      </c>
      <c r="EJG612" s="17">
        <v>44925</v>
      </c>
      <c r="EJH612" s="5" t="s">
        <v>3728</v>
      </c>
      <c r="EJI612" s="17">
        <v>44925</v>
      </c>
      <c r="EJJ612" s="5" t="s">
        <v>3728</v>
      </c>
      <c r="EJK612" s="17">
        <v>44925</v>
      </c>
      <c r="EJL612" s="5" t="s">
        <v>3728</v>
      </c>
      <c r="EJM612" s="17">
        <v>44925</v>
      </c>
      <c r="EJN612" s="5" t="s">
        <v>3728</v>
      </c>
      <c r="EJO612" s="17">
        <v>44925</v>
      </c>
      <c r="EJP612" s="5" t="s">
        <v>3728</v>
      </c>
      <c r="EJQ612" s="17">
        <v>44925</v>
      </c>
      <c r="EJR612" s="5" t="s">
        <v>3728</v>
      </c>
      <c r="EJS612" s="17">
        <v>44925</v>
      </c>
      <c r="EJT612" s="5" t="s">
        <v>3728</v>
      </c>
      <c r="EJU612" s="17">
        <v>44925</v>
      </c>
      <c r="EJV612" s="5" t="s">
        <v>3728</v>
      </c>
      <c r="EJW612" s="17">
        <v>44925</v>
      </c>
      <c r="EJX612" s="5" t="s">
        <v>3728</v>
      </c>
      <c r="EJY612" s="17">
        <v>44925</v>
      </c>
      <c r="EJZ612" s="5" t="s">
        <v>3728</v>
      </c>
      <c r="EKA612" s="17">
        <v>44925</v>
      </c>
      <c r="EKB612" s="5" t="s">
        <v>3728</v>
      </c>
      <c r="EKC612" s="17">
        <v>44925</v>
      </c>
      <c r="EKD612" s="5" t="s">
        <v>3728</v>
      </c>
      <c r="EKE612" s="17">
        <v>44925</v>
      </c>
      <c r="EKF612" s="5" t="s">
        <v>3728</v>
      </c>
      <c r="EKG612" s="17">
        <v>44925</v>
      </c>
      <c r="EKH612" s="5" t="s">
        <v>3728</v>
      </c>
      <c r="EKI612" s="17">
        <v>44925</v>
      </c>
      <c r="EKJ612" s="5" t="s">
        <v>3728</v>
      </c>
      <c r="EKK612" s="17">
        <v>44925</v>
      </c>
      <c r="EKL612" s="5" t="s">
        <v>3728</v>
      </c>
      <c r="EKM612" s="17">
        <v>44925</v>
      </c>
      <c r="EKN612" s="5" t="s">
        <v>3728</v>
      </c>
      <c r="EKO612" s="17">
        <v>44925</v>
      </c>
      <c r="EKP612" s="5" t="s">
        <v>3728</v>
      </c>
      <c r="EKQ612" s="17">
        <v>44925</v>
      </c>
      <c r="EKR612" s="5" t="s">
        <v>3728</v>
      </c>
      <c r="EKS612" s="17">
        <v>44925</v>
      </c>
      <c r="EKT612" s="5" t="s">
        <v>3728</v>
      </c>
      <c r="EKU612" s="17">
        <v>44925</v>
      </c>
      <c r="EKV612" s="5" t="s">
        <v>3728</v>
      </c>
      <c r="EKW612" s="17">
        <v>44925</v>
      </c>
      <c r="EKX612" s="5" t="s">
        <v>3728</v>
      </c>
      <c r="EKY612" s="17">
        <v>44925</v>
      </c>
      <c r="EKZ612" s="5" t="s">
        <v>3728</v>
      </c>
      <c r="ELA612" s="17">
        <v>44925</v>
      </c>
      <c r="ELB612" s="5" t="s">
        <v>3728</v>
      </c>
      <c r="ELC612" s="17">
        <v>44925</v>
      </c>
      <c r="ELD612" s="5" t="s">
        <v>3728</v>
      </c>
      <c r="ELE612" s="17">
        <v>44925</v>
      </c>
      <c r="ELF612" s="5" t="s">
        <v>3728</v>
      </c>
      <c r="ELG612" s="17">
        <v>44925</v>
      </c>
      <c r="ELH612" s="5" t="s">
        <v>3728</v>
      </c>
      <c r="ELI612" s="17">
        <v>44925</v>
      </c>
      <c r="ELJ612" s="5" t="s">
        <v>3728</v>
      </c>
      <c r="ELK612" s="17">
        <v>44925</v>
      </c>
      <c r="ELL612" s="5" t="s">
        <v>3728</v>
      </c>
      <c r="ELM612" s="17">
        <v>44925</v>
      </c>
      <c r="ELN612" s="5" t="s">
        <v>3728</v>
      </c>
      <c r="ELO612" s="17">
        <v>44925</v>
      </c>
      <c r="ELP612" s="5" t="s">
        <v>3728</v>
      </c>
      <c r="ELQ612" s="17">
        <v>44925</v>
      </c>
      <c r="ELR612" s="5" t="s">
        <v>3728</v>
      </c>
      <c r="ELS612" s="17">
        <v>44925</v>
      </c>
      <c r="ELT612" s="5" t="s">
        <v>3728</v>
      </c>
      <c r="ELU612" s="17">
        <v>44925</v>
      </c>
      <c r="ELV612" s="5" t="s">
        <v>3728</v>
      </c>
      <c r="ELW612" s="17">
        <v>44925</v>
      </c>
      <c r="ELX612" s="5" t="s">
        <v>3728</v>
      </c>
      <c r="ELY612" s="17">
        <v>44925</v>
      </c>
      <c r="ELZ612" s="5" t="s">
        <v>3728</v>
      </c>
      <c r="EMA612" s="17">
        <v>44925</v>
      </c>
      <c r="EMB612" s="5" t="s">
        <v>3728</v>
      </c>
      <c r="EMC612" s="17">
        <v>44925</v>
      </c>
      <c r="EMD612" s="5" t="s">
        <v>3728</v>
      </c>
      <c r="EME612" s="17">
        <v>44925</v>
      </c>
      <c r="EMF612" s="5" t="s">
        <v>3728</v>
      </c>
      <c r="EMG612" s="17">
        <v>44925</v>
      </c>
      <c r="EMH612" s="5" t="s">
        <v>3728</v>
      </c>
      <c r="EMI612" s="17">
        <v>44925</v>
      </c>
      <c r="EMJ612" s="5" t="s">
        <v>3728</v>
      </c>
      <c r="EMK612" s="17">
        <v>44925</v>
      </c>
      <c r="EML612" s="5" t="s">
        <v>3728</v>
      </c>
      <c r="EMM612" s="17">
        <v>44925</v>
      </c>
      <c r="EMN612" s="5" t="s">
        <v>3728</v>
      </c>
      <c r="EMO612" s="17">
        <v>44925</v>
      </c>
      <c r="EMP612" s="5" t="s">
        <v>3728</v>
      </c>
      <c r="EMQ612" s="17">
        <v>44925</v>
      </c>
      <c r="EMR612" s="5" t="s">
        <v>3728</v>
      </c>
      <c r="EMS612" s="17">
        <v>44925</v>
      </c>
      <c r="EMT612" s="5" t="s">
        <v>3728</v>
      </c>
      <c r="EMU612" s="17">
        <v>44925</v>
      </c>
      <c r="EMV612" s="5" t="s">
        <v>3728</v>
      </c>
      <c r="EMW612" s="17">
        <v>44925</v>
      </c>
      <c r="EMX612" s="5" t="s">
        <v>3728</v>
      </c>
      <c r="EMY612" s="17">
        <v>44925</v>
      </c>
      <c r="EMZ612" s="5" t="s">
        <v>3728</v>
      </c>
      <c r="ENA612" s="17">
        <v>44925</v>
      </c>
      <c r="ENB612" s="5" t="s">
        <v>3728</v>
      </c>
      <c r="ENC612" s="17">
        <v>44925</v>
      </c>
      <c r="END612" s="5" t="s">
        <v>3728</v>
      </c>
      <c r="ENE612" s="17">
        <v>44925</v>
      </c>
      <c r="ENF612" s="5" t="s">
        <v>3728</v>
      </c>
      <c r="ENG612" s="17">
        <v>44925</v>
      </c>
      <c r="ENH612" s="5" t="s">
        <v>3728</v>
      </c>
      <c r="ENI612" s="17">
        <v>44925</v>
      </c>
      <c r="ENJ612" s="5" t="s">
        <v>3728</v>
      </c>
      <c r="ENK612" s="17">
        <v>44925</v>
      </c>
      <c r="ENL612" s="5" t="s">
        <v>3728</v>
      </c>
      <c r="ENM612" s="17">
        <v>44925</v>
      </c>
      <c r="ENN612" s="5" t="s">
        <v>3728</v>
      </c>
      <c r="ENO612" s="17">
        <v>44925</v>
      </c>
      <c r="ENP612" s="5" t="s">
        <v>3728</v>
      </c>
      <c r="ENQ612" s="17">
        <v>44925</v>
      </c>
      <c r="ENR612" s="5" t="s">
        <v>3728</v>
      </c>
      <c r="ENS612" s="17">
        <v>44925</v>
      </c>
      <c r="ENT612" s="5" t="s">
        <v>3728</v>
      </c>
      <c r="ENU612" s="17">
        <v>44925</v>
      </c>
      <c r="ENV612" s="5" t="s">
        <v>3728</v>
      </c>
      <c r="ENW612" s="17">
        <v>44925</v>
      </c>
      <c r="ENX612" s="5" t="s">
        <v>3728</v>
      </c>
      <c r="ENY612" s="17">
        <v>44925</v>
      </c>
      <c r="ENZ612" s="5" t="s">
        <v>3728</v>
      </c>
      <c r="EOA612" s="17">
        <v>44925</v>
      </c>
      <c r="EOB612" s="5" t="s">
        <v>3728</v>
      </c>
      <c r="EOC612" s="17">
        <v>44925</v>
      </c>
      <c r="EOD612" s="5" t="s">
        <v>3728</v>
      </c>
      <c r="EOE612" s="17">
        <v>44925</v>
      </c>
      <c r="EOF612" s="5" t="s">
        <v>3728</v>
      </c>
      <c r="EOG612" s="17">
        <v>44925</v>
      </c>
      <c r="EOH612" s="5" t="s">
        <v>3728</v>
      </c>
      <c r="EOI612" s="17">
        <v>44925</v>
      </c>
      <c r="EOJ612" s="5" t="s">
        <v>3728</v>
      </c>
      <c r="EOK612" s="17">
        <v>44925</v>
      </c>
      <c r="EOL612" s="5" t="s">
        <v>3728</v>
      </c>
      <c r="EOM612" s="17">
        <v>44925</v>
      </c>
      <c r="EON612" s="5" t="s">
        <v>3728</v>
      </c>
      <c r="EOO612" s="17">
        <v>44925</v>
      </c>
      <c r="EOP612" s="5" t="s">
        <v>3728</v>
      </c>
      <c r="EOQ612" s="17">
        <v>44925</v>
      </c>
      <c r="EOR612" s="5" t="s">
        <v>3728</v>
      </c>
      <c r="EOS612" s="17">
        <v>44925</v>
      </c>
      <c r="EOT612" s="5" t="s">
        <v>3728</v>
      </c>
      <c r="EOU612" s="17">
        <v>44925</v>
      </c>
      <c r="EOV612" s="5" t="s">
        <v>3728</v>
      </c>
      <c r="EOW612" s="17">
        <v>44925</v>
      </c>
      <c r="EOX612" s="5" t="s">
        <v>3728</v>
      </c>
      <c r="EOY612" s="17">
        <v>44925</v>
      </c>
      <c r="EOZ612" s="5" t="s">
        <v>3728</v>
      </c>
      <c r="EPA612" s="17">
        <v>44925</v>
      </c>
      <c r="EPB612" s="5" t="s">
        <v>3728</v>
      </c>
      <c r="EPC612" s="17">
        <v>44925</v>
      </c>
      <c r="EPD612" s="5" t="s">
        <v>3728</v>
      </c>
      <c r="EPE612" s="17">
        <v>44925</v>
      </c>
      <c r="EPF612" s="5" t="s">
        <v>3728</v>
      </c>
      <c r="EPG612" s="17">
        <v>44925</v>
      </c>
      <c r="EPH612" s="5" t="s">
        <v>3728</v>
      </c>
      <c r="EPI612" s="17">
        <v>44925</v>
      </c>
      <c r="EPJ612" s="5" t="s">
        <v>3728</v>
      </c>
      <c r="EPK612" s="17">
        <v>44925</v>
      </c>
      <c r="EPL612" s="5" t="s">
        <v>3728</v>
      </c>
      <c r="EPM612" s="17">
        <v>44925</v>
      </c>
      <c r="EPN612" s="5" t="s">
        <v>3728</v>
      </c>
      <c r="EPO612" s="17">
        <v>44925</v>
      </c>
      <c r="EPP612" s="5" t="s">
        <v>3728</v>
      </c>
      <c r="EPQ612" s="17">
        <v>44925</v>
      </c>
      <c r="EPR612" s="5" t="s">
        <v>3728</v>
      </c>
      <c r="EPS612" s="17">
        <v>44925</v>
      </c>
      <c r="EPT612" s="5" t="s">
        <v>3728</v>
      </c>
      <c r="EPU612" s="17">
        <v>44925</v>
      </c>
      <c r="EPV612" s="5" t="s">
        <v>3728</v>
      </c>
      <c r="EPW612" s="17">
        <v>44925</v>
      </c>
      <c r="EPX612" s="5" t="s">
        <v>3728</v>
      </c>
      <c r="EPY612" s="17">
        <v>44925</v>
      </c>
      <c r="EPZ612" s="5" t="s">
        <v>3728</v>
      </c>
      <c r="EQA612" s="17">
        <v>44925</v>
      </c>
      <c r="EQB612" s="5" t="s">
        <v>3728</v>
      </c>
      <c r="EQC612" s="17">
        <v>44925</v>
      </c>
      <c r="EQD612" s="5" t="s">
        <v>3728</v>
      </c>
      <c r="EQE612" s="17">
        <v>44925</v>
      </c>
      <c r="EQF612" s="5" t="s">
        <v>3728</v>
      </c>
      <c r="EQG612" s="17">
        <v>44925</v>
      </c>
      <c r="EQH612" s="5" t="s">
        <v>3728</v>
      </c>
      <c r="EQI612" s="17">
        <v>44925</v>
      </c>
      <c r="EQJ612" s="5" t="s">
        <v>3728</v>
      </c>
      <c r="EQK612" s="17">
        <v>44925</v>
      </c>
      <c r="EQL612" s="5" t="s">
        <v>3728</v>
      </c>
      <c r="EQM612" s="17">
        <v>44925</v>
      </c>
      <c r="EQN612" s="5" t="s">
        <v>3728</v>
      </c>
      <c r="EQO612" s="17">
        <v>44925</v>
      </c>
      <c r="EQP612" s="5" t="s">
        <v>3728</v>
      </c>
      <c r="EQQ612" s="17">
        <v>44925</v>
      </c>
      <c r="EQR612" s="5" t="s">
        <v>3728</v>
      </c>
      <c r="EQS612" s="17">
        <v>44925</v>
      </c>
      <c r="EQT612" s="5" t="s">
        <v>3728</v>
      </c>
      <c r="EQU612" s="17">
        <v>44925</v>
      </c>
      <c r="EQV612" s="5" t="s">
        <v>3728</v>
      </c>
      <c r="EQW612" s="17">
        <v>44925</v>
      </c>
      <c r="EQX612" s="5" t="s">
        <v>3728</v>
      </c>
      <c r="EQY612" s="17">
        <v>44925</v>
      </c>
      <c r="EQZ612" s="5" t="s">
        <v>3728</v>
      </c>
      <c r="ERA612" s="17">
        <v>44925</v>
      </c>
      <c r="ERB612" s="5" t="s">
        <v>3728</v>
      </c>
      <c r="ERC612" s="17">
        <v>44925</v>
      </c>
      <c r="ERD612" s="5" t="s">
        <v>3728</v>
      </c>
      <c r="ERE612" s="17">
        <v>44925</v>
      </c>
      <c r="ERF612" s="5" t="s">
        <v>3728</v>
      </c>
      <c r="ERG612" s="17">
        <v>44925</v>
      </c>
      <c r="ERH612" s="5" t="s">
        <v>3728</v>
      </c>
      <c r="ERI612" s="17">
        <v>44925</v>
      </c>
      <c r="ERJ612" s="5" t="s">
        <v>3728</v>
      </c>
      <c r="ERK612" s="17">
        <v>44925</v>
      </c>
      <c r="ERL612" s="5" t="s">
        <v>3728</v>
      </c>
      <c r="ERM612" s="17">
        <v>44925</v>
      </c>
      <c r="ERN612" s="5" t="s">
        <v>3728</v>
      </c>
      <c r="ERO612" s="17">
        <v>44925</v>
      </c>
      <c r="ERP612" s="5" t="s">
        <v>3728</v>
      </c>
      <c r="ERQ612" s="17">
        <v>44925</v>
      </c>
      <c r="ERR612" s="5" t="s">
        <v>3728</v>
      </c>
      <c r="ERS612" s="17">
        <v>44925</v>
      </c>
      <c r="ERT612" s="5" t="s">
        <v>3728</v>
      </c>
      <c r="ERU612" s="17">
        <v>44925</v>
      </c>
      <c r="ERV612" s="5" t="s">
        <v>3728</v>
      </c>
      <c r="ERW612" s="17">
        <v>44925</v>
      </c>
      <c r="ERX612" s="5" t="s">
        <v>3728</v>
      </c>
      <c r="ERY612" s="17">
        <v>44925</v>
      </c>
      <c r="ERZ612" s="5" t="s">
        <v>3728</v>
      </c>
      <c r="ESA612" s="17">
        <v>44925</v>
      </c>
      <c r="ESB612" s="5" t="s">
        <v>3728</v>
      </c>
      <c r="ESC612" s="17">
        <v>44925</v>
      </c>
      <c r="ESD612" s="5" t="s">
        <v>3728</v>
      </c>
      <c r="ESE612" s="17">
        <v>44925</v>
      </c>
      <c r="ESF612" s="5" t="s">
        <v>3728</v>
      </c>
      <c r="ESG612" s="17">
        <v>44925</v>
      </c>
      <c r="ESH612" s="5" t="s">
        <v>3728</v>
      </c>
      <c r="ESI612" s="17">
        <v>44925</v>
      </c>
      <c r="ESJ612" s="5" t="s">
        <v>3728</v>
      </c>
      <c r="ESK612" s="17">
        <v>44925</v>
      </c>
      <c r="ESL612" s="5" t="s">
        <v>3728</v>
      </c>
      <c r="ESM612" s="17">
        <v>44925</v>
      </c>
      <c r="ESN612" s="5" t="s">
        <v>3728</v>
      </c>
      <c r="ESO612" s="17">
        <v>44925</v>
      </c>
      <c r="ESP612" s="5" t="s">
        <v>3728</v>
      </c>
      <c r="ESQ612" s="17">
        <v>44925</v>
      </c>
      <c r="ESR612" s="5" t="s">
        <v>3728</v>
      </c>
      <c r="ESS612" s="17">
        <v>44925</v>
      </c>
      <c r="EST612" s="5" t="s">
        <v>3728</v>
      </c>
      <c r="ESU612" s="17">
        <v>44925</v>
      </c>
      <c r="ESV612" s="5" t="s">
        <v>3728</v>
      </c>
      <c r="ESW612" s="17">
        <v>44925</v>
      </c>
      <c r="ESX612" s="5" t="s">
        <v>3728</v>
      </c>
      <c r="ESY612" s="17">
        <v>44925</v>
      </c>
      <c r="ESZ612" s="5" t="s">
        <v>3728</v>
      </c>
      <c r="ETA612" s="17">
        <v>44925</v>
      </c>
      <c r="ETB612" s="5" t="s">
        <v>3728</v>
      </c>
      <c r="ETC612" s="17">
        <v>44925</v>
      </c>
      <c r="ETD612" s="5" t="s">
        <v>3728</v>
      </c>
      <c r="ETE612" s="17">
        <v>44925</v>
      </c>
      <c r="ETF612" s="5" t="s">
        <v>3728</v>
      </c>
      <c r="ETG612" s="17">
        <v>44925</v>
      </c>
      <c r="ETH612" s="5" t="s">
        <v>3728</v>
      </c>
      <c r="ETI612" s="17">
        <v>44925</v>
      </c>
      <c r="ETJ612" s="5" t="s">
        <v>3728</v>
      </c>
      <c r="ETK612" s="17">
        <v>44925</v>
      </c>
      <c r="ETL612" s="5" t="s">
        <v>3728</v>
      </c>
      <c r="ETM612" s="17">
        <v>44925</v>
      </c>
      <c r="ETN612" s="5" t="s">
        <v>3728</v>
      </c>
      <c r="ETO612" s="17">
        <v>44925</v>
      </c>
      <c r="ETP612" s="5" t="s">
        <v>3728</v>
      </c>
      <c r="ETQ612" s="17">
        <v>44925</v>
      </c>
      <c r="ETR612" s="5" t="s">
        <v>3728</v>
      </c>
      <c r="ETS612" s="17">
        <v>44925</v>
      </c>
      <c r="ETT612" s="5" t="s">
        <v>3728</v>
      </c>
      <c r="ETU612" s="17">
        <v>44925</v>
      </c>
      <c r="ETV612" s="5" t="s">
        <v>3728</v>
      </c>
      <c r="ETW612" s="17">
        <v>44925</v>
      </c>
      <c r="ETX612" s="5" t="s">
        <v>3728</v>
      </c>
      <c r="ETY612" s="17">
        <v>44925</v>
      </c>
      <c r="ETZ612" s="5" t="s">
        <v>3728</v>
      </c>
      <c r="EUA612" s="17">
        <v>44925</v>
      </c>
      <c r="EUB612" s="5" t="s">
        <v>3728</v>
      </c>
      <c r="EUC612" s="17">
        <v>44925</v>
      </c>
      <c r="EUD612" s="5" t="s">
        <v>3728</v>
      </c>
      <c r="EUE612" s="17">
        <v>44925</v>
      </c>
      <c r="EUF612" s="5" t="s">
        <v>3728</v>
      </c>
      <c r="EUG612" s="17">
        <v>44925</v>
      </c>
      <c r="EUH612" s="5" t="s">
        <v>3728</v>
      </c>
      <c r="EUI612" s="17">
        <v>44925</v>
      </c>
      <c r="EUJ612" s="5" t="s">
        <v>3728</v>
      </c>
      <c r="EUK612" s="17">
        <v>44925</v>
      </c>
      <c r="EUL612" s="5" t="s">
        <v>3728</v>
      </c>
      <c r="EUM612" s="17">
        <v>44925</v>
      </c>
      <c r="EUN612" s="5" t="s">
        <v>3728</v>
      </c>
      <c r="EUO612" s="17">
        <v>44925</v>
      </c>
      <c r="EUP612" s="5" t="s">
        <v>3728</v>
      </c>
      <c r="EUQ612" s="17">
        <v>44925</v>
      </c>
      <c r="EUR612" s="5" t="s">
        <v>3728</v>
      </c>
      <c r="EUS612" s="17">
        <v>44925</v>
      </c>
      <c r="EUT612" s="5" t="s">
        <v>3728</v>
      </c>
      <c r="EUU612" s="17">
        <v>44925</v>
      </c>
      <c r="EUV612" s="5" t="s">
        <v>3728</v>
      </c>
      <c r="EUW612" s="17">
        <v>44925</v>
      </c>
      <c r="EUX612" s="5" t="s">
        <v>3728</v>
      </c>
      <c r="EUY612" s="17">
        <v>44925</v>
      </c>
      <c r="EUZ612" s="5" t="s">
        <v>3728</v>
      </c>
      <c r="EVA612" s="17">
        <v>44925</v>
      </c>
      <c r="EVB612" s="5" t="s">
        <v>3728</v>
      </c>
      <c r="EVC612" s="17">
        <v>44925</v>
      </c>
      <c r="EVD612" s="5" t="s">
        <v>3728</v>
      </c>
      <c r="EVE612" s="17">
        <v>44925</v>
      </c>
      <c r="EVF612" s="5" t="s">
        <v>3728</v>
      </c>
      <c r="EVG612" s="17">
        <v>44925</v>
      </c>
      <c r="EVH612" s="5" t="s">
        <v>3728</v>
      </c>
      <c r="EVI612" s="17">
        <v>44925</v>
      </c>
      <c r="EVJ612" s="5" t="s">
        <v>3728</v>
      </c>
      <c r="EVK612" s="17">
        <v>44925</v>
      </c>
      <c r="EVL612" s="5" t="s">
        <v>3728</v>
      </c>
      <c r="EVM612" s="17">
        <v>44925</v>
      </c>
      <c r="EVN612" s="5" t="s">
        <v>3728</v>
      </c>
      <c r="EVO612" s="17">
        <v>44925</v>
      </c>
      <c r="EVP612" s="5" t="s">
        <v>3728</v>
      </c>
      <c r="EVQ612" s="17">
        <v>44925</v>
      </c>
      <c r="EVR612" s="5" t="s">
        <v>3728</v>
      </c>
      <c r="EVS612" s="17">
        <v>44925</v>
      </c>
      <c r="EVT612" s="5" t="s">
        <v>3728</v>
      </c>
      <c r="EVU612" s="17">
        <v>44925</v>
      </c>
      <c r="EVV612" s="5" t="s">
        <v>3728</v>
      </c>
      <c r="EVW612" s="17">
        <v>44925</v>
      </c>
      <c r="EVX612" s="5" t="s">
        <v>3728</v>
      </c>
      <c r="EVY612" s="17">
        <v>44925</v>
      </c>
      <c r="EVZ612" s="5" t="s">
        <v>3728</v>
      </c>
      <c r="EWA612" s="17">
        <v>44925</v>
      </c>
      <c r="EWB612" s="5" t="s">
        <v>3728</v>
      </c>
      <c r="EWC612" s="17">
        <v>44925</v>
      </c>
      <c r="EWD612" s="5" t="s">
        <v>3728</v>
      </c>
      <c r="EWE612" s="17">
        <v>44925</v>
      </c>
      <c r="EWF612" s="5" t="s">
        <v>3728</v>
      </c>
      <c r="EWG612" s="17">
        <v>44925</v>
      </c>
      <c r="EWH612" s="5" t="s">
        <v>3728</v>
      </c>
      <c r="EWI612" s="17">
        <v>44925</v>
      </c>
      <c r="EWJ612" s="5" t="s">
        <v>3728</v>
      </c>
      <c r="EWK612" s="17">
        <v>44925</v>
      </c>
      <c r="EWL612" s="5" t="s">
        <v>3728</v>
      </c>
      <c r="EWM612" s="17">
        <v>44925</v>
      </c>
      <c r="EWN612" s="5" t="s">
        <v>3728</v>
      </c>
      <c r="EWO612" s="17">
        <v>44925</v>
      </c>
      <c r="EWP612" s="5" t="s">
        <v>3728</v>
      </c>
      <c r="EWQ612" s="17">
        <v>44925</v>
      </c>
      <c r="EWR612" s="5" t="s">
        <v>3728</v>
      </c>
      <c r="EWS612" s="17">
        <v>44925</v>
      </c>
      <c r="EWT612" s="5" t="s">
        <v>3728</v>
      </c>
      <c r="EWU612" s="17">
        <v>44925</v>
      </c>
      <c r="EWV612" s="5" t="s">
        <v>3728</v>
      </c>
      <c r="EWW612" s="17">
        <v>44925</v>
      </c>
      <c r="EWX612" s="5" t="s">
        <v>3728</v>
      </c>
      <c r="EWY612" s="17">
        <v>44925</v>
      </c>
      <c r="EWZ612" s="5" t="s">
        <v>3728</v>
      </c>
      <c r="EXA612" s="17">
        <v>44925</v>
      </c>
      <c r="EXB612" s="5" t="s">
        <v>3728</v>
      </c>
      <c r="EXC612" s="17">
        <v>44925</v>
      </c>
      <c r="EXD612" s="5" t="s">
        <v>3728</v>
      </c>
      <c r="EXE612" s="17">
        <v>44925</v>
      </c>
      <c r="EXF612" s="5" t="s">
        <v>3728</v>
      </c>
      <c r="EXG612" s="17">
        <v>44925</v>
      </c>
      <c r="EXH612" s="5" t="s">
        <v>3728</v>
      </c>
      <c r="EXI612" s="17">
        <v>44925</v>
      </c>
      <c r="EXJ612" s="5" t="s">
        <v>3728</v>
      </c>
      <c r="EXK612" s="17">
        <v>44925</v>
      </c>
      <c r="EXL612" s="5" t="s">
        <v>3728</v>
      </c>
      <c r="EXM612" s="17">
        <v>44925</v>
      </c>
      <c r="EXN612" s="5" t="s">
        <v>3728</v>
      </c>
      <c r="EXO612" s="17">
        <v>44925</v>
      </c>
      <c r="EXP612" s="5" t="s">
        <v>3728</v>
      </c>
      <c r="EXQ612" s="17">
        <v>44925</v>
      </c>
      <c r="EXR612" s="5" t="s">
        <v>3728</v>
      </c>
      <c r="EXS612" s="17">
        <v>44925</v>
      </c>
      <c r="EXT612" s="5" t="s">
        <v>3728</v>
      </c>
      <c r="EXU612" s="17">
        <v>44925</v>
      </c>
      <c r="EXV612" s="5" t="s">
        <v>3728</v>
      </c>
      <c r="EXW612" s="17">
        <v>44925</v>
      </c>
      <c r="EXX612" s="5" t="s">
        <v>3728</v>
      </c>
      <c r="EXY612" s="17">
        <v>44925</v>
      </c>
      <c r="EXZ612" s="5" t="s">
        <v>3728</v>
      </c>
      <c r="EYA612" s="17">
        <v>44925</v>
      </c>
      <c r="EYB612" s="5" t="s">
        <v>3728</v>
      </c>
      <c r="EYC612" s="17">
        <v>44925</v>
      </c>
      <c r="EYD612" s="5" t="s">
        <v>3728</v>
      </c>
      <c r="EYE612" s="17">
        <v>44925</v>
      </c>
      <c r="EYF612" s="5" t="s">
        <v>3728</v>
      </c>
      <c r="EYG612" s="17">
        <v>44925</v>
      </c>
      <c r="EYH612" s="5" t="s">
        <v>3728</v>
      </c>
      <c r="EYI612" s="17">
        <v>44925</v>
      </c>
      <c r="EYJ612" s="5" t="s">
        <v>3728</v>
      </c>
      <c r="EYK612" s="17">
        <v>44925</v>
      </c>
      <c r="EYL612" s="5" t="s">
        <v>3728</v>
      </c>
      <c r="EYM612" s="17">
        <v>44925</v>
      </c>
      <c r="EYN612" s="5" t="s">
        <v>3728</v>
      </c>
      <c r="EYO612" s="17">
        <v>44925</v>
      </c>
      <c r="EYP612" s="5" t="s">
        <v>3728</v>
      </c>
      <c r="EYQ612" s="17">
        <v>44925</v>
      </c>
      <c r="EYR612" s="5" t="s">
        <v>3728</v>
      </c>
      <c r="EYS612" s="17">
        <v>44925</v>
      </c>
      <c r="EYT612" s="5" t="s">
        <v>3728</v>
      </c>
      <c r="EYU612" s="17">
        <v>44925</v>
      </c>
      <c r="EYV612" s="5" t="s">
        <v>3728</v>
      </c>
      <c r="EYW612" s="17">
        <v>44925</v>
      </c>
      <c r="EYX612" s="5" t="s">
        <v>3728</v>
      </c>
      <c r="EYY612" s="17">
        <v>44925</v>
      </c>
      <c r="EYZ612" s="5" t="s">
        <v>3728</v>
      </c>
      <c r="EZA612" s="17">
        <v>44925</v>
      </c>
      <c r="EZB612" s="5" t="s">
        <v>3728</v>
      </c>
      <c r="EZC612" s="17">
        <v>44925</v>
      </c>
      <c r="EZD612" s="5" t="s">
        <v>3728</v>
      </c>
      <c r="EZE612" s="17">
        <v>44925</v>
      </c>
      <c r="EZF612" s="5" t="s">
        <v>3728</v>
      </c>
      <c r="EZG612" s="17">
        <v>44925</v>
      </c>
      <c r="EZH612" s="5" t="s">
        <v>3728</v>
      </c>
      <c r="EZI612" s="17">
        <v>44925</v>
      </c>
      <c r="EZJ612" s="5" t="s">
        <v>3728</v>
      </c>
      <c r="EZK612" s="17">
        <v>44925</v>
      </c>
      <c r="EZL612" s="5" t="s">
        <v>3728</v>
      </c>
      <c r="EZM612" s="17">
        <v>44925</v>
      </c>
      <c r="EZN612" s="5" t="s">
        <v>3728</v>
      </c>
      <c r="EZO612" s="17">
        <v>44925</v>
      </c>
      <c r="EZP612" s="5" t="s">
        <v>3728</v>
      </c>
      <c r="EZQ612" s="17">
        <v>44925</v>
      </c>
      <c r="EZR612" s="5" t="s">
        <v>3728</v>
      </c>
      <c r="EZS612" s="17">
        <v>44925</v>
      </c>
      <c r="EZT612" s="5" t="s">
        <v>3728</v>
      </c>
      <c r="EZU612" s="17">
        <v>44925</v>
      </c>
      <c r="EZV612" s="5" t="s">
        <v>3728</v>
      </c>
      <c r="EZW612" s="17">
        <v>44925</v>
      </c>
      <c r="EZX612" s="5" t="s">
        <v>3728</v>
      </c>
      <c r="EZY612" s="17">
        <v>44925</v>
      </c>
      <c r="EZZ612" s="5" t="s">
        <v>3728</v>
      </c>
      <c r="FAA612" s="17">
        <v>44925</v>
      </c>
      <c r="FAB612" s="5" t="s">
        <v>3728</v>
      </c>
      <c r="FAC612" s="17">
        <v>44925</v>
      </c>
      <c r="FAD612" s="5" t="s">
        <v>3728</v>
      </c>
      <c r="FAE612" s="17">
        <v>44925</v>
      </c>
      <c r="FAF612" s="5" t="s">
        <v>3728</v>
      </c>
      <c r="FAG612" s="17">
        <v>44925</v>
      </c>
      <c r="FAH612" s="5" t="s">
        <v>3728</v>
      </c>
      <c r="FAI612" s="17">
        <v>44925</v>
      </c>
      <c r="FAJ612" s="5" t="s">
        <v>3728</v>
      </c>
      <c r="FAK612" s="17">
        <v>44925</v>
      </c>
      <c r="FAL612" s="5" t="s">
        <v>3728</v>
      </c>
      <c r="FAM612" s="17">
        <v>44925</v>
      </c>
      <c r="FAN612" s="5" t="s">
        <v>3728</v>
      </c>
      <c r="FAO612" s="17">
        <v>44925</v>
      </c>
      <c r="FAP612" s="5" t="s">
        <v>3728</v>
      </c>
      <c r="FAQ612" s="17">
        <v>44925</v>
      </c>
      <c r="FAR612" s="5" t="s">
        <v>3728</v>
      </c>
      <c r="FAS612" s="17">
        <v>44925</v>
      </c>
      <c r="FAT612" s="5" t="s">
        <v>3728</v>
      </c>
      <c r="FAU612" s="17">
        <v>44925</v>
      </c>
      <c r="FAV612" s="5" t="s">
        <v>3728</v>
      </c>
      <c r="FAW612" s="17">
        <v>44925</v>
      </c>
      <c r="FAX612" s="5" t="s">
        <v>3728</v>
      </c>
      <c r="FAY612" s="17">
        <v>44925</v>
      </c>
      <c r="FAZ612" s="5" t="s">
        <v>3728</v>
      </c>
      <c r="FBA612" s="17">
        <v>44925</v>
      </c>
      <c r="FBB612" s="5" t="s">
        <v>3728</v>
      </c>
      <c r="FBC612" s="17">
        <v>44925</v>
      </c>
      <c r="FBD612" s="5" t="s">
        <v>3728</v>
      </c>
      <c r="FBE612" s="17">
        <v>44925</v>
      </c>
      <c r="FBF612" s="5" t="s">
        <v>3728</v>
      </c>
      <c r="FBG612" s="17">
        <v>44925</v>
      </c>
      <c r="FBH612" s="5" t="s">
        <v>3728</v>
      </c>
      <c r="FBI612" s="17">
        <v>44925</v>
      </c>
      <c r="FBJ612" s="5" t="s">
        <v>3728</v>
      </c>
      <c r="FBK612" s="17">
        <v>44925</v>
      </c>
      <c r="FBL612" s="5" t="s">
        <v>3728</v>
      </c>
      <c r="FBM612" s="17">
        <v>44925</v>
      </c>
      <c r="FBN612" s="5" t="s">
        <v>3728</v>
      </c>
      <c r="FBO612" s="17">
        <v>44925</v>
      </c>
      <c r="FBP612" s="5" t="s">
        <v>3728</v>
      </c>
      <c r="FBQ612" s="17">
        <v>44925</v>
      </c>
      <c r="FBR612" s="5" t="s">
        <v>3728</v>
      </c>
      <c r="FBS612" s="17">
        <v>44925</v>
      </c>
      <c r="FBT612" s="5" t="s">
        <v>3728</v>
      </c>
      <c r="FBU612" s="17">
        <v>44925</v>
      </c>
      <c r="FBV612" s="5" t="s">
        <v>3728</v>
      </c>
      <c r="FBW612" s="17">
        <v>44925</v>
      </c>
      <c r="FBX612" s="5" t="s">
        <v>3728</v>
      </c>
      <c r="FBY612" s="17">
        <v>44925</v>
      </c>
      <c r="FBZ612" s="5" t="s">
        <v>3728</v>
      </c>
      <c r="FCA612" s="17">
        <v>44925</v>
      </c>
      <c r="FCB612" s="5" t="s">
        <v>3728</v>
      </c>
      <c r="FCC612" s="17">
        <v>44925</v>
      </c>
      <c r="FCD612" s="5" t="s">
        <v>3728</v>
      </c>
      <c r="FCE612" s="17">
        <v>44925</v>
      </c>
      <c r="FCF612" s="5" t="s">
        <v>3728</v>
      </c>
      <c r="FCG612" s="17">
        <v>44925</v>
      </c>
      <c r="FCH612" s="5" t="s">
        <v>3728</v>
      </c>
      <c r="FCI612" s="17">
        <v>44925</v>
      </c>
      <c r="FCJ612" s="5" t="s">
        <v>3728</v>
      </c>
      <c r="FCK612" s="17">
        <v>44925</v>
      </c>
      <c r="FCL612" s="5" t="s">
        <v>3728</v>
      </c>
      <c r="FCM612" s="17">
        <v>44925</v>
      </c>
      <c r="FCN612" s="5" t="s">
        <v>3728</v>
      </c>
      <c r="FCO612" s="17">
        <v>44925</v>
      </c>
      <c r="FCP612" s="5" t="s">
        <v>3728</v>
      </c>
      <c r="FCQ612" s="17">
        <v>44925</v>
      </c>
      <c r="FCR612" s="5" t="s">
        <v>3728</v>
      </c>
      <c r="FCS612" s="17">
        <v>44925</v>
      </c>
      <c r="FCT612" s="5" t="s">
        <v>3728</v>
      </c>
      <c r="FCU612" s="17">
        <v>44925</v>
      </c>
      <c r="FCV612" s="5" t="s">
        <v>3728</v>
      </c>
      <c r="FCW612" s="17">
        <v>44925</v>
      </c>
      <c r="FCX612" s="5" t="s">
        <v>3728</v>
      </c>
      <c r="FCY612" s="17">
        <v>44925</v>
      </c>
      <c r="FCZ612" s="5" t="s">
        <v>3728</v>
      </c>
      <c r="FDA612" s="17">
        <v>44925</v>
      </c>
      <c r="FDB612" s="5" t="s">
        <v>3728</v>
      </c>
      <c r="FDC612" s="17">
        <v>44925</v>
      </c>
      <c r="FDD612" s="5" t="s">
        <v>3728</v>
      </c>
      <c r="FDE612" s="17">
        <v>44925</v>
      </c>
      <c r="FDF612" s="5" t="s">
        <v>3728</v>
      </c>
      <c r="FDG612" s="17">
        <v>44925</v>
      </c>
      <c r="FDH612" s="5" t="s">
        <v>3728</v>
      </c>
      <c r="FDI612" s="17">
        <v>44925</v>
      </c>
      <c r="FDJ612" s="5" t="s">
        <v>3728</v>
      </c>
      <c r="FDK612" s="17">
        <v>44925</v>
      </c>
      <c r="FDL612" s="5" t="s">
        <v>3728</v>
      </c>
      <c r="FDM612" s="17">
        <v>44925</v>
      </c>
      <c r="FDN612" s="5" t="s">
        <v>3728</v>
      </c>
      <c r="FDO612" s="17">
        <v>44925</v>
      </c>
      <c r="FDP612" s="5" t="s">
        <v>3728</v>
      </c>
      <c r="FDQ612" s="17">
        <v>44925</v>
      </c>
      <c r="FDR612" s="5" t="s">
        <v>3728</v>
      </c>
      <c r="FDS612" s="17">
        <v>44925</v>
      </c>
      <c r="FDT612" s="5" t="s">
        <v>3728</v>
      </c>
      <c r="FDU612" s="17">
        <v>44925</v>
      </c>
      <c r="FDV612" s="5" t="s">
        <v>3728</v>
      </c>
      <c r="FDW612" s="17">
        <v>44925</v>
      </c>
      <c r="FDX612" s="5" t="s">
        <v>3728</v>
      </c>
      <c r="FDY612" s="17">
        <v>44925</v>
      </c>
      <c r="FDZ612" s="5" t="s">
        <v>3728</v>
      </c>
      <c r="FEA612" s="17">
        <v>44925</v>
      </c>
      <c r="FEB612" s="5" t="s">
        <v>3728</v>
      </c>
      <c r="FEC612" s="17">
        <v>44925</v>
      </c>
      <c r="FED612" s="5" t="s">
        <v>3728</v>
      </c>
      <c r="FEE612" s="17">
        <v>44925</v>
      </c>
      <c r="FEF612" s="5" t="s">
        <v>3728</v>
      </c>
      <c r="FEG612" s="17">
        <v>44925</v>
      </c>
      <c r="FEH612" s="5" t="s">
        <v>3728</v>
      </c>
      <c r="FEI612" s="17">
        <v>44925</v>
      </c>
      <c r="FEJ612" s="5" t="s">
        <v>3728</v>
      </c>
      <c r="FEK612" s="17">
        <v>44925</v>
      </c>
      <c r="FEL612" s="5" t="s">
        <v>3728</v>
      </c>
      <c r="FEM612" s="17">
        <v>44925</v>
      </c>
      <c r="FEN612" s="5" t="s">
        <v>3728</v>
      </c>
      <c r="FEO612" s="17">
        <v>44925</v>
      </c>
      <c r="FEP612" s="5" t="s">
        <v>3728</v>
      </c>
      <c r="FEQ612" s="17">
        <v>44925</v>
      </c>
      <c r="FER612" s="5" t="s">
        <v>3728</v>
      </c>
      <c r="FES612" s="17">
        <v>44925</v>
      </c>
      <c r="FET612" s="5" t="s">
        <v>3728</v>
      </c>
      <c r="FEU612" s="17">
        <v>44925</v>
      </c>
      <c r="FEV612" s="5" t="s">
        <v>3728</v>
      </c>
      <c r="FEW612" s="17">
        <v>44925</v>
      </c>
      <c r="FEX612" s="5" t="s">
        <v>3728</v>
      </c>
      <c r="FEY612" s="17">
        <v>44925</v>
      </c>
      <c r="FEZ612" s="5" t="s">
        <v>3728</v>
      </c>
      <c r="FFA612" s="17">
        <v>44925</v>
      </c>
      <c r="FFB612" s="5" t="s">
        <v>3728</v>
      </c>
      <c r="FFC612" s="17">
        <v>44925</v>
      </c>
      <c r="FFD612" s="5" t="s">
        <v>3728</v>
      </c>
      <c r="FFE612" s="17">
        <v>44925</v>
      </c>
      <c r="FFF612" s="5" t="s">
        <v>3728</v>
      </c>
      <c r="FFG612" s="17">
        <v>44925</v>
      </c>
      <c r="FFH612" s="5" t="s">
        <v>3728</v>
      </c>
      <c r="FFI612" s="17">
        <v>44925</v>
      </c>
      <c r="FFJ612" s="5" t="s">
        <v>3728</v>
      </c>
      <c r="FFK612" s="17">
        <v>44925</v>
      </c>
      <c r="FFL612" s="5" t="s">
        <v>3728</v>
      </c>
      <c r="FFM612" s="17">
        <v>44925</v>
      </c>
      <c r="FFN612" s="5" t="s">
        <v>3728</v>
      </c>
      <c r="FFO612" s="17">
        <v>44925</v>
      </c>
      <c r="FFP612" s="5" t="s">
        <v>3728</v>
      </c>
      <c r="FFQ612" s="17">
        <v>44925</v>
      </c>
      <c r="FFR612" s="5" t="s">
        <v>3728</v>
      </c>
      <c r="FFS612" s="17">
        <v>44925</v>
      </c>
      <c r="FFT612" s="5" t="s">
        <v>3728</v>
      </c>
      <c r="FFU612" s="17">
        <v>44925</v>
      </c>
      <c r="FFV612" s="5" t="s">
        <v>3728</v>
      </c>
      <c r="FFW612" s="17">
        <v>44925</v>
      </c>
      <c r="FFX612" s="5" t="s">
        <v>3728</v>
      </c>
      <c r="FFY612" s="17">
        <v>44925</v>
      </c>
      <c r="FFZ612" s="5" t="s">
        <v>3728</v>
      </c>
      <c r="FGA612" s="17">
        <v>44925</v>
      </c>
      <c r="FGB612" s="5" t="s">
        <v>3728</v>
      </c>
      <c r="FGC612" s="17">
        <v>44925</v>
      </c>
      <c r="FGD612" s="5" t="s">
        <v>3728</v>
      </c>
      <c r="FGE612" s="17">
        <v>44925</v>
      </c>
      <c r="FGF612" s="5" t="s">
        <v>3728</v>
      </c>
      <c r="FGG612" s="17">
        <v>44925</v>
      </c>
      <c r="FGH612" s="5" t="s">
        <v>3728</v>
      </c>
      <c r="FGI612" s="17">
        <v>44925</v>
      </c>
      <c r="FGJ612" s="5" t="s">
        <v>3728</v>
      </c>
      <c r="FGK612" s="17">
        <v>44925</v>
      </c>
      <c r="FGL612" s="5" t="s">
        <v>3728</v>
      </c>
      <c r="FGM612" s="17">
        <v>44925</v>
      </c>
      <c r="FGN612" s="5" t="s">
        <v>3728</v>
      </c>
      <c r="FGO612" s="17">
        <v>44925</v>
      </c>
      <c r="FGP612" s="5" t="s">
        <v>3728</v>
      </c>
      <c r="FGQ612" s="17">
        <v>44925</v>
      </c>
      <c r="FGR612" s="5" t="s">
        <v>3728</v>
      </c>
      <c r="FGS612" s="17">
        <v>44925</v>
      </c>
      <c r="FGT612" s="5" t="s">
        <v>3728</v>
      </c>
      <c r="FGU612" s="17">
        <v>44925</v>
      </c>
      <c r="FGV612" s="5" t="s">
        <v>3728</v>
      </c>
      <c r="FGW612" s="17">
        <v>44925</v>
      </c>
      <c r="FGX612" s="5" t="s">
        <v>3728</v>
      </c>
      <c r="FGY612" s="17">
        <v>44925</v>
      </c>
      <c r="FGZ612" s="5" t="s">
        <v>3728</v>
      </c>
      <c r="FHA612" s="17">
        <v>44925</v>
      </c>
      <c r="FHB612" s="5" t="s">
        <v>3728</v>
      </c>
      <c r="FHC612" s="17">
        <v>44925</v>
      </c>
      <c r="FHD612" s="5" t="s">
        <v>3728</v>
      </c>
      <c r="FHE612" s="17">
        <v>44925</v>
      </c>
      <c r="FHF612" s="5" t="s">
        <v>3728</v>
      </c>
      <c r="FHG612" s="17">
        <v>44925</v>
      </c>
      <c r="FHH612" s="5" t="s">
        <v>3728</v>
      </c>
      <c r="FHI612" s="17">
        <v>44925</v>
      </c>
      <c r="FHJ612" s="5" t="s">
        <v>3728</v>
      </c>
      <c r="FHK612" s="17">
        <v>44925</v>
      </c>
      <c r="FHL612" s="5" t="s">
        <v>3728</v>
      </c>
      <c r="FHM612" s="17">
        <v>44925</v>
      </c>
      <c r="FHN612" s="5" t="s">
        <v>3728</v>
      </c>
      <c r="FHO612" s="17">
        <v>44925</v>
      </c>
      <c r="FHP612" s="5" t="s">
        <v>3728</v>
      </c>
      <c r="FHQ612" s="17">
        <v>44925</v>
      </c>
      <c r="FHR612" s="5" t="s">
        <v>3728</v>
      </c>
      <c r="FHS612" s="17">
        <v>44925</v>
      </c>
      <c r="FHT612" s="5" t="s">
        <v>3728</v>
      </c>
      <c r="FHU612" s="17">
        <v>44925</v>
      </c>
      <c r="FHV612" s="5" t="s">
        <v>3728</v>
      </c>
      <c r="FHW612" s="17">
        <v>44925</v>
      </c>
      <c r="FHX612" s="5" t="s">
        <v>3728</v>
      </c>
      <c r="FHY612" s="17">
        <v>44925</v>
      </c>
      <c r="FHZ612" s="5" t="s">
        <v>3728</v>
      </c>
      <c r="FIA612" s="17">
        <v>44925</v>
      </c>
      <c r="FIB612" s="5" t="s">
        <v>3728</v>
      </c>
      <c r="FIC612" s="17">
        <v>44925</v>
      </c>
      <c r="FID612" s="5" t="s">
        <v>3728</v>
      </c>
      <c r="FIE612" s="17">
        <v>44925</v>
      </c>
      <c r="FIF612" s="5" t="s">
        <v>3728</v>
      </c>
      <c r="FIG612" s="17">
        <v>44925</v>
      </c>
      <c r="FIH612" s="5" t="s">
        <v>3728</v>
      </c>
      <c r="FII612" s="17">
        <v>44925</v>
      </c>
      <c r="FIJ612" s="5" t="s">
        <v>3728</v>
      </c>
      <c r="FIK612" s="17">
        <v>44925</v>
      </c>
      <c r="FIL612" s="5" t="s">
        <v>3728</v>
      </c>
      <c r="FIM612" s="17">
        <v>44925</v>
      </c>
      <c r="FIN612" s="5" t="s">
        <v>3728</v>
      </c>
      <c r="FIO612" s="17">
        <v>44925</v>
      </c>
      <c r="FIP612" s="5" t="s">
        <v>3728</v>
      </c>
      <c r="FIQ612" s="17">
        <v>44925</v>
      </c>
      <c r="FIR612" s="5" t="s">
        <v>3728</v>
      </c>
      <c r="FIS612" s="17">
        <v>44925</v>
      </c>
      <c r="FIT612" s="5" t="s">
        <v>3728</v>
      </c>
      <c r="FIU612" s="17">
        <v>44925</v>
      </c>
      <c r="FIV612" s="5" t="s">
        <v>3728</v>
      </c>
      <c r="FIW612" s="17">
        <v>44925</v>
      </c>
      <c r="FIX612" s="5" t="s">
        <v>3728</v>
      </c>
      <c r="FIY612" s="17">
        <v>44925</v>
      </c>
      <c r="FIZ612" s="5" t="s">
        <v>3728</v>
      </c>
      <c r="FJA612" s="17">
        <v>44925</v>
      </c>
      <c r="FJB612" s="5" t="s">
        <v>3728</v>
      </c>
      <c r="FJC612" s="17">
        <v>44925</v>
      </c>
      <c r="FJD612" s="5" t="s">
        <v>3728</v>
      </c>
      <c r="FJE612" s="17">
        <v>44925</v>
      </c>
      <c r="FJF612" s="5" t="s">
        <v>3728</v>
      </c>
      <c r="FJG612" s="17">
        <v>44925</v>
      </c>
      <c r="FJH612" s="5" t="s">
        <v>3728</v>
      </c>
      <c r="FJI612" s="17">
        <v>44925</v>
      </c>
      <c r="FJJ612" s="5" t="s">
        <v>3728</v>
      </c>
      <c r="FJK612" s="17">
        <v>44925</v>
      </c>
      <c r="FJL612" s="5" t="s">
        <v>3728</v>
      </c>
      <c r="FJM612" s="17">
        <v>44925</v>
      </c>
      <c r="FJN612" s="5" t="s">
        <v>3728</v>
      </c>
      <c r="FJO612" s="17">
        <v>44925</v>
      </c>
      <c r="FJP612" s="5" t="s">
        <v>3728</v>
      </c>
      <c r="FJQ612" s="17">
        <v>44925</v>
      </c>
      <c r="FJR612" s="5" t="s">
        <v>3728</v>
      </c>
      <c r="FJS612" s="17">
        <v>44925</v>
      </c>
      <c r="FJT612" s="5" t="s">
        <v>3728</v>
      </c>
      <c r="FJU612" s="17">
        <v>44925</v>
      </c>
      <c r="FJV612" s="5" t="s">
        <v>3728</v>
      </c>
      <c r="FJW612" s="17">
        <v>44925</v>
      </c>
      <c r="FJX612" s="5" t="s">
        <v>3728</v>
      </c>
      <c r="FJY612" s="17">
        <v>44925</v>
      </c>
      <c r="FJZ612" s="5" t="s">
        <v>3728</v>
      </c>
      <c r="FKA612" s="17">
        <v>44925</v>
      </c>
      <c r="FKB612" s="5" t="s">
        <v>3728</v>
      </c>
      <c r="FKC612" s="17">
        <v>44925</v>
      </c>
      <c r="FKD612" s="5" t="s">
        <v>3728</v>
      </c>
      <c r="FKE612" s="17">
        <v>44925</v>
      </c>
      <c r="FKF612" s="5" t="s">
        <v>3728</v>
      </c>
      <c r="FKG612" s="17">
        <v>44925</v>
      </c>
      <c r="FKH612" s="5" t="s">
        <v>3728</v>
      </c>
      <c r="FKI612" s="17">
        <v>44925</v>
      </c>
      <c r="FKJ612" s="5" t="s">
        <v>3728</v>
      </c>
      <c r="FKK612" s="17">
        <v>44925</v>
      </c>
      <c r="FKL612" s="5" t="s">
        <v>3728</v>
      </c>
      <c r="FKM612" s="17">
        <v>44925</v>
      </c>
      <c r="FKN612" s="5" t="s">
        <v>3728</v>
      </c>
      <c r="FKO612" s="17">
        <v>44925</v>
      </c>
      <c r="FKP612" s="5" t="s">
        <v>3728</v>
      </c>
      <c r="FKQ612" s="17">
        <v>44925</v>
      </c>
      <c r="FKR612" s="5" t="s">
        <v>3728</v>
      </c>
      <c r="FKS612" s="17">
        <v>44925</v>
      </c>
      <c r="FKT612" s="5" t="s">
        <v>3728</v>
      </c>
      <c r="FKU612" s="17">
        <v>44925</v>
      </c>
      <c r="FKV612" s="5" t="s">
        <v>3728</v>
      </c>
      <c r="FKW612" s="17">
        <v>44925</v>
      </c>
      <c r="FKX612" s="5" t="s">
        <v>3728</v>
      </c>
      <c r="FKY612" s="17">
        <v>44925</v>
      </c>
      <c r="FKZ612" s="5" t="s">
        <v>3728</v>
      </c>
      <c r="FLA612" s="17">
        <v>44925</v>
      </c>
      <c r="FLB612" s="5" t="s">
        <v>3728</v>
      </c>
      <c r="FLC612" s="17">
        <v>44925</v>
      </c>
      <c r="FLD612" s="5" t="s">
        <v>3728</v>
      </c>
      <c r="FLE612" s="17">
        <v>44925</v>
      </c>
      <c r="FLF612" s="5" t="s">
        <v>3728</v>
      </c>
      <c r="FLG612" s="17">
        <v>44925</v>
      </c>
      <c r="FLH612" s="5" t="s">
        <v>3728</v>
      </c>
      <c r="FLI612" s="17">
        <v>44925</v>
      </c>
      <c r="FLJ612" s="5" t="s">
        <v>3728</v>
      </c>
      <c r="FLK612" s="17">
        <v>44925</v>
      </c>
      <c r="FLL612" s="5" t="s">
        <v>3728</v>
      </c>
      <c r="FLM612" s="17">
        <v>44925</v>
      </c>
      <c r="FLN612" s="5" t="s">
        <v>3728</v>
      </c>
      <c r="FLO612" s="17">
        <v>44925</v>
      </c>
      <c r="FLP612" s="5" t="s">
        <v>3728</v>
      </c>
      <c r="FLQ612" s="17">
        <v>44925</v>
      </c>
      <c r="FLR612" s="5" t="s">
        <v>3728</v>
      </c>
      <c r="FLS612" s="17">
        <v>44925</v>
      </c>
      <c r="FLT612" s="5" t="s">
        <v>3728</v>
      </c>
      <c r="FLU612" s="17">
        <v>44925</v>
      </c>
      <c r="FLV612" s="5" t="s">
        <v>3728</v>
      </c>
      <c r="FLW612" s="17">
        <v>44925</v>
      </c>
      <c r="FLX612" s="5" t="s">
        <v>3728</v>
      </c>
      <c r="FLY612" s="17">
        <v>44925</v>
      </c>
      <c r="FLZ612" s="5" t="s">
        <v>3728</v>
      </c>
      <c r="FMA612" s="17">
        <v>44925</v>
      </c>
      <c r="FMB612" s="5" t="s">
        <v>3728</v>
      </c>
      <c r="FMC612" s="17">
        <v>44925</v>
      </c>
      <c r="FMD612" s="5" t="s">
        <v>3728</v>
      </c>
      <c r="FME612" s="17">
        <v>44925</v>
      </c>
      <c r="FMF612" s="5" t="s">
        <v>3728</v>
      </c>
      <c r="FMG612" s="17">
        <v>44925</v>
      </c>
      <c r="FMH612" s="5" t="s">
        <v>3728</v>
      </c>
      <c r="FMI612" s="17">
        <v>44925</v>
      </c>
      <c r="FMJ612" s="5" t="s">
        <v>3728</v>
      </c>
      <c r="FMK612" s="17">
        <v>44925</v>
      </c>
      <c r="FML612" s="5" t="s">
        <v>3728</v>
      </c>
      <c r="FMM612" s="17">
        <v>44925</v>
      </c>
      <c r="FMN612" s="5" t="s">
        <v>3728</v>
      </c>
      <c r="FMO612" s="17">
        <v>44925</v>
      </c>
      <c r="FMP612" s="5" t="s">
        <v>3728</v>
      </c>
      <c r="FMQ612" s="17">
        <v>44925</v>
      </c>
      <c r="FMR612" s="5" t="s">
        <v>3728</v>
      </c>
      <c r="FMS612" s="17">
        <v>44925</v>
      </c>
      <c r="FMT612" s="5" t="s">
        <v>3728</v>
      </c>
      <c r="FMU612" s="17">
        <v>44925</v>
      </c>
      <c r="FMV612" s="5" t="s">
        <v>3728</v>
      </c>
      <c r="FMW612" s="17">
        <v>44925</v>
      </c>
      <c r="FMX612" s="5" t="s">
        <v>3728</v>
      </c>
      <c r="FMY612" s="17">
        <v>44925</v>
      </c>
      <c r="FMZ612" s="5" t="s">
        <v>3728</v>
      </c>
      <c r="FNA612" s="17">
        <v>44925</v>
      </c>
      <c r="FNB612" s="5" t="s">
        <v>3728</v>
      </c>
      <c r="FNC612" s="17">
        <v>44925</v>
      </c>
      <c r="FND612" s="5" t="s">
        <v>3728</v>
      </c>
      <c r="FNE612" s="17">
        <v>44925</v>
      </c>
      <c r="FNF612" s="5" t="s">
        <v>3728</v>
      </c>
      <c r="FNG612" s="17">
        <v>44925</v>
      </c>
      <c r="FNH612" s="5" t="s">
        <v>3728</v>
      </c>
      <c r="FNI612" s="17">
        <v>44925</v>
      </c>
      <c r="FNJ612" s="5" t="s">
        <v>3728</v>
      </c>
      <c r="FNK612" s="17">
        <v>44925</v>
      </c>
      <c r="FNL612" s="5" t="s">
        <v>3728</v>
      </c>
      <c r="FNM612" s="17">
        <v>44925</v>
      </c>
      <c r="FNN612" s="5" t="s">
        <v>3728</v>
      </c>
      <c r="FNO612" s="17">
        <v>44925</v>
      </c>
      <c r="FNP612" s="5" t="s">
        <v>3728</v>
      </c>
      <c r="FNQ612" s="17">
        <v>44925</v>
      </c>
      <c r="FNR612" s="5" t="s">
        <v>3728</v>
      </c>
      <c r="FNS612" s="17">
        <v>44925</v>
      </c>
      <c r="FNT612" s="5" t="s">
        <v>3728</v>
      </c>
      <c r="FNU612" s="17">
        <v>44925</v>
      </c>
      <c r="FNV612" s="5" t="s">
        <v>3728</v>
      </c>
      <c r="FNW612" s="17">
        <v>44925</v>
      </c>
      <c r="FNX612" s="5" t="s">
        <v>3728</v>
      </c>
      <c r="FNY612" s="17">
        <v>44925</v>
      </c>
      <c r="FNZ612" s="5" t="s">
        <v>3728</v>
      </c>
      <c r="FOA612" s="17">
        <v>44925</v>
      </c>
      <c r="FOB612" s="5" t="s">
        <v>3728</v>
      </c>
      <c r="FOC612" s="17">
        <v>44925</v>
      </c>
      <c r="FOD612" s="5" t="s">
        <v>3728</v>
      </c>
      <c r="FOE612" s="17">
        <v>44925</v>
      </c>
      <c r="FOF612" s="5" t="s">
        <v>3728</v>
      </c>
      <c r="FOG612" s="17">
        <v>44925</v>
      </c>
      <c r="FOH612" s="5" t="s">
        <v>3728</v>
      </c>
      <c r="FOI612" s="17">
        <v>44925</v>
      </c>
      <c r="FOJ612" s="5" t="s">
        <v>3728</v>
      </c>
      <c r="FOK612" s="17">
        <v>44925</v>
      </c>
      <c r="FOL612" s="5" t="s">
        <v>3728</v>
      </c>
      <c r="FOM612" s="17">
        <v>44925</v>
      </c>
      <c r="FON612" s="5" t="s">
        <v>3728</v>
      </c>
      <c r="FOO612" s="17">
        <v>44925</v>
      </c>
      <c r="FOP612" s="5" t="s">
        <v>3728</v>
      </c>
      <c r="FOQ612" s="17">
        <v>44925</v>
      </c>
      <c r="FOR612" s="5" t="s">
        <v>3728</v>
      </c>
      <c r="FOS612" s="17">
        <v>44925</v>
      </c>
      <c r="FOT612" s="5" t="s">
        <v>3728</v>
      </c>
      <c r="FOU612" s="17">
        <v>44925</v>
      </c>
      <c r="FOV612" s="5" t="s">
        <v>3728</v>
      </c>
      <c r="FOW612" s="17">
        <v>44925</v>
      </c>
      <c r="FOX612" s="5" t="s">
        <v>3728</v>
      </c>
      <c r="FOY612" s="17">
        <v>44925</v>
      </c>
      <c r="FOZ612" s="5" t="s">
        <v>3728</v>
      </c>
      <c r="FPA612" s="17">
        <v>44925</v>
      </c>
      <c r="FPB612" s="5" t="s">
        <v>3728</v>
      </c>
      <c r="FPC612" s="17">
        <v>44925</v>
      </c>
      <c r="FPD612" s="5" t="s">
        <v>3728</v>
      </c>
      <c r="FPE612" s="17">
        <v>44925</v>
      </c>
      <c r="FPF612" s="5" t="s">
        <v>3728</v>
      </c>
      <c r="FPG612" s="17">
        <v>44925</v>
      </c>
      <c r="FPH612" s="5" t="s">
        <v>3728</v>
      </c>
      <c r="FPI612" s="17">
        <v>44925</v>
      </c>
      <c r="FPJ612" s="5" t="s">
        <v>3728</v>
      </c>
      <c r="FPK612" s="17">
        <v>44925</v>
      </c>
      <c r="FPL612" s="5" t="s">
        <v>3728</v>
      </c>
      <c r="FPM612" s="17">
        <v>44925</v>
      </c>
      <c r="FPN612" s="5" t="s">
        <v>3728</v>
      </c>
      <c r="FPO612" s="17">
        <v>44925</v>
      </c>
      <c r="FPP612" s="5" t="s">
        <v>3728</v>
      </c>
      <c r="FPQ612" s="17">
        <v>44925</v>
      </c>
      <c r="FPR612" s="5" t="s">
        <v>3728</v>
      </c>
      <c r="FPS612" s="17">
        <v>44925</v>
      </c>
      <c r="FPT612" s="5" t="s">
        <v>3728</v>
      </c>
      <c r="FPU612" s="17">
        <v>44925</v>
      </c>
      <c r="FPV612" s="5" t="s">
        <v>3728</v>
      </c>
      <c r="FPW612" s="17">
        <v>44925</v>
      </c>
      <c r="FPX612" s="5" t="s">
        <v>3728</v>
      </c>
      <c r="FPY612" s="17">
        <v>44925</v>
      </c>
      <c r="FPZ612" s="5" t="s">
        <v>3728</v>
      </c>
      <c r="FQA612" s="17">
        <v>44925</v>
      </c>
      <c r="FQB612" s="5" t="s">
        <v>3728</v>
      </c>
      <c r="FQC612" s="17">
        <v>44925</v>
      </c>
      <c r="FQD612" s="5" t="s">
        <v>3728</v>
      </c>
      <c r="FQE612" s="17">
        <v>44925</v>
      </c>
      <c r="FQF612" s="5" t="s">
        <v>3728</v>
      </c>
      <c r="FQG612" s="17">
        <v>44925</v>
      </c>
      <c r="FQH612" s="5" t="s">
        <v>3728</v>
      </c>
      <c r="FQI612" s="17">
        <v>44925</v>
      </c>
      <c r="FQJ612" s="5" t="s">
        <v>3728</v>
      </c>
      <c r="FQK612" s="17">
        <v>44925</v>
      </c>
      <c r="FQL612" s="5" t="s">
        <v>3728</v>
      </c>
      <c r="FQM612" s="17">
        <v>44925</v>
      </c>
      <c r="FQN612" s="5" t="s">
        <v>3728</v>
      </c>
      <c r="FQO612" s="17">
        <v>44925</v>
      </c>
      <c r="FQP612" s="5" t="s">
        <v>3728</v>
      </c>
      <c r="FQQ612" s="17">
        <v>44925</v>
      </c>
      <c r="FQR612" s="5" t="s">
        <v>3728</v>
      </c>
      <c r="FQS612" s="17">
        <v>44925</v>
      </c>
      <c r="FQT612" s="5" t="s">
        <v>3728</v>
      </c>
      <c r="FQU612" s="17">
        <v>44925</v>
      </c>
      <c r="FQV612" s="5" t="s">
        <v>3728</v>
      </c>
      <c r="FQW612" s="17">
        <v>44925</v>
      </c>
      <c r="FQX612" s="5" t="s">
        <v>3728</v>
      </c>
      <c r="FQY612" s="17">
        <v>44925</v>
      </c>
      <c r="FQZ612" s="5" t="s">
        <v>3728</v>
      </c>
      <c r="FRA612" s="17">
        <v>44925</v>
      </c>
      <c r="FRB612" s="5" t="s">
        <v>3728</v>
      </c>
      <c r="FRC612" s="17">
        <v>44925</v>
      </c>
      <c r="FRD612" s="5" t="s">
        <v>3728</v>
      </c>
      <c r="FRE612" s="17">
        <v>44925</v>
      </c>
      <c r="FRF612" s="5" t="s">
        <v>3728</v>
      </c>
      <c r="FRG612" s="17">
        <v>44925</v>
      </c>
      <c r="FRH612" s="5" t="s">
        <v>3728</v>
      </c>
      <c r="FRI612" s="17">
        <v>44925</v>
      </c>
      <c r="FRJ612" s="5" t="s">
        <v>3728</v>
      </c>
      <c r="FRK612" s="17">
        <v>44925</v>
      </c>
      <c r="FRL612" s="5" t="s">
        <v>3728</v>
      </c>
      <c r="FRM612" s="17">
        <v>44925</v>
      </c>
      <c r="FRN612" s="5" t="s">
        <v>3728</v>
      </c>
      <c r="FRO612" s="17">
        <v>44925</v>
      </c>
      <c r="FRP612" s="5" t="s">
        <v>3728</v>
      </c>
      <c r="FRQ612" s="17">
        <v>44925</v>
      </c>
      <c r="FRR612" s="5" t="s">
        <v>3728</v>
      </c>
      <c r="FRS612" s="17">
        <v>44925</v>
      </c>
      <c r="FRT612" s="5" t="s">
        <v>3728</v>
      </c>
      <c r="FRU612" s="17">
        <v>44925</v>
      </c>
      <c r="FRV612" s="5" t="s">
        <v>3728</v>
      </c>
      <c r="FRW612" s="17">
        <v>44925</v>
      </c>
      <c r="FRX612" s="5" t="s">
        <v>3728</v>
      </c>
      <c r="FRY612" s="17">
        <v>44925</v>
      </c>
      <c r="FRZ612" s="5" t="s">
        <v>3728</v>
      </c>
      <c r="FSA612" s="17">
        <v>44925</v>
      </c>
      <c r="FSB612" s="5" t="s">
        <v>3728</v>
      </c>
      <c r="FSC612" s="17">
        <v>44925</v>
      </c>
      <c r="FSD612" s="5" t="s">
        <v>3728</v>
      </c>
      <c r="FSE612" s="17">
        <v>44925</v>
      </c>
      <c r="FSF612" s="5" t="s">
        <v>3728</v>
      </c>
      <c r="FSG612" s="17">
        <v>44925</v>
      </c>
      <c r="FSH612" s="5" t="s">
        <v>3728</v>
      </c>
      <c r="FSI612" s="17">
        <v>44925</v>
      </c>
      <c r="FSJ612" s="5" t="s">
        <v>3728</v>
      </c>
      <c r="FSK612" s="17">
        <v>44925</v>
      </c>
      <c r="FSL612" s="5" t="s">
        <v>3728</v>
      </c>
      <c r="FSM612" s="17">
        <v>44925</v>
      </c>
      <c r="FSN612" s="5" t="s">
        <v>3728</v>
      </c>
      <c r="FSO612" s="17">
        <v>44925</v>
      </c>
      <c r="FSP612" s="5" t="s">
        <v>3728</v>
      </c>
      <c r="FSQ612" s="17">
        <v>44925</v>
      </c>
      <c r="FSR612" s="5" t="s">
        <v>3728</v>
      </c>
      <c r="FSS612" s="17">
        <v>44925</v>
      </c>
      <c r="FST612" s="5" t="s">
        <v>3728</v>
      </c>
      <c r="FSU612" s="17">
        <v>44925</v>
      </c>
      <c r="FSV612" s="5" t="s">
        <v>3728</v>
      </c>
      <c r="FSW612" s="17">
        <v>44925</v>
      </c>
      <c r="FSX612" s="5" t="s">
        <v>3728</v>
      </c>
      <c r="FSY612" s="17">
        <v>44925</v>
      </c>
      <c r="FSZ612" s="5" t="s">
        <v>3728</v>
      </c>
      <c r="FTA612" s="17">
        <v>44925</v>
      </c>
      <c r="FTB612" s="5" t="s">
        <v>3728</v>
      </c>
      <c r="FTC612" s="17">
        <v>44925</v>
      </c>
      <c r="FTD612" s="5" t="s">
        <v>3728</v>
      </c>
      <c r="FTE612" s="17">
        <v>44925</v>
      </c>
      <c r="FTF612" s="5" t="s">
        <v>3728</v>
      </c>
      <c r="FTG612" s="17">
        <v>44925</v>
      </c>
      <c r="FTH612" s="5" t="s">
        <v>3728</v>
      </c>
      <c r="FTI612" s="17">
        <v>44925</v>
      </c>
      <c r="FTJ612" s="5" t="s">
        <v>3728</v>
      </c>
      <c r="FTK612" s="17">
        <v>44925</v>
      </c>
      <c r="FTL612" s="5" t="s">
        <v>3728</v>
      </c>
      <c r="FTM612" s="17">
        <v>44925</v>
      </c>
      <c r="FTN612" s="5" t="s">
        <v>3728</v>
      </c>
      <c r="FTO612" s="17">
        <v>44925</v>
      </c>
      <c r="FTP612" s="5" t="s">
        <v>3728</v>
      </c>
      <c r="FTQ612" s="17">
        <v>44925</v>
      </c>
      <c r="FTR612" s="5" t="s">
        <v>3728</v>
      </c>
      <c r="FTS612" s="17">
        <v>44925</v>
      </c>
      <c r="FTT612" s="5" t="s">
        <v>3728</v>
      </c>
      <c r="FTU612" s="17">
        <v>44925</v>
      </c>
      <c r="FTV612" s="5" t="s">
        <v>3728</v>
      </c>
      <c r="FTW612" s="17">
        <v>44925</v>
      </c>
      <c r="FTX612" s="5" t="s">
        <v>3728</v>
      </c>
      <c r="FTY612" s="17">
        <v>44925</v>
      </c>
      <c r="FTZ612" s="5" t="s">
        <v>3728</v>
      </c>
      <c r="FUA612" s="17">
        <v>44925</v>
      </c>
      <c r="FUB612" s="5" t="s">
        <v>3728</v>
      </c>
      <c r="FUC612" s="17">
        <v>44925</v>
      </c>
      <c r="FUD612" s="5" t="s">
        <v>3728</v>
      </c>
      <c r="FUE612" s="17">
        <v>44925</v>
      </c>
      <c r="FUF612" s="5" t="s">
        <v>3728</v>
      </c>
      <c r="FUG612" s="17">
        <v>44925</v>
      </c>
      <c r="FUH612" s="5" t="s">
        <v>3728</v>
      </c>
      <c r="FUI612" s="17">
        <v>44925</v>
      </c>
      <c r="FUJ612" s="5" t="s">
        <v>3728</v>
      </c>
      <c r="FUK612" s="17">
        <v>44925</v>
      </c>
      <c r="FUL612" s="5" t="s">
        <v>3728</v>
      </c>
      <c r="FUM612" s="17">
        <v>44925</v>
      </c>
      <c r="FUN612" s="5" t="s">
        <v>3728</v>
      </c>
      <c r="FUO612" s="17">
        <v>44925</v>
      </c>
      <c r="FUP612" s="5" t="s">
        <v>3728</v>
      </c>
      <c r="FUQ612" s="17">
        <v>44925</v>
      </c>
      <c r="FUR612" s="5" t="s">
        <v>3728</v>
      </c>
      <c r="FUS612" s="17">
        <v>44925</v>
      </c>
      <c r="FUT612" s="5" t="s">
        <v>3728</v>
      </c>
      <c r="FUU612" s="17">
        <v>44925</v>
      </c>
      <c r="FUV612" s="5" t="s">
        <v>3728</v>
      </c>
      <c r="FUW612" s="17">
        <v>44925</v>
      </c>
      <c r="FUX612" s="5" t="s">
        <v>3728</v>
      </c>
      <c r="FUY612" s="17">
        <v>44925</v>
      </c>
      <c r="FUZ612" s="5" t="s">
        <v>3728</v>
      </c>
      <c r="FVA612" s="17">
        <v>44925</v>
      </c>
      <c r="FVB612" s="5" t="s">
        <v>3728</v>
      </c>
      <c r="FVC612" s="17">
        <v>44925</v>
      </c>
      <c r="FVD612" s="5" t="s">
        <v>3728</v>
      </c>
      <c r="FVE612" s="17">
        <v>44925</v>
      </c>
      <c r="FVF612" s="5" t="s">
        <v>3728</v>
      </c>
      <c r="FVG612" s="17">
        <v>44925</v>
      </c>
      <c r="FVH612" s="5" t="s">
        <v>3728</v>
      </c>
      <c r="FVI612" s="17">
        <v>44925</v>
      </c>
      <c r="FVJ612" s="5" t="s">
        <v>3728</v>
      </c>
      <c r="FVK612" s="17">
        <v>44925</v>
      </c>
      <c r="FVL612" s="5" t="s">
        <v>3728</v>
      </c>
      <c r="FVM612" s="17">
        <v>44925</v>
      </c>
      <c r="FVN612" s="5" t="s">
        <v>3728</v>
      </c>
      <c r="FVO612" s="17">
        <v>44925</v>
      </c>
      <c r="FVP612" s="5" t="s">
        <v>3728</v>
      </c>
      <c r="FVQ612" s="17">
        <v>44925</v>
      </c>
      <c r="FVR612" s="5" t="s">
        <v>3728</v>
      </c>
      <c r="FVS612" s="17">
        <v>44925</v>
      </c>
      <c r="FVT612" s="5" t="s">
        <v>3728</v>
      </c>
      <c r="FVU612" s="17">
        <v>44925</v>
      </c>
      <c r="FVV612" s="5" t="s">
        <v>3728</v>
      </c>
      <c r="FVW612" s="17">
        <v>44925</v>
      </c>
      <c r="FVX612" s="5" t="s">
        <v>3728</v>
      </c>
      <c r="FVY612" s="17">
        <v>44925</v>
      </c>
      <c r="FVZ612" s="5" t="s">
        <v>3728</v>
      </c>
      <c r="FWA612" s="17">
        <v>44925</v>
      </c>
      <c r="FWB612" s="5" t="s">
        <v>3728</v>
      </c>
      <c r="FWC612" s="17">
        <v>44925</v>
      </c>
      <c r="FWD612" s="5" t="s">
        <v>3728</v>
      </c>
      <c r="FWE612" s="17">
        <v>44925</v>
      </c>
      <c r="FWF612" s="5" t="s">
        <v>3728</v>
      </c>
      <c r="FWG612" s="17">
        <v>44925</v>
      </c>
      <c r="FWH612" s="5" t="s">
        <v>3728</v>
      </c>
      <c r="FWI612" s="17">
        <v>44925</v>
      </c>
      <c r="FWJ612" s="5" t="s">
        <v>3728</v>
      </c>
      <c r="FWK612" s="17">
        <v>44925</v>
      </c>
      <c r="FWL612" s="5" t="s">
        <v>3728</v>
      </c>
      <c r="FWM612" s="17">
        <v>44925</v>
      </c>
      <c r="FWN612" s="5" t="s">
        <v>3728</v>
      </c>
      <c r="FWO612" s="17">
        <v>44925</v>
      </c>
      <c r="FWP612" s="5" t="s">
        <v>3728</v>
      </c>
      <c r="FWQ612" s="17">
        <v>44925</v>
      </c>
      <c r="FWR612" s="5" t="s">
        <v>3728</v>
      </c>
      <c r="FWS612" s="17">
        <v>44925</v>
      </c>
      <c r="FWT612" s="5" t="s">
        <v>3728</v>
      </c>
      <c r="FWU612" s="17">
        <v>44925</v>
      </c>
      <c r="FWV612" s="5" t="s">
        <v>3728</v>
      </c>
      <c r="FWW612" s="17">
        <v>44925</v>
      </c>
      <c r="FWX612" s="5" t="s">
        <v>3728</v>
      </c>
      <c r="FWY612" s="17">
        <v>44925</v>
      </c>
      <c r="FWZ612" s="5" t="s">
        <v>3728</v>
      </c>
      <c r="FXA612" s="17">
        <v>44925</v>
      </c>
      <c r="FXB612" s="5" t="s">
        <v>3728</v>
      </c>
      <c r="FXC612" s="17">
        <v>44925</v>
      </c>
      <c r="FXD612" s="5" t="s">
        <v>3728</v>
      </c>
      <c r="FXE612" s="17">
        <v>44925</v>
      </c>
      <c r="FXF612" s="5" t="s">
        <v>3728</v>
      </c>
      <c r="FXG612" s="17">
        <v>44925</v>
      </c>
      <c r="FXH612" s="5" t="s">
        <v>3728</v>
      </c>
      <c r="FXI612" s="17">
        <v>44925</v>
      </c>
      <c r="FXJ612" s="5" t="s">
        <v>3728</v>
      </c>
      <c r="FXK612" s="17">
        <v>44925</v>
      </c>
      <c r="FXL612" s="5" t="s">
        <v>3728</v>
      </c>
      <c r="FXM612" s="17">
        <v>44925</v>
      </c>
      <c r="FXN612" s="5" t="s">
        <v>3728</v>
      </c>
      <c r="FXO612" s="17">
        <v>44925</v>
      </c>
      <c r="FXP612" s="5" t="s">
        <v>3728</v>
      </c>
      <c r="FXQ612" s="17">
        <v>44925</v>
      </c>
      <c r="FXR612" s="5" t="s">
        <v>3728</v>
      </c>
      <c r="FXS612" s="17">
        <v>44925</v>
      </c>
      <c r="FXT612" s="5" t="s">
        <v>3728</v>
      </c>
      <c r="FXU612" s="17">
        <v>44925</v>
      </c>
      <c r="FXV612" s="5" t="s">
        <v>3728</v>
      </c>
      <c r="FXW612" s="17">
        <v>44925</v>
      </c>
      <c r="FXX612" s="5" t="s">
        <v>3728</v>
      </c>
      <c r="FXY612" s="17">
        <v>44925</v>
      </c>
      <c r="FXZ612" s="5" t="s">
        <v>3728</v>
      </c>
      <c r="FYA612" s="17">
        <v>44925</v>
      </c>
      <c r="FYB612" s="5" t="s">
        <v>3728</v>
      </c>
      <c r="FYC612" s="17">
        <v>44925</v>
      </c>
      <c r="FYD612" s="5" t="s">
        <v>3728</v>
      </c>
      <c r="FYE612" s="17">
        <v>44925</v>
      </c>
      <c r="FYF612" s="5" t="s">
        <v>3728</v>
      </c>
      <c r="FYG612" s="17">
        <v>44925</v>
      </c>
      <c r="FYH612" s="5" t="s">
        <v>3728</v>
      </c>
      <c r="FYI612" s="17">
        <v>44925</v>
      </c>
      <c r="FYJ612" s="5" t="s">
        <v>3728</v>
      </c>
      <c r="FYK612" s="17">
        <v>44925</v>
      </c>
      <c r="FYL612" s="5" t="s">
        <v>3728</v>
      </c>
      <c r="FYM612" s="17">
        <v>44925</v>
      </c>
      <c r="FYN612" s="5" t="s">
        <v>3728</v>
      </c>
      <c r="FYO612" s="17">
        <v>44925</v>
      </c>
      <c r="FYP612" s="5" t="s">
        <v>3728</v>
      </c>
      <c r="FYQ612" s="17">
        <v>44925</v>
      </c>
      <c r="FYR612" s="5" t="s">
        <v>3728</v>
      </c>
      <c r="FYS612" s="17">
        <v>44925</v>
      </c>
      <c r="FYT612" s="5" t="s">
        <v>3728</v>
      </c>
      <c r="FYU612" s="17">
        <v>44925</v>
      </c>
      <c r="FYV612" s="5" t="s">
        <v>3728</v>
      </c>
      <c r="FYW612" s="17">
        <v>44925</v>
      </c>
      <c r="FYX612" s="5" t="s">
        <v>3728</v>
      </c>
      <c r="FYY612" s="17">
        <v>44925</v>
      </c>
      <c r="FYZ612" s="5" t="s">
        <v>3728</v>
      </c>
      <c r="FZA612" s="17">
        <v>44925</v>
      </c>
      <c r="FZB612" s="5" t="s">
        <v>3728</v>
      </c>
      <c r="FZC612" s="17">
        <v>44925</v>
      </c>
      <c r="FZD612" s="5" t="s">
        <v>3728</v>
      </c>
      <c r="FZE612" s="17">
        <v>44925</v>
      </c>
      <c r="FZF612" s="5" t="s">
        <v>3728</v>
      </c>
      <c r="FZG612" s="17">
        <v>44925</v>
      </c>
      <c r="FZH612" s="5" t="s">
        <v>3728</v>
      </c>
      <c r="FZI612" s="17">
        <v>44925</v>
      </c>
      <c r="FZJ612" s="5" t="s">
        <v>3728</v>
      </c>
      <c r="FZK612" s="17">
        <v>44925</v>
      </c>
      <c r="FZL612" s="5" t="s">
        <v>3728</v>
      </c>
      <c r="FZM612" s="17">
        <v>44925</v>
      </c>
      <c r="FZN612" s="5" t="s">
        <v>3728</v>
      </c>
      <c r="FZO612" s="17">
        <v>44925</v>
      </c>
      <c r="FZP612" s="5" t="s">
        <v>3728</v>
      </c>
      <c r="FZQ612" s="17">
        <v>44925</v>
      </c>
      <c r="FZR612" s="5" t="s">
        <v>3728</v>
      </c>
      <c r="FZS612" s="17">
        <v>44925</v>
      </c>
      <c r="FZT612" s="5" t="s">
        <v>3728</v>
      </c>
      <c r="FZU612" s="17">
        <v>44925</v>
      </c>
      <c r="FZV612" s="5" t="s">
        <v>3728</v>
      </c>
      <c r="FZW612" s="17">
        <v>44925</v>
      </c>
      <c r="FZX612" s="5" t="s">
        <v>3728</v>
      </c>
      <c r="FZY612" s="17">
        <v>44925</v>
      </c>
      <c r="FZZ612" s="5" t="s">
        <v>3728</v>
      </c>
      <c r="GAA612" s="17">
        <v>44925</v>
      </c>
      <c r="GAB612" s="5" t="s">
        <v>3728</v>
      </c>
      <c r="GAC612" s="17">
        <v>44925</v>
      </c>
      <c r="GAD612" s="5" t="s">
        <v>3728</v>
      </c>
      <c r="GAE612" s="17">
        <v>44925</v>
      </c>
      <c r="GAF612" s="5" t="s">
        <v>3728</v>
      </c>
      <c r="GAG612" s="17">
        <v>44925</v>
      </c>
      <c r="GAH612" s="5" t="s">
        <v>3728</v>
      </c>
      <c r="GAI612" s="17">
        <v>44925</v>
      </c>
      <c r="GAJ612" s="5" t="s">
        <v>3728</v>
      </c>
      <c r="GAK612" s="17">
        <v>44925</v>
      </c>
      <c r="GAL612" s="5" t="s">
        <v>3728</v>
      </c>
      <c r="GAM612" s="17">
        <v>44925</v>
      </c>
      <c r="GAN612" s="5" t="s">
        <v>3728</v>
      </c>
      <c r="GAO612" s="17">
        <v>44925</v>
      </c>
      <c r="GAP612" s="5" t="s">
        <v>3728</v>
      </c>
      <c r="GAQ612" s="17">
        <v>44925</v>
      </c>
      <c r="GAR612" s="5" t="s">
        <v>3728</v>
      </c>
      <c r="GAS612" s="17">
        <v>44925</v>
      </c>
      <c r="GAT612" s="5" t="s">
        <v>3728</v>
      </c>
      <c r="GAU612" s="17">
        <v>44925</v>
      </c>
      <c r="GAV612" s="5" t="s">
        <v>3728</v>
      </c>
      <c r="GAW612" s="17">
        <v>44925</v>
      </c>
      <c r="GAX612" s="5" t="s">
        <v>3728</v>
      </c>
      <c r="GAY612" s="17">
        <v>44925</v>
      </c>
      <c r="GAZ612" s="5" t="s">
        <v>3728</v>
      </c>
      <c r="GBA612" s="17">
        <v>44925</v>
      </c>
      <c r="GBB612" s="5" t="s">
        <v>3728</v>
      </c>
      <c r="GBC612" s="17">
        <v>44925</v>
      </c>
      <c r="GBD612" s="5" t="s">
        <v>3728</v>
      </c>
      <c r="GBE612" s="17">
        <v>44925</v>
      </c>
      <c r="GBF612" s="5" t="s">
        <v>3728</v>
      </c>
      <c r="GBG612" s="17">
        <v>44925</v>
      </c>
      <c r="GBH612" s="5" t="s">
        <v>3728</v>
      </c>
      <c r="GBI612" s="17">
        <v>44925</v>
      </c>
      <c r="GBJ612" s="5" t="s">
        <v>3728</v>
      </c>
      <c r="GBK612" s="17">
        <v>44925</v>
      </c>
      <c r="GBL612" s="5" t="s">
        <v>3728</v>
      </c>
      <c r="GBM612" s="17">
        <v>44925</v>
      </c>
      <c r="GBN612" s="5" t="s">
        <v>3728</v>
      </c>
      <c r="GBO612" s="17">
        <v>44925</v>
      </c>
      <c r="GBP612" s="5" t="s">
        <v>3728</v>
      </c>
      <c r="GBQ612" s="17">
        <v>44925</v>
      </c>
      <c r="GBR612" s="5" t="s">
        <v>3728</v>
      </c>
      <c r="GBS612" s="17">
        <v>44925</v>
      </c>
      <c r="GBT612" s="5" t="s">
        <v>3728</v>
      </c>
      <c r="GBU612" s="17">
        <v>44925</v>
      </c>
      <c r="GBV612" s="5" t="s">
        <v>3728</v>
      </c>
      <c r="GBW612" s="17">
        <v>44925</v>
      </c>
      <c r="GBX612" s="5" t="s">
        <v>3728</v>
      </c>
      <c r="GBY612" s="17">
        <v>44925</v>
      </c>
      <c r="GBZ612" s="5" t="s">
        <v>3728</v>
      </c>
      <c r="GCA612" s="17">
        <v>44925</v>
      </c>
      <c r="GCB612" s="5" t="s">
        <v>3728</v>
      </c>
      <c r="GCC612" s="17">
        <v>44925</v>
      </c>
      <c r="GCD612" s="5" t="s">
        <v>3728</v>
      </c>
      <c r="GCE612" s="17">
        <v>44925</v>
      </c>
      <c r="GCF612" s="5" t="s">
        <v>3728</v>
      </c>
      <c r="GCG612" s="17">
        <v>44925</v>
      </c>
      <c r="GCH612" s="5" t="s">
        <v>3728</v>
      </c>
      <c r="GCI612" s="17">
        <v>44925</v>
      </c>
      <c r="GCJ612" s="5" t="s">
        <v>3728</v>
      </c>
      <c r="GCK612" s="17">
        <v>44925</v>
      </c>
      <c r="GCL612" s="5" t="s">
        <v>3728</v>
      </c>
      <c r="GCM612" s="17">
        <v>44925</v>
      </c>
      <c r="GCN612" s="5" t="s">
        <v>3728</v>
      </c>
      <c r="GCO612" s="17">
        <v>44925</v>
      </c>
      <c r="GCP612" s="5" t="s">
        <v>3728</v>
      </c>
      <c r="GCQ612" s="17">
        <v>44925</v>
      </c>
      <c r="GCR612" s="5" t="s">
        <v>3728</v>
      </c>
      <c r="GCS612" s="17">
        <v>44925</v>
      </c>
      <c r="GCT612" s="5" t="s">
        <v>3728</v>
      </c>
      <c r="GCU612" s="17">
        <v>44925</v>
      </c>
      <c r="GCV612" s="5" t="s">
        <v>3728</v>
      </c>
      <c r="GCW612" s="17">
        <v>44925</v>
      </c>
      <c r="GCX612" s="5" t="s">
        <v>3728</v>
      </c>
      <c r="GCY612" s="17">
        <v>44925</v>
      </c>
      <c r="GCZ612" s="5" t="s">
        <v>3728</v>
      </c>
      <c r="GDA612" s="17">
        <v>44925</v>
      </c>
      <c r="GDB612" s="5" t="s">
        <v>3728</v>
      </c>
      <c r="GDC612" s="17">
        <v>44925</v>
      </c>
      <c r="GDD612" s="5" t="s">
        <v>3728</v>
      </c>
      <c r="GDE612" s="17">
        <v>44925</v>
      </c>
      <c r="GDF612" s="5" t="s">
        <v>3728</v>
      </c>
      <c r="GDG612" s="17">
        <v>44925</v>
      </c>
      <c r="GDH612" s="5" t="s">
        <v>3728</v>
      </c>
      <c r="GDI612" s="17">
        <v>44925</v>
      </c>
      <c r="GDJ612" s="5" t="s">
        <v>3728</v>
      </c>
      <c r="GDK612" s="17">
        <v>44925</v>
      </c>
      <c r="GDL612" s="5" t="s">
        <v>3728</v>
      </c>
      <c r="GDM612" s="17">
        <v>44925</v>
      </c>
      <c r="GDN612" s="5" t="s">
        <v>3728</v>
      </c>
      <c r="GDO612" s="17">
        <v>44925</v>
      </c>
      <c r="GDP612" s="5" t="s">
        <v>3728</v>
      </c>
      <c r="GDQ612" s="17">
        <v>44925</v>
      </c>
      <c r="GDR612" s="5" t="s">
        <v>3728</v>
      </c>
      <c r="GDS612" s="17">
        <v>44925</v>
      </c>
      <c r="GDT612" s="5" t="s">
        <v>3728</v>
      </c>
      <c r="GDU612" s="17">
        <v>44925</v>
      </c>
      <c r="GDV612" s="5" t="s">
        <v>3728</v>
      </c>
      <c r="GDW612" s="17">
        <v>44925</v>
      </c>
      <c r="GDX612" s="5" t="s">
        <v>3728</v>
      </c>
      <c r="GDY612" s="17">
        <v>44925</v>
      </c>
      <c r="GDZ612" s="5" t="s">
        <v>3728</v>
      </c>
      <c r="GEA612" s="17">
        <v>44925</v>
      </c>
      <c r="GEB612" s="5" t="s">
        <v>3728</v>
      </c>
      <c r="GEC612" s="17">
        <v>44925</v>
      </c>
      <c r="GED612" s="5" t="s">
        <v>3728</v>
      </c>
      <c r="GEE612" s="17">
        <v>44925</v>
      </c>
      <c r="GEF612" s="5" t="s">
        <v>3728</v>
      </c>
      <c r="GEG612" s="17">
        <v>44925</v>
      </c>
      <c r="GEH612" s="5" t="s">
        <v>3728</v>
      </c>
      <c r="GEI612" s="17">
        <v>44925</v>
      </c>
      <c r="GEJ612" s="5" t="s">
        <v>3728</v>
      </c>
      <c r="GEK612" s="17">
        <v>44925</v>
      </c>
      <c r="GEL612" s="5" t="s">
        <v>3728</v>
      </c>
      <c r="GEM612" s="17">
        <v>44925</v>
      </c>
      <c r="GEN612" s="5" t="s">
        <v>3728</v>
      </c>
      <c r="GEO612" s="17">
        <v>44925</v>
      </c>
      <c r="GEP612" s="5" t="s">
        <v>3728</v>
      </c>
      <c r="GEQ612" s="17">
        <v>44925</v>
      </c>
      <c r="GER612" s="5" t="s">
        <v>3728</v>
      </c>
      <c r="GES612" s="17">
        <v>44925</v>
      </c>
      <c r="GET612" s="5" t="s">
        <v>3728</v>
      </c>
      <c r="GEU612" s="17">
        <v>44925</v>
      </c>
      <c r="GEV612" s="5" t="s">
        <v>3728</v>
      </c>
      <c r="GEW612" s="17">
        <v>44925</v>
      </c>
      <c r="GEX612" s="5" t="s">
        <v>3728</v>
      </c>
      <c r="GEY612" s="17">
        <v>44925</v>
      </c>
      <c r="GEZ612" s="5" t="s">
        <v>3728</v>
      </c>
      <c r="GFA612" s="17">
        <v>44925</v>
      </c>
      <c r="GFB612" s="5" t="s">
        <v>3728</v>
      </c>
      <c r="GFC612" s="17">
        <v>44925</v>
      </c>
      <c r="GFD612" s="5" t="s">
        <v>3728</v>
      </c>
      <c r="GFE612" s="17">
        <v>44925</v>
      </c>
      <c r="GFF612" s="5" t="s">
        <v>3728</v>
      </c>
      <c r="GFG612" s="17">
        <v>44925</v>
      </c>
      <c r="GFH612" s="5" t="s">
        <v>3728</v>
      </c>
      <c r="GFI612" s="17">
        <v>44925</v>
      </c>
      <c r="GFJ612" s="5" t="s">
        <v>3728</v>
      </c>
      <c r="GFK612" s="17">
        <v>44925</v>
      </c>
      <c r="GFL612" s="5" t="s">
        <v>3728</v>
      </c>
      <c r="GFM612" s="17">
        <v>44925</v>
      </c>
      <c r="GFN612" s="5" t="s">
        <v>3728</v>
      </c>
      <c r="GFO612" s="17">
        <v>44925</v>
      </c>
      <c r="GFP612" s="5" t="s">
        <v>3728</v>
      </c>
      <c r="GFQ612" s="17">
        <v>44925</v>
      </c>
      <c r="GFR612" s="5" t="s">
        <v>3728</v>
      </c>
      <c r="GFS612" s="17">
        <v>44925</v>
      </c>
      <c r="GFT612" s="5" t="s">
        <v>3728</v>
      </c>
      <c r="GFU612" s="17">
        <v>44925</v>
      </c>
      <c r="GFV612" s="5" t="s">
        <v>3728</v>
      </c>
      <c r="GFW612" s="17">
        <v>44925</v>
      </c>
      <c r="GFX612" s="5" t="s">
        <v>3728</v>
      </c>
      <c r="GFY612" s="17">
        <v>44925</v>
      </c>
      <c r="GFZ612" s="5" t="s">
        <v>3728</v>
      </c>
      <c r="GGA612" s="17">
        <v>44925</v>
      </c>
      <c r="GGB612" s="5" t="s">
        <v>3728</v>
      </c>
      <c r="GGC612" s="17">
        <v>44925</v>
      </c>
      <c r="GGD612" s="5" t="s">
        <v>3728</v>
      </c>
      <c r="GGE612" s="17">
        <v>44925</v>
      </c>
      <c r="GGF612" s="5" t="s">
        <v>3728</v>
      </c>
      <c r="GGG612" s="17">
        <v>44925</v>
      </c>
      <c r="GGH612" s="5" t="s">
        <v>3728</v>
      </c>
      <c r="GGI612" s="17">
        <v>44925</v>
      </c>
      <c r="GGJ612" s="5" t="s">
        <v>3728</v>
      </c>
      <c r="GGK612" s="17">
        <v>44925</v>
      </c>
      <c r="GGL612" s="5" t="s">
        <v>3728</v>
      </c>
      <c r="GGM612" s="17">
        <v>44925</v>
      </c>
      <c r="GGN612" s="5" t="s">
        <v>3728</v>
      </c>
      <c r="GGO612" s="17">
        <v>44925</v>
      </c>
      <c r="GGP612" s="5" t="s">
        <v>3728</v>
      </c>
      <c r="GGQ612" s="17">
        <v>44925</v>
      </c>
      <c r="GGR612" s="5" t="s">
        <v>3728</v>
      </c>
      <c r="GGS612" s="17">
        <v>44925</v>
      </c>
      <c r="GGT612" s="5" t="s">
        <v>3728</v>
      </c>
      <c r="GGU612" s="17">
        <v>44925</v>
      </c>
      <c r="GGV612" s="5" t="s">
        <v>3728</v>
      </c>
      <c r="GGW612" s="17">
        <v>44925</v>
      </c>
      <c r="GGX612" s="5" t="s">
        <v>3728</v>
      </c>
      <c r="GGY612" s="17">
        <v>44925</v>
      </c>
      <c r="GGZ612" s="5" t="s">
        <v>3728</v>
      </c>
      <c r="GHA612" s="17">
        <v>44925</v>
      </c>
      <c r="GHB612" s="5" t="s">
        <v>3728</v>
      </c>
      <c r="GHC612" s="17">
        <v>44925</v>
      </c>
      <c r="GHD612" s="5" t="s">
        <v>3728</v>
      </c>
      <c r="GHE612" s="17">
        <v>44925</v>
      </c>
      <c r="GHF612" s="5" t="s">
        <v>3728</v>
      </c>
      <c r="GHG612" s="17">
        <v>44925</v>
      </c>
      <c r="GHH612" s="5" t="s">
        <v>3728</v>
      </c>
      <c r="GHI612" s="17">
        <v>44925</v>
      </c>
      <c r="GHJ612" s="5" t="s">
        <v>3728</v>
      </c>
      <c r="GHK612" s="17">
        <v>44925</v>
      </c>
      <c r="GHL612" s="5" t="s">
        <v>3728</v>
      </c>
      <c r="GHM612" s="17">
        <v>44925</v>
      </c>
      <c r="GHN612" s="5" t="s">
        <v>3728</v>
      </c>
      <c r="GHO612" s="17">
        <v>44925</v>
      </c>
      <c r="GHP612" s="5" t="s">
        <v>3728</v>
      </c>
      <c r="GHQ612" s="17">
        <v>44925</v>
      </c>
      <c r="GHR612" s="5" t="s">
        <v>3728</v>
      </c>
      <c r="GHS612" s="17">
        <v>44925</v>
      </c>
      <c r="GHT612" s="5" t="s">
        <v>3728</v>
      </c>
      <c r="GHU612" s="17">
        <v>44925</v>
      </c>
      <c r="GHV612" s="5" t="s">
        <v>3728</v>
      </c>
      <c r="GHW612" s="17">
        <v>44925</v>
      </c>
      <c r="GHX612" s="5" t="s">
        <v>3728</v>
      </c>
      <c r="GHY612" s="17">
        <v>44925</v>
      </c>
      <c r="GHZ612" s="5" t="s">
        <v>3728</v>
      </c>
      <c r="GIA612" s="17">
        <v>44925</v>
      </c>
      <c r="GIB612" s="5" t="s">
        <v>3728</v>
      </c>
      <c r="GIC612" s="17">
        <v>44925</v>
      </c>
      <c r="GID612" s="5" t="s">
        <v>3728</v>
      </c>
      <c r="GIE612" s="17">
        <v>44925</v>
      </c>
      <c r="GIF612" s="5" t="s">
        <v>3728</v>
      </c>
      <c r="GIG612" s="17">
        <v>44925</v>
      </c>
      <c r="GIH612" s="5" t="s">
        <v>3728</v>
      </c>
      <c r="GII612" s="17">
        <v>44925</v>
      </c>
      <c r="GIJ612" s="5" t="s">
        <v>3728</v>
      </c>
      <c r="GIK612" s="17">
        <v>44925</v>
      </c>
      <c r="GIL612" s="5" t="s">
        <v>3728</v>
      </c>
      <c r="GIM612" s="17">
        <v>44925</v>
      </c>
      <c r="GIN612" s="5" t="s">
        <v>3728</v>
      </c>
      <c r="GIO612" s="17">
        <v>44925</v>
      </c>
      <c r="GIP612" s="5" t="s">
        <v>3728</v>
      </c>
      <c r="GIQ612" s="17">
        <v>44925</v>
      </c>
      <c r="GIR612" s="5" t="s">
        <v>3728</v>
      </c>
      <c r="GIS612" s="17">
        <v>44925</v>
      </c>
      <c r="GIT612" s="5" t="s">
        <v>3728</v>
      </c>
      <c r="GIU612" s="17">
        <v>44925</v>
      </c>
      <c r="GIV612" s="5" t="s">
        <v>3728</v>
      </c>
      <c r="GIW612" s="17">
        <v>44925</v>
      </c>
      <c r="GIX612" s="5" t="s">
        <v>3728</v>
      </c>
      <c r="GIY612" s="17">
        <v>44925</v>
      </c>
      <c r="GIZ612" s="5" t="s">
        <v>3728</v>
      </c>
      <c r="GJA612" s="17">
        <v>44925</v>
      </c>
      <c r="GJB612" s="5" t="s">
        <v>3728</v>
      </c>
      <c r="GJC612" s="17">
        <v>44925</v>
      </c>
      <c r="GJD612" s="5" t="s">
        <v>3728</v>
      </c>
      <c r="GJE612" s="17">
        <v>44925</v>
      </c>
      <c r="GJF612" s="5" t="s">
        <v>3728</v>
      </c>
      <c r="GJG612" s="17">
        <v>44925</v>
      </c>
      <c r="GJH612" s="5" t="s">
        <v>3728</v>
      </c>
      <c r="GJI612" s="17">
        <v>44925</v>
      </c>
      <c r="GJJ612" s="5" t="s">
        <v>3728</v>
      </c>
      <c r="GJK612" s="17">
        <v>44925</v>
      </c>
      <c r="GJL612" s="5" t="s">
        <v>3728</v>
      </c>
      <c r="GJM612" s="17">
        <v>44925</v>
      </c>
      <c r="GJN612" s="5" t="s">
        <v>3728</v>
      </c>
      <c r="GJO612" s="17">
        <v>44925</v>
      </c>
      <c r="GJP612" s="5" t="s">
        <v>3728</v>
      </c>
      <c r="GJQ612" s="17">
        <v>44925</v>
      </c>
      <c r="GJR612" s="5" t="s">
        <v>3728</v>
      </c>
      <c r="GJS612" s="17">
        <v>44925</v>
      </c>
      <c r="GJT612" s="5" t="s">
        <v>3728</v>
      </c>
      <c r="GJU612" s="17">
        <v>44925</v>
      </c>
      <c r="GJV612" s="5" t="s">
        <v>3728</v>
      </c>
      <c r="GJW612" s="17">
        <v>44925</v>
      </c>
      <c r="GJX612" s="5" t="s">
        <v>3728</v>
      </c>
      <c r="GJY612" s="17">
        <v>44925</v>
      </c>
      <c r="GJZ612" s="5" t="s">
        <v>3728</v>
      </c>
      <c r="GKA612" s="17">
        <v>44925</v>
      </c>
      <c r="GKB612" s="5" t="s">
        <v>3728</v>
      </c>
      <c r="GKC612" s="17">
        <v>44925</v>
      </c>
      <c r="GKD612" s="5" t="s">
        <v>3728</v>
      </c>
      <c r="GKE612" s="17">
        <v>44925</v>
      </c>
      <c r="GKF612" s="5" t="s">
        <v>3728</v>
      </c>
      <c r="GKG612" s="17">
        <v>44925</v>
      </c>
      <c r="GKH612" s="5" t="s">
        <v>3728</v>
      </c>
      <c r="GKI612" s="17">
        <v>44925</v>
      </c>
      <c r="GKJ612" s="5" t="s">
        <v>3728</v>
      </c>
      <c r="GKK612" s="17">
        <v>44925</v>
      </c>
      <c r="GKL612" s="5" t="s">
        <v>3728</v>
      </c>
      <c r="GKM612" s="17">
        <v>44925</v>
      </c>
      <c r="GKN612" s="5" t="s">
        <v>3728</v>
      </c>
      <c r="GKO612" s="17">
        <v>44925</v>
      </c>
      <c r="GKP612" s="5" t="s">
        <v>3728</v>
      </c>
      <c r="GKQ612" s="17">
        <v>44925</v>
      </c>
      <c r="GKR612" s="5" t="s">
        <v>3728</v>
      </c>
      <c r="GKS612" s="17">
        <v>44925</v>
      </c>
      <c r="GKT612" s="5" t="s">
        <v>3728</v>
      </c>
      <c r="GKU612" s="17">
        <v>44925</v>
      </c>
      <c r="GKV612" s="5" t="s">
        <v>3728</v>
      </c>
      <c r="GKW612" s="17">
        <v>44925</v>
      </c>
      <c r="GKX612" s="5" t="s">
        <v>3728</v>
      </c>
      <c r="GKY612" s="17">
        <v>44925</v>
      </c>
      <c r="GKZ612" s="5" t="s">
        <v>3728</v>
      </c>
      <c r="GLA612" s="17">
        <v>44925</v>
      </c>
      <c r="GLB612" s="5" t="s">
        <v>3728</v>
      </c>
      <c r="GLC612" s="17">
        <v>44925</v>
      </c>
      <c r="GLD612" s="5" t="s">
        <v>3728</v>
      </c>
      <c r="GLE612" s="17">
        <v>44925</v>
      </c>
      <c r="GLF612" s="5" t="s">
        <v>3728</v>
      </c>
      <c r="GLG612" s="17">
        <v>44925</v>
      </c>
      <c r="GLH612" s="5" t="s">
        <v>3728</v>
      </c>
      <c r="GLI612" s="17">
        <v>44925</v>
      </c>
      <c r="GLJ612" s="5" t="s">
        <v>3728</v>
      </c>
      <c r="GLK612" s="17">
        <v>44925</v>
      </c>
      <c r="GLL612" s="5" t="s">
        <v>3728</v>
      </c>
      <c r="GLM612" s="17">
        <v>44925</v>
      </c>
      <c r="GLN612" s="5" t="s">
        <v>3728</v>
      </c>
      <c r="GLO612" s="17">
        <v>44925</v>
      </c>
      <c r="GLP612" s="5" t="s">
        <v>3728</v>
      </c>
      <c r="GLQ612" s="17">
        <v>44925</v>
      </c>
      <c r="GLR612" s="5" t="s">
        <v>3728</v>
      </c>
      <c r="GLS612" s="17">
        <v>44925</v>
      </c>
      <c r="GLT612" s="5" t="s">
        <v>3728</v>
      </c>
      <c r="GLU612" s="17">
        <v>44925</v>
      </c>
      <c r="GLV612" s="5" t="s">
        <v>3728</v>
      </c>
      <c r="GLW612" s="17">
        <v>44925</v>
      </c>
      <c r="GLX612" s="5" t="s">
        <v>3728</v>
      </c>
      <c r="GLY612" s="17">
        <v>44925</v>
      </c>
      <c r="GLZ612" s="5" t="s">
        <v>3728</v>
      </c>
      <c r="GMA612" s="17">
        <v>44925</v>
      </c>
      <c r="GMB612" s="5" t="s">
        <v>3728</v>
      </c>
      <c r="GMC612" s="17">
        <v>44925</v>
      </c>
      <c r="GMD612" s="5" t="s">
        <v>3728</v>
      </c>
      <c r="GME612" s="17">
        <v>44925</v>
      </c>
      <c r="GMF612" s="5" t="s">
        <v>3728</v>
      </c>
      <c r="GMG612" s="17">
        <v>44925</v>
      </c>
      <c r="GMH612" s="5" t="s">
        <v>3728</v>
      </c>
      <c r="GMI612" s="17">
        <v>44925</v>
      </c>
      <c r="GMJ612" s="5" t="s">
        <v>3728</v>
      </c>
      <c r="GMK612" s="17">
        <v>44925</v>
      </c>
      <c r="GML612" s="5" t="s">
        <v>3728</v>
      </c>
      <c r="GMM612" s="17">
        <v>44925</v>
      </c>
      <c r="GMN612" s="5" t="s">
        <v>3728</v>
      </c>
      <c r="GMO612" s="17">
        <v>44925</v>
      </c>
      <c r="GMP612" s="5" t="s">
        <v>3728</v>
      </c>
      <c r="GMQ612" s="17">
        <v>44925</v>
      </c>
      <c r="GMR612" s="5" t="s">
        <v>3728</v>
      </c>
      <c r="GMS612" s="17">
        <v>44925</v>
      </c>
      <c r="GMT612" s="5" t="s">
        <v>3728</v>
      </c>
      <c r="GMU612" s="17">
        <v>44925</v>
      </c>
      <c r="GMV612" s="5" t="s">
        <v>3728</v>
      </c>
      <c r="GMW612" s="17">
        <v>44925</v>
      </c>
      <c r="GMX612" s="5" t="s">
        <v>3728</v>
      </c>
      <c r="GMY612" s="17">
        <v>44925</v>
      </c>
      <c r="GMZ612" s="5" t="s">
        <v>3728</v>
      </c>
      <c r="GNA612" s="17">
        <v>44925</v>
      </c>
      <c r="GNB612" s="5" t="s">
        <v>3728</v>
      </c>
      <c r="GNC612" s="17">
        <v>44925</v>
      </c>
      <c r="GND612" s="5" t="s">
        <v>3728</v>
      </c>
      <c r="GNE612" s="17">
        <v>44925</v>
      </c>
      <c r="GNF612" s="5" t="s">
        <v>3728</v>
      </c>
      <c r="GNG612" s="17">
        <v>44925</v>
      </c>
      <c r="GNH612" s="5" t="s">
        <v>3728</v>
      </c>
      <c r="GNI612" s="17">
        <v>44925</v>
      </c>
      <c r="GNJ612" s="5" t="s">
        <v>3728</v>
      </c>
      <c r="GNK612" s="17">
        <v>44925</v>
      </c>
      <c r="GNL612" s="5" t="s">
        <v>3728</v>
      </c>
      <c r="GNM612" s="17">
        <v>44925</v>
      </c>
      <c r="GNN612" s="5" t="s">
        <v>3728</v>
      </c>
      <c r="GNO612" s="17">
        <v>44925</v>
      </c>
      <c r="GNP612" s="5" t="s">
        <v>3728</v>
      </c>
      <c r="GNQ612" s="17">
        <v>44925</v>
      </c>
      <c r="GNR612" s="5" t="s">
        <v>3728</v>
      </c>
      <c r="GNS612" s="17">
        <v>44925</v>
      </c>
      <c r="GNT612" s="5" t="s">
        <v>3728</v>
      </c>
      <c r="GNU612" s="17">
        <v>44925</v>
      </c>
      <c r="GNV612" s="5" t="s">
        <v>3728</v>
      </c>
      <c r="GNW612" s="17">
        <v>44925</v>
      </c>
      <c r="GNX612" s="5" t="s">
        <v>3728</v>
      </c>
      <c r="GNY612" s="17">
        <v>44925</v>
      </c>
      <c r="GNZ612" s="5" t="s">
        <v>3728</v>
      </c>
      <c r="GOA612" s="17">
        <v>44925</v>
      </c>
      <c r="GOB612" s="5" t="s">
        <v>3728</v>
      </c>
      <c r="GOC612" s="17">
        <v>44925</v>
      </c>
      <c r="GOD612" s="5" t="s">
        <v>3728</v>
      </c>
      <c r="GOE612" s="17">
        <v>44925</v>
      </c>
      <c r="GOF612" s="5" t="s">
        <v>3728</v>
      </c>
      <c r="GOG612" s="17">
        <v>44925</v>
      </c>
      <c r="GOH612" s="5" t="s">
        <v>3728</v>
      </c>
      <c r="GOI612" s="17">
        <v>44925</v>
      </c>
      <c r="GOJ612" s="5" t="s">
        <v>3728</v>
      </c>
      <c r="GOK612" s="17">
        <v>44925</v>
      </c>
      <c r="GOL612" s="5" t="s">
        <v>3728</v>
      </c>
      <c r="GOM612" s="17">
        <v>44925</v>
      </c>
      <c r="GON612" s="5" t="s">
        <v>3728</v>
      </c>
      <c r="GOO612" s="17">
        <v>44925</v>
      </c>
      <c r="GOP612" s="5" t="s">
        <v>3728</v>
      </c>
      <c r="GOQ612" s="17">
        <v>44925</v>
      </c>
      <c r="GOR612" s="5" t="s">
        <v>3728</v>
      </c>
      <c r="GOS612" s="17">
        <v>44925</v>
      </c>
      <c r="GOT612" s="5" t="s">
        <v>3728</v>
      </c>
      <c r="GOU612" s="17">
        <v>44925</v>
      </c>
      <c r="GOV612" s="5" t="s">
        <v>3728</v>
      </c>
      <c r="GOW612" s="17">
        <v>44925</v>
      </c>
      <c r="GOX612" s="5" t="s">
        <v>3728</v>
      </c>
      <c r="GOY612" s="17">
        <v>44925</v>
      </c>
      <c r="GOZ612" s="5" t="s">
        <v>3728</v>
      </c>
      <c r="GPA612" s="17">
        <v>44925</v>
      </c>
      <c r="GPB612" s="5" t="s">
        <v>3728</v>
      </c>
      <c r="GPC612" s="17">
        <v>44925</v>
      </c>
      <c r="GPD612" s="5" t="s">
        <v>3728</v>
      </c>
      <c r="GPE612" s="17">
        <v>44925</v>
      </c>
      <c r="GPF612" s="5" t="s">
        <v>3728</v>
      </c>
      <c r="GPG612" s="17">
        <v>44925</v>
      </c>
      <c r="GPH612" s="5" t="s">
        <v>3728</v>
      </c>
      <c r="GPI612" s="17">
        <v>44925</v>
      </c>
      <c r="GPJ612" s="5" t="s">
        <v>3728</v>
      </c>
      <c r="GPK612" s="17">
        <v>44925</v>
      </c>
      <c r="GPL612" s="5" t="s">
        <v>3728</v>
      </c>
      <c r="GPM612" s="17">
        <v>44925</v>
      </c>
      <c r="GPN612" s="5" t="s">
        <v>3728</v>
      </c>
      <c r="GPO612" s="17">
        <v>44925</v>
      </c>
      <c r="GPP612" s="5" t="s">
        <v>3728</v>
      </c>
      <c r="GPQ612" s="17">
        <v>44925</v>
      </c>
      <c r="GPR612" s="5" t="s">
        <v>3728</v>
      </c>
      <c r="GPS612" s="17">
        <v>44925</v>
      </c>
      <c r="GPT612" s="5" t="s">
        <v>3728</v>
      </c>
      <c r="GPU612" s="17">
        <v>44925</v>
      </c>
      <c r="GPV612" s="5" t="s">
        <v>3728</v>
      </c>
      <c r="GPW612" s="17">
        <v>44925</v>
      </c>
      <c r="GPX612" s="5" t="s">
        <v>3728</v>
      </c>
      <c r="GPY612" s="17">
        <v>44925</v>
      </c>
      <c r="GPZ612" s="5" t="s">
        <v>3728</v>
      </c>
      <c r="GQA612" s="17">
        <v>44925</v>
      </c>
      <c r="GQB612" s="5" t="s">
        <v>3728</v>
      </c>
      <c r="GQC612" s="17">
        <v>44925</v>
      </c>
      <c r="GQD612" s="5" t="s">
        <v>3728</v>
      </c>
      <c r="GQE612" s="17">
        <v>44925</v>
      </c>
      <c r="GQF612" s="5" t="s">
        <v>3728</v>
      </c>
      <c r="GQG612" s="17">
        <v>44925</v>
      </c>
      <c r="GQH612" s="5" t="s">
        <v>3728</v>
      </c>
      <c r="GQI612" s="17">
        <v>44925</v>
      </c>
      <c r="GQJ612" s="5" t="s">
        <v>3728</v>
      </c>
      <c r="GQK612" s="17">
        <v>44925</v>
      </c>
      <c r="GQL612" s="5" t="s">
        <v>3728</v>
      </c>
      <c r="GQM612" s="17">
        <v>44925</v>
      </c>
      <c r="GQN612" s="5" t="s">
        <v>3728</v>
      </c>
      <c r="GQO612" s="17">
        <v>44925</v>
      </c>
      <c r="GQP612" s="5" t="s">
        <v>3728</v>
      </c>
      <c r="GQQ612" s="17">
        <v>44925</v>
      </c>
      <c r="GQR612" s="5" t="s">
        <v>3728</v>
      </c>
      <c r="GQS612" s="17">
        <v>44925</v>
      </c>
      <c r="GQT612" s="5" t="s">
        <v>3728</v>
      </c>
      <c r="GQU612" s="17">
        <v>44925</v>
      </c>
      <c r="GQV612" s="5" t="s">
        <v>3728</v>
      </c>
      <c r="GQW612" s="17">
        <v>44925</v>
      </c>
      <c r="GQX612" s="5" t="s">
        <v>3728</v>
      </c>
      <c r="GQY612" s="17">
        <v>44925</v>
      </c>
      <c r="GQZ612" s="5" t="s">
        <v>3728</v>
      </c>
      <c r="GRA612" s="17">
        <v>44925</v>
      </c>
      <c r="GRB612" s="5" t="s">
        <v>3728</v>
      </c>
      <c r="GRC612" s="17">
        <v>44925</v>
      </c>
      <c r="GRD612" s="5" t="s">
        <v>3728</v>
      </c>
      <c r="GRE612" s="17">
        <v>44925</v>
      </c>
      <c r="GRF612" s="5" t="s">
        <v>3728</v>
      </c>
      <c r="GRG612" s="17">
        <v>44925</v>
      </c>
      <c r="GRH612" s="5" t="s">
        <v>3728</v>
      </c>
      <c r="GRI612" s="17">
        <v>44925</v>
      </c>
      <c r="GRJ612" s="5" t="s">
        <v>3728</v>
      </c>
      <c r="GRK612" s="17">
        <v>44925</v>
      </c>
      <c r="GRL612" s="5" t="s">
        <v>3728</v>
      </c>
      <c r="GRM612" s="17">
        <v>44925</v>
      </c>
      <c r="GRN612" s="5" t="s">
        <v>3728</v>
      </c>
      <c r="GRO612" s="17">
        <v>44925</v>
      </c>
      <c r="GRP612" s="5" t="s">
        <v>3728</v>
      </c>
      <c r="GRQ612" s="17">
        <v>44925</v>
      </c>
      <c r="GRR612" s="5" t="s">
        <v>3728</v>
      </c>
      <c r="GRS612" s="17">
        <v>44925</v>
      </c>
      <c r="GRT612" s="5" t="s">
        <v>3728</v>
      </c>
      <c r="GRU612" s="17">
        <v>44925</v>
      </c>
      <c r="GRV612" s="5" t="s">
        <v>3728</v>
      </c>
      <c r="GRW612" s="17">
        <v>44925</v>
      </c>
      <c r="GRX612" s="5" t="s">
        <v>3728</v>
      </c>
      <c r="GRY612" s="17">
        <v>44925</v>
      </c>
      <c r="GRZ612" s="5" t="s">
        <v>3728</v>
      </c>
      <c r="GSA612" s="17">
        <v>44925</v>
      </c>
      <c r="GSB612" s="5" t="s">
        <v>3728</v>
      </c>
      <c r="GSC612" s="17">
        <v>44925</v>
      </c>
      <c r="GSD612" s="5" t="s">
        <v>3728</v>
      </c>
      <c r="GSE612" s="17">
        <v>44925</v>
      </c>
      <c r="GSF612" s="5" t="s">
        <v>3728</v>
      </c>
      <c r="GSG612" s="17">
        <v>44925</v>
      </c>
      <c r="GSH612" s="5" t="s">
        <v>3728</v>
      </c>
      <c r="GSI612" s="17">
        <v>44925</v>
      </c>
      <c r="GSJ612" s="5" t="s">
        <v>3728</v>
      </c>
      <c r="GSK612" s="17">
        <v>44925</v>
      </c>
      <c r="GSL612" s="5" t="s">
        <v>3728</v>
      </c>
      <c r="GSM612" s="17">
        <v>44925</v>
      </c>
      <c r="GSN612" s="5" t="s">
        <v>3728</v>
      </c>
      <c r="GSO612" s="17">
        <v>44925</v>
      </c>
      <c r="GSP612" s="5" t="s">
        <v>3728</v>
      </c>
      <c r="GSQ612" s="17">
        <v>44925</v>
      </c>
      <c r="GSR612" s="5" t="s">
        <v>3728</v>
      </c>
      <c r="GSS612" s="17">
        <v>44925</v>
      </c>
      <c r="GST612" s="5" t="s">
        <v>3728</v>
      </c>
      <c r="GSU612" s="17">
        <v>44925</v>
      </c>
      <c r="GSV612" s="5" t="s">
        <v>3728</v>
      </c>
      <c r="GSW612" s="17">
        <v>44925</v>
      </c>
      <c r="GSX612" s="5" t="s">
        <v>3728</v>
      </c>
      <c r="GSY612" s="17">
        <v>44925</v>
      </c>
      <c r="GSZ612" s="5" t="s">
        <v>3728</v>
      </c>
      <c r="GTA612" s="17">
        <v>44925</v>
      </c>
      <c r="GTB612" s="5" t="s">
        <v>3728</v>
      </c>
      <c r="GTC612" s="17">
        <v>44925</v>
      </c>
      <c r="GTD612" s="5" t="s">
        <v>3728</v>
      </c>
      <c r="GTE612" s="17">
        <v>44925</v>
      </c>
      <c r="GTF612" s="5" t="s">
        <v>3728</v>
      </c>
      <c r="GTG612" s="17">
        <v>44925</v>
      </c>
      <c r="GTH612" s="5" t="s">
        <v>3728</v>
      </c>
      <c r="GTI612" s="17">
        <v>44925</v>
      </c>
      <c r="GTJ612" s="5" t="s">
        <v>3728</v>
      </c>
      <c r="GTK612" s="17">
        <v>44925</v>
      </c>
      <c r="GTL612" s="5" t="s">
        <v>3728</v>
      </c>
      <c r="GTM612" s="17">
        <v>44925</v>
      </c>
      <c r="GTN612" s="5" t="s">
        <v>3728</v>
      </c>
      <c r="GTO612" s="17">
        <v>44925</v>
      </c>
      <c r="GTP612" s="5" t="s">
        <v>3728</v>
      </c>
      <c r="GTQ612" s="17">
        <v>44925</v>
      </c>
      <c r="GTR612" s="5" t="s">
        <v>3728</v>
      </c>
      <c r="GTS612" s="17">
        <v>44925</v>
      </c>
      <c r="GTT612" s="5" t="s">
        <v>3728</v>
      </c>
      <c r="GTU612" s="17">
        <v>44925</v>
      </c>
      <c r="GTV612" s="5" t="s">
        <v>3728</v>
      </c>
      <c r="GTW612" s="17">
        <v>44925</v>
      </c>
      <c r="GTX612" s="5" t="s">
        <v>3728</v>
      </c>
      <c r="GTY612" s="17">
        <v>44925</v>
      </c>
      <c r="GTZ612" s="5" t="s">
        <v>3728</v>
      </c>
      <c r="GUA612" s="17">
        <v>44925</v>
      </c>
      <c r="GUB612" s="5" t="s">
        <v>3728</v>
      </c>
      <c r="GUC612" s="17">
        <v>44925</v>
      </c>
      <c r="GUD612" s="5" t="s">
        <v>3728</v>
      </c>
      <c r="GUE612" s="17">
        <v>44925</v>
      </c>
      <c r="GUF612" s="5" t="s">
        <v>3728</v>
      </c>
      <c r="GUG612" s="17">
        <v>44925</v>
      </c>
      <c r="GUH612" s="5" t="s">
        <v>3728</v>
      </c>
      <c r="GUI612" s="17">
        <v>44925</v>
      </c>
      <c r="GUJ612" s="5" t="s">
        <v>3728</v>
      </c>
      <c r="GUK612" s="17">
        <v>44925</v>
      </c>
      <c r="GUL612" s="5" t="s">
        <v>3728</v>
      </c>
      <c r="GUM612" s="17">
        <v>44925</v>
      </c>
      <c r="GUN612" s="5" t="s">
        <v>3728</v>
      </c>
      <c r="GUO612" s="17">
        <v>44925</v>
      </c>
      <c r="GUP612" s="5" t="s">
        <v>3728</v>
      </c>
      <c r="GUQ612" s="17">
        <v>44925</v>
      </c>
      <c r="GUR612" s="5" t="s">
        <v>3728</v>
      </c>
      <c r="GUS612" s="17">
        <v>44925</v>
      </c>
      <c r="GUT612" s="5" t="s">
        <v>3728</v>
      </c>
      <c r="GUU612" s="17">
        <v>44925</v>
      </c>
      <c r="GUV612" s="5" t="s">
        <v>3728</v>
      </c>
      <c r="GUW612" s="17">
        <v>44925</v>
      </c>
      <c r="GUX612" s="5" t="s">
        <v>3728</v>
      </c>
      <c r="GUY612" s="17">
        <v>44925</v>
      </c>
      <c r="GUZ612" s="5" t="s">
        <v>3728</v>
      </c>
      <c r="GVA612" s="17">
        <v>44925</v>
      </c>
      <c r="GVB612" s="5" t="s">
        <v>3728</v>
      </c>
      <c r="GVC612" s="17">
        <v>44925</v>
      </c>
      <c r="GVD612" s="5" t="s">
        <v>3728</v>
      </c>
      <c r="GVE612" s="17">
        <v>44925</v>
      </c>
      <c r="GVF612" s="5" t="s">
        <v>3728</v>
      </c>
      <c r="GVG612" s="17">
        <v>44925</v>
      </c>
      <c r="GVH612" s="5" t="s">
        <v>3728</v>
      </c>
      <c r="GVI612" s="17">
        <v>44925</v>
      </c>
      <c r="GVJ612" s="5" t="s">
        <v>3728</v>
      </c>
      <c r="GVK612" s="17">
        <v>44925</v>
      </c>
      <c r="GVL612" s="5" t="s">
        <v>3728</v>
      </c>
      <c r="GVM612" s="17">
        <v>44925</v>
      </c>
      <c r="GVN612" s="5" t="s">
        <v>3728</v>
      </c>
      <c r="GVO612" s="17">
        <v>44925</v>
      </c>
      <c r="GVP612" s="5" t="s">
        <v>3728</v>
      </c>
      <c r="GVQ612" s="17">
        <v>44925</v>
      </c>
      <c r="GVR612" s="5" t="s">
        <v>3728</v>
      </c>
      <c r="GVS612" s="17">
        <v>44925</v>
      </c>
      <c r="GVT612" s="5" t="s">
        <v>3728</v>
      </c>
      <c r="GVU612" s="17">
        <v>44925</v>
      </c>
      <c r="GVV612" s="5" t="s">
        <v>3728</v>
      </c>
      <c r="GVW612" s="17">
        <v>44925</v>
      </c>
      <c r="GVX612" s="5" t="s">
        <v>3728</v>
      </c>
      <c r="GVY612" s="17">
        <v>44925</v>
      </c>
      <c r="GVZ612" s="5" t="s">
        <v>3728</v>
      </c>
      <c r="GWA612" s="17">
        <v>44925</v>
      </c>
      <c r="GWB612" s="5" t="s">
        <v>3728</v>
      </c>
      <c r="GWC612" s="17">
        <v>44925</v>
      </c>
      <c r="GWD612" s="5" t="s">
        <v>3728</v>
      </c>
      <c r="GWE612" s="17">
        <v>44925</v>
      </c>
      <c r="GWF612" s="5" t="s">
        <v>3728</v>
      </c>
      <c r="GWG612" s="17">
        <v>44925</v>
      </c>
      <c r="GWH612" s="5" t="s">
        <v>3728</v>
      </c>
      <c r="GWI612" s="17">
        <v>44925</v>
      </c>
      <c r="GWJ612" s="5" t="s">
        <v>3728</v>
      </c>
      <c r="GWK612" s="17">
        <v>44925</v>
      </c>
      <c r="GWL612" s="5" t="s">
        <v>3728</v>
      </c>
      <c r="GWM612" s="17">
        <v>44925</v>
      </c>
      <c r="GWN612" s="5" t="s">
        <v>3728</v>
      </c>
      <c r="GWO612" s="17">
        <v>44925</v>
      </c>
      <c r="GWP612" s="5" t="s">
        <v>3728</v>
      </c>
      <c r="GWQ612" s="17">
        <v>44925</v>
      </c>
      <c r="GWR612" s="5" t="s">
        <v>3728</v>
      </c>
      <c r="GWS612" s="17">
        <v>44925</v>
      </c>
      <c r="GWT612" s="5" t="s">
        <v>3728</v>
      </c>
      <c r="GWU612" s="17">
        <v>44925</v>
      </c>
      <c r="GWV612" s="5" t="s">
        <v>3728</v>
      </c>
      <c r="GWW612" s="17">
        <v>44925</v>
      </c>
      <c r="GWX612" s="5" t="s">
        <v>3728</v>
      </c>
      <c r="GWY612" s="17">
        <v>44925</v>
      </c>
      <c r="GWZ612" s="5" t="s">
        <v>3728</v>
      </c>
      <c r="GXA612" s="17">
        <v>44925</v>
      </c>
      <c r="GXB612" s="5" t="s">
        <v>3728</v>
      </c>
      <c r="GXC612" s="17">
        <v>44925</v>
      </c>
      <c r="GXD612" s="5" t="s">
        <v>3728</v>
      </c>
      <c r="GXE612" s="17">
        <v>44925</v>
      </c>
      <c r="GXF612" s="5" t="s">
        <v>3728</v>
      </c>
      <c r="GXG612" s="17">
        <v>44925</v>
      </c>
      <c r="GXH612" s="5" t="s">
        <v>3728</v>
      </c>
      <c r="GXI612" s="17">
        <v>44925</v>
      </c>
      <c r="GXJ612" s="5" t="s">
        <v>3728</v>
      </c>
      <c r="GXK612" s="17">
        <v>44925</v>
      </c>
      <c r="GXL612" s="5" t="s">
        <v>3728</v>
      </c>
      <c r="GXM612" s="17">
        <v>44925</v>
      </c>
      <c r="GXN612" s="5" t="s">
        <v>3728</v>
      </c>
      <c r="GXO612" s="17">
        <v>44925</v>
      </c>
      <c r="GXP612" s="5" t="s">
        <v>3728</v>
      </c>
      <c r="GXQ612" s="17">
        <v>44925</v>
      </c>
      <c r="GXR612" s="5" t="s">
        <v>3728</v>
      </c>
      <c r="GXS612" s="17">
        <v>44925</v>
      </c>
      <c r="GXT612" s="5" t="s">
        <v>3728</v>
      </c>
      <c r="GXU612" s="17">
        <v>44925</v>
      </c>
      <c r="GXV612" s="5" t="s">
        <v>3728</v>
      </c>
      <c r="GXW612" s="17">
        <v>44925</v>
      </c>
      <c r="GXX612" s="5" t="s">
        <v>3728</v>
      </c>
      <c r="GXY612" s="17">
        <v>44925</v>
      </c>
      <c r="GXZ612" s="5" t="s">
        <v>3728</v>
      </c>
      <c r="GYA612" s="17">
        <v>44925</v>
      </c>
      <c r="GYB612" s="5" t="s">
        <v>3728</v>
      </c>
      <c r="GYC612" s="17">
        <v>44925</v>
      </c>
      <c r="GYD612" s="5" t="s">
        <v>3728</v>
      </c>
      <c r="GYE612" s="17">
        <v>44925</v>
      </c>
      <c r="GYF612" s="5" t="s">
        <v>3728</v>
      </c>
      <c r="GYG612" s="17">
        <v>44925</v>
      </c>
      <c r="GYH612" s="5" t="s">
        <v>3728</v>
      </c>
      <c r="GYI612" s="17">
        <v>44925</v>
      </c>
      <c r="GYJ612" s="5" t="s">
        <v>3728</v>
      </c>
      <c r="GYK612" s="17">
        <v>44925</v>
      </c>
      <c r="GYL612" s="5" t="s">
        <v>3728</v>
      </c>
      <c r="GYM612" s="17">
        <v>44925</v>
      </c>
      <c r="GYN612" s="5" t="s">
        <v>3728</v>
      </c>
      <c r="GYO612" s="17">
        <v>44925</v>
      </c>
      <c r="GYP612" s="5" t="s">
        <v>3728</v>
      </c>
      <c r="GYQ612" s="17">
        <v>44925</v>
      </c>
      <c r="GYR612" s="5" t="s">
        <v>3728</v>
      </c>
      <c r="GYS612" s="17">
        <v>44925</v>
      </c>
      <c r="GYT612" s="5" t="s">
        <v>3728</v>
      </c>
      <c r="GYU612" s="17">
        <v>44925</v>
      </c>
      <c r="GYV612" s="5" t="s">
        <v>3728</v>
      </c>
      <c r="GYW612" s="17">
        <v>44925</v>
      </c>
      <c r="GYX612" s="5" t="s">
        <v>3728</v>
      </c>
      <c r="GYY612" s="17">
        <v>44925</v>
      </c>
      <c r="GYZ612" s="5" t="s">
        <v>3728</v>
      </c>
      <c r="GZA612" s="17">
        <v>44925</v>
      </c>
      <c r="GZB612" s="5" t="s">
        <v>3728</v>
      </c>
      <c r="GZC612" s="17">
        <v>44925</v>
      </c>
      <c r="GZD612" s="5" t="s">
        <v>3728</v>
      </c>
      <c r="GZE612" s="17">
        <v>44925</v>
      </c>
      <c r="GZF612" s="5" t="s">
        <v>3728</v>
      </c>
      <c r="GZG612" s="17">
        <v>44925</v>
      </c>
      <c r="GZH612" s="5" t="s">
        <v>3728</v>
      </c>
      <c r="GZI612" s="17">
        <v>44925</v>
      </c>
      <c r="GZJ612" s="5" t="s">
        <v>3728</v>
      </c>
      <c r="GZK612" s="17">
        <v>44925</v>
      </c>
      <c r="GZL612" s="5" t="s">
        <v>3728</v>
      </c>
      <c r="GZM612" s="17">
        <v>44925</v>
      </c>
      <c r="GZN612" s="5" t="s">
        <v>3728</v>
      </c>
      <c r="GZO612" s="17">
        <v>44925</v>
      </c>
      <c r="GZP612" s="5" t="s">
        <v>3728</v>
      </c>
      <c r="GZQ612" s="17">
        <v>44925</v>
      </c>
      <c r="GZR612" s="5" t="s">
        <v>3728</v>
      </c>
      <c r="GZS612" s="17">
        <v>44925</v>
      </c>
      <c r="GZT612" s="5" t="s">
        <v>3728</v>
      </c>
      <c r="GZU612" s="17">
        <v>44925</v>
      </c>
      <c r="GZV612" s="5" t="s">
        <v>3728</v>
      </c>
      <c r="GZW612" s="17">
        <v>44925</v>
      </c>
      <c r="GZX612" s="5" t="s">
        <v>3728</v>
      </c>
      <c r="GZY612" s="17">
        <v>44925</v>
      </c>
      <c r="GZZ612" s="5" t="s">
        <v>3728</v>
      </c>
      <c r="HAA612" s="17">
        <v>44925</v>
      </c>
      <c r="HAB612" s="5" t="s">
        <v>3728</v>
      </c>
      <c r="HAC612" s="17">
        <v>44925</v>
      </c>
      <c r="HAD612" s="5" t="s">
        <v>3728</v>
      </c>
      <c r="HAE612" s="17">
        <v>44925</v>
      </c>
      <c r="HAF612" s="5" t="s">
        <v>3728</v>
      </c>
      <c r="HAG612" s="17">
        <v>44925</v>
      </c>
      <c r="HAH612" s="5" t="s">
        <v>3728</v>
      </c>
      <c r="HAI612" s="17">
        <v>44925</v>
      </c>
      <c r="HAJ612" s="5" t="s">
        <v>3728</v>
      </c>
      <c r="HAK612" s="17">
        <v>44925</v>
      </c>
      <c r="HAL612" s="5" t="s">
        <v>3728</v>
      </c>
      <c r="HAM612" s="17">
        <v>44925</v>
      </c>
      <c r="HAN612" s="5" t="s">
        <v>3728</v>
      </c>
      <c r="HAO612" s="17">
        <v>44925</v>
      </c>
      <c r="HAP612" s="5" t="s">
        <v>3728</v>
      </c>
      <c r="HAQ612" s="17">
        <v>44925</v>
      </c>
      <c r="HAR612" s="5" t="s">
        <v>3728</v>
      </c>
      <c r="HAS612" s="17">
        <v>44925</v>
      </c>
      <c r="HAT612" s="5" t="s">
        <v>3728</v>
      </c>
      <c r="HAU612" s="17">
        <v>44925</v>
      </c>
      <c r="HAV612" s="5" t="s">
        <v>3728</v>
      </c>
      <c r="HAW612" s="17">
        <v>44925</v>
      </c>
      <c r="HAX612" s="5" t="s">
        <v>3728</v>
      </c>
      <c r="HAY612" s="17">
        <v>44925</v>
      </c>
      <c r="HAZ612" s="5" t="s">
        <v>3728</v>
      </c>
      <c r="HBA612" s="17">
        <v>44925</v>
      </c>
      <c r="HBB612" s="5" t="s">
        <v>3728</v>
      </c>
      <c r="HBC612" s="17">
        <v>44925</v>
      </c>
      <c r="HBD612" s="5" t="s">
        <v>3728</v>
      </c>
      <c r="HBE612" s="17">
        <v>44925</v>
      </c>
      <c r="HBF612" s="5" t="s">
        <v>3728</v>
      </c>
      <c r="HBG612" s="17">
        <v>44925</v>
      </c>
      <c r="HBH612" s="5" t="s">
        <v>3728</v>
      </c>
      <c r="HBI612" s="17">
        <v>44925</v>
      </c>
      <c r="HBJ612" s="5" t="s">
        <v>3728</v>
      </c>
      <c r="HBK612" s="17">
        <v>44925</v>
      </c>
      <c r="HBL612" s="5" t="s">
        <v>3728</v>
      </c>
      <c r="HBM612" s="17">
        <v>44925</v>
      </c>
      <c r="HBN612" s="5" t="s">
        <v>3728</v>
      </c>
      <c r="HBO612" s="17">
        <v>44925</v>
      </c>
      <c r="HBP612" s="5" t="s">
        <v>3728</v>
      </c>
      <c r="HBQ612" s="17">
        <v>44925</v>
      </c>
      <c r="HBR612" s="5" t="s">
        <v>3728</v>
      </c>
      <c r="HBS612" s="17">
        <v>44925</v>
      </c>
      <c r="HBT612" s="5" t="s">
        <v>3728</v>
      </c>
      <c r="HBU612" s="17">
        <v>44925</v>
      </c>
      <c r="HBV612" s="5" t="s">
        <v>3728</v>
      </c>
      <c r="HBW612" s="17">
        <v>44925</v>
      </c>
      <c r="HBX612" s="5" t="s">
        <v>3728</v>
      </c>
      <c r="HBY612" s="17">
        <v>44925</v>
      </c>
      <c r="HBZ612" s="5" t="s">
        <v>3728</v>
      </c>
      <c r="HCA612" s="17">
        <v>44925</v>
      </c>
      <c r="HCB612" s="5" t="s">
        <v>3728</v>
      </c>
      <c r="HCC612" s="17">
        <v>44925</v>
      </c>
      <c r="HCD612" s="5" t="s">
        <v>3728</v>
      </c>
      <c r="HCE612" s="17">
        <v>44925</v>
      </c>
      <c r="HCF612" s="5" t="s">
        <v>3728</v>
      </c>
      <c r="HCG612" s="17">
        <v>44925</v>
      </c>
      <c r="HCH612" s="5" t="s">
        <v>3728</v>
      </c>
      <c r="HCI612" s="17">
        <v>44925</v>
      </c>
      <c r="HCJ612" s="5" t="s">
        <v>3728</v>
      </c>
      <c r="HCK612" s="17">
        <v>44925</v>
      </c>
      <c r="HCL612" s="5" t="s">
        <v>3728</v>
      </c>
      <c r="HCM612" s="17">
        <v>44925</v>
      </c>
      <c r="HCN612" s="5" t="s">
        <v>3728</v>
      </c>
      <c r="HCO612" s="17">
        <v>44925</v>
      </c>
      <c r="HCP612" s="5" t="s">
        <v>3728</v>
      </c>
      <c r="HCQ612" s="17">
        <v>44925</v>
      </c>
      <c r="HCR612" s="5" t="s">
        <v>3728</v>
      </c>
      <c r="HCS612" s="17">
        <v>44925</v>
      </c>
      <c r="HCT612" s="5" t="s">
        <v>3728</v>
      </c>
      <c r="HCU612" s="17">
        <v>44925</v>
      </c>
      <c r="HCV612" s="5" t="s">
        <v>3728</v>
      </c>
      <c r="HCW612" s="17">
        <v>44925</v>
      </c>
      <c r="HCX612" s="5" t="s">
        <v>3728</v>
      </c>
      <c r="HCY612" s="17">
        <v>44925</v>
      </c>
      <c r="HCZ612" s="5" t="s">
        <v>3728</v>
      </c>
      <c r="HDA612" s="17">
        <v>44925</v>
      </c>
      <c r="HDB612" s="5" t="s">
        <v>3728</v>
      </c>
      <c r="HDC612" s="17">
        <v>44925</v>
      </c>
      <c r="HDD612" s="5" t="s">
        <v>3728</v>
      </c>
      <c r="HDE612" s="17">
        <v>44925</v>
      </c>
      <c r="HDF612" s="5" t="s">
        <v>3728</v>
      </c>
      <c r="HDG612" s="17">
        <v>44925</v>
      </c>
      <c r="HDH612" s="5" t="s">
        <v>3728</v>
      </c>
      <c r="HDI612" s="17">
        <v>44925</v>
      </c>
      <c r="HDJ612" s="5" t="s">
        <v>3728</v>
      </c>
      <c r="HDK612" s="17">
        <v>44925</v>
      </c>
      <c r="HDL612" s="5" t="s">
        <v>3728</v>
      </c>
      <c r="HDM612" s="17">
        <v>44925</v>
      </c>
      <c r="HDN612" s="5" t="s">
        <v>3728</v>
      </c>
      <c r="HDO612" s="17">
        <v>44925</v>
      </c>
      <c r="HDP612" s="5" t="s">
        <v>3728</v>
      </c>
      <c r="HDQ612" s="17">
        <v>44925</v>
      </c>
      <c r="HDR612" s="5" t="s">
        <v>3728</v>
      </c>
      <c r="HDS612" s="17">
        <v>44925</v>
      </c>
      <c r="HDT612" s="5" t="s">
        <v>3728</v>
      </c>
      <c r="HDU612" s="17">
        <v>44925</v>
      </c>
      <c r="HDV612" s="5" t="s">
        <v>3728</v>
      </c>
      <c r="HDW612" s="17">
        <v>44925</v>
      </c>
      <c r="HDX612" s="5" t="s">
        <v>3728</v>
      </c>
      <c r="HDY612" s="17">
        <v>44925</v>
      </c>
      <c r="HDZ612" s="5" t="s">
        <v>3728</v>
      </c>
      <c r="HEA612" s="17">
        <v>44925</v>
      </c>
      <c r="HEB612" s="5" t="s">
        <v>3728</v>
      </c>
      <c r="HEC612" s="17">
        <v>44925</v>
      </c>
      <c r="HED612" s="5" t="s">
        <v>3728</v>
      </c>
      <c r="HEE612" s="17">
        <v>44925</v>
      </c>
      <c r="HEF612" s="5" t="s">
        <v>3728</v>
      </c>
      <c r="HEG612" s="17">
        <v>44925</v>
      </c>
      <c r="HEH612" s="5" t="s">
        <v>3728</v>
      </c>
      <c r="HEI612" s="17">
        <v>44925</v>
      </c>
      <c r="HEJ612" s="5" t="s">
        <v>3728</v>
      </c>
      <c r="HEK612" s="17">
        <v>44925</v>
      </c>
      <c r="HEL612" s="5" t="s">
        <v>3728</v>
      </c>
      <c r="HEM612" s="17">
        <v>44925</v>
      </c>
      <c r="HEN612" s="5" t="s">
        <v>3728</v>
      </c>
      <c r="HEO612" s="17">
        <v>44925</v>
      </c>
      <c r="HEP612" s="5" t="s">
        <v>3728</v>
      </c>
      <c r="HEQ612" s="17">
        <v>44925</v>
      </c>
      <c r="HER612" s="5" t="s">
        <v>3728</v>
      </c>
      <c r="HES612" s="17">
        <v>44925</v>
      </c>
      <c r="HET612" s="5" t="s">
        <v>3728</v>
      </c>
      <c r="HEU612" s="17">
        <v>44925</v>
      </c>
      <c r="HEV612" s="5" t="s">
        <v>3728</v>
      </c>
      <c r="HEW612" s="17">
        <v>44925</v>
      </c>
      <c r="HEX612" s="5" t="s">
        <v>3728</v>
      </c>
      <c r="HEY612" s="17">
        <v>44925</v>
      </c>
      <c r="HEZ612" s="5" t="s">
        <v>3728</v>
      </c>
      <c r="HFA612" s="17">
        <v>44925</v>
      </c>
      <c r="HFB612" s="5" t="s">
        <v>3728</v>
      </c>
      <c r="HFC612" s="17">
        <v>44925</v>
      </c>
      <c r="HFD612" s="5" t="s">
        <v>3728</v>
      </c>
      <c r="HFE612" s="17">
        <v>44925</v>
      </c>
      <c r="HFF612" s="5" t="s">
        <v>3728</v>
      </c>
      <c r="HFG612" s="17">
        <v>44925</v>
      </c>
      <c r="HFH612" s="5" t="s">
        <v>3728</v>
      </c>
      <c r="HFI612" s="17">
        <v>44925</v>
      </c>
      <c r="HFJ612" s="5" t="s">
        <v>3728</v>
      </c>
      <c r="HFK612" s="17">
        <v>44925</v>
      </c>
      <c r="HFL612" s="5" t="s">
        <v>3728</v>
      </c>
      <c r="HFM612" s="17">
        <v>44925</v>
      </c>
      <c r="HFN612" s="5" t="s">
        <v>3728</v>
      </c>
      <c r="HFO612" s="17">
        <v>44925</v>
      </c>
      <c r="HFP612" s="5" t="s">
        <v>3728</v>
      </c>
      <c r="HFQ612" s="17">
        <v>44925</v>
      </c>
      <c r="HFR612" s="5" t="s">
        <v>3728</v>
      </c>
      <c r="HFS612" s="17">
        <v>44925</v>
      </c>
      <c r="HFT612" s="5" t="s">
        <v>3728</v>
      </c>
      <c r="HFU612" s="17">
        <v>44925</v>
      </c>
      <c r="HFV612" s="5" t="s">
        <v>3728</v>
      </c>
      <c r="HFW612" s="17">
        <v>44925</v>
      </c>
      <c r="HFX612" s="5" t="s">
        <v>3728</v>
      </c>
      <c r="HFY612" s="17">
        <v>44925</v>
      </c>
      <c r="HFZ612" s="5" t="s">
        <v>3728</v>
      </c>
      <c r="HGA612" s="17">
        <v>44925</v>
      </c>
      <c r="HGB612" s="5" t="s">
        <v>3728</v>
      </c>
      <c r="HGC612" s="17">
        <v>44925</v>
      </c>
      <c r="HGD612" s="5" t="s">
        <v>3728</v>
      </c>
      <c r="HGE612" s="17">
        <v>44925</v>
      </c>
      <c r="HGF612" s="5" t="s">
        <v>3728</v>
      </c>
      <c r="HGG612" s="17">
        <v>44925</v>
      </c>
      <c r="HGH612" s="5" t="s">
        <v>3728</v>
      </c>
      <c r="HGI612" s="17">
        <v>44925</v>
      </c>
      <c r="HGJ612" s="5" t="s">
        <v>3728</v>
      </c>
      <c r="HGK612" s="17">
        <v>44925</v>
      </c>
      <c r="HGL612" s="5" t="s">
        <v>3728</v>
      </c>
      <c r="HGM612" s="17">
        <v>44925</v>
      </c>
      <c r="HGN612" s="5" t="s">
        <v>3728</v>
      </c>
      <c r="HGO612" s="17">
        <v>44925</v>
      </c>
      <c r="HGP612" s="5" t="s">
        <v>3728</v>
      </c>
      <c r="HGQ612" s="17">
        <v>44925</v>
      </c>
      <c r="HGR612" s="5" t="s">
        <v>3728</v>
      </c>
      <c r="HGS612" s="17">
        <v>44925</v>
      </c>
      <c r="HGT612" s="5" t="s">
        <v>3728</v>
      </c>
      <c r="HGU612" s="17">
        <v>44925</v>
      </c>
      <c r="HGV612" s="5" t="s">
        <v>3728</v>
      </c>
      <c r="HGW612" s="17">
        <v>44925</v>
      </c>
      <c r="HGX612" s="5" t="s">
        <v>3728</v>
      </c>
      <c r="HGY612" s="17">
        <v>44925</v>
      </c>
      <c r="HGZ612" s="5" t="s">
        <v>3728</v>
      </c>
      <c r="HHA612" s="17">
        <v>44925</v>
      </c>
      <c r="HHB612" s="5" t="s">
        <v>3728</v>
      </c>
      <c r="HHC612" s="17">
        <v>44925</v>
      </c>
      <c r="HHD612" s="5" t="s">
        <v>3728</v>
      </c>
      <c r="HHE612" s="17">
        <v>44925</v>
      </c>
      <c r="HHF612" s="5" t="s">
        <v>3728</v>
      </c>
      <c r="HHG612" s="17">
        <v>44925</v>
      </c>
      <c r="HHH612" s="5" t="s">
        <v>3728</v>
      </c>
      <c r="HHI612" s="17">
        <v>44925</v>
      </c>
      <c r="HHJ612" s="5" t="s">
        <v>3728</v>
      </c>
      <c r="HHK612" s="17">
        <v>44925</v>
      </c>
      <c r="HHL612" s="5" t="s">
        <v>3728</v>
      </c>
      <c r="HHM612" s="17">
        <v>44925</v>
      </c>
      <c r="HHN612" s="5" t="s">
        <v>3728</v>
      </c>
      <c r="HHO612" s="17">
        <v>44925</v>
      </c>
      <c r="HHP612" s="5" t="s">
        <v>3728</v>
      </c>
      <c r="HHQ612" s="17">
        <v>44925</v>
      </c>
      <c r="HHR612" s="5" t="s">
        <v>3728</v>
      </c>
      <c r="HHS612" s="17">
        <v>44925</v>
      </c>
      <c r="HHT612" s="5" t="s">
        <v>3728</v>
      </c>
      <c r="HHU612" s="17">
        <v>44925</v>
      </c>
      <c r="HHV612" s="5" t="s">
        <v>3728</v>
      </c>
      <c r="HHW612" s="17">
        <v>44925</v>
      </c>
      <c r="HHX612" s="5" t="s">
        <v>3728</v>
      </c>
      <c r="HHY612" s="17">
        <v>44925</v>
      </c>
      <c r="HHZ612" s="5" t="s">
        <v>3728</v>
      </c>
      <c r="HIA612" s="17">
        <v>44925</v>
      </c>
      <c r="HIB612" s="5" t="s">
        <v>3728</v>
      </c>
      <c r="HIC612" s="17">
        <v>44925</v>
      </c>
      <c r="HID612" s="5" t="s">
        <v>3728</v>
      </c>
      <c r="HIE612" s="17">
        <v>44925</v>
      </c>
      <c r="HIF612" s="5" t="s">
        <v>3728</v>
      </c>
      <c r="HIG612" s="17">
        <v>44925</v>
      </c>
      <c r="HIH612" s="5" t="s">
        <v>3728</v>
      </c>
      <c r="HII612" s="17">
        <v>44925</v>
      </c>
      <c r="HIJ612" s="5" t="s">
        <v>3728</v>
      </c>
      <c r="HIK612" s="17">
        <v>44925</v>
      </c>
      <c r="HIL612" s="5" t="s">
        <v>3728</v>
      </c>
      <c r="HIM612" s="17">
        <v>44925</v>
      </c>
      <c r="HIN612" s="5" t="s">
        <v>3728</v>
      </c>
      <c r="HIO612" s="17">
        <v>44925</v>
      </c>
      <c r="HIP612" s="5" t="s">
        <v>3728</v>
      </c>
      <c r="HIQ612" s="17">
        <v>44925</v>
      </c>
      <c r="HIR612" s="5" t="s">
        <v>3728</v>
      </c>
      <c r="HIS612" s="17">
        <v>44925</v>
      </c>
      <c r="HIT612" s="5" t="s">
        <v>3728</v>
      </c>
      <c r="HIU612" s="17">
        <v>44925</v>
      </c>
      <c r="HIV612" s="5" t="s">
        <v>3728</v>
      </c>
      <c r="HIW612" s="17">
        <v>44925</v>
      </c>
      <c r="HIX612" s="5" t="s">
        <v>3728</v>
      </c>
      <c r="HIY612" s="17">
        <v>44925</v>
      </c>
      <c r="HIZ612" s="5" t="s">
        <v>3728</v>
      </c>
      <c r="HJA612" s="17">
        <v>44925</v>
      </c>
      <c r="HJB612" s="5" t="s">
        <v>3728</v>
      </c>
      <c r="HJC612" s="17">
        <v>44925</v>
      </c>
      <c r="HJD612" s="5" t="s">
        <v>3728</v>
      </c>
      <c r="HJE612" s="17">
        <v>44925</v>
      </c>
      <c r="HJF612" s="5" t="s">
        <v>3728</v>
      </c>
      <c r="HJG612" s="17">
        <v>44925</v>
      </c>
      <c r="HJH612" s="5" t="s">
        <v>3728</v>
      </c>
      <c r="HJI612" s="17">
        <v>44925</v>
      </c>
      <c r="HJJ612" s="5" t="s">
        <v>3728</v>
      </c>
      <c r="HJK612" s="17">
        <v>44925</v>
      </c>
      <c r="HJL612" s="5" t="s">
        <v>3728</v>
      </c>
      <c r="HJM612" s="17">
        <v>44925</v>
      </c>
      <c r="HJN612" s="5" t="s">
        <v>3728</v>
      </c>
      <c r="HJO612" s="17">
        <v>44925</v>
      </c>
      <c r="HJP612" s="5" t="s">
        <v>3728</v>
      </c>
      <c r="HJQ612" s="17">
        <v>44925</v>
      </c>
      <c r="HJR612" s="5" t="s">
        <v>3728</v>
      </c>
      <c r="HJS612" s="17">
        <v>44925</v>
      </c>
      <c r="HJT612" s="5" t="s">
        <v>3728</v>
      </c>
      <c r="HJU612" s="17">
        <v>44925</v>
      </c>
      <c r="HJV612" s="5" t="s">
        <v>3728</v>
      </c>
      <c r="HJW612" s="17">
        <v>44925</v>
      </c>
      <c r="HJX612" s="5" t="s">
        <v>3728</v>
      </c>
      <c r="HJY612" s="17">
        <v>44925</v>
      </c>
      <c r="HJZ612" s="5" t="s">
        <v>3728</v>
      </c>
      <c r="HKA612" s="17">
        <v>44925</v>
      </c>
      <c r="HKB612" s="5" t="s">
        <v>3728</v>
      </c>
      <c r="HKC612" s="17">
        <v>44925</v>
      </c>
      <c r="HKD612" s="5" t="s">
        <v>3728</v>
      </c>
      <c r="HKE612" s="17">
        <v>44925</v>
      </c>
      <c r="HKF612" s="5" t="s">
        <v>3728</v>
      </c>
      <c r="HKG612" s="17">
        <v>44925</v>
      </c>
      <c r="HKH612" s="5" t="s">
        <v>3728</v>
      </c>
      <c r="HKI612" s="17">
        <v>44925</v>
      </c>
      <c r="HKJ612" s="5" t="s">
        <v>3728</v>
      </c>
      <c r="HKK612" s="17">
        <v>44925</v>
      </c>
      <c r="HKL612" s="5" t="s">
        <v>3728</v>
      </c>
      <c r="HKM612" s="17">
        <v>44925</v>
      </c>
      <c r="HKN612" s="5" t="s">
        <v>3728</v>
      </c>
      <c r="HKO612" s="17">
        <v>44925</v>
      </c>
      <c r="HKP612" s="5" t="s">
        <v>3728</v>
      </c>
      <c r="HKQ612" s="17">
        <v>44925</v>
      </c>
      <c r="HKR612" s="5" t="s">
        <v>3728</v>
      </c>
      <c r="HKS612" s="17">
        <v>44925</v>
      </c>
      <c r="HKT612" s="5" t="s">
        <v>3728</v>
      </c>
      <c r="HKU612" s="17">
        <v>44925</v>
      </c>
      <c r="HKV612" s="5" t="s">
        <v>3728</v>
      </c>
      <c r="HKW612" s="17">
        <v>44925</v>
      </c>
      <c r="HKX612" s="5" t="s">
        <v>3728</v>
      </c>
      <c r="HKY612" s="17">
        <v>44925</v>
      </c>
      <c r="HKZ612" s="5" t="s">
        <v>3728</v>
      </c>
      <c r="HLA612" s="17">
        <v>44925</v>
      </c>
      <c r="HLB612" s="5" t="s">
        <v>3728</v>
      </c>
      <c r="HLC612" s="17">
        <v>44925</v>
      </c>
      <c r="HLD612" s="5" t="s">
        <v>3728</v>
      </c>
      <c r="HLE612" s="17">
        <v>44925</v>
      </c>
      <c r="HLF612" s="5" t="s">
        <v>3728</v>
      </c>
      <c r="HLG612" s="17">
        <v>44925</v>
      </c>
      <c r="HLH612" s="5" t="s">
        <v>3728</v>
      </c>
      <c r="HLI612" s="17">
        <v>44925</v>
      </c>
      <c r="HLJ612" s="5" t="s">
        <v>3728</v>
      </c>
      <c r="HLK612" s="17">
        <v>44925</v>
      </c>
      <c r="HLL612" s="5" t="s">
        <v>3728</v>
      </c>
      <c r="HLM612" s="17">
        <v>44925</v>
      </c>
      <c r="HLN612" s="5" t="s">
        <v>3728</v>
      </c>
      <c r="HLO612" s="17">
        <v>44925</v>
      </c>
      <c r="HLP612" s="5" t="s">
        <v>3728</v>
      </c>
      <c r="HLQ612" s="17">
        <v>44925</v>
      </c>
      <c r="HLR612" s="5" t="s">
        <v>3728</v>
      </c>
      <c r="HLS612" s="17">
        <v>44925</v>
      </c>
      <c r="HLT612" s="5" t="s">
        <v>3728</v>
      </c>
      <c r="HLU612" s="17">
        <v>44925</v>
      </c>
      <c r="HLV612" s="5" t="s">
        <v>3728</v>
      </c>
      <c r="HLW612" s="17">
        <v>44925</v>
      </c>
      <c r="HLX612" s="5" t="s">
        <v>3728</v>
      </c>
      <c r="HLY612" s="17">
        <v>44925</v>
      </c>
      <c r="HLZ612" s="5" t="s">
        <v>3728</v>
      </c>
      <c r="HMA612" s="17">
        <v>44925</v>
      </c>
      <c r="HMB612" s="5" t="s">
        <v>3728</v>
      </c>
      <c r="HMC612" s="17">
        <v>44925</v>
      </c>
      <c r="HMD612" s="5" t="s">
        <v>3728</v>
      </c>
      <c r="HME612" s="17">
        <v>44925</v>
      </c>
      <c r="HMF612" s="5" t="s">
        <v>3728</v>
      </c>
      <c r="HMG612" s="17">
        <v>44925</v>
      </c>
      <c r="HMH612" s="5" t="s">
        <v>3728</v>
      </c>
      <c r="HMI612" s="17">
        <v>44925</v>
      </c>
      <c r="HMJ612" s="5" t="s">
        <v>3728</v>
      </c>
      <c r="HMK612" s="17">
        <v>44925</v>
      </c>
      <c r="HML612" s="5" t="s">
        <v>3728</v>
      </c>
      <c r="HMM612" s="17">
        <v>44925</v>
      </c>
      <c r="HMN612" s="5" t="s">
        <v>3728</v>
      </c>
      <c r="HMO612" s="17">
        <v>44925</v>
      </c>
      <c r="HMP612" s="5" t="s">
        <v>3728</v>
      </c>
      <c r="HMQ612" s="17">
        <v>44925</v>
      </c>
      <c r="HMR612" s="5" t="s">
        <v>3728</v>
      </c>
      <c r="HMS612" s="17">
        <v>44925</v>
      </c>
      <c r="HMT612" s="5" t="s">
        <v>3728</v>
      </c>
      <c r="HMU612" s="17">
        <v>44925</v>
      </c>
      <c r="HMV612" s="5" t="s">
        <v>3728</v>
      </c>
      <c r="HMW612" s="17">
        <v>44925</v>
      </c>
      <c r="HMX612" s="5" t="s">
        <v>3728</v>
      </c>
      <c r="HMY612" s="17">
        <v>44925</v>
      </c>
      <c r="HMZ612" s="5" t="s">
        <v>3728</v>
      </c>
      <c r="HNA612" s="17">
        <v>44925</v>
      </c>
      <c r="HNB612" s="5" t="s">
        <v>3728</v>
      </c>
      <c r="HNC612" s="17">
        <v>44925</v>
      </c>
      <c r="HND612" s="5" t="s">
        <v>3728</v>
      </c>
      <c r="HNE612" s="17">
        <v>44925</v>
      </c>
      <c r="HNF612" s="5" t="s">
        <v>3728</v>
      </c>
      <c r="HNG612" s="17">
        <v>44925</v>
      </c>
      <c r="HNH612" s="5" t="s">
        <v>3728</v>
      </c>
      <c r="HNI612" s="17">
        <v>44925</v>
      </c>
      <c r="HNJ612" s="5" t="s">
        <v>3728</v>
      </c>
      <c r="HNK612" s="17">
        <v>44925</v>
      </c>
      <c r="HNL612" s="5" t="s">
        <v>3728</v>
      </c>
      <c r="HNM612" s="17">
        <v>44925</v>
      </c>
      <c r="HNN612" s="5" t="s">
        <v>3728</v>
      </c>
      <c r="HNO612" s="17">
        <v>44925</v>
      </c>
      <c r="HNP612" s="5" t="s">
        <v>3728</v>
      </c>
      <c r="HNQ612" s="17">
        <v>44925</v>
      </c>
      <c r="HNR612" s="5" t="s">
        <v>3728</v>
      </c>
      <c r="HNS612" s="17">
        <v>44925</v>
      </c>
      <c r="HNT612" s="5" t="s">
        <v>3728</v>
      </c>
      <c r="HNU612" s="17">
        <v>44925</v>
      </c>
      <c r="HNV612" s="5" t="s">
        <v>3728</v>
      </c>
      <c r="HNW612" s="17">
        <v>44925</v>
      </c>
      <c r="HNX612" s="5" t="s">
        <v>3728</v>
      </c>
      <c r="HNY612" s="17">
        <v>44925</v>
      </c>
      <c r="HNZ612" s="5" t="s">
        <v>3728</v>
      </c>
      <c r="HOA612" s="17">
        <v>44925</v>
      </c>
      <c r="HOB612" s="5" t="s">
        <v>3728</v>
      </c>
      <c r="HOC612" s="17">
        <v>44925</v>
      </c>
      <c r="HOD612" s="5" t="s">
        <v>3728</v>
      </c>
      <c r="HOE612" s="17">
        <v>44925</v>
      </c>
      <c r="HOF612" s="5" t="s">
        <v>3728</v>
      </c>
      <c r="HOG612" s="17">
        <v>44925</v>
      </c>
      <c r="HOH612" s="5" t="s">
        <v>3728</v>
      </c>
      <c r="HOI612" s="17">
        <v>44925</v>
      </c>
      <c r="HOJ612" s="5" t="s">
        <v>3728</v>
      </c>
      <c r="HOK612" s="17">
        <v>44925</v>
      </c>
      <c r="HOL612" s="5" t="s">
        <v>3728</v>
      </c>
      <c r="HOM612" s="17">
        <v>44925</v>
      </c>
      <c r="HON612" s="5" t="s">
        <v>3728</v>
      </c>
      <c r="HOO612" s="17">
        <v>44925</v>
      </c>
      <c r="HOP612" s="5" t="s">
        <v>3728</v>
      </c>
      <c r="HOQ612" s="17">
        <v>44925</v>
      </c>
      <c r="HOR612" s="5" t="s">
        <v>3728</v>
      </c>
      <c r="HOS612" s="17">
        <v>44925</v>
      </c>
      <c r="HOT612" s="5" t="s">
        <v>3728</v>
      </c>
      <c r="HOU612" s="17">
        <v>44925</v>
      </c>
      <c r="HOV612" s="5" t="s">
        <v>3728</v>
      </c>
      <c r="HOW612" s="17">
        <v>44925</v>
      </c>
      <c r="HOX612" s="5" t="s">
        <v>3728</v>
      </c>
      <c r="HOY612" s="17">
        <v>44925</v>
      </c>
      <c r="HOZ612" s="5" t="s">
        <v>3728</v>
      </c>
      <c r="HPA612" s="17">
        <v>44925</v>
      </c>
      <c r="HPB612" s="5" t="s">
        <v>3728</v>
      </c>
      <c r="HPC612" s="17">
        <v>44925</v>
      </c>
      <c r="HPD612" s="5" t="s">
        <v>3728</v>
      </c>
      <c r="HPE612" s="17">
        <v>44925</v>
      </c>
      <c r="HPF612" s="5" t="s">
        <v>3728</v>
      </c>
      <c r="HPG612" s="17">
        <v>44925</v>
      </c>
      <c r="HPH612" s="5" t="s">
        <v>3728</v>
      </c>
      <c r="HPI612" s="17">
        <v>44925</v>
      </c>
      <c r="HPJ612" s="5" t="s">
        <v>3728</v>
      </c>
      <c r="HPK612" s="17">
        <v>44925</v>
      </c>
      <c r="HPL612" s="5" t="s">
        <v>3728</v>
      </c>
      <c r="HPM612" s="17">
        <v>44925</v>
      </c>
      <c r="HPN612" s="5" t="s">
        <v>3728</v>
      </c>
      <c r="HPO612" s="17">
        <v>44925</v>
      </c>
      <c r="HPP612" s="5" t="s">
        <v>3728</v>
      </c>
      <c r="HPQ612" s="17">
        <v>44925</v>
      </c>
      <c r="HPR612" s="5" t="s">
        <v>3728</v>
      </c>
      <c r="HPS612" s="17">
        <v>44925</v>
      </c>
      <c r="HPT612" s="5" t="s">
        <v>3728</v>
      </c>
      <c r="HPU612" s="17">
        <v>44925</v>
      </c>
      <c r="HPV612" s="5" t="s">
        <v>3728</v>
      </c>
      <c r="HPW612" s="17">
        <v>44925</v>
      </c>
      <c r="HPX612" s="5" t="s">
        <v>3728</v>
      </c>
      <c r="HPY612" s="17">
        <v>44925</v>
      </c>
      <c r="HPZ612" s="5" t="s">
        <v>3728</v>
      </c>
      <c r="HQA612" s="17">
        <v>44925</v>
      </c>
      <c r="HQB612" s="5" t="s">
        <v>3728</v>
      </c>
      <c r="HQC612" s="17">
        <v>44925</v>
      </c>
      <c r="HQD612" s="5" t="s">
        <v>3728</v>
      </c>
      <c r="HQE612" s="17">
        <v>44925</v>
      </c>
      <c r="HQF612" s="5" t="s">
        <v>3728</v>
      </c>
      <c r="HQG612" s="17">
        <v>44925</v>
      </c>
      <c r="HQH612" s="5" t="s">
        <v>3728</v>
      </c>
      <c r="HQI612" s="17">
        <v>44925</v>
      </c>
      <c r="HQJ612" s="5" t="s">
        <v>3728</v>
      </c>
      <c r="HQK612" s="17">
        <v>44925</v>
      </c>
      <c r="HQL612" s="5" t="s">
        <v>3728</v>
      </c>
      <c r="HQM612" s="17">
        <v>44925</v>
      </c>
      <c r="HQN612" s="5" t="s">
        <v>3728</v>
      </c>
      <c r="HQO612" s="17">
        <v>44925</v>
      </c>
      <c r="HQP612" s="5" t="s">
        <v>3728</v>
      </c>
      <c r="HQQ612" s="17">
        <v>44925</v>
      </c>
      <c r="HQR612" s="5" t="s">
        <v>3728</v>
      </c>
      <c r="HQS612" s="17">
        <v>44925</v>
      </c>
      <c r="HQT612" s="5" t="s">
        <v>3728</v>
      </c>
      <c r="HQU612" s="17">
        <v>44925</v>
      </c>
      <c r="HQV612" s="5" t="s">
        <v>3728</v>
      </c>
      <c r="HQW612" s="17">
        <v>44925</v>
      </c>
      <c r="HQX612" s="5" t="s">
        <v>3728</v>
      </c>
      <c r="HQY612" s="17">
        <v>44925</v>
      </c>
      <c r="HQZ612" s="5" t="s">
        <v>3728</v>
      </c>
      <c r="HRA612" s="17">
        <v>44925</v>
      </c>
      <c r="HRB612" s="5" t="s">
        <v>3728</v>
      </c>
      <c r="HRC612" s="17">
        <v>44925</v>
      </c>
      <c r="HRD612" s="5" t="s">
        <v>3728</v>
      </c>
      <c r="HRE612" s="17">
        <v>44925</v>
      </c>
      <c r="HRF612" s="5" t="s">
        <v>3728</v>
      </c>
      <c r="HRG612" s="17">
        <v>44925</v>
      </c>
      <c r="HRH612" s="5" t="s">
        <v>3728</v>
      </c>
      <c r="HRI612" s="17">
        <v>44925</v>
      </c>
      <c r="HRJ612" s="5" t="s">
        <v>3728</v>
      </c>
      <c r="HRK612" s="17">
        <v>44925</v>
      </c>
      <c r="HRL612" s="5" t="s">
        <v>3728</v>
      </c>
      <c r="HRM612" s="17">
        <v>44925</v>
      </c>
      <c r="HRN612" s="5" t="s">
        <v>3728</v>
      </c>
      <c r="HRO612" s="17">
        <v>44925</v>
      </c>
      <c r="HRP612" s="5" t="s">
        <v>3728</v>
      </c>
      <c r="HRQ612" s="17">
        <v>44925</v>
      </c>
      <c r="HRR612" s="5" t="s">
        <v>3728</v>
      </c>
      <c r="HRS612" s="17">
        <v>44925</v>
      </c>
      <c r="HRT612" s="5" t="s">
        <v>3728</v>
      </c>
      <c r="HRU612" s="17">
        <v>44925</v>
      </c>
      <c r="HRV612" s="5" t="s">
        <v>3728</v>
      </c>
      <c r="HRW612" s="17">
        <v>44925</v>
      </c>
      <c r="HRX612" s="5" t="s">
        <v>3728</v>
      </c>
      <c r="HRY612" s="17">
        <v>44925</v>
      </c>
      <c r="HRZ612" s="5" t="s">
        <v>3728</v>
      </c>
      <c r="HSA612" s="17">
        <v>44925</v>
      </c>
      <c r="HSB612" s="5" t="s">
        <v>3728</v>
      </c>
      <c r="HSC612" s="17">
        <v>44925</v>
      </c>
      <c r="HSD612" s="5" t="s">
        <v>3728</v>
      </c>
      <c r="HSE612" s="17">
        <v>44925</v>
      </c>
      <c r="HSF612" s="5" t="s">
        <v>3728</v>
      </c>
      <c r="HSG612" s="17">
        <v>44925</v>
      </c>
      <c r="HSH612" s="5" t="s">
        <v>3728</v>
      </c>
      <c r="HSI612" s="17">
        <v>44925</v>
      </c>
      <c r="HSJ612" s="5" t="s">
        <v>3728</v>
      </c>
      <c r="HSK612" s="17">
        <v>44925</v>
      </c>
      <c r="HSL612" s="5" t="s">
        <v>3728</v>
      </c>
      <c r="HSM612" s="17">
        <v>44925</v>
      </c>
      <c r="HSN612" s="5" t="s">
        <v>3728</v>
      </c>
      <c r="HSO612" s="17">
        <v>44925</v>
      </c>
      <c r="HSP612" s="5" t="s">
        <v>3728</v>
      </c>
      <c r="HSQ612" s="17">
        <v>44925</v>
      </c>
      <c r="HSR612" s="5" t="s">
        <v>3728</v>
      </c>
      <c r="HSS612" s="17">
        <v>44925</v>
      </c>
      <c r="HST612" s="5" t="s">
        <v>3728</v>
      </c>
      <c r="HSU612" s="17">
        <v>44925</v>
      </c>
      <c r="HSV612" s="5" t="s">
        <v>3728</v>
      </c>
      <c r="HSW612" s="17">
        <v>44925</v>
      </c>
      <c r="HSX612" s="5" t="s">
        <v>3728</v>
      </c>
      <c r="HSY612" s="17">
        <v>44925</v>
      </c>
      <c r="HSZ612" s="5" t="s">
        <v>3728</v>
      </c>
      <c r="HTA612" s="17">
        <v>44925</v>
      </c>
      <c r="HTB612" s="5" t="s">
        <v>3728</v>
      </c>
      <c r="HTC612" s="17">
        <v>44925</v>
      </c>
      <c r="HTD612" s="5" t="s">
        <v>3728</v>
      </c>
      <c r="HTE612" s="17">
        <v>44925</v>
      </c>
      <c r="HTF612" s="5" t="s">
        <v>3728</v>
      </c>
      <c r="HTG612" s="17">
        <v>44925</v>
      </c>
      <c r="HTH612" s="5" t="s">
        <v>3728</v>
      </c>
      <c r="HTI612" s="17">
        <v>44925</v>
      </c>
      <c r="HTJ612" s="5" t="s">
        <v>3728</v>
      </c>
      <c r="HTK612" s="17">
        <v>44925</v>
      </c>
      <c r="HTL612" s="5" t="s">
        <v>3728</v>
      </c>
      <c r="HTM612" s="17">
        <v>44925</v>
      </c>
      <c r="HTN612" s="5" t="s">
        <v>3728</v>
      </c>
      <c r="HTO612" s="17">
        <v>44925</v>
      </c>
      <c r="HTP612" s="5" t="s">
        <v>3728</v>
      </c>
      <c r="HTQ612" s="17">
        <v>44925</v>
      </c>
      <c r="HTR612" s="5" t="s">
        <v>3728</v>
      </c>
      <c r="HTS612" s="17">
        <v>44925</v>
      </c>
      <c r="HTT612" s="5" t="s">
        <v>3728</v>
      </c>
      <c r="HTU612" s="17">
        <v>44925</v>
      </c>
      <c r="HTV612" s="5" t="s">
        <v>3728</v>
      </c>
      <c r="HTW612" s="17">
        <v>44925</v>
      </c>
      <c r="HTX612" s="5" t="s">
        <v>3728</v>
      </c>
      <c r="HTY612" s="17">
        <v>44925</v>
      </c>
      <c r="HTZ612" s="5" t="s">
        <v>3728</v>
      </c>
      <c r="HUA612" s="17">
        <v>44925</v>
      </c>
      <c r="HUB612" s="5" t="s">
        <v>3728</v>
      </c>
      <c r="HUC612" s="17">
        <v>44925</v>
      </c>
      <c r="HUD612" s="5" t="s">
        <v>3728</v>
      </c>
      <c r="HUE612" s="17">
        <v>44925</v>
      </c>
      <c r="HUF612" s="5" t="s">
        <v>3728</v>
      </c>
      <c r="HUG612" s="17">
        <v>44925</v>
      </c>
      <c r="HUH612" s="5" t="s">
        <v>3728</v>
      </c>
      <c r="HUI612" s="17">
        <v>44925</v>
      </c>
      <c r="HUJ612" s="5" t="s">
        <v>3728</v>
      </c>
      <c r="HUK612" s="17">
        <v>44925</v>
      </c>
      <c r="HUL612" s="5" t="s">
        <v>3728</v>
      </c>
      <c r="HUM612" s="17">
        <v>44925</v>
      </c>
      <c r="HUN612" s="5" t="s">
        <v>3728</v>
      </c>
      <c r="HUO612" s="17">
        <v>44925</v>
      </c>
      <c r="HUP612" s="5" t="s">
        <v>3728</v>
      </c>
      <c r="HUQ612" s="17">
        <v>44925</v>
      </c>
      <c r="HUR612" s="5" t="s">
        <v>3728</v>
      </c>
      <c r="HUS612" s="17">
        <v>44925</v>
      </c>
      <c r="HUT612" s="5" t="s">
        <v>3728</v>
      </c>
      <c r="HUU612" s="17">
        <v>44925</v>
      </c>
      <c r="HUV612" s="5" t="s">
        <v>3728</v>
      </c>
      <c r="HUW612" s="17">
        <v>44925</v>
      </c>
      <c r="HUX612" s="5" t="s">
        <v>3728</v>
      </c>
      <c r="HUY612" s="17">
        <v>44925</v>
      </c>
      <c r="HUZ612" s="5" t="s">
        <v>3728</v>
      </c>
      <c r="HVA612" s="17">
        <v>44925</v>
      </c>
      <c r="HVB612" s="5" t="s">
        <v>3728</v>
      </c>
      <c r="HVC612" s="17">
        <v>44925</v>
      </c>
      <c r="HVD612" s="5" t="s">
        <v>3728</v>
      </c>
      <c r="HVE612" s="17">
        <v>44925</v>
      </c>
      <c r="HVF612" s="5" t="s">
        <v>3728</v>
      </c>
      <c r="HVG612" s="17">
        <v>44925</v>
      </c>
      <c r="HVH612" s="5" t="s">
        <v>3728</v>
      </c>
      <c r="HVI612" s="17">
        <v>44925</v>
      </c>
      <c r="HVJ612" s="5" t="s">
        <v>3728</v>
      </c>
      <c r="HVK612" s="17">
        <v>44925</v>
      </c>
      <c r="HVL612" s="5" t="s">
        <v>3728</v>
      </c>
      <c r="HVM612" s="17">
        <v>44925</v>
      </c>
      <c r="HVN612" s="5" t="s">
        <v>3728</v>
      </c>
      <c r="HVO612" s="17">
        <v>44925</v>
      </c>
      <c r="HVP612" s="5" t="s">
        <v>3728</v>
      </c>
      <c r="HVQ612" s="17">
        <v>44925</v>
      </c>
      <c r="HVR612" s="5" t="s">
        <v>3728</v>
      </c>
      <c r="HVS612" s="17">
        <v>44925</v>
      </c>
      <c r="HVT612" s="5" t="s">
        <v>3728</v>
      </c>
      <c r="HVU612" s="17">
        <v>44925</v>
      </c>
      <c r="HVV612" s="5" t="s">
        <v>3728</v>
      </c>
      <c r="HVW612" s="17">
        <v>44925</v>
      </c>
      <c r="HVX612" s="5" t="s">
        <v>3728</v>
      </c>
      <c r="HVY612" s="17">
        <v>44925</v>
      </c>
      <c r="HVZ612" s="5" t="s">
        <v>3728</v>
      </c>
      <c r="HWA612" s="17">
        <v>44925</v>
      </c>
      <c r="HWB612" s="5" t="s">
        <v>3728</v>
      </c>
      <c r="HWC612" s="17">
        <v>44925</v>
      </c>
      <c r="HWD612" s="5" t="s">
        <v>3728</v>
      </c>
      <c r="HWE612" s="17">
        <v>44925</v>
      </c>
      <c r="HWF612" s="5" t="s">
        <v>3728</v>
      </c>
      <c r="HWG612" s="17">
        <v>44925</v>
      </c>
      <c r="HWH612" s="5" t="s">
        <v>3728</v>
      </c>
      <c r="HWI612" s="17">
        <v>44925</v>
      </c>
      <c r="HWJ612" s="5" t="s">
        <v>3728</v>
      </c>
      <c r="HWK612" s="17">
        <v>44925</v>
      </c>
      <c r="HWL612" s="5" t="s">
        <v>3728</v>
      </c>
      <c r="HWM612" s="17">
        <v>44925</v>
      </c>
      <c r="HWN612" s="5" t="s">
        <v>3728</v>
      </c>
      <c r="HWO612" s="17">
        <v>44925</v>
      </c>
      <c r="HWP612" s="5" t="s">
        <v>3728</v>
      </c>
      <c r="HWQ612" s="17">
        <v>44925</v>
      </c>
      <c r="HWR612" s="5" t="s">
        <v>3728</v>
      </c>
      <c r="HWS612" s="17">
        <v>44925</v>
      </c>
      <c r="HWT612" s="5" t="s">
        <v>3728</v>
      </c>
      <c r="HWU612" s="17">
        <v>44925</v>
      </c>
      <c r="HWV612" s="5" t="s">
        <v>3728</v>
      </c>
      <c r="HWW612" s="17">
        <v>44925</v>
      </c>
      <c r="HWX612" s="5" t="s">
        <v>3728</v>
      </c>
      <c r="HWY612" s="17">
        <v>44925</v>
      </c>
      <c r="HWZ612" s="5" t="s">
        <v>3728</v>
      </c>
      <c r="HXA612" s="17">
        <v>44925</v>
      </c>
      <c r="HXB612" s="5" t="s">
        <v>3728</v>
      </c>
      <c r="HXC612" s="17">
        <v>44925</v>
      </c>
      <c r="HXD612" s="5" t="s">
        <v>3728</v>
      </c>
      <c r="HXE612" s="17">
        <v>44925</v>
      </c>
      <c r="HXF612" s="5" t="s">
        <v>3728</v>
      </c>
      <c r="HXG612" s="17">
        <v>44925</v>
      </c>
      <c r="HXH612" s="5" t="s">
        <v>3728</v>
      </c>
      <c r="HXI612" s="17">
        <v>44925</v>
      </c>
      <c r="HXJ612" s="5" t="s">
        <v>3728</v>
      </c>
      <c r="HXK612" s="17">
        <v>44925</v>
      </c>
      <c r="HXL612" s="5" t="s">
        <v>3728</v>
      </c>
      <c r="HXM612" s="17">
        <v>44925</v>
      </c>
      <c r="HXN612" s="5" t="s">
        <v>3728</v>
      </c>
      <c r="HXO612" s="17">
        <v>44925</v>
      </c>
      <c r="HXP612" s="5" t="s">
        <v>3728</v>
      </c>
      <c r="HXQ612" s="17">
        <v>44925</v>
      </c>
      <c r="HXR612" s="5" t="s">
        <v>3728</v>
      </c>
      <c r="HXS612" s="17">
        <v>44925</v>
      </c>
      <c r="HXT612" s="5" t="s">
        <v>3728</v>
      </c>
      <c r="HXU612" s="17">
        <v>44925</v>
      </c>
      <c r="HXV612" s="5" t="s">
        <v>3728</v>
      </c>
      <c r="HXW612" s="17">
        <v>44925</v>
      </c>
      <c r="HXX612" s="5" t="s">
        <v>3728</v>
      </c>
      <c r="HXY612" s="17">
        <v>44925</v>
      </c>
      <c r="HXZ612" s="5" t="s">
        <v>3728</v>
      </c>
      <c r="HYA612" s="17">
        <v>44925</v>
      </c>
      <c r="HYB612" s="5" t="s">
        <v>3728</v>
      </c>
      <c r="HYC612" s="17">
        <v>44925</v>
      </c>
      <c r="HYD612" s="5" t="s">
        <v>3728</v>
      </c>
      <c r="HYE612" s="17">
        <v>44925</v>
      </c>
      <c r="HYF612" s="5" t="s">
        <v>3728</v>
      </c>
      <c r="HYG612" s="17">
        <v>44925</v>
      </c>
      <c r="HYH612" s="5" t="s">
        <v>3728</v>
      </c>
      <c r="HYI612" s="17">
        <v>44925</v>
      </c>
      <c r="HYJ612" s="5" t="s">
        <v>3728</v>
      </c>
      <c r="HYK612" s="17">
        <v>44925</v>
      </c>
      <c r="HYL612" s="5" t="s">
        <v>3728</v>
      </c>
      <c r="HYM612" s="17">
        <v>44925</v>
      </c>
      <c r="HYN612" s="5" t="s">
        <v>3728</v>
      </c>
      <c r="HYO612" s="17">
        <v>44925</v>
      </c>
      <c r="HYP612" s="5" t="s">
        <v>3728</v>
      </c>
      <c r="HYQ612" s="17">
        <v>44925</v>
      </c>
      <c r="HYR612" s="5" t="s">
        <v>3728</v>
      </c>
      <c r="HYS612" s="17">
        <v>44925</v>
      </c>
      <c r="HYT612" s="5" t="s">
        <v>3728</v>
      </c>
      <c r="HYU612" s="17">
        <v>44925</v>
      </c>
      <c r="HYV612" s="5" t="s">
        <v>3728</v>
      </c>
      <c r="HYW612" s="17">
        <v>44925</v>
      </c>
      <c r="HYX612" s="5" t="s">
        <v>3728</v>
      </c>
      <c r="HYY612" s="17">
        <v>44925</v>
      </c>
      <c r="HYZ612" s="5" t="s">
        <v>3728</v>
      </c>
      <c r="HZA612" s="17">
        <v>44925</v>
      </c>
      <c r="HZB612" s="5" t="s">
        <v>3728</v>
      </c>
      <c r="HZC612" s="17">
        <v>44925</v>
      </c>
      <c r="HZD612" s="5" t="s">
        <v>3728</v>
      </c>
      <c r="HZE612" s="17">
        <v>44925</v>
      </c>
      <c r="HZF612" s="5" t="s">
        <v>3728</v>
      </c>
      <c r="HZG612" s="17">
        <v>44925</v>
      </c>
      <c r="HZH612" s="5" t="s">
        <v>3728</v>
      </c>
      <c r="HZI612" s="17">
        <v>44925</v>
      </c>
      <c r="HZJ612" s="5" t="s">
        <v>3728</v>
      </c>
      <c r="HZK612" s="17">
        <v>44925</v>
      </c>
      <c r="HZL612" s="5" t="s">
        <v>3728</v>
      </c>
      <c r="HZM612" s="17">
        <v>44925</v>
      </c>
      <c r="HZN612" s="5" t="s">
        <v>3728</v>
      </c>
      <c r="HZO612" s="17">
        <v>44925</v>
      </c>
      <c r="HZP612" s="5" t="s">
        <v>3728</v>
      </c>
      <c r="HZQ612" s="17">
        <v>44925</v>
      </c>
      <c r="HZR612" s="5" t="s">
        <v>3728</v>
      </c>
      <c r="HZS612" s="17">
        <v>44925</v>
      </c>
      <c r="HZT612" s="5" t="s">
        <v>3728</v>
      </c>
      <c r="HZU612" s="17">
        <v>44925</v>
      </c>
      <c r="HZV612" s="5" t="s">
        <v>3728</v>
      </c>
      <c r="HZW612" s="17">
        <v>44925</v>
      </c>
      <c r="HZX612" s="5" t="s">
        <v>3728</v>
      </c>
      <c r="HZY612" s="17">
        <v>44925</v>
      </c>
      <c r="HZZ612" s="5" t="s">
        <v>3728</v>
      </c>
      <c r="IAA612" s="17">
        <v>44925</v>
      </c>
      <c r="IAB612" s="5" t="s">
        <v>3728</v>
      </c>
      <c r="IAC612" s="17">
        <v>44925</v>
      </c>
      <c r="IAD612" s="5" t="s">
        <v>3728</v>
      </c>
      <c r="IAE612" s="17">
        <v>44925</v>
      </c>
      <c r="IAF612" s="5" t="s">
        <v>3728</v>
      </c>
      <c r="IAG612" s="17">
        <v>44925</v>
      </c>
      <c r="IAH612" s="5" t="s">
        <v>3728</v>
      </c>
      <c r="IAI612" s="17">
        <v>44925</v>
      </c>
      <c r="IAJ612" s="5" t="s">
        <v>3728</v>
      </c>
      <c r="IAK612" s="17">
        <v>44925</v>
      </c>
      <c r="IAL612" s="5" t="s">
        <v>3728</v>
      </c>
      <c r="IAM612" s="17">
        <v>44925</v>
      </c>
      <c r="IAN612" s="5" t="s">
        <v>3728</v>
      </c>
      <c r="IAO612" s="17">
        <v>44925</v>
      </c>
      <c r="IAP612" s="5" t="s">
        <v>3728</v>
      </c>
      <c r="IAQ612" s="17">
        <v>44925</v>
      </c>
      <c r="IAR612" s="5" t="s">
        <v>3728</v>
      </c>
      <c r="IAS612" s="17">
        <v>44925</v>
      </c>
      <c r="IAT612" s="5" t="s">
        <v>3728</v>
      </c>
      <c r="IAU612" s="17">
        <v>44925</v>
      </c>
      <c r="IAV612" s="5" t="s">
        <v>3728</v>
      </c>
      <c r="IAW612" s="17">
        <v>44925</v>
      </c>
      <c r="IAX612" s="5" t="s">
        <v>3728</v>
      </c>
      <c r="IAY612" s="17">
        <v>44925</v>
      </c>
      <c r="IAZ612" s="5" t="s">
        <v>3728</v>
      </c>
      <c r="IBA612" s="17">
        <v>44925</v>
      </c>
      <c r="IBB612" s="5" t="s">
        <v>3728</v>
      </c>
      <c r="IBC612" s="17">
        <v>44925</v>
      </c>
      <c r="IBD612" s="5" t="s">
        <v>3728</v>
      </c>
      <c r="IBE612" s="17">
        <v>44925</v>
      </c>
      <c r="IBF612" s="5" t="s">
        <v>3728</v>
      </c>
      <c r="IBG612" s="17">
        <v>44925</v>
      </c>
      <c r="IBH612" s="5" t="s">
        <v>3728</v>
      </c>
      <c r="IBI612" s="17">
        <v>44925</v>
      </c>
      <c r="IBJ612" s="5" t="s">
        <v>3728</v>
      </c>
      <c r="IBK612" s="17">
        <v>44925</v>
      </c>
      <c r="IBL612" s="5" t="s">
        <v>3728</v>
      </c>
      <c r="IBM612" s="17">
        <v>44925</v>
      </c>
      <c r="IBN612" s="5" t="s">
        <v>3728</v>
      </c>
      <c r="IBO612" s="17">
        <v>44925</v>
      </c>
      <c r="IBP612" s="5" t="s">
        <v>3728</v>
      </c>
      <c r="IBQ612" s="17">
        <v>44925</v>
      </c>
      <c r="IBR612" s="5" t="s">
        <v>3728</v>
      </c>
      <c r="IBS612" s="17">
        <v>44925</v>
      </c>
      <c r="IBT612" s="5" t="s">
        <v>3728</v>
      </c>
      <c r="IBU612" s="17">
        <v>44925</v>
      </c>
      <c r="IBV612" s="5" t="s">
        <v>3728</v>
      </c>
      <c r="IBW612" s="17">
        <v>44925</v>
      </c>
      <c r="IBX612" s="5" t="s">
        <v>3728</v>
      </c>
      <c r="IBY612" s="17">
        <v>44925</v>
      </c>
      <c r="IBZ612" s="5" t="s">
        <v>3728</v>
      </c>
      <c r="ICA612" s="17">
        <v>44925</v>
      </c>
      <c r="ICB612" s="5" t="s">
        <v>3728</v>
      </c>
      <c r="ICC612" s="17">
        <v>44925</v>
      </c>
      <c r="ICD612" s="5" t="s">
        <v>3728</v>
      </c>
      <c r="ICE612" s="17">
        <v>44925</v>
      </c>
      <c r="ICF612" s="5" t="s">
        <v>3728</v>
      </c>
      <c r="ICG612" s="17">
        <v>44925</v>
      </c>
      <c r="ICH612" s="5" t="s">
        <v>3728</v>
      </c>
      <c r="ICI612" s="17">
        <v>44925</v>
      </c>
      <c r="ICJ612" s="5" t="s">
        <v>3728</v>
      </c>
      <c r="ICK612" s="17">
        <v>44925</v>
      </c>
      <c r="ICL612" s="5" t="s">
        <v>3728</v>
      </c>
      <c r="ICM612" s="17">
        <v>44925</v>
      </c>
      <c r="ICN612" s="5" t="s">
        <v>3728</v>
      </c>
      <c r="ICO612" s="17">
        <v>44925</v>
      </c>
      <c r="ICP612" s="5" t="s">
        <v>3728</v>
      </c>
      <c r="ICQ612" s="17">
        <v>44925</v>
      </c>
      <c r="ICR612" s="5" t="s">
        <v>3728</v>
      </c>
      <c r="ICS612" s="17">
        <v>44925</v>
      </c>
      <c r="ICT612" s="5" t="s">
        <v>3728</v>
      </c>
      <c r="ICU612" s="17">
        <v>44925</v>
      </c>
      <c r="ICV612" s="5" t="s">
        <v>3728</v>
      </c>
      <c r="ICW612" s="17">
        <v>44925</v>
      </c>
      <c r="ICX612" s="5" t="s">
        <v>3728</v>
      </c>
      <c r="ICY612" s="17">
        <v>44925</v>
      </c>
      <c r="ICZ612" s="5" t="s">
        <v>3728</v>
      </c>
      <c r="IDA612" s="17">
        <v>44925</v>
      </c>
      <c r="IDB612" s="5" t="s">
        <v>3728</v>
      </c>
      <c r="IDC612" s="17">
        <v>44925</v>
      </c>
      <c r="IDD612" s="5" t="s">
        <v>3728</v>
      </c>
      <c r="IDE612" s="17">
        <v>44925</v>
      </c>
      <c r="IDF612" s="5" t="s">
        <v>3728</v>
      </c>
      <c r="IDG612" s="17">
        <v>44925</v>
      </c>
      <c r="IDH612" s="5" t="s">
        <v>3728</v>
      </c>
      <c r="IDI612" s="17">
        <v>44925</v>
      </c>
      <c r="IDJ612" s="5" t="s">
        <v>3728</v>
      </c>
      <c r="IDK612" s="17">
        <v>44925</v>
      </c>
      <c r="IDL612" s="5" t="s">
        <v>3728</v>
      </c>
      <c r="IDM612" s="17">
        <v>44925</v>
      </c>
      <c r="IDN612" s="5" t="s">
        <v>3728</v>
      </c>
      <c r="IDO612" s="17">
        <v>44925</v>
      </c>
      <c r="IDP612" s="5" t="s">
        <v>3728</v>
      </c>
      <c r="IDQ612" s="17">
        <v>44925</v>
      </c>
      <c r="IDR612" s="5" t="s">
        <v>3728</v>
      </c>
      <c r="IDS612" s="17">
        <v>44925</v>
      </c>
      <c r="IDT612" s="5" t="s">
        <v>3728</v>
      </c>
      <c r="IDU612" s="17">
        <v>44925</v>
      </c>
      <c r="IDV612" s="5" t="s">
        <v>3728</v>
      </c>
      <c r="IDW612" s="17">
        <v>44925</v>
      </c>
      <c r="IDX612" s="5" t="s">
        <v>3728</v>
      </c>
      <c r="IDY612" s="17">
        <v>44925</v>
      </c>
      <c r="IDZ612" s="5" t="s">
        <v>3728</v>
      </c>
      <c r="IEA612" s="17">
        <v>44925</v>
      </c>
      <c r="IEB612" s="5" t="s">
        <v>3728</v>
      </c>
      <c r="IEC612" s="17">
        <v>44925</v>
      </c>
      <c r="IED612" s="5" t="s">
        <v>3728</v>
      </c>
      <c r="IEE612" s="17">
        <v>44925</v>
      </c>
      <c r="IEF612" s="5" t="s">
        <v>3728</v>
      </c>
      <c r="IEG612" s="17">
        <v>44925</v>
      </c>
      <c r="IEH612" s="5" t="s">
        <v>3728</v>
      </c>
      <c r="IEI612" s="17">
        <v>44925</v>
      </c>
      <c r="IEJ612" s="5" t="s">
        <v>3728</v>
      </c>
      <c r="IEK612" s="17">
        <v>44925</v>
      </c>
      <c r="IEL612" s="5" t="s">
        <v>3728</v>
      </c>
      <c r="IEM612" s="17">
        <v>44925</v>
      </c>
      <c r="IEN612" s="5" t="s">
        <v>3728</v>
      </c>
      <c r="IEO612" s="17">
        <v>44925</v>
      </c>
      <c r="IEP612" s="5" t="s">
        <v>3728</v>
      </c>
      <c r="IEQ612" s="17">
        <v>44925</v>
      </c>
      <c r="IER612" s="5" t="s">
        <v>3728</v>
      </c>
      <c r="IES612" s="17">
        <v>44925</v>
      </c>
      <c r="IET612" s="5" t="s">
        <v>3728</v>
      </c>
      <c r="IEU612" s="17">
        <v>44925</v>
      </c>
      <c r="IEV612" s="5" t="s">
        <v>3728</v>
      </c>
      <c r="IEW612" s="17">
        <v>44925</v>
      </c>
      <c r="IEX612" s="5" t="s">
        <v>3728</v>
      </c>
      <c r="IEY612" s="17">
        <v>44925</v>
      </c>
      <c r="IEZ612" s="5" t="s">
        <v>3728</v>
      </c>
      <c r="IFA612" s="17">
        <v>44925</v>
      </c>
      <c r="IFB612" s="5" t="s">
        <v>3728</v>
      </c>
      <c r="IFC612" s="17">
        <v>44925</v>
      </c>
      <c r="IFD612" s="5" t="s">
        <v>3728</v>
      </c>
      <c r="IFE612" s="17">
        <v>44925</v>
      </c>
      <c r="IFF612" s="5" t="s">
        <v>3728</v>
      </c>
      <c r="IFG612" s="17">
        <v>44925</v>
      </c>
      <c r="IFH612" s="5" t="s">
        <v>3728</v>
      </c>
      <c r="IFI612" s="17">
        <v>44925</v>
      </c>
      <c r="IFJ612" s="5" t="s">
        <v>3728</v>
      </c>
      <c r="IFK612" s="17">
        <v>44925</v>
      </c>
      <c r="IFL612" s="5" t="s">
        <v>3728</v>
      </c>
      <c r="IFM612" s="17">
        <v>44925</v>
      </c>
      <c r="IFN612" s="5" t="s">
        <v>3728</v>
      </c>
      <c r="IFO612" s="17">
        <v>44925</v>
      </c>
      <c r="IFP612" s="5" t="s">
        <v>3728</v>
      </c>
      <c r="IFQ612" s="17">
        <v>44925</v>
      </c>
      <c r="IFR612" s="5" t="s">
        <v>3728</v>
      </c>
      <c r="IFS612" s="17">
        <v>44925</v>
      </c>
      <c r="IFT612" s="5" t="s">
        <v>3728</v>
      </c>
      <c r="IFU612" s="17">
        <v>44925</v>
      </c>
      <c r="IFV612" s="5" t="s">
        <v>3728</v>
      </c>
      <c r="IFW612" s="17">
        <v>44925</v>
      </c>
      <c r="IFX612" s="5" t="s">
        <v>3728</v>
      </c>
      <c r="IFY612" s="17">
        <v>44925</v>
      </c>
      <c r="IFZ612" s="5" t="s">
        <v>3728</v>
      </c>
      <c r="IGA612" s="17">
        <v>44925</v>
      </c>
      <c r="IGB612" s="5" t="s">
        <v>3728</v>
      </c>
      <c r="IGC612" s="17">
        <v>44925</v>
      </c>
      <c r="IGD612" s="5" t="s">
        <v>3728</v>
      </c>
      <c r="IGE612" s="17">
        <v>44925</v>
      </c>
      <c r="IGF612" s="5" t="s">
        <v>3728</v>
      </c>
      <c r="IGG612" s="17">
        <v>44925</v>
      </c>
      <c r="IGH612" s="5" t="s">
        <v>3728</v>
      </c>
      <c r="IGI612" s="17">
        <v>44925</v>
      </c>
      <c r="IGJ612" s="5" t="s">
        <v>3728</v>
      </c>
      <c r="IGK612" s="17">
        <v>44925</v>
      </c>
      <c r="IGL612" s="5" t="s">
        <v>3728</v>
      </c>
      <c r="IGM612" s="17">
        <v>44925</v>
      </c>
      <c r="IGN612" s="5" t="s">
        <v>3728</v>
      </c>
      <c r="IGO612" s="17">
        <v>44925</v>
      </c>
      <c r="IGP612" s="5" t="s">
        <v>3728</v>
      </c>
      <c r="IGQ612" s="17">
        <v>44925</v>
      </c>
      <c r="IGR612" s="5" t="s">
        <v>3728</v>
      </c>
      <c r="IGS612" s="17">
        <v>44925</v>
      </c>
      <c r="IGT612" s="5" t="s">
        <v>3728</v>
      </c>
      <c r="IGU612" s="17">
        <v>44925</v>
      </c>
      <c r="IGV612" s="5" t="s">
        <v>3728</v>
      </c>
      <c r="IGW612" s="17">
        <v>44925</v>
      </c>
      <c r="IGX612" s="5" t="s">
        <v>3728</v>
      </c>
      <c r="IGY612" s="17">
        <v>44925</v>
      </c>
      <c r="IGZ612" s="5" t="s">
        <v>3728</v>
      </c>
      <c r="IHA612" s="17">
        <v>44925</v>
      </c>
      <c r="IHB612" s="5" t="s">
        <v>3728</v>
      </c>
      <c r="IHC612" s="17">
        <v>44925</v>
      </c>
      <c r="IHD612" s="5" t="s">
        <v>3728</v>
      </c>
      <c r="IHE612" s="17">
        <v>44925</v>
      </c>
      <c r="IHF612" s="5" t="s">
        <v>3728</v>
      </c>
      <c r="IHG612" s="17">
        <v>44925</v>
      </c>
      <c r="IHH612" s="5" t="s">
        <v>3728</v>
      </c>
      <c r="IHI612" s="17">
        <v>44925</v>
      </c>
      <c r="IHJ612" s="5" t="s">
        <v>3728</v>
      </c>
      <c r="IHK612" s="17">
        <v>44925</v>
      </c>
      <c r="IHL612" s="5" t="s">
        <v>3728</v>
      </c>
      <c r="IHM612" s="17">
        <v>44925</v>
      </c>
      <c r="IHN612" s="5" t="s">
        <v>3728</v>
      </c>
      <c r="IHO612" s="17">
        <v>44925</v>
      </c>
      <c r="IHP612" s="5" t="s">
        <v>3728</v>
      </c>
      <c r="IHQ612" s="17">
        <v>44925</v>
      </c>
      <c r="IHR612" s="5" t="s">
        <v>3728</v>
      </c>
      <c r="IHS612" s="17">
        <v>44925</v>
      </c>
      <c r="IHT612" s="5" t="s">
        <v>3728</v>
      </c>
      <c r="IHU612" s="17">
        <v>44925</v>
      </c>
      <c r="IHV612" s="5" t="s">
        <v>3728</v>
      </c>
      <c r="IHW612" s="17">
        <v>44925</v>
      </c>
      <c r="IHX612" s="5" t="s">
        <v>3728</v>
      </c>
      <c r="IHY612" s="17">
        <v>44925</v>
      </c>
      <c r="IHZ612" s="5" t="s">
        <v>3728</v>
      </c>
      <c r="IIA612" s="17">
        <v>44925</v>
      </c>
      <c r="IIB612" s="5" t="s">
        <v>3728</v>
      </c>
      <c r="IIC612" s="17">
        <v>44925</v>
      </c>
      <c r="IID612" s="5" t="s">
        <v>3728</v>
      </c>
      <c r="IIE612" s="17">
        <v>44925</v>
      </c>
      <c r="IIF612" s="5" t="s">
        <v>3728</v>
      </c>
      <c r="IIG612" s="17">
        <v>44925</v>
      </c>
      <c r="IIH612" s="5" t="s">
        <v>3728</v>
      </c>
      <c r="III612" s="17">
        <v>44925</v>
      </c>
      <c r="IIJ612" s="5" t="s">
        <v>3728</v>
      </c>
      <c r="IIK612" s="17">
        <v>44925</v>
      </c>
      <c r="IIL612" s="5" t="s">
        <v>3728</v>
      </c>
      <c r="IIM612" s="17">
        <v>44925</v>
      </c>
      <c r="IIN612" s="5" t="s">
        <v>3728</v>
      </c>
      <c r="IIO612" s="17">
        <v>44925</v>
      </c>
      <c r="IIP612" s="5" t="s">
        <v>3728</v>
      </c>
      <c r="IIQ612" s="17">
        <v>44925</v>
      </c>
      <c r="IIR612" s="5" t="s">
        <v>3728</v>
      </c>
      <c r="IIS612" s="17">
        <v>44925</v>
      </c>
      <c r="IIT612" s="5" t="s">
        <v>3728</v>
      </c>
      <c r="IIU612" s="17">
        <v>44925</v>
      </c>
      <c r="IIV612" s="5" t="s">
        <v>3728</v>
      </c>
      <c r="IIW612" s="17">
        <v>44925</v>
      </c>
      <c r="IIX612" s="5" t="s">
        <v>3728</v>
      </c>
      <c r="IIY612" s="17">
        <v>44925</v>
      </c>
      <c r="IIZ612" s="5" t="s">
        <v>3728</v>
      </c>
      <c r="IJA612" s="17">
        <v>44925</v>
      </c>
      <c r="IJB612" s="5" t="s">
        <v>3728</v>
      </c>
      <c r="IJC612" s="17">
        <v>44925</v>
      </c>
      <c r="IJD612" s="5" t="s">
        <v>3728</v>
      </c>
      <c r="IJE612" s="17">
        <v>44925</v>
      </c>
      <c r="IJF612" s="5" t="s">
        <v>3728</v>
      </c>
      <c r="IJG612" s="17">
        <v>44925</v>
      </c>
      <c r="IJH612" s="5" t="s">
        <v>3728</v>
      </c>
      <c r="IJI612" s="17">
        <v>44925</v>
      </c>
      <c r="IJJ612" s="5" t="s">
        <v>3728</v>
      </c>
      <c r="IJK612" s="17">
        <v>44925</v>
      </c>
      <c r="IJL612" s="5" t="s">
        <v>3728</v>
      </c>
      <c r="IJM612" s="17">
        <v>44925</v>
      </c>
      <c r="IJN612" s="5" t="s">
        <v>3728</v>
      </c>
      <c r="IJO612" s="17">
        <v>44925</v>
      </c>
      <c r="IJP612" s="5" t="s">
        <v>3728</v>
      </c>
      <c r="IJQ612" s="17">
        <v>44925</v>
      </c>
      <c r="IJR612" s="5" t="s">
        <v>3728</v>
      </c>
      <c r="IJS612" s="17">
        <v>44925</v>
      </c>
      <c r="IJT612" s="5" t="s">
        <v>3728</v>
      </c>
      <c r="IJU612" s="17">
        <v>44925</v>
      </c>
      <c r="IJV612" s="5" t="s">
        <v>3728</v>
      </c>
      <c r="IJW612" s="17">
        <v>44925</v>
      </c>
      <c r="IJX612" s="5" t="s">
        <v>3728</v>
      </c>
      <c r="IJY612" s="17">
        <v>44925</v>
      </c>
      <c r="IJZ612" s="5" t="s">
        <v>3728</v>
      </c>
      <c r="IKA612" s="17">
        <v>44925</v>
      </c>
      <c r="IKB612" s="5" t="s">
        <v>3728</v>
      </c>
      <c r="IKC612" s="17">
        <v>44925</v>
      </c>
      <c r="IKD612" s="5" t="s">
        <v>3728</v>
      </c>
      <c r="IKE612" s="17">
        <v>44925</v>
      </c>
      <c r="IKF612" s="5" t="s">
        <v>3728</v>
      </c>
      <c r="IKG612" s="17">
        <v>44925</v>
      </c>
      <c r="IKH612" s="5" t="s">
        <v>3728</v>
      </c>
      <c r="IKI612" s="17">
        <v>44925</v>
      </c>
      <c r="IKJ612" s="5" t="s">
        <v>3728</v>
      </c>
      <c r="IKK612" s="17">
        <v>44925</v>
      </c>
      <c r="IKL612" s="5" t="s">
        <v>3728</v>
      </c>
      <c r="IKM612" s="17">
        <v>44925</v>
      </c>
      <c r="IKN612" s="5" t="s">
        <v>3728</v>
      </c>
      <c r="IKO612" s="17">
        <v>44925</v>
      </c>
      <c r="IKP612" s="5" t="s">
        <v>3728</v>
      </c>
      <c r="IKQ612" s="17">
        <v>44925</v>
      </c>
      <c r="IKR612" s="5" t="s">
        <v>3728</v>
      </c>
      <c r="IKS612" s="17">
        <v>44925</v>
      </c>
      <c r="IKT612" s="5" t="s">
        <v>3728</v>
      </c>
      <c r="IKU612" s="17">
        <v>44925</v>
      </c>
      <c r="IKV612" s="5" t="s">
        <v>3728</v>
      </c>
      <c r="IKW612" s="17">
        <v>44925</v>
      </c>
      <c r="IKX612" s="5" t="s">
        <v>3728</v>
      </c>
      <c r="IKY612" s="17">
        <v>44925</v>
      </c>
      <c r="IKZ612" s="5" t="s">
        <v>3728</v>
      </c>
      <c r="ILA612" s="17">
        <v>44925</v>
      </c>
      <c r="ILB612" s="5" t="s">
        <v>3728</v>
      </c>
      <c r="ILC612" s="17">
        <v>44925</v>
      </c>
      <c r="ILD612" s="5" t="s">
        <v>3728</v>
      </c>
      <c r="ILE612" s="17">
        <v>44925</v>
      </c>
      <c r="ILF612" s="5" t="s">
        <v>3728</v>
      </c>
      <c r="ILG612" s="17">
        <v>44925</v>
      </c>
      <c r="ILH612" s="5" t="s">
        <v>3728</v>
      </c>
      <c r="ILI612" s="17">
        <v>44925</v>
      </c>
      <c r="ILJ612" s="5" t="s">
        <v>3728</v>
      </c>
      <c r="ILK612" s="17">
        <v>44925</v>
      </c>
      <c r="ILL612" s="5" t="s">
        <v>3728</v>
      </c>
      <c r="ILM612" s="17">
        <v>44925</v>
      </c>
      <c r="ILN612" s="5" t="s">
        <v>3728</v>
      </c>
      <c r="ILO612" s="17">
        <v>44925</v>
      </c>
      <c r="ILP612" s="5" t="s">
        <v>3728</v>
      </c>
      <c r="ILQ612" s="17">
        <v>44925</v>
      </c>
      <c r="ILR612" s="5" t="s">
        <v>3728</v>
      </c>
      <c r="ILS612" s="17">
        <v>44925</v>
      </c>
      <c r="ILT612" s="5" t="s">
        <v>3728</v>
      </c>
      <c r="ILU612" s="17">
        <v>44925</v>
      </c>
      <c r="ILV612" s="5" t="s">
        <v>3728</v>
      </c>
      <c r="ILW612" s="17">
        <v>44925</v>
      </c>
      <c r="ILX612" s="5" t="s">
        <v>3728</v>
      </c>
      <c r="ILY612" s="17">
        <v>44925</v>
      </c>
      <c r="ILZ612" s="5" t="s">
        <v>3728</v>
      </c>
      <c r="IMA612" s="17">
        <v>44925</v>
      </c>
      <c r="IMB612" s="5" t="s">
        <v>3728</v>
      </c>
      <c r="IMC612" s="17">
        <v>44925</v>
      </c>
      <c r="IMD612" s="5" t="s">
        <v>3728</v>
      </c>
      <c r="IME612" s="17">
        <v>44925</v>
      </c>
      <c r="IMF612" s="5" t="s">
        <v>3728</v>
      </c>
      <c r="IMG612" s="17">
        <v>44925</v>
      </c>
      <c r="IMH612" s="5" t="s">
        <v>3728</v>
      </c>
      <c r="IMI612" s="17">
        <v>44925</v>
      </c>
      <c r="IMJ612" s="5" t="s">
        <v>3728</v>
      </c>
      <c r="IMK612" s="17">
        <v>44925</v>
      </c>
      <c r="IML612" s="5" t="s">
        <v>3728</v>
      </c>
      <c r="IMM612" s="17">
        <v>44925</v>
      </c>
      <c r="IMN612" s="5" t="s">
        <v>3728</v>
      </c>
      <c r="IMO612" s="17">
        <v>44925</v>
      </c>
      <c r="IMP612" s="5" t="s">
        <v>3728</v>
      </c>
      <c r="IMQ612" s="17">
        <v>44925</v>
      </c>
      <c r="IMR612" s="5" t="s">
        <v>3728</v>
      </c>
      <c r="IMS612" s="17">
        <v>44925</v>
      </c>
      <c r="IMT612" s="5" t="s">
        <v>3728</v>
      </c>
      <c r="IMU612" s="17">
        <v>44925</v>
      </c>
      <c r="IMV612" s="5" t="s">
        <v>3728</v>
      </c>
      <c r="IMW612" s="17">
        <v>44925</v>
      </c>
      <c r="IMX612" s="5" t="s">
        <v>3728</v>
      </c>
      <c r="IMY612" s="17">
        <v>44925</v>
      </c>
      <c r="IMZ612" s="5" t="s">
        <v>3728</v>
      </c>
      <c r="INA612" s="17">
        <v>44925</v>
      </c>
      <c r="INB612" s="5" t="s">
        <v>3728</v>
      </c>
      <c r="INC612" s="17">
        <v>44925</v>
      </c>
      <c r="IND612" s="5" t="s">
        <v>3728</v>
      </c>
      <c r="INE612" s="17">
        <v>44925</v>
      </c>
      <c r="INF612" s="5" t="s">
        <v>3728</v>
      </c>
      <c r="ING612" s="17">
        <v>44925</v>
      </c>
      <c r="INH612" s="5" t="s">
        <v>3728</v>
      </c>
      <c r="INI612" s="17">
        <v>44925</v>
      </c>
      <c r="INJ612" s="5" t="s">
        <v>3728</v>
      </c>
      <c r="INK612" s="17">
        <v>44925</v>
      </c>
      <c r="INL612" s="5" t="s">
        <v>3728</v>
      </c>
      <c r="INM612" s="17">
        <v>44925</v>
      </c>
      <c r="INN612" s="5" t="s">
        <v>3728</v>
      </c>
      <c r="INO612" s="17">
        <v>44925</v>
      </c>
      <c r="INP612" s="5" t="s">
        <v>3728</v>
      </c>
      <c r="INQ612" s="17">
        <v>44925</v>
      </c>
      <c r="INR612" s="5" t="s">
        <v>3728</v>
      </c>
      <c r="INS612" s="17">
        <v>44925</v>
      </c>
      <c r="INT612" s="5" t="s">
        <v>3728</v>
      </c>
      <c r="INU612" s="17">
        <v>44925</v>
      </c>
      <c r="INV612" s="5" t="s">
        <v>3728</v>
      </c>
      <c r="INW612" s="17">
        <v>44925</v>
      </c>
      <c r="INX612" s="5" t="s">
        <v>3728</v>
      </c>
      <c r="INY612" s="17">
        <v>44925</v>
      </c>
      <c r="INZ612" s="5" t="s">
        <v>3728</v>
      </c>
      <c r="IOA612" s="17">
        <v>44925</v>
      </c>
      <c r="IOB612" s="5" t="s">
        <v>3728</v>
      </c>
      <c r="IOC612" s="17">
        <v>44925</v>
      </c>
      <c r="IOD612" s="5" t="s">
        <v>3728</v>
      </c>
      <c r="IOE612" s="17">
        <v>44925</v>
      </c>
      <c r="IOF612" s="5" t="s">
        <v>3728</v>
      </c>
      <c r="IOG612" s="17">
        <v>44925</v>
      </c>
      <c r="IOH612" s="5" t="s">
        <v>3728</v>
      </c>
      <c r="IOI612" s="17">
        <v>44925</v>
      </c>
      <c r="IOJ612" s="5" t="s">
        <v>3728</v>
      </c>
      <c r="IOK612" s="17">
        <v>44925</v>
      </c>
      <c r="IOL612" s="5" t="s">
        <v>3728</v>
      </c>
      <c r="IOM612" s="17">
        <v>44925</v>
      </c>
      <c r="ION612" s="5" t="s">
        <v>3728</v>
      </c>
      <c r="IOO612" s="17">
        <v>44925</v>
      </c>
      <c r="IOP612" s="5" t="s">
        <v>3728</v>
      </c>
      <c r="IOQ612" s="17">
        <v>44925</v>
      </c>
      <c r="IOR612" s="5" t="s">
        <v>3728</v>
      </c>
      <c r="IOS612" s="17">
        <v>44925</v>
      </c>
      <c r="IOT612" s="5" t="s">
        <v>3728</v>
      </c>
      <c r="IOU612" s="17">
        <v>44925</v>
      </c>
      <c r="IOV612" s="5" t="s">
        <v>3728</v>
      </c>
      <c r="IOW612" s="17">
        <v>44925</v>
      </c>
      <c r="IOX612" s="5" t="s">
        <v>3728</v>
      </c>
      <c r="IOY612" s="17">
        <v>44925</v>
      </c>
      <c r="IOZ612" s="5" t="s">
        <v>3728</v>
      </c>
      <c r="IPA612" s="17">
        <v>44925</v>
      </c>
      <c r="IPB612" s="5" t="s">
        <v>3728</v>
      </c>
      <c r="IPC612" s="17">
        <v>44925</v>
      </c>
      <c r="IPD612" s="5" t="s">
        <v>3728</v>
      </c>
      <c r="IPE612" s="17">
        <v>44925</v>
      </c>
      <c r="IPF612" s="5" t="s">
        <v>3728</v>
      </c>
      <c r="IPG612" s="17">
        <v>44925</v>
      </c>
      <c r="IPH612" s="5" t="s">
        <v>3728</v>
      </c>
      <c r="IPI612" s="17">
        <v>44925</v>
      </c>
      <c r="IPJ612" s="5" t="s">
        <v>3728</v>
      </c>
      <c r="IPK612" s="17">
        <v>44925</v>
      </c>
      <c r="IPL612" s="5" t="s">
        <v>3728</v>
      </c>
      <c r="IPM612" s="17">
        <v>44925</v>
      </c>
      <c r="IPN612" s="5" t="s">
        <v>3728</v>
      </c>
      <c r="IPO612" s="17">
        <v>44925</v>
      </c>
      <c r="IPP612" s="5" t="s">
        <v>3728</v>
      </c>
      <c r="IPQ612" s="17">
        <v>44925</v>
      </c>
      <c r="IPR612" s="5" t="s">
        <v>3728</v>
      </c>
      <c r="IPS612" s="17">
        <v>44925</v>
      </c>
      <c r="IPT612" s="5" t="s">
        <v>3728</v>
      </c>
      <c r="IPU612" s="17">
        <v>44925</v>
      </c>
      <c r="IPV612" s="5" t="s">
        <v>3728</v>
      </c>
      <c r="IPW612" s="17">
        <v>44925</v>
      </c>
      <c r="IPX612" s="5" t="s">
        <v>3728</v>
      </c>
      <c r="IPY612" s="17">
        <v>44925</v>
      </c>
      <c r="IPZ612" s="5" t="s">
        <v>3728</v>
      </c>
      <c r="IQA612" s="17">
        <v>44925</v>
      </c>
      <c r="IQB612" s="5" t="s">
        <v>3728</v>
      </c>
      <c r="IQC612" s="17">
        <v>44925</v>
      </c>
      <c r="IQD612" s="5" t="s">
        <v>3728</v>
      </c>
      <c r="IQE612" s="17">
        <v>44925</v>
      </c>
      <c r="IQF612" s="5" t="s">
        <v>3728</v>
      </c>
      <c r="IQG612" s="17">
        <v>44925</v>
      </c>
      <c r="IQH612" s="5" t="s">
        <v>3728</v>
      </c>
      <c r="IQI612" s="17">
        <v>44925</v>
      </c>
      <c r="IQJ612" s="5" t="s">
        <v>3728</v>
      </c>
      <c r="IQK612" s="17">
        <v>44925</v>
      </c>
      <c r="IQL612" s="5" t="s">
        <v>3728</v>
      </c>
      <c r="IQM612" s="17">
        <v>44925</v>
      </c>
      <c r="IQN612" s="5" t="s">
        <v>3728</v>
      </c>
      <c r="IQO612" s="17">
        <v>44925</v>
      </c>
      <c r="IQP612" s="5" t="s">
        <v>3728</v>
      </c>
      <c r="IQQ612" s="17">
        <v>44925</v>
      </c>
      <c r="IQR612" s="5" t="s">
        <v>3728</v>
      </c>
      <c r="IQS612" s="17">
        <v>44925</v>
      </c>
      <c r="IQT612" s="5" t="s">
        <v>3728</v>
      </c>
      <c r="IQU612" s="17">
        <v>44925</v>
      </c>
      <c r="IQV612" s="5" t="s">
        <v>3728</v>
      </c>
      <c r="IQW612" s="17">
        <v>44925</v>
      </c>
      <c r="IQX612" s="5" t="s">
        <v>3728</v>
      </c>
      <c r="IQY612" s="17">
        <v>44925</v>
      </c>
      <c r="IQZ612" s="5" t="s">
        <v>3728</v>
      </c>
      <c r="IRA612" s="17">
        <v>44925</v>
      </c>
      <c r="IRB612" s="5" t="s">
        <v>3728</v>
      </c>
      <c r="IRC612" s="17">
        <v>44925</v>
      </c>
      <c r="IRD612" s="5" t="s">
        <v>3728</v>
      </c>
      <c r="IRE612" s="17">
        <v>44925</v>
      </c>
      <c r="IRF612" s="5" t="s">
        <v>3728</v>
      </c>
      <c r="IRG612" s="17">
        <v>44925</v>
      </c>
      <c r="IRH612" s="5" t="s">
        <v>3728</v>
      </c>
      <c r="IRI612" s="17">
        <v>44925</v>
      </c>
      <c r="IRJ612" s="5" t="s">
        <v>3728</v>
      </c>
      <c r="IRK612" s="17">
        <v>44925</v>
      </c>
      <c r="IRL612" s="5" t="s">
        <v>3728</v>
      </c>
      <c r="IRM612" s="17">
        <v>44925</v>
      </c>
      <c r="IRN612" s="5" t="s">
        <v>3728</v>
      </c>
      <c r="IRO612" s="17">
        <v>44925</v>
      </c>
      <c r="IRP612" s="5" t="s">
        <v>3728</v>
      </c>
      <c r="IRQ612" s="17">
        <v>44925</v>
      </c>
      <c r="IRR612" s="5" t="s">
        <v>3728</v>
      </c>
      <c r="IRS612" s="17">
        <v>44925</v>
      </c>
      <c r="IRT612" s="5" t="s">
        <v>3728</v>
      </c>
      <c r="IRU612" s="17">
        <v>44925</v>
      </c>
      <c r="IRV612" s="5" t="s">
        <v>3728</v>
      </c>
      <c r="IRW612" s="17">
        <v>44925</v>
      </c>
      <c r="IRX612" s="5" t="s">
        <v>3728</v>
      </c>
      <c r="IRY612" s="17">
        <v>44925</v>
      </c>
      <c r="IRZ612" s="5" t="s">
        <v>3728</v>
      </c>
      <c r="ISA612" s="17">
        <v>44925</v>
      </c>
      <c r="ISB612" s="5" t="s">
        <v>3728</v>
      </c>
      <c r="ISC612" s="17">
        <v>44925</v>
      </c>
      <c r="ISD612" s="5" t="s">
        <v>3728</v>
      </c>
      <c r="ISE612" s="17">
        <v>44925</v>
      </c>
      <c r="ISF612" s="5" t="s">
        <v>3728</v>
      </c>
      <c r="ISG612" s="17">
        <v>44925</v>
      </c>
      <c r="ISH612" s="5" t="s">
        <v>3728</v>
      </c>
      <c r="ISI612" s="17">
        <v>44925</v>
      </c>
      <c r="ISJ612" s="5" t="s">
        <v>3728</v>
      </c>
      <c r="ISK612" s="17">
        <v>44925</v>
      </c>
      <c r="ISL612" s="5" t="s">
        <v>3728</v>
      </c>
      <c r="ISM612" s="17">
        <v>44925</v>
      </c>
      <c r="ISN612" s="5" t="s">
        <v>3728</v>
      </c>
      <c r="ISO612" s="17">
        <v>44925</v>
      </c>
      <c r="ISP612" s="5" t="s">
        <v>3728</v>
      </c>
      <c r="ISQ612" s="17">
        <v>44925</v>
      </c>
      <c r="ISR612" s="5" t="s">
        <v>3728</v>
      </c>
      <c r="ISS612" s="17">
        <v>44925</v>
      </c>
      <c r="IST612" s="5" t="s">
        <v>3728</v>
      </c>
      <c r="ISU612" s="17">
        <v>44925</v>
      </c>
      <c r="ISV612" s="5" t="s">
        <v>3728</v>
      </c>
      <c r="ISW612" s="17">
        <v>44925</v>
      </c>
      <c r="ISX612" s="5" t="s">
        <v>3728</v>
      </c>
      <c r="ISY612" s="17">
        <v>44925</v>
      </c>
      <c r="ISZ612" s="5" t="s">
        <v>3728</v>
      </c>
      <c r="ITA612" s="17">
        <v>44925</v>
      </c>
      <c r="ITB612" s="5" t="s">
        <v>3728</v>
      </c>
      <c r="ITC612" s="17">
        <v>44925</v>
      </c>
      <c r="ITD612" s="5" t="s">
        <v>3728</v>
      </c>
      <c r="ITE612" s="17">
        <v>44925</v>
      </c>
      <c r="ITF612" s="5" t="s">
        <v>3728</v>
      </c>
      <c r="ITG612" s="17">
        <v>44925</v>
      </c>
      <c r="ITH612" s="5" t="s">
        <v>3728</v>
      </c>
      <c r="ITI612" s="17">
        <v>44925</v>
      </c>
      <c r="ITJ612" s="5" t="s">
        <v>3728</v>
      </c>
      <c r="ITK612" s="17">
        <v>44925</v>
      </c>
      <c r="ITL612" s="5" t="s">
        <v>3728</v>
      </c>
      <c r="ITM612" s="17">
        <v>44925</v>
      </c>
      <c r="ITN612" s="5" t="s">
        <v>3728</v>
      </c>
      <c r="ITO612" s="17">
        <v>44925</v>
      </c>
      <c r="ITP612" s="5" t="s">
        <v>3728</v>
      </c>
      <c r="ITQ612" s="17">
        <v>44925</v>
      </c>
      <c r="ITR612" s="5" t="s">
        <v>3728</v>
      </c>
      <c r="ITS612" s="17">
        <v>44925</v>
      </c>
      <c r="ITT612" s="5" t="s">
        <v>3728</v>
      </c>
      <c r="ITU612" s="17">
        <v>44925</v>
      </c>
      <c r="ITV612" s="5" t="s">
        <v>3728</v>
      </c>
      <c r="ITW612" s="17">
        <v>44925</v>
      </c>
      <c r="ITX612" s="5" t="s">
        <v>3728</v>
      </c>
      <c r="ITY612" s="17">
        <v>44925</v>
      </c>
      <c r="ITZ612" s="5" t="s">
        <v>3728</v>
      </c>
      <c r="IUA612" s="17">
        <v>44925</v>
      </c>
      <c r="IUB612" s="5" t="s">
        <v>3728</v>
      </c>
      <c r="IUC612" s="17">
        <v>44925</v>
      </c>
      <c r="IUD612" s="5" t="s">
        <v>3728</v>
      </c>
      <c r="IUE612" s="17">
        <v>44925</v>
      </c>
      <c r="IUF612" s="5" t="s">
        <v>3728</v>
      </c>
      <c r="IUG612" s="17">
        <v>44925</v>
      </c>
      <c r="IUH612" s="5" t="s">
        <v>3728</v>
      </c>
      <c r="IUI612" s="17">
        <v>44925</v>
      </c>
      <c r="IUJ612" s="5" t="s">
        <v>3728</v>
      </c>
      <c r="IUK612" s="17">
        <v>44925</v>
      </c>
      <c r="IUL612" s="5" t="s">
        <v>3728</v>
      </c>
      <c r="IUM612" s="17">
        <v>44925</v>
      </c>
      <c r="IUN612" s="5" t="s">
        <v>3728</v>
      </c>
      <c r="IUO612" s="17">
        <v>44925</v>
      </c>
      <c r="IUP612" s="5" t="s">
        <v>3728</v>
      </c>
      <c r="IUQ612" s="17">
        <v>44925</v>
      </c>
      <c r="IUR612" s="5" t="s">
        <v>3728</v>
      </c>
      <c r="IUS612" s="17">
        <v>44925</v>
      </c>
      <c r="IUT612" s="5" t="s">
        <v>3728</v>
      </c>
      <c r="IUU612" s="17">
        <v>44925</v>
      </c>
      <c r="IUV612" s="5" t="s">
        <v>3728</v>
      </c>
      <c r="IUW612" s="17">
        <v>44925</v>
      </c>
      <c r="IUX612" s="5" t="s">
        <v>3728</v>
      </c>
      <c r="IUY612" s="17">
        <v>44925</v>
      </c>
      <c r="IUZ612" s="5" t="s">
        <v>3728</v>
      </c>
      <c r="IVA612" s="17">
        <v>44925</v>
      </c>
      <c r="IVB612" s="5" t="s">
        <v>3728</v>
      </c>
      <c r="IVC612" s="17">
        <v>44925</v>
      </c>
      <c r="IVD612" s="5" t="s">
        <v>3728</v>
      </c>
      <c r="IVE612" s="17">
        <v>44925</v>
      </c>
      <c r="IVF612" s="5" t="s">
        <v>3728</v>
      </c>
      <c r="IVG612" s="17">
        <v>44925</v>
      </c>
      <c r="IVH612" s="5" t="s">
        <v>3728</v>
      </c>
      <c r="IVI612" s="17">
        <v>44925</v>
      </c>
      <c r="IVJ612" s="5" t="s">
        <v>3728</v>
      </c>
      <c r="IVK612" s="17">
        <v>44925</v>
      </c>
      <c r="IVL612" s="5" t="s">
        <v>3728</v>
      </c>
      <c r="IVM612" s="17">
        <v>44925</v>
      </c>
      <c r="IVN612" s="5" t="s">
        <v>3728</v>
      </c>
      <c r="IVO612" s="17">
        <v>44925</v>
      </c>
      <c r="IVP612" s="5" t="s">
        <v>3728</v>
      </c>
      <c r="IVQ612" s="17">
        <v>44925</v>
      </c>
      <c r="IVR612" s="5" t="s">
        <v>3728</v>
      </c>
      <c r="IVS612" s="17">
        <v>44925</v>
      </c>
      <c r="IVT612" s="5" t="s">
        <v>3728</v>
      </c>
      <c r="IVU612" s="17">
        <v>44925</v>
      </c>
      <c r="IVV612" s="5" t="s">
        <v>3728</v>
      </c>
      <c r="IVW612" s="17">
        <v>44925</v>
      </c>
      <c r="IVX612" s="5" t="s">
        <v>3728</v>
      </c>
      <c r="IVY612" s="17">
        <v>44925</v>
      </c>
      <c r="IVZ612" s="5" t="s">
        <v>3728</v>
      </c>
      <c r="IWA612" s="17">
        <v>44925</v>
      </c>
      <c r="IWB612" s="5" t="s">
        <v>3728</v>
      </c>
      <c r="IWC612" s="17">
        <v>44925</v>
      </c>
      <c r="IWD612" s="5" t="s">
        <v>3728</v>
      </c>
      <c r="IWE612" s="17">
        <v>44925</v>
      </c>
      <c r="IWF612" s="5" t="s">
        <v>3728</v>
      </c>
      <c r="IWG612" s="17">
        <v>44925</v>
      </c>
      <c r="IWH612" s="5" t="s">
        <v>3728</v>
      </c>
      <c r="IWI612" s="17">
        <v>44925</v>
      </c>
      <c r="IWJ612" s="5" t="s">
        <v>3728</v>
      </c>
      <c r="IWK612" s="17">
        <v>44925</v>
      </c>
      <c r="IWL612" s="5" t="s">
        <v>3728</v>
      </c>
      <c r="IWM612" s="17">
        <v>44925</v>
      </c>
      <c r="IWN612" s="5" t="s">
        <v>3728</v>
      </c>
      <c r="IWO612" s="17">
        <v>44925</v>
      </c>
      <c r="IWP612" s="5" t="s">
        <v>3728</v>
      </c>
      <c r="IWQ612" s="17">
        <v>44925</v>
      </c>
      <c r="IWR612" s="5" t="s">
        <v>3728</v>
      </c>
      <c r="IWS612" s="17">
        <v>44925</v>
      </c>
      <c r="IWT612" s="5" t="s">
        <v>3728</v>
      </c>
      <c r="IWU612" s="17">
        <v>44925</v>
      </c>
      <c r="IWV612" s="5" t="s">
        <v>3728</v>
      </c>
      <c r="IWW612" s="17">
        <v>44925</v>
      </c>
      <c r="IWX612" s="5" t="s">
        <v>3728</v>
      </c>
      <c r="IWY612" s="17">
        <v>44925</v>
      </c>
      <c r="IWZ612" s="5" t="s">
        <v>3728</v>
      </c>
      <c r="IXA612" s="17">
        <v>44925</v>
      </c>
      <c r="IXB612" s="5" t="s">
        <v>3728</v>
      </c>
      <c r="IXC612" s="17">
        <v>44925</v>
      </c>
      <c r="IXD612" s="5" t="s">
        <v>3728</v>
      </c>
      <c r="IXE612" s="17">
        <v>44925</v>
      </c>
      <c r="IXF612" s="5" t="s">
        <v>3728</v>
      </c>
      <c r="IXG612" s="17">
        <v>44925</v>
      </c>
      <c r="IXH612" s="5" t="s">
        <v>3728</v>
      </c>
      <c r="IXI612" s="17">
        <v>44925</v>
      </c>
      <c r="IXJ612" s="5" t="s">
        <v>3728</v>
      </c>
      <c r="IXK612" s="17">
        <v>44925</v>
      </c>
      <c r="IXL612" s="5" t="s">
        <v>3728</v>
      </c>
      <c r="IXM612" s="17">
        <v>44925</v>
      </c>
      <c r="IXN612" s="5" t="s">
        <v>3728</v>
      </c>
      <c r="IXO612" s="17">
        <v>44925</v>
      </c>
      <c r="IXP612" s="5" t="s">
        <v>3728</v>
      </c>
      <c r="IXQ612" s="17">
        <v>44925</v>
      </c>
      <c r="IXR612" s="5" t="s">
        <v>3728</v>
      </c>
      <c r="IXS612" s="17">
        <v>44925</v>
      </c>
      <c r="IXT612" s="5" t="s">
        <v>3728</v>
      </c>
      <c r="IXU612" s="17">
        <v>44925</v>
      </c>
      <c r="IXV612" s="5" t="s">
        <v>3728</v>
      </c>
      <c r="IXW612" s="17">
        <v>44925</v>
      </c>
      <c r="IXX612" s="5" t="s">
        <v>3728</v>
      </c>
      <c r="IXY612" s="17">
        <v>44925</v>
      </c>
      <c r="IXZ612" s="5" t="s">
        <v>3728</v>
      </c>
      <c r="IYA612" s="17">
        <v>44925</v>
      </c>
      <c r="IYB612" s="5" t="s">
        <v>3728</v>
      </c>
      <c r="IYC612" s="17">
        <v>44925</v>
      </c>
      <c r="IYD612" s="5" t="s">
        <v>3728</v>
      </c>
      <c r="IYE612" s="17">
        <v>44925</v>
      </c>
      <c r="IYF612" s="5" t="s">
        <v>3728</v>
      </c>
      <c r="IYG612" s="17">
        <v>44925</v>
      </c>
      <c r="IYH612" s="5" t="s">
        <v>3728</v>
      </c>
      <c r="IYI612" s="17">
        <v>44925</v>
      </c>
      <c r="IYJ612" s="5" t="s">
        <v>3728</v>
      </c>
      <c r="IYK612" s="17">
        <v>44925</v>
      </c>
      <c r="IYL612" s="5" t="s">
        <v>3728</v>
      </c>
      <c r="IYM612" s="17">
        <v>44925</v>
      </c>
      <c r="IYN612" s="5" t="s">
        <v>3728</v>
      </c>
      <c r="IYO612" s="17">
        <v>44925</v>
      </c>
      <c r="IYP612" s="5" t="s">
        <v>3728</v>
      </c>
      <c r="IYQ612" s="17">
        <v>44925</v>
      </c>
      <c r="IYR612" s="5" t="s">
        <v>3728</v>
      </c>
      <c r="IYS612" s="17">
        <v>44925</v>
      </c>
      <c r="IYT612" s="5" t="s">
        <v>3728</v>
      </c>
      <c r="IYU612" s="17">
        <v>44925</v>
      </c>
      <c r="IYV612" s="5" t="s">
        <v>3728</v>
      </c>
      <c r="IYW612" s="17">
        <v>44925</v>
      </c>
      <c r="IYX612" s="5" t="s">
        <v>3728</v>
      </c>
      <c r="IYY612" s="17">
        <v>44925</v>
      </c>
      <c r="IYZ612" s="5" t="s">
        <v>3728</v>
      </c>
      <c r="IZA612" s="17">
        <v>44925</v>
      </c>
      <c r="IZB612" s="5" t="s">
        <v>3728</v>
      </c>
      <c r="IZC612" s="17">
        <v>44925</v>
      </c>
      <c r="IZD612" s="5" t="s">
        <v>3728</v>
      </c>
      <c r="IZE612" s="17">
        <v>44925</v>
      </c>
      <c r="IZF612" s="5" t="s">
        <v>3728</v>
      </c>
      <c r="IZG612" s="17">
        <v>44925</v>
      </c>
      <c r="IZH612" s="5" t="s">
        <v>3728</v>
      </c>
      <c r="IZI612" s="17">
        <v>44925</v>
      </c>
      <c r="IZJ612" s="5" t="s">
        <v>3728</v>
      </c>
      <c r="IZK612" s="17">
        <v>44925</v>
      </c>
      <c r="IZL612" s="5" t="s">
        <v>3728</v>
      </c>
      <c r="IZM612" s="17">
        <v>44925</v>
      </c>
      <c r="IZN612" s="5" t="s">
        <v>3728</v>
      </c>
      <c r="IZO612" s="17">
        <v>44925</v>
      </c>
      <c r="IZP612" s="5" t="s">
        <v>3728</v>
      </c>
      <c r="IZQ612" s="17">
        <v>44925</v>
      </c>
      <c r="IZR612" s="5" t="s">
        <v>3728</v>
      </c>
      <c r="IZS612" s="17">
        <v>44925</v>
      </c>
      <c r="IZT612" s="5" t="s">
        <v>3728</v>
      </c>
      <c r="IZU612" s="17">
        <v>44925</v>
      </c>
      <c r="IZV612" s="5" t="s">
        <v>3728</v>
      </c>
      <c r="IZW612" s="17">
        <v>44925</v>
      </c>
      <c r="IZX612" s="5" t="s">
        <v>3728</v>
      </c>
      <c r="IZY612" s="17">
        <v>44925</v>
      </c>
      <c r="IZZ612" s="5" t="s">
        <v>3728</v>
      </c>
      <c r="JAA612" s="17">
        <v>44925</v>
      </c>
      <c r="JAB612" s="5" t="s">
        <v>3728</v>
      </c>
      <c r="JAC612" s="17">
        <v>44925</v>
      </c>
      <c r="JAD612" s="5" t="s">
        <v>3728</v>
      </c>
      <c r="JAE612" s="17">
        <v>44925</v>
      </c>
      <c r="JAF612" s="5" t="s">
        <v>3728</v>
      </c>
      <c r="JAG612" s="17">
        <v>44925</v>
      </c>
      <c r="JAH612" s="5" t="s">
        <v>3728</v>
      </c>
      <c r="JAI612" s="17">
        <v>44925</v>
      </c>
      <c r="JAJ612" s="5" t="s">
        <v>3728</v>
      </c>
      <c r="JAK612" s="17">
        <v>44925</v>
      </c>
      <c r="JAL612" s="5" t="s">
        <v>3728</v>
      </c>
      <c r="JAM612" s="17">
        <v>44925</v>
      </c>
      <c r="JAN612" s="5" t="s">
        <v>3728</v>
      </c>
      <c r="JAO612" s="17">
        <v>44925</v>
      </c>
      <c r="JAP612" s="5" t="s">
        <v>3728</v>
      </c>
      <c r="JAQ612" s="17">
        <v>44925</v>
      </c>
      <c r="JAR612" s="5" t="s">
        <v>3728</v>
      </c>
      <c r="JAS612" s="17">
        <v>44925</v>
      </c>
      <c r="JAT612" s="5" t="s">
        <v>3728</v>
      </c>
      <c r="JAU612" s="17">
        <v>44925</v>
      </c>
      <c r="JAV612" s="5" t="s">
        <v>3728</v>
      </c>
      <c r="JAW612" s="17">
        <v>44925</v>
      </c>
      <c r="JAX612" s="5" t="s">
        <v>3728</v>
      </c>
      <c r="JAY612" s="17">
        <v>44925</v>
      </c>
      <c r="JAZ612" s="5" t="s">
        <v>3728</v>
      </c>
      <c r="JBA612" s="17">
        <v>44925</v>
      </c>
      <c r="JBB612" s="5" t="s">
        <v>3728</v>
      </c>
      <c r="JBC612" s="17">
        <v>44925</v>
      </c>
      <c r="JBD612" s="5" t="s">
        <v>3728</v>
      </c>
      <c r="JBE612" s="17">
        <v>44925</v>
      </c>
      <c r="JBF612" s="5" t="s">
        <v>3728</v>
      </c>
      <c r="JBG612" s="17">
        <v>44925</v>
      </c>
      <c r="JBH612" s="5" t="s">
        <v>3728</v>
      </c>
      <c r="JBI612" s="17">
        <v>44925</v>
      </c>
      <c r="JBJ612" s="5" t="s">
        <v>3728</v>
      </c>
      <c r="JBK612" s="17">
        <v>44925</v>
      </c>
      <c r="JBL612" s="5" t="s">
        <v>3728</v>
      </c>
      <c r="JBM612" s="17">
        <v>44925</v>
      </c>
      <c r="JBN612" s="5" t="s">
        <v>3728</v>
      </c>
      <c r="JBO612" s="17">
        <v>44925</v>
      </c>
      <c r="JBP612" s="5" t="s">
        <v>3728</v>
      </c>
      <c r="JBQ612" s="17">
        <v>44925</v>
      </c>
      <c r="JBR612" s="5" t="s">
        <v>3728</v>
      </c>
      <c r="JBS612" s="17">
        <v>44925</v>
      </c>
      <c r="JBT612" s="5" t="s">
        <v>3728</v>
      </c>
      <c r="JBU612" s="17">
        <v>44925</v>
      </c>
      <c r="JBV612" s="5" t="s">
        <v>3728</v>
      </c>
      <c r="JBW612" s="17">
        <v>44925</v>
      </c>
      <c r="JBX612" s="5" t="s">
        <v>3728</v>
      </c>
      <c r="JBY612" s="17">
        <v>44925</v>
      </c>
      <c r="JBZ612" s="5" t="s">
        <v>3728</v>
      </c>
      <c r="JCA612" s="17">
        <v>44925</v>
      </c>
      <c r="JCB612" s="5" t="s">
        <v>3728</v>
      </c>
      <c r="JCC612" s="17">
        <v>44925</v>
      </c>
      <c r="JCD612" s="5" t="s">
        <v>3728</v>
      </c>
      <c r="JCE612" s="17">
        <v>44925</v>
      </c>
      <c r="JCF612" s="5" t="s">
        <v>3728</v>
      </c>
      <c r="JCG612" s="17">
        <v>44925</v>
      </c>
      <c r="JCH612" s="5" t="s">
        <v>3728</v>
      </c>
      <c r="JCI612" s="17">
        <v>44925</v>
      </c>
      <c r="JCJ612" s="5" t="s">
        <v>3728</v>
      </c>
      <c r="JCK612" s="17">
        <v>44925</v>
      </c>
      <c r="JCL612" s="5" t="s">
        <v>3728</v>
      </c>
      <c r="JCM612" s="17">
        <v>44925</v>
      </c>
      <c r="JCN612" s="5" t="s">
        <v>3728</v>
      </c>
      <c r="JCO612" s="17">
        <v>44925</v>
      </c>
      <c r="JCP612" s="5" t="s">
        <v>3728</v>
      </c>
      <c r="JCQ612" s="17">
        <v>44925</v>
      </c>
      <c r="JCR612" s="5" t="s">
        <v>3728</v>
      </c>
      <c r="JCS612" s="17">
        <v>44925</v>
      </c>
      <c r="JCT612" s="5" t="s">
        <v>3728</v>
      </c>
      <c r="JCU612" s="17">
        <v>44925</v>
      </c>
      <c r="JCV612" s="5" t="s">
        <v>3728</v>
      </c>
      <c r="JCW612" s="17">
        <v>44925</v>
      </c>
      <c r="JCX612" s="5" t="s">
        <v>3728</v>
      </c>
      <c r="JCY612" s="17">
        <v>44925</v>
      </c>
      <c r="JCZ612" s="5" t="s">
        <v>3728</v>
      </c>
      <c r="JDA612" s="17">
        <v>44925</v>
      </c>
      <c r="JDB612" s="5" t="s">
        <v>3728</v>
      </c>
      <c r="JDC612" s="17">
        <v>44925</v>
      </c>
      <c r="JDD612" s="5" t="s">
        <v>3728</v>
      </c>
      <c r="JDE612" s="17">
        <v>44925</v>
      </c>
      <c r="JDF612" s="5" t="s">
        <v>3728</v>
      </c>
      <c r="JDG612" s="17">
        <v>44925</v>
      </c>
      <c r="JDH612" s="5" t="s">
        <v>3728</v>
      </c>
      <c r="JDI612" s="17">
        <v>44925</v>
      </c>
      <c r="JDJ612" s="5" t="s">
        <v>3728</v>
      </c>
      <c r="JDK612" s="17">
        <v>44925</v>
      </c>
      <c r="JDL612" s="5" t="s">
        <v>3728</v>
      </c>
      <c r="JDM612" s="17">
        <v>44925</v>
      </c>
      <c r="JDN612" s="5" t="s">
        <v>3728</v>
      </c>
      <c r="JDO612" s="17">
        <v>44925</v>
      </c>
      <c r="JDP612" s="5" t="s">
        <v>3728</v>
      </c>
      <c r="JDQ612" s="17">
        <v>44925</v>
      </c>
      <c r="JDR612" s="5" t="s">
        <v>3728</v>
      </c>
      <c r="JDS612" s="17">
        <v>44925</v>
      </c>
      <c r="JDT612" s="5" t="s">
        <v>3728</v>
      </c>
      <c r="JDU612" s="17">
        <v>44925</v>
      </c>
      <c r="JDV612" s="5" t="s">
        <v>3728</v>
      </c>
      <c r="JDW612" s="17">
        <v>44925</v>
      </c>
      <c r="JDX612" s="5" t="s">
        <v>3728</v>
      </c>
      <c r="JDY612" s="17">
        <v>44925</v>
      </c>
      <c r="JDZ612" s="5" t="s">
        <v>3728</v>
      </c>
      <c r="JEA612" s="17">
        <v>44925</v>
      </c>
      <c r="JEB612" s="5" t="s">
        <v>3728</v>
      </c>
      <c r="JEC612" s="17">
        <v>44925</v>
      </c>
      <c r="JED612" s="5" t="s">
        <v>3728</v>
      </c>
      <c r="JEE612" s="17">
        <v>44925</v>
      </c>
      <c r="JEF612" s="5" t="s">
        <v>3728</v>
      </c>
      <c r="JEG612" s="17">
        <v>44925</v>
      </c>
      <c r="JEH612" s="5" t="s">
        <v>3728</v>
      </c>
      <c r="JEI612" s="17">
        <v>44925</v>
      </c>
      <c r="JEJ612" s="5" t="s">
        <v>3728</v>
      </c>
      <c r="JEK612" s="17">
        <v>44925</v>
      </c>
      <c r="JEL612" s="5" t="s">
        <v>3728</v>
      </c>
      <c r="JEM612" s="17">
        <v>44925</v>
      </c>
      <c r="JEN612" s="5" t="s">
        <v>3728</v>
      </c>
      <c r="JEO612" s="17">
        <v>44925</v>
      </c>
      <c r="JEP612" s="5" t="s">
        <v>3728</v>
      </c>
      <c r="JEQ612" s="17">
        <v>44925</v>
      </c>
      <c r="JER612" s="5" t="s">
        <v>3728</v>
      </c>
      <c r="JES612" s="17">
        <v>44925</v>
      </c>
      <c r="JET612" s="5" t="s">
        <v>3728</v>
      </c>
      <c r="JEU612" s="17">
        <v>44925</v>
      </c>
      <c r="JEV612" s="5" t="s">
        <v>3728</v>
      </c>
      <c r="JEW612" s="17">
        <v>44925</v>
      </c>
      <c r="JEX612" s="5" t="s">
        <v>3728</v>
      </c>
      <c r="JEY612" s="17">
        <v>44925</v>
      </c>
      <c r="JEZ612" s="5" t="s">
        <v>3728</v>
      </c>
      <c r="JFA612" s="17">
        <v>44925</v>
      </c>
      <c r="JFB612" s="5" t="s">
        <v>3728</v>
      </c>
      <c r="JFC612" s="17">
        <v>44925</v>
      </c>
      <c r="JFD612" s="5" t="s">
        <v>3728</v>
      </c>
      <c r="JFE612" s="17">
        <v>44925</v>
      </c>
      <c r="JFF612" s="5" t="s">
        <v>3728</v>
      </c>
      <c r="JFG612" s="17">
        <v>44925</v>
      </c>
      <c r="JFH612" s="5" t="s">
        <v>3728</v>
      </c>
      <c r="JFI612" s="17">
        <v>44925</v>
      </c>
      <c r="JFJ612" s="5" t="s">
        <v>3728</v>
      </c>
      <c r="JFK612" s="17">
        <v>44925</v>
      </c>
      <c r="JFL612" s="5" t="s">
        <v>3728</v>
      </c>
      <c r="JFM612" s="17">
        <v>44925</v>
      </c>
      <c r="JFN612" s="5" t="s">
        <v>3728</v>
      </c>
      <c r="JFO612" s="17">
        <v>44925</v>
      </c>
      <c r="JFP612" s="5" t="s">
        <v>3728</v>
      </c>
      <c r="JFQ612" s="17">
        <v>44925</v>
      </c>
      <c r="JFR612" s="5" t="s">
        <v>3728</v>
      </c>
      <c r="JFS612" s="17">
        <v>44925</v>
      </c>
      <c r="JFT612" s="5" t="s">
        <v>3728</v>
      </c>
      <c r="JFU612" s="17">
        <v>44925</v>
      </c>
      <c r="JFV612" s="5" t="s">
        <v>3728</v>
      </c>
      <c r="JFW612" s="17">
        <v>44925</v>
      </c>
      <c r="JFX612" s="5" t="s">
        <v>3728</v>
      </c>
      <c r="JFY612" s="17">
        <v>44925</v>
      </c>
      <c r="JFZ612" s="5" t="s">
        <v>3728</v>
      </c>
      <c r="JGA612" s="17">
        <v>44925</v>
      </c>
      <c r="JGB612" s="5" t="s">
        <v>3728</v>
      </c>
      <c r="JGC612" s="17">
        <v>44925</v>
      </c>
      <c r="JGD612" s="5" t="s">
        <v>3728</v>
      </c>
      <c r="JGE612" s="17">
        <v>44925</v>
      </c>
      <c r="JGF612" s="5" t="s">
        <v>3728</v>
      </c>
      <c r="JGG612" s="17">
        <v>44925</v>
      </c>
      <c r="JGH612" s="5" t="s">
        <v>3728</v>
      </c>
      <c r="JGI612" s="17">
        <v>44925</v>
      </c>
      <c r="JGJ612" s="5" t="s">
        <v>3728</v>
      </c>
      <c r="JGK612" s="17">
        <v>44925</v>
      </c>
      <c r="JGL612" s="5" t="s">
        <v>3728</v>
      </c>
      <c r="JGM612" s="17">
        <v>44925</v>
      </c>
      <c r="JGN612" s="5" t="s">
        <v>3728</v>
      </c>
      <c r="JGO612" s="17">
        <v>44925</v>
      </c>
      <c r="JGP612" s="5" t="s">
        <v>3728</v>
      </c>
      <c r="JGQ612" s="17">
        <v>44925</v>
      </c>
      <c r="JGR612" s="5" t="s">
        <v>3728</v>
      </c>
      <c r="JGS612" s="17">
        <v>44925</v>
      </c>
      <c r="JGT612" s="5" t="s">
        <v>3728</v>
      </c>
      <c r="JGU612" s="17">
        <v>44925</v>
      </c>
      <c r="JGV612" s="5" t="s">
        <v>3728</v>
      </c>
      <c r="JGW612" s="17">
        <v>44925</v>
      </c>
      <c r="JGX612" s="5" t="s">
        <v>3728</v>
      </c>
      <c r="JGY612" s="17">
        <v>44925</v>
      </c>
      <c r="JGZ612" s="5" t="s">
        <v>3728</v>
      </c>
      <c r="JHA612" s="17">
        <v>44925</v>
      </c>
      <c r="JHB612" s="5" t="s">
        <v>3728</v>
      </c>
      <c r="JHC612" s="17">
        <v>44925</v>
      </c>
      <c r="JHD612" s="5" t="s">
        <v>3728</v>
      </c>
      <c r="JHE612" s="17">
        <v>44925</v>
      </c>
      <c r="JHF612" s="5" t="s">
        <v>3728</v>
      </c>
      <c r="JHG612" s="17">
        <v>44925</v>
      </c>
      <c r="JHH612" s="5" t="s">
        <v>3728</v>
      </c>
      <c r="JHI612" s="17">
        <v>44925</v>
      </c>
      <c r="JHJ612" s="5" t="s">
        <v>3728</v>
      </c>
      <c r="JHK612" s="17">
        <v>44925</v>
      </c>
      <c r="JHL612" s="5" t="s">
        <v>3728</v>
      </c>
      <c r="JHM612" s="17">
        <v>44925</v>
      </c>
      <c r="JHN612" s="5" t="s">
        <v>3728</v>
      </c>
      <c r="JHO612" s="17">
        <v>44925</v>
      </c>
      <c r="JHP612" s="5" t="s">
        <v>3728</v>
      </c>
      <c r="JHQ612" s="17">
        <v>44925</v>
      </c>
      <c r="JHR612" s="5" t="s">
        <v>3728</v>
      </c>
      <c r="JHS612" s="17">
        <v>44925</v>
      </c>
      <c r="JHT612" s="5" t="s">
        <v>3728</v>
      </c>
      <c r="JHU612" s="17">
        <v>44925</v>
      </c>
      <c r="JHV612" s="5" t="s">
        <v>3728</v>
      </c>
      <c r="JHW612" s="17">
        <v>44925</v>
      </c>
      <c r="JHX612" s="5" t="s">
        <v>3728</v>
      </c>
      <c r="JHY612" s="17">
        <v>44925</v>
      </c>
      <c r="JHZ612" s="5" t="s">
        <v>3728</v>
      </c>
      <c r="JIA612" s="17">
        <v>44925</v>
      </c>
      <c r="JIB612" s="5" t="s">
        <v>3728</v>
      </c>
      <c r="JIC612" s="17">
        <v>44925</v>
      </c>
      <c r="JID612" s="5" t="s">
        <v>3728</v>
      </c>
      <c r="JIE612" s="17">
        <v>44925</v>
      </c>
      <c r="JIF612" s="5" t="s">
        <v>3728</v>
      </c>
      <c r="JIG612" s="17">
        <v>44925</v>
      </c>
      <c r="JIH612" s="5" t="s">
        <v>3728</v>
      </c>
      <c r="JII612" s="17">
        <v>44925</v>
      </c>
      <c r="JIJ612" s="5" t="s">
        <v>3728</v>
      </c>
      <c r="JIK612" s="17">
        <v>44925</v>
      </c>
      <c r="JIL612" s="5" t="s">
        <v>3728</v>
      </c>
      <c r="JIM612" s="17">
        <v>44925</v>
      </c>
      <c r="JIN612" s="5" t="s">
        <v>3728</v>
      </c>
      <c r="JIO612" s="17">
        <v>44925</v>
      </c>
      <c r="JIP612" s="5" t="s">
        <v>3728</v>
      </c>
      <c r="JIQ612" s="17">
        <v>44925</v>
      </c>
      <c r="JIR612" s="5" t="s">
        <v>3728</v>
      </c>
      <c r="JIS612" s="17">
        <v>44925</v>
      </c>
      <c r="JIT612" s="5" t="s">
        <v>3728</v>
      </c>
      <c r="JIU612" s="17">
        <v>44925</v>
      </c>
      <c r="JIV612" s="5" t="s">
        <v>3728</v>
      </c>
      <c r="JIW612" s="17">
        <v>44925</v>
      </c>
      <c r="JIX612" s="5" t="s">
        <v>3728</v>
      </c>
      <c r="JIY612" s="17">
        <v>44925</v>
      </c>
      <c r="JIZ612" s="5" t="s">
        <v>3728</v>
      </c>
      <c r="JJA612" s="17">
        <v>44925</v>
      </c>
      <c r="JJB612" s="5" t="s">
        <v>3728</v>
      </c>
      <c r="JJC612" s="17">
        <v>44925</v>
      </c>
      <c r="JJD612" s="5" t="s">
        <v>3728</v>
      </c>
      <c r="JJE612" s="17">
        <v>44925</v>
      </c>
      <c r="JJF612" s="5" t="s">
        <v>3728</v>
      </c>
      <c r="JJG612" s="17">
        <v>44925</v>
      </c>
      <c r="JJH612" s="5" t="s">
        <v>3728</v>
      </c>
      <c r="JJI612" s="17">
        <v>44925</v>
      </c>
      <c r="JJJ612" s="5" t="s">
        <v>3728</v>
      </c>
      <c r="JJK612" s="17">
        <v>44925</v>
      </c>
      <c r="JJL612" s="5" t="s">
        <v>3728</v>
      </c>
      <c r="JJM612" s="17">
        <v>44925</v>
      </c>
      <c r="JJN612" s="5" t="s">
        <v>3728</v>
      </c>
      <c r="JJO612" s="17">
        <v>44925</v>
      </c>
      <c r="JJP612" s="5" t="s">
        <v>3728</v>
      </c>
      <c r="JJQ612" s="17">
        <v>44925</v>
      </c>
      <c r="JJR612" s="5" t="s">
        <v>3728</v>
      </c>
      <c r="JJS612" s="17">
        <v>44925</v>
      </c>
      <c r="JJT612" s="5" t="s">
        <v>3728</v>
      </c>
      <c r="JJU612" s="17">
        <v>44925</v>
      </c>
      <c r="JJV612" s="5" t="s">
        <v>3728</v>
      </c>
      <c r="JJW612" s="17">
        <v>44925</v>
      </c>
      <c r="JJX612" s="5" t="s">
        <v>3728</v>
      </c>
      <c r="JJY612" s="17">
        <v>44925</v>
      </c>
      <c r="JJZ612" s="5" t="s">
        <v>3728</v>
      </c>
      <c r="JKA612" s="17">
        <v>44925</v>
      </c>
      <c r="JKB612" s="5" t="s">
        <v>3728</v>
      </c>
      <c r="JKC612" s="17">
        <v>44925</v>
      </c>
      <c r="JKD612" s="5" t="s">
        <v>3728</v>
      </c>
      <c r="JKE612" s="17">
        <v>44925</v>
      </c>
      <c r="JKF612" s="5" t="s">
        <v>3728</v>
      </c>
      <c r="JKG612" s="17">
        <v>44925</v>
      </c>
      <c r="JKH612" s="5" t="s">
        <v>3728</v>
      </c>
      <c r="JKI612" s="17">
        <v>44925</v>
      </c>
      <c r="JKJ612" s="5" t="s">
        <v>3728</v>
      </c>
      <c r="JKK612" s="17">
        <v>44925</v>
      </c>
      <c r="JKL612" s="5" t="s">
        <v>3728</v>
      </c>
      <c r="JKM612" s="17">
        <v>44925</v>
      </c>
      <c r="JKN612" s="5" t="s">
        <v>3728</v>
      </c>
      <c r="JKO612" s="17">
        <v>44925</v>
      </c>
      <c r="JKP612" s="5" t="s">
        <v>3728</v>
      </c>
      <c r="JKQ612" s="17">
        <v>44925</v>
      </c>
      <c r="JKR612" s="5" t="s">
        <v>3728</v>
      </c>
      <c r="JKS612" s="17">
        <v>44925</v>
      </c>
      <c r="JKT612" s="5" t="s">
        <v>3728</v>
      </c>
      <c r="JKU612" s="17">
        <v>44925</v>
      </c>
      <c r="JKV612" s="5" t="s">
        <v>3728</v>
      </c>
      <c r="JKW612" s="17">
        <v>44925</v>
      </c>
      <c r="JKX612" s="5" t="s">
        <v>3728</v>
      </c>
      <c r="JKY612" s="17">
        <v>44925</v>
      </c>
      <c r="JKZ612" s="5" t="s">
        <v>3728</v>
      </c>
      <c r="JLA612" s="17">
        <v>44925</v>
      </c>
      <c r="JLB612" s="5" t="s">
        <v>3728</v>
      </c>
      <c r="JLC612" s="17">
        <v>44925</v>
      </c>
      <c r="JLD612" s="5" t="s">
        <v>3728</v>
      </c>
      <c r="JLE612" s="17">
        <v>44925</v>
      </c>
      <c r="JLF612" s="5" t="s">
        <v>3728</v>
      </c>
      <c r="JLG612" s="17">
        <v>44925</v>
      </c>
      <c r="JLH612" s="5" t="s">
        <v>3728</v>
      </c>
      <c r="JLI612" s="17">
        <v>44925</v>
      </c>
      <c r="JLJ612" s="5" t="s">
        <v>3728</v>
      </c>
      <c r="JLK612" s="17">
        <v>44925</v>
      </c>
      <c r="JLL612" s="5" t="s">
        <v>3728</v>
      </c>
      <c r="JLM612" s="17">
        <v>44925</v>
      </c>
      <c r="JLN612" s="5" t="s">
        <v>3728</v>
      </c>
      <c r="JLO612" s="17">
        <v>44925</v>
      </c>
      <c r="JLP612" s="5" t="s">
        <v>3728</v>
      </c>
      <c r="JLQ612" s="17">
        <v>44925</v>
      </c>
      <c r="JLR612" s="5" t="s">
        <v>3728</v>
      </c>
      <c r="JLS612" s="17">
        <v>44925</v>
      </c>
      <c r="JLT612" s="5" t="s">
        <v>3728</v>
      </c>
      <c r="JLU612" s="17">
        <v>44925</v>
      </c>
      <c r="JLV612" s="5" t="s">
        <v>3728</v>
      </c>
      <c r="JLW612" s="17">
        <v>44925</v>
      </c>
      <c r="JLX612" s="5" t="s">
        <v>3728</v>
      </c>
      <c r="JLY612" s="17">
        <v>44925</v>
      </c>
      <c r="JLZ612" s="5" t="s">
        <v>3728</v>
      </c>
      <c r="JMA612" s="17">
        <v>44925</v>
      </c>
      <c r="JMB612" s="5" t="s">
        <v>3728</v>
      </c>
      <c r="JMC612" s="17">
        <v>44925</v>
      </c>
      <c r="JMD612" s="5" t="s">
        <v>3728</v>
      </c>
      <c r="JME612" s="17">
        <v>44925</v>
      </c>
      <c r="JMF612" s="5" t="s">
        <v>3728</v>
      </c>
      <c r="JMG612" s="17">
        <v>44925</v>
      </c>
      <c r="JMH612" s="5" t="s">
        <v>3728</v>
      </c>
      <c r="JMI612" s="17">
        <v>44925</v>
      </c>
      <c r="JMJ612" s="5" t="s">
        <v>3728</v>
      </c>
      <c r="JMK612" s="17">
        <v>44925</v>
      </c>
      <c r="JML612" s="5" t="s">
        <v>3728</v>
      </c>
      <c r="JMM612" s="17">
        <v>44925</v>
      </c>
      <c r="JMN612" s="5" t="s">
        <v>3728</v>
      </c>
      <c r="JMO612" s="17">
        <v>44925</v>
      </c>
      <c r="JMP612" s="5" t="s">
        <v>3728</v>
      </c>
      <c r="JMQ612" s="17">
        <v>44925</v>
      </c>
      <c r="JMR612" s="5" t="s">
        <v>3728</v>
      </c>
      <c r="JMS612" s="17">
        <v>44925</v>
      </c>
      <c r="JMT612" s="5" t="s">
        <v>3728</v>
      </c>
      <c r="JMU612" s="17">
        <v>44925</v>
      </c>
      <c r="JMV612" s="5" t="s">
        <v>3728</v>
      </c>
      <c r="JMW612" s="17">
        <v>44925</v>
      </c>
      <c r="JMX612" s="5" t="s">
        <v>3728</v>
      </c>
      <c r="JMY612" s="17">
        <v>44925</v>
      </c>
      <c r="JMZ612" s="5" t="s">
        <v>3728</v>
      </c>
      <c r="JNA612" s="17">
        <v>44925</v>
      </c>
      <c r="JNB612" s="5" t="s">
        <v>3728</v>
      </c>
      <c r="JNC612" s="17">
        <v>44925</v>
      </c>
      <c r="JND612" s="5" t="s">
        <v>3728</v>
      </c>
      <c r="JNE612" s="17">
        <v>44925</v>
      </c>
      <c r="JNF612" s="5" t="s">
        <v>3728</v>
      </c>
      <c r="JNG612" s="17">
        <v>44925</v>
      </c>
      <c r="JNH612" s="5" t="s">
        <v>3728</v>
      </c>
      <c r="JNI612" s="17">
        <v>44925</v>
      </c>
      <c r="JNJ612" s="5" t="s">
        <v>3728</v>
      </c>
      <c r="JNK612" s="17">
        <v>44925</v>
      </c>
      <c r="JNL612" s="5" t="s">
        <v>3728</v>
      </c>
      <c r="JNM612" s="17">
        <v>44925</v>
      </c>
      <c r="JNN612" s="5" t="s">
        <v>3728</v>
      </c>
      <c r="JNO612" s="17">
        <v>44925</v>
      </c>
      <c r="JNP612" s="5" t="s">
        <v>3728</v>
      </c>
      <c r="JNQ612" s="17">
        <v>44925</v>
      </c>
      <c r="JNR612" s="5" t="s">
        <v>3728</v>
      </c>
      <c r="JNS612" s="17">
        <v>44925</v>
      </c>
      <c r="JNT612" s="5" t="s">
        <v>3728</v>
      </c>
      <c r="JNU612" s="17">
        <v>44925</v>
      </c>
      <c r="JNV612" s="5" t="s">
        <v>3728</v>
      </c>
      <c r="JNW612" s="17">
        <v>44925</v>
      </c>
      <c r="JNX612" s="5" t="s">
        <v>3728</v>
      </c>
      <c r="JNY612" s="17">
        <v>44925</v>
      </c>
      <c r="JNZ612" s="5" t="s">
        <v>3728</v>
      </c>
      <c r="JOA612" s="17">
        <v>44925</v>
      </c>
      <c r="JOB612" s="5" t="s">
        <v>3728</v>
      </c>
      <c r="JOC612" s="17">
        <v>44925</v>
      </c>
      <c r="JOD612" s="5" t="s">
        <v>3728</v>
      </c>
      <c r="JOE612" s="17">
        <v>44925</v>
      </c>
      <c r="JOF612" s="5" t="s">
        <v>3728</v>
      </c>
      <c r="JOG612" s="17">
        <v>44925</v>
      </c>
      <c r="JOH612" s="5" t="s">
        <v>3728</v>
      </c>
      <c r="JOI612" s="17">
        <v>44925</v>
      </c>
      <c r="JOJ612" s="5" t="s">
        <v>3728</v>
      </c>
      <c r="JOK612" s="17">
        <v>44925</v>
      </c>
      <c r="JOL612" s="5" t="s">
        <v>3728</v>
      </c>
      <c r="JOM612" s="17">
        <v>44925</v>
      </c>
      <c r="JON612" s="5" t="s">
        <v>3728</v>
      </c>
      <c r="JOO612" s="17">
        <v>44925</v>
      </c>
      <c r="JOP612" s="5" t="s">
        <v>3728</v>
      </c>
      <c r="JOQ612" s="17">
        <v>44925</v>
      </c>
      <c r="JOR612" s="5" t="s">
        <v>3728</v>
      </c>
      <c r="JOS612" s="17">
        <v>44925</v>
      </c>
      <c r="JOT612" s="5" t="s">
        <v>3728</v>
      </c>
      <c r="JOU612" s="17">
        <v>44925</v>
      </c>
      <c r="JOV612" s="5" t="s">
        <v>3728</v>
      </c>
      <c r="JOW612" s="17">
        <v>44925</v>
      </c>
      <c r="JOX612" s="5" t="s">
        <v>3728</v>
      </c>
      <c r="JOY612" s="17">
        <v>44925</v>
      </c>
      <c r="JOZ612" s="5" t="s">
        <v>3728</v>
      </c>
      <c r="JPA612" s="17">
        <v>44925</v>
      </c>
      <c r="JPB612" s="5" t="s">
        <v>3728</v>
      </c>
      <c r="JPC612" s="17">
        <v>44925</v>
      </c>
      <c r="JPD612" s="5" t="s">
        <v>3728</v>
      </c>
      <c r="JPE612" s="17">
        <v>44925</v>
      </c>
      <c r="JPF612" s="5" t="s">
        <v>3728</v>
      </c>
      <c r="JPG612" s="17">
        <v>44925</v>
      </c>
      <c r="JPH612" s="5" t="s">
        <v>3728</v>
      </c>
      <c r="JPI612" s="17">
        <v>44925</v>
      </c>
      <c r="JPJ612" s="5" t="s">
        <v>3728</v>
      </c>
      <c r="JPK612" s="17">
        <v>44925</v>
      </c>
      <c r="JPL612" s="5" t="s">
        <v>3728</v>
      </c>
      <c r="JPM612" s="17">
        <v>44925</v>
      </c>
      <c r="JPN612" s="5" t="s">
        <v>3728</v>
      </c>
      <c r="JPO612" s="17">
        <v>44925</v>
      </c>
      <c r="JPP612" s="5" t="s">
        <v>3728</v>
      </c>
      <c r="JPQ612" s="17">
        <v>44925</v>
      </c>
      <c r="JPR612" s="5" t="s">
        <v>3728</v>
      </c>
      <c r="JPS612" s="17">
        <v>44925</v>
      </c>
      <c r="JPT612" s="5" t="s">
        <v>3728</v>
      </c>
      <c r="JPU612" s="17">
        <v>44925</v>
      </c>
      <c r="JPV612" s="5" t="s">
        <v>3728</v>
      </c>
      <c r="JPW612" s="17">
        <v>44925</v>
      </c>
      <c r="JPX612" s="5" t="s">
        <v>3728</v>
      </c>
      <c r="JPY612" s="17">
        <v>44925</v>
      </c>
      <c r="JPZ612" s="5" t="s">
        <v>3728</v>
      </c>
      <c r="JQA612" s="17">
        <v>44925</v>
      </c>
      <c r="JQB612" s="5" t="s">
        <v>3728</v>
      </c>
      <c r="JQC612" s="17">
        <v>44925</v>
      </c>
      <c r="JQD612" s="5" t="s">
        <v>3728</v>
      </c>
      <c r="JQE612" s="17">
        <v>44925</v>
      </c>
      <c r="JQF612" s="5" t="s">
        <v>3728</v>
      </c>
      <c r="JQG612" s="17">
        <v>44925</v>
      </c>
      <c r="JQH612" s="5" t="s">
        <v>3728</v>
      </c>
      <c r="JQI612" s="17">
        <v>44925</v>
      </c>
      <c r="JQJ612" s="5" t="s">
        <v>3728</v>
      </c>
      <c r="JQK612" s="17">
        <v>44925</v>
      </c>
      <c r="JQL612" s="5" t="s">
        <v>3728</v>
      </c>
      <c r="JQM612" s="17">
        <v>44925</v>
      </c>
      <c r="JQN612" s="5" t="s">
        <v>3728</v>
      </c>
      <c r="JQO612" s="17">
        <v>44925</v>
      </c>
      <c r="JQP612" s="5" t="s">
        <v>3728</v>
      </c>
      <c r="JQQ612" s="17">
        <v>44925</v>
      </c>
      <c r="JQR612" s="5" t="s">
        <v>3728</v>
      </c>
      <c r="JQS612" s="17">
        <v>44925</v>
      </c>
      <c r="JQT612" s="5" t="s">
        <v>3728</v>
      </c>
      <c r="JQU612" s="17">
        <v>44925</v>
      </c>
      <c r="JQV612" s="5" t="s">
        <v>3728</v>
      </c>
      <c r="JQW612" s="17">
        <v>44925</v>
      </c>
      <c r="JQX612" s="5" t="s">
        <v>3728</v>
      </c>
      <c r="JQY612" s="17">
        <v>44925</v>
      </c>
      <c r="JQZ612" s="5" t="s">
        <v>3728</v>
      </c>
      <c r="JRA612" s="17">
        <v>44925</v>
      </c>
      <c r="JRB612" s="5" t="s">
        <v>3728</v>
      </c>
      <c r="JRC612" s="17">
        <v>44925</v>
      </c>
      <c r="JRD612" s="5" t="s">
        <v>3728</v>
      </c>
      <c r="JRE612" s="17">
        <v>44925</v>
      </c>
      <c r="JRF612" s="5" t="s">
        <v>3728</v>
      </c>
      <c r="JRG612" s="17">
        <v>44925</v>
      </c>
      <c r="JRH612" s="5" t="s">
        <v>3728</v>
      </c>
      <c r="JRI612" s="17">
        <v>44925</v>
      </c>
      <c r="JRJ612" s="5" t="s">
        <v>3728</v>
      </c>
      <c r="JRK612" s="17">
        <v>44925</v>
      </c>
      <c r="JRL612" s="5" t="s">
        <v>3728</v>
      </c>
      <c r="JRM612" s="17">
        <v>44925</v>
      </c>
      <c r="JRN612" s="5" t="s">
        <v>3728</v>
      </c>
      <c r="JRO612" s="17">
        <v>44925</v>
      </c>
      <c r="JRP612" s="5" t="s">
        <v>3728</v>
      </c>
      <c r="JRQ612" s="17">
        <v>44925</v>
      </c>
      <c r="JRR612" s="5" t="s">
        <v>3728</v>
      </c>
      <c r="JRS612" s="17">
        <v>44925</v>
      </c>
      <c r="JRT612" s="5" t="s">
        <v>3728</v>
      </c>
      <c r="JRU612" s="17">
        <v>44925</v>
      </c>
      <c r="JRV612" s="5" t="s">
        <v>3728</v>
      </c>
      <c r="JRW612" s="17">
        <v>44925</v>
      </c>
      <c r="JRX612" s="5" t="s">
        <v>3728</v>
      </c>
      <c r="JRY612" s="17">
        <v>44925</v>
      </c>
      <c r="JRZ612" s="5" t="s">
        <v>3728</v>
      </c>
      <c r="JSA612" s="17">
        <v>44925</v>
      </c>
      <c r="JSB612" s="5" t="s">
        <v>3728</v>
      </c>
      <c r="JSC612" s="17">
        <v>44925</v>
      </c>
      <c r="JSD612" s="5" t="s">
        <v>3728</v>
      </c>
      <c r="JSE612" s="17">
        <v>44925</v>
      </c>
      <c r="JSF612" s="5" t="s">
        <v>3728</v>
      </c>
      <c r="JSG612" s="17">
        <v>44925</v>
      </c>
      <c r="JSH612" s="5" t="s">
        <v>3728</v>
      </c>
      <c r="JSI612" s="17">
        <v>44925</v>
      </c>
      <c r="JSJ612" s="5" t="s">
        <v>3728</v>
      </c>
      <c r="JSK612" s="17">
        <v>44925</v>
      </c>
      <c r="JSL612" s="5" t="s">
        <v>3728</v>
      </c>
      <c r="JSM612" s="17">
        <v>44925</v>
      </c>
      <c r="JSN612" s="5" t="s">
        <v>3728</v>
      </c>
      <c r="JSO612" s="17">
        <v>44925</v>
      </c>
      <c r="JSP612" s="5" t="s">
        <v>3728</v>
      </c>
      <c r="JSQ612" s="17">
        <v>44925</v>
      </c>
      <c r="JSR612" s="5" t="s">
        <v>3728</v>
      </c>
      <c r="JSS612" s="17">
        <v>44925</v>
      </c>
      <c r="JST612" s="5" t="s">
        <v>3728</v>
      </c>
      <c r="JSU612" s="17">
        <v>44925</v>
      </c>
      <c r="JSV612" s="5" t="s">
        <v>3728</v>
      </c>
      <c r="JSW612" s="17">
        <v>44925</v>
      </c>
      <c r="JSX612" s="5" t="s">
        <v>3728</v>
      </c>
      <c r="JSY612" s="17">
        <v>44925</v>
      </c>
      <c r="JSZ612" s="5" t="s">
        <v>3728</v>
      </c>
      <c r="JTA612" s="17">
        <v>44925</v>
      </c>
      <c r="JTB612" s="5" t="s">
        <v>3728</v>
      </c>
      <c r="JTC612" s="17">
        <v>44925</v>
      </c>
      <c r="JTD612" s="5" t="s">
        <v>3728</v>
      </c>
      <c r="JTE612" s="17">
        <v>44925</v>
      </c>
      <c r="JTF612" s="5" t="s">
        <v>3728</v>
      </c>
      <c r="JTG612" s="17">
        <v>44925</v>
      </c>
      <c r="JTH612" s="5" t="s">
        <v>3728</v>
      </c>
      <c r="JTI612" s="17">
        <v>44925</v>
      </c>
      <c r="JTJ612" s="5" t="s">
        <v>3728</v>
      </c>
      <c r="JTK612" s="17">
        <v>44925</v>
      </c>
      <c r="JTL612" s="5" t="s">
        <v>3728</v>
      </c>
      <c r="JTM612" s="17">
        <v>44925</v>
      </c>
      <c r="JTN612" s="5" t="s">
        <v>3728</v>
      </c>
      <c r="JTO612" s="17">
        <v>44925</v>
      </c>
      <c r="JTP612" s="5" t="s">
        <v>3728</v>
      </c>
      <c r="JTQ612" s="17">
        <v>44925</v>
      </c>
      <c r="JTR612" s="5" t="s">
        <v>3728</v>
      </c>
      <c r="JTS612" s="17">
        <v>44925</v>
      </c>
      <c r="JTT612" s="5" t="s">
        <v>3728</v>
      </c>
      <c r="JTU612" s="17">
        <v>44925</v>
      </c>
      <c r="JTV612" s="5" t="s">
        <v>3728</v>
      </c>
      <c r="JTW612" s="17">
        <v>44925</v>
      </c>
      <c r="JTX612" s="5" t="s">
        <v>3728</v>
      </c>
      <c r="JTY612" s="17">
        <v>44925</v>
      </c>
      <c r="JTZ612" s="5" t="s">
        <v>3728</v>
      </c>
      <c r="JUA612" s="17">
        <v>44925</v>
      </c>
      <c r="JUB612" s="5" t="s">
        <v>3728</v>
      </c>
      <c r="JUC612" s="17">
        <v>44925</v>
      </c>
      <c r="JUD612" s="5" t="s">
        <v>3728</v>
      </c>
      <c r="JUE612" s="17">
        <v>44925</v>
      </c>
      <c r="JUF612" s="5" t="s">
        <v>3728</v>
      </c>
      <c r="JUG612" s="17">
        <v>44925</v>
      </c>
      <c r="JUH612" s="5" t="s">
        <v>3728</v>
      </c>
      <c r="JUI612" s="17">
        <v>44925</v>
      </c>
      <c r="JUJ612" s="5" t="s">
        <v>3728</v>
      </c>
      <c r="JUK612" s="17">
        <v>44925</v>
      </c>
      <c r="JUL612" s="5" t="s">
        <v>3728</v>
      </c>
      <c r="JUM612" s="17">
        <v>44925</v>
      </c>
      <c r="JUN612" s="5" t="s">
        <v>3728</v>
      </c>
      <c r="JUO612" s="17">
        <v>44925</v>
      </c>
      <c r="JUP612" s="5" t="s">
        <v>3728</v>
      </c>
      <c r="JUQ612" s="17">
        <v>44925</v>
      </c>
      <c r="JUR612" s="5" t="s">
        <v>3728</v>
      </c>
      <c r="JUS612" s="17">
        <v>44925</v>
      </c>
      <c r="JUT612" s="5" t="s">
        <v>3728</v>
      </c>
      <c r="JUU612" s="17">
        <v>44925</v>
      </c>
      <c r="JUV612" s="5" t="s">
        <v>3728</v>
      </c>
      <c r="JUW612" s="17">
        <v>44925</v>
      </c>
      <c r="JUX612" s="5" t="s">
        <v>3728</v>
      </c>
      <c r="JUY612" s="17">
        <v>44925</v>
      </c>
      <c r="JUZ612" s="5" t="s">
        <v>3728</v>
      </c>
      <c r="JVA612" s="17">
        <v>44925</v>
      </c>
      <c r="JVB612" s="5" t="s">
        <v>3728</v>
      </c>
      <c r="JVC612" s="17">
        <v>44925</v>
      </c>
      <c r="JVD612" s="5" t="s">
        <v>3728</v>
      </c>
      <c r="JVE612" s="17">
        <v>44925</v>
      </c>
      <c r="JVF612" s="5" t="s">
        <v>3728</v>
      </c>
      <c r="JVG612" s="17">
        <v>44925</v>
      </c>
      <c r="JVH612" s="5" t="s">
        <v>3728</v>
      </c>
      <c r="JVI612" s="17">
        <v>44925</v>
      </c>
      <c r="JVJ612" s="5" t="s">
        <v>3728</v>
      </c>
      <c r="JVK612" s="17">
        <v>44925</v>
      </c>
      <c r="JVL612" s="5" t="s">
        <v>3728</v>
      </c>
      <c r="JVM612" s="17">
        <v>44925</v>
      </c>
      <c r="JVN612" s="5" t="s">
        <v>3728</v>
      </c>
      <c r="JVO612" s="17">
        <v>44925</v>
      </c>
      <c r="JVP612" s="5" t="s">
        <v>3728</v>
      </c>
      <c r="JVQ612" s="17">
        <v>44925</v>
      </c>
      <c r="JVR612" s="5" t="s">
        <v>3728</v>
      </c>
      <c r="JVS612" s="17">
        <v>44925</v>
      </c>
      <c r="JVT612" s="5" t="s">
        <v>3728</v>
      </c>
      <c r="JVU612" s="17">
        <v>44925</v>
      </c>
      <c r="JVV612" s="5" t="s">
        <v>3728</v>
      </c>
      <c r="JVW612" s="17">
        <v>44925</v>
      </c>
      <c r="JVX612" s="5" t="s">
        <v>3728</v>
      </c>
      <c r="JVY612" s="17">
        <v>44925</v>
      </c>
      <c r="JVZ612" s="5" t="s">
        <v>3728</v>
      </c>
      <c r="JWA612" s="17">
        <v>44925</v>
      </c>
      <c r="JWB612" s="5" t="s">
        <v>3728</v>
      </c>
      <c r="JWC612" s="17">
        <v>44925</v>
      </c>
      <c r="JWD612" s="5" t="s">
        <v>3728</v>
      </c>
      <c r="JWE612" s="17">
        <v>44925</v>
      </c>
      <c r="JWF612" s="5" t="s">
        <v>3728</v>
      </c>
      <c r="JWG612" s="17">
        <v>44925</v>
      </c>
      <c r="JWH612" s="5" t="s">
        <v>3728</v>
      </c>
      <c r="JWI612" s="17">
        <v>44925</v>
      </c>
      <c r="JWJ612" s="5" t="s">
        <v>3728</v>
      </c>
      <c r="JWK612" s="17">
        <v>44925</v>
      </c>
      <c r="JWL612" s="5" t="s">
        <v>3728</v>
      </c>
      <c r="JWM612" s="17">
        <v>44925</v>
      </c>
      <c r="JWN612" s="5" t="s">
        <v>3728</v>
      </c>
      <c r="JWO612" s="17">
        <v>44925</v>
      </c>
      <c r="JWP612" s="5" t="s">
        <v>3728</v>
      </c>
      <c r="JWQ612" s="17">
        <v>44925</v>
      </c>
      <c r="JWR612" s="5" t="s">
        <v>3728</v>
      </c>
      <c r="JWS612" s="17">
        <v>44925</v>
      </c>
      <c r="JWT612" s="5" t="s">
        <v>3728</v>
      </c>
      <c r="JWU612" s="17">
        <v>44925</v>
      </c>
      <c r="JWV612" s="5" t="s">
        <v>3728</v>
      </c>
      <c r="JWW612" s="17">
        <v>44925</v>
      </c>
      <c r="JWX612" s="5" t="s">
        <v>3728</v>
      </c>
      <c r="JWY612" s="17">
        <v>44925</v>
      </c>
      <c r="JWZ612" s="5" t="s">
        <v>3728</v>
      </c>
      <c r="JXA612" s="17">
        <v>44925</v>
      </c>
      <c r="JXB612" s="5" t="s">
        <v>3728</v>
      </c>
      <c r="JXC612" s="17">
        <v>44925</v>
      </c>
      <c r="JXD612" s="5" t="s">
        <v>3728</v>
      </c>
      <c r="JXE612" s="17">
        <v>44925</v>
      </c>
      <c r="JXF612" s="5" t="s">
        <v>3728</v>
      </c>
      <c r="JXG612" s="17">
        <v>44925</v>
      </c>
      <c r="JXH612" s="5" t="s">
        <v>3728</v>
      </c>
      <c r="JXI612" s="17">
        <v>44925</v>
      </c>
      <c r="JXJ612" s="5" t="s">
        <v>3728</v>
      </c>
      <c r="JXK612" s="17">
        <v>44925</v>
      </c>
      <c r="JXL612" s="5" t="s">
        <v>3728</v>
      </c>
      <c r="JXM612" s="17">
        <v>44925</v>
      </c>
      <c r="JXN612" s="5" t="s">
        <v>3728</v>
      </c>
      <c r="JXO612" s="17">
        <v>44925</v>
      </c>
      <c r="JXP612" s="5" t="s">
        <v>3728</v>
      </c>
      <c r="JXQ612" s="17">
        <v>44925</v>
      </c>
      <c r="JXR612" s="5" t="s">
        <v>3728</v>
      </c>
      <c r="JXS612" s="17">
        <v>44925</v>
      </c>
      <c r="JXT612" s="5" t="s">
        <v>3728</v>
      </c>
      <c r="JXU612" s="17">
        <v>44925</v>
      </c>
      <c r="JXV612" s="5" t="s">
        <v>3728</v>
      </c>
      <c r="JXW612" s="17">
        <v>44925</v>
      </c>
      <c r="JXX612" s="5" t="s">
        <v>3728</v>
      </c>
      <c r="JXY612" s="17">
        <v>44925</v>
      </c>
      <c r="JXZ612" s="5" t="s">
        <v>3728</v>
      </c>
      <c r="JYA612" s="17">
        <v>44925</v>
      </c>
      <c r="JYB612" s="5" t="s">
        <v>3728</v>
      </c>
      <c r="JYC612" s="17">
        <v>44925</v>
      </c>
      <c r="JYD612" s="5" t="s">
        <v>3728</v>
      </c>
      <c r="JYE612" s="17">
        <v>44925</v>
      </c>
      <c r="JYF612" s="5" t="s">
        <v>3728</v>
      </c>
      <c r="JYG612" s="17">
        <v>44925</v>
      </c>
      <c r="JYH612" s="5" t="s">
        <v>3728</v>
      </c>
      <c r="JYI612" s="17">
        <v>44925</v>
      </c>
      <c r="JYJ612" s="5" t="s">
        <v>3728</v>
      </c>
      <c r="JYK612" s="17">
        <v>44925</v>
      </c>
      <c r="JYL612" s="5" t="s">
        <v>3728</v>
      </c>
      <c r="JYM612" s="17">
        <v>44925</v>
      </c>
      <c r="JYN612" s="5" t="s">
        <v>3728</v>
      </c>
      <c r="JYO612" s="17">
        <v>44925</v>
      </c>
      <c r="JYP612" s="5" t="s">
        <v>3728</v>
      </c>
      <c r="JYQ612" s="17">
        <v>44925</v>
      </c>
      <c r="JYR612" s="5" t="s">
        <v>3728</v>
      </c>
      <c r="JYS612" s="17">
        <v>44925</v>
      </c>
      <c r="JYT612" s="5" t="s">
        <v>3728</v>
      </c>
      <c r="JYU612" s="17">
        <v>44925</v>
      </c>
      <c r="JYV612" s="5" t="s">
        <v>3728</v>
      </c>
      <c r="JYW612" s="17">
        <v>44925</v>
      </c>
      <c r="JYX612" s="5" t="s">
        <v>3728</v>
      </c>
      <c r="JYY612" s="17">
        <v>44925</v>
      </c>
      <c r="JYZ612" s="5" t="s">
        <v>3728</v>
      </c>
      <c r="JZA612" s="17">
        <v>44925</v>
      </c>
      <c r="JZB612" s="5" t="s">
        <v>3728</v>
      </c>
      <c r="JZC612" s="17">
        <v>44925</v>
      </c>
      <c r="JZD612" s="5" t="s">
        <v>3728</v>
      </c>
      <c r="JZE612" s="17">
        <v>44925</v>
      </c>
      <c r="JZF612" s="5" t="s">
        <v>3728</v>
      </c>
      <c r="JZG612" s="17">
        <v>44925</v>
      </c>
      <c r="JZH612" s="5" t="s">
        <v>3728</v>
      </c>
      <c r="JZI612" s="17">
        <v>44925</v>
      </c>
      <c r="JZJ612" s="5" t="s">
        <v>3728</v>
      </c>
      <c r="JZK612" s="17">
        <v>44925</v>
      </c>
      <c r="JZL612" s="5" t="s">
        <v>3728</v>
      </c>
      <c r="JZM612" s="17">
        <v>44925</v>
      </c>
      <c r="JZN612" s="5" t="s">
        <v>3728</v>
      </c>
      <c r="JZO612" s="17">
        <v>44925</v>
      </c>
      <c r="JZP612" s="5" t="s">
        <v>3728</v>
      </c>
      <c r="JZQ612" s="17">
        <v>44925</v>
      </c>
      <c r="JZR612" s="5" t="s">
        <v>3728</v>
      </c>
      <c r="JZS612" s="17">
        <v>44925</v>
      </c>
      <c r="JZT612" s="5" t="s">
        <v>3728</v>
      </c>
      <c r="JZU612" s="17">
        <v>44925</v>
      </c>
      <c r="JZV612" s="5" t="s">
        <v>3728</v>
      </c>
      <c r="JZW612" s="17">
        <v>44925</v>
      </c>
      <c r="JZX612" s="5" t="s">
        <v>3728</v>
      </c>
      <c r="JZY612" s="17">
        <v>44925</v>
      </c>
      <c r="JZZ612" s="5" t="s">
        <v>3728</v>
      </c>
      <c r="KAA612" s="17">
        <v>44925</v>
      </c>
      <c r="KAB612" s="5" t="s">
        <v>3728</v>
      </c>
      <c r="KAC612" s="17">
        <v>44925</v>
      </c>
      <c r="KAD612" s="5" t="s">
        <v>3728</v>
      </c>
      <c r="KAE612" s="17">
        <v>44925</v>
      </c>
      <c r="KAF612" s="5" t="s">
        <v>3728</v>
      </c>
      <c r="KAG612" s="17">
        <v>44925</v>
      </c>
      <c r="KAH612" s="5" t="s">
        <v>3728</v>
      </c>
      <c r="KAI612" s="17">
        <v>44925</v>
      </c>
      <c r="KAJ612" s="5" t="s">
        <v>3728</v>
      </c>
      <c r="KAK612" s="17">
        <v>44925</v>
      </c>
      <c r="KAL612" s="5" t="s">
        <v>3728</v>
      </c>
      <c r="KAM612" s="17">
        <v>44925</v>
      </c>
      <c r="KAN612" s="5" t="s">
        <v>3728</v>
      </c>
      <c r="KAO612" s="17">
        <v>44925</v>
      </c>
      <c r="KAP612" s="5" t="s">
        <v>3728</v>
      </c>
      <c r="KAQ612" s="17">
        <v>44925</v>
      </c>
      <c r="KAR612" s="5" t="s">
        <v>3728</v>
      </c>
      <c r="KAS612" s="17">
        <v>44925</v>
      </c>
      <c r="KAT612" s="5" t="s">
        <v>3728</v>
      </c>
      <c r="KAU612" s="17">
        <v>44925</v>
      </c>
      <c r="KAV612" s="5" t="s">
        <v>3728</v>
      </c>
      <c r="KAW612" s="17">
        <v>44925</v>
      </c>
      <c r="KAX612" s="5" t="s">
        <v>3728</v>
      </c>
      <c r="KAY612" s="17">
        <v>44925</v>
      </c>
      <c r="KAZ612" s="5" t="s">
        <v>3728</v>
      </c>
      <c r="KBA612" s="17">
        <v>44925</v>
      </c>
      <c r="KBB612" s="5" t="s">
        <v>3728</v>
      </c>
      <c r="KBC612" s="17">
        <v>44925</v>
      </c>
      <c r="KBD612" s="5" t="s">
        <v>3728</v>
      </c>
      <c r="KBE612" s="17">
        <v>44925</v>
      </c>
      <c r="KBF612" s="5" t="s">
        <v>3728</v>
      </c>
      <c r="KBG612" s="17">
        <v>44925</v>
      </c>
      <c r="KBH612" s="5" t="s">
        <v>3728</v>
      </c>
      <c r="KBI612" s="17">
        <v>44925</v>
      </c>
      <c r="KBJ612" s="5" t="s">
        <v>3728</v>
      </c>
      <c r="KBK612" s="17">
        <v>44925</v>
      </c>
      <c r="KBL612" s="5" t="s">
        <v>3728</v>
      </c>
      <c r="KBM612" s="17">
        <v>44925</v>
      </c>
      <c r="KBN612" s="5" t="s">
        <v>3728</v>
      </c>
      <c r="KBO612" s="17">
        <v>44925</v>
      </c>
      <c r="KBP612" s="5" t="s">
        <v>3728</v>
      </c>
      <c r="KBQ612" s="17">
        <v>44925</v>
      </c>
      <c r="KBR612" s="5" t="s">
        <v>3728</v>
      </c>
      <c r="KBS612" s="17">
        <v>44925</v>
      </c>
      <c r="KBT612" s="5" t="s">
        <v>3728</v>
      </c>
      <c r="KBU612" s="17">
        <v>44925</v>
      </c>
      <c r="KBV612" s="5" t="s">
        <v>3728</v>
      </c>
      <c r="KBW612" s="17">
        <v>44925</v>
      </c>
      <c r="KBX612" s="5" t="s">
        <v>3728</v>
      </c>
      <c r="KBY612" s="17">
        <v>44925</v>
      </c>
      <c r="KBZ612" s="5" t="s">
        <v>3728</v>
      </c>
      <c r="KCA612" s="17">
        <v>44925</v>
      </c>
      <c r="KCB612" s="5" t="s">
        <v>3728</v>
      </c>
      <c r="KCC612" s="17">
        <v>44925</v>
      </c>
      <c r="KCD612" s="5" t="s">
        <v>3728</v>
      </c>
      <c r="KCE612" s="17">
        <v>44925</v>
      </c>
      <c r="KCF612" s="5" t="s">
        <v>3728</v>
      </c>
      <c r="KCG612" s="17">
        <v>44925</v>
      </c>
      <c r="KCH612" s="5" t="s">
        <v>3728</v>
      </c>
      <c r="KCI612" s="17">
        <v>44925</v>
      </c>
      <c r="KCJ612" s="5" t="s">
        <v>3728</v>
      </c>
      <c r="KCK612" s="17">
        <v>44925</v>
      </c>
      <c r="KCL612" s="5" t="s">
        <v>3728</v>
      </c>
      <c r="KCM612" s="17">
        <v>44925</v>
      </c>
      <c r="KCN612" s="5" t="s">
        <v>3728</v>
      </c>
      <c r="KCO612" s="17">
        <v>44925</v>
      </c>
      <c r="KCP612" s="5" t="s">
        <v>3728</v>
      </c>
      <c r="KCQ612" s="17">
        <v>44925</v>
      </c>
      <c r="KCR612" s="5" t="s">
        <v>3728</v>
      </c>
      <c r="KCS612" s="17">
        <v>44925</v>
      </c>
      <c r="KCT612" s="5" t="s">
        <v>3728</v>
      </c>
      <c r="KCU612" s="17">
        <v>44925</v>
      </c>
      <c r="KCV612" s="5" t="s">
        <v>3728</v>
      </c>
      <c r="KCW612" s="17">
        <v>44925</v>
      </c>
      <c r="KCX612" s="5" t="s">
        <v>3728</v>
      </c>
      <c r="KCY612" s="17">
        <v>44925</v>
      </c>
      <c r="KCZ612" s="5" t="s">
        <v>3728</v>
      </c>
      <c r="KDA612" s="17">
        <v>44925</v>
      </c>
      <c r="KDB612" s="5" t="s">
        <v>3728</v>
      </c>
      <c r="KDC612" s="17">
        <v>44925</v>
      </c>
      <c r="KDD612" s="5" t="s">
        <v>3728</v>
      </c>
      <c r="KDE612" s="17">
        <v>44925</v>
      </c>
      <c r="KDF612" s="5" t="s">
        <v>3728</v>
      </c>
      <c r="KDG612" s="17">
        <v>44925</v>
      </c>
      <c r="KDH612" s="5" t="s">
        <v>3728</v>
      </c>
      <c r="KDI612" s="17">
        <v>44925</v>
      </c>
      <c r="KDJ612" s="5" t="s">
        <v>3728</v>
      </c>
      <c r="KDK612" s="17">
        <v>44925</v>
      </c>
      <c r="KDL612" s="5" t="s">
        <v>3728</v>
      </c>
      <c r="KDM612" s="17">
        <v>44925</v>
      </c>
      <c r="KDN612" s="5" t="s">
        <v>3728</v>
      </c>
      <c r="KDO612" s="17">
        <v>44925</v>
      </c>
      <c r="KDP612" s="5" t="s">
        <v>3728</v>
      </c>
      <c r="KDQ612" s="17">
        <v>44925</v>
      </c>
      <c r="KDR612" s="5" t="s">
        <v>3728</v>
      </c>
      <c r="KDS612" s="17">
        <v>44925</v>
      </c>
      <c r="KDT612" s="5" t="s">
        <v>3728</v>
      </c>
      <c r="KDU612" s="17">
        <v>44925</v>
      </c>
      <c r="KDV612" s="5" t="s">
        <v>3728</v>
      </c>
      <c r="KDW612" s="17">
        <v>44925</v>
      </c>
      <c r="KDX612" s="5" t="s">
        <v>3728</v>
      </c>
      <c r="KDY612" s="17">
        <v>44925</v>
      </c>
      <c r="KDZ612" s="5" t="s">
        <v>3728</v>
      </c>
      <c r="KEA612" s="17">
        <v>44925</v>
      </c>
      <c r="KEB612" s="5" t="s">
        <v>3728</v>
      </c>
      <c r="KEC612" s="17">
        <v>44925</v>
      </c>
      <c r="KED612" s="5" t="s">
        <v>3728</v>
      </c>
      <c r="KEE612" s="17">
        <v>44925</v>
      </c>
      <c r="KEF612" s="5" t="s">
        <v>3728</v>
      </c>
      <c r="KEG612" s="17">
        <v>44925</v>
      </c>
      <c r="KEH612" s="5" t="s">
        <v>3728</v>
      </c>
      <c r="KEI612" s="17">
        <v>44925</v>
      </c>
      <c r="KEJ612" s="5" t="s">
        <v>3728</v>
      </c>
      <c r="KEK612" s="17">
        <v>44925</v>
      </c>
      <c r="KEL612" s="5" t="s">
        <v>3728</v>
      </c>
      <c r="KEM612" s="17">
        <v>44925</v>
      </c>
      <c r="KEN612" s="5" t="s">
        <v>3728</v>
      </c>
      <c r="KEO612" s="17">
        <v>44925</v>
      </c>
      <c r="KEP612" s="5" t="s">
        <v>3728</v>
      </c>
      <c r="KEQ612" s="17">
        <v>44925</v>
      </c>
      <c r="KER612" s="5" t="s">
        <v>3728</v>
      </c>
      <c r="KES612" s="17">
        <v>44925</v>
      </c>
      <c r="KET612" s="5" t="s">
        <v>3728</v>
      </c>
      <c r="KEU612" s="17">
        <v>44925</v>
      </c>
      <c r="KEV612" s="5" t="s">
        <v>3728</v>
      </c>
      <c r="KEW612" s="17">
        <v>44925</v>
      </c>
      <c r="KEX612" s="5" t="s">
        <v>3728</v>
      </c>
      <c r="KEY612" s="17">
        <v>44925</v>
      </c>
      <c r="KEZ612" s="5" t="s">
        <v>3728</v>
      </c>
      <c r="KFA612" s="17">
        <v>44925</v>
      </c>
      <c r="KFB612" s="5" t="s">
        <v>3728</v>
      </c>
      <c r="KFC612" s="17">
        <v>44925</v>
      </c>
      <c r="KFD612" s="5" t="s">
        <v>3728</v>
      </c>
      <c r="KFE612" s="17">
        <v>44925</v>
      </c>
      <c r="KFF612" s="5" t="s">
        <v>3728</v>
      </c>
      <c r="KFG612" s="17">
        <v>44925</v>
      </c>
      <c r="KFH612" s="5" t="s">
        <v>3728</v>
      </c>
      <c r="KFI612" s="17">
        <v>44925</v>
      </c>
      <c r="KFJ612" s="5" t="s">
        <v>3728</v>
      </c>
      <c r="KFK612" s="17">
        <v>44925</v>
      </c>
      <c r="KFL612" s="5" t="s">
        <v>3728</v>
      </c>
      <c r="KFM612" s="17">
        <v>44925</v>
      </c>
      <c r="KFN612" s="5" t="s">
        <v>3728</v>
      </c>
      <c r="KFO612" s="17">
        <v>44925</v>
      </c>
      <c r="KFP612" s="5" t="s">
        <v>3728</v>
      </c>
      <c r="KFQ612" s="17">
        <v>44925</v>
      </c>
      <c r="KFR612" s="5" t="s">
        <v>3728</v>
      </c>
      <c r="KFS612" s="17">
        <v>44925</v>
      </c>
      <c r="KFT612" s="5" t="s">
        <v>3728</v>
      </c>
      <c r="KFU612" s="17">
        <v>44925</v>
      </c>
      <c r="KFV612" s="5" t="s">
        <v>3728</v>
      </c>
      <c r="KFW612" s="17">
        <v>44925</v>
      </c>
      <c r="KFX612" s="5" t="s">
        <v>3728</v>
      </c>
      <c r="KFY612" s="17">
        <v>44925</v>
      </c>
      <c r="KFZ612" s="5" t="s">
        <v>3728</v>
      </c>
      <c r="KGA612" s="17">
        <v>44925</v>
      </c>
      <c r="KGB612" s="5" t="s">
        <v>3728</v>
      </c>
      <c r="KGC612" s="17">
        <v>44925</v>
      </c>
      <c r="KGD612" s="5" t="s">
        <v>3728</v>
      </c>
      <c r="KGE612" s="17">
        <v>44925</v>
      </c>
      <c r="KGF612" s="5" t="s">
        <v>3728</v>
      </c>
      <c r="KGG612" s="17">
        <v>44925</v>
      </c>
      <c r="KGH612" s="5" t="s">
        <v>3728</v>
      </c>
      <c r="KGI612" s="17">
        <v>44925</v>
      </c>
      <c r="KGJ612" s="5" t="s">
        <v>3728</v>
      </c>
      <c r="KGK612" s="17">
        <v>44925</v>
      </c>
      <c r="KGL612" s="5" t="s">
        <v>3728</v>
      </c>
      <c r="KGM612" s="17">
        <v>44925</v>
      </c>
      <c r="KGN612" s="5" t="s">
        <v>3728</v>
      </c>
      <c r="KGO612" s="17">
        <v>44925</v>
      </c>
      <c r="KGP612" s="5" t="s">
        <v>3728</v>
      </c>
      <c r="KGQ612" s="17">
        <v>44925</v>
      </c>
      <c r="KGR612" s="5" t="s">
        <v>3728</v>
      </c>
      <c r="KGS612" s="17">
        <v>44925</v>
      </c>
      <c r="KGT612" s="5" t="s">
        <v>3728</v>
      </c>
      <c r="KGU612" s="17">
        <v>44925</v>
      </c>
      <c r="KGV612" s="5" t="s">
        <v>3728</v>
      </c>
      <c r="KGW612" s="17">
        <v>44925</v>
      </c>
      <c r="KGX612" s="5" t="s">
        <v>3728</v>
      </c>
      <c r="KGY612" s="17">
        <v>44925</v>
      </c>
      <c r="KGZ612" s="5" t="s">
        <v>3728</v>
      </c>
      <c r="KHA612" s="17">
        <v>44925</v>
      </c>
      <c r="KHB612" s="5" t="s">
        <v>3728</v>
      </c>
      <c r="KHC612" s="17">
        <v>44925</v>
      </c>
      <c r="KHD612" s="5" t="s">
        <v>3728</v>
      </c>
      <c r="KHE612" s="17">
        <v>44925</v>
      </c>
      <c r="KHF612" s="5" t="s">
        <v>3728</v>
      </c>
      <c r="KHG612" s="17">
        <v>44925</v>
      </c>
      <c r="KHH612" s="5" t="s">
        <v>3728</v>
      </c>
      <c r="KHI612" s="17">
        <v>44925</v>
      </c>
      <c r="KHJ612" s="5" t="s">
        <v>3728</v>
      </c>
      <c r="KHK612" s="17">
        <v>44925</v>
      </c>
      <c r="KHL612" s="5" t="s">
        <v>3728</v>
      </c>
      <c r="KHM612" s="17">
        <v>44925</v>
      </c>
      <c r="KHN612" s="5" t="s">
        <v>3728</v>
      </c>
      <c r="KHO612" s="17">
        <v>44925</v>
      </c>
      <c r="KHP612" s="5" t="s">
        <v>3728</v>
      </c>
      <c r="KHQ612" s="17">
        <v>44925</v>
      </c>
      <c r="KHR612" s="5" t="s">
        <v>3728</v>
      </c>
      <c r="KHS612" s="17">
        <v>44925</v>
      </c>
      <c r="KHT612" s="5" t="s">
        <v>3728</v>
      </c>
      <c r="KHU612" s="17">
        <v>44925</v>
      </c>
      <c r="KHV612" s="5" t="s">
        <v>3728</v>
      </c>
      <c r="KHW612" s="17">
        <v>44925</v>
      </c>
      <c r="KHX612" s="5" t="s">
        <v>3728</v>
      </c>
      <c r="KHY612" s="17">
        <v>44925</v>
      </c>
      <c r="KHZ612" s="5" t="s">
        <v>3728</v>
      </c>
      <c r="KIA612" s="17">
        <v>44925</v>
      </c>
      <c r="KIB612" s="5" t="s">
        <v>3728</v>
      </c>
      <c r="KIC612" s="17">
        <v>44925</v>
      </c>
      <c r="KID612" s="5" t="s">
        <v>3728</v>
      </c>
      <c r="KIE612" s="17">
        <v>44925</v>
      </c>
      <c r="KIF612" s="5" t="s">
        <v>3728</v>
      </c>
      <c r="KIG612" s="17">
        <v>44925</v>
      </c>
      <c r="KIH612" s="5" t="s">
        <v>3728</v>
      </c>
      <c r="KII612" s="17">
        <v>44925</v>
      </c>
      <c r="KIJ612" s="5" t="s">
        <v>3728</v>
      </c>
      <c r="KIK612" s="17">
        <v>44925</v>
      </c>
      <c r="KIL612" s="5" t="s">
        <v>3728</v>
      </c>
      <c r="KIM612" s="17">
        <v>44925</v>
      </c>
      <c r="KIN612" s="5" t="s">
        <v>3728</v>
      </c>
      <c r="KIO612" s="17">
        <v>44925</v>
      </c>
      <c r="KIP612" s="5" t="s">
        <v>3728</v>
      </c>
      <c r="KIQ612" s="17">
        <v>44925</v>
      </c>
      <c r="KIR612" s="5" t="s">
        <v>3728</v>
      </c>
      <c r="KIS612" s="17">
        <v>44925</v>
      </c>
      <c r="KIT612" s="5" t="s">
        <v>3728</v>
      </c>
      <c r="KIU612" s="17">
        <v>44925</v>
      </c>
      <c r="KIV612" s="5" t="s">
        <v>3728</v>
      </c>
      <c r="KIW612" s="17">
        <v>44925</v>
      </c>
      <c r="KIX612" s="5" t="s">
        <v>3728</v>
      </c>
      <c r="KIY612" s="17">
        <v>44925</v>
      </c>
      <c r="KIZ612" s="5" t="s">
        <v>3728</v>
      </c>
      <c r="KJA612" s="17">
        <v>44925</v>
      </c>
      <c r="KJB612" s="5" t="s">
        <v>3728</v>
      </c>
      <c r="KJC612" s="17">
        <v>44925</v>
      </c>
      <c r="KJD612" s="5" t="s">
        <v>3728</v>
      </c>
      <c r="KJE612" s="17">
        <v>44925</v>
      </c>
      <c r="KJF612" s="5" t="s">
        <v>3728</v>
      </c>
      <c r="KJG612" s="17">
        <v>44925</v>
      </c>
      <c r="KJH612" s="5" t="s">
        <v>3728</v>
      </c>
      <c r="KJI612" s="17">
        <v>44925</v>
      </c>
      <c r="KJJ612" s="5" t="s">
        <v>3728</v>
      </c>
      <c r="KJK612" s="17">
        <v>44925</v>
      </c>
      <c r="KJL612" s="5" t="s">
        <v>3728</v>
      </c>
      <c r="KJM612" s="17">
        <v>44925</v>
      </c>
      <c r="KJN612" s="5" t="s">
        <v>3728</v>
      </c>
      <c r="KJO612" s="17">
        <v>44925</v>
      </c>
      <c r="KJP612" s="5" t="s">
        <v>3728</v>
      </c>
      <c r="KJQ612" s="17">
        <v>44925</v>
      </c>
      <c r="KJR612" s="5" t="s">
        <v>3728</v>
      </c>
      <c r="KJS612" s="17">
        <v>44925</v>
      </c>
      <c r="KJT612" s="5" t="s">
        <v>3728</v>
      </c>
      <c r="KJU612" s="17">
        <v>44925</v>
      </c>
      <c r="KJV612" s="5" t="s">
        <v>3728</v>
      </c>
      <c r="KJW612" s="17">
        <v>44925</v>
      </c>
      <c r="KJX612" s="5" t="s">
        <v>3728</v>
      </c>
      <c r="KJY612" s="17">
        <v>44925</v>
      </c>
      <c r="KJZ612" s="5" t="s">
        <v>3728</v>
      </c>
      <c r="KKA612" s="17">
        <v>44925</v>
      </c>
      <c r="KKB612" s="5" t="s">
        <v>3728</v>
      </c>
      <c r="KKC612" s="17">
        <v>44925</v>
      </c>
      <c r="KKD612" s="5" t="s">
        <v>3728</v>
      </c>
      <c r="KKE612" s="17">
        <v>44925</v>
      </c>
      <c r="KKF612" s="5" t="s">
        <v>3728</v>
      </c>
      <c r="KKG612" s="17">
        <v>44925</v>
      </c>
      <c r="KKH612" s="5" t="s">
        <v>3728</v>
      </c>
      <c r="KKI612" s="17">
        <v>44925</v>
      </c>
      <c r="KKJ612" s="5" t="s">
        <v>3728</v>
      </c>
      <c r="KKK612" s="17">
        <v>44925</v>
      </c>
      <c r="KKL612" s="5" t="s">
        <v>3728</v>
      </c>
      <c r="KKM612" s="17">
        <v>44925</v>
      </c>
      <c r="KKN612" s="5" t="s">
        <v>3728</v>
      </c>
      <c r="KKO612" s="17">
        <v>44925</v>
      </c>
      <c r="KKP612" s="5" t="s">
        <v>3728</v>
      </c>
      <c r="KKQ612" s="17">
        <v>44925</v>
      </c>
      <c r="KKR612" s="5" t="s">
        <v>3728</v>
      </c>
      <c r="KKS612" s="17">
        <v>44925</v>
      </c>
      <c r="KKT612" s="5" t="s">
        <v>3728</v>
      </c>
      <c r="KKU612" s="17">
        <v>44925</v>
      </c>
      <c r="KKV612" s="5" t="s">
        <v>3728</v>
      </c>
      <c r="KKW612" s="17">
        <v>44925</v>
      </c>
      <c r="KKX612" s="5" t="s">
        <v>3728</v>
      </c>
      <c r="KKY612" s="17">
        <v>44925</v>
      </c>
      <c r="KKZ612" s="5" t="s">
        <v>3728</v>
      </c>
      <c r="KLA612" s="17">
        <v>44925</v>
      </c>
      <c r="KLB612" s="5" t="s">
        <v>3728</v>
      </c>
      <c r="KLC612" s="17">
        <v>44925</v>
      </c>
      <c r="KLD612" s="5" t="s">
        <v>3728</v>
      </c>
      <c r="KLE612" s="17">
        <v>44925</v>
      </c>
      <c r="KLF612" s="5" t="s">
        <v>3728</v>
      </c>
      <c r="KLG612" s="17">
        <v>44925</v>
      </c>
      <c r="KLH612" s="5" t="s">
        <v>3728</v>
      </c>
      <c r="KLI612" s="17">
        <v>44925</v>
      </c>
      <c r="KLJ612" s="5" t="s">
        <v>3728</v>
      </c>
      <c r="KLK612" s="17">
        <v>44925</v>
      </c>
      <c r="KLL612" s="5" t="s">
        <v>3728</v>
      </c>
      <c r="KLM612" s="17">
        <v>44925</v>
      </c>
      <c r="KLN612" s="5" t="s">
        <v>3728</v>
      </c>
      <c r="KLO612" s="17">
        <v>44925</v>
      </c>
      <c r="KLP612" s="5" t="s">
        <v>3728</v>
      </c>
      <c r="KLQ612" s="17">
        <v>44925</v>
      </c>
      <c r="KLR612" s="5" t="s">
        <v>3728</v>
      </c>
      <c r="KLS612" s="17">
        <v>44925</v>
      </c>
      <c r="KLT612" s="5" t="s">
        <v>3728</v>
      </c>
      <c r="KLU612" s="17">
        <v>44925</v>
      </c>
      <c r="KLV612" s="5" t="s">
        <v>3728</v>
      </c>
      <c r="KLW612" s="17">
        <v>44925</v>
      </c>
      <c r="KLX612" s="5" t="s">
        <v>3728</v>
      </c>
      <c r="KLY612" s="17">
        <v>44925</v>
      </c>
      <c r="KLZ612" s="5" t="s">
        <v>3728</v>
      </c>
      <c r="KMA612" s="17">
        <v>44925</v>
      </c>
      <c r="KMB612" s="5" t="s">
        <v>3728</v>
      </c>
      <c r="KMC612" s="17">
        <v>44925</v>
      </c>
      <c r="KMD612" s="5" t="s">
        <v>3728</v>
      </c>
      <c r="KME612" s="17">
        <v>44925</v>
      </c>
      <c r="KMF612" s="5" t="s">
        <v>3728</v>
      </c>
      <c r="KMG612" s="17">
        <v>44925</v>
      </c>
      <c r="KMH612" s="5" t="s">
        <v>3728</v>
      </c>
      <c r="KMI612" s="17">
        <v>44925</v>
      </c>
      <c r="KMJ612" s="5" t="s">
        <v>3728</v>
      </c>
      <c r="KMK612" s="17">
        <v>44925</v>
      </c>
      <c r="KML612" s="5" t="s">
        <v>3728</v>
      </c>
      <c r="KMM612" s="17">
        <v>44925</v>
      </c>
      <c r="KMN612" s="5" t="s">
        <v>3728</v>
      </c>
      <c r="KMO612" s="17">
        <v>44925</v>
      </c>
      <c r="KMP612" s="5" t="s">
        <v>3728</v>
      </c>
      <c r="KMQ612" s="17">
        <v>44925</v>
      </c>
      <c r="KMR612" s="5" t="s">
        <v>3728</v>
      </c>
      <c r="KMS612" s="17">
        <v>44925</v>
      </c>
      <c r="KMT612" s="5" t="s">
        <v>3728</v>
      </c>
      <c r="KMU612" s="17">
        <v>44925</v>
      </c>
      <c r="KMV612" s="5" t="s">
        <v>3728</v>
      </c>
      <c r="KMW612" s="17">
        <v>44925</v>
      </c>
      <c r="KMX612" s="5" t="s">
        <v>3728</v>
      </c>
      <c r="KMY612" s="17">
        <v>44925</v>
      </c>
      <c r="KMZ612" s="5" t="s">
        <v>3728</v>
      </c>
      <c r="KNA612" s="17">
        <v>44925</v>
      </c>
      <c r="KNB612" s="5" t="s">
        <v>3728</v>
      </c>
      <c r="KNC612" s="17">
        <v>44925</v>
      </c>
      <c r="KND612" s="5" t="s">
        <v>3728</v>
      </c>
      <c r="KNE612" s="17">
        <v>44925</v>
      </c>
      <c r="KNF612" s="5" t="s">
        <v>3728</v>
      </c>
      <c r="KNG612" s="17">
        <v>44925</v>
      </c>
      <c r="KNH612" s="5" t="s">
        <v>3728</v>
      </c>
      <c r="KNI612" s="17">
        <v>44925</v>
      </c>
      <c r="KNJ612" s="5" t="s">
        <v>3728</v>
      </c>
      <c r="KNK612" s="17">
        <v>44925</v>
      </c>
      <c r="KNL612" s="5" t="s">
        <v>3728</v>
      </c>
      <c r="KNM612" s="17">
        <v>44925</v>
      </c>
      <c r="KNN612" s="5" t="s">
        <v>3728</v>
      </c>
      <c r="KNO612" s="17">
        <v>44925</v>
      </c>
      <c r="KNP612" s="5" t="s">
        <v>3728</v>
      </c>
      <c r="KNQ612" s="17">
        <v>44925</v>
      </c>
      <c r="KNR612" s="5" t="s">
        <v>3728</v>
      </c>
      <c r="KNS612" s="17">
        <v>44925</v>
      </c>
      <c r="KNT612" s="5" t="s">
        <v>3728</v>
      </c>
      <c r="KNU612" s="17">
        <v>44925</v>
      </c>
      <c r="KNV612" s="5" t="s">
        <v>3728</v>
      </c>
      <c r="KNW612" s="17">
        <v>44925</v>
      </c>
      <c r="KNX612" s="5" t="s">
        <v>3728</v>
      </c>
      <c r="KNY612" s="17">
        <v>44925</v>
      </c>
      <c r="KNZ612" s="5" t="s">
        <v>3728</v>
      </c>
      <c r="KOA612" s="17">
        <v>44925</v>
      </c>
      <c r="KOB612" s="5" t="s">
        <v>3728</v>
      </c>
      <c r="KOC612" s="17">
        <v>44925</v>
      </c>
      <c r="KOD612" s="5" t="s">
        <v>3728</v>
      </c>
      <c r="KOE612" s="17">
        <v>44925</v>
      </c>
      <c r="KOF612" s="5" t="s">
        <v>3728</v>
      </c>
      <c r="KOG612" s="17">
        <v>44925</v>
      </c>
      <c r="KOH612" s="5" t="s">
        <v>3728</v>
      </c>
      <c r="KOI612" s="17">
        <v>44925</v>
      </c>
      <c r="KOJ612" s="5" t="s">
        <v>3728</v>
      </c>
      <c r="KOK612" s="17">
        <v>44925</v>
      </c>
      <c r="KOL612" s="5" t="s">
        <v>3728</v>
      </c>
      <c r="KOM612" s="17">
        <v>44925</v>
      </c>
      <c r="KON612" s="5" t="s">
        <v>3728</v>
      </c>
      <c r="KOO612" s="17">
        <v>44925</v>
      </c>
      <c r="KOP612" s="5" t="s">
        <v>3728</v>
      </c>
      <c r="KOQ612" s="17">
        <v>44925</v>
      </c>
      <c r="KOR612" s="5" t="s">
        <v>3728</v>
      </c>
      <c r="KOS612" s="17">
        <v>44925</v>
      </c>
      <c r="KOT612" s="5" t="s">
        <v>3728</v>
      </c>
      <c r="KOU612" s="17">
        <v>44925</v>
      </c>
      <c r="KOV612" s="5" t="s">
        <v>3728</v>
      </c>
      <c r="KOW612" s="17">
        <v>44925</v>
      </c>
      <c r="KOX612" s="5" t="s">
        <v>3728</v>
      </c>
      <c r="KOY612" s="17">
        <v>44925</v>
      </c>
      <c r="KOZ612" s="5" t="s">
        <v>3728</v>
      </c>
      <c r="KPA612" s="17">
        <v>44925</v>
      </c>
      <c r="KPB612" s="5" t="s">
        <v>3728</v>
      </c>
      <c r="KPC612" s="17">
        <v>44925</v>
      </c>
      <c r="KPD612" s="5" t="s">
        <v>3728</v>
      </c>
      <c r="KPE612" s="17">
        <v>44925</v>
      </c>
      <c r="KPF612" s="5" t="s">
        <v>3728</v>
      </c>
      <c r="KPG612" s="17">
        <v>44925</v>
      </c>
      <c r="KPH612" s="5" t="s">
        <v>3728</v>
      </c>
      <c r="KPI612" s="17">
        <v>44925</v>
      </c>
      <c r="KPJ612" s="5" t="s">
        <v>3728</v>
      </c>
      <c r="KPK612" s="17">
        <v>44925</v>
      </c>
      <c r="KPL612" s="5" t="s">
        <v>3728</v>
      </c>
      <c r="KPM612" s="17">
        <v>44925</v>
      </c>
      <c r="KPN612" s="5" t="s">
        <v>3728</v>
      </c>
      <c r="KPO612" s="17">
        <v>44925</v>
      </c>
      <c r="KPP612" s="5" t="s">
        <v>3728</v>
      </c>
      <c r="KPQ612" s="17">
        <v>44925</v>
      </c>
      <c r="KPR612" s="5" t="s">
        <v>3728</v>
      </c>
      <c r="KPS612" s="17">
        <v>44925</v>
      </c>
      <c r="KPT612" s="5" t="s">
        <v>3728</v>
      </c>
      <c r="KPU612" s="17">
        <v>44925</v>
      </c>
      <c r="KPV612" s="5" t="s">
        <v>3728</v>
      </c>
      <c r="KPW612" s="17">
        <v>44925</v>
      </c>
      <c r="KPX612" s="5" t="s">
        <v>3728</v>
      </c>
      <c r="KPY612" s="17">
        <v>44925</v>
      </c>
      <c r="KPZ612" s="5" t="s">
        <v>3728</v>
      </c>
      <c r="KQA612" s="17">
        <v>44925</v>
      </c>
      <c r="KQB612" s="5" t="s">
        <v>3728</v>
      </c>
      <c r="KQC612" s="17">
        <v>44925</v>
      </c>
      <c r="KQD612" s="5" t="s">
        <v>3728</v>
      </c>
      <c r="KQE612" s="17">
        <v>44925</v>
      </c>
      <c r="KQF612" s="5" t="s">
        <v>3728</v>
      </c>
      <c r="KQG612" s="17">
        <v>44925</v>
      </c>
      <c r="KQH612" s="5" t="s">
        <v>3728</v>
      </c>
      <c r="KQI612" s="17">
        <v>44925</v>
      </c>
      <c r="KQJ612" s="5" t="s">
        <v>3728</v>
      </c>
      <c r="KQK612" s="17">
        <v>44925</v>
      </c>
      <c r="KQL612" s="5" t="s">
        <v>3728</v>
      </c>
      <c r="KQM612" s="17">
        <v>44925</v>
      </c>
      <c r="KQN612" s="5" t="s">
        <v>3728</v>
      </c>
      <c r="KQO612" s="17">
        <v>44925</v>
      </c>
      <c r="KQP612" s="5" t="s">
        <v>3728</v>
      </c>
      <c r="KQQ612" s="17">
        <v>44925</v>
      </c>
      <c r="KQR612" s="5" t="s">
        <v>3728</v>
      </c>
      <c r="KQS612" s="17">
        <v>44925</v>
      </c>
      <c r="KQT612" s="5" t="s">
        <v>3728</v>
      </c>
      <c r="KQU612" s="17">
        <v>44925</v>
      </c>
      <c r="KQV612" s="5" t="s">
        <v>3728</v>
      </c>
      <c r="KQW612" s="17">
        <v>44925</v>
      </c>
      <c r="KQX612" s="5" t="s">
        <v>3728</v>
      </c>
      <c r="KQY612" s="17">
        <v>44925</v>
      </c>
      <c r="KQZ612" s="5" t="s">
        <v>3728</v>
      </c>
      <c r="KRA612" s="17">
        <v>44925</v>
      </c>
      <c r="KRB612" s="5" t="s">
        <v>3728</v>
      </c>
      <c r="KRC612" s="17">
        <v>44925</v>
      </c>
      <c r="KRD612" s="5" t="s">
        <v>3728</v>
      </c>
      <c r="KRE612" s="17">
        <v>44925</v>
      </c>
      <c r="KRF612" s="5" t="s">
        <v>3728</v>
      </c>
      <c r="KRG612" s="17">
        <v>44925</v>
      </c>
      <c r="KRH612" s="5" t="s">
        <v>3728</v>
      </c>
      <c r="KRI612" s="17">
        <v>44925</v>
      </c>
      <c r="KRJ612" s="5" t="s">
        <v>3728</v>
      </c>
      <c r="KRK612" s="17">
        <v>44925</v>
      </c>
      <c r="KRL612" s="5" t="s">
        <v>3728</v>
      </c>
      <c r="KRM612" s="17">
        <v>44925</v>
      </c>
      <c r="KRN612" s="5" t="s">
        <v>3728</v>
      </c>
      <c r="KRO612" s="17">
        <v>44925</v>
      </c>
      <c r="KRP612" s="5" t="s">
        <v>3728</v>
      </c>
      <c r="KRQ612" s="17">
        <v>44925</v>
      </c>
      <c r="KRR612" s="5" t="s">
        <v>3728</v>
      </c>
      <c r="KRS612" s="17">
        <v>44925</v>
      </c>
      <c r="KRT612" s="5" t="s">
        <v>3728</v>
      </c>
      <c r="KRU612" s="17">
        <v>44925</v>
      </c>
      <c r="KRV612" s="5" t="s">
        <v>3728</v>
      </c>
      <c r="KRW612" s="17">
        <v>44925</v>
      </c>
      <c r="KRX612" s="5" t="s">
        <v>3728</v>
      </c>
      <c r="KRY612" s="17">
        <v>44925</v>
      </c>
      <c r="KRZ612" s="5" t="s">
        <v>3728</v>
      </c>
      <c r="KSA612" s="17">
        <v>44925</v>
      </c>
      <c r="KSB612" s="5" t="s">
        <v>3728</v>
      </c>
      <c r="KSC612" s="17">
        <v>44925</v>
      </c>
      <c r="KSD612" s="5" t="s">
        <v>3728</v>
      </c>
      <c r="KSE612" s="17">
        <v>44925</v>
      </c>
      <c r="KSF612" s="5" t="s">
        <v>3728</v>
      </c>
      <c r="KSG612" s="17">
        <v>44925</v>
      </c>
      <c r="KSH612" s="5" t="s">
        <v>3728</v>
      </c>
      <c r="KSI612" s="17">
        <v>44925</v>
      </c>
      <c r="KSJ612" s="5" t="s">
        <v>3728</v>
      </c>
      <c r="KSK612" s="17">
        <v>44925</v>
      </c>
      <c r="KSL612" s="5" t="s">
        <v>3728</v>
      </c>
      <c r="KSM612" s="17">
        <v>44925</v>
      </c>
      <c r="KSN612" s="5" t="s">
        <v>3728</v>
      </c>
      <c r="KSO612" s="17">
        <v>44925</v>
      </c>
      <c r="KSP612" s="5" t="s">
        <v>3728</v>
      </c>
      <c r="KSQ612" s="17">
        <v>44925</v>
      </c>
      <c r="KSR612" s="5" t="s">
        <v>3728</v>
      </c>
      <c r="KSS612" s="17">
        <v>44925</v>
      </c>
      <c r="KST612" s="5" t="s">
        <v>3728</v>
      </c>
      <c r="KSU612" s="17">
        <v>44925</v>
      </c>
      <c r="KSV612" s="5" t="s">
        <v>3728</v>
      </c>
      <c r="KSW612" s="17">
        <v>44925</v>
      </c>
      <c r="KSX612" s="5" t="s">
        <v>3728</v>
      </c>
      <c r="KSY612" s="17">
        <v>44925</v>
      </c>
      <c r="KSZ612" s="5" t="s">
        <v>3728</v>
      </c>
      <c r="KTA612" s="17">
        <v>44925</v>
      </c>
      <c r="KTB612" s="5" t="s">
        <v>3728</v>
      </c>
      <c r="KTC612" s="17">
        <v>44925</v>
      </c>
      <c r="KTD612" s="5" t="s">
        <v>3728</v>
      </c>
      <c r="KTE612" s="17">
        <v>44925</v>
      </c>
      <c r="KTF612" s="5" t="s">
        <v>3728</v>
      </c>
      <c r="KTG612" s="17">
        <v>44925</v>
      </c>
      <c r="KTH612" s="5" t="s">
        <v>3728</v>
      </c>
      <c r="KTI612" s="17">
        <v>44925</v>
      </c>
      <c r="KTJ612" s="5" t="s">
        <v>3728</v>
      </c>
      <c r="KTK612" s="17">
        <v>44925</v>
      </c>
      <c r="KTL612" s="5" t="s">
        <v>3728</v>
      </c>
      <c r="KTM612" s="17">
        <v>44925</v>
      </c>
      <c r="KTN612" s="5" t="s">
        <v>3728</v>
      </c>
      <c r="KTO612" s="17">
        <v>44925</v>
      </c>
      <c r="KTP612" s="5" t="s">
        <v>3728</v>
      </c>
      <c r="KTQ612" s="17">
        <v>44925</v>
      </c>
      <c r="KTR612" s="5" t="s">
        <v>3728</v>
      </c>
      <c r="KTS612" s="17">
        <v>44925</v>
      </c>
      <c r="KTT612" s="5" t="s">
        <v>3728</v>
      </c>
      <c r="KTU612" s="17">
        <v>44925</v>
      </c>
      <c r="KTV612" s="5" t="s">
        <v>3728</v>
      </c>
      <c r="KTW612" s="17">
        <v>44925</v>
      </c>
      <c r="KTX612" s="5" t="s">
        <v>3728</v>
      </c>
      <c r="KTY612" s="17">
        <v>44925</v>
      </c>
      <c r="KTZ612" s="5" t="s">
        <v>3728</v>
      </c>
      <c r="KUA612" s="17">
        <v>44925</v>
      </c>
      <c r="KUB612" s="5" t="s">
        <v>3728</v>
      </c>
      <c r="KUC612" s="17">
        <v>44925</v>
      </c>
      <c r="KUD612" s="5" t="s">
        <v>3728</v>
      </c>
      <c r="KUE612" s="17">
        <v>44925</v>
      </c>
      <c r="KUF612" s="5" t="s">
        <v>3728</v>
      </c>
      <c r="KUG612" s="17">
        <v>44925</v>
      </c>
      <c r="KUH612" s="5" t="s">
        <v>3728</v>
      </c>
      <c r="KUI612" s="17">
        <v>44925</v>
      </c>
      <c r="KUJ612" s="5" t="s">
        <v>3728</v>
      </c>
      <c r="KUK612" s="17">
        <v>44925</v>
      </c>
      <c r="KUL612" s="5" t="s">
        <v>3728</v>
      </c>
      <c r="KUM612" s="17">
        <v>44925</v>
      </c>
      <c r="KUN612" s="5" t="s">
        <v>3728</v>
      </c>
      <c r="KUO612" s="17">
        <v>44925</v>
      </c>
      <c r="KUP612" s="5" t="s">
        <v>3728</v>
      </c>
      <c r="KUQ612" s="17">
        <v>44925</v>
      </c>
      <c r="KUR612" s="5" t="s">
        <v>3728</v>
      </c>
      <c r="KUS612" s="17">
        <v>44925</v>
      </c>
      <c r="KUT612" s="5" t="s">
        <v>3728</v>
      </c>
      <c r="KUU612" s="17">
        <v>44925</v>
      </c>
      <c r="KUV612" s="5" t="s">
        <v>3728</v>
      </c>
      <c r="KUW612" s="17">
        <v>44925</v>
      </c>
      <c r="KUX612" s="5" t="s">
        <v>3728</v>
      </c>
      <c r="KUY612" s="17">
        <v>44925</v>
      </c>
      <c r="KUZ612" s="5" t="s">
        <v>3728</v>
      </c>
      <c r="KVA612" s="17">
        <v>44925</v>
      </c>
      <c r="KVB612" s="5" t="s">
        <v>3728</v>
      </c>
      <c r="KVC612" s="17">
        <v>44925</v>
      </c>
      <c r="KVD612" s="5" t="s">
        <v>3728</v>
      </c>
      <c r="KVE612" s="17">
        <v>44925</v>
      </c>
      <c r="KVF612" s="5" t="s">
        <v>3728</v>
      </c>
      <c r="KVG612" s="17">
        <v>44925</v>
      </c>
      <c r="KVH612" s="5" t="s">
        <v>3728</v>
      </c>
      <c r="KVI612" s="17">
        <v>44925</v>
      </c>
      <c r="KVJ612" s="5" t="s">
        <v>3728</v>
      </c>
      <c r="KVK612" s="17">
        <v>44925</v>
      </c>
      <c r="KVL612" s="5" t="s">
        <v>3728</v>
      </c>
      <c r="KVM612" s="17">
        <v>44925</v>
      </c>
      <c r="KVN612" s="5" t="s">
        <v>3728</v>
      </c>
      <c r="KVO612" s="17">
        <v>44925</v>
      </c>
      <c r="KVP612" s="5" t="s">
        <v>3728</v>
      </c>
      <c r="KVQ612" s="17">
        <v>44925</v>
      </c>
      <c r="KVR612" s="5" t="s">
        <v>3728</v>
      </c>
      <c r="KVS612" s="17">
        <v>44925</v>
      </c>
      <c r="KVT612" s="5" t="s">
        <v>3728</v>
      </c>
      <c r="KVU612" s="17">
        <v>44925</v>
      </c>
      <c r="KVV612" s="5" t="s">
        <v>3728</v>
      </c>
      <c r="KVW612" s="17">
        <v>44925</v>
      </c>
      <c r="KVX612" s="5" t="s">
        <v>3728</v>
      </c>
      <c r="KVY612" s="17">
        <v>44925</v>
      </c>
      <c r="KVZ612" s="5" t="s">
        <v>3728</v>
      </c>
      <c r="KWA612" s="17">
        <v>44925</v>
      </c>
      <c r="KWB612" s="5" t="s">
        <v>3728</v>
      </c>
      <c r="KWC612" s="17">
        <v>44925</v>
      </c>
      <c r="KWD612" s="5" t="s">
        <v>3728</v>
      </c>
      <c r="KWE612" s="17">
        <v>44925</v>
      </c>
      <c r="KWF612" s="5" t="s">
        <v>3728</v>
      </c>
      <c r="KWG612" s="17">
        <v>44925</v>
      </c>
      <c r="KWH612" s="5" t="s">
        <v>3728</v>
      </c>
      <c r="KWI612" s="17">
        <v>44925</v>
      </c>
      <c r="KWJ612" s="5" t="s">
        <v>3728</v>
      </c>
      <c r="KWK612" s="17">
        <v>44925</v>
      </c>
      <c r="KWL612" s="5" t="s">
        <v>3728</v>
      </c>
      <c r="KWM612" s="17">
        <v>44925</v>
      </c>
      <c r="KWN612" s="5" t="s">
        <v>3728</v>
      </c>
      <c r="KWO612" s="17">
        <v>44925</v>
      </c>
      <c r="KWP612" s="5" t="s">
        <v>3728</v>
      </c>
      <c r="KWQ612" s="17">
        <v>44925</v>
      </c>
      <c r="KWR612" s="5" t="s">
        <v>3728</v>
      </c>
      <c r="KWS612" s="17">
        <v>44925</v>
      </c>
      <c r="KWT612" s="5" t="s">
        <v>3728</v>
      </c>
      <c r="KWU612" s="17">
        <v>44925</v>
      </c>
      <c r="KWV612" s="5" t="s">
        <v>3728</v>
      </c>
      <c r="KWW612" s="17">
        <v>44925</v>
      </c>
      <c r="KWX612" s="5" t="s">
        <v>3728</v>
      </c>
      <c r="KWY612" s="17">
        <v>44925</v>
      </c>
      <c r="KWZ612" s="5" t="s">
        <v>3728</v>
      </c>
      <c r="KXA612" s="17">
        <v>44925</v>
      </c>
      <c r="KXB612" s="5" t="s">
        <v>3728</v>
      </c>
      <c r="KXC612" s="17">
        <v>44925</v>
      </c>
      <c r="KXD612" s="5" t="s">
        <v>3728</v>
      </c>
      <c r="KXE612" s="17">
        <v>44925</v>
      </c>
      <c r="KXF612" s="5" t="s">
        <v>3728</v>
      </c>
      <c r="KXG612" s="17">
        <v>44925</v>
      </c>
      <c r="KXH612" s="5" t="s">
        <v>3728</v>
      </c>
      <c r="KXI612" s="17">
        <v>44925</v>
      </c>
      <c r="KXJ612" s="5" t="s">
        <v>3728</v>
      </c>
      <c r="KXK612" s="17">
        <v>44925</v>
      </c>
      <c r="KXL612" s="5" t="s">
        <v>3728</v>
      </c>
      <c r="KXM612" s="17">
        <v>44925</v>
      </c>
      <c r="KXN612" s="5" t="s">
        <v>3728</v>
      </c>
      <c r="KXO612" s="17">
        <v>44925</v>
      </c>
      <c r="KXP612" s="5" t="s">
        <v>3728</v>
      </c>
      <c r="KXQ612" s="17">
        <v>44925</v>
      </c>
      <c r="KXR612" s="5" t="s">
        <v>3728</v>
      </c>
      <c r="KXS612" s="17">
        <v>44925</v>
      </c>
      <c r="KXT612" s="5" t="s">
        <v>3728</v>
      </c>
      <c r="KXU612" s="17">
        <v>44925</v>
      </c>
      <c r="KXV612" s="5" t="s">
        <v>3728</v>
      </c>
      <c r="KXW612" s="17">
        <v>44925</v>
      </c>
      <c r="KXX612" s="5" t="s">
        <v>3728</v>
      </c>
      <c r="KXY612" s="17">
        <v>44925</v>
      </c>
      <c r="KXZ612" s="5" t="s">
        <v>3728</v>
      </c>
      <c r="KYA612" s="17">
        <v>44925</v>
      </c>
      <c r="KYB612" s="5" t="s">
        <v>3728</v>
      </c>
      <c r="KYC612" s="17">
        <v>44925</v>
      </c>
      <c r="KYD612" s="5" t="s">
        <v>3728</v>
      </c>
      <c r="KYE612" s="17">
        <v>44925</v>
      </c>
      <c r="KYF612" s="5" t="s">
        <v>3728</v>
      </c>
      <c r="KYG612" s="17">
        <v>44925</v>
      </c>
      <c r="KYH612" s="5" t="s">
        <v>3728</v>
      </c>
      <c r="KYI612" s="17">
        <v>44925</v>
      </c>
      <c r="KYJ612" s="5" t="s">
        <v>3728</v>
      </c>
      <c r="KYK612" s="17">
        <v>44925</v>
      </c>
      <c r="KYL612" s="5" t="s">
        <v>3728</v>
      </c>
      <c r="KYM612" s="17">
        <v>44925</v>
      </c>
      <c r="KYN612" s="5" t="s">
        <v>3728</v>
      </c>
      <c r="KYO612" s="17">
        <v>44925</v>
      </c>
      <c r="KYP612" s="5" t="s">
        <v>3728</v>
      </c>
      <c r="KYQ612" s="17">
        <v>44925</v>
      </c>
      <c r="KYR612" s="5" t="s">
        <v>3728</v>
      </c>
      <c r="KYS612" s="17">
        <v>44925</v>
      </c>
      <c r="KYT612" s="5" t="s">
        <v>3728</v>
      </c>
      <c r="KYU612" s="17">
        <v>44925</v>
      </c>
      <c r="KYV612" s="5" t="s">
        <v>3728</v>
      </c>
      <c r="KYW612" s="17">
        <v>44925</v>
      </c>
      <c r="KYX612" s="5" t="s">
        <v>3728</v>
      </c>
      <c r="KYY612" s="17">
        <v>44925</v>
      </c>
      <c r="KYZ612" s="5" t="s">
        <v>3728</v>
      </c>
      <c r="KZA612" s="17">
        <v>44925</v>
      </c>
      <c r="KZB612" s="5" t="s">
        <v>3728</v>
      </c>
      <c r="KZC612" s="17">
        <v>44925</v>
      </c>
      <c r="KZD612" s="5" t="s">
        <v>3728</v>
      </c>
      <c r="KZE612" s="17">
        <v>44925</v>
      </c>
      <c r="KZF612" s="5" t="s">
        <v>3728</v>
      </c>
      <c r="KZG612" s="17">
        <v>44925</v>
      </c>
      <c r="KZH612" s="5" t="s">
        <v>3728</v>
      </c>
      <c r="KZI612" s="17">
        <v>44925</v>
      </c>
      <c r="KZJ612" s="5" t="s">
        <v>3728</v>
      </c>
      <c r="KZK612" s="17">
        <v>44925</v>
      </c>
      <c r="KZL612" s="5" t="s">
        <v>3728</v>
      </c>
      <c r="KZM612" s="17">
        <v>44925</v>
      </c>
      <c r="KZN612" s="5" t="s">
        <v>3728</v>
      </c>
      <c r="KZO612" s="17">
        <v>44925</v>
      </c>
      <c r="KZP612" s="5" t="s">
        <v>3728</v>
      </c>
      <c r="KZQ612" s="17">
        <v>44925</v>
      </c>
      <c r="KZR612" s="5" t="s">
        <v>3728</v>
      </c>
      <c r="KZS612" s="17">
        <v>44925</v>
      </c>
      <c r="KZT612" s="5" t="s">
        <v>3728</v>
      </c>
      <c r="KZU612" s="17">
        <v>44925</v>
      </c>
      <c r="KZV612" s="5" t="s">
        <v>3728</v>
      </c>
      <c r="KZW612" s="17">
        <v>44925</v>
      </c>
      <c r="KZX612" s="5" t="s">
        <v>3728</v>
      </c>
      <c r="KZY612" s="17">
        <v>44925</v>
      </c>
      <c r="KZZ612" s="5" t="s">
        <v>3728</v>
      </c>
      <c r="LAA612" s="17">
        <v>44925</v>
      </c>
      <c r="LAB612" s="5" t="s">
        <v>3728</v>
      </c>
      <c r="LAC612" s="17">
        <v>44925</v>
      </c>
      <c r="LAD612" s="5" t="s">
        <v>3728</v>
      </c>
      <c r="LAE612" s="17">
        <v>44925</v>
      </c>
      <c r="LAF612" s="5" t="s">
        <v>3728</v>
      </c>
      <c r="LAG612" s="17">
        <v>44925</v>
      </c>
      <c r="LAH612" s="5" t="s">
        <v>3728</v>
      </c>
      <c r="LAI612" s="17">
        <v>44925</v>
      </c>
      <c r="LAJ612" s="5" t="s">
        <v>3728</v>
      </c>
      <c r="LAK612" s="17">
        <v>44925</v>
      </c>
      <c r="LAL612" s="5" t="s">
        <v>3728</v>
      </c>
      <c r="LAM612" s="17">
        <v>44925</v>
      </c>
      <c r="LAN612" s="5" t="s">
        <v>3728</v>
      </c>
      <c r="LAO612" s="17">
        <v>44925</v>
      </c>
      <c r="LAP612" s="5" t="s">
        <v>3728</v>
      </c>
      <c r="LAQ612" s="17">
        <v>44925</v>
      </c>
      <c r="LAR612" s="5" t="s">
        <v>3728</v>
      </c>
      <c r="LAS612" s="17">
        <v>44925</v>
      </c>
      <c r="LAT612" s="5" t="s">
        <v>3728</v>
      </c>
      <c r="LAU612" s="17">
        <v>44925</v>
      </c>
      <c r="LAV612" s="5" t="s">
        <v>3728</v>
      </c>
      <c r="LAW612" s="17">
        <v>44925</v>
      </c>
      <c r="LAX612" s="5" t="s">
        <v>3728</v>
      </c>
      <c r="LAY612" s="17">
        <v>44925</v>
      </c>
      <c r="LAZ612" s="5" t="s">
        <v>3728</v>
      </c>
      <c r="LBA612" s="17">
        <v>44925</v>
      </c>
      <c r="LBB612" s="5" t="s">
        <v>3728</v>
      </c>
      <c r="LBC612" s="17">
        <v>44925</v>
      </c>
      <c r="LBD612" s="5" t="s">
        <v>3728</v>
      </c>
      <c r="LBE612" s="17">
        <v>44925</v>
      </c>
      <c r="LBF612" s="5" t="s">
        <v>3728</v>
      </c>
      <c r="LBG612" s="17">
        <v>44925</v>
      </c>
      <c r="LBH612" s="5" t="s">
        <v>3728</v>
      </c>
      <c r="LBI612" s="17">
        <v>44925</v>
      </c>
      <c r="LBJ612" s="5" t="s">
        <v>3728</v>
      </c>
      <c r="LBK612" s="17">
        <v>44925</v>
      </c>
      <c r="LBL612" s="5" t="s">
        <v>3728</v>
      </c>
      <c r="LBM612" s="17">
        <v>44925</v>
      </c>
      <c r="LBN612" s="5" t="s">
        <v>3728</v>
      </c>
      <c r="LBO612" s="17">
        <v>44925</v>
      </c>
      <c r="LBP612" s="5" t="s">
        <v>3728</v>
      </c>
      <c r="LBQ612" s="17">
        <v>44925</v>
      </c>
      <c r="LBR612" s="5" t="s">
        <v>3728</v>
      </c>
      <c r="LBS612" s="17">
        <v>44925</v>
      </c>
      <c r="LBT612" s="5" t="s">
        <v>3728</v>
      </c>
      <c r="LBU612" s="17">
        <v>44925</v>
      </c>
      <c r="LBV612" s="5" t="s">
        <v>3728</v>
      </c>
      <c r="LBW612" s="17">
        <v>44925</v>
      </c>
      <c r="LBX612" s="5" t="s">
        <v>3728</v>
      </c>
      <c r="LBY612" s="17">
        <v>44925</v>
      </c>
      <c r="LBZ612" s="5" t="s">
        <v>3728</v>
      </c>
      <c r="LCA612" s="17">
        <v>44925</v>
      </c>
      <c r="LCB612" s="5" t="s">
        <v>3728</v>
      </c>
      <c r="LCC612" s="17">
        <v>44925</v>
      </c>
      <c r="LCD612" s="5" t="s">
        <v>3728</v>
      </c>
      <c r="LCE612" s="17">
        <v>44925</v>
      </c>
      <c r="LCF612" s="5" t="s">
        <v>3728</v>
      </c>
      <c r="LCG612" s="17">
        <v>44925</v>
      </c>
      <c r="LCH612" s="5" t="s">
        <v>3728</v>
      </c>
      <c r="LCI612" s="17">
        <v>44925</v>
      </c>
      <c r="LCJ612" s="5" t="s">
        <v>3728</v>
      </c>
      <c r="LCK612" s="17">
        <v>44925</v>
      </c>
      <c r="LCL612" s="5" t="s">
        <v>3728</v>
      </c>
      <c r="LCM612" s="17">
        <v>44925</v>
      </c>
      <c r="LCN612" s="5" t="s">
        <v>3728</v>
      </c>
      <c r="LCO612" s="17">
        <v>44925</v>
      </c>
      <c r="LCP612" s="5" t="s">
        <v>3728</v>
      </c>
      <c r="LCQ612" s="17">
        <v>44925</v>
      </c>
      <c r="LCR612" s="5" t="s">
        <v>3728</v>
      </c>
      <c r="LCS612" s="17">
        <v>44925</v>
      </c>
      <c r="LCT612" s="5" t="s">
        <v>3728</v>
      </c>
      <c r="LCU612" s="17">
        <v>44925</v>
      </c>
      <c r="LCV612" s="5" t="s">
        <v>3728</v>
      </c>
      <c r="LCW612" s="17">
        <v>44925</v>
      </c>
      <c r="LCX612" s="5" t="s">
        <v>3728</v>
      </c>
      <c r="LCY612" s="17">
        <v>44925</v>
      </c>
      <c r="LCZ612" s="5" t="s">
        <v>3728</v>
      </c>
      <c r="LDA612" s="17">
        <v>44925</v>
      </c>
      <c r="LDB612" s="5" t="s">
        <v>3728</v>
      </c>
      <c r="LDC612" s="17">
        <v>44925</v>
      </c>
      <c r="LDD612" s="5" t="s">
        <v>3728</v>
      </c>
      <c r="LDE612" s="17">
        <v>44925</v>
      </c>
      <c r="LDF612" s="5" t="s">
        <v>3728</v>
      </c>
      <c r="LDG612" s="17">
        <v>44925</v>
      </c>
      <c r="LDH612" s="5" t="s">
        <v>3728</v>
      </c>
      <c r="LDI612" s="17">
        <v>44925</v>
      </c>
      <c r="LDJ612" s="5" t="s">
        <v>3728</v>
      </c>
      <c r="LDK612" s="17">
        <v>44925</v>
      </c>
      <c r="LDL612" s="5" t="s">
        <v>3728</v>
      </c>
      <c r="LDM612" s="17">
        <v>44925</v>
      </c>
      <c r="LDN612" s="5" t="s">
        <v>3728</v>
      </c>
      <c r="LDO612" s="17">
        <v>44925</v>
      </c>
      <c r="LDP612" s="5" t="s">
        <v>3728</v>
      </c>
      <c r="LDQ612" s="17">
        <v>44925</v>
      </c>
      <c r="LDR612" s="5" t="s">
        <v>3728</v>
      </c>
      <c r="LDS612" s="17">
        <v>44925</v>
      </c>
      <c r="LDT612" s="5" t="s">
        <v>3728</v>
      </c>
      <c r="LDU612" s="17">
        <v>44925</v>
      </c>
      <c r="LDV612" s="5" t="s">
        <v>3728</v>
      </c>
      <c r="LDW612" s="17">
        <v>44925</v>
      </c>
      <c r="LDX612" s="5" t="s">
        <v>3728</v>
      </c>
      <c r="LDY612" s="17">
        <v>44925</v>
      </c>
      <c r="LDZ612" s="5" t="s">
        <v>3728</v>
      </c>
      <c r="LEA612" s="17">
        <v>44925</v>
      </c>
      <c r="LEB612" s="5" t="s">
        <v>3728</v>
      </c>
      <c r="LEC612" s="17">
        <v>44925</v>
      </c>
      <c r="LED612" s="5" t="s">
        <v>3728</v>
      </c>
      <c r="LEE612" s="17">
        <v>44925</v>
      </c>
      <c r="LEF612" s="5" t="s">
        <v>3728</v>
      </c>
      <c r="LEG612" s="17">
        <v>44925</v>
      </c>
      <c r="LEH612" s="5" t="s">
        <v>3728</v>
      </c>
      <c r="LEI612" s="17">
        <v>44925</v>
      </c>
      <c r="LEJ612" s="5" t="s">
        <v>3728</v>
      </c>
      <c r="LEK612" s="17">
        <v>44925</v>
      </c>
      <c r="LEL612" s="5" t="s">
        <v>3728</v>
      </c>
      <c r="LEM612" s="17">
        <v>44925</v>
      </c>
      <c r="LEN612" s="5" t="s">
        <v>3728</v>
      </c>
      <c r="LEO612" s="17">
        <v>44925</v>
      </c>
      <c r="LEP612" s="5" t="s">
        <v>3728</v>
      </c>
      <c r="LEQ612" s="17">
        <v>44925</v>
      </c>
      <c r="LER612" s="5" t="s">
        <v>3728</v>
      </c>
      <c r="LES612" s="17">
        <v>44925</v>
      </c>
      <c r="LET612" s="5" t="s">
        <v>3728</v>
      </c>
      <c r="LEU612" s="17">
        <v>44925</v>
      </c>
      <c r="LEV612" s="5" t="s">
        <v>3728</v>
      </c>
      <c r="LEW612" s="17">
        <v>44925</v>
      </c>
      <c r="LEX612" s="5" t="s">
        <v>3728</v>
      </c>
      <c r="LEY612" s="17">
        <v>44925</v>
      </c>
      <c r="LEZ612" s="5" t="s">
        <v>3728</v>
      </c>
      <c r="LFA612" s="17">
        <v>44925</v>
      </c>
      <c r="LFB612" s="5" t="s">
        <v>3728</v>
      </c>
      <c r="LFC612" s="17">
        <v>44925</v>
      </c>
      <c r="LFD612" s="5" t="s">
        <v>3728</v>
      </c>
      <c r="LFE612" s="17">
        <v>44925</v>
      </c>
      <c r="LFF612" s="5" t="s">
        <v>3728</v>
      </c>
      <c r="LFG612" s="17">
        <v>44925</v>
      </c>
      <c r="LFH612" s="5" t="s">
        <v>3728</v>
      </c>
      <c r="LFI612" s="17">
        <v>44925</v>
      </c>
      <c r="LFJ612" s="5" t="s">
        <v>3728</v>
      </c>
      <c r="LFK612" s="17">
        <v>44925</v>
      </c>
      <c r="LFL612" s="5" t="s">
        <v>3728</v>
      </c>
      <c r="LFM612" s="17">
        <v>44925</v>
      </c>
      <c r="LFN612" s="5" t="s">
        <v>3728</v>
      </c>
      <c r="LFO612" s="17">
        <v>44925</v>
      </c>
      <c r="LFP612" s="5" t="s">
        <v>3728</v>
      </c>
      <c r="LFQ612" s="17">
        <v>44925</v>
      </c>
      <c r="LFR612" s="5" t="s">
        <v>3728</v>
      </c>
      <c r="LFS612" s="17">
        <v>44925</v>
      </c>
      <c r="LFT612" s="5" t="s">
        <v>3728</v>
      </c>
      <c r="LFU612" s="17">
        <v>44925</v>
      </c>
      <c r="LFV612" s="5" t="s">
        <v>3728</v>
      </c>
      <c r="LFW612" s="17">
        <v>44925</v>
      </c>
      <c r="LFX612" s="5" t="s">
        <v>3728</v>
      </c>
      <c r="LFY612" s="17">
        <v>44925</v>
      </c>
      <c r="LFZ612" s="5" t="s">
        <v>3728</v>
      </c>
      <c r="LGA612" s="17">
        <v>44925</v>
      </c>
      <c r="LGB612" s="5" t="s">
        <v>3728</v>
      </c>
      <c r="LGC612" s="17">
        <v>44925</v>
      </c>
      <c r="LGD612" s="5" t="s">
        <v>3728</v>
      </c>
      <c r="LGE612" s="17">
        <v>44925</v>
      </c>
      <c r="LGF612" s="5" t="s">
        <v>3728</v>
      </c>
      <c r="LGG612" s="17">
        <v>44925</v>
      </c>
      <c r="LGH612" s="5" t="s">
        <v>3728</v>
      </c>
      <c r="LGI612" s="17">
        <v>44925</v>
      </c>
      <c r="LGJ612" s="5" t="s">
        <v>3728</v>
      </c>
      <c r="LGK612" s="17">
        <v>44925</v>
      </c>
      <c r="LGL612" s="5" t="s">
        <v>3728</v>
      </c>
      <c r="LGM612" s="17">
        <v>44925</v>
      </c>
      <c r="LGN612" s="5" t="s">
        <v>3728</v>
      </c>
      <c r="LGO612" s="17">
        <v>44925</v>
      </c>
      <c r="LGP612" s="5" t="s">
        <v>3728</v>
      </c>
      <c r="LGQ612" s="17">
        <v>44925</v>
      </c>
      <c r="LGR612" s="5" t="s">
        <v>3728</v>
      </c>
      <c r="LGS612" s="17">
        <v>44925</v>
      </c>
      <c r="LGT612" s="5" t="s">
        <v>3728</v>
      </c>
      <c r="LGU612" s="17">
        <v>44925</v>
      </c>
      <c r="LGV612" s="5" t="s">
        <v>3728</v>
      </c>
      <c r="LGW612" s="17">
        <v>44925</v>
      </c>
      <c r="LGX612" s="5" t="s">
        <v>3728</v>
      </c>
      <c r="LGY612" s="17">
        <v>44925</v>
      </c>
      <c r="LGZ612" s="5" t="s">
        <v>3728</v>
      </c>
      <c r="LHA612" s="17">
        <v>44925</v>
      </c>
      <c r="LHB612" s="5" t="s">
        <v>3728</v>
      </c>
      <c r="LHC612" s="17">
        <v>44925</v>
      </c>
      <c r="LHD612" s="5" t="s">
        <v>3728</v>
      </c>
      <c r="LHE612" s="17">
        <v>44925</v>
      </c>
      <c r="LHF612" s="5" t="s">
        <v>3728</v>
      </c>
      <c r="LHG612" s="17">
        <v>44925</v>
      </c>
      <c r="LHH612" s="5" t="s">
        <v>3728</v>
      </c>
      <c r="LHI612" s="17">
        <v>44925</v>
      </c>
      <c r="LHJ612" s="5" t="s">
        <v>3728</v>
      </c>
      <c r="LHK612" s="17">
        <v>44925</v>
      </c>
      <c r="LHL612" s="5" t="s">
        <v>3728</v>
      </c>
      <c r="LHM612" s="17">
        <v>44925</v>
      </c>
      <c r="LHN612" s="5" t="s">
        <v>3728</v>
      </c>
      <c r="LHO612" s="17">
        <v>44925</v>
      </c>
      <c r="LHP612" s="5" t="s">
        <v>3728</v>
      </c>
      <c r="LHQ612" s="17">
        <v>44925</v>
      </c>
      <c r="LHR612" s="5" t="s">
        <v>3728</v>
      </c>
      <c r="LHS612" s="17">
        <v>44925</v>
      </c>
      <c r="LHT612" s="5" t="s">
        <v>3728</v>
      </c>
      <c r="LHU612" s="17">
        <v>44925</v>
      </c>
      <c r="LHV612" s="5" t="s">
        <v>3728</v>
      </c>
      <c r="LHW612" s="17">
        <v>44925</v>
      </c>
      <c r="LHX612" s="5" t="s">
        <v>3728</v>
      </c>
      <c r="LHY612" s="17">
        <v>44925</v>
      </c>
      <c r="LHZ612" s="5" t="s">
        <v>3728</v>
      </c>
      <c r="LIA612" s="17">
        <v>44925</v>
      </c>
      <c r="LIB612" s="5" t="s">
        <v>3728</v>
      </c>
      <c r="LIC612" s="17">
        <v>44925</v>
      </c>
      <c r="LID612" s="5" t="s">
        <v>3728</v>
      </c>
      <c r="LIE612" s="17">
        <v>44925</v>
      </c>
      <c r="LIF612" s="5" t="s">
        <v>3728</v>
      </c>
      <c r="LIG612" s="17">
        <v>44925</v>
      </c>
      <c r="LIH612" s="5" t="s">
        <v>3728</v>
      </c>
      <c r="LII612" s="17">
        <v>44925</v>
      </c>
      <c r="LIJ612" s="5" t="s">
        <v>3728</v>
      </c>
      <c r="LIK612" s="17">
        <v>44925</v>
      </c>
      <c r="LIL612" s="5" t="s">
        <v>3728</v>
      </c>
      <c r="LIM612" s="17">
        <v>44925</v>
      </c>
      <c r="LIN612" s="5" t="s">
        <v>3728</v>
      </c>
      <c r="LIO612" s="17">
        <v>44925</v>
      </c>
      <c r="LIP612" s="5" t="s">
        <v>3728</v>
      </c>
      <c r="LIQ612" s="17">
        <v>44925</v>
      </c>
      <c r="LIR612" s="5" t="s">
        <v>3728</v>
      </c>
      <c r="LIS612" s="17">
        <v>44925</v>
      </c>
      <c r="LIT612" s="5" t="s">
        <v>3728</v>
      </c>
      <c r="LIU612" s="17">
        <v>44925</v>
      </c>
      <c r="LIV612" s="5" t="s">
        <v>3728</v>
      </c>
      <c r="LIW612" s="17">
        <v>44925</v>
      </c>
      <c r="LIX612" s="5" t="s">
        <v>3728</v>
      </c>
      <c r="LIY612" s="17">
        <v>44925</v>
      </c>
      <c r="LIZ612" s="5" t="s">
        <v>3728</v>
      </c>
      <c r="LJA612" s="17">
        <v>44925</v>
      </c>
      <c r="LJB612" s="5" t="s">
        <v>3728</v>
      </c>
      <c r="LJC612" s="17">
        <v>44925</v>
      </c>
      <c r="LJD612" s="5" t="s">
        <v>3728</v>
      </c>
      <c r="LJE612" s="17">
        <v>44925</v>
      </c>
      <c r="LJF612" s="5" t="s">
        <v>3728</v>
      </c>
      <c r="LJG612" s="17">
        <v>44925</v>
      </c>
      <c r="LJH612" s="5" t="s">
        <v>3728</v>
      </c>
      <c r="LJI612" s="17">
        <v>44925</v>
      </c>
      <c r="LJJ612" s="5" t="s">
        <v>3728</v>
      </c>
      <c r="LJK612" s="17">
        <v>44925</v>
      </c>
      <c r="LJL612" s="5" t="s">
        <v>3728</v>
      </c>
      <c r="LJM612" s="17">
        <v>44925</v>
      </c>
      <c r="LJN612" s="5" t="s">
        <v>3728</v>
      </c>
      <c r="LJO612" s="17">
        <v>44925</v>
      </c>
      <c r="LJP612" s="5" t="s">
        <v>3728</v>
      </c>
      <c r="LJQ612" s="17">
        <v>44925</v>
      </c>
      <c r="LJR612" s="5" t="s">
        <v>3728</v>
      </c>
      <c r="LJS612" s="17">
        <v>44925</v>
      </c>
      <c r="LJT612" s="5" t="s">
        <v>3728</v>
      </c>
      <c r="LJU612" s="17">
        <v>44925</v>
      </c>
      <c r="LJV612" s="5" t="s">
        <v>3728</v>
      </c>
      <c r="LJW612" s="17">
        <v>44925</v>
      </c>
      <c r="LJX612" s="5" t="s">
        <v>3728</v>
      </c>
      <c r="LJY612" s="17">
        <v>44925</v>
      </c>
      <c r="LJZ612" s="5" t="s">
        <v>3728</v>
      </c>
      <c r="LKA612" s="17">
        <v>44925</v>
      </c>
      <c r="LKB612" s="5" t="s">
        <v>3728</v>
      </c>
      <c r="LKC612" s="17">
        <v>44925</v>
      </c>
      <c r="LKD612" s="5" t="s">
        <v>3728</v>
      </c>
      <c r="LKE612" s="17">
        <v>44925</v>
      </c>
      <c r="LKF612" s="5" t="s">
        <v>3728</v>
      </c>
      <c r="LKG612" s="17">
        <v>44925</v>
      </c>
      <c r="LKH612" s="5" t="s">
        <v>3728</v>
      </c>
      <c r="LKI612" s="17">
        <v>44925</v>
      </c>
      <c r="LKJ612" s="5" t="s">
        <v>3728</v>
      </c>
      <c r="LKK612" s="17">
        <v>44925</v>
      </c>
      <c r="LKL612" s="5" t="s">
        <v>3728</v>
      </c>
      <c r="LKM612" s="17">
        <v>44925</v>
      </c>
      <c r="LKN612" s="5" t="s">
        <v>3728</v>
      </c>
      <c r="LKO612" s="17">
        <v>44925</v>
      </c>
      <c r="LKP612" s="5" t="s">
        <v>3728</v>
      </c>
      <c r="LKQ612" s="17">
        <v>44925</v>
      </c>
      <c r="LKR612" s="5" t="s">
        <v>3728</v>
      </c>
      <c r="LKS612" s="17">
        <v>44925</v>
      </c>
      <c r="LKT612" s="5" t="s">
        <v>3728</v>
      </c>
      <c r="LKU612" s="17">
        <v>44925</v>
      </c>
      <c r="LKV612" s="5" t="s">
        <v>3728</v>
      </c>
      <c r="LKW612" s="17">
        <v>44925</v>
      </c>
      <c r="LKX612" s="5" t="s">
        <v>3728</v>
      </c>
      <c r="LKY612" s="17">
        <v>44925</v>
      </c>
      <c r="LKZ612" s="5" t="s">
        <v>3728</v>
      </c>
      <c r="LLA612" s="17">
        <v>44925</v>
      </c>
      <c r="LLB612" s="5" t="s">
        <v>3728</v>
      </c>
      <c r="LLC612" s="17">
        <v>44925</v>
      </c>
      <c r="LLD612" s="5" t="s">
        <v>3728</v>
      </c>
      <c r="LLE612" s="17">
        <v>44925</v>
      </c>
      <c r="LLF612" s="5" t="s">
        <v>3728</v>
      </c>
      <c r="LLG612" s="17">
        <v>44925</v>
      </c>
      <c r="LLH612" s="5" t="s">
        <v>3728</v>
      </c>
      <c r="LLI612" s="17">
        <v>44925</v>
      </c>
      <c r="LLJ612" s="5" t="s">
        <v>3728</v>
      </c>
      <c r="LLK612" s="17">
        <v>44925</v>
      </c>
      <c r="LLL612" s="5" t="s">
        <v>3728</v>
      </c>
      <c r="LLM612" s="17">
        <v>44925</v>
      </c>
      <c r="LLN612" s="5" t="s">
        <v>3728</v>
      </c>
      <c r="LLO612" s="17">
        <v>44925</v>
      </c>
      <c r="LLP612" s="5" t="s">
        <v>3728</v>
      </c>
      <c r="LLQ612" s="17">
        <v>44925</v>
      </c>
      <c r="LLR612" s="5" t="s">
        <v>3728</v>
      </c>
      <c r="LLS612" s="17">
        <v>44925</v>
      </c>
      <c r="LLT612" s="5" t="s">
        <v>3728</v>
      </c>
      <c r="LLU612" s="17">
        <v>44925</v>
      </c>
      <c r="LLV612" s="5" t="s">
        <v>3728</v>
      </c>
      <c r="LLW612" s="17">
        <v>44925</v>
      </c>
      <c r="LLX612" s="5" t="s">
        <v>3728</v>
      </c>
      <c r="LLY612" s="17">
        <v>44925</v>
      </c>
      <c r="LLZ612" s="5" t="s">
        <v>3728</v>
      </c>
      <c r="LMA612" s="17">
        <v>44925</v>
      </c>
      <c r="LMB612" s="5" t="s">
        <v>3728</v>
      </c>
      <c r="LMC612" s="17">
        <v>44925</v>
      </c>
      <c r="LMD612" s="5" t="s">
        <v>3728</v>
      </c>
      <c r="LME612" s="17">
        <v>44925</v>
      </c>
      <c r="LMF612" s="5" t="s">
        <v>3728</v>
      </c>
      <c r="LMG612" s="17">
        <v>44925</v>
      </c>
      <c r="LMH612" s="5" t="s">
        <v>3728</v>
      </c>
      <c r="LMI612" s="17">
        <v>44925</v>
      </c>
      <c r="LMJ612" s="5" t="s">
        <v>3728</v>
      </c>
      <c r="LMK612" s="17">
        <v>44925</v>
      </c>
      <c r="LML612" s="5" t="s">
        <v>3728</v>
      </c>
      <c r="LMM612" s="17">
        <v>44925</v>
      </c>
      <c r="LMN612" s="5" t="s">
        <v>3728</v>
      </c>
      <c r="LMO612" s="17">
        <v>44925</v>
      </c>
      <c r="LMP612" s="5" t="s">
        <v>3728</v>
      </c>
      <c r="LMQ612" s="17">
        <v>44925</v>
      </c>
      <c r="LMR612" s="5" t="s">
        <v>3728</v>
      </c>
      <c r="LMS612" s="17">
        <v>44925</v>
      </c>
      <c r="LMT612" s="5" t="s">
        <v>3728</v>
      </c>
      <c r="LMU612" s="17">
        <v>44925</v>
      </c>
      <c r="LMV612" s="5" t="s">
        <v>3728</v>
      </c>
      <c r="LMW612" s="17">
        <v>44925</v>
      </c>
      <c r="LMX612" s="5" t="s">
        <v>3728</v>
      </c>
      <c r="LMY612" s="17">
        <v>44925</v>
      </c>
      <c r="LMZ612" s="5" t="s">
        <v>3728</v>
      </c>
      <c r="LNA612" s="17">
        <v>44925</v>
      </c>
      <c r="LNB612" s="5" t="s">
        <v>3728</v>
      </c>
      <c r="LNC612" s="17">
        <v>44925</v>
      </c>
      <c r="LND612" s="5" t="s">
        <v>3728</v>
      </c>
      <c r="LNE612" s="17">
        <v>44925</v>
      </c>
      <c r="LNF612" s="5" t="s">
        <v>3728</v>
      </c>
      <c r="LNG612" s="17">
        <v>44925</v>
      </c>
      <c r="LNH612" s="5" t="s">
        <v>3728</v>
      </c>
      <c r="LNI612" s="17">
        <v>44925</v>
      </c>
      <c r="LNJ612" s="5" t="s">
        <v>3728</v>
      </c>
      <c r="LNK612" s="17">
        <v>44925</v>
      </c>
      <c r="LNL612" s="5" t="s">
        <v>3728</v>
      </c>
      <c r="LNM612" s="17">
        <v>44925</v>
      </c>
      <c r="LNN612" s="5" t="s">
        <v>3728</v>
      </c>
      <c r="LNO612" s="17">
        <v>44925</v>
      </c>
      <c r="LNP612" s="5" t="s">
        <v>3728</v>
      </c>
      <c r="LNQ612" s="17">
        <v>44925</v>
      </c>
      <c r="LNR612" s="5" t="s">
        <v>3728</v>
      </c>
      <c r="LNS612" s="17">
        <v>44925</v>
      </c>
      <c r="LNT612" s="5" t="s">
        <v>3728</v>
      </c>
      <c r="LNU612" s="17">
        <v>44925</v>
      </c>
      <c r="LNV612" s="5" t="s">
        <v>3728</v>
      </c>
      <c r="LNW612" s="17">
        <v>44925</v>
      </c>
      <c r="LNX612" s="5" t="s">
        <v>3728</v>
      </c>
      <c r="LNY612" s="17">
        <v>44925</v>
      </c>
      <c r="LNZ612" s="5" t="s">
        <v>3728</v>
      </c>
      <c r="LOA612" s="17">
        <v>44925</v>
      </c>
      <c r="LOB612" s="5" t="s">
        <v>3728</v>
      </c>
      <c r="LOC612" s="17">
        <v>44925</v>
      </c>
      <c r="LOD612" s="5" t="s">
        <v>3728</v>
      </c>
      <c r="LOE612" s="17">
        <v>44925</v>
      </c>
      <c r="LOF612" s="5" t="s">
        <v>3728</v>
      </c>
      <c r="LOG612" s="17">
        <v>44925</v>
      </c>
      <c r="LOH612" s="5" t="s">
        <v>3728</v>
      </c>
      <c r="LOI612" s="17">
        <v>44925</v>
      </c>
      <c r="LOJ612" s="5" t="s">
        <v>3728</v>
      </c>
      <c r="LOK612" s="17">
        <v>44925</v>
      </c>
      <c r="LOL612" s="5" t="s">
        <v>3728</v>
      </c>
      <c r="LOM612" s="17">
        <v>44925</v>
      </c>
      <c r="LON612" s="5" t="s">
        <v>3728</v>
      </c>
      <c r="LOO612" s="17">
        <v>44925</v>
      </c>
      <c r="LOP612" s="5" t="s">
        <v>3728</v>
      </c>
      <c r="LOQ612" s="17">
        <v>44925</v>
      </c>
      <c r="LOR612" s="5" t="s">
        <v>3728</v>
      </c>
      <c r="LOS612" s="17">
        <v>44925</v>
      </c>
      <c r="LOT612" s="5" t="s">
        <v>3728</v>
      </c>
      <c r="LOU612" s="17">
        <v>44925</v>
      </c>
      <c r="LOV612" s="5" t="s">
        <v>3728</v>
      </c>
      <c r="LOW612" s="17">
        <v>44925</v>
      </c>
      <c r="LOX612" s="5" t="s">
        <v>3728</v>
      </c>
      <c r="LOY612" s="17">
        <v>44925</v>
      </c>
      <c r="LOZ612" s="5" t="s">
        <v>3728</v>
      </c>
      <c r="LPA612" s="17">
        <v>44925</v>
      </c>
      <c r="LPB612" s="5" t="s">
        <v>3728</v>
      </c>
      <c r="LPC612" s="17">
        <v>44925</v>
      </c>
      <c r="LPD612" s="5" t="s">
        <v>3728</v>
      </c>
      <c r="LPE612" s="17">
        <v>44925</v>
      </c>
      <c r="LPF612" s="5" t="s">
        <v>3728</v>
      </c>
      <c r="LPG612" s="17">
        <v>44925</v>
      </c>
      <c r="LPH612" s="5" t="s">
        <v>3728</v>
      </c>
      <c r="LPI612" s="17">
        <v>44925</v>
      </c>
      <c r="LPJ612" s="5" t="s">
        <v>3728</v>
      </c>
      <c r="LPK612" s="17">
        <v>44925</v>
      </c>
      <c r="LPL612" s="5" t="s">
        <v>3728</v>
      </c>
      <c r="LPM612" s="17">
        <v>44925</v>
      </c>
      <c r="LPN612" s="5" t="s">
        <v>3728</v>
      </c>
      <c r="LPO612" s="17">
        <v>44925</v>
      </c>
      <c r="LPP612" s="5" t="s">
        <v>3728</v>
      </c>
      <c r="LPQ612" s="17">
        <v>44925</v>
      </c>
      <c r="LPR612" s="5" t="s">
        <v>3728</v>
      </c>
      <c r="LPS612" s="17">
        <v>44925</v>
      </c>
      <c r="LPT612" s="5" t="s">
        <v>3728</v>
      </c>
      <c r="LPU612" s="17">
        <v>44925</v>
      </c>
      <c r="LPV612" s="5" t="s">
        <v>3728</v>
      </c>
      <c r="LPW612" s="17">
        <v>44925</v>
      </c>
      <c r="LPX612" s="5" t="s">
        <v>3728</v>
      </c>
      <c r="LPY612" s="17">
        <v>44925</v>
      </c>
      <c r="LPZ612" s="5" t="s">
        <v>3728</v>
      </c>
      <c r="LQA612" s="17">
        <v>44925</v>
      </c>
      <c r="LQB612" s="5" t="s">
        <v>3728</v>
      </c>
      <c r="LQC612" s="17">
        <v>44925</v>
      </c>
      <c r="LQD612" s="5" t="s">
        <v>3728</v>
      </c>
      <c r="LQE612" s="17">
        <v>44925</v>
      </c>
      <c r="LQF612" s="5" t="s">
        <v>3728</v>
      </c>
      <c r="LQG612" s="17">
        <v>44925</v>
      </c>
      <c r="LQH612" s="5" t="s">
        <v>3728</v>
      </c>
      <c r="LQI612" s="17">
        <v>44925</v>
      </c>
      <c r="LQJ612" s="5" t="s">
        <v>3728</v>
      </c>
      <c r="LQK612" s="17">
        <v>44925</v>
      </c>
      <c r="LQL612" s="5" t="s">
        <v>3728</v>
      </c>
      <c r="LQM612" s="17">
        <v>44925</v>
      </c>
      <c r="LQN612" s="5" t="s">
        <v>3728</v>
      </c>
      <c r="LQO612" s="17">
        <v>44925</v>
      </c>
      <c r="LQP612" s="5" t="s">
        <v>3728</v>
      </c>
      <c r="LQQ612" s="17">
        <v>44925</v>
      </c>
      <c r="LQR612" s="5" t="s">
        <v>3728</v>
      </c>
      <c r="LQS612" s="17">
        <v>44925</v>
      </c>
      <c r="LQT612" s="5" t="s">
        <v>3728</v>
      </c>
      <c r="LQU612" s="17">
        <v>44925</v>
      </c>
      <c r="LQV612" s="5" t="s">
        <v>3728</v>
      </c>
      <c r="LQW612" s="17">
        <v>44925</v>
      </c>
      <c r="LQX612" s="5" t="s">
        <v>3728</v>
      </c>
      <c r="LQY612" s="17">
        <v>44925</v>
      </c>
      <c r="LQZ612" s="5" t="s">
        <v>3728</v>
      </c>
      <c r="LRA612" s="17">
        <v>44925</v>
      </c>
      <c r="LRB612" s="5" t="s">
        <v>3728</v>
      </c>
      <c r="LRC612" s="17">
        <v>44925</v>
      </c>
      <c r="LRD612" s="5" t="s">
        <v>3728</v>
      </c>
      <c r="LRE612" s="17">
        <v>44925</v>
      </c>
      <c r="LRF612" s="5" t="s">
        <v>3728</v>
      </c>
      <c r="LRG612" s="17">
        <v>44925</v>
      </c>
      <c r="LRH612" s="5" t="s">
        <v>3728</v>
      </c>
      <c r="LRI612" s="17">
        <v>44925</v>
      </c>
      <c r="LRJ612" s="5" t="s">
        <v>3728</v>
      </c>
      <c r="LRK612" s="17">
        <v>44925</v>
      </c>
      <c r="LRL612" s="5" t="s">
        <v>3728</v>
      </c>
      <c r="LRM612" s="17">
        <v>44925</v>
      </c>
      <c r="LRN612" s="5" t="s">
        <v>3728</v>
      </c>
      <c r="LRO612" s="17">
        <v>44925</v>
      </c>
      <c r="LRP612" s="5" t="s">
        <v>3728</v>
      </c>
      <c r="LRQ612" s="17">
        <v>44925</v>
      </c>
      <c r="LRR612" s="5" t="s">
        <v>3728</v>
      </c>
      <c r="LRS612" s="17">
        <v>44925</v>
      </c>
      <c r="LRT612" s="5" t="s">
        <v>3728</v>
      </c>
      <c r="LRU612" s="17">
        <v>44925</v>
      </c>
      <c r="LRV612" s="5" t="s">
        <v>3728</v>
      </c>
      <c r="LRW612" s="17">
        <v>44925</v>
      </c>
      <c r="LRX612" s="5" t="s">
        <v>3728</v>
      </c>
      <c r="LRY612" s="17">
        <v>44925</v>
      </c>
      <c r="LRZ612" s="5" t="s">
        <v>3728</v>
      </c>
      <c r="LSA612" s="17">
        <v>44925</v>
      </c>
      <c r="LSB612" s="5" t="s">
        <v>3728</v>
      </c>
      <c r="LSC612" s="17">
        <v>44925</v>
      </c>
      <c r="LSD612" s="5" t="s">
        <v>3728</v>
      </c>
      <c r="LSE612" s="17">
        <v>44925</v>
      </c>
      <c r="LSF612" s="5" t="s">
        <v>3728</v>
      </c>
      <c r="LSG612" s="17">
        <v>44925</v>
      </c>
      <c r="LSH612" s="5" t="s">
        <v>3728</v>
      </c>
      <c r="LSI612" s="17">
        <v>44925</v>
      </c>
      <c r="LSJ612" s="5" t="s">
        <v>3728</v>
      </c>
      <c r="LSK612" s="17">
        <v>44925</v>
      </c>
      <c r="LSL612" s="5" t="s">
        <v>3728</v>
      </c>
      <c r="LSM612" s="17">
        <v>44925</v>
      </c>
      <c r="LSN612" s="5" t="s">
        <v>3728</v>
      </c>
      <c r="LSO612" s="17">
        <v>44925</v>
      </c>
      <c r="LSP612" s="5" t="s">
        <v>3728</v>
      </c>
      <c r="LSQ612" s="17">
        <v>44925</v>
      </c>
      <c r="LSR612" s="5" t="s">
        <v>3728</v>
      </c>
      <c r="LSS612" s="17">
        <v>44925</v>
      </c>
      <c r="LST612" s="5" t="s">
        <v>3728</v>
      </c>
      <c r="LSU612" s="17">
        <v>44925</v>
      </c>
      <c r="LSV612" s="5" t="s">
        <v>3728</v>
      </c>
      <c r="LSW612" s="17">
        <v>44925</v>
      </c>
      <c r="LSX612" s="5" t="s">
        <v>3728</v>
      </c>
      <c r="LSY612" s="17">
        <v>44925</v>
      </c>
      <c r="LSZ612" s="5" t="s">
        <v>3728</v>
      </c>
      <c r="LTA612" s="17">
        <v>44925</v>
      </c>
      <c r="LTB612" s="5" t="s">
        <v>3728</v>
      </c>
      <c r="LTC612" s="17">
        <v>44925</v>
      </c>
      <c r="LTD612" s="5" t="s">
        <v>3728</v>
      </c>
      <c r="LTE612" s="17">
        <v>44925</v>
      </c>
      <c r="LTF612" s="5" t="s">
        <v>3728</v>
      </c>
      <c r="LTG612" s="17">
        <v>44925</v>
      </c>
      <c r="LTH612" s="5" t="s">
        <v>3728</v>
      </c>
      <c r="LTI612" s="17">
        <v>44925</v>
      </c>
      <c r="LTJ612" s="5" t="s">
        <v>3728</v>
      </c>
      <c r="LTK612" s="17">
        <v>44925</v>
      </c>
      <c r="LTL612" s="5" t="s">
        <v>3728</v>
      </c>
      <c r="LTM612" s="17">
        <v>44925</v>
      </c>
      <c r="LTN612" s="5" t="s">
        <v>3728</v>
      </c>
      <c r="LTO612" s="17">
        <v>44925</v>
      </c>
      <c r="LTP612" s="5" t="s">
        <v>3728</v>
      </c>
      <c r="LTQ612" s="17">
        <v>44925</v>
      </c>
      <c r="LTR612" s="5" t="s">
        <v>3728</v>
      </c>
      <c r="LTS612" s="17">
        <v>44925</v>
      </c>
      <c r="LTT612" s="5" t="s">
        <v>3728</v>
      </c>
      <c r="LTU612" s="17">
        <v>44925</v>
      </c>
      <c r="LTV612" s="5" t="s">
        <v>3728</v>
      </c>
      <c r="LTW612" s="17">
        <v>44925</v>
      </c>
      <c r="LTX612" s="5" t="s">
        <v>3728</v>
      </c>
      <c r="LTY612" s="17">
        <v>44925</v>
      </c>
      <c r="LTZ612" s="5" t="s">
        <v>3728</v>
      </c>
      <c r="LUA612" s="17">
        <v>44925</v>
      </c>
      <c r="LUB612" s="5" t="s">
        <v>3728</v>
      </c>
      <c r="LUC612" s="17">
        <v>44925</v>
      </c>
      <c r="LUD612" s="5" t="s">
        <v>3728</v>
      </c>
      <c r="LUE612" s="17">
        <v>44925</v>
      </c>
      <c r="LUF612" s="5" t="s">
        <v>3728</v>
      </c>
      <c r="LUG612" s="17">
        <v>44925</v>
      </c>
      <c r="LUH612" s="5" t="s">
        <v>3728</v>
      </c>
      <c r="LUI612" s="17">
        <v>44925</v>
      </c>
      <c r="LUJ612" s="5" t="s">
        <v>3728</v>
      </c>
      <c r="LUK612" s="17">
        <v>44925</v>
      </c>
      <c r="LUL612" s="5" t="s">
        <v>3728</v>
      </c>
      <c r="LUM612" s="17">
        <v>44925</v>
      </c>
      <c r="LUN612" s="5" t="s">
        <v>3728</v>
      </c>
      <c r="LUO612" s="17">
        <v>44925</v>
      </c>
      <c r="LUP612" s="5" t="s">
        <v>3728</v>
      </c>
      <c r="LUQ612" s="17">
        <v>44925</v>
      </c>
      <c r="LUR612" s="5" t="s">
        <v>3728</v>
      </c>
      <c r="LUS612" s="17">
        <v>44925</v>
      </c>
      <c r="LUT612" s="5" t="s">
        <v>3728</v>
      </c>
      <c r="LUU612" s="17">
        <v>44925</v>
      </c>
      <c r="LUV612" s="5" t="s">
        <v>3728</v>
      </c>
      <c r="LUW612" s="17">
        <v>44925</v>
      </c>
      <c r="LUX612" s="5" t="s">
        <v>3728</v>
      </c>
      <c r="LUY612" s="17">
        <v>44925</v>
      </c>
      <c r="LUZ612" s="5" t="s">
        <v>3728</v>
      </c>
      <c r="LVA612" s="17">
        <v>44925</v>
      </c>
      <c r="LVB612" s="5" t="s">
        <v>3728</v>
      </c>
      <c r="LVC612" s="17">
        <v>44925</v>
      </c>
      <c r="LVD612" s="5" t="s">
        <v>3728</v>
      </c>
      <c r="LVE612" s="17">
        <v>44925</v>
      </c>
      <c r="LVF612" s="5" t="s">
        <v>3728</v>
      </c>
      <c r="LVG612" s="17">
        <v>44925</v>
      </c>
      <c r="LVH612" s="5" t="s">
        <v>3728</v>
      </c>
      <c r="LVI612" s="17">
        <v>44925</v>
      </c>
      <c r="LVJ612" s="5" t="s">
        <v>3728</v>
      </c>
      <c r="LVK612" s="17">
        <v>44925</v>
      </c>
      <c r="LVL612" s="5" t="s">
        <v>3728</v>
      </c>
      <c r="LVM612" s="17">
        <v>44925</v>
      </c>
      <c r="LVN612" s="5" t="s">
        <v>3728</v>
      </c>
      <c r="LVO612" s="17">
        <v>44925</v>
      </c>
      <c r="LVP612" s="5" t="s">
        <v>3728</v>
      </c>
      <c r="LVQ612" s="17">
        <v>44925</v>
      </c>
      <c r="LVR612" s="5" t="s">
        <v>3728</v>
      </c>
      <c r="LVS612" s="17">
        <v>44925</v>
      </c>
      <c r="LVT612" s="5" t="s">
        <v>3728</v>
      </c>
      <c r="LVU612" s="17">
        <v>44925</v>
      </c>
      <c r="LVV612" s="5" t="s">
        <v>3728</v>
      </c>
      <c r="LVW612" s="17">
        <v>44925</v>
      </c>
      <c r="LVX612" s="5" t="s">
        <v>3728</v>
      </c>
      <c r="LVY612" s="17">
        <v>44925</v>
      </c>
      <c r="LVZ612" s="5" t="s">
        <v>3728</v>
      </c>
      <c r="LWA612" s="17">
        <v>44925</v>
      </c>
      <c r="LWB612" s="5" t="s">
        <v>3728</v>
      </c>
      <c r="LWC612" s="17">
        <v>44925</v>
      </c>
      <c r="LWD612" s="5" t="s">
        <v>3728</v>
      </c>
      <c r="LWE612" s="17">
        <v>44925</v>
      </c>
      <c r="LWF612" s="5" t="s">
        <v>3728</v>
      </c>
      <c r="LWG612" s="17">
        <v>44925</v>
      </c>
      <c r="LWH612" s="5" t="s">
        <v>3728</v>
      </c>
      <c r="LWI612" s="17">
        <v>44925</v>
      </c>
      <c r="LWJ612" s="5" t="s">
        <v>3728</v>
      </c>
      <c r="LWK612" s="17">
        <v>44925</v>
      </c>
      <c r="LWL612" s="5" t="s">
        <v>3728</v>
      </c>
      <c r="LWM612" s="17">
        <v>44925</v>
      </c>
      <c r="LWN612" s="5" t="s">
        <v>3728</v>
      </c>
      <c r="LWO612" s="17">
        <v>44925</v>
      </c>
      <c r="LWP612" s="5" t="s">
        <v>3728</v>
      </c>
      <c r="LWQ612" s="17">
        <v>44925</v>
      </c>
      <c r="LWR612" s="5" t="s">
        <v>3728</v>
      </c>
      <c r="LWS612" s="17">
        <v>44925</v>
      </c>
      <c r="LWT612" s="5" t="s">
        <v>3728</v>
      </c>
      <c r="LWU612" s="17">
        <v>44925</v>
      </c>
      <c r="LWV612" s="5" t="s">
        <v>3728</v>
      </c>
      <c r="LWW612" s="17">
        <v>44925</v>
      </c>
      <c r="LWX612" s="5" t="s">
        <v>3728</v>
      </c>
      <c r="LWY612" s="17">
        <v>44925</v>
      </c>
      <c r="LWZ612" s="5" t="s">
        <v>3728</v>
      </c>
      <c r="LXA612" s="17">
        <v>44925</v>
      </c>
      <c r="LXB612" s="5" t="s">
        <v>3728</v>
      </c>
      <c r="LXC612" s="17">
        <v>44925</v>
      </c>
      <c r="LXD612" s="5" t="s">
        <v>3728</v>
      </c>
      <c r="LXE612" s="17">
        <v>44925</v>
      </c>
      <c r="LXF612" s="5" t="s">
        <v>3728</v>
      </c>
      <c r="LXG612" s="17">
        <v>44925</v>
      </c>
      <c r="LXH612" s="5" t="s">
        <v>3728</v>
      </c>
      <c r="LXI612" s="17">
        <v>44925</v>
      </c>
      <c r="LXJ612" s="5" t="s">
        <v>3728</v>
      </c>
      <c r="LXK612" s="17">
        <v>44925</v>
      </c>
      <c r="LXL612" s="5" t="s">
        <v>3728</v>
      </c>
      <c r="LXM612" s="17">
        <v>44925</v>
      </c>
      <c r="LXN612" s="5" t="s">
        <v>3728</v>
      </c>
      <c r="LXO612" s="17">
        <v>44925</v>
      </c>
      <c r="LXP612" s="5" t="s">
        <v>3728</v>
      </c>
      <c r="LXQ612" s="17">
        <v>44925</v>
      </c>
      <c r="LXR612" s="5" t="s">
        <v>3728</v>
      </c>
      <c r="LXS612" s="17">
        <v>44925</v>
      </c>
      <c r="LXT612" s="5" t="s">
        <v>3728</v>
      </c>
      <c r="LXU612" s="17">
        <v>44925</v>
      </c>
      <c r="LXV612" s="5" t="s">
        <v>3728</v>
      </c>
      <c r="LXW612" s="17">
        <v>44925</v>
      </c>
      <c r="LXX612" s="5" t="s">
        <v>3728</v>
      </c>
      <c r="LXY612" s="17">
        <v>44925</v>
      </c>
      <c r="LXZ612" s="5" t="s">
        <v>3728</v>
      </c>
      <c r="LYA612" s="17">
        <v>44925</v>
      </c>
      <c r="LYB612" s="5" t="s">
        <v>3728</v>
      </c>
      <c r="LYC612" s="17">
        <v>44925</v>
      </c>
      <c r="LYD612" s="5" t="s">
        <v>3728</v>
      </c>
      <c r="LYE612" s="17">
        <v>44925</v>
      </c>
      <c r="LYF612" s="5" t="s">
        <v>3728</v>
      </c>
      <c r="LYG612" s="17">
        <v>44925</v>
      </c>
      <c r="LYH612" s="5" t="s">
        <v>3728</v>
      </c>
      <c r="LYI612" s="17">
        <v>44925</v>
      </c>
      <c r="LYJ612" s="5" t="s">
        <v>3728</v>
      </c>
      <c r="LYK612" s="17">
        <v>44925</v>
      </c>
      <c r="LYL612" s="5" t="s">
        <v>3728</v>
      </c>
      <c r="LYM612" s="17">
        <v>44925</v>
      </c>
      <c r="LYN612" s="5" t="s">
        <v>3728</v>
      </c>
      <c r="LYO612" s="17">
        <v>44925</v>
      </c>
      <c r="LYP612" s="5" t="s">
        <v>3728</v>
      </c>
      <c r="LYQ612" s="17">
        <v>44925</v>
      </c>
      <c r="LYR612" s="5" t="s">
        <v>3728</v>
      </c>
      <c r="LYS612" s="17">
        <v>44925</v>
      </c>
      <c r="LYT612" s="5" t="s">
        <v>3728</v>
      </c>
      <c r="LYU612" s="17">
        <v>44925</v>
      </c>
      <c r="LYV612" s="5" t="s">
        <v>3728</v>
      </c>
      <c r="LYW612" s="17">
        <v>44925</v>
      </c>
      <c r="LYX612" s="5" t="s">
        <v>3728</v>
      </c>
      <c r="LYY612" s="17">
        <v>44925</v>
      </c>
      <c r="LYZ612" s="5" t="s">
        <v>3728</v>
      </c>
      <c r="LZA612" s="17">
        <v>44925</v>
      </c>
      <c r="LZB612" s="5" t="s">
        <v>3728</v>
      </c>
      <c r="LZC612" s="17">
        <v>44925</v>
      </c>
      <c r="LZD612" s="5" t="s">
        <v>3728</v>
      </c>
      <c r="LZE612" s="17">
        <v>44925</v>
      </c>
      <c r="LZF612" s="5" t="s">
        <v>3728</v>
      </c>
      <c r="LZG612" s="17">
        <v>44925</v>
      </c>
      <c r="LZH612" s="5" t="s">
        <v>3728</v>
      </c>
      <c r="LZI612" s="17">
        <v>44925</v>
      </c>
      <c r="LZJ612" s="5" t="s">
        <v>3728</v>
      </c>
      <c r="LZK612" s="17">
        <v>44925</v>
      </c>
      <c r="LZL612" s="5" t="s">
        <v>3728</v>
      </c>
      <c r="LZM612" s="17">
        <v>44925</v>
      </c>
      <c r="LZN612" s="5" t="s">
        <v>3728</v>
      </c>
      <c r="LZO612" s="17">
        <v>44925</v>
      </c>
      <c r="LZP612" s="5" t="s">
        <v>3728</v>
      </c>
      <c r="LZQ612" s="17">
        <v>44925</v>
      </c>
      <c r="LZR612" s="5" t="s">
        <v>3728</v>
      </c>
      <c r="LZS612" s="17">
        <v>44925</v>
      </c>
      <c r="LZT612" s="5" t="s">
        <v>3728</v>
      </c>
      <c r="LZU612" s="17">
        <v>44925</v>
      </c>
      <c r="LZV612" s="5" t="s">
        <v>3728</v>
      </c>
      <c r="LZW612" s="17">
        <v>44925</v>
      </c>
      <c r="LZX612" s="5" t="s">
        <v>3728</v>
      </c>
      <c r="LZY612" s="17">
        <v>44925</v>
      </c>
      <c r="LZZ612" s="5" t="s">
        <v>3728</v>
      </c>
      <c r="MAA612" s="17">
        <v>44925</v>
      </c>
      <c r="MAB612" s="5" t="s">
        <v>3728</v>
      </c>
      <c r="MAC612" s="17">
        <v>44925</v>
      </c>
      <c r="MAD612" s="5" t="s">
        <v>3728</v>
      </c>
      <c r="MAE612" s="17">
        <v>44925</v>
      </c>
      <c r="MAF612" s="5" t="s">
        <v>3728</v>
      </c>
      <c r="MAG612" s="17">
        <v>44925</v>
      </c>
      <c r="MAH612" s="5" t="s">
        <v>3728</v>
      </c>
      <c r="MAI612" s="17">
        <v>44925</v>
      </c>
      <c r="MAJ612" s="5" t="s">
        <v>3728</v>
      </c>
      <c r="MAK612" s="17">
        <v>44925</v>
      </c>
      <c r="MAL612" s="5" t="s">
        <v>3728</v>
      </c>
      <c r="MAM612" s="17">
        <v>44925</v>
      </c>
      <c r="MAN612" s="5" t="s">
        <v>3728</v>
      </c>
      <c r="MAO612" s="17">
        <v>44925</v>
      </c>
      <c r="MAP612" s="5" t="s">
        <v>3728</v>
      </c>
      <c r="MAQ612" s="17">
        <v>44925</v>
      </c>
      <c r="MAR612" s="5" t="s">
        <v>3728</v>
      </c>
      <c r="MAS612" s="17">
        <v>44925</v>
      </c>
      <c r="MAT612" s="5" t="s">
        <v>3728</v>
      </c>
      <c r="MAU612" s="17">
        <v>44925</v>
      </c>
      <c r="MAV612" s="5" t="s">
        <v>3728</v>
      </c>
      <c r="MAW612" s="17">
        <v>44925</v>
      </c>
      <c r="MAX612" s="5" t="s">
        <v>3728</v>
      </c>
      <c r="MAY612" s="17">
        <v>44925</v>
      </c>
      <c r="MAZ612" s="5" t="s">
        <v>3728</v>
      </c>
      <c r="MBA612" s="17">
        <v>44925</v>
      </c>
      <c r="MBB612" s="5" t="s">
        <v>3728</v>
      </c>
      <c r="MBC612" s="17">
        <v>44925</v>
      </c>
      <c r="MBD612" s="5" t="s">
        <v>3728</v>
      </c>
      <c r="MBE612" s="17">
        <v>44925</v>
      </c>
      <c r="MBF612" s="5" t="s">
        <v>3728</v>
      </c>
      <c r="MBG612" s="17">
        <v>44925</v>
      </c>
      <c r="MBH612" s="5" t="s">
        <v>3728</v>
      </c>
      <c r="MBI612" s="17">
        <v>44925</v>
      </c>
      <c r="MBJ612" s="5" t="s">
        <v>3728</v>
      </c>
      <c r="MBK612" s="17">
        <v>44925</v>
      </c>
      <c r="MBL612" s="5" t="s">
        <v>3728</v>
      </c>
      <c r="MBM612" s="17">
        <v>44925</v>
      </c>
      <c r="MBN612" s="5" t="s">
        <v>3728</v>
      </c>
      <c r="MBO612" s="17">
        <v>44925</v>
      </c>
      <c r="MBP612" s="5" t="s">
        <v>3728</v>
      </c>
      <c r="MBQ612" s="17">
        <v>44925</v>
      </c>
      <c r="MBR612" s="5" t="s">
        <v>3728</v>
      </c>
      <c r="MBS612" s="17">
        <v>44925</v>
      </c>
      <c r="MBT612" s="5" t="s">
        <v>3728</v>
      </c>
      <c r="MBU612" s="17">
        <v>44925</v>
      </c>
      <c r="MBV612" s="5" t="s">
        <v>3728</v>
      </c>
      <c r="MBW612" s="17">
        <v>44925</v>
      </c>
      <c r="MBX612" s="5" t="s">
        <v>3728</v>
      </c>
      <c r="MBY612" s="17">
        <v>44925</v>
      </c>
      <c r="MBZ612" s="5" t="s">
        <v>3728</v>
      </c>
      <c r="MCA612" s="17">
        <v>44925</v>
      </c>
      <c r="MCB612" s="5" t="s">
        <v>3728</v>
      </c>
      <c r="MCC612" s="17">
        <v>44925</v>
      </c>
      <c r="MCD612" s="5" t="s">
        <v>3728</v>
      </c>
      <c r="MCE612" s="17">
        <v>44925</v>
      </c>
      <c r="MCF612" s="5" t="s">
        <v>3728</v>
      </c>
      <c r="MCG612" s="17">
        <v>44925</v>
      </c>
      <c r="MCH612" s="5" t="s">
        <v>3728</v>
      </c>
      <c r="MCI612" s="17">
        <v>44925</v>
      </c>
      <c r="MCJ612" s="5" t="s">
        <v>3728</v>
      </c>
      <c r="MCK612" s="17">
        <v>44925</v>
      </c>
      <c r="MCL612" s="5" t="s">
        <v>3728</v>
      </c>
      <c r="MCM612" s="17">
        <v>44925</v>
      </c>
      <c r="MCN612" s="5" t="s">
        <v>3728</v>
      </c>
      <c r="MCO612" s="17">
        <v>44925</v>
      </c>
      <c r="MCP612" s="5" t="s">
        <v>3728</v>
      </c>
      <c r="MCQ612" s="17">
        <v>44925</v>
      </c>
      <c r="MCR612" s="5" t="s">
        <v>3728</v>
      </c>
      <c r="MCS612" s="17">
        <v>44925</v>
      </c>
      <c r="MCT612" s="5" t="s">
        <v>3728</v>
      </c>
      <c r="MCU612" s="17">
        <v>44925</v>
      </c>
      <c r="MCV612" s="5" t="s">
        <v>3728</v>
      </c>
      <c r="MCW612" s="17">
        <v>44925</v>
      </c>
      <c r="MCX612" s="5" t="s">
        <v>3728</v>
      </c>
      <c r="MCY612" s="17">
        <v>44925</v>
      </c>
      <c r="MCZ612" s="5" t="s">
        <v>3728</v>
      </c>
      <c r="MDA612" s="17">
        <v>44925</v>
      </c>
      <c r="MDB612" s="5" t="s">
        <v>3728</v>
      </c>
      <c r="MDC612" s="17">
        <v>44925</v>
      </c>
      <c r="MDD612" s="5" t="s">
        <v>3728</v>
      </c>
      <c r="MDE612" s="17">
        <v>44925</v>
      </c>
      <c r="MDF612" s="5" t="s">
        <v>3728</v>
      </c>
      <c r="MDG612" s="17">
        <v>44925</v>
      </c>
      <c r="MDH612" s="5" t="s">
        <v>3728</v>
      </c>
      <c r="MDI612" s="17">
        <v>44925</v>
      </c>
      <c r="MDJ612" s="5" t="s">
        <v>3728</v>
      </c>
      <c r="MDK612" s="17">
        <v>44925</v>
      </c>
      <c r="MDL612" s="5" t="s">
        <v>3728</v>
      </c>
      <c r="MDM612" s="17">
        <v>44925</v>
      </c>
      <c r="MDN612" s="5" t="s">
        <v>3728</v>
      </c>
      <c r="MDO612" s="17">
        <v>44925</v>
      </c>
      <c r="MDP612" s="5" t="s">
        <v>3728</v>
      </c>
      <c r="MDQ612" s="17">
        <v>44925</v>
      </c>
      <c r="MDR612" s="5" t="s">
        <v>3728</v>
      </c>
      <c r="MDS612" s="17">
        <v>44925</v>
      </c>
      <c r="MDT612" s="5" t="s">
        <v>3728</v>
      </c>
      <c r="MDU612" s="17">
        <v>44925</v>
      </c>
      <c r="MDV612" s="5" t="s">
        <v>3728</v>
      </c>
      <c r="MDW612" s="17">
        <v>44925</v>
      </c>
      <c r="MDX612" s="5" t="s">
        <v>3728</v>
      </c>
      <c r="MDY612" s="17">
        <v>44925</v>
      </c>
      <c r="MDZ612" s="5" t="s">
        <v>3728</v>
      </c>
      <c r="MEA612" s="17">
        <v>44925</v>
      </c>
      <c r="MEB612" s="5" t="s">
        <v>3728</v>
      </c>
      <c r="MEC612" s="17">
        <v>44925</v>
      </c>
      <c r="MED612" s="5" t="s">
        <v>3728</v>
      </c>
      <c r="MEE612" s="17">
        <v>44925</v>
      </c>
      <c r="MEF612" s="5" t="s">
        <v>3728</v>
      </c>
      <c r="MEG612" s="17">
        <v>44925</v>
      </c>
      <c r="MEH612" s="5" t="s">
        <v>3728</v>
      </c>
      <c r="MEI612" s="17">
        <v>44925</v>
      </c>
      <c r="MEJ612" s="5" t="s">
        <v>3728</v>
      </c>
      <c r="MEK612" s="17">
        <v>44925</v>
      </c>
      <c r="MEL612" s="5" t="s">
        <v>3728</v>
      </c>
      <c r="MEM612" s="17">
        <v>44925</v>
      </c>
      <c r="MEN612" s="5" t="s">
        <v>3728</v>
      </c>
      <c r="MEO612" s="17">
        <v>44925</v>
      </c>
      <c r="MEP612" s="5" t="s">
        <v>3728</v>
      </c>
      <c r="MEQ612" s="17">
        <v>44925</v>
      </c>
      <c r="MER612" s="5" t="s">
        <v>3728</v>
      </c>
      <c r="MES612" s="17">
        <v>44925</v>
      </c>
      <c r="MET612" s="5" t="s">
        <v>3728</v>
      </c>
      <c r="MEU612" s="17">
        <v>44925</v>
      </c>
      <c r="MEV612" s="5" t="s">
        <v>3728</v>
      </c>
      <c r="MEW612" s="17">
        <v>44925</v>
      </c>
      <c r="MEX612" s="5" t="s">
        <v>3728</v>
      </c>
      <c r="MEY612" s="17">
        <v>44925</v>
      </c>
      <c r="MEZ612" s="5" t="s">
        <v>3728</v>
      </c>
      <c r="MFA612" s="17">
        <v>44925</v>
      </c>
      <c r="MFB612" s="5" t="s">
        <v>3728</v>
      </c>
      <c r="MFC612" s="17">
        <v>44925</v>
      </c>
      <c r="MFD612" s="5" t="s">
        <v>3728</v>
      </c>
      <c r="MFE612" s="17">
        <v>44925</v>
      </c>
      <c r="MFF612" s="5" t="s">
        <v>3728</v>
      </c>
      <c r="MFG612" s="17">
        <v>44925</v>
      </c>
      <c r="MFH612" s="5" t="s">
        <v>3728</v>
      </c>
      <c r="MFI612" s="17">
        <v>44925</v>
      </c>
      <c r="MFJ612" s="5" t="s">
        <v>3728</v>
      </c>
      <c r="MFK612" s="17">
        <v>44925</v>
      </c>
      <c r="MFL612" s="5" t="s">
        <v>3728</v>
      </c>
      <c r="MFM612" s="17">
        <v>44925</v>
      </c>
      <c r="MFN612" s="5" t="s">
        <v>3728</v>
      </c>
      <c r="MFO612" s="17">
        <v>44925</v>
      </c>
      <c r="MFP612" s="5" t="s">
        <v>3728</v>
      </c>
      <c r="MFQ612" s="17">
        <v>44925</v>
      </c>
      <c r="MFR612" s="5" t="s">
        <v>3728</v>
      </c>
      <c r="MFS612" s="17">
        <v>44925</v>
      </c>
      <c r="MFT612" s="5" t="s">
        <v>3728</v>
      </c>
      <c r="MFU612" s="17">
        <v>44925</v>
      </c>
      <c r="MFV612" s="5" t="s">
        <v>3728</v>
      </c>
      <c r="MFW612" s="17">
        <v>44925</v>
      </c>
      <c r="MFX612" s="5" t="s">
        <v>3728</v>
      </c>
      <c r="MFY612" s="17">
        <v>44925</v>
      </c>
      <c r="MFZ612" s="5" t="s">
        <v>3728</v>
      </c>
      <c r="MGA612" s="17">
        <v>44925</v>
      </c>
      <c r="MGB612" s="5" t="s">
        <v>3728</v>
      </c>
      <c r="MGC612" s="17">
        <v>44925</v>
      </c>
      <c r="MGD612" s="5" t="s">
        <v>3728</v>
      </c>
      <c r="MGE612" s="17">
        <v>44925</v>
      </c>
      <c r="MGF612" s="5" t="s">
        <v>3728</v>
      </c>
      <c r="MGG612" s="17">
        <v>44925</v>
      </c>
      <c r="MGH612" s="5" t="s">
        <v>3728</v>
      </c>
      <c r="MGI612" s="17">
        <v>44925</v>
      </c>
      <c r="MGJ612" s="5" t="s">
        <v>3728</v>
      </c>
      <c r="MGK612" s="17">
        <v>44925</v>
      </c>
      <c r="MGL612" s="5" t="s">
        <v>3728</v>
      </c>
      <c r="MGM612" s="17">
        <v>44925</v>
      </c>
      <c r="MGN612" s="5" t="s">
        <v>3728</v>
      </c>
      <c r="MGO612" s="17">
        <v>44925</v>
      </c>
      <c r="MGP612" s="5" t="s">
        <v>3728</v>
      </c>
      <c r="MGQ612" s="17">
        <v>44925</v>
      </c>
      <c r="MGR612" s="5" t="s">
        <v>3728</v>
      </c>
      <c r="MGS612" s="17">
        <v>44925</v>
      </c>
      <c r="MGT612" s="5" t="s">
        <v>3728</v>
      </c>
      <c r="MGU612" s="17">
        <v>44925</v>
      </c>
      <c r="MGV612" s="5" t="s">
        <v>3728</v>
      </c>
      <c r="MGW612" s="17">
        <v>44925</v>
      </c>
      <c r="MGX612" s="5" t="s">
        <v>3728</v>
      </c>
      <c r="MGY612" s="17">
        <v>44925</v>
      </c>
      <c r="MGZ612" s="5" t="s">
        <v>3728</v>
      </c>
      <c r="MHA612" s="17">
        <v>44925</v>
      </c>
      <c r="MHB612" s="5" t="s">
        <v>3728</v>
      </c>
      <c r="MHC612" s="17">
        <v>44925</v>
      </c>
      <c r="MHD612" s="5" t="s">
        <v>3728</v>
      </c>
      <c r="MHE612" s="17">
        <v>44925</v>
      </c>
      <c r="MHF612" s="5" t="s">
        <v>3728</v>
      </c>
      <c r="MHG612" s="17">
        <v>44925</v>
      </c>
      <c r="MHH612" s="5" t="s">
        <v>3728</v>
      </c>
      <c r="MHI612" s="17">
        <v>44925</v>
      </c>
      <c r="MHJ612" s="5" t="s">
        <v>3728</v>
      </c>
      <c r="MHK612" s="17">
        <v>44925</v>
      </c>
      <c r="MHL612" s="5" t="s">
        <v>3728</v>
      </c>
      <c r="MHM612" s="17">
        <v>44925</v>
      </c>
      <c r="MHN612" s="5" t="s">
        <v>3728</v>
      </c>
      <c r="MHO612" s="17">
        <v>44925</v>
      </c>
      <c r="MHP612" s="5" t="s">
        <v>3728</v>
      </c>
      <c r="MHQ612" s="17">
        <v>44925</v>
      </c>
      <c r="MHR612" s="5" t="s">
        <v>3728</v>
      </c>
      <c r="MHS612" s="17">
        <v>44925</v>
      </c>
      <c r="MHT612" s="5" t="s">
        <v>3728</v>
      </c>
      <c r="MHU612" s="17">
        <v>44925</v>
      </c>
      <c r="MHV612" s="5" t="s">
        <v>3728</v>
      </c>
      <c r="MHW612" s="17">
        <v>44925</v>
      </c>
      <c r="MHX612" s="5" t="s">
        <v>3728</v>
      </c>
      <c r="MHY612" s="17">
        <v>44925</v>
      </c>
      <c r="MHZ612" s="5" t="s">
        <v>3728</v>
      </c>
      <c r="MIA612" s="17">
        <v>44925</v>
      </c>
      <c r="MIB612" s="5" t="s">
        <v>3728</v>
      </c>
      <c r="MIC612" s="17">
        <v>44925</v>
      </c>
      <c r="MID612" s="5" t="s">
        <v>3728</v>
      </c>
      <c r="MIE612" s="17">
        <v>44925</v>
      </c>
      <c r="MIF612" s="5" t="s">
        <v>3728</v>
      </c>
      <c r="MIG612" s="17">
        <v>44925</v>
      </c>
      <c r="MIH612" s="5" t="s">
        <v>3728</v>
      </c>
      <c r="MII612" s="17">
        <v>44925</v>
      </c>
      <c r="MIJ612" s="5" t="s">
        <v>3728</v>
      </c>
      <c r="MIK612" s="17">
        <v>44925</v>
      </c>
      <c r="MIL612" s="5" t="s">
        <v>3728</v>
      </c>
      <c r="MIM612" s="17">
        <v>44925</v>
      </c>
      <c r="MIN612" s="5" t="s">
        <v>3728</v>
      </c>
      <c r="MIO612" s="17">
        <v>44925</v>
      </c>
      <c r="MIP612" s="5" t="s">
        <v>3728</v>
      </c>
      <c r="MIQ612" s="17">
        <v>44925</v>
      </c>
      <c r="MIR612" s="5" t="s">
        <v>3728</v>
      </c>
      <c r="MIS612" s="17">
        <v>44925</v>
      </c>
      <c r="MIT612" s="5" t="s">
        <v>3728</v>
      </c>
      <c r="MIU612" s="17">
        <v>44925</v>
      </c>
      <c r="MIV612" s="5" t="s">
        <v>3728</v>
      </c>
      <c r="MIW612" s="17">
        <v>44925</v>
      </c>
      <c r="MIX612" s="5" t="s">
        <v>3728</v>
      </c>
      <c r="MIY612" s="17">
        <v>44925</v>
      </c>
      <c r="MIZ612" s="5" t="s">
        <v>3728</v>
      </c>
      <c r="MJA612" s="17">
        <v>44925</v>
      </c>
      <c r="MJB612" s="5" t="s">
        <v>3728</v>
      </c>
      <c r="MJC612" s="17">
        <v>44925</v>
      </c>
      <c r="MJD612" s="5" t="s">
        <v>3728</v>
      </c>
      <c r="MJE612" s="17">
        <v>44925</v>
      </c>
      <c r="MJF612" s="5" t="s">
        <v>3728</v>
      </c>
      <c r="MJG612" s="17">
        <v>44925</v>
      </c>
      <c r="MJH612" s="5" t="s">
        <v>3728</v>
      </c>
      <c r="MJI612" s="17">
        <v>44925</v>
      </c>
      <c r="MJJ612" s="5" t="s">
        <v>3728</v>
      </c>
      <c r="MJK612" s="17">
        <v>44925</v>
      </c>
      <c r="MJL612" s="5" t="s">
        <v>3728</v>
      </c>
      <c r="MJM612" s="17">
        <v>44925</v>
      </c>
      <c r="MJN612" s="5" t="s">
        <v>3728</v>
      </c>
      <c r="MJO612" s="17">
        <v>44925</v>
      </c>
      <c r="MJP612" s="5" t="s">
        <v>3728</v>
      </c>
      <c r="MJQ612" s="17">
        <v>44925</v>
      </c>
      <c r="MJR612" s="5" t="s">
        <v>3728</v>
      </c>
      <c r="MJS612" s="17">
        <v>44925</v>
      </c>
      <c r="MJT612" s="5" t="s">
        <v>3728</v>
      </c>
      <c r="MJU612" s="17">
        <v>44925</v>
      </c>
      <c r="MJV612" s="5" t="s">
        <v>3728</v>
      </c>
      <c r="MJW612" s="17">
        <v>44925</v>
      </c>
      <c r="MJX612" s="5" t="s">
        <v>3728</v>
      </c>
      <c r="MJY612" s="17">
        <v>44925</v>
      </c>
      <c r="MJZ612" s="5" t="s">
        <v>3728</v>
      </c>
      <c r="MKA612" s="17">
        <v>44925</v>
      </c>
      <c r="MKB612" s="5" t="s">
        <v>3728</v>
      </c>
      <c r="MKC612" s="17">
        <v>44925</v>
      </c>
      <c r="MKD612" s="5" t="s">
        <v>3728</v>
      </c>
      <c r="MKE612" s="17">
        <v>44925</v>
      </c>
      <c r="MKF612" s="5" t="s">
        <v>3728</v>
      </c>
      <c r="MKG612" s="17">
        <v>44925</v>
      </c>
      <c r="MKH612" s="5" t="s">
        <v>3728</v>
      </c>
      <c r="MKI612" s="17">
        <v>44925</v>
      </c>
      <c r="MKJ612" s="5" t="s">
        <v>3728</v>
      </c>
      <c r="MKK612" s="17">
        <v>44925</v>
      </c>
      <c r="MKL612" s="5" t="s">
        <v>3728</v>
      </c>
      <c r="MKM612" s="17">
        <v>44925</v>
      </c>
      <c r="MKN612" s="5" t="s">
        <v>3728</v>
      </c>
      <c r="MKO612" s="17">
        <v>44925</v>
      </c>
      <c r="MKP612" s="5" t="s">
        <v>3728</v>
      </c>
      <c r="MKQ612" s="17">
        <v>44925</v>
      </c>
      <c r="MKR612" s="5" t="s">
        <v>3728</v>
      </c>
      <c r="MKS612" s="17">
        <v>44925</v>
      </c>
      <c r="MKT612" s="5" t="s">
        <v>3728</v>
      </c>
      <c r="MKU612" s="17">
        <v>44925</v>
      </c>
      <c r="MKV612" s="5" t="s">
        <v>3728</v>
      </c>
      <c r="MKW612" s="17">
        <v>44925</v>
      </c>
      <c r="MKX612" s="5" t="s">
        <v>3728</v>
      </c>
      <c r="MKY612" s="17">
        <v>44925</v>
      </c>
      <c r="MKZ612" s="5" t="s">
        <v>3728</v>
      </c>
      <c r="MLA612" s="17">
        <v>44925</v>
      </c>
      <c r="MLB612" s="5" t="s">
        <v>3728</v>
      </c>
      <c r="MLC612" s="17">
        <v>44925</v>
      </c>
      <c r="MLD612" s="5" t="s">
        <v>3728</v>
      </c>
      <c r="MLE612" s="17">
        <v>44925</v>
      </c>
      <c r="MLF612" s="5" t="s">
        <v>3728</v>
      </c>
      <c r="MLG612" s="17">
        <v>44925</v>
      </c>
      <c r="MLH612" s="5" t="s">
        <v>3728</v>
      </c>
      <c r="MLI612" s="17">
        <v>44925</v>
      </c>
      <c r="MLJ612" s="5" t="s">
        <v>3728</v>
      </c>
      <c r="MLK612" s="17">
        <v>44925</v>
      </c>
      <c r="MLL612" s="5" t="s">
        <v>3728</v>
      </c>
      <c r="MLM612" s="17">
        <v>44925</v>
      </c>
      <c r="MLN612" s="5" t="s">
        <v>3728</v>
      </c>
      <c r="MLO612" s="17">
        <v>44925</v>
      </c>
      <c r="MLP612" s="5" t="s">
        <v>3728</v>
      </c>
      <c r="MLQ612" s="17">
        <v>44925</v>
      </c>
      <c r="MLR612" s="5" t="s">
        <v>3728</v>
      </c>
      <c r="MLS612" s="17">
        <v>44925</v>
      </c>
      <c r="MLT612" s="5" t="s">
        <v>3728</v>
      </c>
      <c r="MLU612" s="17">
        <v>44925</v>
      </c>
      <c r="MLV612" s="5" t="s">
        <v>3728</v>
      </c>
      <c r="MLW612" s="17">
        <v>44925</v>
      </c>
      <c r="MLX612" s="5" t="s">
        <v>3728</v>
      </c>
      <c r="MLY612" s="17">
        <v>44925</v>
      </c>
      <c r="MLZ612" s="5" t="s">
        <v>3728</v>
      </c>
      <c r="MMA612" s="17">
        <v>44925</v>
      </c>
      <c r="MMB612" s="5" t="s">
        <v>3728</v>
      </c>
      <c r="MMC612" s="17">
        <v>44925</v>
      </c>
      <c r="MMD612" s="5" t="s">
        <v>3728</v>
      </c>
      <c r="MME612" s="17">
        <v>44925</v>
      </c>
      <c r="MMF612" s="5" t="s">
        <v>3728</v>
      </c>
      <c r="MMG612" s="17">
        <v>44925</v>
      </c>
      <c r="MMH612" s="5" t="s">
        <v>3728</v>
      </c>
      <c r="MMI612" s="17">
        <v>44925</v>
      </c>
      <c r="MMJ612" s="5" t="s">
        <v>3728</v>
      </c>
      <c r="MMK612" s="17">
        <v>44925</v>
      </c>
      <c r="MML612" s="5" t="s">
        <v>3728</v>
      </c>
      <c r="MMM612" s="17">
        <v>44925</v>
      </c>
      <c r="MMN612" s="5" t="s">
        <v>3728</v>
      </c>
      <c r="MMO612" s="17">
        <v>44925</v>
      </c>
      <c r="MMP612" s="5" t="s">
        <v>3728</v>
      </c>
      <c r="MMQ612" s="17">
        <v>44925</v>
      </c>
      <c r="MMR612" s="5" t="s">
        <v>3728</v>
      </c>
      <c r="MMS612" s="17">
        <v>44925</v>
      </c>
      <c r="MMT612" s="5" t="s">
        <v>3728</v>
      </c>
      <c r="MMU612" s="17">
        <v>44925</v>
      </c>
      <c r="MMV612" s="5" t="s">
        <v>3728</v>
      </c>
      <c r="MMW612" s="17">
        <v>44925</v>
      </c>
      <c r="MMX612" s="5" t="s">
        <v>3728</v>
      </c>
      <c r="MMY612" s="17">
        <v>44925</v>
      </c>
      <c r="MMZ612" s="5" t="s">
        <v>3728</v>
      </c>
      <c r="MNA612" s="17">
        <v>44925</v>
      </c>
      <c r="MNB612" s="5" t="s">
        <v>3728</v>
      </c>
      <c r="MNC612" s="17">
        <v>44925</v>
      </c>
      <c r="MND612" s="5" t="s">
        <v>3728</v>
      </c>
      <c r="MNE612" s="17">
        <v>44925</v>
      </c>
      <c r="MNF612" s="5" t="s">
        <v>3728</v>
      </c>
      <c r="MNG612" s="17">
        <v>44925</v>
      </c>
      <c r="MNH612" s="5" t="s">
        <v>3728</v>
      </c>
      <c r="MNI612" s="17">
        <v>44925</v>
      </c>
      <c r="MNJ612" s="5" t="s">
        <v>3728</v>
      </c>
      <c r="MNK612" s="17">
        <v>44925</v>
      </c>
      <c r="MNL612" s="5" t="s">
        <v>3728</v>
      </c>
      <c r="MNM612" s="17">
        <v>44925</v>
      </c>
      <c r="MNN612" s="5" t="s">
        <v>3728</v>
      </c>
      <c r="MNO612" s="17">
        <v>44925</v>
      </c>
      <c r="MNP612" s="5" t="s">
        <v>3728</v>
      </c>
      <c r="MNQ612" s="17">
        <v>44925</v>
      </c>
      <c r="MNR612" s="5" t="s">
        <v>3728</v>
      </c>
      <c r="MNS612" s="17">
        <v>44925</v>
      </c>
      <c r="MNT612" s="5" t="s">
        <v>3728</v>
      </c>
      <c r="MNU612" s="17">
        <v>44925</v>
      </c>
      <c r="MNV612" s="5" t="s">
        <v>3728</v>
      </c>
      <c r="MNW612" s="17">
        <v>44925</v>
      </c>
      <c r="MNX612" s="5" t="s">
        <v>3728</v>
      </c>
      <c r="MNY612" s="17">
        <v>44925</v>
      </c>
      <c r="MNZ612" s="5" t="s">
        <v>3728</v>
      </c>
      <c r="MOA612" s="17">
        <v>44925</v>
      </c>
      <c r="MOB612" s="5" t="s">
        <v>3728</v>
      </c>
      <c r="MOC612" s="17">
        <v>44925</v>
      </c>
      <c r="MOD612" s="5" t="s">
        <v>3728</v>
      </c>
      <c r="MOE612" s="17">
        <v>44925</v>
      </c>
      <c r="MOF612" s="5" t="s">
        <v>3728</v>
      </c>
      <c r="MOG612" s="17">
        <v>44925</v>
      </c>
      <c r="MOH612" s="5" t="s">
        <v>3728</v>
      </c>
      <c r="MOI612" s="17">
        <v>44925</v>
      </c>
      <c r="MOJ612" s="5" t="s">
        <v>3728</v>
      </c>
      <c r="MOK612" s="17">
        <v>44925</v>
      </c>
      <c r="MOL612" s="5" t="s">
        <v>3728</v>
      </c>
      <c r="MOM612" s="17">
        <v>44925</v>
      </c>
      <c r="MON612" s="5" t="s">
        <v>3728</v>
      </c>
      <c r="MOO612" s="17">
        <v>44925</v>
      </c>
      <c r="MOP612" s="5" t="s">
        <v>3728</v>
      </c>
      <c r="MOQ612" s="17">
        <v>44925</v>
      </c>
      <c r="MOR612" s="5" t="s">
        <v>3728</v>
      </c>
      <c r="MOS612" s="17">
        <v>44925</v>
      </c>
      <c r="MOT612" s="5" t="s">
        <v>3728</v>
      </c>
      <c r="MOU612" s="17">
        <v>44925</v>
      </c>
      <c r="MOV612" s="5" t="s">
        <v>3728</v>
      </c>
      <c r="MOW612" s="17">
        <v>44925</v>
      </c>
      <c r="MOX612" s="5" t="s">
        <v>3728</v>
      </c>
      <c r="MOY612" s="17">
        <v>44925</v>
      </c>
      <c r="MOZ612" s="5" t="s">
        <v>3728</v>
      </c>
      <c r="MPA612" s="17">
        <v>44925</v>
      </c>
      <c r="MPB612" s="5" t="s">
        <v>3728</v>
      </c>
      <c r="MPC612" s="17">
        <v>44925</v>
      </c>
      <c r="MPD612" s="5" t="s">
        <v>3728</v>
      </c>
      <c r="MPE612" s="17">
        <v>44925</v>
      </c>
      <c r="MPF612" s="5" t="s">
        <v>3728</v>
      </c>
      <c r="MPG612" s="17">
        <v>44925</v>
      </c>
      <c r="MPH612" s="5" t="s">
        <v>3728</v>
      </c>
      <c r="MPI612" s="17">
        <v>44925</v>
      </c>
      <c r="MPJ612" s="5" t="s">
        <v>3728</v>
      </c>
      <c r="MPK612" s="17">
        <v>44925</v>
      </c>
      <c r="MPL612" s="5" t="s">
        <v>3728</v>
      </c>
      <c r="MPM612" s="17">
        <v>44925</v>
      </c>
      <c r="MPN612" s="5" t="s">
        <v>3728</v>
      </c>
      <c r="MPO612" s="17">
        <v>44925</v>
      </c>
      <c r="MPP612" s="5" t="s">
        <v>3728</v>
      </c>
      <c r="MPQ612" s="17">
        <v>44925</v>
      </c>
      <c r="MPR612" s="5" t="s">
        <v>3728</v>
      </c>
      <c r="MPS612" s="17">
        <v>44925</v>
      </c>
      <c r="MPT612" s="5" t="s">
        <v>3728</v>
      </c>
      <c r="MPU612" s="17">
        <v>44925</v>
      </c>
      <c r="MPV612" s="5" t="s">
        <v>3728</v>
      </c>
      <c r="MPW612" s="17">
        <v>44925</v>
      </c>
      <c r="MPX612" s="5" t="s">
        <v>3728</v>
      </c>
      <c r="MPY612" s="17">
        <v>44925</v>
      </c>
      <c r="MPZ612" s="5" t="s">
        <v>3728</v>
      </c>
      <c r="MQA612" s="17">
        <v>44925</v>
      </c>
      <c r="MQB612" s="5" t="s">
        <v>3728</v>
      </c>
      <c r="MQC612" s="17">
        <v>44925</v>
      </c>
      <c r="MQD612" s="5" t="s">
        <v>3728</v>
      </c>
      <c r="MQE612" s="17">
        <v>44925</v>
      </c>
      <c r="MQF612" s="5" t="s">
        <v>3728</v>
      </c>
      <c r="MQG612" s="17">
        <v>44925</v>
      </c>
      <c r="MQH612" s="5" t="s">
        <v>3728</v>
      </c>
      <c r="MQI612" s="17">
        <v>44925</v>
      </c>
      <c r="MQJ612" s="5" t="s">
        <v>3728</v>
      </c>
      <c r="MQK612" s="17">
        <v>44925</v>
      </c>
      <c r="MQL612" s="5" t="s">
        <v>3728</v>
      </c>
      <c r="MQM612" s="17">
        <v>44925</v>
      </c>
      <c r="MQN612" s="5" t="s">
        <v>3728</v>
      </c>
      <c r="MQO612" s="17">
        <v>44925</v>
      </c>
      <c r="MQP612" s="5" t="s">
        <v>3728</v>
      </c>
      <c r="MQQ612" s="17">
        <v>44925</v>
      </c>
      <c r="MQR612" s="5" t="s">
        <v>3728</v>
      </c>
      <c r="MQS612" s="17">
        <v>44925</v>
      </c>
      <c r="MQT612" s="5" t="s">
        <v>3728</v>
      </c>
      <c r="MQU612" s="17">
        <v>44925</v>
      </c>
      <c r="MQV612" s="5" t="s">
        <v>3728</v>
      </c>
      <c r="MQW612" s="17">
        <v>44925</v>
      </c>
      <c r="MQX612" s="5" t="s">
        <v>3728</v>
      </c>
      <c r="MQY612" s="17">
        <v>44925</v>
      </c>
      <c r="MQZ612" s="5" t="s">
        <v>3728</v>
      </c>
      <c r="MRA612" s="17">
        <v>44925</v>
      </c>
      <c r="MRB612" s="5" t="s">
        <v>3728</v>
      </c>
      <c r="MRC612" s="17">
        <v>44925</v>
      </c>
      <c r="MRD612" s="5" t="s">
        <v>3728</v>
      </c>
      <c r="MRE612" s="17">
        <v>44925</v>
      </c>
      <c r="MRF612" s="5" t="s">
        <v>3728</v>
      </c>
      <c r="MRG612" s="17">
        <v>44925</v>
      </c>
      <c r="MRH612" s="5" t="s">
        <v>3728</v>
      </c>
      <c r="MRI612" s="17">
        <v>44925</v>
      </c>
      <c r="MRJ612" s="5" t="s">
        <v>3728</v>
      </c>
      <c r="MRK612" s="17">
        <v>44925</v>
      </c>
      <c r="MRL612" s="5" t="s">
        <v>3728</v>
      </c>
      <c r="MRM612" s="17">
        <v>44925</v>
      </c>
      <c r="MRN612" s="5" t="s">
        <v>3728</v>
      </c>
      <c r="MRO612" s="17">
        <v>44925</v>
      </c>
      <c r="MRP612" s="5" t="s">
        <v>3728</v>
      </c>
      <c r="MRQ612" s="17">
        <v>44925</v>
      </c>
      <c r="MRR612" s="5" t="s">
        <v>3728</v>
      </c>
      <c r="MRS612" s="17">
        <v>44925</v>
      </c>
      <c r="MRT612" s="5" t="s">
        <v>3728</v>
      </c>
      <c r="MRU612" s="17">
        <v>44925</v>
      </c>
      <c r="MRV612" s="5" t="s">
        <v>3728</v>
      </c>
      <c r="MRW612" s="17">
        <v>44925</v>
      </c>
      <c r="MRX612" s="5" t="s">
        <v>3728</v>
      </c>
      <c r="MRY612" s="17">
        <v>44925</v>
      </c>
      <c r="MRZ612" s="5" t="s">
        <v>3728</v>
      </c>
      <c r="MSA612" s="17">
        <v>44925</v>
      </c>
      <c r="MSB612" s="5" t="s">
        <v>3728</v>
      </c>
      <c r="MSC612" s="17">
        <v>44925</v>
      </c>
      <c r="MSD612" s="5" t="s">
        <v>3728</v>
      </c>
      <c r="MSE612" s="17">
        <v>44925</v>
      </c>
      <c r="MSF612" s="5" t="s">
        <v>3728</v>
      </c>
      <c r="MSG612" s="17">
        <v>44925</v>
      </c>
      <c r="MSH612" s="5" t="s">
        <v>3728</v>
      </c>
      <c r="MSI612" s="17">
        <v>44925</v>
      </c>
      <c r="MSJ612" s="5" t="s">
        <v>3728</v>
      </c>
      <c r="MSK612" s="17">
        <v>44925</v>
      </c>
      <c r="MSL612" s="5" t="s">
        <v>3728</v>
      </c>
      <c r="MSM612" s="17">
        <v>44925</v>
      </c>
      <c r="MSN612" s="5" t="s">
        <v>3728</v>
      </c>
      <c r="MSO612" s="17">
        <v>44925</v>
      </c>
      <c r="MSP612" s="5" t="s">
        <v>3728</v>
      </c>
      <c r="MSQ612" s="17">
        <v>44925</v>
      </c>
      <c r="MSR612" s="5" t="s">
        <v>3728</v>
      </c>
      <c r="MSS612" s="17">
        <v>44925</v>
      </c>
      <c r="MST612" s="5" t="s">
        <v>3728</v>
      </c>
      <c r="MSU612" s="17">
        <v>44925</v>
      </c>
      <c r="MSV612" s="5" t="s">
        <v>3728</v>
      </c>
      <c r="MSW612" s="17">
        <v>44925</v>
      </c>
      <c r="MSX612" s="5" t="s">
        <v>3728</v>
      </c>
      <c r="MSY612" s="17">
        <v>44925</v>
      </c>
      <c r="MSZ612" s="5" t="s">
        <v>3728</v>
      </c>
      <c r="MTA612" s="17">
        <v>44925</v>
      </c>
      <c r="MTB612" s="5" t="s">
        <v>3728</v>
      </c>
      <c r="MTC612" s="17">
        <v>44925</v>
      </c>
      <c r="MTD612" s="5" t="s">
        <v>3728</v>
      </c>
      <c r="MTE612" s="17">
        <v>44925</v>
      </c>
      <c r="MTF612" s="5" t="s">
        <v>3728</v>
      </c>
      <c r="MTG612" s="17">
        <v>44925</v>
      </c>
      <c r="MTH612" s="5" t="s">
        <v>3728</v>
      </c>
      <c r="MTI612" s="17">
        <v>44925</v>
      </c>
      <c r="MTJ612" s="5" t="s">
        <v>3728</v>
      </c>
      <c r="MTK612" s="17">
        <v>44925</v>
      </c>
      <c r="MTL612" s="5" t="s">
        <v>3728</v>
      </c>
      <c r="MTM612" s="17">
        <v>44925</v>
      </c>
      <c r="MTN612" s="5" t="s">
        <v>3728</v>
      </c>
      <c r="MTO612" s="17">
        <v>44925</v>
      </c>
      <c r="MTP612" s="5" t="s">
        <v>3728</v>
      </c>
      <c r="MTQ612" s="17">
        <v>44925</v>
      </c>
      <c r="MTR612" s="5" t="s">
        <v>3728</v>
      </c>
      <c r="MTS612" s="17">
        <v>44925</v>
      </c>
      <c r="MTT612" s="5" t="s">
        <v>3728</v>
      </c>
      <c r="MTU612" s="17">
        <v>44925</v>
      </c>
      <c r="MTV612" s="5" t="s">
        <v>3728</v>
      </c>
      <c r="MTW612" s="17">
        <v>44925</v>
      </c>
      <c r="MTX612" s="5" t="s">
        <v>3728</v>
      </c>
      <c r="MTY612" s="17">
        <v>44925</v>
      </c>
      <c r="MTZ612" s="5" t="s">
        <v>3728</v>
      </c>
      <c r="MUA612" s="17">
        <v>44925</v>
      </c>
      <c r="MUB612" s="5" t="s">
        <v>3728</v>
      </c>
      <c r="MUC612" s="17">
        <v>44925</v>
      </c>
      <c r="MUD612" s="5" t="s">
        <v>3728</v>
      </c>
      <c r="MUE612" s="17">
        <v>44925</v>
      </c>
      <c r="MUF612" s="5" t="s">
        <v>3728</v>
      </c>
      <c r="MUG612" s="17">
        <v>44925</v>
      </c>
      <c r="MUH612" s="5" t="s">
        <v>3728</v>
      </c>
      <c r="MUI612" s="17">
        <v>44925</v>
      </c>
      <c r="MUJ612" s="5" t="s">
        <v>3728</v>
      </c>
      <c r="MUK612" s="17">
        <v>44925</v>
      </c>
      <c r="MUL612" s="5" t="s">
        <v>3728</v>
      </c>
      <c r="MUM612" s="17">
        <v>44925</v>
      </c>
      <c r="MUN612" s="5" t="s">
        <v>3728</v>
      </c>
      <c r="MUO612" s="17">
        <v>44925</v>
      </c>
      <c r="MUP612" s="5" t="s">
        <v>3728</v>
      </c>
      <c r="MUQ612" s="17">
        <v>44925</v>
      </c>
      <c r="MUR612" s="5" t="s">
        <v>3728</v>
      </c>
      <c r="MUS612" s="17">
        <v>44925</v>
      </c>
      <c r="MUT612" s="5" t="s">
        <v>3728</v>
      </c>
      <c r="MUU612" s="17">
        <v>44925</v>
      </c>
      <c r="MUV612" s="5" t="s">
        <v>3728</v>
      </c>
      <c r="MUW612" s="17">
        <v>44925</v>
      </c>
      <c r="MUX612" s="5" t="s">
        <v>3728</v>
      </c>
      <c r="MUY612" s="17">
        <v>44925</v>
      </c>
      <c r="MUZ612" s="5" t="s">
        <v>3728</v>
      </c>
      <c r="MVA612" s="17">
        <v>44925</v>
      </c>
      <c r="MVB612" s="5" t="s">
        <v>3728</v>
      </c>
      <c r="MVC612" s="17">
        <v>44925</v>
      </c>
      <c r="MVD612" s="5" t="s">
        <v>3728</v>
      </c>
      <c r="MVE612" s="17">
        <v>44925</v>
      </c>
      <c r="MVF612" s="5" t="s">
        <v>3728</v>
      </c>
      <c r="MVG612" s="17">
        <v>44925</v>
      </c>
      <c r="MVH612" s="5" t="s">
        <v>3728</v>
      </c>
      <c r="MVI612" s="17">
        <v>44925</v>
      </c>
      <c r="MVJ612" s="5" t="s">
        <v>3728</v>
      </c>
      <c r="MVK612" s="17">
        <v>44925</v>
      </c>
      <c r="MVL612" s="5" t="s">
        <v>3728</v>
      </c>
      <c r="MVM612" s="17">
        <v>44925</v>
      </c>
      <c r="MVN612" s="5" t="s">
        <v>3728</v>
      </c>
      <c r="MVO612" s="17">
        <v>44925</v>
      </c>
      <c r="MVP612" s="5" t="s">
        <v>3728</v>
      </c>
      <c r="MVQ612" s="17">
        <v>44925</v>
      </c>
      <c r="MVR612" s="5" t="s">
        <v>3728</v>
      </c>
      <c r="MVS612" s="17">
        <v>44925</v>
      </c>
      <c r="MVT612" s="5" t="s">
        <v>3728</v>
      </c>
      <c r="MVU612" s="17">
        <v>44925</v>
      </c>
      <c r="MVV612" s="5" t="s">
        <v>3728</v>
      </c>
      <c r="MVW612" s="17">
        <v>44925</v>
      </c>
      <c r="MVX612" s="5" t="s">
        <v>3728</v>
      </c>
      <c r="MVY612" s="17">
        <v>44925</v>
      </c>
      <c r="MVZ612" s="5" t="s">
        <v>3728</v>
      </c>
      <c r="MWA612" s="17">
        <v>44925</v>
      </c>
      <c r="MWB612" s="5" t="s">
        <v>3728</v>
      </c>
      <c r="MWC612" s="17">
        <v>44925</v>
      </c>
      <c r="MWD612" s="5" t="s">
        <v>3728</v>
      </c>
      <c r="MWE612" s="17">
        <v>44925</v>
      </c>
      <c r="MWF612" s="5" t="s">
        <v>3728</v>
      </c>
      <c r="MWG612" s="17">
        <v>44925</v>
      </c>
      <c r="MWH612" s="5" t="s">
        <v>3728</v>
      </c>
      <c r="MWI612" s="17">
        <v>44925</v>
      </c>
      <c r="MWJ612" s="5" t="s">
        <v>3728</v>
      </c>
      <c r="MWK612" s="17">
        <v>44925</v>
      </c>
      <c r="MWL612" s="5" t="s">
        <v>3728</v>
      </c>
      <c r="MWM612" s="17">
        <v>44925</v>
      </c>
      <c r="MWN612" s="5" t="s">
        <v>3728</v>
      </c>
      <c r="MWO612" s="17">
        <v>44925</v>
      </c>
      <c r="MWP612" s="5" t="s">
        <v>3728</v>
      </c>
      <c r="MWQ612" s="17">
        <v>44925</v>
      </c>
      <c r="MWR612" s="5" t="s">
        <v>3728</v>
      </c>
      <c r="MWS612" s="17">
        <v>44925</v>
      </c>
      <c r="MWT612" s="5" t="s">
        <v>3728</v>
      </c>
      <c r="MWU612" s="17">
        <v>44925</v>
      </c>
      <c r="MWV612" s="5" t="s">
        <v>3728</v>
      </c>
      <c r="MWW612" s="17">
        <v>44925</v>
      </c>
      <c r="MWX612" s="5" t="s">
        <v>3728</v>
      </c>
      <c r="MWY612" s="17">
        <v>44925</v>
      </c>
      <c r="MWZ612" s="5" t="s">
        <v>3728</v>
      </c>
      <c r="MXA612" s="17">
        <v>44925</v>
      </c>
      <c r="MXB612" s="5" t="s">
        <v>3728</v>
      </c>
      <c r="MXC612" s="17">
        <v>44925</v>
      </c>
      <c r="MXD612" s="5" t="s">
        <v>3728</v>
      </c>
      <c r="MXE612" s="17">
        <v>44925</v>
      </c>
      <c r="MXF612" s="5" t="s">
        <v>3728</v>
      </c>
      <c r="MXG612" s="17">
        <v>44925</v>
      </c>
      <c r="MXH612" s="5" t="s">
        <v>3728</v>
      </c>
      <c r="MXI612" s="17">
        <v>44925</v>
      </c>
      <c r="MXJ612" s="5" t="s">
        <v>3728</v>
      </c>
      <c r="MXK612" s="17">
        <v>44925</v>
      </c>
      <c r="MXL612" s="5" t="s">
        <v>3728</v>
      </c>
      <c r="MXM612" s="17">
        <v>44925</v>
      </c>
      <c r="MXN612" s="5" t="s">
        <v>3728</v>
      </c>
      <c r="MXO612" s="17">
        <v>44925</v>
      </c>
      <c r="MXP612" s="5" t="s">
        <v>3728</v>
      </c>
      <c r="MXQ612" s="17">
        <v>44925</v>
      </c>
      <c r="MXR612" s="5" t="s">
        <v>3728</v>
      </c>
      <c r="MXS612" s="17">
        <v>44925</v>
      </c>
      <c r="MXT612" s="5" t="s">
        <v>3728</v>
      </c>
      <c r="MXU612" s="17">
        <v>44925</v>
      </c>
      <c r="MXV612" s="5" t="s">
        <v>3728</v>
      </c>
      <c r="MXW612" s="17">
        <v>44925</v>
      </c>
      <c r="MXX612" s="5" t="s">
        <v>3728</v>
      </c>
      <c r="MXY612" s="17">
        <v>44925</v>
      </c>
      <c r="MXZ612" s="5" t="s">
        <v>3728</v>
      </c>
      <c r="MYA612" s="17">
        <v>44925</v>
      </c>
      <c r="MYB612" s="5" t="s">
        <v>3728</v>
      </c>
      <c r="MYC612" s="17">
        <v>44925</v>
      </c>
      <c r="MYD612" s="5" t="s">
        <v>3728</v>
      </c>
      <c r="MYE612" s="17">
        <v>44925</v>
      </c>
      <c r="MYF612" s="5" t="s">
        <v>3728</v>
      </c>
      <c r="MYG612" s="17">
        <v>44925</v>
      </c>
      <c r="MYH612" s="5" t="s">
        <v>3728</v>
      </c>
      <c r="MYI612" s="17">
        <v>44925</v>
      </c>
      <c r="MYJ612" s="5" t="s">
        <v>3728</v>
      </c>
      <c r="MYK612" s="17">
        <v>44925</v>
      </c>
      <c r="MYL612" s="5" t="s">
        <v>3728</v>
      </c>
      <c r="MYM612" s="17">
        <v>44925</v>
      </c>
      <c r="MYN612" s="5" t="s">
        <v>3728</v>
      </c>
      <c r="MYO612" s="17">
        <v>44925</v>
      </c>
      <c r="MYP612" s="5" t="s">
        <v>3728</v>
      </c>
      <c r="MYQ612" s="17">
        <v>44925</v>
      </c>
      <c r="MYR612" s="5" t="s">
        <v>3728</v>
      </c>
      <c r="MYS612" s="17">
        <v>44925</v>
      </c>
      <c r="MYT612" s="5" t="s">
        <v>3728</v>
      </c>
      <c r="MYU612" s="17">
        <v>44925</v>
      </c>
      <c r="MYV612" s="5" t="s">
        <v>3728</v>
      </c>
      <c r="MYW612" s="17">
        <v>44925</v>
      </c>
      <c r="MYX612" s="5" t="s">
        <v>3728</v>
      </c>
      <c r="MYY612" s="17">
        <v>44925</v>
      </c>
      <c r="MYZ612" s="5" t="s">
        <v>3728</v>
      </c>
      <c r="MZA612" s="17">
        <v>44925</v>
      </c>
      <c r="MZB612" s="5" t="s">
        <v>3728</v>
      </c>
      <c r="MZC612" s="17">
        <v>44925</v>
      </c>
      <c r="MZD612" s="5" t="s">
        <v>3728</v>
      </c>
      <c r="MZE612" s="17">
        <v>44925</v>
      </c>
      <c r="MZF612" s="5" t="s">
        <v>3728</v>
      </c>
      <c r="MZG612" s="17">
        <v>44925</v>
      </c>
      <c r="MZH612" s="5" t="s">
        <v>3728</v>
      </c>
      <c r="MZI612" s="17">
        <v>44925</v>
      </c>
      <c r="MZJ612" s="5" t="s">
        <v>3728</v>
      </c>
      <c r="MZK612" s="17">
        <v>44925</v>
      </c>
      <c r="MZL612" s="5" t="s">
        <v>3728</v>
      </c>
      <c r="MZM612" s="17">
        <v>44925</v>
      </c>
      <c r="MZN612" s="5" t="s">
        <v>3728</v>
      </c>
      <c r="MZO612" s="17">
        <v>44925</v>
      </c>
      <c r="MZP612" s="5" t="s">
        <v>3728</v>
      </c>
      <c r="MZQ612" s="17">
        <v>44925</v>
      </c>
      <c r="MZR612" s="5" t="s">
        <v>3728</v>
      </c>
      <c r="MZS612" s="17">
        <v>44925</v>
      </c>
      <c r="MZT612" s="5" t="s">
        <v>3728</v>
      </c>
      <c r="MZU612" s="17">
        <v>44925</v>
      </c>
      <c r="MZV612" s="5" t="s">
        <v>3728</v>
      </c>
      <c r="MZW612" s="17">
        <v>44925</v>
      </c>
      <c r="MZX612" s="5" t="s">
        <v>3728</v>
      </c>
      <c r="MZY612" s="17">
        <v>44925</v>
      </c>
      <c r="MZZ612" s="5" t="s">
        <v>3728</v>
      </c>
      <c r="NAA612" s="17">
        <v>44925</v>
      </c>
      <c r="NAB612" s="5" t="s">
        <v>3728</v>
      </c>
      <c r="NAC612" s="17">
        <v>44925</v>
      </c>
      <c r="NAD612" s="5" t="s">
        <v>3728</v>
      </c>
      <c r="NAE612" s="17">
        <v>44925</v>
      </c>
      <c r="NAF612" s="5" t="s">
        <v>3728</v>
      </c>
      <c r="NAG612" s="17">
        <v>44925</v>
      </c>
      <c r="NAH612" s="5" t="s">
        <v>3728</v>
      </c>
      <c r="NAI612" s="17">
        <v>44925</v>
      </c>
      <c r="NAJ612" s="5" t="s">
        <v>3728</v>
      </c>
      <c r="NAK612" s="17">
        <v>44925</v>
      </c>
      <c r="NAL612" s="5" t="s">
        <v>3728</v>
      </c>
      <c r="NAM612" s="17">
        <v>44925</v>
      </c>
      <c r="NAN612" s="5" t="s">
        <v>3728</v>
      </c>
      <c r="NAO612" s="17">
        <v>44925</v>
      </c>
      <c r="NAP612" s="5" t="s">
        <v>3728</v>
      </c>
      <c r="NAQ612" s="17">
        <v>44925</v>
      </c>
      <c r="NAR612" s="5" t="s">
        <v>3728</v>
      </c>
      <c r="NAS612" s="17">
        <v>44925</v>
      </c>
      <c r="NAT612" s="5" t="s">
        <v>3728</v>
      </c>
      <c r="NAU612" s="17">
        <v>44925</v>
      </c>
      <c r="NAV612" s="5" t="s">
        <v>3728</v>
      </c>
      <c r="NAW612" s="17">
        <v>44925</v>
      </c>
      <c r="NAX612" s="5" t="s">
        <v>3728</v>
      </c>
      <c r="NAY612" s="17">
        <v>44925</v>
      </c>
      <c r="NAZ612" s="5" t="s">
        <v>3728</v>
      </c>
      <c r="NBA612" s="17">
        <v>44925</v>
      </c>
      <c r="NBB612" s="5" t="s">
        <v>3728</v>
      </c>
      <c r="NBC612" s="17">
        <v>44925</v>
      </c>
      <c r="NBD612" s="5" t="s">
        <v>3728</v>
      </c>
      <c r="NBE612" s="17">
        <v>44925</v>
      </c>
      <c r="NBF612" s="5" t="s">
        <v>3728</v>
      </c>
      <c r="NBG612" s="17">
        <v>44925</v>
      </c>
      <c r="NBH612" s="5" t="s">
        <v>3728</v>
      </c>
      <c r="NBI612" s="17">
        <v>44925</v>
      </c>
      <c r="NBJ612" s="5" t="s">
        <v>3728</v>
      </c>
      <c r="NBK612" s="17">
        <v>44925</v>
      </c>
      <c r="NBL612" s="5" t="s">
        <v>3728</v>
      </c>
      <c r="NBM612" s="17">
        <v>44925</v>
      </c>
      <c r="NBN612" s="5" t="s">
        <v>3728</v>
      </c>
      <c r="NBO612" s="17">
        <v>44925</v>
      </c>
      <c r="NBP612" s="5" t="s">
        <v>3728</v>
      </c>
      <c r="NBQ612" s="17">
        <v>44925</v>
      </c>
      <c r="NBR612" s="5" t="s">
        <v>3728</v>
      </c>
      <c r="NBS612" s="17">
        <v>44925</v>
      </c>
      <c r="NBT612" s="5" t="s">
        <v>3728</v>
      </c>
      <c r="NBU612" s="17">
        <v>44925</v>
      </c>
      <c r="NBV612" s="5" t="s">
        <v>3728</v>
      </c>
      <c r="NBW612" s="17">
        <v>44925</v>
      </c>
      <c r="NBX612" s="5" t="s">
        <v>3728</v>
      </c>
      <c r="NBY612" s="17">
        <v>44925</v>
      </c>
      <c r="NBZ612" s="5" t="s">
        <v>3728</v>
      </c>
      <c r="NCA612" s="17">
        <v>44925</v>
      </c>
      <c r="NCB612" s="5" t="s">
        <v>3728</v>
      </c>
      <c r="NCC612" s="17">
        <v>44925</v>
      </c>
      <c r="NCD612" s="5" t="s">
        <v>3728</v>
      </c>
      <c r="NCE612" s="17">
        <v>44925</v>
      </c>
      <c r="NCF612" s="5" t="s">
        <v>3728</v>
      </c>
      <c r="NCG612" s="17">
        <v>44925</v>
      </c>
      <c r="NCH612" s="5" t="s">
        <v>3728</v>
      </c>
      <c r="NCI612" s="17">
        <v>44925</v>
      </c>
      <c r="NCJ612" s="5" t="s">
        <v>3728</v>
      </c>
      <c r="NCK612" s="17">
        <v>44925</v>
      </c>
      <c r="NCL612" s="5" t="s">
        <v>3728</v>
      </c>
      <c r="NCM612" s="17">
        <v>44925</v>
      </c>
      <c r="NCN612" s="5" t="s">
        <v>3728</v>
      </c>
      <c r="NCO612" s="17">
        <v>44925</v>
      </c>
      <c r="NCP612" s="5" t="s">
        <v>3728</v>
      </c>
      <c r="NCQ612" s="17">
        <v>44925</v>
      </c>
      <c r="NCR612" s="5" t="s">
        <v>3728</v>
      </c>
      <c r="NCS612" s="17">
        <v>44925</v>
      </c>
      <c r="NCT612" s="5" t="s">
        <v>3728</v>
      </c>
      <c r="NCU612" s="17">
        <v>44925</v>
      </c>
      <c r="NCV612" s="5" t="s">
        <v>3728</v>
      </c>
      <c r="NCW612" s="17">
        <v>44925</v>
      </c>
      <c r="NCX612" s="5" t="s">
        <v>3728</v>
      </c>
      <c r="NCY612" s="17">
        <v>44925</v>
      </c>
      <c r="NCZ612" s="5" t="s">
        <v>3728</v>
      </c>
      <c r="NDA612" s="17">
        <v>44925</v>
      </c>
      <c r="NDB612" s="5" t="s">
        <v>3728</v>
      </c>
      <c r="NDC612" s="17">
        <v>44925</v>
      </c>
      <c r="NDD612" s="5" t="s">
        <v>3728</v>
      </c>
      <c r="NDE612" s="17">
        <v>44925</v>
      </c>
      <c r="NDF612" s="5" t="s">
        <v>3728</v>
      </c>
      <c r="NDG612" s="17">
        <v>44925</v>
      </c>
      <c r="NDH612" s="5" t="s">
        <v>3728</v>
      </c>
      <c r="NDI612" s="17">
        <v>44925</v>
      </c>
      <c r="NDJ612" s="5" t="s">
        <v>3728</v>
      </c>
      <c r="NDK612" s="17">
        <v>44925</v>
      </c>
      <c r="NDL612" s="5" t="s">
        <v>3728</v>
      </c>
      <c r="NDM612" s="17">
        <v>44925</v>
      </c>
      <c r="NDN612" s="5" t="s">
        <v>3728</v>
      </c>
      <c r="NDO612" s="17">
        <v>44925</v>
      </c>
      <c r="NDP612" s="5" t="s">
        <v>3728</v>
      </c>
      <c r="NDQ612" s="17">
        <v>44925</v>
      </c>
      <c r="NDR612" s="5" t="s">
        <v>3728</v>
      </c>
      <c r="NDS612" s="17">
        <v>44925</v>
      </c>
      <c r="NDT612" s="5" t="s">
        <v>3728</v>
      </c>
      <c r="NDU612" s="17">
        <v>44925</v>
      </c>
      <c r="NDV612" s="5" t="s">
        <v>3728</v>
      </c>
      <c r="NDW612" s="17">
        <v>44925</v>
      </c>
      <c r="NDX612" s="5" t="s">
        <v>3728</v>
      </c>
      <c r="NDY612" s="17">
        <v>44925</v>
      </c>
      <c r="NDZ612" s="5" t="s">
        <v>3728</v>
      </c>
      <c r="NEA612" s="17">
        <v>44925</v>
      </c>
      <c r="NEB612" s="5" t="s">
        <v>3728</v>
      </c>
      <c r="NEC612" s="17">
        <v>44925</v>
      </c>
      <c r="NED612" s="5" t="s">
        <v>3728</v>
      </c>
      <c r="NEE612" s="17">
        <v>44925</v>
      </c>
      <c r="NEF612" s="5" t="s">
        <v>3728</v>
      </c>
      <c r="NEG612" s="17">
        <v>44925</v>
      </c>
      <c r="NEH612" s="5" t="s">
        <v>3728</v>
      </c>
      <c r="NEI612" s="17">
        <v>44925</v>
      </c>
      <c r="NEJ612" s="5" t="s">
        <v>3728</v>
      </c>
      <c r="NEK612" s="17">
        <v>44925</v>
      </c>
      <c r="NEL612" s="5" t="s">
        <v>3728</v>
      </c>
      <c r="NEM612" s="17">
        <v>44925</v>
      </c>
      <c r="NEN612" s="5" t="s">
        <v>3728</v>
      </c>
      <c r="NEO612" s="17">
        <v>44925</v>
      </c>
      <c r="NEP612" s="5" t="s">
        <v>3728</v>
      </c>
      <c r="NEQ612" s="17">
        <v>44925</v>
      </c>
      <c r="NER612" s="5" t="s">
        <v>3728</v>
      </c>
      <c r="NES612" s="17">
        <v>44925</v>
      </c>
      <c r="NET612" s="5" t="s">
        <v>3728</v>
      </c>
      <c r="NEU612" s="17">
        <v>44925</v>
      </c>
      <c r="NEV612" s="5" t="s">
        <v>3728</v>
      </c>
      <c r="NEW612" s="17">
        <v>44925</v>
      </c>
      <c r="NEX612" s="5" t="s">
        <v>3728</v>
      </c>
      <c r="NEY612" s="17">
        <v>44925</v>
      </c>
      <c r="NEZ612" s="5" t="s">
        <v>3728</v>
      </c>
      <c r="NFA612" s="17">
        <v>44925</v>
      </c>
      <c r="NFB612" s="5" t="s">
        <v>3728</v>
      </c>
      <c r="NFC612" s="17">
        <v>44925</v>
      </c>
      <c r="NFD612" s="5" t="s">
        <v>3728</v>
      </c>
      <c r="NFE612" s="17">
        <v>44925</v>
      </c>
      <c r="NFF612" s="5" t="s">
        <v>3728</v>
      </c>
      <c r="NFG612" s="17">
        <v>44925</v>
      </c>
      <c r="NFH612" s="5" t="s">
        <v>3728</v>
      </c>
      <c r="NFI612" s="17">
        <v>44925</v>
      </c>
      <c r="NFJ612" s="5" t="s">
        <v>3728</v>
      </c>
      <c r="NFK612" s="17">
        <v>44925</v>
      </c>
      <c r="NFL612" s="5" t="s">
        <v>3728</v>
      </c>
      <c r="NFM612" s="17">
        <v>44925</v>
      </c>
      <c r="NFN612" s="5" t="s">
        <v>3728</v>
      </c>
      <c r="NFO612" s="17">
        <v>44925</v>
      </c>
      <c r="NFP612" s="5" t="s">
        <v>3728</v>
      </c>
      <c r="NFQ612" s="17">
        <v>44925</v>
      </c>
      <c r="NFR612" s="5" t="s">
        <v>3728</v>
      </c>
      <c r="NFS612" s="17">
        <v>44925</v>
      </c>
      <c r="NFT612" s="5" t="s">
        <v>3728</v>
      </c>
      <c r="NFU612" s="17">
        <v>44925</v>
      </c>
      <c r="NFV612" s="5" t="s">
        <v>3728</v>
      </c>
      <c r="NFW612" s="17">
        <v>44925</v>
      </c>
      <c r="NFX612" s="5" t="s">
        <v>3728</v>
      </c>
      <c r="NFY612" s="17">
        <v>44925</v>
      </c>
      <c r="NFZ612" s="5" t="s">
        <v>3728</v>
      </c>
      <c r="NGA612" s="17">
        <v>44925</v>
      </c>
      <c r="NGB612" s="5" t="s">
        <v>3728</v>
      </c>
      <c r="NGC612" s="17">
        <v>44925</v>
      </c>
      <c r="NGD612" s="5" t="s">
        <v>3728</v>
      </c>
      <c r="NGE612" s="17">
        <v>44925</v>
      </c>
      <c r="NGF612" s="5" t="s">
        <v>3728</v>
      </c>
      <c r="NGG612" s="17">
        <v>44925</v>
      </c>
      <c r="NGH612" s="5" t="s">
        <v>3728</v>
      </c>
      <c r="NGI612" s="17">
        <v>44925</v>
      </c>
      <c r="NGJ612" s="5" t="s">
        <v>3728</v>
      </c>
      <c r="NGK612" s="17">
        <v>44925</v>
      </c>
      <c r="NGL612" s="5" t="s">
        <v>3728</v>
      </c>
      <c r="NGM612" s="17">
        <v>44925</v>
      </c>
      <c r="NGN612" s="5" t="s">
        <v>3728</v>
      </c>
      <c r="NGO612" s="17">
        <v>44925</v>
      </c>
      <c r="NGP612" s="5" t="s">
        <v>3728</v>
      </c>
      <c r="NGQ612" s="17">
        <v>44925</v>
      </c>
      <c r="NGR612" s="5" t="s">
        <v>3728</v>
      </c>
      <c r="NGS612" s="17">
        <v>44925</v>
      </c>
      <c r="NGT612" s="5" t="s">
        <v>3728</v>
      </c>
      <c r="NGU612" s="17">
        <v>44925</v>
      </c>
      <c r="NGV612" s="5" t="s">
        <v>3728</v>
      </c>
      <c r="NGW612" s="17">
        <v>44925</v>
      </c>
      <c r="NGX612" s="5" t="s">
        <v>3728</v>
      </c>
      <c r="NGY612" s="17">
        <v>44925</v>
      </c>
      <c r="NGZ612" s="5" t="s">
        <v>3728</v>
      </c>
      <c r="NHA612" s="17">
        <v>44925</v>
      </c>
      <c r="NHB612" s="5" t="s">
        <v>3728</v>
      </c>
      <c r="NHC612" s="17">
        <v>44925</v>
      </c>
      <c r="NHD612" s="5" t="s">
        <v>3728</v>
      </c>
      <c r="NHE612" s="17">
        <v>44925</v>
      </c>
      <c r="NHF612" s="5" t="s">
        <v>3728</v>
      </c>
      <c r="NHG612" s="17">
        <v>44925</v>
      </c>
      <c r="NHH612" s="5" t="s">
        <v>3728</v>
      </c>
      <c r="NHI612" s="17">
        <v>44925</v>
      </c>
      <c r="NHJ612" s="5" t="s">
        <v>3728</v>
      </c>
      <c r="NHK612" s="17">
        <v>44925</v>
      </c>
      <c r="NHL612" s="5" t="s">
        <v>3728</v>
      </c>
      <c r="NHM612" s="17">
        <v>44925</v>
      </c>
      <c r="NHN612" s="5" t="s">
        <v>3728</v>
      </c>
      <c r="NHO612" s="17">
        <v>44925</v>
      </c>
      <c r="NHP612" s="5" t="s">
        <v>3728</v>
      </c>
      <c r="NHQ612" s="17">
        <v>44925</v>
      </c>
      <c r="NHR612" s="5" t="s">
        <v>3728</v>
      </c>
      <c r="NHS612" s="17">
        <v>44925</v>
      </c>
      <c r="NHT612" s="5" t="s">
        <v>3728</v>
      </c>
      <c r="NHU612" s="17">
        <v>44925</v>
      </c>
      <c r="NHV612" s="5" t="s">
        <v>3728</v>
      </c>
      <c r="NHW612" s="17">
        <v>44925</v>
      </c>
      <c r="NHX612" s="5" t="s">
        <v>3728</v>
      </c>
      <c r="NHY612" s="17">
        <v>44925</v>
      </c>
      <c r="NHZ612" s="5" t="s">
        <v>3728</v>
      </c>
      <c r="NIA612" s="17">
        <v>44925</v>
      </c>
      <c r="NIB612" s="5" t="s">
        <v>3728</v>
      </c>
      <c r="NIC612" s="17">
        <v>44925</v>
      </c>
      <c r="NID612" s="5" t="s">
        <v>3728</v>
      </c>
      <c r="NIE612" s="17">
        <v>44925</v>
      </c>
      <c r="NIF612" s="5" t="s">
        <v>3728</v>
      </c>
      <c r="NIG612" s="17">
        <v>44925</v>
      </c>
      <c r="NIH612" s="5" t="s">
        <v>3728</v>
      </c>
      <c r="NII612" s="17">
        <v>44925</v>
      </c>
      <c r="NIJ612" s="5" t="s">
        <v>3728</v>
      </c>
      <c r="NIK612" s="17">
        <v>44925</v>
      </c>
      <c r="NIL612" s="5" t="s">
        <v>3728</v>
      </c>
      <c r="NIM612" s="17">
        <v>44925</v>
      </c>
      <c r="NIN612" s="5" t="s">
        <v>3728</v>
      </c>
      <c r="NIO612" s="17">
        <v>44925</v>
      </c>
      <c r="NIP612" s="5" t="s">
        <v>3728</v>
      </c>
      <c r="NIQ612" s="17">
        <v>44925</v>
      </c>
      <c r="NIR612" s="5" t="s">
        <v>3728</v>
      </c>
      <c r="NIS612" s="17">
        <v>44925</v>
      </c>
      <c r="NIT612" s="5" t="s">
        <v>3728</v>
      </c>
      <c r="NIU612" s="17">
        <v>44925</v>
      </c>
      <c r="NIV612" s="5" t="s">
        <v>3728</v>
      </c>
      <c r="NIW612" s="17">
        <v>44925</v>
      </c>
      <c r="NIX612" s="5" t="s">
        <v>3728</v>
      </c>
      <c r="NIY612" s="17">
        <v>44925</v>
      </c>
      <c r="NIZ612" s="5" t="s">
        <v>3728</v>
      </c>
      <c r="NJA612" s="17">
        <v>44925</v>
      </c>
      <c r="NJB612" s="5" t="s">
        <v>3728</v>
      </c>
      <c r="NJC612" s="17">
        <v>44925</v>
      </c>
      <c r="NJD612" s="5" t="s">
        <v>3728</v>
      </c>
      <c r="NJE612" s="17">
        <v>44925</v>
      </c>
      <c r="NJF612" s="5" t="s">
        <v>3728</v>
      </c>
      <c r="NJG612" s="17">
        <v>44925</v>
      </c>
      <c r="NJH612" s="5" t="s">
        <v>3728</v>
      </c>
      <c r="NJI612" s="17">
        <v>44925</v>
      </c>
      <c r="NJJ612" s="5" t="s">
        <v>3728</v>
      </c>
      <c r="NJK612" s="17">
        <v>44925</v>
      </c>
      <c r="NJL612" s="5" t="s">
        <v>3728</v>
      </c>
      <c r="NJM612" s="17">
        <v>44925</v>
      </c>
      <c r="NJN612" s="5" t="s">
        <v>3728</v>
      </c>
      <c r="NJO612" s="17">
        <v>44925</v>
      </c>
      <c r="NJP612" s="5" t="s">
        <v>3728</v>
      </c>
      <c r="NJQ612" s="17">
        <v>44925</v>
      </c>
      <c r="NJR612" s="5" t="s">
        <v>3728</v>
      </c>
      <c r="NJS612" s="17">
        <v>44925</v>
      </c>
      <c r="NJT612" s="5" t="s">
        <v>3728</v>
      </c>
      <c r="NJU612" s="17">
        <v>44925</v>
      </c>
      <c r="NJV612" s="5" t="s">
        <v>3728</v>
      </c>
      <c r="NJW612" s="17">
        <v>44925</v>
      </c>
      <c r="NJX612" s="5" t="s">
        <v>3728</v>
      </c>
      <c r="NJY612" s="17">
        <v>44925</v>
      </c>
      <c r="NJZ612" s="5" t="s">
        <v>3728</v>
      </c>
      <c r="NKA612" s="17">
        <v>44925</v>
      </c>
      <c r="NKB612" s="5" t="s">
        <v>3728</v>
      </c>
      <c r="NKC612" s="17">
        <v>44925</v>
      </c>
      <c r="NKD612" s="5" t="s">
        <v>3728</v>
      </c>
      <c r="NKE612" s="17">
        <v>44925</v>
      </c>
      <c r="NKF612" s="5" t="s">
        <v>3728</v>
      </c>
      <c r="NKG612" s="17">
        <v>44925</v>
      </c>
      <c r="NKH612" s="5" t="s">
        <v>3728</v>
      </c>
      <c r="NKI612" s="17">
        <v>44925</v>
      </c>
      <c r="NKJ612" s="5" t="s">
        <v>3728</v>
      </c>
      <c r="NKK612" s="17">
        <v>44925</v>
      </c>
      <c r="NKL612" s="5" t="s">
        <v>3728</v>
      </c>
      <c r="NKM612" s="17">
        <v>44925</v>
      </c>
      <c r="NKN612" s="5" t="s">
        <v>3728</v>
      </c>
      <c r="NKO612" s="17">
        <v>44925</v>
      </c>
      <c r="NKP612" s="5" t="s">
        <v>3728</v>
      </c>
      <c r="NKQ612" s="17">
        <v>44925</v>
      </c>
      <c r="NKR612" s="5" t="s">
        <v>3728</v>
      </c>
      <c r="NKS612" s="17">
        <v>44925</v>
      </c>
      <c r="NKT612" s="5" t="s">
        <v>3728</v>
      </c>
      <c r="NKU612" s="17">
        <v>44925</v>
      </c>
      <c r="NKV612" s="5" t="s">
        <v>3728</v>
      </c>
      <c r="NKW612" s="17">
        <v>44925</v>
      </c>
      <c r="NKX612" s="5" t="s">
        <v>3728</v>
      </c>
      <c r="NKY612" s="17">
        <v>44925</v>
      </c>
      <c r="NKZ612" s="5" t="s">
        <v>3728</v>
      </c>
      <c r="NLA612" s="17">
        <v>44925</v>
      </c>
      <c r="NLB612" s="5" t="s">
        <v>3728</v>
      </c>
      <c r="NLC612" s="17">
        <v>44925</v>
      </c>
      <c r="NLD612" s="5" t="s">
        <v>3728</v>
      </c>
      <c r="NLE612" s="17">
        <v>44925</v>
      </c>
      <c r="NLF612" s="5" t="s">
        <v>3728</v>
      </c>
      <c r="NLG612" s="17">
        <v>44925</v>
      </c>
      <c r="NLH612" s="5" t="s">
        <v>3728</v>
      </c>
      <c r="NLI612" s="17">
        <v>44925</v>
      </c>
      <c r="NLJ612" s="5" t="s">
        <v>3728</v>
      </c>
      <c r="NLK612" s="17">
        <v>44925</v>
      </c>
      <c r="NLL612" s="5" t="s">
        <v>3728</v>
      </c>
      <c r="NLM612" s="17">
        <v>44925</v>
      </c>
      <c r="NLN612" s="5" t="s">
        <v>3728</v>
      </c>
      <c r="NLO612" s="17">
        <v>44925</v>
      </c>
      <c r="NLP612" s="5" t="s">
        <v>3728</v>
      </c>
      <c r="NLQ612" s="17">
        <v>44925</v>
      </c>
      <c r="NLR612" s="5" t="s">
        <v>3728</v>
      </c>
      <c r="NLS612" s="17">
        <v>44925</v>
      </c>
      <c r="NLT612" s="5" t="s">
        <v>3728</v>
      </c>
      <c r="NLU612" s="17">
        <v>44925</v>
      </c>
      <c r="NLV612" s="5" t="s">
        <v>3728</v>
      </c>
      <c r="NLW612" s="17">
        <v>44925</v>
      </c>
      <c r="NLX612" s="5" t="s">
        <v>3728</v>
      </c>
      <c r="NLY612" s="17">
        <v>44925</v>
      </c>
      <c r="NLZ612" s="5" t="s">
        <v>3728</v>
      </c>
      <c r="NMA612" s="17">
        <v>44925</v>
      </c>
      <c r="NMB612" s="5" t="s">
        <v>3728</v>
      </c>
      <c r="NMC612" s="17">
        <v>44925</v>
      </c>
      <c r="NMD612" s="5" t="s">
        <v>3728</v>
      </c>
      <c r="NME612" s="17">
        <v>44925</v>
      </c>
      <c r="NMF612" s="5" t="s">
        <v>3728</v>
      </c>
      <c r="NMG612" s="17">
        <v>44925</v>
      </c>
      <c r="NMH612" s="5" t="s">
        <v>3728</v>
      </c>
      <c r="NMI612" s="17">
        <v>44925</v>
      </c>
      <c r="NMJ612" s="5" t="s">
        <v>3728</v>
      </c>
      <c r="NMK612" s="17">
        <v>44925</v>
      </c>
      <c r="NML612" s="5" t="s">
        <v>3728</v>
      </c>
      <c r="NMM612" s="17">
        <v>44925</v>
      </c>
      <c r="NMN612" s="5" t="s">
        <v>3728</v>
      </c>
      <c r="NMO612" s="17">
        <v>44925</v>
      </c>
      <c r="NMP612" s="5" t="s">
        <v>3728</v>
      </c>
      <c r="NMQ612" s="17">
        <v>44925</v>
      </c>
      <c r="NMR612" s="5" t="s">
        <v>3728</v>
      </c>
      <c r="NMS612" s="17">
        <v>44925</v>
      </c>
      <c r="NMT612" s="5" t="s">
        <v>3728</v>
      </c>
      <c r="NMU612" s="17">
        <v>44925</v>
      </c>
      <c r="NMV612" s="5" t="s">
        <v>3728</v>
      </c>
      <c r="NMW612" s="17">
        <v>44925</v>
      </c>
      <c r="NMX612" s="5" t="s">
        <v>3728</v>
      </c>
      <c r="NMY612" s="17">
        <v>44925</v>
      </c>
      <c r="NMZ612" s="5" t="s">
        <v>3728</v>
      </c>
      <c r="NNA612" s="17">
        <v>44925</v>
      </c>
      <c r="NNB612" s="5" t="s">
        <v>3728</v>
      </c>
      <c r="NNC612" s="17">
        <v>44925</v>
      </c>
      <c r="NND612" s="5" t="s">
        <v>3728</v>
      </c>
      <c r="NNE612" s="17">
        <v>44925</v>
      </c>
      <c r="NNF612" s="5" t="s">
        <v>3728</v>
      </c>
      <c r="NNG612" s="17">
        <v>44925</v>
      </c>
      <c r="NNH612" s="5" t="s">
        <v>3728</v>
      </c>
      <c r="NNI612" s="17">
        <v>44925</v>
      </c>
      <c r="NNJ612" s="5" t="s">
        <v>3728</v>
      </c>
      <c r="NNK612" s="17">
        <v>44925</v>
      </c>
      <c r="NNL612" s="5" t="s">
        <v>3728</v>
      </c>
      <c r="NNM612" s="17">
        <v>44925</v>
      </c>
      <c r="NNN612" s="5" t="s">
        <v>3728</v>
      </c>
      <c r="NNO612" s="17">
        <v>44925</v>
      </c>
      <c r="NNP612" s="5" t="s">
        <v>3728</v>
      </c>
      <c r="NNQ612" s="17">
        <v>44925</v>
      </c>
      <c r="NNR612" s="5" t="s">
        <v>3728</v>
      </c>
      <c r="NNS612" s="17">
        <v>44925</v>
      </c>
      <c r="NNT612" s="5" t="s">
        <v>3728</v>
      </c>
      <c r="NNU612" s="17">
        <v>44925</v>
      </c>
      <c r="NNV612" s="5" t="s">
        <v>3728</v>
      </c>
      <c r="NNW612" s="17">
        <v>44925</v>
      </c>
      <c r="NNX612" s="5" t="s">
        <v>3728</v>
      </c>
      <c r="NNY612" s="17">
        <v>44925</v>
      </c>
      <c r="NNZ612" s="5" t="s">
        <v>3728</v>
      </c>
      <c r="NOA612" s="17">
        <v>44925</v>
      </c>
      <c r="NOB612" s="5" t="s">
        <v>3728</v>
      </c>
      <c r="NOC612" s="17">
        <v>44925</v>
      </c>
      <c r="NOD612" s="5" t="s">
        <v>3728</v>
      </c>
      <c r="NOE612" s="17">
        <v>44925</v>
      </c>
      <c r="NOF612" s="5" t="s">
        <v>3728</v>
      </c>
      <c r="NOG612" s="17">
        <v>44925</v>
      </c>
      <c r="NOH612" s="5" t="s">
        <v>3728</v>
      </c>
      <c r="NOI612" s="17">
        <v>44925</v>
      </c>
      <c r="NOJ612" s="5" t="s">
        <v>3728</v>
      </c>
      <c r="NOK612" s="17">
        <v>44925</v>
      </c>
      <c r="NOL612" s="5" t="s">
        <v>3728</v>
      </c>
      <c r="NOM612" s="17">
        <v>44925</v>
      </c>
      <c r="NON612" s="5" t="s">
        <v>3728</v>
      </c>
      <c r="NOO612" s="17">
        <v>44925</v>
      </c>
      <c r="NOP612" s="5" t="s">
        <v>3728</v>
      </c>
      <c r="NOQ612" s="17">
        <v>44925</v>
      </c>
      <c r="NOR612" s="5" t="s">
        <v>3728</v>
      </c>
      <c r="NOS612" s="17">
        <v>44925</v>
      </c>
      <c r="NOT612" s="5" t="s">
        <v>3728</v>
      </c>
      <c r="NOU612" s="17">
        <v>44925</v>
      </c>
      <c r="NOV612" s="5" t="s">
        <v>3728</v>
      </c>
      <c r="NOW612" s="17">
        <v>44925</v>
      </c>
      <c r="NOX612" s="5" t="s">
        <v>3728</v>
      </c>
      <c r="NOY612" s="17">
        <v>44925</v>
      </c>
      <c r="NOZ612" s="5" t="s">
        <v>3728</v>
      </c>
      <c r="NPA612" s="17">
        <v>44925</v>
      </c>
      <c r="NPB612" s="5" t="s">
        <v>3728</v>
      </c>
      <c r="NPC612" s="17">
        <v>44925</v>
      </c>
      <c r="NPD612" s="5" t="s">
        <v>3728</v>
      </c>
      <c r="NPE612" s="17">
        <v>44925</v>
      </c>
      <c r="NPF612" s="5" t="s">
        <v>3728</v>
      </c>
      <c r="NPG612" s="17">
        <v>44925</v>
      </c>
      <c r="NPH612" s="5" t="s">
        <v>3728</v>
      </c>
      <c r="NPI612" s="17">
        <v>44925</v>
      </c>
      <c r="NPJ612" s="5" t="s">
        <v>3728</v>
      </c>
      <c r="NPK612" s="17">
        <v>44925</v>
      </c>
      <c r="NPL612" s="5" t="s">
        <v>3728</v>
      </c>
      <c r="NPM612" s="17">
        <v>44925</v>
      </c>
      <c r="NPN612" s="5" t="s">
        <v>3728</v>
      </c>
      <c r="NPO612" s="17">
        <v>44925</v>
      </c>
      <c r="NPP612" s="5" t="s">
        <v>3728</v>
      </c>
      <c r="NPQ612" s="17">
        <v>44925</v>
      </c>
      <c r="NPR612" s="5" t="s">
        <v>3728</v>
      </c>
      <c r="NPS612" s="17">
        <v>44925</v>
      </c>
      <c r="NPT612" s="5" t="s">
        <v>3728</v>
      </c>
      <c r="NPU612" s="17">
        <v>44925</v>
      </c>
      <c r="NPV612" s="5" t="s">
        <v>3728</v>
      </c>
      <c r="NPW612" s="17">
        <v>44925</v>
      </c>
      <c r="NPX612" s="5" t="s">
        <v>3728</v>
      </c>
      <c r="NPY612" s="17">
        <v>44925</v>
      </c>
      <c r="NPZ612" s="5" t="s">
        <v>3728</v>
      </c>
      <c r="NQA612" s="17">
        <v>44925</v>
      </c>
      <c r="NQB612" s="5" t="s">
        <v>3728</v>
      </c>
      <c r="NQC612" s="17">
        <v>44925</v>
      </c>
      <c r="NQD612" s="5" t="s">
        <v>3728</v>
      </c>
      <c r="NQE612" s="17">
        <v>44925</v>
      </c>
      <c r="NQF612" s="5" t="s">
        <v>3728</v>
      </c>
      <c r="NQG612" s="17">
        <v>44925</v>
      </c>
      <c r="NQH612" s="5" t="s">
        <v>3728</v>
      </c>
      <c r="NQI612" s="17">
        <v>44925</v>
      </c>
      <c r="NQJ612" s="5" t="s">
        <v>3728</v>
      </c>
      <c r="NQK612" s="17">
        <v>44925</v>
      </c>
      <c r="NQL612" s="5" t="s">
        <v>3728</v>
      </c>
      <c r="NQM612" s="17">
        <v>44925</v>
      </c>
      <c r="NQN612" s="5" t="s">
        <v>3728</v>
      </c>
      <c r="NQO612" s="17">
        <v>44925</v>
      </c>
      <c r="NQP612" s="5" t="s">
        <v>3728</v>
      </c>
      <c r="NQQ612" s="17">
        <v>44925</v>
      </c>
      <c r="NQR612" s="5" t="s">
        <v>3728</v>
      </c>
      <c r="NQS612" s="17">
        <v>44925</v>
      </c>
      <c r="NQT612" s="5" t="s">
        <v>3728</v>
      </c>
      <c r="NQU612" s="17">
        <v>44925</v>
      </c>
      <c r="NQV612" s="5" t="s">
        <v>3728</v>
      </c>
      <c r="NQW612" s="17">
        <v>44925</v>
      </c>
      <c r="NQX612" s="5" t="s">
        <v>3728</v>
      </c>
      <c r="NQY612" s="17">
        <v>44925</v>
      </c>
      <c r="NQZ612" s="5" t="s">
        <v>3728</v>
      </c>
      <c r="NRA612" s="17">
        <v>44925</v>
      </c>
      <c r="NRB612" s="5" t="s">
        <v>3728</v>
      </c>
      <c r="NRC612" s="17">
        <v>44925</v>
      </c>
      <c r="NRD612" s="5" t="s">
        <v>3728</v>
      </c>
      <c r="NRE612" s="17">
        <v>44925</v>
      </c>
      <c r="NRF612" s="5" t="s">
        <v>3728</v>
      </c>
      <c r="NRG612" s="17">
        <v>44925</v>
      </c>
      <c r="NRH612" s="5" t="s">
        <v>3728</v>
      </c>
      <c r="NRI612" s="17">
        <v>44925</v>
      </c>
      <c r="NRJ612" s="5" t="s">
        <v>3728</v>
      </c>
      <c r="NRK612" s="17">
        <v>44925</v>
      </c>
      <c r="NRL612" s="5" t="s">
        <v>3728</v>
      </c>
      <c r="NRM612" s="17">
        <v>44925</v>
      </c>
      <c r="NRN612" s="5" t="s">
        <v>3728</v>
      </c>
      <c r="NRO612" s="17">
        <v>44925</v>
      </c>
      <c r="NRP612" s="5" t="s">
        <v>3728</v>
      </c>
      <c r="NRQ612" s="17">
        <v>44925</v>
      </c>
      <c r="NRR612" s="5" t="s">
        <v>3728</v>
      </c>
      <c r="NRS612" s="17">
        <v>44925</v>
      </c>
      <c r="NRT612" s="5" t="s">
        <v>3728</v>
      </c>
      <c r="NRU612" s="17">
        <v>44925</v>
      </c>
      <c r="NRV612" s="5" t="s">
        <v>3728</v>
      </c>
      <c r="NRW612" s="17">
        <v>44925</v>
      </c>
      <c r="NRX612" s="5" t="s">
        <v>3728</v>
      </c>
      <c r="NRY612" s="17">
        <v>44925</v>
      </c>
      <c r="NRZ612" s="5" t="s">
        <v>3728</v>
      </c>
      <c r="NSA612" s="17">
        <v>44925</v>
      </c>
      <c r="NSB612" s="5" t="s">
        <v>3728</v>
      </c>
      <c r="NSC612" s="17">
        <v>44925</v>
      </c>
      <c r="NSD612" s="5" t="s">
        <v>3728</v>
      </c>
      <c r="NSE612" s="17">
        <v>44925</v>
      </c>
      <c r="NSF612" s="5" t="s">
        <v>3728</v>
      </c>
      <c r="NSG612" s="17">
        <v>44925</v>
      </c>
      <c r="NSH612" s="5" t="s">
        <v>3728</v>
      </c>
      <c r="NSI612" s="17">
        <v>44925</v>
      </c>
      <c r="NSJ612" s="5" t="s">
        <v>3728</v>
      </c>
      <c r="NSK612" s="17">
        <v>44925</v>
      </c>
      <c r="NSL612" s="5" t="s">
        <v>3728</v>
      </c>
      <c r="NSM612" s="17">
        <v>44925</v>
      </c>
      <c r="NSN612" s="5" t="s">
        <v>3728</v>
      </c>
      <c r="NSO612" s="17">
        <v>44925</v>
      </c>
      <c r="NSP612" s="5" t="s">
        <v>3728</v>
      </c>
      <c r="NSQ612" s="17">
        <v>44925</v>
      </c>
      <c r="NSR612" s="5" t="s">
        <v>3728</v>
      </c>
      <c r="NSS612" s="17">
        <v>44925</v>
      </c>
      <c r="NST612" s="5" t="s">
        <v>3728</v>
      </c>
      <c r="NSU612" s="17">
        <v>44925</v>
      </c>
      <c r="NSV612" s="5" t="s">
        <v>3728</v>
      </c>
      <c r="NSW612" s="17">
        <v>44925</v>
      </c>
      <c r="NSX612" s="5" t="s">
        <v>3728</v>
      </c>
      <c r="NSY612" s="17">
        <v>44925</v>
      </c>
      <c r="NSZ612" s="5" t="s">
        <v>3728</v>
      </c>
      <c r="NTA612" s="17">
        <v>44925</v>
      </c>
      <c r="NTB612" s="5" t="s">
        <v>3728</v>
      </c>
      <c r="NTC612" s="17">
        <v>44925</v>
      </c>
      <c r="NTD612" s="5" t="s">
        <v>3728</v>
      </c>
      <c r="NTE612" s="17">
        <v>44925</v>
      </c>
      <c r="NTF612" s="5" t="s">
        <v>3728</v>
      </c>
      <c r="NTG612" s="17">
        <v>44925</v>
      </c>
      <c r="NTH612" s="5" t="s">
        <v>3728</v>
      </c>
      <c r="NTI612" s="17">
        <v>44925</v>
      </c>
      <c r="NTJ612" s="5" t="s">
        <v>3728</v>
      </c>
      <c r="NTK612" s="17">
        <v>44925</v>
      </c>
      <c r="NTL612" s="5" t="s">
        <v>3728</v>
      </c>
      <c r="NTM612" s="17">
        <v>44925</v>
      </c>
      <c r="NTN612" s="5" t="s">
        <v>3728</v>
      </c>
      <c r="NTO612" s="17">
        <v>44925</v>
      </c>
      <c r="NTP612" s="5" t="s">
        <v>3728</v>
      </c>
      <c r="NTQ612" s="17">
        <v>44925</v>
      </c>
      <c r="NTR612" s="5" t="s">
        <v>3728</v>
      </c>
      <c r="NTS612" s="17">
        <v>44925</v>
      </c>
      <c r="NTT612" s="5" t="s">
        <v>3728</v>
      </c>
      <c r="NTU612" s="17">
        <v>44925</v>
      </c>
      <c r="NTV612" s="5" t="s">
        <v>3728</v>
      </c>
      <c r="NTW612" s="17">
        <v>44925</v>
      </c>
      <c r="NTX612" s="5" t="s">
        <v>3728</v>
      </c>
      <c r="NTY612" s="17">
        <v>44925</v>
      </c>
      <c r="NTZ612" s="5" t="s">
        <v>3728</v>
      </c>
      <c r="NUA612" s="17">
        <v>44925</v>
      </c>
      <c r="NUB612" s="5" t="s">
        <v>3728</v>
      </c>
      <c r="NUC612" s="17">
        <v>44925</v>
      </c>
      <c r="NUD612" s="5" t="s">
        <v>3728</v>
      </c>
      <c r="NUE612" s="17">
        <v>44925</v>
      </c>
      <c r="NUF612" s="5" t="s">
        <v>3728</v>
      </c>
      <c r="NUG612" s="17">
        <v>44925</v>
      </c>
      <c r="NUH612" s="5" t="s">
        <v>3728</v>
      </c>
      <c r="NUI612" s="17">
        <v>44925</v>
      </c>
      <c r="NUJ612" s="5" t="s">
        <v>3728</v>
      </c>
      <c r="NUK612" s="17">
        <v>44925</v>
      </c>
      <c r="NUL612" s="5" t="s">
        <v>3728</v>
      </c>
      <c r="NUM612" s="17">
        <v>44925</v>
      </c>
      <c r="NUN612" s="5" t="s">
        <v>3728</v>
      </c>
      <c r="NUO612" s="17">
        <v>44925</v>
      </c>
      <c r="NUP612" s="5" t="s">
        <v>3728</v>
      </c>
      <c r="NUQ612" s="17">
        <v>44925</v>
      </c>
      <c r="NUR612" s="5" t="s">
        <v>3728</v>
      </c>
      <c r="NUS612" s="17">
        <v>44925</v>
      </c>
      <c r="NUT612" s="5" t="s">
        <v>3728</v>
      </c>
      <c r="NUU612" s="17">
        <v>44925</v>
      </c>
      <c r="NUV612" s="5" t="s">
        <v>3728</v>
      </c>
      <c r="NUW612" s="17">
        <v>44925</v>
      </c>
      <c r="NUX612" s="5" t="s">
        <v>3728</v>
      </c>
      <c r="NUY612" s="17">
        <v>44925</v>
      </c>
      <c r="NUZ612" s="5" t="s">
        <v>3728</v>
      </c>
      <c r="NVA612" s="17">
        <v>44925</v>
      </c>
      <c r="NVB612" s="5" t="s">
        <v>3728</v>
      </c>
      <c r="NVC612" s="17">
        <v>44925</v>
      </c>
      <c r="NVD612" s="5" t="s">
        <v>3728</v>
      </c>
      <c r="NVE612" s="17">
        <v>44925</v>
      </c>
      <c r="NVF612" s="5" t="s">
        <v>3728</v>
      </c>
      <c r="NVG612" s="17">
        <v>44925</v>
      </c>
      <c r="NVH612" s="5" t="s">
        <v>3728</v>
      </c>
      <c r="NVI612" s="17">
        <v>44925</v>
      </c>
      <c r="NVJ612" s="5" t="s">
        <v>3728</v>
      </c>
      <c r="NVK612" s="17">
        <v>44925</v>
      </c>
      <c r="NVL612" s="5" t="s">
        <v>3728</v>
      </c>
      <c r="NVM612" s="17">
        <v>44925</v>
      </c>
      <c r="NVN612" s="5" t="s">
        <v>3728</v>
      </c>
      <c r="NVO612" s="17">
        <v>44925</v>
      </c>
      <c r="NVP612" s="5" t="s">
        <v>3728</v>
      </c>
      <c r="NVQ612" s="17">
        <v>44925</v>
      </c>
      <c r="NVR612" s="5" t="s">
        <v>3728</v>
      </c>
      <c r="NVS612" s="17">
        <v>44925</v>
      </c>
      <c r="NVT612" s="5" t="s">
        <v>3728</v>
      </c>
      <c r="NVU612" s="17">
        <v>44925</v>
      </c>
      <c r="NVV612" s="5" t="s">
        <v>3728</v>
      </c>
      <c r="NVW612" s="17">
        <v>44925</v>
      </c>
      <c r="NVX612" s="5" t="s">
        <v>3728</v>
      </c>
      <c r="NVY612" s="17">
        <v>44925</v>
      </c>
      <c r="NVZ612" s="5" t="s">
        <v>3728</v>
      </c>
      <c r="NWA612" s="17">
        <v>44925</v>
      </c>
      <c r="NWB612" s="5" t="s">
        <v>3728</v>
      </c>
      <c r="NWC612" s="17">
        <v>44925</v>
      </c>
      <c r="NWD612" s="5" t="s">
        <v>3728</v>
      </c>
      <c r="NWE612" s="17">
        <v>44925</v>
      </c>
      <c r="NWF612" s="5" t="s">
        <v>3728</v>
      </c>
      <c r="NWG612" s="17">
        <v>44925</v>
      </c>
      <c r="NWH612" s="5" t="s">
        <v>3728</v>
      </c>
      <c r="NWI612" s="17">
        <v>44925</v>
      </c>
      <c r="NWJ612" s="5" t="s">
        <v>3728</v>
      </c>
      <c r="NWK612" s="17">
        <v>44925</v>
      </c>
      <c r="NWL612" s="5" t="s">
        <v>3728</v>
      </c>
      <c r="NWM612" s="17">
        <v>44925</v>
      </c>
      <c r="NWN612" s="5" t="s">
        <v>3728</v>
      </c>
      <c r="NWO612" s="17">
        <v>44925</v>
      </c>
      <c r="NWP612" s="5" t="s">
        <v>3728</v>
      </c>
      <c r="NWQ612" s="17">
        <v>44925</v>
      </c>
      <c r="NWR612" s="5" t="s">
        <v>3728</v>
      </c>
      <c r="NWS612" s="17">
        <v>44925</v>
      </c>
      <c r="NWT612" s="5" t="s">
        <v>3728</v>
      </c>
      <c r="NWU612" s="17">
        <v>44925</v>
      </c>
      <c r="NWV612" s="5" t="s">
        <v>3728</v>
      </c>
      <c r="NWW612" s="17">
        <v>44925</v>
      </c>
      <c r="NWX612" s="5" t="s">
        <v>3728</v>
      </c>
      <c r="NWY612" s="17">
        <v>44925</v>
      </c>
      <c r="NWZ612" s="5" t="s">
        <v>3728</v>
      </c>
      <c r="NXA612" s="17">
        <v>44925</v>
      </c>
      <c r="NXB612" s="5" t="s">
        <v>3728</v>
      </c>
      <c r="NXC612" s="17">
        <v>44925</v>
      </c>
      <c r="NXD612" s="5" t="s">
        <v>3728</v>
      </c>
      <c r="NXE612" s="17">
        <v>44925</v>
      </c>
      <c r="NXF612" s="5" t="s">
        <v>3728</v>
      </c>
      <c r="NXG612" s="17">
        <v>44925</v>
      </c>
      <c r="NXH612" s="5" t="s">
        <v>3728</v>
      </c>
      <c r="NXI612" s="17">
        <v>44925</v>
      </c>
      <c r="NXJ612" s="5" t="s">
        <v>3728</v>
      </c>
      <c r="NXK612" s="17">
        <v>44925</v>
      </c>
      <c r="NXL612" s="5" t="s">
        <v>3728</v>
      </c>
      <c r="NXM612" s="17">
        <v>44925</v>
      </c>
      <c r="NXN612" s="5" t="s">
        <v>3728</v>
      </c>
      <c r="NXO612" s="17">
        <v>44925</v>
      </c>
      <c r="NXP612" s="5" t="s">
        <v>3728</v>
      </c>
      <c r="NXQ612" s="17">
        <v>44925</v>
      </c>
      <c r="NXR612" s="5" t="s">
        <v>3728</v>
      </c>
      <c r="NXS612" s="17">
        <v>44925</v>
      </c>
      <c r="NXT612" s="5" t="s">
        <v>3728</v>
      </c>
      <c r="NXU612" s="17">
        <v>44925</v>
      </c>
      <c r="NXV612" s="5" t="s">
        <v>3728</v>
      </c>
      <c r="NXW612" s="17">
        <v>44925</v>
      </c>
      <c r="NXX612" s="5" t="s">
        <v>3728</v>
      </c>
      <c r="NXY612" s="17">
        <v>44925</v>
      </c>
      <c r="NXZ612" s="5" t="s">
        <v>3728</v>
      </c>
      <c r="NYA612" s="17">
        <v>44925</v>
      </c>
      <c r="NYB612" s="5" t="s">
        <v>3728</v>
      </c>
      <c r="NYC612" s="17">
        <v>44925</v>
      </c>
      <c r="NYD612" s="5" t="s">
        <v>3728</v>
      </c>
      <c r="NYE612" s="17">
        <v>44925</v>
      </c>
      <c r="NYF612" s="5" t="s">
        <v>3728</v>
      </c>
      <c r="NYG612" s="17">
        <v>44925</v>
      </c>
      <c r="NYH612" s="5" t="s">
        <v>3728</v>
      </c>
      <c r="NYI612" s="17">
        <v>44925</v>
      </c>
      <c r="NYJ612" s="5" t="s">
        <v>3728</v>
      </c>
      <c r="NYK612" s="17">
        <v>44925</v>
      </c>
      <c r="NYL612" s="5" t="s">
        <v>3728</v>
      </c>
      <c r="NYM612" s="17">
        <v>44925</v>
      </c>
      <c r="NYN612" s="5" t="s">
        <v>3728</v>
      </c>
      <c r="NYO612" s="17">
        <v>44925</v>
      </c>
      <c r="NYP612" s="5" t="s">
        <v>3728</v>
      </c>
      <c r="NYQ612" s="17">
        <v>44925</v>
      </c>
      <c r="NYR612" s="5" t="s">
        <v>3728</v>
      </c>
      <c r="NYS612" s="17">
        <v>44925</v>
      </c>
      <c r="NYT612" s="5" t="s">
        <v>3728</v>
      </c>
      <c r="NYU612" s="17">
        <v>44925</v>
      </c>
      <c r="NYV612" s="5" t="s">
        <v>3728</v>
      </c>
      <c r="NYW612" s="17">
        <v>44925</v>
      </c>
      <c r="NYX612" s="5" t="s">
        <v>3728</v>
      </c>
      <c r="NYY612" s="17">
        <v>44925</v>
      </c>
      <c r="NYZ612" s="5" t="s">
        <v>3728</v>
      </c>
      <c r="NZA612" s="17">
        <v>44925</v>
      </c>
      <c r="NZB612" s="5" t="s">
        <v>3728</v>
      </c>
      <c r="NZC612" s="17">
        <v>44925</v>
      </c>
      <c r="NZD612" s="5" t="s">
        <v>3728</v>
      </c>
      <c r="NZE612" s="17">
        <v>44925</v>
      </c>
      <c r="NZF612" s="5" t="s">
        <v>3728</v>
      </c>
      <c r="NZG612" s="17">
        <v>44925</v>
      </c>
      <c r="NZH612" s="5" t="s">
        <v>3728</v>
      </c>
      <c r="NZI612" s="17">
        <v>44925</v>
      </c>
      <c r="NZJ612" s="5" t="s">
        <v>3728</v>
      </c>
      <c r="NZK612" s="17">
        <v>44925</v>
      </c>
      <c r="NZL612" s="5" t="s">
        <v>3728</v>
      </c>
      <c r="NZM612" s="17">
        <v>44925</v>
      </c>
      <c r="NZN612" s="5" t="s">
        <v>3728</v>
      </c>
      <c r="NZO612" s="17">
        <v>44925</v>
      </c>
      <c r="NZP612" s="5" t="s">
        <v>3728</v>
      </c>
      <c r="NZQ612" s="17">
        <v>44925</v>
      </c>
      <c r="NZR612" s="5" t="s">
        <v>3728</v>
      </c>
      <c r="NZS612" s="17">
        <v>44925</v>
      </c>
      <c r="NZT612" s="5" t="s">
        <v>3728</v>
      </c>
      <c r="NZU612" s="17">
        <v>44925</v>
      </c>
      <c r="NZV612" s="5" t="s">
        <v>3728</v>
      </c>
      <c r="NZW612" s="17">
        <v>44925</v>
      </c>
      <c r="NZX612" s="5" t="s">
        <v>3728</v>
      </c>
      <c r="NZY612" s="17">
        <v>44925</v>
      </c>
      <c r="NZZ612" s="5" t="s">
        <v>3728</v>
      </c>
      <c r="OAA612" s="17">
        <v>44925</v>
      </c>
      <c r="OAB612" s="5" t="s">
        <v>3728</v>
      </c>
      <c r="OAC612" s="17">
        <v>44925</v>
      </c>
      <c r="OAD612" s="5" t="s">
        <v>3728</v>
      </c>
      <c r="OAE612" s="17">
        <v>44925</v>
      </c>
      <c r="OAF612" s="5" t="s">
        <v>3728</v>
      </c>
      <c r="OAG612" s="17">
        <v>44925</v>
      </c>
      <c r="OAH612" s="5" t="s">
        <v>3728</v>
      </c>
      <c r="OAI612" s="17">
        <v>44925</v>
      </c>
      <c r="OAJ612" s="5" t="s">
        <v>3728</v>
      </c>
      <c r="OAK612" s="17">
        <v>44925</v>
      </c>
      <c r="OAL612" s="5" t="s">
        <v>3728</v>
      </c>
      <c r="OAM612" s="17">
        <v>44925</v>
      </c>
      <c r="OAN612" s="5" t="s">
        <v>3728</v>
      </c>
      <c r="OAO612" s="17">
        <v>44925</v>
      </c>
      <c r="OAP612" s="5" t="s">
        <v>3728</v>
      </c>
      <c r="OAQ612" s="17">
        <v>44925</v>
      </c>
      <c r="OAR612" s="5" t="s">
        <v>3728</v>
      </c>
      <c r="OAS612" s="17">
        <v>44925</v>
      </c>
      <c r="OAT612" s="5" t="s">
        <v>3728</v>
      </c>
      <c r="OAU612" s="17">
        <v>44925</v>
      </c>
      <c r="OAV612" s="5" t="s">
        <v>3728</v>
      </c>
      <c r="OAW612" s="17">
        <v>44925</v>
      </c>
      <c r="OAX612" s="5" t="s">
        <v>3728</v>
      </c>
      <c r="OAY612" s="17">
        <v>44925</v>
      </c>
      <c r="OAZ612" s="5" t="s">
        <v>3728</v>
      </c>
      <c r="OBA612" s="17">
        <v>44925</v>
      </c>
      <c r="OBB612" s="5" t="s">
        <v>3728</v>
      </c>
      <c r="OBC612" s="17">
        <v>44925</v>
      </c>
      <c r="OBD612" s="5" t="s">
        <v>3728</v>
      </c>
      <c r="OBE612" s="17">
        <v>44925</v>
      </c>
      <c r="OBF612" s="5" t="s">
        <v>3728</v>
      </c>
      <c r="OBG612" s="17">
        <v>44925</v>
      </c>
      <c r="OBH612" s="5" t="s">
        <v>3728</v>
      </c>
      <c r="OBI612" s="17">
        <v>44925</v>
      </c>
      <c r="OBJ612" s="5" t="s">
        <v>3728</v>
      </c>
      <c r="OBK612" s="17">
        <v>44925</v>
      </c>
      <c r="OBL612" s="5" t="s">
        <v>3728</v>
      </c>
      <c r="OBM612" s="17">
        <v>44925</v>
      </c>
      <c r="OBN612" s="5" t="s">
        <v>3728</v>
      </c>
      <c r="OBO612" s="17">
        <v>44925</v>
      </c>
      <c r="OBP612" s="5" t="s">
        <v>3728</v>
      </c>
      <c r="OBQ612" s="17">
        <v>44925</v>
      </c>
      <c r="OBR612" s="5" t="s">
        <v>3728</v>
      </c>
      <c r="OBS612" s="17">
        <v>44925</v>
      </c>
      <c r="OBT612" s="5" t="s">
        <v>3728</v>
      </c>
      <c r="OBU612" s="17">
        <v>44925</v>
      </c>
      <c r="OBV612" s="5" t="s">
        <v>3728</v>
      </c>
      <c r="OBW612" s="17">
        <v>44925</v>
      </c>
      <c r="OBX612" s="5" t="s">
        <v>3728</v>
      </c>
      <c r="OBY612" s="17">
        <v>44925</v>
      </c>
      <c r="OBZ612" s="5" t="s">
        <v>3728</v>
      </c>
      <c r="OCA612" s="17">
        <v>44925</v>
      </c>
      <c r="OCB612" s="5" t="s">
        <v>3728</v>
      </c>
      <c r="OCC612" s="17">
        <v>44925</v>
      </c>
      <c r="OCD612" s="5" t="s">
        <v>3728</v>
      </c>
      <c r="OCE612" s="17">
        <v>44925</v>
      </c>
      <c r="OCF612" s="5" t="s">
        <v>3728</v>
      </c>
      <c r="OCG612" s="17">
        <v>44925</v>
      </c>
      <c r="OCH612" s="5" t="s">
        <v>3728</v>
      </c>
      <c r="OCI612" s="17">
        <v>44925</v>
      </c>
      <c r="OCJ612" s="5" t="s">
        <v>3728</v>
      </c>
      <c r="OCK612" s="17">
        <v>44925</v>
      </c>
      <c r="OCL612" s="5" t="s">
        <v>3728</v>
      </c>
      <c r="OCM612" s="17">
        <v>44925</v>
      </c>
      <c r="OCN612" s="5" t="s">
        <v>3728</v>
      </c>
      <c r="OCO612" s="17">
        <v>44925</v>
      </c>
      <c r="OCP612" s="5" t="s">
        <v>3728</v>
      </c>
      <c r="OCQ612" s="17">
        <v>44925</v>
      </c>
      <c r="OCR612" s="5" t="s">
        <v>3728</v>
      </c>
      <c r="OCS612" s="17">
        <v>44925</v>
      </c>
      <c r="OCT612" s="5" t="s">
        <v>3728</v>
      </c>
      <c r="OCU612" s="17">
        <v>44925</v>
      </c>
      <c r="OCV612" s="5" t="s">
        <v>3728</v>
      </c>
      <c r="OCW612" s="17">
        <v>44925</v>
      </c>
      <c r="OCX612" s="5" t="s">
        <v>3728</v>
      </c>
      <c r="OCY612" s="17">
        <v>44925</v>
      </c>
      <c r="OCZ612" s="5" t="s">
        <v>3728</v>
      </c>
      <c r="ODA612" s="17">
        <v>44925</v>
      </c>
      <c r="ODB612" s="5" t="s">
        <v>3728</v>
      </c>
      <c r="ODC612" s="17">
        <v>44925</v>
      </c>
      <c r="ODD612" s="5" t="s">
        <v>3728</v>
      </c>
      <c r="ODE612" s="17">
        <v>44925</v>
      </c>
      <c r="ODF612" s="5" t="s">
        <v>3728</v>
      </c>
      <c r="ODG612" s="17">
        <v>44925</v>
      </c>
      <c r="ODH612" s="5" t="s">
        <v>3728</v>
      </c>
      <c r="ODI612" s="17">
        <v>44925</v>
      </c>
      <c r="ODJ612" s="5" t="s">
        <v>3728</v>
      </c>
      <c r="ODK612" s="17">
        <v>44925</v>
      </c>
      <c r="ODL612" s="5" t="s">
        <v>3728</v>
      </c>
      <c r="ODM612" s="17">
        <v>44925</v>
      </c>
      <c r="ODN612" s="5" t="s">
        <v>3728</v>
      </c>
      <c r="ODO612" s="17">
        <v>44925</v>
      </c>
      <c r="ODP612" s="5" t="s">
        <v>3728</v>
      </c>
      <c r="ODQ612" s="17">
        <v>44925</v>
      </c>
      <c r="ODR612" s="5" t="s">
        <v>3728</v>
      </c>
      <c r="ODS612" s="17">
        <v>44925</v>
      </c>
      <c r="ODT612" s="5" t="s">
        <v>3728</v>
      </c>
      <c r="ODU612" s="17">
        <v>44925</v>
      </c>
      <c r="ODV612" s="5" t="s">
        <v>3728</v>
      </c>
      <c r="ODW612" s="17">
        <v>44925</v>
      </c>
      <c r="ODX612" s="5" t="s">
        <v>3728</v>
      </c>
      <c r="ODY612" s="17">
        <v>44925</v>
      </c>
      <c r="ODZ612" s="5" t="s">
        <v>3728</v>
      </c>
      <c r="OEA612" s="17">
        <v>44925</v>
      </c>
      <c r="OEB612" s="5" t="s">
        <v>3728</v>
      </c>
      <c r="OEC612" s="17">
        <v>44925</v>
      </c>
      <c r="OED612" s="5" t="s">
        <v>3728</v>
      </c>
      <c r="OEE612" s="17">
        <v>44925</v>
      </c>
      <c r="OEF612" s="5" t="s">
        <v>3728</v>
      </c>
      <c r="OEG612" s="17">
        <v>44925</v>
      </c>
      <c r="OEH612" s="5" t="s">
        <v>3728</v>
      </c>
      <c r="OEI612" s="17">
        <v>44925</v>
      </c>
      <c r="OEJ612" s="5" t="s">
        <v>3728</v>
      </c>
      <c r="OEK612" s="17">
        <v>44925</v>
      </c>
      <c r="OEL612" s="5" t="s">
        <v>3728</v>
      </c>
      <c r="OEM612" s="17">
        <v>44925</v>
      </c>
      <c r="OEN612" s="5" t="s">
        <v>3728</v>
      </c>
      <c r="OEO612" s="17">
        <v>44925</v>
      </c>
      <c r="OEP612" s="5" t="s">
        <v>3728</v>
      </c>
      <c r="OEQ612" s="17">
        <v>44925</v>
      </c>
      <c r="OER612" s="5" t="s">
        <v>3728</v>
      </c>
      <c r="OES612" s="17">
        <v>44925</v>
      </c>
      <c r="OET612" s="5" t="s">
        <v>3728</v>
      </c>
      <c r="OEU612" s="17">
        <v>44925</v>
      </c>
      <c r="OEV612" s="5" t="s">
        <v>3728</v>
      </c>
      <c r="OEW612" s="17">
        <v>44925</v>
      </c>
      <c r="OEX612" s="5" t="s">
        <v>3728</v>
      </c>
      <c r="OEY612" s="17">
        <v>44925</v>
      </c>
      <c r="OEZ612" s="5" t="s">
        <v>3728</v>
      </c>
      <c r="OFA612" s="17">
        <v>44925</v>
      </c>
      <c r="OFB612" s="5" t="s">
        <v>3728</v>
      </c>
      <c r="OFC612" s="17">
        <v>44925</v>
      </c>
      <c r="OFD612" s="5" t="s">
        <v>3728</v>
      </c>
      <c r="OFE612" s="17">
        <v>44925</v>
      </c>
      <c r="OFF612" s="5" t="s">
        <v>3728</v>
      </c>
      <c r="OFG612" s="17">
        <v>44925</v>
      </c>
      <c r="OFH612" s="5" t="s">
        <v>3728</v>
      </c>
      <c r="OFI612" s="17">
        <v>44925</v>
      </c>
      <c r="OFJ612" s="5" t="s">
        <v>3728</v>
      </c>
      <c r="OFK612" s="17">
        <v>44925</v>
      </c>
      <c r="OFL612" s="5" t="s">
        <v>3728</v>
      </c>
      <c r="OFM612" s="17">
        <v>44925</v>
      </c>
      <c r="OFN612" s="5" t="s">
        <v>3728</v>
      </c>
      <c r="OFO612" s="17">
        <v>44925</v>
      </c>
      <c r="OFP612" s="5" t="s">
        <v>3728</v>
      </c>
      <c r="OFQ612" s="17">
        <v>44925</v>
      </c>
      <c r="OFR612" s="5" t="s">
        <v>3728</v>
      </c>
      <c r="OFS612" s="17">
        <v>44925</v>
      </c>
      <c r="OFT612" s="5" t="s">
        <v>3728</v>
      </c>
      <c r="OFU612" s="17">
        <v>44925</v>
      </c>
      <c r="OFV612" s="5" t="s">
        <v>3728</v>
      </c>
      <c r="OFW612" s="17">
        <v>44925</v>
      </c>
      <c r="OFX612" s="5" t="s">
        <v>3728</v>
      </c>
      <c r="OFY612" s="17">
        <v>44925</v>
      </c>
      <c r="OFZ612" s="5" t="s">
        <v>3728</v>
      </c>
      <c r="OGA612" s="17">
        <v>44925</v>
      </c>
      <c r="OGB612" s="5" t="s">
        <v>3728</v>
      </c>
      <c r="OGC612" s="17">
        <v>44925</v>
      </c>
      <c r="OGD612" s="5" t="s">
        <v>3728</v>
      </c>
      <c r="OGE612" s="17">
        <v>44925</v>
      </c>
      <c r="OGF612" s="5" t="s">
        <v>3728</v>
      </c>
      <c r="OGG612" s="17">
        <v>44925</v>
      </c>
      <c r="OGH612" s="5" t="s">
        <v>3728</v>
      </c>
      <c r="OGI612" s="17">
        <v>44925</v>
      </c>
      <c r="OGJ612" s="5" t="s">
        <v>3728</v>
      </c>
      <c r="OGK612" s="17">
        <v>44925</v>
      </c>
      <c r="OGL612" s="5" t="s">
        <v>3728</v>
      </c>
      <c r="OGM612" s="17">
        <v>44925</v>
      </c>
      <c r="OGN612" s="5" t="s">
        <v>3728</v>
      </c>
      <c r="OGO612" s="17">
        <v>44925</v>
      </c>
      <c r="OGP612" s="5" t="s">
        <v>3728</v>
      </c>
      <c r="OGQ612" s="17">
        <v>44925</v>
      </c>
      <c r="OGR612" s="5" t="s">
        <v>3728</v>
      </c>
      <c r="OGS612" s="17">
        <v>44925</v>
      </c>
      <c r="OGT612" s="5" t="s">
        <v>3728</v>
      </c>
      <c r="OGU612" s="17">
        <v>44925</v>
      </c>
      <c r="OGV612" s="5" t="s">
        <v>3728</v>
      </c>
      <c r="OGW612" s="17">
        <v>44925</v>
      </c>
      <c r="OGX612" s="5" t="s">
        <v>3728</v>
      </c>
      <c r="OGY612" s="17">
        <v>44925</v>
      </c>
      <c r="OGZ612" s="5" t="s">
        <v>3728</v>
      </c>
      <c r="OHA612" s="17">
        <v>44925</v>
      </c>
      <c r="OHB612" s="5" t="s">
        <v>3728</v>
      </c>
      <c r="OHC612" s="17">
        <v>44925</v>
      </c>
      <c r="OHD612" s="5" t="s">
        <v>3728</v>
      </c>
      <c r="OHE612" s="17">
        <v>44925</v>
      </c>
      <c r="OHF612" s="5" t="s">
        <v>3728</v>
      </c>
      <c r="OHG612" s="17">
        <v>44925</v>
      </c>
      <c r="OHH612" s="5" t="s">
        <v>3728</v>
      </c>
      <c r="OHI612" s="17">
        <v>44925</v>
      </c>
      <c r="OHJ612" s="5" t="s">
        <v>3728</v>
      </c>
      <c r="OHK612" s="17">
        <v>44925</v>
      </c>
      <c r="OHL612" s="5" t="s">
        <v>3728</v>
      </c>
      <c r="OHM612" s="17">
        <v>44925</v>
      </c>
      <c r="OHN612" s="5" t="s">
        <v>3728</v>
      </c>
      <c r="OHO612" s="17">
        <v>44925</v>
      </c>
      <c r="OHP612" s="5" t="s">
        <v>3728</v>
      </c>
      <c r="OHQ612" s="17">
        <v>44925</v>
      </c>
      <c r="OHR612" s="5" t="s">
        <v>3728</v>
      </c>
      <c r="OHS612" s="17">
        <v>44925</v>
      </c>
      <c r="OHT612" s="5" t="s">
        <v>3728</v>
      </c>
      <c r="OHU612" s="17">
        <v>44925</v>
      </c>
      <c r="OHV612" s="5" t="s">
        <v>3728</v>
      </c>
      <c r="OHW612" s="17">
        <v>44925</v>
      </c>
      <c r="OHX612" s="5" t="s">
        <v>3728</v>
      </c>
      <c r="OHY612" s="17">
        <v>44925</v>
      </c>
      <c r="OHZ612" s="5" t="s">
        <v>3728</v>
      </c>
      <c r="OIA612" s="17">
        <v>44925</v>
      </c>
      <c r="OIB612" s="5" t="s">
        <v>3728</v>
      </c>
      <c r="OIC612" s="17">
        <v>44925</v>
      </c>
      <c r="OID612" s="5" t="s">
        <v>3728</v>
      </c>
      <c r="OIE612" s="17">
        <v>44925</v>
      </c>
      <c r="OIF612" s="5" t="s">
        <v>3728</v>
      </c>
      <c r="OIG612" s="17">
        <v>44925</v>
      </c>
      <c r="OIH612" s="5" t="s">
        <v>3728</v>
      </c>
      <c r="OII612" s="17">
        <v>44925</v>
      </c>
      <c r="OIJ612" s="5" t="s">
        <v>3728</v>
      </c>
      <c r="OIK612" s="17">
        <v>44925</v>
      </c>
      <c r="OIL612" s="5" t="s">
        <v>3728</v>
      </c>
      <c r="OIM612" s="17">
        <v>44925</v>
      </c>
      <c r="OIN612" s="5" t="s">
        <v>3728</v>
      </c>
      <c r="OIO612" s="17">
        <v>44925</v>
      </c>
      <c r="OIP612" s="5" t="s">
        <v>3728</v>
      </c>
      <c r="OIQ612" s="17">
        <v>44925</v>
      </c>
      <c r="OIR612" s="5" t="s">
        <v>3728</v>
      </c>
      <c r="OIS612" s="17">
        <v>44925</v>
      </c>
      <c r="OIT612" s="5" t="s">
        <v>3728</v>
      </c>
      <c r="OIU612" s="17">
        <v>44925</v>
      </c>
      <c r="OIV612" s="5" t="s">
        <v>3728</v>
      </c>
      <c r="OIW612" s="17">
        <v>44925</v>
      </c>
      <c r="OIX612" s="5" t="s">
        <v>3728</v>
      </c>
      <c r="OIY612" s="17">
        <v>44925</v>
      </c>
      <c r="OIZ612" s="5" t="s">
        <v>3728</v>
      </c>
      <c r="OJA612" s="17">
        <v>44925</v>
      </c>
      <c r="OJB612" s="5" t="s">
        <v>3728</v>
      </c>
      <c r="OJC612" s="17">
        <v>44925</v>
      </c>
      <c r="OJD612" s="5" t="s">
        <v>3728</v>
      </c>
      <c r="OJE612" s="17">
        <v>44925</v>
      </c>
      <c r="OJF612" s="5" t="s">
        <v>3728</v>
      </c>
      <c r="OJG612" s="17">
        <v>44925</v>
      </c>
      <c r="OJH612" s="5" t="s">
        <v>3728</v>
      </c>
      <c r="OJI612" s="17">
        <v>44925</v>
      </c>
      <c r="OJJ612" s="5" t="s">
        <v>3728</v>
      </c>
      <c r="OJK612" s="17">
        <v>44925</v>
      </c>
      <c r="OJL612" s="5" t="s">
        <v>3728</v>
      </c>
      <c r="OJM612" s="17">
        <v>44925</v>
      </c>
      <c r="OJN612" s="5" t="s">
        <v>3728</v>
      </c>
      <c r="OJO612" s="17">
        <v>44925</v>
      </c>
      <c r="OJP612" s="5" t="s">
        <v>3728</v>
      </c>
      <c r="OJQ612" s="17">
        <v>44925</v>
      </c>
      <c r="OJR612" s="5" t="s">
        <v>3728</v>
      </c>
      <c r="OJS612" s="17">
        <v>44925</v>
      </c>
      <c r="OJT612" s="5" t="s">
        <v>3728</v>
      </c>
      <c r="OJU612" s="17">
        <v>44925</v>
      </c>
      <c r="OJV612" s="5" t="s">
        <v>3728</v>
      </c>
      <c r="OJW612" s="17">
        <v>44925</v>
      </c>
      <c r="OJX612" s="5" t="s">
        <v>3728</v>
      </c>
      <c r="OJY612" s="17">
        <v>44925</v>
      </c>
      <c r="OJZ612" s="5" t="s">
        <v>3728</v>
      </c>
      <c r="OKA612" s="17">
        <v>44925</v>
      </c>
      <c r="OKB612" s="5" t="s">
        <v>3728</v>
      </c>
      <c r="OKC612" s="17">
        <v>44925</v>
      </c>
      <c r="OKD612" s="5" t="s">
        <v>3728</v>
      </c>
      <c r="OKE612" s="17">
        <v>44925</v>
      </c>
      <c r="OKF612" s="5" t="s">
        <v>3728</v>
      </c>
      <c r="OKG612" s="17">
        <v>44925</v>
      </c>
      <c r="OKH612" s="5" t="s">
        <v>3728</v>
      </c>
      <c r="OKI612" s="17">
        <v>44925</v>
      </c>
      <c r="OKJ612" s="5" t="s">
        <v>3728</v>
      </c>
      <c r="OKK612" s="17">
        <v>44925</v>
      </c>
      <c r="OKL612" s="5" t="s">
        <v>3728</v>
      </c>
      <c r="OKM612" s="17">
        <v>44925</v>
      </c>
      <c r="OKN612" s="5" t="s">
        <v>3728</v>
      </c>
      <c r="OKO612" s="17">
        <v>44925</v>
      </c>
      <c r="OKP612" s="5" t="s">
        <v>3728</v>
      </c>
      <c r="OKQ612" s="17">
        <v>44925</v>
      </c>
      <c r="OKR612" s="5" t="s">
        <v>3728</v>
      </c>
      <c r="OKS612" s="17">
        <v>44925</v>
      </c>
      <c r="OKT612" s="5" t="s">
        <v>3728</v>
      </c>
      <c r="OKU612" s="17">
        <v>44925</v>
      </c>
      <c r="OKV612" s="5" t="s">
        <v>3728</v>
      </c>
      <c r="OKW612" s="17">
        <v>44925</v>
      </c>
      <c r="OKX612" s="5" t="s">
        <v>3728</v>
      </c>
      <c r="OKY612" s="17">
        <v>44925</v>
      </c>
      <c r="OKZ612" s="5" t="s">
        <v>3728</v>
      </c>
      <c r="OLA612" s="17">
        <v>44925</v>
      </c>
      <c r="OLB612" s="5" t="s">
        <v>3728</v>
      </c>
      <c r="OLC612" s="17">
        <v>44925</v>
      </c>
      <c r="OLD612" s="5" t="s">
        <v>3728</v>
      </c>
      <c r="OLE612" s="17">
        <v>44925</v>
      </c>
      <c r="OLF612" s="5" t="s">
        <v>3728</v>
      </c>
      <c r="OLG612" s="17">
        <v>44925</v>
      </c>
      <c r="OLH612" s="5" t="s">
        <v>3728</v>
      </c>
      <c r="OLI612" s="17">
        <v>44925</v>
      </c>
      <c r="OLJ612" s="5" t="s">
        <v>3728</v>
      </c>
      <c r="OLK612" s="17">
        <v>44925</v>
      </c>
      <c r="OLL612" s="5" t="s">
        <v>3728</v>
      </c>
      <c r="OLM612" s="17">
        <v>44925</v>
      </c>
      <c r="OLN612" s="5" t="s">
        <v>3728</v>
      </c>
      <c r="OLO612" s="17">
        <v>44925</v>
      </c>
      <c r="OLP612" s="5" t="s">
        <v>3728</v>
      </c>
      <c r="OLQ612" s="17">
        <v>44925</v>
      </c>
      <c r="OLR612" s="5" t="s">
        <v>3728</v>
      </c>
      <c r="OLS612" s="17">
        <v>44925</v>
      </c>
      <c r="OLT612" s="5" t="s">
        <v>3728</v>
      </c>
      <c r="OLU612" s="17">
        <v>44925</v>
      </c>
      <c r="OLV612" s="5" t="s">
        <v>3728</v>
      </c>
      <c r="OLW612" s="17">
        <v>44925</v>
      </c>
      <c r="OLX612" s="5" t="s">
        <v>3728</v>
      </c>
      <c r="OLY612" s="17">
        <v>44925</v>
      </c>
      <c r="OLZ612" s="5" t="s">
        <v>3728</v>
      </c>
      <c r="OMA612" s="17">
        <v>44925</v>
      </c>
      <c r="OMB612" s="5" t="s">
        <v>3728</v>
      </c>
      <c r="OMC612" s="17">
        <v>44925</v>
      </c>
      <c r="OMD612" s="5" t="s">
        <v>3728</v>
      </c>
      <c r="OME612" s="17">
        <v>44925</v>
      </c>
      <c r="OMF612" s="5" t="s">
        <v>3728</v>
      </c>
      <c r="OMG612" s="17">
        <v>44925</v>
      </c>
      <c r="OMH612" s="5" t="s">
        <v>3728</v>
      </c>
      <c r="OMI612" s="17">
        <v>44925</v>
      </c>
      <c r="OMJ612" s="5" t="s">
        <v>3728</v>
      </c>
      <c r="OMK612" s="17">
        <v>44925</v>
      </c>
      <c r="OML612" s="5" t="s">
        <v>3728</v>
      </c>
      <c r="OMM612" s="17">
        <v>44925</v>
      </c>
      <c r="OMN612" s="5" t="s">
        <v>3728</v>
      </c>
      <c r="OMO612" s="17">
        <v>44925</v>
      </c>
      <c r="OMP612" s="5" t="s">
        <v>3728</v>
      </c>
      <c r="OMQ612" s="17">
        <v>44925</v>
      </c>
      <c r="OMR612" s="5" t="s">
        <v>3728</v>
      </c>
      <c r="OMS612" s="17">
        <v>44925</v>
      </c>
      <c r="OMT612" s="5" t="s">
        <v>3728</v>
      </c>
      <c r="OMU612" s="17">
        <v>44925</v>
      </c>
      <c r="OMV612" s="5" t="s">
        <v>3728</v>
      </c>
      <c r="OMW612" s="17">
        <v>44925</v>
      </c>
      <c r="OMX612" s="5" t="s">
        <v>3728</v>
      </c>
      <c r="OMY612" s="17">
        <v>44925</v>
      </c>
      <c r="OMZ612" s="5" t="s">
        <v>3728</v>
      </c>
      <c r="ONA612" s="17">
        <v>44925</v>
      </c>
      <c r="ONB612" s="5" t="s">
        <v>3728</v>
      </c>
      <c r="ONC612" s="17">
        <v>44925</v>
      </c>
      <c r="OND612" s="5" t="s">
        <v>3728</v>
      </c>
      <c r="ONE612" s="17">
        <v>44925</v>
      </c>
      <c r="ONF612" s="5" t="s">
        <v>3728</v>
      </c>
      <c r="ONG612" s="17">
        <v>44925</v>
      </c>
      <c r="ONH612" s="5" t="s">
        <v>3728</v>
      </c>
      <c r="ONI612" s="17">
        <v>44925</v>
      </c>
      <c r="ONJ612" s="5" t="s">
        <v>3728</v>
      </c>
      <c r="ONK612" s="17">
        <v>44925</v>
      </c>
      <c r="ONL612" s="5" t="s">
        <v>3728</v>
      </c>
      <c r="ONM612" s="17">
        <v>44925</v>
      </c>
      <c r="ONN612" s="5" t="s">
        <v>3728</v>
      </c>
      <c r="ONO612" s="17">
        <v>44925</v>
      </c>
      <c r="ONP612" s="5" t="s">
        <v>3728</v>
      </c>
      <c r="ONQ612" s="17">
        <v>44925</v>
      </c>
      <c r="ONR612" s="5" t="s">
        <v>3728</v>
      </c>
      <c r="ONS612" s="17">
        <v>44925</v>
      </c>
      <c r="ONT612" s="5" t="s">
        <v>3728</v>
      </c>
      <c r="ONU612" s="17">
        <v>44925</v>
      </c>
      <c r="ONV612" s="5" t="s">
        <v>3728</v>
      </c>
      <c r="ONW612" s="17">
        <v>44925</v>
      </c>
      <c r="ONX612" s="5" t="s">
        <v>3728</v>
      </c>
      <c r="ONY612" s="17">
        <v>44925</v>
      </c>
      <c r="ONZ612" s="5" t="s">
        <v>3728</v>
      </c>
      <c r="OOA612" s="17">
        <v>44925</v>
      </c>
      <c r="OOB612" s="5" t="s">
        <v>3728</v>
      </c>
      <c r="OOC612" s="17">
        <v>44925</v>
      </c>
      <c r="OOD612" s="5" t="s">
        <v>3728</v>
      </c>
      <c r="OOE612" s="17">
        <v>44925</v>
      </c>
      <c r="OOF612" s="5" t="s">
        <v>3728</v>
      </c>
      <c r="OOG612" s="17">
        <v>44925</v>
      </c>
      <c r="OOH612" s="5" t="s">
        <v>3728</v>
      </c>
      <c r="OOI612" s="17">
        <v>44925</v>
      </c>
      <c r="OOJ612" s="5" t="s">
        <v>3728</v>
      </c>
      <c r="OOK612" s="17">
        <v>44925</v>
      </c>
      <c r="OOL612" s="5" t="s">
        <v>3728</v>
      </c>
      <c r="OOM612" s="17">
        <v>44925</v>
      </c>
      <c r="OON612" s="5" t="s">
        <v>3728</v>
      </c>
      <c r="OOO612" s="17">
        <v>44925</v>
      </c>
      <c r="OOP612" s="5" t="s">
        <v>3728</v>
      </c>
      <c r="OOQ612" s="17">
        <v>44925</v>
      </c>
      <c r="OOR612" s="5" t="s">
        <v>3728</v>
      </c>
      <c r="OOS612" s="17">
        <v>44925</v>
      </c>
      <c r="OOT612" s="5" t="s">
        <v>3728</v>
      </c>
      <c r="OOU612" s="17">
        <v>44925</v>
      </c>
      <c r="OOV612" s="5" t="s">
        <v>3728</v>
      </c>
      <c r="OOW612" s="17">
        <v>44925</v>
      </c>
      <c r="OOX612" s="5" t="s">
        <v>3728</v>
      </c>
      <c r="OOY612" s="17">
        <v>44925</v>
      </c>
      <c r="OOZ612" s="5" t="s">
        <v>3728</v>
      </c>
      <c r="OPA612" s="17">
        <v>44925</v>
      </c>
      <c r="OPB612" s="5" t="s">
        <v>3728</v>
      </c>
      <c r="OPC612" s="17">
        <v>44925</v>
      </c>
      <c r="OPD612" s="5" t="s">
        <v>3728</v>
      </c>
      <c r="OPE612" s="17">
        <v>44925</v>
      </c>
      <c r="OPF612" s="5" t="s">
        <v>3728</v>
      </c>
      <c r="OPG612" s="17">
        <v>44925</v>
      </c>
      <c r="OPH612" s="5" t="s">
        <v>3728</v>
      </c>
      <c r="OPI612" s="17">
        <v>44925</v>
      </c>
      <c r="OPJ612" s="5" t="s">
        <v>3728</v>
      </c>
      <c r="OPK612" s="17">
        <v>44925</v>
      </c>
      <c r="OPL612" s="5" t="s">
        <v>3728</v>
      </c>
      <c r="OPM612" s="17">
        <v>44925</v>
      </c>
      <c r="OPN612" s="5" t="s">
        <v>3728</v>
      </c>
      <c r="OPO612" s="17">
        <v>44925</v>
      </c>
      <c r="OPP612" s="5" t="s">
        <v>3728</v>
      </c>
      <c r="OPQ612" s="17">
        <v>44925</v>
      </c>
      <c r="OPR612" s="5" t="s">
        <v>3728</v>
      </c>
      <c r="OPS612" s="17">
        <v>44925</v>
      </c>
      <c r="OPT612" s="5" t="s">
        <v>3728</v>
      </c>
      <c r="OPU612" s="17">
        <v>44925</v>
      </c>
      <c r="OPV612" s="5" t="s">
        <v>3728</v>
      </c>
      <c r="OPW612" s="17">
        <v>44925</v>
      </c>
      <c r="OPX612" s="5" t="s">
        <v>3728</v>
      </c>
      <c r="OPY612" s="17">
        <v>44925</v>
      </c>
      <c r="OPZ612" s="5" t="s">
        <v>3728</v>
      </c>
      <c r="OQA612" s="17">
        <v>44925</v>
      </c>
      <c r="OQB612" s="5" t="s">
        <v>3728</v>
      </c>
      <c r="OQC612" s="17">
        <v>44925</v>
      </c>
      <c r="OQD612" s="5" t="s">
        <v>3728</v>
      </c>
      <c r="OQE612" s="17">
        <v>44925</v>
      </c>
      <c r="OQF612" s="5" t="s">
        <v>3728</v>
      </c>
      <c r="OQG612" s="17">
        <v>44925</v>
      </c>
      <c r="OQH612" s="5" t="s">
        <v>3728</v>
      </c>
      <c r="OQI612" s="17">
        <v>44925</v>
      </c>
      <c r="OQJ612" s="5" t="s">
        <v>3728</v>
      </c>
      <c r="OQK612" s="17">
        <v>44925</v>
      </c>
      <c r="OQL612" s="5" t="s">
        <v>3728</v>
      </c>
      <c r="OQM612" s="17">
        <v>44925</v>
      </c>
      <c r="OQN612" s="5" t="s">
        <v>3728</v>
      </c>
      <c r="OQO612" s="17">
        <v>44925</v>
      </c>
      <c r="OQP612" s="5" t="s">
        <v>3728</v>
      </c>
      <c r="OQQ612" s="17">
        <v>44925</v>
      </c>
      <c r="OQR612" s="5" t="s">
        <v>3728</v>
      </c>
      <c r="OQS612" s="17">
        <v>44925</v>
      </c>
      <c r="OQT612" s="5" t="s">
        <v>3728</v>
      </c>
      <c r="OQU612" s="17">
        <v>44925</v>
      </c>
      <c r="OQV612" s="5" t="s">
        <v>3728</v>
      </c>
      <c r="OQW612" s="17">
        <v>44925</v>
      </c>
      <c r="OQX612" s="5" t="s">
        <v>3728</v>
      </c>
      <c r="OQY612" s="17">
        <v>44925</v>
      </c>
      <c r="OQZ612" s="5" t="s">
        <v>3728</v>
      </c>
      <c r="ORA612" s="17">
        <v>44925</v>
      </c>
      <c r="ORB612" s="5" t="s">
        <v>3728</v>
      </c>
      <c r="ORC612" s="17">
        <v>44925</v>
      </c>
      <c r="ORD612" s="5" t="s">
        <v>3728</v>
      </c>
      <c r="ORE612" s="17">
        <v>44925</v>
      </c>
      <c r="ORF612" s="5" t="s">
        <v>3728</v>
      </c>
      <c r="ORG612" s="17">
        <v>44925</v>
      </c>
      <c r="ORH612" s="5" t="s">
        <v>3728</v>
      </c>
      <c r="ORI612" s="17">
        <v>44925</v>
      </c>
      <c r="ORJ612" s="5" t="s">
        <v>3728</v>
      </c>
      <c r="ORK612" s="17">
        <v>44925</v>
      </c>
      <c r="ORL612" s="5" t="s">
        <v>3728</v>
      </c>
      <c r="ORM612" s="17">
        <v>44925</v>
      </c>
      <c r="ORN612" s="5" t="s">
        <v>3728</v>
      </c>
      <c r="ORO612" s="17">
        <v>44925</v>
      </c>
      <c r="ORP612" s="5" t="s">
        <v>3728</v>
      </c>
      <c r="ORQ612" s="17">
        <v>44925</v>
      </c>
      <c r="ORR612" s="5" t="s">
        <v>3728</v>
      </c>
      <c r="ORS612" s="17">
        <v>44925</v>
      </c>
      <c r="ORT612" s="5" t="s">
        <v>3728</v>
      </c>
      <c r="ORU612" s="17">
        <v>44925</v>
      </c>
      <c r="ORV612" s="5" t="s">
        <v>3728</v>
      </c>
      <c r="ORW612" s="17">
        <v>44925</v>
      </c>
      <c r="ORX612" s="5" t="s">
        <v>3728</v>
      </c>
      <c r="ORY612" s="17">
        <v>44925</v>
      </c>
      <c r="ORZ612" s="5" t="s">
        <v>3728</v>
      </c>
      <c r="OSA612" s="17">
        <v>44925</v>
      </c>
      <c r="OSB612" s="5" t="s">
        <v>3728</v>
      </c>
      <c r="OSC612" s="17">
        <v>44925</v>
      </c>
      <c r="OSD612" s="5" t="s">
        <v>3728</v>
      </c>
      <c r="OSE612" s="17">
        <v>44925</v>
      </c>
      <c r="OSF612" s="5" t="s">
        <v>3728</v>
      </c>
      <c r="OSG612" s="17">
        <v>44925</v>
      </c>
      <c r="OSH612" s="5" t="s">
        <v>3728</v>
      </c>
      <c r="OSI612" s="17">
        <v>44925</v>
      </c>
      <c r="OSJ612" s="5" t="s">
        <v>3728</v>
      </c>
      <c r="OSK612" s="17">
        <v>44925</v>
      </c>
      <c r="OSL612" s="5" t="s">
        <v>3728</v>
      </c>
      <c r="OSM612" s="17">
        <v>44925</v>
      </c>
      <c r="OSN612" s="5" t="s">
        <v>3728</v>
      </c>
      <c r="OSO612" s="17">
        <v>44925</v>
      </c>
      <c r="OSP612" s="5" t="s">
        <v>3728</v>
      </c>
      <c r="OSQ612" s="17">
        <v>44925</v>
      </c>
      <c r="OSR612" s="5" t="s">
        <v>3728</v>
      </c>
      <c r="OSS612" s="17">
        <v>44925</v>
      </c>
      <c r="OST612" s="5" t="s">
        <v>3728</v>
      </c>
      <c r="OSU612" s="17">
        <v>44925</v>
      </c>
      <c r="OSV612" s="5" t="s">
        <v>3728</v>
      </c>
      <c r="OSW612" s="17">
        <v>44925</v>
      </c>
      <c r="OSX612" s="5" t="s">
        <v>3728</v>
      </c>
      <c r="OSY612" s="17">
        <v>44925</v>
      </c>
      <c r="OSZ612" s="5" t="s">
        <v>3728</v>
      </c>
      <c r="OTA612" s="17">
        <v>44925</v>
      </c>
      <c r="OTB612" s="5" t="s">
        <v>3728</v>
      </c>
      <c r="OTC612" s="17">
        <v>44925</v>
      </c>
      <c r="OTD612" s="5" t="s">
        <v>3728</v>
      </c>
      <c r="OTE612" s="17">
        <v>44925</v>
      </c>
      <c r="OTF612" s="5" t="s">
        <v>3728</v>
      </c>
      <c r="OTG612" s="17">
        <v>44925</v>
      </c>
      <c r="OTH612" s="5" t="s">
        <v>3728</v>
      </c>
      <c r="OTI612" s="17">
        <v>44925</v>
      </c>
      <c r="OTJ612" s="5" t="s">
        <v>3728</v>
      </c>
      <c r="OTK612" s="17">
        <v>44925</v>
      </c>
      <c r="OTL612" s="5" t="s">
        <v>3728</v>
      </c>
      <c r="OTM612" s="17">
        <v>44925</v>
      </c>
      <c r="OTN612" s="5" t="s">
        <v>3728</v>
      </c>
      <c r="OTO612" s="17">
        <v>44925</v>
      </c>
      <c r="OTP612" s="5" t="s">
        <v>3728</v>
      </c>
      <c r="OTQ612" s="17">
        <v>44925</v>
      </c>
      <c r="OTR612" s="5" t="s">
        <v>3728</v>
      </c>
      <c r="OTS612" s="17">
        <v>44925</v>
      </c>
      <c r="OTT612" s="5" t="s">
        <v>3728</v>
      </c>
      <c r="OTU612" s="17">
        <v>44925</v>
      </c>
      <c r="OTV612" s="5" t="s">
        <v>3728</v>
      </c>
      <c r="OTW612" s="17">
        <v>44925</v>
      </c>
      <c r="OTX612" s="5" t="s">
        <v>3728</v>
      </c>
      <c r="OTY612" s="17">
        <v>44925</v>
      </c>
      <c r="OTZ612" s="5" t="s">
        <v>3728</v>
      </c>
      <c r="OUA612" s="17">
        <v>44925</v>
      </c>
      <c r="OUB612" s="5" t="s">
        <v>3728</v>
      </c>
      <c r="OUC612" s="17">
        <v>44925</v>
      </c>
      <c r="OUD612" s="5" t="s">
        <v>3728</v>
      </c>
      <c r="OUE612" s="17">
        <v>44925</v>
      </c>
      <c r="OUF612" s="5" t="s">
        <v>3728</v>
      </c>
      <c r="OUG612" s="17">
        <v>44925</v>
      </c>
      <c r="OUH612" s="5" t="s">
        <v>3728</v>
      </c>
      <c r="OUI612" s="17">
        <v>44925</v>
      </c>
      <c r="OUJ612" s="5" t="s">
        <v>3728</v>
      </c>
      <c r="OUK612" s="17">
        <v>44925</v>
      </c>
      <c r="OUL612" s="5" t="s">
        <v>3728</v>
      </c>
      <c r="OUM612" s="17">
        <v>44925</v>
      </c>
      <c r="OUN612" s="5" t="s">
        <v>3728</v>
      </c>
      <c r="OUO612" s="17">
        <v>44925</v>
      </c>
      <c r="OUP612" s="5" t="s">
        <v>3728</v>
      </c>
      <c r="OUQ612" s="17">
        <v>44925</v>
      </c>
      <c r="OUR612" s="5" t="s">
        <v>3728</v>
      </c>
      <c r="OUS612" s="17">
        <v>44925</v>
      </c>
      <c r="OUT612" s="5" t="s">
        <v>3728</v>
      </c>
      <c r="OUU612" s="17">
        <v>44925</v>
      </c>
      <c r="OUV612" s="5" t="s">
        <v>3728</v>
      </c>
      <c r="OUW612" s="17">
        <v>44925</v>
      </c>
      <c r="OUX612" s="5" t="s">
        <v>3728</v>
      </c>
      <c r="OUY612" s="17">
        <v>44925</v>
      </c>
      <c r="OUZ612" s="5" t="s">
        <v>3728</v>
      </c>
      <c r="OVA612" s="17">
        <v>44925</v>
      </c>
      <c r="OVB612" s="5" t="s">
        <v>3728</v>
      </c>
      <c r="OVC612" s="17">
        <v>44925</v>
      </c>
      <c r="OVD612" s="5" t="s">
        <v>3728</v>
      </c>
      <c r="OVE612" s="17">
        <v>44925</v>
      </c>
      <c r="OVF612" s="5" t="s">
        <v>3728</v>
      </c>
      <c r="OVG612" s="17">
        <v>44925</v>
      </c>
      <c r="OVH612" s="5" t="s">
        <v>3728</v>
      </c>
      <c r="OVI612" s="17">
        <v>44925</v>
      </c>
      <c r="OVJ612" s="5" t="s">
        <v>3728</v>
      </c>
      <c r="OVK612" s="17">
        <v>44925</v>
      </c>
      <c r="OVL612" s="5" t="s">
        <v>3728</v>
      </c>
      <c r="OVM612" s="17">
        <v>44925</v>
      </c>
      <c r="OVN612" s="5" t="s">
        <v>3728</v>
      </c>
      <c r="OVO612" s="17">
        <v>44925</v>
      </c>
      <c r="OVP612" s="5" t="s">
        <v>3728</v>
      </c>
      <c r="OVQ612" s="17">
        <v>44925</v>
      </c>
      <c r="OVR612" s="5" t="s">
        <v>3728</v>
      </c>
      <c r="OVS612" s="17">
        <v>44925</v>
      </c>
      <c r="OVT612" s="5" t="s">
        <v>3728</v>
      </c>
      <c r="OVU612" s="17">
        <v>44925</v>
      </c>
      <c r="OVV612" s="5" t="s">
        <v>3728</v>
      </c>
      <c r="OVW612" s="17">
        <v>44925</v>
      </c>
      <c r="OVX612" s="5" t="s">
        <v>3728</v>
      </c>
      <c r="OVY612" s="17">
        <v>44925</v>
      </c>
      <c r="OVZ612" s="5" t="s">
        <v>3728</v>
      </c>
      <c r="OWA612" s="17">
        <v>44925</v>
      </c>
      <c r="OWB612" s="5" t="s">
        <v>3728</v>
      </c>
      <c r="OWC612" s="17">
        <v>44925</v>
      </c>
      <c r="OWD612" s="5" t="s">
        <v>3728</v>
      </c>
      <c r="OWE612" s="17">
        <v>44925</v>
      </c>
      <c r="OWF612" s="5" t="s">
        <v>3728</v>
      </c>
      <c r="OWG612" s="17">
        <v>44925</v>
      </c>
      <c r="OWH612" s="5" t="s">
        <v>3728</v>
      </c>
      <c r="OWI612" s="17">
        <v>44925</v>
      </c>
      <c r="OWJ612" s="5" t="s">
        <v>3728</v>
      </c>
      <c r="OWK612" s="17">
        <v>44925</v>
      </c>
      <c r="OWL612" s="5" t="s">
        <v>3728</v>
      </c>
      <c r="OWM612" s="17">
        <v>44925</v>
      </c>
      <c r="OWN612" s="5" t="s">
        <v>3728</v>
      </c>
      <c r="OWO612" s="17">
        <v>44925</v>
      </c>
      <c r="OWP612" s="5" t="s">
        <v>3728</v>
      </c>
      <c r="OWQ612" s="17">
        <v>44925</v>
      </c>
      <c r="OWR612" s="5" t="s">
        <v>3728</v>
      </c>
      <c r="OWS612" s="17">
        <v>44925</v>
      </c>
      <c r="OWT612" s="5" t="s">
        <v>3728</v>
      </c>
      <c r="OWU612" s="17">
        <v>44925</v>
      </c>
      <c r="OWV612" s="5" t="s">
        <v>3728</v>
      </c>
      <c r="OWW612" s="17">
        <v>44925</v>
      </c>
      <c r="OWX612" s="5" t="s">
        <v>3728</v>
      </c>
      <c r="OWY612" s="17">
        <v>44925</v>
      </c>
      <c r="OWZ612" s="5" t="s">
        <v>3728</v>
      </c>
      <c r="OXA612" s="17">
        <v>44925</v>
      </c>
      <c r="OXB612" s="5" t="s">
        <v>3728</v>
      </c>
      <c r="OXC612" s="17">
        <v>44925</v>
      </c>
      <c r="OXD612" s="5" t="s">
        <v>3728</v>
      </c>
      <c r="OXE612" s="17">
        <v>44925</v>
      </c>
      <c r="OXF612" s="5" t="s">
        <v>3728</v>
      </c>
      <c r="OXG612" s="17">
        <v>44925</v>
      </c>
      <c r="OXH612" s="5" t="s">
        <v>3728</v>
      </c>
      <c r="OXI612" s="17">
        <v>44925</v>
      </c>
      <c r="OXJ612" s="5" t="s">
        <v>3728</v>
      </c>
      <c r="OXK612" s="17">
        <v>44925</v>
      </c>
      <c r="OXL612" s="5" t="s">
        <v>3728</v>
      </c>
      <c r="OXM612" s="17">
        <v>44925</v>
      </c>
      <c r="OXN612" s="5" t="s">
        <v>3728</v>
      </c>
      <c r="OXO612" s="17">
        <v>44925</v>
      </c>
      <c r="OXP612" s="5" t="s">
        <v>3728</v>
      </c>
      <c r="OXQ612" s="17">
        <v>44925</v>
      </c>
      <c r="OXR612" s="5" t="s">
        <v>3728</v>
      </c>
      <c r="OXS612" s="17">
        <v>44925</v>
      </c>
      <c r="OXT612" s="5" t="s">
        <v>3728</v>
      </c>
      <c r="OXU612" s="17">
        <v>44925</v>
      </c>
      <c r="OXV612" s="5" t="s">
        <v>3728</v>
      </c>
      <c r="OXW612" s="17">
        <v>44925</v>
      </c>
      <c r="OXX612" s="5" t="s">
        <v>3728</v>
      </c>
      <c r="OXY612" s="17">
        <v>44925</v>
      </c>
      <c r="OXZ612" s="5" t="s">
        <v>3728</v>
      </c>
      <c r="OYA612" s="17">
        <v>44925</v>
      </c>
      <c r="OYB612" s="5" t="s">
        <v>3728</v>
      </c>
      <c r="OYC612" s="17">
        <v>44925</v>
      </c>
      <c r="OYD612" s="5" t="s">
        <v>3728</v>
      </c>
      <c r="OYE612" s="17">
        <v>44925</v>
      </c>
      <c r="OYF612" s="5" t="s">
        <v>3728</v>
      </c>
      <c r="OYG612" s="17">
        <v>44925</v>
      </c>
      <c r="OYH612" s="5" t="s">
        <v>3728</v>
      </c>
      <c r="OYI612" s="17">
        <v>44925</v>
      </c>
      <c r="OYJ612" s="5" t="s">
        <v>3728</v>
      </c>
      <c r="OYK612" s="17">
        <v>44925</v>
      </c>
      <c r="OYL612" s="5" t="s">
        <v>3728</v>
      </c>
      <c r="OYM612" s="17">
        <v>44925</v>
      </c>
      <c r="OYN612" s="5" t="s">
        <v>3728</v>
      </c>
      <c r="OYO612" s="17">
        <v>44925</v>
      </c>
      <c r="OYP612" s="5" t="s">
        <v>3728</v>
      </c>
      <c r="OYQ612" s="17">
        <v>44925</v>
      </c>
      <c r="OYR612" s="5" t="s">
        <v>3728</v>
      </c>
      <c r="OYS612" s="17">
        <v>44925</v>
      </c>
      <c r="OYT612" s="5" t="s">
        <v>3728</v>
      </c>
      <c r="OYU612" s="17">
        <v>44925</v>
      </c>
      <c r="OYV612" s="5" t="s">
        <v>3728</v>
      </c>
      <c r="OYW612" s="17">
        <v>44925</v>
      </c>
      <c r="OYX612" s="5" t="s">
        <v>3728</v>
      </c>
      <c r="OYY612" s="17">
        <v>44925</v>
      </c>
      <c r="OYZ612" s="5" t="s">
        <v>3728</v>
      </c>
      <c r="OZA612" s="17">
        <v>44925</v>
      </c>
      <c r="OZB612" s="5" t="s">
        <v>3728</v>
      </c>
      <c r="OZC612" s="17">
        <v>44925</v>
      </c>
      <c r="OZD612" s="5" t="s">
        <v>3728</v>
      </c>
      <c r="OZE612" s="17">
        <v>44925</v>
      </c>
      <c r="OZF612" s="5" t="s">
        <v>3728</v>
      </c>
      <c r="OZG612" s="17">
        <v>44925</v>
      </c>
      <c r="OZH612" s="5" t="s">
        <v>3728</v>
      </c>
      <c r="OZI612" s="17">
        <v>44925</v>
      </c>
      <c r="OZJ612" s="5" t="s">
        <v>3728</v>
      </c>
      <c r="OZK612" s="17">
        <v>44925</v>
      </c>
      <c r="OZL612" s="5" t="s">
        <v>3728</v>
      </c>
      <c r="OZM612" s="17">
        <v>44925</v>
      </c>
      <c r="OZN612" s="5" t="s">
        <v>3728</v>
      </c>
      <c r="OZO612" s="17">
        <v>44925</v>
      </c>
      <c r="OZP612" s="5" t="s">
        <v>3728</v>
      </c>
      <c r="OZQ612" s="17">
        <v>44925</v>
      </c>
      <c r="OZR612" s="5" t="s">
        <v>3728</v>
      </c>
      <c r="OZS612" s="17">
        <v>44925</v>
      </c>
      <c r="OZT612" s="5" t="s">
        <v>3728</v>
      </c>
      <c r="OZU612" s="17">
        <v>44925</v>
      </c>
      <c r="OZV612" s="5" t="s">
        <v>3728</v>
      </c>
      <c r="OZW612" s="17">
        <v>44925</v>
      </c>
      <c r="OZX612" s="5" t="s">
        <v>3728</v>
      </c>
      <c r="OZY612" s="17">
        <v>44925</v>
      </c>
      <c r="OZZ612" s="5" t="s">
        <v>3728</v>
      </c>
      <c r="PAA612" s="17">
        <v>44925</v>
      </c>
      <c r="PAB612" s="5" t="s">
        <v>3728</v>
      </c>
      <c r="PAC612" s="17">
        <v>44925</v>
      </c>
      <c r="PAD612" s="5" t="s">
        <v>3728</v>
      </c>
      <c r="PAE612" s="17">
        <v>44925</v>
      </c>
      <c r="PAF612" s="5" t="s">
        <v>3728</v>
      </c>
      <c r="PAG612" s="17">
        <v>44925</v>
      </c>
      <c r="PAH612" s="5" t="s">
        <v>3728</v>
      </c>
      <c r="PAI612" s="17">
        <v>44925</v>
      </c>
      <c r="PAJ612" s="5" t="s">
        <v>3728</v>
      </c>
      <c r="PAK612" s="17">
        <v>44925</v>
      </c>
      <c r="PAL612" s="5" t="s">
        <v>3728</v>
      </c>
      <c r="PAM612" s="17">
        <v>44925</v>
      </c>
      <c r="PAN612" s="5" t="s">
        <v>3728</v>
      </c>
      <c r="PAO612" s="17">
        <v>44925</v>
      </c>
      <c r="PAP612" s="5" t="s">
        <v>3728</v>
      </c>
      <c r="PAQ612" s="17">
        <v>44925</v>
      </c>
      <c r="PAR612" s="5" t="s">
        <v>3728</v>
      </c>
      <c r="PAS612" s="17">
        <v>44925</v>
      </c>
      <c r="PAT612" s="5" t="s">
        <v>3728</v>
      </c>
      <c r="PAU612" s="17">
        <v>44925</v>
      </c>
      <c r="PAV612" s="5" t="s">
        <v>3728</v>
      </c>
      <c r="PAW612" s="17">
        <v>44925</v>
      </c>
      <c r="PAX612" s="5" t="s">
        <v>3728</v>
      </c>
      <c r="PAY612" s="17">
        <v>44925</v>
      </c>
      <c r="PAZ612" s="5" t="s">
        <v>3728</v>
      </c>
      <c r="PBA612" s="17">
        <v>44925</v>
      </c>
      <c r="PBB612" s="5" t="s">
        <v>3728</v>
      </c>
      <c r="PBC612" s="17">
        <v>44925</v>
      </c>
      <c r="PBD612" s="5" t="s">
        <v>3728</v>
      </c>
      <c r="PBE612" s="17">
        <v>44925</v>
      </c>
      <c r="PBF612" s="5" t="s">
        <v>3728</v>
      </c>
      <c r="PBG612" s="17">
        <v>44925</v>
      </c>
      <c r="PBH612" s="5" t="s">
        <v>3728</v>
      </c>
      <c r="PBI612" s="17">
        <v>44925</v>
      </c>
      <c r="PBJ612" s="5" t="s">
        <v>3728</v>
      </c>
      <c r="PBK612" s="17">
        <v>44925</v>
      </c>
      <c r="PBL612" s="5" t="s">
        <v>3728</v>
      </c>
      <c r="PBM612" s="17">
        <v>44925</v>
      </c>
      <c r="PBN612" s="5" t="s">
        <v>3728</v>
      </c>
      <c r="PBO612" s="17">
        <v>44925</v>
      </c>
      <c r="PBP612" s="5" t="s">
        <v>3728</v>
      </c>
      <c r="PBQ612" s="17">
        <v>44925</v>
      </c>
      <c r="PBR612" s="5" t="s">
        <v>3728</v>
      </c>
      <c r="PBS612" s="17">
        <v>44925</v>
      </c>
      <c r="PBT612" s="5" t="s">
        <v>3728</v>
      </c>
      <c r="PBU612" s="17">
        <v>44925</v>
      </c>
      <c r="PBV612" s="5" t="s">
        <v>3728</v>
      </c>
      <c r="PBW612" s="17">
        <v>44925</v>
      </c>
      <c r="PBX612" s="5" t="s">
        <v>3728</v>
      </c>
      <c r="PBY612" s="17">
        <v>44925</v>
      </c>
      <c r="PBZ612" s="5" t="s">
        <v>3728</v>
      </c>
      <c r="PCA612" s="17">
        <v>44925</v>
      </c>
      <c r="PCB612" s="5" t="s">
        <v>3728</v>
      </c>
      <c r="PCC612" s="17">
        <v>44925</v>
      </c>
      <c r="PCD612" s="5" t="s">
        <v>3728</v>
      </c>
      <c r="PCE612" s="17">
        <v>44925</v>
      </c>
      <c r="PCF612" s="5" t="s">
        <v>3728</v>
      </c>
      <c r="PCG612" s="17">
        <v>44925</v>
      </c>
      <c r="PCH612" s="5" t="s">
        <v>3728</v>
      </c>
      <c r="PCI612" s="17">
        <v>44925</v>
      </c>
      <c r="PCJ612" s="5" t="s">
        <v>3728</v>
      </c>
      <c r="PCK612" s="17">
        <v>44925</v>
      </c>
      <c r="PCL612" s="5" t="s">
        <v>3728</v>
      </c>
      <c r="PCM612" s="17">
        <v>44925</v>
      </c>
      <c r="PCN612" s="5" t="s">
        <v>3728</v>
      </c>
      <c r="PCO612" s="17">
        <v>44925</v>
      </c>
      <c r="PCP612" s="5" t="s">
        <v>3728</v>
      </c>
      <c r="PCQ612" s="17">
        <v>44925</v>
      </c>
      <c r="PCR612" s="5" t="s">
        <v>3728</v>
      </c>
      <c r="PCS612" s="17">
        <v>44925</v>
      </c>
      <c r="PCT612" s="5" t="s">
        <v>3728</v>
      </c>
      <c r="PCU612" s="17">
        <v>44925</v>
      </c>
      <c r="PCV612" s="5" t="s">
        <v>3728</v>
      </c>
      <c r="PCW612" s="17">
        <v>44925</v>
      </c>
      <c r="PCX612" s="5" t="s">
        <v>3728</v>
      </c>
      <c r="PCY612" s="17">
        <v>44925</v>
      </c>
      <c r="PCZ612" s="5" t="s">
        <v>3728</v>
      </c>
      <c r="PDA612" s="17">
        <v>44925</v>
      </c>
      <c r="PDB612" s="5" t="s">
        <v>3728</v>
      </c>
      <c r="PDC612" s="17">
        <v>44925</v>
      </c>
      <c r="PDD612" s="5" t="s">
        <v>3728</v>
      </c>
      <c r="PDE612" s="17">
        <v>44925</v>
      </c>
      <c r="PDF612" s="5" t="s">
        <v>3728</v>
      </c>
      <c r="PDG612" s="17">
        <v>44925</v>
      </c>
      <c r="PDH612" s="5" t="s">
        <v>3728</v>
      </c>
      <c r="PDI612" s="17">
        <v>44925</v>
      </c>
      <c r="PDJ612" s="5" t="s">
        <v>3728</v>
      </c>
      <c r="PDK612" s="17">
        <v>44925</v>
      </c>
      <c r="PDL612" s="5" t="s">
        <v>3728</v>
      </c>
      <c r="PDM612" s="17">
        <v>44925</v>
      </c>
      <c r="PDN612" s="5" t="s">
        <v>3728</v>
      </c>
      <c r="PDO612" s="17">
        <v>44925</v>
      </c>
      <c r="PDP612" s="5" t="s">
        <v>3728</v>
      </c>
      <c r="PDQ612" s="17">
        <v>44925</v>
      </c>
      <c r="PDR612" s="5" t="s">
        <v>3728</v>
      </c>
      <c r="PDS612" s="17">
        <v>44925</v>
      </c>
      <c r="PDT612" s="5" t="s">
        <v>3728</v>
      </c>
      <c r="PDU612" s="17">
        <v>44925</v>
      </c>
      <c r="PDV612" s="5" t="s">
        <v>3728</v>
      </c>
      <c r="PDW612" s="17">
        <v>44925</v>
      </c>
      <c r="PDX612" s="5" t="s">
        <v>3728</v>
      </c>
      <c r="PDY612" s="17">
        <v>44925</v>
      </c>
      <c r="PDZ612" s="5" t="s">
        <v>3728</v>
      </c>
      <c r="PEA612" s="17">
        <v>44925</v>
      </c>
      <c r="PEB612" s="5" t="s">
        <v>3728</v>
      </c>
      <c r="PEC612" s="17">
        <v>44925</v>
      </c>
      <c r="PED612" s="5" t="s">
        <v>3728</v>
      </c>
      <c r="PEE612" s="17">
        <v>44925</v>
      </c>
      <c r="PEF612" s="5" t="s">
        <v>3728</v>
      </c>
      <c r="PEG612" s="17">
        <v>44925</v>
      </c>
      <c r="PEH612" s="5" t="s">
        <v>3728</v>
      </c>
      <c r="PEI612" s="17">
        <v>44925</v>
      </c>
      <c r="PEJ612" s="5" t="s">
        <v>3728</v>
      </c>
      <c r="PEK612" s="17">
        <v>44925</v>
      </c>
      <c r="PEL612" s="5" t="s">
        <v>3728</v>
      </c>
      <c r="PEM612" s="17">
        <v>44925</v>
      </c>
      <c r="PEN612" s="5" t="s">
        <v>3728</v>
      </c>
      <c r="PEO612" s="17">
        <v>44925</v>
      </c>
      <c r="PEP612" s="5" t="s">
        <v>3728</v>
      </c>
      <c r="PEQ612" s="17">
        <v>44925</v>
      </c>
      <c r="PER612" s="5" t="s">
        <v>3728</v>
      </c>
      <c r="PES612" s="17">
        <v>44925</v>
      </c>
      <c r="PET612" s="5" t="s">
        <v>3728</v>
      </c>
      <c r="PEU612" s="17">
        <v>44925</v>
      </c>
      <c r="PEV612" s="5" t="s">
        <v>3728</v>
      </c>
      <c r="PEW612" s="17">
        <v>44925</v>
      </c>
      <c r="PEX612" s="5" t="s">
        <v>3728</v>
      </c>
      <c r="PEY612" s="17">
        <v>44925</v>
      </c>
      <c r="PEZ612" s="5" t="s">
        <v>3728</v>
      </c>
      <c r="PFA612" s="17">
        <v>44925</v>
      </c>
      <c r="PFB612" s="5" t="s">
        <v>3728</v>
      </c>
      <c r="PFC612" s="17">
        <v>44925</v>
      </c>
      <c r="PFD612" s="5" t="s">
        <v>3728</v>
      </c>
      <c r="PFE612" s="17">
        <v>44925</v>
      </c>
      <c r="PFF612" s="5" t="s">
        <v>3728</v>
      </c>
      <c r="PFG612" s="17">
        <v>44925</v>
      </c>
      <c r="PFH612" s="5" t="s">
        <v>3728</v>
      </c>
      <c r="PFI612" s="17">
        <v>44925</v>
      </c>
      <c r="PFJ612" s="5" t="s">
        <v>3728</v>
      </c>
      <c r="PFK612" s="17">
        <v>44925</v>
      </c>
      <c r="PFL612" s="5" t="s">
        <v>3728</v>
      </c>
      <c r="PFM612" s="17">
        <v>44925</v>
      </c>
      <c r="PFN612" s="5" t="s">
        <v>3728</v>
      </c>
      <c r="PFO612" s="17">
        <v>44925</v>
      </c>
      <c r="PFP612" s="5" t="s">
        <v>3728</v>
      </c>
      <c r="PFQ612" s="17">
        <v>44925</v>
      </c>
      <c r="PFR612" s="5" t="s">
        <v>3728</v>
      </c>
      <c r="PFS612" s="17">
        <v>44925</v>
      </c>
      <c r="PFT612" s="5" t="s">
        <v>3728</v>
      </c>
      <c r="PFU612" s="17">
        <v>44925</v>
      </c>
      <c r="PFV612" s="5" t="s">
        <v>3728</v>
      </c>
      <c r="PFW612" s="17">
        <v>44925</v>
      </c>
      <c r="PFX612" s="5" t="s">
        <v>3728</v>
      </c>
      <c r="PFY612" s="17">
        <v>44925</v>
      </c>
      <c r="PFZ612" s="5" t="s">
        <v>3728</v>
      </c>
      <c r="PGA612" s="17">
        <v>44925</v>
      </c>
      <c r="PGB612" s="5" t="s">
        <v>3728</v>
      </c>
      <c r="PGC612" s="17">
        <v>44925</v>
      </c>
      <c r="PGD612" s="5" t="s">
        <v>3728</v>
      </c>
      <c r="PGE612" s="17">
        <v>44925</v>
      </c>
      <c r="PGF612" s="5" t="s">
        <v>3728</v>
      </c>
      <c r="PGG612" s="17">
        <v>44925</v>
      </c>
      <c r="PGH612" s="5" t="s">
        <v>3728</v>
      </c>
      <c r="PGI612" s="17">
        <v>44925</v>
      </c>
      <c r="PGJ612" s="5" t="s">
        <v>3728</v>
      </c>
      <c r="PGK612" s="17">
        <v>44925</v>
      </c>
      <c r="PGL612" s="5" t="s">
        <v>3728</v>
      </c>
      <c r="PGM612" s="17">
        <v>44925</v>
      </c>
      <c r="PGN612" s="5" t="s">
        <v>3728</v>
      </c>
      <c r="PGO612" s="17">
        <v>44925</v>
      </c>
      <c r="PGP612" s="5" t="s">
        <v>3728</v>
      </c>
      <c r="PGQ612" s="17">
        <v>44925</v>
      </c>
      <c r="PGR612" s="5" t="s">
        <v>3728</v>
      </c>
      <c r="PGS612" s="17">
        <v>44925</v>
      </c>
      <c r="PGT612" s="5" t="s">
        <v>3728</v>
      </c>
      <c r="PGU612" s="17">
        <v>44925</v>
      </c>
      <c r="PGV612" s="5" t="s">
        <v>3728</v>
      </c>
      <c r="PGW612" s="17">
        <v>44925</v>
      </c>
      <c r="PGX612" s="5" t="s">
        <v>3728</v>
      </c>
      <c r="PGY612" s="17">
        <v>44925</v>
      </c>
      <c r="PGZ612" s="5" t="s">
        <v>3728</v>
      </c>
      <c r="PHA612" s="17">
        <v>44925</v>
      </c>
      <c r="PHB612" s="5" t="s">
        <v>3728</v>
      </c>
      <c r="PHC612" s="17">
        <v>44925</v>
      </c>
      <c r="PHD612" s="5" t="s">
        <v>3728</v>
      </c>
      <c r="PHE612" s="17">
        <v>44925</v>
      </c>
      <c r="PHF612" s="5" t="s">
        <v>3728</v>
      </c>
      <c r="PHG612" s="17">
        <v>44925</v>
      </c>
      <c r="PHH612" s="5" t="s">
        <v>3728</v>
      </c>
      <c r="PHI612" s="17">
        <v>44925</v>
      </c>
      <c r="PHJ612" s="5" t="s">
        <v>3728</v>
      </c>
      <c r="PHK612" s="17">
        <v>44925</v>
      </c>
      <c r="PHL612" s="5" t="s">
        <v>3728</v>
      </c>
      <c r="PHM612" s="17">
        <v>44925</v>
      </c>
      <c r="PHN612" s="5" t="s">
        <v>3728</v>
      </c>
      <c r="PHO612" s="17">
        <v>44925</v>
      </c>
      <c r="PHP612" s="5" t="s">
        <v>3728</v>
      </c>
      <c r="PHQ612" s="17">
        <v>44925</v>
      </c>
      <c r="PHR612" s="5" t="s">
        <v>3728</v>
      </c>
      <c r="PHS612" s="17">
        <v>44925</v>
      </c>
      <c r="PHT612" s="5" t="s">
        <v>3728</v>
      </c>
      <c r="PHU612" s="17">
        <v>44925</v>
      </c>
      <c r="PHV612" s="5" t="s">
        <v>3728</v>
      </c>
      <c r="PHW612" s="17">
        <v>44925</v>
      </c>
      <c r="PHX612" s="5" t="s">
        <v>3728</v>
      </c>
      <c r="PHY612" s="17">
        <v>44925</v>
      </c>
      <c r="PHZ612" s="5" t="s">
        <v>3728</v>
      </c>
      <c r="PIA612" s="17">
        <v>44925</v>
      </c>
      <c r="PIB612" s="5" t="s">
        <v>3728</v>
      </c>
      <c r="PIC612" s="17">
        <v>44925</v>
      </c>
      <c r="PID612" s="5" t="s">
        <v>3728</v>
      </c>
      <c r="PIE612" s="17">
        <v>44925</v>
      </c>
      <c r="PIF612" s="5" t="s">
        <v>3728</v>
      </c>
      <c r="PIG612" s="17">
        <v>44925</v>
      </c>
      <c r="PIH612" s="5" t="s">
        <v>3728</v>
      </c>
      <c r="PII612" s="17">
        <v>44925</v>
      </c>
      <c r="PIJ612" s="5" t="s">
        <v>3728</v>
      </c>
      <c r="PIK612" s="17">
        <v>44925</v>
      </c>
      <c r="PIL612" s="5" t="s">
        <v>3728</v>
      </c>
      <c r="PIM612" s="17">
        <v>44925</v>
      </c>
      <c r="PIN612" s="5" t="s">
        <v>3728</v>
      </c>
      <c r="PIO612" s="17">
        <v>44925</v>
      </c>
      <c r="PIP612" s="5" t="s">
        <v>3728</v>
      </c>
      <c r="PIQ612" s="17">
        <v>44925</v>
      </c>
      <c r="PIR612" s="5" t="s">
        <v>3728</v>
      </c>
      <c r="PIS612" s="17">
        <v>44925</v>
      </c>
      <c r="PIT612" s="5" t="s">
        <v>3728</v>
      </c>
      <c r="PIU612" s="17">
        <v>44925</v>
      </c>
      <c r="PIV612" s="5" t="s">
        <v>3728</v>
      </c>
      <c r="PIW612" s="17">
        <v>44925</v>
      </c>
      <c r="PIX612" s="5" t="s">
        <v>3728</v>
      </c>
      <c r="PIY612" s="17">
        <v>44925</v>
      </c>
      <c r="PIZ612" s="5" t="s">
        <v>3728</v>
      </c>
      <c r="PJA612" s="17">
        <v>44925</v>
      </c>
      <c r="PJB612" s="5" t="s">
        <v>3728</v>
      </c>
      <c r="PJC612" s="17">
        <v>44925</v>
      </c>
      <c r="PJD612" s="5" t="s">
        <v>3728</v>
      </c>
      <c r="PJE612" s="17">
        <v>44925</v>
      </c>
      <c r="PJF612" s="5" t="s">
        <v>3728</v>
      </c>
      <c r="PJG612" s="17">
        <v>44925</v>
      </c>
      <c r="PJH612" s="5" t="s">
        <v>3728</v>
      </c>
      <c r="PJI612" s="17">
        <v>44925</v>
      </c>
      <c r="PJJ612" s="5" t="s">
        <v>3728</v>
      </c>
      <c r="PJK612" s="17">
        <v>44925</v>
      </c>
      <c r="PJL612" s="5" t="s">
        <v>3728</v>
      </c>
      <c r="PJM612" s="17">
        <v>44925</v>
      </c>
      <c r="PJN612" s="5" t="s">
        <v>3728</v>
      </c>
      <c r="PJO612" s="17">
        <v>44925</v>
      </c>
      <c r="PJP612" s="5" t="s">
        <v>3728</v>
      </c>
      <c r="PJQ612" s="17">
        <v>44925</v>
      </c>
      <c r="PJR612" s="5" t="s">
        <v>3728</v>
      </c>
      <c r="PJS612" s="17">
        <v>44925</v>
      </c>
      <c r="PJT612" s="5" t="s">
        <v>3728</v>
      </c>
      <c r="PJU612" s="17">
        <v>44925</v>
      </c>
      <c r="PJV612" s="5" t="s">
        <v>3728</v>
      </c>
      <c r="PJW612" s="17">
        <v>44925</v>
      </c>
      <c r="PJX612" s="5" t="s">
        <v>3728</v>
      </c>
      <c r="PJY612" s="17">
        <v>44925</v>
      </c>
      <c r="PJZ612" s="5" t="s">
        <v>3728</v>
      </c>
      <c r="PKA612" s="17">
        <v>44925</v>
      </c>
      <c r="PKB612" s="5" t="s">
        <v>3728</v>
      </c>
      <c r="PKC612" s="17">
        <v>44925</v>
      </c>
      <c r="PKD612" s="5" t="s">
        <v>3728</v>
      </c>
      <c r="PKE612" s="17">
        <v>44925</v>
      </c>
      <c r="PKF612" s="5" t="s">
        <v>3728</v>
      </c>
      <c r="PKG612" s="17">
        <v>44925</v>
      </c>
      <c r="PKH612" s="5" t="s">
        <v>3728</v>
      </c>
      <c r="PKI612" s="17">
        <v>44925</v>
      </c>
      <c r="PKJ612" s="5" t="s">
        <v>3728</v>
      </c>
      <c r="PKK612" s="17">
        <v>44925</v>
      </c>
      <c r="PKL612" s="5" t="s">
        <v>3728</v>
      </c>
      <c r="PKM612" s="17">
        <v>44925</v>
      </c>
      <c r="PKN612" s="5" t="s">
        <v>3728</v>
      </c>
      <c r="PKO612" s="17">
        <v>44925</v>
      </c>
      <c r="PKP612" s="5" t="s">
        <v>3728</v>
      </c>
      <c r="PKQ612" s="17">
        <v>44925</v>
      </c>
      <c r="PKR612" s="5" t="s">
        <v>3728</v>
      </c>
      <c r="PKS612" s="17">
        <v>44925</v>
      </c>
      <c r="PKT612" s="5" t="s">
        <v>3728</v>
      </c>
      <c r="PKU612" s="17">
        <v>44925</v>
      </c>
      <c r="PKV612" s="5" t="s">
        <v>3728</v>
      </c>
      <c r="PKW612" s="17">
        <v>44925</v>
      </c>
      <c r="PKX612" s="5" t="s">
        <v>3728</v>
      </c>
      <c r="PKY612" s="17">
        <v>44925</v>
      </c>
      <c r="PKZ612" s="5" t="s">
        <v>3728</v>
      </c>
      <c r="PLA612" s="17">
        <v>44925</v>
      </c>
      <c r="PLB612" s="5" t="s">
        <v>3728</v>
      </c>
      <c r="PLC612" s="17">
        <v>44925</v>
      </c>
      <c r="PLD612" s="5" t="s">
        <v>3728</v>
      </c>
      <c r="PLE612" s="17">
        <v>44925</v>
      </c>
      <c r="PLF612" s="5" t="s">
        <v>3728</v>
      </c>
      <c r="PLG612" s="17">
        <v>44925</v>
      </c>
      <c r="PLH612" s="5" t="s">
        <v>3728</v>
      </c>
      <c r="PLI612" s="17">
        <v>44925</v>
      </c>
      <c r="PLJ612" s="5" t="s">
        <v>3728</v>
      </c>
      <c r="PLK612" s="17">
        <v>44925</v>
      </c>
      <c r="PLL612" s="5" t="s">
        <v>3728</v>
      </c>
      <c r="PLM612" s="17">
        <v>44925</v>
      </c>
      <c r="PLN612" s="5" t="s">
        <v>3728</v>
      </c>
      <c r="PLO612" s="17">
        <v>44925</v>
      </c>
      <c r="PLP612" s="5" t="s">
        <v>3728</v>
      </c>
      <c r="PLQ612" s="17">
        <v>44925</v>
      </c>
      <c r="PLR612" s="5" t="s">
        <v>3728</v>
      </c>
      <c r="PLS612" s="17">
        <v>44925</v>
      </c>
      <c r="PLT612" s="5" t="s">
        <v>3728</v>
      </c>
      <c r="PLU612" s="17">
        <v>44925</v>
      </c>
      <c r="PLV612" s="5" t="s">
        <v>3728</v>
      </c>
      <c r="PLW612" s="17">
        <v>44925</v>
      </c>
      <c r="PLX612" s="5" t="s">
        <v>3728</v>
      </c>
      <c r="PLY612" s="17">
        <v>44925</v>
      </c>
      <c r="PLZ612" s="5" t="s">
        <v>3728</v>
      </c>
      <c r="PMA612" s="17">
        <v>44925</v>
      </c>
      <c r="PMB612" s="5" t="s">
        <v>3728</v>
      </c>
      <c r="PMC612" s="17">
        <v>44925</v>
      </c>
      <c r="PMD612" s="5" t="s">
        <v>3728</v>
      </c>
      <c r="PME612" s="17">
        <v>44925</v>
      </c>
      <c r="PMF612" s="5" t="s">
        <v>3728</v>
      </c>
      <c r="PMG612" s="17">
        <v>44925</v>
      </c>
      <c r="PMH612" s="5" t="s">
        <v>3728</v>
      </c>
      <c r="PMI612" s="17">
        <v>44925</v>
      </c>
      <c r="PMJ612" s="5" t="s">
        <v>3728</v>
      </c>
      <c r="PMK612" s="17">
        <v>44925</v>
      </c>
      <c r="PML612" s="5" t="s">
        <v>3728</v>
      </c>
      <c r="PMM612" s="17">
        <v>44925</v>
      </c>
      <c r="PMN612" s="5" t="s">
        <v>3728</v>
      </c>
      <c r="PMO612" s="17">
        <v>44925</v>
      </c>
      <c r="PMP612" s="5" t="s">
        <v>3728</v>
      </c>
      <c r="PMQ612" s="17">
        <v>44925</v>
      </c>
      <c r="PMR612" s="5" t="s">
        <v>3728</v>
      </c>
      <c r="PMS612" s="17">
        <v>44925</v>
      </c>
      <c r="PMT612" s="5" t="s">
        <v>3728</v>
      </c>
      <c r="PMU612" s="17">
        <v>44925</v>
      </c>
      <c r="PMV612" s="5" t="s">
        <v>3728</v>
      </c>
      <c r="PMW612" s="17">
        <v>44925</v>
      </c>
      <c r="PMX612" s="5" t="s">
        <v>3728</v>
      </c>
      <c r="PMY612" s="17">
        <v>44925</v>
      </c>
      <c r="PMZ612" s="5" t="s">
        <v>3728</v>
      </c>
      <c r="PNA612" s="17">
        <v>44925</v>
      </c>
      <c r="PNB612" s="5" t="s">
        <v>3728</v>
      </c>
      <c r="PNC612" s="17">
        <v>44925</v>
      </c>
      <c r="PND612" s="5" t="s">
        <v>3728</v>
      </c>
      <c r="PNE612" s="17">
        <v>44925</v>
      </c>
      <c r="PNF612" s="5" t="s">
        <v>3728</v>
      </c>
      <c r="PNG612" s="17">
        <v>44925</v>
      </c>
      <c r="PNH612" s="5" t="s">
        <v>3728</v>
      </c>
      <c r="PNI612" s="17">
        <v>44925</v>
      </c>
      <c r="PNJ612" s="5" t="s">
        <v>3728</v>
      </c>
      <c r="PNK612" s="17">
        <v>44925</v>
      </c>
      <c r="PNL612" s="5" t="s">
        <v>3728</v>
      </c>
      <c r="PNM612" s="17">
        <v>44925</v>
      </c>
      <c r="PNN612" s="5" t="s">
        <v>3728</v>
      </c>
      <c r="PNO612" s="17">
        <v>44925</v>
      </c>
      <c r="PNP612" s="5" t="s">
        <v>3728</v>
      </c>
      <c r="PNQ612" s="17">
        <v>44925</v>
      </c>
      <c r="PNR612" s="5" t="s">
        <v>3728</v>
      </c>
      <c r="PNS612" s="17">
        <v>44925</v>
      </c>
      <c r="PNT612" s="5" t="s">
        <v>3728</v>
      </c>
      <c r="PNU612" s="17">
        <v>44925</v>
      </c>
      <c r="PNV612" s="5" t="s">
        <v>3728</v>
      </c>
      <c r="PNW612" s="17">
        <v>44925</v>
      </c>
      <c r="PNX612" s="5" t="s">
        <v>3728</v>
      </c>
      <c r="PNY612" s="17">
        <v>44925</v>
      </c>
      <c r="PNZ612" s="5" t="s">
        <v>3728</v>
      </c>
      <c r="POA612" s="17">
        <v>44925</v>
      </c>
      <c r="POB612" s="5" t="s">
        <v>3728</v>
      </c>
      <c r="POC612" s="17">
        <v>44925</v>
      </c>
      <c r="POD612" s="5" t="s">
        <v>3728</v>
      </c>
      <c r="POE612" s="17">
        <v>44925</v>
      </c>
      <c r="POF612" s="5" t="s">
        <v>3728</v>
      </c>
      <c r="POG612" s="17">
        <v>44925</v>
      </c>
      <c r="POH612" s="5" t="s">
        <v>3728</v>
      </c>
      <c r="POI612" s="17">
        <v>44925</v>
      </c>
      <c r="POJ612" s="5" t="s">
        <v>3728</v>
      </c>
      <c r="POK612" s="17">
        <v>44925</v>
      </c>
      <c r="POL612" s="5" t="s">
        <v>3728</v>
      </c>
      <c r="POM612" s="17">
        <v>44925</v>
      </c>
      <c r="PON612" s="5" t="s">
        <v>3728</v>
      </c>
      <c r="POO612" s="17">
        <v>44925</v>
      </c>
      <c r="POP612" s="5" t="s">
        <v>3728</v>
      </c>
      <c r="POQ612" s="17">
        <v>44925</v>
      </c>
      <c r="POR612" s="5" t="s">
        <v>3728</v>
      </c>
      <c r="POS612" s="17">
        <v>44925</v>
      </c>
      <c r="POT612" s="5" t="s">
        <v>3728</v>
      </c>
      <c r="POU612" s="17">
        <v>44925</v>
      </c>
      <c r="POV612" s="5" t="s">
        <v>3728</v>
      </c>
      <c r="POW612" s="17">
        <v>44925</v>
      </c>
      <c r="POX612" s="5" t="s">
        <v>3728</v>
      </c>
      <c r="POY612" s="17">
        <v>44925</v>
      </c>
      <c r="POZ612" s="5" t="s">
        <v>3728</v>
      </c>
      <c r="PPA612" s="17">
        <v>44925</v>
      </c>
      <c r="PPB612" s="5" t="s">
        <v>3728</v>
      </c>
      <c r="PPC612" s="17">
        <v>44925</v>
      </c>
      <c r="PPD612" s="5" t="s">
        <v>3728</v>
      </c>
      <c r="PPE612" s="17">
        <v>44925</v>
      </c>
      <c r="PPF612" s="5" t="s">
        <v>3728</v>
      </c>
      <c r="PPG612" s="17">
        <v>44925</v>
      </c>
      <c r="PPH612" s="5" t="s">
        <v>3728</v>
      </c>
      <c r="PPI612" s="17">
        <v>44925</v>
      </c>
      <c r="PPJ612" s="5" t="s">
        <v>3728</v>
      </c>
      <c r="PPK612" s="17">
        <v>44925</v>
      </c>
      <c r="PPL612" s="5" t="s">
        <v>3728</v>
      </c>
      <c r="PPM612" s="17">
        <v>44925</v>
      </c>
      <c r="PPN612" s="5" t="s">
        <v>3728</v>
      </c>
      <c r="PPO612" s="17">
        <v>44925</v>
      </c>
      <c r="PPP612" s="5" t="s">
        <v>3728</v>
      </c>
      <c r="PPQ612" s="17">
        <v>44925</v>
      </c>
      <c r="PPR612" s="5" t="s">
        <v>3728</v>
      </c>
      <c r="PPS612" s="17">
        <v>44925</v>
      </c>
      <c r="PPT612" s="5" t="s">
        <v>3728</v>
      </c>
      <c r="PPU612" s="17">
        <v>44925</v>
      </c>
      <c r="PPV612" s="5" t="s">
        <v>3728</v>
      </c>
      <c r="PPW612" s="17">
        <v>44925</v>
      </c>
      <c r="PPX612" s="5" t="s">
        <v>3728</v>
      </c>
      <c r="PPY612" s="17">
        <v>44925</v>
      </c>
      <c r="PPZ612" s="5" t="s">
        <v>3728</v>
      </c>
      <c r="PQA612" s="17">
        <v>44925</v>
      </c>
      <c r="PQB612" s="5" t="s">
        <v>3728</v>
      </c>
      <c r="PQC612" s="17">
        <v>44925</v>
      </c>
      <c r="PQD612" s="5" t="s">
        <v>3728</v>
      </c>
      <c r="PQE612" s="17">
        <v>44925</v>
      </c>
      <c r="PQF612" s="5" t="s">
        <v>3728</v>
      </c>
      <c r="PQG612" s="17">
        <v>44925</v>
      </c>
      <c r="PQH612" s="5" t="s">
        <v>3728</v>
      </c>
      <c r="PQI612" s="17">
        <v>44925</v>
      </c>
      <c r="PQJ612" s="5" t="s">
        <v>3728</v>
      </c>
      <c r="PQK612" s="17">
        <v>44925</v>
      </c>
      <c r="PQL612" s="5" t="s">
        <v>3728</v>
      </c>
      <c r="PQM612" s="17">
        <v>44925</v>
      </c>
      <c r="PQN612" s="5" t="s">
        <v>3728</v>
      </c>
      <c r="PQO612" s="17">
        <v>44925</v>
      </c>
      <c r="PQP612" s="5" t="s">
        <v>3728</v>
      </c>
      <c r="PQQ612" s="17">
        <v>44925</v>
      </c>
      <c r="PQR612" s="5" t="s">
        <v>3728</v>
      </c>
      <c r="PQS612" s="17">
        <v>44925</v>
      </c>
      <c r="PQT612" s="5" t="s">
        <v>3728</v>
      </c>
      <c r="PQU612" s="17">
        <v>44925</v>
      </c>
      <c r="PQV612" s="5" t="s">
        <v>3728</v>
      </c>
      <c r="PQW612" s="17">
        <v>44925</v>
      </c>
      <c r="PQX612" s="5" t="s">
        <v>3728</v>
      </c>
      <c r="PQY612" s="17">
        <v>44925</v>
      </c>
      <c r="PQZ612" s="5" t="s">
        <v>3728</v>
      </c>
      <c r="PRA612" s="17">
        <v>44925</v>
      </c>
      <c r="PRB612" s="5" t="s">
        <v>3728</v>
      </c>
      <c r="PRC612" s="17">
        <v>44925</v>
      </c>
      <c r="PRD612" s="5" t="s">
        <v>3728</v>
      </c>
      <c r="PRE612" s="17">
        <v>44925</v>
      </c>
      <c r="PRF612" s="5" t="s">
        <v>3728</v>
      </c>
      <c r="PRG612" s="17">
        <v>44925</v>
      </c>
      <c r="PRH612" s="5" t="s">
        <v>3728</v>
      </c>
      <c r="PRI612" s="17">
        <v>44925</v>
      </c>
      <c r="PRJ612" s="5" t="s">
        <v>3728</v>
      </c>
      <c r="PRK612" s="17">
        <v>44925</v>
      </c>
      <c r="PRL612" s="5" t="s">
        <v>3728</v>
      </c>
      <c r="PRM612" s="17">
        <v>44925</v>
      </c>
      <c r="PRN612" s="5" t="s">
        <v>3728</v>
      </c>
      <c r="PRO612" s="17">
        <v>44925</v>
      </c>
      <c r="PRP612" s="5" t="s">
        <v>3728</v>
      </c>
      <c r="PRQ612" s="17">
        <v>44925</v>
      </c>
      <c r="PRR612" s="5" t="s">
        <v>3728</v>
      </c>
      <c r="PRS612" s="17">
        <v>44925</v>
      </c>
      <c r="PRT612" s="5" t="s">
        <v>3728</v>
      </c>
      <c r="PRU612" s="17">
        <v>44925</v>
      </c>
      <c r="PRV612" s="5" t="s">
        <v>3728</v>
      </c>
      <c r="PRW612" s="17">
        <v>44925</v>
      </c>
      <c r="PRX612" s="5" t="s">
        <v>3728</v>
      </c>
      <c r="PRY612" s="17">
        <v>44925</v>
      </c>
      <c r="PRZ612" s="5" t="s">
        <v>3728</v>
      </c>
      <c r="PSA612" s="17">
        <v>44925</v>
      </c>
      <c r="PSB612" s="5" t="s">
        <v>3728</v>
      </c>
      <c r="PSC612" s="17">
        <v>44925</v>
      </c>
      <c r="PSD612" s="5" t="s">
        <v>3728</v>
      </c>
      <c r="PSE612" s="17">
        <v>44925</v>
      </c>
      <c r="PSF612" s="5" t="s">
        <v>3728</v>
      </c>
      <c r="PSG612" s="17">
        <v>44925</v>
      </c>
      <c r="PSH612" s="5" t="s">
        <v>3728</v>
      </c>
      <c r="PSI612" s="17">
        <v>44925</v>
      </c>
      <c r="PSJ612" s="5" t="s">
        <v>3728</v>
      </c>
      <c r="PSK612" s="17">
        <v>44925</v>
      </c>
      <c r="PSL612" s="5" t="s">
        <v>3728</v>
      </c>
      <c r="PSM612" s="17">
        <v>44925</v>
      </c>
      <c r="PSN612" s="5" t="s">
        <v>3728</v>
      </c>
      <c r="PSO612" s="17">
        <v>44925</v>
      </c>
      <c r="PSP612" s="5" t="s">
        <v>3728</v>
      </c>
      <c r="PSQ612" s="17">
        <v>44925</v>
      </c>
      <c r="PSR612" s="5" t="s">
        <v>3728</v>
      </c>
      <c r="PSS612" s="17">
        <v>44925</v>
      </c>
      <c r="PST612" s="5" t="s">
        <v>3728</v>
      </c>
      <c r="PSU612" s="17">
        <v>44925</v>
      </c>
      <c r="PSV612" s="5" t="s">
        <v>3728</v>
      </c>
      <c r="PSW612" s="17">
        <v>44925</v>
      </c>
      <c r="PSX612" s="5" t="s">
        <v>3728</v>
      </c>
      <c r="PSY612" s="17">
        <v>44925</v>
      </c>
      <c r="PSZ612" s="5" t="s">
        <v>3728</v>
      </c>
      <c r="PTA612" s="17">
        <v>44925</v>
      </c>
      <c r="PTB612" s="5" t="s">
        <v>3728</v>
      </c>
      <c r="PTC612" s="17">
        <v>44925</v>
      </c>
      <c r="PTD612" s="5" t="s">
        <v>3728</v>
      </c>
      <c r="PTE612" s="17">
        <v>44925</v>
      </c>
      <c r="PTF612" s="5" t="s">
        <v>3728</v>
      </c>
      <c r="PTG612" s="17">
        <v>44925</v>
      </c>
      <c r="PTH612" s="5" t="s">
        <v>3728</v>
      </c>
      <c r="PTI612" s="17">
        <v>44925</v>
      </c>
      <c r="PTJ612" s="5" t="s">
        <v>3728</v>
      </c>
      <c r="PTK612" s="17">
        <v>44925</v>
      </c>
      <c r="PTL612" s="5" t="s">
        <v>3728</v>
      </c>
      <c r="PTM612" s="17">
        <v>44925</v>
      </c>
      <c r="PTN612" s="5" t="s">
        <v>3728</v>
      </c>
      <c r="PTO612" s="17">
        <v>44925</v>
      </c>
      <c r="PTP612" s="5" t="s">
        <v>3728</v>
      </c>
      <c r="PTQ612" s="17">
        <v>44925</v>
      </c>
      <c r="PTR612" s="5" t="s">
        <v>3728</v>
      </c>
      <c r="PTS612" s="17">
        <v>44925</v>
      </c>
      <c r="PTT612" s="5" t="s">
        <v>3728</v>
      </c>
      <c r="PTU612" s="17">
        <v>44925</v>
      </c>
      <c r="PTV612" s="5" t="s">
        <v>3728</v>
      </c>
      <c r="PTW612" s="17">
        <v>44925</v>
      </c>
      <c r="PTX612" s="5" t="s">
        <v>3728</v>
      </c>
      <c r="PTY612" s="17">
        <v>44925</v>
      </c>
      <c r="PTZ612" s="5" t="s">
        <v>3728</v>
      </c>
      <c r="PUA612" s="17">
        <v>44925</v>
      </c>
      <c r="PUB612" s="5" t="s">
        <v>3728</v>
      </c>
      <c r="PUC612" s="17">
        <v>44925</v>
      </c>
      <c r="PUD612" s="5" t="s">
        <v>3728</v>
      </c>
      <c r="PUE612" s="17">
        <v>44925</v>
      </c>
      <c r="PUF612" s="5" t="s">
        <v>3728</v>
      </c>
      <c r="PUG612" s="17">
        <v>44925</v>
      </c>
      <c r="PUH612" s="5" t="s">
        <v>3728</v>
      </c>
      <c r="PUI612" s="17">
        <v>44925</v>
      </c>
      <c r="PUJ612" s="5" t="s">
        <v>3728</v>
      </c>
      <c r="PUK612" s="17">
        <v>44925</v>
      </c>
      <c r="PUL612" s="5" t="s">
        <v>3728</v>
      </c>
      <c r="PUM612" s="17">
        <v>44925</v>
      </c>
      <c r="PUN612" s="5" t="s">
        <v>3728</v>
      </c>
      <c r="PUO612" s="17">
        <v>44925</v>
      </c>
      <c r="PUP612" s="5" t="s">
        <v>3728</v>
      </c>
      <c r="PUQ612" s="17">
        <v>44925</v>
      </c>
      <c r="PUR612" s="5" t="s">
        <v>3728</v>
      </c>
      <c r="PUS612" s="17">
        <v>44925</v>
      </c>
      <c r="PUT612" s="5" t="s">
        <v>3728</v>
      </c>
      <c r="PUU612" s="17">
        <v>44925</v>
      </c>
      <c r="PUV612" s="5" t="s">
        <v>3728</v>
      </c>
      <c r="PUW612" s="17">
        <v>44925</v>
      </c>
      <c r="PUX612" s="5" t="s">
        <v>3728</v>
      </c>
      <c r="PUY612" s="17">
        <v>44925</v>
      </c>
      <c r="PUZ612" s="5" t="s">
        <v>3728</v>
      </c>
      <c r="PVA612" s="17">
        <v>44925</v>
      </c>
      <c r="PVB612" s="5" t="s">
        <v>3728</v>
      </c>
      <c r="PVC612" s="17">
        <v>44925</v>
      </c>
      <c r="PVD612" s="5" t="s">
        <v>3728</v>
      </c>
      <c r="PVE612" s="17">
        <v>44925</v>
      </c>
      <c r="PVF612" s="5" t="s">
        <v>3728</v>
      </c>
      <c r="PVG612" s="17">
        <v>44925</v>
      </c>
      <c r="PVH612" s="5" t="s">
        <v>3728</v>
      </c>
      <c r="PVI612" s="17">
        <v>44925</v>
      </c>
      <c r="PVJ612" s="5" t="s">
        <v>3728</v>
      </c>
      <c r="PVK612" s="17">
        <v>44925</v>
      </c>
      <c r="PVL612" s="5" t="s">
        <v>3728</v>
      </c>
      <c r="PVM612" s="17">
        <v>44925</v>
      </c>
      <c r="PVN612" s="5" t="s">
        <v>3728</v>
      </c>
      <c r="PVO612" s="17">
        <v>44925</v>
      </c>
      <c r="PVP612" s="5" t="s">
        <v>3728</v>
      </c>
      <c r="PVQ612" s="17">
        <v>44925</v>
      </c>
      <c r="PVR612" s="5" t="s">
        <v>3728</v>
      </c>
      <c r="PVS612" s="17">
        <v>44925</v>
      </c>
      <c r="PVT612" s="5" t="s">
        <v>3728</v>
      </c>
      <c r="PVU612" s="17">
        <v>44925</v>
      </c>
      <c r="PVV612" s="5" t="s">
        <v>3728</v>
      </c>
      <c r="PVW612" s="17">
        <v>44925</v>
      </c>
      <c r="PVX612" s="5" t="s">
        <v>3728</v>
      </c>
      <c r="PVY612" s="17">
        <v>44925</v>
      </c>
      <c r="PVZ612" s="5" t="s">
        <v>3728</v>
      </c>
      <c r="PWA612" s="17">
        <v>44925</v>
      </c>
      <c r="PWB612" s="5" t="s">
        <v>3728</v>
      </c>
      <c r="PWC612" s="17">
        <v>44925</v>
      </c>
      <c r="PWD612" s="5" t="s">
        <v>3728</v>
      </c>
      <c r="PWE612" s="17">
        <v>44925</v>
      </c>
      <c r="PWF612" s="5" t="s">
        <v>3728</v>
      </c>
      <c r="PWG612" s="17">
        <v>44925</v>
      </c>
      <c r="PWH612" s="5" t="s">
        <v>3728</v>
      </c>
      <c r="PWI612" s="17">
        <v>44925</v>
      </c>
      <c r="PWJ612" s="5" t="s">
        <v>3728</v>
      </c>
      <c r="PWK612" s="17">
        <v>44925</v>
      </c>
      <c r="PWL612" s="5" t="s">
        <v>3728</v>
      </c>
      <c r="PWM612" s="17">
        <v>44925</v>
      </c>
      <c r="PWN612" s="5" t="s">
        <v>3728</v>
      </c>
      <c r="PWO612" s="17">
        <v>44925</v>
      </c>
      <c r="PWP612" s="5" t="s">
        <v>3728</v>
      </c>
      <c r="PWQ612" s="17">
        <v>44925</v>
      </c>
      <c r="PWR612" s="5" t="s">
        <v>3728</v>
      </c>
      <c r="PWS612" s="17">
        <v>44925</v>
      </c>
      <c r="PWT612" s="5" t="s">
        <v>3728</v>
      </c>
      <c r="PWU612" s="17">
        <v>44925</v>
      </c>
      <c r="PWV612" s="5" t="s">
        <v>3728</v>
      </c>
      <c r="PWW612" s="17">
        <v>44925</v>
      </c>
      <c r="PWX612" s="5" t="s">
        <v>3728</v>
      </c>
      <c r="PWY612" s="17">
        <v>44925</v>
      </c>
      <c r="PWZ612" s="5" t="s">
        <v>3728</v>
      </c>
      <c r="PXA612" s="17">
        <v>44925</v>
      </c>
      <c r="PXB612" s="5" t="s">
        <v>3728</v>
      </c>
      <c r="PXC612" s="17">
        <v>44925</v>
      </c>
      <c r="PXD612" s="5" t="s">
        <v>3728</v>
      </c>
      <c r="PXE612" s="17">
        <v>44925</v>
      </c>
      <c r="PXF612" s="5" t="s">
        <v>3728</v>
      </c>
      <c r="PXG612" s="17">
        <v>44925</v>
      </c>
      <c r="PXH612" s="5" t="s">
        <v>3728</v>
      </c>
      <c r="PXI612" s="17">
        <v>44925</v>
      </c>
      <c r="PXJ612" s="5" t="s">
        <v>3728</v>
      </c>
      <c r="PXK612" s="17">
        <v>44925</v>
      </c>
      <c r="PXL612" s="5" t="s">
        <v>3728</v>
      </c>
      <c r="PXM612" s="17">
        <v>44925</v>
      </c>
      <c r="PXN612" s="5" t="s">
        <v>3728</v>
      </c>
      <c r="PXO612" s="17">
        <v>44925</v>
      </c>
      <c r="PXP612" s="5" t="s">
        <v>3728</v>
      </c>
      <c r="PXQ612" s="17">
        <v>44925</v>
      </c>
      <c r="PXR612" s="5" t="s">
        <v>3728</v>
      </c>
      <c r="PXS612" s="17">
        <v>44925</v>
      </c>
      <c r="PXT612" s="5" t="s">
        <v>3728</v>
      </c>
      <c r="PXU612" s="17">
        <v>44925</v>
      </c>
      <c r="PXV612" s="5" t="s">
        <v>3728</v>
      </c>
      <c r="PXW612" s="17">
        <v>44925</v>
      </c>
      <c r="PXX612" s="5" t="s">
        <v>3728</v>
      </c>
      <c r="PXY612" s="17">
        <v>44925</v>
      </c>
      <c r="PXZ612" s="5" t="s">
        <v>3728</v>
      </c>
      <c r="PYA612" s="17">
        <v>44925</v>
      </c>
      <c r="PYB612" s="5" t="s">
        <v>3728</v>
      </c>
      <c r="PYC612" s="17">
        <v>44925</v>
      </c>
      <c r="PYD612" s="5" t="s">
        <v>3728</v>
      </c>
      <c r="PYE612" s="17">
        <v>44925</v>
      </c>
      <c r="PYF612" s="5" t="s">
        <v>3728</v>
      </c>
      <c r="PYG612" s="17">
        <v>44925</v>
      </c>
      <c r="PYH612" s="5" t="s">
        <v>3728</v>
      </c>
      <c r="PYI612" s="17">
        <v>44925</v>
      </c>
      <c r="PYJ612" s="5" t="s">
        <v>3728</v>
      </c>
      <c r="PYK612" s="17">
        <v>44925</v>
      </c>
      <c r="PYL612" s="5" t="s">
        <v>3728</v>
      </c>
      <c r="PYM612" s="17">
        <v>44925</v>
      </c>
      <c r="PYN612" s="5" t="s">
        <v>3728</v>
      </c>
      <c r="PYO612" s="17">
        <v>44925</v>
      </c>
      <c r="PYP612" s="5" t="s">
        <v>3728</v>
      </c>
      <c r="PYQ612" s="17">
        <v>44925</v>
      </c>
      <c r="PYR612" s="5" t="s">
        <v>3728</v>
      </c>
      <c r="PYS612" s="17">
        <v>44925</v>
      </c>
      <c r="PYT612" s="5" t="s">
        <v>3728</v>
      </c>
      <c r="PYU612" s="17">
        <v>44925</v>
      </c>
      <c r="PYV612" s="5" t="s">
        <v>3728</v>
      </c>
      <c r="PYW612" s="17">
        <v>44925</v>
      </c>
      <c r="PYX612" s="5" t="s">
        <v>3728</v>
      </c>
      <c r="PYY612" s="17">
        <v>44925</v>
      </c>
      <c r="PYZ612" s="5" t="s">
        <v>3728</v>
      </c>
      <c r="PZA612" s="17">
        <v>44925</v>
      </c>
      <c r="PZB612" s="5" t="s">
        <v>3728</v>
      </c>
      <c r="PZC612" s="17">
        <v>44925</v>
      </c>
      <c r="PZD612" s="5" t="s">
        <v>3728</v>
      </c>
      <c r="PZE612" s="17">
        <v>44925</v>
      </c>
      <c r="PZF612" s="5" t="s">
        <v>3728</v>
      </c>
      <c r="PZG612" s="17">
        <v>44925</v>
      </c>
      <c r="PZH612" s="5" t="s">
        <v>3728</v>
      </c>
      <c r="PZI612" s="17">
        <v>44925</v>
      </c>
      <c r="PZJ612" s="5" t="s">
        <v>3728</v>
      </c>
      <c r="PZK612" s="17">
        <v>44925</v>
      </c>
      <c r="PZL612" s="5" t="s">
        <v>3728</v>
      </c>
      <c r="PZM612" s="17">
        <v>44925</v>
      </c>
      <c r="PZN612" s="5" t="s">
        <v>3728</v>
      </c>
      <c r="PZO612" s="17">
        <v>44925</v>
      </c>
      <c r="PZP612" s="5" t="s">
        <v>3728</v>
      </c>
      <c r="PZQ612" s="17">
        <v>44925</v>
      </c>
      <c r="PZR612" s="5" t="s">
        <v>3728</v>
      </c>
      <c r="PZS612" s="17">
        <v>44925</v>
      </c>
      <c r="PZT612" s="5" t="s">
        <v>3728</v>
      </c>
      <c r="PZU612" s="17">
        <v>44925</v>
      </c>
      <c r="PZV612" s="5" t="s">
        <v>3728</v>
      </c>
      <c r="PZW612" s="17">
        <v>44925</v>
      </c>
      <c r="PZX612" s="5" t="s">
        <v>3728</v>
      </c>
      <c r="PZY612" s="17">
        <v>44925</v>
      </c>
      <c r="PZZ612" s="5" t="s">
        <v>3728</v>
      </c>
      <c r="QAA612" s="17">
        <v>44925</v>
      </c>
      <c r="QAB612" s="5" t="s">
        <v>3728</v>
      </c>
      <c r="QAC612" s="17">
        <v>44925</v>
      </c>
      <c r="QAD612" s="5" t="s">
        <v>3728</v>
      </c>
      <c r="QAE612" s="17">
        <v>44925</v>
      </c>
      <c r="QAF612" s="5" t="s">
        <v>3728</v>
      </c>
      <c r="QAG612" s="17">
        <v>44925</v>
      </c>
      <c r="QAH612" s="5" t="s">
        <v>3728</v>
      </c>
      <c r="QAI612" s="17">
        <v>44925</v>
      </c>
      <c r="QAJ612" s="5" t="s">
        <v>3728</v>
      </c>
      <c r="QAK612" s="17">
        <v>44925</v>
      </c>
      <c r="QAL612" s="5" t="s">
        <v>3728</v>
      </c>
      <c r="QAM612" s="17">
        <v>44925</v>
      </c>
      <c r="QAN612" s="5" t="s">
        <v>3728</v>
      </c>
      <c r="QAO612" s="17">
        <v>44925</v>
      </c>
      <c r="QAP612" s="5" t="s">
        <v>3728</v>
      </c>
      <c r="QAQ612" s="17">
        <v>44925</v>
      </c>
      <c r="QAR612" s="5" t="s">
        <v>3728</v>
      </c>
      <c r="QAS612" s="17">
        <v>44925</v>
      </c>
      <c r="QAT612" s="5" t="s">
        <v>3728</v>
      </c>
      <c r="QAU612" s="17">
        <v>44925</v>
      </c>
      <c r="QAV612" s="5" t="s">
        <v>3728</v>
      </c>
      <c r="QAW612" s="17">
        <v>44925</v>
      </c>
      <c r="QAX612" s="5" t="s">
        <v>3728</v>
      </c>
      <c r="QAY612" s="17">
        <v>44925</v>
      </c>
      <c r="QAZ612" s="5" t="s">
        <v>3728</v>
      </c>
      <c r="QBA612" s="17">
        <v>44925</v>
      </c>
      <c r="QBB612" s="5" t="s">
        <v>3728</v>
      </c>
      <c r="QBC612" s="17">
        <v>44925</v>
      </c>
      <c r="QBD612" s="5" t="s">
        <v>3728</v>
      </c>
      <c r="QBE612" s="17">
        <v>44925</v>
      </c>
      <c r="QBF612" s="5" t="s">
        <v>3728</v>
      </c>
      <c r="QBG612" s="17">
        <v>44925</v>
      </c>
      <c r="QBH612" s="5" t="s">
        <v>3728</v>
      </c>
      <c r="QBI612" s="17">
        <v>44925</v>
      </c>
      <c r="QBJ612" s="5" t="s">
        <v>3728</v>
      </c>
      <c r="QBK612" s="17">
        <v>44925</v>
      </c>
      <c r="QBL612" s="5" t="s">
        <v>3728</v>
      </c>
      <c r="QBM612" s="17">
        <v>44925</v>
      </c>
      <c r="QBN612" s="5" t="s">
        <v>3728</v>
      </c>
      <c r="QBO612" s="17">
        <v>44925</v>
      </c>
      <c r="QBP612" s="5" t="s">
        <v>3728</v>
      </c>
      <c r="QBQ612" s="17">
        <v>44925</v>
      </c>
      <c r="QBR612" s="5" t="s">
        <v>3728</v>
      </c>
      <c r="QBS612" s="17">
        <v>44925</v>
      </c>
      <c r="QBT612" s="5" t="s">
        <v>3728</v>
      </c>
      <c r="QBU612" s="17">
        <v>44925</v>
      </c>
      <c r="QBV612" s="5" t="s">
        <v>3728</v>
      </c>
      <c r="QBW612" s="17">
        <v>44925</v>
      </c>
      <c r="QBX612" s="5" t="s">
        <v>3728</v>
      </c>
      <c r="QBY612" s="17">
        <v>44925</v>
      </c>
      <c r="QBZ612" s="5" t="s">
        <v>3728</v>
      </c>
      <c r="QCA612" s="17">
        <v>44925</v>
      </c>
      <c r="QCB612" s="5" t="s">
        <v>3728</v>
      </c>
      <c r="QCC612" s="17">
        <v>44925</v>
      </c>
      <c r="QCD612" s="5" t="s">
        <v>3728</v>
      </c>
      <c r="QCE612" s="17">
        <v>44925</v>
      </c>
      <c r="QCF612" s="5" t="s">
        <v>3728</v>
      </c>
      <c r="QCG612" s="17">
        <v>44925</v>
      </c>
      <c r="QCH612" s="5" t="s">
        <v>3728</v>
      </c>
      <c r="QCI612" s="17">
        <v>44925</v>
      </c>
      <c r="QCJ612" s="5" t="s">
        <v>3728</v>
      </c>
      <c r="QCK612" s="17">
        <v>44925</v>
      </c>
      <c r="QCL612" s="5" t="s">
        <v>3728</v>
      </c>
      <c r="QCM612" s="17">
        <v>44925</v>
      </c>
      <c r="QCN612" s="5" t="s">
        <v>3728</v>
      </c>
      <c r="QCO612" s="17">
        <v>44925</v>
      </c>
      <c r="QCP612" s="5" t="s">
        <v>3728</v>
      </c>
      <c r="QCQ612" s="17">
        <v>44925</v>
      </c>
      <c r="QCR612" s="5" t="s">
        <v>3728</v>
      </c>
      <c r="QCS612" s="17">
        <v>44925</v>
      </c>
      <c r="QCT612" s="5" t="s">
        <v>3728</v>
      </c>
      <c r="QCU612" s="17">
        <v>44925</v>
      </c>
      <c r="QCV612" s="5" t="s">
        <v>3728</v>
      </c>
      <c r="QCW612" s="17">
        <v>44925</v>
      </c>
      <c r="QCX612" s="5" t="s">
        <v>3728</v>
      </c>
      <c r="QCY612" s="17">
        <v>44925</v>
      </c>
      <c r="QCZ612" s="5" t="s">
        <v>3728</v>
      </c>
      <c r="QDA612" s="17">
        <v>44925</v>
      </c>
      <c r="QDB612" s="5" t="s">
        <v>3728</v>
      </c>
      <c r="QDC612" s="17">
        <v>44925</v>
      </c>
      <c r="QDD612" s="5" t="s">
        <v>3728</v>
      </c>
      <c r="QDE612" s="17">
        <v>44925</v>
      </c>
      <c r="QDF612" s="5" t="s">
        <v>3728</v>
      </c>
      <c r="QDG612" s="17">
        <v>44925</v>
      </c>
      <c r="QDH612" s="5" t="s">
        <v>3728</v>
      </c>
      <c r="QDI612" s="17">
        <v>44925</v>
      </c>
      <c r="QDJ612" s="5" t="s">
        <v>3728</v>
      </c>
      <c r="QDK612" s="17">
        <v>44925</v>
      </c>
      <c r="QDL612" s="5" t="s">
        <v>3728</v>
      </c>
      <c r="QDM612" s="17">
        <v>44925</v>
      </c>
      <c r="QDN612" s="5" t="s">
        <v>3728</v>
      </c>
      <c r="QDO612" s="17">
        <v>44925</v>
      </c>
      <c r="QDP612" s="5" t="s">
        <v>3728</v>
      </c>
      <c r="QDQ612" s="17">
        <v>44925</v>
      </c>
      <c r="QDR612" s="5" t="s">
        <v>3728</v>
      </c>
      <c r="QDS612" s="17">
        <v>44925</v>
      </c>
      <c r="QDT612" s="5" t="s">
        <v>3728</v>
      </c>
      <c r="QDU612" s="17">
        <v>44925</v>
      </c>
      <c r="QDV612" s="5" t="s">
        <v>3728</v>
      </c>
      <c r="QDW612" s="17">
        <v>44925</v>
      </c>
      <c r="QDX612" s="5" t="s">
        <v>3728</v>
      </c>
      <c r="QDY612" s="17">
        <v>44925</v>
      </c>
      <c r="QDZ612" s="5" t="s">
        <v>3728</v>
      </c>
      <c r="QEA612" s="17">
        <v>44925</v>
      </c>
      <c r="QEB612" s="5" t="s">
        <v>3728</v>
      </c>
      <c r="QEC612" s="17">
        <v>44925</v>
      </c>
      <c r="QED612" s="5" t="s">
        <v>3728</v>
      </c>
      <c r="QEE612" s="17">
        <v>44925</v>
      </c>
      <c r="QEF612" s="5" t="s">
        <v>3728</v>
      </c>
      <c r="QEG612" s="17">
        <v>44925</v>
      </c>
      <c r="QEH612" s="5" t="s">
        <v>3728</v>
      </c>
      <c r="QEI612" s="17">
        <v>44925</v>
      </c>
      <c r="QEJ612" s="5" t="s">
        <v>3728</v>
      </c>
      <c r="QEK612" s="17">
        <v>44925</v>
      </c>
      <c r="QEL612" s="5" t="s">
        <v>3728</v>
      </c>
      <c r="QEM612" s="17">
        <v>44925</v>
      </c>
      <c r="QEN612" s="5" t="s">
        <v>3728</v>
      </c>
      <c r="QEO612" s="17">
        <v>44925</v>
      </c>
      <c r="QEP612" s="5" t="s">
        <v>3728</v>
      </c>
      <c r="QEQ612" s="17">
        <v>44925</v>
      </c>
      <c r="QER612" s="5" t="s">
        <v>3728</v>
      </c>
      <c r="QES612" s="17">
        <v>44925</v>
      </c>
      <c r="QET612" s="5" t="s">
        <v>3728</v>
      </c>
      <c r="QEU612" s="17">
        <v>44925</v>
      </c>
      <c r="QEV612" s="5" t="s">
        <v>3728</v>
      </c>
      <c r="QEW612" s="17">
        <v>44925</v>
      </c>
      <c r="QEX612" s="5" t="s">
        <v>3728</v>
      </c>
      <c r="QEY612" s="17">
        <v>44925</v>
      </c>
      <c r="QEZ612" s="5" t="s">
        <v>3728</v>
      </c>
      <c r="QFA612" s="17">
        <v>44925</v>
      </c>
      <c r="QFB612" s="5" t="s">
        <v>3728</v>
      </c>
      <c r="QFC612" s="17">
        <v>44925</v>
      </c>
      <c r="QFD612" s="5" t="s">
        <v>3728</v>
      </c>
      <c r="QFE612" s="17">
        <v>44925</v>
      </c>
      <c r="QFF612" s="5" t="s">
        <v>3728</v>
      </c>
      <c r="QFG612" s="17">
        <v>44925</v>
      </c>
      <c r="QFH612" s="5" t="s">
        <v>3728</v>
      </c>
      <c r="QFI612" s="17">
        <v>44925</v>
      </c>
      <c r="QFJ612" s="5" t="s">
        <v>3728</v>
      </c>
      <c r="QFK612" s="17">
        <v>44925</v>
      </c>
      <c r="QFL612" s="5" t="s">
        <v>3728</v>
      </c>
      <c r="QFM612" s="17">
        <v>44925</v>
      </c>
      <c r="QFN612" s="5" t="s">
        <v>3728</v>
      </c>
      <c r="QFO612" s="17">
        <v>44925</v>
      </c>
      <c r="QFP612" s="5" t="s">
        <v>3728</v>
      </c>
      <c r="QFQ612" s="17">
        <v>44925</v>
      </c>
      <c r="QFR612" s="5" t="s">
        <v>3728</v>
      </c>
      <c r="QFS612" s="17">
        <v>44925</v>
      </c>
      <c r="QFT612" s="5" t="s">
        <v>3728</v>
      </c>
      <c r="QFU612" s="17">
        <v>44925</v>
      </c>
      <c r="QFV612" s="5" t="s">
        <v>3728</v>
      </c>
      <c r="QFW612" s="17">
        <v>44925</v>
      </c>
      <c r="QFX612" s="5" t="s">
        <v>3728</v>
      </c>
      <c r="QFY612" s="17">
        <v>44925</v>
      </c>
      <c r="QFZ612" s="5" t="s">
        <v>3728</v>
      </c>
      <c r="QGA612" s="17">
        <v>44925</v>
      </c>
      <c r="QGB612" s="5" t="s">
        <v>3728</v>
      </c>
      <c r="QGC612" s="17">
        <v>44925</v>
      </c>
      <c r="QGD612" s="5" t="s">
        <v>3728</v>
      </c>
      <c r="QGE612" s="17">
        <v>44925</v>
      </c>
      <c r="QGF612" s="5" t="s">
        <v>3728</v>
      </c>
      <c r="QGG612" s="17">
        <v>44925</v>
      </c>
      <c r="QGH612" s="5" t="s">
        <v>3728</v>
      </c>
      <c r="QGI612" s="17">
        <v>44925</v>
      </c>
      <c r="QGJ612" s="5" t="s">
        <v>3728</v>
      </c>
      <c r="QGK612" s="17">
        <v>44925</v>
      </c>
      <c r="QGL612" s="5" t="s">
        <v>3728</v>
      </c>
      <c r="QGM612" s="17">
        <v>44925</v>
      </c>
      <c r="QGN612" s="5" t="s">
        <v>3728</v>
      </c>
      <c r="QGO612" s="17">
        <v>44925</v>
      </c>
      <c r="QGP612" s="5" t="s">
        <v>3728</v>
      </c>
      <c r="QGQ612" s="17">
        <v>44925</v>
      </c>
      <c r="QGR612" s="5" t="s">
        <v>3728</v>
      </c>
      <c r="QGS612" s="17">
        <v>44925</v>
      </c>
      <c r="QGT612" s="5" t="s">
        <v>3728</v>
      </c>
      <c r="QGU612" s="17">
        <v>44925</v>
      </c>
      <c r="QGV612" s="5" t="s">
        <v>3728</v>
      </c>
      <c r="QGW612" s="17">
        <v>44925</v>
      </c>
      <c r="QGX612" s="5" t="s">
        <v>3728</v>
      </c>
      <c r="QGY612" s="17">
        <v>44925</v>
      </c>
      <c r="QGZ612" s="5" t="s">
        <v>3728</v>
      </c>
      <c r="QHA612" s="17">
        <v>44925</v>
      </c>
      <c r="QHB612" s="5" t="s">
        <v>3728</v>
      </c>
      <c r="QHC612" s="17">
        <v>44925</v>
      </c>
      <c r="QHD612" s="5" t="s">
        <v>3728</v>
      </c>
      <c r="QHE612" s="17">
        <v>44925</v>
      </c>
      <c r="QHF612" s="5" t="s">
        <v>3728</v>
      </c>
      <c r="QHG612" s="17">
        <v>44925</v>
      </c>
      <c r="QHH612" s="5" t="s">
        <v>3728</v>
      </c>
      <c r="QHI612" s="17">
        <v>44925</v>
      </c>
      <c r="QHJ612" s="5" t="s">
        <v>3728</v>
      </c>
      <c r="QHK612" s="17">
        <v>44925</v>
      </c>
      <c r="QHL612" s="5" t="s">
        <v>3728</v>
      </c>
      <c r="QHM612" s="17">
        <v>44925</v>
      </c>
      <c r="QHN612" s="5" t="s">
        <v>3728</v>
      </c>
      <c r="QHO612" s="17">
        <v>44925</v>
      </c>
      <c r="QHP612" s="5" t="s">
        <v>3728</v>
      </c>
      <c r="QHQ612" s="17">
        <v>44925</v>
      </c>
      <c r="QHR612" s="5" t="s">
        <v>3728</v>
      </c>
      <c r="QHS612" s="17">
        <v>44925</v>
      </c>
      <c r="QHT612" s="5" t="s">
        <v>3728</v>
      </c>
      <c r="QHU612" s="17">
        <v>44925</v>
      </c>
      <c r="QHV612" s="5" t="s">
        <v>3728</v>
      </c>
      <c r="QHW612" s="17">
        <v>44925</v>
      </c>
      <c r="QHX612" s="5" t="s">
        <v>3728</v>
      </c>
      <c r="QHY612" s="17">
        <v>44925</v>
      </c>
      <c r="QHZ612" s="5" t="s">
        <v>3728</v>
      </c>
      <c r="QIA612" s="17">
        <v>44925</v>
      </c>
      <c r="QIB612" s="5" t="s">
        <v>3728</v>
      </c>
      <c r="QIC612" s="17">
        <v>44925</v>
      </c>
      <c r="QID612" s="5" t="s">
        <v>3728</v>
      </c>
      <c r="QIE612" s="17">
        <v>44925</v>
      </c>
      <c r="QIF612" s="5" t="s">
        <v>3728</v>
      </c>
      <c r="QIG612" s="17">
        <v>44925</v>
      </c>
      <c r="QIH612" s="5" t="s">
        <v>3728</v>
      </c>
      <c r="QII612" s="17">
        <v>44925</v>
      </c>
      <c r="QIJ612" s="5" t="s">
        <v>3728</v>
      </c>
      <c r="QIK612" s="17">
        <v>44925</v>
      </c>
      <c r="QIL612" s="5" t="s">
        <v>3728</v>
      </c>
      <c r="QIM612" s="17">
        <v>44925</v>
      </c>
      <c r="QIN612" s="5" t="s">
        <v>3728</v>
      </c>
      <c r="QIO612" s="17">
        <v>44925</v>
      </c>
      <c r="QIP612" s="5" t="s">
        <v>3728</v>
      </c>
      <c r="QIQ612" s="17">
        <v>44925</v>
      </c>
      <c r="QIR612" s="5" t="s">
        <v>3728</v>
      </c>
      <c r="QIS612" s="17">
        <v>44925</v>
      </c>
      <c r="QIT612" s="5" t="s">
        <v>3728</v>
      </c>
      <c r="QIU612" s="17">
        <v>44925</v>
      </c>
      <c r="QIV612" s="5" t="s">
        <v>3728</v>
      </c>
      <c r="QIW612" s="17">
        <v>44925</v>
      </c>
      <c r="QIX612" s="5" t="s">
        <v>3728</v>
      </c>
      <c r="QIY612" s="17">
        <v>44925</v>
      </c>
      <c r="QIZ612" s="5" t="s">
        <v>3728</v>
      </c>
      <c r="QJA612" s="17">
        <v>44925</v>
      </c>
      <c r="QJB612" s="5" t="s">
        <v>3728</v>
      </c>
      <c r="QJC612" s="17">
        <v>44925</v>
      </c>
      <c r="QJD612" s="5" t="s">
        <v>3728</v>
      </c>
      <c r="QJE612" s="17">
        <v>44925</v>
      </c>
      <c r="QJF612" s="5" t="s">
        <v>3728</v>
      </c>
      <c r="QJG612" s="17">
        <v>44925</v>
      </c>
      <c r="QJH612" s="5" t="s">
        <v>3728</v>
      </c>
      <c r="QJI612" s="17">
        <v>44925</v>
      </c>
      <c r="QJJ612" s="5" t="s">
        <v>3728</v>
      </c>
      <c r="QJK612" s="17">
        <v>44925</v>
      </c>
      <c r="QJL612" s="5" t="s">
        <v>3728</v>
      </c>
      <c r="QJM612" s="17">
        <v>44925</v>
      </c>
      <c r="QJN612" s="5" t="s">
        <v>3728</v>
      </c>
      <c r="QJO612" s="17">
        <v>44925</v>
      </c>
      <c r="QJP612" s="5" t="s">
        <v>3728</v>
      </c>
      <c r="QJQ612" s="17">
        <v>44925</v>
      </c>
      <c r="QJR612" s="5" t="s">
        <v>3728</v>
      </c>
      <c r="QJS612" s="17">
        <v>44925</v>
      </c>
      <c r="QJT612" s="5" t="s">
        <v>3728</v>
      </c>
      <c r="QJU612" s="17">
        <v>44925</v>
      </c>
      <c r="QJV612" s="5" t="s">
        <v>3728</v>
      </c>
      <c r="QJW612" s="17">
        <v>44925</v>
      </c>
      <c r="QJX612" s="5" t="s">
        <v>3728</v>
      </c>
      <c r="QJY612" s="17">
        <v>44925</v>
      </c>
      <c r="QJZ612" s="5" t="s">
        <v>3728</v>
      </c>
      <c r="QKA612" s="17">
        <v>44925</v>
      </c>
      <c r="QKB612" s="5" t="s">
        <v>3728</v>
      </c>
      <c r="QKC612" s="17">
        <v>44925</v>
      </c>
      <c r="QKD612" s="5" t="s">
        <v>3728</v>
      </c>
      <c r="QKE612" s="17">
        <v>44925</v>
      </c>
      <c r="QKF612" s="5" t="s">
        <v>3728</v>
      </c>
      <c r="QKG612" s="17">
        <v>44925</v>
      </c>
      <c r="QKH612" s="5" t="s">
        <v>3728</v>
      </c>
      <c r="QKI612" s="17">
        <v>44925</v>
      </c>
      <c r="QKJ612" s="5" t="s">
        <v>3728</v>
      </c>
      <c r="QKK612" s="17">
        <v>44925</v>
      </c>
      <c r="QKL612" s="5" t="s">
        <v>3728</v>
      </c>
      <c r="QKM612" s="17">
        <v>44925</v>
      </c>
      <c r="QKN612" s="5" t="s">
        <v>3728</v>
      </c>
      <c r="QKO612" s="17">
        <v>44925</v>
      </c>
      <c r="QKP612" s="5" t="s">
        <v>3728</v>
      </c>
      <c r="QKQ612" s="17">
        <v>44925</v>
      </c>
      <c r="QKR612" s="5" t="s">
        <v>3728</v>
      </c>
      <c r="QKS612" s="17">
        <v>44925</v>
      </c>
      <c r="QKT612" s="5" t="s">
        <v>3728</v>
      </c>
      <c r="QKU612" s="17">
        <v>44925</v>
      </c>
      <c r="QKV612" s="5" t="s">
        <v>3728</v>
      </c>
      <c r="QKW612" s="17">
        <v>44925</v>
      </c>
      <c r="QKX612" s="5" t="s">
        <v>3728</v>
      </c>
      <c r="QKY612" s="17">
        <v>44925</v>
      </c>
      <c r="QKZ612" s="5" t="s">
        <v>3728</v>
      </c>
      <c r="QLA612" s="17">
        <v>44925</v>
      </c>
      <c r="QLB612" s="5" t="s">
        <v>3728</v>
      </c>
      <c r="QLC612" s="17">
        <v>44925</v>
      </c>
      <c r="QLD612" s="5" t="s">
        <v>3728</v>
      </c>
      <c r="QLE612" s="17">
        <v>44925</v>
      </c>
      <c r="QLF612" s="5" t="s">
        <v>3728</v>
      </c>
      <c r="QLG612" s="17">
        <v>44925</v>
      </c>
      <c r="QLH612" s="5" t="s">
        <v>3728</v>
      </c>
      <c r="QLI612" s="17">
        <v>44925</v>
      </c>
      <c r="QLJ612" s="5" t="s">
        <v>3728</v>
      </c>
      <c r="QLK612" s="17">
        <v>44925</v>
      </c>
      <c r="QLL612" s="5" t="s">
        <v>3728</v>
      </c>
      <c r="QLM612" s="17">
        <v>44925</v>
      </c>
      <c r="QLN612" s="5" t="s">
        <v>3728</v>
      </c>
      <c r="QLO612" s="17">
        <v>44925</v>
      </c>
      <c r="QLP612" s="5" t="s">
        <v>3728</v>
      </c>
      <c r="QLQ612" s="17">
        <v>44925</v>
      </c>
      <c r="QLR612" s="5" t="s">
        <v>3728</v>
      </c>
      <c r="QLS612" s="17">
        <v>44925</v>
      </c>
      <c r="QLT612" s="5" t="s">
        <v>3728</v>
      </c>
      <c r="QLU612" s="17">
        <v>44925</v>
      </c>
      <c r="QLV612" s="5" t="s">
        <v>3728</v>
      </c>
      <c r="QLW612" s="17">
        <v>44925</v>
      </c>
      <c r="QLX612" s="5" t="s">
        <v>3728</v>
      </c>
      <c r="QLY612" s="17">
        <v>44925</v>
      </c>
      <c r="QLZ612" s="5" t="s">
        <v>3728</v>
      </c>
      <c r="QMA612" s="17">
        <v>44925</v>
      </c>
      <c r="QMB612" s="5" t="s">
        <v>3728</v>
      </c>
      <c r="QMC612" s="17">
        <v>44925</v>
      </c>
      <c r="QMD612" s="5" t="s">
        <v>3728</v>
      </c>
      <c r="QME612" s="17">
        <v>44925</v>
      </c>
      <c r="QMF612" s="5" t="s">
        <v>3728</v>
      </c>
      <c r="QMG612" s="17">
        <v>44925</v>
      </c>
      <c r="QMH612" s="5" t="s">
        <v>3728</v>
      </c>
      <c r="QMI612" s="17">
        <v>44925</v>
      </c>
      <c r="QMJ612" s="5" t="s">
        <v>3728</v>
      </c>
      <c r="QMK612" s="17">
        <v>44925</v>
      </c>
      <c r="QML612" s="5" t="s">
        <v>3728</v>
      </c>
      <c r="QMM612" s="17">
        <v>44925</v>
      </c>
      <c r="QMN612" s="5" t="s">
        <v>3728</v>
      </c>
      <c r="QMO612" s="17">
        <v>44925</v>
      </c>
      <c r="QMP612" s="5" t="s">
        <v>3728</v>
      </c>
      <c r="QMQ612" s="17">
        <v>44925</v>
      </c>
      <c r="QMR612" s="5" t="s">
        <v>3728</v>
      </c>
      <c r="QMS612" s="17">
        <v>44925</v>
      </c>
      <c r="QMT612" s="5" t="s">
        <v>3728</v>
      </c>
      <c r="QMU612" s="17">
        <v>44925</v>
      </c>
      <c r="QMV612" s="5" t="s">
        <v>3728</v>
      </c>
      <c r="QMW612" s="17">
        <v>44925</v>
      </c>
      <c r="QMX612" s="5" t="s">
        <v>3728</v>
      </c>
      <c r="QMY612" s="17">
        <v>44925</v>
      </c>
      <c r="QMZ612" s="5" t="s">
        <v>3728</v>
      </c>
      <c r="QNA612" s="17">
        <v>44925</v>
      </c>
      <c r="QNB612" s="5" t="s">
        <v>3728</v>
      </c>
      <c r="QNC612" s="17">
        <v>44925</v>
      </c>
      <c r="QND612" s="5" t="s">
        <v>3728</v>
      </c>
      <c r="QNE612" s="17">
        <v>44925</v>
      </c>
      <c r="QNF612" s="5" t="s">
        <v>3728</v>
      </c>
      <c r="QNG612" s="17">
        <v>44925</v>
      </c>
      <c r="QNH612" s="5" t="s">
        <v>3728</v>
      </c>
      <c r="QNI612" s="17">
        <v>44925</v>
      </c>
      <c r="QNJ612" s="5" t="s">
        <v>3728</v>
      </c>
      <c r="QNK612" s="17">
        <v>44925</v>
      </c>
      <c r="QNL612" s="5" t="s">
        <v>3728</v>
      </c>
      <c r="QNM612" s="17">
        <v>44925</v>
      </c>
      <c r="QNN612" s="5" t="s">
        <v>3728</v>
      </c>
      <c r="QNO612" s="17">
        <v>44925</v>
      </c>
      <c r="QNP612" s="5" t="s">
        <v>3728</v>
      </c>
      <c r="QNQ612" s="17">
        <v>44925</v>
      </c>
      <c r="QNR612" s="5" t="s">
        <v>3728</v>
      </c>
      <c r="QNS612" s="17">
        <v>44925</v>
      </c>
      <c r="QNT612" s="5" t="s">
        <v>3728</v>
      </c>
      <c r="QNU612" s="17">
        <v>44925</v>
      </c>
      <c r="QNV612" s="5" t="s">
        <v>3728</v>
      </c>
      <c r="QNW612" s="17">
        <v>44925</v>
      </c>
      <c r="QNX612" s="5" t="s">
        <v>3728</v>
      </c>
      <c r="QNY612" s="17">
        <v>44925</v>
      </c>
      <c r="QNZ612" s="5" t="s">
        <v>3728</v>
      </c>
      <c r="QOA612" s="17">
        <v>44925</v>
      </c>
      <c r="QOB612" s="5" t="s">
        <v>3728</v>
      </c>
      <c r="QOC612" s="17">
        <v>44925</v>
      </c>
      <c r="QOD612" s="5" t="s">
        <v>3728</v>
      </c>
      <c r="QOE612" s="17">
        <v>44925</v>
      </c>
      <c r="QOF612" s="5" t="s">
        <v>3728</v>
      </c>
      <c r="QOG612" s="17">
        <v>44925</v>
      </c>
      <c r="QOH612" s="5" t="s">
        <v>3728</v>
      </c>
      <c r="QOI612" s="17">
        <v>44925</v>
      </c>
      <c r="QOJ612" s="5" t="s">
        <v>3728</v>
      </c>
      <c r="QOK612" s="17">
        <v>44925</v>
      </c>
      <c r="QOL612" s="5" t="s">
        <v>3728</v>
      </c>
      <c r="QOM612" s="17">
        <v>44925</v>
      </c>
      <c r="QON612" s="5" t="s">
        <v>3728</v>
      </c>
      <c r="QOO612" s="17">
        <v>44925</v>
      </c>
      <c r="QOP612" s="5" t="s">
        <v>3728</v>
      </c>
      <c r="QOQ612" s="17">
        <v>44925</v>
      </c>
      <c r="QOR612" s="5" t="s">
        <v>3728</v>
      </c>
      <c r="QOS612" s="17">
        <v>44925</v>
      </c>
      <c r="QOT612" s="5" t="s">
        <v>3728</v>
      </c>
      <c r="QOU612" s="17">
        <v>44925</v>
      </c>
      <c r="QOV612" s="5" t="s">
        <v>3728</v>
      </c>
      <c r="QOW612" s="17">
        <v>44925</v>
      </c>
      <c r="QOX612" s="5" t="s">
        <v>3728</v>
      </c>
      <c r="QOY612" s="17">
        <v>44925</v>
      </c>
      <c r="QOZ612" s="5" t="s">
        <v>3728</v>
      </c>
      <c r="QPA612" s="17">
        <v>44925</v>
      </c>
      <c r="QPB612" s="5" t="s">
        <v>3728</v>
      </c>
      <c r="QPC612" s="17">
        <v>44925</v>
      </c>
      <c r="QPD612" s="5" t="s">
        <v>3728</v>
      </c>
      <c r="QPE612" s="17">
        <v>44925</v>
      </c>
      <c r="QPF612" s="5" t="s">
        <v>3728</v>
      </c>
      <c r="QPG612" s="17">
        <v>44925</v>
      </c>
      <c r="QPH612" s="5" t="s">
        <v>3728</v>
      </c>
      <c r="QPI612" s="17">
        <v>44925</v>
      </c>
      <c r="QPJ612" s="5" t="s">
        <v>3728</v>
      </c>
      <c r="QPK612" s="17">
        <v>44925</v>
      </c>
      <c r="QPL612" s="5" t="s">
        <v>3728</v>
      </c>
      <c r="QPM612" s="17">
        <v>44925</v>
      </c>
      <c r="QPN612" s="5" t="s">
        <v>3728</v>
      </c>
      <c r="QPO612" s="17">
        <v>44925</v>
      </c>
      <c r="QPP612" s="5" t="s">
        <v>3728</v>
      </c>
      <c r="QPQ612" s="17">
        <v>44925</v>
      </c>
      <c r="QPR612" s="5" t="s">
        <v>3728</v>
      </c>
      <c r="QPS612" s="17">
        <v>44925</v>
      </c>
      <c r="QPT612" s="5" t="s">
        <v>3728</v>
      </c>
      <c r="QPU612" s="17">
        <v>44925</v>
      </c>
      <c r="QPV612" s="5" t="s">
        <v>3728</v>
      </c>
      <c r="QPW612" s="17">
        <v>44925</v>
      </c>
      <c r="QPX612" s="5" t="s">
        <v>3728</v>
      </c>
      <c r="QPY612" s="17">
        <v>44925</v>
      </c>
      <c r="QPZ612" s="5" t="s">
        <v>3728</v>
      </c>
      <c r="QQA612" s="17">
        <v>44925</v>
      </c>
      <c r="QQB612" s="5" t="s">
        <v>3728</v>
      </c>
      <c r="QQC612" s="17">
        <v>44925</v>
      </c>
      <c r="QQD612" s="5" t="s">
        <v>3728</v>
      </c>
      <c r="QQE612" s="17">
        <v>44925</v>
      </c>
      <c r="QQF612" s="5" t="s">
        <v>3728</v>
      </c>
      <c r="QQG612" s="17">
        <v>44925</v>
      </c>
      <c r="QQH612" s="5" t="s">
        <v>3728</v>
      </c>
      <c r="QQI612" s="17">
        <v>44925</v>
      </c>
      <c r="QQJ612" s="5" t="s">
        <v>3728</v>
      </c>
      <c r="QQK612" s="17">
        <v>44925</v>
      </c>
      <c r="QQL612" s="5" t="s">
        <v>3728</v>
      </c>
      <c r="QQM612" s="17">
        <v>44925</v>
      </c>
      <c r="QQN612" s="5" t="s">
        <v>3728</v>
      </c>
      <c r="QQO612" s="17">
        <v>44925</v>
      </c>
      <c r="QQP612" s="5" t="s">
        <v>3728</v>
      </c>
      <c r="QQQ612" s="17">
        <v>44925</v>
      </c>
      <c r="QQR612" s="5" t="s">
        <v>3728</v>
      </c>
      <c r="QQS612" s="17">
        <v>44925</v>
      </c>
      <c r="QQT612" s="5" t="s">
        <v>3728</v>
      </c>
      <c r="QQU612" s="17">
        <v>44925</v>
      </c>
      <c r="QQV612" s="5" t="s">
        <v>3728</v>
      </c>
      <c r="QQW612" s="17">
        <v>44925</v>
      </c>
      <c r="QQX612" s="5" t="s">
        <v>3728</v>
      </c>
      <c r="QQY612" s="17">
        <v>44925</v>
      </c>
      <c r="QQZ612" s="5" t="s">
        <v>3728</v>
      </c>
      <c r="QRA612" s="17">
        <v>44925</v>
      </c>
      <c r="QRB612" s="5" t="s">
        <v>3728</v>
      </c>
      <c r="QRC612" s="17">
        <v>44925</v>
      </c>
      <c r="QRD612" s="5" t="s">
        <v>3728</v>
      </c>
      <c r="QRE612" s="17">
        <v>44925</v>
      </c>
      <c r="QRF612" s="5" t="s">
        <v>3728</v>
      </c>
      <c r="QRG612" s="17">
        <v>44925</v>
      </c>
      <c r="QRH612" s="5" t="s">
        <v>3728</v>
      </c>
      <c r="QRI612" s="17">
        <v>44925</v>
      </c>
      <c r="QRJ612" s="5" t="s">
        <v>3728</v>
      </c>
      <c r="QRK612" s="17">
        <v>44925</v>
      </c>
      <c r="QRL612" s="5" t="s">
        <v>3728</v>
      </c>
      <c r="QRM612" s="17">
        <v>44925</v>
      </c>
      <c r="QRN612" s="5" t="s">
        <v>3728</v>
      </c>
      <c r="QRO612" s="17">
        <v>44925</v>
      </c>
      <c r="QRP612" s="5" t="s">
        <v>3728</v>
      </c>
      <c r="QRQ612" s="17">
        <v>44925</v>
      </c>
      <c r="QRR612" s="5" t="s">
        <v>3728</v>
      </c>
      <c r="QRS612" s="17">
        <v>44925</v>
      </c>
      <c r="QRT612" s="5" t="s">
        <v>3728</v>
      </c>
      <c r="QRU612" s="17">
        <v>44925</v>
      </c>
      <c r="QRV612" s="5" t="s">
        <v>3728</v>
      </c>
      <c r="QRW612" s="17">
        <v>44925</v>
      </c>
      <c r="QRX612" s="5" t="s">
        <v>3728</v>
      </c>
      <c r="QRY612" s="17">
        <v>44925</v>
      </c>
      <c r="QRZ612" s="5" t="s">
        <v>3728</v>
      </c>
      <c r="QSA612" s="17">
        <v>44925</v>
      </c>
      <c r="QSB612" s="5" t="s">
        <v>3728</v>
      </c>
      <c r="QSC612" s="17">
        <v>44925</v>
      </c>
      <c r="QSD612" s="5" t="s">
        <v>3728</v>
      </c>
      <c r="QSE612" s="17">
        <v>44925</v>
      </c>
      <c r="QSF612" s="5" t="s">
        <v>3728</v>
      </c>
      <c r="QSG612" s="17">
        <v>44925</v>
      </c>
      <c r="QSH612" s="5" t="s">
        <v>3728</v>
      </c>
      <c r="QSI612" s="17">
        <v>44925</v>
      </c>
      <c r="QSJ612" s="5" t="s">
        <v>3728</v>
      </c>
      <c r="QSK612" s="17">
        <v>44925</v>
      </c>
      <c r="QSL612" s="5" t="s">
        <v>3728</v>
      </c>
      <c r="QSM612" s="17">
        <v>44925</v>
      </c>
      <c r="QSN612" s="5" t="s">
        <v>3728</v>
      </c>
      <c r="QSO612" s="17">
        <v>44925</v>
      </c>
      <c r="QSP612" s="5" t="s">
        <v>3728</v>
      </c>
      <c r="QSQ612" s="17">
        <v>44925</v>
      </c>
      <c r="QSR612" s="5" t="s">
        <v>3728</v>
      </c>
      <c r="QSS612" s="17">
        <v>44925</v>
      </c>
      <c r="QST612" s="5" t="s">
        <v>3728</v>
      </c>
      <c r="QSU612" s="17">
        <v>44925</v>
      </c>
      <c r="QSV612" s="5" t="s">
        <v>3728</v>
      </c>
      <c r="QSW612" s="17">
        <v>44925</v>
      </c>
      <c r="QSX612" s="5" t="s">
        <v>3728</v>
      </c>
      <c r="QSY612" s="17">
        <v>44925</v>
      </c>
      <c r="QSZ612" s="5" t="s">
        <v>3728</v>
      </c>
      <c r="QTA612" s="17">
        <v>44925</v>
      </c>
      <c r="QTB612" s="5" t="s">
        <v>3728</v>
      </c>
      <c r="QTC612" s="17">
        <v>44925</v>
      </c>
      <c r="QTD612" s="5" t="s">
        <v>3728</v>
      </c>
      <c r="QTE612" s="17">
        <v>44925</v>
      </c>
      <c r="QTF612" s="5" t="s">
        <v>3728</v>
      </c>
      <c r="QTG612" s="17">
        <v>44925</v>
      </c>
      <c r="QTH612" s="5" t="s">
        <v>3728</v>
      </c>
      <c r="QTI612" s="17">
        <v>44925</v>
      </c>
      <c r="QTJ612" s="5" t="s">
        <v>3728</v>
      </c>
      <c r="QTK612" s="17">
        <v>44925</v>
      </c>
      <c r="QTL612" s="5" t="s">
        <v>3728</v>
      </c>
      <c r="QTM612" s="17">
        <v>44925</v>
      </c>
      <c r="QTN612" s="5" t="s">
        <v>3728</v>
      </c>
      <c r="QTO612" s="17">
        <v>44925</v>
      </c>
      <c r="QTP612" s="5" t="s">
        <v>3728</v>
      </c>
      <c r="QTQ612" s="17">
        <v>44925</v>
      </c>
      <c r="QTR612" s="5" t="s">
        <v>3728</v>
      </c>
      <c r="QTS612" s="17">
        <v>44925</v>
      </c>
      <c r="QTT612" s="5" t="s">
        <v>3728</v>
      </c>
      <c r="QTU612" s="17">
        <v>44925</v>
      </c>
      <c r="QTV612" s="5" t="s">
        <v>3728</v>
      </c>
      <c r="QTW612" s="17">
        <v>44925</v>
      </c>
      <c r="QTX612" s="5" t="s">
        <v>3728</v>
      </c>
      <c r="QTY612" s="17">
        <v>44925</v>
      </c>
      <c r="QTZ612" s="5" t="s">
        <v>3728</v>
      </c>
      <c r="QUA612" s="17">
        <v>44925</v>
      </c>
      <c r="QUB612" s="5" t="s">
        <v>3728</v>
      </c>
      <c r="QUC612" s="17">
        <v>44925</v>
      </c>
      <c r="QUD612" s="5" t="s">
        <v>3728</v>
      </c>
      <c r="QUE612" s="17">
        <v>44925</v>
      </c>
      <c r="QUF612" s="5" t="s">
        <v>3728</v>
      </c>
      <c r="QUG612" s="17">
        <v>44925</v>
      </c>
      <c r="QUH612" s="5" t="s">
        <v>3728</v>
      </c>
      <c r="QUI612" s="17">
        <v>44925</v>
      </c>
      <c r="QUJ612" s="5" t="s">
        <v>3728</v>
      </c>
      <c r="QUK612" s="17">
        <v>44925</v>
      </c>
      <c r="QUL612" s="5" t="s">
        <v>3728</v>
      </c>
      <c r="QUM612" s="17">
        <v>44925</v>
      </c>
      <c r="QUN612" s="5" t="s">
        <v>3728</v>
      </c>
      <c r="QUO612" s="17">
        <v>44925</v>
      </c>
      <c r="QUP612" s="5" t="s">
        <v>3728</v>
      </c>
      <c r="QUQ612" s="17">
        <v>44925</v>
      </c>
      <c r="QUR612" s="5" t="s">
        <v>3728</v>
      </c>
      <c r="QUS612" s="17">
        <v>44925</v>
      </c>
      <c r="QUT612" s="5" t="s">
        <v>3728</v>
      </c>
      <c r="QUU612" s="17">
        <v>44925</v>
      </c>
      <c r="QUV612" s="5" t="s">
        <v>3728</v>
      </c>
      <c r="QUW612" s="17">
        <v>44925</v>
      </c>
      <c r="QUX612" s="5" t="s">
        <v>3728</v>
      </c>
      <c r="QUY612" s="17">
        <v>44925</v>
      </c>
      <c r="QUZ612" s="5" t="s">
        <v>3728</v>
      </c>
      <c r="QVA612" s="17">
        <v>44925</v>
      </c>
      <c r="QVB612" s="5" t="s">
        <v>3728</v>
      </c>
      <c r="QVC612" s="17">
        <v>44925</v>
      </c>
      <c r="QVD612" s="5" t="s">
        <v>3728</v>
      </c>
      <c r="QVE612" s="17">
        <v>44925</v>
      </c>
      <c r="QVF612" s="5" t="s">
        <v>3728</v>
      </c>
      <c r="QVG612" s="17">
        <v>44925</v>
      </c>
      <c r="QVH612" s="5" t="s">
        <v>3728</v>
      </c>
      <c r="QVI612" s="17">
        <v>44925</v>
      </c>
      <c r="QVJ612" s="5" t="s">
        <v>3728</v>
      </c>
      <c r="QVK612" s="17">
        <v>44925</v>
      </c>
      <c r="QVL612" s="5" t="s">
        <v>3728</v>
      </c>
      <c r="QVM612" s="17">
        <v>44925</v>
      </c>
      <c r="QVN612" s="5" t="s">
        <v>3728</v>
      </c>
      <c r="QVO612" s="17">
        <v>44925</v>
      </c>
      <c r="QVP612" s="5" t="s">
        <v>3728</v>
      </c>
      <c r="QVQ612" s="17">
        <v>44925</v>
      </c>
      <c r="QVR612" s="5" t="s">
        <v>3728</v>
      </c>
      <c r="QVS612" s="17">
        <v>44925</v>
      </c>
      <c r="QVT612" s="5" t="s">
        <v>3728</v>
      </c>
      <c r="QVU612" s="17">
        <v>44925</v>
      </c>
      <c r="QVV612" s="5" t="s">
        <v>3728</v>
      </c>
      <c r="QVW612" s="17">
        <v>44925</v>
      </c>
      <c r="QVX612" s="5" t="s">
        <v>3728</v>
      </c>
      <c r="QVY612" s="17">
        <v>44925</v>
      </c>
      <c r="QVZ612" s="5" t="s">
        <v>3728</v>
      </c>
      <c r="QWA612" s="17">
        <v>44925</v>
      </c>
      <c r="QWB612" s="5" t="s">
        <v>3728</v>
      </c>
      <c r="QWC612" s="17">
        <v>44925</v>
      </c>
      <c r="QWD612" s="5" t="s">
        <v>3728</v>
      </c>
      <c r="QWE612" s="17">
        <v>44925</v>
      </c>
      <c r="QWF612" s="5" t="s">
        <v>3728</v>
      </c>
      <c r="QWG612" s="17">
        <v>44925</v>
      </c>
      <c r="QWH612" s="5" t="s">
        <v>3728</v>
      </c>
      <c r="QWI612" s="17">
        <v>44925</v>
      </c>
      <c r="QWJ612" s="5" t="s">
        <v>3728</v>
      </c>
      <c r="QWK612" s="17">
        <v>44925</v>
      </c>
      <c r="QWL612" s="5" t="s">
        <v>3728</v>
      </c>
      <c r="QWM612" s="17">
        <v>44925</v>
      </c>
      <c r="QWN612" s="5" t="s">
        <v>3728</v>
      </c>
      <c r="QWO612" s="17">
        <v>44925</v>
      </c>
      <c r="QWP612" s="5" t="s">
        <v>3728</v>
      </c>
      <c r="QWQ612" s="17">
        <v>44925</v>
      </c>
      <c r="QWR612" s="5" t="s">
        <v>3728</v>
      </c>
      <c r="QWS612" s="17">
        <v>44925</v>
      </c>
      <c r="QWT612" s="5" t="s">
        <v>3728</v>
      </c>
      <c r="QWU612" s="17">
        <v>44925</v>
      </c>
      <c r="QWV612" s="5" t="s">
        <v>3728</v>
      </c>
      <c r="QWW612" s="17">
        <v>44925</v>
      </c>
      <c r="QWX612" s="5" t="s">
        <v>3728</v>
      </c>
      <c r="QWY612" s="17">
        <v>44925</v>
      </c>
      <c r="QWZ612" s="5" t="s">
        <v>3728</v>
      </c>
      <c r="QXA612" s="17">
        <v>44925</v>
      </c>
      <c r="QXB612" s="5" t="s">
        <v>3728</v>
      </c>
      <c r="QXC612" s="17">
        <v>44925</v>
      </c>
      <c r="QXD612" s="5" t="s">
        <v>3728</v>
      </c>
      <c r="QXE612" s="17">
        <v>44925</v>
      </c>
      <c r="QXF612" s="5" t="s">
        <v>3728</v>
      </c>
      <c r="QXG612" s="17">
        <v>44925</v>
      </c>
      <c r="QXH612" s="5" t="s">
        <v>3728</v>
      </c>
      <c r="QXI612" s="17">
        <v>44925</v>
      </c>
      <c r="QXJ612" s="5" t="s">
        <v>3728</v>
      </c>
      <c r="QXK612" s="17">
        <v>44925</v>
      </c>
      <c r="QXL612" s="5" t="s">
        <v>3728</v>
      </c>
      <c r="QXM612" s="17">
        <v>44925</v>
      </c>
      <c r="QXN612" s="5" t="s">
        <v>3728</v>
      </c>
      <c r="QXO612" s="17">
        <v>44925</v>
      </c>
      <c r="QXP612" s="5" t="s">
        <v>3728</v>
      </c>
      <c r="QXQ612" s="17">
        <v>44925</v>
      </c>
      <c r="QXR612" s="5" t="s">
        <v>3728</v>
      </c>
      <c r="QXS612" s="17">
        <v>44925</v>
      </c>
      <c r="QXT612" s="5" t="s">
        <v>3728</v>
      </c>
      <c r="QXU612" s="17">
        <v>44925</v>
      </c>
      <c r="QXV612" s="5" t="s">
        <v>3728</v>
      </c>
      <c r="QXW612" s="17">
        <v>44925</v>
      </c>
      <c r="QXX612" s="5" t="s">
        <v>3728</v>
      </c>
      <c r="QXY612" s="17">
        <v>44925</v>
      </c>
      <c r="QXZ612" s="5" t="s">
        <v>3728</v>
      </c>
      <c r="QYA612" s="17">
        <v>44925</v>
      </c>
      <c r="QYB612" s="5" t="s">
        <v>3728</v>
      </c>
      <c r="QYC612" s="17">
        <v>44925</v>
      </c>
      <c r="QYD612" s="5" t="s">
        <v>3728</v>
      </c>
      <c r="QYE612" s="17">
        <v>44925</v>
      </c>
      <c r="QYF612" s="5" t="s">
        <v>3728</v>
      </c>
      <c r="QYG612" s="17">
        <v>44925</v>
      </c>
      <c r="QYH612" s="5" t="s">
        <v>3728</v>
      </c>
      <c r="QYI612" s="17">
        <v>44925</v>
      </c>
      <c r="QYJ612" s="5" t="s">
        <v>3728</v>
      </c>
      <c r="QYK612" s="17">
        <v>44925</v>
      </c>
      <c r="QYL612" s="5" t="s">
        <v>3728</v>
      </c>
      <c r="QYM612" s="17">
        <v>44925</v>
      </c>
      <c r="QYN612" s="5" t="s">
        <v>3728</v>
      </c>
      <c r="QYO612" s="17">
        <v>44925</v>
      </c>
      <c r="QYP612" s="5" t="s">
        <v>3728</v>
      </c>
      <c r="QYQ612" s="17">
        <v>44925</v>
      </c>
      <c r="QYR612" s="5" t="s">
        <v>3728</v>
      </c>
      <c r="QYS612" s="17">
        <v>44925</v>
      </c>
      <c r="QYT612" s="5" t="s">
        <v>3728</v>
      </c>
      <c r="QYU612" s="17">
        <v>44925</v>
      </c>
      <c r="QYV612" s="5" t="s">
        <v>3728</v>
      </c>
      <c r="QYW612" s="17">
        <v>44925</v>
      </c>
      <c r="QYX612" s="5" t="s">
        <v>3728</v>
      </c>
      <c r="QYY612" s="17">
        <v>44925</v>
      </c>
      <c r="QYZ612" s="5" t="s">
        <v>3728</v>
      </c>
      <c r="QZA612" s="17">
        <v>44925</v>
      </c>
      <c r="QZB612" s="5" t="s">
        <v>3728</v>
      </c>
      <c r="QZC612" s="17">
        <v>44925</v>
      </c>
      <c r="QZD612" s="5" t="s">
        <v>3728</v>
      </c>
      <c r="QZE612" s="17">
        <v>44925</v>
      </c>
      <c r="QZF612" s="5" t="s">
        <v>3728</v>
      </c>
      <c r="QZG612" s="17">
        <v>44925</v>
      </c>
      <c r="QZH612" s="5" t="s">
        <v>3728</v>
      </c>
      <c r="QZI612" s="17">
        <v>44925</v>
      </c>
      <c r="QZJ612" s="5" t="s">
        <v>3728</v>
      </c>
      <c r="QZK612" s="17">
        <v>44925</v>
      </c>
      <c r="QZL612" s="5" t="s">
        <v>3728</v>
      </c>
      <c r="QZM612" s="17">
        <v>44925</v>
      </c>
      <c r="QZN612" s="5" t="s">
        <v>3728</v>
      </c>
      <c r="QZO612" s="17">
        <v>44925</v>
      </c>
      <c r="QZP612" s="5" t="s">
        <v>3728</v>
      </c>
      <c r="QZQ612" s="17">
        <v>44925</v>
      </c>
      <c r="QZR612" s="5" t="s">
        <v>3728</v>
      </c>
      <c r="QZS612" s="17">
        <v>44925</v>
      </c>
      <c r="QZT612" s="5" t="s">
        <v>3728</v>
      </c>
      <c r="QZU612" s="17">
        <v>44925</v>
      </c>
      <c r="QZV612" s="5" t="s">
        <v>3728</v>
      </c>
      <c r="QZW612" s="17">
        <v>44925</v>
      </c>
      <c r="QZX612" s="5" t="s">
        <v>3728</v>
      </c>
      <c r="QZY612" s="17">
        <v>44925</v>
      </c>
      <c r="QZZ612" s="5" t="s">
        <v>3728</v>
      </c>
      <c r="RAA612" s="17">
        <v>44925</v>
      </c>
      <c r="RAB612" s="5" t="s">
        <v>3728</v>
      </c>
      <c r="RAC612" s="17">
        <v>44925</v>
      </c>
      <c r="RAD612" s="5" t="s">
        <v>3728</v>
      </c>
      <c r="RAE612" s="17">
        <v>44925</v>
      </c>
      <c r="RAF612" s="5" t="s">
        <v>3728</v>
      </c>
      <c r="RAG612" s="17">
        <v>44925</v>
      </c>
      <c r="RAH612" s="5" t="s">
        <v>3728</v>
      </c>
      <c r="RAI612" s="17">
        <v>44925</v>
      </c>
      <c r="RAJ612" s="5" t="s">
        <v>3728</v>
      </c>
      <c r="RAK612" s="17">
        <v>44925</v>
      </c>
      <c r="RAL612" s="5" t="s">
        <v>3728</v>
      </c>
      <c r="RAM612" s="17">
        <v>44925</v>
      </c>
      <c r="RAN612" s="5" t="s">
        <v>3728</v>
      </c>
      <c r="RAO612" s="17">
        <v>44925</v>
      </c>
      <c r="RAP612" s="5" t="s">
        <v>3728</v>
      </c>
      <c r="RAQ612" s="17">
        <v>44925</v>
      </c>
      <c r="RAR612" s="5" t="s">
        <v>3728</v>
      </c>
      <c r="RAS612" s="17">
        <v>44925</v>
      </c>
      <c r="RAT612" s="5" t="s">
        <v>3728</v>
      </c>
      <c r="RAU612" s="17">
        <v>44925</v>
      </c>
      <c r="RAV612" s="5" t="s">
        <v>3728</v>
      </c>
      <c r="RAW612" s="17">
        <v>44925</v>
      </c>
      <c r="RAX612" s="5" t="s">
        <v>3728</v>
      </c>
      <c r="RAY612" s="17">
        <v>44925</v>
      </c>
      <c r="RAZ612" s="5" t="s">
        <v>3728</v>
      </c>
      <c r="RBA612" s="17">
        <v>44925</v>
      </c>
      <c r="RBB612" s="5" t="s">
        <v>3728</v>
      </c>
      <c r="RBC612" s="17">
        <v>44925</v>
      </c>
      <c r="RBD612" s="5" t="s">
        <v>3728</v>
      </c>
      <c r="RBE612" s="17">
        <v>44925</v>
      </c>
      <c r="RBF612" s="5" t="s">
        <v>3728</v>
      </c>
      <c r="RBG612" s="17">
        <v>44925</v>
      </c>
      <c r="RBH612" s="5" t="s">
        <v>3728</v>
      </c>
      <c r="RBI612" s="17">
        <v>44925</v>
      </c>
      <c r="RBJ612" s="5" t="s">
        <v>3728</v>
      </c>
      <c r="RBK612" s="17">
        <v>44925</v>
      </c>
      <c r="RBL612" s="5" t="s">
        <v>3728</v>
      </c>
      <c r="RBM612" s="17">
        <v>44925</v>
      </c>
      <c r="RBN612" s="5" t="s">
        <v>3728</v>
      </c>
      <c r="RBO612" s="17">
        <v>44925</v>
      </c>
      <c r="RBP612" s="5" t="s">
        <v>3728</v>
      </c>
      <c r="RBQ612" s="17">
        <v>44925</v>
      </c>
      <c r="RBR612" s="5" t="s">
        <v>3728</v>
      </c>
      <c r="RBS612" s="17">
        <v>44925</v>
      </c>
      <c r="RBT612" s="5" t="s">
        <v>3728</v>
      </c>
      <c r="RBU612" s="17">
        <v>44925</v>
      </c>
      <c r="RBV612" s="5" t="s">
        <v>3728</v>
      </c>
      <c r="RBW612" s="17">
        <v>44925</v>
      </c>
      <c r="RBX612" s="5" t="s">
        <v>3728</v>
      </c>
      <c r="RBY612" s="17">
        <v>44925</v>
      </c>
      <c r="RBZ612" s="5" t="s">
        <v>3728</v>
      </c>
      <c r="RCA612" s="17">
        <v>44925</v>
      </c>
      <c r="RCB612" s="5" t="s">
        <v>3728</v>
      </c>
      <c r="RCC612" s="17">
        <v>44925</v>
      </c>
      <c r="RCD612" s="5" t="s">
        <v>3728</v>
      </c>
      <c r="RCE612" s="17">
        <v>44925</v>
      </c>
      <c r="RCF612" s="5" t="s">
        <v>3728</v>
      </c>
      <c r="RCG612" s="17">
        <v>44925</v>
      </c>
      <c r="RCH612" s="5" t="s">
        <v>3728</v>
      </c>
      <c r="RCI612" s="17">
        <v>44925</v>
      </c>
      <c r="RCJ612" s="5" t="s">
        <v>3728</v>
      </c>
      <c r="RCK612" s="17">
        <v>44925</v>
      </c>
      <c r="RCL612" s="5" t="s">
        <v>3728</v>
      </c>
      <c r="RCM612" s="17">
        <v>44925</v>
      </c>
      <c r="RCN612" s="5" t="s">
        <v>3728</v>
      </c>
      <c r="RCO612" s="17">
        <v>44925</v>
      </c>
      <c r="RCP612" s="5" t="s">
        <v>3728</v>
      </c>
      <c r="RCQ612" s="17">
        <v>44925</v>
      </c>
      <c r="RCR612" s="5" t="s">
        <v>3728</v>
      </c>
      <c r="RCS612" s="17">
        <v>44925</v>
      </c>
      <c r="RCT612" s="5" t="s">
        <v>3728</v>
      </c>
      <c r="RCU612" s="17">
        <v>44925</v>
      </c>
      <c r="RCV612" s="5" t="s">
        <v>3728</v>
      </c>
      <c r="RCW612" s="17">
        <v>44925</v>
      </c>
      <c r="RCX612" s="5" t="s">
        <v>3728</v>
      </c>
      <c r="RCY612" s="17">
        <v>44925</v>
      </c>
      <c r="RCZ612" s="5" t="s">
        <v>3728</v>
      </c>
      <c r="RDA612" s="17">
        <v>44925</v>
      </c>
      <c r="RDB612" s="5" t="s">
        <v>3728</v>
      </c>
      <c r="RDC612" s="17">
        <v>44925</v>
      </c>
      <c r="RDD612" s="5" t="s">
        <v>3728</v>
      </c>
      <c r="RDE612" s="17">
        <v>44925</v>
      </c>
      <c r="RDF612" s="5" t="s">
        <v>3728</v>
      </c>
      <c r="RDG612" s="17">
        <v>44925</v>
      </c>
      <c r="RDH612" s="5" t="s">
        <v>3728</v>
      </c>
      <c r="RDI612" s="17">
        <v>44925</v>
      </c>
      <c r="RDJ612" s="5" t="s">
        <v>3728</v>
      </c>
      <c r="RDK612" s="17">
        <v>44925</v>
      </c>
      <c r="RDL612" s="5" t="s">
        <v>3728</v>
      </c>
      <c r="RDM612" s="17">
        <v>44925</v>
      </c>
      <c r="RDN612" s="5" t="s">
        <v>3728</v>
      </c>
      <c r="RDO612" s="17">
        <v>44925</v>
      </c>
      <c r="RDP612" s="5" t="s">
        <v>3728</v>
      </c>
      <c r="RDQ612" s="17">
        <v>44925</v>
      </c>
      <c r="RDR612" s="5" t="s">
        <v>3728</v>
      </c>
      <c r="RDS612" s="17">
        <v>44925</v>
      </c>
      <c r="RDT612" s="5" t="s">
        <v>3728</v>
      </c>
      <c r="RDU612" s="17">
        <v>44925</v>
      </c>
      <c r="RDV612" s="5" t="s">
        <v>3728</v>
      </c>
      <c r="RDW612" s="17">
        <v>44925</v>
      </c>
      <c r="RDX612" s="5" t="s">
        <v>3728</v>
      </c>
      <c r="RDY612" s="17">
        <v>44925</v>
      </c>
      <c r="RDZ612" s="5" t="s">
        <v>3728</v>
      </c>
      <c r="REA612" s="17">
        <v>44925</v>
      </c>
      <c r="REB612" s="5" t="s">
        <v>3728</v>
      </c>
      <c r="REC612" s="17">
        <v>44925</v>
      </c>
      <c r="RED612" s="5" t="s">
        <v>3728</v>
      </c>
      <c r="REE612" s="17">
        <v>44925</v>
      </c>
      <c r="REF612" s="5" t="s">
        <v>3728</v>
      </c>
      <c r="REG612" s="17">
        <v>44925</v>
      </c>
      <c r="REH612" s="5" t="s">
        <v>3728</v>
      </c>
      <c r="REI612" s="17">
        <v>44925</v>
      </c>
      <c r="REJ612" s="5" t="s">
        <v>3728</v>
      </c>
      <c r="REK612" s="17">
        <v>44925</v>
      </c>
      <c r="REL612" s="5" t="s">
        <v>3728</v>
      </c>
      <c r="REM612" s="17">
        <v>44925</v>
      </c>
      <c r="REN612" s="5" t="s">
        <v>3728</v>
      </c>
      <c r="REO612" s="17">
        <v>44925</v>
      </c>
      <c r="REP612" s="5" t="s">
        <v>3728</v>
      </c>
      <c r="REQ612" s="17">
        <v>44925</v>
      </c>
      <c r="RER612" s="5" t="s">
        <v>3728</v>
      </c>
      <c r="RES612" s="17">
        <v>44925</v>
      </c>
      <c r="RET612" s="5" t="s">
        <v>3728</v>
      </c>
      <c r="REU612" s="17">
        <v>44925</v>
      </c>
      <c r="REV612" s="5" t="s">
        <v>3728</v>
      </c>
      <c r="REW612" s="17">
        <v>44925</v>
      </c>
      <c r="REX612" s="5" t="s">
        <v>3728</v>
      </c>
      <c r="REY612" s="17">
        <v>44925</v>
      </c>
      <c r="REZ612" s="5" t="s">
        <v>3728</v>
      </c>
      <c r="RFA612" s="17">
        <v>44925</v>
      </c>
      <c r="RFB612" s="5" t="s">
        <v>3728</v>
      </c>
      <c r="RFC612" s="17">
        <v>44925</v>
      </c>
      <c r="RFD612" s="5" t="s">
        <v>3728</v>
      </c>
      <c r="RFE612" s="17">
        <v>44925</v>
      </c>
      <c r="RFF612" s="5" t="s">
        <v>3728</v>
      </c>
      <c r="RFG612" s="17">
        <v>44925</v>
      </c>
      <c r="RFH612" s="5" t="s">
        <v>3728</v>
      </c>
      <c r="RFI612" s="17">
        <v>44925</v>
      </c>
      <c r="RFJ612" s="5" t="s">
        <v>3728</v>
      </c>
      <c r="RFK612" s="17">
        <v>44925</v>
      </c>
      <c r="RFL612" s="5" t="s">
        <v>3728</v>
      </c>
      <c r="RFM612" s="17">
        <v>44925</v>
      </c>
      <c r="RFN612" s="5" t="s">
        <v>3728</v>
      </c>
      <c r="RFO612" s="17">
        <v>44925</v>
      </c>
      <c r="RFP612" s="5" t="s">
        <v>3728</v>
      </c>
      <c r="RFQ612" s="17">
        <v>44925</v>
      </c>
      <c r="RFR612" s="5" t="s">
        <v>3728</v>
      </c>
      <c r="RFS612" s="17">
        <v>44925</v>
      </c>
      <c r="RFT612" s="5" t="s">
        <v>3728</v>
      </c>
      <c r="RFU612" s="17">
        <v>44925</v>
      </c>
      <c r="RFV612" s="5" t="s">
        <v>3728</v>
      </c>
      <c r="RFW612" s="17">
        <v>44925</v>
      </c>
      <c r="RFX612" s="5" t="s">
        <v>3728</v>
      </c>
      <c r="RFY612" s="17">
        <v>44925</v>
      </c>
      <c r="RFZ612" s="5" t="s">
        <v>3728</v>
      </c>
      <c r="RGA612" s="17">
        <v>44925</v>
      </c>
      <c r="RGB612" s="5" t="s">
        <v>3728</v>
      </c>
      <c r="RGC612" s="17">
        <v>44925</v>
      </c>
      <c r="RGD612" s="5" t="s">
        <v>3728</v>
      </c>
      <c r="RGE612" s="17">
        <v>44925</v>
      </c>
      <c r="RGF612" s="5" t="s">
        <v>3728</v>
      </c>
      <c r="RGG612" s="17">
        <v>44925</v>
      </c>
      <c r="RGH612" s="5" t="s">
        <v>3728</v>
      </c>
      <c r="RGI612" s="17">
        <v>44925</v>
      </c>
      <c r="RGJ612" s="5" t="s">
        <v>3728</v>
      </c>
      <c r="RGK612" s="17">
        <v>44925</v>
      </c>
      <c r="RGL612" s="5" t="s">
        <v>3728</v>
      </c>
      <c r="RGM612" s="17">
        <v>44925</v>
      </c>
      <c r="RGN612" s="5" t="s">
        <v>3728</v>
      </c>
      <c r="RGO612" s="17">
        <v>44925</v>
      </c>
      <c r="RGP612" s="5" t="s">
        <v>3728</v>
      </c>
      <c r="RGQ612" s="17">
        <v>44925</v>
      </c>
      <c r="RGR612" s="5" t="s">
        <v>3728</v>
      </c>
      <c r="RGS612" s="17">
        <v>44925</v>
      </c>
      <c r="RGT612" s="5" t="s">
        <v>3728</v>
      </c>
      <c r="RGU612" s="17">
        <v>44925</v>
      </c>
      <c r="RGV612" s="5" t="s">
        <v>3728</v>
      </c>
      <c r="RGW612" s="17">
        <v>44925</v>
      </c>
      <c r="RGX612" s="5" t="s">
        <v>3728</v>
      </c>
      <c r="RGY612" s="17">
        <v>44925</v>
      </c>
      <c r="RGZ612" s="5" t="s">
        <v>3728</v>
      </c>
      <c r="RHA612" s="17">
        <v>44925</v>
      </c>
      <c r="RHB612" s="5" t="s">
        <v>3728</v>
      </c>
      <c r="RHC612" s="17">
        <v>44925</v>
      </c>
      <c r="RHD612" s="5" t="s">
        <v>3728</v>
      </c>
      <c r="RHE612" s="17">
        <v>44925</v>
      </c>
      <c r="RHF612" s="5" t="s">
        <v>3728</v>
      </c>
      <c r="RHG612" s="17">
        <v>44925</v>
      </c>
      <c r="RHH612" s="5" t="s">
        <v>3728</v>
      </c>
      <c r="RHI612" s="17">
        <v>44925</v>
      </c>
      <c r="RHJ612" s="5" t="s">
        <v>3728</v>
      </c>
      <c r="RHK612" s="17">
        <v>44925</v>
      </c>
      <c r="RHL612" s="5" t="s">
        <v>3728</v>
      </c>
      <c r="RHM612" s="17">
        <v>44925</v>
      </c>
      <c r="RHN612" s="5" t="s">
        <v>3728</v>
      </c>
      <c r="RHO612" s="17">
        <v>44925</v>
      </c>
      <c r="RHP612" s="5" t="s">
        <v>3728</v>
      </c>
      <c r="RHQ612" s="17">
        <v>44925</v>
      </c>
      <c r="RHR612" s="5" t="s">
        <v>3728</v>
      </c>
      <c r="RHS612" s="17">
        <v>44925</v>
      </c>
      <c r="RHT612" s="5" t="s">
        <v>3728</v>
      </c>
      <c r="RHU612" s="17">
        <v>44925</v>
      </c>
      <c r="RHV612" s="5" t="s">
        <v>3728</v>
      </c>
      <c r="RHW612" s="17">
        <v>44925</v>
      </c>
      <c r="RHX612" s="5" t="s">
        <v>3728</v>
      </c>
      <c r="RHY612" s="17">
        <v>44925</v>
      </c>
      <c r="RHZ612" s="5" t="s">
        <v>3728</v>
      </c>
      <c r="RIA612" s="17">
        <v>44925</v>
      </c>
      <c r="RIB612" s="5" t="s">
        <v>3728</v>
      </c>
      <c r="RIC612" s="17">
        <v>44925</v>
      </c>
      <c r="RID612" s="5" t="s">
        <v>3728</v>
      </c>
      <c r="RIE612" s="17">
        <v>44925</v>
      </c>
      <c r="RIF612" s="5" t="s">
        <v>3728</v>
      </c>
      <c r="RIG612" s="17">
        <v>44925</v>
      </c>
      <c r="RIH612" s="5" t="s">
        <v>3728</v>
      </c>
      <c r="RII612" s="17">
        <v>44925</v>
      </c>
      <c r="RIJ612" s="5" t="s">
        <v>3728</v>
      </c>
      <c r="RIK612" s="17">
        <v>44925</v>
      </c>
      <c r="RIL612" s="5" t="s">
        <v>3728</v>
      </c>
      <c r="RIM612" s="17">
        <v>44925</v>
      </c>
      <c r="RIN612" s="5" t="s">
        <v>3728</v>
      </c>
      <c r="RIO612" s="17">
        <v>44925</v>
      </c>
      <c r="RIP612" s="5" t="s">
        <v>3728</v>
      </c>
      <c r="RIQ612" s="17">
        <v>44925</v>
      </c>
      <c r="RIR612" s="5" t="s">
        <v>3728</v>
      </c>
      <c r="RIS612" s="17">
        <v>44925</v>
      </c>
      <c r="RIT612" s="5" t="s">
        <v>3728</v>
      </c>
      <c r="RIU612" s="17">
        <v>44925</v>
      </c>
      <c r="RIV612" s="5" t="s">
        <v>3728</v>
      </c>
      <c r="RIW612" s="17">
        <v>44925</v>
      </c>
      <c r="RIX612" s="5" t="s">
        <v>3728</v>
      </c>
      <c r="RIY612" s="17">
        <v>44925</v>
      </c>
      <c r="RIZ612" s="5" t="s">
        <v>3728</v>
      </c>
      <c r="RJA612" s="17">
        <v>44925</v>
      </c>
      <c r="RJB612" s="5" t="s">
        <v>3728</v>
      </c>
      <c r="RJC612" s="17">
        <v>44925</v>
      </c>
      <c r="RJD612" s="5" t="s">
        <v>3728</v>
      </c>
      <c r="RJE612" s="17">
        <v>44925</v>
      </c>
      <c r="RJF612" s="5" t="s">
        <v>3728</v>
      </c>
      <c r="RJG612" s="17">
        <v>44925</v>
      </c>
      <c r="RJH612" s="5" t="s">
        <v>3728</v>
      </c>
      <c r="RJI612" s="17">
        <v>44925</v>
      </c>
      <c r="RJJ612" s="5" t="s">
        <v>3728</v>
      </c>
      <c r="RJK612" s="17">
        <v>44925</v>
      </c>
      <c r="RJL612" s="5" t="s">
        <v>3728</v>
      </c>
      <c r="RJM612" s="17">
        <v>44925</v>
      </c>
      <c r="RJN612" s="5" t="s">
        <v>3728</v>
      </c>
      <c r="RJO612" s="17">
        <v>44925</v>
      </c>
      <c r="RJP612" s="5" t="s">
        <v>3728</v>
      </c>
      <c r="RJQ612" s="17">
        <v>44925</v>
      </c>
      <c r="RJR612" s="5" t="s">
        <v>3728</v>
      </c>
      <c r="RJS612" s="17">
        <v>44925</v>
      </c>
      <c r="RJT612" s="5" t="s">
        <v>3728</v>
      </c>
      <c r="RJU612" s="17">
        <v>44925</v>
      </c>
      <c r="RJV612" s="5" t="s">
        <v>3728</v>
      </c>
      <c r="RJW612" s="17">
        <v>44925</v>
      </c>
      <c r="RJX612" s="5" t="s">
        <v>3728</v>
      </c>
      <c r="RJY612" s="17">
        <v>44925</v>
      </c>
      <c r="RJZ612" s="5" t="s">
        <v>3728</v>
      </c>
      <c r="RKA612" s="17">
        <v>44925</v>
      </c>
      <c r="RKB612" s="5" t="s">
        <v>3728</v>
      </c>
      <c r="RKC612" s="17">
        <v>44925</v>
      </c>
      <c r="RKD612" s="5" t="s">
        <v>3728</v>
      </c>
      <c r="RKE612" s="17">
        <v>44925</v>
      </c>
      <c r="RKF612" s="5" t="s">
        <v>3728</v>
      </c>
      <c r="RKG612" s="17">
        <v>44925</v>
      </c>
      <c r="RKH612" s="5" t="s">
        <v>3728</v>
      </c>
      <c r="RKI612" s="17">
        <v>44925</v>
      </c>
      <c r="RKJ612" s="5" t="s">
        <v>3728</v>
      </c>
      <c r="RKK612" s="17">
        <v>44925</v>
      </c>
      <c r="RKL612" s="5" t="s">
        <v>3728</v>
      </c>
      <c r="RKM612" s="17">
        <v>44925</v>
      </c>
      <c r="RKN612" s="5" t="s">
        <v>3728</v>
      </c>
      <c r="RKO612" s="17">
        <v>44925</v>
      </c>
      <c r="RKP612" s="5" t="s">
        <v>3728</v>
      </c>
      <c r="RKQ612" s="17">
        <v>44925</v>
      </c>
      <c r="RKR612" s="5" t="s">
        <v>3728</v>
      </c>
      <c r="RKS612" s="17">
        <v>44925</v>
      </c>
      <c r="RKT612" s="5" t="s">
        <v>3728</v>
      </c>
      <c r="RKU612" s="17">
        <v>44925</v>
      </c>
      <c r="RKV612" s="5" t="s">
        <v>3728</v>
      </c>
      <c r="RKW612" s="17">
        <v>44925</v>
      </c>
      <c r="RKX612" s="5" t="s">
        <v>3728</v>
      </c>
      <c r="RKY612" s="17">
        <v>44925</v>
      </c>
      <c r="RKZ612" s="5" t="s">
        <v>3728</v>
      </c>
      <c r="RLA612" s="17">
        <v>44925</v>
      </c>
      <c r="RLB612" s="5" t="s">
        <v>3728</v>
      </c>
      <c r="RLC612" s="17">
        <v>44925</v>
      </c>
      <c r="RLD612" s="5" t="s">
        <v>3728</v>
      </c>
      <c r="RLE612" s="17">
        <v>44925</v>
      </c>
      <c r="RLF612" s="5" t="s">
        <v>3728</v>
      </c>
      <c r="RLG612" s="17">
        <v>44925</v>
      </c>
      <c r="RLH612" s="5" t="s">
        <v>3728</v>
      </c>
      <c r="RLI612" s="17">
        <v>44925</v>
      </c>
      <c r="RLJ612" s="5" t="s">
        <v>3728</v>
      </c>
      <c r="RLK612" s="17">
        <v>44925</v>
      </c>
      <c r="RLL612" s="5" t="s">
        <v>3728</v>
      </c>
      <c r="RLM612" s="17">
        <v>44925</v>
      </c>
      <c r="RLN612" s="5" t="s">
        <v>3728</v>
      </c>
      <c r="RLO612" s="17">
        <v>44925</v>
      </c>
      <c r="RLP612" s="5" t="s">
        <v>3728</v>
      </c>
      <c r="RLQ612" s="17">
        <v>44925</v>
      </c>
      <c r="RLR612" s="5" t="s">
        <v>3728</v>
      </c>
      <c r="RLS612" s="17">
        <v>44925</v>
      </c>
      <c r="RLT612" s="5" t="s">
        <v>3728</v>
      </c>
      <c r="RLU612" s="17">
        <v>44925</v>
      </c>
      <c r="RLV612" s="5" t="s">
        <v>3728</v>
      </c>
      <c r="RLW612" s="17">
        <v>44925</v>
      </c>
      <c r="RLX612" s="5" t="s">
        <v>3728</v>
      </c>
      <c r="RLY612" s="17">
        <v>44925</v>
      </c>
      <c r="RLZ612" s="5" t="s">
        <v>3728</v>
      </c>
      <c r="RMA612" s="17">
        <v>44925</v>
      </c>
      <c r="RMB612" s="5" t="s">
        <v>3728</v>
      </c>
      <c r="RMC612" s="17">
        <v>44925</v>
      </c>
      <c r="RMD612" s="5" t="s">
        <v>3728</v>
      </c>
      <c r="RME612" s="17">
        <v>44925</v>
      </c>
      <c r="RMF612" s="5" t="s">
        <v>3728</v>
      </c>
      <c r="RMG612" s="17">
        <v>44925</v>
      </c>
      <c r="RMH612" s="5" t="s">
        <v>3728</v>
      </c>
      <c r="RMI612" s="17">
        <v>44925</v>
      </c>
      <c r="RMJ612" s="5" t="s">
        <v>3728</v>
      </c>
      <c r="RMK612" s="17">
        <v>44925</v>
      </c>
      <c r="RML612" s="5" t="s">
        <v>3728</v>
      </c>
      <c r="RMM612" s="17">
        <v>44925</v>
      </c>
      <c r="RMN612" s="5" t="s">
        <v>3728</v>
      </c>
      <c r="RMO612" s="17">
        <v>44925</v>
      </c>
      <c r="RMP612" s="5" t="s">
        <v>3728</v>
      </c>
      <c r="RMQ612" s="17">
        <v>44925</v>
      </c>
      <c r="RMR612" s="5" t="s">
        <v>3728</v>
      </c>
      <c r="RMS612" s="17">
        <v>44925</v>
      </c>
      <c r="RMT612" s="5" t="s">
        <v>3728</v>
      </c>
      <c r="RMU612" s="17">
        <v>44925</v>
      </c>
      <c r="RMV612" s="5" t="s">
        <v>3728</v>
      </c>
      <c r="RMW612" s="17">
        <v>44925</v>
      </c>
      <c r="RMX612" s="5" t="s">
        <v>3728</v>
      </c>
      <c r="RMY612" s="17">
        <v>44925</v>
      </c>
      <c r="RMZ612" s="5" t="s">
        <v>3728</v>
      </c>
      <c r="RNA612" s="17">
        <v>44925</v>
      </c>
      <c r="RNB612" s="5" t="s">
        <v>3728</v>
      </c>
      <c r="RNC612" s="17">
        <v>44925</v>
      </c>
      <c r="RND612" s="5" t="s">
        <v>3728</v>
      </c>
      <c r="RNE612" s="17">
        <v>44925</v>
      </c>
      <c r="RNF612" s="5" t="s">
        <v>3728</v>
      </c>
      <c r="RNG612" s="17">
        <v>44925</v>
      </c>
      <c r="RNH612" s="5" t="s">
        <v>3728</v>
      </c>
      <c r="RNI612" s="17">
        <v>44925</v>
      </c>
      <c r="RNJ612" s="5" t="s">
        <v>3728</v>
      </c>
      <c r="RNK612" s="17">
        <v>44925</v>
      </c>
      <c r="RNL612" s="5" t="s">
        <v>3728</v>
      </c>
      <c r="RNM612" s="17">
        <v>44925</v>
      </c>
      <c r="RNN612" s="5" t="s">
        <v>3728</v>
      </c>
      <c r="RNO612" s="17">
        <v>44925</v>
      </c>
      <c r="RNP612" s="5" t="s">
        <v>3728</v>
      </c>
      <c r="RNQ612" s="17">
        <v>44925</v>
      </c>
      <c r="RNR612" s="5" t="s">
        <v>3728</v>
      </c>
      <c r="RNS612" s="17">
        <v>44925</v>
      </c>
      <c r="RNT612" s="5" t="s">
        <v>3728</v>
      </c>
      <c r="RNU612" s="17">
        <v>44925</v>
      </c>
      <c r="RNV612" s="5" t="s">
        <v>3728</v>
      </c>
      <c r="RNW612" s="17">
        <v>44925</v>
      </c>
      <c r="RNX612" s="5" t="s">
        <v>3728</v>
      </c>
      <c r="RNY612" s="17">
        <v>44925</v>
      </c>
      <c r="RNZ612" s="5" t="s">
        <v>3728</v>
      </c>
      <c r="ROA612" s="17">
        <v>44925</v>
      </c>
      <c r="ROB612" s="5" t="s">
        <v>3728</v>
      </c>
      <c r="ROC612" s="17">
        <v>44925</v>
      </c>
      <c r="ROD612" s="5" t="s">
        <v>3728</v>
      </c>
      <c r="ROE612" s="17">
        <v>44925</v>
      </c>
      <c r="ROF612" s="5" t="s">
        <v>3728</v>
      </c>
      <c r="ROG612" s="17">
        <v>44925</v>
      </c>
      <c r="ROH612" s="5" t="s">
        <v>3728</v>
      </c>
      <c r="ROI612" s="17">
        <v>44925</v>
      </c>
      <c r="ROJ612" s="5" t="s">
        <v>3728</v>
      </c>
      <c r="ROK612" s="17">
        <v>44925</v>
      </c>
      <c r="ROL612" s="5" t="s">
        <v>3728</v>
      </c>
      <c r="ROM612" s="17">
        <v>44925</v>
      </c>
      <c r="RON612" s="5" t="s">
        <v>3728</v>
      </c>
      <c r="ROO612" s="17">
        <v>44925</v>
      </c>
      <c r="ROP612" s="5" t="s">
        <v>3728</v>
      </c>
      <c r="ROQ612" s="17">
        <v>44925</v>
      </c>
      <c r="ROR612" s="5" t="s">
        <v>3728</v>
      </c>
      <c r="ROS612" s="17">
        <v>44925</v>
      </c>
      <c r="ROT612" s="5" t="s">
        <v>3728</v>
      </c>
      <c r="ROU612" s="17">
        <v>44925</v>
      </c>
      <c r="ROV612" s="5" t="s">
        <v>3728</v>
      </c>
      <c r="ROW612" s="17">
        <v>44925</v>
      </c>
      <c r="ROX612" s="5" t="s">
        <v>3728</v>
      </c>
      <c r="ROY612" s="17">
        <v>44925</v>
      </c>
      <c r="ROZ612" s="5" t="s">
        <v>3728</v>
      </c>
      <c r="RPA612" s="17">
        <v>44925</v>
      </c>
      <c r="RPB612" s="5" t="s">
        <v>3728</v>
      </c>
      <c r="RPC612" s="17">
        <v>44925</v>
      </c>
      <c r="RPD612" s="5" t="s">
        <v>3728</v>
      </c>
      <c r="RPE612" s="17">
        <v>44925</v>
      </c>
      <c r="RPF612" s="5" t="s">
        <v>3728</v>
      </c>
      <c r="RPG612" s="17">
        <v>44925</v>
      </c>
      <c r="RPH612" s="5" t="s">
        <v>3728</v>
      </c>
      <c r="RPI612" s="17">
        <v>44925</v>
      </c>
      <c r="RPJ612" s="5" t="s">
        <v>3728</v>
      </c>
      <c r="RPK612" s="17">
        <v>44925</v>
      </c>
      <c r="RPL612" s="5" t="s">
        <v>3728</v>
      </c>
      <c r="RPM612" s="17">
        <v>44925</v>
      </c>
      <c r="RPN612" s="5" t="s">
        <v>3728</v>
      </c>
      <c r="RPO612" s="17">
        <v>44925</v>
      </c>
      <c r="RPP612" s="5" t="s">
        <v>3728</v>
      </c>
      <c r="RPQ612" s="17">
        <v>44925</v>
      </c>
      <c r="RPR612" s="5" t="s">
        <v>3728</v>
      </c>
      <c r="RPS612" s="17">
        <v>44925</v>
      </c>
      <c r="RPT612" s="5" t="s">
        <v>3728</v>
      </c>
      <c r="RPU612" s="17">
        <v>44925</v>
      </c>
      <c r="RPV612" s="5" t="s">
        <v>3728</v>
      </c>
      <c r="RPW612" s="17">
        <v>44925</v>
      </c>
      <c r="RPX612" s="5" t="s">
        <v>3728</v>
      </c>
      <c r="RPY612" s="17">
        <v>44925</v>
      </c>
      <c r="RPZ612" s="5" t="s">
        <v>3728</v>
      </c>
      <c r="RQA612" s="17">
        <v>44925</v>
      </c>
      <c r="RQB612" s="5" t="s">
        <v>3728</v>
      </c>
      <c r="RQC612" s="17">
        <v>44925</v>
      </c>
      <c r="RQD612" s="5" t="s">
        <v>3728</v>
      </c>
      <c r="RQE612" s="17">
        <v>44925</v>
      </c>
      <c r="RQF612" s="5" t="s">
        <v>3728</v>
      </c>
      <c r="RQG612" s="17">
        <v>44925</v>
      </c>
      <c r="RQH612" s="5" t="s">
        <v>3728</v>
      </c>
      <c r="RQI612" s="17">
        <v>44925</v>
      </c>
      <c r="RQJ612" s="5" t="s">
        <v>3728</v>
      </c>
      <c r="RQK612" s="17">
        <v>44925</v>
      </c>
      <c r="RQL612" s="5" t="s">
        <v>3728</v>
      </c>
      <c r="RQM612" s="17">
        <v>44925</v>
      </c>
      <c r="RQN612" s="5" t="s">
        <v>3728</v>
      </c>
      <c r="RQO612" s="17">
        <v>44925</v>
      </c>
      <c r="RQP612" s="5" t="s">
        <v>3728</v>
      </c>
      <c r="RQQ612" s="17">
        <v>44925</v>
      </c>
      <c r="RQR612" s="5" t="s">
        <v>3728</v>
      </c>
      <c r="RQS612" s="17">
        <v>44925</v>
      </c>
      <c r="RQT612" s="5" t="s">
        <v>3728</v>
      </c>
      <c r="RQU612" s="17">
        <v>44925</v>
      </c>
      <c r="RQV612" s="5" t="s">
        <v>3728</v>
      </c>
      <c r="RQW612" s="17">
        <v>44925</v>
      </c>
      <c r="RQX612" s="5" t="s">
        <v>3728</v>
      </c>
      <c r="RQY612" s="17">
        <v>44925</v>
      </c>
      <c r="RQZ612" s="5" t="s">
        <v>3728</v>
      </c>
      <c r="RRA612" s="17">
        <v>44925</v>
      </c>
      <c r="RRB612" s="5" t="s">
        <v>3728</v>
      </c>
      <c r="RRC612" s="17">
        <v>44925</v>
      </c>
      <c r="RRD612" s="5" t="s">
        <v>3728</v>
      </c>
      <c r="RRE612" s="17">
        <v>44925</v>
      </c>
      <c r="RRF612" s="5" t="s">
        <v>3728</v>
      </c>
      <c r="RRG612" s="17">
        <v>44925</v>
      </c>
      <c r="RRH612" s="5" t="s">
        <v>3728</v>
      </c>
      <c r="RRI612" s="17">
        <v>44925</v>
      </c>
      <c r="RRJ612" s="5" t="s">
        <v>3728</v>
      </c>
      <c r="RRK612" s="17">
        <v>44925</v>
      </c>
      <c r="RRL612" s="5" t="s">
        <v>3728</v>
      </c>
      <c r="RRM612" s="17">
        <v>44925</v>
      </c>
      <c r="RRN612" s="5" t="s">
        <v>3728</v>
      </c>
      <c r="RRO612" s="17">
        <v>44925</v>
      </c>
      <c r="RRP612" s="5" t="s">
        <v>3728</v>
      </c>
      <c r="RRQ612" s="17">
        <v>44925</v>
      </c>
      <c r="RRR612" s="5" t="s">
        <v>3728</v>
      </c>
      <c r="RRS612" s="17">
        <v>44925</v>
      </c>
      <c r="RRT612" s="5" t="s">
        <v>3728</v>
      </c>
      <c r="RRU612" s="17">
        <v>44925</v>
      </c>
      <c r="RRV612" s="5" t="s">
        <v>3728</v>
      </c>
      <c r="RRW612" s="17">
        <v>44925</v>
      </c>
      <c r="RRX612" s="5" t="s">
        <v>3728</v>
      </c>
      <c r="RRY612" s="17">
        <v>44925</v>
      </c>
      <c r="RRZ612" s="5" t="s">
        <v>3728</v>
      </c>
      <c r="RSA612" s="17">
        <v>44925</v>
      </c>
      <c r="RSB612" s="5" t="s">
        <v>3728</v>
      </c>
      <c r="RSC612" s="17">
        <v>44925</v>
      </c>
      <c r="RSD612" s="5" t="s">
        <v>3728</v>
      </c>
      <c r="RSE612" s="17">
        <v>44925</v>
      </c>
      <c r="RSF612" s="5" t="s">
        <v>3728</v>
      </c>
      <c r="RSG612" s="17">
        <v>44925</v>
      </c>
      <c r="RSH612" s="5" t="s">
        <v>3728</v>
      </c>
      <c r="RSI612" s="17">
        <v>44925</v>
      </c>
      <c r="RSJ612" s="5" t="s">
        <v>3728</v>
      </c>
      <c r="RSK612" s="17">
        <v>44925</v>
      </c>
      <c r="RSL612" s="5" t="s">
        <v>3728</v>
      </c>
      <c r="RSM612" s="17">
        <v>44925</v>
      </c>
      <c r="RSN612" s="5" t="s">
        <v>3728</v>
      </c>
      <c r="RSO612" s="17">
        <v>44925</v>
      </c>
      <c r="RSP612" s="5" t="s">
        <v>3728</v>
      </c>
      <c r="RSQ612" s="17">
        <v>44925</v>
      </c>
      <c r="RSR612" s="5" t="s">
        <v>3728</v>
      </c>
      <c r="RSS612" s="17">
        <v>44925</v>
      </c>
      <c r="RST612" s="5" t="s">
        <v>3728</v>
      </c>
      <c r="RSU612" s="17">
        <v>44925</v>
      </c>
      <c r="RSV612" s="5" t="s">
        <v>3728</v>
      </c>
      <c r="RSW612" s="17">
        <v>44925</v>
      </c>
      <c r="RSX612" s="5" t="s">
        <v>3728</v>
      </c>
      <c r="RSY612" s="17">
        <v>44925</v>
      </c>
      <c r="RSZ612" s="5" t="s">
        <v>3728</v>
      </c>
      <c r="RTA612" s="17">
        <v>44925</v>
      </c>
      <c r="RTB612" s="5" t="s">
        <v>3728</v>
      </c>
      <c r="RTC612" s="17">
        <v>44925</v>
      </c>
      <c r="RTD612" s="5" t="s">
        <v>3728</v>
      </c>
      <c r="RTE612" s="17">
        <v>44925</v>
      </c>
      <c r="RTF612" s="5" t="s">
        <v>3728</v>
      </c>
      <c r="RTG612" s="17">
        <v>44925</v>
      </c>
      <c r="RTH612" s="5" t="s">
        <v>3728</v>
      </c>
      <c r="RTI612" s="17">
        <v>44925</v>
      </c>
      <c r="RTJ612" s="5" t="s">
        <v>3728</v>
      </c>
      <c r="RTK612" s="17">
        <v>44925</v>
      </c>
      <c r="RTL612" s="5" t="s">
        <v>3728</v>
      </c>
      <c r="RTM612" s="17">
        <v>44925</v>
      </c>
      <c r="RTN612" s="5" t="s">
        <v>3728</v>
      </c>
      <c r="RTO612" s="17">
        <v>44925</v>
      </c>
      <c r="RTP612" s="5" t="s">
        <v>3728</v>
      </c>
      <c r="RTQ612" s="17">
        <v>44925</v>
      </c>
      <c r="RTR612" s="5" t="s">
        <v>3728</v>
      </c>
      <c r="RTS612" s="17">
        <v>44925</v>
      </c>
      <c r="RTT612" s="5" t="s">
        <v>3728</v>
      </c>
      <c r="RTU612" s="17">
        <v>44925</v>
      </c>
      <c r="RTV612" s="5" t="s">
        <v>3728</v>
      </c>
      <c r="RTW612" s="17">
        <v>44925</v>
      </c>
      <c r="RTX612" s="5" t="s">
        <v>3728</v>
      </c>
      <c r="RTY612" s="17">
        <v>44925</v>
      </c>
      <c r="RTZ612" s="5" t="s">
        <v>3728</v>
      </c>
      <c r="RUA612" s="17">
        <v>44925</v>
      </c>
      <c r="RUB612" s="5" t="s">
        <v>3728</v>
      </c>
      <c r="RUC612" s="17">
        <v>44925</v>
      </c>
      <c r="RUD612" s="5" t="s">
        <v>3728</v>
      </c>
      <c r="RUE612" s="17">
        <v>44925</v>
      </c>
      <c r="RUF612" s="5" t="s">
        <v>3728</v>
      </c>
      <c r="RUG612" s="17">
        <v>44925</v>
      </c>
      <c r="RUH612" s="5" t="s">
        <v>3728</v>
      </c>
      <c r="RUI612" s="17">
        <v>44925</v>
      </c>
      <c r="RUJ612" s="5" t="s">
        <v>3728</v>
      </c>
      <c r="RUK612" s="17">
        <v>44925</v>
      </c>
      <c r="RUL612" s="5" t="s">
        <v>3728</v>
      </c>
      <c r="RUM612" s="17">
        <v>44925</v>
      </c>
      <c r="RUN612" s="5" t="s">
        <v>3728</v>
      </c>
      <c r="RUO612" s="17">
        <v>44925</v>
      </c>
      <c r="RUP612" s="5" t="s">
        <v>3728</v>
      </c>
      <c r="RUQ612" s="17">
        <v>44925</v>
      </c>
      <c r="RUR612" s="5" t="s">
        <v>3728</v>
      </c>
      <c r="RUS612" s="17">
        <v>44925</v>
      </c>
      <c r="RUT612" s="5" t="s">
        <v>3728</v>
      </c>
      <c r="RUU612" s="17">
        <v>44925</v>
      </c>
      <c r="RUV612" s="5" t="s">
        <v>3728</v>
      </c>
      <c r="RUW612" s="17">
        <v>44925</v>
      </c>
      <c r="RUX612" s="5" t="s">
        <v>3728</v>
      </c>
      <c r="RUY612" s="17">
        <v>44925</v>
      </c>
      <c r="RUZ612" s="5" t="s">
        <v>3728</v>
      </c>
      <c r="RVA612" s="17">
        <v>44925</v>
      </c>
      <c r="RVB612" s="5" t="s">
        <v>3728</v>
      </c>
      <c r="RVC612" s="17">
        <v>44925</v>
      </c>
      <c r="RVD612" s="5" t="s">
        <v>3728</v>
      </c>
      <c r="RVE612" s="17">
        <v>44925</v>
      </c>
      <c r="RVF612" s="5" t="s">
        <v>3728</v>
      </c>
      <c r="RVG612" s="17">
        <v>44925</v>
      </c>
      <c r="RVH612" s="5" t="s">
        <v>3728</v>
      </c>
      <c r="RVI612" s="17">
        <v>44925</v>
      </c>
      <c r="RVJ612" s="5" t="s">
        <v>3728</v>
      </c>
      <c r="RVK612" s="17">
        <v>44925</v>
      </c>
      <c r="RVL612" s="5" t="s">
        <v>3728</v>
      </c>
      <c r="RVM612" s="17">
        <v>44925</v>
      </c>
      <c r="RVN612" s="5" t="s">
        <v>3728</v>
      </c>
      <c r="RVO612" s="17">
        <v>44925</v>
      </c>
      <c r="RVP612" s="5" t="s">
        <v>3728</v>
      </c>
      <c r="RVQ612" s="17">
        <v>44925</v>
      </c>
      <c r="RVR612" s="5" t="s">
        <v>3728</v>
      </c>
      <c r="RVS612" s="17">
        <v>44925</v>
      </c>
      <c r="RVT612" s="5" t="s">
        <v>3728</v>
      </c>
      <c r="RVU612" s="17">
        <v>44925</v>
      </c>
      <c r="RVV612" s="5" t="s">
        <v>3728</v>
      </c>
      <c r="RVW612" s="17">
        <v>44925</v>
      </c>
      <c r="RVX612" s="5" t="s">
        <v>3728</v>
      </c>
      <c r="RVY612" s="17">
        <v>44925</v>
      </c>
      <c r="RVZ612" s="5" t="s">
        <v>3728</v>
      </c>
      <c r="RWA612" s="17">
        <v>44925</v>
      </c>
      <c r="RWB612" s="5" t="s">
        <v>3728</v>
      </c>
      <c r="RWC612" s="17">
        <v>44925</v>
      </c>
      <c r="RWD612" s="5" t="s">
        <v>3728</v>
      </c>
      <c r="RWE612" s="17">
        <v>44925</v>
      </c>
      <c r="RWF612" s="5" t="s">
        <v>3728</v>
      </c>
      <c r="RWG612" s="17">
        <v>44925</v>
      </c>
      <c r="RWH612" s="5" t="s">
        <v>3728</v>
      </c>
      <c r="RWI612" s="17">
        <v>44925</v>
      </c>
      <c r="RWJ612" s="5" t="s">
        <v>3728</v>
      </c>
      <c r="RWK612" s="17">
        <v>44925</v>
      </c>
      <c r="RWL612" s="5" t="s">
        <v>3728</v>
      </c>
      <c r="RWM612" s="17">
        <v>44925</v>
      </c>
      <c r="RWN612" s="5" t="s">
        <v>3728</v>
      </c>
      <c r="RWO612" s="17">
        <v>44925</v>
      </c>
      <c r="RWP612" s="5" t="s">
        <v>3728</v>
      </c>
      <c r="RWQ612" s="17">
        <v>44925</v>
      </c>
      <c r="RWR612" s="5" t="s">
        <v>3728</v>
      </c>
      <c r="RWS612" s="17">
        <v>44925</v>
      </c>
      <c r="RWT612" s="5" t="s">
        <v>3728</v>
      </c>
      <c r="RWU612" s="17">
        <v>44925</v>
      </c>
      <c r="RWV612" s="5" t="s">
        <v>3728</v>
      </c>
      <c r="RWW612" s="17">
        <v>44925</v>
      </c>
      <c r="RWX612" s="5" t="s">
        <v>3728</v>
      </c>
      <c r="RWY612" s="17">
        <v>44925</v>
      </c>
      <c r="RWZ612" s="5" t="s">
        <v>3728</v>
      </c>
      <c r="RXA612" s="17">
        <v>44925</v>
      </c>
      <c r="RXB612" s="5" t="s">
        <v>3728</v>
      </c>
      <c r="RXC612" s="17">
        <v>44925</v>
      </c>
      <c r="RXD612" s="5" t="s">
        <v>3728</v>
      </c>
      <c r="RXE612" s="17">
        <v>44925</v>
      </c>
      <c r="RXF612" s="5" t="s">
        <v>3728</v>
      </c>
      <c r="RXG612" s="17">
        <v>44925</v>
      </c>
      <c r="RXH612" s="5" t="s">
        <v>3728</v>
      </c>
      <c r="RXI612" s="17">
        <v>44925</v>
      </c>
      <c r="RXJ612" s="5" t="s">
        <v>3728</v>
      </c>
      <c r="RXK612" s="17">
        <v>44925</v>
      </c>
      <c r="RXL612" s="5" t="s">
        <v>3728</v>
      </c>
      <c r="RXM612" s="17">
        <v>44925</v>
      </c>
      <c r="RXN612" s="5" t="s">
        <v>3728</v>
      </c>
      <c r="RXO612" s="17">
        <v>44925</v>
      </c>
      <c r="RXP612" s="5" t="s">
        <v>3728</v>
      </c>
      <c r="RXQ612" s="17">
        <v>44925</v>
      </c>
      <c r="RXR612" s="5" t="s">
        <v>3728</v>
      </c>
      <c r="RXS612" s="17">
        <v>44925</v>
      </c>
      <c r="RXT612" s="5" t="s">
        <v>3728</v>
      </c>
      <c r="RXU612" s="17">
        <v>44925</v>
      </c>
      <c r="RXV612" s="5" t="s">
        <v>3728</v>
      </c>
      <c r="RXW612" s="17">
        <v>44925</v>
      </c>
      <c r="RXX612" s="5" t="s">
        <v>3728</v>
      </c>
      <c r="RXY612" s="17">
        <v>44925</v>
      </c>
      <c r="RXZ612" s="5" t="s">
        <v>3728</v>
      </c>
      <c r="RYA612" s="17">
        <v>44925</v>
      </c>
      <c r="RYB612" s="5" t="s">
        <v>3728</v>
      </c>
      <c r="RYC612" s="17">
        <v>44925</v>
      </c>
      <c r="RYD612" s="5" t="s">
        <v>3728</v>
      </c>
      <c r="RYE612" s="17">
        <v>44925</v>
      </c>
      <c r="RYF612" s="5" t="s">
        <v>3728</v>
      </c>
      <c r="RYG612" s="17">
        <v>44925</v>
      </c>
      <c r="RYH612" s="5" t="s">
        <v>3728</v>
      </c>
      <c r="RYI612" s="17">
        <v>44925</v>
      </c>
      <c r="RYJ612" s="5" t="s">
        <v>3728</v>
      </c>
      <c r="RYK612" s="17">
        <v>44925</v>
      </c>
      <c r="RYL612" s="5" t="s">
        <v>3728</v>
      </c>
      <c r="RYM612" s="17">
        <v>44925</v>
      </c>
      <c r="RYN612" s="5" t="s">
        <v>3728</v>
      </c>
      <c r="RYO612" s="17">
        <v>44925</v>
      </c>
      <c r="RYP612" s="5" t="s">
        <v>3728</v>
      </c>
      <c r="RYQ612" s="17">
        <v>44925</v>
      </c>
      <c r="RYR612" s="5" t="s">
        <v>3728</v>
      </c>
      <c r="RYS612" s="17">
        <v>44925</v>
      </c>
      <c r="RYT612" s="5" t="s">
        <v>3728</v>
      </c>
      <c r="RYU612" s="17">
        <v>44925</v>
      </c>
      <c r="RYV612" s="5" t="s">
        <v>3728</v>
      </c>
      <c r="RYW612" s="17">
        <v>44925</v>
      </c>
      <c r="RYX612" s="5" t="s">
        <v>3728</v>
      </c>
      <c r="RYY612" s="17">
        <v>44925</v>
      </c>
      <c r="RYZ612" s="5" t="s">
        <v>3728</v>
      </c>
      <c r="RZA612" s="17">
        <v>44925</v>
      </c>
      <c r="RZB612" s="5" t="s">
        <v>3728</v>
      </c>
      <c r="RZC612" s="17">
        <v>44925</v>
      </c>
      <c r="RZD612" s="5" t="s">
        <v>3728</v>
      </c>
      <c r="RZE612" s="17">
        <v>44925</v>
      </c>
      <c r="RZF612" s="5" t="s">
        <v>3728</v>
      </c>
      <c r="RZG612" s="17">
        <v>44925</v>
      </c>
      <c r="RZH612" s="5" t="s">
        <v>3728</v>
      </c>
      <c r="RZI612" s="17">
        <v>44925</v>
      </c>
      <c r="RZJ612" s="5" t="s">
        <v>3728</v>
      </c>
      <c r="RZK612" s="17">
        <v>44925</v>
      </c>
      <c r="RZL612" s="5" t="s">
        <v>3728</v>
      </c>
      <c r="RZM612" s="17">
        <v>44925</v>
      </c>
      <c r="RZN612" s="5" t="s">
        <v>3728</v>
      </c>
      <c r="RZO612" s="17">
        <v>44925</v>
      </c>
      <c r="RZP612" s="5" t="s">
        <v>3728</v>
      </c>
      <c r="RZQ612" s="17">
        <v>44925</v>
      </c>
      <c r="RZR612" s="5" t="s">
        <v>3728</v>
      </c>
      <c r="RZS612" s="17">
        <v>44925</v>
      </c>
      <c r="RZT612" s="5" t="s">
        <v>3728</v>
      </c>
      <c r="RZU612" s="17">
        <v>44925</v>
      </c>
      <c r="RZV612" s="5" t="s">
        <v>3728</v>
      </c>
      <c r="RZW612" s="17">
        <v>44925</v>
      </c>
      <c r="RZX612" s="5" t="s">
        <v>3728</v>
      </c>
      <c r="RZY612" s="17">
        <v>44925</v>
      </c>
      <c r="RZZ612" s="5" t="s">
        <v>3728</v>
      </c>
      <c r="SAA612" s="17">
        <v>44925</v>
      </c>
      <c r="SAB612" s="5" t="s">
        <v>3728</v>
      </c>
      <c r="SAC612" s="17">
        <v>44925</v>
      </c>
      <c r="SAD612" s="5" t="s">
        <v>3728</v>
      </c>
      <c r="SAE612" s="17">
        <v>44925</v>
      </c>
      <c r="SAF612" s="5" t="s">
        <v>3728</v>
      </c>
      <c r="SAG612" s="17">
        <v>44925</v>
      </c>
      <c r="SAH612" s="5" t="s">
        <v>3728</v>
      </c>
      <c r="SAI612" s="17">
        <v>44925</v>
      </c>
      <c r="SAJ612" s="5" t="s">
        <v>3728</v>
      </c>
      <c r="SAK612" s="17">
        <v>44925</v>
      </c>
      <c r="SAL612" s="5" t="s">
        <v>3728</v>
      </c>
      <c r="SAM612" s="17">
        <v>44925</v>
      </c>
      <c r="SAN612" s="5" t="s">
        <v>3728</v>
      </c>
      <c r="SAO612" s="17">
        <v>44925</v>
      </c>
      <c r="SAP612" s="5" t="s">
        <v>3728</v>
      </c>
      <c r="SAQ612" s="17">
        <v>44925</v>
      </c>
      <c r="SAR612" s="5" t="s">
        <v>3728</v>
      </c>
      <c r="SAS612" s="17">
        <v>44925</v>
      </c>
      <c r="SAT612" s="5" t="s">
        <v>3728</v>
      </c>
      <c r="SAU612" s="17">
        <v>44925</v>
      </c>
      <c r="SAV612" s="5" t="s">
        <v>3728</v>
      </c>
      <c r="SAW612" s="17">
        <v>44925</v>
      </c>
      <c r="SAX612" s="5" t="s">
        <v>3728</v>
      </c>
      <c r="SAY612" s="17">
        <v>44925</v>
      </c>
      <c r="SAZ612" s="5" t="s">
        <v>3728</v>
      </c>
      <c r="SBA612" s="17">
        <v>44925</v>
      </c>
      <c r="SBB612" s="5" t="s">
        <v>3728</v>
      </c>
      <c r="SBC612" s="17">
        <v>44925</v>
      </c>
      <c r="SBD612" s="5" t="s">
        <v>3728</v>
      </c>
      <c r="SBE612" s="17">
        <v>44925</v>
      </c>
      <c r="SBF612" s="5" t="s">
        <v>3728</v>
      </c>
      <c r="SBG612" s="17">
        <v>44925</v>
      </c>
      <c r="SBH612" s="5" t="s">
        <v>3728</v>
      </c>
      <c r="SBI612" s="17">
        <v>44925</v>
      </c>
      <c r="SBJ612" s="5" t="s">
        <v>3728</v>
      </c>
      <c r="SBK612" s="17">
        <v>44925</v>
      </c>
      <c r="SBL612" s="5" t="s">
        <v>3728</v>
      </c>
      <c r="SBM612" s="17">
        <v>44925</v>
      </c>
      <c r="SBN612" s="5" t="s">
        <v>3728</v>
      </c>
      <c r="SBO612" s="17">
        <v>44925</v>
      </c>
      <c r="SBP612" s="5" t="s">
        <v>3728</v>
      </c>
      <c r="SBQ612" s="17">
        <v>44925</v>
      </c>
      <c r="SBR612" s="5" t="s">
        <v>3728</v>
      </c>
      <c r="SBS612" s="17">
        <v>44925</v>
      </c>
      <c r="SBT612" s="5" t="s">
        <v>3728</v>
      </c>
      <c r="SBU612" s="17">
        <v>44925</v>
      </c>
      <c r="SBV612" s="5" t="s">
        <v>3728</v>
      </c>
      <c r="SBW612" s="17">
        <v>44925</v>
      </c>
      <c r="SBX612" s="5" t="s">
        <v>3728</v>
      </c>
      <c r="SBY612" s="17">
        <v>44925</v>
      </c>
      <c r="SBZ612" s="5" t="s">
        <v>3728</v>
      </c>
      <c r="SCA612" s="17">
        <v>44925</v>
      </c>
      <c r="SCB612" s="5" t="s">
        <v>3728</v>
      </c>
      <c r="SCC612" s="17">
        <v>44925</v>
      </c>
      <c r="SCD612" s="5" t="s">
        <v>3728</v>
      </c>
      <c r="SCE612" s="17">
        <v>44925</v>
      </c>
      <c r="SCF612" s="5" t="s">
        <v>3728</v>
      </c>
      <c r="SCG612" s="17">
        <v>44925</v>
      </c>
      <c r="SCH612" s="5" t="s">
        <v>3728</v>
      </c>
      <c r="SCI612" s="17">
        <v>44925</v>
      </c>
      <c r="SCJ612" s="5" t="s">
        <v>3728</v>
      </c>
      <c r="SCK612" s="17">
        <v>44925</v>
      </c>
      <c r="SCL612" s="5" t="s">
        <v>3728</v>
      </c>
      <c r="SCM612" s="17">
        <v>44925</v>
      </c>
      <c r="SCN612" s="5" t="s">
        <v>3728</v>
      </c>
      <c r="SCO612" s="17">
        <v>44925</v>
      </c>
      <c r="SCP612" s="5" t="s">
        <v>3728</v>
      </c>
      <c r="SCQ612" s="17">
        <v>44925</v>
      </c>
      <c r="SCR612" s="5" t="s">
        <v>3728</v>
      </c>
      <c r="SCS612" s="17">
        <v>44925</v>
      </c>
      <c r="SCT612" s="5" t="s">
        <v>3728</v>
      </c>
      <c r="SCU612" s="17">
        <v>44925</v>
      </c>
      <c r="SCV612" s="5" t="s">
        <v>3728</v>
      </c>
      <c r="SCW612" s="17">
        <v>44925</v>
      </c>
      <c r="SCX612" s="5" t="s">
        <v>3728</v>
      </c>
      <c r="SCY612" s="17">
        <v>44925</v>
      </c>
      <c r="SCZ612" s="5" t="s">
        <v>3728</v>
      </c>
      <c r="SDA612" s="17">
        <v>44925</v>
      </c>
      <c r="SDB612" s="5" t="s">
        <v>3728</v>
      </c>
      <c r="SDC612" s="17">
        <v>44925</v>
      </c>
      <c r="SDD612" s="5" t="s">
        <v>3728</v>
      </c>
      <c r="SDE612" s="17">
        <v>44925</v>
      </c>
      <c r="SDF612" s="5" t="s">
        <v>3728</v>
      </c>
      <c r="SDG612" s="17">
        <v>44925</v>
      </c>
      <c r="SDH612" s="5" t="s">
        <v>3728</v>
      </c>
      <c r="SDI612" s="17">
        <v>44925</v>
      </c>
      <c r="SDJ612" s="5" t="s">
        <v>3728</v>
      </c>
      <c r="SDK612" s="17">
        <v>44925</v>
      </c>
      <c r="SDL612" s="5" t="s">
        <v>3728</v>
      </c>
      <c r="SDM612" s="17">
        <v>44925</v>
      </c>
      <c r="SDN612" s="5" t="s">
        <v>3728</v>
      </c>
      <c r="SDO612" s="17">
        <v>44925</v>
      </c>
      <c r="SDP612" s="5" t="s">
        <v>3728</v>
      </c>
      <c r="SDQ612" s="17">
        <v>44925</v>
      </c>
      <c r="SDR612" s="5" t="s">
        <v>3728</v>
      </c>
      <c r="SDS612" s="17">
        <v>44925</v>
      </c>
      <c r="SDT612" s="5" t="s">
        <v>3728</v>
      </c>
      <c r="SDU612" s="17">
        <v>44925</v>
      </c>
      <c r="SDV612" s="5" t="s">
        <v>3728</v>
      </c>
      <c r="SDW612" s="17">
        <v>44925</v>
      </c>
      <c r="SDX612" s="5" t="s">
        <v>3728</v>
      </c>
      <c r="SDY612" s="17">
        <v>44925</v>
      </c>
      <c r="SDZ612" s="5" t="s">
        <v>3728</v>
      </c>
      <c r="SEA612" s="17">
        <v>44925</v>
      </c>
      <c r="SEB612" s="5" t="s">
        <v>3728</v>
      </c>
      <c r="SEC612" s="17">
        <v>44925</v>
      </c>
      <c r="SED612" s="5" t="s">
        <v>3728</v>
      </c>
      <c r="SEE612" s="17">
        <v>44925</v>
      </c>
      <c r="SEF612" s="5" t="s">
        <v>3728</v>
      </c>
      <c r="SEG612" s="17">
        <v>44925</v>
      </c>
      <c r="SEH612" s="5" t="s">
        <v>3728</v>
      </c>
      <c r="SEI612" s="17">
        <v>44925</v>
      </c>
      <c r="SEJ612" s="5" t="s">
        <v>3728</v>
      </c>
      <c r="SEK612" s="17">
        <v>44925</v>
      </c>
      <c r="SEL612" s="5" t="s">
        <v>3728</v>
      </c>
      <c r="SEM612" s="17">
        <v>44925</v>
      </c>
      <c r="SEN612" s="5" t="s">
        <v>3728</v>
      </c>
      <c r="SEO612" s="17">
        <v>44925</v>
      </c>
      <c r="SEP612" s="5" t="s">
        <v>3728</v>
      </c>
      <c r="SEQ612" s="17">
        <v>44925</v>
      </c>
      <c r="SER612" s="5" t="s">
        <v>3728</v>
      </c>
      <c r="SES612" s="17">
        <v>44925</v>
      </c>
      <c r="SET612" s="5" t="s">
        <v>3728</v>
      </c>
      <c r="SEU612" s="17">
        <v>44925</v>
      </c>
      <c r="SEV612" s="5" t="s">
        <v>3728</v>
      </c>
      <c r="SEW612" s="17">
        <v>44925</v>
      </c>
      <c r="SEX612" s="5" t="s">
        <v>3728</v>
      </c>
      <c r="SEY612" s="17">
        <v>44925</v>
      </c>
      <c r="SEZ612" s="5" t="s">
        <v>3728</v>
      </c>
      <c r="SFA612" s="17">
        <v>44925</v>
      </c>
      <c r="SFB612" s="5" t="s">
        <v>3728</v>
      </c>
      <c r="SFC612" s="17">
        <v>44925</v>
      </c>
      <c r="SFD612" s="5" t="s">
        <v>3728</v>
      </c>
      <c r="SFE612" s="17">
        <v>44925</v>
      </c>
      <c r="SFF612" s="5" t="s">
        <v>3728</v>
      </c>
      <c r="SFG612" s="17">
        <v>44925</v>
      </c>
      <c r="SFH612" s="5" t="s">
        <v>3728</v>
      </c>
      <c r="SFI612" s="17">
        <v>44925</v>
      </c>
      <c r="SFJ612" s="5" t="s">
        <v>3728</v>
      </c>
      <c r="SFK612" s="17">
        <v>44925</v>
      </c>
      <c r="SFL612" s="5" t="s">
        <v>3728</v>
      </c>
      <c r="SFM612" s="17">
        <v>44925</v>
      </c>
      <c r="SFN612" s="5" t="s">
        <v>3728</v>
      </c>
      <c r="SFO612" s="17">
        <v>44925</v>
      </c>
      <c r="SFP612" s="5" t="s">
        <v>3728</v>
      </c>
      <c r="SFQ612" s="17">
        <v>44925</v>
      </c>
      <c r="SFR612" s="5" t="s">
        <v>3728</v>
      </c>
      <c r="SFS612" s="17">
        <v>44925</v>
      </c>
      <c r="SFT612" s="5" t="s">
        <v>3728</v>
      </c>
      <c r="SFU612" s="17">
        <v>44925</v>
      </c>
      <c r="SFV612" s="5" t="s">
        <v>3728</v>
      </c>
      <c r="SFW612" s="17">
        <v>44925</v>
      </c>
      <c r="SFX612" s="5" t="s">
        <v>3728</v>
      </c>
      <c r="SFY612" s="17">
        <v>44925</v>
      </c>
      <c r="SFZ612" s="5" t="s">
        <v>3728</v>
      </c>
      <c r="SGA612" s="17">
        <v>44925</v>
      </c>
      <c r="SGB612" s="5" t="s">
        <v>3728</v>
      </c>
      <c r="SGC612" s="17">
        <v>44925</v>
      </c>
      <c r="SGD612" s="5" t="s">
        <v>3728</v>
      </c>
      <c r="SGE612" s="17">
        <v>44925</v>
      </c>
      <c r="SGF612" s="5" t="s">
        <v>3728</v>
      </c>
      <c r="SGG612" s="17">
        <v>44925</v>
      </c>
      <c r="SGH612" s="5" t="s">
        <v>3728</v>
      </c>
      <c r="SGI612" s="17">
        <v>44925</v>
      </c>
      <c r="SGJ612" s="5" t="s">
        <v>3728</v>
      </c>
      <c r="SGK612" s="17">
        <v>44925</v>
      </c>
      <c r="SGL612" s="5" t="s">
        <v>3728</v>
      </c>
      <c r="SGM612" s="17">
        <v>44925</v>
      </c>
      <c r="SGN612" s="5" t="s">
        <v>3728</v>
      </c>
      <c r="SGO612" s="17">
        <v>44925</v>
      </c>
      <c r="SGP612" s="5" t="s">
        <v>3728</v>
      </c>
      <c r="SGQ612" s="17">
        <v>44925</v>
      </c>
      <c r="SGR612" s="5" t="s">
        <v>3728</v>
      </c>
      <c r="SGS612" s="17">
        <v>44925</v>
      </c>
      <c r="SGT612" s="5" t="s">
        <v>3728</v>
      </c>
      <c r="SGU612" s="17">
        <v>44925</v>
      </c>
      <c r="SGV612" s="5" t="s">
        <v>3728</v>
      </c>
      <c r="SGW612" s="17">
        <v>44925</v>
      </c>
      <c r="SGX612" s="5" t="s">
        <v>3728</v>
      </c>
      <c r="SGY612" s="17">
        <v>44925</v>
      </c>
      <c r="SGZ612" s="5" t="s">
        <v>3728</v>
      </c>
      <c r="SHA612" s="17">
        <v>44925</v>
      </c>
      <c r="SHB612" s="5" t="s">
        <v>3728</v>
      </c>
      <c r="SHC612" s="17">
        <v>44925</v>
      </c>
      <c r="SHD612" s="5" t="s">
        <v>3728</v>
      </c>
      <c r="SHE612" s="17">
        <v>44925</v>
      </c>
      <c r="SHF612" s="5" t="s">
        <v>3728</v>
      </c>
      <c r="SHG612" s="17">
        <v>44925</v>
      </c>
      <c r="SHH612" s="5" t="s">
        <v>3728</v>
      </c>
      <c r="SHI612" s="17">
        <v>44925</v>
      </c>
      <c r="SHJ612" s="5" t="s">
        <v>3728</v>
      </c>
      <c r="SHK612" s="17">
        <v>44925</v>
      </c>
      <c r="SHL612" s="5" t="s">
        <v>3728</v>
      </c>
      <c r="SHM612" s="17">
        <v>44925</v>
      </c>
      <c r="SHN612" s="5" t="s">
        <v>3728</v>
      </c>
      <c r="SHO612" s="17">
        <v>44925</v>
      </c>
      <c r="SHP612" s="5" t="s">
        <v>3728</v>
      </c>
      <c r="SHQ612" s="17">
        <v>44925</v>
      </c>
      <c r="SHR612" s="5" t="s">
        <v>3728</v>
      </c>
      <c r="SHS612" s="17">
        <v>44925</v>
      </c>
      <c r="SHT612" s="5" t="s">
        <v>3728</v>
      </c>
      <c r="SHU612" s="17">
        <v>44925</v>
      </c>
      <c r="SHV612" s="5" t="s">
        <v>3728</v>
      </c>
      <c r="SHW612" s="17">
        <v>44925</v>
      </c>
      <c r="SHX612" s="5" t="s">
        <v>3728</v>
      </c>
      <c r="SHY612" s="17">
        <v>44925</v>
      </c>
      <c r="SHZ612" s="5" t="s">
        <v>3728</v>
      </c>
      <c r="SIA612" s="17">
        <v>44925</v>
      </c>
      <c r="SIB612" s="5" t="s">
        <v>3728</v>
      </c>
      <c r="SIC612" s="17">
        <v>44925</v>
      </c>
      <c r="SID612" s="5" t="s">
        <v>3728</v>
      </c>
      <c r="SIE612" s="17">
        <v>44925</v>
      </c>
      <c r="SIF612" s="5" t="s">
        <v>3728</v>
      </c>
      <c r="SIG612" s="17">
        <v>44925</v>
      </c>
      <c r="SIH612" s="5" t="s">
        <v>3728</v>
      </c>
      <c r="SII612" s="17">
        <v>44925</v>
      </c>
      <c r="SIJ612" s="5" t="s">
        <v>3728</v>
      </c>
      <c r="SIK612" s="17">
        <v>44925</v>
      </c>
      <c r="SIL612" s="5" t="s">
        <v>3728</v>
      </c>
      <c r="SIM612" s="17">
        <v>44925</v>
      </c>
      <c r="SIN612" s="5" t="s">
        <v>3728</v>
      </c>
      <c r="SIO612" s="17">
        <v>44925</v>
      </c>
      <c r="SIP612" s="5" t="s">
        <v>3728</v>
      </c>
      <c r="SIQ612" s="17">
        <v>44925</v>
      </c>
      <c r="SIR612" s="5" t="s">
        <v>3728</v>
      </c>
      <c r="SIS612" s="17">
        <v>44925</v>
      </c>
      <c r="SIT612" s="5" t="s">
        <v>3728</v>
      </c>
      <c r="SIU612" s="17">
        <v>44925</v>
      </c>
      <c r="SIV612" s="5" t="s">
        <v>3728</v>
      </c>
      <c r="SIW612" s="17">
        <v>44925</v>
      </c>
      <c r="SIX612" s="5" t="s">
        <v>3728</v>
      </c>
      <c r="SIY612" s="17">
        <v>44925</v>
      </c>
      <c r="SIZ612" s="5" t="s">
        <v>3728</v>
      </c>
      <c r="SJA612" s="17">
        <v>44925</v>
      </c>
      <c r="SJB612" s="5" t="s">
        <v>3728</v>
      </c>
      <c r="SJC612" s="17">
        <v>44925</v>
      </c>
      <c r="SJD612" s="5" t="s">
        <v>3728</v>
      </c>
      <c r="SJE612" s="17">
        <v>44925</v>
      </c>
      <c r="SJF612" s="5" t="s">
        <v>3728</v>
      </c>
      <c r="SJG612" s="17">
        <v>44925</v>
      </c>
      <c r="SJH612" s="5" t="s">
        <v>3728</v>
      </c>
      <c r="SJI612" s="17">
        <v>44925</v>
      </c>
      <c r="SJJ612" s="5" t="s">
        <v>3728</v>
      </c>
      <c r="SJK612" s="17">
        <v>44925</v>
      </c>
      <c r="SJL612" s="5" t="s">
        <v>3728</v>
      </c>
      <c r="SJM612" s="17">
        <v>44925</v>
      </c>
      <c r="SJN612" s="5" t="s">
        <v>3728</v>
      </c>
      <c r="SJO612" s="17">
        <v>44925</v>
      </c>
      <c r="SJP612" s="5" t="s">
        <v>3728</v>
      </c>
      <c r="SJQ612" s="17">
        <v>44925</v>
      </c>
      <c r="SJR612" s="5" t="s">
        <v>3728</v>
      </c>
      <c r="SJS612" s="17">
        <v>44925</v>
      </c>
      <c r="SJT612" s="5" t="s">
        <v>3728</v>
      </c>
      <c r="SJU612" s="17">
        <v>44925</v>
      </c>
      <c r="SJV612" s="5" t="s">
        <v>3728</v>
      </c>
      <c r="SJW612" s="17">
        <v>44925</v>
      </c>
      <c r="SJX612" s="5" t="s">
        <v>3728</v>
      </c>
      <c r="SJY612" s="17">
        <v>44925</v>
      </c>
      <c r="SJZ612" s="5" t="s">
        <v>3728</v>
      </c>
      <c r="SKA612" s="17">
        <v>44925</v>
      </c>
      <c r="SKB612" s="5" t="s">
        <v>3728</v>
      </c>
      <c r="SKC612" s="17">
        <v>44925</v>
      </c>
      <c r="SKD612" s="5" t="s">
        <v>3728</v>
      </c>
      <c r="SKE612" s="17">
        <v>44925</v>
      </c>
      <c r="SKF612" s="5" t="s">
        <v>3728</v>
      </c>
      <c r="SKG612" s="17">
        <v>44925</v>
      </c>
      <c r="SKH612" s="5" t="s">
        <v>3728</v>
      </c>
      <c r="SKI612" s="17">
        <v>44925</v>
      </c>
      <c r="SKJ612" s="5" t="s">
        <v>3728</v>
      </c>
      <c r="SKK612" s="17">
        <v>44925</v>
      </c>
      <c r="SKL612" s="5" t="s">
        <v>3728</v>
      </c>
      <c r="SKM612" s="17">
        <v>44925</v>
      </c>
      <c r="SKN612" s="5" t="s">
        <v>3728</v>
      </c>
      <c r="SKO612" s="17">
        <v>44925</v>
      </c>
      <c r="SKP612" s="5" t="s">
        <v>3728</v>
      </c>
      <c r="SKQ612" s="17">
        <v>44925</v>
      </c>
      <c r="SKR612" s="5" t="s">
        <v>3728</v>
      </c>
      <c r="SKS612" s="17">
        <v>44925</v>
      </c>
      <c r="SKT612" s="5" t="s">
        <v>3728</v>
      </c>
      <c r="SKU612" s="17">
        <v>44925</v>
      </c>
      <c r="SKV612" s="5" t="s">
        <v>3728</v>
      </c>
      <c r="SKW612" s="17">
        <v>44925</v>
      </c>
      <c r="SKX612" s="5" t="s">
        <v>3728</v>
      </c>
      <c r="SKY612" s="17">
        <v>44925</v>
      </c>
      <c r="SKZ612" s="5" t="s">
        <v>3728</v>
      </c>
      <c r="SLA612" s="17">
        <v>44925</v>
      </c>
      <c r="SLB612" s="5" t="s">
        <v>3728</v>
      </c>
      <c r="SLC612" s="17">
        <v>44925</v>
      </c>
      <c r="SLD612" s="5" t="s">
        <v>3728</v>
      </c>
      <c r="SLE612" s="17">
        <v>44925</v>
      </c>
      <c r="SLF612" s="5" t="s">
        <v>3728</v>
      </c>
      <c r="SLG612" s="17">
        <v>44925</v>
      </c>
      <c r="SLH612" s="5" t="s">
        <v>3728</v>
      </c>
      <c r="SLI612" s="17">
        <v>44925</v>
      </c>
      <c r="SLJ612" s="5" t="s">
        <v>3728</v>
      </c>
      <c r="SLK612" s="17">
        <v>44925</v>
      </c>
      <c r="SLL612" s="5" t="s">
        <v>3728</v>
      </c>
      <c r="SLM612" s="17">
        <v>44925</v>
      </c>
      <c r="SLN612" s="5" t="s">
        <v>3728</v>
      </c>
      <c r="SLO612" s="17">
        <v>44925</v>
      </c>
      <c r="SLP612" s="5" t="s">
        <v>3728</v>
      </c>
      <c r="SLQ612" s="17">
        <v>44925</v>
      </c>
      <c r="SLR612" s="5" t="s">
        <v>3728</v>
      </c>
      <c r="SLS612" s="17">
        <v>44925</v>
      </c>
      <c r="SLT612" s="5" t="s">
        <v>3728</v>
      </c>
      <c r="SLU612" s="17">
        <v>44925</v>
      </c>
      <c r="SLV612" s="5" t="s">
        <v>3728</v>
      </c>
      <c r="SLW612" s="17">
        <v>44925</v>
      </c>
      <c r="SLX612" s="5" t="s">
        <v>3728</v>
      </c>
      <c r="SLY612" s="17">
        <v>44925</v>
      </c>
      <c r="SLZ612" s="5" t="s">
        <v>3728</v>
      </c>
      <c r="SMA612" s="17">
        <v>44925</v>
      </c>
      <c r="SMB612" s="5" t="s">
        <v>3728</v>
      </c>
      <c r="SMC612" s="17">
        <v>44925</v>
      </c>
      <c r="SMD612" s="5" t="s">
        <v>3728</v>
      </c>
      <c r="SME612" s="17">
        <v>44925</v>
      </c>
      <c r="SMF612" s="5" t="s">
        <v>3728</v>
      </c>
      <c r="SMG612" s="17">
        <v>44925</v>
      </c>
      <c r="SMH612" s="5" t="s">
        <v>3728</v>
      </c>
      <c r="SMI612" s="17">
        <v>44925</v>
      </c>
      <c r="SMJ612" s="5" t="s">
        <v>3728</v>
      </c>
      <c r="SMK612" s="17">
        <v>44925</v>
      </c>
      <c r="SML612" s="5" t="s">
        <v>3728</v>
      </c>
      <c r="SMM612" s="17">
        <v>44925</v>
      </c>
      <c r="SMN612" s="5" t="s">
        <v>3728</v>
      </c>
      <c r="SMO612" s="17">
        <v>44925</v>
      </c>
      <c r="SMP612" s="5" t="s">
        <v>3728</v>
      </c>
      <c r="SMQ612" s="17">
        <v>44925</v>
      </c>
      <c r="SMR612" s="5" t="s">
        <v>3728</v>
      </c>
      <c r="SMS612" s="17">
        <v>44925</v>
      </c>
      <c r="SMT612" s="5" t="s">
        <v>3728</v>
      </c>
      <c r="SMU612" s="17">
        <v>44925</v>
      </c>
      <c r="SMV612" s="5" t="s">
        <v>3728</v>
      </c>
      <c r="SMW612" s="17">
        <v>44925</v>
      </c>
      <c r="SMX612" s="5" t="s">
        <v>3728</v>
      </c>
      <c r="SMY612" s="17">
        <v>44925</v>
      </c>
      <c r="SMZ612" s="5" t="s">
        <v>3728</v>
      </c>
      <c r="SNA612" s="17">
        <v>44925</v>
      </c>
      <c r="SNB612" s="5" t="s">
        <v>3728</v>
      </c>
      <c r="SNC612" s="17">
        <v>44925</v>
      </c>
      <c r="SND612" s="5" t="s">
        <v>3728</v>
      </c>
      <c r="SNE612" s="17">
        <v>44925</v>
      </c>
      <c r="SNF612" s="5" t="s">
        <v>3728</v>
      </c>
      <c r="SNG612" s="17">
        <v>44925</v>
      </c>
      <c r="SNH612" s="5" t="s">
        <v>3728</v>
      </c>
      <c r="SNI612" s="17">
        <v>44925</v>
      </c>
      <c r="SNJ612" s="5" t="s">
        <v>3728</v>
      </c>
      <c r="SNK612" s="17">
        <v>44925</v>
      </c>
      <c r="SNL612" s="5" t="s">
        <v>3728</v>
      </c>
      <c r="SNM612" s="17">
        <v>44925</v>
      </c>
      <c r="SNN612" s="5" t="s">
        <v>3728</v>
      </c>
      <c r="SNO612" s="17">
        <v>44925</v>
      </c>
      <c r="SNP612" s="5" t="s">
        <v>3728</v>
      </c>
      <c r="SNQ612" s="17">
        <v>44925</v>
      </c>
      <c r="SNR612" s="5" t="s">
        <v>3728</v>
      </c>
      <c r="SNS612" s="17">
        <v>44925</v>
      </c>
      <c r="SNT612" s="5" t="s">
        <v>3728</v>
      </c>
      <c r="SNU612" s="17">
        <v>44925</v>
      </c>
      <c r="SNV612" s="5" t="s">
        <v>3728</v>
      </c>
      <c r="SNW612" s="17">
        <v>44925</v>
      </c>
      <c r="SNX612" s="5" t="s">
        <v>3728</v>
      </c>
      <c r="SNY612" s="17">
        <v>44925</v>
      </c>
      <c r="SNZ612" s="5" t="s">
        <v>3728</v>
      </c>
      <c r="SOA612" s="17">
        <v>44925</v>
      </c>
      <c r="SOB612" s="5" t="s">
        <v>3728</v>
      </c>
      <c r="SOC612" s="17">
        <v>44925</v>
      </c>
      <c r="SOD612" s="5" t="s">
        <v>3728</v>
      </c>
      <c r="SOE612" s="17">
        <v>44925</v>
      </c>
      <c r="SOF612" s="5" t="s">
        <v>3728</v>
      </c>
      <c r="SOG612" s="17">
        <v>44925</v>
      </c>
      <c r="SOH612" s="5" t="s">
        <v>3728</v>
      </c>
      <c r="SOI612" s="17">
        <v>44925</v>
      </c>
      <c r="SOJ612" s="5" t="s">
        <v>3728</v>
      </c>
      <c r="SOK612" s="17">
        <v>44925</v>
      </c>
      <c r="SOL612" s="5" t="s">
        <v>3728</v>
      </c>
      <c r="SOM612" s="17">
        <v>44925</v>
      </c>
      <c r="SON612" s="5" t="s">
        <v>3728</v>
      </c>
      <c r="SOO612" s="17">
        <v>44925</v>
      </c>
      <c r="SOP612" s="5" t="s">
        <v>3728</v>
      </c>
      <c r="SOQ612" s="17">
        <v>44925</v>
      </c>
      <c r="SOR612" s="5" t="s">
        <v>3728</v>
      </c>
      <c r="SOS612" s="17">
        <v>44925</v>
      </c>
      <c r="SOT612" s="5" t="s">
        <v>3728</v>
      </c>
      <c r="SOU612" s="17">
        <v>44925</v>
      </c>
      <c r="SOV612" s="5" t="s">
        <v>3728</v>
      </c>
      <c r="SOW612" s="17">
        <v>44925</v>
      </c>
      <c r="SOX612" s="5" t="s">
        <v>3728</v>
      </c>
      <c r="SOY612" s="17">
        <v>44925</v>
      </c>
      <c r="SOZ612" s="5" t="s">
        <v>3728</v>
      </c>
      <c r="SPA612" s="17">
        <v>44925</v>
      </c>
      <c r="SPB612" s="5" t="s">
        <v>3728</v>
      </c>
      <c r="SPC612" s="17">
        <v>44925</v>
      </c>
      <c r="SPD612" s="5" t="s">
        <v>3728</v>
      </c>
      <c r="SPE612" s="17">
        <v>44925</v>
      </c>
      <c r="SPF612" s="5" t="s">
        <v>3728</v>
      </c>
      <c r="SPG612" s="17">
        <v>44925</v>
      </c>
      <c r="SPH612" s="5" t="s">
        <v>3728</v>
      </c>
      <c r="SPI612" s="17">
        <v>44925</v>
      </c>
      <c r="SPJ612" s="5" t="s">
        <v>3728</v>
      </c>
      <c r="SPK612" s="17">
        <v>44925</v>
      </c>
      <c r="SPL612" s="5" t="s">
        <v>3728</v>
      </c>
      <c r="SPM612" s="17">
        <v>44925</v>
      </c>
      <c r="SPN612" s="5" t="s">
        <v>3728</v>
      </c>
      <c r="SPO612" s="17">
        <v>44925</v>
      </c>
      <c r="SPP612" s="5" t="s">
        <v>3728</v>
      </c>
      <c r="SPQ612" s="17">
        <v>44925</v>
      </c>
      <c r="SPR612" s="5" t="s">
        <v>3728</v>
      </c>
      <c r="SPS612" s="17">
        <v>44925</v>
      </c>
      <c r="SPT612" s="5" t="s">
        <v>3728</v>
      </c>
      <c r="SPU612" s="17">
        <v>44925</v>
      </c>
      <c r="SPV612" s="5" t="s">
        <v>3728</v>
      </c>
      <c r="SPW612" s="17">
        <v>44925</v>
      </c>
      <c r="SPX612" s="5" t="s">
        <v>3728</v>
      </c>
      <c r="SPY612" s="17">
        <v>44925</v>
      </c>
      <c r="SPZ612" s="5" t="s">
        <v>3728</v>
      </c>
      <c r="SQA612" s="17">
        <v>44925</v>
      </c>
      <c r="SQB612" s="5" t="s">
        <v>3728</v>
      </c>
      <c r="SQC612" s="17">
        <v>44925</v>
      </c>
      <c r="SQD612" s="5" t="s">
        <v>3728</v>
      </c>
      <c r="SQE612" s="17">
        <v>44925</v>
      </c>
      <c r="SQF612" s="5" t="s">
        <v>3728</v>
      </c>
      <c r="SQG612" s="17">
        <v>44925</v>
      </c>
      <c r="SQH612" s="5" t="s">
        <v>3728</v>
      </c>
      <c r="SQI612" s="17">
        <v>44925</v>
      </c>
      <c r="SQJ612" s="5" t="s">
        <v>3728</v>
      </c>
      <c r="SQK612" s="17">
        <v>44925</v>
      </c>
      <c r="SQL612" s="5" t="s">
        <v>3728</v>
      </c>
      <c r="SQM612" s="17">
        <v>44925</v>
      </c>
      <c r="SQN612" s="5" t="s">
        <v>3728</v>
      </c>
      <c r="SQO612" s="17">
        <v>44925</v>
      </c>
      <c r="SQP612" s="5" t="s">
        <v>3728</v>
      </c>
      <c r="SQQ612" s="17">
        <v>44925</v>
      </c>
      <c r="SQR612" s="5" t="s">
        <v>3728</v>
      </c>
      <c r="SQS612" s="17">
        <v>44925</v>
      </c>
      <c r="SQT612" s="5" t="s">
        <v>3728</v>
      </c>
      <c r="SQU612" s="17">
        <v>44925</v>
      </c>
      <c r="SQV612" s="5" t="s">
        <v>3728</v>
      </c>
      <c r="SQW612" s="17">
        <v>44925</v>
      </c>
      <c r="SQX612" s="5" t="s">
        <v>3728</v>
      </c>
      <c r="SQY612" s="17">
        <v>44925</v>
      </c>
      <c r="SQZ612" s="5" t="s">
        <v>3728</v>
      </c>
      <c r="SRA612" s="17">
        <v>44925</v>
      </c>
      <c r="SRB612" s="5" t="s">
        <v>3728</v>
      </c>
      <c r="SRC612" s="17">
        <v>44925</v>
      </c>
      <c r="SRD612" s="5" t="s">
        <v>3728</v>
      </c>
      <c r="SRE612" s="17">
        <v>44925</v>
      </c>
      <c r="SRF612" s="5" t="s">
        <v>3728</v>
      </c>
      <c r="SRG612" s="17">
        <v>44925</v>
      </c>
      <c r="SRH612" s="5" t="s">
        <v>3728</v>
      </c>
      <c r="SRI612" s="17">
        <v>44925</v>
      </c>
      <c r="SRJ612" s="5" t="s">
        <v>3728</v>
      </c>
      <c r="SRK612" s="17">
        <v>44925</v>
      </c>
      <c r="SRL612" s="5" t="s">
        <v>3728</v>
      </c>
      <c r="SRM612" s="17">
        <v>44925</v>
      </c>
      <c r="SRN612" s="5" t="s">
        <v>3728</v>
      </c>
      <c r="SRO612" s="17">
        <v>44925</v>
      </c>
      <c r="SRP612" s="5" t="s">
        <v>3728</v>
      </c>
      <c r="SRQ612" s="17">
        <v>44925</v>
      </c>
      <c r="SRR612" s="5" t="s">
        <v>3728</v>
      </c>
      <c r="SRS612" s="17">
        <v>44925</v>
      </c>
      <c r="SRT612" s="5" t="s">
        <v>3728</v>
      </c>
      <c r="SRU612" s="17">
        <v>44925</v>
      </c>
      <c r="SRV612" s="5" t="s">
        <v>3728</v>
      </c>
      <c r="SRW612" s="17">
        <v>44925</v>
      </c>
      <c r="SRX612" s="5" t="s">
        <v>3728</v>
      </c>
      <c r="SRY612" s="17">
        <v>44925</v>
      </c>
      <c r="SRZ612" s="5" t="s">
        <v>3728</v>
      </c>
      <c r="SSA612" s="17">
        <v>44925</v>
      </c>
      <c r="SSB612" s="5" t="s">
        <v>3728</v>
      </c>
      <c r="SSC612" s="17">
        <v>44925</v>
      </c>
      <c r="SSD612" s="5" t="s">
        <v>3728</v>
      </c>
      <c r="SSE612" s="17">
        <v>44925</v>
      </c>
      <c r="SSF612" s="5" t="s">
        <v>3728</v>
      </c>
      <c r="SSG612" s="17">
        <v>44925</v>
      </c>
      <c r="SSH612" s="5" t="s">
        <v>3728</v>
      </c>
      <c r="SSI612" s="17">
        <v>44925</v>
      </c>
      <c r="SSJ612" s="5" t="s">
        <v>3728</v>
      </c>
      <c r="SSK612" s="17">
        <v>44925</v>
      </c>
      <c r="SSL612" s="5" t="s">
        <v>3728</v>
      </c>
      <c r="SSM612" s="17">
        <v>44925</v>
      </c>
      <c r="SSN612" s="5" t="s">
        <v>3728</v>
      </c>
      <c r="SSO612" s="17">
        <v>44925</v>
      </c>
      <c r="SSP612" s="5" t="s">
        <v>3728</v>
      </c>
      <c r="SSQ612" s="17">
        <v>44925</v>
      </c>
      <c r="SSR612" s="5" t="s">
        <v>3728</v>
      </c>
      <c r="SSS612" s="17">
        <v>44925</v>
      </c>
      <c r="SST612" s="5" t="s">
        <v>3728</v>
      </c>
      <c r="SSU612" s="17">
        <v>44925</v>
      </c>
      <c r="SSV612" s="5" t="s">
        <v>3728</v>
      </c>
      <c r="SSW612" s="17">
        <v>44925</v>
      </c>
      <c r="SSX612" s="5" t="s">
        <v>3728</v>
      </c>
      <c r="SSY612" s="17">
        <v>44925</v>
      </c>
      <c r="SSZ612" s="5" t="s">
        <v>3728</v>
      </c>
      <c r="STA612" s="17">
        <v>44925</v>
      </c>
      <c r="STB612" s="5" t="s">
        <v>3728</v>
      </c>
      <c r="STC612" s="17">
        <v>44925</v>
      </c>
      <c r="STD612" s="5" t="s">
        <v>3728</v>
      </c>
      <c r="STE612" s="17">
        <v>44925</v>
      </c>
      <c r="STF612" s="5" t="s">
        <v>3728</v>
      </c>
      <c r="STG612" s="17">
        <v>44925</v>
      </c>
      <c r="STH612" s="5" t="s">
        <v>3728</v>
      </c>
      <c r="STI612" s="17">
        <v>44925</v>
      </c>
      <c r="STJ612" s="5" t="s">
        <v>3728</v>
      </c>
      <c r="STK612" s="17">
        <v>44925</v>
      </c>
      <c r="STL612" s="5" t="s">
        <v>3728</v>
      </c>
      <c r="STM612" s="17">
        <v>44925</v>
      </c>
      <c r="STN612" s="5" t="s">
        <v>3728</v>
      </c>
      <c r="STO612" s="17">
        <v>44925</v>
      </c>
      <c r="STP612" s="5" t="s">
        <v>3728</v>
      </c>
      <c r="STQ612" s="17">
        <v>44925</v>
      </c>
      <c r="STR612" s="5" t="s">
        <v>3728</v>
      </c>
      <c r="STS612" s="17">
        <v>44925</v>
      </c>
      <c r="STT612" s="5" t="s">
        <v>3728</v>
      </c>
      <c r="STU612" s="17">
        <v>44925</v>
      </c>
      <c r="STV612" s="5" t="s">
        <v>3728</v>
      </c>
      <c r="STW612" s="17">
        <v>44925</v>
      </c>
      <c r="STX612" s="5" t="s">
        <v>3728</v>
      </c>
      <c r="STY612" s="17">
        <v>44925</v>
      </c>
      <c r="STZ612" s="5" t="s">
        <v>3728</v>
      </c>
      <c r="SUA612" s="17">
        <v>44925</v>
      </c>
      <c r="SUB612" s="5" t="s">
        <v>3728</v>
      </c>
      <c r="SUC612" s="17">
        <v>44925</v>
      </c>
      <c r="SUD612" s="5" t="s">
        <v>3728</v>
      </c>
      <c r="SUE612" s="17">
        <v>44925</v>
      </c>
      <c r="SUF612" s="5" t="s">
        <v>3728</v>
      </c>
      <c r="SUG612" s="17">
        <v>44925</v>
      </c>
      <c r="SUH612" s="5" t="s">
        <v>3728</v>
      </c>
      <c r="SUI612" s="17">
        <v>44925</v>
      </c>
      <c r="SUJ612" s="5" t="s">
        <v>3728</v>
      </c>
      <c r="SUK612" s="17">
        <v>44925</v>
      </c>
      <c r="SUL612" s="5" t="s">
        <v>3728</v>
      </c>
      <c r="SUM612" s="17">
        <v>44925</v>
      </c>
      <c r="SUN612" s="5" t="s">
        <v>3728</v>
      </c>
      <c r="SUO612" s="17">
        <v>44925</v>
      </c>
      <c r="SUP612" s="5" t="s">
        <v>3728</v>
      </c>
      <c r="SUQ612" s="17">
        <v>44925</v>
      </c>
      <c r="SUR612" s="5" t="s">
        <v>3728</v>
      </c>
      <c r="SUS612" s="17">
        <v>44925</v>
      </c>
      <c r="SUT612" s="5" t="s">
        <v>3728</v>
      </c>
      <c r="SUU612" s="17">
        <v>44925</v>
      </c>
      <c r="SUV612" s="5" t="s">
        <v>3728</v>
      </c>
      <c r="SUW612" s="17">
        <v>44925</v>
      </c>
      <c r="SUX612" s="5" t="s">
        <v>3728</v>
      </c>
      <c r="SUY612" s="17">
        <v>44925</v>
      </c>
      <c r="SUZ612" s="5" t="s">
        <v>3728</v>
      </c>
      <c r="SVA612" s="17">
        <v>44925</v>
      </c>
      <c r="SVB612" s="5" t="s">
        <v>3728</v>
      </c>
      <c r="SVC612" s="17">
        <v>44925</v>
      </c>
      <c r="SVD612" s="5" t="s">
        <v>3728</v>
      </c>
      <c r="SVE612" s="17">
        <v>44925</v>
      </c>
      <c r="SVF612" s="5" t="s">
        <v>3728</v>
      </c>
      <c r="SVG612" s="17">
        <v>44925</v>
      </c>
      <c r="SVH612" s="5" t="s">
        <v>3728</v>
      </c>
      <c r="SVI612" s="17">
        <v>44925</v>
      </c>
      <c r="SVJ612" s="5" t="s">
        <v>3728</v>
      </c>
      <c r="SVK612" s="17">
        <v>44925</v>
      </c>
      <c r="SVL612" s="5" t="s">
        <v>3728</v>
      </c>
      <c r="SVM612" s="17">
        <v>44925</v>
      </c>
      <c r="SVN612" s="5" t="s">
        <v>3728</v>
      </c>
      <c r="SVO612" s="17">
        <v>44925</v>
      </c>
      <c r="SVP612" s="5" t="s">
        <v>3728</v>
      </c>
      <c r="SVQ612" s="17">
        <v>44925</v>
      </c>
      <c r="SVR612" s="5" t="s">
        <v>3728</v>
      </c>
      <c r="SVS612" s="17">
        <v>44925</v>
      </c>
      <c r="SVT612" s="5" t="s">
        <v>3728</v>
      </c>
      <c r="SVU612" s="17">
        <v>44925</v>
      </c>
      <c r="SVV612" s="5" t="s">
        <v>3728</v>
      </c>
      <c r="SVW612" s="17">
        <v>44925</v>
      </c>
      <c r="SVX612" s="5" t="s">
        <v>3728</v>
      </c>
      <c r="SVY612" s="17">
        <v>44925</v>
      </c>
      <c r="SVZ612" s="5" t="s">
        <v>3728</v>
      </c>
      <c r="SWA612" s="17">
        <v>44925</v>
      </c>
      <c r="SWB612" s="5" t="s">
        <v>3728</v>
      </c>
      <c r="SWC612" s="17">
        <v>44925</v>
      </c>
      <c r="SWD612" s="5" t="s">
        <v>3728</v>
      </c>
      <c r="SWE612" s="17">
        <v>44925</v>
      </c>
      <c r="SWF612" s="5" t="s">
        <v>3728</v>
      </c>
      <c r="SWG612" s="17">
        <v>44925</v>
      </c>
      <c r="SWH612" s="5" t="s">
        <v>3728</v>
      </c>
      <c r="SWI612" s="17">
        <v>44925</v>
      </c>
      <c r="SWJ612" s="5" t="s">
        <v>3728</v>
      </c>
      <c r="SWK612" s="17">
        <v>44925</v>
      </c>
      <c r="SWL612" s="5" t="s">
        <v>3728</v>
      </c>
      <c r="SWM612" s="17">
        <v>44925</v>
      </c>
      <c r="SWN612" s="5" t="s">
        <v>3728</v>
      </c>
      <c r="SWO612" s="17">
        <v>44925</v>
      </c>
      <c r="SWP612" s="5" t="s">
        <v>3728</v>
      </c>
      <c r="SWQ612" s="17">
        <v>44925</v>
      </c>
      <c r="SWR612" s="5" t="s">
        <v>3728</v>
      </c>
      <c r="SWS612" s="17">
        <v>44925</v>
      </c>
      <c r="SWT612" s="5" t="s">
        <v>3728</v>
      </c>
      <c r="SWU612" s="17">
        <v>44925</v>
      </c>
      <c r="SWV612" s="5" t="s">
        <v>3728</v>
      </c>
      <c r="SWW612" s="17">
        <v>44925</v>
      </c>
      <c r="SWX612" s="5" t="s">
        <v>3728</v>
      </c>
      <c r="SWY612" s="17">
        <v>44925</v>
      </c>
      <c r="SWZ612" s="5" t="s">
        <v>3728</v>
      </c>
      <c r="SXA612" s="17">
        <v>44925</v>
      </c>
      <c r="SXB612" s="5" t="s">
        <v>3728</v>
      </c>
      <c r="SXC612" s="17">
        <v>44925</v>
      </c>
      <c r="SXD612" s="5" t="s">
        <v>3728</v>
      </c>
      <c r="SXE612" s="17">
        <v>44925</v>
      </c>
      <c r="SXF612" s="5" t="s">
        <v>3728</v>
      </c>
      <c r="SXG612" s="17">
        <v>44925</v>
      </c>
      <c r="SXH612" s="5" t="s">
        <v>3728</v>
      </c>
      <c r="SXI612" s="17">
        <v>44925</v>
      </c>
      <c r="SXJ612" s="5" t="s">
        <v>3728</v>
      </c>
      <c r="SXK612" s="17">
        <v>44925</v>
      </c>
      <c r="SXL612" s="5" t="s">
        <v>3728</v>
      </c>
      <c r="SXM612" s="17">
        <v>44925</v>
      </c>
      <c r="SXN612" s="5" t="s">
        <v>3728</v>
      </c>
      <c r="SXO612" s="17">
        <v>44925</v>
      </c>
      <c r="SXP612" s="5" t="s">
        <v>3728</v>
      </c>
      <c r="SXQ612" s="17">
        <v>44925</v>
      </c>
      <c r="SXR612" s="5" t="s">
        <v>3728</v>
      </c>
      <c r="SXS612" s="17">
        <v>44925</v>
      </c>
      <c r="SXT612" s="5" t="s">
        <v>3728</v>
      </c>
      <c r="SXU612" s="17">
        <v>44925</v>
      </c>
      <c r="SXV612" s="5" t="s">
        <v>3728</v>
      </c>
      <c r="SXW612" s="17">
        <v>44925</v>
      </c>
      <c r="SXX612" s="5" t="s">
        <v>3728</v>
      </c>
      <c r="SXY612" s="17">
        <v>44925</v>
      </c>
      <c r="SXZ612" s="5" t="s">
        <v>3728</v>
      </c>
      <c r="SYA612" s="17">
        <v>44925</v>
      </c>
      <c r="SYB612" s="5" t="s">
        <v>3728</v>
      </c>
      <c r="SYC612" s="17">
        <v>44925</v>
      </c>
      <c r="SYD612" s="5" t="s">
        <v>3728</v>
      </c>
      <c r="SYE612" s="17">
        <v>44925</v>
      </c>
      <c r="SYF612" s="5" t="s">
        <v>3728</v>
      </c>
      <c r="SYG612" s="17">
        <v>44925</v>
      </c>
      <c r="SYH612" s="5" t="s">
        <v>3728</v>
      </c>
      <c r="SYI612" s="17">
        <v>44925</v>
      </c>
      <c r="SYJ612" s="5" t="s">
        <v>3728</v>
      </c>
      <c r="SYK612" s="17">
        <v>44925</v>
      </c>
      <c r="SYL612" s="5" t="s">
        <v>3728</v>
      </c>
      <c r="SYM612" s="17">
        <v>44925</v>
      </c>
      <c r="SYN612" s="5" t="s">
        <v>3728</v>
      </c>
      <c r="SYO612" s="17">
        <v>44925</v>
      </c>
      <c r="SYP612" s="5" t="s">
        <v>3728</v>
      </c>
      <c r="SYQ612" s="17">
        <v>44925</v>
      </c>
      <c r="SYR612" s="5" t="s">
        <v>3728</v>
      </c>
      <c r="SYS612" s="17">
        <v>44925</v>
      </c>
      <c r="SYT612" s="5" t="s">
        <v>3728</v>
      </c>
      <c r="SYU612" s="17">
        <v>44925</v>
      </c>
      <c r="SYV612" s="5" t="s">
        <v>3728</v>
      </c>
      <c r="SYW612" s="17">
        <v>44925</v>
      </c>
      <c r="SYX612" s="5" t="s">
        <v>3728</v>
      </c>
      <c r="SYY612" s="17">
        <v>44925</v>
      </c>
      <c r="SYZ612" s="5" t="s">
        <v>3728</v>
      </c>
      <c r="SZA612" s="17">
        <v>44925</v>
      </c>
      <c r="SZB612" s="5" t="s">
        <v>3728</v>
      </c>
      <c r="SZC612" s="17">
        <v>44925</v>
      </c>
      <c r="SZD612" s="5" t="s">
        <v>3728</v>
      </c>
      <c r="SZE612" s="17">
        <v>44925</v>
      </c>
      <c r="SZF612" s="5" t="s">
        <v>3728</v>
      </c>
      <c r="SZG612" s="17">
        <v>44925</v>
      </c>
      <c r="SZH612" s="5" t="s">
        <v>3728</v>
      </c>
      <c r="SZI612" s="17">
        <v>44925</v>
      </c>
      <c r="SZJ612" s="5" t="s">
        <v>3728</v>
      </c>
      <c r="SZK612" s="17">
        <v>44925</v>
      </c>
      <c r="SZL612" s="5" t="s">
        <v>3728</v>
      </c>
      <c r="SZM612" s="17">
        <v>44925</v>
      </c>
      <c r="SZN612" s="5" t="s">
        <v>3728</v>
      </c>
      <c r="SZO612" s="17">
        <v>44925</v>
      </c>
      <c r="SZP612" s="5" t="s">
        <v>3728</v>
      </c>
      <c r="SZQ612" s="17">
        <v>44925</v>
      </c>
      <c r="SZR612" s="5" t="s">
        <v>3728</v>
      </c>
      <c r="SZS612" s="17">
        <v>44925</v>
      </c>
      <c r="SZT612" s="5" t="s">
        <v>3728</v>
      </c>
      <c r="SZU612" s="17">
        <v>44925</v>
      </c>
      <c r="SZV612" s="5" t="s">
        <v>3728</v>
      </c>
      <c r="SZW612" s="17">
        <v>44925</v>
      </c>
      <c r="SZX612" s="5" t="s">
        <v>3728</v>
      </c>
      <c r="SZY612" s="17">
        <v>44925</v>
      </c>
      <c r="SZZ612" s="5" t="s">
        <v>3728</v>
      </c>
      <c r="TAA612" s="17">
        <v>44925</v>
      </c>
      <c r="TAB612" s="5" t="s">
        <v>3728</v>
      </c>
      <c r="TAC612" s="17">
        <v>44925</v>
      </c>
      <c r="TAD612" s="5" t="s">
        <v>3728</v>
      </c>
      <c r="TAE612" s="17">
        <v>44925</v>
      </c>
      <c r="TAF612" s="5" t="s">
        <v>3728</v>
      </c>
      <c r="TAG612" s="17">
        <v>44925</v>
      </c>
      <c r="TAH612" s="5" t="s">
        <v>3728</v>
      </c>
      <c r="TAI612" s="17">
        <v>44925</v>
      </c>
      <c r="TAJ612" s="5" t="s">
        <v>3728</v>
      </c>
      <c r="TAK612" s="17">
        <v>44925</v>
      </c>
      <c r="TAL612" s="5" t="s">
        <v>3728</v>
      </c>
      <c r="TAM612" s="17">
        <v>44925</v>
      </c>
      <c r="TAN612" s="5" t="s">
        <v>3728</v>
      </c>
      <c r="TAO612" s="17">
        <v>44925</v>
      </c>
      <c r="TAP612" s="5" t="s">
        <v>3728</v>
      </c>
      <c r="TAQ612" s="17">
        <v>44925</v>
      </c>
      <c r="TAR612" s="5" t="s">
        <v>3728</v>
      </c>
      <c r="TAS612" s="17">
        <v>44925</v>
      </c>
      <c r="TAT612" s="5" t="s">
        <v>3728</v>
      </c>
      <c r="TAU612" s="17">
        <v>44925</v>
      </c>
      <c r="TAV612" s="5" t="s">
        <v>3728</v>
      </c>
      <c r="TAW612" s="17">
        <v>44925</v>
      </c>
      <c r="TAX612" s="5" t="s">
        <v>3728</v>
      </c>
      <c r="TAY612" s="17">
        <v>44925</v>
      </c>
      <c r="TAZ612" s="5" t="s">
        <v>3728</v>
      </c>
      <c r="TBA612" s="17">
        <v>44925</v>
      </c>
      <c r="TBB612" s="5" t="s">
        <v>3728</v>
      </c>
      <c r="TBC612" s="17">
        <v>44925</v>
      </c>
      <c r="TBD612" s="5" t="s">
        <v>3728</v>
      </c>
      <c r="TBE612" s="17">
        <v>44925</v>
      </c>
      <c r="TBF612" s="5" t="s">
        <v>3728</v>
      </c>
      <c r="TBG612" s="17">
        <v>44925</v>
      </c>
      <c r="TBH612" s="5" t="s">
        <v>3728</v>
      </c>
      <c r="TBI612" s="17">
        <v>44925</v>
      </c>
      <c r="TBJ612" s="5" t="s">
        <v>3728</v>
      </c>
      <c r="TBK612" s="17">
        <v>44925</v>
      </c>
      <c r="TBL612" s="5" t="s">
        <v>3728</v>
      </c>
      <c r="TBM612" s="17">
        <v>44925</v>
      </c>
      <c r="TBN612" s="5" t="s">
        <v>3728</v>
      </c>
      <c r="TBO612" s="17">
        <v>44925</v>
      </c>
      <c r="TBP612" s="5" t="s">
        <v>3728</v>
      </c>
      <c r="TBQ612" s="17">
        <v>44925</v>
      </c>
      <c r="TBR612" s="5" t="s">
        <v>3728</v>
      </c>
      <c r="TBS612" s="17">
        <v>44925</v>
      </c>
      <c r="TBT612" s="5" t="s">
        <v>3728</v>
      </c>
      <c r="TBU612" s="17">
        <v>44925</v>
      </c>
      <c r="TBV612" s="5" t="s">
        <v>3728</v>
      </c>
      <c r="TBW612" s="17">
        <v>44925</v>
      </c>
      <c r="TBX612" s="5" t="s">
        <v>3728</v>
      </c>
      <c r="TBY612" s="17">
        <v>44925</v>
      </c>
      <c r="TBZ612" s="5" t="s">
        <v>3728</v>
      </c>
      <c r="TCA612" s="17">
        <v>44925</v>
      </c>
      <c r="TCB612" s="5" t="s">
        <v>3728</v>
      </c>
      <c r="TCC612" s="17">
        <v>44925</v>
      </c>
      <c r="TCD612" s="5" t="s">
        <v>3728</v>
      </c>
      <c r="TCE612" s="17">
        <v>44925</v>
      </c>
      <c r="TCF612" s="5" t="s">
        <v>3728</v>
      </c>
      <c r="TCG612" s="17">
        <v>44925</v>
      </c>
      <c r="TCH612" s="5" t="s">
        <v>3728</v>
      </c>
      <c r="TCI612" s="17">
        <v>44925</v>
      </c>
      <c r="TCJ612" s="5" t="s">
        <v>3728</v>
      </c>
      <c r="TCK612" s="17">
        <v>44925</v>
      </c>
      <c r="TCL612" s="5" t="s">
        <v>3728</v>
      </c>
      <c r="TCM612" s="17">
        <v>44925</v>
      </c>
      <c r="TCN612" s="5" t="s">
        <v>3728</v>
      </c>
      <c r="TCO612" s="17">
        <v>44925</v>
      </c>
      <c r="TCP612" s="5" t="s">
        <v>3728</v>
      </c>
      <c r="TCQ612" s="17">
        <v>44925</v>
      </c>
      <c r="TCR612" s="5" t="s">
        <v>3728</v>
      </c>
      <c r="TCS612" s="17">
        <v>44925</v>
      </c>
      <c r="TCT612" s="5" t="s">
        <v>3728</v>
      </c>
      <c r="TCU612" s="17">
        <v>44925</v>
      </c>
      <c r="TCV612" s="5" t="s">
        <v>3728</v>
      </c>
      <c r="TCW612" s="17">
        <v>44925</v>
      </c>
      <c r="TCX612" s="5" t="s">
        <v>3728</v>
      </c>
      <c r="TCY612" s="17">
        <v>44925</v>
      </c>
      <c r="TCZ612" s="5" t="s">
        <v>3728</v>
      </c>
      <c r="TDA612" s="17">
        <v>44925</v>
      </c>
      <c r="TDB612" s="5" t="s">
        <v>3728</v>
      </c>
      <c r="TDC612" s="17">
        <v>44925</v>
      </c>
      <c r="TDD612" s="5" t="s">
        <v>3728</v>
      </c>
      <c r="TDE612" s="17">
        <v>44925</v>
      </c>
      <c r="TDF612" s="5" t="s">
        <v>3728</v>
      </c>
      <c r="TDG612" s="17">
        <v>44925</v>
      </c>
      <c r="TDH612" s="5" t="s">
        <v>3728</v>
      </c>
      <c r="TDI612" s="17">
        <v>44925</v>
      </c>
      <c r="TDJ612" s="5" t="s">
        <v>3728</v>
      </c>
      <c r="TDK612" s="17">
        <v>44925</v>
      </c>
      <c r="TDL612" s="5" t="s">
        <v>3728</v>
      </c>
      <c r="TDM612" s="17">
        <v>44925</v>
      </c>
      <c r="TDN612" s="5" t="s">
        <v>3728</v>
      </c>
      <c r="TDO612" s="17">
        <v>44925</v>
      </c>
      <c r="TDP612" s="5" t="s">
        <v>3728</v>
      </c>
      <c r="TDQ612" s="17">
        <v>44925</v>
      </c>
      <c r="TDR612" s="5" t="s">
        <v>3728</v>
      </c>
      <c r="TDS612" s="17">
        <v>44925</v>
      </c>
      <c r="TDT612" s="5" t="s">
        <v>3728</v>
      </c>
      <c r="TDU612" s="17">
        <v>44925</v>
      </c>
      <c r="TDV612" s="5" t="s">
        <v>3728</v>
      </c>
      <c r="TDW612" s="17">
        <v>44925</v>
      </c>
      <c r="TDX612" s="5" t="s">
        <v>3728</v>
      </c>
      <c r="TDY612" s="17">
        <v>44925</v>
      </c>
      <c r="TDZ612" s="5" t="s">
        <v>3728</v>
      </c>
      <c r="TEA612" s="17">
        <v>44925</v>
      </c>
      <c r="TEB612" s="5" t="s">
        <v>3728</v>
      </c>
      <c r="TEC612" s="17">
        <v>44925</v>
      </c>
      <c r="TED612" s="5" t="s">
        <v>3728</v>
      </c>
      <c r="TEE612" s="17">
        <v>44925</v>
      </c>
      <c r="TEF612" s="5" t="s">
        <v>3728</v>
      </c>
      <c r="TEG612" s="17">
        <v>44925</v>
      </c>
      <c r="TEH612" s="5" t="s">
        <v>3728</v>
      </c>
      <c r="TEI612" s="17">
        <v>44925</v>
      </c>
      <c r="TEJ612" s="5" t="s">
        <v>3728</v>
      </c>
      <c r="TEK612" s="17">
        <v>44925</v>
      </c>
      <c r="TEL612" s="5" t="s">
        <v>3728</v>
      </c>
      <c r="TEM612" s="17">
        <v>44925</v>
      </c>
      <c r="TEN612" s="5" t="s">
        <v>3728</v>
      </c>
      <c r="TEO612" s="17">
        <v>44925</v>
      </c>
      <c r="TEP612" s="5" t="s">
        <v>3728</v>
      </c>
      <c r="TEQ612" s="17">
        <v>44925</v>
      </c>
      <c r="TER612" s="5" t="s">
        <v>3728</v>
      </c>
      <c r="TES612" s="17">
        <v>44925</v>
      </c>
      <c r="TET612" s="5" t="s">
        <v>3728</v>
      </c>
      <c r="TEU612" s="17">
        <v>44925</v>
      </c>
      <c r="TEV612" s="5" t="s">
        <v>3728</v>
      </c>
      <c r="TEW612" s="17">
        <v>44925</v>
      </c>
      <c r="TEX612" s="5" t="s">
        <v>3728</v>
      </c>
      <c r="TEY612" s="17">
        <v>44925</v>
      </c>
      <c r="TEZ612" s="5" t="s">
        <v>3728</v>
      </c>
      <c r="TFA612" s="17">
        <v>44925</v>
      </c>
      <c r="TFB612" s="5" t="s">
        <v>3728</v>
      </c>
      <c r="TFC612" s="17">
        <v>44925</v>
      </c>
      <c r="TFD612" s="5" t="s">
        <v>3728</v>
      </c>
      <c r="TFE612" s="17">
        <v>44925</v>
      </c>
      <c r="TFF612" s="5" t="s">
        <v>3728</v>
      </c>
      <c r="TFG612" s="17">
        <v>44925</v>
      </c>
      <c r="TFH612" s="5" t="s">
        <v>3728</v>
      </c>
      <c r="TFI612" s="17">
        <v>44925</v>
      </c>
      <c r="TFJ612" s="5" t="s">
        <v>3728</v>
      </c>
      <c r="TFK612" s="17">
        <v>44925</v>
      </c>
      <c r="TFL612" s="5" t="s">
        <v>3728</v>
      </c>
      <c r="TFM612" s="17">
        <v>44925</v>
      </c>
      <c r="TFN612" s="5" t="s">
        <v>3728</v>
      </c>
      <c r="TFO612" s="17">
        <v>44925</v>
      </c>
      <c r="TFP612" s="5" t="s">
        <v>3728</v>
      </c>
      <c r="TFQ612" s="17">
        <v>44925</v>
      </c>
      <c r="TFR612" s="5" t="s">
        <v>3728</v>
      </c>
      <c r="TFS612" s="17">
        <v>44925</v>
      </c>
      <c r="TFT612" s="5" t="s">
        <v>3728</v>
      </c>
      <c r="TFU612" s="17">
        <v>44925</v>
      </c>
      <c r="TFV612" s="5" t="s">
        <v>3728</v>
      </c>
      <c r="TFW612" s="17">
        <v>44925</v>
      </c>
      <c r="TFX612" s="5" t="s">
        <v>3728</v>
      </c>
      <c r="TFY612" s="17">
        <v>44925</v>
      </c>
      <c r="TFZ612" s="5" t="s">
        <v>3728</v>
      </c>
      <c r="TGA612" s="17">
        <v>44925</v>
      </c>
      <c r="TGB612" s="5" t="s">
        <v>3728</v>
      </c>
      <c r="TGC612" s="17">
        <v>44925</v>
      </c>
      <c r="TGD612" s="5" t="s">
        <v>3728</v>
      </c>
      <c r="TGE612" s="17">
        <v>44925</v>
      </c>
      <c r="TGF612" s="5" t="s">
        <v>3728</v>
      </c>
      <c r="TGG612" s="17">
        <v>44925</v>
      </c>
      <c r="TGH612" s="5" t="s">
        <v>3728</v>
      </c>
      <c r="TGI612" s="17">
        <v>44925</v>
      </c>
      <c r="TGJ612" s="5" t="s">
        <v>3728</v>
      </c>
      <c r="TGK612" s="17">
        <v>44925</v>
      </c>
      <c r="TGL612" s="5" t="s">
        <v>3728</v>
      </c>
      <c r="TGM612" s="17">
        <v>44925</v>
      </c>
      <c r="TGN612" s="5" t="s">
        <v>3728</v>
      </c>
      <c r="TGO612" s="17">
        <v>44925</v>
      </c>
      <c r="TGP612" s="5" t="s">
        <v>3728</v>
      </c>
      <c r="TGQ612" s="17">
        <v>44925</v>
      </c>
      <c r="TGR612" s="5" t="s">
        <v>3728</v>
      </c>
      <c r="TGS612" s="17">
        <v>44925</v>
      </c>
      <c r="TGT612" s="5" t="s">
        <v>3728</v>
      </c>
      <c r="TGU612" s="17">
        <v>44925</v>
      </c>
      <c r="TGV612" s="5" t="s">
        <v>3728</v>
      </c>
      <c r="TGW612" s="17">
        <v>44925</v>
      </c>
      <c r="TGX612" s="5" t="s">
        <v>3728</v>
      </c>
      <c r="TGY612" s="17">
        <v>44925</v>
      </c>
      <c r="TGZ612" s="5" t="s">
        <v>3728</v>
      </c>
      <c r="THA612" s="17">
        <v>44925</v>
      </c>
      <c r="THB612" s="5" t="s">
        <v>3728</v>
      </c>
      <c r="THC612" s="17">
        <v>44925</v>
      </c>
      <c r="THD612" s="5" t="s">
        <v>3728</v>
      </c>
      <c r="THE612" s="17">
        <v>44925</v>
      </c>
      <c r="THF612" s="5" t="s">
        <v>3728</v>
      </c>
      <c r="THG612" s="17">
        <v>44925</v>
      </c>
      <c r="THH612" s="5" t="s">
        <v>3728</v>
      </c>
      <c r="THI612" s="17">
        <v>44925</v>
      </c>
      <c r="THJ612" s="5" t="s">
        <v>3728</v>
      </c>
      <c r="THK612" s="17">
        <v>44925</v>
      </c>
      <c r="THL612" s="5" t="s">
        <v>3728</v>
      </c>
      <c r="THM612" s="17">
        <v>44925</v>
      </c>
      <c r="THN612" s="5" t="s">
        <v>3728</v>
      </c>
      <c r="THO612" s="17">
        <v>44925</v>
      </c>
      <c r="THP612" s="5" t="s">
        <v>3728</v>
      </c>
      <c r="THQ612" s="17">
        <v>44925</v>
      </c>
      <c r="THR612" s="5" t="s">
        <v>3728</v>
      </c>
      <c r="THS612" s="17">
        <v>44925</v>
      </c>
      <c r="THT612" s="5" t="s">
        <v>3728</v>
      </c>
      <c r="THU612" s="17">
        <v>44925</v>
      </c>
      <c r="THV612" s="5" t="s">
        <v>3728</v>
      </c>
      <c r="THW612" s="17">
        <v>44925</v>
      </c>
      <c r="THX612" s="5" t="s">
        <v>3728</v>
      </c>
      <c r="THY612" s="17">
        <v>44925</v>
      </c>
      <c r="THZ612" s="5" t="s">
        <v>3728</v>
      </c>
      <c r="TIA612" s="17">
        <v>44925</v>
      </c>
      <c r="TIB612" s="5" t="s">
        <v>3728</v>
      </c>
      <c r="TIC612" s="17">
        <v>44925</v>
      </c>
      <c r="TID612" s="5" t="s">
        <v>3728</v>
      </c>
      <c r="TIE612" s="17">
        <v>44925</v>
      </c>
      <c r="TIF612" s="5" t="s">
        <v>3728</v>
      </c>
      <c r="TIG612" s="17">
        <v>44925</v>
      </c>
      <c r="TIH612" s="5" t="s">
        <v>3728</v>
      </c>
      <c r="TII612" s="17">
        <v>44925</v>
      </c>
      <c r="TIJ612" s="5" t="s">
        <v>3728</v>
      </c>
      <c r="TIK612" s="17">
        <v>44925</v>
      </c>
      <c r="TIL612" s="5" t="s">
        <v>3728</v>
      </c>
      <c r="TIM612" s="17">
        <v>44925</v>
      </c>
      <c r="TIN612" s="5" t="s">
        <v>3728</v>
      </c>
      <c r="TIO612" s="17">
        <v>44925</v>
      </c>
      <c r="TIP612" s="5" t="s">
        <v>3728</v>
      </c>
      <c r="TIQ612" s="17">
        <v>44925</v>
      </c>
      <c r="TIR612" s="5" t="s">
        <v>3728</v>
      </c>
      <c r="TIS612" s="17">
        <v>44925</v>
      </c>
      <c r="TIT612" s="5" t="s">
        <v>3728</v>
      </c>
      <c r="TIU612" s="17">
        <v>44925</v>
      </c>
      <c r="TIV612" s="5" t="s">
        <v>3728</v>
      </c>
      <c r="TIW612" s="17">
        <v>44925</v>
      </c>
      <c r="TIX612" s="5" t="s">
        <v>3728</v>
      </c>
      <c r="TIY612" s="17">
        <v>44925</v>
      </c>
      <c r="TIZ612" s="5" t="s">
        <v>3728</v>
      </c>
      <c r="TJA612" s="17">
        <v>44925</v>
      </c>
      <c r="TJB612" s="5" t="s">
        <v>3728</v>
      </c>
      <c r="TJC612" s="17">
        <v>44925</v>
      </c>
      <c r="TJD612" s="5" t="s">
        <v>3728</v>
      </c>
      <c r="TJE612" s="17">
        <v>44925</v>
      </c>
      <c r="TJF612" s="5" t="s">
        <v>3728</v>
      </c>
      <c r="TJG612" s="17">
        <v>44925</v>
      </c>
      <c r="TJH612" s="5" t="s">
        <v>3728</v>
      </c>
      <c r="TJI612" s="17">
        <v>44925</v>
      </c>
      <c r="TJJ612" s="5" t="s">
        <v>3728</v>
      </c>
      <c r="TJK612" s="17">
        <v>44925</v>
      </c>
      <c r="TJL612" s="5" t="s">
        <v>3728</v>
      </c>
      <c r="TJM612" s="17">
        <v>44925</v>
      </c>
      <c r="TJN612" s="5" t="s">
        <v>3728</v>
      </c>
      <c r="TJO612" s="17">
        <v>44925</v>
      </c>
      <c r="TJP612" s="5" t="s">
        <v>3728</v>
      </c>
      <c r="TJQ612" s="17">
        <v>44925</v>
      </c>
      <c r="TJR612" s="5" t="s">
        <v>3728</v>
      </c>
      <c r="TJS612" s="17">
        <v>44925</v>
      </c>
      <c r="TJT612" s="5" t="s">
        <v>3728</v>
      </c>
      <c r="TJU612" s="17">
        <v>44925</v>
      </c>
      <c r="TJV612" s="5" t="s">
        <v>3728</v>
      </c>
      <c r="TJW612" s="17">
        <v>44925</v>
      </c>
      <c r="TJX612" s="5" t="s">
        <v>3728</v>
      </c>
      <c r="TJY612" s="17">
        <v>44925</v>
      </c>
      <c r="TJZ612" s="5" t="s">
        <v>3728</v>
      </c>
      <c r="TKA612" s="17">
        <v>44925</v>
      </c>
      <c r="TKB612" s="5" t="s">
        <v>3728</v>
      </c>
      <c r="TKC612" s="17">
        <v>44925</v>
      </c>
      <c r="TKD612" s="5" t="s">
        <v>3728</v>
      </c>
      <c r="TKE612" s="17">
        <v>44925</v>
      </c>
      <c r="TKF612" s="5" t="s">
        <v>3728</v>
      </c>
      <c r="TKG612" s="17">
        <v>44925</v>
      </c>
      <c r="TKH612" s="5" t="s">
        <v>3728</v>
      </c>
      <c r="TKI612" s="17">
        <v>44925</v>
      </c>
      <c r="TKJ612" s="5" t="s">
        <v>3728</v>
      </c>
      <c r="TKK612" s="17">
        <v>44925</v>
      </c>
      <c r="TKL612" s="5" t="s">
        <v>3728</v>
      </c>
      <c r="TKM612" s="17">
        <v>44925</v>
      </c>
      <c r="TKN612" s="5" t="s">
        <v>3728</v>
      </c>
      <c r="TKO612" s="17">
        <v>44925</v>
      </c>
      <c r="TKP612" s="5" t="s">
        <v>3728</v>
      </c>
      <c r="TKQ612" s="17">
        <v>44925</v>
      </c>
      <c r="TKR612" s="5" t="s">
        <v>3728</v>
      </c>
      <c r="TKS612" s="17">
        <v>44925</v>
      </c>
      <c r="TKT612" s="5" t="s">
        <v>3728</v>
      </c>
      <c r="TKU612" s="17">
        <v>44925</v>
      </c>
      <c r="TKV612" s="5" t="s">
        <v>3728</v>
      </c>
      <c r="TKW612" s="17">
        <v>44925</v>
      </c>
      <c r="TKX612" s="5" t="s">
        <v>3728</v>
      </c>
      <c r="TKY612" s="17">
        <v>44925</v>
      </c>
      <c r="TKZ612" s="5" t="s">
        <v>3728</v>
      </c>
      <c r="TLA612" s="17">
        <v>44925</v>
      </c>
      <c r="TLB612" s="5" t="s">
        <v>3728</v>
      </c>
      <c r="TLC612" s="17">
        <v>44925</v>
      </c>
      <c r="TLD612" s="5" t="s">
        <v>3728</v>
      </c>
      <c r="TLE612" s="17">
        <v>44925</v>
      </c>
      <c r="TLF612" s="5" t="s">
        <v>3728</v>
      </c>
      <c r="TLG612" s="17">
        <v>44925</v>
      </c>
      <c r="TLH612" s="5" t="s">
        <v>3728</v>
      </c>
      <c r="TLI612" s="17">
        <v>44925</v>
      </c>
      <c r="TLJ612" s="5" t="s">
        <v>3728</v>
      </c>
      <c r="TLK612" s="17">
        <v>44925</v>
      </c>
      <c r="TLL612" s="5" t="s">
        <v>3728</v>
      </c>
      <c r="TLM612" s="17">
        <v>44925</v>
      </c>
      <c r="TLN612" s="5" t="s">
        <v>3728</v>
      </c>
      <c r="TLO612" s="17">
        <v>44925</v>
      </c>
      <c r="TLP612" s="5" t="s">
        <v>3728</v>
      </c>
      <c r="TLQ612" s="17">
        <v>44925</v>
      </c>
      <c r="TLR612" s="5" t="s">
        <v>3728</v>
      </c>
      <c r="TLS612" s="17">
        <v>44925</v>
      </c>
      <c r="TLT612" s="5" t="s">
        <v>3728</v>
      </c>
      <c r="TLU612" s="17">
        <v>44925</v>
      </c>
      <c r="TLV612" s="5" t="s">
        <v>3728</v>
      </c>
      <c r="TLW612" s="17">
        <v>44925</v>
      </c>
      <c r="TLX612" s="5" t="s">
        <v>3728</v>
      </c>
      <c r="TLY612" s="17">
        <v>44925</v>
      </c>
      <c r="TLZ612" s="5" t="s">
        <v>3728</v>
      </c>
      <c r="TMA612" s="17">
        <v>44925</v>
      </c>
      <c r="TMB612" s="5" t="s">
        <v>3728</v>
      </c>
      <c r="TMC612" s="17">
        <v>44925</v>
      </c>
      <c r="TMD612" s="5" t="s">
        <v>3728</v>
      </c>
      <c r="TME612" s="17">
        <v>44925</v>
      </c>
      <c r="TMF612" s="5" t="s">
        <v>3728</v>
      </c>
      <c r="TMG612" s="17">
        <v>44925</v>
      </c>
      <c r="TMH612" s="5" t="s">
        <v>3728</v>
      </c>
      <c r="TMI612" s="17">
        <v>44925</v>
      </c>
      <c r="TMJ612" s="5" t="s">
        <v>3728</v>
      </c>
      <c r="TMK612" s="17">
        <v>44925</v>
      </c>
      <c r="TML612" s="5" t="s">
        <v>3728</v>
      </c>
      <c r="TMM612" s="17">
        <v>44925</v>
      </c>
      <c r="TMN612" s="5" t="s">
        <v>3728</v>
      </c>
      <c r="TMO612" s="17">
        <v>44925</v>
      </c>
      <c r="TMP612" s="5" t="s">
        <v>3728</v>
      </c>
      <c r="TMQ612" s="17">
        <v>44925</v>
      </c>
      <c r="TMR612" s="5" t="s">
        <v>3728</v>
      </c>
      <c r="TMS612" s="17">
        <v>44925</v>
      </c>
      <c r="TMT612" s="5" t="s">
        <v>3728</v>
      </c>
      <c r="TMU612" s="17">
        <v>44925</v>
      </c>
      <c r="TMV612" s="5" t="s">
        <v>3728</v>
      </c>
      <c r="TMW612" s="17">
        <v>44925</v>
      </c>
      <c r="TMX612" s="5" t="s">
        <v>3728</v>
      </c>
      <c r="TMY612" s="17">
        <v>44925</v>
      </c>
      <c r="TMZ612" s="5" t="s">
        <v>3728</v>
      </c>
      <c r="TNA612" s="17">
        <v>44925</v>
      </c>
      <c r="TNB612" s="5" t="s">
        <v>3728</v>
      </c>
      <c r="TNC612" s="17">
        <v>44925</v>
      </c>
      <c r="TND612" s="5" t="s">
        <v>3728</v>
      </c>
      <c r="TNE612" s="17">
        <v>44925</v>
      </c>
      <c r="TNF612" s="5" t="s">
        <v>3728</v>
      </c>
      <c r="TNG612" s="17">
        <v>44925</v>
      </c>
      <c r="TNH612" s="5" t="s">
        <v>3728</v>
      </c>
      <c r="TNI612" s="17">
        <v>44925</v>
      </c>
      <c r="TNJ612" s="5" t="s">
        <v>3728</v>
      </c>
      <c r="TNK612" s="17">
        <v>44925</v>
      </c>
      <c r="TNL612" s="5" t="s">
        <v>3728</v>
      </c>
      <c r="TNM612" s="17">
        <v>44925</v>
      </c>
      <c r="TNN612" s="5" t="s">
        <v>3728</v>
      </c>
      <c r="TNO612" s="17">
        <v>44925</v>
      </c>
      <c r="TNP612" s="5" t="s">
        <v>3728</v>
      </c>
      <c r="TNQ612" s="17">
        <v>44925</v>
      </c>
      <c r="TNR612" s="5" t="s">
        <v>3728</v>
      </c>
      <c r="TNS612" s="17">
        <v>44925</v>
      </c>
      <c r="TNT612" s="5" t="s">
        <v>3728</v>
      </c>
      <c r="TNU612" s="17">
        <v>44925</v>
      </c>
      <c r="TNV612" s="5" t="s">
        <v>3728</v>
      </c>
      <c r="TNW612" s="17">
        <v>44925</v>
      </c>
      <c r="TNX612" s="5" t="s">
        <v>3728</v>
      </c>
      <c r="TNY612" s="17">
        <v>44925</v>
      </c>
      <c r="TNZ612" s="5" t="s">
        <v>3728</v>
      </c>
      <c r="TOA612" s="17">
        <v>44925</v>
      </c>
      <c r="TOB612" s="5" t="s">
        <v>3728</v>
      </c>
      <c r="TOC612" s="17">
        <v>44925</v>
      </c>
      <c r="TOD612" s="5" t="s">
        <v>3728</v>
      </c>
      <c r="TOE612" s="17">
        <v>44925</v>
      </c>
      <c r="TOF612" s="5" t="s">
        <v>3728</v>
      </c>
      <c r="TOG612" s="17">
        <v>44925</v>
      </c>
      <c r="TOH612" s="5" t="s">
        <v>3728</v>
      </c>
      <c r="TOI612" s="17">
        <v>44925</v>
      </c>
      <c r="TOJ612" s="5" t="s">
        <v>3728</v>
      </c>
      <c r="TOK612" s="17">
        <v>44925</v>
      </c>
      <c r="TOL612" s="5" t="s">
        <v>3728</v>
      </c>
      <c r="TOM612" s="17">
        <v>44925</v>
      </c>
      <c r="TON612" s="5" t="s">
        <v>3728</v>
      </c>
      <c r="TOO612" s="17">
        <v>44925</v>
      </c>
      <c r="TOP612" s="5" t="s">
        <v>3728</v>
      </c>
      <c r="TOQ612" s="17">
        <v>44925</v>
      </c>
      <c r="TOR612" s="5" t="s">
        <v>3728</v>
      </c>
      <c r="TOS612" s="17">
        <v>44925</v>
      </c>
      <c r="TOT612" s="5" t="s">
        <v>3728</v>
      </c>
      <c r="TOU612" s="17">
        <v>44925</v>
      </c>
      <c r="TOV612" s="5" t="s">
        <v>3728</v>
      </c>
      <c r="TOW612" s="17">
        <v>44925</v>
      </c>
      <c r="TOX612" s="5" t="s">
        <v>3728</v>
      </c>
      <c r="TOY612" s="17">
        <v>44925</v>
      </c>
      <c r="TOZ612" s="5" t="s">
        <v>3728</v>
      </c>
      <c r="TPA612" s="17">
        <v>44925</v>
      </c>
      <c r="TPB612" s="5" t="s">
        <v>3728</v>
      </c>
      <c r="TPC612" s="17">
        <v>44925</v>
      </c>
      <c r="TPD612" s="5" t="s">
        <v>3728</v>
      </c>
      <c r="TPE612" s="17">
        <v>44925</v>
      </c>
      <c r="TPF612" s="5" t="s">
        <v>3728</v>
      </c>
      <c r="TPG612" s="17">
        <v>44925</v>
      </c>
      <c r="TPH612" s="5" t="s">
        <v>3728</v>
      </c>
      <c r="TPI612" s="17">
        <v>44925</v>
      </c>
      <c r="TPJ612" s="5" t="s">
        <v>3728</v>
      </c>
      <c r="TPK612" s="17">
        <v>44925</v>
      </c>
      <c r="TPL612" s="5" t="s">
        <v>3728</v>
      </c>
      <c r="TPM612" s="17">
        <v>44925</v>
      </c>
      <c r="TPN612" s="5" t="s">
        <v>3728</v>
      </c>
      <c r="TPO612" s="17">
        <v>44925</v>
      </c>
      <c r="TPP612" s="5" t="s">
        <v>3728</v>
      </c>
      <c r="TPQ612" s="17">
        <v>44925</v>
      </c>
      <c r="TPR612" s="5" t="s">
        <v>3728</v>
      </c>
      <c r="TPS612" s="17">
        <v>44925</v>
      </c>
      <c r="TPT612" s="5" t="s">
        <v>3728</v>
      </c>
      <c r="TPU612" s="17">
        <v>44925</v>
      </c>
      <c r="TPV612" s="5" t="s">
        <v>3728</v>
      </c>
      <c r="TPW612" s="17">
        <v>44925</v>
      </c>
      <c r="TPX612" s="5" t="s">
        <v>3728</v>
      </c>
      <c r="TPY612" s="17">
        <v>44925</v>
      </c>
      <c r="TPZ612" s="5" t="s">
        <v>3728</v>
      </c>
      <c r="TQA612" s="17">
        <v>44925</v>
      </c>
      <c r="TQB612" s="5" t="s">
        <v>3728</v>
      </c>
      <c r="TQC612" s="17">
        <v>44925</v>
      </c>
      <c r="TQD612" s="5" t="s">
        <v>3728</v>
      </c>
      <c r="TQE612" s="17">
        <v>44925</v>
      </c>
      <c r="TQF612" s="5" t="s">
        <v>3728</v>
      </c>
      <c r="TQG612" s="17">
        <v>44925</v>
      </c>
      <c r="TQH612" s="5" t="s">
        <v>3728</v>
      </c>
      <c r="TQI612" s="17">
        <v>44925</v>
      </c>
      <c r="TQJ612" s="5" t="s">
        <v>3728</v>
      </c>
      <c r="TQK612" s="17">
        <v>44925</v>
      </c>
      <c r="TQL612" s="5" t="s">
        <v>3728</v>
      </c>
      <c r="TQM612" s="17">
        <v>44925</v>
      </c>
      <c r="TQN612" s="5" t="s">
        <v>3728</v>
      </c>
      <c r="TQO612" s="17">
        <v>44925</v>
      </c>
      <c r="TQP612" s="5" t="s">
        <v>3728</v>
      </c>
      <c r="TQQ612" s="17">
        <v>44925</v>
      </c>
      <c r="TQR612" s="5" t="s">
        <v>3728</v>
      </c>
      <c r="TQS612" s="17">
        <v>44925</v>
      </c>
      <c r="TQT612" s="5" t="s">
        <v>3728</v>
      </c>
      <c r="TQU612" s="17">
        <v>44925</v>
      </c>
      <c r="TQV612" s="5" t="s">
        <v>3728</v>
      </c>
      <c r="TQW612" s="17">
        <v>44925</v>
      </c>
      <c r="TQX612" s="5" t="s">
        <v>3728</v>
      </c>
      <c r="TQY612" s="17">
        <v>44925</v>
      </c>
      <c r="TQZ612" s="5" t="s">
        <v>3728</v>
      </c>
      <c r="TRA612" s="17">
        <v>44925</v>
      </c>
      <c r="TRB612" s="5" t="s">
        <v>3728</v>
      </c>
      <c r="TRC612" s="17">
        <v>44925</v>
      </c>
      <c r="TRD612" s="5" t="s">
        <v>3728</v>
      </c>
      <c r="TRE612" s="17">
        <v>44925</v>
      </c>
      <c r="TRF612" s="5" t="s">
        <v>3728</v>
      </c>
      <c r="TRG612" s="17">
        <v>44925</v>
      </c>
      <c r="TRH612" s="5" t="s">
        <v>3728</v>
      </c>
      <c r="TRI612" s="17">
        <v>44925</v>
      </c>
      <c r="TRJ612" s="5" t="s">
        <v>3728</v>
      </c>
      <c r="TRK612" s="17">
        <v>44925</v>
      </c>
      <c r="TRL612" s="5" t="s">
        <v>3728</v>
      </c>
      <c r="TRM612" s="17">
        <v>44925</v>
      </c>
      <c r="TRN612" s="5" t="s">
        <v>3728</v>
      </c>
      <c r="TRO612" s="17">
        <v>44925</v>
      </c>
      <c r="TRP612" s="5" t="s">
        <v>3728</v>
      </c>
      <c r="TRQ612" s="17">
        <v>44925</v>
      </c>
      <c r="TRR612" s="5" t="s">
        <v>3728</v>
      </c>
      <c r="TRS612" s="17">
        <v>44925</v>
      </c>
      <c r="TRT612" s="5" t="s">
        <v>3728</v>
      </c>
      <c r="TRU612" s="17">
        <v>44925</v>
      </c>
      <c r="TRV612" s="5" t="s">
        <v>3728</v>
      </c>
      <c r="TRW612" s="17">
        <v>44925</v>
      </c>
      <c r="TRX612" s="5" t="s">
        <v>3728</v>
      </c>
      <c r="TRY612" s="17">
        <v>44925</v>
      </c>
      <c r="TRZ612" s="5" t="s">
        <v>3728</v>
      </c>
      <c r="TSA612" s="17">
        <v>44925</v>
      </c>
      <c r="TSB612" s="5" t="s">
        <v>3728</v>
      </c>
      <c r="TSC612" s="17">
        <v>44925</v>
      </c>
      <c r="TSD612" s="5" t="s">
        <v>3728</v>
      </c>
      <c r="TSE612" s="17">
        <v>44925</v>
      </c>
      <c r="TSF612" s="5" t="s">
        <v>3728</v>
      </c>
      <c r="TSG612" s="17">
        <v>44925</v>
      </c>
      <c r="TSH612" s="5" t="s">
        <v>3728</v>
      </c>
      <c r="TSI612" s="17">
        <v>44925</v>
      </c>
      <c r="TSJ612" s="5" t="s">
        <v>3728</v>
      </c>
      <c r="TSK612" s="17">
        <v>44925</v>
      </c>
      <c r="TSL612" s="5" t="s">
        <v>3728</v>
      </c>
      <c r="TSM612" s="17">
        <v>44925</v>
      </c>
      <c r="TSN612" s="5" t="s">
        <v>3728</v>
      </c>
      <c r="TSO612" s="17">
        <v>44925</v>
      </c>
      <c r="TSP612" s="5" t="s">
        <v>3728</v>
      </c>
      <c r="TSQ612" s="17">
        <v>44925</v>
      </c>
      <c r="TSR612" s="5" t="s">
        <v>3728</v>
      </c>
      <c r="TSS612" s="17">
        <v>44925</v>
      </c>
      <c r="TST612" s="5" t="s">
        <v>3728</v>
      </c>
      <c r="TSU612" s="17">
        <v>44925</v>
      </c>
      <c r="TSV612" s="5" t="s">
        <v>3728</v>
      </c>
      <c r="TSW612" s="17">
        <v>44925</v>
      </c>
      <c r="TSX612" s="5" t="s">
        <v>3728</v>
      </c>
      <c r="TSY612" s="17">
        <v>44925</v>
      </c>
      <c r="TSZ612" s="5" t="s">
        <v>3728</v>
      </c>
      <c r="TTA612" s="17">
        <v>44925</v>
      </c>
      <c r="TTB612" s="5" t="s">
        <v>3728</v>
      </c>
      <c r="TTC612" s="17">
        <v>44925</v>
      </c>
      <c r="TTD612" s="5" t="s">
        <v>3728</v>
      </c>
      <c r="TTE612" s="17">
        <v>44925</v>
      </c>
      <c r="TTF612" s="5" t="s">
        <v>3728</v>
      </c>
      <c r="TTG612" s="17">
        <v>44925</v>
      </c>
      <c r="TTH612" s="5" t="s">
        <v>3728</v>
      </c>
      <c r="TTI612" s="17">
        <v>44925</v>
      </c>
      <c r="TTJ612" s="5" t="s">
        <v>3728</v>
      </c>
      <c r="TTK612" s="17">
        <v>44925</v>
      </c>
      <c r="TTL612" s="5" t="s">
        <v>3728</v>
      </c>
      <c r="TTM612" s="17">
        <v>44925</v>
      </c>
      <c r="TTN612" s="5" t="s">
        <v>3728</v>
      </c>
      <c r="TTO612" s="17">
        <v>44925</v>
      </c>
      <c r="TTP612" s="5" t="s">
        <v>3728</v>
      </c>
      <c r="TTQ612" s="17">
        <v>44925</v>
      </c>
      <c r="TTR612" s="5" t="s">
        <v>3728</v>
      </c>
      <c r="TTS612" s="17">
        <v>44925</v>
      </c>
      <c r="TTT612" s="5" t="s">
        <v>3728</v>
      </c>
      <c r="TTU612" s="17">
        <v>44925</v>
      </c>
      <c r="TTV612" s="5" t="s">
        <v>3728</v>
      </c>
      <c r="TTW612" s="17">
        <v>44925</v>
      </c>
      <c r="TTX612" s="5" t="s">
        <v>3728</v>
      </c>
      <c r="TTY612" s="17">
        <v>44925</v>
      </c>
      <c r="TTZ612" s="5" t="s">
        <v>3728</v>
      </c>
      <c r="TUA612" s="17">
        <v>44925</v>
      </c>
      <c r="TUB612" s="5" t="s">
        <v>3728</v>
      </c>
      <c r="TUC612" s="17">
        <v>44925</v>
      </c>
      <c r="TUD612" s="5" t="s">
        <v>3728</v>
      </c>
      <c r="TUE612" s="17">
        <v>44925</v>
      </c>
      <c r="TUF612" s="5" t="s">
        <v>3728</v>
      </c>
      <c r="TUG612" s="17">
        <v>44925</v>
      </c>
      <c r="TUH612" s="5" t="s">
        <v>3728</v>
      </c>
      <c r="TUI612" s="17">
        <v>44925</v>
      </c>
      <c r="TUJ612" s="5" t="s">
        <v>3728</v>
      </c>
      <c r="TUK612" s="17">
        <v>44925</v>
      </c>
      <c r="TUL612" s="5" t="s">
        <v>3728</v>
      </c>
      <c r="TUM612" s="17">
        <v>44925</v>
      </c>
      <c r="TUN612" s="5" t="s">
        <v>3728</v>
      </c>
      <c r="TUO612" s="17">
        <v>44925</v>
      </c>
      <c r="TUP612" s="5" t="s">
        <v>3728</v>
      </c>
      <c r="TUQ612" s="17">
        <v>44925</v>
      </c>
      <c r="TUR612" s="5" t="s">
        <v>3728</v>
      </c>
      <c r="TUS612" s="17">
        <v>44925</v>
      </c>
      <c r="TUT612" s="5" t="s">
        <v>3728</v>
      </c>
      <c r="TUU612" s="17">
        <v>44925</v>
      </c>
      <c r="TUV612" s="5" t="s">
        <v>3728</v>
      </c>
      <c r="TUW612" s="17">
        <v>44925</v>
      </c>
      <c r="TUX612" s="5" t="s">
        <v>3728</v>
      </c>
      <c r="TUY612" s="17">
        <v>44925</v>
      </c>
      <c r="TUZ612" s="5" t="s">
        <v>3728</v>
      </c>
      <c r="TVA612" s="17">
        <v>44925</v>
      </c>
      <c r="TVB612" s="5" t="s">
        <v>3728</v>
      </c>
      <c r="TVC612" s="17">
        <v>44925</v>
      </c>
      <c r="TVD612" s="5" t="s">
        <v>3728</v>
      </c>
      <c r="TVE612" s="17">
        <v>44925</v>
      </c>
      <c r="TVF612" s="5" t="s">
        <v>3728</v>
      </c>
      <c r="TVG612" s="17">
        <v>44925</v>
      </c>
      <c r="TVH612" s="5" t="s">
        <v>3728</v>
      </c>
      <c r="TVI612" s="17">
        <v>44925</v>
      </c>
      <c r="TVJ612" s="5" t="s">
        <v>3728</v>
      </c>
      <c r="TVK612" s="17">
        <v>44925</v>
      </c>
      <c r="TVL612" s="5" t="s">
        <v>3728</v>
      </c>
      <c r="TVM612" s="17">
        <v>44925</v>
      </c>
      <c r="TVN612" s="5" t="s">
        <v>3728</v>
      </c>
      <c r="TVO612" s="17">
        <v>44925</v>
      </c>
      <c r="TVP612" s="5" t="s">
        <v>3728</v>
      </c>
      <c r="TVQ612" s="17">
        <v>44925</v>
      </c>
      <c r="TVR612" s="5" t="s">
        <v>3728</v>
      </c>
      <c r="TVS612" s="17">
        <v>44925</v>
      </c>
      <c r="TVT612" s="5" t="s">
        <v>3728</v>
      </c>
      <c r="TVU612" s="17">
        <v>44925</v>
      </c>
      <c r="TVV612" s="5" t="s">
        <v>3728</v>
      </c>
      <c r="TVW612" s="17">
        <v>44925</v>
      </c>
      <c r="TVX612" s="5" t="s">
        <v>3728</v>
      </c>
      <c r="TVY612" s="17">
        <v>44925</v>
      </c>
      <c r="TVZ612" s="5" t="s">
        <v>3728</v>
      </c>
      <c r="TWA612" s="17">
        <v>44925</v>
      </c>
      <c r="TWB612" s="5" t="s">
        <v>3728</v>
      </c>
      <c r="TWC612" s="17">
        <v>44925</v>
      </c>
      <c r="TWD612" s="5" t="s">
        <v>3728</v>
      </c>
      <c r="TWE612" s="17">
        <v>44925</v>
      </c>
      <c r="TWF612" s="5" t="s">
        <v>3728</v>
      </c>
      <c r="TWG612" s="17">
        <v>44925</v>
      </c>
      <c r="TWH612" s="5" t="s">
        <v>3728</v>
      </c>
      <c r="TWI612" s="17">
        <v>44925</v>
      </c>
      <c r="TWJ612" s="5" t="s">
        <v>3728</v>
      </c>
      <c r="TWK612" s="17">
        <v>44925</v>
      </c>
      <c r="TWL612" s="5" t="s">
        <v>3728</v>
      </c>
      <c r="TWM612" s="17">
        <v>44925</v>
      </c>
      <c r="TWN612" s="5" t="s">
        <v>3728</v>
      </c>
      <c r="TWO612" s="17">
        <v>44925</v>
      </c>
      <c r="TWP612" s="5" t="s">
        <v>3728</v>
      </c>
      <c r="TWQ612" s="17">
        <v>44925</v>
      </c>
      <c r="TWR612" s="5" t="s">
        <v>3728</v>
      </c>
      <c r="TWS612" s="17">
        <v>44925</v>
      </c>
      <c r="TWT612" s="5" t="s">
        <v>3728</v>
      </c>
      <c r="TWU612" s="17">
        <v>44925</v>
      </c>
      <c r="TWV612" s="5" t="s">
        <v>3728</v>
      </c>
      <c r="TWW612" s="17">
        <v>44925</v>
      </c>
      <c r="TWX612" s="5" t="s">
        <v>3728</v>
      </c>
      <c r="TWY612" s="17">
        <v>44925</v>
      </c>
      <c r="TWZ612" s="5" t="s">
        <v>3728</v>
      </c>
      <c r="TXA612" s="17">
        <v>44925</v>
      </c>
      <c r="TXB612" s="5" t="s">
        <v>3728</v>
      </c>
      <c r="TXC612" s="17">
        <v>44925</v>
      </c>
      <c r="TXD612" s="5" t="s">
        <v>3728</v>
      </c>
      <c r="TXE612" s="17">
        <v>44925</v>
      </c>
      <c r="TXF612" s="5" t="s">
        <v>3728</v>
      </c>
      <c r="TXG612" s="17">
        <v>44925</v>
      </c>
      <c r="TXH612" s="5" t="s">
        <v>3728</v>
      </c>
      <c r="TXI612" s="17">
        <v>44925</v>
      </c>
      <c r="TXJ612" s="5" t="s">
        <v>3728</v>
      </c>
      <c r="TXK612" s="17">
        <v>44925</v>
      </c>
      <c r="TXL612" s="5" t="s">
        <v>3728</v>
      </c>
      <c r="TXM612" s="17">
        <v>44925</v>
      </c>
      <c r="TXN612" s="5" t="s">
        <v>3728</v>
      </c>
      <c r="TXO612" s="17">
        <v>44925</v>
      </c>
      <c r="TXP612" s="5" t="s">
        <v>3728</v>
      </c>
      <c r="TXQ612" s="17">
        <v>44925</v>
      </c>
      <c r="TXR612" s="5" t="s">
        <v>3728</v>
      </c>
      <c r="TXS612" s="17">
        <v>44925</v>
      </c>
      <c r="TXT612" s="5" t="s">
        <v>3728</v>
      </c>
      <c r="TXU612" s="17">
        <v>44925</v>
      </c>
      <c r="TXV612" s="5" t="s">
        <v>3728</v>
      </c>
      <c r="TXW612" s="17">
        <v>44925</v>
      </c>
      <c r="TXX612" s="5" t="s">
        <v>3728</v>
      </c>
      <c r="TXY612" s="17">
        <v>44925</v>
      </c>
      <c r="TXZ612" s="5" t="s">
        <v>3728</v>
      </c>
      <c r="TYA612" s="17">
        <v>44925</v>
      </c>
      <c r="TYB612" s="5" t="s">
        <v>3728</v>
      </c>
      <c r="TYC612" s="17">
        <v>44925</v>
      </c>
      <c r="TYD612" s="5" t="s">
        <v>3728</v>
      </c>
      <c r="TYE612" s="17">
        <v>44925</v>
      </c>
      <c r="TYF612" s="5" t="s">
        <v>3728</v>
      </c>
      <c r="TYG612" s="17">
        <v>44925</v>
      </c>
      <c r="TYH612" s="5" t="s">
        <v>3728</v>
      </c>
      <c r="TYI612" s="17">
        <v>44925</v>
      </c>
      <c r="TYJ612" s="5" t="s">
        <v>3728</v>
      </c>
      <c r="TYK612" s="17">
        <v>44925</v>
      </c>
      <c r="TYL612" s="5" t="s">
        <v>3728</v>
      </c>
      <c r="TYM612" s="17">
        <v>44925</v>
      </c>
      <c r="TYN612" s="5" t="s">
        <v>3728</v>
      </c>
      <c r="TYO612" s="17">
        <v>44925</v>
      </c>
      <c r="TYP612" s="5" t="s">
        <v>3728</v>
      </c>
      <c r="TYQ612" s="17">
        <v>44925</v>
      </c>
      <c r="TYR612" s="5" t="s">
        <v>3728</v>
      </c>
      <c r="TYS612" s="17">
        <v>44925</v>
      </c>
      <c r="TYT612" s="5" t="s">
        <v>3728</v>
      </c>
      <c r="TYU612" s="17">
        <v>44925</v>
      </c>
      <c r="TYV612" s="5" t="s">
        <v>3728</v>
      </c>
      <c r="TYW612" s="17">
        <v>44925</v>
      </c>
      <c r="TYX612" s="5" t="s">
        <v>3728</v>
      </c>
      <c r="TYY612" s="17">
        <v>44925</v>
      </c>
      <c r="TYZ612" s="5" t="s">
        <v>3728</v>
      </c>
      <c r="TZA612" s="17">
        <v>44925</v>
      </c>
      <c r="TZB612" s="5" t="s">
        <v>3728</v>
      </c>
      <c r="TZC612" s="17">
        <v>44925</v>
      </c>
      <c r="TZD612" s="5" t="s">
        <v>3728</v>
      </c>
      <c r="TZE612" s="17">
        <v>44925</v>
      </c>
      <c r="TZF612" s="5" t="s">
        <v>3728</v>
      </c>
      <c r="TZG612" s="17">
        <v>44925</v>
      </c>
      <c r="TZH612" s="5" t="s">
        <v>3728</v>
      </c>
      <c r="TZI612" s="17">
        <v>44925</v>
      </c>
      <c r="TZJ612" s="5" t="s">
        <v>3728</v>
      </c>
      <c r="TZK612" s="17">
        <v>44925</v>
      </c>
      <c r="TZL612" s="5" t="s">
        <v>3728</v>
      </c>
      <c r="TZM612" s="17">
        <v>44925</v>
      </c>
      <c r="TZN612" s="5" t="s">
        <v>3728</v>
      </c>
      <c r="TZO612" s="17">
        <v>44925</v>
      </c>
      <c r="TZP612" s="5" t="s">
        <v>3728</v>
      </c>
      <c r="TZQ612" s="17">
        <v>44925</v>
      </c>
      <c r="TZR612" s="5" t="s">
        <v>3728</v>
      </c>
      <c r="TZS612" s="17">
        <v>44925</v>
      </c>
      <c r="TZT612" s="5" t="s">
        <v>3728</v>
      </c>
      <c r="TZU612" s="17">
        <v>44925</v>
      </c>
      <c r="TZV612" s="5" t="s">
        <v>3728</v>
      </c>
      <c r="TZW612" s="17">
        <v>44925</v>
      </c>
      <c r="TZX612" s="5" t="s">
        <v>3728</v>
      </c>
      <c r="TZY612" s="17">
        <v>44925</v>
      </c>
      <c r="TZZ612" s="5" t="s">
        <v>3728</v>
      </c>
      <c r="UAA612" s="17">
        <v>44925</v>
      </c>
      <c r="UAB612" s="5" t="s">
        <v>3728</v>
      </c>
      <c r="UAC612" s="17">
        <v>44925</v>
      </c>
      <c r="UAD612" s="5" t="s">
        <v>3728</v>
      </c>
      <c r="UAE612" s="17">
        <v>44925</v>
      </c>
      <c r="UAF612" s="5" t="s">
        <v>3728</v>
      </c>
      <c r="UAG612" s="17">
        <v>44925</v>
      </c>
      <c r="UAH612" s="5" t="s">
        <v>3728</v>
      </c>
      <c r="UAI612" s="17">
        <v>44925</v>
      </c>
      <c r="UAJ612" s="5" t="s">
        <v>3728</v>
      </c>
      <c r="UAK612" s="17">
        <v>44925</v>
      </c>
      <c r="UAL612" s="5" t="s">
        <v>3728</v>
      </c>
      <c r="UAM612" s="17">
        <v>44925</v>
      </c>
      <c r="UAN612" s="5" t="s">
        <v>3728</v>
      </c>
      <c r="UAO612" s="17">
        <v>44925</v>
      </c>
      <c r="UAP612" s="5" t="s">
        <v>3728</v>
      </c>
      <c r="UAQ612" s="17">
        <v>44925</v>
      </c>
      <c r="UAR612" s="5" t="s">
        <v>3728</v>
      </c>
      <c r="UAS612" s="17">
        <v>44925</v>
      </c>
      <c r="UAT612" s="5" t="s">
        <v>3728</v>
      </c>
      <c r="UAU612" s="17">
        <v>44925</v>
      </c>
      <c r="UAV612" s="5" t="s">
        <v>3728</v>
      </c>
      <c r="UAW612" s="17">
        <v>44925</v>
      </c>
      <c r="UAX612" s="5" t="s">
        <v>3728</v>
      </c>
      <c r="UAY612" s="17">
        <v>44925</v>
      </c>
      <c r="UAZ612" s="5" t="s">
        <v>3728</v>
      </c>
      <c r="UBA612" s="17">
        <v>44925</v>
      </c>
      <c r="UBB612" s="5" t="s">
        <v>3728</v>
      </c>
      <c r="UBC612" s="17">
        <v>44925</v>
      </c>
      <c r="UBD612" s="5" t="s">
        <v>3728</v>
      </c>
      <c r="UBE612" s="17">
        <v>44925</v>
      </c>
      <c r="UBF612" s="5" t="s">
        <v>3728</v>
      </c>
      <c r="UBG612" s="17">
        <v>44925</v>
      </c>
      <c r="UBH612" s="5" t="s">
        <v>3728</v>
      </c>
      <c r="UBI612" s="17">
        <v>44925</v>
      </c>
      <c r="UBJ612" s="5" t="s">
        <v>3728</v>
      </c>
      <c r="UBK612" s="17">
        <v>44925</v>
      </c>
      <c r="UBL612" s="5" t="s">
        <v>3728</v>
      </c>
      <c r="UBM612" s="17">
        <v>44925</v>
      </c>
      <c r="UBN612" s="5" t="s">
        <v>3728</v>
      </c>
      <c r="UBO612" s="17">
        <v>44925</v>
      </c>
      <c r="UBP612" s="5" t="s">
        <v>3728</v>
      </c>
      <c r="UBQ612" s="17">
        <v>44925</v>
      </c>
      <c r="UBR612" s="5" t="s">
        <v>3728</v>
      </c>
      <c r="UBS612" s="17">
        <v>44925</v>
      </c>
      <c r="UBT612" s="5" t="s">
        <v>3728</v>
      </c>
      <c r="UBU612" s="17">
        <v>44925</v>
      </c>
      <c r="UBV612" s="5" t="s">
        <v>3728</v>
      </c>
      <c r="UBW612" s="17">
        <v>44925</v>
      </c>
      <c r="UBX612" s="5" t="s">
        <v>3728</v>
      </c>
      <c r="UBY612" s="17">
        <v>44925</v>
      </c>
      <c r="UBZ612" s="5" t="s">
        <v>3728</v>
      </c>
      <c r="UCA612" s="17">
        <v>44925</v>
      </c>
      <c r="UCB612" s="5" t="s">
        <v>3728</v>
      </c>
      <c r="UCC612" s="17">
        <v>44925</v>
      </c>
      <c r="UCD612" s="5" t="s">
        <v>3728</v>
      </c>
      <c r="UCE612" s="17">
        <v>44925</v>
      </c>
      <c r="UCF612" s="5" t="s">
        <v>3728</v>
      </c>
      <c r="UCG612" s="17">
        <v>44925</v>
      </c>
      <c r="UCH612" s="5" t="s">
        <v>3728</v>
      </c>
      <c r="UCI612" s="17">
        <v>44925</v>
      </c>
      <c r="UCJ612" s="5" t="s">
        <v>3728</v>
      </c>
      <c r="UCK612" s="17">
        <v>44925</v>
      </c>
      <c r="UCL612" s="5" t="s">
        <v>3728</v>
      </c>
      <c r="UCM612" s="17">
        <v>44925</v>
      </c>
      <c r="UCN612" s="5" t="s">
        <v>3728</v>
      </c>
      <c r="UCO612" s="17">
        <v>44925</v>
      </c>
      <c r="UCP612" s="5" t="s">
        <v>3728</v>
      </c>
      <c r="UCQ612" s="17">
        <v>44925</v>
      </c>
      <c r="UCR612" s="5" t="s">
        <v>3728</v>
      </c>
      <c r="UCS612" s="17">
        <v>44925</v>
      </c>
      <c r="UCT612" s="5" t="s">
        <v>3728</v>
      </c>
      <c r="UCU612" s="17">
        <v>44925</v>
      </c>
      <c r="UCV612" s="5" t="s">
        <v>3728</v>
      </c>
      <c r="UCW612" s="17">
        <v>44925</v>
      </c>
      <c r="UCX612" s="5" t="s">
        <v>3728</v>
      </c>
      <c r="UCY612" s="17">
        <v>44925</v>
      </c>
      <c r="UCZ612" s="5" t="s">
        <v>3728</v>
      </c>
      <c r="UDA612" s="17">
        <v>44925</v>
      </c>
      <c r="UDB612" s="5" t="s">
        <v>3728</v>
      </c>
      <c r="UDC612" s="17">
        <v>44925</v>
      </c>
      <c r="UDD612" s="5" t="s">
        <v>3728</v>
      </c>
      <c r="UDE612" s="17">
        <v>44925</v>
      </c>
      <c r="UDF612" s="5" t="s">
        <v>3728</v>
      </c>
      <c r="UDG612" s="17">
        <v>44925</v>
      </c>
      <c r="UDH612" s="5" t="s">
        <v>3728</v>
      </c>
      <c r="UDI612" s="17">
        <v>44925</v>
      </c>
      <c r="UDJ612" s="5" t="s">
        <v>3728</v>
      </c>
      <c r="UDK612" s="17">
        <v>44925</v>
      </c>
      <c r="UDL612" s="5" t="s">
        <v>3728</v>
      </c>
      <c r="UDM612" s="17">
        <v>44925</v>
      </c>
      <c r="UDN612" s="5" t="s">
        <v>3728</v>
      </c>
      <c r="UDO612" s="17">
        <v>44925</v>
      </c>
      <c r="UDP612" s="5" t="s">
        <v>3728</v>
      </c>
      <c r="UDQ612" s="17">
        <v>44925</v>
      </c>
      <c r="UDR612" s="5" t="s">
        <v>3728</v>
      </c>
      <c r="UDS612" s="17">
        <v>44925</v>
      </c>
      <c r="UDT612" s="5" t="s">
        <v>3728</v>
      </c>
      <c r="UDU612" s="17">
        <v>44925</v>
      </c>
      <c r="UDV612" s="5" t="s">
        <v>3728</v>
      </c>
      <c r="UDW612" s="17">
        <v>44925</v>
      </c>
      <c r="UDX612" s="5" t="s">
        <v>3728</v>
      </c>
      <c r="UDY612" s="17">
        <v>44925</v>
      </c>
      <c r="UDZ612" s="5" t="s">
        <v>3728</v>
      </c>
      <c r="UEA612" s="17">
        <v>44925</v>
      </c>
      <c r="UEB612" s="5" t="s">
        <v>3728</v>
      </c>
      <c r="UEC612" s="17">
        <v>44925</v>
      </c>
      <c r="UED612" s="5" t="s">
        <v>3728</v>
      </c>
      <c r="UEE612" s="17">
        <v>44925</v>
      </c>
      <c r="UEF612" s="5" t="s">
        <v>3728</v>
      </c>
      <c r="UEG612" s="17">
        <v>44925</v>
      </c>
      <c r="UEH612" s="5" t="s">
        <v>3728</v>
      </c>
      <c r="UEI612" s="17">
        <v>44925</v>
      </c>
      <c r="UEJ612" s="5" t="s">
        <v>3728</v>
      </c>
      <c r="UEK612" s="17">
        <v>44925</v>
      </c>
      <c r="UEL612" s="5" t="s">
        <v>3728</v>
      </c>
      <c r="UEM612" s="17">
        <v>44925</v>
      </c>
      <c r="UEN612" s="5" t="s">
        <v>3728</v>
      </c>
      <c r="UEO612" s="17">
        <v>44925</v>
      </c>
      <c r="UEP612" s="5" t="s">
        <v>3728</v>
      </c>
      <c r="UEQ612" s="17">
        <v>44925</v>
      </c>
      <c r="UER612" s="5" t="s">
        <v>3728</v>
      </c>
      <c r="UES612" s="17">
        <v>44925</v>
      </c>
      <c r="UET612" s="5" t="s">
        <v>3728</v>
      </c>
      <c r="UEU612" s="17">
        <v>44925</v>
      </c>
      <c r="UEV612" s="5" t="s">
        <v>3728</v>
      </c>
      <c r="UEW612" s="17">
        <v>44925</v>
      </c>
      <c r="UEX612" s="5" t="s">
        <v>3728</v>
      </c>
      <c r="UEY612" s="17">
        <v>44925</v>
      </c>
      <c r="UEZ612" s="5" t="s">
        <v>3728</v>
      </c>
      <c r="UFA612" s="17">
        <v>44925</v>
      </c>
      <c r="UFB612" s="5" t="s">
        <v>3728</v>
      </c>
      <c r="UFC612" s="17">
        <v>44925</v>
      </c>
      <c r="UFD612" s="5" t="s">
        <v>3728</v>
      </c>
      <c r="UFE612" s="17">
        <v>44925</v>
      </c>
      <c r="UFF612" s="5" t="s">
        <v>3728</v>
      </c>
      <c r="UFG612" s="17">
        <v>44925</v>
      </c>
      <c r="UFH612" s="5" t="s">
        <v>3728</v>
      </c>
      <c r="UFI612" s="17">
        <v>44925</v>
      </c>
      <c r="UFJ612" s="5" t="s">
        <v>3728</v>
      </c>
      <c r="UFK612" s="17">
        <v>44925</v>
      </c>
      <c r="UFL612" s="5" t="s">
        <v>3728</v>
      </c>
      <c r="UFM612" s="17">
        <v>44925</v>
      </c>
      <c r="UFN612" s="5" t="s">
        <v>3728</v>
      </c>
      <c r="UFO612" s="17">
        <v>44925</v>
      </c>
      <c r="UFP612" s="5" t="s">
        <v>3728</v>
      </c>
      <c r="UFQ612" s="17">
        <v>44925</v>
      </c>
      <c r="UFR612" s="5" t="s">
        <v>3728</v>
      </c>
      <c r="UFS612" s="17">
        <v>44925</v>
      </c>
      <c r="UFT612" s="5" t="s">
        <v>3728</v>
      </c>
      <c r="UFU612" s="17">
        <v>44925</v>
      </c>
      <c r="UFV612" s="5" t="s">
        <v>3728</v>
      </c>
      <c r="UFW612" s="17">
        <v>44925</v>
      </c>
      <c r="UFX612" s="5" t="s">
        <v>3728</v>
      </c>
      <c r="UFY612" s="17">
        <v>44925</v>
      </c>
      <c r="UFZ612" s="5" t="s">
        <v>3728</v>
      </c>
      <c r="UGA612" s="17">
        <v>44925</v>
      </c>
      <c r="UGB612" s="5" t="s">
        <v>3728</v>
      </c>
      <c r="UGC612" s="17">
        <v>44925</v>
      </c>
      <c r="UGD612" s="5" t="s">
        <v>3728</v>
      </c>
      <c r="UGE612" s="17">
        <v>44925</v>
      </c>
      <c r="UGF612" s="5" t="s">
        <v>3728</v>
      </c>
      <c r="UGG612" s="17">
        <v>44925</v>
      </c>
      <c r="UGH612" s="5" t="s">
        <v>3728</v>
      </c>
      <c r="UGI612" s="17">
        <v>44925</v>
      </c>
      <c r="UGJ612" s="5" t="s">
        <v>3728</v>
      </c>
      <c r="UGK612" s="17">
        <v>44925</v>
      </c>
      <c r="UGL612" s="5" t="s">
        <v>3728</v>
      </c>
      <c r="UGM612" s="17">
        <v>44925</v>
      </c>
      <c r="UGN612" s="5" t="s">
        <v>3728</v>
      </c>
      <c r="UGO612" s="17">
        <v>44925</v>
      </c>
      <c r="UGP612" s="5" t="s">
        <v>3728</v>
      </c>
      <c r="UGQ612" s="17">
        <v>44925</v>
      </c>
      <c r="UGR612" s="5" t="s">
        <v>3728</v>
      </c>
      <c r="UGS612" s="17">
        <v>44925</v>
      </c>
      <c r="UGT612" s="5" t="s">
        <v>3728</v>
      </c>
      <c r="UGU612" s="17">
        <v>44925</v>
      </c>
      <c r="UGV612" s="5" t="s">
        <v>3728</v>
      </c>
      <c r="UGW612" s="17">
        <v>44925</v>
      </c>
      <c r="UGX612" s="5" t="s">
        <v>3728</v>
      </c>
      <c r="UGY612" s="17">
        <v>44925</v>
      </c>
      <c r="UGZ612" s="5" t="s">
        <v>3728</v>
      </c>
      <c r="UHA612" s="17">
        <v>44925</v>
      </c>
      <c r="UHB612" s="5" t="s">
        <v>3728</v>
      </c>
      <c r="UHC612" s="17">
        <v>44925</v>
      </c>
      <c r="UHD612" s="5" t="s">
        <v>3728</v>
      </c>
      <c r="UHE612" s="17">
        <v>44925</v>
      </c>
      <c r="UHF612" s="5" t="s">
        <v>3728</v>
      </c>
      <c r="UHG612" s="17">
        <v>44925</v>
      </c>
      <c r="UHH612" s="5" t="s">
        <v>3728</v>
      </c>
      <c r="UHI612" s="17">
        <v>44925</v>
      </c>
      <c r="UHJ612" s="5" t="s">
        <v>3728</v>
      </c>
      <c r="UHK612" s="17">
        <v>44925</v>
      </c>
      <c r="UHL612" s="5" t="s">
        <v>3728</v>
      </c>
      <c r="UHM612" s="17">
        <v>44925</v>
      </c>
      <c r="UHN612" s="5" t="s">
        <v>3728</v>
      </c>
      <c r="UHO612" s="17">
        <v>44925</v>
      </c>
      <c r="UHP612" s="5" t="s">
        <v>3728</v>
      </c>
      <c r="UHQ612" s="17">
        <v>44925</v>
      </c>
      <c r="UHR612" s="5" t="s">
        <v>3728</v>
      </c>
      <c r="UHS612" s="17">
        <v>44925</v>
      </c>
      <c r="UHT612" s="5" t="s">
        <v>3728</v>
      </c>
      <c r="UHU612" s="17">
        <v>44925</v>
      </c>
      <c r="UHV612" s="5" t="s">
        <v>3728</v>
      </c>
      <c r="UHW612" s="17">
        <v>44925</v>
      </c>
      <c r="UHX612" s="5" t="s">
        <v>3728</v>
      </c>
      <c r="UHY612" s="17">
        <v>44925</v>
      </c>
      <c r="UHZ612" s="5" t="s">
        <v>3728</v>
      </c>
      <c r="UIA612" s="17">
        <v>44925</v>
      </c>
      <c r="UIB612" s="5" t="s">
        <v>3728</v>
      </c>
      <c r="UIC612" s="17">
        <v>44925</v>
      </c>
      <c r="UID612" s="5" t="s">
        <v>3728</v>
      </c>
      <c r="UIE612" s="17">
        <v>44925</v>
      </c>
      <c r="UIF612" s="5" t="s">
        <v>3728</v>
      </c>
      <c r="UIG612" s="17">
        <v>44925</v>
      </c>
      <c r="UIH612" s="5" t="s">
        <v>3728</v>
      </c>
      <c r="UII612" s="17">
        <v>44925</v>
      </c>
      <c r="UIJ612" s="5" t="s">
        <v>3728</v>
      </c>
      <c r="UIK612" s="17">
        <v>44925</v>
      </c>
      <c r="UIL612" s="5" t="s">
        <v>3728</v>
      </c>
      <c r="UIM612" s="17">
        <v>44925</v>
      </c>
      <c r="UIN612" s="5" t="s">
        <v>3728</v>
      </c>
      <c r="UIO612" s="17">
        <v>44925</v>
      </c>
      <c r="UIP612" s="5" t="s">
        <v>3728</v>
      </c>
      <c r="UIQ612" s="17">
        <v>44925</v>
      </c>
      <c r="UIR612" s="5" t="s">
        <v>3728</v>
      </c>
      <c r="UIS612" s="17">
        <v>44925</v>
      </c>
      <c r="UIT612" s="5" t="s">
        <v>3728</v>
      </c>
      <c r="UIU612" s="17">
        <v>44925</v>
      </c>
      <c r="UIV612" s="5" t="s">
        <v>3728</v>
      </c>
      <c r="UIW612" s="17">
        <v>44925</v>
      </c>
      <c r="UIX612" s="5" t="s">
        <v>3728</v>
      </c>
      <c r="UIY612" s="17">
        <v>44925</v>
      </c>
      <c r="UIZ612" s="5" t="s">
        <v>3728</v>
      </c>
      <c r="UJA612" s="17">
        <v>44925</v>
      </c>
      <c r="UJB612" s="5" t="s">
        <v>3728</v>
      </c>
      <c r="UJC612" s="17">
        <v>44925</v>
      </c>
      <c r="UJD612" s="5" t="s">
        <v>3728</v>
      </c>
      <c r="UJE612" s="17">
        <v>44925</v>
      </c>
      <c r="UJF612" s="5" t="s">
        <v>3728</v>
      </c>
      <c r="UJG612" s="17">
        <v>44925</v>
      </c>
      <c r="UJH612" s="5" t="s">
        <v>3728</v>
      </c>
      <c r="UJI612" s="17">
        <v>44925</v>
      </c>
      <c r="UJJ612" s="5" t="s">
        <v>3728</v>
      </c>
      <c r="UJK612" s="17">
        <v>44925</v>
      </c>
      <c r="UJL612" s="5" t="s">
        <v>3728</v>
      </c>
      <c r="UJM612" s="17">
        <v>44925</v>
      </c>
      <c r="UJN612" s="5" t="s">
        <v>3728</v>
      </c>
      <c r="UJO612" s="17">
        <v>44925</v>
      </c>
      <c r="UJP612" s="5" t="s">
        <v>3728</v>
      </c>
      <c r="UJQ612" s="17">
        <v>44925</v>
      </c>
      <c r="UJR612" s="5" t="s">
        <v>3728</v>
      </c>
      <c r="UJS612" s="17">
        <v>44925</v>
      </c>
      <c r="UJT612" s="5" t="s">
        <v>3728</v>
      </c>
      <c r="UJU612" s="17">
        <v>44925</v>
      </c>
      <c r="UJV612" s="5" t="s">
        <v>3728</v>
      </c>
      <c r="UJW612" s="17">
        <v>44925</v>
      </c>
      <c r="UJX612" s="5" t="s">
        <v>3728</v>
      </c>
      <c r="UJY612" s="17">
        <v>44925</v>
      </c>
      <c r="UJZ612" s="5" t="s">
        <v>3728</v>
      </c>
      <c r="UKA612" s="17">
        <v>44925</v>
      </c>
      <c r="UKB612" s="5" t="s">
        <v>3728</v>
      </c>
      <c r="UKC612" s="17">
        <v>44925</v>
      </c>
      <c r="UKD612" s="5" t="s">
        <v>3728</v>
      </c>
      <c r="UKE612" s="17">
        <v>44925</v>
      </c>
      <c r="UKF612" s="5" t="s">
        <v>3728</v>
      </c>
      <c r="UKG612" s="17">
        <v>44925</v>
      </c>
      <c r="UKH612" s="5" t="s">
        <v>3728</v>
      </c>
      <c r="UKI612" s="17">
        <v>44925</v>
      </c>
      <c r="UKJ612" s="5" t="s">
        <v>3728</v>
      </c>
      <c r="UKK612" s="17">
        <v>44925</v>
      </c>
      <c r="UKL612" s="5" t="s">
        <v>3728</v>
      </c>
      <c r="UKM612" s="17">
        <v>44925</v>
      </c>
      <c r="UKN612" s="5" t="s">
        <v>3728</v>
      </c>
      <c r="UKO612" s="17">
        <v>44925</v>
      </c>
      <c r="UKP612" s="5" t="s">
        <v>3728</v>
      </c>
      <c r="UKQ612" s="17">
        <v>44925</v>
      </c>
      <c r="UKR612" s="5" t="s">
        <v>3728</v>
      </c>
      <c r="UKS612" s="17">
        <v>44925</v>
      </c>
      <c r="UKT612" s="5" t="s">
        <v>3728</v>
      </c>
      <c r="UKU612" s="17">
        <v>44925</v>
      </c>
      <c r="UKV612" s="5" t="s">
        <v>3728</v>
      </c>
      <c r="UKW612" s="17">
        <v>44925</v>
      </c>
      <c r="UKX612" s="5" t="s">
        <v>3728</v>
      </c>
      <c r="UKY612" s="17">
        <v>44925</v>
      </c>
      <c r="UKZ612" s="5" t="s">
        <v>3728</v>
      </c>
      <c r="ULA612" s="17">
        <v>44925</v>
      </c>
      <c r="ULB612" s="5" t="s">
        <v>3728</v>
      </c>
      <c r="ULC612" s="17">
        <v>44925</v>
      </c>
      <c r="ULD612" s="5" t="s">
        <v>3728</v>
      </c>
      <c r="ULE612" s="17">
        <v>44925</v>
      </c>
      <c r="ULF612" s="5" t="s">
        <v>3728</v>
      </c>
      <c r="ULG612" s="17">
        <v>44925</v>
      </c>
      <c r="ULH612" s="5" t="s">
        <v>3728</v>
      </c>
      <c r="ULI612" s="17">
        <v>44925</v>
      </c>
      <c r="ULJ612" s="5" t="s">
        <v>3728</v>
      </c>
      <c r="ULK612" s="17">
        <v>44925</v>
      </c>
      <c r="ULL612" s="5" t="s">
        <v>3728</v>
      </c>
      <c r="ULM612" s="17">
        <v>44925</v>
      </c>
      <c r="ULN612" s="5" t="s">
        <v>3728</v>
      </c>
      <c r="ULO612" s="17">
        <v>44925</v>
      </c>
      <c r="ULP612" s="5" t="s">
        <v>3728</v>
      </c>
      <c r="ULQ612" s="17">
        <v>44925</v>
      </c>
      <c r="ULR612" s="5" t="s">
        <v>3728</v>
      </c>
      <c r="ULS612" s="17">
        <v>44925</v>
      </c>
      <c r="ULT612" s="5" t="s">
        <v>3728</v>
      </c>
      <c r="ULU612" s="17">
        <v>44925</v>
      </c>
      <c r="ULV612" s="5" t="s">
        <v>3728</v>
      </c>
      <c r="ULW612" s="17">
        <v>44925</v>
      </c>
      <c r="ULX612" s="5" t="s">
        <v>3728</v>
      </c>
      <c r="ULY612" s="17">
        <v>44925</v>
      </c>
      <c r="ULZ612" s="5" t="s">
        <v>3728</v>
      </c>
      <c r="UMA612" s="17">
        <v>44925</v>
      </c>
      <c r="UMB612" s="5" t="s">
        <v>3728</v>
      </c>
      <c r="UMC612" s="17">
        <v>44925</v>
      </c>
      <c r="UMD612" s="5" t="s">
        <v>3728</v>
      </c>
      <c r="UME612" s="17">
        <v>44925</v>
      </c>
      <c r="UMF612" s="5" t="s">
        <v>3728</v>
      </c>
      <c r="UMG612" s="17">
        <v>44925</v>
      </c>
      <c r="UMH612" s="5" t="s">
        <v>3728</v>
      </c>
      <c r="UMI612" s="17">
        <v>44925</v>
      </c>
      <c r="UMJ612" s="5" t="s">
        <v>3728</v>
      </c>
      <c r="UMK612" s="17">
        <v>44925</v>
      </c>
      <c r="UML612" s="5" t="s">
        <v>3728</v>
      </c>
      <c r="UMM612" s="17">
        <v>44925</v>
      </c>
      <c r="UMN612" s="5" t="s">
        <v>3728</v>
      </c>
      <c r="UMO612" s="17">
        <v>44925</v>
      </c>
      <c r="UMP612" s="5" t="s">
        <v>3728</v>
      </c>
      <c r="UMQ612" s="17">
        <v>44925</v>
      </c>
      <c r="UMR612" s="5" t="s">
        <v>3728</v>
      </c>
      <c r="UMS612" s="17">
        <v>44925</v>
      </c>
      <c r="UMT612" s="5" t="s">
        <v>3728</v>
      </c>
      <c r="UMU612" s="17">
        <v>44925</v>
      </c>
      <c r="UMV612" s="5" t="s">
        <v>3728</v>
      </c>
      <c r="UMW612" s="17">
        <v>44925</v>
      </c>
      <c r="UMX612" s="5" t="s">
        <v>3728</v>
      </c>
      <c r="UMY612" s="17">
        <v>44925</v>
      </c>
      <c r="UMZ612" s="5" t="s">
        <v>3728</v>
      </c>
      <c r="UNA612" s="17">
        <v>44925</v>
      </c>
      <c r="UNB612" s="5" t="s">
        <v>3728</v>
      </c>
      <c r="UNC612" s="17">
        <v>44925</v>
      </c>
      <c r="UND612" s="5" t="s">
        <v>3728</v>
      </c>
      <c r="UNE612" s="17">
        <v>44925</v>
      </c>
      <c r="UNF612" s="5" t="s">
        <v>3728</v>
      </c>
      <c r="UNG612" s="17">
        <v>44925</v>
      </c>
      <c r="UNH612" s="5" t="s">
        <v>3728</v>
      </c>
      <c r="UNI612" s="17">
        <v>44925</v>
      </c>
      <c r="UNJ612" s="5" t="s">
        <v>3728</v>
      </c>
      <c r="UNK612" s="17">
        <v>44925</v>
      </c>
      <c r="UNL612" s="5" t="s">
        <v>3728</v>
      </c>
      <c r="UNM612" s="17">
        <v>44925</v>
      </c>
      <c r="UNN612" s="5" t="s">
        <v>3728</v>
      </c>
      <c r="UNO612" s="17">
        <v>44925</v>
      </c>
      <c r="UNP612" s="5" t="s">
        <v>3728</v>
      </c>
      <c r="UNQ612" s="17">
        <v>44925</v>
      </c>
      <c r="UNR612" s="5" t="s">
        <v>3728</v>
      </c>
      <c r="UNS612" s="17">
        <v>44925</v>
      </c>
      <c r="UNT612" s="5" t="s">
        <v>3728</v>
      </c>
      <c r="UNU612" s="17">
        <v>44925</v>
      </c>
      <c r="UNV612" s="5" t="s">
        <v>3728</v>
      </c>
      <c r="UNW612" s="17">
        <v>44925</v>
      </c>
      <c r="UNX612" s="5" t="s">
        <v>3728</v>
      </c>
      <c r="UNY612" s="17">
        <v>44925</v>
      </c>
      <c r="UNZ612" s="5" t="s">
        <v>3728</v>
      </c>
      <c r="UOA612" s="17">
        <v>44925</v>
      </c>
      <c r="UOB612" s="5" t="s">
        <v>3728</v>
      </c>
      <c r="UOC612" s="17">
        <v>44925</v>
      </c>
      <c r="UOD612" s="5" t="s">
        <v>3728</v>
      </c>
      <c r="UOE612" s="17">
        <v>44925</v>
      </c>
      <c r="UOF612" s="5" t="s">
        <v>3728</v>
      </c>
      <c r="UOG612" s="17">
        <v>44925</v>
      </c>
      <c r="UOH612" s="5" t="s">
        <v>3728</v>
      </c>
      <c r="UOI612" s="17">
        <v>44925</v>
      </c>
      <c r="UOJ612" s="5" t="s">
        <v>3728</v>
      </c>
      <c r="UOK612" s="17">
        <v>44925</v>
      </c>
      <c r="UOL612" s="5" t="s">
        <v>3728</v>
      </c>
      <c r="UOM612" s="17">
        <v>44925</v>
      </c>
      <c r="UON612" s="5" t="s">
        <v>3728</v>
      </c>
      <c r="UOO612" s="17">
        <v>44925</v>
      </c>
      <c r="UOP612" s="5" t="s">
        <v>3728</v>
      </c>
      <c r="UOQ612" s="17">
        <v>44925</v>
      </c>
      <c r="UOR612" s="5" t="s">
        <v>3728</v>
      </c>
      <c r="UOS612" s="17">
        <v>44925</v>
      </c>
      <c r="UOT612" s="5" t="s">
        <v>3728</v>
      </c>
      <c r="UOU612" s="17">
        <v>44925</v>
      </c>
      <c r="UOV612" s="5" t="s">
        <v>3728</v>
      </c>
      <c r="UOW612" s="17">
        <v>44925</v>
      </c>
      <c r="UOX612" s="5" t="s">
        <v>3728</v>
      </c>
      <c r="UOY612" s="17">
        <v>44925</v>
      </c>
      <c r="UOZ612" s="5" t="s">
        <v>3728</v>
      </c>
      <c r="UPA612" s="17">
        <v>44925</v>
      </c>
      <c r="UPB612" s="5" t="s">
        <v>3728</v>
      </c>
      <c r="UPC612" s="17">
        <v>44925</v>
      </c>
      <c r="UPD612" s="5" t="s">
        <v>3728</v>
      </c>
      <c r="UPE612" s="17">
        <v>44925</v>
      </c>
      <c r="UPF612" s="5" t="s">
        <v>3728</v>
      </c>
      <c r="UPG612" s="17">
        <v>44925</v>
      </c>
      <c r="UPH612" s="5" t="s">
        <v>3728</v>
      </c>
      <c r="UPI612" s="17">
        <v>44925</v>
      </c>
      <c r="UPJ612" s="5" t="s">
        <v>3728</v>
      </c>
      <c r="UPK612" s="17">
        <v>44925</v>
      </c>
      <c r="UPL612" s="5" t="s">
        <v>3728</v>
      </c>
      <c r="UPM612" s="17">
        <v>44925</v>
      </c>
      <c r="UPN612" s="5" t="s">
        <v>3728</v>
      </c>
      <c r="UPO612" s="17">
        <v>44925</v>
      </c>
      <c r="UPP612" s="5" t="s">
        <v>3728</v>
      </c>
      <c r="UPQ612" s="17">
        <v>44925</v>
      </c>
      <c r="UPR612" s="5" t="s">
        <v>3728</v>
      </c>
      <c r="UPS612" s="17">
        <v>44925</v>
      </c>
      <c r="UPT612" s="5" t="s">
        <v>3728</v>
      </c>
      <c r="UPU612" s="17">
        <v>44925</v>
      </c>
      <c r="UPV612" s="5" t="s">
        <v>3728</v>
      </c>
      <c r="UPW612" s="17">
        <v>44925</v>
      </c>
      <c r="UPX612" s="5" t="s">
        <v>3728</v>
      </c>
      <c r="UPY612" s="17">
        <v>44925</v>
      </c>
      <c r="UPZ612" s="5" t="s">
        <v>3728</v>
      </c>
      <c r="UQA612" s="17">
        <v>44925</v>
      </c>
      <c r="UQB612" s="5" t="s">
        <v>3728</v>
      </c>
      <c r="UQC612" s="17">
        <v>44925</v>
      </c>
      <c r="UQD612" s="5" t="s">
        <v>3728</v>
      </c>
      <c r="UQE612" s="17">
        <v>44925</v>
      </c>
      <c r="UQF612" s="5" t="s">
        <v>3728</v>
      </c>
      <c r="UQG612" s="17">
        <v>44925</v>
      </c>
      <c r="UQH612" s="5" t="s">
        <v>3728</v>
      </c>
      <c r="UQI612" s="17">
        <v>44925</v>
      </c>
      <c r="UQJ612" s="5" t="s">
        <v>3728</v>
      </c>
      <c r="UQK612" s="17">
        <v>44925</v>
      </c>
      <c r="UQL612" s="5" t="s">
        <v>3728</v>
      </c>
      <c r="UQM612" s="17">
        <v>44925</v>
      </c>
      <c r="UQN612" s="5" t="s">
        <v>3728</v>
      </c>
      <c r="UQO612" s="17">
        <v>44925</v>
      </c>
      <c r="UQP612" s="5" t="s">
        <v>3728</v>
      </c>
      <c r="UQQ612" s="17">
        <v>44925</v>
      </c>
      <c r="UQR612" s="5" t="s">
        <v>3728</v>
      </c>
      <c r="UQS612" s="17">
        <v>44925</v>
      </c>
      <c r="UQT612" s="5" t="s">
        <v>3728</v>
      </c>
      <c r="UQU612" s="17">
        <v>44925</v>
      </c>
      <c r="UQV612" s="5" t="s">
        <v>3728</v>
      </c>
      <c r="UQW612" s="17">
        <v>44925</v>
      </c>
      <c r="UQX612" s="5" t="s">
        <v>3728</v>
      </c>
      <c r="UQY612" s="17">
        <v>44925</v>
      </c>
      <c r="UQZ612" s="5" t="s">
        <v>3728</v>
      </c>
      <c r="URA612" s="17">
        <v>44925</v>
      </c>
      <c r="URB612" s="5" t="s">
        <v>3728</v>
      </c>
      <c r="URC612" s="17">
        <v>44925</v>
      </c>
      <c r="URD612" s="5" t="s">
        <v>3728</v>
      </c>
      <c r="URE612" s="17">
        <v>44925</v>
      </c>
      <c r="URF612" s="5" t="s">
        <v>3728</v>
      </c>
      <c r="URG612" s="17">
        <v>44925</v>
      </c>
      <c r="URH612" s="5" t="s">
        <v>3728</v>
      </c>
      <c r="URI612" s="17">
        <v>44925</v>
      </c>
      <c r="URJ612" s="5" t="s">
        <v>3728</v>
      </c>
      <c r="URK612" s="17">
        <v>44925</v>
      </c>
      <c r="URL612" s="5" t="s">
        <v>3728</v>
      </c>
      <c r="URM612" s="17">
        <v>44925</v>
      </c>
      <c r="URN612" s="5" t="s">
        <v>3728</v>
      </c>
      <c r="URO612" s="17">
        <v>44925</v>
      </c>
      <c r="URP612" s="5" t="s">
        <v>3728</v>
      </c>
      <c r="URQ612" s="17">
        <v>44925</v>
      </c>
      <c r="URR612" s="5" t="s">
        <v>3728</v>
      </c>
      <c r="URS612" s="17">
        <v>44925</v>
      </c>
      <c r="URT612" s="5" t="s">
        <v>3728</v>
      </c>
      <c r="URU612" s="17">
        <v>44925</v>
      </c>
      <c r="URV612" s="5" t="s">
        <v>3728</v>
      </c>
      <c r="URW612" s="17">
        <v>44925</v>
      </c>
      <c r="URX612" s="5" t="s">
        <v>3728</v>
      </c>
      <c r="URY612" s="17">
        <v>44925</v>
      </c>
      <c r="URZ612" s="5" t="s">
        <v>3728</v>
      </c>
      <c r="USA612" s="17">
        <v>44925</v>
      </c>
      <c r="USB612" s="5" t="s">
        <v>3728</v>
      </c>
      <c r="USC612" s="17">
        <v>44925</v>
      </c>
      <c r="USD612" s="5" t="s">
        <v>3728</v>
      </c>
      <c r="USE612" s="17">
        <v>44925</v>
      </c>
      <c r="USF612" s="5" t="s">
        <v>3728</v>
      </c>
      <c r="USG612" s="17">
        <v>44925</v>
      </c>
      <c r="USH612" s="5" t="s">
        <v>3728</v>
      </c>
      <c r="USI612" s="17">
        <v>44925</v>
      </c>
      <c r="USJ612" s="5" t="s">
        <v>3728</v>
      </c>
      <c r="USK612" s="17">
        <v>44925</v>
      </c>
      <c r="USL612" s="5" t="s">
        <v>3728</v>
      </c>
      <c r="USM612" s="17">
        <v>44925</v>
      </c>
      <c r="USN612" s="5" t="s">
        <v>3728</v>
      </c>
      <c r="USO612" s="17">
        <v>44925</v>
      </c>
      <c r="USP612" s="5" t="s">
        <v>3728</v>
      </c>
      <c r="USQ612" s="17">
        <v>44925</v>
      </c>
      <c r="USR612" s="5" t="s">
        <v>3728</v>
      </c>
      <c r="USS612" s="17">
        <v>44925</v>
      </c>
      <c r="UST612" s="5" t="s">
        <v>3728</v>
      </c>
      <c r="USU612" s="17">
        <v>44925</v>
      </c>
      <c r="USV612" s="5" t="s">
        <v>3728</v>
      </c>
      <c r="USW612" s="17">
        <v>44925</v>
      </c>
      <c r="USX612" s="5" t="s">
        <v>3728</v>
      </c>
      <c r="USY612" s="17">
        <v>44925</v>
      </c>
      <c r="USZ612" s="5" t="s">
        <v>3728</v>
      </c>
      <c r="UTA612" s="17">
        <v>44925</v>
      </c>
      <c r="UTB612" s="5" t="s">
        <v>3728</v>
      </c>
      <c r="UTC612" s="17">
        <v>44925</v>
      </c>
      <c r="UTD612" s="5" t="s">
        <v>3728</v>
      </c>
      <c r="UTE612" s="17">
        <v>44925</v>
      </c>
      <c r="UTF612" s="5" t="s">
        <v>3728</v>
      </c>
      <c r="UTG612" s="17">
        <v>44925</v>
      </c>
      <c r="UTH612" s="5" t="s">
        <v>3728</v>
      </c>
      <c r="UTI612" s="17">
        <v>44925</v>
      </c>
      <c r="UTJ612" s="5" t="s">
        <v>3728</v>
      </c>
      <c r="UTK612" s="17">
        <v>44925</v>
      </c>
      <c r="UTL612" s="5" t="s">
        <v>3728</v>
      </c>
      <c r="UTM612" s="17">
        <v>44925</v>
      </c>
      <c r="UTN612" s="5" t="s">
        <v>3728</v>
      </c>
      <c r="UTO612" s="17">
        <v>44925</v>
      </c>
      <c r="UTP612" s="5" t="s">
        <v>3728</v>
      </c>
      <c r="UTQ612" s="17">
        <v>44925</v>
      </c>
      <c r="UTR612" s="5" t="s">
        <v>3728</v>
      </c>
      <c r="UTS612" s="17">
        <v>44925</v>
      </c>
      <c r="UTT612" s="5" t="s">
        <v>3728</v>
      </c>
      <c r="UTU612" s="17">
        <v>44925</v>
      </c>
      <c r="UTV612" s="5" t="s">
        <v>3728</v>
      </c>
      <c r="UTW612" s="17">
        <v>44925</v>
      </c>
      <c r="UTX612" s="5" t="s">
        <v>3728</v>
      </c>
      <c r="UTY612" s="17">
        <v>44925</v>
      </c>
      <c r="UTZ612" s="5" t="s">
        <v>3728</v>
      </c>
      <c r="UUA612" s="17">
        <v>44925</v>
      </c>
      <c r="UUB612" s="5" t="s">
        <v>3728</v>
      </c>
      <c r="UUC612" s="17">
        <v>44925</v>
      </c>
      <c r="UUD612" s="5" t="s">
        <v>3728</v>
      </c>
      <c r="UUE612" s="17">
        <v>44925</v>
      </c>
      <c r="UUF612" s="5" t="s">
        <v>3728</v>
      </c>
      <c r="UUG612" s="17">
        <v>44925</v>
      </c>
      <c r="UUH612" s="5" t="s">
        <v>3728</v>
      </c>
      <c r="UUI612" s="17">
        <v>44925</v>
      </c>
      <c r="UUJ612" s="5" t="s">
        <v>3728</v>
      </c>
      <c r="UUK612" s="17">
        <v>44925</v>
      </c>
      <c r="UUL612" s="5" t="s">
        <v>3728</v>
      </c>
      <c r="UUM612" s="17">
        <v>44925</v>
      </c>
      <c r="UUN612" s="5" t="s">
        <v>3728</v>
      </c>
      <c r="UUO612" s="17">
        <v>44925</v>
      </c>
      <c r="UUP612" s="5" t="s">
        <v>3728</v>
      </c>
      <c r="UUQ612" s="17">
        <v>44925</v>
      </c>
      <c r="UUR612" s="5" t="s">
        <v>3728</v>
      </c>
      <c r="UUS612" s="17">
        <v>44925</v>
      </c>
      <c r="UUT612" s="5" t="s">
        <v>3728</v>
      </c>
      <c r="UUU612" s="17">
        <v>44925</v>
      </c>
      <c r="UUV612" s="5" t="s">
        <v>3728</v>
      </c>
      <c r="UUW612" s="17">
        <v>44925</v>
      </c>
      <c r="UUX612" s="5" t="s">
        <v>3728</v>
      </c>
      <c r="UUY612" s="17">
        <v>44925</v>
      </c>
      <c r="UUZ612" s="5" t="s">
        <v>3728</v>
      </c>
      <c r="UVA612" s="17">
        <v>44925</v>
      </c>
      <c r="UVB612" s="5" t="s">
        <v>3728</v>
      </c>
      <c r="UVC612" s="17">
        <v>44925</v>
      </c>
      <c r="UVD612" s="5" t="s">
        <v>3728</v>
      </c>
      <c r="UVE612" s="17">
        <v>44925</v>
      </c>
      <c r="UVF612" s="5" t="s">
        <v>3728</v>
      </c>
      <c r="UVG612" s="17">
        <v>44925</v>
      </c>
      <c r="UVH612" s="5" t="s">
        <v>3728</v>
      </c>
      <c r="UVI612" s="17">
        <v>44925</v>
      </c>
      <c r="UVJ612" s="5" t="s">
        <v>3728</v>
      </c>
      <c r="UVK612" s="17">
        <v>44925</v>
      </c>
      <c r="UVL612" s="5" t="s">
        <v>3728</v>
      </c>
      <c r="UVM612" s="17">
        <v>44925</v>
      </c>
      <c r="UVN612" s="5" t="s">
        <v>3728</v>
      </c>
      <c r="UVO612" s="17">
        <v>44925</v>
      </c>
      <c r="UVP612" s="5" t="s">
        <v>3728</v>
      </c>
      <c r="UVQ612" s="17">
        <v>44925</v>
      </c>
      <c r="UVR612" s="5" t="s">
        <v>3728</v>
      </c>
      <c r="UVS612" s="17">
        <v>44925</v>
      </c>
      <c r="UVT612" s="5" t="s">
        <v>3728</v>
      </c>
      <c r="UVU612" s="17">
        <v>44925</v>
      </c>
      <c r="UVV612" s="5" t="s">
        <v>3728</v>
      </c>
      <c r="UVW612" s="17">
        <v>44925</v>
      </c>
      <c r="UVX612" s="5" t="s">
        <v>3728</v>
      </c>
      <c r="UVY612" s="17">
        <v>44925</v>
      </c>
      <c r="UVZ612" s="5" t="s">
        <v>3728</v>
      </c>
      <c r="UWA612" s="17">
        <v>44925</v>
      </c>
      <c r="UWB612" s="5" t="s">
        <v>3728</v>
      </c>
      <c r="UWC612" s="17">
        <v>44925</v>
      </c>
      <c r="UWD612" s="5" t="s">
        <v>3728</v>
      </c>
      <c r="UWE612" s="17">
        <v>44925</v>
      </c>
      <c r="UWF612" s="5" t="s">
        <v>3728</v>
      </c>
      <c r="UWG612" s="17">
        <v>44925</v>
      </c>
      <c r="UWH612" s="5" t="s">
        <v>3728</v>
      </c>
      <c r="UWI612" s="17">
        <v>44925</v>
      </c>
      <c r="UWJ612" s="5" t="s">
        <v>3728</v>
      </c>
      <c r="UWK612" s="17">
        <v>44925</v>
      </c>
      <c r="UWL612" s="5" t="s">
        <v>3728</v>
      </c>
      <c r="UWM612" s="17">
        <v>44925</v>
      </c>
      <c r="UWN612" s="5" t="s">
        <v>3728</v>
      </c>
      <c r="UWO612" s="17">
        <v>44925</v>
      </c>
      <c r="UWP612" s="5" t="s">
        <v>3728</v>
      </c>
      <c r="UWQ612" s="17">
        <v>44925</v>
      </c>
      <c r="UWR612" s="5" t="s">
        <v>3728</v>
      </c>
      <c r="UWS612" s="17">
        <v>44925</v>
      </c>
      <c r="UWT612" s="5" t="s">
        <v>3728</v>
      </c>
      <c r="UWU612" s="17">
        <v>44925</v>
      </c>
      <c r="UWV612" s="5" t="s">
        <v>3728</v>
      </c>
      <c r="UWW612" s="17">
        <v>44925</v>
      </c>
      <c r="UWX612" s="5" t="s">
        <v>3728</v>
      </c>
      <c r="UWY612" s="17">
        <v>44925</v>
      </c>
      <c r="UWZ612" s="5" t="s">
        <v>3728</v>
      </c>
      <c r="UXA612" s="17">
        <v>44925</v>
      </c>
      <c r="UXB612" s="5" t="s">
        <v>3728</v>
      </c>
      <c r="UXC612" s="17">
        <v>44925</v>
      </c>
      <c r="UXD612" s="5" t="s">
        <v>3728</v>
      </c>
      <c r="UXE612" s="17">
        <v>44925</v>
      </c>
      <c r="UXF612" s="5" t="s">
        <v>3728</v>
      </c>
      <c r="UXG612" s="17">
        <v>44925</v>
      </c>
      <c r="UXH612" s="5" t="s">
        <v>3728</v>
      </c>
      <c r="UXI612" s="17">
        <v>44925</v>
      </c>
      <c r="UXJ612" s="5" t="s">
        <v>3728</v>
      </c>
      <c r="UXK612" s="17">
        <v>44925</v>
      </c>
      <c r="UXL612" s="5" t="s">
        <v>3728</v>
      </c>
      <c r="UXM612" s="17">
        <v>44925</v>
      </c>
      <c r="UXN612" s="5" t="s">
        <v>3728</v>
      </c>
      <c r="UXO612" s="17">
        <v>44925</v>
      </c>
      <c r="UXP612" s="5" t="s">
        <v>3728</v>
      </c>
      <c r="UXQ612" s="17">
        <v>44925</v>
      </c>
      <c r="UXR612" s="5" t="s">
        <v>3728</v>
      </c>
      <c r="UXS612" s="17">
        <v>44925</v>
      </c>
      <c r="UXT612" s="5" t="s">
        <v>3728</v>
      </c>
      <c r="UXU612" s="17">
        <v>44925</v>
      </c>
      <c r="UXV612" s="5" t="s">
        <v>3728</v>
      </c>
      <c r="UXW612" s="17">
        <v>44925</v>
      </c>
      <c r="UXX612" s="5" t="s">
        <v>3728</v>
      </c>
      <c r="UXY612" s="17">
        <v>44925</v>
      </c>
      <c r="UXZ612" s="5" t="s">
        <v>3728</v>
      </c>
      <c r="UYA612" s="17">
        <v>44925</v>
      </c>
      <c r="UYB612" s="5" t="s">
        <v>3728</v>
      </c>
      <c r="UYC612" s="17">
        <v>44925</v>
      </c>
      <c r="UYD612" s="5" t="s">
        <v>3728</v>
      </c>
      <c r="UYE612" s="17">
        <v>44925</v>
      </c>
      <c r="UYF612" s="5" t="s">
        <v>3728</v>
      </c>
      <c r="UYG612" s="17">
        <v>44925</v>
      </c>
      <c r="UYH612" s="5" t="s">
        <v>3728</v>
      </c>
      <c r="UYI612" s="17">
        <v>44925</v>
      </c>
      <c r="UYJ612" s="5" t="s">
        <v>3728</v>
      </c>
      <c r="UYK612" s="17">
        <v>44925</v>
      </c>
      <c r="UYL612" s="5" t="s">
        <v>3728</v>
      </c>
      <c r="UYM612" s="17">
        <v>44925</v>
      </c>
      <c r="UYN612" s="5" t="s">
        <v>3728</v>
      </c>
      <c r="UYO612" s="17">
        <v>44925</v>
      </c>
      <c r="UYP612" s="5" t="s">
        <v>3728</v>
      </c>
      <c r="UYQ612" s="17">
        <v>44925</v>
      </c>
      <c r="UYR612" s="5" t="s">
        <v>3728</v>
      </c>
      <c r="UYS612" s="17">
        <v>44925</v>
      </c>
      <c r="UYT612" s="5" t="s">
        <v>3728</v>
      </c>
      <c r="UYU612" s="17">
        <v>44925</v>
      </c>
      <c r="UYV612" s="5" t="s">
        <v>3728</v>
      </c>
      <c r="UYW612" s="17">
        <v>44925</v>
      </c>
      <c r="UYX612" s="5" t="s">
        <v>3728</v>
      </c>
      <c r="UYY612" s="17">
        <v>44925</v>
      </c>
      <c r="UYZ612" s="5" t="s">
        <v>3728</v>
      </c>
      <c r="UZA612" s="17">
        <v>44925</v>
      </c>
      <c r="UZB612" s="5" t="s">
        <v>3728</v>
      </c>
      <c r="UZC612" s="17">
        <v>44925</v>
      </c>
      <c r="UZD612" s="5" t="s">
        <v>3728</v>
      </c>
      <c r="UZE612" s="17">
        <v>44925</v>
      </c>
      <c r="UZF612" s="5" t="s">
        <v>3728</v>
      </c>
      <c r="UZG612" s="17">
        <v>44925</v>
      </c>
      <c r="UZH612" s="5" t="s">
        <v>3728</v>
      </c>
      <c r="UZI612" s="17">
        <v>44925</v>
      </c>
      <c r="UZJ612" s="5" t="s">
        <v>3728</v>
      </c>
      <c r="UZK612" s="17">
        <v>44925</v>
      </c>
      <c r="UZL612" s="5" t="s">
        <v>3728</v>
      </c>
      <c r="UZM612" s="17">
        <v>44925</v>
      </c>
      <c r="UZN612" s="5" t="s">
        <v>3728</v>
      </c>
      <c r="UZO612" s="17">
        <v>44925</v>
      </c>
      <c r="UZP612" s="5" t="s">
        <v>3728</v>
      </c>
      <c r="UZQ612" s="17">
        <v>44925</v>
      </c>
      <c r="UZR612" s="5" t="s">
        <v>3728</v>
      </c>
      <c r="UZS612" s="17">
        <v>44925</v>
      </c>
      <c r="UZT612" s="5" t="s">
        <v>3728</v>
      </c>
      <c r="UZU612" s="17">
        <v>44925</v>
      </c>
      <c r="UZV612" s="5" t="s">
        <v>3728</v>
      </c>
      <c r="UZW612" s="17">
        <v>44925</v>
      </c>
      <c r="UZX612" s="5" t="s">
        <v>3728</v>
      </c>
      <c r="UZY612" s="17">
        <v>44925</v>
      </c>
      <c r="UZZ612" s="5" t="s">
        <v>3728</v>
      </c>
      <c r="VAA612" s="17">
        <v>44925</v>
      </c>
      <c r="VAB612" s="5" t="s">
        <v>3728</v>
      </c>
      <c r="VAC612" s="17">
        <v>44925</v>
      </c>
      <c r="VAD612" s="5" t="s">
        <v>3728</v>
      </c>
      <c r="VAE612" s="17">
        <v>44925</v>
      </c>
      <c r="VAF612" s="5" t="s">
        <v>3728</v>
      </c>
      <c r="VAG612" s="17">
        <v>44925</v>
      </c>
      <c r="VAH612" s="5" t="s">
        <v>3728</v>
      </c>
      <c r="VAI612" s="17">
        <v>44925</v>
      </c>
      <c r="VAJ612" s="5" t="s">
        <v>3728</v>
      </c>
      <c r="VAK612" s="17">
        <v>44925</v>
      </c>
      <c r="VAL612" s="5" t="s">
        <v>3728</v>
      </c>
      <c r="VAM612" s="17">
        <v>44925</v>
      </c>
      <c r="VAN612" s="5" t="s">
        <v>3728</v>
      </c>
      <c r="VAO612" s="17">
        <v>44925</v>
      </c>
      <c r="VAP612" s="5" t="s">
        <v>3728</v>
      </c>
      <c r="VAQ612" s="17">
        <v>44925</v>
      </c>
      <c r="VAR612" s="5" t="s">
        <v>3728</v>
      </c>
      <c r="VAS612" s="17">
        <v>44925</v>
      </c>
      <c r="VAT612" s="5" t="s">
        <v>3728</v>
      </c>
      <c r="VAU612" s="17">
        <v>44925</v>
      </c>
      <c r="VAV612" s="5" t="s">
        <v>3728</v>
      </c>
      <c r="VAW612" s="17">
        <v>44925</v>
      </c>
      <c r="VAX612" s="5" t="s">
        <v>3728</v>
      </c>
      <c r="VAY612" s="17">
        <v>44925</v>
      </c>
      <c r="VAZ612" s="5" t="s">
        <v>3728</v>
      </c>
      <c r="VBA612" s="17">
        <v>44925</v>
      </c>
      <c r="VBB612" s="5" t="s">
        <v>3728</v>
      </c>
      <c r="VBC612" s="17">
        <v>44925</v>
      </c>
      <c r="VBD612" s="5" t="s">
        <v>3728</v>
      </c>
      <c r="VBE612" s="17">
        <v>44925</v>
      </c>
      <c r="VBF612" s="5" t="s">
        <v>3728</v>
      </c>
      <c r="VBG612" s="17">
        <v>44925</v>
      </c>
      <c r="VBH612" s="5" t="s">
        <v>3728</v>
      </c>
      <c r="VBI612" s="17">
        <v>44925</v>
      </c>
      <c r="VBJ612" s="5" t="s">
        <v>3728</v>
      </c>
      <c r="VBK612" s="17">
        <v>44925</v>
      </c>
      <c r="VBL612" s="5" t="s">
        <v>3728</v>
      </c>
      <c r="VBM612" s="17">
        <v>44925</v>
      </c>
      <c r="VBN612" s="5" t="s">
        <v>3728</v>
      </c>
      <c r="VBO612" s="17">
        <v>44925</v>
      </c>
      <c r="VBP612" s="5" t="s">
        <v>3728</v>
      </c>
      <c r="VBQ612" s="17">
        <v>44925</v>
      </c>
      <c r="VBR612" s="5" t="s">
        <v>3728</v>
      </c>
      <c r="VBS612" s="17">
        <v>44925</v>
      </c>
      <c r="VBT612" s="5" t="s">
        <v>3728</v>
      </c>
      <c r="VBU612" s="17">
        <v>44925</v>
      </c>
      <c r="VBV612" s="5" t="s">
        <v>3728</v>
      </c>
      <c r="VBW612" s="17">
        <v>44925</v>
      </c>
      <c r="VBX612" s="5" t="s">
        <v>3728</v>
      </c>
      <c r="VBY612" s="17">
        <v>44925</v>
      </c>
      <c r="VBZ612" s="5" t="s">
        <v>3728</v>
      </c>
      <c r="VCA612" s="17">
        <v>44925</v>
      </c>
      <c r="VCB612" s="5" t="s">
        <v>3728</v>
      </c>
      <c r="VCC612" s="17">
        <v>44925</v>
      </c>
      <c r="VCD612" s="5" t="s">
        <v>3728</v>
      </c>
      <c r="VCE612" s="17">
        <v>44925</v>
      </c>
      <c r="VCF612" s="5" t="s">
        <v>3728</v>
      </c>
      <c r="VCG612" s="17">
        <v>44925</v>
      </c>
      <c r="VCH612" s="5" t="s">
        <v>3728</v>
      </c>
      <c r="VCI612" s="17">
        <v>44925</v>
      </c>
      <c r="VCJ612" s="5" t="s">
        <v>3728</v>
      </c>
      <c r="VCK612" s="17">
        <v>44925</v>
      </c>
      <c r="VCL612" s="5" t="s">
        <v>3728</v>
      </c>
      <c r="VCM612" s="17">
        <v>44925</v>
      </c>
      <c r="VCN612" s="5" t="s">
        <v>3728</v>
      </c>
      <c r="VCO612" s="17">
        <v>44925</v>
      </c>
      <c r="VCP612" s="5" t="s">
        <v>3728</v>
      </c>
      <c r="VCQ612" s="17">
        <v>44925</v>
      </c>
      <c r="VCR612" s="5" t="s">
        <v>3728</v>
      </c>
      <c r="VCS612" s="17">
        <v>44925</v>
      </c>
      <c r="VCT612" s="5" t="s">
        <v>3728</v>
      </c>
      <c r="VCU612" s="17">
        <v>44925</v>
      </c>
      <c r="VCV612" s="5" t="s">
        <v>3728</v>
      </c>
      <c r="VCW612" s="17">
        <v>44925</v>
      </c>
      <c r="VCX612" s="5" t="s">
        <v>3728</v>
      </c>
      <c r="VCY612" s="17">
        <v>44925</v>
      </c>
      <c r="VCZ612" s="5" t="s">
        <v>3728</v>
      </c>
      <c r="VDA612" s="17">
        <v>44925</v>
      </c>
      <c r="VDB612" s="5" t="s">
        <v>3728</v>
      </c>
      <c r="VDC612" s="17">
        <v>44925</v>
      </c>
      <c r="VDD612" s="5" t="s">
        <v>3728</v>
      </c>
      <c r="VDE612" s="17">
        <v>44925</v>
      </c>
      <c r="VDF612" s="5" t="s">
        <v>3728</v>
      </c>
      <c r="VDG612" s="17">
        <v>44925</v>
      </c>
      <c r="VDH612" s="5" t="s">
        <v>3728</v>
      </c>
      <c r="VDI612" s="17">
        <v>44925</v>
      </c>
      <c r="VDJ612" s="5" t="s">
        <v>3728</v>
      </c>
      <c r="VDK612" s="17">
        <v>44925</v>
      </c>
      <c r="VDL612" s="5" t="s">
        <v>3728</v>
      </c>
      <c r="VDM612" s="17">
        <v>44925</v>
      </c>
      <c r="VDN612" s="5" t="s">
        <v>3728</v>
      </c>
      <c r="VDO612" s="17">
        <v>44925</v>
      </c>
      <c r="VDP612" s="5" t="s">
        <v>3728</v>
      </c>
      <c r="VDQ612" s="17">
        <v>44925</v>
      </c>
      <c r="VDR612" s="5" t="s">
        <v>3728</v>
      </c>
      <c r="VDS612" s="17">
        <v>44925</v>
      </c>
      <c r="VDT612" s="5" t="s">
        <v>3728</v>
      </c>
      <c r="VDU612" s="17">
        <v>44925</v>
      </c>
      <c r="VDV612" s="5" t="s">
        <v>3728</v>
      </c>
      <c r="VDW612" s="17">
        <v>44925</v>
      </c>
      <c r="VDX612" s="5" t="s">
        <v>3728</v>
      </c>
      <c r="VDY612" s="17">
        <v>44925</v>
      </c>
      <c r="VDZ612" s="5" t="s">
        <v>3728</v>
      </c>
      <c r="VEA612" s="17">
        <v>44925</v>
      </c>
      <c r="VEB612" s="5" t="s">
        <v>3728</v>
      </c>
      <c r="VEC612" s="17">
        <v>44925</v>
      </c>
      <c r="VED612" s="5" t="s">
        <v>3728</v>
      </c>
      <c r="VEE612" s="17">
        <v>44925</v>
      </c>
      <c r="VEF612" s="5" t="s">
        <v>3728</v>
      </c>
      <c r="VEG612" s="17">
        <v>44925</v>
      </c>
      <c r="VEH612" s="5" t="s">
        <v>3728</v>
      </c>
      <c r="VEI612" s="17">
        <v>44925</v>
      </c>
      <c r="VEJ612" s="5" t="s">
        <v>3728</v>
      </c>
      <c r="VEK612" s="17">
        <v>44925</v>
      </c>
      <c r="VEL612" s="5" t="s">
        <v>3728</v>
      </c>
      <c r="VEM612" s="17">
        <v>44925</v>
      </c>
      <c r="VEN612" s="5" t="s">
        <v>3728</v>
      </c>
      <c r="VEO612" s="17">
        <v>44925</v>
      </c>
      <c r="VEP612" s="5" t="s">
        <v>3728</v>
      </c>
      <c r="VEQ612" s="17">
        <v>44925</v>
      </c>
      <c r="VER612" s="5" t="s">
        <v>3728</v>
      </c>
      <c r="VES612" s="17">
        <v>44925</v>
      </c>
      <c r="VET612" s="5" t="s">
        <v>3728</v>
      </c>
      <c r="VEU612" s="17">
        <v>44925</v>
      </c>
      <c r="VEV612" s="5" t="s">
        <v>3728</v>
      </c>
      <c r="VEW612" s="17">
        <v>44925</v>
      </c>
      <c r="VEX612" s="5" t="s">
        <v>3728</v>
      </c>
      <c r="VEY612" s="17">
        <v>44925</v>
      </c>
      <c r="VEZ612" s="5" t="s">
        <v>3728</v>
      </c>
      <c r="VFA612" s="17">
        <v>44925</v>
      </c>
      <c r="VFB612" s="5" t="s">
        <v>3728</v>
      </c>
      <c r="VFC612" s="17">
        <v>44925</v>
      </c>
      <c r="VFD612" s="5" t="s">
        <v>3728</v>
      </c>
      <c r="VFE612" s="17">
        <v>44925</v>
      </c>
      <c r="VFF612" s="5" t="s">
        <v>3728</v>
      </c>
      <c r="VFG612" s="17">
        <v>44925</v>
      </c>
      <c r="VFH612" s="5" t="s">
        <v>3728</v>
      </c>
      <c r="VFI612" s="17">
        <v>44925</v>
      </c>
      <c r="VFJ612" s="5" t="s">
        <v>3728</v>
      </c>
      <c r="VFK612" s="17">
        <v>44925</v>
      </c>
      <c r="VFL612" s="5" t="s">
        <v>3728</v>
      </c>
      <c r="VFM612" s="17">
        <v>44925</v>
      </c>
      <c r="VFN612" s="5" t="s">
        <v>3728</v>
      </c>
      <c r="VFO612" s="17">
        <v>44925</v>
      </c>
      <c r="VFP612" s="5" t="s">
        <v>3728</v>
      </c>
      <c r="VFQ612" s="17">
        <v>44925</v>
      </c>
      <c r="VFR612" s="5" t="s">
        <v>3728</v>
      </c>
      <c r="VFS612" s="17">
        <v>44925</v>
      </c>
      <c r="VFT612" s="5" t="s">
        <v>3728</v>
      </c>
      <c r="VFU612" s="17">
        <v>44925</v>
      </c>
      <c r="VFV612" s="5" t="s">
        <v>3728</v>
      </c>
      <c r="VFW612" s="17">
        <v>44925</v>
      </c>
      <c r="VFX612" s="5" t="s">
        <v>3728</v>
      </c>
      <c r="VFY612" s="17">
        <v>44925</v>
      </c>
      <c r="VFZ612" s="5" t="s">
        <v>3728</v>
      </c>
      <c r="VGA612" s="17">
        <v>44925</v>
      </c>
      <c r="VGB612" s="5" t="s">
        <v>3728</v>
      </c>
      <c r="VGC612" s="17">
        <v>44925</v>
      </c>
      <c r="VGD612" s="5" t="s">
        <v>3728</v>
      </c>
      <c r="VGE612" s="17">
        <v>44925</v>
      </c>
      <c r="VGF612" s="5" t="s">
        <v>3728</v>
      </c>
      <c r="VGG612" s="17">
        <v>44925</v>
      </c>
      <c r="VGH612" s="5" t="s">
        <v>3728</v>
      </c>
      <c r="VGI612" s="17">
        <v>44925</v>
      </c>
      <c r="VGJ612" s="5" t="s">
        <v>3728</v>
      </c>
      <c r="VGK612" s="17">
        <v>44925</v>
      </c>
      <c r="VGL612" s="5" t="s">
        <v>3728</v>
      </c>
      <c r="VGM612" s="17">
        <v>44925</v>
      </c>
      <c r="VGN612" s="5" t="s">
        <v>3728</v>
      </c>
      <c r="VGO612" s="17">
        <v>44925</v>
      </c>
      <c r="VGP612" s="5" t="s">
        <v>3728</v>
      </c>
      <c r="VGQ612" s="17">
        <v>44925</v>
      </c>
      <c r="VGR612" s="5" t="s">
        <v>3728</v>
      </c>
      <c r="VGS612" s="17">
        <v>44925</v>
      </c>
      <c r="VGT612" s="5" t="s">
        <v>3728</v>
      </c>
      <c r="VGU612" s="17">
        <v>44925</v>
      </c>
      <c r="VGV612" s="5" t="s">
        <v>3728</v>
      </c>
      <c r="VGW612" s="17">
        <v>44925</v>
      </c>
      <c r="VGX612" s="5" t="s">
        <v>3728</v>
      </c>
      <c r="VGY612" s="17">
        <v>44925</v>
      </c>
      <c r="VGZ612" s="5" t="s">
        <v>3728</v>
      </c>
      <c r="VHA612" s="17">
        <v>44925</v>
      </c>
      <c r="VHB612" s="5" t="s">
        <v>3728</v>
      </c>
      <c r="VHC612" s="17">
        <v>44925</v>
      </c>
      <c r="VHD612" s="5" t="s">
        <v>3728</v>
      </c>
      <c r="VHE612" s="17">
        <v>44925</v>
      </c>
      <c r="VHF612" s="5" t="s">
        <v>3728</v>
      </c>
      <c r="VHG612" s="17">
        <v>44925</v>
      </c>
      <c r="VHH612" s="5" t="s">
        <v>3728</v>
      </c>
      <c r="VHI612" s="17">
        <v>44925</v>
      </c>
      <c r="VHJ612" s="5" t="s">
        <v>3728</v>
      </c>
      <c r="VHK612" s="17">
        <v>44925</v>
      </c>
      <c r="VHL612" s="5" t="s">
        <v>3728</v>
      </c>
      <c r="VHM612" s="17">
        <v>44925</v>
      </c>
      <c r="VHN612" s="5" t="s">
        <v>3728</v>
      </c>
      <c r="VHO612" s="17">
        <v>44925</v>
      </c>
      <c r="VHP612" s="5" t="s">
        <v>3728</v>
      </c>
      <c r="VHQ612" s="17">
        <v>44925</v>
      </c>
      <c r="VHR612" s="5" t="s">
        <v>3728</v>
      </c>
      <c r="VHS612" s="17">
        <v>44925</v>
      </c>
      <c r="VHT612" s="5" t="s">
        <v>3728</v>
      </c>
      <c r="VHU612" s="17">
        <v>44925</v>
      </c>
      <c r="VHV612" s="5" t="s">
        <v>3728</v>
      </c>
      <c r="VHW612" s="17">
        <v>44925</v>
      </c>
      <c r="VHX612" s="5" t="s">
        <v>3728</v>
      </c>
      <c r="VHY612" s="17">
        <v>44925</v>
      </c>
      <c r="VHZ612" s="5" t="s">
        <v>3728</v>
      </c>
      <c r="VIA612" s="17">
        <v>44925</v>
      </c>
      <c r="VIB612" s="5" t="s">
        <v>3728</v>
      </c>
      <c r="VIC612" s="17">
        <v>44925</v>
      </c>
      <c r="VID612" s="5" t="s">
        <v>3728</v>
      </c>
      <c r="VIE612" s="17">
        <v>44925</v>
      </c>
      <c r="VIF612" s="5" t="s">
        <v>3728</v>
      </c>
      <c r="VIG612" s="17">
        <v>44925</v>
      </c>
      <c r="VIH612" s="5" t="s">
        <v>3728</v>
      </c>
      <c r="VII612" s="17">
        <v>44925</v>
      </c>
      <c r="VIJ612" s="5" t="s">
        <v>3728</v>
      </c>
      <c r="VIK612" s="17">
        <v>44925</v>
      </c>
      <c r="VIL612" s="5" t="s">
        <v>3728</v>
      </c>
      <c r="VIM612" s="17">
        <v>44925</v>
      </c>
      <c r="VIN612" s="5" t="s">
        <v>3728</v>
      </c>
      <c r="VIO612" s="17">
        <v>44925</v>
      </c>
      <c r="VIP612" s="5" t="s">
        <v>3728</v>
      </c>
      <c r="VIQ612" s="17">
        <v>44925</v>
      </c>
      <c r="VIR612" s="5" t="s">
        <v>3728</v>
      </c>
      <c r="VIS612" s="17">
        <v>44925</v>
      </c>
      <c r="VIT612" s="5" t="s">
        <v>3728</v>
      </c>
      <c r="VIU612" s="17">
        <v>44925</v>
      </c>
      <c r="VIV612" s="5" t="s">
        <v>3728</v>
      </c>
      <c r="VIW612" s="17">
        <v>44925</v>
      </c>
      <c r="VIX612" s="5" t="s">
        <v>3728</v>
      </c>
      <c r="VIY612" s="17">
        <v>44925</v>
      </c>
      <c r="VIZ612" s="5" t="s">
        <v>3728</v>
      </c>
      <c r="VJA612" s="17">
        <v>44925</v>
      </c>
      <c r="VJB612" s="5" t="s">
        <v>3728</v>
      </c>
      <c r="VJC612" s="17">
        <v>44925</v>
      </c>
      <c r="VJD612" s="5" t="s">
        <v>3728</v>
      </c>
      <c r="VJE612" s="17">
        <v>44925</v>
      </c>
      <c r="VJF612" s="5" t="s">
        <v>3728</v>
      </c>
      <c r="VJG612" s="17">
        <v>44925</v>
      </c>
      <c r="VJH612" s="5" t="s">
        <v>3728</v>
      </c>
      <c r="VJI612" s="17">
        <v>44925</v>
      </c>
      <c r="VJJ612" s="5" t="s">
        <v>3728</v>
      </c>
      <c r="VJK612" s="17">
        <v>44925</v>
      </c>
      <c r="VJL612" s="5" t="s">
        <v>3728</v>
      </c>
      <c r="VJM612" s="17">
        <v>44925</v>
      </c>
      <c r="VJN612" s="5" t="s">
        <v>3728</v>
      </c>
      <c r="VJO612" s="17">
        <v>44925</v>
      </c>
      <c r="VJP612" s="5" t="s">
        <v>3728</v>
      </c>
      <c r="VJQ612" s="17">
        <v>44925</v>
      </c>
      <c r="VJR612" s="5" t="s">
        <v>3728</v>
      </c>
      <c r="VJS612" s="17">
        <v>44925</v>
      </c>
      <c r="VJT612" s="5" t="s">
        <v>3728</v>
      </c>
      <c r="VJU612" s="17">
        <v>44925</v>
      </c>
      <c r="VJV612" s="5" t="s">
        <v>3728</v>
      </c>
      <c r="VJW612" s="17">
        <v>44925</v>
      </c>
      <c r="VJX612" s="5" t="s">
        <v>3728</v>
      </c>
      <c r="VJY612" s="17">
        <v>44925</v>
      </c>
      <c r="VJZ612" s="5" t="s">
        <v>3728</v>
      </c>
      <c r="VKA612" s="17">
        <v>44925</v>
      </c>
      <c r="VKB612" s="5" t="s">
        <v>3728</v>
      </c>
      <c r="VKC612" s="17">
        <v>44925</v>
      </c>
      <c r="VKD612" s="5" t="s">
        <v>3728</v>
      </c>
      <c r="VKE612" s="17">
        <v>44925</v>
      </c>
      <c r="VKF612" s="5" t="s">
        <v>3728</v>
      </c>
      <c r="VKG612" s="17">
        <v>44925</v>
      </c>
      <c r="VKH612" s="5" t="s">
        <v>3728</v>
      </c>
      <c r="VKI612" s="17">
        <v>44925</v>
      </c>
      <c r="VKJ612" s="5" t="s">
        <v>3728</v>
      </c>
      <c r="VKK612" s="17">
        <v>44925</v>
      </c>
      <c r="VKL612" s="5" t="s">
        <v>3728</v>
      </c>
      <c r="VKM612" s="17">
        <v>44925</v>
      </c>
      <c r="VKN612" s="5" t="s">
        <v>3728</v>
      </c>
      <c r="VKO612" s="17">
        <v>44925</v>
      </c>
      <c r="VKP612" s="5" t="s">
        <v>3728</v>
      </c>
      <c r="VKQ612" s="17">
        <v>44925</v>
      </c>
      <c r="VKR612" s="5" t="s">
        <v>3728</v>
      </c>
      <c r="VKS612" s="17">
        <v>44925</v>
      </c>
      <c r="VKT612" s="5" t="s">
        <v>3728</v>
      </c>
      <c r="VKU612" s="17">
        <v>44925</v>
      </c>
      <c r="VKV612" s="5" t="s">
        <v>3728</v>
      </c>
      <c r="VKW612" s="17">
        <v>44925</v>
      </c>
      <c r="VKX612" s="5" t="s">
        <v>3728</v>
      </c>
      <c r="VKY612" s="17">
        <v>44925</v>
      </c>
      <c r="VKZ612" s="5" t="s">
        <v>3728</v>
      </c>
      <c r="VLA612" s="17">
        <v>44925</v>
      </c>
      <c r="VLB612" s="5" t="s">
        <v>3728</v>
      </c>
      <c r="VLC612" s="17">
        <v>44925</v>
      </c>
      <c r="VLD612" s="5" t="s">
        <v>3728</v>
      </c>
      <c r="VLE612" s="17">
        <v>44925</v>
      </c>
      <c r="VLF612" s="5" t="s">
        <v>3728</v>
      </c>
      <c r="VLG612" s="17">
        <v>44925</v>
      </c>
      <c r="VLH612" s="5" t="s">
        <v>3728</v>
      </c>
      <c r="VLI612" s="17">
        <v>44925</v>
      </c>
      <c r="VLJ612" s="5" t="s">
        <v>3728</v>
      </c>
      <c r="VLK612" s="17">
        <v>44925</v>
      </c>
      <c r="VLL612" s="5" t="s">
        <v>3728</v>
      </c>
      <c r="VLM612" s="17">
        <v>44925</v>
      </c>
      <c r="VLN612" s="5" t="s">
        <v>3728</v>
      </c>
      <c r="VLO612" s="17">
        <v>44925</v>
      </c>
      <c r="VLP612" s="5" t="s">
        <v>3728</v>
      </c>
      <c r="VLQ612" s="17">
        <v>44925</v>
      </c>
      <c r="VLR612" s="5" t="s">
        <v>3728</v>
      </c>
      <c r="VLS612" s="17">
        <v>44925</v>
      </c>
      <c r="VLT612" s="5" t="s">
        <v>3728</v>
      </c>
      <c r="VLU612" s="17">
        <v>44925</v>
      </c>
      <c r="VLV612" s="5" t="s">
        <v>3728</v>
      </c>
      <c r="VLW612" s="17">
        <v>44925</v>
      </c>
      <c r="VLX612" s="5" t="s">
        <v>3728</v>
      </c>
      <c r="VLY612" s="17">
        <v>44925</v>
      </c>
      <c r="VLZ612" s="5" t="s">
        <v>3728</v>
      </c>
      <c r="VMA612" s="17">
        <v>44925</v>
      </c>
      <c r="VMB612" s="5" t="s">
        <v>3728</v>
      </c>
      <c r="VMC612" s="17">
        <v>44925</v>
      </c>
      <c r="VMD612" s="5" t="s">
        <v>3728</v>
      </c>
      <c r="VME612" s="17">
        <v>44925</v>
      </c>
      <c r="VMF612" s="5" t="s">
        <v>3728</v>
      </c>
      <c r="VMG612" s="17">
        <v>44925</v>
      </c>
      <c r="VMH612" s="5" t="s">
        <v>3728</v>
      </c>
      <c r="VMI612" s="17">
        <v>44925</v>
      </c>
      <c r="VMJ612" s="5" t="s">
        <v>3728</v>
      </c>
      <c r="VMK612" s="17">
        <v>44925</v>
      </c>
      <c r="VML612" s="5" t="s">
        <v>3728</v>
      </c>
      <c r="VMM612" s="17">
        <v>44925</v>
      </c>
      <c r="VMN612" s="5" t="s">
        <v>3728</v>
      </c>
      <c r="VMO612" s="17">
        <v>44925</v>
      </c>
      <c r="VMP612" s="5" t="s">
        <v>3728</v>
      </c>
      <c r="VMQ612" s="17">
        <v>44925</v>
      </c>
      <c r="VMR612" s="5" t="s">
        <v>3728</v>
      </c>
      <c r="VMS612" s="17">
        <v>44925</v>
      </c>
      <c r="VMT612" s="5" t="s">
        <v>3728</v>
      </c>
      <c r="VMU612" s="17">
        <v>44925</v>
      </c>
      <c r="VMV612" s="5" t="s">
        <v>3728</v>
      </c>
      <c r="VMW612" s="17">
        <v>44925</v>
      </c>
      <c r="VMX612" s="5" t="s">
        <v>3728</v>
      </c>
      <c r="VMY612" s="17">
        <v>44925</v>
      </c>
      <c r="VMZ612" s="5" t="s">
        <v>3728</v>
      </c>
      <c r="VNA612" s="17">
        <v>44925</v>
      </c>
      <c r="VNB612" s="5" t="s">
        <v>3728</v>
      </c>
      <c r="VNC612" s="17">
        <v>44925</v>
      </c>
      <c r="VND612" s="5" t="s">
        <v>3728</v>
      </c>
      <c r="VNE612" s="17">
        <v>44925</v>
      </c>
      <c r="VNF612" s="5" t="s">
        <v>3728</v>
      </c>
      <c r="VNG612" s="17">
        <v>44925</v>
      </c>
      <c r="VNH612" s="5" t="s">
        <v>3728</v>
      </c>
      <c r="VNI612" s="17">
        <v>44925</v>
      </c>
      <c r="VNJ612" s="5" t="s">
        <v>3728</v>
      </c>
      <c r="VNK612" s="17">
        <v>44925</v>
      </c>
      <c r="VNL612" s="5" t="s">
        <v>3728</v>
      </c>
      <c r="VNM612" s="17">
        <v>44925</v>
      </c>
      <c r="VNN612" s="5" t="s">
        <v>3728</v>
      </c>
      <c r="VNO612" s="17">
        <v>44925</v>
      </c>
      <c r="VNP612" s="5" t="s">
        <v>3728</v>
      </c>
      <c r="VNQ612" s="17">
        <v>44925</v>
      </c>
      <c r="VNR612" s="5" t="s">
        <v>3728</v>
      </c>
      <c r="VNS612" s="17">
        <v>44925</v>
      </c>
      <c r="VNT612" s="5" t="s">
        <v>3728</v>
      </c>
      <c r="VNU612" s="17">
        <v>44925</v>
      </c>
      <c r="VNV612" s="5" t="s">
        <v>3728</v>
      </c>
      <c r="VNW612" s="17">
        <v>44925</v>
      </c>
      <c r="VNX612" s="5" t="s">
        <v>3728</v>
      </c>
      <c r="VNY612" s="17">
        <v>44925</v>
      </c>
      <c r="VNZ612" s="5" t="s">
        <v>3728</v>
      </c>
      <c r="VOA612" s="17">
        <v>44925</v>
      </c>
      <c r="VOB612" s="5" t="s">
        <v>3728</v>
      </c>
      <c r="VOC612" s="17">
        <v>44925</v>
      </c>
      <c r="VOD612" s="5" t="s">
        <v>3728</v>
      </c>
      <c r="VOE612" s="17">
        <v>44925</v>
      </c>
      <c r="VOF612" s="5" t="s">
        <v>3728</v>
      </c>
      <c r="VOG612" s="17">
        <v>44925</v>
      </c>
      <c r="VOH612" s="5" t="s">
        <v>3728</v>
      </c>
      <c r="VOI612" s="17">
        <v>44925</v>
      </c>
      <c r="VOJ612" s="5" t="s">
        <v>3728</v>
      </c>
      <c r="VOK612" s="17">
        <v>44925</v>
      </c>
      <c r="VOL612" s="5" t="s">
        <v>3728</v>
      </c>
      <c r="VOM612" s="17">
        <v>44925</v>
      </c>
      <c r="VON612" s="5" t="s">
        <v>3728</v>
      </c>
      <c r="VOO612" s="17">
        <v>44925</v>
      </c>
      <c r="VOP612" s="5" t="s">
        <v>3728</v>
      </c>
      <c r="VOQ612" s="17">
        <v>44925</v>
      </c>
      <c r="VOR612" s="5" t="s">
        <v>3728</v>
      </c>
      <c r="VOS612" s="17">
        <v>44925</v>
      </c>
      <c r="VOT612" s="5" t="s">
        <v>3728</v>
      </c>
      <c r="VOU612" s="17">
        <v>44925</v>
      </c>
      <c r="VOV612" s="5" t="s">
        <v>3728</v>
      </c>
      <c r="VOW612" s="17">
        <v>44925</v>
      </c>
      <c r="VOX612" s="5" t="s">
        <v>3728</v>
      </c>
      <c r="VOY612" s="17">
        <v>44925</v>
      </c>
      <c r="VOZ612" s="5" t="s">
        <v>3728</v>
      </c>
      <c r="VPA612" s="17">
        <v>44925</v>
      </c>
      <c r="VPB612" s="5" t="s">
        <v>3728</v>
      </c>
      <c r="VPC612" s="17">
        <v>44925</v>
      </c>
      <c r="VPD612" s="5" t="s">
        <v>3728</v>
      </c>
      <c r="VPE612" s="17">
        <v>44925</v>
      </c>
      <c r="VPF612" s="5" t="s">
        <v>3728</v>
      </c>
      <c r="VPG612" s="17">
        <v>44925</v>
      </c>
      <c r="VPH612" s="5" t="s">
        <v>3728</v>
      </c>
      <c r="VPI612" s="17">
        <v>44925</v>
      </c>
      <c r="VPJ612" s="5" t="s">
        <v>3728</v>
      </c>
      <c r="VPK612" s="17">
        <v>44925</v>
      </c>
      <c r="VPL612" s="5" t="s">
        <v>3728</v>
      </c>
      <c r="VPM612" s="17">
        <v>44925</v>
      </c>
      <c r="VPN612" s="5" t="s">
        <v>3728</v>
      </c>
      <c r="VPO612" s="17">
        <v>44925</v>
      </c>
      <c r="VPP612" s="5" t="s">
        <v>3728</v>
      </c>
      <c r="VPQ612" s="17">
        <v>44925</v>
      </c>
      <c r="VPR612" s="5" t="s">
        <v>3728</v>
      </c>
      <c r="VPS612" s="17">
        <v>44925</v>
      </c>
      <c r="VPT612" s="5" t="s">
        <v>3728</v>
      </c>
      <c r="VPU612" s="17">
        <v>44925</v>
      </c>
      <c r="VPV612" s="5" t="s">
        <v>3728</v>
      </c>
      <c r="VPW612" s="17">
        <v>44925</v>
      </c>
      <c r="VPX612" s="5" t="s">
        <v>3728</v>
      </c>
      <c r="VPY612" s="17">
        <v>44925</v>
      </c>
      <c r="VPZ612" s="5" t="s">
        <v>3728</v>
      </c>
      <c r="VQA612" s="17">
        <v>44925</v>
      </c>
      <c r="VQB612" s="5" t="s">
        <v>3728</v>
      </c>
      <c r="VQC612" s="17">
        <v>44925</v>
      </c>
      <c r="VQD612" s="5" t="s">
        <v>3728</v>
      </c>
      <c r="VQE612" s="17">
        <v>44925</v>
      </c>
      <c r="VQF612" s="5" t="s">
        <v>3728</v>
      </c>
      <c r="VQG612" s="17">
        <v>44925</v>
      </c>
      <c r="VQH612" s="5" t="s">
        <v>3728</v>
      </c>
      <c r="VQI612" s="17">
        <v>44925</v>
      </c>
      <c r="VQJ612" s="5" t="s">
        <v>3728</v>
      </c>
      <c r="VQK612" s="17">
        <v>44925</v>
      </c>
      <c r="VQL612" s="5" t="s">
        <v>3728</v>
      </c>
      <c r="VQM612" s="17">
        <v>44925</v>
      </c>
      <c r="VQN612" s="5" t="s">
        <v>3728</v>
      </c>
      <c r="VQO612" s="17">
        <v>44925</v>
      </c>
      <c r="VQP612" s="5" t="s">
        <v>3728</v>
      </c>
      <c r="VQQ612" s="17">
        <v>44925</v>
      </c>
      <c r="VQR612" s="5" t="s">
        <v>3728</v>
      </c>
      <c r="VQS612" s="17">
        <v>44925</v>
      </c>
      <c r="VQT612" s="5" t="s">
        <v>3728</v>
      </c>
      <c r="VQU612" s="17">
        <v>44925</v>
      </c>
      <c r="VQV612" s="5" t="s">
        <v>3728</v>
      </c>
      <c r="VQW612" s="17">
        <v>44925</v>
      </c>
      <c r="VQX612" s="5" t="s">
        <v>3728</v>
      </c>
      <c r="VQY612" s="17">
        <v>44925</v>
      </c>
      <c r="VQZ612" s="5" t="s">
        <v>3728</v>
      </c>
      <c r="VRA612" s="17">
        <v>44925</v>
      </c>
      <c r="VRB612" s="5" t="s">
        <v>3728</v>
      </c>
      <c r="VRC612" s="17">
        <v>44925</v>
      </c>
      <c r="VRD612" s="5" t="s">
        <v>3728</v>
      </c>
      <c r="VRE612" s="17">
        <v>44925</v>
      </c>
      <c r="VRF612" s="5" t="s">
        <v>3728</v>
      </c>
      <c r="VRG612" s="17">
        <v>44925</v>
      </c>
      <c r="VRH612" s="5" t="s">
        <v>3728</v>
      </c>
      <c r="VRI612" s="17">
        <v>44925</v>
      </c>
      <c r="VRJ612" s="5" t="s">
        <v>3728</v>
      </c>
      <c r="VRK612" s="17">
        <v>44925</v>
      </c>
      <c r="VRL612" s="5" t="s">
        <v>3728</v>
      </c>
      <c r="VRM612" s="17">
        <v>44925</v>
      </c>
      <c r="VRN612" s="5" t="s">
        <v>3728</v>
      </c>
      <c r="VRO612" s="17">
        <v>44925</v>
      </c>
      <c r="VRP612" s="5" t="s">
        <v>3728</v>
      </c>
      <c r="VRQ612" s="17">
        <v>44925</v>
      </c>
      <c r="VRR612" s="5" t="s">
        <v>3728</v>
      </c>
      <c r="VRS612" s="17">
        <v>44925</v>
      </c>
      <c r="VRT612" s="5" t="s">
        <v>3728</v>
      </c>
      <c r="VRU612" s="17">
        <v>44925</v>
      </c>
      <c r="VRV612" s="5" t="s">
        <v>3728</v>
      </c>
      <c r="VRW612" s="17">
        <v>44925</v>
      </c>
      <c r="VRX612" s="5" t="s">
        <v>3728</v>
      </c>
      <c r="VRY612" s="17">
        <v>44925</v>
      </c>
      <c r="VRZ612" s="5" t="s">
        <v>3728</v>
      </c>
      <c r="VSA612" s="17">
        <v>44925</v>
      </c>
      <c r="VSB612" s="5" t="s">
        <v>3728</v>
      </c>
      <c r="VSC612" s="17">
        <v>44925</v>
      </c>
      <c r="VSD612" s="5" t="s">
        <v>3728</v>
      </c>
      <c r="VSE612" s="17">
        <v>44925</v>
      </c>
      <c r="VSF612" s="5" t="s">
        <v>3728</v>
      </c>
      <c r="VSG612" s="17">
        <v>44925</v>
      </c>
      <c r="VSH612" s="5" t="s">
        <v>3728</v>
      </c>
      <c r="VSI612" s="17">
        <v>44925</v>
      </c>
      <c r="VSJ612" s="5" t="s">
        <v>3728</v>
      </c>
      <c r="VSK612" s="17">
        <v>44925</v>
      </c>
      <c r="VSL612" s="5" t="s">
        <v>3728</v>
      </c>
      <c r="VSM612" s="17">
        <v>44925</v>
      </c>
      <c r="VSN612" s="5" t="s">
        <v>3728</v>
      </c>
      <c r="VSO612" s="17">
        <v>44925</v>
      </c>
      <c r="VSP612" s="5" t="s">
        <v>3728</v>
      </c>
      <c r="VSQ612" s="17">
        <v>44925</v>
      </c>
      <c r="VSR612" s="5" t="s">
        <v>3728</v>
      </c>
      <c r="VSS612" s="17">
        <v>44925</v>
      </c>
      <c r="VST612" s="5" t="s">
        <v>3728</v>
      </c>
      <c r="VSU612" s="17">
        <v>44925</v>
      </c>
      <c r="VSV612" s="5" t="s">
        <v>3728</v>
      </c>
      <c r="VSW612" s="17">
        <v>44925</v>
      </c>
      <c r="VSX612" s="5" t="s">
        <v>3728</v>
      </c>
      <c r="VSY612" s="17">
        <v>44925</v>
      </c>
      <c r="VSZ612" s="5" t="s">
        <v>3728</v>
      </c>
      <c r="VTA612" s="17">
        <v>44925</v>
      </c>
      <c r="VTB612" s="5" t="s">
        <v>3728</v>
      </c>
      <c r="VTC612" s="17">
        <v>44925</v>
      </c>
      <c r="VTD612" s="5" t="s">
        <v>3728</v>
      </c>
      <c r="VTE612" s="17">
        <v>44925</v>
      </c>
      <c r="VTF612" s="5" t="s">
        <v>3728</v>
      </c>
      <c r="VTG612" s="17">
        <v>44925</v>
      </c>
      <c r="VTH612" s="5" t="s">
        <v>3728</v>
      </c>
      <c r="VTI612" s="17">
        <v>44925</v>
      </c>
      <c r="VTJ612" s="5" t="s">
        <v>3728</v>
      </c>
      <c r="VTK612" s="17">
        <v>44925</v>
      </c>
      <c r="VTL612" s="5" t="s">
        <v>3728</v>
      </c>
      <c r="VTM612" s="17">
        <v>44925</v>
      </c>
      <c r="VTN612" s="5" t="s">
        <v>3728</v>
      </c>
      <c r="VTO612" s="17">
        <v>44925</v>
      </c>
      <c r="VTP612" s="5" t="s">
        <v>3728</v>
      </c>
      <c r="VTQ612" s="17">
        <v>44925</v>
      </c>
      <c r="VTR612" s="5" t="s">
        <v>3728</v>
      </c>
      <c r="VTS612" s="17">
        <v>44925</v>
      </c>
      <c r="VTT612" s="5" t="s">
        <v>3728</v>
      </c>
      <c r="VTU612" s="17">
        <v>44925</v>
      </c>
      <c r="VTV612" s="5" t="s">
        <v>3728</v>
      </c>
      <c r="VTW612" s="17">
        <v>44925</v>
      </c>
      <c r="VTX612" s="5" t="s">
        <v>3728</v>
      </c>
      <c r="VTY612" s="17">
        <v>44925</v>
      </c>
      <c r="VTZ612" s="5" t="s">
        <v>3728</v>
      </c>
      <c r="VUA612" s="17">
        <v>44925</v>
      </c>
      <c r="VUB612" s="5" t="s">
        <v>3728</v>
      </c>
      <c r="VUC612" s="17">
        <v>44925</v>
      </c>
      <c r="VUD612" s="5" t="s">
        <v>3728</v>
      </c>
      <c r="VUE612" s="17">
        <v>44925</v>
      </c>
      <c r="VUF612" s="5" t="s">
        <v>3728</v>
      </c>
      <c r="VUG612" s="17">
        <v>44925</v>
      </c>
      <c r="VUH612" s="5" t="s">
        <v>3728</v>
      </c>
      <c r="VUI612" s="17">
        <v>44925</v>
      </c>
      <c r="VUJ612" s="5" t="s">
        <v>3728</v>
      </c>
      <c r="VUK612" s="17">
        <v>44925</v>
      </c>
      <c r="VUL612" s="5" t="s">
        <v>3728</v>
      </c>
      <c r="VUM612" s="17">
        <v>44925</v>
      </c>
      <c r="VUN612" s="5" t="s">
        <v>3728</v>
      </c>
      <c r="VUO612" s="17">
        <v>44925</v>
      </c>
      <c r="VUP612" s="5" t="s">
        <v>3728</v>
      </c>
      <c r="VUQ612" s="17">
        <v>44925</v>
      </c>
      <c r="VUR612" s="5" t="s">
        <v>3728</v>
      </c>
      <c r="VUS612" s="17">
        <v>44925</v>
      </c>
      <c r="VUT612" s="5" t="s">
        <v>3728</v>
      </c>
      <c r="VUU612" s="17">
        <v>44925</v>
      </c>
      <c r="VUV612" s="5" t="s">
        <v>3728</v>
      </c>
      <c r="VUW612" s="17">
        <v>44925</v>
      </c>
      <c r="VUX612" s="5" t="s">
        <v>3728</v>
      </c>
      <c r="VUY612" s="17">
        <v>44925</v>
      </c>
      <c r="VUZ612" s="5" t="s">
        <v>3728</v>
      </c>
      <c r="VVA612" s="17">
        <v>44925</v>
      </c>
      <c r="VVB612" s="5" t="s">
        <v>3728</v>
      </c>
      <c r="VVC612" s="17">
        <v>44925</v>
      </c>
      <c r="VVD612" s="5" t="s">
        <v>3728</v>
      </c>
      <c r="VVE612" s="17">
        <v>44925</v>
      </c>
      <c r="VVF612" s="5" t="s">
        <v>3728</v>
      </c>
      <c r="VVG612" s="17">
        <v>44925</v>
      </c>
      <c r="VVH612" s="5" t="s">
        <v>3728</v>
      </c>
      <c r="VVI612" s="17">
        <v>44925</v>
      </c>
      <c r="VVJ612" s="5" t="s">
        <v>3728</v>
      </c>
      <c r="VVK612" s="17">
        <v>44925</v>
      </c>
      <c r="VVL612" s="5" t="s">
        <v>3728</v>
      </c>
      <c r="VVM612" s="17">
        <v>44925</v>
      </c>
      <c r="VVN612" s="5" t="s">
        <v>3728</v>
      </c>
      <c r="VVO612" s="17">
        <v>44925</v>
      </c>
      <c r="VVP612" s="5" t="s">
        <v>3728</v>
      </c>
      <c r="VVQ612" s="17">
        <v>44925</v>
      </c>
      <c r="VVR612" s="5" t="s">
        <v>3728</v>
      </c>
      <c r="VVS612" s="17">
        <v>44925</v>
      </c>
      <c r="VVT612" s="5" t="s">
        <v>3728</v>
      </c>
      <c r="VVU612" s="17">
        <v>44925</v>
      </c>
      <c r="VVV612" s="5" t="s">
        <v>3728</v>
      </c>
      <c r="VVW612" s="17">
        <v>44925</v>
      </c>
      <c r="VVX612" s="5" t="s">
        <v>3728</v>
      </c>
      <c r="VVY612" s="17">
        <v>44925</v>
      </c>
      <c r="VVZ612" s="5" t="s">
        <v>3728</v>
      </c>
      <c r="VWA612" s="17">
        <v>44925</v>
      </c>
      <c r="VWB612" s="5" t="s">
        <v>3728</v>
      </c>
      <c r="VWC612" s="17">
        <v>44925</v>
      </c>
      <c r="VWD612" s="5" t="s">
        <v>3728</v>
      </c>
      <c r="VWE612" s="17">
        <v>44925</v>
      </c>
      <c r="VWF612" s="5" t="s">
        <v>3728</v>
      </c>
      <c r="VWG612" s="17">
        <v>44925</v>
      </c>
      <c r="VWH612" s="5" t="s">
        <v>3728</v>
      </c>
      <c r="VWI612" s="17">
        <v>44925</v>
      </c>
      <c r="VWJ612" s="5" t="s">
        <v>3728</v>
      </c>
      <c r="VWK612" s="17">
        <v>44925</v>
      </c>
      <c r="VWL612" s="5" t="s">
        <v>3728</v>
      </c>
      <c r="VWM612" s="17">
        <v>44925</v>
      </c>
      <c r="VWN612" s="5" t="s">
        <v>3728</v>
      </c>
      <c r="VWO612" s="17">
        <v>44925</v>
      </c>
      <c r="VWP612" s="5" t="s">
        <v>3728</v>
      </c>
      <c r="VWQ612" s="17">
        <v>44925</v>
      </c>
      <c r="VWR612" s="5" t="s">
        <v>3728</v>
      </c>
      <c r="VWS612" s="17">
        <v>44925</v>
      </c>
      <c r="VWT612" s="5" t="s">
        <v>3728</v>
      </c>
      <c r="VWU612" s="17">
        <v>44925</v>
      </c>
      <c r="VWV612" s="5" t="s">
        <v>3728</v>
      </c>
      <c r="VWW612" s="17">
        <v>44925</v>
      </c>
      <c r="VWX612" s="5" t="s">
        <v>3728</v>
      </c>
      <c r="VWY612" s="17">
        <v>44925</v>
      </c>
      <c r="VWZ612" s="5" t="s">
        <v>3728</v>
      </c>
      <c r="VXA612" s="17">
        <v>44925</v>
      </c>
      <c r="VXB612" s="5" t="s">
        <v>3728</v>
      </c>
      <c r="VXC612" s="17">
        <v>44925</v>
      </c>
      <c r="VXD612" s="5" t="s">
        <v>3728</v>
      </c>
      <c r="VXE612" s="17">
        <v>44925</v>
      </c>
      <c r="VXF612" s="5" t="s">
        <v>3728</v>
      </c>
      <c r="VXG612" s="17">
        <v>44925</v>
      </c>
      <c r="VXH612" s="5" t="s">
        <v>3728</v>
      </c>
      <c r="VXI612" s="17">
        <v>44925</v>
      </c>
      <c r="VXJ612" s="5" t="s">
        <v>3728</v>
      </c>
      <c r="VXK612" s="17">
        <v>44925</v>
      </c>
      <c r="VXL612" s="5" t="s">
        <v>3728</v>
      </c>
      <c r="VXM612" s="17">
        <v>44925</v>
      </c>
      <c r="VXN612" s="5" t="s">
        <v>3728</v>
      </c>
      <c r="VXO612" s="17">
        <v>44925</v>
      </c>
      <c r="VXP612" s="5" t="s">
        <v>3728</v>
      </c>
      <c r="VXQ612" s="17">
        <v>44925</v>
      </c>
      <c r="VXR612" s="5" t="s">
        <v>3728</v>
      </c>
      <c r="VXS612" s="17">
        <v>44925</v>
      </c>
      <c r="VXT612" s="5" t="s">
        <v>3728</v>
      </c>
      <c r="VXU612" s="17">
        <v>44925</v>
      </c>
      <c r="VXV612" s="5" t="s">
        <v>3728</v>
      </c>
      <c r="VXW612" s="17">
        <v>44925</v>
      </c>
      <c r="VXX612" s="5" t="s">
        <v>3728</v>
      </c>
      <c r="VXY612" s="17">
        <v>44925</v>
      </c>
      <c r="VXZ612" s="5" t="s">
        <v>3728</v>
      </c>
      <c r="VYA612" s="17">
        <v>44925</v>
      </c>
      <c r="VYB612" s="5" t="s">
        <v>3728</v>
      </c>
      <c r="VYC612" s="17">
        <v>44925</v>
      </c>
      <c r="VYD612" s="5" t="s">
        <v>3728</v>
      </c>
      <c r="VYE612" s="17">
        <v>44925</v>
      </c>
      <c r="VYF612" s="5" t="s">
        <v>3728</v>
      </c>
      <c r="VYG612" s="17">
        <v>44925</v>
      </c>
      <c r="VYH612" s="5" t="s">
        <v>3728</v>
      </c>
      <c r="VYI612" s="17">
        <v>44925</v>
      </c>
      <c r="VYJ612" s="5" t="s">
        <v>3728</v>
      </c>
      <c r="VYK612" s="17">
        <v>44925</v>
      </c>
      <c r="VYL612" s="5" t="s">
        <v>3728</v>
      </c>
      <c r="VYM612" s="17">
        <v>44925</v>
      </c>
      <c r="VYN612" s="5" t="s">
        <v>3728</v>
      </c>
      <c r="VYO612" s="17">
        <v>44925</v>
      </c>
      <c r="VYP612" s="5" t="s">
        <v>3728</v>
      </c>
      <c r="VYQ612" s="17">
        <v>44925</v>
      </c>
      <c r="VYR612" s="5" t="s">
        <v>3728</v>
      </c>
      <c r="VYS612" s="17">
        <v>44925</v>
      </c>
      <c r="VYT612" s="5" t="s">
        <v>3728</v>
      </c>
      <c r="VYU612" s="17">
        <v>44925</v>
      </c>
      <c r="VYV612" s="5" t="s">
        <v>3728</v>
      </c>
      <c r="VYW612" s="17">
        <v>44925</v>
      </c>
      <c r="VYX612" s="5" t="s">
        <v>3728</v>
      </c>
      <c r="VYY612" s="17">
        <v>44925</v>
      </c>
      <c r="VYZ612" s="5" t="s">
        <v>3728</v>
      </c>
      <c r="VZA612" s="17">
        <v>44925</v>
      </c>
      <c r="VZB612" s="5" t="s">
        <v>3728</v>
      </c>
      <c r="VZC612" s="17">
        <v>44925</v>
      </c>
      <c r="VZD612" s="5" t="s">
        <v>3728</v>
      </c>
      <c r="VZE612" s="17">
        <v>44925</v>
      </c>
      <c r="VZF612" s="5" t="s">
        <v>3728</v>
      </c>
      <c r="VZG612" s="17">
        <v>44925</v>
      </c>
      <c r="VZH612" s="5" t="s">
        <v>3728</v>
      </c>
      <c r="VZI612" s="17">
        <v>44925</v>
      </c>
      <c r="VZJ612" s="5" t="s">
        <v>3728</v>
      </c>
      <c r="VZK612" s="17">
        <v>44925</v>
      </c>
      <c r="VZL612" s="5" t="s">
        <v>3728</v>
      </c>
      <c r="VZM612" s="17">
        <v>44925</v>
      </c>
      <c r="VZN612" s="5" t="s">
        <v>3728</v>
      </c>
      <c r="VZO612" s="17">
        <v>44925</v>
      </c>
      <c r="VZP612" s="5" t="s">
        <v>3728</v>
      </c>
      <c r="VZQ612" s="17">
        <v>44925</v>
      </c>
      <c r="VZR612" s="5" t="s">
        <v>3728</v>
      </c>
      <c r="VZS612" s="17">
        <v>44925</v>
      </c>
      <c r="VZT612" s="5" t="s">
        <v>3728</v>
      </c>
      <c r="VZU612" s="17">
        <v>44925</v>
      </c>
      <c r="VZV612" s="5" t="s">
        <v>3728</v>
      </c>
      <c r="VZW612" s="17">
        <v>44925</v>
      </c>
      <c r="VZX612" s="5" t="s">
        <v>3728</v>
      </c>
      <c r="VZY612" s="17">
        <v>44925</v>
      </c>
      <c r="VZZ612" s="5" t="s">
        <v>3728</v>
      </c>
      <c r="WAA612" s="17">
        <v>44925</v>
      </c>
      <c r="WAB612" s="5" t="s">
        <v>3728</v>
      </c>
      <c r="WAC612" s="17">
        <v>44925</v>
      </c>
      <c r="WAD612" s="5" t="s">
        <v>3728</v>
      </c>
      <c r="WAE612" s="17">
        <v>44925</v>
      </c>
      <c r="WAF612" s="5" t="s">
        <v>3728</v>
      </c>
      <c r="WAG612" s="17">
        <v>44925</v>
      </c>
      <c r="WAH612" s="5" t="s">
        <v>3728</v>
      </c>
      <c r="WAI612" s="17">
        <v>44925</v>
      </c>
      <c r="WAJ612" s="5" t="s">
        <v>3728</v>
      </c>
      <c r="WAK612" s="17">
        <v>44925</v>
      </c>
      <c r="WAL612" s="5" t="s">
        <v>3728</v>
      </c>
      <c r="WAM612" s="17">
        <v>44925</v>
      </c>
      <c r="WAN612" s="5" t="s">
        <v>3728</v>
      </c>
      <c r="WAO612" s="17">
        <v>44925</v>
      </c>
      <c r="WAP612" s="5" t="s">
        <v>3728</v>
      </c>
      <c r="WAQ612" s="17">
        <v>44925</v>
      </c>
      <c r="WAR612" s="5" t="s">
        <v>3728</v>
      </c>
      <c r="WAS612" s="17">
        <v>44925</v>
      </c>
      <c r="WAT612" s="5" t="s">
        <v>3728</v>
      </c>
      <c r="WAU612" s="17">
        <v>44925</v>
      </c>
      <c r="WAV612" s="5" t="s">
        <v>3728</v>
      </c>
      <c r="WAW612" s="17">
        <v>44925</v>
      </c>
      <c r="WAX612" s="5" t="s">
        <v>3728</v>
      </c>
      <c r="WAY612" s="17">
        <v>44925</v>
      </c>
      <c r="WAZ612" s="5" t="s">
        <v>3728</v>
      </c>
      <c r="WBA612" s="17">
        <v>44925</v>
      </c>
      <c r="WBB612" s="5" t="s">
        <v>3728</v>
      </c>
      <c r="WBC612" s="17">
        <v>44925</v>
      </c>
      <c r="WBD612" s="5" t="s">
        <v>3728</v>
      </c>
      <c r="WBE612" s="17">
        <v>44925</v>
      </c>
      <c r="WBF612" s="5" t="s">
        <v>3728</v>
      </c>
      <c r="WBG612" s="17">
        <v>44925</v>
      </c>
      <c r="WBH612" s="5" t="s">
        <v>3728</v>
      </c>
      <c r="WBI612" s="17">
        <v>44925</v>
      </c>
      <c r="WBJ612" s="5" t="s">
        <v>3728</v>
      </c>
      <c r="WBK612" s="17">
        <v>44925</v>
      </c>
      <c r="WBL612" s="5" t="s">
        <v>3728</v>
      </c>
      <c r="WBM612" s="17">
        <v>44925</v>
      </c>
      <c r="WBN612" s="5" t="s">
        <v>3728</v>
      </c>
      <c r="WBO612" s="17">
        <v>44925</v>
      </c>
      <c r="WBP612" s="5" t="s">
        <v>3728</v>
      </c>
      <c r="WBQ612" s="17">
        <v>44925</v>
      </c>
      <c r="WBR612" s="5" t="s">
        <v>3728</v>
      </c>
      <c r="WBS612" s="17">
        <v>44925</v>
      </c>
      <c r="WBT612" s="5" t="s">
        <v>3728</v>
      </c>
      <c r="WBU612" s="17">
        <v>44925</v>
      </c>
      <c r="WBV612" s="5" t="s">
        <v>3728</v>
      </c>
      <c r="WBW612" s="17">
        <v>44925</v>
      </c>
      <c r="WBX612" s="5" t="s">
        <v>3728</v>
      </c>
      <c r="WBY612" s="17">
        <v>44925</v>
      </c>
      <c r="WBZ612" s="5" t="s">
        <v>3728</v>
      </c>
      <c r="WCA612" s="17">
        <v>44925</v>
      </c>
      <c r="WCB612" s="5" t="s">
        <v>3728</v>
      </c>
      <c r="WCC612" s="17">
        <v>44925</v>
      </c>
      <c r="WCD612" s="5" t="s">
        <v>3728</v>
      </c>
      <c r="WCE612" s="17">
        <v>44925</v>
      </c>
      <c r="WCF612" s="5" t="s">
        <v>3728</v>
      </c>
      <c r="WCG612" s="17">
        <v>44925</v>
      </c>
      <c r="WCH612" s="5" t="s">
        <v>3728</v>
      </c>
      <c r="WCI612" s="17">
        <v>44925</v>
      </c>
      <c r="WCJ612" s="5" t="s">
        <v>3728</v>
      </c>
      <c r="WCK612" s="17">
        <v>44925</v>
      </c>
      <c r="WCL612" s="5" t="s">
        <v>3728</v>
      </c>
      <c r="WCM612" s="17">
        <v>44925</v>
      </c>
      <c r="WCN612" s="5" t="s">
        <v>3728</v>
      </c>
      <c r="WCO612" s="17">
        <v>44925</v>
      </c>
      <c r="WCP612" s="5" t="s">
        <v>3728</v>
      </c>
      <c r="WCQ612" s="17">
        <v>44925</v>
      </c>
      <c r="WCR612" s="5" t="s">
        <v>3728</v>
      </c>
      <c r="WCS612" s="17">
        <v>44925</v>
      </c>
      <c r="WCT612" s="5" t="s">
        <v>3728</v>
      </c>
      <c r="WCU612" s="17">
        <v>44925</v>
      </c>
      <c r="WCV612" s="5" t="s">
        <v>3728</v>
      </c>
      <c r="WCW612" s="17">
        <v>44925</v>
      </c>
      <c r="WCX612" s="5" t="s">
        <v>3728</v>
      </c>
      <c r="WCY612" s="17">
        <v>44925</v>
      </c>
      <c r="WCZ612" s="5" t="s">
        <v>3728</v>
      </c>
      <c r="WDA612" s="17">
        <v>44925</v>
      </c>
      <c r="WDB612" s="5" t="s">
        <v>3728</v>
      </c>
      <c r="WDC612" s="17">
        <v>44925</v>
      </c>
      <c r="WDD612" s="5" t="s">
        <v>3728</v>
      </c>
      <c r="WDE612" s="17">
        <v>44925</v>
      </c>
      <c r="WDF612" s="5" t="s">
        <v>3728</v>
      </c>
      <c r="WDG612" s="17">
        <v>44925</v>
      </c>
      <c r="WDH612" s="5" t="s">
        <v>3728</v>
      </c>
      <c r="WDI612" s="17">
        <v>44925</v>
      </c>
      <c r="WDJ612" s="5" t="s">
        <v>3728</v>
      </c>
      <c r="WDK612" s="17">
        <v>44925</v>
      </c>
      <c r="WDL612" s="5" t="s">
        <v>3728</v>
      </c>
      <c r="WDM612" s="17">
        <v>44925</v>
      </c>
      <c r="WDN612" s="5" t="s">
        <v>3728</v>
      </c>
      <c r="WDO612" s="17">
        <v>44925</v>
      </c>
      <c r="WDP612" s="5" t="s">
        <v>3728</v>
      </c>
      <c r="WDQ612" s="17">
        <v>44925</v>
      </c>
      <c r="WDR612" s="5" t="s">
        <v>3728</v>
      </c>
      <c r="WDS612" s="17">
        <v>44925</v>
      </c>
      <c r="WDT612" s="5" t="s">
        <v>3728</v>
      </c>
      <c r="WDU612" s="17">
        <v>44925</v>
      </c>
      <c r="WDV612" s="5" t="s">
        <v>3728</v>
      </c>
      <c r="WDW612" s="17">
        <v>44925</v>
      </c>
      <c r="WDX612" s="5" t="s">
        <v>3728</v>
      </c>
      <c r="WDY612" s="17">
        <v>44925</v>
      </c>
      <c r="WDZ612" s="5" t="s">
        <v>3728</v>
      </c>
      <c r="WEA612" s="17">
        <v>44925</v>
      </c>
      <c r="WEB612" s="5" t="s">
        <v>3728</v>
      </c>
      <c r="WEC612" s="17">
        <v>44925</v>
      </c>
      <c r="WED612" s="5" t="s">
        <v>3728</v>
      </c>
      <c r="WEE612" s="17">
        <v>44925</v>
      </c>
      <c r="WEF612" s="5" t="s">
        <v>3728</v>
      </c>
      <c r="WEG612" s="17">
        <v>44925</v>
      </c>
      <c r="WEH612" s="5" t="s">
        <v>3728</v>
      </c>
      <c r="WEI612" s="17">
        <v>44925</v>
      </c>
      <c r="WEJ612" s="5" t="s">
        <v>3728</v>
      </c>
      <c r="WEK612" s="17">
        <v>44925</v>
      </c>
      <c r="WEL612" s="5" t="s">
        <v>3728</v>
      </c>
      <c r="WEM612" s="17">
        <v>44925</v>
      </c>
      <c r="WEN612" s="5" t="s">
        <v>3728</v>
      </c>
      <c r="WEO612" s="17">
        <v>44925</v>
      </c>
      <c r="WEP612" s="5" t="s">
        <v>3728</v>
      </c>
      <c r="WEQ612" s="17">
        <v>44925</v>
      </c>
      <c r="WER612" s="5" t="s">
        <v>3728</v>
      </c>
      <c r="WES612" s="17">
        <v>44925</v>
      </c>
      <c r="WET612" s="5" t="s">
        <v>3728</v>
      </c>
      <c r="WEU612" s="17">
        <v>44925</v>
      </c>
      <c r="WEV612" s="5" t="s">
        <v>3728</v>
      </c>
      <c r="WEW612" s="17">
        <v>44925</v>
      </c>
      <c r="WEX612" s="5" t="s">
        <v>3728</v>
      </c>
      <c r="WEY612" s="17">
        <v>44925</v>
      </c>
      <c r="WEZ612" s="5" t="s">
        <v>3728</v>
      </c>
      <c r="WFA612" s="17">
        <v>44925</v>
      </c>
      <c r="WFB612" s="5" t="s">
        <v>3728</v>
      </c>
      <c r="WFC612" s="17">
        <v>44925</v>
      </c>
      <c r="WFD612" s="5" t="s">
        <v>3728</v>
      </c>
      <c r="WFE612" s="17">
        <v>44925</v>
      </c>
      <c r="WFF612" s="5" t="s">
        <v>3728</v>
      </c>
      <c r="WFG612" s="17">
        <v>44925</v>
      </c>
      <c r="WFH612" s="5" t="s">
        <v>3728</v>
      </c>
      <c r="WFI612" s="17">
        <v>44925</v>
      </c>
      <c r="WFJ612" s="5" t="s">
        <v>3728</v>
      </c>
      <c r="WFK612" s="17">
        <v>44925</v>
      </c>
      <c r="WFL612" s="5" t="s">
        <v>3728</v>
      </c>
      <c r="WFM612" s="17">
        <v>44925</v>
      </c>
      <c r="WFN612" s="5" t="s">
        <v>3728</v>
      </c>
      <c r="WFO612" s="17">
        <v>44925</v>
      </c>
      <c r="WFP612" s="5" t="s">
        <v>3728</v>
      </c>
      <c r="WFQ612" s="17">
        <v>44925</v>
      </c>
      <c r="WFR612" s="5" t="s">
        <v>3728</v>
      </c>
      <c r="WFS612" s="17">
        <v>44925</v>
      </c>
      <c r="WFT612" s="5" t="s">
        <v>3728</v>
      </c>
      <c r="WFU612" s="17">
        <v>44925</v>
      </c>
      <c r="WFV612" s="5" t="s">
        <v>3728</v>
      </c>
      <c r="WFW612" s="17">
        <v>44925</v>
      </c>
      <c r="WFX612" s="5" t="s">
        <v>3728</v>
      </c>
      <c r="WFY612" s="17">
        <v>44925</v>
      </c>
      <c r="WFZ612" s="5" t="s">
        <v>3728</v>
      </c>
      <c r="WGA612" s="17">
        <v>44925</v>
      </c>
      <c r="WGB612" s="5" t="s">
        <v>3728</v>
      </c>
      <c r="WGC612" s="17">
        <v>44925</v>
      </c>
      <c r="WGD612" s="5" t="s">
        <v>3728</v>
      </c>
      <c r="WGE612" s="17">
        <v>44925</v>
      </c>
      <c r="WGF612" s="5" t="s">
        <v>3728</v>
      </c>
      <c r="WGG612" s="17">
        <v>44925</v>
      </c>
      <c r="WGH612" s="5" t="s">
        <v>3728</v>
      </c>
      <c r="WGI612" s="17">
        <v>44925</v>
      </c>
      <c r="WGJ612" s="5" t="s">
        <v>3728</v>
      </c>
      <c r="WGK612" s="17">
        <v>44925</v>
      </c>
      <c r="WGL612" s="5" t="s">
        <v>3728</v>
      </c>
      <c r="WGM612" s="17">
        <v>44925</v>
      </c>
      <c r="WGN612" s="5" t="s">
        <v>3728</v>
      </c>
      <c r="WGO612" s="17">
        <v>44925</v>
      </c>
      <c r="WGP612" s="5" t="s">
        <v>3728</v>
      </c>
      <c r="WGQ612" s="17">
        <v>44925</v>
      </c>
      <c r="WGR612" s="5" t="s">
        <v>3728</v>
      </c>
      <c r="WGS612" s="17">
        <v>44925</v>
      </c>
      <c r="WGT612" s="5" t="s">
        <v>3728</v>
      </c>
      <c r="WGU612" s="17">
        <v>44925</v>
      </c>
      <c r="WGV612" s="5" t="s">
        <v>3728</v>
      </c>
      <c r="WGW612" s="17">
        <v>44925</v>
      </c>
      <c r="WGX612" s="5" t="s">
        <v>3728</v>
      </c>
      <c r="WGY612" s="17">
        <v>44925</v>
      </c>
      <c r="WGZ612" s="5" t="s">
        <v>3728</v>
      </c>
      <c r="WHA612" s="17">
        <v>44925</v>
      </c>
      <c r="WHB612" s="5" t="s">
        <v>3728</v>
      </c>
      <c r="WHC612" s="17">
        <v>44925</v>
      </c>
      <c r="WHD612" s="5" t="s">
        <v>3728</v>
      </c>
      <c r="WHE612" s="17">
        <v>44925</v>
      </c>
      <c r="WHF612" s="5" t="s">
        <v>3728</v>
      </c>
      <c r="WHG612" s="17">
        <v>44925</v>
      </c>
      <c r="WHH612" s="5" t="s">
        <v>3728</v>
      </c>
      <c r="WHI612" s="17">
        <v>44925</v>
      </c>
      <c r="WHJ612" s="5" t="s">
        <v>3728</v>
      </c>
      <c r="WHK612" s="17">
        <v>44925</v>
      </c>
      <c r="WHL612" s="5" t="s">
        <v>3728</v>
      </c>
      <c r="WHM612" s="17">
        <v>44925</v>
      </c>
      <c r="WHN612" s="5" t="s">
        <v>3728</v>
      </c>
      <c r="WHO612" s="17">
        <v>44925</v>
      </c>
      <c r="WHP612" s="5" t="s">
        <v>3728</v>
      </c>
      <c r="WHQ612" s="17">
        <v>44925</v>
      </c>
      <c r="WHR612" s="5" t="s">
        <v>3728</v>
      </c>
      <c r="WHS612" s="17">
        <v>44925</v>
      </c>
      <c r="WHT612" s="5" t="s">
        <v>3728</v>
      </c>
      <c r="WHU612" s="17">
        <v>44925</v>
      </c>
      <c r="WHV612" s="5" t="s">
        <v>3728</v>
      </c>
      <c r="WHW612" s="17">
        <v>44925</v>
      </c>
      <c r="WHX612" s="5" t="s">
        <v>3728</v>
      </c>
      <c r="WHY612" s="17">
        <v>44925</v>
      </c>
      <c r="WHZ612" s="5" t="s">
        <v>3728</v>
      </c>
      <c r="WIA612" s="17">
        <v>44925</v>
      </c>
      <c r="WIB612" s="5" t="s">
        <v>3728</v>
      </c>
      <c r="WIC612" s="17">
        <v>44925</v>
      </c>
      <c r="WID612" s="5" t="s">
        <v>3728</v>
      </c>
      <c r="WIE612" s="17">
        <v>44925</v>
      </c>
      <c r="WIF612" s="5" t="s">
        <v>3728</v>
      </c>
      <c r="WIG612" s="17">
        <v>44925</v>
      </c>
      <c r="WIH612" s="5" t="s">
        <v>3728</v>
      </c>
      <c r="WII612" s="17">
        <v>44925</v>
      </c>
      <c r="WIJ612" s="5" t="s">
        <v>3728</v>
      </c>
      <c r="WIK612" s="17">
        <v>44925</v>
      </c>
      <c r="WIL612" s="5" t="s">
        <v>3728</v>
      </c>
      <c r="WIM612" s="17">
        <v>44925</v>
      </c>
      <c r="WIN612" s="5" t="s">
        <v>3728</v>
      </c>
      <c r="WIO612" s="17">
        <v>44925</v>
      </c>
      <c r="WIP612" s="5" t="s">
        <v>3728</v>
      </c>
      <c r="WIQ612" s="17">
        <v>44925</v>
      </c>
      <c r="WIR612" s="5" t="s">
        <v>3728</v>
      </c>
      <c r="WIS612" s="17">
        <v>44925</v>
      </c>
      <c r="WIT612" s="5" t="s">
        <v>3728</v>
      </c>
      <c r="WIU612" s="17">
        <v>44925</v>
      </c>
      <c r="WIV612" s="5" t="s">
        <v>3728</v>
      </c>
      <c r="WIW612" s="17">
        <v>44925</v>
      </c>
      <c r="WIX612" s="5" t="s">
        <v>3728</v>
      </c>
      <c r="WIY612" s="17">
        <v>44925</v>
      </c>
      <c r="WIZ612" s="5" t="s">
        <v>3728</v>
      </c>
      <c r="WJA612" s="17">
        <v>44925</v>
      </c>
      <c r="WJB612" s="5" t="s">
        <v>3728</v>
      </c>
      <c r="WJC612" s="17">
        <v>44925</v>
      </c>
      <c r="WJD612" s="5" t="s">
        <v>3728</v>
      </c>
      <c r="WJE612" s="17">
        <v>44925</v>
      </c>
      <c r="WJF612" s="5" t="s">
        <v>3728</v>
      </c>
      <c r="WJG612" s="17">
        <v>44925</v>
      </c>
      <c r="WJH612" s="5" t="s">
        <v>3728</v>
      </c>
      <c r="WJI612" s="17">
        <v>44925</v>
      </c>
      <c r="WJJ612" s="5" t="s">
        <v>3728</v>
      </c>
      <c r="WJK612" s="17">
        <v>44925</v>
      </c>
      <c r="WJL612" s="5" t="s">
        <v>3728</v>
      </c>
      <c r="WJM612" s="17">
        <v>44925</v>
      </c>
      <c r="WJN612" s="5" t="s">
        <v>3728</v>
      </c>
      <c r="WJO612" s="17">
        <v>44925</v>
      </c>
      <c r="WJP612" s="5" t="s">
        <v>3728</v>
      </c>
      <c r="WJQ612" s="17">
        <v>44925</v>
      </c>
      <c r="WJR612" s="5" t="s">
        <v>3728</v>
      </c>
      <c r="WJS612" s="17">
        <v>44925</v>
      </c>
      <c r="WJT612" s="5" t="s">
        <v>3728</v>
      </c>
      <c r="WJU612" s="17">
        <v>44925</v>
      </c>
      <c r="WJV612" s="5" t="s">
        <v>3728</v>
      </c>
      <c r="WJW612" s="17">
        <v>44925</v>
      </c>
      <c r="WJX612" s="5" t="s">
        <v>3728</v>
      </c>
      <c r="WJY612" s="17">
        <v>44925</v>
      </c>
      <c r="WJZ612" s="5" t="s">
        <v>3728</v>
      </c>
      <c r="WKA612" s="17">
        <v>44925</v>
      </c>
      <c r="WKB612" s="5" t="s">
        <v>3728</v>
      </c>
      <c r="WKC612" s="17">
        <v>44925</v>
      </c>
      <c r="WKD612" s="5" t="s">
        <v>3728</v>
      </c>
      <c r="WKE612" s="17">
        <v>44925</v>
      </c>
      <c r="WKF612" s="5" t="s">
        <v>3728</v>
      </c>
      <c r="WKG612" s="17">
        <v>44925</v>
      </c>
      <c r="WKH612" s="5" t="s">
        <v>3728</v>
      </c>
      <c r="WKI612" s="17">
        <v>44925</v>
      </c>
      <c r="WKJ612" s="5" t="s">
        <v>3728</v>
      </c>
      <c r="WKK612" s="17">
        <v>44925</v>
      </c>
      <c r="WKL612" s="5" t="s">
        <v>3728</v>
      </c>
      <c r="WKM612" s="17">
        <v>44925</v>
      </c>
      <c r="WKN612" s="5" t="s">
        <v>3728</v>
      </c>
      <c r="WKO612" s="17">
        <v>44925</v>
      </c>
      <c r="WKP612" s="5" t="s">
        <v>3728</v>
      </c>
      <c r="WKQ612" s="17">
        <v>44925</v>
      </c>
      <c r="WKR612" s="5" t="s">
        <v>3728</v>
      </c>
      <c r="WKS612" s="17">
        <v>44925</v>
      </c>
      <c r="WKT612" s="5" t="s">
        <v>3728</v>
      </c>
      <c r="WKU612" s="17">
        <v>44925</v>
      </c>
      <c r="WKV612" s="5" t="s">
        <v>3728</v>
      </c>
      <c r="WKW612" s="17">
        <v>44925</v>
      </c>
      <c r="WKX612" s="5" t="s">
        <v>3728</v>
      </c>
      <c r="WKY612" s="17">
        <v>44925</v>
      </c>
      <c r="WKZ612" s="5" t="s">
        <v>3728</v>
      </c>
      <c r="WLA612" s="17">
        <v>44925</v>
      </c>
      <c r="WLB612" s="5" t="s">
        <v>3728</v>
      </c>
      <c r="WLC612" s="17">
        <v>44925</v>
      </c>
      <c r="WLD612" s="5" t="s">
        <v>3728</v>
      </c>
      <c r="WLE612" s="17">
        <v>44925</v>
      </c>
      <c r="WLF612" s="5" t="s">
        <v>3728</v>
      </c>
      <c r="WLG612" s="17">
        <v>44925</v>
      </c>
      <c r="WLH612" s="5" t="s">
        <v>3728</v>
      </c>
      <c r="WLI612" s="17">
        <v>44925</v>
      </c>
      <c r="WLJ612" s="5" t="s">
        <v>3728</v>
      </c>
      <c r="WLK612" s="17">
        <v>44925</v>
      </c>
      <c r="WLL612" s="5" t="s">
        <v>3728</v>
      </c>
      <c r="WLM612" s="17">
        <v>44925</v>
      </c>
      <c r="WLN612" s="5" t="s">
        <v>3728</v>
      </c>
      <c r="WLO612" s="17">
        <v>44925</v>
      </c>
      <c r="WLP612" s="5" t="s">
        <v>3728</v>
      </c>
      <c r="WLQ612" s="17">
        <v>44925</v>
      </c>
      <c r="WLR612" s="5" t="s">
        <v>3728</v>
      </c>
      <c r="WLS612" s="17">
        <v>44925</v>
      </c>
      <c r="WLT612" s="5" t="s">
        <v>3728</v>
      </c>
      <c r="WLU612" s="17">
        <v>44925</v>
      </c>
      <c r="WLV612" s="5" t="s">
        <v>3728</v>
      </c>
      <c r="WLW612" s="17">
        <v>44925</v>
      </c>
      <c r="WLX612" s="5" t="s">
        <v>3728</v>
      </c>
      <c r="WLY612" s="17">
        <v>44925</v>
      </c>
      <c r="WLZ612" s="5" t="s">
        <v>3728</v>
      </c>
      <c r="WMA612" s="17">
        <v>44925</v>
      </c>
      <c r="WMB612" s="5" t="s">
        <v>3728</v>
      </c>
      <c r="WMC612" s="17">
        <v>44925</v>
      </c>
      <c r="WMD612" s="5" t="s">
        <v>3728</v>
      </c>
      <c r="WME612" s="17">
        <v>44925</v>
      </c>
      <c r="WMF612" s="5" t="s">
        <v>3728</v>
      </c>
      <c r="WMG612" s="17">
        <v>44925</v>
      </c>
      <c r="WMH612" s="5" t="s">
        <v>3728</v>
      </c>
      <c r="WMI612" s="17">
        <v>44925</v>
      </c>
      <c r="WMJ612" s="5" t="s">
        <v>3728</v>
      </c>
      <c r="WMK612" s="17">
        <v>44925</v>
      </c>
      <c r="WML612" s="5" t="s">
        <v>3728</v>
      </c>
      <c r="WMM612" s="17">
        <v>44925</v>
      </c>
      <c r="WMN612" s="5" t="s">
        <v>3728</v>
      </c>
      <c r="WMO612" s="17">
        <v>44925</v>
      </c>
      <c r="WMP612" s="5" t="s">
        <v>3728</v>
      </c>
      <c r="WMQ612" s="17">
        <v>44925</v>
      </c>
      <c r="WMR612" s="5" t="s">
        <v>3728</v>
      </c>
      <c r="WMS612" s="17">
        <v>44925</v>
      </c>
      <c r="WMT612" s="5" t="s">
        <v>3728</v>
      </c>
      <c r="WMU612" s="17">
        <v>44925</v>
      </c>
      <c r="WMV612" s="5" t="s">
        <v>3728</v>
      </c>
      <c r="WMW612" s="17">
        <v>44925</v>
      </c>
      <c r="WMX612" s="5" t="s">
        <v>3728</v>
      </c>
      <c r="WMY612" s="17">
        <v>44925</v>
      </c>
      <c r="WMZ612" s="5" t="s">
        <v>3728</v>
      </c>
      <c r="WNA612" s="17">
        <v>44925</v>
      </c>
      <c r="WNB612" s="5" t="s">
        <v>3728</v>
      </c>
      <c r="WNC612" s="17">
        <v>44925</v>
      </c>
      <c r="WND612" s="5" t="s">
        <v>3728</v>
      </c>
      <c r="WNE612" s="17">
        <v>44925</v>
      </c>
      <c r="WNF612" s="5" t="s">
        <v>3728</v>
      </c>
      <c r="WNG612" s="17">
        <v>44925</v>
      </c>
      <c r="WNH612" s="5" t="s">
        <v>3728</v>
      </c>
      <c r="WNI612" s="17">
        <v>44925</v>
      </c>
      <c r="WNJ612" s="5" t="s">
        <v>3728</v>
      </c>
      <c r="WNK612" s="17">
        <v>44925</v>
      </c>
      <c r="WNL612" s="5" t="s">
        <v>3728</v>
      </c>
      <c r="WNM612" s="17">
        <v>44925</v>
      </c>
      <c r="WNN612" s="5" t="s">
        <v>3728</v>
      </c>
      <c r="WNO612" s="17">
        <v>44925</v>
      </c>
      <c r="WNP612" s="5" t="s">
        <v>3728</v>
      </c>
      <c r="WNQ612" s="17">
        <v>44925</v>
      </c>
      <c r="WNR612" s="5" t="s">
        <v>3728</v>
      </c>
      <c r="WNS612" s="17">
        <v>44925</v>
      </c>
      <c r="WNT612" s="5" t="s">
        <v>3728</v>
      </c>
      <c r="WNU612" s="17">
        <v>44925</v>
      </c>
      <c r="WNV612" s="5" t="s">
        <v>3728</v>
      </c>
      <c r="WNW612" s="17">
        <v>44925</v>
      </c>
      <c r="WNX612" s="5" t="s">
        <v>3728</v>
      </c>
      <c r="WNY612" s="17">
        <v>44925</v>
      </c>
      <c r="WNZ612" s="5" t="s">
        <v>3728</v>
      </c>
      <c r="WOA612" s="17">
        <v>44925</v>
      </c>
      <c r="WOB612" s="5" t="s">
        <v>3728</v>
      </c>
      <c r="WOC612" s="17">
        <v>44925</v>
      </c>
      <c r="WOD612" s="5" t="s">
        <v>3728</v>
      </c>
      <c r="WOE612" s="17">
        <v>44925</v>
      </c>
      <c r="WOF612" s="5" t="s">
        <v>3728</v>
      </c>
      <c r="WOG612" s="17">
        <v>44925</v>
      </c>
      <c r="WOH612" s="5" t="s">
        <v>3728</v>
      </c>
      <c r="WOI612" s="17">
        <v>44925</v>
      </c>
      <c r="WOJ612" s="5" t="s">
        <v>3728</v>
      </c>
      <c r="WOK612" s="17">
        <v>44925</v>
      </c>
      <c r="WOL612" s="5" t="s">
        <v>3728</v>
      </c>
      <c r="WOM612" s="17">
        <v>44925</v>
      </c>
      <c r="WON612" s="5" t="s">
        <v>3728</v>
      </c>
      <c r="WOO612" s="17">
        <v>44925</v>
      </c>
      <c r="WOP612" s="5" t="s">
        <v>3728</v>
      </c>
      <c r="WOQ612" s="17">
        <v>44925</v>
      </c>
      <c r="WOR612" s="5" t="s">
        <v>3728</v>
      </c>
      <c r="WOS612" s="17">
        <v>44925</v>
      </c>
      <c r="WOT612" s="5" t="s">
        <v>3728</v>
      </c>
      <c r="WOU612" s="17">
        <v>44925</v>
      </c>
      <c r="WOV612" s="5" t="s">
        <v>3728</v>
      </c>
      <c r="WOW612" s="17">
        <v>44925</v>
      </c>
      <c r="WOX612" s="5" t="s">
        <v>3728</v>
      </c>
      <c r="WOY612" s="17">
        <v>44925</v>
      </c>
      <c r="WOZ612" s="5" t="s">
        <v>3728</v>
      </c>
      <c r="WPA612" s="17">
        <v>44925</v>
      </c>
      <c r="WPB612" s="5" t="s">
        <v>3728</v>
      </c>
      <c r="WPC612" s="17">
        <v>44925</v>
      </c>
      <c r="WPD612" s="5" t="s">
        <v>3728</v>
      </c>
      <c r="WPE612" s="17">
        <v>44925</v>
      </c>
      <c r="WPF612" s="5" t="s">
        <v>3728</v>
      </c>
      <c r="WPG612" s="17">
        <v>44925</v>
      </c>
      <c r="WPH612" s="5" t="s">
        <v>3728</v>
      </c>
      <c r="WPI612" s="17">
        <v>44925</v>
      </c>
      <c r="WPJ612" s="5" t="s">
        <v>3728</v>
      </c>
      <c r="WPK612" s="17">
        <v>44925</v>
      </c>
      <c r="WPL612" s="5" t="s">
        <v>3728</v>
      </c>
      <c r="WPM612" s="17">
        <v>44925</v>
      </c>
      <c r="WPN612" s="5" t="s">
        <v>3728</v>
      </c>
      <c r="WPO612" s="17">
        <v>44925</v>
      </c>
      <c r="WPP612" s="5" t="s">
        <v>3728</v>
      </c>
      <c r="WPQ612" s="17">
        <v>44925</v>
      </c>
      <c r="WPR612" s="5" t="s">
        <v>3728</v>
      </c>
      <c r="WPS612" s="17">
        <v>44925</v>
      </c>
      <c r="WPT612" s="5" t="s">
        <v>3728</v>
      </c>
      <c r="WPU612" s="17">
        <v>44925</v>
      </c>
      <c r="WPV612" s="5" t="s">
        <v>3728</v>
      </c>
      <c r="WPW612" s="17">
        <v>44925</v>
      </c>
      <c r="WPX612" s="5" t="s">
        <v>3728</v>
      </c>
      <c r="WPY612" s="17">
        <v>44925</v>
      </c>
      <c r="WPZ612" s="5" t="s">
        <v>3728</v>
      </c>
      <c r="WQA612" s="17">
        <v>44925</v>
      </c>
      <c r="WQB612" s="5" t="s">
        <v>3728</v>
      </c>
      <c r="WQC612" s="17">
        <v>44925</v>
      </c>
      <c r="WQD612" s="5" t="s">
        <v>3728</v>
      </c>
      <c r="WQE612" s="17">
        <v>44925</v>
      </c>
      <c r="WQF612" s="5" t="s">
        <v>3728</v>
      </c>
      <c r="WQG612" s="17">
        <v>44925</v>
      </c>
      <c r="WQH612" s="5" t="s">
        <v>3728</v>
      </c>
      <c r="WQI612" s="17">
        <v>44925</v>
      </c>
      <c r="WQJ612" s="5" t="s">
        <v>3728</v>
      </c>
      <c r="WQK612" s="17">
        <v>44925</v>
      </c>
      <c r="WQL612" s="5" t="s">
        <v>3728</v>
      </c>
      <c r="WQM612" s="17">
        <v>44925</v>
      </c>
      <c r="WQN612" s="5" t="s">
        <v>3728</v>
      </c>
      <c r="WQO612" s="17">
        <v>44925</v>
      </c>
      <c r="WQP612" s="5" t="s">
        <v>3728</v>
      </c>
      <c r="WQQ612" s="17">
        <v>44925</v>
      </c>
      <c r="WQR612" s="5" t="s">
        <v>3728</v>
      </c>
      <c r="WQS612" s="17">
        <v>44925</v>
      </c>
      <c r="WQT612" s="5" t="s">
        <v>3728</v>
      </c>
      <c r="WQU612" s="17">
        <v>44925</v>
      </c>
      <c r="WQV612" s="5" t="s">
        <v>3728</v>
      </c>
      <c r="WQW612" s="17">
        <v>44925</v>
      </c>
      <c r="WQX612" s="5" t="s">
        <v>3728</v>
      </c>
      <c r="WQY612" s="17">
        <v>44925</v>
      </c>
      <c r="WQZ612" s="5" t="s">
        <v>3728</v>
      </c>
      <c r="WRA612" s="17">
        <v>44925</v>
      </c>
      <c r="WRB612" s="5" t="s">
        <v>3728</v>
      </c>
      <c r="WRC612" s="17">
        <v>44925</v>
      </c>
      <c r="WRD612" s="5" t="s">
        <v>3728</v>
      </c>
      <c r="WRE612" s="17">
        <v>44925</v>
      </c>
      <c r="WRF612" s="5" t="s">
        <v>3728</v>
      </c>
      <c r="WRG612" s="17">
        <v>44925</v>
      </c>
      <c r="WRH612" s="5" t="s">
        <v>3728</v>
      </c>
      <c r="WRI612" s="17">
        <v>44925</v>
      </c>
      <c r="WRJ612" s="5" t="s">
        <v>3728</v>
      </c>
      <c r="WRK612" s="17">
        <v>44925</v>
      </c>
      <c r="WRL612" s="5" t="s">
        <v>3728</v>
      </c>
      <c r="WRM612" s="17">
        <v>44925</v>
      </c>
      <c r="WRN612" s="5" t="s">
        <v>3728</v>
      </c>
      <c r="WRO612" s="17">
        <v>44925</v>
      </c>
      <c r="WRP612" s="5" t="s">
        <v>3728</v>
      </c>
      <c r="WRQ612" s="17">
        <v>44925</v>
      </c>
      <c r="WRR612" s="5" t="s">
        <v>3728</v>
      </c>
      <c r="WRS612" s="17">
        <v>44925</v>
      </c>
      <c r="WRT612" s="5" t="s">
        <v>3728</v>
      </c>
      <c r="WRU612" s="17">
        <v>44925</v>
      </c>
      <c r="WRV612" s="5" t="s">
        <v>3728</v>
      </c>
      <c r="WRW612" s="17">
        <v>44925</v>
      </c>
      <c r="WRX612" s="5" t="s">
        <v>3728</v>
      </c>
      <c r="WRY612" s="17">
        <v>44925</v>
      </c>
      <c r="WRZ612" s="5" t="s">
        <v>3728</v>
      </c>
      <c r="WSA612" s="17">
        <v>44925</v>
      </c>
      <c r="WSB612" s="5" t="s">
        <v>3728</v>
      </c>
      <c r="WSC612" s="17">
        <v>44925</v>
      </c>
      <c r="WSD612" s="5" t="s">
        <v>3728</v>
      </c>
      <c r="WSE612" s="17">
        <v>44925</v>
      </c>
      <c r="WSF612" s="5" t="s">
        <v>3728</v>
      </c>
      <c r="WSG612" s="17">
        <v>44925</v>
      </c>
      <c r="WSH612" s="5" t="s">
        <v>3728</v>
      </c>
      <c r="WSI612" s="17">
        <v>44925</v>
      </c>
      <c r="WSJ612" s="5" t="s">
        <v>3728</v>
      </c>
      <c r="WSK612" s="17">
        <v>44925</v>
      </c>
      <c r="WSL612" s="5" t="s">
        <v>3728</v>
      </c>
      <c r="WSM612" s="17">
        <v>44925</v>
      </c>
      <c r="WSN612" s="5" t="s">
        <v>3728</v>
      </c>
      <c r="WSO612" s="17">
        <v>44925</v>
      </c>
      <c r="WSP612" s="5" t="s">
        <v>3728</v>
      </c>
      <c r="WSQ612" s="17">
        <v>44925</v>
      </c>
      <c r="WSR612" s="5" t="s">
        <v>3728</v>
      </c>
      <c r="WSS612" s="17">
        <v>44925</v>
      </c>
      <c r="WST612" s="5" t="s">
        <v>3728</v>
      </c>
      <c r="WSU612" s="17">
        <v>44925</v>
      </c>
      <c r="WSV612" s="5" t="s">
        <v>3728</v>
      </c>
      <c r="WSW612" s="17">
        <v>44925</v>
      </c>
      <c r="WSX612" s="5" t="s">
        <v>3728</v>
      </c>
      <c r="WSY612" s="17">
        <v>44925</v>
      </c>
      <c r="WSZ612" s="5" t="s">
        <v>3728</v>
      </c>
      <c r="WTA612" s="17">
        <v>44925</v>
      </c>
      <c r="WTB612" s="5" t="s">
        <v>3728</v>
      </c>
      <c r="WTC612" s="17">
        <v>44925</v>
      </c>
      <c r="WTD612" s="5" t="s">
        <v>3728</v>
      </c>
      <c r="WTE612" s="17">
        <v>44925</v>
      </c>
      <c r="WTF612" s="5" t="s">
        <v>3728</v>
      </c>
      <c r="WTG612" s="17">
        <v>44925</v>
      </c>
      <c r="WTH612" s="5" t="s">
        <v>3728</v>
      </c>
      <c r="WTI612" s="17">
        <v>44925</v>
      </c>
      <c r="WTJ612" s="5" t="s">
        <v>3728</v>
      </c>
      <c r="WTK612" s="17">
        <v>44925</v>
      </c>
      <c r="WTL612" s="5" t="s">
        <v>3728</v>
      </c>
      <c r="WTM612" s="17">
        <v>44925</v>
      </c>
      <c r="WTN612" s="5" t="s">
        <v>3728</v>
      </c>
      <c r="WTO612" s="17">
        <v>44925</v>
      </c>
      <c r="WTP612" s="5" t="s">
        <v>3728</v>
      </c>
      <c r="WTQ612" s="17">
        <v>44925</v>
      </c>
      <c r="WTR612" s="5" t="s">
        <v>3728</v>
      </c>
      <c r="WTS612" s="17">
        <v>44925</v>
      </c>
      <c r="WTT612" s="5" t="s">
        <v>3728</v>
      </c>
      <c r="WTU612" s="17">
        <v>44925</v>
      </c>
      <c r="WTV612" s="5" t="s">
        <v>3728</v>
      </c>
      <c r="WTW612" s="17">
        <v>44925</v>
      </c>
      <c r="WTX612" s="5" t="s">
        <v>3728</v>
      </c>
      <c r="WTY612" s="17">
        <v>44925</v>
      </c>
      <c r="WTZ612" s="5" t="s">
        <v>3728</v>
      </c>
      <c r="WUA612" s="17">
        <v>44925</v>
      </c>
      <c r="WUB612" s="5" t="s">
        <v>3728</v>
      </c>
      <c r="WUC612" s="17">
        <v>44925</v>
      </c>
      <c r="WUD612" s="5" t="s">
        <v>3728</v>
      </c>
      <c r="WUE612" s="17">
        <v>44925</v>
      </c>
      <c r="WUF612" s="5" t="s">
        <v>3728</v>
      </c>
      <c r="WUG612" s="17">
        <v>44925</v>
      </c>
      <c r="WUH612" s="5" t="s">
        <v>3728</v>
      </c>
      <c r="WUI612" s="17">
        <v>44925</v>
      </c>
      <c r="WUJ612" s="5" t="s">
        <v>3728</v>
      </c>
      <c r="WUK612" s="17">
        <v>44925</v>
      </c>
      <c r="WUL612" s="5" t="s">
        <v>3728</v>
      </c>
      <c r="WUM612" s="17">
        <v>44925</v>
      </c>
      <c r="WUN612" s="5" t="s">
        <v>3728</v>
      </c>
      <c r="WUO612" s="17">
        <v>44925</v>
      </c>
      <c r="WUP612" s="5" t="s">
        <v>3728</v>
      </c>
      <c r="WUQ612" s="17">
        <v>44925</v>
      </c>
      <c r="WUR612" s="5" t="s">
        <v>3728</v>
      </c>
      <c r="WUS612" s="17">
        <v>44925</v>
      </c>
      <c r="WUT612" s="5" t="s">
        <v>3728</v>
      </c>
      <c r="WUU612" s="17">
        <v>44925</v>
      </c>
      <c r="WUV612" s="5" t="s">
        <v>3728</v>
      </c>
      <c r="WUW612" s="17">
        <v>44925</v>
      </c>
      <c r="WUX612" s="5" t="s">
        <v>3728</v>
      </c>
      <c r="WUY612" s="17">
        <v>44925</v>
      </c>
      <c r="WUZ612" s="5" t="s">
        <v>3728</v>
      </c>
      <c r="WVA612" s="17">
        <v>44925</v>
      </c>
      <c r="WVB612" s="5" t="s">
        <v>3728</v>
      </c>
      <c r="WVC612" s="17">
        <v>44925</v>
      </c>
      <c r="WVD612" s="5" t="s">
        <v>3728</v>
      </c>
      <c r="WVE612" s="17">
        <v>44925</v>
      </c>
      <c r="WVF612" s="5" t="s">
        <v>3728</v>
      </c>
      <c r="WVG612" s="17">
        <v>44925</v>
      </c>
      <c r="WVH612" s="5" t="s">
        <v>3728</v>
      </c>
      <c r="WVI612" s="17">
        <v>44925</v>
      </c>
      <c r="WVJ612" s="5" t="s">
        <v>3728</v>
      </c>
      <c r="WVK612" s="17">
        <v>44925</v>
      </c>
      <c r="WVL612" s="5" t="s">
        <v>3728</v>
      </c>
      <c r="WVM612" s="17">
        <v>44925</v>
      </c>
      <c r="WVN612" s="5" t="s">
        <v>3728</v>
      </c>
      <c r="WVO612" s="17">
        <v>44925</v>
      </c>
      <c r="WVP612" s="5" t="s">
        <v>3728</v>
      </c>
      <c r="WVQ612" s="17">
        <v>44925</v>
      </c>
      <c r="WVR612" s="5" t="s">
        <v>3728</v>
      </c>
      <c r="WVS612" s="17">
        <v>44925</v>
      </c>
      <c r="WVT612" s="5" t="s">
        <v>3728</v>
      </c>
      <c r="WVU612" s="17">
        <v>44925</v>
      </c>
      <c r="WVV612" s="5" t="s">
        <v>3728</v>
      </c>
      <c r="WVW612" s="17">
        <v>44925</v>
      </c>
      <c r="WVX612" s="5" t="s">
        <v>3728</v>
      </c>
      <c r="WVY612" s="17">
        <v>44925</v>
      </c>
      <c r="WVZ612" s="5" t="s">
        <v>3728</v>
      </c>
      <c r="WWA612" s="17">
        <v>44925</v>
      </c>
      <c r="WWB612" s="5" t="s">
        <v>3728</v>
      </c>
      <c r="WWC612" s="17">
        <v>44925</v>
      </c>
      <c r="WWD612" s="5" t="s">
        <v>3728</v>
      </c>
      <c r="WWE612" s="17">
        <v>44925</v>
      </c>
      <c r="WWF612" s="5" t="s">
        <v>3728</v>
      </c>
      <c r="WWG612" s="17">
        <v>44925</v>
      </c>
      <c r="WWH612" s="5" t="s">
        <v>3728</v>
      </c>
      <c r="WWI612" s="17">
        <v>44925</v>
      </c>
      <c r="WWJ612" s="5" t="s">
        <v>3728</v>
      </c>
      <c r="WWK612" s="17">
        <v>44925</v>
      </c>
      <c r="WWL612" s="5" t="s">
        <v>3728</v>
      </c>
      <c r="WWM612" s="17">
        <v>44925</v>
      </c>
      <c r="WWN612" s="5" t="s">
        <v>3728</v>
      </c>
      <c r="WWO612" s="17">
        <v>44925</v>
      </c>
      <c r="WWP612" s="5" t="s">
        <v>3728</v>
      </c>
      <c r="WWQ612" s="17">
        <v>44925</v>
      </c>
      <c r="WWR612" s="5" t="s">
        <v>3728</v>
      </c>
      <c r="WWS612" s="17">
        <v>44925</v>
      </c>
      <c r="WWT612" s="5" t="s">
        <v>3728</v>
      </c>
      <c r="WWU612" s="17">
        <v>44925</v>
      </c>
      <c r="WWV612" s="5" t="s">
        <v>3728</v>
      </c>
      <c r="WWW612" s="17">
        <v>44925</v>
      </c>
      <c r="WWX612" s="5" t="s">
        <v>3728</v>
      </c>
      <c r="WWY612" s="17">
        <v>44925</v>
      </c>
      <c r="WWZ612" s="5" t="s">
        <v>3728</v>
      </c>
      <c r="WXA612" s="17">
        <v>44925</v>
      </c>
      <c r="WXB612" s="5" t="s">
        <v>3728</v>
      </c>
      <c r="WXC612" s="17">
        <v>44925</v>
      </c>
      <c r="WXD612" s="5" t="s">
        <v>3728</v>
      </c>
      <c r="WXE612" s="17">
        <v>44925</v>
      </c>
      <c r="WXF612" s="5" t="s">
        <v>3728</v>
      </c>
      <c r="WXG612" s="17">
        <v>44925</v>
      </c>
      <c r="WXH612" s="5" t="s">
        <v>3728</v>
      </c>
      <c r="WXI612" s="17">
        <v>44925</v>
      </c>
      <c r="WXJ612" s="5" t="s">
        <v>3728</v>
      </c>
      <c r="WXK612" s="17">
        <v>44925</v>
      </c>
      <c r="WXL612" s="5" t="s">
        <v>3728</v>
      </c>
      <c r="WXM612" s="17">
        <v>44925</v>
      </c>
      <c r="WXN612" s="5" t="s">
        <v>3728</v>
      </c>
      <c r="WXO612" s="17">
        <v>44925</v>
      </c>
      <c r="WXP612" s="5" t="s">
        <v>3728</v>
      </c>
      <c r="WXQ612" s="17">
        <v>44925</v>
      </c>
      <c r="WXR612" s="5" t="s">
        <v>3728</v>
      </c>
      <c r="WXS612" s="17">
        <v>44925</v>
      </c>
      <c r="WXT612" s="5" t="s">
        <v>3728</v>
      </c>
      <c r="WXU612" s="17">
        <v>44925</v>
      </c>
      <c r="WXV612" s="5" t="s">
        <v>3728</v>
      </c>
      <c r="WXW612" s="17">
        <v>44925</v>
      </c>
      <c r="WXX612" s="5" t="s">
        <v>3728</v>
      </c>
      <c r="WXY612" s="17">
        <v>44925</v>
      </c>
      <c r="WXZ612" s="5" t="s">
        <v>3728</v>
      </c>
      <c r="WYA612" s="17">
        <v>44925</v>
      </c>
      <c r="WYB612" s="5" t="s">
        <v>3728</v>
      </c>
      <c r="WYC612" s="17">
        <v>44925</v>
      </c>
      <c r="WYD612" s="5" t="s">
        <v>3728</v>
      </c>
      <c r="WYE612" s="17">
        <v>44925</v>
      </c>
      <c r="WYF612" s="5" t="s">
        <v>3728</v>
      </c>
      <c r="WYG612" s="17">
        <v>44925</v>
      </c>
      <c r="WYH612" s="5" t="s">
        <v>3728</v>
      </c>
      <c r="WYI612" s="17">
        <v>44925</v>
      </c>
      <c r="WYJ612" s="5" t="s">
        <v>3728</v>
      </c>
      <c r="WYK612" s="17">
        <v>44925</v>
      </c>
      <c r="WYL612" s="5" t="s">
        <v>3728</v>
      </c>
      <c r="WYM612" s="17">
        <v>44925</v>
      </c>
      <c r="WYN612" s="5" t="s">
        <v>3728</v>
      </c>
      <c r="WYO612" s="17">
        <v>44925</v>
      </c>
      <c r="WYP612" s="5" t="s">
        <v>3728</v>
      </c>
      <c r="WYQ612" s="17">
        <v>44925</v>
      </c>
      <c r="WYR612" s="5" t="s">
        <v>3728</v>
      </c>
      <c r="WYS612" s="17">
        <v>44925</v>
      </c>
      <c r="WYT612" s="5" t="s">
        <v>3728</v>
      </c>
      <c r="WYU612" s="17">
        <v>44925</v>
      </c>
      <c r="WYV612" s="5" t="s">
        <v>3728</v>
      </c>
      <c r="WYW612" s="17">
        <v>44925</v>
      </c>
      <c r="WYX612" s="5" t="s">
        <v>3728</v>
      </c>
      <c r="WYY612" s="17">
        <v>44925</v>
      </c>
      <c r="WYZ612" s="5" t="s">
        <v>3728</v>
      </c>
      <c r="WZA612" s="17">
        <v>44925</v>
      </c>
      <c r="WZB612" s="5" t="s">
        <v>3728</v>
      </c>
      <c r="WZC612" s="17">
        <v>44925</v>
      </c>
      <c r="WZD612" s="5" t="s">
        <v>3728</v>
      </c>
      <c r="WZE612" s="17">
        <v>44925</v>
      </c>
      <c r="WZF612" s="5" t="s">
        <v>3728</v>
      </c>
      <c r="WZG612" s="17">
        <v>44925</v>
      </c>
      <c r="WZH612" s="5" t="s">
        <v>3728</v>
      </c>
      <c r="WZI612" s="17">
        <v>44925</v>
      </c>
      <c r="WZJ612" s="5" t="s">
        <v>3728</v>
      </c>
      <c r="WZK612" s="17">
        <v>44925</v>
      </c>
      <c r="WZL612" s="5" t="s">
        <v>3728</v>
      </c>
      <c r="WZM612" s="17">
        <v>44925</v>
      </c>
      <c r="WZN612" s="5" t="s">
        <v>3728</v>
      </c>
      <c r="WZO612" s="17">
        <v>44925</v>
      </c>
      <c r="WZP612" s="5" t="s">
        <v>3728</v>
      </c>
      <c r="WZQ612" s="17">
        <v>44925</v>
      </c>
      <c r="WZR612" s="5" t="s">
        <v>3728</v>
      </c>
      <c r="WZS612" s="17">
        <v>44925</v>
      </c>
      <c r="WZT612" s="5" t="s">
        <v>3728</v>
      </c>
      <c r="WZU612" s="17">
        <v>44925</v>
      </c>
      <c r="WZV612" s="5" t="s">
        <v>3728</v>
      </c>
      <c r="WZW612" s="17">
        <v>44925</v>
      </c>
      <c r="WZX612" s="5" t="s">
        <v>3728</v>
      </c>
      <c r="WZY612" s="17">
        <v>44925</v>
      </c>
      <c r="WZZ612" s="5" t="s">
        <v>3728</v>
      </c>
      <c r="XAA612" s="17">
        <v>44925</v>
      </c>
      <c r="XAB612" s="5" t="s">
        <v>3728</v>
      </c>
      <c r="XAC612" s="17">
        <v>44925</v>
      </c>
      <c r="XAD612" s="5" t="s">
        <v>3728</v>
      </c>
      <c r="XAE612" s="17">
        <v>44925</v>
      </c>
      <c r="XAF612" s="5" t="s">
        <v>3728</v>
      </c>
      <c r="XAG612" s="17">
        <v>44925</v>
      </c>
      <c r="XAH612" s="5" t="s">
        <v>3728</v>
      </c>
      <c r="XAI612" s="17">
        <v>44925</v>
      </c>
      <c r="XAJ612" s="5" t="s">
        <v>3728</v>
      </c>
      <c r="XAK612" s="17">
        <v>44925</v>
      </c>
      <c r="XAL612" s="5" t="s">
        <v>3728</v>
      </c>
      <c r="XAM612" s="17">
        <v>44925</v>
      </c>
      <c r="XAN612" s="5" t="s">
        <v>3728</v>
      </c>
      <c r="XAO612" s="17">
        <v>44925</v>
      </c>
      <c r="XAP612" s="5" t="s">
        <v>3728</v>
      </c>
      <c r="XAQ612" s="17">
        <v>44925</v>
      </c>
      <c r="XAR612" s="5" t="s">
        <v>3728</v>
      </c>
      <c r="XAS612" s="17">
        <v>44925</v>
      </c>
      <c r="XAT612" s="5" t="s">
        <v>3728</v>
      </c>
      <c r="XAU612" s="17">
        <v>44925</v>
      </c>
      <c r="XAV612" s="5" t="s">
        <v>3728</v>
      </c>
      <c r="XAW612" s="17">
        <v>44925</v>
      </c>
      <c r="XAX612" s="5" t="s">
        <v>3728</v>
      </c>
      <c r="XAY612" s="17">
        <v>44925</v>
      </c>
      <c r="XAZ612" s="5" t="s">
        <v>3728</v>
      </c>
      <c r="XBA612" s="17">
        <v>44925</v>
      </c>
      <c r="XBB612" s="5" t="s">
        <v>3728</v>
      </c>
      <c r="XBC612" s="17">
        <v>44925</v>
      </c>
      <c r="XBD612" s="5" t="s">
        <v>3728</v>
      </c>
      <c r="XBE612" s="17">
        <v>44925</v>
      </c>
      <c r="XBF612" s="5" t="s">
        <v>3728</v>
      </c>
      <c r="XBG612" s="17">
        <v>44925</v>
      </c>
      <c r="XBH612" s="5" t="s">
        <v>3728</v>
      </c>
      <c r="XBI612" s="17">
        <v>44925</v>
      </c>
      <c r="XBJ612" s="5" t="s">
        <v>3728</v>
      </c>
      <c r="XBK612" s="17">
        <v>44925</v>
      </c>
      <c r="XBL612" s="5" t="s">
        <v>3728</v>
      </c>
      <c r="XBM612" s="17">
        <v>44925</v>
      </c>
      <c r="XBN612" s="5" t="s">
        <v>3728</v>
      </c>
      <c r="XBO612" s="17">
        <v>44925</v>
      </c>
      <c r="XBP612" s="5" t="s">
        <v>3728</v>
      </c>
      <c r="XBQ612" s="17">
        <v>44925</v>
      </c>
      <c r="XBR612" s="5" t="s">
        <v>3728</v>
      </c>
      <c r="XBS612" s="17">
        <v>44925</v>
      </c>
      <c r="XBT612" s="5" t="s">
        <v>3728</v>
      </c>
      <c r="XBU612" s="17">
        <v>44925</v>
      </c>
      <c r="XBV612" s="5" t="s">
        <v>3728</v>
      </c>
      <c r="XBW612" s="17">
        <v>44925</v>
      </c>
      <c r="XBX612" s="5" t="s">
        <v>3728</v>
      </c>
      <c r="XBY612" s="17">
        <v>44925</v>
      </c>
      <c r="XBZ612" s="5" t="s">
        <v>3728</v>
      </c>
      <c r="XCA612" s="17">
        <v>44925</v>
      </c>
      <c r="XCB612" s="5" t="s">
        <v>3728</v>
      </c>
      <c r="XCC612" s="17">
        <v>44925</v>
      </c>
      <c r="XCD612" s="5" t="s">
        <v>3728</v>
      </c>
      <c r="XCE612" s="17">
        <v>44925</v>
      </c>
      <c r="XCF612" s="5" t="s">
        <v>3728</v>
      </c>
      <c r="XCG612" s="17">
        <v>44925</v>
      </c>
      <c r="XCH612" s="5" t="s">
        <v>3728</v>
      </c>
      <c r="XCI612" s="17">
        <v>44925</v>
      </c>
      <c r="XCJ612" s="5" t="s">
        <v>3728</v>
      </c>
      <c r="XCK612" s="17">
        <v>44925</v>
      </c>
      <c r="XCL612" s="5" t="s">
        <v>3728</v>
      </c>
      <c r="XCM612" s="17">
        <v>44925</v>
      </c>
      <c r="XCN612" s="5" t="s">
        <v>3728</v>
      </c>
      <c r="XCO612" s="17">
        <v>44925</v>
      </c>
      <c r="XCP612" s="5" t="s">
        <v>3728</v>
      </c>
      <c r="XCQ612" s="17">
        <v>44925</v>
      </c>
      <c r="XCR612" s="5" t="s">
        <v>3728</v>
      </c>
      <c r="XCS612" s="17">
        <v>44925</v>
      </c>
      <c r="XCT612" s="5" t="s">
        <v>3728</v>
      </c>
      <c r="XCU612" s="17">
        <v>44925</v>
      </c>
      <c r="XCV612" s="5" t="s">
        <v>3728</v>
      </c>
      <c r="XCW612" s="17">
        <v>44925</v>
      </c>
      <c r="XCX612" s="5" t="s">
        <v>3728</v>
      </c>
      <c r="XCY612" s="17">
        <v>44925</v>
      </c>
      <c r="XCZ612" s="5" t="s">
        <v>3728</v>
      </c>
      <c r="XDA612" s="17">
        <v>44925</v>
      </c>
      <c r="XDB612" s="5" t="s">
        <v>3728</v>
      </c>
      <c r="XDC612" s="17">
        <v>44925</v>
      </c>
      <c r="XDD612" s="5" t="s">
        <v>3728</v>
      </c>
      <c r="XDE612" s="17">
        <v>44925</v>
      </c>
      <c r="XDF612" s="5" t="s">
        <v>3728</v>
      </c>
      <c r="XDG612" s="17">
        <v>44925</v>
      </c>
      <c r="XDH612" s="5" t="s">
        <v>3728</v>
      </c>
      <c r="XDI612" s="17">
        <v>44925</v>
      </c>
      <c r="XDJ612" s="5" t="s">
        <v>3728</v>
      </c>
      <c r="XDK612" s="17">
        <v>44925</v>
      </c>
      <c r="XDL612" s="5" t="s">
        <v>3728</v>
      </c>
      <c r="XDM612" s="17">
        <v>44925</v>
      </c>
      <c r="XDN612" s="5" t="s">
        <v>3728</v>
      </c>
      <c r="XDO612" s="17">
        <v>44925</v>
      </c>
      <c r="XDP612" s="5" t="s">
        <v>3728</v>
      </c>
      <c r="XDQ612" s="17">
        <v>44925</v>
      </c>
      <c r="XDR612" s="5" t="s">
        <v>3728</v>
      </c>
      <c r="XDS612" s="17">
        <v>44925</v>
      </c>
      <c r="XDT612" s="5" t="s">
        <v>3728</v>
      </c>
      <c r="XDU612" s="17">
        <v>44925</v>
      </c>
      <c r="XDV612" s="5" t="s">
        <v>3728</v>
      </c>
      <c r="XDW612" s="17">
        <v>44925</v>
      </c>
      <c r="XDX612" s="5" t="s">
        <v>3728</v>
      </c>
      <c r="XDY612" s="17">
        <v>44925</v>
      </c>
      <c r="XDZ612" s="5" t="s">
        <v>3728</v>
      </c>
      <c r="XEA612" s="17">
        <v>44925</v>
      </c>
      <c r="XEB612" s="5" t="s">
        <v>3728</v>
      </c>
      <c r="XEC612" s="17">
        <v>44925</v>
      </c>
      <c r="XED612" s="5" t="s">
        <v>3728</v>
      </c>
      <c r="XEE612" s="17">
        <v>44925</v>
      </c>
      <c r="XEF612" s="5" t="s">
        <v>3728</v>
      </c>
      <c r="XEG612" s="17">
        <v>44925</v>
      </c>
      <c r="XEH612" s="5" t="s">
        <v>3728</v>
      </c>
      <c r="XEI612" s="17">
        <v>44925</v>
      </c>
      <c r="XEJ612" s="5" t="s">
        <v>3728</v>
      </c>
      <c r="XEK612" s="17">
        <v>44925</v>
      </c>
      <c r="XEL612" s="5" t="s">
        <v>3728</v>
      </c>
      <c r="XEM612" s="17">
        <v>44925</v>
      </c>
      <c r="XEN612" s="5" t="s">
        <v>3728</v>
      </c>
      <c r="XEO612" s="17">
        <v>44925</v>
      </c>
      <c r="XEP612" s="5" t="s">
        <v>3728</v>
      </c>
      <c r="XEQ612" s="17">
        <v>44925</v>
      </c>
      <c r="XER612" s="5" t="s">
        <v>3728</v>
      </c>
      <c r="XES612" s="17">
        <v>44925</v>
      </c>
      <c r="XET612" s="5" t="s">
        <v>3728</v>
      </c>
      <c r="XEU612" s="17">
        <v>44925</v>
      </c>
      <c r="XEV612" s="5" t="s">
        <v>3728</v>
      </c>
      <c r="XEW612" s="17">
        <v>44925</v>
      </c>
      <c r="XEX612" s="5" t="s">
        <v>3728</v>
      </c>
      <c r="XEY612" s="17">
        <v>44925</v>
      </c>
      <c r="XEZ612" s="5" t="s">
        <v>3728</v>
      </c>
      <c r="XFA612" s="17">
        <v>44925</v>
      </c>
      <c r="XFB612" s="5" t="s">
        <v>3728</v>
      </c>
    </row>
    <row r="613" spans="1:16382" ht="17.25" customHeight="1" x14ac:dyDescent="0.3">
      <c r="A613" s="169">
        <f t="shared" si="66"/>
        <v>527</v>
      </c>
      <c r="B613" s="21" t="s">
        <v>613</v>
      </c>
      <c r="C613" s="5">
        <v>1959</v>
      </c>
      <c r="D613" s="3"/>
      <c r="E613" s="15" t="s">
        <v>3645</v>
      </c>
      <c r="F613" s="15">
        <v>3</v>
      </c>
      <c r="G613" s="100"/>
      <c r="H613" s="15">
        <v>1422.65</v>
      </c>
      <c r="I613" s="15">
        <v>67</v>
      </c>
      <c r="J613" s="19">
        <f t="shared" si="70"/>
        <v>313872.03000000003</v>
      </c>
      <c r="K613" s="105"/>
      <c r="L613" s="105"/>
      <c r="M613" s="105"/>
      <c r="N613" s="19">
        <f>SUMIF('2020'!B:B,B613,'2020'!C:C)+SUMIF('2021'!B:B,B613,'2021'!C:C)+SUMIF('2022'!B:B,B613,'2022'!C:C)</f>
        <v>313872.03000000003</v>
      </c>
      <c r="O613" s="17">
        <v>44925</v>
      </c>
      <c r="P613" s="5" t="s">
        <v>3728</v>
      </c>
      <c r="Q613" s="17">
        <v>44925</v>
      </c>
      <c r="R613" s="5" t="s">
        <v>3728</v>
      </c>
      <c r="S613" s="17">
        <v>44925</v>
      </c>
      <c r="T613" s="5" t="s">
        <v>3728</v>
      </c>
      <c r="U613" s="17">
        <v>44925</v>
      </c>
      <c r="V613" s="5" t="s">
        <v>3728</v>
      </c>
      <c r="W613" s="17">
        <v>44925</v>
      </c>
      <c r="X613" s="5" t="s">
        <v>3728</v>
      </c>
      <c r="Y613" s="17">
        <v>44925</v>
      </c>
      <c r="Z613" s="5" t="s">
        <v>3728</v>
      </c>
      <c r="AA613" s="17">
        <v>44925</v>
      </c>
      <c r="AB613" s="5" t="s">
        <v>3728</v>
      </c>
      <c r="AC613" s="17">
        <v>44925</v>
      </c>
      <c r="AD613" s="5" t="s">
        <v>3728</v>
      </c>
      <c r="AE613" s="17">
        <v>44925</v>
      </c>
      <c r="AF613" s="5" t="s">
        <v>3728</v>
      </c>
      <c r="AG613" s="17">
        <v>44925</v>
      </c>
      <c r="AH613" s="5" t="s">
        <v>3728</v>
      </c>
      <c r="AI613" s="17">
        <v>44925</v>
      </c>
      <c r="AJ613" s="5" t="s">
        <v>3728</v>
      </c>
      <c r="AK613" s="17">
        <v>44925</v>
      </c>
      <c r="AL613" s="5" t="s">
        <v>3728</v>
      </c>
      <c r="AM613" s="17">
        <v>44925</v>
      </c>
      <c r="AN613" s="5" t="s">
        <v>3728</v>
      </c>
      <c r="AO613" s="17">
        <v>44925</v>
      </c>
      <c r="AP613" s="5" t="s">
        <v>3728</v>
      </c>
      <c r="AQ613" s="17">
        <v>44925</v>
      </c>
      <c r="AR613" s="5" t="s">
        <v>3728</v>
      </c>
      <c r="AS613" s="17">
        <v>44925</v>
      </c>
      <c r="AT613" s="5" t="s">
        <v>3728</v>
      </c>
      <c r="AU613" s="17">
        <v>44925</v>
      </c>
      <c r="AV613" s="5" t="s">
        <v>3728</v>
      </c>
      <c r="AW613" s="17">
        <v>44925</v>
      </c>
      <c r="AX613" s="5" t="s">
        <v>3728</v>
      </c>
      <c r="AY613" s="17">
        <v>44925</v>
      </c>
      <c r="AZ613" s="5" t="s">
        <v>3728</v>
      </c>
      <c r="BA613" s="17">
        <v>44925</v>
      </c>
      <c r="BB613" s="5" t="s">
        <v>3728</v>
      </c>
      <c r="BC613" s="17">
        <v>44925</v>
      </c>
      <c r="BD613" s="5" t="s">
        <v>3728</v>
      </c>
      <c r="BE613" s="17">
        <v>44925</v>
      </c>
      <c r="BF613" s="5" t="s">
        <v>3728</v>
      </c>
      <c r="BG613" s="17">
        <v>44925</v>
      </c>
      <c r="BH613" s="5" t="s">
        <v>3728</v>
      </c>
      <c r="BI613" s="17">
        <v>44925</v>
      </c>
      <c r="BJ613" s="5" t="s">
        <v>3728</v>
      </c>
      <c r="BK613" s="17">
        <v>44925</v>
      </c>
      <c r="BL613" s="5" t="s">
        <v>3728</v>
      </c>
      <c r="BM613" s="17">
        <v>44925</v>
      </c>
      <c r="BN613" s="5" t="s">
        <v>3728</v>
      </c>
      <c r="BO613" s="17">
        <v>44925</v>
      </c>
      <c r="BP613" s="5" t="s">
        <v>3728</v>
      </c>
      <c r="BQ613" s="17">
        <v>44925</v>
      </c>
      <c r="BR613" s="5" t="s">
        <v>3728</v>
      </c>
      <c r="BS613" s="17">
        <v>44925</v>
      </c>
      <c r="BT613" s="5" t="s">
        <v>3728</v>
      </c>
      <c r="BU613" s="17">
        <v>44925</v>
      </c>
      <c r="BV613" s="5" t="s">
        <v>3728</v>
      </c>
      <c r="BW613" s="17">
        <v>44925</v>
      </c>
      <c r="BX613" s="5" t="s">
        <v>3728</v>
      </c>
      <c r="BY613" s="17">
        <v>44925</v>
      </c>
      <c r="BZ613" s="5" t="s">
        <v>3728</v>
      </c>
      <c r="CA613" s="17">
        <v>44925</v>
      </c>
      <c r="CB613" s="5" t="s">
        <v>3728</v>
      </c>
      <c r="CC613" s="17">
        <v>44925</v>
      </c>
      <c r="CD613" s="5" t="s">
        <v>3728</v>
      </c>
      <c r="CE613" s="17">
        <v>44925</v>
      </c>
      <c r="CF613" s="5" t="s">
        <v>3728</v>
      </c>
      <c r="CG613" s="17">
        <v>44925</v>
      </c>
      <c r="CH613" s="5" t="s">
        <v>3728</v>
      </c>
      <c r="CI613" s="17">
        <v>44925</v>
      </c>
      <c r="CJ613" s="5" t="s">
        <v>3728</v>
      </c>
      <c r="CK613" s="17">
        <v>44925</v>
      </c>
      <c r="CL613" s="5" t="s">
        <v>3728</v>
      </c>
      <c r="CM613" s="17">
        <v>44925</v>
      </c>
      <c r="CN613" s="5" t="s">
        <v>3728</v>
      </c>
      <c r="CO613" s="17">
        <v>44925</v>
      </c>
      <c r="CP613" s="5" t="s">
        <v>3728</v>
      </c>
      <c r="CQ613" s="17">
        <v>44925</v>
      </c>
      <c r="CR613" s="5" t="s">
        <v>3728</v>
      </c>
      <c r="CS613" s="17">
        <v>44925</v>
      </c>
      <c r="CT613" s="5" t="s">
        <v>3728</v>
      </c>
      <c r="CU613" s="17">
        <v>44925</v>
      </c>
      <c r="CV613" s="5" t="s">
        <v>3728</v>
      </c>
      <c r="CW613" s="17">
        <v>44925</v>
      </c>
      <c r="CX613" s="5" t="s">
        <v>3728</v>
      </c>
      <c r="CY613" s="17">
        <v>44925</v>
      </c>
      <c r="CZ613" s="5" t="s">
        <v>3728</v>
      </c>
      <c r="DA613" s="17">
        <v>44925</v>
      </c>
      <c r="DB613" s="5" t="s">
        <v>3728</v>
      </c>
      <c r="DC613" s="17">
        <v>44925</v>
      </c>
      <c r="DD613" s="5" t="s">
        <v>3728</v>
      </c>
      <c r="DE613" s="17">
        <v>44925</v>
      </c>
      <c r="DF613" s="5" t="s">
        <v>3728</v>
      </c>
      <c r="DG613" s="17">
        <v>44925</v>
      </c>
      <c r="DH613" s="5" t="s">
        <v>3728</v>
      </c>
      <c r="DI613" s="17">
        <v>44925</v>
      </c>
      <c r="DJ613" s="5" t="s">
        <v>3728</v>
      </c>
      <c r="DK613" s="17">
        <v>44925</v>
      </c>
      <c r="DL613" s="5" t="s">
        <v>3728</v>
      </c>
      <c r="DM613" s="17">
        <v>44925</v>
      </c>
      <c r="DN613" s="5" t="s">
        <v>3728</v>
      </c>
      <c r="DO613" s="17">
        <v>44925</v>
      </c>
      <c r="DP613" s="5" t="s">
        <v>3728</v>
      </c>
      <c r="DQ613" s="17">
        <v>44925</v>
      </c>
      <c r="DR613" s="5" t="s">
        <v>3728</v>
      </c>
      <c r="DS613" s="17">
        <v>44925</v>
      </c>
      <c r="DT613" s="5" t="s">
        <v>3728</v>
      </c>
      <c r="DU613" s="17">
        <v>44925</v>
      </c>
      <c r="DV613" s="5" t="s">
        <v>3728</v>
      </c>
      <c r="DW613" s="17">
        <v>44925</v>
      </c>
      <c r="DX613" s="5" t="s">
        <v>3728</v>
      </c>
      <c r="DY613" s="17">
        <v>44925</v>
      </c>
      <c r="DZ613" s="5" t="s">
        <v>3728</v>
      </c>
      <c r="EA613" s="17">
        <v>44925</v>
      </c>
      <c r="EB613" s="5" t="s">
        <v>3728</v>
      </c>
      <c r="EC613" s="17">
        <v>44925</v>
      </c>
      <c r="ED613" s="5" t="s">
        <v>3728</v>
      </c>
      <c r="EE613" s="17">
        <v>44925</v>
      </c>
      <c r="EF613" s="5" t="s">
        <v>3728</v>
      </c>
      <c r="EG613" s="17">
        <v>44925</v>
      </c>
      <c r="EH613" s="5" t="s">
        <v>3728</v>
      </c>
      <c r="EI613" s="17">
        <v>44925</v>
      </c>
      <c r="EJ613" s="5" t="s">
        <v>3728</v>
      </c>
      <c r="EK613" s="17">
        <v>44925</v>
      </c>
      <c r="EL613" s="5" t="s">
        <v>3728</v>
      </c>
      <c r="EM613" s="17">
        <v>44925</v>
      </c>
      <c r="EN613" s="5" t="s">
        <v>3728</v>
      </c>
      <c r="EO613" s="17">
        <v>44925</v>
      </c>
      <c r="EP613" s="5" t="s">
        <v>3728</v>
      </c>
      <c r="EQ613" s="17">
        <v>44925</v>
      </c>
      <c r="ER613" s="5" t="s">
        <v>3728</v>
      </c>
      <c r="ES613" s="17">
        <v>44925</v>
      </c>
      <c r="ET613" s="5" t="s">
        <v>3728</v>
      </c>
      <c r="EU613" s="17">
        <v>44925</v>
      </c>
      <c r="EV613" s="5" t="s">
        <v>3728</v>
      </c>
      <c r="EW613" s="17">
        <v>44925</v>
      </c>
      <c r="EX613" s="5" t="s">
        <v>3728</v>
      </c>
      <c r="EY613" s="17">
        <v>44925</v>
      </c>
      <c r="EZ613" s="5" t="s">
        <v>3728</v>
      </c>
      <c r="FA613" s="17">
        <v>44925</v>
      </c>
      <c r="FB613" s="5" t="s">
        <v>3728</v>
      </c>
      <c r="FC613" s="17">
        <v>44925</v>
      </c>
      <c r="FD613" s="5" t="s">
        <v>3728</v>
      </c>
      <c r="FE613" s="17">
        <v>44925</v>
      </c>
      <c r="FF613" s="5" t="s">
        <v>3728</v>
      </c>
      <c r="FG613" s="17">
        <v>44925</v>
      </c>
      <c r="FH613" s="5" t="s">
        <v>3728</v>
      </c>
      <c r="FI613" s="17">
        <v>44925</v>
      </c>
      <c r="FJ613" s="5" t="s">
        <v>3728</v>
      </c>
      <c r="FK613" s="17">
        <v>44925</v>
      </c>
      <c r="FL613" s="5" t="s">
        <v>3728</v>
      </c>
      <c r="FM613" s="17">
        <v>44925</v>
      </c>
      <c r="FN613" s="5" t="s">
        <v>3728</v>
      </c>
      <c r="FO613" s="17">
        <v>44925</v>
      </c>
      <c r="FP613" s="5" t="s">
        <v>3728</v>
      </c>
      <c r="FQ613" s="17">
        <v>44925</v>
      </c>
      <c r="FR613" s="5" t="s">
        <v>3728</v>
      </c>
      <c r="FS613" s="17">
        <v>44925</v>
      </c>
      <c r="FT613" s="5" t="s">
        <v>3728</v>
      </c>
      <c r="FU613" s="17">
        <v>44925</v>
      </c>
      <c r="FV613" s="5" t="s">
        <v>3728</v>
      </c>
      <c r="FW613" s="17">
        <v>44925</v>
      </c>
      <c r="FX613" s="5" t="s">
        <v>3728</v>
      </c>
      <c r="FY613" s="17">
        <v>44925</v>
      </c>
      <c r="FZ613" s="5" t="s">
        <v>3728</v>
      </c>
      <c r="GA613" s="17">
        <v>44925</v>
      </c>
      <c r="GB613" s="5" t="s">
        <v>3728</v>
      </c>
      <c r="GC613" s="17">
        <v>44925</v>
      </c>
      <c r="GD613" s="5" t="s">
        <v>3728</v>
      </c>
      <c r="GE613" s="17">
        <v>44925</v>
      </c>
      <c r="GF613" s="5" t="s">
        <v>3728</v>
      </c>
      <c r="GG613" s="17">
        <v>44925</v>
      </c>
      <c r="GH613" s="5" t="s">
        <v>3728</v>
      </c>
      <c r="GI613" s="17">
        <v>44925</v>
      </c>
      <c r="GJ613" s="5" t="s">
        <v>3728</v>
      </c>
      <c r="GK613" s="17">
        <v>44925</v>
      </c>
      <c r="GL613" s="5" t="s">
        <v>3728</v>
      </c>
      <c r="GM613" s="17">
        <v>44925</v>
      </c>
      <c r="GN613" s="5" t="s">
        <v>3728</v>
      </c>
      <c r="GO613" s="17">
        <v>44925</v>
      </c>
      <c r="GP613" s="5" t="s">
        <v>3728</v>
      </c>
      <c r="GQ613" s="17">
        <v>44925</v>
      </c>
      <c r="GR613" s="5" t="s">
        <v>3728</v>
      </c>
      <c r="GS613" s="17">
        <v>44925</v>
      </c>
      <c r="GT613" s="5" t="s">
        <v>3728</v>
      </c>
      <c r="GU613" s="17">
        <v>44925</v>
      </c>
      <c r="GV613" s="5" t="s">
        <v>3728</v>
      </c>
      <c r="GW613" s="17">
        <v>44925</v>
      </c>
      <c r="GX613" s="5" t="s">
        <v>3728</v>
      </c>
      <c r="GY613" s="17">
        <v>44925</v>
      </c>
      <c r="GZ613" s="5" t="s">
        <v>3728</v>
      </c>
      <c r="HA613" s="17">
        <v>44925</v>
      </c>
      <c r="HB613" s="5" t="s">
        <v>3728</v>
      </c>
      <c r="HC613" s="17">
        <v>44925</v>
      </c>
      <c r="HD613" s="5" t="s">
        <v>3728</v>
      </c>
      <c r="HE613" s="17">
        <v>44925</v>
      </c>
      <c r="HF613" s="5" t="s">
        <v>3728</v>
      </c>
      <c r="HG613" s="17">
        <v>44925</v>
      </c>
      <c r="HH613" s="5" t="s">
        <v>3728</v>
      </c>
      <c r="HI613" s="17">
        <v>44925</v>
      </c>
      <c r="HJ613" s="5" t="s">
        <v>3728</v>
      </c>
      <c r="HK613" s="17">
        <v>44925</v>
      </c>
      <c r="HL613" s="5" t="s">
        <v>3728</v>
      </c>
      <c r="HM613" s="17">
        <v>44925</v>
      </c>
      <c r="HN613" s="5" t="s">
        <v>3728</v>
      </c>
      <c r="HO613" s="17">
        <v>44925</v>
      </c>
      <c r="HP613" s="5" t="s">
        <v>3728</v>
      </c>
      <c r="HQ613" s="17">
        <v>44925</v>
      </c>
      <c r="HR613" s="5" t="s">
        <v>3728</v>
      </c>
      <c r="HS613" s="17">
        <v>44925</v>
      </c>
      <c r="HT613" s="5" t="s">
        <v>3728</v>
      </c>
      <c r="HU613" s="17">
        <v>44925</v>
      </c>
      <c r="HV613" s="5" t="s">
        <v>3728</v>
      </c>
      <c r="HW613" s="17">
        <v>44925</v>
      </c>
      <c r="HX613" s="5" t="s">
        <v>3728</v>
      </c>
      <c r="HY613" s="17">
        <v>44925</v>
      </c>
      <c r="HZ613" s="5" t="s">
        <v>3728</v>
      </c>
      <c r="IA613" s="17">
        <v>44925</v>
      </c>
      <c r="IB613" s="5" t="s">
        <v>3728</v>
      </c>
      <c r="IC613" s="17">
        <v>44925</v>
      </c>
      <c r="ID613" s="5" t="s">
        <v>3728</v>
      </c>
      <c r="IE613" s="17">
        <v>44925</v>
      </c>
      <c r="IF613" s="5" t="s">
        <v>3728</v>
      </c>
      <c r="IG613" s="17">
        <v>44925</v>
      </c>
      <c r="IH613" s="5" t="s">
        <v>3728</v>
      </c>
      <c r="II613" s="17">
        <v>44925</v>
      </c>
      <c r="IJ613" s="5" t="s">
        <v>3728</v>
      </c>
      <c r="IK613" s="17">
        <v>44925</v>
      </c>
      <c r="IL613" s="5" t="s">
        <v>3728</v>
      </c>
      <c r="IM613" s="17">
        <v>44925</v>
      </c>
      <c r="IN613" s="5" t="s">
        <v>3728</v>
      </c>
      <c r="IO613" s="17">
        <v>44925</v>
      </c>
      <c r="IP613" s="5" t="s">
        <v>3728</v>
      </c>
      <c r="IQ613" s="17">
        <v>44925</v>
      </c>
      <c r="IR613" s="5" t="s">
        <v>3728</v>
      </c>
      <c r="IS613" s="17">
        <v>44925</v>
      </c>
      <c r="IT613" s="5" t="s">
        <v>3728</v>
      </c>
      <c r="IU613" s="17">
        <v>44925</v>
      </c>
      <c r="IV613" s="5" t="s">
        <v>3728</v>
      </c>
      <c r="IW613" s="17">
        <v>44925</v>
      </c>
      <c r="IX613" s="5" t="s">
        <v>3728</v>
      </c>
      <c r="IY613" s="17">
        <v>44925</v>
      </c>
      <c r="IZ613" s="5" t="s">
        <v>3728</v>
      </c>
      <c r="JA613" s="17">
        <v>44925</v>
      </c>
      <c r="JB613" s="5" t="s">
        <v>3728</v>
      </c>
      <c r="JC613" s="17">
        <v>44925</v>
      </c>
      <c r="JD613" s="5" t="s">
        <v>3728</v>
      </c>
      <c r="JE613" s="17">
        <v>44925</v>
      </c>
      <c r="JF613" s="5" t="s">
        <v>3728</v>
      </c>
      <c r="JG613" s="17">
        <v>44925</v>
      </c>
      <c r="JH613" s="5" t="s">
        <v>3728</v>
      </c>
      <c r="JI613" s="17">
        <v>44925</v>
      </c>
      <c r="JJ613" s="5" t="s">
        <v>3728</v>
      </c>
      <c r="JK613" s="17">
        <v>44925</v>
      </c>
      <c r="JL613" s="5" t="s">
        <v>3728</v>
      </c>
      <c r="JM613" s="17">
        <v>44925</v>
      </c>
      <c r="JN613" s="5" t="s">
        <v>3728</v>
      </c>
      <c r="JO613" s="17">
        <v>44925</v>
      </c>
      <c r="JP613" s="5" t="s">
        <v>3728</v>
      </c>
      <c r="JQ613" s="17">
        <v>44925</v>
      </c>
      <c r="JR613" s="5" t="s">
        <v>3728</v>
      </c>
      <c r="JS613" s="17">
        <v>44925</v>
      </c>
      <c r="JT613" s="5" t="s">
        <v>3728</v>
      </c>
      <c r="JU613" s="17">
        <v>44925</v>
      </c>
      <c r="JV613" s="5" t="s">
        <v>3728</v>
      </c>
      <c r="JW613" s="17">
        <v>44925</v>
      </c>
      <c r="JX613" s="5" t="s">
        <v>3728</v>
      </c>
      <c r="JY613" s="17">
        <v>44925</v>
      </c>
      <c r="JZ613" s="5" t="s">
        <v>3728</v>
      </c>
      <c r="KA613" s="17">
        <v>44925</v>
      </c>
      <c r="KB613" s="5" t="s">
        <v>3728</v>
      </c>
      <c r="KC613" s="17">
        <v>44925</v>
      </c>
      <c r="KD613" s="5" t="s">
        <v>3728</v>
      </c>
      <c r="KE613" s="17">
        <v>44925</v>
      </c>
      <c r="KF613" s="5" t="s">
        <v>3728</v>
      </c>
      <c r="KG613" s="17">
        <v>44925</v>
      </c>
      <c r="KH613" s="5" t="s">
        <v>3728</v>
      </c>
      <c r="KI613" s="17">
        <v>44925</v>
      </c>
      <c r="KJ613" s="5" t="s">
        <v>3728</v>
      </c>
      <c r="KK613" s="17">
        <v>44925</v>
      </c>
      <c r="KL613" s="5" t="s">
        <v>3728</v>
      </c>
      <c r="KM613" s="17">
        <v>44925</v>
      </c>
      <c r="KN613" s="5" t="s">
        <v>3728</v>
      </c>
      <c r="KO613" s="17">
        <v>44925</v>
      </c>
      <c r="KP613" s="5" t="s">
        <v>3728</v>
      </c>
      <c r="KQ613" s="17">
        <v>44925</v>
      </c>
      <c r="KR613" s="5" t="s">
        <v>3728</v>
      </c>
      <c r="KS613" s="17">
        <v>44925</v>
      </c>
      <c r="KT613" s="5" t="s">
        <v>3728</v>
      </c>
      <c r="KU613" s="17">
        <v>44925</v>
      </c>
      <c r="KV613" s="5" t="s">
        <v>3728</v>
      </c>
      <c r="KW613" s="17">
        <v>44925</v>
      </c>
      <c r="KX613" s="5" t="s">
        <v>3728</v>
      </c>
      <c r="KY613" s="17">
        <v>44925</v>
      </c>
      <c r="KZ613" s="5" t="s">
        <v>3728</v>
      </c>
      <c r="LA613" s="17">
        <v>44925</v>
      </c>
      <c r="LB613" s="5" t="s">
        <v>3728</v>
      </c>
      <c r="LC613" s="17">
        <v>44925</v>
      </c>
      <c r="LD613" s="5" t="s">
        <v>3728</v>
      </c>
      <c r="LE613" s="17">
        <v>44925</v>
      </c>
      <c r="LF613" s="5" t="s">
        <v>3728</v>
      </c>
      <c r="LG613" s="17">
        <v>44925</v>
      </c>
      <c r="LH613" s="5" t="s">
        <v>3728</v>
      </c>
      <c r="LI613" s="17">
        <v>44925</v>
      </c>
      <c r="LJ613" s="5" t="s">
        <v>3728</v>
      </c>
      <c r="LK613" s="17">
        <v>44925</v>
      </c>
      <c r="LL613" s="5" t="s">
        <v>3728</v>
      </c>
      <c r="LM613" s="17">
        <v>44925</v>
      </c>
      <c r="LN613" s="5" t="s">
        <v>3728</v>
      </c>
      <c r="LO613" s="17">
        <v>44925</v>
      </c>
      <c r="LP613" s="5" t="s">
        <v>3728</v>
      </c>
      <c r="LQ613" s="17">
        <v>44925</v>
      </c>
      <c r="LR613" s="5" t="s">
        <v>3728</v>
      </c>
      <c r="LS613" s="17">
        <v>44925</v>
      </c>
      <c r="LT613" s="5" t="s">
        <v>3728</v>
      </c>
      <c r="LU613" s="17">
        <v>44925</v>
      </c>
      <c r="LV613" s="5" t="s">
        <v>3728</v>
      </c>
      <c r="LW613" s="17">
        <v>44925</v>
      </c>
      <c r="LX613" s="5" t="s">
        <v>3728</v>
      </c>
      <c r="LY613" s="17">
        <v>44925</v>
      </c>
      <c r="LZ613" s="5" t="s">
        <v>3728</v>
      </c>
      <c r="MA613" s="17">
        <v>44925</v>
      </c>
      <c r="MB613" s="5" t="s">
        <v>3728</v>
      </c>
      <c r="MC613" s="17">
        <v>44925</v>
      </c>
      <c r="MD613" s="5" t="s">
        <v>3728</v>
      </c>
      <c r="ME613" s="17">
        <v>44925</v>
      </c>
      <c r="MF613" s="5" t="s">
        <v>3728</v>
      </c>
      <c r="MG613" s="17">
        <v>44925</v>
      </c>
      <c r="MH613" s="5" t="s">
        <v>3728</v>
      </c>
      <c r="MI613" s="17">
        <v>44925</v>
      </c>
      <c r="MJ613" s="5" t="s">
        <v>3728</v>
      </c>
      <c r="MK613" s="17">
        <v>44925</v>
      </c>
      <c r="ML613" s="5" t="s">
        <v>3728</v>
      </c>
      <c r="MM613" s="17">
        <v>44925</v>
      </c>
      <c r="MN613" s="5" t="s">
        <v>3728</v>
      </c>
      <c r="MO613" s="17">
        <v>44925</v>
      </c>
      <c r="MP613" s="5" t="s">
        <v>3728</v>
      </c>
      <c r="MQ613" s="17">
        <v>44925</v>
      </c>
      <c r="MR613" s="5" t="s">
        <v>3728</v>
      </c>
      <c r="MS613" s="17">
        <v>44925</v>
      </c>
      <c r="MT613" s="5" t="s">
        <v>3728</v>
      </c>
      <c r="MU613" s="17">
        <v>44925</v>
      </c>
      <c r="MV613" s="5" t="s">
        <v>3728</v>
      </c>
      <c r="MW613" s="17">
        <v>44925</v>
      </c>
      <c r="MX613" s="5" t="s">
        <v>3728</v>
      </c>
      <c r="MY613" s="17">
        <v>44925</v>
      </c>
      <c r="MZ613" s="5" t="s">
        <v>3728</v>
      </c>
      <c r="NA613" s="17">
        <v>44925</v>
      </c>
      <c r="NB613" s="5" t="s">
        <v>3728</v>
      </c>
      <c r="NC613" s="17">
        <v>44925</v>
      </c>
      <c r="ND613" s="5" t="s">
        <v>3728</v>
      </c>
      <c r="NE613" s="17">
        <v>44925</v>
      </c>
      <c r="NF613" s="5" t="s">
        <v>3728</v>
      </c>
      <c r="NG613" s="17">
        <v>44925</v>
      </c>
      <c r="NH613" s="5" t="s">
        <v>3728</v>
      </c>
      <c r="NI613" s="17">
        <v>44925</v>
      </c>
      <c r="NJ613" s="5" t="s">
        <v>3728</v>
      </c>
      <c r="NK613" s="17">
        <v>44925</v>
      </c>
      <c r="NL613" s="5" t="s">
        <v>3728</v>
      </c>
      <c r="NM613" s="17">
        <v>44925</v>
      </c>
      <c r="NN613" s="5" t="s">
        <v>3728</v>
      </c>
      <c r="NO613" s="17">
        <v>44925</v>
      </c>
      <c r="NP613" s="5" t="s">
        <v>3728</v>
      </c>
      <c r="NQ613" s="17">
        <v>44925</v>
      </c>
      <c r="NR613" s="5" t="s">
        <v>3728</v>
      </c>
      <c r="NS613" s="17">
        <v>44925</v>
      </c>
      <c r="NT613" s="5" t="s">
        <v>3728</v>
      </c>
      <c r="NU613" s="17">
        <v>44925</v>
      </c>
      <c r="NV613" s="5" t="s">
        <v>3728</v>
      </c>
      <c r="NW613" s="17">
        <v>44925</v>
      </c>
      <c r="NX613" s="5" t="s">
        <v>3728</v>
      </c>
      <c r="NY613" s="17">
        <v>44925</v>
      </c>
      <c r="NZ613" s="5" t="s">
        <v>3728</v>
      </c>
      <c r="OA613" s="17">
        <v>44925</v>
      </c>
      <c r="OB613" s="5" t="s">
        <v>3728</v>
      </c>
      <c r="OC613" s="17">
        <v>44925</v>
      </c>
      <c r="OD613" s="5" t="s">
        <v>3728</v>
      </c>
      <c r="OE613" s="17">
        <v>44925</v>
      </c>
      <c r="OF613" s="5" t="s">
        <v>3728</v>
      </c>
      <c r="OG613" s="17">
        <v>44925</v>
      </c>
      <c r="OH613" s="5" t="s">
        <v>3728</v>
      </c>
      <c r="OI613" s="17">
        <v>44925</v>
      </c>
      <c r="OJ613" s="5" t="s">
        <v>3728</v>
      </c>
      <c r="OK613" s="17">
        <v>44925</v>
      </c>
      <c r="OL613" s="5" t="s">
        <v>3728</v>
      </c>
      <c r="OM613" s="17">
        <v>44925</v>
      </c>
      <c r="ON613" s="5" t="s">
        <v>3728</v>
      </c>
      <c r="OO613" s="17">
        <v>44925</v>
      </c>
      <c r="OP613" s="5" t="s">
        <v>3728</v>
      </c>
      <c r="OQ613" s="17">
        <v>44925</v>
      </c>
      <c r="OR613" s="5" t="s">
        <v>3728</v>
      </c>
      <c r="OS613" s="17">
        <v>44925</v>
      </c>
      <c r="OT613" s="5" t="s">
        <v>3728</v>
      </c>
      <c r="OU613" s="17">
        <v>44925</v>
      </c>
      <c r="OV613" s="5" t="s">
        <v>3728</v>
      </c>
      <c r="OW613" s="17">
        <v>44925</v>
      </c>
      <c r="OX613" s="5" t="s">
        <v>3728</v>
      </c>
      <c r="OY613" s="17">
        <v>44925</v>
      </c>
      <c r="OZ613" s="5" t="s">
        <v>3728</v>
      </c>
      <c r="PA613" s="17">
        <v>44925</v>
      </c>
      <c r="PB613" s="5" t="s">
        <v>3728</v>
      </c>
      <c r="PC613" s="17">
        <v>44925</v>
      </c>
      <c r="PD613" s="5" t="s">
        <v>3728</v>
      </c>
      <c r="PE613" s="17">
        <v>44925</v>
      </c>
      <c r="PF613" s="5" t="s">
        <v>3728</v>
      </c>
      <c r="PG613" s="17">
        <v>44925</v>
      </c>
      <c r="PH613" s="5" t="s">
        <v>3728</v>
      </c>
      <c r="PI613" s="17">
        <v>44925</v>
      </c>
      <c r="PJ613" s="5" t="s">
        <v>3728</v>
      </c>
      <c r="PK613" s="17">
        <v>44925</v>
      </c>
      <c r="PL613" s="5" t="s">
        <v>3728</v>
      </c>
      <c r="PM613" s="17">
        <v>44925</v>
      </c>
      <c r="PN613" s="5" t="s">
        <v>3728</v>
      </c>
      <c r="PO613" s="17">
        <v>44925</v>
      </c>
      <c r="PP613" s="5" t="s">
        <v>3728</v>
      </c>
      <c r="PQ613" s="17">
        <v>44925</v>
      </c>
      <c r="PR613" s="5" t="s">
        <v>3728</v>
      </c>
      <c r="PS613" s="17">
        <v>44925</v>
      </c>
      <c r="PT613" s="5" t="s">
        <v>3728</v>
      </c>
      <c r="PU613" s="17">
        <v>44925</v>
      </c>
      <c r="PV613" s="5" t="s">
        <v>3728</v>
      </c>
      <c r="PW613" s="17">
        <v>44925</v>
      </c>
      <c r="PX613" s="5" t="s">
        <v>3728</v>
      </c>
      <c r="PY613" s="17">
        <v>44925</v>
      </c>
      <c r="PZ613" s="5" t="s">
        <v>3728</v>
      </c>
      <c r="QA613" s="17">
        <v>44925</v>
      </c>
      <c r="QB613" s="5" t="s">
        <v>3728</v>
      </c>
      <c r="QC613" s="17">
        <v>44925</v>
      </c>
      <c r="QD613" s="5" t="s">
        <v>3728</v>
      </c>
      <c r="QE613" s="17">
        <v>44925</v>
      </c>
      <c r="QF613" s="5" t="s">
        <v>3728</v>
      </c>
      <c r="QG613" s="17">
        <v>44925</v>
      </c>
      <c r="QH613" s="5" t="s">
        <v>3728</v>
      </c>
      <c r="QI613" s="17">
        <v>44925</v>
      </c>
      <c r="QJ613" s="5" t="s">
        <v>3728</v>
      </c>
      <c r="QK613" s="17">
        <v>44925</v>
      </c>
      <c r="QL613" s="5" t="s">
        <v>3728</v>
      </c>
      <c r="QM613" s="17">
        <v>44925</v>
      </c>
      <c r="QN613" s="5" t="s">
        <v>3728</v>
      </c>
      <c r="QO613" s="17">
        <v>44925</v>
      </c>
      <c r="QP613" s="5" t="s">
        <v>3728</v>
      </c>
      <c r="QQ613" s="17">
        <v>44925</v>
      </c>
      <c r="QR613" s="5" t="s">
        <v>3728</v>
      </c>
      <c r="QS613" s="17">
        <v>44925</v>
      </c>
      <c r="QT613" s="5" t="s">
        <v>3728</v>
      </c>
      <c r="QU613" s="17">
        <v>44925</v>
      </c>
      <c r="QV613" s="5" t="s">
        <v>3728</v>
      </c>
      <c r="QW613" s="17">
        <v>44925</v>
      </c>
      <c r="QX613" s="5" t="s">
        <v>3728</v>
      </c>
      <c r="QY613" s="17">
        <v>44925</v>
      </c>
      <c r="QZ613" s="5" t="s">
        <v>3728</v>
      </c>
      <c r="RA613" s="17">
        <v>44925</v>
      </c>
      <c r="RB613" s="5" t="s">
        <v>3728</v>
      </c>
      <c r="RC613" s="17">
        <v>44925</v>
      </c>
      <c r="RD613" s="5" t="s">
        <v>3728</v>
      </c>
      <c r="RE613" s="17">
        <v>44925</v>
      </c>
      <c r="RF613" s="5" t="s">
        <v>3728</v>
      </c>
      <c r="RG613" s="17">
        <v>44925</v>
      </c>
      <c r="RH613" s="5" t="s">
        <v>3728</v>
      </c>
      <c r="RI613" s="17">
        <v>44925</v>
      </c>
      <c r="RJ613" s="5" t="s">
        <v>3728</v>
      </c>
      <c r="RK613" s="17">
        <v>44925</v>
      </c>
      <c r="RL613" s="5" t="s">
        <v>3728</v>
      </c>
      <c r="RM613" s="17">
        <v>44925</v>
      </c>
      <c r="RN613" s="5" t="s">
        <v>3728</v>
      </c>
      <c r="RO613" s="17">
        <v>44925</v>
      </c>
      <c r="RP613" s="5" t="s">
        <v>3728</v>
      </c>
      <c r="RQ613" s="17">
        <v>44925</v>
      </c>
      <c r="RR613" s="5" t="s">
        <v>3728</v>
      </c>
      <c r="RS613" s="17">
        <v>44925</v>
      </c>
      <c r="RT613" s="5" t="s">
        <v>3728</v>
      </c>
      <c r="RU613" s="17">
        <v>44925</v>
      </c>
      <c r="RV613" s="5" t="s">
        <v>3728</v>
      </c>
      <c r="RW613" s="17">
        <v>44925</v>
      </c>
      <c r="RX613" s="5" t="s">
        <v>3728</v>
      </c>
      <c r="RY613" s="17">
        <v>44925</v>
      </c>
      <c r="RZ613" s="5" t="s">
        <v>3728</v>
      </c>
      <c r="SA613" s="17">
        <v>44925</v>
      </c>
      <c r="SB613" s="5" t="s">
        <v>3728</v>
      </c>
      <c r="SC613" s="17">
        <v>44925</v>
      </c>
      <c r="SD613" s="5" t="s">
        <v>3728</v>
      </c>
      <c r="SE613" s="17">
        <v>44925</v>
      </c>
      <c r="SF613" s="5" t="s">
        <v>3728</v>
      </c>
      <c r="SG613" s="17">
        <v>44925</v>
      </c>
      <c r="SH613" s="5" t="s">
        <v>3728</v>
      </c>
      <c r="SI613" s="17">
        <v>44925</v>
      </c>
      <c r="SJ613" s="5" t="s">
        <v>3728</v>
      </c>
      <c r="SK613" s="17">
        <v>44925</v>
      </c>
      <c r="SL613" s="5" t="s">
        <v>3728</v>
      </c>
      <c r="SM613" s="17">
        <v>44925</v>
      </c>
      <c r="SN613" s="5" t="s">
        <v>3728</v>
      </c>
      <c r="SO613" s="17">
        <v>44925</v>
      </c>
      <c r="SP613" s="5" t="s">
        <v>3728</v>
      </c>
      <c r="SQ613" s="17">
        <v>44925</v>
      </c>
      <c r="SR613" s="5" t="s">
        <v>3728</v>
      </c>
      <c r="SS613" s="17">
        <v>44925</v>
      </c>
      <c r="ST613" s="5" t="s">
        <v>3728</v>
      </c>
      <c r="SU613" s="17">
        <v>44925</v>
      </c>
      <c r="SV613" s="5" t="s">
        <v>3728</v>
      </c>
      <c r="SW613" s="17">
        <v>44925</v>
      </c>
      <c r="SX613" s="5" t="s">
        <v>3728</v>
      </c>
      <c r="SY613" s="17">
        <v>44925</v>
      </c>
      <c r="SZ613" s="5" t="s">
        <v>3728</v>
      </c>
      <c r="TA613" s="17">
        <v>44925</v>
      </c>
      <c r="TB613" s="5" t="s">
        <v>3728</v>
      </c>
      <c r="TC613" s="17">
        <v>44925</v>
      </c>
      <c r="TD613" s="5" t="s">
        <v>3728</v>
      </c>
      <c r="TE613" s="17">
        <v>44925</v>
      </c>
      <c r="TF613" s="5" t="s">
        <v>3728</v>
      </c>
      <c r="TG613" s="17">
        <v>44925</v>
      </c>
      <c r="TH613" s="5" t="s">
        <v>3728</v>
      </c>
      <c r="TI613" s="17">
        <v>44925</v>
      </c>
      <c r="TJ613" s="5" t="s">
        <v>3728</v>
      </c>
      <c r="TK613" s="17">
        <v>44925</v>
      </c>
      <c r="TL613" s="5" t="s">
        <v>3728</v>
      </c>
      <c r="TM613" s="17">
        <v>44925</v>
      </c>
      <c r="TN613" s="5" t="s">
        <v>3728</v>
      </c>
      <c r="TO613" s="17">
        <v>44925</v>
      </c>
      <c r="TP613" s="5" t="s">
        <v>3728</v>
      </c>
      <c r="TQ613" s="17">
        <v>44925</v>
      </c>
      <c r="TR613" s="5" t="s">
        <v>3728</v>
      </c>
      <c r="TS613" s="17">
        <v>44925</v>
      </c>
      <c r="TT613" s="5" t="s">
        <v>3728</v>
      </c>
      <c r="TU613" s="17">
        <v>44925</v>
      </c>
      <c r="TV613" s="5" t="s">
        <v>3728</v>
      </c>
      <c r="TW613" s="17">
        <v>44925</v>
      </c>
      <c r="TX613" s="5" t="s">
        <v>3728</v>
      </c>
      <c r="TY613" s="17">
        <v>44925</v>
      </c>
      <c r="TZ613" s="5" t="s">
        <v>3728</v>
      </c>
      <c r="UA613" s="17">
        <v>44925</v>
      </c>
      <c r="UB613" s="5" t="s">
        <v>3728</v>
      </c>
      <c r="UC613" s="17">
        <v>44925</v>
      </c>
      <c r="UD613" s="5" t="s">
        <v>3728</v>
      </c>
      <c r="UE613" s="17">
        <v>44925</v>
      </c>
      <c r="UF613" s="5" t="s">
        <v>3728</v>
      </c>
      <c r="UG613" s="17">
        <v>44925</v>
      </c>
      <c r="UH613" s="5" t="s">
        <v>3728</v>
      </c>
      <c r="UI613" s="17">
        <v>44925</v>
      </c>
      <c r="UJ613" s="5" t="s">
        <v>3728</v>
      </c>
      <c r="UK613" s="17">
        <v>44925</v>
      </c>
      <c r="UL613" s="5" t="s">
        <v>3728</v>
      </c>
      <c r="UM613" s="17">
        <v>44925</v>
      </c>
      <c r="UN613" s="5" t="s">
        <v>3728</v>
      </c>
      <c r="UO613" s="17">
        <v>44925</v>
      </c>
      <c r="UP613" s="5" t="s">
        <v>3728</v>
      </c>
      <c r="UQ613" s="17">
        <v>44925</v>
      </c>
      <c r="UR613" s="5" t="s">
        <v>3728</v>
      </c>
      <c r="US613" s="17">
        <v>44925</v>
      </c>
      <c r="UT613" s="5" t="s">
        <v>3728</v>
      </c>
      <c r="UU613" s="17">
        <v>44925</v>
      </c>
      <c r="UV613" s="5" t="s">
        <v>3728</v>
      </c>
      <c r="UW613" s="17">
        <v>44925</v>
      </c>
      <c r="UX613" s="5" t="s">
        <v>3728</v>
      </c>
      <c r="UY613" s="17">
        <v>44925</v>
      </c>
      <c r="UZ613" s="5" t="s">
        <v>3728</v>
      </c>
      <c r="VA613" s="17">
        <v>44925</v>
      </c>
      <c r="VB613" s="5" t="s">
        <v>3728</v>
      </c>
      <c r="VC613" s="17">
        <v>44925</v>
      </c>
      <c r="VD613" s="5" t="s">
        <v>3728</v>
      </c>
      <c r="VE613" s="17">
        <v>44925</v>
      </c>
      <c r="VF613" s="5" t="s">
        <v>3728</v>
      </c>
      <c r="VG613" s="17">
        <v>44925</v>
      </c>
      <c r="VH613" s="5" t="s">
        <v>3728</v>
      </c>
      <c r="VI613" s="17">
        <v>44925</v>
      </c>
      <c r="VJ613" s="5" t="s">
        <v>3728</v>
      </c>
      <c r="VK613" s="17">
        <v>44925</v>
      </c>
      <c r="VL613" s="5" t="s">
        <v>3728</v>
      </c>
      <c r="VM613" s="17">
        <v>44925</v>
      </c>
      <c r="VN613" s="5" t="s">
        <v>3728</v>
      </c>
      <c r="VO613" s="17">
        <v>44925</v>
      </c>
      <c r="VP613" s="5" t="s">
        <v>3728</v>
      </c>
      <c r="VQ613" s="17">
        <v>44925</v>
      </c>
      <c r="VR613" s="5" t="s">
        <v>3728</v>
      </c>
      <c r="VS613" s="17">
        <v>44925</v>
      </c>
      <c r="VT613" s="5" t="s">
        <v>3728</v>
      </c>
      <c r="VU613" s="17">
        <v>44925</v>
      </c>
      <c r="VV613" s="5" t="s">
        <v>3728</v>
      </c>
      <c r="VW613" s="17">
        <v>44925</v>
      </c>
      <c r="VX613" s="5" t="s">
        <v>3728</v>
      </c>
      <c r="VY613" s="17">
        <v>44925</v>
      </c>
      <c r="VZ613" s="5" t="s">
        <v>3728</v>
      </c>
      <c r="WA613" s="17">
        <v>44925</v>
      </c>
      <c r="WB613" s="5" t="s">
        <v>3728</v>
      </c>
      <c r="WC613" s="17">
        <v>44925</v>
      </c>
      <c r="WD613" s="5" t="s">
        <v>3728</v>
      </c>
      <c r="WE613" s="17">
        <v>44925</v>
      </c>
      <c r="WF613" s="5" t="s">
        <v>3728</v>
      </c>
      <c r="WG613" s="17">
        <v>44925</v>
      </c>
      <c r="WH613" s="5" t="s">
        <v>3728</v>
      </c>
      <c r="WI613" s="17">
        <v>44925</v>
      </c>
      <c r="WJ613" s="5" t="s">
        <v>3728</v>
      </c>
      <c r="WK613" s="17">
        <v>44925</v>
      </c>
      <c r="WL613" s="5" t="s">
        <v>3728</v>
      </c>
      <c r="WM613" s="17">
        <v>44925</v>
      </c>
      <c r="WN613" s="5" t="s">
        <v>3728</v>
      </c>
      <c r="WO613" s="17">
        <v>44925</v>
      </c>
      <c r="WP613" s="5" t="s">
        <v>3728</v>
      </c>
      <c r="WQ613" s="17">
        <v>44925</v>
      </c>
      <c r="WR613" s="5" t="s">
        <v>3728</v>
      </c>
      <c r="WS613" s="17">
        <v>44925</v>
      </c>
      <c r="WT613" s="5" t="s">
        <v>3728</v>
      </c>
      <c r="WU613" s="17">
        <v>44925</v>
      </c>
      <c r="WV613" s="5" t="s">
        <v>3728</v>
      </c>
      <c r="WW613" s="17">
        <v>44925</v>
      </c>
      <c r="WX613" s="5" t="s">
        <v>3728</v>
      </c>
      <c r="WY613" s="17">
        <v>44925</v>
      </c>
      <c r="WZ613" s="5" t="s">
        <v>3728</v>
      </c>
      <c r="XA613" s="17">
        <v>44925</v>
      </c>
      <c r="XB613" s="5" t="s">
        <v>3728</v>
      </c>
      <c r="XC613" s="17">
        <v>44925</v>
      </c>
      <c r="XD613" s="5" t="s">
        <v>3728</v>
      </c>
      <c r="XE613" s="17">
        <v>44925</v>
      </c>
      <c r="XF613" s="5" t="s">
        <v>3728</v>
      </c>
      <c r="XG613" s="17">
        <v>44925</v>
      </c>
      <c r="XH613" s="5" t="s">
        <v>3728</v>
      </c>
      <c r="XI613" s="17">
        <v>44925</v>
      </c>
      <c r="XJ613" s="5" t="s">
        <v>3728</v>
      </c>
      <c r="XK613" s="17">
        <v>44925</v>
      </c>
      <c r="XL613" s="5" t="s">
        <v>3728</v>
      </c>
      <c r="XM613" s="17">
        <v>44925</v>
      </c>
      <c r="XN613" s="5" t="s">
        <v>3728</v>
      </c>
      <c r="XO613" s="17">
        <v>44925</v>
      </c>
      <c r="XP613" s="5" t="s">
        <v>3728</v>
      </c>
      <c r="XQ613" s="17">
        <v>44925</v>
      </c>
      <c r="XR613" s="5" t="s">
        <v>3728</v>
      </c>
      <c r="XS613" s="17">
        <v>44925</v>
      </c>
      <c r="XT613" s="5" t="s">
        <v>3728</v>
      </c>
      <c r="XU613" s="17">
        <v>44925</v>
      </c>
      <c r="XV613" s="5" t="s">
        <v>3728</v>
      </c>
      <c r="XW613" s="17">
        <v>44925</v>
      </c>
      <c r="XX613" s="5" t="s">
        <v>3728</v>
      </c>
      <c r="XY613" s="17">
        <v>44925</v>
      </c>
      <c r="XZ613" s="5" t="s">
        <v>3728</v>
      </c>
      <c r="YA613" s="17">
        <v>44925</v>
      </c>
      <c r="YB613" s="5" t="s">
        <v>3728</v>
      </c>
      <c r="YC613" s="17">
        <v>44925</v>
      </c>
      <c r="YD613" s="5" t="s">
        <v>3728</v>
      </c>
      <c r="YE613" s="17">
        <v>44925</v>
      </c>
      <c r="YF613" s="5" t="s">
        <v>3728</v>
      </c>
      <c r="YG613" s="17">
        <v>44925</v>
      </c>
      <c r="YH613" s="5" t="s">
        <v>3728</v>
      </c>
      <c r="YI613" s="17">
        <v>44925</v>
      </c>
      <c r="YJ613" s="5" t="s">
        <v>3728</v>
      </c>
      <c r="YK613" s="17">
        <v>44925</v>
      </c>
      <c r="YL613" s="5" t="s">
        <v>3728</v>
      </c>
      <c r="YM613" s="17">
        <v>44925</v>
      </c>
      <c r="YN613" s="5" t="s">
        <v>3728</v>
      </c>
      <c r="YO613" s="17">
        <v>44925</v>
      </c>
      <c r="YP613" s="5" t="s">
        <v>3728</v>
      </c>
      <c r="YQ613" s="17">
        <v>44925</v>
      </c>
      <c r="YR613" s="5" t="s">
        <v>3728</v>
      </c>
      <c r="YS613" s="17">
        <v>44925</v>
      </c>
      <c r="YT613" s="5" t="s">
        <v>3728</v>
      </c>
      <c r="YU613" s="17">
        <v>44925</v>
      </c>
      <c r="YV613" s="5" t="s">
        <v>3728</v>
      </c>
      <c r="YW613" s="17">
        <v>44925</v>
      </c>
      <c r="YX613" s="5" t="s">
        <v>3728</v>
      </c>
      <c r="YY613" s="17">
        <v>44925</v>
      </c>
      <c r="YZ613" s="5" t="s">
        <v>3728</v>
      </c>
      <c r="ZA613" s="17">
        <v>44925</v>
      </c>
      <c r="ZB613" s="5" t="s">
        <v>3728</v>
      </c>
      <c r="ZC613" s="17">
        <v>44925</v>
      </c>
      <c r="ZD613" s="5" t="s">
        <v>3728</v>
      </c>
      <c r="ZE613" s="17">
        <v>44925</v>
      </c>
      <c r="ZF613" s="5" t="s">
        <v>3728</v>
      </c>
      <c r="ZG613" s="17">
        <v>44925</v>
      </c>
      <c r="ZH613" s="5" t="s">
        <v>3728</v>
      </c>
      <c r="ZI613" s="17">
        <v>44925</v>
      </c>
      <c r="ZJ613" s="5" t="s">
        <v>3728</v>
      </c>
      <c r="ZK613" s="17">
        <v>44925</v>
      </c>
      <c r="ZL613" s="5" t="s">
        <v>3728</v>
      </c>
      <c r="ZM613" s="17">
        <v>44925</v>
      </c>
      <c r="ZN613" s="5" t="s">
        <v>3728</v>
      </c>
      <c r="ZO613" s="17">
        <v>44925</v>
      </c>
      <c r="ZP613" s="5" t="s">
        <v>3728</v>
      </c>
      <c r="ZQ613" s="17">
        <v>44925</v>
      </c>
      <c r="ZR613" s="5" t="s">
        <v>3728</v>
      </c>
      <c r="ZS613" s="17">
        <v>44925</v>
      </c>
      <c r="ZT613" s="5" t="s">
        <v>3728</v>
      </c>
      <c r="ZU613" s="17">
        <v>44925</v>
      </c>
      <c r="ZV613" s="5" t="s">
        <v>3728</v>
      </c>
      <c r="ZW613" s="17">
        <v>44925</v>
      </c>
      <c r="ZX613" s="5" t="s">
        <v>3728</v>
      </c>
      <c r="ZY613" s="17">
        <v>44925</v>
      </c>
      <c r="ZZ613" s="5" t="s">
        <v>3728</v>
      </c>
      <c r="AAA613" s="17">
        <v>44925</v>
      </c>
      <c r="AAB613" s="5" t="s">
        <v>3728</v>
      </c>
      <c r="AAC613" s="17">
        <v>44925</v>
      </c>
      <c r="AAD613" s="5" t="s">
        <v>3728</v>
      </c>
      <c r="AAE613" s="17">
        <v>44925</v>
      </c>
      <c r="AAF613" s="5" t="s">
        <v>3728</v>
      </c>
      <c r="AAG613" s="17">
        <v>44925</v>
      </c>
      <c r="AAH613" s="5" t="s">
        <v>3728</v>
      </c>
      <c r="AAI613" s="17">
        <v>44925</v>
      </c>
      <c r="AAJ613" s="5" t="s">
        <v>3728</v>
      </c>
      <c r="AAK613" s="17">
        <v>44925</v>
      </c>
      <c r="AAL613" s="5" t="s">
        <v>3728</v>
      </c>
      <c r="AAM613" s="17">
        <v>44925</v>
      </c>
      <c r="AAN613" s="5" t="s">
        <v>3728</v>
      </c>
      <c r="AAO613" s="17">
        <v>44925</v>
      </c>
      <c r="AAP613" s="5" t="s">
        <v>3728</v>
      </c>
      <c r="AAQ613" s="17">
        <v>44925</v>
      </c>
      <c r="AAR613" s="5" t="s">
        <v>3728</v>
      </c>
      <c r="AAS613" s="17">
        <v>44925</v>
      </c>
      <c r="AAT613" s="5" t="s">
        <v>3728</v>
      </c>
      <c r="AAU613" s="17">
        <v>44925</v>
      </c>
      <c r="AAV613" s="5" t="s">
        <v>3728</v>
      </c>
      <c r="AAW613" s="17">
        <v>44925</v>
      </c>
      <c r="AAX613" s="5" t="s">
        <v>3728</v>
      </c>
      <c r="AAY613" s="17">
        <v>44925</v>
      </c>
      <c r="AAZ613" s="5" t="s">
        <v>3728</v>
      </c>
      <c r="ABA613" s="17">
        <v>44925</v>
      </c>
      <c r="ABB613" s="5" t="s">
        <v>3728</v>
      </c>
      <c r="ABC613" s="17">
        <v>44925</v>
      </c>
      <c r="ABD613" s="5" t="s">
        <v>3728</v>
      </c>
      <c r="ABE613" s="17">
        <v>44925</v>
      </c>
      <c r="ABF613" s="5" t="s">
        <v>3728</v>
      </c>
      <c r="ABG613" s="17">
        <v>44925</v>
      </c>
      <c r="ABH613" s="5" t="s">
        <v>3728</v>
      </c>
      <c r="ABI613" s="17">
        <v>44925</v>
      </c>
      <c r="ABJ613" s="5" t="s">
        <v>3728</v>
      </c>
      <c r="ABK613" s="17">
        <v>44925</v>
      </c>
      <c r="ABL613" s="5" t="s">
        <v>3728</v>
      </c>
      <c r="ABM613" s="17">
        <v>44925</v>
      </c>
      <c r="ABN613" s="5" t="s">
        <v>3728</v>
      </c>
      <c r="ABO613" s="17">
        <v>44925</v>
      </c>
      <c r="ABP613" s="5" t="s">
        <v>3728</v>
      </c>
      <c r="ABQ613" s="17">
        <v>44925</v>
      </c>
      <c r="ABR613" s="5" t="s">
        <v>3728</v>
      </c>
      <c r="ABS613" s="17">
        <v>44925</v>
      </c>
      <c r="ABT613" s="5" t="s">
        <v>3728</v>
      </c>
      <c r="ABU613" s="17">
        <v>44925</v>
      </c>
      <c r="ABV613" s="5" t="s">
        <v>3728</v>
      </c>
      <c r="ABW613" s="17">
        <v>44925</v>
      </c>
      <c r="ABX613" s="5" t="s">
        <v>3728</v>
      </c>
      <c r="ABY613" s="17">
        <v>44925</v>
      </c>
      <c r="ABZ613" s="5" t="s">
        <v>3728</v>
      </c>
      <c r="ACA613" s="17">
        <v>44925</v>
      </c>
      <c r="ACB613" s="5" t="s">
        <v>3728</v>
      </c>
      <c r="ACC613" s="17">
        <v>44925</v>
      </c>
      <c r="ACD613" s="5" t="s">
        <v>3728</v>
      </c>
      <c r="ACE613" s="17">
        <v>44925</v>
      </c>
      <c r="ACF613" s="5" t="s">
        <v>3728</v>
      </c>
      <c r="ACG613" s="17">
        <v>44925</v>
      </c>
      <c r="ACH613" s="5" t="s">
        <v>3728</v>
      </c>
      <c r="ACI613" s="17">
        <v>44925</v>
      </c>
      <c r="ACJ613" s="5" t="s">
        <v>3728</v>
      </c>
      <c r="ACK613" s="17">
        <v>44925</v>
      </c>
      <c r="ACL613" s="5" t="s">
        <v>3728</v>
      </c>
      <c r="ACM613" s="17">
        <v>44925</v>
      </c>
      <c r="ACN613" s="5" t="s">
        <v>3728</v>
      </c>
      <c r="ACO613" s="17">
        <v>44925</v>
      </c>
      <c r="ACP613" s="5" t="s">
        <v>3728</v>
      </c>
      <c r="ACQ613" s="17">
        <v>44925</v>
      </c>
      <c r="ACR613" s="5" t="s">
        <v>3728</v>
      </c>
      <c r="ACS613" s="17">
        <v>44925</v>
      </c>
      <c r="ACT613" s="5" t="s">
        <v>3728</v>
      </c>
      <c r="ACU613" s="17">
        <v>44925</v>
      </c>
      <c r="ACV613" s="5" t="s">
        <v>3728</v>
      </c>
      <c r="ACW613" s="17">
        <v>44925</v>
      </c>
      <c r="ACX613" s="5" t="s">
        <v>3728</v>
      </c>
      <c r="ACY613" s="17">
        <v>44925</v>
      </c>
      <c r="ACZ613" s="5" t="s">
        <v>3728</v>
      </c>
      <c r="ADA613" s="17">
        <v>44925</v>
      </c>
      <c r="ADB613" s="5" t="s">
        <v>3728</v>
      </c>
      <c r="ADC613" s="17">
        <v>44925</v>
      </c>
      <c r="ADD613" s="5" t="s">
        <v>3728</v>
      </c>
      <c r="ADE613" s="17">
        <v>44925</v>
      </c>
      <c r="ADF613" s="5" t="s">
        <v>3728</v>
      </c>
      <c r="ADG613" s="17">
        <v>44925</v>
      </c>
      <c r="ADH613" s="5" t="s">
        <v>3728</v>
      </c>
      <c r="ADI613" s="17">
        <v>44925</v>
      </c>
      <c r="ADJ613" s="5" t="s">
        <v>3728</v>
      </c>
      <c r="ADK613" s="17">
        <v>44925</v>
      </c>
      <c r="ADL613" s="5" t="s">
        <v>3728</v>
      </c>
      <c r="ADM613" s="17">
        <v>44925</v>
      </c>
      <c r="ADN613" s="5" t="s">
        <v>3728</v>
      </c>
      <c r="ADO613" s="17">
        <v>44925</v>
      </c>
      <c r="ADP613" s="5" t="s">
        <v>3728</v>
      </c>
      <c r="ADQ613" s="17">
        <v>44925</v>
      </c>
      <c r="ADR613" s="5" t="s">
        <v>3728</v>
      </c>
      <c r="ADS613" s="17">
        <v>44925</v>
      </c>
      <c r="ADT613" s="5" t="s">
        <v>3728</v>
      </c>
      <c r="ADU613" s="17">
        <v>44925</v>
      </c>
      <c r="ADV613" s="5" t="s">
        <v>3728</v>
      </c>
      <c r="ADW613" s="17">
        <v>44925</v>
      </c>
      <c r="ADX613" s="5" t="s">
        <v>3728</v>
      </c>
      <c r="ADY613" s="17">
        <v>44925</v>
      </c>
      <c r="ADZ613" s="5" t="s">
        <v>3728</v>
      </c>
      <c r="AEA613" s="17">
        <v>44925</v>
      </c>
      <c r="AEB613" s="5" t="s">
        <v>3728</v>
      </c>
      <c r="AEC613" s="17">
        <v>44925</v>
      </c>
      <c r="AED613" s="5" t="s">
        <v>3728</v>
      </c>
      <c r="AEE613" s="17">
        <v>44925</v>
      </c>
      <c r="AEF613" s="5" t="s">
        <v>3728</v>
      </c>
      <c r="AEG613" s="17">
        <v>44925</v>
      </c>
      <c r="AEH613" s="5" t="s">
        <v>3728</v>
      </c>
      <c r="AEI613" s="17">
        <v>44925</v>
      </c>
      <c r="AEJ613" s="5" t="s">
        <v>3728</v>
      </c>
      <c r="AEK613" s="17">
        <v>44925</v>
      </c>
      <c r="AEL613" s="5" t="s">
        <v>3728</v>
      </c>
      <c r="AEM613" s="17">
        <v>44925</v>
      </c>
      <c r="AEN613" s="5" t="s">
        <v>3728</v>
      </c>
      <c r="AEO613" s="17">
        <v>44925</v>
      </c>
      <c r="AEP613" s="5" t="s">
        <v>3728</v>
      </c>
      <c r="AEQ613" s="17">
        <v>44925</v>
      </c>
      <c r="AER613" s="5" t="s">
        <v>3728</v>
      </c>
      <c r="AES613" s="17">
        <v>44925</v>
      </c>
      <c r="AET613" s="5" t="s">
        <v>3728</v>
      </c>
      <c r="AEU613" s="17">
        <v>44925</v>
      </c>
      <c r="AEV613" s="5" t="s">
        <v>3728</v>
      </c>
      <c r="AEW613" s="17">
        <v>44925</v>
      </c>
      <c r="AEX613" s="5" t="s">
        <v>3728</v>
      </c>
      <c r="AEY613" s="17">
        <v>44925</v>
      </c>
      <c r="AEZ613" s="5" t="s">
        <v>3728</v>
      </c>
      <c r="AFA613" s="17">
        <v>44925</v>
      </c>
      <c r="AFB613" s="5" t="s">
        <v>3728</v>
      </c>
      <c r="AFC613" s="17">
        <v>44925</v>
      </c>
      <c r="AFD613" s="5" t="s">
        <v>3728</v>
      </c>
      <c r="AFE613" s="17">
        <v>44925</v>
      </c>
      <c r="AFF613" s="5" t="s">
        <v>3728</v>
      </c>
      <c r="AFG613" s="17">
        <v>44925</v>
      </c>
      <c r="AFH613" s="5" t="s">
        <v>3728</v>
      </c>
      <c r="AFI613" s="17">
        <v>44925</v>
      </c>
      <c r="AFJ613" s="5" t="s">
        <v>3728</v>
      </c>
      <c r="AFK613" s="17">
        <v>44925</v>
      </c>
      <c r="AFL613" s="5" t="s">
        <v>3728</v>
      </c>
      <c r="AFM613" s="17">
        <v>44925</v>
      </c>
      <c r="AFN613" s="5" t="s">
        <v>3728</v>
      </c>
      <c r="AFO613" s="17">
        <v>44925</v>
      </c>
      <c r="AFP613" s="5" t="s">
        <v>3728</v>
      </c>
      <c r="AFQ613" s="17">
        <v>44925</v>
      </c>
      <c r="AFR613" s="5" t="s">
        <v>3728</v>
      </c>
      <c r="AFS613" s="17">
        <v>44925</v>
      </c>
      <c r="AFT613" s="5" t="s">
        <v>3728</v>
      </c>
      <c r="AFU613" s="17">
        <v>44925</v>
      </c>
      <c r="AFV613" s="5" t="s">
        <v>3728</v>
      </c>
      <c r="AFW613" s="17">
        <v>44925</v>
      </c>
      <c r="AFX613" s="5" t="s">
        <v>3728</v>
      </c>
      <c r="AFY613" s="17">
        <v>44925</v>
      </c>
      <c r="AFZ613" s="5" t="s">
        <v>3728</v>
      </c>
      <c r="AGA613" s="17">
        <v>44925</v>
      </c>
      <c r="AGB613" s="5" t="s">
        <v>3728</v>
      </c>
      <c r="AGC613" s="17">
        <v>44925</v>
      </c>
      <c r="AGD613" s="5" t="s">
        <v>3728</v>
      </c>
      <c r="AGE613" s="17">
        <v>44925</v>
      </c>
      <c r="AGF613" s="5" t="s">
        <v>3728</v>
      </c>
      <c r="AGG613" s="17">
        <v>44925</v>
      </c>
      <c r="AGH613" s="5" t="s">
        <v>3728</v>
      </c>
      <c r="AGI613" s="17">
        <v>44925</v>
      </c>
      <c r="AGJ613" s="5" t="s">
        <v>3728</v>
      </c>
      <c r="AGK613" s="17">
        <v>44925</v>
      </c>
      <c r="AGL613" s="5" t="s">
        <v>3728</v>
      </c>
      <c r="AGM613" s="17">
        <v>44925</v>
      </c>
      <c r="AGN613" s="5" t="s">
        <v>3728</v>
      </c>
      <c r="AGO613" s="17">
        <v>44925</v>
      </c>
      <c r="AGP613" s="5" t="s">
        <v>3728</v>
      </c>
      <c r="AGQ613" s="17">
        <v>44925</v>
      </c>
      <c r="AGR613" s="5" t="s">
        <v>3728</v>
      </c>
      <c r="AGS613" s="17">
        <v>44925</v>
      </c>
      <c r="AGT613" s="5" t="s">
        <v>3728</v>
      </c>
      <c r="AGU613" s="17">
        <v>44925</v>
      </c>
      <c r="AGV613" s="5" t="s">
        <v>3728</v>
      </c>
      <c r="AGW613" s="17">
        <v>44925</v>
      </c>
      <c r="AGX613" s="5" t="s">
        <v>3728</v>
      </c>
      <c r="AGY613" s="17">
        <v>44925</v>
      </c>
      <c r="AGZ613" s="5" t="s">
        <v>3728</v>
      </c>
      <c r="AHA613" s="17">
        <v>44925</v>
      </c>
      <c r="AHB613" s="5" t="s">
        <v>3728</v>
      </c>
      <c r="AHC613" s="17">
        <v>44925</v>
      </c>
      <c r="AHD613" s="5" t="s">
        <v>3728</v>
      </c>
      <c r="AHE613" s="17">
        <v>44925</v>
      </c>
      <c r="AHF613" s="5" t="s">
        <v>3728</v>
      </c>
      <c r="AHG613" s="17">
        <v>44925</v>
      </c>
      <c r="AHH613" s="5" t="s">
        <v>3728</v>
      </c>
      <c r="AHI613" s="17">
        <v>44925</v>
      </c>
      <c r="AHJ613" s="5" t="s">
        <v>3728</v>
      </c>
      <c r="AHK613" s="17">
        <v>44925</v>
      </c>
      <c r="AHL613" s="5" t="s">
        <v>3728</v>
      </c>
      <c r="AHM613" s="17">
        <v>44925</v>
      </c>
      <c r="AHN613" s="5" t="s">
        <v>3728</v>
      </c>
      <c r="AHO613" s="17">
        <v>44925</v>
      </c>
      <c r="AHP613" s="5" t="s">
        <v>3728</v>
      </c>
      <c r="AHQ613" s="17">
        <v>44925</v>
      </c>
      <c r="AHR613" s="5" t="s">
        <v>3728</v>
      </c>
      <c r="AHS613" s="17">
        <v>44925</v>
      </c>
      <c r="AHT613" s="5" t="s">
        <v>3728</v>
      </c>
      <c r="AHU613" s="17">
        <v>44925</v>
      </c>
      <c r="AHV613" s="5" t="s">
        <v>3728</v>
      </c>
      <c r="AHW613" s="17">
        <v>44925</v>
      </c>
      <c r="AHX613" s="5" t="s">
        <v>3728</v>
      </c>
      <c r="AHY613" s="17">
        <v>44925</v>
      </c>
      <c r="AHZ613" s="5" t="s">
        <v>3728</v>
      </c>
      <c r="AIA613" s="17">
        <v>44925</v>
      </c>
      <c r="AIB613" s="5" t="s">
        <v>3728</v>
      </c>
      <c r="AIC613" s="17">
        <v>44925</v>
      </c>
      <c r="AID613" s="5" t="s">
        <v>3728</v>
      </c>
      <c r="AIE613" s="17">
        <v>44925</v>
      </c>
      <c r="AIF613" s="5" t="s">
        <v>3728</v>
      </c>
      <c r="AIG613" s="17">
        <v>44925</v>
      </c>
      <c r="AIH613" s="5" t="s">
        <v>3728</v>
      </c>
      <c r="AII613" s="17">
        <v>44925</v>
      </c>
      <c r="AIJ613" s="5" t="s">
        <v>3728</v>
      </c>
      <c r="AIK613" s="17">
        <v>44925</v>
      </c>
      <c r="AIL613" s="5" t="s">
        <v>3728</v>
      </c>
      <c r="AIM613" s="17">
        <v>44925</v>
      </c>
      <c r="AIN613" s="5" t="s">
        <v>3728</v>
      </c>
      <c r="AIO613" s="17">
        <v>44925</v>
      </c>
      <c r="AIP613" s="5" t="s">
        <v>3728</v>
      </c>
      <c r="AIQ613" s="17">
        <v>44925</v>
      </c>
      <c r="AIR613" s="5" t="s">
        <v>3728</v>
      </c>
      <c r="AIS613" s="17">
        <v>44925</v>
      </c>
      <c r="AIT613" s="5" t="s">
        <v>3728</v>
      </c>
      <c r="AIU613" s="17">
        <v>44925</v>
      </c>
      <c r="AIV613" s="5" t="s">
        <v>3728</v>
      </c>
      <c r="AIW613" s="17">
        <v>44925</v>
      </c>
      <c r="AIX613" s="5" t="s">
        <v>3728</v>
      </c>
      <c r="AIY613" s="17">
        <v>44925</v>
      </c>
      <c r="AIZ613" s="5" t="s">
        <v>3728</v>
      </c>
      <c r="AJA613" s="17">
        <v>44925</v>
      </c>
      <c r="AJB613" s="5" t="s">
        <v>3728</v>
      </c>
      <c r="AJC613" s="17">
        <v>44925</v>
      </c>
      <c r="AJD613" s="5" t="s">
        <v>3728</v>
      </c>
      <c r="AJE613" s="17">
        <v>44925</v>
      </c>
      <c r="AJF613" s="5" t="s">
        <v>3728</v>
      </c>
      <c r="AJG613" s="17">
        <v>44925</v>
      </c>
      <c r="AJH613" s="5" t="s">
        <v>3728</v>
      </c>
      <c r="AJI613" s="17">
        <v>44925</v>
      </c>
      <c r="AJJ613" s="5" t="s">
        <v>3728</v>
      </c>
      <c r="AJK613" s="17">
        <v>44925</v>
      </c>
      <c r="AJL613" s="5" t="s">
        <v>3728</v>
      </c>
      <c r="AJM613" s="17">
        <v>44925</v>
      </c>
      <c r="AJN613" s="5" t="s">
        <v>3728</v>
      </c>
      <c r="AJO613" s="17">
        <v>44925</v>
      </c>
      <c r="AJP613" s="5" t="s">
        <v>3728</v>
      </c>
      <c r="AJQ613" s="17">
        <v>44925</v>
      </c>
      <c r="AJR613" s="5" t="s">
        <v>3728</v>
      </c>
      <c r="AJS613" s="17">
        <v>44925</v>
      </c>
      <c r="AJT613" s="5" t="s">
        <v>3728</v>
      </c>
      <c r="AJU613" s="17">
        <v>44925</v>
      </c>
      <c r="AJV613" s="5" t="s">
        <v>3728</v>
      </c>
      <c r="AJW613" s="17">
        <v>44925</v>
      </c>
      <c r="AJX613" s="5" t="s">
        <v>3728</v>
      </c>
      <c r="AJY613" s="17">
        <v>44925</v>
      </c>
      <c r="AJZ613" s="5" t="s">
        <v>3728</v>
      </c>
      <c r="AKA613" s="17">
        <v>44925</v>
      </c>
      <c r="AKB613" s="5" t="s">
        <v>3728</v>
      </c>
      <c r="AKC613" s="17">
        <v>44925</v>
      </c>
      <c r="AKD613" s="5" t="s">
        <v>3728</v>
      </c>
      <c r="AKE613" s="17">
        <v>44925</v>
      </c>
      <c r="AKF613" s="5" t="s">
        <v>3728</v>
      </c>
      <c r="AKG613" s="17">
        <v>44925</v>
      </c>
      <c r="AKH613" s="5" t="s">
        <v>3728</v>
      </c>
      <c r="AKI613" s="17">
        <v>44925</v>
      </c>
      <c r="AKJ613" s="5" t="s">
        <v>3728</v>
      </c>
      <c r="AKK613" s="17">
        <v>44925</v>
      </c>
      <c r="AKL613" s="5" t="s">
        <v>3728</v>
      </c>
      <c r="AKM613" s="17">
        <v>44925</v>
      </c>
      <c r="AKN613" s="5" t="s">
        <v>3728</v>
      </c>
      <c r="AKO613" s="17">
        <v>44925</v>
      </c>
      <c r="AKP613" s="5" t="s">
        <v>3728</v>
      </c>
      <c r="AKQ613" s="17">
        <v>44925</v>
      </c>
      <c r="AKR613" s="5" t="s">
        <v>3728</v>
      </c>
      <c r="AKS613" s="17">
        <v>44925</v>
      </c>
      <c r="AKT613" s="5" t="s">
        <v>3728</v>
      </c>
      <c r="AKU613" s="17">
        <v>44925</v>
      </c>
      <c r="AKV613" s="5" t="s">
        <v>3728</v>
      </c>
      <c r="AKW613" s="17">
        <v>44925</v>
      </c>
      <c r="AKX613" s="5" t="s">
        <v>3728</v>
      </c>
      <c r="AKY613" s="17">
        <v>44925</v>
      </c>
      <c r="AKZ613" s="5" t="s">
        <v>3728</v>
      </c>
      <c r="ALA613" s="17">
        <v>44925</v>
      </c>
      <c r="ALB613" s="5" t="s">
        <v>3728</v>
      </c>
      <c r="ALC613" s="17">
        <v>44925</v>
      </c>
      <c r="ALD613" s="5" t="s">
        <v>3728</v>
      </c>
      <c r="ALE613" s="17">
        <v>44925</v>
      </c>
      <c r="ALF613" s="5" t="s">
        <v>3728</v>
      </c>
      <c r="ALG613" s="17">
        <v>44925</v>
      </c>
      <c r="ALH613" s="5" t="s">
        <v>3728</v>
      </c>
      <c r="ALI613" s="17">
        <v>44925</v>
      </c>
      <c r="ALJ613" s="5" t="s">
        <v>3728</v>
      </c>
      <c r="ALK613" s="17">
        <v>44925</v>
      </c>
      <c r="ALL613" s="5" t="s">
        <v>3728</v>
      </c>
      <c r="ALM613" s="17">
        <v>44925</v>
      </c>
      <c r="ALN613" s="5" t="s">
        <v>3728</v>
      </c>
      <c r="ALO613" s="17">
        <v>44925</v>
      </c>
      <c r="ALP613" s="5" t="s">
        <v>3728</v>
      </c>
      <c r="ALQ613" s="17">
        <v>44925</v>
      </c>
      <c r="ALR613" s="5" t="s">
        <v>3728</v>
      </c>
      <c r="ALS613" s="17">
        <v>44925</v>
      </c>
      <c r="ALT613" s="5" t="s">
        <v>3728</v>
      </c>
      <c r="ALU613" s="17">
        <v>44925</v>
      </c>
      <c r="ALV613" s="5" t="s">
        <v>3728</v>
      </c>
      <c r="ALW613" s="17">
        <v>44925</v>
      </c>
      <c r="ALX613" s="5" t="s">
        <v>3728</v>
      </c>
      <c r="ALY613" s="17">
        <v>44925</v>
      </c>
      <c r="ALZ613" s="5" t="s">
        <v>3728</v>
      </c>
      <c r="AMA613" s="17">
        <v>44925</v>
      </c>
      <c r="AMB613" s="5" t="s">
        <v>3728</v>
      </c>
      <c r="AMC613" s="17">
        <v>44925</v>
      </c>
      <c r="AMD613" s="5" t="s">
        <v>3728</v>
      </c>
      <c r="AME613" s="17">
        <v>44925</v>
      </c>
      <c r="AMF613" s="5" t="s">
        <v>3728</v>
      </c>
      <c r="AMG613" s="17">
        <v>44925</v>
      </c>
      <c r="AMH613" s="5" t="s">
        <v>3728</v>
      </c>
      <c r="AMI613" s="17">
        <v>44925</v>
      </c>
      <c r="AMJ613" s="5" t="s">
        <v>3728</v>
      </c>
      <c r="AMK613" s="17">
        <v>44925</v>
      </c>
      <c r="AML613" s="5" t="s">
        <v>3728</v>
      </c>
      <c r="AMM613" s="17">
        <v>44925</v>
      </c>
      <c r="AMN613" s="5" t="s">
        <v>3728</v>
      </c>
      <c r="AMO613" s="17">
        <v>44925</v>
      </c>
      <c r="AMP613" s="5" t="s">
        <v>3728</v>
      </c>
      <c r="AMQ613" s="17">
        <v>44925</v>
      </c>
      <c r="AMR613" s="5" t="s">
        <v>3728</v>
      </c>
      <c r="AMS613" s="17">
        <v>44925</v>
      </c>
      <c r="AMT613" s="5" t="s">
        <v>3728</v>
      </c>
      <c r="AMU613" s="17">
        <v>44925</v>
      </c>
      <c r="AMV613" s="5" t="s">
        <v>3728</v>
      </c>
      <c r="AMW613" s="17">
        <v>44925</v>
      </c>
      <c r="AMX613" s="5" t="s">
        <v>3728</v>
      </c>
      <c r="AMY613" s="17">
        <v>44925</v>
      </c>
      <c r="AMZ613" s="5" t="s">
        <v>3728</v>
      </c>
      <c r="ANA613" s="17">
        <v>44925</v>
      </c>
      <c r="ANB613" s="5" t="s">
        <v>3728</v>
      </c>
      <c r="ANC613" s="17">
        <v>44925</v>
      </c>
      <c r="AND613" s="5" t="s">
        <v>3728</v>
      </c>
      <c r="ANE613" s="17">
        <v>44925</v>
      </c>
      <c r="ANF613" s="5" t="s">
        <v>3728</v>
      </c>
      <c r="ANG613" s="17">
        <v>44925</v>
      </c>
      <c r="ANH613" s="5" t="s">
        <v>3728</v>
      </c>
      <c r="ANI613" s="17">
        <v>44925</v>
      </c>
      <c r="ANJ613" s="5" t="s">
        <v>3728</v>
      </c>
      <c r="ANK613" s="17">
        <v>44925</v>
      </c>
      <c r="ANL613" s="5" t="s">
        <v>3728</v>
      </c>
      <c r="ANM613" s="17">
        <v>44925</v>
      </c>
      <c r="ANN613" s="5" t="s">
        <v>3728</v>
      </c>
      <c r="ANO613" s="17">
        <v>44925</v>
      </c>
      <c r="ANP613" s="5" t="s">
        <v>3728</v>
      </c>
      <c r="ANQ613" s="17">
        <v>44925</v>
      </c>
      <c r="ANR613" s="5" t="s">
        <v>3728</v>
      </c>
      <c r="ANS613" s="17">
        <v>44925</v>
      </c>
      <c r="ANT613" s="5" t="s">
        <v>3728</v>
      </c>
      <c r="ANU613" s="17">
        <v>44925</v>
      </c>
      <c r="ANV613" s="5" t="s">
        <v>3728</v>
      </c>
      <c r="ANW613" s="17">
        <v>44925</v>
      </c>
      <c r="ANX613" s="5" t="s">
        <v>3728</v>
      </c>
      <c r="ANY613" s="17">
        <v>44925</v>
      </c>
      <c r="ANZ613" s="5" t="s">
        <v>3728</v>
      </c>
      <c r="AOA613" s="17">
        <v>44925</v>
      </c>
      <c r="AOB613" s="5" t="s">
        <v>3728</v>
      </c>
      <c r="AOC613" s="17">
        <v>44925</v>
      </c>
      <c r="AOD613" s="5" t="s">
        <v>3728</v>
      </c>
      <c r="AOE613" s="17">
        <v>44925</v>
      </c>
      <c r="AOF613" s="5" t="s">
        <v>3728</v>
      </c>
      <c r="AOG613" s="17">
        <v>44925</v>
      </c>
      <c r="AOH613" s="5" t="s">
        <v>3728</v>
      </c>
      <c r="AOI613" s="17">
        <v>44925</v>
      </c>
      <c r="AOJ613" s="5" t="s">
        <v>3728</v>
      </c>
      <c r="AOK613" s="17">
        <v>44925</v>
      </c>
      <c r="AOL613" s="5" t="s">
        <v>3728</v>
      </c>
      <c r="AOM613" s="17">
        <v>44925</v>
      </c>
      <c r="AON613" s="5" t="s">
        <v>3728</v>
      </c>
      <c r="AOO613" s="17">
        <v>44925</v>
      </c>
      <c r="AOP613" s="5" t="s">
        <v>3728</v>
      </c>
      <c r="AOQ613" s="17">
        <v>44925</v>
      </c>
      <c r="AOR613" s="5" t="s">
        <v>3728</v>
      </c>
      <c r="AOS613" s="17">
        <v>44925</v>
      </c>
      <c r="AOT613" s="5" t="s">
        <v>3728</v>
      </c>
      <c r="AOU613" s="17">
        <v>44925</v>
      </c>
      <c r="AOV613" s="5" t="s">
        <v>3728</v>
      </c>
      <c r="AOW613" s="17">
        <v>44925</v>
      </c>
      <c r="AOX613" s="5" t="s">
        <v>3728</v>
      </c>
      <c r="AOY613" s="17">
        <v>44925</v>
      </c>
      <c r="AOZ613" s="5" t="s">
        <v>3728</v>
      </c>
      <c r="APA613" s="17">
        <v>44925</v>
      </c>
      <c r="APB613" s="5" t="s">
        <v>3728</v>
      </c>
      <c r="APC613" s="17">
        <v>44925</v>
      </c>
      <c r="APD613" s="5" t="s">
        <v>3728</v>
      </c>
      <c r="APE613" s="17">
        <v>44925</v>
      </c>
      <c r="APF613" s="5" t="s">
        <v>3728</v>
      </c>
      <c r="APG613" s="17">
        <v>44925</v>
      </c>
      <c r="APH613" s="5" t="s">
        <v>3728</v>
      </c>
      <c r="API613" s="17">
        <v>44925</v>
      </c>
      <c r="APJ613" s="5" t="s">
        <v>3728</v>
      </c>
      <c r="APK613" s="17">
        <v>44925</v>
      </c>
      <c r="APL613" s="5" t="s">
        <v>3728</v>
      </c>
      <c r="APM613" s="17">
        <v>44925</v>
      </c>
      <c r="APN613" s="5" t="s">
        <v>3728</v>
      </c>
      <c r="APO613" s="17">
        <v>44925</v>
      </c>
      <c r="APP613" s="5" t="s">
        <v>3728</v>
      </c>
      <c r="APQ613" s="17">
        <v>44925</v>
      </c>
      <c r="APR613" s="5" t="s">
        <v>3728</v>
      </c>
      <c r="APS613" s="17">
        <v>44925</v>
      </c>
      <c r="APT613" s="5" t="s">
        <v>3728</v>
      </c>
      <c r="APU613" s="17">
        <v>44925</v>
      </c>
      <c r="APV613" s="5" t="s">
        <v>3728</v>
      </c>
      <c r="APW613" s="17">
        <v>44925</v>
      </c>
      <c r="APX613" s="5" t="s">
        <v>3728</v>
      </c>
      <c r="APY613" s="17">
        <v>44925</v>
      </c>
      <c r="APZ613" s="5" t="s">
        <v>3728</v>
      </c>
      <c r="AQA613" s="17">
        <v>44925</v>
      </c>
      <c r="AQB613" s="5" t="s">
        <v>3728</v>
      </c>
      <c r="AQC613" s="17">
        <v>44925</v>
      </c>
      <c r="AQD613" s="5" t="s">
        <v>3728</v>
      </c>
      <c r="AQE613" s="17">
        <v>44925</v>
      </c>
      <c r="AQF613" s="5" t="s">
        <v>3728</v>
      </c>
      <c r="AQG613" s="17">
        <v>44925</v>
      </c>
      <c r="AQH613" s="5" t="s">
        <v>3728</v>
      </c>
      <c r="AQI613" s="17">
        <v>44925</v>
      </c>
      <c r="AQJ613" s="5" t="s">
        <v>3728</v>
      </c>
      <c r="AQK613" s="17">
        <v>44925</v>
      </c>
      <c r="AQL613" s="5" t="s">
        <v>3728</v>
      </c>
      <c r="AQM613" s="17">
        <v>44925</v>
      </c>
      <c r="AQN613" s="5" t="s">
        <v>3728</v>
      </c>
      <c r="AQO613" s="17">
        <v>44925</v>
      </c>
      <c r="AQP613" s="5" t="s">
        <v>3728</v>
      </c>
      <c r="AQQ613" s="17">
        <v>44925</v>
      </c>
      <c r="AQR613" s="5" t="s">
        <v>3728</v>
      </c>
      <c r="AQS613" s="17">
        <v>44925</v>
      </c>
      <c r="AQT613" s="5" t="s">
        <v>3728</v>
      </c>
      <c r="AQU613" s="17">
        <v>44925</v>
      </c>
      <c r="AQV613" s="5" t="s">
        <v>3728</v>
      </c>
      <c r="AQW613" s="17">
        <v>44925</v>
      </c>
      <c r="AQX613" s="5" t="s">
        <v>3728</v>
      </c>
      <c r="AQY613" s="17">
        <v>44925</v>
      </c>
      <c r="AQZ613" s="5" t="s">
        <v>3728</v>
      </c>
      <c r="ARA613" s="17">
        <v>44925</v>
      </c>
      <c r="ARB613" s="5" t="s">
        <v>3728</v>
      </c>
      <c r="ARC613" s="17">
        <v>44925</v>
      </c>
      <c r="ARD613" s="5" t="s">
        <v>3728</v>
      </c>
      <c r="ARE613" s="17">
        <v>44925</v>
      </c>
      <c r="ARF613" s="5" t="s">
        <v>3728</v>
      </c>
      <c r="ARG613" s="17">
        <v>44925</v>
      </c>
      <c r="ARH613" s="5" t="s">
        <v>3728</v>
      </c>
      <c r="ARI613" s="17">
        <v>44925</v>
      </c>
      <c r="ARJ613" s="5" t="s">
        <v>3728</v>
      </c>
      <c r="ARK613" s="17">
        <v>44925</v>
      </c>
      <c r="ARL613" s="5" t="s">
        <v>3728</v>
      </c>
      <c r="ARM613" s="17">
        <v>44925</v>
      </c>
      <c r="ARN613" s="5" t="s">
        <v>3728</v>
      </c>
      <c r="ARO613" s="17">
        <v>44925</v>
      </c>
      <c r="ARP613" s="5" t="s">
        <v>3728</v>
      </c>
      <c r="ARQ613" s="17">
        <v>44925</v>
      </c>
      <c r="ARR613" s="5" t="s">
        <v>3728</v>
      </c>
      <c r="ARS613" s="17">
        <v>44925</v>
      </c>
      <c r="ART613" s="5" t="s">
        <v>3728</v>
      </c>
      <c r="ARU613" s="17">
        <v>44925</v>
      </c>
      <c r="ARV613" s="5" t="s">
        <v>3728</v>
      </c>
      <c r="ARW613" s="17">
        <v>44925</v>
      </c>
      <c r="ARX613" s="5" t="s">
        <v>3728</v>
      </c>
      <c r="ARY613" s="17">
        <v>44925</v>
      </c>
      <c r="ARZ613" s="5" t="s">
        <v>3728</v>
      </c>
      <c r="ASA613" s="17">
        <v>44925</v>
      </c>
      <c r="ASB613" s="5" t="s">
        <v>3728</v>
      </c>
      <c r="ASC613" s="17">
        <v>44925</v>
      </c>
      <c r="ASD613" s="5" t="s">
        <v>3728</v>
      </c>
      <c r="ASE613" s="17">
        <v>44925</v>
      </c>
      <c r="ASF613" s="5" t="s">
        <v>3728</v>
      </c>
      <c r="ASG613" s="17">
        <v>44925</v>
      </c>
      <c r="ASH613" s="5" t="s">
        <v>3728</v>
      </c>
      <c r="ASI613" s="17">
        <v>44925</v>
      </c>
      <c r="ASJ613" s="5" t="s">
        <v>3728</v>
      </c>
      <c r="ASK613" s="17">
        <v>44925</v>
      </c>
      <c r="ASL613" s="5" t="s">
        <v>3728</v>
      </c>
      <c r="ASM613" s="17">
        <v>44925</v>
      </c>
      <c r="ASN613" s="5" t="s">
        <v>3728</v>
      </c>
      <c r="ASO613" s="17">
        <v>44925</v>
      </c>
      <c r="ASP613" s="5" t="s">
        <v>3728</v>
      </c>
      <c r="ASQ613" s="17">
        <v>44925</v>
      </c>
      <c r="ASR613" s="5" t="s">
        <v>3728</v>
      </c>
      <c r="ASS613" s="17">
        <v>44925</v>
      </c>
      <c r="AST613" s="5" t="s">
        <v>3728</v>
      </c>
      <c r="ASU613" s="17">
        <v>44925</v>
      </c>
      <c r="ASV613" s="5" t="s">
        <v>3728</v>
      </c>
      <c r="ASW613" s="17">
        <v>44925</v>
      </c>
      <c r="ASX613" s="5" t="s">
        <v>3728</v>
      </c>
      <c r="ASY613" s="17">
        <v>44925</v>
      </c>
      <c r="ASZ613" s="5" t="s">
        <v>3728</v>
      </c>
      <c r="ATA613" s="17">
        <v>44925</v>
      </c>
      <c r="ATB613" s="5" t="s">
        <v>3728</v>
      </c>
      <c r="ATC613" s="17">
        <v>44925</v>
      </c>
      <c r="ATD613" s="5" t="s">
        <v>3728</v>
      </c>
      <c r="ATE613" s="17">
        <v>44925</v>
      </c>
      <c r="ATF613" s="5" t="s">
        <v>3728</v>
      </c>
      <c r="ATG613" s="17">
        <v>44925</v>
      </c>
      <c r="ATH613" s="5" t="s">
        <v>3728</v>
      </c>
      <c r="ATI613" s="17">
        <v>44925</v>
      </c>
      <c r="ATJ613" s="5" t="s">
        <v>3728</v>
      </c>
      <c r="ATK613" s="17">
        <v>44925</v>
      </c>
      <c r="ATL613" s="5" t="s">
        <v>3728</v>
      </c>
      <c r="ATM613" s="17">
        <v>44925</v>
      </c>
      <c r="ATN613" s="5" t="s">
        <v>3728</v>
      </c>
      <c r="ATO613" s="17">
        <v>44925</v>
      </c>
      <c r="ATP613" s="5" t="s">
        <v>3728</v>
      </c>
      <c r="ATQ613" s="17">
        <v>44925</v>
      </c>
      <c r="ATR613" s="5" t="s">
        <v>3728</v>
      </c>
      <c r="ATS613" s="17">
        <v>44925</v>
      </c>
      <c r="ATT613" s="5" t="s">
        <v>3728</v>
      </c>
      <c r="ATU613" s="17">
        <v>44925</v>
      </c>
      <c r="ATV613" s="5" t="s">
        <v>3728</v>
      </c>
      <c r="ATW613" s="17">
        <v>44925</v>
      </c>
      <c r="ATX613" s="5" t="s">
        <v>3728</v>
      </c>
      <c r="ATY613" s="17">
        <v>44925</v>
      </c>
      <c r="ATZ613" s="5" t="s">
        <v>3728</v>
      </c>
      <c r="AUA613" s="17">
        <v>44925</v>
      </c>
      <c r="AUB613" s="5" t="s">
        <v>3728</v>
      </c>
      <c r="AUC613" s="17">
        <v>44925</v>
      </c>
      <c r="AUD613" s="5" t="s">
        <v>3728</v>
      </c>
      <c r="AUE613" s="17">
        <v>44925</v>
      </c>
      <c r="AUF613" s="5" t="s">
        <v>3728</v>
      </c>
      <c r="AUG613" s="17">
        <v>44925</v>
      </c>
      <c r="AUH613" s="5" t="s">
        <v>3728</v>
      </c>
      <c r="AUI613" s="17">
        <v>44925</v>
      </c>
      <c r="AUJ613" s="5" t="s">
        <v>3728</v>
      </c>
      <c r="AUK613" s="17">
        <v>44925</v>
      </c>
      <c r="AUL613" s="5" t="s">
        <v>3728</v>
      </c>
      <c r="AUM613" s="17">
        <v>44925</v>
      </c>
      <c r="AUN613" s="5" t="s">
        <v>3728</v>
      </c>
      <c r="AUO613" s="17">
        <v>44925</v>
      </c>
      <c r="AUP613" s="5" t="s">
        <v>3728</v>
      </c>
      <c r="AUQ613" s="17">
        <v>44925</v>
      </c>
      <c r="AUR613" s="5" t="s">
        <v>3728</v>
      </c>
      <c r="AUS613" s="17">
        <v>44925</v>
      </c>
      <c r="AUT613" s="5" t="s">
        <v>3728</v>
      </c>
      <c r="AUU613" s="17">
        <v>44925</v>
      </c>
      <c r="AUV613" s="5" t="s">
        <v>3728</v>
      </c>
      <c r="AUW613" s="17">
        <v>44925</v>
      </c>
      <c r="AUX613" s="5" t="s">
        <v>3728</v>
      </c>
      <c r="AUY613" s="17">
        <v>44925</v>
      </c>
      <c r="AUZ613" s="5" t="s">
        <v>3728</v>
      </c>
      <c r="AVA613" s="17">
        <v>44925</v>
      </c>
      <c r="AVB613" s="5" t="s">
        <v>3728</v>
      </c>
      <c r="AVC613" s="17">
        <v>44925</v>
      </c>
      <c r="AVD613" s="5" t="s">
        <v>3728</v>
      </c>
      <c r="AVE613" s="17">
        <v>44925</v>
      </c>
      <c r="AVF613" s="5" t="s">
        <v>3728</v>
      </c>
      <c r="AVG613" s="17">
        <v>44925</v>
      </c>
      <c r="AVH613" s="5" t="s">
        <v>3728</v>
      </c>
      <c r="AVI613" s="17">
        <v>44925</v>
      </c>
      <c r="AVJ613" s="5" t="s">
        <v>3728</v>
      </c>
      <c r="AVK613" s="17">
        <v>44925</v>
      </c>
      <c r="AVL613" s="5" t="s">
        <v>3728</v>
      </c>
      <c r="AVM613" s="17">
        <v>44925</v>
      </c>
      <c r="AVN613" s="5" t="s">
        <v>3728</v>
      </c>
      <c r="AVO613" s="17">
        <v>44925</v>
      </c>
      <c r="AVP613" s="5" t="s">
        <v>3728</v>
      </c>
      <c r="AVQ613" s="17">
        <v>44925</v>
      </c>
      <c r="AVR613" s="5" t="s">
        <v>3728</v>
      </c>
      <c r="AVS613" s="17">
        <v>44925</v>
      </c>
      <c r="AVT613" s="5" t="s">
        <v>3728</v>
      </c>
      <c r="AVU613" s="17">
        <v>44925</v>
      </c>
      <c r="AVV613" s="5" t="s">
        <v>3728</v>
      </c>
      <c r="AVW613" s="17">
        <v>44925</v>
      </c>
      <c r="AVX613" s="5" t="s">
        <v>3728</v>
      </c>
      <c r="AVY613" s="17">
        <v>44925</v>
      </c>
      <c r="AVZ613" s="5" t="s">
        <v>3728</v>
      </c>
      <c r="AWA613" s="17">
        <v>44925</v>
      </c>
      <c r="AWB613" s="5" t="s">
        <v>3728</v>
      </c>
      <c r="AWC613" s="17">
        <v>44925</v>
      </c>
      <c r="AWD613" s="5" t="s">
        <v>3728</v>
      </c>
      <c r="AWE613" s="17">
        <v>44925</v>
      </c>
      <c r="AWF613" s="5" t="s">
        <v>3728</v>
      </c>
      <c r="AWG613" s="17">
        <v>44925</v>
      </c>
      <c r="AWH613" s="5" t="s">
        <v>3728</v>
      </c>
      <c r="AWI613" s="17">
        <v>44925</v>
      </c>
      <c r="AWJ613" s="5" t="s">
        <v>3728</v>
      </c>
      <c r="AWK613" s="17">
        <v>44925</v>
      </c>
      <c r="AWL613" s="5" t="s">
        <v>3728</v>
      </c>
      <c r="AWM613" s="17">
        <v>44925</v>
      </c>
      <c r="AWN613" s="5" t="s">
        <v>3728</v>
      </c>
      <c r="AWO613" s="17">
        <v>44925</v>
      </c>
      <c r="AWP613" s="5" t="s">
        <v>3728</v>
      </c>
      <c r="AWQ613" s="17">
        <v>44925</v>
      </c>
      <c r="AWR613" s="5" t="s">
        <v>3728</v>
      </c>
      <c r="AWS613" s="17">
        <v>44925</v>
      </c>
      <c r="AWT613" s="5" t="s">
        <v>3728</v>
      </c>
      <c r="AWU613" s="17">
        <v>44925</v>
      </c>
      <c r="AWV613" s="5" t="s">
        <v>3728</v>
      </c>
      <c r="AWW613" s="17">
        <v>44925</v>
      </c>
      <c r="AWX613" s="5" t="s">
        <v>3728</v>
      </c>
      <c r="AWY613" s="17">
        <v>44925</v>
      </c>
      <c r="AWZ613" s="5" t="s">
        <v>3728</v>
      </c>
      <c r="AXA613" s="17">
        <v>44925</v>
      </c>
      <c r="AXB613" s="5" t="s">
        <v>3728</v>
      </c>
      <c r="AXC613" s="17">
        <v>44925</v>
      </c>
      <c r="AXD613" s="5" t="s">
        <v>3728</v>
      </c>
      <c r="AXE613" s="17">
        <v>44925</v>
      </c>
      <c r="AXF613" s="5" t="s">
        <v>3728</v>
      </c>
      <c r="AXG613" s="17">
        <v>44925</v>
      </c>
      <c r="AXH613" s="5" t="s">
        <v>3728</v>
      </c>
      <c r="AXI613" s="17">
        <v>44925</v>
      </c>
      <c r="AXJ613" s="5" t="s">
        <v>3728</v>
      </c>
      <c r="AXK613" s="17">
        <v>44925</v>
      </c>
      <c r="AXL613" s="5" t="s">
        <v>3728</v>
      </c>
      <c r="AXM613" s="17">
        <v>44925</v>
      </c>
      <c r="AXN613" s="5" t="s">
        <v>3728</v>
      </c>
      <c r="AXO613" s="17">
        <v>44925</v>
      </c>
      <c r="AXP613" s="5" t="s">
        <v>3728</v>
      </c>
      <c r="AXQ613" s="17">
        <v>44925</v>
      </c>
      <c r="AXR613" s="5" t="s">
        <v>3728</v>
      </c>
      <c r="AXS613" s="17">
        <v>44925</v>
      </c>
      <c r="AXT613" s="5" t="s">
        <v>3728</v>
      </c>
      <c r="AXU613" s="17">
        <v>44925</v>
      </c>
      <c r="AXV613" s="5" t="s">
        <v>3728</v>
      </c>
      <c r="AXW613" s="17">
        <v>44925</v>
      </c>
      <c r="AXX613" s="5" t="s">
        <v>3728</v>
      </c>
      <c r="AXY613" s="17">
        <v>44925</v>
      </c>
      <c r="AXZ613" s="5" t="s">
        <v>3728</v>
      </c>
      <c r="AYA613" s="17">
        <v>44925</v>
      </c>
      <c r="AYB613" s="5" t="s">
        <v>3728</v>
      </c>
      <c r="AYC613" s="17">
        <v>44925</v>
      </c>
      <c r="AYD613" s="5" t="s">
        <v>3728</v>
      </c>
      <c r="AYE613" s="17">
        <v>44925</v>
      </c>
      <c r="AYF613" s="5" t="s">
        <v>3728</v>
      </c>
      <c r="AYG613" s="17">
        <v>44925</v>
      </c>
      <c r="AYH613" s="5" t="s">
        <v>3728</v>
      </c>
      <c r="AYI613" s="17">
        <v>44925</v>
      </c>
      <c r="AYJ613" s="5" t="s">
        <v>3728</v>
      </c>
      <c r="AYK613" s="17">
        <v>44925</v>
      </c>
      <c r="AYL613" s="5" t="s">
        <v>3728</v>
      </c>
      <c r="AYM613" s="17">
        <v>44925</v>
      </c>
      <c r="AYN613" s="5" t="s">
        <v>3728</v>
      </c>
      <c r="AYO613" s="17">
        <v>44925</v>
      </c>
      <c r="AYP613" s="5" t="s">
        <v>3728</v>
      </c>
      <c r="AYQ613" s="17">
        <v>44925</v>
      </c>
      <c r="AYR613" s="5" t="s">
        <v>3728</v>
      </c>
      <c r="AYS613" s="17">
        <v>44925</v>
      </c>
      <c r="AYT613" s="5" t="s">
        <v>3728</v>
      </c>
      <c r="AYU613" s="17">
        <v>44925</v>
      </c>
      <c r="AYV613" s="5" t="s">
        <v>3728</v>
      </c>
      <c r="AYW613" s="17">
        <v>44925</v>
      </c>
      <c r="AYX613" s="5" t="s">
        <v>3728</v>
      </c>
      <c r="AYY613" s="17">
        <v>44925</v>
      </c>
      <c r="AYZ613" s="5" t="s">
        <v>3728</v>
      </c>
      <c r="AZA613" s="17">
        <v>44925</v>
      </c>
      <c r="AZB613" s="5" t="s">
        <v>3728</v>
      </c>
      <c r="AZC613" s="17">
        <v>44925</v>
      </c>
      <c r="AZD613" s="5" t="s">
        <v>3728</v>
      </c>
      <c r="AZE613" s="17">
        <v>44925</v>
      </c>
      <c r="AZF613" s="5" t="s">
        <v>3728</v>
      </c>
      <c r="AZG613" s="17">
        <v>44925</v>
      </c>
      <c r="AZH613" s="5" t="s">
        <v>3728</v>
      </c>
      <c r="AZI613" s="17">
        <v>44925</v>
      </c>
      <c r="AZJ613" s="5" t="s">
        <v>3728</v>
      </c>
      <c r="AZK613" s="17">
        <v>44925</v>
      </c>
      <c r="AZL613" s="5" t="s">
        <v>3728</v>
      </c>
      <c r="AZM613" s="17">
        <v>44925</v>
      </c>
      <c r="AZN613" s="5" t="s">
        <v>3728</v>
      </c>
      <c r="AZO613" s="17">
        <v>44925</v>
      </c>
      <c r="AZP613" s="5" t="s">
        <v>3728</v>
      </c>
      <c r="AZQ613" s="17">
        <v>44925</v>
      </c>
      <c r="AZR613" s="5" t="s">
        <v>3728</v>
      </c>
      <c r="AZS613" s="17">
        <v>44925</v>
      </c>
      <c r="AZT613" s="5" t="s">
        <v>3728</v>
      </c>
      <c r="AZU613" s="17">
        <v>44925</v>
      </c>
      <c r="AZV613" s="5" t="s">
        <v>3728</v>
      </c>
      <c r="AZW613" s="17">
        <v>44925</v>
      </c>
      <c r="AZX613" s="5" t="s">
        <v>3728</v>
      </c>
      <c r="AZY613" s="17">
        <v>44925</v>
      </c>
      <c r="AZZ613" s="5" t="s">
        <v>3728</v>
      </c>
      <c r="BAA613" s="17">
        <v>44925</v>
      </c>
      <c r="BAB613" s="5" t="s">
        <v>3728</v>
      </c>
      <c r="BAC613" s="17">
        <v>44925</v>
      </c>
      <c r="BAD613" s="5" t="s">
        <v>3728</v>
      </c>
      <c r="BAE613" s="17">
        <v>44925</v>
      </c>
      <c r="BAF613" s="5" t="s">
        <v>3728</v>
      </c>
      <c r="BAG613" s="17">
        <v>44925</v>
      </c>
      <c r="BAH613" s="5" t="s">
        <v>3728</v>
      </c>
      <c r="BAI613" s="17">
        <v>44925</v>
      </c>
      <c r="BAJ613" s="5" t="s">
        <v>3728</v>
      </c>
      <c r="BAK613" s="17">
        <v>44925</v>
      </c>
      <c r="BAL613" s="5" t="s">
        <v>3728</v>
      </c>
      <c r="BAM613" s="17">
        <v>44925</v>
      </c>
      <c r="BAN613" s="5" t="s">
        <v>3728</v>
      </c>
      <c r="BAO613" s="17">
        <v>44925</v>
      </c>
      <c r="BAP613" s="5" t="s">
        <v>3728</v>
      </c>
      <c r="BAQ613" s="17">
        <v>44925</v>
      </c>
      <c r="BAR613" s="5" t="s">
        <v>3728</v>
      </c>
      <c r="BAS613" s="17">
        <v>44925</v>
      </c>
      <c r="BAT613" s="5" t="s">
        <v>3728</v>
      </c>
      <c r="BAU613" s="17">
        <v>44925</v>
      </c>
      <c r="BAV613" s="5" t="s">
        <v>3728</v>
      </c>
      <c r="BAW613" s="17">
        <v>44925</v>
      </c>
      <c r="BAX613" s="5" t="s">
        <v>3728</v>
      </c>
      <c r="BAY613" s="17">
        <v>44925</v>
      </c>
      <c r="BAZ613" s="5" t="s">
        <v>3728</v>
      </c>
      <c r="BBA613" s="17">
        <v>44925</v>
      </c>
      <c r="BBB613" s="5" t="s">
        <v>3728</v>
      </c>
      <c r="BBC613" s="17">
        <v>44925</v>
      </c>
      <c r="BBD613" s="5" t="s">
        <v>3728</v>
      </c>
      <c r="BBE613" s="17">
        <v>44925</v>
      </c>
      <c r="BBF613" s="5" t="s">
        <v>3728</v>
      </c>
      <c r="BBG613" s="17">
        <v>44925</v>
      </c>
      <c r="BBH613" s="5" t="s">
        <v>3728</v>
      </c>
      <c r="BBI613" s="17">
        <v>44925</v>
      </c>
      <c r="BBJ613" s="5" t="s">
        <v>3728</v>
      </c>
      <c r="BBK613" s="17">
        <v>44925</v>
      </c>
      <c r="BBL613" s="5" t="s">
        <v>3728</v>
      </c>
      <c r="BBM613" s="17">
        <v>44925</v>
      </c>
      <c r="BBN613" s="5" t="s">
        <v>3728</v>
      </c>
      <c r="BBO613" s="17">
        <v>44925</v>
      </c>
      <c r="BBP613" s="5" t="s">
        <v>3728</v>
      </c>
      <c r="BBQ613" s="17">
        <v>44925</v>
      </c>
      <c r="BBR613" s="5" t="s">
        <v>3728</v>
      </c>
      <c r="BBS613" s="17">
        <v>44925</v>
      </c>
      <c r="BBT613" s="5" t="s">
        <v>3728</v>
      </c>
      <c r="BBU613" s="17">
        <v>44925</v>
      </c>
      <c r="BBV613" s="5" t="s">
        <v>3728</v>
      </c>
      <c r="BBW613" s="17">
        <v>44925</v>
      </c>
      <c r="BBX613" s="5" t="s">
        <v>3728</v>
      </c>
      <c r="BBY613" s="17">
        <v>44925</v>
      </c>
      <c r="BBZ613" s="5" t="s">
        <v>3728</v>
      </c>
      <c r="BCA613" s="17">
        <v>44925</v>
      </c>
      <c r="BCB613" s="5" t="s">
        <v>3728</v>
      </c>
      <c r="BCC613" s="17">
        <v>44925</v>
      </c>
      <c r="BCD613" s="5" t="s">
        <v>3728</v>
      </c>
      <c r="BCE613" s="17">
        <v>44925</v>
      </c>
      <c r="BCF613" s="5" t="s">
        <v>3728</v>
      </c>
      <c r="BCG613" s="17">
        <v>44925</v>
      </c>
      <c r="BCH613" s="5" t="s">
        <v>3728</v>
      </c>
      <c r="BCI613" s="17">
        <v>44925</v>
      </c>
      <c r="BCJ613" s="5" t="s">
        <v>3728</v>
      </c>
      <c r="BCK613" s="17">
        <v>44925</v>
      </c>
      <c r="BCL613" s="5" t="s">
        <v>3728</v>
      </c>
      <c r="BCM613" s="17">
        <v>44925</v>
      </c>
      <c r="BCN613" s="5" t="s">
        <v>3728</v>
      </c>
      <c r="BCO613" s="17">
        <v>44925</v>
      </c>
      <c r="BCP613" s="5" t="s">
        <v>3728</v>
      </c>
      <c r="BCQ613" s="17">
        <v>44925</v>
      </c>
      <c r="BCR613" s="5" t="s">
        <v>3728</v>
      </c>
      <c r="BCS613" s="17">
        <v>44925</v>
      </c>
      <c r="BCT613" s="5" t="s">
        <v>3728</v>
      </c>
      <c r="BCU613" s="17">
        <v>44925</v>
      </c>
      <c r="BCV613" s="5" t="s">
        <v>3728</v>
      </c>
      <c r="BCW613" s="17">
        <v>44925</v>
      </c>
      <c r="BCX613" s="5" t="s">
        <v>3728</v>
      </c>
      <c r="BCY613" s="17">
        <v>44925</v>
      </c>
      <c r="BCZ613" s="5" t="s">
        <v>3728</v>
      </c>
      <c r="BDA613" s="17">
        <v>44925</v>
      </c>
      <c r="BDB613" s="5" t="s">
        <v>3728</v>
      </c>
      <c r="BDC613" s="17">
        <v>44925</v>
      </c>
      <c r="BDD613" s="5" t="s">
        <v>3728</v>
      </c>
      <c r="BDE613" s="17">
        <v>44925</v>
      </c>
      <c r="BDF613" s="5" t="s">
        <v>3728</v>
      </c>
      <c r="BDG613" s="17">
        <v>44925</v>
      </c>
      <c r="BDH613" s="5" t="s">
        <v>3728</v>
      </c>
      <c r="BDI613" s="17">
        <v>44925</v>
      </c>
      <c r="BDJ613" s="5" t="s">
        <v>3728</v>
      </c>
      <c r="BDK613" s="17">
        <v>44925</v>
      </c>
      <c r="BDL613" s="5" t="s">
        <v>3728</v>
      </c>
      <c r="BDM613" s="17">
        <v>44925</v>
      </c>
      <c r="BDN613" s="5" t="s">
        <v>3728</v>
      </c>
      <c r="BDO613" s="17">
        <v>44925</v>
      </c>
      <c r="BDP613" s="5" t="s">
        <v>3728</v>
      </c>
      <c r="BDQ613" s="17">
        <v>44925</v>
      </c>
      <c r="BDR613" s="5" t="s">
        <v>3728</v>
      </c>
      <c r="BDS613" s="17">
        <v>44925</v>
      </c>
      <c r="BDT613" s="5" t="s">
        <v>3728</v>
      </c>
      <c r="BDU613" s="17">
        <v>44925</v>
      </c>
      <c r="BDV613" s="5" t="s">
        <v>3728</v>
      </c>
      <c r="BDW613" s="17">
        <v>44925</v>
      </c>
      <c r="BDX613" s="5" t="s">
        <v>3728</v>
      </c>
      <c r="BDY613" s="17">
        <v>44925</v>
      </c>
      <c r="BDZ613" s="5" t="s">
        <v>3728</v>
      </c>
      <c r="BEA613" s="17">
        <v>44925</v>
      </c>
      <c r="BEB613" s="5" t="s">
        <v>3728</v>
      </c>
      <c r="BEC613" s="17">
        <v>44925</v>
      </c>
      <c r="BED613" s="5" t="s">
        <v>3728</v>
      </c>
      <c r="BEE613" s="17">
        <v>44925</v>
      </c>
      <c r="BEF613" s="5" t="s">
        <v>3728</v>
      </c>
      <c r="BEG613" s="17">
        <v>44925</v>
      </c>
      <c r="BEH613" s="5" t="s">
        <v>3728</v>
      </c>
      <c r="BEI613" s="17">
        <v>44925</v>
      </c>
      <c r="BEJ613" s="5" t="s">
        <v>3728</v>
      </c>
      <c r="BEK613" s="17">
        <v>44925</v>
      </c>
      <c r="BEL613" s="5" t="s">
        <v>3728</v>
      </c>
      <c r="BEM613" s="17">
        <v>44925</v>
      </c>
      <c r="BEN613" s="5" t="s">
        <v>3728</v>
      </c>
      <c r="BEO613" s="17">
        <v>44925</v>
      </c>
      <c r="BEP613" s="5" t="s">
        <v>3728</v>
      </c>
      <c r="BEQ613" s="17">
        <v>44925</v>
      </c>
      <c r="BER613" s="5" t="s">
        <v>3728</v>
      </c>
      <c r="BES613" s="17">
        <v>44925</v>
      </c>
      <c r="BET613" s="5" t="s">
        <v>3728</v>
      </c>
      <c r="BEU613" s="17">
        <v>44925</v>
      </c>
      <c r="BEV613" s="5" t="s">
        <v>3728</v>
      </c>
      <c r="BEW613" s="17">
        <v>44925</v>
      </c>
      <c r="BEX613" s="5" t="s">
        <v>3728</v>
      </c>
      <c r="BEY613" s="17">
        <v>44925</v>
      </c>
      <c r="BEZ613" s="5" t="s">
        <v>3728</v>
      </c>
      <c r="BFA613" s="17">
        <v>44925</v>
      </c>
      <c r="BFB613" s="5" t="s">
        <v>3728</v>
      </c>
      <c r="BFC613" s="17">
        <v>44925</v>
      </c>
      <c r="BFD613" s="5" t="s">
        <v>3728</v>
      </c>
      <c r="BFE613" s="17">
        <v>44925</v>
      </c>
      <c r="BFF613" s="5" t="s">
        <v>3728</v>
      </c>
      <c r="BFG613" s="17">
        <v>44925</v>
      </c>
      <c r="BFH613" s="5" t="s">
        <v>3728</v>
      </c>
      <c r="BFI613" s="17">
        <v>44925</v>
      </c>
      <c r="BFJ613" s="5" t="s">
        <v>3728</v>
      </c>
      <c r="BFK613" s="17">
        <v>44925</v>
      </c>
      <c r="BFL613" s="5" t="s">
        <v>3728</v>
      </c>
      <c r="BFM613" s="17">
        <v>44925</v>
      </c>
      <c r="BFN613" s="5" t="s">
        <v>3728</v>
      </c>
      <c r="BFO613" s="17">
        <v>44925</v>
      </c>
      <c r="BFP613" s="5" t="s">
        <v>3728</v>
      </c>
      <c r="BFQ613" s="17">
        <v>44925</v>
      </c>
      <c r="BFR613" s="5" t="s">
        <v>3728</v>
      </c>
      <c r="BFS613" s="17">
        <v>44925</v>
      </c>
      <c r="BFT613" s="5" t="s">
        <v>3728</v>
      </c>
      <c r="BFU613" s="17">
        <v>44925</v>
      </c>
      <c r="BFV613" s="5" t="s">
        <v>3728</v>
      </c>
      <c r="BFW613" s="17">
        <v>44925</v>
      </c>
      <c r="BFX613" s="5" t="s">
        <v>3728</v>
      </c>
      <c r="BFY613" s="17">
        <v>44925</v>
      </c>
      <c r="BFZ613" s="5" t="s">
        <v>3728</v>
      </c>
      <c r="BGA613" s="17">
        <v>44925</v>
      </c>
      <c r="BGB613" s="5" t="s">
        <v>3728</v>
      </c>
      <c r="BGC613" s="17">
        <v>44925</v>
      </c>
      <c r="BGD613" s="5" t="s">
        <v>3728</v>
      </c>
      <c r="BGE613" s="17">
        <v>44925</v>
      </c>
      <c r="BGF613" s="5" t="s">
        <v>3728</v>
      </c>
      <c r="BGG613" s="17">
        <v>44925</v>
      </c>
      <c r="BGH613" s="5" t="s">
        <v>3728</v>
      </c>
      <c r="BGI613" s="17">
        <v>44925</v>
      </c>
      <c r="BGJ613" s="5" t="s">
        <v>3728</v>
      </c>
      <c r="BGK613" s="17">
        <v>44925</v>
      </c>
      <c r="BGL613" s="5" t="s">
        <v>3728</v>
      </c>
      <c r="BGM613" s="17">
        <v>44925</v>
      </c>
      <c r="BGN613" s="5" t="s">
        <v>3728</v>
      </c>
      <c r="BGO613" s="17">
        <v>44925</v>
      </c>
      <c r="BGP613" s="5" t="s">
        <v>3728</v>
      </c>
      <c r="BGQ613" s="17">
        <v>44925</v>
      </c>
      <c r="BGR613" s="5" t="s">
        <v>3728</v>
      </c>
      <c r="BGS613" s="17">
        <v>44925</v>
      </c>
      <c r="BGT613" s="5" t="s">
        <v>3728</v>
      </c>
      <c r="BGU613" s="17">
        <v>44925</v>
      </c>
      <c r="BGV613" s="5" t="s">
        <v>3728</v>
      </c>
      <c r="BGW613" s="17">
        <v>44925</v>
      </c>
      <c r="BGX613" s="5" t="s">
        <v>3728</v>
      </c>
      <c r="BGY613" s="17">
        <v>44925</v>
      </c>
      <c r="BGZ613" s="5" t="s">
        <v>3728</v>
      </c>
      <c r="BHA613" s="17">
        <v>44925</v>
      </c>
      <c r="BHB613" s="5" t="s">
        <v>3728</v>
      </c>
      <c r="BHC613" s="17">
        <v>44925</v>
      </c>
      <c r="BHD613" s="5" t="s">
        <v>3728</v>
      </c>
      <c r="BHE613" s="17">
        <v>44925</v>
      </c>
      <c r="BHF613" s="5" t="s">
        <v>3728</v>
      </c>
      <c r="BHG613" s="17">
        <v>44925</v>
      </c>
      <c r="BHH613" s="5" t="s">
        <v>3728</v>
      </c>
      <c r="BHI613" s="17">
        <v>44925</v>
      </c>
      <c r="BHJ613" s="5" t="s">
        <v>3728</v>
      </c>
      <c r="BHK613" s="17">
        <v>44925</v>
      </c>
      <c r="BHL613" s="5" t="s">
        <v>3728</v>
      </c>
      <c r="BHM613" s="17">
        <v>44925</v>
      </c>
      <c r="BHN613" s="5" t="s">
        <v>3728</v>
      </c>
      <c r="BHO613" s="17">
        <v>44925</v>
      </c>
      <c r="BHP613" s="5" t="s">
        <v>3728</v>
      </c>
      <c r="BHQ613" s="17">
        <v>44925</v>
      </c>
      <c r="BHR613" s="5" t="s">
        <v>3728</v>
      </c>
      <c r="BHS613" s="17">
        <v>44925</v>
      </c>
      <c r="BHT613" s="5" t="s">
        <v>3728</v>
      </c>
      <c r="BHU613" s="17">
        <v>44925</v>
      </c>
      <c r="BHV613" s="5" t="s">
        <v>3728</v>
      </c>
      <c r="BHW613" s="17">
        <v>44925</v>
      </c>
      <c r="BHX613" s="5" t="s">
        <v>3728</v>
      </c>
      <c r="BHY613" s="17">
        <v>44925</v>
      </c>
      <c r="BHZ613" s="5" t="s">
        <v>3728</v>
      </c>
      <c r="BIA613" s="17">
        <v>44925</v>
      </c>
      <c r="BIB613" s="5" t="s">
        <v>3728</v>
      </c>
      <c r="BIC613" s="17">
        <v>44925</v>
      </c>
      <c r="BID613" s="5" t="s">
        <v>3728</v>
      </c>
      <c r="BIE613" s="17">
        <v>44925</v>
      </c>
      <c r="BIF613" s="5" t="s">
        <v>3728</v>
      </c>
      <c r="BIG613" s="17">
        <v>44925</v>
      </c>
      <c r="BIH613" s="5" t="s">
        <v>3728</v>
      </c>
      <c r="BII613" s="17">
        <v>44925</v>
      </c>
      <c r="BIJ613" s="5" t="s">
        <v>3728</v>
      </c>
      <c r="BIK613" s="17">
        <v>44925</v>
      </c>
      <c r="BIL613" s="5" t="s">
        <v>3728</v>
      </c>
      <c r="BIM613" s="17">
        <v>44925</v>
      </c>
      <c r="BIN613" s="5" t="s">
        <v>3728</v>
      </c>
      <c r="BIO613" s="17">
        <v>44925</v>
      </c>
      <c r="BIP613" s="5" t="s">
        <v>3728</v>
      </c>
      <c r="BIQ613" s="17">
        <v>44925</v>
      </c>
      <c r="BIR613" s="5" t="s">
        <v>3728</v>
      </c>
      <c r="BIS613" s="17">
        <v>44925</v>
      </c>
      <c r="BIT613" s="5" t="s">
        <v>3728</v>
      </c>
      <c r="BIU613" s="17">
        <v>44925</v>
      </c>
      <c r="BIV613" s="5" t="s">
        <v>3728</v>
      </c>
      <c r="BIW613" s="17">
        <v>44925</v>
      </c>
      <c r="BIX613" s="5" t="s">
        <v>3728</v>
      </c>
      <c r="BIY613" s="17">
        <v>44925</v>
      </c>
      <c r="BIZ613" s="5" t="s">
        <v>3728</v>
      </c>
      <c r="BJA613" s="17">
        <v>44925</v>
      </c>
      <c r="BJB613" s="5" t="s">
        <v>3728</v>
      </c>
      <c r="BJC613" s="17">
        <v>44925</v>
      </c>
      <c r="BJD613" s="5" t="s">
        <v>3728</v>
      </c>
      <c r="BJE613" s="17">
        <v>44925</v>
      </c>
      <c r="BJF613" s="5" t="s">
        <v>3728</v>
      </c>
      <c r="BJG613" s="17">
        <v>44925</v>
      </c>
      <c r="BJH613" s="5" t="s">
        <v>3728</v>
      </c>
      <c r="BJI613" s="17">
        <v>44925</v>
      </c>
      <c r="BJJ613" s="5" t="s">
        <v>3728</v>
      </c>
      <c r="BJK613" s="17">
        <v>44925</v>
      </c>
      <c r="BJL613" s="5" t="s">
        <v>3728</v>
      </c>
      <c r="BJM613" s="17">
        <v>44925</v>
      </c>
      <c r="BJN613" s="5" t="s">
        <v>3728</v>
      </c>
      <c r="BJO613" s="17">
        <v>44925</v>
      </c>
      <c r="BJP613" s="5" t="s">
        <v>3728</v>
      </c>
      <c r="BJQ613" s="17">
        <v>44925</v>
      </c>
      <c r="BJR613" s="5" t="s">
        <v>3728</v>
      </c>
      <c r="BJS613" s="17">
        <v>44925</v>
      </c>
      <c r="BJT613" s="5" t="s">
        <v>3728</v>
      </c>
      <c r="BJU613" s="17">
        <v>44925</v>
      </c>
      <c r="BJV613" s="5" t="s">
        <v>3728</v>
      </c>
      <c r="BJW613" s="17">
        <v>44925</v>
      </c>
      <c r="BJX613" s="5" t="s">
        <v>3728</v>
      </c>
      <c r="BJY613" s="17">
        <v>44925</v>
      </c>
      <c r="BJZ613" s="5" t="s">
        <v>3728</v>
      </c>
      <c r="BKA613" s="17">
        <v>44925</v>
      </c>
      <c r="BKB613" s="5" t="s">
        <v>3728</v>
      </c>
      <c r="BKC613" s="17">
        <v>44925</v>
      </c>
      <c r="BKD613" s="5" t="s">
        <v>3728</v>
      </c>
      <c r="BKE613" s="17">
        <v>44925</v>
      </c>
      <c r="BKF613" s="5" t="s">
        <v>3728</v>
      </c>
      <c r="BKG613" s="17">
        <v>44925</v>
      </c>
      <c r="BKH613" s="5" t="s">
        <v>3728</v>
      </c>
      <c r="BKI613" s="17">
        <v>44925</v>
      </c>
      <c r="BKJ613" s="5" t="s">
        <v>3728</v>
      </c>
      <c r="BKK613" s="17">
        <v>44925</v>
      </c>
      <c r="BKL613" s="5" t="s">
        <v>3728</v>
      </c>
      <c r="BKM613" s="17">
        <v>44925</v>
      </c>
      <c r="BKN613" s="5" t="s">
        <v>3728</v>
      </c>
      <c r="BKO613" s="17">
        <v>44925</v>
      </c>
      <c r="BKP613" s="5" t="s">
        <v>3728</v>
      </c>
      <c r="BKQ613" s="17">
        <v>44925</v>
      </c>
      <c r="BKR613" s="5" t="s">
        <v>3728</v>
      </c>
      <c r="BKS613" s="17">
        <v>44925</v>
      </c>
      <c r="BKT613" s="5" t="s">
        <v>3728</v>
      </c>
      <c r="BKU613" s="17">
        <v>44925</v>
      </c>
      <c r="BKV613" s="5" t="s">
        <v>3728</v>
      </c>
      <c r="BKW613" s="17">
        <v>44925</v>
      </c>
      <c r="BKX613" s="5" t="s">
        <v>3728</v>
      </c>
      <c r="BKY613" s="17">
        <v>44925</v>
      </c>
      <c r="BKZ613" s="5" t="s">
        <v>3728</v>
      </c>
      <c r="BLA613" s="17">
        <v>44925</v>
      </c>
      <c r="BLB613" s="5" t="s">
        <v>3728</v>
      </c>
      <c r="BLC613" s="17">
        <v>44925</v>
      </c>
      <c r="BLD613" s="5" t="s">
        <v>3728</v>
      </c>
      <c r="BLE613" s="17">
        <v>44925</v>
      </c>
      <c r="BLF613" s="5" t="s">
        <v>3728</v>
      </c>
      <c r="BLG613" s="17">
        <v>44925</v>
      </c>
      <c r="BLH613" s="5" t="s">
        <v>3728</v>
      </c>
      <c r="BLI613" s="17">
        <v>44925</v>
      </c>
      <c r="BLJ613" s="5" t="s">
        <v>3728</v>
      </c>
      <c r="BLK613" s="17">
        <v>44925</v>
      </c>
      <c r="BLL613" s="5" t="s">
        <v>3728</v>
      </c>
      <c r="BLM613" s="17">
        <v>44925</v>
      </c>
      <c r="BLN613" s="5" t="s">
        <v>3728</v>
      </c>
      <c r="BLO613" s="17">
        <v>44925</v>
      </c>
      <c r="BLP613" s="5" t="s">
        <v>3728</v>
      </c>
      <c r="BLQ613" s="17">
        <v>44925</v>
      </c>
      <c r="BLR613" s="5" t="s">
        <v>3728</v>
      </c>
      <c r="BLS613" s="17">
        <v>44925</v>
      </c>
      <c r="BLT613" s="5" t="s">
        <v>3728</v>
      </c>
      <c r="BLU613" s="17">
        <v>44925</v>
      </c>
      <c r="BLV613" s="5" t="s">
        <v>3728</v>
      </c>
      <c r="BLW613" s="17">
        <v>44925</v>
      </c>
      <c r="BLX613" s="5" t="s">
        <v>3728</v>
      </c>
      <c r="BLY613" s="17">
        <v>44925</v>
      </c>
      <c r="BLZ613" s="5" t="s">
        <v>3728</v>
      </c>
      <c r="BMA613" s="17">
        <v>44925</v>
      </c>
      <c r="BMB613" s="5" t="s">
        <v>3728</v>
      </c>
      <c r="BMC613" s="17">
        <v>44925</v>
      </c>
      <c r="BMD613" s="5" t="s">
        <v>3728</v>
      </c>
      <c r="BME613" s="17">
        <v>44925</v>
      </c>
      <c r="BMF613" s="5" t="s">
        <v>3728</v>
      </c>
      <c r="BMG613" s="17">
        <v>44925</v>
      </c>
      <c r="BMH613" s="5" t="s">
        <v>3728</v>
      </c>
      <c r="BMI613" s="17">
        <v>44925</v>
      </c>
      <c r="BMJ613" s="5" t="s">
        <v>3728</v>
      </c>
      <c r="BMK613" s="17">
        <v>44925</v>
      </c>
      <c r="BML613" s="5" t="s">
        <v>3728</v>
      </c>
      <c r="BMM613" s="17">
        <v>44925</v>
      </c>
      <c r="BMN613" s="5" t="s">
        <v>3728</v>
      </c>
      <c r="BMO613" s="17">
        <v>44925</v>
      </c>
      <c r="BMP613" s="5" t="s">
        <v>3728</v>
      </c>
      <c r="BMQ613" s="17">
        <v>44925</v>
      </c>
      <c r="BMR613" s="5" t="s">
        <v>3728</v>
      </c>
      <c r="BMS613" s="17">
        <v>44925</v>
      </c>
      <c r="BMT613" s="5" t="s">
        <v>3728</v>
      </c>
      <c r="BMU613" s="17">
        <v>44925</v>
      </c>
      <c r="BMV613" s="5" t="s">
        <v>3728</v>
      </c>
      <c r="BMW613" s="17">
        <v>44925</v>
      </c>
      <c r="BMX613" s="5" t="s">
        <v>3728</v>
      </c>
      <c r="BMY613" s="17">
        <v>44925</v>
      </c>
      <c r="BMZ613" s="5" t="s">
        <v>3728</v>
      </c>
      <c r="BNA613" s="17">
        <v>44925</v>
      </c>
      <c r="BNB613" s="5" t="s">
        <v>3728</v>
      </c>
      <c r="BNC613" s="17">
        <v>44925</v>
      </c>
      <c r="BND613" s="5" t="s">
        <v>3728</v>
      </c>
      <c r="BNE613" s="17">
        <v>44925</v>
      </c>
      <c r="BNF613" s="5" t="s">
        <v>3728</v>
      </c>
      <c r="BNG613" s="17">
        <v>44925</v>
      </c>
      <c r="BNH613" s="5" t="s">
        <v>3728</v>
      </c>
      <c r="BNI613" s="17">
        <v>44925</v>
      </c>
      <c r="BNJ613" s="5" t="s">
        <v>3728</v>
      </c>
      <c r="BNK613" s="17">
        <v>44925</v>
      </c>
      <c r="BNL613" s="5" t="s">
        <v>3728</v>
      </c>
      <c r="BNM613" s="17">
        <v>44925</v>
      </c>
      <c r="BNN613" s="5" t="s">
        <v>3728</v>
      </c>
      <c r="BNO613" s="17">
        <v>44925</v>
      </c>
      <c r="BNP613" s="5" t="s">
        <v>3728</v>
      </c>
      <c r="BNQ613" s="17">
        <v>44925</v>
      </c>
      <c r="BNR613" s="5" t="s">
        <v>3728</v>
      </c>
      <c r="BNS613" s="17">
        <v>44925</v>
      </c>
      <c r="BNT613" s="5" t="s">
        <v>3728</v>
      </c>
      <c r="BNU613" s="17">
        <v>44925</v>
      </c>
      <c r="BNV613" s="5" t="s">
        <v>3728</v>
      </c>
      <c r="BNW613" s="17">
        <v>44925</v>
      </c>
      <c r="BNX613" s="5" t="s">
        <v>3728</v>
      </c>
      <c r="BNY613" s="17">
        <v>44925</v>
      </c>
      <c r="BNZ613" s="5" t="s">
        <v>3728</v>
      </c>
      <c r="BOA613" s="17">
        <v>44925</v>
      </c>
      <c r="BOB613" s="5" t="s">
        <v>3728</v>
      </c>
      <c r="BOC613" s="17">
        <v>44925</v>
      </c>
      <c r="BOD613" s="5" t="s">
        <v>3728</v>
      </c>
      <c r="BOE613" s="17">
        <v>44925</v>
      </c>
      <c r="BOF613" s="5" t="s">
        <v>3728</v>
      </c>
      <c r="BOG613" s="17">
        <v>44925</v>
      </c>
      <c r="BOH613" s="5" t="s">
        <v>3728</v>
      </c>
      <c r="BOI613" s="17">
        <v>44925</v>
      </c>
      <c r="BOJ613" s="5" t="s">
        <v>3728</v>
      </c>
      <c r="BOK613" s="17">
        <v>44925</v>
      </c>
      <c r="BOL613" s="5" t="s">
        <v>3728</v>
      </c>
      <c r="BOM613" s="17">
        <v>44925</v>
      </c>
      <c r="BON613" s="5" t="s">
        <v>3728</v>
      </c>
      <c r="BOO613" s="17">
        <v>44925</v>
      </c>
      <c r="BOP613" s="5" t="s">
        <v>3728</v>
      </c>
      <c r="BOQ613" s="17">
        <v>44925</v>
      </c>
      <c r="BOR613" s="5" t="s">
        <v>3728</v>
      </c>
      <c r="BOS613" s="17">
        <v>44925</v>
      </c>
      <c r="BOT613" s="5" t="s">
        <v>3728</v>
      </c>
      <c r="BOU613" s="17">
        <v>44925</v>
      </c>
      <c r="BOV613" s="5" t="s">
        <v>3728</v>
      </c>
      <c r="BOW613" s="17">
        <v>44925</v>
      </c>
      <c r="BOX613" s="5" t="s">
        <v>3728</v>
      </c>
      <c r="BOY613" s="17">
        <v>44925</v>
      </c>
      <c r="BOZ613" s="5" t="s">
        <v>3728</v>
      </c>
      <c r="BPA613" s="17">
        <v>44925</v>
      </c>
      <c r="BPB613" s="5" t="s">
        <v>3728</v>
      </c>
      <c r="BPC613" s="17">
        <v>44925</v>
      </c>
      <c r="BPD613" s="5" t="s">
        <v>3728</v>
      </c>
      <c r="BPE613" s="17">
        <v>44925</v>
      </c>
      <c r="BPF613" s="5" t="s">
        <v>3728</v>
      </c>
      <c r="BPG613" s="17">
        <v>44925</v>
      </c>
      <c r="BPH613" s="5" t="s">
        <v>3728</v>
      </c>
      <c r="BPI613" s="17">
        <v>44925</v>
      </c>
      <c r="BPJ613" s="5" t="s">
        <v>3728</v>
      </c>
      <c r="BPK613" s="17">
        <v>44925</v>
      </c>
      <c r="BPL613" s="5" t="s">
        <v>3728</v>
      </c>
      <c r="BPM613" s="17">
        <v>44925</v>
      </c>
      <c r="BPN613" s="5" t="s">
        <v>3728</v>
      </c>
      <c r="BPO613" s="17">
        <v>44925</v>
      </c>
      <c r="BPP613" s="5" t="s">
        <v>3728</v>
      </c>
      <c r="BPQ613" s="17">
        <v>44925</v>
      </c>
      <c r="BPR613" s="5" t="s">
        <v>3728</v>
      </c>
      <c r="BPS613" s="17">
        <v>44925</v>
      </c>
      <c r="BPT613" s="5" t="s">
        <v>3728</v>
      </c>
      <c r="BPU613" s="17">
        <v>44925</v>
      </c>
      <c r="BPV613" s="5" t="s">
        <v>3728</v>
      </c>
      <c r="BPW613" s="17">
        <v>44925</v>
      </c>
      <c r="BPX613" s="5" t="s">
        <v>3728</v>
      </c>
      <c r="BPY613" s="17">
        <v>44925</v>
      </c>
      <c r="BPZ613" s="5" t="s">
        <v>3728</v>
      </c>
      <c r="BQA613" s="17">
        <v>44925</v>
      </c>
      <c r="BQB613" s="5" t="s">
        <v>3728</v>
      </c>
      <c r="BQC613" s="17">
        <v>44925</v>
      </c>
      <c r="BQD613" s="5" t="s">
        <v>3728</v>
      </c>
      <c r="BQE613" s="17">
        <v>44925</v>
      </c>
      <c r="BQF613" s="5" t="s">
        <v>3728</v>
      </c>
      <c r="BQG613" s="17">
        <v>44925</v>
      </c>
      <c r="BQH613" s="5" t="s">
        <v>3728</v>
      </c>
      <c r="BQI613" s="17">
        <v>44925</v>
      </c>
      <c r="BQJ613" s="5" t="s">
        <v>3728</v>
      </c>
      <c r="BQK613" s="17">
        <v>44925</v>
      </c>
      <c r="BQL613" s="5" t="s">
        <v>3728</v>
      </c>
      <c r="BQM613" s="17">
        <v>44925</v>
      </c>
      <c r="BQN613" s="5" t="s">
        <v>3728</v>
      </c>
      <c r="BQO613" s="17">
        <v>44925</v>
      </c>
      <c r="BQP613" s="5" t="s">
        <v>3728</v>
      </c>
      <c r="BQQ613" s="17">
        <v>44925</v>
      </c>
      <c r="BQR613" s="5" t="s">
        <v>3728</v>
      </c>
      <c r="BQS613" s="17">
        <v>44925</v>
      </c>
      <c r="BQT613" s="5" t="s">
        <v>3728</v>
      </c>
      <c r="BQU613" s="17">
        <v>44925</v>
      </c>
      <c r="BQV613" s="5" t="s">
        <v>3728</v>
      </c>
      <c r="BQW613" s="17">
        <v>44925</v>
      </c>
      <c r="BQX613" s="5" t="s">
        <v>3728</v>
      </c>
      <c r="BQY613" s="17">
        <v>44925</v>
      </c>
      <c r="BQZ613" s="5" t="s">
        <v>3728</v>
      </c>
      <c r="BRA613" s="17">
        <v>44925</v>
      </c>
      <c r="BRB613" s="5" t="s">
        <v>3728</v>
      </c>
      <c r="BRC613" s="17">
        <v>44925</v>
      </c>
      <c r="BRD613" s="5" t="s">
        <v>3728</v>
      </c>
      <c r="BRE613" s="17">
        <v>44925</v>
      </c>
      <c r="BRF613" s="5" t="s">
        <v>3728</v>
      </c>
      <c r="BRG613" s="17">
        <v>44925</v>
      </c>
      <c r="BRH613" s="5" t="s">
        <v>3728</v>
      </c>
      <c r="BRI613" s="17">
        <v>44925</v>
      </c>
      <c r="BRJ613" s="5" t="s">
        <v>3728</v>
      </c>
      <c r="BRK613" s="17">
        <v>44925</v>
      </c>
      <c r="BRL613" s="5" t="s">
        <v>3728</v>
      </c>
      <c r="BRM613" s="17">
        <v>44925</v>
      </c>
      <c r="BRN613" s="5" t="s">
        <v>3728</v>
      </c>
      <c r="BRO613" s="17">
        <v>44925</v>
      </c>
      <c r="BRP613" s="5" t="s">
        <v>3728</v>
      </c>
      <c r="BRQ613" s="17">
        <v>44925</v>
      </c>
      <c r="BRR613" s="5" t="s">
        <v>3728</v>
      </c>
      <c r="BRS613" s="17">
        <v>44925</v>
      </c>
      <c r="BRT613" s="5" t="s">
        <v>3728</v>
      </c>
      <c r="BRU613" s="17">
        <v>44925</v>
      </c>
      <c r="BRV613" s="5" t="s">
        <v>3728</v>
      </c>
      <c r="BRW613" s="17">
        <v>44925</v>
      </c>
      <c r="BRX613" s="5" t="s">
        <v>3728</v>
      </c>
      <c r="BRY613" s="17">
        <v>44925</v>
      </c>
      <c r="BRZ613" s="5" t="s">
        <v>3728</v>
      </c>
      <c r="BSA613" s="17">
        <v>44925</v>
      </c>
      <c r="BSB613" s="5" t="s">
        <v>3728</v>
      </c>
      <c r="BSC613" s="17">
        <v>44925</v>
      </c>
      <c r="BSD613" s="5" t="s">
        <v>3728</v>
      </c>
      <c r="BSE613" s="17">
        <v>44925</v>
      </c>
      <c r="BSF613" s="5" t="s">
        <v>3728</v>
      </c>
      <c r="BSG613" s="17">
        <v>44925</v>
      </c>
      <c r="BSH613" s="5" t="s">
        <v>3728</v>
      </c>
      <c r="BSI613" s="17">
        <v>44925</v>
      </c>
      <c r="BSJ613" s="5" t="s">
        <v>3728</v>
      </c>
      <c r="BSK613" s="17">
        <v>44925</v>
      </c>
      <c r="BSL613" s="5" t="s">
        <v>3728</v>
      </c>
      <c r="BSM613" s="17">
        <v>44925</v>
      </c>
      <c r="BSN613" s="5" t="s">
        <v>3728</v>
      </c>
      <c r="BSO613" s="17">
        <v>44925</v>
      </c>
      <c r="BSP613" s="5" t="s">
        <v>3728</v>
      </c>
      <c r="BSQ613" s="17">
        <v>44925</v>
      </c>
      <c r="BSR613" s="5" t="s">
        <v>3728</v>
      </c>
      <c r="BSS613" s="17">
        <v>44925</v>
      </c>
      <c r="BST613" s="5" t="s">
        <v>3728</v>
      </c>
      <c r="BSU613" s="17">
        <v>44925</v>
      </c>
      <c r="BSV613" s="5" t="s">
        <v>3728</v>
      </c>
      <c r="BSW613" s="17">
        <v>44925</v>
      </c>
      <c r="BSX613" s="5" t="s">
        <v>3728</v>
      </c>
      <c r="BSY613" s="17">
        <v>44925</v>
      </c>
      <c r="BSZ613" s="5" t="s">
        <v>3728</v>
      </c>
      <c r="BTA613" s="17">
        <v>44925</v>
      </c>
      <c r="BTB613" s="5" t="s">
        <v>3728</v>
      </c>
      <c r="BTC613" s="17">
        <v>44925</v>
      </c>
      <c r="BTD613" s="5" t="s">
        <v>3728</v>
      </c>
      <c r="BTE613" s="17">
        <v>44925</v>
      </c>
      <c r="BTF613" s="5" t="s">
        <v>3728</v>
      </c>
      <c r="BTG613" s="17">
        <v>44925</v>
      </c>
      <c r="BTH613" s="5" t="s">
        <v>3728</v>
      </c>
      <c r="BTI613" s="17">
        <v>44925</v>
      </c>
      <c r="BTJ613" s="5" t="s">
        <v>3728</v>
      </c>
      <c r="BTK613" s="17">
        <v>44925</v>
      </c>
      <c r="BTL613" s="5" t="s">
        <v>3728</v>
      </c>
      <c r="BTM613" s="17">
        <v>44925</v>
      </c>
      <c r="BTN613" s="5" t="s">
        <v>3728</v>
      </c>
      <c r="BTO613" s="17">
        <v>44925</v>
      </c>
      <c r="BTP613" s="5" t="s">
        <v>3728</v>
      </c>
      <c r="BTQ613" s="17">
        <v>44925</v>
      </c>
      <c r="BTR613" s="5" t="s">
        <v>3728</v>
      </c>
      <c r="BTS613" s="17">
        <v>44925</v>
      </c>
      <c r="BTT613" s="5" t="s">
        <v>3728</v>
      </c>
      <c r="BTU613" s="17">
        <v>44925</v>
      </c>
      <c r="BTV613" s="5" t="s">
        <v>3728</v>
      </c>
      <c r="BTW613" s="17">
        <v>44925</v>
      </c>
      <c r="BTX613" s="5" t="s">
        <v>3728</v>
      </c>
      <c r="BTY613" s="17">
        <v>44925</v>
      </c>
      <c r="BTZ613" s="5" t="s">
        <v>3728</v>
      </c>
      <c r="BUA613" s="17">
        <v>44925</v>
      </c>
      <c r="BUB613" s="5" t="s">
        <v>3728</v>
      </c>
      <c r="BUC613" s="17">
        <v>44925</v>
      </c>
      <c r="BUD613" s="5" t="s">
        <v>3728</v>
      </c>
      <c r="BUE613" s="17">
        <v>44925</v>
      </c>
      <c r="BUF613" s="5" t="s">
        <v>3728</v>
      </c>
      <c r="BUG613" s="17">
        <v>44925</v>
      </c>
      <c r="BUH613" s="5" t="s">
        <v>3728</v>
      </c>
      <c r="BUI613" s="17">
        <v>44925</v>
      </c>
      <c r="BUJ613" s="5" t="s">
        <v>3728</v>
      </c>
      <c r="BUK613" s="17">
        <v>44925</v>
      </c>
      <c r="BUL613" s="5" t="s">
        <v>3728</v>
      </c>
      <c r="BUM613" s="17">
        <v>44925</v>
      </c>
      <c r="BUN613" s="5" t="s">
        <v>3728</v>
      </c>
      <c r="BUO613" s="17">
        <v>44925</v>
      </c>
      <c r="BUP613" s="5" t="s">
        <v>3728</v>
      </c>
      <c r="BUQ613" s="17">
        <v>44925</v>
      </c>
      <c r="BUR613" s="5" t="s">
        <v>3728</v>
      </c>
      <c r="BUS613" s="17">
        <v>44925</v>
      </c>
      <c r="BUT613" s="5" t="s">
        <v>3728</v>
      </c>
      <c r="BUU613" s="17">
        <v>44925</v>
      </c>
      <c r="BUV613" s="5" t="s">
        <v>3728</v>
      </c>
      <c r="BUW613" s="17">
        <v>44925</v>
      </c>
      <c r="BUX613" s="5" t="s">
        <v>3728</v>
      </c>
      <c r="BUY613" s="17">
        <v>44925</v>
      </c>
      <c r="BUZ613" s="5" t="s">
        <v>3728</v>
      </c>
      <c r="BVA613" s="17">
        <v>44925</v>
      </c>
      <c r="BVB613" s="5" t="s">
        <v>3728</v>
      </c>
      <c r="BVC613" s="17">
        <v>44925</v>
      </c>
      <c r="BVD613" s="5" t="s">
        <v>3728</v>
      </c>
      <c r="BVE613" s="17">
        <v>44925</v>
      </c>
      <c r="BVF613" s="5" t="s">
        <v>3728</v>
      </c>
      <c r="BVG613" s="17">
        <v>44925</v>
      </c>
      <c r="BVH613" s="5" t="s">
        <v>3728</v>
      </c>
      <c r="BVI613" s="17">
        <v>44925</v>
      </c>
      <c r="BVJ613" s="5" t="s">
        <v>3728</v>
      </c>
      <c r="BVK613" s="17">
        <v>44925</v>
      </c>
      <c r="BVL613" s="5" t="s">
        <v>3728</v>
      </c>
      <c r="BVM613" s="17">
        <v>44925</v>
      </c>
      <c r="BVN613" s="5" t="s">
        <v>3728</v>
      </c>
      <c r="BVO613" s="17">
        <v>44925</v>
      </c>
      <c r="BVP613" s="5" t="s">
        <v>3728</v>
      </c>
      <c r="BVQ613" s="17">
        <v>44925</v>
      </c>
      <c r="BVR613" s="5" t="s">
        <v>3728</v>
      </c>
      <c r="BVS613" s="17">
        <v>44925</v>
      </c>
      <c r="BVT613" s="5" t="s">
        <v>3728</v>
      </c>
      <c r="BVU613" s="17">
        <v>44925</v>
      </c>
      <c r="BVV613" s="5" t="s">
        <v>3728</v>
      </c>
      <c r="BVW613" s="17">
        <v>44925</v>
      </c>
      <c r="BVX613" s="5" t="s">
        <v>3728</v>
      </c>
      <c r="BVY613" s="17">
        <v>44925</v>
      </c>
      <c r="BVZ613" s="5" t="s">
        <v>3728</v>
      </c>
      <c r="BWA613" s="17">
        <v>44925</v>
      </c>
      <c r="BWB613" s="5" t="s">
        <v>3728</v>
      </c>
      <c r="BWC613" s="17">
        <v>44925</v>
      </c>
      <c r="BWD613" s="5" t="s">
        <v>3728</v>
      </c>
      <c r="BWE613" s="17">
        <v>44925</v>
      </c>
      <c r="BWF613" s="5" t="s">
        <v>3728</v>
      </c>
      <c r="BWG613" s="17">
        <v>44925</v>
      </c>
      <c r="BWH613" s="5" t="s">
        <v>3728</v>
      </c>
      <c r="BWI613" s="17">
        <v>44925</v>
      </c>
      <c r="BWJ613" s="5" t="s">
        <v>3728</v>
      </c>
      <c r="BWK613" s="17">
        <v>44925</v>
      </c>
      <c r="BWL613" s="5" t="s">
        <v>3728</v>
      </c>
      <c r="BWM613" s="17">
        <v>44925</v>
      </c>
      <c r="BWN613" s="5" t="s">
        <v>3728</v>
      </c>
      <c r="BWO613" s="17">
        <v>44925</v>
      </c>
      <c r="BWP613" s="5" t="s">
        <v>3728</v>
      </c>
      <c r="BWQ613" s="17">
        <v>44925</v>
      </c>
      <c r="BWR613" s="5" t="s">
        <v>3728</v>
      </c>
      <c r="BWS613" s="17">
        <v>44925</v>
      </c>
      <c r="BWT613" s="5" t="s">
        <v>3728</v>
      </c>
      <c r="BWU613" s="17">
        <v>44925</v>
      </c>
      <c r="BWV613" s="5" t="s">
        <v>3728</v>
      </c>
      <c r="BWW613" s="17">
        <v>44925</v>
      </c>
      <c r="BWX613" s="5" t="s">
        <v>3728</v>
      </c>
      <c r="BWY613" s="17">
        <v>44925</v>
      </c>
      <c r="BWZ613" s="5" t="s">
        <v>3728</v>
      </c>
      <c r="BXA613" s="17">
        <v>44925</v>
      </c>
      <c r="BXB613" s="5" t="s">
        <v>3728</v>
      </c>
      <c r="BXC613" s="17">
        <v>44925</v>
      </c>
      <c r="BXD613" s="5" t="s">
        <v>3728</v>
      </c>
      <c r="BXE613" s="17">
        <v>44925</v>
      </c>
      <c r="BXF613" s="5" t="s">
        <v>3728</v>
      </c>
      <c r="BXG613" s="17">
        <v>44925</v>
      </c>
      <c r="BXH613" s="5" t="s">
        <v>3728</v>
      </c>
      <c r="BXI613" s="17">
        <v>44925</v>
      </c>
      <c r="BXJ613" s="5" t="s">
        <v>3728</v>
      </c>
      <c r="BXK613" s="17">
        <v>44925</v>
      </c>
      <c r="BXL613" s="5" t="s">
        <v>3728</v>
      </c>
      <c r="BXM613" s="17">
        <v>44925</v>
      </c>
      <c r="BXN613" s="5" t="s">
        <v>3728</v>
      </c>
      <c r="BXO613" s="17">
        <v>44925</v>
      </c>
      <c r="BXP613" s="5" t="s">
        <v>3728</v>
      </c>
      <c r="BXQ613" s="17">
        <v>44925</v>
      </c>
      <c r="BXR613" s="5" t="s">
        <v>3728</v>
      </c>
      <c r="BXS613" s="17">
        <v>44925</v>
      </c>
      <c r="BXT613" s="5" t="s">
        <v>3728</v>
      </c>
      <c r="BXU613" s="17">
        <v>44925</v>
      </c>
      <c r="BXV613" s="5" t="s">
        <v>3728</v>
      </c>
      <c r="BXW613" s="17">
        <v>44925</v>
      </c>
      <c r="BXX613" s="5" t="s">
        <v>3728</v>
      </c>
      <c r="BXY613" s="17">
        <v>44925</v>
      </c>
      <c r="BXZ613" s="5" t="s">
        <v>3728</v>
      </c>
      <c r="BYA613" s="17">
        <v>44925</v>
      </c>
      <c r="BYB613" s="5" t="s">
        <v>3728</v>
      </c>
      <c r="BYC613" s="17">
        <v>44925</v>
      </c>
      <c r="BYD613" s="5" t="s">
        <v>3728</v>
      </c>
      <c r="BYE613" s="17">
        <v>44925</v>
      </c>
      <c r="BYF613" s="5" t="s">
        <v>3728</v>
      </c>
      <c r="BYG613" s="17">
        <v>44925</v>
      </c>
      <c r="BYH613" s="5" t="s">
        <v>3728</v>
      </c>
      <c r="BYI613" s="17">
        <v>44925</v>
      </c>
      <c r="BYJ613" s="5" t="s">
        <v>3728</v>
      </c>
      <c r="BYK613" s="17">
        <v>44925</v>
      </c>
      <c r="BYL613" s="5" t="s">
        <v>3728</v>
      </c>
      <c r="BYM613" s="17">
        <v>44925</v>
      </c>
      <c r="BYN613" s="5" t="s">
        <v>3728</v>
      </c>
      <c r="BYO613" s="17">
        <v>44925</v>
      </c>
      <c r="BYP613" s="5" t="s">
        <v>3728</v>
      </c>
      <c r="BYQ613" s="17">
        <v>44925</v>
      </c>
      <c r="BYR613" s="5" t="s">
        <v>3728</v>
      </c>
      <c r="BYS613" s="17">
        <v>44925</v>
      </c>
      <c r="BYT613" s="5" t="s">
        <v>3728</v>
      </c>
      <c r="BYU613" s="17">
        <v>44925</v>
      </c>
      <c r="BYV613" s="5" t="s">
        <v>3728</v>
      </c>
      <c r="BYW613" s="17">
        <v>44925</v>
      </c>
      <c r="BYX613" s="5" t="s">
        <v>3728</v>
      </c>
      <c r="BYY613" s="17">
        <v>44925</v>
      </c>
      <c r="BYZ613" s="5" t="s">
        <v>3728</v>
      </c>
      <c r="BZA613" s="17">
        <v>44925</v>
      </c>
      <c r="BZB613" s="5" t="s">
        <v>3728</v>
      </c>
      <c r="BZC613" s="17">
        <v>44925</v>
      </c>
      <c r="BZD613" s="5" t="s">
        <v>3728</v>
      </c>
      <c r="BZE613" s="17">
        <v>44925</v>
      </c>
      <c r="BZF613" s="5" t="s">
        <v>3728</v>
      </c>
      <c r="BZG613" s="17">
        <v>44925</v>
      </c>
      <c r="BZH613" s="5" t="s">
        <v>3728</v>
      </c>
      <c r="BZI613" s="17">
        <v>44925</v>
      </c>
      <c r="BZJ613" s="5" t="s">
        <v>3728</v>
      </c>
      <c r="BZK613" s="17">
        <v>44925</v>
      </c>
      <c r="BZL613" s="5" t="s">
        <v>3728</v>
      </c>
      <c r="BZM613" s="17">
        <v>44925</v>
      </c>
      <c r="BZN613" s="5" t="s">
        <v>3728</v>
      </c>
      <c r="BZO613" s="17">
        <v>44925</v>
      </c>
      <c r="BZP613" s="5" t="s">
        <v>3728</v>
      </c>
      <c r="BZQ613" s="17">
        <v>44925</v>
      </c>
      <c r="BZR613" s="5" t="s">
        <v>3728</v>
      </c>
      <c r="BZS613" s="17">
        <v>44925</v>
      </c>
      <c r="BZT613" s="5" t="s">
        <v>3728</v>
      </c>
      <c r="BZU613" s="17">
        <v>44925</v>
      </c>
      <c r="BZV613" s="5" t="s">
        <v>3728</v>
      </c>
      <c r="BZW613" s="17">
        <v>44925</v>
      </c>
      <c r="BZX613" s="5" t="s">
        <v>3728</v>
      </c>
      <c r="BZY613" s="17">
        <v>44925</v>
      </c>
      <c r="BZZ613" s="5" t="s">
        <v>3728</v>
      </c>
      <c r="CAA613" s="17">
        <v>44925</v>
      </c>
      <c r="CAB613" s="5" t="s">
        <v>3728</v>
      </c>
      <c r="CAC613" s="17">
        <v>44925</v>
      </c>
      <c r="CAD613" s="5" t="s">
        <v>3728</v>
      </c>
      <c r="CAE613" s="17">
        <v>44925</v>
      </c>
      <c r="CAF613" s="5" t="s">
        <v>3728</v>
      </c>
      <c r="CAG613" s="17">
        <v>44925</v>
      </c>
      <c r="CAH613" s="5" t="s">
        <v>3728</v>
      </c>
      <c r="CAI613" s="17">
        <v>44925</v>
      </c>
      <c r="CAJ613" s="5" t="s">
        <v>3728</v>
      </c>
      <c r="CAK613" s="17">
        <v>44925</v>
      </c>
      <c r="CAL613" s="5" t="s">
        <v>3728</v>
      </c>
      <c r="CAM613" s="17">
        <v>44925</v>
      </c>
      <c r="CAN613" s="5" t="s">
        <v>3728</v>
      </c>
      <c r="CAO613" s="17">
        <v>44925</v>
      </c>
      <c r="CAP613" s="5" t="s">
        <v>3728</v>
      </c>
      <c r="CAQ613" s="17">
        <v>44925</v>
      </c>
      <c r="CAR613" s="5" t="s">
        <v>3728</v>
      </c>
      <c r="CAS613" s="17">
        <v>44925</v>
      </c>
      <c r="CAT613" s="5" t="s">
        <v>3728</v>
      </c>
      <c r="CAU613" s="17">
        <v>44925</v>
      </c>
      <c r="CAV613" s="5" t="s">
        <v>3728</v>
      </c>
      <c r="CAW613" s="17">
        <v>44925</v>
      </c>
      <c r="CAX613" s="5" t="s">
        <v>3728</v>
      </c>
      <c r="CAY613" s="17">
        <v>44925</v>
      </c>
      <c r="CAZ613" s="5" t="s">
        <v>3728</v>
      </c>
      <c r="CBA613" s="17">
        <v>44925</v>
      </c>
      <c r="CBB613" s="5" t="s">
        <v>3728</v>
      </c>
      <c r="CBC613" s="17">
        <v>44925</v>
      </c>
      <c r="CBD613" s="5" t="s">
        <v>3728</v>
      </c>
      <c r="CBE613" s="17">
        <v>44925</v>
      </c>
      <c r="CBF613" s="5" t="s">
        <v>3728</v>
      </c>
      <c r="CBG613" s="17">
        <v>44925</v>
      </c>
      <c r="CBH613" s="5" t="s">
        <v>3728</v>
      </c>
      <c r="CBI613" s="17">
        <v>44925</v>
      </c>
      <c r="CBJ613" s="5" t="s">
        <v>3728</v>
      </c>
      <c r="CBK613" s="17">
        <v>44925</v>
      </c>
      <c r="CBL613" s="5" t="s">
        <v>3728</v>
      </c>
      <c r="CBM613" s="17">
        <v>44925</v>
      </c>
      <c r="CBN613" s="5" t="s">
        <v>3728</v>
      </c>
      <c r="CBO613" s="17">
        <v>44925</v>
      </c>
      <c r="CBP613" s="5" t="s">
        <v>3728</v>
      </c>
      <c r="CBQ613" s="17">
        <v>44925</v>
      </c>
      <c r="CBR613" s="5" t="s">
        <v>3728</v>
      </c>
      <c r="CBS613" s="17">
        <v>44925</v>
      </c>
      <c r="CBT613" s="5" t="s">
        <v>3728</v>
      </c>
      <c r="CBU613" s="17">
        <v>44925</v>
      </c>
      <c r="CBV613" s="5" t="s">
        <v>3728</v>
      </c>
      <c r="CBW613" s="17">
        <v>44925</v>
      </c>
      <c r="CBX613" s="5" t="s">
        <v>3728</v>
      </c>
      <c r="CBY613" s="17">
        <v>44925</v>
      </c>
      <c r="CBZ613" s="5" t="s">
        <v>3728</v>
      </c>
      <c r="CCA613" s="17">
        <v>44925</v>
      </c>
      <c r="CCB613" s="5" t="s">
        <v>3728</v>
      </c>
      <c r="CCC613" s="17">
        <v>44925</v>
      </c>
      <c r="CCD613" s="5" t="s">
        <v>3728</v>
      </c>
      <c r="CCE613" s="17">
        <v>44925</v>
      </c>
      <c r="CCF613" s="5" t="s">
        <v>3728</v>
      </c>
      <c r="CCG613" s="17">
        <v>44925</v>
      </c>
      <c r="CCH613" s="5" t="s">
        <v>3728</v>
      </c>
      <c r="CCI613" s="17">
        <v>44925</v>
      </c>
      <c r="CCJ613" s="5" t="s">
        <v>3728</v>
      </c>
      <c r="CCK613" s="17">
        <v>44925</v>
      </c>
      <c r="CCL613" s="5" t="s">
        <v>3728</v>
      </c>
      <c r="CCM613" s="17">
        <v>44925</v>
      </c>
      <c r="CCN613" s="5" t="s">
        <v>3728</v>
      </c>
      <c r="CCO613" s="17">
        <v>44925</v>
      </c>
      <c r="CCP613" s="5" t="s">
        <v>3728</v>
      </c>
      <c r="CCQ613" s="17">
        <v>44925</v>
      </c>
      <c r="CCR613" s="5" t="s">
        <v>3728</v>
      </c>
      <c r="CCS613" s="17">
        <v>44925</v>
      </c>
      <c r="CCT613" s="5" t="s">
        <v>3728</v>
      </c>
      <c r="CCU613" s="17">
        <v>44925</v>
      </c>
      <c r="CCV613" s="5" t="s">
        <v>3728</v>
      </c>
      <c r="CCW613" s="17">
        <v>44925</v>
      </c>
      <c r="CCX613" s="5" t="s">
        <v>3728</v>
      </c>
      <c r="CCY613" s="17">
        <v>44925</v>
      </c>
      <c r="CCZ613" s="5" t="s">
        <v>3728</v>
      </c>
      <c r="CDA613" s="17">
        <v>44925</v>
      </c>
      <c r="CDB613" s="5" t="s">
        <v>3728</v>
      </c>
      <c r="CDC613" s="17">
        <v>44925</v>
      </c>
      <c r="CDD613" s="5" t="s">
        <v>3728</v>
      </c>
      <c r="CDE613" s="17">
        <v>44925</v>
      </c>
      <c r="CDF613" s="5" t="s">
        <v>3728</v>
      </c>
      <c r="CDG613" s="17">
        <v>44925</v>
      </c>
      <c r="CDH613" s="5" t="s">
        <v>3728</v>
      </c>
      <c r="CDI613" s="17">
        <v>44925</v>
      </c>
      <c r="CDJ613" s="5" t="s">
        <v>3728</v>
      </c>
      <c r="CDK613" s="17">
        <v>44925</v>
      </c>
      <c r="CDL613" s="5" t="s">
        <v>3728</v>
      </c>
      <c r="CDM613" s="17">
        <v>44925</v>
      </c>
      <c r="CDN613" s="5" t="s">
        <v>3728</v>
      </c>
      <c r="CDO613" s="17">
        <v>44925</v>
      </c>
      <c r="CDP613" s="5" t="s">
        <v>3728</v>
      </c>
      <c r="CDQ613" s="17">
        <v>44925</v>
      </c>
      <c r="CDR613" s="5" t="s">
        <v>3728</v>
      </c>
      <c r="CDS613" s="17">
        <v>44925</v>
      </c>
      <c r="CDT613" s="5" t="s">
        <v>3728</v>
      </c>
      <c r="CDU613" s="17">
        <v>44925</v>
      </c>
      <c r="CDV613" s="5" t="s">
        <v>3728</v>
      </c>
      <c r="CDW613" s="17">
        <v>44925</v>
      </c>
      <c r="CDX613" s="5" t="s">
        <v>3728</v>
      </c>
      <c r="CDY613" s="17">
        <v>44925</v>
      </c>
      <c r="CDZ613" s="5" t="s">
        <v>3728</v>
      </c>
      <c r="CEA613" s="17">
        <v>44925</v>
      </c>
      <c r="CEB613" s="5" t="s">
        <v>3728</v>
      </c>
      <c r="CEC613" s="17">
        <v>44925</v>
      </c>
      <c r="CED613" s="5" t="s">
        <v>3728</v>
      </c>
      <c r="CEE613" s="17">
        <v>44925</v>
      </c>
      <c r="CEF613" s="5" t="s">
        <v>3728</v>
      </c>
      <c r="CEG613" s="17">
        <v>44925</v>
      </c>
      <c r="CEH613" s="5" t="s">
        <v>3728</v>
      </c>
      <c r="CEI613" s="17">
        <v>44925</v>
      </c>
      <c r="CEJ613" s="5" t="s">
        <v>3728</v>
      </c>
      <c r="CEK613" s="17">
        <v>44925</v>
      </c>
      <c r="CEL613" s="5" t="s">
        <v>3728</v>
      </c>
      <c r="CEM613" s="17">
        <v>44925</v>
      </c>
      <c r="CEN613" s="5" t="s">
        <v>3728</v>
      </c>
      <c r="CEO613" s="17">
        <v>44925</v>
      </c>
      <c r="CEP613" s="5" t="s">
        <v>3728</v>
      </c>
      <c r="CEQ613" s="17">
        <v>44925</v>
      </c>
      <c r="CER613" s="5" t="s">
        <v>3728</v>
      </c>
      <c r="CES613" s="17">
        <v>44925</v>
      </c>
      <c r="CET613" s="5" t="s">
        <v>3728</v>
      </c>
      <c r="CEU613" s="17">
        <v>44925</v>
      </c>
      <c r="CEV613" s="5" t="s">
        <v>3728</v>
      </c>
      <c r="CEW613" s="17">
        <v>44925</v>
      </c>
      <c r="CEX613" s="5" t="s">
        <v>3728</v>
      </c>
      <c r="CEY613" s="17">
        <v>44925</v>
      </c>
      <c r="CEZ613" s="5" t="s">
        <v>3728</v>
      </c>
      <c r="CFA613" s="17">
        <v>44925</v>
      </c>
      <c r="CFB613" s="5" t="s">
        <v>3728</v>
      </c>
      <c r="CFC613" s="17">
        <v>44925</v>
      </c>
      <c r="CFD613" s="5" t="s">
        <v>3728</v>
      </c>
      <c r="CFE613" s="17">
        <v>44925</v>
      </c>
      <c r="CFF613" s="5" t="s">
        <v>3728</v>
      </c>
      <c r="CFG613" s="17">
        <v>44925</v>
      </c>
      <c r="CFH613" s="5" t="s">
        <v>3728</v>
      </c>
      <c r="CFI613" s="17">
        <v>44925</v>
      </c>
      <c r="CFJ613" s="5" t="s">
        <v>3728</v>
      </c>
      <c r="CFK613" s="17">
        <v>44925</v>
      </c>
      <c r="CFL613" s="5" t="s">
        <v>3728</v>
      </c>
      <c r="CFM613" s="17">
        <v>44925</v>
      </c>
      <c r="CFN613" s="5" t="s">
        <v>3728</v>
      </c>
      <c r="CFO613" s="17">
        <v>44925</v>
      </c>
      <c r="CFP613" s="5" t="s">
        <v>3728</v>
      </c>
      <c r="CFQ613" s="17">
        <v>44925</v>
      </c>
      <c r="CFR613" s="5" t="s">
        <v>3728</v>
      </c>
      <c r="CFS613" s="17">
        <v>44925</v>
      </c>
      <c r="CFT613" s="5" t="s">
        <v>3728</v>
      </c>
      <c r="CFU613" s="17">
        <v>44925</v>
      </c>
      <c r="CFV613" s="5" t="s">
        <v>3728</v>
      </c>
      <c r="CFW613" s="17">
        <v>44925</v>
      </c>
      <c r="CFX613" s="5" t="s">
        <v>3728</v>
      </c>
      <c r="CFY613" s="17">
        <v>44925</v>
      </c>
      <c r="CFZ613" s="5" t="s">
        <v>3728</v>
      </c>
      <c r="CGA613" s="17">
        <v>44925</v>
      </c>
      <c r="CGB613" s="5" t="s">
        <v>3728</v>
      </c>
      <c r="CGC613" s="17">
        <v>44925</v>
      </c>
      <c r="CGD613" s="5" t="s">
        <v>3728</v>
      </c>
      <c r="CGE613" s="17">
        <v>44925</v>
      </c>
      <c r="CGF613" s="5" t="s">
        <v>3728</v>
      </c>
      <c r="CGG613" s="17">
        <v>44925</v>
      </c>
      <c r="CGH613" s="5" t="s">
        <v>3728</v>
      </c>
      <c r="CGI613" s="17">
        <v>44925</v>
      </c>
      <c r="CGJ613" s="5" t="s">
        <v>3728</v>
      </c>
      <c r="CGK613" s="17">
        <v>44925</v>
      </c>
      <c r="CGL613" s="5" t="s">
        <v>3728</v>
      </c>
      <c r="CGM613" s="17">
        <v>44925</v>
      </c>
      <c r="CGN613" s="5" t="s">
        <v>3728</v>
      </c>
      <c r="CGO613" s="17">
        <v>44925</v>
      </c>
      <c r="CGP613" s="5" t="s">
        <v>3728</v>
      </c>
      <c r="CGQ613" s="17">
        <v>44925</v>
      </c>
      <c r="CGR613" s="5" t="s">
        <v>3728</v>
      </c>
      <c r="CGS613" s="17">
        <v>44925</v>
      </c>
      <c r="CGT613" s="5" t="s">
        <v>3728</v>
      </c>
      <c r="CGU613" s="17">
        <v>44925</v>
      </c>
      <c r="CGV613" s="5" t="s">
        <v>3728</v>
      </c>
      <c r="CGW613" s="17">
        <v>44925</v>
      </c>
      <c r="CGX613" s="5" t="s">
        <v>3728</v>
      </c>
      <c r="CGY613" s="17">
        <v>44925</v>
      </c>
      <c r="CGZ613" s="5" t="s">
        <v>3728</v>
      </c>
      <c r="CHA613" s="17">
        <v>44925</v>
      </c>
      <c r="CHB613" s="5" t="s">
        <v>3728</v>
      </c>
      <c r="CHC613" s="17">
        <v>44925</v>
      </c>
      <c r="CHD613" s="5" t="s">
        <v>3728</v>
      </c>
      <c r="CHE613" s="17">
        <v>44925</v>
      </c>
      <c r="CHF613" s="5" t="s">
        <v>3728</v>
      </c>
      <c r="CHG613" s="17">
        <v>44925</v>
      </c>
      <c r="CHH613" s="5" t="s">
        <v>3728</v>
      </c>
      <c r="CHI613" s="17">
        <v>44925</v>
      </c>
      <c r="CHJ613" s="5" t="s">
        <v>3728</v>
      </c>
      <c r="CHK613" s="17">
        <v>44925</v>
      </c>
      <c r="CHL613" s="5" t="s">
        <v>3728</v>
      </c>
      <c r="CHM613" s="17">
        <v>44925</v>
      </c>
      <c r="CHN613" s="5" t="s">
        <v>3728</v>
      </c>
      <c r="CHO613" s="17">
        <v>44925</v>
      </c>
      <c r="CHP613" s="5" t="s">
        <v>3728</v>
      </c>
      <c r="CHQ613" s="17">
        <v>44925</v>
      </c>
      <c r="CHR613" s="5" t="s">
        <v>3728</v>
      </c>
      <c r="CHS613" s="17">
        <v>44925</v>
      </c>
      <c r="CHT613" s="5" t="s">
        <v>3728</v>
      </c>
      <c r="CHU613" s="17">
        <v>44925</v>
      </c>
      <c r="CHV613" s="5" t="s">
        <v>3728</v>
      </c>
      <c r="CHW613" s="17">
        <v>44925</v>
      </c>
      <c r="CHX613" s="5" t="s">
        <v>3728</v>
      </c>
      <c r="CHY613" s="17">
        <v>44925</v>
      </c>
      <c r="CHZ613" s="5" t="s">
        <v>3728</v>
      </c>
      <c r="CIA613" s="17">
        <v>44925</v>
      </c>
      <c r="CIB613" s="5" t="s">
        <v>3728</v>
      </c>
      <c r="CIC613" s="17">
        <v>44925</v>
      </c>
      <c r="CID613" s="5" t="s">
        <v>3728</v>
      </c>
      <c r="CIE613" s="17">
        <v>44925</v>
      </c>
      <c r="CIF613" s="5" t="s">
        <v>3728</v>
      </c>
      <c r="CIG613" s="17">
        <v>44925</v>
      </c>
      <c r="CIH613" s="5" t="s">
        <v>3728</v>
      </c>
      <c r="CII613" s="17">
        <v>44925</v>
      </c>
      <c r="CIJ613" s="5" t="s">
        <v>3728</v>
      </c>
      <c r="CIK613" s="17">
        <v>44925</v>
      </c>
      <c r="CIL613" s="5" t="s">
        <v>3728</v>
      </c>
      <c r="CIM613" s="17">
        <v>44925</v>
      </c>
      <c r="CIN613" s="5" t="s">
        <v>3728</v>
      </c>
      <c r="CIO613" s="17">
        <v>44925</v>
      </c>
      <c r="CIP613" s="5" t="s">
        <v>3728</v>
      </c>
      <c r="CIQ613" s="17">
        <v>44925</v>
      </c>
      <c r="CIR613" s="5" t="s">
        <v>3728</v>
      </c>
      <c r="CIS613" s="17">
        <v>44925</v>
      </c>
      <c r="CIT613" s="5" t="s">
        <v>3728</v>
      </c>
      <c r="CIU613" s="17">
        <v>44925</v>
      </c>
      <c r="CIV613" s="5" t="s">
        <v>3728</v>
      </c>
      <c r="CIW613" s="17">
        <v>44925</v>
      </c>
      <c r="CIX613" s="5" t="s">
        <v>3728</v>
      </c>
      <c r="CIY613" s="17">
        <v>44925</v>
      </c>
      <c r="CIZ613" s="5" t="s">
        <v>3728</v>
      </c>
      <c r="CJA613" s="17">
        <v>44925</v>
      </c>
      <c r="CJB613" s="5" t="s">
        <v>3728</v>
      </c>
      <c r="CJC613" s="17">
        <v>44925</v>
      </c>
      <c r="CJD613" s="5" t="s">
        <v>3728</v>
      </c>
      <c r="CJE613" s="17">
        <v>44925</v>
      </c>
      <c r="CJF613" s="5" t="s">
        <v>3728</v>
      </c>
      <c r="CJG613" s="17">
        <v>44925</v>
      </c>
      <c r="CJH613" s="5" t="s">
        <v>3728</v>
      </c>
      <c r="CJI613" s="17">
        <v>44925</v>
      </c>
      <c r="CJJ613" s="5" t="s">
        <v>3728</v>
      </c>
      <c r="CJK613" s="17">
        <v>44925</v>
      </c>
      <c r="CJL613" s="5" t="s">
        <v>3728</v>
      </c>
      <c r="CJM613" s="17">
        <v>44925</v>
      </c>
      <c r="CJN613" s="5" t="s">
        <v>3728</v>
      </c>
      <c r="CJO613" s="17">
        <v>44925</v>
      </c>
      <c r="CJP613" s="5" t="s">
        <v>3728</v>
      </c>
      <c r="CJQ613" s="17">
        <v>44925</v>
      </c>
      <c r="CJR613" s="5" t="s">
        <v>3728</v>
      </c>
      <c r="CJS613" s="17">
        <v>44925</v>
      </c>
      <c r="CJT613" s="5" t="s">
        <v>3728</v>
      </c>
      <c r="CJU613" s="17">
        <v>44925</v>
      </c>
      <c r="CJV613" s="5" t="s">
        <v>3728</v>
      </c>
      <c r="CJW613" s="17">
        <v>44925</v>
      </c>
      <c r="CJX613" s="5" t="s">
        <v>3728</v>
      </c>
      <c r="CJY613" s="17">
        <v>44925</v>
      </c>
      <c r="CJZ613" s="5" t="s">
        <v>3728</v>
      </c>
      <c r="CKA613" s="17">
        <v>44925</v>
      </c>
      <c r="CKB613" s="5" t="s">
        <v>3728</v>
      </c>
      <c r="CKC613" s="17">
        <v>44925</v>
      </c>
      <c r="CKD613" s="5" t="s">
        <v>3728</v>
      </c>
      <c r="CKE613" s="17">
        <v>44925</v>
      </c>
      <c r="CKF613" s="5" t="s">
        <v>3728</v>
      </c>
      <c r="CKG613" s="17">
        <v>44925</v>
      </c>
      <c r="CKH613" s="5" t="s">
        <v>3728</v>
      </c>
      <c r="CKI613" s="17">
        <v>44925</v>
      </c>
      <c r="CKJ613" s="5" t="s">
        <v>3728</v>
      </c>
      <c r="CKK613" s="17">
        <v>44925</v>
      </c>
      <c r="CKL613" s="5" t="s">
        <v>3728</v>
      </c>
      <c r="CKM613" s="17">
        <v>44925</v>
      </c>
      <c r="CKN613" s="5" t="s">
        <v>3728</v>
      </c>
      <c r="CKO613" s="17">
        <v>44925</v>
      </c>
      <c r="CKP613" s="5" t="s">
        <v>3728</v>
      </c>
      <c r="CKQ613" s="17">
        <v>44925</v>
      </c>
      <c r="CKR613" s="5" t="s">
        <v>3728</v>
      </c>
      <c r="CKS613" s="17">
        <v>44925</v>
      </c>
      <c r="CKT613" s="5" t="s">
        <v>3728</v>
      </c>
      <c r="CKU613" s="17">
        <v>44925</v>
      </c>
      <c r="CKV613" s="5" t="s">
        <v>3728</v>
      </c>
      <c r="CKW613" s="17">
        <v>44925</v>
      </c>
      <c r="CKX613" s="5" t="s">
        <v>3728</v>
      </c>
      <c r="CKY613" s="17">
        <v>44925</v>
      </c>
      <c r="CKZ613" s="5" t="s">
        <v>3728</v>
      </c>
      <c r="CLA613" s="17">
        <v>44925</v>
      </c>
      <c r="CLB613" s="5" t="s">
        <v>3728</v>
      </c>
      <c r="CLC613" s="17">
        <v>44925</v>
      </c>
      <c r="CLD613" s="5" t="s">
        <v>3728</v>
      </c>
      <c r="CLE613" s="17">
        <v>44925</v>
      </c>
      <c r="CLF613" s="5" t="s">
        <v>3728</v>
      </c>
      <c r="CLG613" s="17">
        <v>44925</v>
      </c>
      <c r="CLH613" s="5" t="s">
        <v>3728</v>
      </c>
      <c r="CLI613" s="17">
        <v>44925</v>
      </c>
      <c r="CLJ613" s="5" t="s">
        <v>3728</v>
      </c>
      <c r="CLK613" s="17">
        <v>44925</v>
      </c>
      <c r="CLL613" s="5" t="s">
        <v>3728</v>
      </c>
      <c r="CLM613" s="17">
        <v>44925</v>
      </c>
      <c r="CLN613" s="5" t="s">
        <v>3728</v>
      </c>
      <c r="CLO613" s="17">
        <v>44925</v>
      </c>
      <c r="CLP613" s="5" t="s">
        <v>3728</v>
      </c>
      <c r="CLQ613" s="17">
        <v>44925</v>
      </c>
      <c r="CLR613" s="5" t="s">
        <v>3728</v>
      </c>
      <c r="CLS613" s="17">
        <v>44925</v>
      </c>
      <c r="CLT613" s="5" t="s">
        <v>3728</v>
      </c>
      <c r="CLU613" s="17">
        <v>44925</v>
      </c>
      <c r="CLV613" s="5" t="s">
        <v>3728</v>
      </c>
      <c r="CLW613" s="17">
        <v>44925</v>
      </c>
      <c r="CLX613" s="5" t="s">
        <v>3728</v>
      </c>
      <c r="CLY613" s="17">
        <v>44925</v>
      </c>
      <c r="CLZ613" s="5" t="s">
        <v>3728</v>
      </c>
      <c r="CMA613" s="17">
        <v>44925</v>
      </c>
      <c r="CMB613" s="5" t="s">
        <v>3728</v>
      </c>
      <c r="CMC613" s="17">
        <v>44925</v>
      </c>
      <c r="CMD613" s="5" t="s">
        <v>3728</v>
      </c>
      <c r="CME613" s="17">
        <v>44925</v>
      </c>
      <c r="CMF613" s="5" t="s">
        <v>3728</v>
      </c>
      <c r="CMG613" s="17">
        <v>44925</v>
      </c>
      <c r="CMH613" s="5" t="s">
        <v>3728</v>
      </c>
      <c r="CMI613" s="17">
        <v>44925</v>
      </c>
      <c r="CMJ613" s="5" t="s">
        <v>3728</v>
      </c>
      <c r="CMK613" s="17">
        <v>44925</v>
      </c>
      <c r="CML613" s="5" t="s">
        <v>3728</v>
      </c>
      <c r="CMM613" s="17">
        <v>44925</v>
      </c>
      <c r="CMN613" s="5" t="s">
        <v>3728</v>
      </c>
      <c r="CMO613" s="17">
        <v>44925</v>
      </c>
      <c r="CMP613" s="5" t="s">
        <v>3728</v>
      </c>
      <c r="CMQ613" s="17">
        <v>44925</v>
      </c>
      <c r="CMR613" s="5" t="s">
        <v>3728</v>
      </c>
      <c r="CMS613" s="17">
        <v>44925</v>
      </c>
      <c r="CMT613" s="5" t="s">
        <v>3728</v>
      </c>
      <c r="CMU613" s="17">
        <v>44925</v>
      </c>
      <c r="CMV613" s="5" t="s">
        <v>3728</v>
      </c>
      <c r="CMW613" s="17">
        <v>44925</v>
      </c>
      <c r="CMX613" s="5" t="s">
        <v>3728</v>
      </c>
      <c r="CMY613" s="17">
        <v>44925</v>
      </c>
      <c r="CMZ613" s="5" t="s">
        <v>3728</v>
      </c>
      <c r="CNA613" s="17">
        <v>44925</v>
      </c>
      <c r="CNB613" s="5" t="s">
        <v>3728</v>
      </c>
      <c r="CNC613" s="17">
        <v>44925</v>
      </c>
      <c r="CND613" s="5" t="s">
        <v>3728</v>
      </c>
      <c r="CNE613" s="17">
        <v>44925</v>
      </c>
      <c r="CNF613" s="5" t="s">
        <v>3728</v>
      </c>
      <c r="CNG613" s="17">
        <v>44925</v>
      </c>
      <c r="CNH613" s="5" t="s">
        <v>3728</v>
      </c>
      <c r="CNI613" s="17">
        <v>44925</v>
      </c>
      <c r="CNJ613" s="5" t="s">
        <v>3728</v>
      </c>
      <c r="CNK613" s="17">
        <v>44925</v>
      </c>
      <c r="CNL613" s="5" t="s">
        <v>3728</v>
      </c>
      <c r="CNM613" s="17">
        <v>44925</v>
      </c>
      <c r="CNN613" s="5" t="s">
        <v>3728</v>
      </c>
      <c r="CNO613" s="17">
        <v>44925</v>
      </c>
      <c r="CNP613" s="5" t="s">
        <v>3728</v>
      </c>
      <c r="CNQ613" s="17">
        <v>44925</v>
      </c>
      <c r="CNR613" s="5" t="s">
        <v>3728</v>
      </c>
      <c r="CNS613" s="17">
        <v>44925</v>
      </c>
      <c r="CNT613" s="5" t="s">
        <v>3728</v>
      </c>
      <c r="CNU613" s="17">
        <v>44925</v>
      </c>
      <c r="CNV613" s="5" t="s">
        <v>3728</v>
      </c>
      <c r="CNW613" s="17">
        <v>44925</v>
      </c>
      <c r="CNX613" s="5" t="s">
        <v>3728</v>
      </c>
      <c r="CNY613" s="17">
        <v>44925</v>
      </c>
      <c r="CNZ613" s="5" t="s">
        <v>3728</v>
      </c>
      <c r="COA613" s="17">
        <v>44925</v>
      </c>
      <c r="COB613" s="5" t="s">
        <v>3728</v>
      </c>
      <c r="COC613" s="17">
        <v>44925</v>
      </c>
      <c r="COD613" s="5" t="s">
        <v>3728</v>
      </c>
      <c r="COE613" s="17">
        <v>44925</v>
      </c>
      <c r="COF613" s="5" t="s">
        <v>3728</v>
      </c>
      <c r="COG613" s="17">
        <v>44925</v>
      </c>
      <c r="COH613" s="5" t="s">
        <v>3728</v>
      </c>
      <c r="COI613" s="17">
        <v>44925</v>
      </c>
      <c r="COJ613" s="5" t="s">
        <v>3728</v>
      </c>
      <c r="COK613" s="17">
        <v>44925</v>
      </c>
      <c r="COL613" s="5" t="s">
        <v>3728</v>
      </c>
      <c r="COM613" s="17">
        <v>44925</v>
      </c>
      <c r="CON613" s="5" t="s">
        <v>3728</v>
      </c>
      <c r="COO613" s="17">
        <v>44925</v>
      </c>
      <c r="COP613" s="5" t="s">
        <v>3728</v>
      </c>
      <c r="COQ613" s="17">
        <v>44925</v>
      </c>
      <c r="COR613" s="5" t="s">
        <v>3728</v>
      </c>
      <c r="COS613" s="17">
        <v>44925</v>
      </c>
      <c r="COT613" s="5" t="s">
        <v>3728</v>
      </c>
      <c r="COU613" s="17">
        <v>44925</v>
      </c>
      <c r="COV613" s="5" t="s">
        <v>3728</v>
      </c>
      <c r="COW613" s="17">
        <v>44925</v>
      </c>
      <c r="COX613" s="5" t="s">
        <v>3728</v>
      </c>
      <c r="COY613" s="17">
        <v>44925</v>
      </c>
      <c r="COZ613" s="5" t="s">
        <v>3728</v>
      </c>
      <c r="CPA613" s="17">
        <v>44925</v>
      </c>
      <c r="CPB613" s="5" t="s">
        <v>3728</v>
      </c>
      <c r="CPC613" s="17">
        <v>44925</v>
      </c>
      <c r="CPD613" s="5" t="s">
        <v>3728</v>
      </c>
      <c r="CPE613" s="17">
        <v>44925</v>
      </c>
      <c r="CPF613" s="5" t="s">
        <v>3728</v>
      </c>
      <c r="CPG613" s="17">
        <v>44925</v>
      </c>
      <c r="CPH613" s="5" t="s">
        <v>3728</v>
      </c>
      <c r="CPI613" s="17">
        <v>44925</v>
      </c>
      <c r="CPJ613" s="5" t="s">
        <v>3728</v>
      </c>
      <c r="CPK613" s="17">
        <v>44925</v>
      </c>
      <c r="CPL613" s="5" t="s">
        <v>3728</v>
      </c>
      <c r="CPM613" s="17">
        <v>44925</v>
      </c>
      <c r="CPN613" s="5" t="s">
        <v>3728</v>
      </c>
      <c r="CPO613" s="17">
        <v>44925</v>
      </c>
      <c r="CPP613" s="5" t="s">
        <v>3728</v>
      </c>
      <c r="CPQ613" s="17">
        <v>44925</v>
      </c>
      <c r="CPR613" s="5" t="s">
        <v>3728</v>
      </c>
      <c r="CPS613" s="17">
        <v>44925</v>
      </c>
      <c r="CPT613" s="5" t="s">
        <v>3728</v>
      </c>
      <c r="CPU613" s="17">
        <v>44925</v>
      </c>
      <c r="CPV613" s="5" t="s">
        <v>3728</v>
      </c>
      <c r="CPW613" s="17">
        <v>44925</v>
      </c>
      <c r="CPX613" s="5" t="s">
        <v>3728</v>
      </c>
      <c r="CPY613" s="17">
        <v>44925</v>
      </c>
      <c r="CPZ613" s="5" t="s">
        <v>3728</v>
      </c>
      <c r="CQA613" s="17">
        <v>44925</v>
      </c>
      <c r="CQB613" s="5" t="s">
        <v>3728</v>
      </c>
      <c r="CQC613" s="17">
        <v>44925</v>
      </c>
      <c r="CQD613" s="5" t="s">
        <v>3728</v>
      </c>
      <c r="CQE613" s="17">
        <v>44925</v>
      </c>
      <c r="CQF613" s="5" t="s">
        <v>3728</v>
      </c>
      <c r="CQG613" s="17">
        <v>44925</v>
      </c>
      <c r="CQH613" s="5" t="s">
        <v>3728</v>
      </c>
      <c r="CQI613" s="17">
        <v>44925</v>
      </c>
      <c r="CQJ613" s="5" t="s">
        <v>3728</v>
      </c>
      <c r="CQK613" s="17">
        <v>44925</v>
      </c>
      <c r="CQL613" s="5" t="s">
        <v>3728</v>
      </c>
      <c r="CQM613" s="17">
        <v>44925</v>
      </c>
      <c r="CQN613" s="5" t="s">
        <v>3728</v>
      </c>
      <c r="CQO613" s="17">
        <v>44925</v>
      </c>
      <c r="CQP613" s="5" t="s">
        <v>3728</v>
      </c>
      <c r="CQQ613" s="17">
        <v>44925</v>
      </c>
      <c r="CQR613" s="5" t="s">
        <v>3728</v>
      </c>
      <c r="CQS613" s="17">
        <v>44925</v>
      </c>
      <c r="CQT613" s="5" t="s">
        <v>3728</v>
      </c>
      <c r="CQU613" s="17">
        <v>44925</v>
      </c>
      <c r="CQV613" s="5" t="s">
        <v>3728</v>
      </c>
      <c r="CQW613" s="17">
        <v>44925</v>
      </c>
      <c r="CQX613" s="5" t="s">
        <v>3728</v>
      </c>
      <c r="CQY613" s="17">
        <v>44925</v>
      </c>
      <c r="CQZ613" s="5" t="s">
        <v>3728</v>
      </c>
      <c r="CRA613" s="17">
        <v>44925</v>
      </c>
      <c r="CRB613" s="5" t="s">
        <v>3728</v>
      </c>
      <c r="CRC613" s="17">
        <v>44925</v>
      </c>
      <c r="CRD613" s="5" t="s">
        <v>3728</v>
      </c>
      <c r="CRE613" s="17">
        <v>44925</v>
      </c>
      <c r="CRF613" s="5" t="s">
        <v>3728</v>
      </c>
      <c r="CRG613" s="17">
        <v>44925</v>
      </c>
      <c r="CRH613" s="5" t="s">
        <v>3728</v>
      </c>
      <c r="CRI613" s="17">
        <v>44925</v>
      </c>
      <c r="CRJ613" s="5" t="s">
        <v>3728</v>
      </c>
      <c r="CRK613" s="17">
        <v>44925</v>
      </c>
      <c r="CRL613" s="5" t="s">
        <v>3728</v>
      </c>
      <c r="CRM613" s="17">
        <v>44925</v>
      </c>
      <c r="CRN613" s="5" t="s">
        <v>3728</v>
      </c>
      <c r="CRO613" s="17">
        <v>44925</v>
      </c>
      <c r="CRP613" s="5" t="s">
        <v>3728</v>
      </c>
      <c r="CRQ613" s="17">
        <v>44925</v>
      </c>
      <c r="CRR613" s="5" t="s">
        <v>3728</v>
      </c>
      <c r="CRS613" s="17">
        <v>44925</v>
      </c>
      <c r="CRT613" s="5" t="s">
        <v>3728</v>
      </c>
      <c r="CRU613" s="17">
        <v>44925</v>
      </c>
      <c r="CRV613" s="5" t="s">
        <v>3728</v>
      </c>
      <c r="CRW613" s="17">
        <v>44925</v>
      </c>
      <c r="CRX613" s="5" t="s">
        <v>3728</v>
      </c>
      <c r="CRY613" s="17">
        <v>44925</v>
      </c>
      <c r="CRZ613" s="5" t="s">
        <v>3728</v>
      </c>
      <c r="CSA613" s="17">
        <v>44925</v>
      </c>
      <c r="CSB613" s="5" t="s">
        <v>3728</v>
      </c>
      <c r="CSC613" s="17">
        <v>44925</v>
      </c>
      <c r="CSD613" s="5" t="s">
        <v>3728</v>
      </c>
      <c r="CSE613" s="17">
        <v>44925</v>
      </c>
      <c r="CSF613" s="5" t="s">
        <v>3728</v>
      </c>
      <c r="CSG613" s="17">
        <v>44925</v>
      </c>
      <c r="CSH613" s="5" t="s">
        <v>3728</v>
      </c>
      <c r="CSI613" s="17">
        <v>44925</v>
      </c>
      <c r="CSJ613" s="5" t="s">
        <v>3728</v>
      </c>
      <c r="CSK613" s="17">
        <v>44925</v>
      </c>
      <c r="CSL613" s="5" t="s">
        <v>3728</v>
      </c>
      <c r="CSM613" s="17">
        <v>44925</v>
      </c>
      <c r="CSN613" s="5" t="s">
        <v>3728</v>
      </c>
      <c r="CSO613" s="17">
        <v>44925</v>
      </c>
      <c r="CSP613" s="5" t="s">
        <v>3728</v>
      </c>
      <c r="CSQ613" s="17">
        <v>44925</v>
      </c>
      <c r="CSR613" s="5" t="s">
        <v>3728</v>
      </c>
      <c r="CSS613" s="17">
        <v>44925</v>
      </c>
      <c r="CST613" s="5" t="s">
        <v>3728</v>
      </c>
      <c r="CSU613" s="17">
        <v>44925</v>
      </c>
      <c r="CSV613" s="5" t="s">
        <v>3728</v>
      </c>
      <c r="CSW613" s="17">
        <v>44925</v>
      </c>
      <c r="CSX613" s="5" t="s">
        <v>3728</v>
      </c>
      <c r="CSY613" s="17">
        <v>44925</v>
      </c>
      <c r="CSZ613" s="5" t="s">
        <v>3728</v>
      </c>
      <c r="CTA613" s="17">
        <v>44925</v>
      </c>
      <c r="CTB613" s="5" t="s">
        <v>3728</v>
      </c>
      <c r="CTC613" s="17">
        <v>44925</v>
      </c>
      <c r="CTD613" s="5" t="s">
        <v>3728</v>
      </c>
      <c r="CTE613" s="17">
        <v>44925</v>
      </c>
      <c r="CTF613" s="5" t="s">
        <v>3728</v>
      </c>
      <c r="CTG613" s="17">
        <v>44925</v>
      </c>
      <c r="CTH613" s="5" t="s">
        <v>3728</v>
      </c>
      <c r="CTI613" s="17">
        <v>44925</v>
      </c>
      <c r="CTJ613" s="5" t="s">
        <v>3728</v>
      </c>
      <c r="CTK613" s="17">
        <v>44925</v>
      </c>
      <c r="CTL613" s="5" t="s">
        <v>3728</v>
      </c>
      <c r="CTM613" s="17">
        <v>44925</v>
      </c>
      <c r="CTN613" s="5" t="s">
        <v>3728</v>
      </c>
      <c r="CTO613" s="17">
        <v>44925</v>
      </c>
      <c r="CTP613" s="5" t="s">
        <v>3728</v>
      </c>
      <c r="CTQ613" s="17">
        <v>44925</v>
      </c>
      <c r="CTR613" s="5" t="s">
        <v>3728</v>
      </c>
      <c r="CTS613" s="17">
        <v>44925</v>
      </c>
      <c r="CTT613" s="5" t="s">
        <v>3728</v>
      </c>
      <c r="CTU613" s="17">
        <v>44925</v>
      </c>
      <c r="CTV613" s="5" t="s">
        <v>3728</v>
      </c>
      <c r="CTW613" s="17">
        <v>44925</v>
      </c>
      <c r="CTX613" s="5" t="s">
        <v>3728</v>
      </c>
      <c r="CTY613" s="17">
        <v>44925</v>
      </c>
      <c r="CTZ613" s="5" t="s">
        <v>3728</v>
      </c>
      <c r="CUA613" s="17">
        <v>44925</v>
      </c>
      <c r="CUB613" s="5" t="s">
        <v>3728</v>
      </c>
      <c r="CUC613" s="17">
        <v>44925</v>
      </c>
      <c r="CUD613" s="5" t="s">
        <v>3728</v>
      </c>
      <c r="CUE613" s="17">
        <v>44925</v>
      </c>
      <c r="CUF613" s="5" t="s">
        <v>3728</v>
      </c>
      <c r="CUG613" s="17">
        <v>44925</v>
      </c>
      <c r="CUH613" s="5" t="s">
        <v>3728</v>
      </c>
      <c r="CUI613" s="17">
        <v>44925</v>
      </c>
      <c r="CUJ613" s="5" t="s">
        <v>3728</v>
      </c>
      <c r="CUK613" s="17">
        <v>44925</v>
      </c>
      <c r="CUL613" s="5" t="s">
        <v>3728</v>
      </c>
      <c r="CUM613" s="17">
        <v>44925</v>
      </c>
      <c r="CUN613" s="5" t="s">
        <v>3728</v>
      </c>
      <c r="CUO613" s="17">
        <v>44925</v>
      </c>
      <c r="CUP613" s="5" t="s">
        <v>3728</v>
      </c>
      <c r="CUQ613" s="17">
        <v>44925</v>
      </c>
      <c r="CUR613" s="5" t="s">
        <v>3728</v>
      </c>
      <c r="CUS613" s="17">
        <v>44925</v>
      </c>
      <c r="CUT613" s="5" t="s">
        <v>3728</v>
      </c>
      <c r="CUU613" s="17">
        <v>44925</v>
      </c>
      <c r="CUV613" s="5" t="s">
        <v>3728</v>
      </c>
      <c r="CUW613" s="17">
        <v>44925</v>
      </c>
      <c r="CUX613" s="5" t="s">
        <v>3728</v>
      </c>
      <c r="CUY613" s="17">
        <v>44925</v>
      </c>
      <c r="CUZ613" s="5" t="s">
        <v>3728</v>
      </c>
      <c r="CVA613" s="17">
        <v>44925</v>
      </c>
      <c r="CVB613" s="5" t="s">
        <v>3728</v>
      </c>
      <c r="CVC613" s="17">
        <v>44925</v>
      </c>
      <c r="CVD613" s="5" t="s">
        <v>3728</v>
      </c>
      <c r="CVE613" s="17">
        <v>44925</v>
      </c>
      <c r="CVF613" s="5" t="s">
        <v>3728</v>
      </c>
      <c r="CVG613" s="17">
        <v>44925</v>
      </c>
      <c r="CVH613" s="5" t="s">
        <v>3728</v>
      </c>
      <c r="CVI613" s="17">
        <v>44925</v>
      </c>
      <c r="CVJ613" s="5" t="s">
        <v>3728</v>
      </c>
      <c r="CVK613" s="17">
        <v>44925</v>
      </c>
      <c r="CVL613" s="5" t="s">
        <v>3728</v>
      </c>
      <c r="CVM613" s="17">
        <v>44925</v>
      </c>
      <c r="CVN613" s="5" t="s">
        <v>3728</v>
      </c>
      <c r="CVO613" s="17">
        <v>44925</v>
      </c>
      <c r="CVP613" s="5" t="s">
        <v>3728</v>
      </c>
      <c r="CVQ613" s="17">
        <v>44925</v>
      </c>
      <c r="CVR613" s="5" t="s">
        <v>3728</v>
      </c>
      <c r="CVS613" s="17">
        <v>44925</v>
      </c>
      <c r="CVT613" s="5" t="s">
        <v>3728</v>
      </c>
      <c r="CVU613" s="17">
        <v>44925</v>
      </c>
      <c r="CVV613" s="5" t="s">
        <v>3728</v>
      </c>
      <c r="CVW613" s="17">
        <v>44925</v>
      </c>
      <c r="CVX613" s="5" t="s">
        <v>3728</v>
      </c>
      <c r="CVY613" s="17">
        <v>44925</v>
      </c>
      <c r="CVZ613" s="5" t="s">
        <v>3728</v>
      </c>
      <c r="CWA613" s="17">
        <v>44925</v>
      </c>
      <c r="CWB613" s="5" t="s">
        <v>3728</v>
      </c>
      <c r="CWC613" s="17">
        <v>44925</v>
      </c>
      <c r="CWD613" s="5" t="s">
        <v>3728</v>
      </c>
      <c r="CWE613" s="17">
        <v>44925</v>
      </c>
      <c r="CWF613" s="5" t="s">
        <v>3728</v>
      </c>
      <c r="CWG613" s="17">
        <v>44925</v>
      </c>
      <c r="CWH613" s="5" t="s">
        <v>3728</v>
      </c>
      <c r="CWI613" s="17">
        <v>44925</v>
      </c>
      <c r="CWJ613" s="5" t="s">
        <v>3728</v>
      </c>
      <c r="CWK613" s="17">
        <v>44925</v>
      </c>
      <c r="CWL613" s="5" t="s">
        <v>3728</v>
      </c>
      <c r="CWM613" s="17">
        <v>44925</v>
      </c>
      <c r="CWN613" s="5" t="s">
        <v>3728</v>
      </c>
      <c r="CWO613" s="17">
        <v>44925</v>
      </c>
      <c r="CWP613" s="5" t="s">
        <v>3728</v>
      </c>
      <c r="CWQ613" s="17">
        <v>44925</v>
      </c>
      <c r="CWR613" s="5" t="s">
        <v>3728</v>
      </c>
      <c r="CWS613" s="17">
        <v>44925</v>
      </c>
      <c r="CWT613" s="5" t="s">
        <v>3728</v>
      </c>
      <c r="CWU613" s="17">
        <v>44925</v>
      </c>
      <c r="CWV613" s="5" t="s">
        <v>3728</v>
      </c>
      <c r="CWW613" s="17">
        <v>44925</v>
      </c>
      <c r="CWX613" s="5" t="s">
        <v>3728</v>
      </c>
      <c r="CWY613" s="17">
        <v>44925</v>
      </c>
      <c r="CWZ613" s="5" t="s">
        <v>3728</v>
      </c>
      <c r="CXA613" s="17">
        <v>44925</v>
      </c>
      <c r="CXB613" s="5" t="s">
        <v>3728</v>
      </c>
      <c r="CXC613" s="17">
        <v>44925</v>
      </c>
      <c r="CXD613" s="5" t="s">
        <v>3728</v>
      </c>
      <c r="CXE613" s="17">
        <v>44925</v>
      </c>
      <c r="CXF613" s="5" t="s">
        <v>3728</v>
      </c>
      <c r="CXG613" s="17">
        <v>44925</v>
      </c>
      <c r="CXH613" s="5" t="s">
        <v>3728</v>
      </c>
      <c r="CXI613" s="17">
        <v>44925</v>
      </c>
      <c r="CXJ613" s="5" t="s">
        <v>3728</v>
      </c>
      <c r="CXK613" s="17">
        <v>44925</v>
      </c>
      <c r="CXL613" s="5" t="s">
        <v>3728</v>
      </c>
      <c r="CXM613" s="17">
        <v>44925</v>
      </c>
      <c r="CXN613" s="5" t="s">
        <v>3728</v>
      </c>
      <c r="CXO613" s="17">
        <v>44925</v>
      </c>
      <c r="CXP613" s="5" t="s">
        <v>3728</v>
      </c>
      <c r="CXQ613" s="17">
        <v>44925</v>
      </c>
      <c r="CXR613" s="5" t="s">
        <v>3728</v>
      </c>
      <c r="CXS613" s="17">
        <v>44925</v>
      </c>
      <c r="CXT613" s="5" t="s">
        <v>3728</v>
      </c>
      <c r="CXU613" s="17">
        <v>44925</v>
      </c>
      <c r="CXV613" s="5" t="s">
        <v>3728</v>
      </c>
      <c r="CXW613" s="17">
        <v>44925</v>
      </c>
      <c r="CXX613" s="5" t="s">
        <v>3728</v>
      </c>
      <c r="CXY613" s="17">
        <v>44925</v>
      </c>
      <c r="CXZ613" s="5" t="s">
        <v>3728</v>
      </c>
      <c r="CYA613" s="17">
        <v>44925</v>
      </c>
      <c r="CYB613" s="5" t="s">
        <v>3728</v>
      </c>
      <c r="CYC613" s="17">
        <v>44925</v>
      </c>
      <c r="CYD613" s="5" t="s">
        <v>3728</v>
      </c>
      <c r="CYE613" s="17">
        <v>44925</v>
      </c>
      <c r="CYF613" s="5" t="s">
        <v>3728</v>
      </c>
      <c r="CYG613" s="17">
        <v>44925</v>
      </c>
      <c r="CYH613" s="5" t="s">
        <v>3728</v>
      </c>
      <c r="CYI613" s="17">
        <v>44925</v>
      </c>
      <c r="CYJ613" s="5" t="s">
        <v>3728</v>
      </c>
      <c r="CYK613" s="17">
        <v>44925</v>
      </c>
      <c r="CYL613" s="5" t="s">
        <v>3728</v>
      </c>
      <c r="CYM613" s="17">
        <v>44925</v>
      </c>
      <c r="CYN613" s="5" t="s">
        <v>3728</v>
      </c>
      <c r="CYO613" s="17">
        <v>44925</v>
      </c>
      <c r="CYP613" s="5" t="s">
        <v>3728</v>
      </c>
      <c r="CYQ613" s="17">
        <v>44925</v>
      </c>
      <c r="CYR613" s="5" t="s">
        <v>3728</v>
      </c>
      <c r="CYS613" s="17">
        <v>44925</v>
      </c>
      <c r="CYT613" s="5" t="s">
        <v>3728</v>
      </c>
      <c r="CYU613" s="17">
        <v>44925</v>
      </c>
      <c r="CYV613" s="5" t="s">
        <v>3728</v>
      </c>
      <c r="CYW613" s="17">
        <v>44925</v>
      </c>
      <c r="CYX613" s="5" t="s">
        <v>3728</v>
      </c>
      <c r="CYY613" s="17">
        <v>44925</v>
      </c>
      <c r="CYZ613" s="5" t="s">
        <v>3728</v>
      </c>
      <c r="CZA613" s="17">
        <v>44925</v>
      </c>
      <c r="CZB613" s="5" t="s">
        <v>3728</v>
      </c>
      <c r="CZC613" s="17">
        <v>44925</v>
      </c>
      <c r="CZD613" s="5" t="s">
        <v>3728</v>
      </c>
      <c r="CZE613" s="17">
        <v>44925</v>
      </c>
      <c r="CZF613" s="5" t="s">
        <v>3728</v>
      </c>
      <c r="CZG613" s="17">
        <v>44925</v>
      </c>
      <c r="CZH613" s="5" t="s">
        <v>3728</v>
      </c>
      <c r="CZI613" s="17">
        <v>44925</v>
      </c>
      <c r="CZJ613" s="5" t="s">
        <v>3728</v>
      </c>
      <c r="CZK613" s="17">
        <v>44925</v>
      </c>
      <c r="CZL613" s="5" t="s">
        <v>3728</v>
      </c>
      <c r="CZM613" s="17">
        <v>44925</v>
      </c>
      <c r="CZN613" s="5" t="s">
        <v>3728</v>
      </c>
      <c r="CZO613" s="17">
        <v>44925</v>
      </c>
      <c r="CZP613" s="5" t="s">
        <v>3728</v>
      </c>
      <c r="CZQ613" s="17">
        <v>44925</v>
      </c>
      <c r="CZR613" s="5" t="s">
        <v>3728</v>
      </c>
      <c r="CZS613" s="17">
        <v>44925</v>
      </c>
      <c r="CZT613" s="5" t="s">
        <v>3728</v>
      </c>
      <c r="CZU613" s="17">
        <v>44925</v>
      </c>
      <c r="CZV613" s="5" t="s">
        <v>3728</v>
      </c>
      <c r="CZW613" s="17">
        <v>44925</v>
      </c>
      <c r="CZX613" s="5" t="s">
        <v>3728</v>
      </c>
      <c r="CZY613" s="17">
        <v>44925</v>
      </c>
      <c r="CZZ613" s="5" t="s">
        <v>3728</v>
      </c>
      <c r="DAA613" s="17">
        <v>44925</v>
      </c>
      <c r="DAB613" s="5" t="s">
        <v>3728</v>
      </c>
      <c r="DAC613" s="17">
        <v>44925</v>
      </c>
      <c r="DAD613" s="5" t="s">
        <v>3728</v>
      </c>
      <c r="DAE613" s="17">
        <v>44925</v>
      </c>
      <c r="DAF613" s="5" t="s">
        <v>3728</v>
      </c>
      <c r="DAG613" s="17">
        <v>44925</v>
      </c>
      <c r="DAH613" s="5" t="s">
        <v>3728</v>
      </c>
      <c r="DAI613" s="17">
        <v>44925</v>
      </c>
      <c r="DAJ613" s="5" t="s">
        <v>3728</v>
      </c>
      <c r="DAK613" s="17">
        <v>44925</v>
      </c>
      <c r="DAL613" s="5" t="s">
        <v>3728</v>
      </c>
      <c r="DAM613" s="17">
        <v>44925</v>
      </c>
      <c r="DAN613" s="5" t="s">
        <v>3728</v>
      </c>
      <c r="DAO613" s="17">
        <v>44925</v>
      </c>
      <c r="DAP613" s="5" t="s">
        <v>3728</v>
      </c>
      <c r="DAQ613" s="17">
        <v>44925</v>
      </c>
      <c r="DAR613" s="5" t="s">
        <v>3728</v>
      </c>
      <c r="DAS613" s="17">
        <v>44925</v>
      </c>
      <c r="DAT613" s="5" t="s">
        <v>3728</v>
      </c>
      <c r="DAU613" s="17">
        <v>44925</v>
      </c>
      <c r="DAV613" s="5" t="s">
        <v>3728</v>
      </c>
      <c r="DAW613" s="17">
        <v>44925</v>
      </c>
      <c r="DAX613" s="5" t="s">
        <v>3728</v>
      </c>
      <c r="DAY613" s="17">
        <v>44925</v>
      </c>
      <c r="DAZ613" s="5" t="s">
        <v>3728</v>
      </c>
      <c r="DBA613" s="17">
        <v>44925</v>
      </c>
      <c r="DBB613" s="5" t="s">
        <v>3728</v>
      </c>
      <c r="DBC613" s="17">
        <v>44925</v>
      </c>
      <c r="DBD613" s="5" t="s">
        <v>3728</v>
      </c>
      <c r="DBE613" s="17">
        <v>44925</v>
      </c>
      <c r="DBF613" s="5" t="s">
        <v>3728</v>
      </c>
      <c r="DBG613" s="17">
        <v>44925</v>
      </c>
      <c r="DBH613" s="5" t="s">
        <v>3728</v>
      </c>
      <c r="DBI613" s="17">
        <v>44925</v>
      </c>
      <c r="DBJ613" s="5" t="s">
        <v>3728</v>
      </c>
      <c r="DBK613" s="17">
        <v>44925</v>
      </c>
      <c r="DBL613" s="5" t="s">
        <v>3728</v>
      </c>
      <c r="DBM613" s="17">
        <v>44925</v>
      </c>
      <c r="DBN613" s="5" t="s">
        <v>3728</v>
      </c>
      <c r="DBO613" s="17">
        <v>44925</v>
      </c>
      <c r="DBP613" s="5" t="s">
        <v>3728</v>
      </c>
      <c r="DBQ613" s="17">
        <v>44925</v>
      </c>
      <c r="DBR613" s="5" t="s">
        <v>3728</v>
      </c>
      <c r="DBS613" s="17">
        <v>44925</v>
      </c>
      <c r="DBT613" s="5" t="s">
        <v>3728</v>
      </c>
      <c r="DBU613" s="17">
        <v>44925</v>
      </c>
      <c r="DBV613" s="5" t="s">
        <v>3728</v>
      </c>
      <c r="DBW613" s="17">
        <v>44925</v>
      </c>
      <c r="DBX613" s="5" t="s">
        <v>3728</v>
      </c>
      <c r="DBY613" s="17">
        <v>44925</v>
      </c>
      <c r="DBZ613" s="5" t="s">
        <v>3728</v>
      </c>
      <c r="DCA613" s="17">
        <v>44925</v>
      </c>
      <c r="DCB613" s="5" t="s">
        <v>3728</v>
      </c>
      <c r="DCC613" s="17">
        <v>44925</v>
      </c>
      <c r="DCD613" s="5" t="s">
        <v>3728</v>
      </c>
      <c r="DCE613" s="17">
        <v>44925</v>
      </c>
      <c r="DCF613" s="5" t="s">
        <v>3728</v>
      </c>
      <c r="DCG613" s="17">
        <v>44925</v>
      </c>
      <c r="DCH613" s="5" t="s">
        <v>3728</v>
      </c>
      <c r="DCI613" s="17">
        <v>44925</v>
      </c>
      <c r="DCJ613" s="5" t="s">
        <v>3728</v>
      </c>
      <c r="DCK613" s="17">
        <v>44925</v>
      </c>
      <c r="DCL613" s="5" t="s">
        <v>3728</v>
      </c>
      <c r="DCM613" s="17">
        <v>44925</v>
      </c>
      <c r="DCN613" s="5" t="s">
        <v>3728</v>
      </c>
      <c r="DCO613" s="17">
        <v>44925</v>
      </c>
      <c r="DCP613" s="5" t="s">
        <v>3728</v>
      </c>
      <c r="DCQ613" s="17">
        <v>44925</v>
      </c>
      <c r="DCR613" s="5" t="s">
        <v>3728</v>
      </c>
      <c r="DCS613" s="17">
        <v>44925</v>
      </c>
      <c r="DCT613" s="5" t="s">
        <v>3728</v>
      </c>
      <c r="DCU613" s="17">
        <v>44925</v>
      </c>
      <c r="DCV613" s="5" t="s">
        <v>3728</v>
      </c>
      <c r="DCW613" s="17">
        <v>44925</v>
      </c>
      <c r="DCX613" s="5" t="s">
        <v>3728</v>
      </c>
      <c r="DCY613" s="17">
        <v>44925</v>
      </c>
      <c r="DCZ613" s="5" t="s">
        <v>3728</v>
      </c>
      <c r="DDA613" s="17">
        <v>44925</v>
      </c>
      <c r="DDB613" s="5" t="s">
        <v>3728</v>
      </c>
      <c r="DDC613" s="17">
        <v>44925</v>
      </c>
      <c r="DDD613" s="5" t="s">
        <v>3728</v>
      </c>
      <c r="DDE613" s="17">
        <v>44925</v>
      </c>
      <c r="DDF613" s="5" t="s">
        <v>3728</v>
      </c>
      <c r="DDG613" s="17">
        <v>44925</v>
      </c>
      <c r="DDH613" s="5" t="s">
        <v>3728</v>
      </c>
      <c r="DDI613" s="17">
        <v>44925</v>
      </c>
      <c r="DDJ613" s="5" t="s">
        <v>3728</v>
      </c>
      <c r="DDK613" s="17">
        <v>44925</v>
      </c>
      <c r="DDL613" s="5" t="s">
        <v>3728</v>
      </c>
      <c r="DDM613" s="17">
        <v>44925</v>
      </c>
      <c r="DDN613" s="5" t="s">
        <v>3728</v>
      </c>
      <c r="DDO613" s="17">
        <v>44925</v>
      </c>
      <c r="DDP613" s="5" t="s">
        <v>3728</v>
      </c>
      <c r="DDQ613" s="17">
        <v>44925</v>
      </c>
      <c r="DDR613" s="5" t="s">
        <v>3728</v>
      </c>
      <c r="DDS613" s="17">
        <v>44925</v>
      </c>
      <c r="DDT613" s="5" t="s">
        <v>3728</v>
      </c>
      <c r="DDU613" s="17">
        <v>44925</v>
      </c>
      <c r="DDV613" s="5" t="s">
        <v>3728</v>
      </c>
      <c r="DDW613" s="17">
        <v>44925</v>
      </c>
      <c r="DDX613" s="5" t="s">
        <v>3728</v>
      </c>
      <c r="DDY613" s="17">
        <v>44925</v>
      </c>
      <c r="DDZ613" s="5" t="s">
        <v>3728</v>
      </c>
      <c r="DEA613" s="17">
        <v>44925</v>
      </c>
      <c r="DEB613" s="5" t="s">
        <v>3728</v>
      </c>
      <c r="DEC613" s="17">
        <v>44925</v>
      </c>
      <c r="DED613" s="5" t="s">
        <v>3728</v>
      </c>
      <c r="DEE613" s="17">
        <v>44925</v>
      </c>
      <c r="DEF613" s="5" t="s">
        <v>3728</v>
      </c>
      <c r="DEG613" s="17">
        <v>44925</v>
      </c>
      <c r="DEH613" s="5" t="s">
        <v>3728</v>
      </c>
      <c r="DEI613" s="17">
        <v>44925</v>
      </c>
      <c r="DEJ613" s="5" t="s">
        <v>3728</v>
      </c>
      <c r="DEK613" s="17">
        <v>44925</v>
      </c>
      <c r="DEL613" s="5" t="s">
        <v>3728</v>
      </c>
      <c r="DEM613" s="17">
        <v>44925</v>
      </c>
      <c r="DEN613" s="5" t="s">
        <v>3728</v>
      </c>
      <c r="DEO613" s="17">
        <v>44925</v>
      </c>
      <c r="DEP613" s="5" t="s">
        <v>3728</v>
      </c>
      <c r="DEQ613" s="17">
        <v>44925</v>
      </c>
      <c r="DER613" s="5" t="s">
        <v>3728</v>
      </c>
      <c r="DES613" s="17">
        <v>44925</v>
      </c>
      <c r="DET613" s="5" t="s">
        <v>3728</v>
      </c>
      <c r="DEU613" s="17">
        <v>44925</v>
      </c>
      <c r="DEV613" s="5" t="s">
        <v>3728</v>
      </c>
      <c r="DEW613" s="17">
        <v>44925</v>
      </c>
      <c r="DEX613" s="5" t="s">
        <v>3728</v>
      </c>
      <c r="DEY613" s="17">
        <v>44925</v>
      </c>
      <c r="DEZ613" s="5" t="s">
        <v>3728</v>
      </c>
      <c r="DFA613" s="17">
        <v>44925</v>
      </c>
      <c r="DFB613" s="5" t="s">
        <v>3728</v>
      </c>
      <c r="DFC613" s="17">
        <v>44925</v>
      </c>
      <c r="DFD613" s="5" t="s">
        <v>3728</v>
      </c>
      <c r="DFE613" s="17">
        <v>44925</v>
      </c>
      <c r="DFF613" s="5" t="s">
        <v>3728</v>
      </c>
      <c r="DFG613" s="17">
        <v>44925</v>
      </c>
      <c r="DFH613" s="5" t="s">
        <v>3728</v>
      </c>
      <c r="DFI613" s="17">
        <v>44925</v>
      </c>
      <c r="DFJ613" s="5" t="s">
        <v>3728</v>
      </c>
      <c r="DFK613" s="17">
        <v>44925</v>
      </c>
      <c r="DFL613" s="5" t="s">
        <v>3728</v>
      </c>
      <c r="DFM613" s="17">
        <v>44925</v>
      </c>
      <c r="DFN613" s="5" t="s">
        <v>3728</v>
      </c>
      <c r="DFO613" s="17">
        <v>44925</v>
      </c>
      <c r="DFP613" s="5" t="s">
        <v>3728</v>
      </c>
      <c r="DFQ613" s="17">
        <v>44925</v>
      </c>
      <c r="DFR613" s="5" t="s">
        <v>3728</v>
      </c>
      <c r="DFS613" s="17">
        <v>44925</v>
      </c>
      <c r="DFT613" s="5" t="s">
        <v>3728</v>
      </c>
      <c r="DFU613" s="17">
        <v>44925</v>
      </c>
      <c r="DFV613" s="5" t="s">
        <v>3728</v>
      </c>
      <c r="DFW613" s="17">
        <v>44925</v>
      </c>
      <c r="DFX613" s="5" t="s">
        <v>3728</v>
      </c>
      <c r="DFY613" s="17">
        <v>44925</v>
      </c>
      <c r="DFZ613" s="5" t="s">
        <v>3728</v>
      </c>
      <c r="DGA613" s="17">
        <v>44925</v>
      </c>
      <c r="DGB613" s="5" t="s">
        <v>3728</v>
      </c>
      <c r="DGC613" s="17">
        <v>44925</v>
      </c>
      <c r="DGD613" s="5" t="s">
        <v>3728</v>
      </c>
      <c r="DGE613" s="17">
        <v>44925</v>
      </c>
      <c r="DGF613" s="5" t="s">
        <v>3728</v>
      </c>
      <c r="DGG613" s="17">
        <v>44925</v>
      </c>
      <c r="DGH613" s="5" t="s">
        <v>3728</v>
      </c>
      <c r="DGI613" s="17">
        <v>44925</v>
      </c>
      <c r="DGJ613" s="5" t="s">
        <v>3728</v>
      </c>
      <c r="DGK613" s="17">
        <v>44925</v>
      </c>
      <c r="DGL613" s="5" t="s">
        <v>3728</v>
      </c>
      <c r="DGM613" s="17">
        <v>44925</v>
      </c>
      <c r="DGN613" s="5" t="s">
        <v>3728</v>
      </c>
      <c r="DGO613" s="17">
        <v>44925</v>
      </c>
      <c r="DGP613" s="5" t="s">
        <v>3728</v>
      </c>
      <c r="DGQ613" s="17">
        <v>44925</v>
      </c>
      <c r="DGR613" s="5" t="s">
        <v>3728</v>
      </c>
      <c r="DGS613" s="17">
        <v>44925</v>
      </c>
      <c r="DGT613" s="5" t="s">
        <v>3728</v>
      </c>
      <c r="DGU613" s="17">
        <v>44925</v>
      </c>
      <c r="DGV613" s="5" t="s">
        <v>3728</v>
      </c>
      <c r="DGW613" s="17">
        <v>44925</v>
      </c>
      <c r="DGX613" s="5" t="s">
        <v>3728</v>
      </c>
      <c r="DGY613" s="17">
        <v>44925</v>
      </c>
      <c r="DGZ613" s="5" t="s">
        <v>3728</v>
      </c>
      <c r="DHA613" s="17">
        <v>44925</v>
      </c>
      <c r="DHB613" s="5" t="s">
        <v>3728</v>
      </c>
      <c r="DHC613" s="17">
        <v>44925</v>
      </c>
      <c r="DHD613" s="5" t="s">
        <v>3728</v>
      </c>
      <c r="DHE613" s="17">
        <v>44925</v>
      </c>
      <c r="DHF613" s="5" t="s">
        <v>3728</v>
      </c>
      <c r="DHG613" s="17">
        <v>44925</v>
      </c>
      <c r="DHH613" s="5" t="s">
        <v>3728</v>
      </c>
      <c r="DHI613" s="17">
        <v>44925</v>
      </c>
      <c r="DHJ613" s="5" t="s">
        <v>3728</v>
      </c>
      <c r="DHK613" s="17">
        <v>44925</v>
      </c>
      <c r="DHL613" s="5" t="s">
        <v>3728</v>
      </c>
      <c r="DHM613" s="17">
        <v>44925</v>
      </c>
      <c r="DHN613" s="5" t="s">
        <v>3728</v>
      </c>
      <c r="DHO613" s="17">
        <v>44925</v>
      </c>
      <c r="DHP613" s="5" t="s">
        <v>3728</v>
      </c>
      <c r="DHQ613" s="17">
        <v>44925</v>
      </c>
      <c r="DHR613" s="5" t="s">
        <v>3728</v>
      </c>
      <c r="DHS613" s="17">
        <v>44925</v>
      </c>
      <c r="DHT613" s="5" t="s">
        <v>3728</v>
      </c>
      <c r="DHU613" s="17">
        <v>44925</v>
      </c>
      <c r="DHV613" s="5" t="s">
        <v>3728</v>
      </c>
      <c r="DHW613" s="17">
        <v>44925</v>
      </c>
      <c r="DHX613" s="5" t="s">
        <v>3728</v>
      </c>
      <c r="DHY613" s="17">
        <v>44925</v>
      </c>
      <c r="DHZ613" s="5" t="s">
        <v>3728</v>
      </c>
      <c r="DIA613" s="17">
        <v>44925</v>
      </c>
      <c r="DIB613" s="5" t="s">
        <v>3728</v>
      </c>
      <c r="DIC613" s="17">
        <v>44925</v>
      </c>
      <c r="DID613" s="5" t="s">
        <v>3728</v>
      </c>
      <c r="DIE613" s="17">
        <v>44925</v>
      </c>
      <c r="DIF613" s="5" t="s">
        <v>3728</v>
      </c>
      <c r="DIG613" s="17">
        <v>44925</v>
      </c>
      <c r="DIH613" s="5" t="s">
        <v>3728</v>
      </c>
      <c r="DII613" s="17">
        <v>44925</v>
      </c>
      <c r="DIJ613" s="5" t="s">
        <v>3728</v>
      </c>
      <c r="DIK613" s="17">
        <v>44925</v>
      </c>
      <c r="DIL613" s="5" t="s">
        <v>3728</v>
      </c>
      <c r="DIM613" s="17">
        <v>44925</v>
      </c>
      <c r="DIN613" s="5" t="s">
        <v>3728</v>
      </c>
      <c r="DIO613" s="17">
        <v>44925</v>
      </c>
      <c r="DIP613" s="5" t="s">
        <v>3728</v>
      </c>
      <c r="DIQ613" s="17">
        <v>44925</v>
      </c>
      <c r="DIR613" s="5" t="s">
        <v>3728</v>
      </c>
      <c r="DIS613" s="17">
        <v>44925</v>
      </c>
      <c r="DIT613" s="5" t="s">
        <v>3728</v>
      </c>
      <c r="DIU613" s="17">
        <v>44925</v>
      </c>
      <c r="DIV613" s="5" t="s">
        <v>3728</v>
      </c>
      <c r="DIW613" s="17">
        <v>44925</v>
      </c>
      <c r="DIX613" s="5" t="s">
        <v>3728</v>
      </c>
      <c r="DIY613" s="17">
        <v>44925</v>
      </c>
      <c r="DIZ613" s="5" t="s">
        <v>3728</v>
      </c>
      <c r="DJA613" s="17">
        <v>44925</v>
      </c>
      <c r="DJB613" s="5" t="s">
        <v>3728</v>
      </c>
      <c r="DJC613" s="17">
        <v>44925</v>
      </c>
      <c r="DJD613" s="5" t="s">
        <v>3728</v>
      </c>
      <c r="DJE613" s="17">
        <v>44925</v>
      </c>
      <c r="DJF613" s="5" t="s">
        <v>3728</v>
      </c>
      <c r="DJG613" s="17">
        <v>44925</v>
      </c>
      <c r="DJH613" s="5" t="s">
        <v>3728</v>
      </c>
      <c r="DJI613" s="17">
        <v>44925</v>
      </c>
      <c r="DJJ613" s="5" t="s">
        <v>3728</v>
      </c>
      <c r="DJK613" s="17">
        <v>44925</v>
      </c>
      <c r="DJL613" s="5" t="s">
        <v>3728</v>
      </c>
      <c r="DJM613" s="17">
        <v>44925</v>
      </c>
      <c r="DJN613" s="5" t="s">
        <v>3728</v>
      </c>
      <c r="DJO613" s="17">
        <v>44925</v>
      </c>
      <c r="DJP613" s="5" t="s">
        <v>3728</v>
      </c>
      <c r="DJQ613" s="17">
        <v>44925</v>
      </c>
      <c r="DJR613" s="5" t="s">
        <v>3728</v>
      </c>
      <c r="DJS613" s="17">
        <v>44925</v>
      </c>
      <c r="DJT613" s="5" t="s">
        <v>3728</v>
      </c>
      <c r="DJU613" s="17">
        <v>44925</v>
      </c>
      <c r="DJV613" s="5" t="s">
        <v>3728</v>
      </c>
      <c r="DJW613" s="17">
        <v>44925</v>
      </c>
      <c r="DJX613" s="5" t="s">
        <v>3728</v>
      </c>
      <c r="DJY613" s="17">
        <v>44925</v>
      </c>
      <c r="DJZ613" s="5" t="s">
        <v>3728</v>
      </c>
      <c r="DKA613" s="17">
        <v>44925</v>
      </c>
      <c r="DKB613" s="5" t="s">
        <v>3728</v>
      </c>
      <c r="DKC613" s="17">
        <v>44925</v>
      </c>
      <c r="DKD613" s="5" t="s">
        <v>3728</v>
      </c>
      <c r="DKE613" s="17">
        <v>44925</v>
      </c>
      <c r="DKF613" s="5" t="s">
        <v>3728</v>
      </c>
      <c r="DKG613" s="17">
        <v>44925</v>
      </c>
      <c r="DKH613" s="5" t="s">
        <v>3728</v>
      </c>
      <c r="DKI613" s="17">
        <v>44925</v>
      </c>
      <c r="DKJ613" s="5" t="s">
        <v>3728</v>
      </c>
      <c r="DKK613" s="17">
        <v>44925</v>
      </c>
      <c r="DKL613" s="5" t="s">
        <v>3728</v>
      </c>
      <c r="DKM613" s="17">
        <v>44925</v>
      </c>
      <c r="DKN613" s="5" t="s">
        <v>3728</v>
      </c>
      <c r="DKO613" s="17">
        <v>44925</v>
      </c>
      <c r="DKP613" s="5" t="s">
        <v>3728</v>
      </c>
      <c r="DKQ613" s="17">
        <v>44925</v>
      </c>
      <c r="DKR613" s="5" t="s">
        <v>3728</v>
      </c>
      <c r="DKS613" s="17">
        <v>44925</v>
      </c>
      <c r="DKT613" s="5" t="s">
        <v>3728</v>
      </c>
      <c r="DKU613" s="17">
        <v>44925</v>
      </c>
      <c r="DKV613" s="5" t="s">
        <v>3728</v>
      </c>
      <c r="DKW613" s="17">
        <v>44925</v>
      </c>
      <c r="DKX613" s="5" t="s">
        <v>3728</v>
      </c>
      <c r="DKY613" s="17">
        <v>44925</v>
      </c>
      <c r="DKZ613" s="5" t="s">
        <v>3728</v>
      </c>
      <c r="DLA613" s="17">
        <v>44925</v>
      </c>
      <c r="DLB613" s="5" t="s">
        <v>3728</v>
      </c>
      <c r="DLC613" s="17">
        <v>44925</v>
      </c>
      <c r="DLD613" s="5" t="s">
        <v>3728</v>
      </c>
      <c r="DLE613" s="17">
        <v>44925</v>
      </c>
      <c r="DLF613" s="5" t="s">
        <v>3728</v>
      </c>
      <c r="DLG613" s="17">
        <v>44925</v>
      </c>
      <c r="DLH613" s="5" t="s">
        <v>3728</v>
      </c>
      <c r="DLI613" s="17">
        <v>44925</v>
      </c>
      <c r="DLJ613" s="5" t="s">
        <v>3728</v>
      </c>
      <c r="DLK613" s="17">
        <v>44925</v>
      </c>
      <c r="DLL613" s="5" t="s">
        <v>3728</v>
      </c>
      <c r="DLM613" s="17">
        <v>44925</v>
      </c>
      <c r="DLN613" s="5" t="s">
        <v>3728</v>
      </c>
      <c r="DLO613" s="17">
        <v>44925</v>
      </c>
      <c r="DLP613" s="5" t="s">
        <v>3728</v>
      </c>
      <c r="DLQ613" s="17">
        <v>44925</v>
      </c>
      <c r="DLR613" s="5" t="s">
        <v>3728</v>
      </c>
      <c r="DLS613" s="17">
        <v>44925</v>
      </c>
      <c r="DLT613" s="5" t="s">
        <v>3728</v>
      </c>
      <c r="DLU613" s="17">
        <v>44925</v>
      </c>
      <c r="DLV613" s="5" t="s">
        <v>3728</v>
      </c>
      <c r="DLW613" s="17">
        <v>44925</v>
      </c>
      <c r="DLX613" s="5" t="s">
        <v>3728</v>
      </c>
      <c r="DLY613" s="17">
        <v>44925</v>
      </c>
      <c r="DLZ613" s="5" t="s">
        <v>3728</v>
      </c>
      <c r="DMA613" s="17">
        <v>44925</v>
      </c>
      <c r="DMB613" s="5" t="s">
        <v>3728</v>
      </c>
      <c r="DMC613" s="17">
        <v>44925</v>
      </c>
      <c r="DMD613" s="5" t="s">
        <v>3728</v>
      </c>
      <c r="DME613" s="17">
        <v>44925</v>
      </c>
      <c r="DMF613" s="5" t="s">
        <v>3728</v>
      </c>
      <c r="DMG613" s="17">
        <v>44925</v>
      </c>
      <c r="DMH613" s="5" t="s">
        <v>3728</v>
      </c>
      <c r="DMI613" s="17">
        <v>44925</v>
      </c>
      <c r="DMJ613" s="5" t="s">
        <v>3728</v>
      </c>
      <c r="DMK613" s="17">
        <v>44925</v>
      </c>
      <c r="DML613" s="5" t="s">
        <v>3728</v>
      </c>
      <c r="DMM613" s="17">
        <v>44925</v>
      </c>
      <c r="DMN613" s="5" t="s">
        <v>3728</v>
      </c>
      <c r="DMO613" s="17">
        <v>44925</v>
      </c>
      <c r="DMP613" s="5" t="s">
        <v>3728</v>
      </c>
      <c r="DMQ613" s="17">
        <v>44925</v>
      </c>
      <c r="DMR613" s="5" t="s">
        <v>3728</v>
      </c>
      <c r="DMS613" s="17">
        <v>44925</v>
      </c>
      <c r="DMT613" s="5" t="s">
        <v>3728</v>
      </c>
      <c r="DMU613" s="17">
        <v>44925</v>
      </c>
      <c r="DMV613" s="5" t="s">
        <v>3728</v>
      </c>
      <c r="DMW613" s="17">
        <v>44925</v>
      </c>
      <c r="DMX613" s="5" t="s">
        <v>3728</v>
      </c>
      <c r="DMY613" s="17">
        <v>44925</v>
      </c>
      <c r="DMZ613" s="5" t="s">
        <v>3728</v>
      </c>
      <c r="DNA613" s="17">
        <v>44925</v>
      </c>
      <c r="DNB613" s="5" t="s">
        <v>3728</v>
      </c>
      <c r="DNC613" s="17">
        <v>44925</v>
      </c>
      <c r="DND613" s="5" t="s">
        <v>3728</v>
      </c>
      <c r="DNE613" s="17">
        <v>44925</v>
      </c>
      <c r="DNF613" s="5" t="s">
        <v>3728</v>
      </c>
      <c r="DNG613" s="17">
        <v>44925</v>
      </c>
      <c r="DNH613" s="5" t="s">
        <v>3728</v>
      </c>
      <c r="DNI613" s="17">
        <v>44925</v>
      </c>
      <c r="DNJ613" s="5" t="s">
        <v>3728</v>
      </c>
      <c r="DNK613" s="17">
        <v>44925</v>
      </c>
      <c r="DNL613" s="5" t="s">
        <v>3728</v>
      </c>
      <c r="DNM613" s="17">
        <v>44925</v>
      </c>
      <c r="DNN613" s="5" t="s">
        <v>3728</v>
      </c>
      <c r="DNO613" s="17">
        <v>44925</v>
      </c>
      <c r="DNP613" s="5" t="s">
        <v>3728</v>
      </c>
      <c r="DNQ613" s="17">
        <v>44925</v>
      </c>
      <c r="DNR613" s="5" t="s">
        <v>3728</v>
      </c>
      <c r="DNS613" s="17">
        <v>44925</v>
      </c>
      <c r="DNT613" s="5" t="s">
        <v>3728</v>
      </c>
      <c r="DNU613" s="17">
        <v>44925</v>
      </c>
      <c r="DNV613" s="5" t="s">
        <v>3728</v>
      </c>
      <c r="DNW613" s="17">
        <v>44925</v>
      </c>
      <c r="DNX613" s="5" t="s">
        <v>3728</v>
      </c>
      <c r="DNY613" s="17">
        <v>44925</v>
      </c>
      <c r="DNZ613" s="5" t="s">
        <v>3728</v>
      </c>
      <c r="DOA613" s="17">
        <v>44925</v>
      </c>
      <c r="DOB613" s="5" t="s">
        <v>3728</v>
      </c>
      <c r="DOC613" s="17">
        <v>44925</v>
      </c>
      <c r="DOD613" s="5" t="s">
        <v>3728</v>
      </c>
      <c r="DOE613" s="17">
        <v>44925</v>
      </c>
      <c r="DOF613" s="5" t="s">
        <v>3728</v>
      </c>
      <c r="DOG613" s="17">
        <v>44925</v>
      </c>
      <c r="DOH613" s="5" t="s">
        <v>3728</v>
      </c>
      <c r="DOI613" s="17">
        <v>44925</v>
      </c>
      <c r="DOJ613" s="5" t="s">
        <v>3728</v>
      </c>
      <c r="DOK613" s="17">
        <v>44925</v>
      </c>
      <c r="DOL613" s="5" t="s">
        <v>3728</v>
      </c>
      <c r="DOM613" s="17">
        <v>44925</v>
      </c>
      <c r="DON613" s="5" t="s">
        <v>3728</v>
      </c>
      <c r="DOO613" s="17">
        <v>44925</v>
      </c>
      <c r="DOP613" s="5" t="s">
        <v>3728</v>
      </c>
      <c r="DOQ613" s="17">
        <v>44925</v>
      </c>
      <c r="DOR613" s="5" t="s">
        <v>3728</v>
      </c>
      <c r="DOS613" s="17">
        <v>44925</v>
      </c>
      <c r="DOT613" s="5" t="s">
        <v>3728</v>
      </c>
      <c r="DOU613" s="17">
        <v>44925</v>
      </c>
      <c r="DOV613" s="5" t="s">
        <v>3728</v>
      </c>
      <c r="DOW613" s="17">
        <v>44925</v>
      </c>
      <c r="DOX613" s="5" t="s">
        <v>3728</v>
      </c>
      <c r="DOY613" s="17">
        <v>44925</v>
      </c>
      <c r="DOZ613" s="5" t="s">
        <v>3728</v>
      </c>
      <c r="DPA613" s="17">
        <v>44925</v>
      </c>
      <c r="DPB613" s="5" t="s">
        <v>3728</v>
      </c>
      <c r="DPC613" s="17">
        <v>44925</v>
      </c>
      <c r="DPD613" s="5" t="s">
        <v>3728</v>
      </c>
      <c r="DPE613" s="17">
        <v>44925</v>
      </c>
      <c r="DPF613" s="5" t="s">
        <v>3728</v>
      </c>
      <c r="DPG613" s="17">
        <v>44925</v>
      </c>
      <c r="DPH613" s="5" t="s">
        <v>3728</v>
      </c>
      <c r="DPI613" s="17">
        <v>44925</v>
      </c>
      <c r="DPJ613" s="5" t="s">
        <v>3728</v>
      </c>
      <c r="DPK613" s="17">
        <v>44925</v>
      </c>
      <c r="DPL613" s="5" t="s">
        <v>3728</v>
      </c>
      <c r="DPM613" s="17">
        <v>44925</v>
      </c>
      <c r="DPN613" s="5" t="s">
        <v>3728</v>
      </c>
      <c r="DPO613" s="17">
        <v>44925</v>
      </c>
      <c r="DPP613" s="5" t="s">
        <v>3728</v>
      </c>
      <c r="DPQ613" s="17">
        <v>44925</v>
      </c>
      <c r="DPR613" s="5" t="s">
        <v>3728</v>
      </c>
      <c r="DPS613" s="17">
        <v>44925</v>
      </c>
      <c r="DPT613" s="5" t="s">
        <v>3728</v>
      </c>
      <c r="DPU613" s="17">
        <v>44925</v>
      </c>
      <c r="DPV613" s="5" t="s">
        <v>3728</v>
      </c>
      <c r="DPW613" s="17">
        <v>44925</v>
      </c>
      <c r="DPX613" s="5" t="s">
        <v>3728</v>
      </c>
      <c r="DPY613" s="17">
        <v>44925</v>
      </c>
      <c r="DPZ613" s="5" t="s">
        <v>3728</v>
      </c>
      <c r="DQA613" s="17">
        <v>44925</v>
      </c>
      <c r="DQB613" s="5" t="s">
        <v>3728</v>
      </c>
      <c r="DQC613" s="17">
        <v>44925</v>
      </c>
      <c r="DQD613" s="5" t="s">
        <v>3728</v>
      </c>
      <c r="DQE613" s="17">
        <v>44925</v>
      </c>
      <c r="DQF613" s="5" t="s">
        <v>3728</v>
      </c>
      <c r="DQG613" s="17">
        <v>44925</v>
      </c>
      <c r="DQH613" s="5" t="s">
        <v>3728</v>
      </c>
      <c r="DQI613" s="17">
        <v>44925</v>
      </c>
      <c r="DQJ613" s="5" t="s">
        <v>3728</v>
      </c>
      <c r="DQK613" s="17">
        <v>44925</v>
      </c>
      <c r="DQL613" s="5" t="s">
        <v>3728</v>
      </c>
      <c r="DQM613" s="17">
        <v>44925</v>
      </c>
      <c r="DQN613" s="5" t="s">
        <v>3728</v>
      </c>
      <c r="DQO613" s="17">
        <v>44925</v>
      </c>
      <c r="DQP613" s="5" t="s">
        <v>3728</v>
      </c>
      <c r="DQQ613" s="17">
        <v>44925</v>
      </c>
      <c r="DQR613" s="5" t="s">
        <v>3728</v>
      </c>
      <c r="DQS613" s="17">
        <v>44925</v>
      </c>
      <c r="DQT613" s="5" t="s">
        <v>3728</v>
      </c>
      <c r="DQU613" s="17">
        <v>44925</v>
      </c>
      <c r="DQV613" s="5" t="s">
        <v>3728</v>
      </c>
      <c r="DQW613" s="17">
        <v>44925</v>
      </c>
      <c r="DQX613" s="5" t="s">
        <v>3728</v>
      </c>
      <c r="DQY613" s="17">
        <v>44925</v>
      </c>
      <c r="DQZ613" s="5" t="s">
        <v>3728</v>
      </c>
      <c r="DRA613" s="17">
        <v>44925</v>
      </c>
      <c r="DRB613" s="5" t="s">
        <v>3728</v>
      </c>
      <c r="DRC613" s="17">
        <v>44925</v>
      </c>
      <c r="DRD613" s="5" t="s">
        <v>3728</v>
      </c>
      <c r="DRE613" s="17">
        <v>44925</v>
      </c>
      <c r="DRF613" s="5" t="s">
        <v>3728</v>
      </c>
      <c r="DRG613" s="17">
        <v>44925</v>
      </c>
      <c r="DRH613" s="5" t="s">
        <v>3728</v>
      </c>
      <c r="DRI613" s="17">
        <v>44925</v>
      </c>
      <c r="DRJ613" s="5" t="s">
        <v>3728</v>
      </c>
      <c r="DRK613" s="17">
        <v>44925</v>
      </c>
      <c r="DRL613" s="5" t="s">
        <v>3728</v>
      </c>
      <c r="DRM613" s="17">
        <v>44925</v>
      </c>
      <c r="DRN613" s="5" t="s">
        <v>3728</v>
      </c>
      <c r="DRO613" s="17">
        <v>44925</v>
      </c>
      <c r="DRP613" s="5" t="s">
        <v>3728</v>
      </c>
      <c r="DRQ613" s="17">
        <v>44925</v>
      </c>
      <c r="DRR613" s="5" t="s">
        <v>3728</v>
      </c>
      <c r="DRS613" s="17">
        <v>44925</v>
      </c>
      <c r="DRT613" s="5" t="s">
        <v>3728</v>
      </c>
      <c r="DRU613" s="17">
        <v>44925</v>
      </c>
      <c r="DRV613" s="5" t="s">
        <v>3728</v>
      </c>
      <c r="DRW613" s="17">
        <v>44925</v>
      </c>
      <c r="DRX613" s="5" t="s">
        <v>3728</v>
      </c>
      <c r="DRY613" s="17">
        <v>44925</v>
      </c>
      <c r="DRZ613" s="5" t="s">
        <v>3728</v>
      </c>
      <c r="DSA613" s="17">
        <v>44925</v>
      </c>
      <c r="DSB613" s="5" t="s">
        <v>3728</v>
      </c>
      <c r="DSC613" s="17">
        <v>44925</v>
      </c>
      <c r="DSD613" s="5" t="s">
        <v>3728</v>
      </c>
      <c r="DSE613" s="17">
        <v>44925</v>
      </c>
      <c r="DSF613" s="5" t="s">
        <v>3728</v>
      </c>
      <c r="DSG613" s="17">
        <v>44925</v>
      </c>
      <c r="DSH613" s="5" t="s">
        <v>3728</v>
      </c>
      <c r="DSI613" s="17">
        <v>44925</v>
      </c>
      <c r="DSJ613" s="5" t="s">
        <v>3728</v>
      </c>
      <c r="DSK613" s="17">
        <v>44925</v>
      </c>
      <c r="DSL613" s="5" t="s">
        <v>3728</v>
      </c>
      <c r="DSM613" s="17">
        <v>44925</v>
      </c>
      <c r="DSN613" s="5" t="s">
        <v>3728</v>
      </c>
      <c r="DSO613" s="17">
        <v>44925</v>
      </c>
      <c r="DSP613" s="5" t="s">
        <v>3728</v>
      </c>
      <c r="DSQ613" s="17">
        <v>44925</v>
      </c>
      <c r="DSR613" s="5" t="s">
        <v>3728</v>
      </c>
      <c r="DSS613" s="17">
        <v>44925</v>
      </c>
      <c r="DST613" s="5" t="s">
        <v>3728</v>
      </c>
      <c r="DSU613" s="17">
        <v>44925</v>
      </c>
      <c r="DSV613" s="5" t="s">
        <v>3728</v>
      </c>
      <c r="DSW613" s="17">
        <v>44925</v>
      </c>
      <c r="DSX613" s="5" t="s">
        <v>3728</v>
      </c>
      <c r="DSY613" s="17">
        <v>44925</v>
      </c>
      <c r="DSZ613" s="5" t="s">
        <v>3728</v>
      </c>
      <c r="DTA613" s="17">
        <v>44925</v>
      </c>
      <c r="DTB613" s="5" t="s">
        <v>3728</v>
      </c>
      <c r="DTC613" s="17">
        <v>44925</v>
      </c>
      <c r="DTD613" s="5" t="s">
        <v>3728</v>
      </c>
      <c r="DTE613" s="17">
        <v>44925</v>
      </c>
      <c r="DTF613" s="5" t="s">
        <v>3728</v>
      </c>
      <c r="DTG613" s="17">
        <v>44925</v>
      </c>
      <c r="DTH613" s="5" t="s">
        <v>3728</v>
      </c>
      <c r="DTI613" s="17">
        <v>44925</v>
      </c>
      <c r="DTJ613" s="5" t="s">
        <v>3728</v>
      </c>
      <c r="DTK613" s="17">
        <v>44925</v>
      </c>
      <c r="DTL613" s="5" t="s">
        <v>3728</v>
      </c>
      <c r="DTM613" s="17">
        <v>44925</v>
      </c>
      <c r="DTN613" s="5" t="s">
        <v>3728</v>
      </c>
      <c r="DTO613" s="17">
        <v>44925</v>
      </c>
      <c r="DTP613" s="5" t="s">
        <v>3728</v>
      </c>
      <c r="DTQ613" s="17">
        <v>44925</v>
      </c>
      <c r="DTR613" s="5" t="s">
        <v>3728</v>
      </c>
      <c r="DTS613" s="17">
        <v>44925</v>
      </c>
      <c r="DTT613" s="5" t="s">
        <v>3728</v>
      </c>
      <c r="DTU613" s="17">
        <v>44925</v>
      </c>
      <c r="DTV613" s="5" t="s">
        <v>3728</v>
      </c>
      <c r="DTW613" s="17">
        <v>44925</v>
      </c>
      <c r="DTX613" s="5" t="s">
        <v>3728</v>
      </c>
      <c r="DTY613" s="17">
        <v>44925</v>
      </c>
      <c r="DTZ613" s="5" t="s">
        <v>3728</v>
      </c>
      <c r="DUA613" s="17">
        <v>44925</v>
      </c>
      <c r="DUB613" s="5" t="s">
        <v>3728</v>
      </c>
      <c r="DUC613" s="17">
        <v>44925</v>
      </c>
      <c r="DUD613" s="5" t="s">
        <v>3728</v>
      </c>
      <c r="DUE613" s="17">
        <v>44925</v>
      </c>
      <c r="DUF613" s="5" t="s">
        <v>3728</v>
      </c>
      <c r="DUG613" s="17">
        <v>44925</v>
      </c>
      <c r="DUH613" s="5" t="s">
        <v>3728</v>
      </c>
      <c r="DUI613" s="17">
        <v>44925</v>
      </c>
      <c r="DUJ613" s="5" t="s">
        <v>3728</v>
      </c>
      <c r="DUK613" s="17">
        <v>44925</v>
      </c>
      <c r="DUL613" s="5" t="s">
        <v>3728</v>
      </c>
      <c r="DUM613" s="17">
        <v>44925</v>
      </c>
      <c r="DUN613" s="5" t="s">
        <v>3728</v>
      </c>
      <c r="DUO613" s="17">
        <v>44925</v>
      </c>
      <c r="DUP613" s="5" t="s">
        <v>3728</v>
      </c>
      <c r="DUQ613" s="17">
        <v>44925</v>
      </c>
      <c r="DUR613" s="5" t="s">
        <v>3728</v>
      </c>
      <c r="DUS613" s="17">
        <v>44925</v>
      </c>
      <c r="DUT613" s="5" t="s">
        <v>3728</v>
      </c>
      <c r="DUU613" s="17">
        <v>44925</v>
      </c>
      <c r="DUV613" s="5" t="s">
        <v>3728</v>
      </c>
      <c r="DUW613" s="17">
        <v>44925</v>
      </c>
      <c r="DUX613" s="5" t="s">
        <v>3728</v>
      </c>
      <c r="DUY613" s="17">
        <v>44925</v>
      </c>
      <c r="DUZ613" s="5" t="s">
        <v>3728</v>
      </c>
      <c r="DVA613" s="17">
        <v>44925</v>
      </c>
      <c r="DVB613" s="5" t="s">
        <v>3728</v>
      </c>
      <c r="DVC613" s="17">
        <v>44925</v>
      </c>
      <c r="DVD613" s="5" t="s">
        <v>3728</v>
      </c>
      <c r="DVE613" s="17">
        <v>44925</v>
      </c>
      <c r="DVF613" s="5" t="s">
        <v>3728</v>
      </c>
      <c r="DVG613" s="17">
        <v>44925</v>
      </c>
      <c r="DVH613" s="5" t="s">
        <v>3728</v>
      </c>
      <c r="DVI613" s="17">
        <v>44925</v>
      </c>
      <c r="DVJ613" s="5" t="s">
        <v>3728</v>
      </c>
      <c r="DVK613" s="17">
        <v>44925</v>
      </c>
      <c r="DVL613" s="5" t="s">
        <v>3728</v>
      </c>
      <c r="DVM613" s="17">
        <v>44925</v>
      </c>
      <c r="DVN613" s="5" t="s">
        <v>3728</v>
      </c>
      <c r="DVO613" s="17">
        <v>44925</v>
      </c>
      <c r="DVP613" s="5" t="s">
        <v>3728</v>
      </c>
      <c r="DVQ613" s="17">
        <v>44925</v>
      </c>
      <c r="DVR613" s="5" t="s">
        <v>3728</v>
      </c>
      <c r="DVS613" s="17">
        <v>44925</v>
      </c>
      <c r="DVT613" s="5" t="s">
        <v>3728</v>
      </c>
      <c r="DVU613" s="17">
        <v>44925</v>
      </c>
      <c r="DVV613" s="5" t="s">
        <v>3728</v>
      </c>
      <c r="DVW613" s="17">
        <v>44925</v>
      </c>
      <c r="DVX613" s="5" t="s">
        <v>3728</v>
      </c>
      <c r="DVY613" s="17">
        <v>44925</v>
      </c>
      <c r="DVZ613" s="5" t="s">
        <v>3728</v>
      </c>
      <c r="DWA613" s="17">
        <v>44925</v>
      </c>
      <c r="DWB613" s="5" t="s">
        <v>3728</v>
      </c>
      <c r="DWC613" s="17">
        <v>44925</v>
      </c>
      <c r="DWD613" s="5" t="s">
        <v>3728</v>
      </c>
      <c r="DWE613" s="17">
        <v>44925</v>
      </c>
      <c r="DWF613" s="5" t="s">
        <v>3728</v>
      </c>
      <c r="DWG613" s="17">
        <v>44925</v>
      </c>
      <c r="DWH613" s="5" t="s">
        <v>3728</v>
      </c>
      <c r="DWI613" s="17">
        <v>44925</v>
      </c>
      <c r="DWJ613" s="5" t="s">
        <v>3728</v>
      </c>
      <c r="DWK613" s="17">
        <v>44925</v>
      </c>
      <c r="DWL613" s="5" t="s">
        <v>3728</v>
      </c>
      <c r="DWM613" s="17">
        <v>44925</v>
      </c>
      <c r="DWN613" s="5" t="s">
        <v>3728</v>
      </c>
      <c r="DWO613" s="17">
        <v>44925</v>
      </c>
      <c r="DWP613" s="5" t="s">
        <v>3728</v>
      </c>
      <c r="DWQ613" s="17">
        <v>44925</v>
      </c>
      <c r="DWR613" s="5" t="s">
        <v>3728</v>
      </c>
      <c r="DWS613" s="17">
        <v>44925</v>
      </c>
      <c r="DWT613" s="5" t="s">
        <v>3728</v>
      </c>
      <c r="DWU613" s="17">
        <v>44925</v>
      </c>
      <c r="DWV613" s="5" t="s">
        <v>3728</v>
      </c>
      <c r="DWW613" s="17">
        <v>44925</v>
      </c>
      <c r="DWX613" s="5" t="s">
        <v>3728</v>
      </c>
      <c r="DWY613" s="17">
        <v>44925</v>
      </c>
      <c r="DWZ613" s="5" t="s">
        <v>3728</v>
      </c>
      <c r="DXA613" s="17">
        <v>44925</v>
      </c>
      <c r="DXB613" s="5" t="s">
        <v>3728</v>
      </c>
      <c r="DXC613" s="17">
        <v>44925</v>
      </c>
      <c r="DXD613" s="5" t="s">
        <v>3728</v>
      </c>
      <c r="DXE613" s="17">
        <v>44925</v>
      </c>
      <c r="DXF613" s="5" t="s">
        <v>3728</v>
      </c>
      <c r="DXG613" s="17">
        <v>44925</v>
      </c>
      <c r="DXH613" s="5" t="s">
        <v>3728</v>
      </c>
      <c r="DXI613" s="17">
        <v>44925</v>
      </c>
      <c r="DXJ613" s="5" t="s">
        <v>3728</v>
      </c>
      <c r="DXK613" s="17">
        <v>44925</v>
      </c>
      <c r="DXL613" s="5" t="s">
        <v>3728</v>
      </c>
      <c r="DXM613" s="17">
        <v>44925</v>
      </c>
      <c r="DXN613" s="5" t="s">
        <v>3728</v>
      </c>
      <c r="DXO613" s="17">
        <v>44925</v>
      </c>
      <c r="DXP613" s="5" t="s">
        <v>3728</v>
      </c>
      <c r="DXQ613" s="17">
        <v>44925</v>
      </c>
      <c r="DXR613" s="5" t="s">
        <v>3728</v>
      </c>
      <c r="DXS613" s="17">
        <v>44925</v>
      </c>
      <c r="DXT613" s="5" t="s">
        <v>3728</v>
      </c>
      <c r="DXU613" s="17">
        <v>44925</v>
      </c>
      <c r="DXV613" s="5" t="s">
        <v>3728</v>
      </c>
      <c r="DXW613" s="17">
        <v>44925</v>
      </c>
      <c r="DXX613" s="5" t="s">
        <v>3728</v>
      </c>
      <c r="DXY613" s="17">
        <v>44925</v>
      </c>
      <c r="DXZ613" s="5" t="s">
        <v>3728</v>
      </c>
      <c r="DYA613" s="17">
        <v>44925</v>
      </c>
      <c r="DYB613" s="5" t="s">
        <v>3728</v>
      </c>
      <c r="DYC613" s="17">
        <v>44925</v>
      </c>
      <c r="DYD613" s="5" t="s">
        <v>3728</v>
      </c>
      <c r="DYE613" s="17">
        <v>44925</v>
      </c>
      <c r="DYF613" s="5" t="s">
        <v>3728</v>
      </c>
      <c r="DYG613" s="17">
        <v>44925</v>
      </c>
      <c r="DYH613" s="5" t="s">
        <v>3728</v>
      </c>
      <c r="DYI613" s="17">
        <v>44925</v>
      </c>
      <c r="DYJ613" s="5" t="s">
        <v>3728</v>
      </c>
      <c r="DYK613" s="17">
        <v>44925</v>
      </c>
      <c r="DYL613" s="5" t="s">
        <v>3728</v>
      </c>
      <c r="DYM613" s="17">
        <v>44925</v>
      </c>
      <c r="DYN613" s="5" t="s">
        <v>3728</v>
      </c>
      <c r="DYO613" s="17">
        <v>44925</v>
      </c>
      <c r="DYP613" s="5" t="s">
        <v>3728</v>
      </c>
      <c r="DYQ613" s="17">
        <v>44925</v>
      </c>
      <c r="DYR613" s="5" t="s">
        <v>3728</v>
      </c>
      <c r="DYS613" s="17">
        <v>44925</v>
      </c>
      <c r="DYT613" s="5" t="s">
        <v>3728</v>
      </c>
      <c r="DYU613" s="17">
        <v>44925</v>
      </c>
      <c r="DYV613" s="5" t="s">
        <v>3728</v>
      </c>
      <c r="DYW613" s="17">
        <v>44925</v>
      </c>
      <c r="DYX613" s="5" t="s">
        <v>3728</v>
      </c>
      <c r="DYY613" s="17">
        <v>44925</v>
      </c>
      <c r="DYZ613" s="5" t="s">
        <v>3728</v>
      </c>
      <c r="DZA613" s="17">
        <v>44925</v>
      </c>
      <c r="DZB613" s="5" t="s">
        <v>3728</v>
      </c>
      <c r="DZC613" s="17">
        <v>44925</v>
      </c>
      <c r="DZD613" s="5" t="s">
        <v>3728</v>
      </c>
      <c r="DZE613" s="17">
        <v>44925</v>
      </c>
      <c r="DZF613" s="5" t="s">
        <v>3728</v>
      </c>
      <c r="DZG613" s="17">
        <v>44925</v>
      </c>
      <c r="DZH613" s="5" t="s">
        <v>3728</v>
      </c>
      <c r="DZI613" s="17">
        <v>44925</v>
      </c>
      <c r="DZJ613" s="5" t="s">
        <v>3728</v>
      </c>
      <c r="DZK613" s="17">
        <v>44925</v>
      </c>
      <c r="DZL613" s="5" t="s">
        <v>3728</v>
      </c>
      <c r="DZM613" s="17">
        <v>44925</v>
      </c>
      <c r="DZN613" s="5" t="s">
        <v>3728</v>
      </c>
      <c r="DZO613" s="17">
        <v>44925</v>
      </c>
      <c r="DZP613" s="5" t="s">
        <v>3728</v>
      </c>
      <c r="DZQ613" s="17">
        <v>44925</v>
      </c>
      <c r="DZR613" s="5" t="s">
        <v>3728</v>
      </c>
      <c r="DZS613" s="17">
        <v>44925</v>
      </c>
      <c r="DZT613" s="5" t="s">
        <v>3728</v>
      </c>
      <c r="DZU613" s="17">
        <v>44925</v>
      </c>
      <c r="DZV613" s="5" t="s">
        <v>3728</v>
      </c>
      <c r="DZW613" s="17">
        <v>44925</v>
      </c>
      <c r="DZX613" s="5" t="s">
        <v>3728</v>
      </c>
      <c r="DZY613" s="17">
        <v>44925</v>
      </c>
      <c r="DZZ613" s="5" t="s">
        <v>3728</v>
      </c>
      <c r="EAA613" s="17">
        <v>44925</v>
      </c>
      <c r="EAB613" s="5" t="s">
        <v>3728</v>
      </c>
      <c r="EAC613" s="17">
        <v>44925</v>
      </c>
      <c r="EAD613" s="5" t="s">
        <v>3728</v>
      </c>
      <c r="EAE613" s="17">
        <v>44925</v>
      </c>
      <c r="EAF613" s="5" t="s">
        <v>3728</v>
      </c>
      <c r="EAG613" s="17">
        <v>44925</v>
      </c>
      <c r="EAH613" s="5" t="s">
        <v>3728</v>
      </c>
      <c r="EAI613" s="17">
        <v>44925</v>
      </c>
      <c r="EAJ613" s="5" t="s">
        <v>3728</v>
      </c>
      <c r="EAK613" s="17">
        <v>44925</v>
      </c>
      <c r="EAL613" s="5" t="s">
        <v>3728</v>
      </c>
      <c r="EAM613" s="17">
        <v>44925</v>
      </c>
      <c r="EAN613" s="5" t="s">
        <v>3728</v>
      </c>
      <c r="EAO613" s="17">
        <v>44925</v>
      </c>
      <c r="EAP613" s="5" t="s">
        <v>3728</v>
      </c>
      <c r="EAQ613" s="17">
        <v>44925</v>
      </c>
      <c r="EAR613" s="5" t="s">
        <v>3728</v>
      </c>
      <c r="EAS613" s="17">
        <v>44925</v>
      </c>
      <c r="EAT613" s="5" t="s">
        <v>3728</v>
      </c>
      <c r="EAU613" s="17">
        <v>44925</v>
      </c>
      <c r="EAV613" s="5" t="s">
        <v>3728</v>
      </c>
      <c r="EAW613" s="17">
        <v>44925</v>
      </c>
      <c r="EAX613" s="5" t="s">
        <v>3728</v>
      </c>
      <c r="EAY613" s="17">
        <v>44925</v>
      </c>
      <c r="EAZ613" s="5" t="s">
        <v>3728</v>
      </c>
      <c r="EBA613" s="17">
        <v>44925</v>
      </c>
      <c r="EBB613" s="5" t="s">
        <v>3728</v>
      </c>
      <c r="EBC613" s="17">
        <v>44925</v>
      </c>
      <c r="EBD613" s="5" t="s">
        <v>3728</v>
      </c>
      <c r="EBE613" s="17">
        <v>44925</v>
      </c>
      <c r="EBF613" s="5" t="s">
        <v>3728</v>
      </c>
      <c r="EBG613" s="17">
        <v>44925</v>
      </c>
      <c r="EBH613" s="5" t="s">
        <v>3728</v>
      </c>
      <c r="EBI613" s="17">
        <v>44925</v>
      </c>
      <c r="EBJ613" s="5" t="s">
        <v>3728</v>
      </c>
      <c r="EBK613" s="17">
        <v>44925</v>
      </c>
      <c r="EBL613" s="5" t="s">
        <v>3728</v>
      </c>
      <c r="EBM613" s="17">
        <v>44925</v>
      </c>
      <c r="EBN613" s="5" t="s">
        <v>3728</v>
      </c>
      <c r="EBO613" s="17">
        <v>44925</v>
      </c>
      <c r="EBP613" s="5" t="s">
        <v>3728</v>
      </c>
      <c r="EBQ613" s="17">
        <v>44925</v>
      </c>
      <c r="EBR613" s="5" t="s">
        <v>3728</v>
      </c>
      <c r="EBS613" s="17">
        <v>44925</v>
      </c>
      <c r="EBT613" s="5" t="s">
        <v>3728</v>
      </c>
      <c r="EBU613" s="17">
        <v>44925</v>
      </c>
      <c r="EBV613" s="5" t="s">
        <v>3728</v>
      </c>
      <c r="EBW613" s="17">
        <v>44925</v>
      </c>
      <c r="EBX613" s="5" t="s">
        <v>3728</v>
      </c>
      <c r="EBY613" s="17">
        <v>44925</v>
      </c>
      <c r="EBZ613" s="5" t="s">
        <v>3728</v>
      </c>
      <c r="ECA613" s="17">
        <v>44925</v>
      </c>
      <c r="ECB613" s="5" t="s">
        <v>3728</v>
      </c>
      <c r="ECC613" s="17">
        <v>44925</v>
      </c>
      <c r="ECD613" s="5" t="s">
        <v>3728</v>
      </c>
      <c r="ECE613" s="17">
        <v>44925</v>
      </c>
      <c r="ECF613" s="5" t="s">
        <v>3728</v>
      </c>
      <c r="ECG613" s="17">
        <v>44925</v>
      </c>
      <c r="ECH613" s="5" t="s">
        <v>3728</v>
      </c>
      <c r="ECI613" s="17">
        <v>44925</v>
      </c>
      <c r="ECJ613" s="5" t="s">
        <v>3728</v>
      </c>
      <c r="ECK613" s="17">
        <v>44925</v>
      </c>
      <c r="ECL613" s="5" t="s">
        <v>3728</v>
      </c>
      <c r="ECM613" s="17">
        <v>44925</v>
      </c>
      <c r="ECN613" s="5" t="s">
        <v>3728</v>
      </c>
      <c r="ECO613" s="17">
        <v>44925</v>
      </c>
      <c r="ECP613" s="5" t="s">
        <v>3728</v>
      </c>
      <c r="ECQ613" s="17">
        <v>44925</v>
      </c>
      <c r="ECR613" s="5" t="s">
        <v>3728</v>
      </c>
      <c r="ECS613" s="17">
        <v>44925</v>
      </c>
      <c r="ECT613" s="5" t="s">
        <v>3728</v>
      </c>
      <c r="ECU613" s="17">
        <v>44925</v>
      </c>
      <c r="ECV613" s="5" t="s">
        <v>3728</v>
      </c>
      <c r="ECW613" s="17">
        <v>44925</v>
      </c>
      <c r="ECX613" s="5" t="s">
        <v>3728</v>
      </c>
      <c r="ECY613" s="17">
        <v>44925</v>
      </c>
      <c r="ECZ613" s="5" t="s">
        <v>3728</v>
      </c>
      <c r="EDA613" s="17">
        <v>44925</v>
      </c>
      <c r="EDB613" s="5" t="s">
        <v>3728</v>
      </c>
      <c r="EDC613" s="17">
        <v>44925</v>
      </c>
      <c r="EDD613" s="5" t="s">
        <v>3728</v>
      </c>
      <c r="EDE613" s="17">
        <v>44925</v>
      </c>
      <c r="EDF613" s="5" t="s">
        <v>3728</v>
      </c>
      <c r="EDG613" s="17">
        <v>44925</v>
      </c>
      <c r="EDH613" s="5" t="s">
        <v>3728</v>
      </c>
      <c r="EDI613" s="17">
        <v>44925</v>
      </c>
      <c r="EDJ613" s="5" t="s">
        <v>3728</v>
      </c>
      <c r="EDK613" s="17">
        <v>44925</v>
      </c>
      <c r="EDL613" s="5" t="s">
        <v>3728</v>
      </c>
      <c r="EDM613" s="17">
        <v>44925</v>
      </c>
      <c r="EDN613" s="5" t="s">
        <v>3728</v>
      </c>
      <c r="EDO613" s="17">
        <v>44925</v>
      </c>
      <c r="EDP613" s="5" t="s">
        <v>3728</v>
      </c>
      <c r="EDQ613" s="17">
        <v>44925</v>
      </c>
      <c r="EDR613" s="5" t="s">
        <v>3728</v>
      </c>
      <c r="EDS613" s="17">
        <v>44925</v>
      </c>
      <c r="EDT613" s="5" t="s">
        <v>3728</v>
      </c>
      <c r="EDU613" s="17">
        <v>44925</v>
      </c>
      <c r="EDV613" s="5" t="s">
        <v>3728</v>
      </c>
      <c r="EDW613" s="17">
        <v>44925</v>
      </c>
      <c r="EDX613" s="5" t="s">
        <v>3728</v>
      </c>
      <c r="EDY613" s="17">
        <v>44925</v>
      </c>
      <c r="EDZ613" s="5" t="s">
        <v>3728</v>
      </c>
      <c r="EEA613" s="17">
        <v>44925</v>
      </c>
      <c r="EEB613" s="5" t="s">
        <v>3728</v>
      </c>
      <c r="EEC613" s="17">
        <v>44925</v>
      </c>
      <c r="EED613" s="5" t="s">
        <v>3728</v>
      </c>
      <c r="EEE613" s="17">
        <v>44925</v>
      </c>
      <c r="EEF613" s="5" t="s">
        <v>3728</v>
      </c>
      <c r="EEG613" s="17">
        <v>44925</v>
      </c>
      <c r="EEH613" s="5" t="s">
        <v>3728</v>
      </c>
      <c r="EEI613" s="17">
        <v>44925</v>
      </c>
      <c r="EEJ613" s="5" t="s">
        <v>3728</v>
      </c>
      <c r="EEK613" s="17">
        <v>44925</v>
      </c>
      <c r="EEL613" s="5" t="s">
        <v>3728</v>
      </c>
      <c r="EEM613" s="17">
        <v>44925</v>
      </c>
      <c r="EEN613" s="5" t="s">
        <v>3728</v>
      </c>
      <c r="EEO613" s="17">
        <v>44925</v>
      </c>
      <c r="EEP613" s="5" t="s">
        <v>3728</v>
      </c>
      <c r="EEQ613" s="17">
        <v>44925</v>
      </c>
      <c r="EER613" s="5" t="s">
        <v>3728</v>
      </c>
      <c r="EES613" s="17">
        <v>44925</v>
      </c>
      <c r="EET613" s="5" t="s">
        <v>3728</v>
      </c>
      <c r="EEU613" s="17">
        <v>44925</v>
      </c>
      <c r="EEV613" s="5" t="s">
        <v>3728</v>
      </c>
      <c r="EEW613" s="17">
        <v>44925</v>
      </c>
      <c r="EEX613" s="5" t="s">
        <v>3728</v>
      </c>
      <c r="EEY613" s="17">
        <v>44925</v>
      </c>
      <c r="EEZ613" s="5" t="s">
        <v>3728</v>
      </c>
      <c r="EFA613" s="17">
        <v>44925</v>
      </c>
      <c r="EFB613" s="5" t="s">
        <v>3728</v>
      </c>
      <c r="EFC613" s="17">
        <v>44925</v>
      </c>
      <c r="EFD613" s="5" t="s">
        <v>3728</v>
      </c>
      <c r="EFE613" s="17">
        <v>44925</v>
      </c>
      <c r="EFF613" s="5" t="s">
        <v>3728</v>
      </c>
      <c r="EFG613" s="17">
        <v>44925</v>
      </c>
      <c r="EFH613" s="5" t="s">
        <v>3728</v>
      </c>
      <c r="EFI613" s="17">
        <v>44925</v>
      </c>
      <c r="EFJ613" s="5" t="s">
        <v>3728</v>
      </c>
      <c r="EFK613" s="17">
        <v>44925</v>
      </c>
      <c r="EFL613" s="5" t="s">
        <v>3728</v>
      </c>
      <c r="EFM613" s="17">
        <v>44925</v>
      </c>
      <c r="EFN613" s="5" t="s">
        <v>3728</v>
      </c>
      <c r="EFO613" s="17">
        <v>44925</v>
      </c>
      <c r="EFP613" s="5" t="s">
        <v>3728</v>
      </c>
      <c r="EFQ613" s="17">
        <v>44925</v>
      </c>
      <c r="EFR613" s="5" t="s">
        <v>3728</v>
      </c>
      <c r="EFS613" s="17">
        <v>44925</v>
      </c>
      <c r="EFT613" s="5" t="s">
        <v>3728</v>
      </c>
      <c r="EFU613" s="17">
        <v>44925</v>
      </c>
      <c r="EFV613" s="5" t="s">
        <v>3728</v>
      </c>
      <c r="EFW613" s="17">
        <v>44925</v>
      </c>
      <c r="EFX613" s="5" t="s">
        <v>3728</v>
      </c>
      <c r="EFY613" s="17">
        <v>44925</v>
      </c>
      <c r="EFZ613" s="5" t="s">
        <v>3728</v>
      </c>
      <c r="EGA613" s="17">
        <v>44925</v>
      </c>
      <c r="EGB613" s="5" t="s">
        <v>3728</v>
      </c>
      <c r="EGC613" s="17">
        <v>44925</v>
      </c>
      <c r="EGD613" s="5" t="s">
        <v>3728</v>
      </c>
      <c r="EGE613" s="17">
        <v>44925</v>
      </c>
      <c r="EGF613" s="5" t="s">
        <v>3728</v>
      </c>
      <c r="EGG613" s="17">
        <v>44925</v>
      </c>
      <c r="EGH613" s="5" t="s">
        <v>3728</v>
      </c>
      <c r="EGI613" s="17">
        <v>44925</v>
      </c>
      <c r="EGJ613" s="5" t="s">
        <v>3728</v>
      </c>
      <c r="EGK613" s="17">
        <v>44925</v>
      </c>
      <c r="EGL613" s="5" t="s">
        <v>3728</v>
      </c>
      <c r="EGM613" s="17">
        <v>44925</v>
      </c>
      <c r="EGN613" s="5" t="s">
        <v>3728</v>
      </c>
      <c r="EGO613" s="17">
        <v>44925</v>
      </c>
      <c r="EGP613" s="5" t="s">
        <v>3728</v>
      </c>
      <c r="EGQ613" s="17">
        <v>44925</v>
      </c>
      <c r="EGR613" s="5" t="s">
        <v>3728</v>
      </c>
      <c r="EGS613" s="17">
        <v>44925</v>
      </c>
      <c r="EGT613" s="5" t="s">
        <v>3728</v>
      </c>
      <c r="EGU613" s="17">
        <v>44925</v>
      </c>
      <c r="EGV613" s="5" t="s">
        <v>3728</v>
      </c>
      <c r="EGW613" s="17">
        <v>44925</v>
      </c>
      <c r="EGX613" s="5" t="s">
        <v>3728</v>
      </c>
      <c r="EGY613" s="17">
        <v>44925</v>
      </c>
      <c r="EGZ613" s="5" t="s">
        <v>3728</v>
      </c>
      <c r="EHA613" s="17">
        <v>44925</v>
      </c>
      <c r="EHB613" s="5" t="s">
        <v>3728</v>
      </c>
      <c r="EHC613" s="17">
        <v>44925</v>
      </c>
      <c r="EHD613" s="5" t="s">
        <v>3728</v>
      </c>
      <c r="EHE613" s="17">
        <v>44925</v>
      </c>
      <c r="EHF613" s="5" t="s">
        <v>3728</v>
      </c>
      <c r="EHG613" s="17">
        <v>44925</v>
      </c>
      <c r="EHH613" s="5" t="s">
        <v>3728</v>
      </c>
      <c r="EHI613" s="17">
        <v>44925</v>
      </c>
      <c r="EHJ613" s="5" t="s">
        <v>3728</v>
      </c>
      <c r="EHK613" s="17">
        <v>44925</v>
      </c>
      <c r="EHL613" s="5" t="s">
        <v>3728</v>
      </c>
      <c r="EHM613" s="17">
        <v>44925</v>
      </c>
      <c r="EHN613" s="5" t="s">
        <v>3728</v>
      </c>
      <c r="EHO613" s="17">
        <v>44925</v>
      </c>
      <c r="EHP613" s="5" t="s">
        <v>3728</v>
      </c>
      <c r="EHQ613" s="17">
        <v>44925</v>
      </c>
      <c r="EHR613" s="5" t="s">
        <v>3728</v>
      </c>
      <c r="EHS613" s="17">
        <v>44925</v>
      </c>
      <c r="EHT613" s="5" t="s">
        <v>3728</v>
      </c>
      <c r="EHU613" s="17">
        <v>44925</v>
      </c>
      <c r="EHV613" s="5" t="s">
        <v>3728</v>
      </c>
      <c r="EHW613" s="17">
        <v>44925</v>
      </c>
      <c r="EHX613" s="5" t="s">
        <v>3728</v>
      </c>
      <c r="EHY613" s="17">
        <v>44925</v>
      </c>
      <c r="EHZ613" s="5" t="s">
        <v>3728</v>
      </c>
      <c r="EIA613" s="17">
        <v>44925</v>
      </c>
      <c r="EIB613" s="5" t="s">
        <v>3728</v>
      </c>
      <c r="EIC613" s="17">
        <v>44925</v>
      </c>
      <c r="EID613" s="5" t="s">
        <v>3728</v>
      </c>
      <c r="EIE613" s="17">
        <v>44925</v>
      </c>
      <c r="EIF613" s="5" t="s">
        <v>3728</v>
      </c>
      <c r="EIG613" s="17">
        <v>44925</v>
      </c>
      <c r="EIH613" s="5" t="s">
        <v>3728</v>
      </c>
      <c r="EII613" s="17">
        <v>44925</v>
      </c>
      <c r="EIJ613" s="5" t="s">
        <v>3728</v>
      </c>
      <c r="EIK613" s="17">
        <v>44925</v>
      </c>
      <c r="EIL613" s="5" t="s">
        <v>3728</v>
      </c>
      <c r="EIM613" s="17">
        <v>44925</v>
      </c>
      <c r="EIN613" s="5" t="s">
        <v>3728</v>
      </c>
      <c r="EIO613" s="17">
        <v>44925</v>
      </c>
      <c r="EIP613" s="5" t="s">
        <v>3728</v>
      </c>
      <c r="EIQ613" s="17">
        <v>44925</v>
      </c>
      <c r="EIR613" s="5" t="s">
        <v>3728</v>
      </c>
      <c r="EIS613" s="17">
        <v>44925</v>
      </c>
      <c r="EIT613" s="5" t="s">
        <v>3728</v>
      </c>
      <c r="EIU613" s="17">
        <v>44925</v>
      </c>
      <c r="EIV613" s="5" t="s">
        <v>3728</v>
      </c>
      <c r="EIW613" s="17">
        <v>44925</v>
      </c>
      <c r="EIX613" s="5" t="s">
        <v>3728</v>
      </c>
      <c r="EIY613" s="17">
        <v>44925</v>
      </c>
      <c r="EIZ613" s="5" t="s">
        <v>3728</v>
      </c>
      <c r="EJA613" s="17">
        <v>44925</v>
      </c>
      <c r="EJB613" s="5" t="s">
        <v>3728</v>
      </c>
      <c r="EJC613" s="17">
        <v>44925</v>
      </c>
      <c r="EJD613" s="5" t="s">
        <v>3728</v>
      </c>
      <c r="EJE613" s="17">
        <v>44925</v>
      </c>
      <c r="EJF613" s="5" t="s">
        <v>3728</v>
      </c>
      <c r="EJG613" s="17">
        <v>44925</v>
      </c>
      <c r="EJH613" s="5" t="s">
        <v>3728</v>
      </c>
      <c r="EJI613" s="17">
        <v>44925</v>
      </c>
      <c r="EJJ613" s="5" t="s">
        <v>3728</v>
      </c>
      <c r="EJK613" s="17">
        <v>44925</v>
      </c>
      <c r="EJL613" s="5" t="s">
        <v>3728</v>
      </c>
      <c r="EJM613" s="17">
        <v>44925</v>
      </c>
      <c r="EJN613" s="5" t="s">
        <v>3728</v>
      </c>
      <c r="EJO613" s="17">
        <v>44925</v>
      </c>
      <c r="EJP613" s="5" t="s">
        <v>3728</v>
      </c>
      <c r="EJQ613" s="17">
        <v>44925</v>
      </c>
      <c r="EJR613" s="5" t="s">
        <v>3728</v>
      </c>
      <c r="EJS613" s="17">
        <v>44925</v>
      </c>
      <c r="EJT613" s="5" t="s">
        <v>3728</v>
      </c>
      <c r="EJU613" s="17">
        <v>44925</v>
      </c>
      <c r="EJV613" s="5" t="s">
        <v>3728</v>
      </c>
      <c r="EJW613" s="17">
        <v>44925</v>
      </c>
      <c r="EJX613" s="5" t="s">
        <v>3728</v>
      </c>
      <c r="EJY613" s="17">
        <v>44925</v>
      </c>
      <c r="EJZ613" s="5" t="s">
        <v>3728</v>
      </c>
      <c r="EKA613" s="17">
        <v>44925</v>
      </c>
      <c r="EKB613" s="5" t="s">
        <v>3728</v>
      </c>
      <c r="EKC613" s="17">
        <v>44925</v>
      </c>
      <c r="EKD613" s="5" t="s">
        <v>3728</v>
      </c>
      <c r="EKE613" s="17">
        <v>44925</v>
      </c>
      <c r="EKF613" s="5" t="s">
        <v>3728</v>
      </c>
      <c r="EKG613" s="17">
        <v>44925</v>
      </c>
      <c r="EKH613" s="5" t="s">
        <v>3728</v>
      </c>
      <c r="EKI613" s="17">
        <v>44925</v>
      </c>
      <c r="EKJ613" s="5" t="s">
        <v>3728</v>
      </c>
      <c r="EKK613" s="17">
        <v>44925</v>
      </c>
      <c r="EKL613" s="5" t="s">
        <v>3728</v>
      </c>
      <c r="EKM613" s="17">
        <v>44925</v>
      </c>
      <c r="EKN613" s="5" t="s">
        <v>3728</v>
      </c>
      <c r="EKO613" s="17">
        <v>44925</v>
      </c>
      <c r="EKP613" s="5" t="s">
        <v>3728</v>
      </c>
      <c r="EKQ613" s="17">
        <v>44925</v>
      </c>
      <c r="EKR613" s="5" t="s">
        <v>3728</v>
      </c>
      <c r="EKS613" s="17">
        <v>44925</v>
      </c>
      <c r="EKT613" s="5" t="s">
        <v>3728</v>
      </c>
      <c r="EKU613" s="17">
        <v>44925</v>
      </c>
      <c r="EKV613" s="5" t="s">
        <v>3728</v>
      </c>
      <c r="EKW613" s="17">
        <v>44925</v>
      </c>
      <c r="EKX613" s="5" t="s">
        <v>3728</v>
      </c>
      <c r="EKY613" s="17">
        <v>44925</v>
      </c>
      <c r="EKZ613" s="5" t="s">
        <v>3728</v>
      </c>
      <c r="ELA613" s="17">
        <v>44925</v>
      </c>
      <c r="ELB613" s="5" t="s">
        <v>3728</v>
      </c>
      <c r="ELC613" s="17">
        <v>44925</v>
      </c>
      <c r="ELD613" s="5" t="s">
        <v>3728</v>
      </c>
      <c r="ELE613" s="17">
        <v>44925</v>
      </c>
      <c r="ELF613" s="5" t="s">
        <v>3728</v>
      </c>
      <c r="ELG613" s="17">
        <v>44925</v>
      </c>
      <c r="ELH613" s="5" t="s">
        <v>3728</v>
      </c>
      <c r="ELI613" s="17">
        <v>44925</v>
      </c>
      <c r="ELJ613" s="5" t="s">
        <v>3728</v>
      </c>
      <c r="ELK613" s="17">
        <v>44925</v>
      </c>
      <c r="ELL613" s="5" t="s">
        <v>3728</v>
      </c>
      <c r="ELM613" s="17">
        <v>44925</v>
      </c>
      <c r="ELN613" s="5" t="s">
        <v>3728</v>
      </c>
      <c r="ELO613" s="17">
        <v>44925</v>
      </c>
      <c r="ELP613" s="5" t="s">
        <v>3728</v>
      </c>
      <c r="ELQ613" s="17">
        <v>44925</v>
      </c>
      <c r="ELR613" s="5" t="s">
        <v>3728</v>
      </c>
      <c r="ELS613" s="17">
        <v>44925</v>
      </c>
      <c r="ELT613" s="5" t="s">
        <v>3728</v>
      </c>
      <c r="ELU613" s="17">
        <v>44925</v>
      </c>
      <c r="ELV613" s="5" t="s">
        <v>3728</v>
      </c>
      <c r="ELW613" s="17">
        <v>44925</v>
      </c>
      <c r="ELX613" s="5" t="s">
        <v>3728</v>
      </c>
      <c r="ELY613" s="17">
        <v>44925</v>
      </c>
      <c r="ELZ613" s="5" t="s">
        <v>3728</v>
      </c>
      <c r="EMA613" s="17">
        <v>44925</v>
      </c>
      <c r="EMB613" s="5" t="s">
        <v>3728</v>
      </c>
      <c r="EMC613" s="17">
        <v>44925</v>
      </c>
      <c r="EMD613" s="5" t="s">
        <v>3728</v>
      </c>
      <c r="EME613" s="17">
        <v>44925</v>
      </c>
      <c r="EMF613" s="5" t="s">
        <v>3728</v>
      </c>
      <c r="EMG613" s="17">
        <v>44925</v>
      </c>
      <c r="EMH613" s="5" t="s">
        <v>3728</v>
      </c>
      <c r="EMI613" s="17">
        <v>44925</v>
      </c>
      <c r="EMJ613" s="5" t="s">
        <v>3728</v>
      </c>
      <c r="EMK613" s="17">
        <v>44925</v>
      </c>
      <c r="EML613" s="5" t="s">
        <v>3728</v>
      </c>
      <c r="EMM613" s="17">
        <v>44925</v>
      </c>
      <c r="EMN613" s="5" t="s">
        <v>3728</v>
      </c>
      <c r="EMO613" s="17">
        <v>44925</v>
      </c>
      <c r="EMP613" s="5" t="s">
        <v>3728</v>
      </c>
      <c r="EMQ613" s="17">
        <v>44925</v>
      </c>
      <c r="EMR613" s="5" t="s">
        <v>3728</v>
      </c>
      <c r="EMS613" s="17">
        <v>44925</v>
      </c>
      <c r="EMT613" s="5" t="s">
        <v>3728</v>
      </c>
      <c r="EMU613" s="17">
        <v>44925</v>
      </c>
      <c r="EMV613" s="5" t="s">
        <v>3728</v>
      </c>
      <c r="EMW613" s="17">
        <v>44925</v>
      </c>
      <c r="EMX613" s="5" t="s">
        <v>3728</v>
      </c>
      <c r="EMY613" s="17">
        <v>44925</v>
      </c>
      <c r="EMZ613" s="5" t="s">
        <v>3728</v>
      </c>
      <c r="ENA613" s="17">
        <v>44925</v>
      </c>
      <c r="ENB613" s="5" t="s">
        <v>3728</v>
      </c>
      <c r="ENC613" s="17">
        <v>44925</v>
      </c>
      <c r="END613" s="5" t="s">
        <v>3728</v>
      </c>
      <c r="ENE613" s="17">
        <v>44925</v>
      </c>
      <c r="ENF613" s="5" t="s">
        <v>3728</v>
      </c>
      <c r="ENG613" s="17">
        <v>44925</v>
      </c>
      <c r="ENH613" s="5" t="s">
        <v>3728</v>
      </c>
      <c r="ENI613" s="17">
        <v>44925</v>
      </c>
      <c r="ENJ613" s="5" t="s">
        <v>3728</v>
      </c>
      <c r="ENK613" s="17">
        <v>44925</v>
      </c>
      <c r="ENL613" s="5" t="s">
        <v>3728</v>
      </c>
      <c r="ENM613" s="17">
        <v>44925</v>
      </c>
      <c r="ENN613" s="5" t="s">
        <v>3728</v>
      </c>
      <c r="ENO613" s="17">
        <v>44925</v>
      </c>
      <c r="ENP613" s="5" t="s">
        <v>3728</v>
      </c>
      <c r="ENQ613" s="17">
        <v>44925</v>
      </c>
      <c r="ENR613" s="5" t="s">
        <v>3728</v>
      </c>
      <c r="ENS613" s="17">
        <v>44925</v>
      </c>
      <c r="ENT613" s="5" t="s">
        <v>3728</v>
      </c>
      <c r="ENU613" s="17">
        <v>44925</v>
      </c>
      <c r="ENV613" s="5" t="s">
        <v>3728</v>
      </c>
      <c r="ENW613" s="17">
        <v>44925</v>
      </c>
      <c r="ENX613" s="5" t="s">
        <v>3728</v>
      </c>
      <c r="ENY613" s="17">
        <v>44925</v>
      </c>
      <c r="ENZ613" s="5" t="s">
        <v>3728</v>
      </c>
      <c r="EOA613" s="17">
        <v>44925</v>
      </c>
      <c r="EOB613" s="5" t="s">
        <v>3728</v>
      </c>
      <c r="EOC613" s="17">
        <v>44925</v>
      </c>
      <c r="EOD613" s="5" t="s">
        <v>3728</v>
      </c>
      <c r="EOE613" s="17">
        <v>44925</v>
      </c>
      <c r="EOF613" s="5" t="s">
        <v>3728</v>
      </c>
      <c r="EOG613" s="17">
        <v>44925</v>
      </c>
      <c r="EOH613" s="5" t="s">
        <v>3728</v>
      </c>
      <c r="EOI613" s="17">
        <v>44925</v>
      </c>
      <c r="EOJ613" s="5" t="s">
        <v>3728</v>
      </c>
      <c r="EOK613" s="17">
        <v>44925</v>
      </c>
      <c r="EOL613" s="5" t="s">
        <v>3728</v>
      </c>
      <c r="EOM613" s="17">
        <v>44925</v>
      </c>
      <c r="EON613" s="5" t="s">
        <v>3728</v>
      </c>
      <c r="EOO613" s="17">
        <v>44925</v>
      </c>
      <c r="EOP613" s="5" t="s">
        <v>3728</v>
      </c>
      <c r="EOQ613" s="17">
        <v>44925</v>
      </c>
      <c r="EOR613" s="5" t="s">
        <v>3728</v>
      </c>
      <c r="EOS613" s="17">
        <v>44925</v>
      </c>
      <c r="EOT613" s="5" t="s">
        <v>3728</v>
      </c>
      <c r="EOU613" s="17">
        <v>44925</v>
      </c>
      <c r="EOV613" s="5" t="s">
        <v>3728</v>
      </c>
      <c r="EOW613" s="17">
        <v>44925</v>
      </c>
      <c r="EOX613" s="5" t="s">
        <v>3728</v>
      </c>
      <c r="EOY613" s="17">
        <v>44925</v>
      </c>
      <c r="EOZ613" s="5" t="s">
        <v>3728</v>
      </c>
      <c r="EPA613" s="17">
        <v>44925</v>
      </c>
      <c r="EPB613" s="5" t="s">
        <v>3728</v>
      </c>
      <c r="EPC613" s="17">
        <v>44925</v>
      </c>
      <c r="EPD613" s="5" t="s">
        <v>3728</v>
      </c>
      <c r="EPE613" s="17">
        <v>44925</v>
      </c>
      <c r="EPF613" s="5" t="s">
        <v>3728</v>
      </c>
      <c r="EPG613" s="17">
        <v>44925</v>
      </c>
      <c r="EPH613" s="5" t="s">
        <v>3728</v>
      </c>
      <c r="EPI613" s="17">
        <v>44925</v>
      </c>
      <c r="EPJ613" s="5" t="s">
        <v>3728</v>
      </c>
      <c r="EPK613" s="17">
        <v>44925</v>
      </c>
      <c r="EPL613" s="5" t="s">
        <v>3728</v>
      </c>
      <c r="EPM613" s="17">
        <v>44925</v>
      </c>
      <c r="EPN613" s="5" t="s">
        <v>3728</v>
      </c>
      <c r="EPO613" s="17">
        <v>44925</v>
      </c>
      <c r="EPP613" s="5" t="s">
        <v>3728</v>
      </c>
      <c r="EPQ613" s="17">
        <v>44925</v>
      </c>
      <c r="EPR613" s="5" t="s">
        <v>3728</v>
      </c>
      <c r="EPS613" s="17">
        <v>44925</v>
      </c>
      <c r="EPT613" s="5" t="s">
        <v>3728</v>
      </c>
      <c r="EPU613" s="17">
        <v>44925</v>
      </c>
      <c r="EPV613" s="5" t="s">
        <v>3728</v>
      </c>
      <c r="EPW613" s="17">
        <v>44925</v>
      </c>
      <c r="EPX613" s="5" t="s">
        <v>3728</v>
      </c>
      <c r="EPY613" s="17">
        <v>44925</v>
      </c>
      <c r="EPZ613" s="5" t="s">
        <v>3728</v>
      </c>
      <c r="EQA613" s="17">
        <v>44925</v>
      </c>
      <c r="EQB613" s="5" t="s">
        <v>3728</v>
      </c>
      <c r="EQC613" s="17">
        <v>44925</v>
      </c>
      <c r="EQD613" s="5" t="s">
        <v>3728</v>
      </c>
      <c r="EQE613" s="17">
        <v>44925</v>
      </c>
      <c r="EQF613" s="5" t="s">
        <v>3728</v>
      </c>
      <c r="EQG613" s="17">
        <v>44925</v>
      </c>
      <c r="EQH613" s="5" t="s">
        <v>3728</v>
      </c>
      <c r="EQI613" s="17">
        <v>44925</v>
      </c>
      <c r="EQJ613" s="5" t="s">
        <v>3728</v>
      </c>
      <c r="EQK613" s="17">
        <v>44925</v>
      </c>
      <c r="EQL613" s="5" t="s">
        <v>3728</v>
      </c>
      <c r="EQM613" s="17">
        <v>44925</v>
      </c>
      <c r="EQN613" s="5" t="s">
        <v>3728</v>
      </c>
      <c r="EQO613" s="17">
        <v>44925</v>
      </c>
      <c r="EQP613" s="5" t="s">
        <v>3728</v>
      </c>
      <c r="EQQ613" s="17">
        <v>44925</v>
      </c>
      <c r="EQR613" s="5" t="s">
        <v>3728</v>
      </c>
      <c r="EQS613" s="17">
        <v>44925</v>
      </c>
      <c r="EQT613" s="5" t="s">
        <v>3728</v>
      </c>
      <c r="EQU613" s="17">
        <v>44925</v>
      </c>
      <c r="EQV613" s="5" t="s">
        <v>3728</v>
      </c>
      <c r="EQW613" s="17">
        <v>44925</v>
      </c>
      <c r="EQX613" s="5" t="s">
        <v>3728</v>
      </c>
      <c r="EQY613" s="17">
        <v>44925</v>
      </c>
      <c r="EQZ613" s="5" t="s">
        <v>3728</v>
      </c>
      <c r="ERA613" s="17">
        <v>44925</v>
      </c>
      <c r="ERB613" s="5" t="s">
        <v>3728</v>
      </c>
      <c r="ERC613" s="17">
        <v>44925</v>
      </c>
      <c r="ERD613" s="5" t="s">
        <v>3728</v>
      </c>
      <c r="ERE613" s="17">
        <v>44925</v>
      </c>
      <c r="ERF613" s="5" t="s">
        <v>3728</v>
      </c>
      <c r="ERG613" s="17">
        <v>44925</v>
      </c>
      <c r="ERH613" s="5" t="s">
        <v>3728</v>
      </c>
      <c r="ERI613" s="17">
        <v>44925</v>
      </c>
      <c r="ERJ613" s="5" t="s">
        <v>3728</v>
      </c>
      <c r="ERK613" s="17">
        <v>44925</v>
      </c>
      <c r="ERL613" s="5" t="s">
        <v>3728</v>
      </c>
      <c r="ERM613" s="17">
        <v>44925</v>
      </c>
      <c r="ERN613" s="5" t="s">
        <v>3728</v>
      </c>
      <c r="ERO613" s="17">
        <v>44925</v>
      </c>
      <c r="ERP613" s="5" t="s">
        <v>3728</v>
      </c>
      <c r="ERQ613" s="17">
        <v>44925</v>
      </c>
      <c r="ERR613" s="5" t="s">
        <v>3728</v>
      </c>
      <c r="ERS613" s="17">
        <v>44925</v>
      </c>
      <c r="ERT613" s="5" t="s">
        <v>3728</v>
      </c>
      <c r="ERU613" s="17">
        <v>44925</v>
      </c>
      <c r="ERV613" s="5" t="s">
        <v>3728</v>
      </c>
      <c r="ERW613" s="17">
        <v>44925</v>
      </c>
      <c r="ERX613" s="5" t="s">
        <v>3728</v>
      </c>
      <c r="ERY613" s="17">
        <v>44925</v>
      </c>
      <c r="ERZ613" s="5" t="s">
        <v>3728</v>
      </c>
      <c r="ESA613" s="17">
        <v>44925</v>
      </c>
      <c r="ESB613" s="5" t="s">
        <v>3728</v>
      </c>
      <c r="ESC613" s="17">
        <v>44925</v>
      </c>
      <c r="ESD613" s="5" t="s">
        <v>3728</v>
      </c>
      <c r="ESE613" s="17">
        <v>44925</v>
      </c>
      <c r="ESF613" s="5" t="s">
        <v>3728</v>
      </c>
      <c r="ESG613" s="17">
        <v>44925</v>
      </c>
      <c r="ESH613" s="5" t="s">
        <v>3728</v>
      </c>
      <c r="ESI613" s="17">
        <v>44925</v>
      </c>
      <c r="ESJ613" s="5" t="s">
        <v>3728</v>
      </c>
      <c r="ESK613" s="17">
        <v>44925</v>
      </c>
      <c r="ESL613" s="5" t="s">
        <v>3728</v>
      </c>
      <c r="ESM613" s="17">
        <v>44925</v>
      </c>
      <c r="ESN613" s="5" t="s">
        <v>3728</v>
      </c>
      <c r="ESO613" s="17">
        <v>44925</v>
      </c>
      <c r="ESP613" s="5" t="s">
        <v>3728</v>
      </c>
      <c r="ESQ613" s="17">
        <v>44925</v>
      </c>
      <c r="ESR613" s="5" t="s">
        <v>3728</v>
      </c>
      <c r="ESS613" s="17">
        <v>44925</v>
      </c>
      <c r="EST613" s="5" t="s">
        <v>3728</v>
      </c>
      <c r="ESU613" s="17">
        <v>44925</v>
      </c>
      <c r="ESV613" s="5" t="s">
        <v>3728</v>
      </c>
      <c r="ESW613" s="17">
        <v>44925</v>
      </c>
      <c r="ESX613" s="5" t="s">
        <v>3728</v>
      </c>
      <c r="ESY613" s="17">
        <v>44925</v>
      </c>
      <c r="ESZ613" s="5" t="s">
        <v>3728</v>
      </c>
      <c r="ETA613" s="17">
        <v>44925</v>
      </c>
      <c r="ETB613" s="5" t="s">
        <v>3728</v>
      </c>
      <c r="ETC613" s="17">
        <v>44925</v>
      </c>
      <c r="ETD613" s="5" t="s">
        <v>3728</v>
      </c>
      <c r="ETE613" s="17">
        <v>44925</v>
      </c>
      <c r="ETF613" s="5" t="s">
        <v>3728</v>
      </c>
      <c r="ETG613" s="17">
        <v>44925</v>
      </c>
      <c r="ETH613" s="5" t="s">
        <v>3728</v>
      </c>
      <c r="ETI613" s="17">
        <v>44925</v>
      </c>
      <c r="ETJ613" s="5" t="s">
        <v>3728</v>
      </c>
      <c r="ETK613" s="17">
        <v>44925</v>
      </c>
      <c r="ETL613" s="5" t="s">
        <v>3728</v>
      </c>
      <c r="ETM613" s="17">
        <v>44925</v>
      </c>
      <c r="ETN613" s="5" t="s">
        <v>3728</v>
      </c>
      <c r="ETO613" s="17">
        <v>44925</v>
      </c>
      <c r="ETP613" s="5" t="s">
        <v>3728</v>
      </c>
      <c r="ETQ613" s="17">
        <v>44925</v>
      </c>
      <c r="ETR613" s="5" t="s">
        <v>3728</v>
      </c>
      <c r="ETS613" s="17">
        <v>44925</v>
      </c>
      <c r="ETT613" s="5" t="s">
        <v>3728</v>
      </c>
      <c r="ETU613" s="17">
        <v>44925</v>
      </c>
      <c r="ETV613" s="5" t="s">
        <v>3728</v>
      </c>
      <c r="ETW613" s="17">
        <v>44925</v>
      </c>
      <c r="ETX613" s="5" t="s">
        <v>3728</v>
      </c>
      <c r="ETY613" s="17">
        <v>44925</v>
      </c>
      <c r="ETZ613" s="5" t="s">
        <v>3728</v>
      </c>
      <c r="EUA613" s="17">
        <v>44925</v>
      </c>
      <c r="EUB613" s="5" t="s">
        <v>3728</v>
      </c>
      <c r="EUC613" s="17">
        <v>44925</v>
      </c>
      <c r="EUD613" s="5" t="s">
        <v>3728</v>
      </c>
      <c r="EUE613" s="17">
        <v>44925</v>
      </c>
      <c r="EUF613" s="5" t="s">
        <v>3728</v>
      </c>
      <c r="EUG613" s="17">
        <v>44925</v>
      </c>
      <c r="EUH613" s="5" t="s">
        <v>3728</v>
      </c>
      <c r="EUI613" s="17">
        <v>44925</v>
      </c>
      <c r="EUJ613" s="5" t="s">
        <v>3728</v>
      </c>
      <c r="EUK613" s="17">
        <v>44925</v>
      </c>
      <c r="EUL613" s="5" t="s">
        <v>3728</v>
      </c>
      <c r="EUM613" s="17">
        <v>44925</v>
      </c>
      <c r="EUN613" s="5" t="s">
        <v>3728</v>
      </c>
      <c r="EUO613" s="17">
        <v>44925</v>
      </c>
      <c r="EUP613" s="5" t="s">
        <v>3728</v>
      </c>
      <c r="EUQ613" s="17">
        <v>44925</v>
      </c>
      <c r="EUR613" s="5" t="s">
        <v>3728</v>
      </c>
      <c r="EUS613" s="17">
        <v>44925</v>
      </c>
      <c r="EUT613" s="5" t="s">
        <v>3728</v>
      </c>
      <c r="EUU613" s="17">
        <v>44925</v>
      </c>
      <c r="EUV613" s="5" t="s">
        <v>3728</v>
      </c>
      <c r="EUW613" s="17">
        <v>44925</v>
      </c>
      <c r="EUX613" s="5" t="s">
        <v>3728</v>
      </c>
      <c r="EUY613" s="17">
        <v>44925</v>
      </c>
      <c r="EUZ613" s="5" t="s">
        <v>3728</v>
      </c>
      <c r="EVA613" s="17">
        <v>44925</v>
      </c>
      <c r="EVB613" s="5" t="s">
        <v>3728</v>
      </c>
      <c r="EVC613" s="17">
        <v>44925</v>
      </c>
      <c r="EVD613" s="5" t="s">
        <v>3728</v>
      </c>
      <c r="EVE613" s="17">
        <v>44925</v>
      </c>
      <c r="EVF613" s="5" t="s">
        <v>3728</v>
      </c>
      <c r="EVG613" s="17">
        <v>44925</v>
      </c>
      <c r="EVH613" s="5" t="s">
        <v>3728</v>
      </c>
      <c r="EVI613" s="17">
        <v>44925</v>
      </c>
      <c r="EVJ613" s="5" t="s">
        <v>3728</v>
      </c>
      <c r="EVK613" s="17">
        <v>44925</v>
      </c>
      <c r="EVL613" s="5" t="s">
        <v>3728</v>
      </c>
      <c r="EVM613" s="17">
        <v>44925</v>
      </c>
      <c r="EVN613" s="5" t="s">
        <v>3728</v>
      </c>
      <c r="EVO613" s="17">
        <v>44925</v>
      </c>
      <c r="EVP613" s="5" t="s">
        <v>3728</v>
      </c>
      <c r="EVQ613" s="17">
        <v>44925</v>
      </c>
      <c r="EVR613" s="5" t="s">
        <v>3728</v>
      </c>
      <c r="EVS613" s="17">
        <v>44925</v>
      </c>
      <c r="EVT613" s="5" t="s">
        <v>3728</v>
      </c>
      <c r="EVU613" s="17">
        <v>44925</v>
      </c>
      <c r="EVV613" s="5" t="s">
        <v>3728</v>
      </c>
      <c r="EVW613" s="17">
        <v>44925</v>
      </c>
      <c r="EVX613" s="5" t="s">
        <v>3728</v>
      </c>
      <c r="EVY613" s="17">
        <v>44925</v>
      </c>
      <c r="EVZ613" s="5" t="s">
        <v>3728</v>
      </c>
      <c r="EWA613" s="17">
        <v>44925</v>
      </c>
      <c r="EWB613" s="5" t="s">
        <v>3728</v>
      </c>
      <c r="EWC613" s="17">
        <v>44925</v>
      </c>
      <c r="EWD613" s="5" t="s">
        <v>3728</v>
      </c>
      <c r="EWE613" s="17">
        <v>44925</v>
      </c>
      <c r="EWF613" s="5" t="s">
        <v>3728</v>
      </c>
      <c r="EWG613" s="17">
        <v>44925</v>
      </c>
      <c r="EWH613" s="5" t="s">
        <v>3728</v>
      </c>
      <c r="EWI613" s="17">
        <v>44925</v>
      </c>
      <c r="EWJ613" s="5" t="s">
        <v>3728</v>
      </c>
      <c r="EWK613" s="17">
        <v>44925</v>
      </c>
      <c r="EWL613" s="5" t="s">
        <v>3728</v>
      </c>
      <c r="EWM613" s="17">
        <v>44925</v>
      </c>
      <c r="EWN613" s="5" t="s">
        <v>3728</v>
      </c>
      <c r="EWO613" s="17">
        <v>44925</v>
      </c>
      <c r="EWP613" s="5" t="s">
        <v>3728</v>
      </c>
      <c r="EWQ613" s="17">
        <v>44925</v>
      </c>
      <c r="EWR613" s="5" t="s">
        <v>3728</v>
      </c>
      <c r="EWS613" s="17">
        <v>44925</v>
      </c>
      <c r="EWT613" s="5" t="s">
        <v>3728</v>
      </c>
      <c r="EWU613" s="17">
        <v>44925</v>
      </c>
      <c r="EWV613" s="5" t="s">
        <v>3728</v>
      </c>
      <c r="EWW613" s="17">
        <v>44925</v>
      </c>
      <c r="EWX613" s="5" t="s">
        <v>3728</v>
      </c>
      <c r="EWY613" s="17">
        <v>44925</v>
      </c>
      <c r="EWZ613" s="5" t="s">
        <v>3728</v>
      </c>
      <c r="EXA613" s="17">
        <v>44925</v>
      </c>
      <c r="EXB613" s="5" t="s">
        <v>3728</v>
      </c>
      <c r="EXC613" s="17">
        <v>44925</v>
      </c>
      <c r="EXD613" s="5" t="s">
        <v>3728</v>
      </c>
      <c r="EXE613" s="17">
        <v>44925</v>
      </c>
      <c r="EXF613" s="5" t="s">
        <v>3728</v>
      </c>
      <c r="EXG613" s="17">
        <v>44925</v>
      </c>
      <c r="EXH613" s="5" t="s">
        <v>3728</v>
      </c>
      <c r="EXI613" s="17">
        <v>44925</v>
      </c>
      <c r="EXJ613" s="5" t="s">
        <v>3728</v>
      </c>
      <c r="EXK613" s="17">
        <v>44925</v>
      </c>
      <c r="EXL613" s="5" t="s">
        <v>3728</v>
      </c>
      <c r="EXM613" s="17">
        <v>44925</v>
      </c>
      <c r="EXN613" s="5" t="s">
        <v>3728</v>
      </c>
      <c r="EXO613" s="17">
        <v>44925</v>
      </c>
      <c r="EXP613" s="5" t="s">
        <v>3728</v>
      </c>
      <c r="EXQ613" s="17">
        <v>44925</v>
      </c>
      <c r="EXR613" s="5" t="s">
        <v>3728</v>
      </c>
      <c r="EXS613" s="17">
        <v>44925</v>
      </c>
      <c r="EXT613" s="5" t="s">
        <v>3728</v>
      </c>
      <c r="EXU613" s="17">
        <v>44925</v>
      </c>
      <c r="EXV613" s="5" t="s">
        <v>3728</v>
      </c>
      <c r="EXW613" s="17">
        <v>44925</v>
      </c>
      <c r="EXX613" s="5" t="s">
        <v>3728</v>
      </c>
      <c r="EXY613" s="17">
        <v>44925</v>
      </c>
      <c r="EXZ613" s="5" t="s">
        <v>3728</v>
      </c>
      <c r="EYA613" s="17">
        <v>44925</v>
      </c>
      <c r="EYB613" s="5" t="s">
        <v>3728</v>
      </c>
      <c r="EYC613" s="17">
        <v>44925</v>
      </c>
      <c r="EYD613" s="5" t="s">
        <v>3728</v>
      </c>
      <c r="EYE613" s="17">
        <v>44925</v>
      </c>
      <c r="EYF613" s="5" t="s">
        <v>3728</v>
      </c>
      <c r="EYG613" s="17">
        <v>44925</v>
      </c>
      <c r="EYH613" s="5" t="s">
        <v>3728</v>
      </c>
      <c r="EYI613" s="17">
        <v>44925</v>
      </c>
      <c r="EYJ613" s="5" t="s">
        <v>3728</v>
      </c>
      <c r="EYK613" s="17">
        <v>44925</v>
      </c>
      <c r="EYL613" s="5" t="s">
        <v>3728</v>
      </c>
      <c r="EYM613" s="17">
        <v>44925</v>
      </c>
      <c r="EYN613" s="5" t="s">
        <v>3728</v>
      </c>
      <c r="EYO613" s="17">
        <v>44925</v>
      </c>
      <c r="EYP613" s="5" t="s">
        <v>3728</v>
      </c>
      <c r="EYQ613" s="17">
        <v>44925</v>
      </c>
      <c r="EYR613" s="5" t="s">
        <v>3728</v>
      </c>
      <c r="EYS613" s="17">
        <v>44925</v>
      </c>
      <c r="EYT613" s="5" t="s">
        <v>3728</v>
      </c>
      <c r="EYU613" s="17">
        <v>44925</v>
      </c>
      <c r="EYV613" s="5" t="s">
        <v>3728</v>
      </c>
      <c r="EYW613" s="17">
        <v>44925</v>
      </c>
      <c r="EYX613" s="5" t="s">
        <v>3728</v>
      </c>
      <c r="EYY613" s="17">
        <v>44925</v>
      </c>
      <c r="EYZ613" s="5" t="s">
        <v>3728</v>
      </c>
      <c r="EZA613" s="17">
        <v>44925</v>
      </c>
      <c r="EZB613" s="5" t="s">
        <v>3728</v>
      </c>
      <c r="EZC613" s="17">
        <v>44925</v>
      </c>
      <c r="EZD613" s="5" t="s">
        <v>3728</v>
      </c>
      <c r="EZE613" s="17">
        <v>44925</v>
      </c>
      <c r="EZF613" s="5" t="s">
        <v>3728</v>
      </c>
      <c r="EZG613" s="17">
        <v>44925</v>
      </c>
      <c r="EZH613" s="5" t="s">
        <v>3728</v>
      </c>
      <c r="EZI613" s="17">
        <v>44925</v>
      </c>
      <c r="EZJ613" s="5" t="s">
        <v>3728</v>
      </c>
      <c r="EZK613" s="17">
        <v>44925</v>
      </c>
      <c r="EZL613" s="5" t="s">
        <v>3728</v>
      </c>
      <c r="EZM613" s="17">
        <v>44925</v>
      </c>
      <c r="EZN613" s="5" t="s">
        <v>3728</v>
      </c>
      <c r="EZO613" s="17">
        <v>44925</v>
      </c>
      <c r="EZP613" s="5" t="s">
        <v>3728</v>
      </c>
      <c r="EZQ613" s="17">
        <v>44925</v>
      </c>
      <c r="EZR613" s="5" t="s">
        <v>3728</v>
      </c>
      <c r="EZS613" s="17">
        <v>44925</v>
      </c>
      <c r="EZT613" s="5" t="s">
        <v>3728</v>
      </c>
      <c r="EZU613" s="17">
        <v>44925</v>
      </c>
      <c r="EZV613" s="5" t="s">
        <v>3728</v>
      </c>
      <c r="EZW613" s="17">
        <v>44925</v>
      </c>
      <c r="EZX613" s="5" t="s">
        <v>3728</v>
      </c>
      <c r="EZY613" s="17">
        <v>44925</v>
      </c>
      <c r="EZZ613" s="5" t="s">
        <v>3728</v>
      </c>
      <c r="FAA613" s="17">
        <v>44925</v>
      </c>
      <c r="FAB613" s="5" t="s">
        <v>3728</v>
      </c>
      <c r="FAC613" s="17">
        <v>44925</v>
      </c>
      <c r="FAD613" s="5" t="s">
        <v>3728</v>
      </c>
      <c r="FAE613" s="17">
        <v>44925</v>
      </c>
      <c r="FAF613" s="5" t="s">
        <v>3728</v>
      </c>
      <c r="FAG613" s="17">
        <v>44925</v>
      </c>
      <c r="FAH613" s="5" t="s">
        <v>3728</v>
      </c>
      <c r="FAI613" s="17">
        <v>44925</v>
      </c>
      <c r="FAJ613" s="5" t="s">
        <v>3728</v>
      </c>
      <c r="FAK613" s="17">
        <v>44925</v>
      </c>
      <c r="FAL613" s="5" t="s">
        <v>3728</v>
      </c>
      <c r="FAM613" s="17">
        <v>44925</v>
      </c>
      <c r="FAN613" s="5" t="s">
        <v>3728</v>
      </c>
      <c r="FAO613" s="17">
        <v>44925</v>
      </c>
      <c r="FAP613" s="5" t="s">
        <v>3728</v>
      </c>
      <c r="FAQ613" s="17">
        <v>44925</v>
      </c>
      <c r="FAR613" s="5" t="s">
        <v>3728</v>
      </c>
      <c r="FAS613" s="17">
        <v>44925</v>
      </c>
      <c r="FAT613" s="5" t="s">
        <v>3728</v>
      </c>
      <c r="FAU613" s="17">
        <v>44925</v>
      </c>
      <c r="FAV613" s="5" t="s">
        <v>3728</v>
      </c>
      <c r="FAW613" s="17">
        <v>44925</v>
      </c>
      <c r="FAX613" s="5" t="s">
        <v>3728</v>
      </c>
      <c r="FAY613" s="17">
        <v>44925</v>
      </c>
      <c r="FAZ613" s="5" t="s">
        <v>3728</v>
      </c>
      <c r="FBA613" s="17">
        <v>44925</v>
      </c>
      <c r="FBB613" s="5" t="s">
        <v>3728</v>
      </c>
      <c r="FBC613" s="17">
        <v>44925</v>
      </c>
      <c r="FBD613" s="5" t="s">
        <v>3728</v>
      </c>
      <c r="FBE613" s="17">
        <v>44925</v>
      </c>
      <c r="FBF613" s="5" t="s">
        <v>3728</v>
      </c>
      <c r="FBG613" s="17">
        <v>44925</v>
      </c>
      <c r="FBH613" s="5" t="s">
        <v>3728</v>
      </c>
      <c r="FBI613" s="17">
        <v>44925</v>
      </c>
      <c r="FBJ613" s="5" t="s">
        <v>3728</v>
      </c>
      <c r="FBK613" s="17">
        <v>44925</v>
      </c>
      <c r="FBL613" s="5" t="s">
        <v>3728</v>
      </c>
      <c r="FBM613" s="17">
        <v>44925</v>
      </c>
      <c r="FBN613" s="5" t="s">
        <v>3728</v>
      </c>
      <c r="FBO613" s="17">
        <v>44925</v>
      </c>
      <c r="FBP613" s="5" t="s">
        <v>3728</v>
      </c>
      <c r="FBQ613" s="17">
        <v>44925</v>
      </c>
      <c r="FBR613" s="5" t="s">
        <v>3728</v>
      </c>
      <c r="FBS613" s="17">
        <v>44925</v>
      </c>
      <c r="FBT613" s="5" t="s">
        <v>3728</v>
      </c>
      <c r="FBU613" s="17">
        <v>44925</v>
      </c>
      <c r="FBV613" s="5" t="s">
        <v>3728</v>
      </c>
      <c r="FBW613" s="17">
        <v>44925</v>
      </c>
      <c r="FBX613" s="5" t="s">
        <v>3728</v>
      </c>
      <c r="FBY613" s="17">
        <v>44925</v>
      </c>
      <c r="FBZ613" s="5" t="s">
        <v>3728</v>
      </c>
      <c r="FCA613" s="17">
        <v>44925</v>
      </c>
      <c r="FCB613" s="5" t="s">
        <v>3728</v>
      </c>
      <c r="FCC613" s="17">
        <v>44925</v>
      </c>
      <c r="FCD613" s="5" t="s">
        <v>3728</v>
      </c>
      <c r="FCE613" s="17">
        <v>44925</v>
      </c>
      <c r="FCF613" s="5" t="s">
        <v>3728</v>
      </c>
      <c r="FCG613" s="17">
        <v>44925</v>
      </c>
      <c r="FCH613" s="5" t="s">
        <v>3728</v>
      </c>
      <c r="FCI613" s="17">
        <v>44925</v>
      </c>
      <c r="FCJ613" s="5" t="s">
        <v>3728</v>
      </c>
      <c r="FCK613" s="17">
        <v>44925</v>
      </c>
      <c r="FCL613" s="5" t="s">
        <v>3728</v>
      </c>
      <c r="FCM613" s="17">
        <v>44925</v>
      </c>
      <c r="FCN613" s="5" t="s">
        <v>3728</v>
      </c>
      <c r="FCO613" s="17">
        <v>44925</v>
      </c>
      <c r="FCP613" s="5" t="s">
        <v>3728</v>
      </c>
      <c r="FCQ613" s="17">
        <v>44925</v>
      </c>
      <c r="FCR613" s="5" t="s">
        <v>3728</v>
      </c>
      <c r="FCS613" s="17">
        <v>44925</v>
      </c>
      <c r="FCT613" s="5" t="s">
        <v>3728</v>
      </c>
      <c r="FCU613" s="17">
        <v>44925</v>
      </c>
      <c r="FCV613" s="5" t="s">
        <v>3728</v>
      </c>
      <c r="FCW613" s="17">
        <v>44925</v>
      </c>
      <c r="FCX613" s="5" t="s">
        <v>3728</v>
      </c>
      <c r="FCY613" s="17">
        <v>44925</v>
      </c>
      <c r="FCZ613" s="5" t="s">
        <v>3728</v>
      </c>
      <c r="FDA613" s="17">
        <v>44925</v>
      </c>
      <c r="FDB613" s="5" t="s">
        <v>3728</v>
      </c>
      <c r="FDC613" s="17">
        <v>44925</v>
      </c>
      <c r="FDD613" s="5" t="s">
        <v>3728</v>
      </c>
      <c r="FDE613" s="17">
        <v>44925</v>
      </c>
      <c r="FDF613" s="5" t="s">
        <v>3728</v>
      </c>
      <c r="FDG613" s="17">
        <v>44925</v>
      </c>
      <c r="FDH613" s="5" t="s">
        <v>3728</v>
      </c>
      <c r="FDI613" s="17">
        <v>44925</v>
      </c>
      <c r="FDJ613" s="5" t="s">
        <v>3728</v>
      </c>
      <c r="FDK613" s="17">
        <v>44925</v>
      </c>
      <c r="FDL613" s="5" t="s">
        <v>3728</v>
      </c>
      <c r="FDM613" s="17">
        <v>44925</v>
      </c>
      <c r="FDN613" s="5" t="s">
        <v>3728</v>
      </c>
      <c r="FDO613" s="17">
        <v>44925</v>
      </c>
      <c r="FDP613" s="5" t="s">
        <v>3728</v>
      </c>
      <c r="FDQ613" s="17">
        <v>44925</v>
      </c>
      <c r="FDR613" s="5" t="s">
        <v>3728</v>
      </c>
      <c r="FDS613" s="17">
        <v>44925</v>
      </c>
      <c r="FDT613" s="5" t="s">
        <v>3728</v>
      </c>
      <c r="FDU613" s="17">
        <v>44925</v>
      </c>
      <c r="FDV613" s="5" t="s">
        <v>3728</v>
      </c>
      <c r="FDW613" s="17">
        <v>44925</v>
      </c>
      <c r="FDX613" s="5" t="s">
        <v>3728</v>
      </c>
      <c r="FDY613" s="17">
        <v>44925</v>
      </c>
      <c r="FDZ613" s="5" t="s">
        <v>3728</v>
      </c>
      <c r="FEA613" s="17">
        <v>44925</v>
      </c>
      <c r="FEB613" s="5" t="s">
        <v>3728</v>
      </c>
      <c r="FEC613" s="17">
        <v>44925</v>
      </c>
      <c r="FED613" s="5" t="s">
        <v>3728</v>
      </c>
      <c r="FEE613" s="17">
        <v>44925</v>
      </c>
      <c r="FEF613" s="5" t="s">
        <v>3728</v>
      </c>
      <c r="FEG613" s="17">
        <v>44925</v>
      </c>
      <c r="FEH613" s="5" t="s">
        <v>3728</v>
      </c>
      <c r="FEI613" s="17">
        <v>44925</v>
      </c>
      <c r="FEJ613" s="5" t="s">
        <v>3728</v>
      </c>
      <c r="FEK613" s="17">
        <v>44925</v>
      </c>
      <c r="FEL613" s="5" t="s">
        <v>3728</v>
      </c>
      <c r="FEM613" s="17">
        <v>44925</v>
      </c>
      <c r="FEN613" s="5" t="s">
        <v>3728</v>
      </c>
      <c r="FEO613" s="17">
        <v>44925</v>
      </c>
      <c r="FEP613" s="5" t="s">
        <v>3728</v>
      </c>
      <c r="FEQ613" s="17">
        <v>44925</v>
      </c>
      <c r="FER613" s="5" t="s">
        <v>3728</v>
      </c>
      <c r="FES613" s="17">
        <v>44925</v>
      </c>
      <c r="FET613" s="5" t="s">
        <v>3728</v>
      </c>
      <c r="FEU613" s="17">
        <v>44925</v>
      </c>
      <c r="FEV613" s="5" t="s">
        <v>3728</v>
      </c>
      <c r="FEW613" s="17">
        <v>44925</v>
      </c>
      <c r="FEX613" s="5" t="s">
        <v>3728</v>
      </c>
      <c r="FEY613" s="17">
        <v>44925</v>
      </c>
      <c r="FEZ613" s="5" t="s">
        <v>3728</v>
      </c>
      <c r="FFA613" s="17">
        <v>44925</v>
      </c>
      <c r="FFB613" s="5" t="s">
        <v>3728</v>
      </c>
      <c r="FFC613" s="17">
        <v>44925</v>
      </c>
      <c r="FFD613" s="5" t="s">
        <v>3728</v>
      </c>
      <c r="FFE613" s="17">
        <v>44925</v>
      </c>
      <c r="FFF613" s="5" t="s">
        <v>3728</v>
      </c>
      <c r="FFG613" s="17">
        <v>44925</v>
      </c>
      <c r="FFH613" s="5" t="s">
        <v>3728</v>
      </c>
      <c r="FFI613" s="17">
        <v>44925</v>
      </c>
      <c r="FFJ613" s="5" t="s">
        <v>3728</v>
      </c>
      <c r="FFK613" s="17">
        <v>44925</v>
      </c>
      <c r="FFL613" s="5" t="s">
        <v>3728</v>
      </c>
      <c r="FFM613" s="17">
        <v>44925</v>
      </c>
      <c r="FFN613" s="5" t="s">
        <v>3728</v>
      </c>
      <c r="FFO613" s="17">
        <v>44925</v>
      </c>
      <c r="FFP613" s="5" t="s">
        <v>3728</v>
      </c>
      <c r="FFQ613" s="17">
        <v>44925</v>
      </c>
      <c r="FFR613" s="5" t="s">
        <v>3728</v>
      </c>
      <c r="FFS613" s="17">
        <v>44925</v>
      </c>
      <c r="FFT613" s="5" t="s">
        <v>3728</v>
      </c>
      <c r="FFU613" s="17">
        <v>44925</v>
      </c>
      <c r="FFV613" s="5" t="s">
        <v>3728</v>
      </c>
      <c r="FFW613" s="17">
        <v>44925</v>
      </c>
      <c r="FFX613" s="5" t="s">
        <v>3728</v>
      </c>
      <c r="FFY613" s="17">
        <v>44925</v>
      </c>
      <c r="FFZ613" s="5" t="s">
        <v>3728</v>
      </c>
      <c r="FGA613" s="17">
        <v>44925</v>
      </c>
      <c r="FGB613" s="5" t="s">
        <v>3728</v>
      </c>
      <c r="FGC613" s="17">
        <v>44925</v>
      </c>
      <c r="FGD613" s="5" t="s">
        <v>3728</v>
      </c>
      <c r="FGE613" s="17">
        <v>44925</v>
      </c>
      <c r="FGF613" s="5" t="s">
        <v>3728</v>
      </c>
      <c r="FGG613" s="17">
        <v>44925</v>
      </c>
      <c r="FGH613" s="5" t="s">
        <v>3728</v>
      </c>
      <c r="FGI613" s="17">
        <v>44925</v>
      </c>
      <c r="FGJ613" s="5" t="s">
        <v>3728</v>
      </c>
      <c r="FGK613" s="17">
        <v>44925</v>
      </c>
      <c r="FGL613" s="5" t="s">
        <v>3728</v>
      </c>
      <c r="FGM613" s="17">
        <v>44925</v>
      </c>
      <c r="FGN613" s="5" t="s">
        <v>3728</v>
      </c>
      <c r="FGO613" s="17">
        <v>44925</v>
      </c>
      <c r="FGP613" s="5" t="s">
        <v>3728</v>
      </c>
      <c r="FGQ613" s="17">
        <v>44925</v>
      </c>
      <c r="FGR613" s="5" t="s">
        <v>3728</v>
      </c>
      <c r="FGS613" s="17">
        <v>44925</v>
      </c>
      <c r="FGT613" s="5" t="s">
        <v>3728</v>
      </c>
      <c r="FGU613" s="17">
        <v>44925</v>
      </c>
      <c r="FGV613" s="5" t="s">
        <v>3728</v>
      </c>
      <c r="FGW613" s="17">
        <v>44925</v>
      </c>
      <c r="FGX613" s="5" t="s">
        <v>3728</v>
      </c>
      <c r="FGY613" s="17">
        <v>44925</v>
      </c>
      <c r="FGZ613" s="5" t="s">
        <v>3728</v>
      </c>
      <c r="FHA613" s="17">
        <v>44925</v>
      </c>
      <c r="FHB613" s="5" t="s">
        <v>3728</v>
      </c>
      <c r="FHC613" s="17">
        <v>44925</v>
      </c>
      <c r="FHD613" s="5" t="s">
        <v>3728</v>
      </c>
      <c r="FHE613" s="17">
        <v>44925</v>
      </c>
      <c r="FHF613" s="5" t="s">
        <v>3728</v>
      </c>
      <c r="FHG613" s="17">
        <v>44925</v>
      </c>
      <c r="FHH613" s="5" t="s">
        <v>3728</v>
      </c>
      <c r="FHI613" s="17">
        <v>44925</v>
      </c>
      <c r="FHJ613" s="5" t="s">
        <v>3728</v>
      </c>
      <c r="FHK613" s="17">
        <v>44925</v>
      </c>
      <c r="FHL613" s="5" t="s">
        <v>3728</v>
      </c>
      <c r="FHM613" s="17">
        <v>44925</v>
      </c>
      <c r="FHN613" s="5" t="s">
        <v>3728</v>
      </c>
      <c r="FHO613" s="17">
        <v>44925</v>
      </c>
      <c r="FHP613" s="5" t="s">
        <v>3728</v>
      </c>
      <c r="FHQ613" s="17">
        <v>44925</v>
      </c>
      <c r="FHR613" s="5" t="s">
        <v>3728</v>
      </c>
      <c r="FHS613" s="17">
        <v>44925</v>
      </c>
      <c r="FHT613" s="5" t="s">
        <v>3728</v>
      </c>
      <c r="FHU613" s="17">
        <v>44925</v>
      </c>
      <c r="FHV613" s="5" t="s">
        <v>3728</v>
      </c>
      <c r="FHW613" s="17">
        <v>44925</v>
      </c>
      <c r="FHX613" s="5" t="s">
        <v>3728</v>
      </c>
      <c r="FHY613" s="17">
        <v>44925</v>
      </c>
      <c r="FHZ613" s="5" t="s">
        <v>3728</v>
      </c>
      <c r="FIA613" s="17">
        <v>44925</v>
      </c>
      <c r="FIB613" s="5" t="s">
        <v>3728</v>
      </c>
      <c r="FIC613" s="17">
        <v>44925</v>
      </c>
      <c r="FID613" s="5" t="s">
        <v>3728</v>
      </c>
      <c r="FIE613" s="17">
        <v>44925</v>
      </c>
      <c r="FIF613" s="5" t="s">
        <v>3728</v>
      </c>
      <c r="FIG613" s="17">
        <v>44925</v>
      </c>
      <c r="FIH613" s="5" t="s">
        <v>3728</v>
      </c>
      <c r="FII613" s="17">
        <v>44925</v>
      </c>
      <c r="FIJ613" s="5" t="s">
        <v>3728</v>
      </c>
      <c r="FIK613" s="17">
        <v>44925</v>
      </c>
      <c r="FIL613" s="5" t="s">
        <v>3728</v>
      </c>
      <c r="FIM613" s="17">
        <v>44925</v>
      </c>
      <c r="FIN613" s="5" t="s">
        <v>3728</v>
      </c>
      <c r="FIO613" s="17">
        <v>44925</v>
      </c>
      <c r="FIP613" s="5" t="s">
        <v>3728</v>
      </c>
      <c r="FIQ613" s="17">
        <v>44925</v>
      </c>
      <c r="FIR613" s="5" t="s">
        <v>3728</v>
      </c>
      <c r="FIS613" s="17">
        <v>44925</v>
      </c>
      <c r="FIT613" s="5" t="s">
        <v>3728</v>
      </c>
      <c r="FIU613" s="17">
        <v>44925</v>
      </c>
      <c r="FIV613" s="5" t="s">
        <v>3728</v>
      </c>
      <c r="FIW613" s="17">
        <v>44925</v>
      </c>
      <c r="FIX613" s="5" t="s">
        <v>3728</v>
      </c>
      <c r="FIY613" s="17">
        <v>44925</v>
      </c>
      <c r="FIZ613" s="5" t="s">
        <v>3728</v>
      </c>
      <c r="FJA613" s="17">
        <v>44925</v>
      </c>
      <c r="FJB613" s="5" t="s">
        <v>3728</v>
      </c>
      <c r="FJC613" s="17">
        <v>44925</v>
      </c>
      <c r="FJD613" s="5" t="s">
        <v>3728</v>
      </c>
      <c r="FJE613" s="17">
        <v>44925</v>
      </c>
      <c r="FJF613" s="5" t="s">
        <v>3728</v>
      </c>
      <c r="FJG613" s="17">
        <v>44925</v>
      </c>
      <c r="FJH613" s="5" t="s">
        <v>3728</v>
      </c>
      <c r="FJI613" s="17">
        <v>44925</v>
      </c>
      <c r="FJJ613" s="5" t="s">
        <v>3728</v>
      </c>
      <c r="FJK613" s="17">
        <v>44925</v>
      </c>
      <c r="FJL613" s="5" t="s">
        <v>3728</v>
      </c>
      <c r="FJM613" s="17">
        <v>44925</v>
      </c>
      <c r="FJN613" s="5" t="s">
        <v>3728</v>
      </c>
      <c r="FJO613" s="17">
        <v>44925</v>
      </c>
      <c r="FJP613" s="5" t="s">
        <v>3728</v>
      </c>
      <c r="FJQ613" s="17">
        <v>44925</v>
      </c>
      <c r="FJR613" s="5" t="s">
        <v>3728</v>
      </c>
      <c r="FJS613" s="17">
        <v>44925</v>
      </c>
      <c r="FJT613" s="5" t="s">
        <v>3728</v>
      </c>
      <c r="FJU613" s="17">
        <v>44925</v>
      </c>
      <c r="FJV613" s="5" t="s">
        <v>3728</v>
      </c>
      <c r="FJW613" s="17">
        <v>44925</v>
      </c>
      <c r="FJX613" s="5" t="s">
        <v>3728</v>
      </c>
      <c r="FJY613" s="17">
        <v>44925</v>
      </c>
      <c r="FJZ613" s="5" t="s">
        <v>3728</v>
      </c>
      <c r="FKA613" s="17">
        <v>44925</v>
      </c>
      <c r="FKB613" s="5" t="s">
        <v>3728</v>
      </c>
      <c r="FKC613" s="17">
        <v>44925</v>
      </c>
      <c r="FKD613" s="5" t="s">
        <v>3728</v>
      </c>
      <c r="FKE613" s="17">
        <v>44925</v>
      </c>
      <c r="FKF613" s="5" t="s">
        <v>3728</v>
      </c>
      <c r="FKG613" s="17">
        <v>44925</v>
      </c>
      <c r="FKH613" s="5" t="s">
        <v>3728</v>
      </c>
      <c r="FKI613" s="17">
        <v>44925</v>
      </c>
      <c r="FKJ613" s="5" t="s">
        <v>3728</v>
      </c>
      <c r="FKK613" s="17">
        <v>44925</v>
      </c>
      <c r="FKL613" s="5" t="s">
        <v>3728</v>
      </c>
      <c r="FKM613" s="17">
        <v>44925</v>
      </c>
      <c r="FKN613" s="5" t="s">
        <v>3728</v>
      </c>
      <c r="FKO613" s="17">
        <v>44925</v>
      </c>
      <c r="FKP613" s="5" t="s">
        <v>3728</v>
      </c>
      <c r="FKQ613" s="17">
        <v>44925</v>
      </c>
      <c r="FKR613" s="5" t="s">
        <v>3728</v>
      </c>
      <c r="FKS613" s="17">
        <v>44925</v>
      </c>
      <c r="FKT613" s="5" t="s">
        <v>3728</v>
      </c>
      <c r="FKU613" s="17">
        <v>44925</v>
      </c>
      <c r="FKV613" s="5" t="s">
        <v>3728</v>
      </c>
      <c r="FKW613" s="17">
        <v>44925</v>
      </c>
      <c r="FKX613" s="5" t="s">
        <v>3728</v>
      </c>
      <c r="FKY613" s="17">
        <v>44925</v>
      </c>
      <c r="FKZ613" s="5" t="s">
        <v>3728</v>
      </c>
      <c r="FLA613" s="17">
        <v>44925</v>
      </c>
      <c r="FLB613" s="5" t="s">
        <v>3728</v>
      </c>
      <c r="FLC613" s="17">
        <v>44925</v>
      </c>
      <c r="FLD613" s="5" t="s">
        <v>3728</v>
      </c>
      <c r="FLE613" s="17">
        <v>44925</v>
      </c>
      <c r="FLF613" s="5" t="s">
        <v>3728</v>
      </c>
      <c r="FLG613" s="17">
        <v>44925</v>
      </c>
      <c r="FLH613" s="5" t="s">
        <v>3728</v>
      </c>
      <c r="FLI613" s="17">
        <v>44925</v>
      </c>
      <c r="FLJ613" s="5" t="s">
        <v>3728</v>
      </c>
      <c r="FLK613" s="17">
        <v>44925</v>
      </c>
      <c r="FLL613" s="5" t="s">
        <v>3728</v>
      </c>
      <c r="FLM613" s="17">
        <v>44925</v>
      </c>
      <c r="FLN613" s="5" t="s">
        <v>3728</v>
      </c>
      <c r="FLO613" s="17">
        <v>44925</v>
      </c>
      <c r="FLP613" s="5" t="s">
        <v>3728</v>
      </c>
      <c r="FLQ613" s="17">
        <v>44925</v>
      </c>
      <c r="FLR613" s="5" t="s">
        <v>3728</v>
      </c>
      <c r="FLS613" s="17">
        <v>44925</v>
      </c>
      <c r="FLT613" s="5" t="s">
        <v>3728</v>
      </c>
      <c r="FLU613" s="17">
        <v>44925</v>
      </c>
      <c r="FLV613" s="5" t="s">
        <v>3728</v>
      </c>
      <c r="FLW613" s="17">
        <v>44925</v>
      </c>
      <c r="FLX613" s="5" t="s">
        <v>3728</v>
      </c>
      <c r="FLY613" s="17">
        <v>44925</v>
      </c>
      <c r="FLZ613" s="5" t="s">
        <v>3728</v>
      </c>
      <c r="FMA613" s="17">
        <v>44925</v>
      </c>
      <c r="FMB613" s="5" t="s">
        <v>3728</v>
      </c>
      <c r="FMC613" s="17">
        <v>44925</v>
      </c>
      <c r="FMD613" s="5" t="s">
        <v>3728</v>
      </c>
      <c r="FME613" s="17">
        <v>44925</v>
      </c>
      <c r="FMF613" s="5" t="s">
        <v>3728</v>
      </c>
      <c r="FMG613" s="17">
        <v>44925</v>
      </c>
      <c r="FMH613" s="5" t="s">
        <v>3728</v>
      </c>
      <c r="FMI613" s="17">
        <v>44925</v>
      </c>
      <c r="FMJ613" s="5" t="s">
        <v>3728</v>
      </c>
      <c r="FMK613" s="17">
        <v>44925</v>
      </c>
      <c r="FML613" s="5" t="s">
        <v>3728</v>
      </c>
      <c r="FMM613" s="17">
        <v>44925</v>
      </c>
      <c r="FMN613" s="5" t="s">
        <v>3728</v>
      </c>
      <c r="FMO613" s="17">
        <v>44925</v>
      </c>
      <c r="FMP613" s="5" t="s">
        <v>3728</v>
      </c>
      <c r="FMQ613" s="17">
        <v>44925</v>
      </c>
      <c r="FMR613" s="5" t="s">
        <v>3728</v>
      </c>
      <c r="FMS613" s="17">
        <v>44925</v>
      </c>
      <c r="FMT613" s="5" t="s">
        <v>3728</v>
      </c>
      <c r="FMU613" s="17">
        <v>44925</v>
      </c>
      <c r="FMV613" s="5" t="s">
        <v>3728</v>
      </c>
      <c r="FMW613" s="17">
        <v>44925</v>
      </c>
      <c r="FMX613" s="5" t="s">
        <v>3728</v>
      </c>
      <c r="FMY613" s="17">
        <v>44925</v>
      </c>
      <c r="FMZ613" s="5" t="s">
        <v>3728</v>
      </c>
      <c r="FNA613" s="17">
        <v>44925</v>
      </c>
      <c r="FNB613" s="5" t="s">
        <v>3728</v>
      </c>
      <c r="FNC613" s="17">
        <v>44925</v>
      </c>
      <c r="FND613" s="5" t="s">
        <v>3728</v>
      </c>
      <c r="FNE613" s="17">
        <v>44925</v>
      </c>
      <c r="FNF613" s="5" t="s">
        <v>3728</v>
      </c>
      <c r="FNG613" s="17">
        <v>44925</v>
      </c>
      <c r="FNH613" s="5" t="s">
        <v>3728</v>
      </c>
      <c r="FNI613" s="17">
        <v>44925</v>
      </c>
      <c r="FNJ613" s="5" t="s">
        <v>3728</v>
      </c>
      <c r="FNK613" s="17">
        <v>44925</v>
      </c>
      <c r="FNL613" s="5" t="s">
        <v>3728</v>
      </c>
      <c r="FNM613" s="17">
        <v>44925</v>
      </c>
      <c r="FNN613" s="5" t="s">
        <v>3728</v>
      </c>
      <c r="FNO613" s="17">
        <v>44925</v>
      </c>
      <c r="FNP613" s="5" t="s">
        <v>3728</v>
      </c>
      <c r="FNQ613" s="17">
        <v>44925</v>
      </c>
      <c r="FNR613" s="5" t="s">
        <v>3728</v>
      </c>
      <c r="FNS613" s="17">
        <v>44925</v>
      </c>
      <c r="FNT613" s="5" t="s">
        <v>3728</v>
      </c>
      <c r="FNU613" s="17">
        <v>44925</v>
      </c>
      <c r="FNV613" s="5" t="s">
        <v>3728</v>
      </c>
      <c r="FNW613" s="17">
        <v>44925</v>
      </c>
      <c r="FNX613" s="5" t="s">
        <v>3728</v>
      </c>
      <c r="FNY613" s="17">
        <v>44925</v>
      </c>
      <c r="FNZ613" s="5" t="s">
        <v>3728</v>
      </c>
      <c r="FOA613" s="17">
        <v>44925</v>
      </c>
      <c r="FOB613" s="5" t="s">
        <v>3728</v>
      </c>
      <c r="FOC613" s="17">
        <v>44925</v>
      </c>
      <c r="FOD613" s="5" t="s">
        <v>3728</v>
      </c>
      <c r="FOE613" s="17">
        <v>44925</v>
      </c>
      <c r="FOF613" s="5" t="s">
        <v>3728</v>
      </c>
      <c r="FOG613" s="17">
        <v>44925</v>
      </c>
      <c r="FOH613" s="5" t="s">
        <v>3728</v>
      </c>
      <c r="FOI613" s="17">
        <v>44925</v>
      </c>
      <c r="FOJ613" s="5" t="s">
        <v>3728</v>
      </c>
      <c r="FOK613" s="17">
        <v>44925</v>
      </c>
      <c r="FOL613" s="5" t="s">
        <v>3728</v>
      </c>
      <c r="FOM613" s="17">
        <v>44925</v>
      </c>
      <c r="FON613" s="5" t="s">
        <v>3728</v>
      </c>
      <c r="FOO613" s="17">
        <v>44925</v>
      </c>
      <c r="FOP613" s="5" t="s">
        <v>3728</v>
      </c>
      <c r="FOQ613" s="17">
        <v>44925</v>
      </c>
      <c r="FOR613" s="5" t="s">
        <v>3728</v>
      </c>
      <c r="FOS613" s="17">
        <v>44925</v>
      </c>
      <c r="FOT613" s="5" t="s">
        <v>3728</v>
      </c>
      <c r="FOU613" s="17">
        <v>44925</v>
      </c>
      <c r="FOV613" s="5" t="s">
        <v>3728</v>
      </c>
      <c r="FOW613" s="17">
        <v>44925</v>
      </c>
      <c r="FOX613" s="5" t="s">
        <v>3728</v>
      </c>
      <c r="FOY613" s="17">
        <v>44925</v>
      </c>
      <c r="FOZ613" s="5" t="s">
        <v>3728</v>
      </c>
      <c r="FPA613" s="17">
        <v>44925</v>
      </c>
      <c r="FPB613" s="5" t="s">
        <v>3728</v>
      </c>
      <c r="FPC613" s="17">
        <v>44925</v>
      </c>
      <c r="FPD613" s="5" t="s">
        <v>3728</v>
      </c>
      <c r="FPE613" s="17">
        <v>44925</v>
      </c>
      <c r="FPF613" s="5" t="s">
        <v>3728</v>
      </c>
      <c r="FPG613" s="17">
        <v>44925</v>
      </c>
      <c r="FPH613" s="5" t="s">
        <v>3728</v>
      </c>
      <c r="FPI613" s="17">
        <v>44925</v>
      </c>
      <c r="FPJ613" s="5" t="s">
        <v>3728</v>
      </c>
      <c r="FPK613" s="17">
        <v>44925</v>
      </c>
      <c r="FPL613" s="5" t="s">
        <v>3728</v>
      </c>
      <c r="FPM613" s="17">
        <v>44925</v>
      </c>
      <c r="FPN613" s="5" t="s">
        <v>3728</v>
      </c>
      <c r="FPO613" s="17">
        <v>44925</v>
      </c>
      <c r="FPP613" s="5" t="s">
        <v>3728</v>
      </c>
      <c r="FPQ613" s="17">
        <v>44925</v>
      </c>
      <c r="FPR613" s="5" t="s">
        <v>3728</v>
      </c>
      <c r="FPS613" s="17">
        <v>44925</v>
      </c>
      <c r="FPT613" s="5" t="s">
        <v>3728</v>
      </c>
      <c r="FPU613" s="17">
        <v>44925</v>
      </c>
      <c r="FPV613" s="5" t="s">
        <v>3728</v>
      </c>
      <c r="FPW613" s="17">
        <v>44925</v>
      </c>
      <c r="FPX613" s="5" t="s">
        <v>3728</v>
      </c>
      <c r="FPY613" s="17">
        <v>44925</v>
      </c>
      <c r="FPZ613" s="5" t="s">
        <v>3728</v>
      </c>
      <c r="FQA613" s="17">
        <v>44925</v>
      </c>
      <c r="FQB613" s="5" t="s">
        <v>3728</v>
      </c>
      <c r="FQC613" s="17">
        <v>44925</v>
      </c>
      <c r="FQD613" s="5" t="s">
        <v>3728</v>
      </c>
      <c r="FQE613" s="17">
        <v>44925</v>
      </c>
      <c r="FQF613" s="5" t="s">
        <v>3728</v>
      </c>
      <c r="FQG613" s="17">
        <v>44925</v>
      </c>
      <c r="FQH613" s="5" t="s">
        <v>3728</v>
      </c>
      <c r="FQI613" s="17">
        <v>44925</v>
      </c>
      <c r="FQJ613" s="5" t="s">
        <v>3728</v>
      </c>
      <c r="FQK613" s="17">
        <v>44925</v>
      </c>
      <c r="FQL613" s="5" t="s">
        <v>3728</v>
      </c>
      <c r="FQM613" s="17">
        <v>44925</v>
      </c>
      <c r="FQN613" s="5" t="s">
        <v>3728</v>
      </c>
      <c r="FQO613" s="17">
        <v>44925</v>
      </c>
      <c r="FQP613" s="5" t="s">
        <v>3728</v>
      </c>
      <c r="FQQ613" s="17">
        <v>44925</v>
      </c>
      <c r="FQR613" s="5" t="s">
        <v>3728</v>
      </c>
      <c r="FQS613" s="17">
        <v>44925</v>
      </c>
      <c r="FQT613" s="5" t="s">
        <v>3728</v>
      </c>
      <c r="FQU613" s="17">
        <v>44925</v>
      </c>
      <c r="FQV613" s="5" t="s">
        <v>3728</v>
      </c>
      <c r="FQW613" s="17">
        <v>44925</v>
      </c>
      <c r="FQX613" s="5" t="s">
        <v>3728</v>
      </c>
      <c r="FQY613" s="17">
        <v>44925</v>
      </c>
      <c r="FQZ613" s="5" t="s">
        <v>3728</v>
      </c>
      <c r="FRA613" s="17">
        <v>44925</v>
      </c>
      <c r="FRB613" s="5" t="s">
        <v>3728</v>
      </c>
      <c r="FRC613" s="17">
        <v>44925</v>
      </c>
      <c r="FRD613" s="5" t="s">
        <v>3728</v>
      </c>
      <c r="FRE613" s="17">
        <v>44925</v>
      </c>
      <c r="FRF613" s="5" t="s">
        <v>3728</v>
      </c>
      <c r="FRG613" s="17">
        <v>44925</v>
      </c>
      <c r="FRH613" s="5" t="s">
        <v>3728</v>
      </c>
      <c r="FRI613" s="17">
        <v>44925</v>
      </c>
      <c r="FRJ613" s="5" t="s">
        <v>3728</v>
      </c>
      <c r="FRK613" s="17">
        <v>44925</v>
      </c>
      <c r="FRL613" s="5" t="s">
        <v>3728</v>
      </c>
      <c r="FRM613" s="17">
        <v>44925</v>
      </c>
      <c r="FRN613" s="5" t="s">
        <v>3728</v>
      </c>
      <c r="FRO613" s="17">
        <v>44925</v>
      </c>
      <c r="FRP613" s="5" t="s">
        <v>3728</v>
      </c>
      <c r="FRQ613" s="17">
        <v>44925</v>
      </c>
      <c r="FRR613" s="5" t="s">
        <v>3728</v>
      </c>
      <c r="FRS613" s="17">
        <v>44925</v>
      </c>
      <c r="FRT613" s="5" t="s">
        <v>3728</v>
      </c>
      <c r="FRU613" s="17">
        <v>44925</v>
      </c>
      <c r="FRV613" s="5" t="s">
        <v>3728</v>
      </c>
      <c r="FRW613" s="17">
        <v>44925</v>
      </c>
      <c r="FRX613" s="5" t="s">
        <v>3728</v>
      </c>
      <c r="FRY613" s="17">
        <v>44925</v>
      </c>
      <c r="FRZ613" s="5" t="s">
        <v>3728</v>
      </c>
      <c r="FSA613" s="17">
        <v>44925</v>
      </c>
      <c r="FSB613" s="5" t="s">
        <v>3728</v>
      </c>
      <c r="FSC613" s="17">
        <v>44925</v>
      </c>
      <c r="FSD613" s="5" t="s">
        <v>3728</v>
      </c>
      <c r="FSE613" s="17">
        <v>44925</v>
      </c>
      <c r="FSF613" s="5" t="s">
        <v>3728</v>
      </c>
      <c r="FSG613" s="17">
        <v>44925</v>
      </c>
      <c r="FSH613" s="5" t="s">
        <v>3728</v>
      </c>
      <c r="FSI613" s="17">
        <v>44925</v>
      </c>
      <c r="FSJ613" s="5" t="s">
        <v>3728</v>
      </c>
      <c r="FSK613" s="17">
        <v>44925</v>
      </c>
      <c r="FSL613" s="5" t="s">
        <v>3728</v>
      </c>
      <c r="FSM613" s="17">
        <v>44925</v>
      </c>
      <c r="FSN613" s="5" t="s">
        <v>3728</v>
      </c>
      <c r="FSO613" s="17">
        <v>44925</v>
      </c>
      <c r="FSP613" s="5" t="s">
        <v>3728</v>
      </c>
      <c r="FSQ613" s="17">
        <v>44925</v>
      </c>
      <c r="FSR613" s="5" t="s">
        <v>3728</v>
      </c>
      <c r="FSS613" s="17">
        <v>44925</v>
      </c>
      <c r="FST613" s="5" t="s">
        <v>3728</v>
      </c>
      <c r="FSU613" s="17">
        <v>44925</v>
      </c>
      <c r="FSV613" s="5" t="s">
        <v>3728</v>
      </c>
      <c r="FSW613" s="17">
        <v>44925</v>
      </c>
      <c r="FSX613" s="5" t="s">
        <v>3728</v>
      </c>
      <c r="FSY613" s="17">
        <v>44925</v>
      </c>
      <c r="FSZ613" s="5" t="s">
        <v>3728</v>
      </c>
      <c r="FTA613" s="17">
        <v>44925</v>
      </c>
      <c r="FTB613" s="5" t="s">
        <v>3728</v>
      </c>
      <c r="FTC613" s="17">
        <v>44925</v>
      </c>
      <c r="FTD613" s="5" t="s">
        <v>3728</v>
      </c>
      <c r="FTE613" s="17">
        <v>44925</v>
      </c>
      <c r="FTF613" s="5" t="s">
        <v>3728</v>
      </c>
      <c r="FTG613" s="17">
        <v>44925</v>
      </c>
      <c r="FTH613" s="5" t="s">
        <v>3728</v>
      </c>
      <c r="FTI613" s="17">
        <v>44925</v>
      </c>
      <c r="FTJ613" s="5" t="s">
        <v>3728</v>
      </c>
      <c r="FTK613" s="17">
        <v>44925</v>
      </c>
      <c r="FTL613" s="5" t="s">
        <v>3728</v>
      </c>
      <c r="FTM613" s="17">
        <v>44925</v>
      </c>
      <c r="FTN613" s="5" t="s">
        <v>3728</v>
      </c>
      <c r="FTO613" s="17">
        <v>44925</v>
      </c>
      <c r="FTP613" s="5" t="s">
        <v>3728</v>
      </c>
      <c r="FTQ613" s="17">
        <v>44925</v>
      </c>
      <c r="FTR613" s="5" t="s">
        <v>3728</v>
      </c>
      <c r="FTS613" s="17">
        <v>44925</v>
      </c>
      <c r="FTT613" s="5" t="s">
        <v>3728</v>
      </c>
      <c r="FTU613" s="17">
        <v>44925</v>
      </c>
      <c r="FTV613" s="5" t="s">
        <v>3728</v>
      </c>
      <c r="FTW613" s="17">
        <v>44925</v>
      </c>
      <c r="FTX613" s="5" t="s">
        <v>3728</v>
      </c>
      <c r="FTY613" s="17">
        <v>44925</v>
      </c>
      <c r="FTZ613" s="5" t="s">
        <v>3728</v>
      </c>
      <c r="FUA613" s="17">
        <v>44925</v>
      </c>
      <c r="FUB613" s="5" t="s">
        <v>3728</v>
      </c>
      <c r="FUC613" s="17">
        <v>44925</v>
      </c>
      <c r="FUD613" s="5" t="s">
        <v>3728</v>
      </c>
      <c r="FUE613" s="17">
        <v>44925</v>
      </c>
      <c r="FUF613" s="5" t="s">
        <v>3728</v>
      </c>
      <c r="FUG613" s="17">
        <v>44925</v>
      </c>
      <c r="FUH613" s="5" t="s">
        <v>3728</v>
      </c>
      <c r="FUI613" s="17">
        <v>44925</v>
      </c>
      <c r="FUJ613" s="5" t="s">
        <v>3728</v>
      </c>
      <c r="FUK613" s="17">
        <v>44925</v>
      </c>
      <c r="FUL613" s="5" t="s">
        <v>3728</v>
      </c>
      <c r="FUM613" s="17">
        <v>44925</v>
      </c>
      <c r="FUN613" s="5" t="s">
        <v>3728</v>
      </c>
      <c r="FUO613" s="17">
        <v>44925</v>
      </c>
      <c r="FUP613" s="5" t="s">
        <v>3728</v>
      </c>
      <c r="FUQ613" s="17">
        <v>44925</v>
      </c>
      <c r="FUR613" s="5" t="s">
        <v>3728</v>
      </c>
      <c r="FUS613" s="17">
        <v>44925</v>
      </c>
      <c r="FUT613" s="5" t="s">
        <v>3728</v>
      </c>
      <c r="FUU613" s="17">
        <v>44925</v>
      </c>
      <c r="FUV613" s="5" t="s">
        <v>3728</v>
      </c>
      <c r="FUW613" s="17">
        <v>44925</v>
      </c>
      <c r="FUX613" s="5" t="s">
        <v>3728</v>
      </c>
      <c r="FUY613" s="17">
        <v>44925</v>
      </c>
      <c r="FUZ613" s="5" t="s">
        <v>3728</v>
      </c>
      <c r="FVA613" s="17">
        <v>44925</v>
      </c>
      <c r="FVB613" s="5" t="s">
        <v>3728</v>
      </c>
      <c r="FVC613" s="17">
        <v>44925</v>
      </c>
      <c r="FVD613" s="5" t="s">
        <v>3728</v>
      </c>
      <c r="FVE613" s="17">
        <v>44925</v>
      </c>
      <c r="FVF613" s="5" t="s">
        <v>3728</v>
      </c>
      <c r="FVG613" s="17">
        <v>44925</v>
      </c>
      <c r="FVH613" s="5" t="s">
        <v>3728</v>
      </c>
      <c r="FVI613" s="17">
        <v>44925</v>
      </c>
      <c r="FVJ613" s="5" t="s">
        <v>3728</v>
      </c>
      <c r="FVK613" s="17">
        <v>44925</v>
      </c>
      <c r="FVL613" s="5" t="s">
        <v>3728</v>
      </c>
      <c r="FVM613" s="17">
        <v>44925</v>
      </c>
      <c r="FVN613" s="5" t="s">
        <v>3728</v>
      </c>
      <c r="FVO613" s="17">
        <v>44925</v>
      </c>
      <c r="FVP613" s="5" t="s">
        <v>3728</v>
      </c>
      <c r="FVQ613" s="17">
        <v>44925</v>
      </c>
      <c r="FVR613" s="5" t="s">
        <v>3728</v>
      </c>
      <c r="FVS613" s="17">
        <v>44925</v>
      </c>
      <c r="FVT613" s="5" t="s">
        <v>3728</v>
      </c>
      <c r="FVU613" s="17">
        <v>44925</v>
      </c>
      <c r="FVV613" s="5" t="s">
        <v>3728</v>
      </c>
      <c r="FVW613" s="17">
        <v>44925</v>
      </c>
      <c r="FVX613" s="5" t="s">
        <v>3728</v>
      </c>
      <c r="FVY613" s="17">
        <v>44925</v>
      </c>
      <c r="FVZ613" s="5" t="s">
        <v>3728</v>
      </c>
      <c r="FWA613" s="17">
        <v>44925</v>
      </c>
      <c r="FWB613" s="5" t="s">
        <v>3728</v>
      </c>
      <c r="FWC613" s="17">
        <v>44925</v>
      </c>
      <c r="FWD613" s="5" t="s">
        <v>3728</v>
      </c>
      <c r="FWE613" s="17">
        <v>44925</v>
      </c>
      <c r="FWF613" s="5" t="s">
        <v>3728</v>
      </c>
      <c r="FWG613" s="17">
        <v>44925</v>
      </c>
      <c r="FWH613" s="5" t="s">
        <v>3728</v>
      </c>
      <c r="FWI613" s="17">
        <v>44925</v>
      </c>
      <c r="FWJ613" s="5" t="s">
        <v>3728</v>
      </c>
      <c r="FWK613" s="17">
        <v>44925</v>
      </c>
      <c r="FWL613" s="5" t="s">
        <v>3728</v>
      </c>
      <c r="FWM613" s="17">
        <v>44925</v>
      </c>
      <c r="FWN613" s="5" t="s">
        <v>3728</v>
      </c>
      <c r="FWO613" s="17">
        <v>44925</v>
      </c>
      <c r="FWP613" s="5" t="s">
        <v>3728</v>
      </c>
      <c r="FWQ613" s="17">
        <v>44925</v>
      </c>
      <c r="FWR613" s="5" t="s">
        <v>3728</v>
      </c>
      <c r="FWS613" s="17">
        <v>44925</v>
      </c>
      <c r="FWT613" s="5" t="s">
        <v>3728</v>
      </c>
      <c r="FWU613" s="17">
        <v>44925</v>
      </c>
      <c r="FWV613" s="5" t="s">
        <v>3728</v>
      </c>
      <c r="FWW613" s="17">
        <v>44925</v>
      </c>
      <c r="FWX613" s="5" t="s">
        <v>3728</v>
      </c>
      <c r="FWY613" s="17">
        <v>44925</v>
      </c>
      <c r="FWZ613" s="5" t="s">
        <v>3728</v>
      </c>
      <c r="FXA613" s="17">
        <v>44925</v>
      </c>
      <c r="FXB613" s="5" t="s">
        <v>3728</v>
      </c>
      <c r="FXC613" s="17">
        <v>44925</v>
      </c>
      <c r="FXD613" s="5" t="s">
        <v>3728</v>
      </c>
      <c r="FXE613" s="17">
        <v>44925</v>
      </c>
      <c r="FXF613" s="5" t="s">
        <v>3728</v>
      </c>
      <c r="FXG613" s="17">
        <v>44925</v>
      </c>
      <c r="FXH613" s="5" t="s">
        <v>3728</v>
      </c>
      <c r="FXI613" s="17">
        <v>44925</v>
      </c>
      <c r="FXJ613" s="5" t="s">
        <v>3728</v>
      </c>
      <c r="FXK613" s="17">
        <v>44925</v>
      </c>
      <c r="FXL613" s="5" t="s">
        <v>3728</v>
      </c>
      <c r="FXM613" s="17">
        <v>44925</v>
      </c>
      <c r="FXN613" s="5" t="s">
        <v>3728</v>
      </c>
      <c r="FXO613" s="17">
        <v>44925</v>
      </c>
      <c r="FXP613" s="5" t="s">
        <v>3728</v>
      </c>
      <c r="FXQ613" s="17">
        <v>44925</v>
      </c>
      <c r="FXR613" s="5" t="s">
        <v>3728</v>
      </c>
      <c r="FXS613" s="17">
        <v>44925</v>
      </c>
      <c r="FXT613" s="5" t="s">
        <v>3728</v>
      </c>
      <c r="FXU613" s="17">
        <v>44925</v>
      </c>
      <c r="FXV613" s="5" t="s">
        <v>3728</v>
      </c>
      <c r="FXW613" s="17">
        <v>44925</v>
      </c>
      <c r="FXX613" s="5" t="s">
        <v>3728</v>
      </c>
      <c r="FXY613" s="17">
        <v>44925</v>
      </c>
      <c r="FXZ613" s="5" t="s">
        <v>3728</v>
      </c>
      <c r="FYA613" s="17">
        <v>44925</v>
      </c>
      <c r="FYB613" s="5" t="s">
        <v>3728</v>
      </c>
      <c r="FYC613" s="17">
        <v>44925</v>
      </c>
      <c r="FYD613" s="5" t="s">
        <v>3728</v>
      </c>
      <c r="FYE613" s="17">
        <v>44925</v>
      </c>
      <c r="FYF613" s="5" t="s">
        <v>3728</v>
      </c>
      <c r="FYG613" s="17">
        <v>44925</v>
      </c>
      <c r="FYH613" s="5" t="s">
        <v>3728</v>
      </c>
      <c r="FYI613" s="17">
        <v>44925</v>
      </c>
      <c r="FYJ613" s="5" t="s">
        <v>3728</v>
      </c>
      <c r="FYK613" s="17">
        <v>44925</v>
      </c>
      <c r="FYL613" s="5" t="s">
        <v>3728</v>
      </c>
      <c r="FYM613" s="17">
        <v>44925</v>
      </c>
      <c r="FYN613" s="5" t="s">
        <v>3728</v>
      </c>
      <c r="FYO613" s="17">
        <v>44925</v>
      </c>
      <c r="FYP613" s="5" t="s">
        <v>3728</v>
      </c>
      <c r="FYQ613" s="17">
        <v>44925</v>
      </c>
      <c r="FYR613" s="5" t="s">
        <v>3728</v>
      </c>
      <c r="FYS613" s="17">
        <v>44925</v>
      </c>
      <c r="FYT613" s="5" t="s">
        <v>3728</v>
      </c>
      <c r="FYU613" s="17">
        <v>44925</v>
      </c>
      <c r="FYV613" s="5" t="s">
        <v>3728</v>
      </c>
      <c r="FYW613" s="17">
        <v>44925</v>
      </c>
      <c r="FYX613" s="5" t="s">
        <v>3728</v>
      </c>
      <c r="FYY613" s="17">
        <v>44925</v>
      </c>
      <c r="FYZ613" s="5" t="s">
        <v>3728</v>
      </c>
      <c r="FZA613" s="17">
        <v>44925</v>
      </c>
      <c r="FZB613" s="5" t="s">
        <v>3728</v>
      </c>
      <c r="FZC613" s="17">
        <v>44925</v>
      </c>
      <c r="FZD613" s="5" t="s">
        <v>3728</v>
      </c>
      <c r="FZE613" s="17">
        <v>44925</v>
      </c>
      <c r="FZF613" s="5" t="s">
        <v>3728</v>
      </c>
      <c r="FZG613" s="17">
        <v>44925</v>
      </c>
      <c r="FZH613" s="5" t="s">
        <v>3728</v>
      </c>
      <c r="FZI613" s="17">
        <v>44925</v>
      </c>
      <c r="FZJ613" s="5" t="s">
        <v>3728</v>
      </c>
      <c r="FZK613" s="17">
        <v>44925</v>
      </c>
      <c r="FZL613" s="5" t="s">
        <v>3728</v>
      </c>
      <c r="FZM613" s="17">
        <v>44925</v>
      </c>
      <c r="FZN613" s="5" t="s">
        <v>3728</v>
      </c>
      <c r="FZO613" s="17">
        <v>44925</v>
      </c>
      <c r="FZP613" s="5" t="s">
        <v>3728</v>
      </c>
      <c r="FZQ613" s="17">
        <v>44925</v>
      </c>
      <c r="FZR613" s="5" t="s">
        <v>3728</v>
      </c>
      <c r="FZS613" s="17">
        <v>44925</v>
      </c>
      <c r="FZT613" s="5" t="s">
        <v>3728</v>
      </c>
      <c r="FZU613" s="17">
        <v>44925</v>
      </c>
      <c r="FZV613" s="5" t="s">
        <v>3728</v>
      </c>
      <c r="FZW613" s="17">
        <v>44925</v>
      </c>
      <c r="FZX613" s="5" t="s">
        <v>3728</v>
      </c>
      <c r="FZY613" s="17">
        <v>44925</v>
      </c>
      <c r="FZZ613" s="5" t="s">
        <v>3728</v>
      </c>
      <c r="GAA613" s="17">
        <v>44925</v>
      </c>
      <c r="GAB613" s="5" t="s">
        <v>3728</v>
      </c>
      <c r="GAC613" s="17">
        <v>44925</v>
      </c>
      <c r="GAD613" s="5" t="s">
        <v>3728</v>
      </c>
      <c r="GAE613" s="17">
        <v>44925</v>
      </c>
      <c r="GAF613" s="5" t="s">
        <v>3728</v>
      </c>
      <c r="GAG613" s="17">
        <v>44925</v>
      </c>
      <c r="GAH613" s="5" t="s">
        <v>3728</v>
      </c>
      <c r="GAI613" s="17">
        <v>44925</v>
      </c>
      <c r="GAJ613" s="5" t="s">
        <v>3728</v>
      </c>
      <c r="GAK613" s="17">
        <v>44925</v>
      </c>
      <c r="GAL613" s="5" t="s">
        <v>3728</v>
      </c>
      <c r="GAM613" s="17">
        <v>44925</v>
      </c>
      <c r="GAN613" s="5" t="s">
        <v>3728</v>
      </c>
      <c r="GAO613" s="17">
        <v>44925</v>
      </c>
      <c r="GAP613" s="5" t="s">
        <v>3728</v>
      </c>
      <c r="GAQ613" s="17">
        <v>44925</v>
      </c>
      <c r="GAR613" s="5" t="s">
        <v>3728</v>
      </c>
      <c r="GAS613" s="17">
        <v>44925</v>
      </c>
      <c r="GAT613" s="5" t="s">
        <v>3728</v>
      </c>
      <c r="GAU613" s="17">
        <v>44925</v>
      </c>
      <c r="GAV613" s="5" t="s">
        <v>3728</v>
      </c>
      <c r="GAW613" s="17">
        <v>44925</v>
      </c>
      <c r="GAX613" s="5" t="s">
        <v>3728</v>
      </c>
      <c r="GAY613" s="17">
        <v>44925</v>
      </c>
      <c r="GAZ613" s="5" t="s">
        <v>3728</v>
      </c>
      <c r="GBA613" s="17">
        <v>44925</v>
      </c>
      <c r="GBB613" s="5" t="s">
        <v>3728</v>
      </c>
      <c r="GBC613" s="17">
        <v>44925</v>
      </c>
      <c r="GBD613" s="5" t="s">
        <v>3728</v>
      </c>
      <c r="GBE613" s="17">
        <v>44925</v>
      </c>
      <c r="GBF613" s="5" t="s">
        <v>3728</v>
      </c>
      <c r="GBG613" s="17">
        <v>44925</v>
      </c>
      <c r="GBH613" s="5" t="s">
        <v>3728</v>
      </c>
      <c r="GBI613" s="17">
        <v>44925</v>
      </c>
      <c r="GBJ613" s="5" t="s">
        <v>3728</v>
      </c>
      <c r="GBK613" s="17">
        <v>44925</v>
      </c>
      <c r="GBL613" s="5" t="s">
        <v>3728</v>
      </c>
      <c r="GBM613" s="17">
        <v>44925</v>
      </c>
      <c r="GBN613" s="5" t="s">
        <v>3728</v>
      </c>
      <c r="GBO613" s="17">
        <v>44925</v>
      </c>
      <c r="GBP613" s="5" t="s">
        <v>3728</v>
      </c>
      <c r="GBQ613" s="17">
        <v>44925</v>
      </c>
      <c r="GBR613" s="5" t="s">
        <v>3728</v>
      </c>
      <c r="GBS613" s="17">
        <v>44925</v>
      </c>
      <c r="GBT613" s="5" t="s">
        <v>3728</v>
      </c>
      <c r="GBU613" s="17">
        <v>44925</v>
      </c>
      <c r="GBV613" s="5" t="s">
        <v>3728</v>
      </c>
      <c r="GBW613" s="17">
        <v>44925</v>
      </c>
      <c r="GBX613" s="5" t="s">
        <v>3728</v>
      </c>
      <c r="GBY613" s="17">
        <v>44925</v>
      </c>
      <c r="GBZ613" s="5" t="s">
        <v>3728</v>
      </c>
      <c r="GCA613" s="17">
        <v>44925</v>
      </c>
      <c r="GCB613" s="5" t="s">
        <v>3728</v>
      </c>
      <c r="GCC613" s="17">
        <v>44925</v>
      </c>
      <c r="GCD613" s="5" t="s">
        <v>3728</v>
      </c>
      <c r="GCE613" s="17">
        <v>44925</v>
      </c>
      <c r="GCF613" s="5" t="s">
        <v>3728</v>
      </c>
      <c r="GCG613" s="17">
        <v>44925</v>
      </c>
      <c r="GCH613" s="5" t="s">
        <v>3728</v>
      </c>
      <c r="GCI613" s="17">
        <v>44925</v>
      </c>
      <c r="GCJ613" s="5" t="s">
        <v>3728</v>
      </c>
      <c r="GCK613" s="17">
        <v>44925</v>
      </c>
      <c r="GCL613" s="5" t="s">
        <v>3728</v>
      </c>
      <c r="GCM613" s="17">
        <v>44925</v>
      </c>
      <c r="GCN613" s="5" t="s">
        <v>3728</v>
      </c>
      <c r="GCO613" s="17">
        <v>44925</v>
      </c>
      <c r="GCP613" s="5" t="s">
        <v>3728</v>
      </c>
      <c r="GCQ613" s="17">
        <v>44925</v>
      </c>
      <c r="GCR613" s="5" t="s">
        <v>3728</v>
      </c>
      <c r="GCS613" s="17">
        <v>44925</v>
      </c>
      <c r="GCT613" s="5" t="s">
        <v>3728</v>
      </c>
      <c r="GCU613" s="17">
        <v>44925</v>
      </c>
      <c r="GCV613" s="5" t="s">
        <v>3728</v>
      </c>
      <c r="GCW613" s="17">
        <v>44925</v>
      </c>
      <c r="GCX613" s="5" t="s">
        <v>3728</v>
      </c>
      <c r="GCY613" s="17">
        <v>44925</v>
      </c>
      <c r="GCZ613" s="5" t="s">
        <v>3728</v>
      </c>
      <c r="GDA613" s="17">
        <v>44925</v>
      </c>
      <c r="GDB613" s="5" t="s">
        <v>3728</v>
      </c>
      <c r="GDC613" s="17">
        <v>44925</v>
      </c>
      <c r="GDD613" s="5" t="s">
        <v>3728</v>
      </c>
      <c r="GDE613" s="17">
        <v>44925</v>
      </c>
      <c r="GDF613" s="5" t="s">
        <v>3728</v>
      </c>
      <c r="GDG613" s="17">
        <v>44925</v>
      </c>
      <c r="GDH613" s="5" t="s">
        <v>3728</v>
      </c>
      <c r="GDI613" s="17">
        <v>44925</v>
      </c>
      <c r="GDJ613" s="5" t="s">
        <v>3728</v>
      </c>
      <c r="GDK613" s="17">
        <v>44925</v>
      </c>
      <c r="GDL613" s="5" t="s">
        <v>3728</v>
      </c>
      <c r="GDM613" s="17">
        <v>44925</v>
      </c>
      <c r="GDN613" s="5" t="s">
        <v>3728</v>
      </c>
      <c r="GDO613" s="17">
        <v>44925</v>
      </c>
      <c r="GDP613" s="5" t="s">
        <v>3728</v>
      </c>
      <c r="GDQ613" s="17">
        <v>44925</v>
      </c>
      <c r="GDR613" s="5" t="s">
        <v>3728</v>
      </c>
      <c r="GDS613" s="17">
        <v>44925</v>
      </c>
      <c r="GDT613" s="5" t="s">
        <v>3728</v>
      </c>
      <c r="GDU613" s="17">
        <v>44925</v>
      </c>
      <c r="GDV613" s="5" t="s">
        <v>3728</v>
      </c>
      <c r="GDW613" s="17">
        <v>44925</v>
      </c>
      <c r="GDX613" s="5" t="s">
        <v>3728</v>
      </c>
      <c r="GDY613" s="17">
        <v>44925</v>
      </c>
      <c r="GDZ613" s="5" t="s">
        <v>3728</v>
      </c>
      <c r="GEA613" s="17">
        <v>44925</v>
      </c>
      <c r="GEB613" s="5" t="s">
        <v>3728</v>
      </c>
      <c r="GEC613" s="17">
        <v>44925</v>
      </c>
      <c r="GED613" s="5" t="s">
        <v>3728</v>
      </c>
      <c r="GEE613" s="17">
        <v>44925</v>
      </c>
      <c r="GEF613" s="5" t="s">
        <v>3728</v>
      </c>
      <c r="GEG613" s="17">
        <v>44925</v>
      </c>
      <c r="GEH613" s="5" t="s">
        <v>3728</v>
      </c>
      <c r="GEI613" s="17">
        <v>44925</v>
      </c>
      <c r="GEJ613" s="5" t="s">
        <v>3728</v>
      </c>
      <c r="GEK613" s="17">
        <v>44925</v>
      </c>
      <c r="GEL613" s="5" t="s">
        <v>3728</v>
      </c>
      <c r="GEM613" s="17">
        <v>44925</v>
      </c>
      <c r="GEN613" s="5" t="s">
        <v>3728</v>
      </c>
      <c r="GEO613" s="17">
        <v>44925</v>
      </c>
      <c r="GEP613" s="5" t="s">
        <v>3728</v>
      </c>
      <c r="GEQ613" s="17">
        <v>44925</v>
      </c>
      <c r="GER613" s="5" t="s">
        <v>3728</v>
      </c>
      <c r="GES613" s="17">
        <v>44925</v>
      </c>
      <c r="GET613" s="5" t="s">
        <v>3728</v>
      </c>
      <c r="GEU613" s="17">
        <v>44925</v>
      </c>
      <c r="GEV613" s="5" t="s">
        <v>3728</v>
      </c>
      <c r="GEW613" s="17">
        <v>44925</v>
      </c>
      <c r="GEX613" s="5" t="s">
        <v>3728</v>
      </c>
      <c r="GEY613" s="17">
        <v>44925</v>
      </c>
      <c r="GEZ613" s="5" t="s">
        <v>3728</v>
      </c>
      <c r="GFA613" s="17">
        <v>44925</v>
      </c>
      <c r="GFB613" s="5" t="s">
        <v>3728</v>
      </c>
      <c r="GFC613" s="17">
        <v>44925</v>
      </c>
      <c r="GFD613" s="5" t="s">
        <v>3728</v>
      </c>
      <c r="GFE613" s="17">
        <v>44925</v>
      </c>
      <c r="GFF613" s="5" t="s">
        <v>3728</v>
      </c>
      <c r="GFG613" s="17">
        <v>44925</v>
      </c>
      <c r="GFH613" s="5" t="s">
        <v>3728</v>
      </c>
      <c r="GFI613" s="17">
        <v>44925</v>
      </c>
      <c r="GFJ613" s="5" t="s">
        <v>3728</v>
      </c>
      <c r="GFK613" s="17">
        <v>44925</v>
      </c>
      <c r="GFL613" s="5" t="s">
        <v>3728</v>
      </c>
      <c r="GFM613" s="17">
        <v>44925</v>
      </c>
      <c r="GFN613" s="5" t="s">
        <v>3728</v>
      </c>
      <c r="GFO613" s="17">
        <v>44925</v>
      </c>
      <c r="GFP613" s="5" t="s">
        <v>3728</v>
      </c>
      <c r="GFQ613" s="17">
        <v>44925</v>
      </c>
      <c r="GFR613" s="5" t="s">
        <v>3728</v>
      </c>
      <c r="GFS613" s="17">
        <v>44925</v>
      </c>
      <c r="GFT613" s="5" t="s">
        <v>3728</v>
      </c>
      <c r="GFU613" s="17">
        <v>44925</v>
      </c>
      <c r="GFV613" s="5" t="s">
        <v>3728</v>
      </c>
      <c r="GFW613" s="17">
        <v>44925</v>
      </c>
      <c r="GFX613" s="5" t="s">
        <v>3728</v>
      </c>
      <c r="GFY613" s="17">
        <v>44925</v>
      </c>
      <c r="GFZ613" s="5" t="s">
        <v>3728</v>
      </c>
      <c r="GGA613" s="17">
        <v>44925</v>
      </c>
      <c r="GGB613" s="5" t="s">
        <v>3728</v>
      </c>
      <c r="GGC613" s="17">
        <v>44925</v>
      </c>
      <c r="GGD613" s="5" t="s">
        <v>3728</v>
      </c>
      <c r="GGE613" s="17">
        <v>44925</v>
      </c>
      <c r="GGF613" s="5" t="s">
        <v>3728</v>
      </c>
      <c r="GGG613" s="17">
        <v>44925</v>
      </c>
      <c r="GGH613" s="5" t="s">
        <v>3728</v>
      </c>
      <c r="GGI613" s="17">
        <v>44925</v>
      </c>
      <c r="GGJ613" s="5" t="s">
        <v>3728</v>
      </c>
      <c r="GGK613" s="17">
        <v>44925</v>
      </c>
      <c r="GGL613" s="5" t="s">
        <v>3728</v>
      </c>
      <c r="GGM613" s="17">
        <v>44925</v>
      </c>
      <c r="GGN613" s="5" t="s">
        <v>3728</v>
      </c>
      <c r="GGO613" s="17">
        <v>44925</v>
      </c>
      <c r="GGP613" s="5" t="s">
        <v>3728</v>
      </c>
      <c r="GGQ613" s="17">
        <v>44925</v>
      </c>
      <c r="GGR613" s="5" t="s">
        <v>3728</v>
      </c>
      <c r="GGS613" s="17">
        <v>44925</v>
      </c>
      <c r="GGT613" s="5" t="s">
        <v>3728</v>
      </c>
      <c r="GGU613" s="17">
        <v>44925</v>
      </c>
      <c r="GGV613" s="5" t="s">
        <v>3728</v>
      </c>
      <c r="GGW613" s="17">
        <v>44925</v>
      </c>
      <c r="GGX613" s="5" t="s">
        <v>3728</v>
      </c>
      <c r="GGY613" s="17">
        <v>44925</v>
      </c>
      <c r="GGZ613" s="5" t="s">
        <v>3728</v>
      </c>
      <c r="GHA613" s="17">
        <v>44925</v>
      </c>
      <c r="GHB613" s="5" t="s">
        <v>3728</v>
      </c>
      <c r="GHC613" s="17">
        <v>44925</v>
      </c>
      <c r="GHD613" s="5" t="s">
        <v>3728</v>
      </c>
      <c r="GHE613" s="17">
        <v>44925</v>
      </c>
      <c r="GHF613" s="5" t="s">
        <v>3728</v>
      </c>
      <c r="GHG613" s="17">
        <v>44925</v>
      </c>
      <c r="GHH613" s="5" t="s">
        <v>3728</v>
      </c>
      <c r="GHI613" s="17">
        <v>44925</v>
      </c>
      <c r="GHJ613" s="5" t="s">
        <v>3728</v>
      </c>
      <c r="GHK613" s="17">
        <v>44925</v>
      </c>
      <c r="GHL613" s="5" t="s">
        <v>3728</v>
      </c>
      <c r="GHM613" s="17">
        <v>44925</v>
      </c>
      <c r="GHN613" s="5" t="s">
        <v>3728</v>
      </c>
      <c r="GHO613" s="17">
        <v>44925</v>
      </c>
      <c r="GHP613" s="5" t="s">
        <v>3728</v>
      </c>
      <c r="GHQ613" s="17">
        <v>44925</v>
      </c>
      <c r="GHR613" s="5" t="s">
        <v>3728</v>
      </c>
      <c r="GHS613" s="17">
        <v>44925</v>
      </c>
      <c r="GHT613" s="5" t="s">
        <v>3728</v>
      </c>
      <c r="GHU613" s="17">
        <v>44925</v>
      </c>
      <c r="GHV613" s="5" t="s">
        <v>3728</v>
      </c>
      <c r="GHW613" s="17">
        <v>44925</v>
      </c>
      <c r="GHX613" s="5" t="s">
        <v>3728</v>
      </c>
      <c r="GHY613" s="17">
        <v>44925</v>
      </c>
      <c r="GHZ613" s="5" t="s">
        <v>3728</v>
      </c>
      <c r="GIA613" s="17">
        <v>44925</v>
      </c>
      <c r="GIB613" s="5" t="s">
        <v>3728</v>
      </c>
      <c r="GIC613" s="17">
        <v>44925</v>
      </c>
      <c r="GID613" s="5" t="s">
        <v>3728</v>
      </c>
      <c r="GIE613" s="17">
        <v>44925</v>
      </c>
      <c r="GIF613" s="5" t="s">
        <v>3728</v>
      </c>
      <c r="GIG613" s="17">
        <v>44925</v>
      </c>
      <c r="GIH613" s="5" t="s">
        <v>3728</v>
      </c>
      <c r="GII613" s="17">
        <v>44925</v>
      </c>
      <c r="GIJ613" s="5" t="s">
        <v>3728</v>
      </c>
      <c r="GIK613" s="17">
        <v>44925</v>
      </c>
      <c r="GIL613" s="5" t="s">
        <v>3728</v>
      </c>
      <c r="GIM613" s="17">
        <v>44925</v>
      </c>
      <c r="GIN613" s="5" t="s">
        <v>3728</v>
      </c>
      <c r="GIO613" s="17">
        <v>44925</v>
      </c>
      <c r="GIP613" s="5" t="s">
        <v>3728</v>
      </c>
      <c r="GIQ613" s="17">
        <v>44925</v>
      </c>
      <c r="GIR613" s="5" t="s">
        <v>3728</v>
      </c>
      <c r="GIS613" s="17">
        <v>44925</v>
      </c>
      <c r="GIT613" s="5" t="s">
        <v>3728</v>
      </c>
      <c r="GIU613" s="17">
        <v>44925</v>
      </c>
      <c r="GIV613" s="5" t="s">
        <v>3728</v>
      </c>
      <c r="GIW613" s="17">
        <v>44925</v>
      </c>
      <c r="GIX613" s="5" t="s">
        <v>3728</v>
      </c>
      <c r="GIY613" s="17">
        <v>44925</v>
      </c>
      <c r="GIZ613" s="5" t="s">
        <v>3728</v>
      </c>
      <c r="GJA613" s="17">
        <v>44925</v>
      </c>
      <c r="GJB613" s="5" t="s">
        <v>3728</v>
      </c>
      <c r="GJC613" s="17">
        <v>44925</v>
      </c>
      <c r="GJD613" s="5" t="s">
        <v>3728</v>
      </c>
      <c r="GJE613" s="17">
        <v>44925</v>
      </c>
      <c r="GJF613" s="5" t="s">
        <v>3728</v>
      </c>
      <c r="GJG613" s="17">
        <v>44925</v>
      </c>
      <c r="GJH613" s="5" t="s">
        <v>3728</v>
      </c>
      <c r="GJI613" s="17">
        <v>44925</v>
      </c>
      <c r="GJJ613" s="5" t="s">
        <v>3728</v>
      </c>
      <c r="GJK613" s="17">
        <v>44925</v>
      </c>
      <c r="GJL613" s="5" t="s">
        <v>3728</v>
      </c>
      <c r="GJM613" s="17">
        <v>44925</v>
      </c>
      <c r="GJN613" s="5" t="s">
        <v>3728</v>
      </c>
      <c r="GJO613" s="17">
        <v>44925</v>
      </c>
      <c r="GJP613" s="5" t="s">
        <v>3728</v>
      </c>
      <c r="GJQ613" s="17">
        <v>44925</v>
      </c>
      <c r="GJR613" s="5" t="s">
        <v>3728</v>
      </c>
      <c r="GJS613" s="17">
        <v>44925</v>
      </c>
      <c r="GJT613" s="5" t="s">
        <v>3728</v>
      </c>
      <c r="GJU613" s="17">
        <v>44925</v>
      </c>
      <c r="GJV613" s="5" t="s">
        <v>3728</v>
      </c>
      <c r="GJW613" s="17">
        <v>44925</v>
      </c>
      <c r="GJX613" s="5" t="s">
        <v>3728</v>
      </c>
      <c r="GJY613" s="17">
        <v>44925</v>
      </c>
      <c r="GJZ613" s="5" t="s">
        <v>3728</v>
      </c>
      <c r="GKA613" s="17">
        <v>44925</v>
      </c>
      <c r="GKB613" s="5" t="s">
        <v>3728</v>
      </c>
      <c r="GKC613" s="17">
        <v>44925</v>
      </c>
      <c r="GKD613" s="5" t="s">
        <v>3728</v>
      </c>
      <c r="GKE613" s="17">
        <v>44925</v>
      </c>
      <c r="GKF613" s="5" t="s">
        <v>3728</v>
      </c>
      <c r="GKG613" s="17">
        <v>44925</v>
      </c>
      <c r="GKH613" s="5" t="s">
        <v>3728</v>
      </c>
      <c r="GKI613" s="17">
        <v>44925</v>
      </c>
      <c r="GKJ613" s="5" t="s">
        <v>3728</v>
      </c>
      <c r="GKK613" s="17">
        <v>44925</v>
      </c>
      <c r="GKL613" s="5" t="s">
        <v>3728</v>
      </c>
      <c r="GKM613" s="17">
        <v>44925</v>
      </c>
      <c r="GKN613" s="5" t="s">
        <v>3728</v>
      </c>
      <c r="GKO613" s="17">
        <v>44925</v>
      </c>
      <c r="GKP613" s="5" t="s">
        <v>3728</v>
      </c>
      <c r="GKQ613" s="17">
        <v>44925</v>
      </c>
      <c r="GKR613" s="5" t="s">
        <v>3728</v>
      </c>
      <c r="GKS613" s="17">
        <v>44925</v>
      </c>
      <c r="GKT613" s="5" t="s">
        <v>3728</v>
      </c>
      <c r="GKU613" s="17">
        <v>44925</v>
      </c>
      <c r="GKV613" s="5" t="s">
        <v>3728</v>
      </c>
      <c r="GKW613" s="17">
        <v>44925</v>
      </c>
      <c r="GKX613" s="5" t="s">
        <v>3728</v>
      </c>
      <c r="GKY613" s="17">
        <v>44925</v>
      </c>
      <c r="GKZ613" s="5" t="s">
        <v>3728</v>
      </c>
      <c r="GLA613" s="17">
        <v>44925</v>
      </c>
      <c r="GLB613" s="5" t="s">
        <v>3728</v>
      </c>
      <c r="GLC613" s="17">
        <v>44925</v>
      </c>
      <c r="GLD613" s="5" t="s">
        <v>3728</v>
      </c>
      <c r="GLE613" s="17">
        <v>44925</v>
      </c>
      <c r="GLF613" s="5" t="s">
        <v>3728</v>
      </c>
      <c r="GLG613" s="17">
        <v>44925</v>
      </c>
      <c r="GLH613" s="5" t="s">
        <v>3728</v>
      </c>
      <c r="GLI613" s="17">
        <v>44925</v>
      </c>
      <c r="GLJ613" s="5" t="s">
        <v>3728</v>
      </c>
      <c r="GLK613" s="17">
        <v>44925</v>
      </c>
      <c r="GLL613" s="5" t="s">
        <v>3728</v>
      </c>
      <c r="GLM613" s="17">
        <v>44925</v>
      </c>
      <c r="GLN613" s="5" t="s">
        <v>3728</v>
      </c>
      <c r="GLO613" s="17">
        <v>44925</v>
      </c>
      <c r="GLP613" s="5" t="s">
        <v>3728</v>
      </c>
      <c r="GLQ613" s="17">
        <v>44925</v>
      </c>
      <c r="GLR613" s="5" t="s">
        <v>3728</v>
      </c>
      <c r="GLS613" s="17">
        <v>44925</v>
      </c>
      <c r="GLT613" s="5" t="s">
        <v>3728</v>
      </c>
      <c r="GLU613" s="17">
        <v>44925</v>
      </c>
      <c r="GLV613" s="5" t="s">
        <v>3728</v>
      </c>
      <c r="GLW613" s="17">
        <v>44925</v>
      </c>
      <c r="GLX613" s="5" t="s">
        <v>3728</v>
      </c>
      <c r="GLY613" s="17">
        <v>44925</v>
      </c>
      <c r="GLZ613" s="5" t="s">
        <v>3728</v>
      </c>
      <c r="GMA613" s="17">
        <v>44925</v>
      </c>
      <c r="GMB613" s="5" t="s">
        <v>3728</v>
      </c>
      <c r="GMC613" s="17">
        <v>44925</v>
      </c>
      <c r="GMD613" s="5" t="s">
        <v>3728</v>
      </c>
      <c r="GME613" s="17">
        <v>44925</v>
      </c>
      <c r="GMF613" s="5" t="s">
        <v>3728</v>
      </c>
      <c r="GMG613" s="17">
        <v>44925</v>
      </c>
      <c r="GMH613" s="5" t="s">
        <v>3728</v>
      </c>
      <c r="GMI613" s="17">
        <v>44925</v>
      </c>
      <c r="GMJ613" s="5" t="s">
        <v>3728</v>
      </c>
      <c r="GMK613" s="17">
        <v>44925</v>
      </c>
      <c r="GML613" s="5" t="s">
        <v>3728</v>
      </c>
      <c r="GMM613" s="17">
        <v>44925</v>
      </c>
      <c r="GMN613" s="5" t="s">
        <v>3728</v>
      </c>
      <c r="GMO613" s="17">
        <v>44925</v>
      </c>
      <c r="GMP613" s="5" t="s">
        <v>3728</v>
      </c>
      <c r="GMQ613" s="17">
        <v>44925</v>
      </c>
      <c r="GMR613" s="5" t="s">
        <v>3728</v>
      </c>
      <c r="GMS613" s="17">
        <v>44925</v>
      </c>
      <c r="GMT613" s="5" t="s">
        <v>3728</v>
      </c>
      <c r="GMU613" s="17">
        <v>44925</v>
      </c>
      <c r="GMV613" s="5" t="s">
        <v>3728</v>
      </c>
      <c r="GMW613" s="17">
        <v>44925</v>
      </c>
      <c r="GMX613" s="5" t="s">
        <v>3728</v>
      </c>
      <c r="GMY613" s="17">
        <v>44925</v>
      </c>
      <c r="GMZ613" s="5" t="s">
        <v>3728</v>
      </c>
      <c r="GNA613" s="17">
        <v>44925</v>
      </c>
      <c r="GNB613" s="5" t="s">
        <v>3728</v>
      </c>
      <c r="GNC613" s="17">
        <v>44925</v>
      </c>
      <c r="GND613" s="5" t="s">
        <v>3728</v>
      </c>
      <c r="GNE613" s="17">
        <v>44925</v>
      </c>
      <c r="GNF613" s="5" t="s">
        <v>3728</v>
      </c>
      <c r="GNG613" s="17">
        <v>44925</v>
      </c>
      <c r="GNH613" s="5" t="s">
        <v>3728</v>
      </c>
      <c r="GNI613" s="17">
        <v>44925</v>
      </c>
      <c r="GNJ613" s="5" t="s">
        <v>3728</v>
      </c>
      <c r="GNK613" s="17">
        <v>44925</v>
      </c>
      <c r="GNL613" s="5" t="s">
        <v>3728</v>
      </c>
      <c r="GNM613" s="17">
        <v>44925</v>
      </c>
      <c r="GNN613" s="5" t="s">
        <v>3728</v>
      </c>
      <c r="GNO613" s="17">
        <v>44925</v>
      </c>
      <c r="GNP613" s="5" t="s">
        <v>3728</v>
      </c>
      <c r="GNQ613" s="17">
        <v>44925</v>
      </c>
      <c r="GNR613" s="5" t="s">
        <v>3728</v>
      </c>
      <c r="GNS613" s="17">
        <v>44925</v>
      </c>
      <c r="GNT613" s="5" t="s">
        <v>3728</v>
      </c>
      <c r="GNU613" s="17">
        <v>44925</v>
      </c>
      <c r="GNV613" s="5" t="s">
        <v>3728</v>
      </c>
      <c r="GNW613" s="17">
        <v>44925</v>
      </c>
      <c r="GNX613" s="5" t="s">
        <v>3728</v>
      </c>
      <c r="GNY613" s="17">
        <v>44925</v>
      </c>
      <c r="GNZ613" s="5" t="s">
        <v>3728</v>
      </c>
      <c r="GOA613" s="17">
        <v>44925</v>
      </c>
      <c r="GOB613" s="5" t="s">
        <v>3728</v>
      </c>
      <c r="GOC613" s="17">
        <v>44925</v>
      </c>
      <c r="GOD613" s="5" t="s">
        <v>3728</v>
      </c>
      <c r="GOE613" s="17">
        <v>44925</v>
      </c>
      <c r="GOF613" s="5" t="s">
        <v>3728</v>
      </c>
      <c r="GOG613" s="17">
        <v>44925</v>
      </c>
      <c r="GOH613" s="5" t="s">
        <v>3728</v>
      </c>
      <c r="GOI613" s="17">
        <v>44925</v>
      </c>
      <c r="GOJ613" s="5" t="s">
        <v>3728</v>
      </c>
      <c r="GOK613" s="17">
        <v>44925</v>
      </c>
      <c r="GOL613" s="5" t="s">
        <v>3728</v>
      </c>
      <c r="GOM613" s="17">
        <v>44925</v>
      </c>
      <c r="GON613" s="5" t="s">
        <v>3728</v>
      </c>
      <c r="GOO613" s="17">
        <v>44925</v>
      </c>
      <c r="GOP613" s="5" t="s">
        <v>3728</v>
      </c>
      <c r="GOQ613" s="17">
        <v>44925</v>
      </c>
      <c r="GOR613" s="5" t="s">
        <v>3728</v>
      </c>
      <c r="GOS613" s="17">
        <v>44925</v>
      </c>
      <c r="GOT613" s="5" t="s">
        <v>3728</v>
      </c>
      <c r="GOU613" s="17">
        <v>44925</v>
      </c>
      <c r="GOV613" s="5" t="s">
        <v>3728</v>
      </c>
      <c r="GOW613" s="17">
        <v>44925</v>
      </c>
      <c r="GOX613" s="5" t="s">
        <v>3728</v>
      </c>
      <c r="GOY613" s="17">
        <v>44925</v>
      </c>
      <c r="GOZ613" s="5" t="s">
        <v>3728</v>
      </c>
      <c r="GPA613" s="17">
        <v>44925</v>
      </c>
      <c r="GPB613" s="5" t="s">
        <v>3728</v>
      </c>
      <c r="GPC613" s="17">
        <v>44925</v>
      </c>
      <c r="GPD613" s="5" t="s">
        <v>3728</v>
      </c>
      <c r="GPE613" s="17">
        <v>44925</v>
      </c>
      <c r="GPF613" s="5" t="s">
        <v>3728</v>
      </c>
      <c r="GPG613" s="17">
        <v>44925</v>
      </c>
      <c r="GPH613" s="5" t="s">
        <v>3728</v>
      </c>
      <c r="GPI613" s="17">
        <v>44925</v>
      </c>
      <c r="GPJ613" s="5" t="s">
        <v>3728</v>
      </c>
      <c r="GPK613" s="17">
        <v>44925</v>
      </c>
      <c r="GPL613" s="5" t="s">
        <v>3728</v>
      </c>
      <c r="GPM613" s="17">
        <v>44925</v>
      </c>
      <c r="GPN613" s="5" t="s">
        <v>3728</v>
      </c>
      <c r="GPO613" s="17">
        <v>44925</v>
      </c>
      <c r="GPP613" s="5" t="s">
        <v>3728</v>
      </c>
      <c r="GPQ613" s="17">
        <v>44925</v>
      </c>
      <c r="GPR613" s="5" t="s">
        <v>3728</v>
      </c>
      <c r="GPS613" s="17">
        <v>44925</v>
      </c>
      <c r="GPT613" s="5" t="s">
        <v>3728</v>
      </c>
      <c r="GPU613" s="17">
        <v>44925</v>
      </c>
      <c r="GPV613" s="5" t="s">
        <v>3728</v>
      </c>
      <c r="GPW613" s="17">
        <v>44925</v>
      </c>
      <c r="GPX613" s="5" t="s">
        <v>3728</v>
      </c>
      <c r="GPY613" s="17">
        <v>44925</v>
      </c>
      <c r="GPZ613" s="5" t="s">
        <v>3728</v>
      </c>
      <c r="GQA613" s="17">
        <v>44925</v>
      </c>
      <c r="GQB613" s="5" t="s">
        <v>3728</v>
      </c>
      <c r="GQC613" s="17">
        <v>44925</v>
      </c>
      <c r="GQD613" s="5" t="s">
        <v>3728</v>
      </c>
      <c r="GQE613" s="17">
        <v>44925</v>
      </c>
      <c r="GQF613" s="5" t="s">
        <v>3728</v>
      </c>
      <c r="GQG613" s="17">
        <v>44925</v>
      </c>
      <c r="GQH613" s="5" t="s">
        <v>3728</v>
      </c>
      <c r="GQI613" s="17">
        <v>44925</v>
      </c>
      <c r="GQJ613" s="5" t="s">
        <v>3728</v>
      </c>
      <c r="GQK613" s="17">
        <v>44925</v>
      </c>
      <c r="GQL613" s="5" t="s">
        <v>3728</v>
      </c>
      <c r="GQM613" s="17">
        <v>44925</v>
      </c>
      <c r="GQN613" s="5" t="s">
        <v>3728</v>
      </c>
      <c r="GQO613" s="17">
        <v>44925</v>
      </c>
      <c r="GQP613" s="5" t="s">
        <v>3728</v>
      </c>
      <c r="GQQ613" s="17">
        <v>44925</v>
      </c>
      <c r="GQR613" s="5" t="s">
        <v>3728</v>
      </c>
      <c r="GQS613" s="17">
        <v>44925</v>
      </c>
      <c r="GQT613" s="5" t="s">
        <v>3728</v>
      </c>
      <c r="GQU613" s="17">
        <v>44925</v>
      </c>
      <c r="GQV613" s="5" t="s">
        <v>3728</v>
      </c>
      <c r="GQW613" s="17">
        <v>44925</v>
      </c>
      <c r="GQX613" s="5" t="s">
        <v>3728</v>
      </c>
      <c r="GQY613" s="17">
        <v>44925</v>
      </c>
      <c r="GQZ613" s="5" t="s">
        <v>3728</v>
      </c>
      <c r="GRA613" s="17">
        <v>44925</v>
      </c>
      <c r="GRB613" s="5" t="s">
        <v>3728</v>
      </c>
      <c r="GRC613" s="17">
        <v>44925</v>
      </c>
      <c r="GRD613" s="5" t="s">
        <v>3728</v>
      </c>
      <c r="GRE613" s="17">
        <v>44925</v>
      </c>
      <c r="GRF613" s="5" t="s">
        <v>3728</v>
      </c>
      <c r="GRG613" s="17">
        <v>44925</v>
      </c>
      <c r="GRH613" s="5" t="s">
        <v>3728</v>
      </c>
      <c r="GRI613" s="17">
        <v>44925</v>
      </c>
      <c r="GRJ613" s="5" t="s">
        <v>3728</v>
      </c>
      <c r="GRK613" s="17">
        <v>44925</v>
      </c>
      <c r="GRL613" s="5" t="s">
        <v>3728</v>
      </c>
      <c r="GRM613" s="17">
        <v>44925</v>
      </c>
      <c r="GRN613" s="5" t="s">
        <v>3728</v>
      </c>
      <c r="GRO613" s="17">
        <v>44925</v>
      </c>
      <c r="GRP613" s="5" t="s">
        <v>3728</v>
      </c>
      <c r="GRQ613" s="17">
        <v>44925</v>
      </c>
      <c r="GRR613" s="5" t="s">
        <v>3728</v>
      </c>
      <c r="GRS613" s="17">
        <v>44925</v>
      </c>
      <c r="GRT613" s="5" t="s">
        <v>3728</v>
      </c>
      <c r="GRU613" s="17">
        <v>44925</v>
      </c>
      <c r="GRV613" s="5" t="s">
        <v>3728</v>
      </c>
      <c r="GRW613" s="17">
        <v>44925</v>
      </c>
      <c r="GRX613" s="5" t="s">
        <v>3728</v>
      </c>
      <c r="GRY613" s="17">
        <v>44925</v>
      </c>
      <c r="GRZ613" s="5" t="s">
        <v>3728</v>
      </c>
      <c r="GSA613" s="17">
        <v>44925</v>
      </c>
      <c r="GSB613" s="5" t="s">
        <v>3728</v>
      </c>
      <c r="GSC613" s="17">
        <v>44925</v>
      </c>
      <c r="GSD613" s="5" t="s">
        <v>3728</v>
      </c>
      <c r="GSE613" s="17">
        <v>44925</v>
      </c>
      <c r="GSF613" s="5" t="s">
        <v>3728</v>
      </c>
      <c r="GSG613" s="17">
        <v>44925</v>
      </c>
      <c r="GSH613" s="5" t="s">
        <v>3728</v>
      </c>
      <c r="GSI613" s="17">
        <v>44925</v>
      </c>
      <c r="GSJ613" s="5" t="s">
        <v>3728</v>
      </c>
      <c r="GSK613" s="17">
        <v>44925</v>
      </c>
      <c r="GSL613" s="5" t="s">
        <v>3728</v>
      </c>
      <c r="GSM613" s="17">
        <v>44925</v>
      </c>
      <c r="GSN613" s="5" t="s">
        <v>3728</v>
      </c>
      <c r="GSO613" s="17">
        <v>44925</v>
      </c>
      <c r="GSP613" s="5" t="s">
        <v>3728</v>
      </c>
      <c r="GSQ613" s="17">
        <v>44925</v>
      </c>
      <c r="GSR613" s="5" t="s">
        <v>3728</v>
      </c>
      <c r="GSS613" s="17">
        <v>44925</v>
      </c>
      <c r="GST613" s="5" t="s">
        <v>3728</v>
      </c>
      <c r="GSU613" s="17">
        <v>44925</v>
      </c>
      <c r="GSV613" s="5" t="s">
        <v>3728</v>
      </c>
      <c r="GSW613" s="17">
        <v>44925</v>
      </c>
      <c r="GSX613" s="5" t="s">
        <v>3728</v>
      </c>
      <c r="GSY613" s="17">
        <v>44925</v>
      </c>
      <c r="GSZ613" s="5" t="s">
        <v>3728</v>
      </c>
      <c r="GTA613" s="17">
        <v>44925</v>
      </c>
      <c r="GTB613" s="5" t="s">
        <v>3728</v>
      </c>
      <c r="GTC613" s="17">
        <v>44925</v>
      </c>
      <c r="GTD613" s="5" t="s">
        <v>3728</v>
      </c>
      <c r="GTE613" s="17">
        <v>44925</v>
      </c>
      <c r="GTF613" s="5" t="s">
        <v>3728</v>
      </c>
      <c r="GTG613" s="17">
        <v>44925</v>
      </c>
      <c r="GTH613" s="5" t="s">
        <v>3728</v>
      </c>
      <c r="GTI613" s="17">
        <v>44925</v>
      </c>
      <c r="GTJ613" s="5" t="s">
        <v>3728</v>
      </c>
      <c r="GTK613" s="17">
        <v>44925</v>
      </c>
      <c r="GTL613" s="5" t="s">
        <v>3728</v>
      </c>
      <c r="GTM613" s="17">
        <v>44925</v>
      </c>
      <c r="GTN613" s="5" t="s">
        <v>3728</v>
      </c>
      <c r="GTO613" s="17">
        <v>44925</v>
      </c>
      <c r="GTP613" s="5" t="s">
        <v>3728</v>
      </c>
      <c r="GTQ613" s="17">
        <v>44925</v>
      </c>
      <c r="GTR613" s="5" t="s">
        <v>3728</v>
      </c>
      <c r="GTS613" s="17">
        <v>44925</v>
      </c>
      <c r="GTT613" s="5" t="s">
        <v>3728</v>
      </c>
      <c r="GTU613" s="17">
        <v>44925</v>
      </c>
      <c r="GTV613" s="5" t="s">
        <v>3728</v>
      </c>
      <c r="GTW613" s="17">
        <v>44925</v>
      </c>
      <c r="GTX613" s="5" t="s">
        <v>3728</v>
      </c>
      <c r="GTY613" s="17">
        <v>44925</v>
      </c>
      <c r="GTZ613" s="5" t="s">
        <v>3728</v>
      </c>
      <c r="GUA613" s="17">
        <v>44925</v>
      </c>
      <c r="GUB613" s="5" t="s">
        <v>3728</v>
      </c>
      <c r="GUC613" s="17">
        <v>44925</v>
      </c>
      <c r="GUD613" s="5" t="s">
        <v>3728</v>
      </c>
      <c r="GUE613" s="17">
        <v>44925</v>
      </c>
      <c r="GUF613" s="5" t="s">
        <v>3728</v>
      </c>
      <c r="GUG613" s="17">
        <v>44925</v>
      </c>
      <c r="GUH613" s="5" t="s">
        <v>3728</v>
      </c>
      <c r="GUI613" s="17">
        <v>44925</v>
      </c>
      <c r="GUJ613" s="5" t="s">
        <v>3728</v>
      </c>
      <c r="GUK613" s="17">
        <v>44925</v>
      </c>
      <c r="GUL613" s="5" t="s">
        <v>3728</v>
      </c>
      <c r="GUM613" s="17">
        <v>44925</v>
      </c>
      <c r="GUN613" s="5" t="s">
        <v>3728</v>
      </c>
      <c r="GUO613" s="17">
        <v>44925</v>
      </c>
      <c r="GUP613" s="5" t="s">
        <v>3728</v>
      </c>
      <c r="GUQ613" s="17">
        <v>44925</v>
      </c>
      <c r="GUR613" s="5" t="s">
        <v>3728</v>
      </c>
      <c r="GUS613" s="17">
        <v>44925</v>
      </c>
      <c r="GUT613" s="5" t="s">
        <v>3728</v>
      </c>
      <c r="GUU613" s="17">
        <v>44925</v>
      </c>
      <c r="GUV613" s="5" t="s">
        <v>3728</v>
      </c>
      <c r="GUW613" s="17">
        <v>44925</v>
      </c>
      <c r="GUX613" s="5" t="s">
        <v>3728</v>
      </c>
      <c r="GUY613" s="17">
        <v>44925</v>
      </c>
      <c r="GUZ613" s="5" t="s">
        <v>3728</v>
      </c>
      <c r="GVA613" s="17">
        <v>44925</v>
      </c>
      <c r="GVB613" s="5" t="s">
        <v>3728</v>
      </c>
      <c r="GVC613" s="17">
        <v>44925</v>
      </c>
      <c r="GVD613" s="5" t="s">
        <v>3728</v>
      </c>
      <c r="GVE613" s="17">
        <v>44925</v>
      </c>
      <c r="GVF613" s="5" t="s">
        <v>3728</v>
      </c>
      <c r="GVG613" s="17">
        <v>44925</v>
      </c>
      <c r="GVH613" s="5" t="s">
        <v>3728</v>
      </c>
      <c r="GVI613" s="17">
        <v>44925</v>
      </c>
      <c r="GVJ613" s="5" t="s">
        <v>3728</v>
      </c>
      <c r="GVK613" s="17">
        <v>44925</v>
      </c>
      <c r="GVL613" s="5" t="s">
        <v>3728</v>
      </c>
      <c r="GVM613" s="17">
        <v>44925</v>
      </c>
      <c r="GVN613" s="5" t="s">
        <v>3728</v>
      </c>
      <c r="GVO613" s="17">
        <v>44925</v>
      </c>
      <c r="GVP613" s="5" t="s">
        <v>3728</v>
      </c>
      <c r="GVQ613" s="17">
        <v>44925</v>
      </c>
      <c r="GVR613" s="5" t="s">
        <v>3728</v>
      </c>
      <c r="GVS613" s="17">
        <v>44925</v>
      </c>
      <c r="GVT613" s="5" t="s">
        <v>3728</v>
      </c>
      <c r="GVU613" s="17">
        <v>44925</v>
      </c>
      <c r="GVV613" s="5" t="s">
        <v>3728</v>
      </c>
      <c r="GVW613" s="17">
        <v>44925</v>
      </c>
      <c r="GVX613" s="5" t="s">
        <v>3728</v>
      </c>
      <c r="GVY613" s="17">
        <v>44925</v>
      </c>
      <c r="GVZ613" s="5" t="s">
        <v>3728</v>
      </c>
      <c r="GWA613" s="17">
        <v>44925</v>
      </c>
      <c r="GWB613" s="5" t="s">
        <v>3728</v>
      </c>
      <c r="GWC613" s="17">
        <v>44925</v>
      </c>
      <c r="GWD613" s="5" t="s">
        <v>3728</v>
      </c>
      <c r="GWE613" s="17">
        <v>44925</v>
      </c>
      <c r="GWF613" s="5" t="s">
        <v>3728</v>
      </c>
      <c r="GWG613" s="17">
        <v>44925</v>
      </c>
      <c r="GWH613" s="5" t="s">
        <v>3728</v>
      </c>
      <c r="GWI613" s="17">
        <v>44925</v>
      </c>
      <c r="GWJ613" s="5" t="s">
        <v>3728</v>
      </c>
      <c r="GWK613" s="17">
        <v>44925</v>
      </c>
      <c r="GWL613" s="5" t="s">
        <v>3728</v>
      </c>
      <c r="GWM613" s="17">
        <v>44925</v>
      </c>
      <c r="GWN613" s="5" t="s">
        <v>3728</v>
      </c>
      <c r="GWO613" s="17">
        <v>44925</v>
      </c>
      <c r="GWP613" s="5" t="s">
        <v>3728</v>
      </c>
      <c r="GWQ613" s="17">
        <v>44925</v>
      </c>
      <c r="GWR613" s="5" t="s">
        <v>3728</v>
      </c>
      <c r="GWS613" s="17">
        <v>44925</v>
      </c>
      <c r="GWT613" s="5" t="s">
        <v>3728</v>
      </c>
      <c r="GWU613" s="17">
        <v>44925</v>
      </c>
      <c r="GWV613" s="5" t="s">
        <v>3728</v>
      </c>
      <c r="GWW613" s="17">
        <v>44925</v>
      </c>
      <c r="GWX613" s="5" t="s">
        <v>3728</v>
      </c>
      <c r="GWY613" s="17">
        <v>44925</v>
      </c>
      <c r="GWZ613" s="5" t="s">
        <v>3728</v>
      </c>
      <c r="GXA613" s="17">
        <v>44925</v>
      </c>
      <c r="GXB613" s="5" t="s">
        <v>3728</v>
      </c>
      <c r="GXC613" s="17">
        <v>44925</v>
      </c>
      <c r="GXD613" s="5" t="s">
        <v>3728</v>
      </c>
      <c r="GXE613" s="17">
        <v>44925</v>
      </c>
      <c r="GXF613" s="5" t="s">
        <v>3728</v>
      </c>
      <c r="GXG613" s="17">
        <v>44925</v>
      </c>
      <c r="GXH613" s="5" t="s">
        <v>3728</v>
      </c>
      <c r="GXI613" s="17">
        <v>44925</v>
      </c>
      <c r="GXJ613" s="5" t="s">
        <v>3728</v>
      </c>
      <c r="GXK613" s="17">
        <v>44925</v>
      </c>
      <c r="GXL613" s="5" t="s">
        <v>3728</v>
      </c>
      <c r="GXM613" s="17">
        <v>44925</v>
      </c>
      <c r="GXN613" s="5" t="s">
        <v>3728</v>
      </c>
      <c r="GXO613" s="17">
        <v>44925</v>
      </c>
      <c r="GXP613" s="5" t="s">
        <v>3728</v>
      </c>
      <c r="GXQ613" s="17">
        <v>44925</v>
      </c>
      <c r="GXR613" s="5" t="s">
        <v>3728</v>
      </c>
      <c r="GXS613" s="17">
        <v>44925</v>
      </c>
      <c r="GXT613" s="5" t="s">
        <v>3728</v>
      </c>
      <c r="GXU613" s="17">
        <v>44925</v>
      </c>
      <c r="GXV613" s="5" t="s">
        <v>3728</v>
      </c>
      <c r="GXW613" s="17">
        <v>44925</v>
      </c>
      <c r="GXX613" s="5" t="s">
        <v>3728</v>
      </c>
      <c r="GXY613" s="17">
        <v>44925</v>
      </c>
      <c r="GXZ613" s="5" t="s">
        <v>3728</v>
      </c>
      <c r="GYA613" s="17">
        <v>44925</v>
      </c>
      <c r="GYB613" s="5" t="s">
        <v>3728</v>
      </c>
      <c r="GYC613" s="17">
        <v>44925</v>
      </c>
      <c r="GYD613" s="5" t="s">
        <v>3728</v>
      </c>
      <c r="GYE613" s="17">
        <v>44925</v>
      </c>
      <c r="GYF613" s="5" t="s">
        <v>3728</v>
      </c>
      <c r="GYG613" s="17">
        <v>44925</v>
      </c>
      <c r="GYH613" s="5" t="s">
        <v>3728</v>
      </c>
      <c r="GYI613" s="17">
        <v>44925</v>
      </c>
      <c r="GYJ613" s="5" t="s">
        <v>3728</v>
      </c>
      <c r="GYK613" s="17">
        <v>44925</v>
      </c>
      <c r="GYL613" s="5" t="s">
        <v>3728</v>
      </c>
      <c r="GYM613" s="17">
        <v>44925</v>
      </c>
      <c r="GYN613" s="5" t="s">
        <v>3728</v>
      </c>
      <c r="GYO613" s="17">
        <v>44925</v>
      </c>
      <c r="GYP613" s="5" t="s">
        <v>3728</v>
      </c>
      <c r="GYQ613" s="17">
        <v>44925</v>
      </c>
      <c r="GYR613" s="5" t="s">
        <v>3728</v>
      </c>
      <c r="GYS613" s="17">
        <v>44925</v>
      </c>
      <c r="GYT613" s="5" t="s">
        <v>3728</v>
      </c>
      <c r="GYU613" s="17">
        <v>44925</v>
      </c>
      <c r="GYV613" s="5" t="s">
        <v>3728</v>
      </c>
      <c r="GYW613" s="17">
        <v>44925</v>
      </c>
      <c r="GYX613" s="5" t="s">
        <v>3728</v>
      </c>
      <c r="GYY613" s="17">
        <v>44925</v>
      </c>
      <c r="GYZ613" s="5" t="s">
        <v>3728</v>
      </c>
      <c r="GZA613" s="17">
        <v>44925</v>
      </c>
      <c r="GZB613" s="5" t="s">
        <v>3728</v>
      </c>
      <c r="GZC613" s="17">
        <v>44925</v>
      </c>
      <c r="GZD613" s="5" t="s">
        <v>3728</v>
      </c>
      <c r="GZE613" s="17">
        <v>44925</v>
      </c>
      <c r="GZF613" s="5" t="s">
        <v>3728</v>
      </c>
      <c r="GZG613" s="17">
        <v>44925</v>
      </c>
      <c r="GZH613" s="5" t="s">
        <v>3728</v>
      </c>
      <c r="GZI613" s="17">
        <v>44925</v>
      </c>
      <c r="GZJ613" s="5" t="s">
        <v>3728</v>
      </c>
      <c r="GZK613" s="17">
        <v>44925</v>
      </c>
      <c r="GZL613" s="5" t="s">
        <v>3728</v>
      </c>
      <c r="GZM613" s="17">
        <v>44925</v>
      </c>
      <c r="GZN613" s="5" t="s">
        <v>3728</v>
      </c>
      <c r="GZO613" s="17">
        <v>44925</v>
      </c>
      <c r="GZP613" s="5" t="s">
        <v>3728</v>
      </c>
      <c r="GZQ613" s="17">
        <v>44925</v>
      </c>
      <c r="GZR613" s="5" t="s">
        <v>3728</v>
      </c>
      <c r="GZS613" s="17">
        <v>44925</v>
      </c>
      <c r="GZT613" s="5" t="s">
        <v>3728</v>
      </c>
      <c r="GZU613" s="17">
        <v>44925</v>
      </c>
      <c r="GZV613" s="5" t="s">
        <v>3728</v>
      </c>
      <c r="GZW613" s="17">
        <v>44925</v>
      </c>
      <c r="GZX613" s="5" t="s">
        <v>3728</v>
      </c>
      <c r="GZY613" s="17">
        <v>44925</v>
      </c>
      <c r="GZZ613" s="5" t="s">
        <v>3728</v>
      </c>
      <c r="HAA613" s="17">
        <v>44925</v>
      </c>
      <c r="HAB613" s="5" t="s">
        <v>3728</v>
      </c>
      <c r="HAC613" s="17">
        <v>44925</v>
      </c>
      <c r="HAD613" s="5" t="s">
        <v>3728</v>
      </c>
      <c r="HAE613" s="17">
        <v>44925</v>
      </c>
      <c r="HAF613" s="5" t="s">
        <v>3728</v>
      </c>
      <c r="HAG613" s="17">
        <v>44925</v>
      </c>
      <c r="HAH613" s="5" t="s">
        <v>3728</v>
      </c>
      <c r="HAI613" s="17">
        <v>44925</v>
      </c>
      <c r="HAJ613" s="5" t="s">
        <v>3728</v>
      </c>
      <c r="HAK613" s="17">
        <v>44925</v>
      </c>
      <c r="HAL613" s="5" t="s">
        <v>3728</v>
      </c>
      <c r="HAM613" s="17">
        <v>44925</v>
      </c>
      <c r="HAN613" s="5" t="s">
        <v>3728</v>
      </c>
      <c r="HAO613" s="17">
        <v>44925</v>
      </c>
      <c r="HAP613" s="5" t="s">
        <v>3728</v>
      </c>
      <c r="HAQ613" s="17">
        <v>44925</v>
      </c>
      <c r="HAR613" s="5" t="s">
        <v>3728</v>
      </c>
      <c r="HAS613" s="17">
        <v>44925</v>
      </c>
      <c r="HAT613" s="5" t="s">
        <v>3728</v>
      </c>
      <c r="HAU613" s="17">
        <v>44925</v>
      </c>
      <c r="HAV613" s="5" t="s">
        <v>3728</v>
      </c>
      <c r="HAW613" s="17">
        <v>44925</v>
      </c>
      <c r="HAX613" s="5" t="s">
        <v>3728</v>
      </c>
      <c r="HAY613" s="17">
        <v>44925</v>
      </c>
      <c r="HAZ613" s="5" t="s">
        <v>3728</v>
      </c>
      <c r="HBA613" s="17">
        <v>44925</v>
      </c>
      <c r="HBB613" s="5" t="s">
        <v>3728</v>
      </c>
      <c r="HBC613" s="17">
        <v>44925</v>
      </c>
      <c r="HBD613" s="5" t="s">
        <v>3728</v>
      </c>
      <c r="HBE613" s="17">
        <v>44925</v>
      </c>
      <c r="HBF613" s="5" t="s">
        <v>3728</v>
      </c>
      <c r="HBG613" s="17">
        <v>44925</v>
      </c>
      <c r="HBH613" s="5" t="s">
        <v>3728</v>
      </c>
      <c r="HBI613" s="17">
        <v>44925</v>
      </c>
      <c r="HBJ613" s="5" t="s">
        <v>3728</v>
      </c>
      <c r="HBK613" s="17">
        <v>44925</v>
      </c>
      <c r="HBL613" s="5" t="s">
        <v>3728</v>
      </c>
      <c r="HBM613" s="17">
        <v>44925</v>
      </c>
      <c r="HBN613" s="5" t="s">
        <v>3728</v>
      </c>
      <c r="HBO613" s="17">
        <v>44925</v>
      </c>
      <c r="HBP613" s="5" t="s">
        <v>3728</v>
      </c>
      <c r="HBQ613" s="17">
        <v>44925</v>
      </c>
      <c r="HBR613" s="5" t="s">
        <v>3728</v>
      </c>
      <c r="HBS613" s="17">
        <v>44925</v>
      </c>
      <c r="HBT613" s="5" t="s">
        <v>3728</v>
      </c>
      <c r="HBU613" s="17">
        <v>44925</v>
      </c>
      <c r="HBV613" s="5" t="s">
        <v>3728</v>
      </c>
      <c r="HBW613" s="17">
        <v>44925</v>
      </c>
      <c r="HBX613" s="5" t="s">
        <v>3728</v>
      </c>
      <c r="HBY613" s="17">
        <v>44925</v>
      </c>
      <c r="HBZ613" s="5" t="s">
        <v>3728</v>
      </c>
      <c r="HCA613" s="17">
        <v>44925</v>
      </c>
      <c r="HCB613" s="5" t="s">
        <v>3728</v>
      </c>
      <c r="HCC613" s="17">
        <v>44925</v>
      </c>
      <c r="HCD613" s="5" t="s">
        <v>3728</v>
      </c>
      <c r="HCE613" s="17">
        <v>44925</v>
      </c>
      <c r="HCF613" s="5" t="s">
        <v>3728</v>
      </c>
      <c r="HCG613" s="17">
        <v>44925</v>
      </c>
      <c r="HCH613" s="5" t="s">
        <v>3728</v>
      </c>
      <c r="HCI613" s="17">
        <v>44925</v>
      </c>
      <c r="HCJ613" s="5" t="s">
        <v>3728</v>
      </c>
      <c r="HCK613" s="17">
        <v>44925</v>
      </c>
      <c r="HCL613" s="5" t="s">
        <v>3728</v>
      </c>
      <c r="HCM613" s="17">
        <v>44925</v>
      </c>
      <c r="HCN613" s="5" t="s">
        <v>3728</v>
      </c>
      <c r="HCO613" s="17">
        <v>44925</v>
      </c>
      <c r="HCP613" s="5" t="s">
        <v>3728</v>
      </c>
      <c r="HCQ613" s="17">
        <v>44925</v>
      </c>
      <c r="HCR613" s="5" t="s">
        <v>3728</v>
      </c>
      <c r="HCS613" s="17">
        <v>44925</v>
      </c>
      <c r="HCT613" s="5" t="s">
        <v>3728</v>
      </c>
      <c r="HCU613" s="17">
        <v>44925</v>
      </c>
      <c r="HCV613" s="5" t="s">
        <v>3728</v>
      </c>
      <c r="HCW613" s="17">
        <v>44925</v>
      </c>
      <c r="HCX613" s="5" t="s">
        <v>3728</v>
      </c>
      <c r="HCY613" s="17">
        <v>44925</v>
      </c>
      <c r="HCZ613" s="5" t="s">
        <v>3728</v>
      </c>
      <c r="HDA613" s="17">
        <v>44925</v>
      </c>
      <c r="HDB613" s="5" t="s">
        <v>3728</v>
      </c>
      <c r="HDC613" s="17">
        <v>44925</v>
      </c>
      <c r="HDD613" s="5" t="s">
        <v>3728</v>
      </c>
      <c r="HDE613" s="17">
        <v>44925</v>
      </c>
      <c r="HDF613" s="5" t="s">
        <v>3728</v>
      </c>
      <c r="HDG613" s="17">
        <v>44925</v>
      </c>
      <c r="HDH613" s="5" t="s">
        <v>3728</v>
      </c>
      <c r="HDI613" s="17">
        <v>44925</v>
      </c>
      <c r="HDJ613" s="5" t="s">
        <v>3728</v>
      </c>
      <c r="HDK613" s="17">
        <v>44925</v>
      </c>
      <c r="HDL613" s="5" t="s">
        <v>3728</v>
      </c>
      <c r="HDM613" s="17">
        <v>44925</v>
      </c>
      <c r="HDN613" s="5" t="s">
        <v>3728</v>
      </c>
      <c r="HDO613" s="17">
        <v>44925</v>
      </c>
      <c r="HDP613" s="5" t="s">
        <v>3728</v>
      </c>
      <c r="HDQ613" s="17">
        <v>44925</v>
      </c>
      <c r="HDR613" s="5" t="s">
        <v>3728</v>
      </c>
      <c r="HDS613" s="17">
        <v>44925</v>
      </c>
      <c r="HDT613" s="5" t="s">
        <v>3728</v>
      </c>
      <c r="HDU613" s="17">
        <v>44925</v>
      </c>
      <c r="HDV613" s="5" t="s">
        <v>3728</v>
      </c>
      <c r="HDW613" s="17">
        <v>44925</v>
      </c>
      <c r="HDX613" s="5" t="s">
        <v>3728</v>
      </c>
      <c r="HDY613" s="17">
        <v>44925</v>
      </c>
      <c r="HDZ613" s="5" t="s">
        <v>3728</v>
      </c>
      <c r="HEA613" s="17">
        <v>44925</v>
      </c>
      <c r="HEB613" s="5" t="s">
        <v>3728</v>
      </c>
      <c r="HEC613" s="17">
        <v>44925</v>
      </c>
      <c r="HED613" s="5" t="s">
        <v>3728</v>
      </c>
      <c r="HEE613" s="17">
        <v>44925</v>
      </c>
      <c r="HEF613" s="5" t="s">
        <v>3728</v>
      </c>
      <c r="HEG613" s="17">
        <v>44925</v>
      </c>
      <c r="HEH613" s="5" t="s">
        <v>3728</v>
      </c>
      <c r="HEI613" s="17">
        <v>44925</v>
      </c>
      <c r="HEJ613" s="5" t="s">
        <v>3728</v>
      </c>
      <c r="HEK613" s="17">
        <v>44925</v>
      </c>
      <c r="HEL613" s="5" t="s">
        <v>3728</v>
      </c>
      <c r="HEM613" s="17">
        <v>44925</v>
      </c>
      <c r="HEN613" s="5" t="s">
        <v>3728</v>
      </c>
      <c r="HEO613" s="17">
        <v>44925</v>
      </c>
      <c r="HEP613" s="5" t="s">
        <v>3728</v>
      </c>
      <c r="HEQ613" s="17">
        <v>44925</v>
      </c>
      <c r="HER613" s="5" t="s">
        <v>3728</v>
      </c>
      <c r="HES613" s="17">
        <v>44925</v>
      </c>
      <c r="HET613" s="5" t="s">
        <v>3728</v>
      </c>
      <c r="HEU613" s="17">
        <v>44925</v>
      </c>
      <c r="HEV613" s="5" t="s">
        <v>3728</v>
      </c>
      <c r="HEW613" s="17">
        <v>44925</v>
      </c>
      <c r="HEX613" s="5" t="s">
        <v>3728</v>
      </c>
      <c r="HEY613" s="17">
        <v>44925</v>
      </c>
      <c r="HEZ613" s="5" t="s">
        <v>3728</v>
      </c>
      <c r="HFA613" s="17">
        <v>44925</v>
      </c>
      <c r="HFB613" s="5" t="s">
        <v>3728</v>
      </c>
      <c r="HFC613" s="17">
        <v>44925</v>
      </c>
      <c r="HFD613" s="5" t="s">
        <v>3728</v>
      </c>
      <c r="HFE613" s="17">
        <v>44925</v>
      </c>
      <c r="HFF613" s="5" t="s">
        <v>3728</v>
      </c>
      <c r="HFG613" s="17">
        <v>44925</v>
      </c>
      <c r="HFH613" s="5" t="s">
        <v>3728</v>
      </c>
      <c r="HFI613" s="17">
        <v>44925</v>
      </c>
      <c r="HFJ613" s="5" t="s">
        <v>3728</v>
      </c>
      <c r="HFK613" s="17">
        <v>44925</v>
      </c>
      <c r="HFL613" s="5" t="s">
        <v>3728</v>
      </c>
      <c r="HFM613" s="17">
        <v>44925</v>
      </c>
      <c r="HFN613" s="5" t="s">
        <v>3728</v>
      </c>
      <c r="HFO613" s="17">
        <v>44925</v>
      </c>
      <c r="HFP613" s="5" t="s">
        <v>3728</v>
      </c>
      <c r="HFQ613" s="17">
        <v>44925</v>
      </c>
      <c r="HFR613" s="5" t="s">
        <v>3728</v>
      </c>
      <c r="HFS613" s="17">
        <v>44925</v>
      </c>
      <c r="HFT613" s="5" t="s">
        <v>3728</v>
      </c>
      <c r="HFU613" s="17">
        <v>44925</v>
      </c>
      <c r="HFV613" s="5" t="s">
        <v>3728</v>
      </c>
      <c r="HFW613" s="17">
        <v>44925</v>
      </c>
      <c r="HFX613" s="5" t="s">
        <v>3728</v>
      </c>
      <c r="HFY613" s="17">
        <v>44925</v>
      </c>
      <c r="HFZ613" s="5" t="s">
        <v>3728</v>
      </c>
      <c r="HGA613" s="17">
        <v>44925</v>
      </c>
      <c r="HGB613" s="5" t="s">
        <v>3728</v>
      </c>
      <c r="HGC613" s="17">
        <v>44925</v>
      </c>
      <c r="HGD613" s="5" t="s">
        <v>3728</v>
      </c>
      <c r="HGE613" s="17">
        <v>44925</v>
      </c>
      <c r="HGF613" s="5" t="s">
        <v>3728</v>
      </c>
      <c r="HGG613" s="17">
        <v>44925</v>
      </c>
      <c r="HGH613" s="5" t="s">
        <v>3728</v>
      </c>
      <c r="HGI613" s="17">
        <v>44925</v>
      </c>
      <c r="HGJ613" s="5" t="s">
        <v>3728</v>
      </c>
      <c r="HGK613" s="17">
        <v>44925</v>
      </c>
      <c r="HGL613" s="5" t="s">
        <v>3728</v>
      </c>
      <c r="HGM613" s="17">
        <v>44925</v>
      </c>
      <c r="HGN613" s="5" t="s">
        <v>3728</v>
      </c>
      <c r="HGO613" s="17">
        <v>44925</v>
      </c>
      <c r="HGP613" s="5" t="s">
        <v>3728</v>
      </c>
      <c r="HGQ613" s="17">
        <v>44925</v>
      </c>
      <c r="HGR613" s="5" t="s">
        <v>3728</v>
      </c>
      <c r="HGS613" s="17">
        <v>44925</v>
      </c>
      <c r="HGT613" s="5" t="s">
        <v>3728</v>
      </c>
      <c r="HGU613" s="17">
        <v>44925</v>
      </c>
      <c r="HGV613" s="5" t="s">
        <v>3728</v>
      </c>
      <c r="HGW613" s="17">
        <v>44925</v>
      </c>
      <c r="HGX613" s="5" t="s">
        <v>3728</v>
      </c>
      <c r="HGY613" s="17">
        <v>44925</v>
      </c>
      <c r="HGZ613" s="5" t="s">
        <v>3728</v>
      </c>
      <c r="HHA613" s="17">
        <v>44925</v>
      </c>
      <c r="HHB613" s="5" t="s">
        <v>3728</v>
      </c>
      <c r="HHC613" s="17">
        <v>44925</v>
      </c>
      <c r="HHD613" s="5" t="s">
        <v>3728</v>
      </c>
      <c r="HHE613" s="17">
        <v>44925</v>
      </c>
      <c r="HHF613" s="5" t="s">
        <v>3728</v>
      </c>
      <c r="HHG613" s="17">
        <v>44925</v>
      </c>
      <c r="HHH613" s="5" t="s">
        <v>3728</v>
      </c>
      <c r="HHI613" s="17">
        <v>44925</v>
      </c>
      <c r="HHJ613" s="5" t="s">
        <v>3728</v>
      </c>
      <c r="HHK613" s="17">
        <v>44925</v>
      </c>
      <c r="HHL613" s="5" t="s">
        <v>3728</v>
      </c>
      <c r="HHM613" s="17">
        <v>44925</v>
      </c>
      <c r="HHN613" s="5" t="s">
        <v>3728</v>
      </c>
      <c r="HHO613" s="17">
        <v>44925</v>
      </c>
      <c r="HHP613" s="5" t="s">
        <v>3728</v>
      </c>
      <c r="HHQ613" s="17">
        <v>44925</v>
      </c>
      <c r="HHR613" s="5" t="s">
        <v>3728</v>
      </c>
      <c r="HHS613" s="17">
        <v>44925</v>
      </c>
      <c r="HHT613" s="5" t="s">
        <v>3728</v>
      </c>
      <c r="HHU613" s="17">
        <v>44925</v>
      </c>
      <c r="HHV613" s="5" t="s">
        <v>3728</v>
      </c>
      <c r="HHW613" s="17">
        <v>44925</v>
      </c>
      <c r="HHX613" s="5" t="s">
        <v>3728</v>
      </c>
      <c r="HHY613" s="17">
        <v>44925</v>
      </c>
      <c r="HHZ613" s="5" t="s">
        <v>3728</v>
      </c>
      <c r="HIA613" s="17">
        <v>44925</v>
      </c>
      <c r="HIB613" s="5" t="s">
        <v>3728</v>
      </c>
      <c r="HIC613" s="17">
        <v>44925</v>
      </c>
      <c r="HID613" s="5" t="s">
        <v>3728</v>
      </c>
      <c r="HIE613" s="17">
        <v>44925</v>
      </c>
      <c r="HIF613" s="5" t="s">
        <v>3728</v>
      </c>
      <c r="HIG613" s="17">
        <v>44925</v>
      </c>
      <c r="HIH613" s="5" t="s">
        <v>3728</v>
      </c>
      <c r="HII613" s="17">
        <v>44925</v>
      </c>
      <c r="HIJ613" s="5" t="s">
        <v>3728</v>
      </c>
      <c r="HIK613" s="17">
        <v>44925</v>
      </c>
      <c r="HIL613" s="5" t="s">
        <v>3728</v>
      </c>
      <c r="HIM613" s="17">
        <v>44925</v>
      </c>
      <c r="HIN613" s="5" t="s">
        <v>3728</v>
      </c>
      <c r="HIO613" s="17">
        <v>44925</v>
      </c>
      <c r="HIP613" s="5" t="s">
        <v>3728</v>
      </c>
      <c r="HIQ613" s="17">
        <v>44925</v>
      </c>
      <c r="HIR613" s="5" t="s">
        <v>3728</v>
      </c>
      <c r="HIS613" s="17">
        <v>44925</v>
      </c>
      <c r="HIT613" s="5" t="s">
        <v>3728</v>
      </c>
      <c r="HIU613" s="17">
        <v>44925</v>
      </c>
      <c r="HIV613" s="5" t="s">
        <v>3728</v>
      </c>
      <c r="HIW613" s="17">
        <v>44925</v>
      </c>
      <c r="HIX613" s="5" t="s">
        <v>3728</v>
      </c>
      <c r="HIY613" s="17">
        <v>44925</v>
      </c>
      <c r="HIZ613" s="5" t="s">
        <v>3728</v>
      </c>
      <c r="HJA613" s="17">
        <v>44925</v>
      </c>
      <c r="HJB613" s="5" t="s">
        <v>3728</v>
      </c>
      <c r="HJC613" s="17">
        <v>44925</v>
      </c>
      <c r="HJD613" s="5" t="s">
        <v>3728</v>
      </c>
      <c r="HJE613" s="17">
        <v>44925</v>
      </c>
      <c r="HJF613" s="5" t="s">
        <v>3728</v>
      </c>
      <c r="HJG613" s="17">
        <v>44925</v>
      </c>
      <c r="HJH613" s="5" t="s">
        <v>3728</v>
      </c>
      <c r="HJI613" s="17">
        <v>44925</v>
      </c>
      <c r="HJJ613" s="5" t="s">
        <v>3728</v>
      </c>
      <c r="HJK613" s="17">
        <v>44925</v>
      </c>
      <c r="HJL613" s="5" t="s">
        <v>3728</v>
      </c>
      <c r="HJM613" s="17">
        <v>44925</v>
      </c>
      <c r="HJN613" s="5" t="s">
        <v>3728</v>
      </c>
      <c r="HJO613" s="17">
        <v>44925</v>
      </c>
      <c r="HJP613" s="5" t="s">
        <v>3728</v>
      </c>
      <c r="HJQ613" s="17">
        <v>44925</v>
      </c>
      <c r="HJR613" s="5" t="s">
        <v>3728</v>
      </c>
      <c r="HJS613" s="17">
        <v>44925</v>
      </c>
      <c r="HJT613" s="5" t="s">
        <v>3728</v>
      </c>
      <c r="HJU613" s="17">
        <v>44925</v>
      </c>
      <c r="HJV613" s="5" t="s">
        <v>3728</v>
      </c>
      <c r="HJW613" s="17">
        <v>44925</v>
      </c>
      <c r="HJX613" s="5" t="s">
        <v>3728</v>
      </c>
      <c r="HJY613" s="17">
        <v>44925</v>
      </c>
      <c r="HJZ613" s="5" t="s">
        <v>3728</v>
      </c>
      <c r="HKA613" s="17">
        <v>44925</v>
      </c>
      <c r="HKB613" s="5" t="s">
        <v>3728</v>
      </c>
      <c r="HKC613" s="17">
        <v>44925</v>
      </c>
      <c r="HKD613" s="5" t="s">
        <v>3728</v>
      </c>
      <c r="HKE613" s="17">
        <v>44925</v>
      </c>
      <c r="HKF613" s="5" t="s">
        <v>3728</v>
      </c>
      <c r="HKG613" s="17">
        <v>44925</v>
      </c>
      <c r="HKH613" s="5" t="s">
        <v>3728</v>
      </c>
      <c r="HKI613" s="17">
        <v>44925</v>
      </c>
      <c r="HKJ613" s="5" t="s">
        <v>3728</v>
      </c>
      <c r="HKK613" s="17">
        <v>44925</v>
      </c>
      <c r="HKL613" s="5" t="s">
        <v>3728</v>
      </c>
      <c r="HKM613" s="17">
        <v>44925</v>
      </c>
      <c r="HKN613" s="5" t="s">
        <v>3728</v>
      </c>
      <c r="HKO613" s="17">
        <v>44925</v>
      </c>
      <c r="HKP613" s="5" t="s">
        <v>3728</v>
      </c>
      <c r="HKQ613" s="17">
        <v>44925</v>
      </c>
      <c r="HKR613" s="5" t="s">
        <v>3728</v>
      </c>
      <c r="HKS613" s="17">
        <v>44925</v>
      </c>
      <c r="HKT613" s="5" t="s">
        <v>3728</v>
      </c>
      <c r="HKU613" s="17">
        <v>44925</v>
      </c>
      <c r="HKV613" s="5" t="s">
        <v>3728</v>
      </c>
      <c r="HKW613" s="17">
        <v>44925</v>
      </c>
      <c r="HKX613" s="5" t="s">
        <v>3728</v>
      </c>
      <c r="HKY613" s="17">
        <v>44925</v>
      </c>
      <c r="HKZ613" s="5" t="s">
        <v>3728</v>
      </c>
      <c r="HLA613" s="17">
        <v>44925</v>
      </c>
      <c r="HLB613" s="5" t="s">
        <v>3728</v>
      </c>
      <c r="HLC613" s="17">
        <v>44925</v>
      </c>
      <c r="HLD613" s="5" t="s">
        <v>3728</v>
      </c>
      <c r="HLE613" s="17">
        <v>44925</v>
      </c>
      <c r="HLF613" s="5" t="s">
        <v>3728</v>
      </c>
      <c r="HLG613" s="17">
        <v>44925</v>
      </c>
      <c r="HLH613" s="5" t="s">
        <v>3728</v>
      </c>
      <c r="HLI613" s="17">
        <v>44925</v>
      </c>
      <c r="HLJ613" s="5" t="s">
        <v>3728</v>
      </c>
      <c r="HLK613" s="17">
        <v>44925</v>
      </c>
      <c r="HLL613" s="5" t="s">
        <v>3728</v>
      </c>
      <c r="HLM613" s="17">
        <v>44925</v>
      </c>
      <c r="HLN613" s="5" t="s">
        <v>3728</v>
      </c>
      <c r="HLO613" s="17">
        <v>44925</v>
      </c>
      <c r="HLP613" s="5" t="s">
        <v>3728</v>
      </c>
      <c r="HLQ613" s="17">
        <v>44925</v>
      </c>
      <c r="HLR613" s="5" t="s">
        <v>3728</v>
      </c>
      <c r="HLS613" s="17">
        <v>44925</v>
      </c>
      <c r="HLT613" s="5" t="s">
        <v>3728</v>
      </c>
      <c r="HLU613" s="17">
        <v>44925</v>
      </c>
      <c r="HLV613" s="5" t="s">
        <v>3728</v>
      </c>
      <c r="HLW613" s="17">
        <v>44925</v>
      </c>
      <c r="HLX613" s="5" t="s">
        <v>3728</v>
      </c>
      <c r="HLY613" s="17">
        <v>44925</v>
      </c>
      <c r="HLZ613" s="5" t="s">
        <v>3728</v>
      </c>
      <c r="HMA613" s="17">
        <v>44925</v>
      </c>
      <c r="HMB613" s="5" t="s">
        <v>3728</v>
      </c>
      <c r="HMC613" s="17">
        <v>44925</v>
      </c>
      <c r="HMD613" s="5" t="s">
        <v>3728</v>
      </c>
      <c r="HME613" s="17">
        <v>44925</v>
      </c>
      <c r="HMF613" s="5" t="s">
        <v>3728</v>
      </c>
      <c r="HMG613" s="17">
        <v>44925</v>
      </c>
      <c r="HMH613" s="5" t="s">
        <v>3728</v>
      </c>
      <c r="HMI613" s="17">
        <v>44925</v>
      </c>
      <c r="HMJ613" s="5" t="s">
        <v>3728</v>
      </c>
      <c r="HMK613" s="17">
        <v>44925</v>
      </c>
      <c r="HML613" s="5" t="s">
        <v>3728</v>
      </c>
      <c r="HMM613" s="17">
        <v>44925</v>
      </c>
      <c r="HMN613" s="5" t="s">
        <v>3728</v>
      </c>
      <c r="HMO613" s="17">
        <v>44925</v>
      </c>
      <c r="HMP613" s="5" t="s">
        <v>3728</v>
      </c>
      <c r="HMQ613" s="17">
        <v>44925</v>
      </c>
      <c r="HMR613" s="5" t="s">
        <v>3728</v>
      </c>
      <c r="HMS613" s="17">
        <v>44925</v>
      </c>
      <c r="HMT613" s="5" t="s">
        <v>3728</v>
      </c>
      <c r="HMU613" s="17">
        <v>44925</v>
      </c>
      <c r="HMV613" s="5" t="s">
        <v>3728</v>
      </c>
      <c r="HMW613" s="17">
        <v>44925</v>
      </c>
      <c r="HMX613" s="5" t="s">
        <v>3728</v>
      </c>
      <c r="HMY613" s="17">
        <v>44925</v>
      </c>
      <c r="HMZ613" s="5" t="s">
        <v>3728</v>
      </c>
      <c r="HNA613" s="17">
        <v>44925</v>
      </c>
      <c r="HNB613" s="5" t="s">
        <v>3728</v>
      </c>
      <c r="HNC613" s="17">
        <v>44925</v>
      </c>
      <c r="HND613" s="5" t="s">
        <v>3728</v>
      </c>
      <c r="HNE613" s="17">
        <v>44925</v>
      </c>
      <c r="HNF613" s="5" t="s">
        <v>3728</v>
      </c>
      <c r="HNG613" s="17">
        <v>44925</v>
      </c>
      <c r="HNH613" s="5" t="s">
        <v>3728</v>
      </c>
      <c r="HNI613" s="17">
        <v>44925</v>
      </c>
      <c r="HNJ613" s="5" t="s">
        <v>3728</v>
      </c>
      <c r="HNK613" s="17">
        <v>44925</v>
      </c>
      <c r="HNL613" s="5" t="s">
        <v>3728</v>
      </c>
      <c r="HNM613" s="17">
        <v>44925</v>
      </c>
      <c r="HNN613" s="5" t="s">
        <v>3728</v>
      </c>
      <c r="HNO613" s="17">
        <v>44925</v>
      </c>
      <c r="HNP613" s="5" t="s">
        <v>3728</v>
      </c>
      <c r="HNQ613" s="17">
        <v>44925</v>
      </c>
      <c r="HNR613" s="5" t="s">
        <v>3728</v>
      </c>
      <c r="HNS613" s="17">
        <v>44925</v>
      </c>
      <c r="HNT613" s="5" t="s">
        <v>3728</v>
      </c>
      <c r="HNU613" s="17">
        <v>44925</v>
      </c>
      <c r="HNV613" s="5" t="s">
        <v>3728</v>
      </c>
      <c r="HNW613" s="17">
        <v>44925</v>
      </c>
      <c r="HNX613" s="5" t="s">
        <v>3728</v>
      </c>
      <c r="HNY613" s="17">
        <v>44925</v>
      </c>
      <c r="HNZ613" s="5" t="s">
        <v>3728</v>
      </c>
      <c r="HOA613" s="17">
        <v>44925</v>
      </c>
      <c r="HOB613" s="5" t="s">
        <v>3728</v>
      </c>
      <c r="HOC613" s="17">
        <v>44925</v>
      </c>
      <c r="HOD613" s="5" t="s">
        <v>3728</v>
      </c>
      <c r="HOE613" s="17">
        <v>44925</v>
      </c>
      <c r="HOF613" s="5" t="s">
        <v>3728</v>
      </c>
      <c r="HOG613" s="17">
        <v>44925</v>
      </c>
      <c r="HOH613" s="5" t="s">
        <v>3728</v>
      </c>
      <c r="HOI613" s="17">
        <v>44925</v>
      </c>
      <c r="HOJ613" s="5" t="s">
        <v>3728</v>
      </c>
      <c r="HOK613" s="17">
        <v>44925</v>
      </c>
      <c r="HOL613" s="5" t="s">
        <v>3728</v>
      </c>
      <c r="HOM613" s="17">
        <v>44925</v>
      </c>
      <c r="HON613" s="5" t="s">
        <v>3728</v>
      </c>
      <c r="HOO613" s="17">
        <v>44925</v>
      </c>
      <c r="HOP613" s="5" t="s">
        <v>3728</v>
      </c>
      <c r="HOQ613" s="17">
        <v>44925</v>
      </c>
      <c r="HOR613" s="5" t="s">
        <v>3728</v>
      </c>
      <c r="HOS613" s="17">
        <v>44925</v>
      </c>
      <c r="HOT613" s="5" t="s">
        <v>3728</v>
      </c>
      <c r="HOU613" s="17">
        <v>44925</v>
      </c>
      <c r="HOV613" s="5" t="s">
        <v>3728</v>
      </c>
      <c r="HOW613" s="17">
        <v>44925</v>
      </c>
      <c r="HOX613" s="5" t="s">
        <v>3728</v>
      </c>
      <c r="HOY613" s="17">
        <v>44925</v>
      </c>
      <c r="HOZ613" s="5" t="s">
        <v>3728</v>
      </c>
      <c r="HPA613" s="17">
        <v>44925</v>
      </c>
      <c r="HPB613" s="5" t="s">
        <v>3728</v>
      </c>
      <c r="HPC613" s="17">
        <v>44925</v>
      </c>
      <c r="HPD613" s="5" t="s">
        <v>3728</v>
      </c>
      <c r="HPE613" s="17">
        <v>44925</v>
      </c>
      <c r="HPF613" s="5" t="s">
        <v>3728</v>
      </c>
      <c r="HPG613" s="17">
        <v>44925</v>
      </c>
      <c r="HPH613" s="5" t="s">
        <v>3728</v>
      </c>
      <c r="HPI613" s="17">
        <v>44925</v>
      </c>
      <c r="HPJ613" s="5" t="s">
        <v>3728</v>
      </c>
      <c r="HPK613" s="17">
        <v>44925</v>
      </c>
      <c r="HPL613" s="5" t="s">
        <v>3728</v>
      </c>
      <c r="HPM613" s="17">
        <v>44925</v>
      </c>
      <c r="HPN613" s="5" t="s">
        <v>3728</v>
      </c>
      <c r="HPO613" s="17">
        <v>44925</v>
      </c>
      <c r="HPP613" s="5" t="s">
        <v>3728</v>
      </c>
      <c r="HPQ613" s="17">
        <v>44925</v>
      </c>
      <c r="HPR613" s="5" t="s">
        <v>3728</v>
      </c>
      <c r="HPS613" s="17">
        <v>44925</v>
      </c>
      <c r="HPT613" s="5" t="s">
        <v>3728</v>
      </c>
      <c r="HPU613" s="17">
        <v>44925</v>
      </c>
      <c r="HPV613" s="5" t="s">
        <v>3728</v>
      </c>
      <c r="HPW613" s="17">
        <v>44925</v>
      </c>
      <c r="HPX613" s="5" t="s">
        <v>3728</v>
      </c>
      <c r="HPY613" s="17">
        <v>44925</v>
      </c>
      <c r="HPZ613" s="5" t="s">
        <v>3728</v>
      </c>
      <c r="HQA613" s="17">
        <v>44925</v>
      </c>
      <c r="HQB613" s="5" t="s">
        <v>3728</v>
      </c>
      <c r="HQC613" s="17">
        <v>44925</v>
      </c>
      <c r="HQD613" s="5" t="s">
        <v>3728</v>
      </c>
      <c r="HQE613" s="17">
        <v>44925</v>
      </c>
      <c r="HQF613" s="5" t="s">
        <v>3728</v>
      </c>
      <c r="HQG613" s="17">
        <v>44925</v>
      </c>
      <c r="HQH613" s="5" t="s">
        <v>3728</v>
      </c>
      <c r="HQI613" s="17">
        <v>44925</v>
      </c>
      <c r="HQJ613" s="5" t="s">
        <v>3728</v>
      </c>
      <c r="HQK613" s="17">
        <v>44925</v>
      </c>
      <c r="HQL613" s="5" t="s">
        <v>3728</v>
      </c>
      <c r="HQM613" s="17">
        <v>44925</v>
      </c>
      <c r="HQN613" s="5" t="s">
        <v>3728</v>
      </c>
      <c r="HQO613" s="17">
        <v>44925</v>
      </c>
      <c r="HQP613" s="5" t="s">
        <v>3728</v>
      </c>
      <c r="HQQ613" s="17">
        <v>44925</v>
      </c>
      <c r="HQR613" s="5" t="s">
        <v>3728</v>
      </c>
      <c r="HQS613" s="17">
        <v>44925</v>
      </c>
      <c r="HQT613" s="5" t="s">
        <v>3728</v>
      </c>
      <c r="HQU613" s="17">
        <v>44925</v>
      </c>
      <c r="HQV613" s="5" t="s">
        <v>3728</v>
      </c>
      <c r="HQW613" s="17">
        <v>44925</v>
      </c>
      <c r="HQX613" s="5" t="s">
        <v>3728</v>
      </c>
      <c r="HQY613" s="17">
        <v>44925</v>
      </c>
      <c r="HQZ613" s="5" t="s">
        <v>3728</v>
      </c>
      <c r="HRA613" s="17">
        <v>44925</v>
      </c>
      <c r="HRB613" s="5" t="s">
        <v>3728</v>
      </c>
      <c r="HRC613" s="17">
        <v>44925</v>
      </c>
      <c r="HRD613" s="5" t="s">
        <v>3728</v>
      </c>
      <c r="HRE613" s="17">
        <v>44925</v>
      </c>
      <c r="HRF613" s="5" t="s">
        <v>3728</v>
      </c>
      <c r="HRG613" s="17">
        <v>44925</v>
      </c>
      <c r="HRH613" s="5" t="s">
        <v>3728</v>
      </c>
      <c r="HRI613" s="17">
        <v>44925</v>
      </c>
      <c r="HRJ613" s="5" t="s">
        <v>3728</v>
      </c>
      <c r="HRK613" s="17">
        <v>44925</v>
      </c>
      <c r="HRL613" s="5" t="s">
        <v>3728</v>
      </c>
      <c r="HRM613" s="17">
        <v>44925</v>
      </c>
      <c r="HRN613" s="5" t="s">
        <v>3728</v>
      </c>
      <c r="HRO613" s="17">
        <v>44925</v>
      </c>
      <c r="HRP613" s="5" t="s">
        <v>3728</v>
      </c>
      <c r="HRQ613" s="17">
        <v>44925</v>
      </c>
      <c r="HRR613" s="5" t="s">
        <v>3728</v>
      </c>
      <c r="HRS613" s="17">
        <v>44925</v>
      </c>
      <c r="HRT613" s="5" t="s">
        <v>3728</v>
      </c>
      <c r="HRU613" s="17">
        <v>44925</v>
      </c>
      <c r="HRV613" s="5" t="s">
        <v>3728</v>
      </c>
      <c r="HRW613" s="17">
        <v>44925</v>
      </c>
      <c r="HRX613" s="5" t="s">
        <v>3728</v>
      </c>
      <c r="HRY613" s="17">
        <v>44925</v>
      </c>
      <c r="HRZ613" s="5" t="s">
        <v>3728</v>
      </c>
      <c r="HSA613" s="17">
        <v>44925</v>
      </c>
      <c r="HSB613" s="5" t="s">
        <v>3728</v>
      </c>
      <c r="HSC613" s="17">
        <v>44925</v>
      </c>
      <c r="HSD613" s="5" t="s">
        <v>3728</v>
      </c>
      <c r="HSE613" s="17">
        <v>44925</v>
      </c>
      <c r="HSF613" s="5" t="s">
        <v>3728</v>
      </c>
      <c r="HSG613" s="17">
        <v>44925</v>
      </c>
      <c r="HSH613" s="5" t="s">
        <v>3728</v>
      </c>
      <c r="HSI613" s="17">
        <v>44925</v>
      </c>
      <c r="HSJ613" s="5" t="s">
        <v>3728</v>
      </c>
      <c r="HSK613" s="17">
        <v>44925</v>
      </c>
      <c r="HSL613" s="5" t="s">
        <v>3728</v>
      </c>
      <c r="HSM613" s="17">
        <v>44925</v>
      </c>
      <c r="HSN613" s="5" t="s">
        <v>3728</v>
      </c>
      <c r="HSO613" s="17">
        <v>44925</v>
      </c>
      <c r="HSP613" s="5" t="s">
        <v>3728</v>
      </c>
      <c r="HSQ613" s="17">
        <v>44925</v>
      </c>
      <c r="HSR613" s="5" t="s">
        <v>3728</v>
      </c>
      <c r="HSS613" s="17">
        <v>44925</v>
      </c>
      <c r="HST613" s="5" t="s">
        <v>3728</v>
      </c>
      <c r="HSU613" s="17">
        <v>44925</v>
      </c>
      <c r="HSV613" s="5" t="s">
        <v>3728</v>
      </c>
      <c r="HSW613" s="17">
        <v>44925</v>
      </c>
      <c r="HSX613" s="5" t="s">
        <v>3728</v>
      </c>
      <c r="HSY613" s="17">
        <v>44925</v>
      </c>
      <c r="HSZ613" s="5" t="s">
        <v>3728</v>
      </c>
      <c r="HTA613" s="17">
        <v>44925</v>
      </c>
      <c r="HTB613" s="5" t="s">
        <v>3728</v>
      </c>
      <c r="HTC613" s="17">
        <v>44925</v>
      </c>
      <c r="HTD613" s="5" t="s">
        <v>3728</v>
      </c>
      <c r="HTE613" s="17">
        <v>44925</v>
      </c>
      <c r="HTF613" s="5" t="s">
        <v>3728</v>
      </c>
      <c r="HTG613" s="17">
        <v>44925</v>
      </c>
      <c r="HTH613" s="5" t="s">
        <v>3728</v>
      </c>
      <c r="HTI613" s="17">
        <v>44925</v>
      </c>
      <c r="HTJ613" s="5" t="s">
        <v>3728</v>
      </c>
      <c r="HTK613" s="17">
        <v>44925</v>
      </c>
      <c r="HTL613" s="5" t="s">
        <v>3728</v>
      </c>
      <c r="HTM613" s="17">
        <v>44925</v>
      </c>
      <c r="HTN613" s="5" t="s">
        <v>3728</v>
      </c>
      <c r="HTO613" s="17">
        <v>44925</v>
      </c>
      <c r="HTP613" s="5" t="s">
        <v>3728</v>
      </c>
      <c r="HTQ613" s="17">
        <v>44925</v>
      </c>
      <c r="HTR613" s="5" t="s">
        <v>3728</v>
      </c>
      <c r="HTS613" s="17">
        <v>44925</v>
      </c>
      <c r="HTT613" s="5" t="s">
        <v>3728</v>
      </c>
      <c r="HTU613" s="17">
        <v>44925</v>
      </c>
      <c r="HTV613" s="5" t="s">
        <v>3728</v>
      </c>
      <c r="HTW613" s="17">
        <v>44925</v>
      </c>
      <c r="HTX613" s="5" t="s">
        <v>3728</v>
      </c>
      <c r="HTY613" s="17">
        <v>44925</v>
      </c>
      <c r="HTZ613" s="5" t="s">
        <v>3728</v>
      </c>
      <c r="HUA613" s="17">
        <v>44925</v>
      </c>
      <c r="HUB613" s="5" t="s">
        <v>3728</v>
      </c>
      <c r="HUC613" s="17">
        <v>44925</v>
      </c>
      <c r="HUD613" s="5" t="s">
        <v>3728</v>
      </c>
      <c r="HUE613" s="17">
        <v>44925</v>
      </c>
      <c r="HUF613" s="5" t="s">
        <v>3728</v>
      </c>
      <c r="HUG613" s="17">
        <v>44925</v>
      </c>
      <c r="HUH613" s="5" t="s">
        <v>3728</v>
      </c>
      <c r="HUI613" s="17">
        <v>44925</v>
      </c>
      <c r="HUJ613" s="5" t="s">
        <v>3728</v>
      </c>
      <c r="HUK613" s="17">
        <v>44925</v>
      </c>
      <c r="HUL613" s="5" t="s">
        <v>3728</v>
      </c>
      <c r="HUM613" s="17">
        <v>44925</v>
      </c>
      <c r="HUN613" s="5" t="s">
        <v>3728</v>
      </c>
      <c r="HUO613" s="17">
        <v>44925</v>
      </c>
      <c r="HUP613" s="5" t="s">
        <v>3728</v>
      </c>
      <c r="HUQ613" s="17">
        <v>44925</v>
      </c>
      <c r="HUR613" s="5" t="s">
        <v>3728</v>
      </c>
      <c r="HUS613" s="17">
        <v>44925</v>
      </c>
      <c r="HUT613" s="5" t="s">
        <v>3728</v>
      </c>
      <c r="HUU613" s="17">
        <v>44925</v>
      </c>
      <c r="HUV613" s="5" t="s">
        <v>3728</v>
      </c>
      <c r="HUW613" s="17">
        <v>44925</v>
      </c>
      <c r="HUX613" s="5" t="s">
        <v>3728</v>
      </c>
      <c r="HUY613" s="17">
        <v>44925</v>
      </c>
      <c r="HUZ613" s="5" t="s">
        <v>3728</v>
      </c>
      <c r="HVA613" s="17">
        <v>44925</v>
      </c>
      <c r="HVB613" s="5" t="s">
        <v>3728</v>
      </c>
      <c r="HVC613" s="17">
        <v>44925</v>
      </c>
      <c r="HVD613" s="5" t="s">
        <v>3728</v>
      </c>
      <c r="HVE613" s="17">
        <v>44925</v>
      </c>
      <c r="HVF613" s="5" t="s">
        <v>3728</v>
      </c>
      <c r="HVG613" s="17">
        <v>44925</v>
      </c>
      <c r="HVH613" s="5" t="s">
        <v>3728</v>
      </c>
      <c r="HVI613" s="17">
        <v>44925</v>
      </c>
      <c r="HVJ613" s="5" t="s">
        <v>3728</v>
      </c>
      <c r="HVK613" s="17">
        <v>44925</v>
      </c>
      <c r="HVL613" s="5" t="s">
        <v>3728</v>
      </c>
      <c r="HVM613" s="17">
        <v>44925</v>
      </c>
      <c r="HVN613" s="5" t="s">
        <v>3728</v>
      </c>
      <c r="HVO613" s="17">
        <v>44925</v>
      </c>
      <c r="HVP613" s="5" t="s">
        <v>3728</v>
      </c>
      <c r="HVQ613" s="17">
        <v>44925</v>
      </c>
      <c r="HVR613" s="5" t="s">
        <v>3728</v>
      </c>
      <c r="HVS613" s="17">
        <v>44925</v>
      </c>
      <c r="HVT613" s="5" t="s">
        <v>3728</v>
      </c>
      <c r="HVU613" s="17">
        <v>44925</v>
      </c>
      <c r="HVV613" s="5" t="s">
        <v>3728</v>
      </c>
      <c r="HVW613" s="17">
        <v>44925</v>
      </c>
      <c r="HVX613" s="5" t="s">
        <v>3728</v>
      </c>
      <c r="HVY613" s="17">
        <v>44925</v>
      </c>
      <c r="HVZ613" s="5" t="s">
        <v>3728</v>
      </c>
      <c r="HWA613" s="17">
        <v>44925</v>
      </c>
      <c r="HWB613" s="5" t="s">
        <v>3728</v>
      </c>
      <c r="HWC613" s="17">
        <v>44925</v>
      </c>
      <c r="HWD613" s="5" t="s">
        <v>3728</v>
      </c>
      <c r="HWE613" s="17">
        <v>44925</v>
      </c>
      <c r="HWF613" s="5" t="s">
        <v>3728</v>
      </c>
      <c r="HWG613" s="17">
        <v>44925</v>
      </c>
      <c r="HWH613" s="5" t="s">
        <v>3728</v>
      </c>
      <c r="HWI613" s="17">
        <v>44925</v>
      </c>
      <c r="HWJ613" s="5" t="s">
        <v>3728</v>
      </c>
      <c r="HWK613" s="17">
        <v>44925</v>
      </c>
      <c r="HWL613" s="5" t="s">
        <v>3728</v>
      </c>
      <c r="HWM613" s="17">
        <v>44925</v>
      </c>
      <c r="HWN613" s="5" t="s">
        <v>3728</v>
      </c>
      <c r="HWO613" s="17">
        <v>44925</v>
      </c>
      <c r="HWP613" s="5" t="s">
        <v>3728</v>
      </c>
      <c r="HWQ613" s="17">
        <v>44925</v>
      </c>
      <c r="HWR613" s="5" t="s">
        <v>3728</v>
      </c>
      <c r="HWS613" s="17">
        <v>44925</v>
      </c>
      <c r="HWT613" s="5" t="s">
        <v>3728</v>
      </c>
      <c r="HWU613" s="17">
        <v>44925</v>
      </c>
      <c r="HWV613" s="5" t="s">
        <v>3728</v>
      </c>
      <c r="HWW613" s="17">
        <v>44925</v>
      </c>
      <c r="HWX613" s="5" t="s">
        <v>3728</v>
      </c>
      <c r="HWY613" s="17">
        <v>44925</v>
      </c>
      <c r="HWZ613" s="5" t="s">
        <v>3728</v>
      </c>
      <c r="HXA613" s="17">
        <v>44925</v>
      </c>
      <c r="HXB613" s="5" t="s">
        <v>3728</v>
      </c>
      <c r="HXC613" s="17">
        <v>44925</v>
      </c>
      <c r="HXD613" s="5" t="s">
        <v>3728</v>
      </c>
      <c r="HXE613" s="17">
        <v>44925</v>
      </c>
      <c r="HXF613" s="5" t="s">
        <v>3728</v>
      </c>
      <c r="HXG613" s="17">
        <v>44925</v>
      </c>
      <c r="HXH613" s="5" t="s">
        <v>3728</v>
      </c>
      <c r="HXI613" s="17">
        <v>44925</v>
      </c>
      <c r="HXJ613" s="5" t="s">
        <v>3728</v>
      </c>
      <c r="HXK613" s="17">
        <v>44925</v>
      </c>
      <c r="HXL613" s="5" t="s">
        <v>3728</v>
      </c>
      <c r="HXM613" s="17">
        <v>44925</v>
      </c>
      <c r="HXN613" s="5" t="s">
        <v>3728</v>
      </c>
      <c r="HXO613" s="17">
        <v>44925</v>
      </c>
      <c r="HXP613" s="5" t="s">
        <v>3728</v>
      </c>
      <c r="HXQ613" s="17">
        <v>44925</v>
      </c>
      <c r="HXR613" s="5" t="s">
        <v>3728</v>
      </c>
      <c r="HXS613" s="17">
        <v>44925</v>
      </c>
      <c r="HXT613" s="5" t="s">
        <v>3728</v>
      </c>
      <c r="HXU613" s="17">
        <v>44925</v>
      </c>
      <c r="HXV613" s="5" t="s">
        <v>3728</v>
      </c>
      <c r="HXW613" s="17">
        <v>44925</v>
      </c>
      <c r="HXX613" s="5" t="s">
        <v>3728</v>
      </c>
      <c r="HXY613" s="17">
        <v>44925</v>
      </c>
      <c r="HXZ613" s="5" t="s">
        <v>3728</v>
      </c>
      <c r="HYA613" s="17">
        <v>44925</v>
      </c>
      <c r="HYB613" s="5" t="s">
        <v>3728</v>
      </c>
      <c r="HYC613" s="17">
        <v>44925</v>
      </c>
      <c r="HYD613" s="5" t="s">
        <v>3728</v>
      </c>
      <c r="HYE613" s="17">
        <v>44925</v>
      </c>
      <c r="HYF613" s="5" t="s">
        <v>3728</v>
      </c>
      <c r="HYG613" s="17">
        <v>44925</v>
      </c>
      <c r="HYH613" s="5" t="s">
        <v>3728</v>
      </c>
      <c r="HYI613" s="17">
        <v>44925</v>
      </c>
      <c r="HYJ613" s="5" t="s">
        <v>3728</v>
      </c>
      <c r="HYK613" s="17">
        <v>44925</v>
      </c>
      <c r="HYL613" s="5" t="s">
        <v>3728</v>
      </c>
      <c r="HYM613" s="17">
        <v>44925</v>
      </c>
      <c r="HYN613" s="5" t="s">
        <v>3728</v>
      </c>
      <c r="HYO613" s="17">
        <v>44925</v>
      </c>
      <c r="HYP613" s="5" t="s">
        <v>3728</v>
      </c>
      <c r="HYQ613" s="17">
        <v>44925</v>
      </c>
      <c r="HYR613" s="5" t="s">
        <v>3728</v>
      </c>
      <c r="HYS613" s="17">
        <v>44925</v>
      </c>
      <c r="HYT613" s="5" t="s">
        <v>3728</v>
      </c>
      <c r="HYU613" s="17">
        <v>44925</v>
      </c>
      <c r="HYV613" s="5" t="s">
        <v>3728</v>
      </c>
      <c r="HYW613" s="17">
        <v>44925</v>
      </c>
      <c r="HYX613" s="5" t="s">
        <v>3728</v>
      </c>
      <c r="HYY613" s="17">
        <v>44925</v>
      </c>
      <c r="HYZ613" s="5" t="s">
        <v>3728</v>
      </c>
      <c r="HZA613" s="17">
        <v>44925</v>
      </c>
      <c r="HZB613" s="5" t="s">
        <v>3728</v>
      </c>
      <c r="HZC613" s="17">
        <v>44925</v>
      </c>
      <c r="HZD613" s="5" t="s">
        <v>3728</v>
      </c>
      <c r="HZE613" s="17">
        <v>44925</v>
      </c>
      <c r="HZF613" s="5" t="s">
        <v>3728</v>
      </c>
      <c r="HZG613" s="17">
        <v>44925</v>
      </c>
      <c r="HZH613" s="5" t="s">
        <v>3728</v>
      </c>
      <c r="HZI613" s="17">
        <v>44925</v>
      </c>
      <c r="HZJ613" s="5" t="s">
        <v>3728</v>
      </c>
      <c r="HZK613" s="17">
        <v>44925</v>
      </c>
      <c r="HZL613" s="5" t="s">
        <v>3728</v>
      </c>
      <c r="HZM613" s="17">
        <v>44925</v>
      </c>
      <c r="HZN613" s="5" t="s">
        <v>3728</v>
      </c>
      <c r="HZO613" s="17">
        <v>44925</v>
      </c>
      <c r="HZP613" s="5" t="s">
        <v>3728</v>
      </c>
      <c r="HZQ613" s="17">
        <v>44925</v>
      </c>
      <c r="HZR613" s="5" t="s">
        <v>3728</v>
      </c>
      <c r="HZS613" s="17">
        <v>44925</v>
      </c>
      <c r="HZT613" s="5" t="s">
        <v>3728</v>
      </c>
      <c r="HZU613" s="17">
        <v>44925</v>
      </c>
      <c r="HZV613" s="5" t="s">
        <v>3728</v>
      </c>
      <c r="HZW613" s="17">
        <v>44925</v>
      </c>
      <c r="HZX613" s="5" t="s">
        <v>3728</v>
      </c>
      <c r="HZY613" s="17">
        <v>44925</v>
      </c>
      <c r="HZZ613" s="5" t="s">
        <v>3728</v>
      </c>
      <c r="IAA613" s="17">
        <v>44925</v>
      </c>
      <c r="IAB613" s="5" t="s">
        <v>3728</v>
      </c>
      <c r="IAC613" s="17">
        <v>44925</v>
      </c>
      <c r="IAD613" s="5" t="s">
        <v>3728</v>
      </c>
      <c r="IAE613" s="17">
        <v>44925</v>
      </c>
      <c r="IAF613" s="5" t="s">
        <v>3728</v>
      </c>
      <c r="IAG613" s="17">
        <v>44925</v>
      </c>
      <c r="IAH613" s="5" t="s">
        <v>3728</v>
      </c>
      <c r="IAI613" s="17">
        <v>44925</v>
      </c>
      <c r="IAJ613" s="5" t="s">
        <v>3728</v>
      </c>
      <c r="IAK613" s="17">
        <v>44925</v>
      </c>
      <c r="IAL613" s="5" t="s">
        <v>3728</v>
      </c>
      <c r="IAM613" s="17">
        <v>44925</v>
      </c>
      <c r="IAN613" s="5" t="s">
        <v>3728</v>
      </c>
      <c r="IAO613" s="17">
        <v>44925</v>
      </c>
      <c r="IAP613" s="5" t="s">
        <v>3728</v>
      </c>
      <c r="IAQ613" s="17">
        <v>44925</v>
      </c>
      <c r="IAR613" s="5" t="s">
        <v>3728</v>
      </c>
      <c r="IAS613" s="17">
        <v>44925</v>
      </c>
      <c r="IAT613" s="5" t="s">
        <v>3728</v>
      </c>
      <c r="IAU613" s="17">
        <v>44925</v>
      </c>
      <c r="IAV613" s="5" t="s">
        <v>3728</v>
      </c>
      <c r="IAW613" s="17">
        <v>44925</v>
      </c>
      <c r="IAX613" s="5" t="s">
        <v>3728</v>
      </c>
      <c r="IAY613" s="17">
        <v>44925</v>
      </c>
      <c r="IAZ613" s="5" t="s">
        <v>3728</v>
      </c>
      <c r="IBA613" s="17">
        <v>44925</v>
      </c>
      <c r="IBB613" s="5" t="s">
        <v>3728</v>
      </c>
      <c r="IBC613" s="17">
        <v>44925</v>
      </c>
      <c r="IBD613" s="5" t="s">
        <v>3728</v>
      </c>
      <c r="IBE613" s="17">
        <v>44925</v>
      </c>
      <c r="IBF613" s="5" t="s">
        <v>3728</v>
      </c>
      <c r="IBG613" s="17">
        <v>44925</v>
      </c>
      <c r="IBH613" s="5" t="s">
        <v>3728</v>
      </c>
      <c r="IBI613" s="17">
        <v>44925</v>
      </c>
      <c r="IBJ613" s="5" t="s">
        <v>3728</v>
      </c>
      <c r="IBK613" s="17">
        <v>44925</v>
      </c>
      <c r="IBL613" s="5" t="s">
        <v>3728</v>
      </c>
      <c r="IBM613" s="17">
        <v>44925</v>
      </c>
      <c r="IBN613" s="5" t="s">
        <v>3728</v>
      </c>
      <c r="IBO613" s="17">
        <v>44925</v>
      </c>
      <c r="IBP613" s="5" t="s">
        <v>3728</v>
      </c>
      <c r="IBQ613" s="17">
        <v>44925</v>
      </c>
      <c r="IBR613" s="5" t="s">
        <v>3728</v>
      </c>
      <c r="IBS613" s="17">
        <v>44925</v>
      </c>
      <c r="IBT613" s="5" t="s">
        <v>3728</v>
      </c>
      <c r="IBU613" s="17">
        <v>44925</v>
      </c>
      <c r="IBV613" s="5" t="s">
        <v>3728</v>
      </c>
      <c r="IBW613" s="17">
        <v>44925</v>
      </c>
      <c r="IBX613" s="5" t="s">
        <v>3728</v>
      </c>
      <c r="IBY613" s="17">
        <v>44925</v>
      </c>
      <c r="IBZ613" s="5" t="s">
        <v>3728</v>
      </c>
      <c r="ICA613" s="17">
        <v>44925</v>
      </c>
      <c r="ICB613" s="5" t="s">
        <v>3728</v>
      </c>
      <c r="ICC613" s="17">
        <v>44925</v>
      </c>
      <c r="ICD613" s="5" t="s">
        <v>3728</v>
      </c>
      <c r="ICE613" s="17">
        <v>44925</v>
      </c>
      <c r="ICF613" s="5" t="s">
        <v>3728</v>
      </c>
      <c r="ICG613" s="17">
        <v>44925</v>
      </c>
      <c r="ICH613" s="5" t="s">
        <v>3728</v>
      </c>
      <c r="ICI613" s="17">
        <v>44925</v>
      </c>
      <c r="ICJ613" s="5" t="s">
        <v>3728</v>
      </c>
      <c r="ICK613" s="17">
        <v>44925</v>
      </c>
      <c r="ICL613" s="5" t="s">
        <v>3728</v>
      </c>
      <c r="ICM613" s="17">
        <v>44925</v>
      </c>
      <c r="ICN613" s="5" t="s">
        <v>3728</v>
      </c>
      <c r="ICO613" s="17">
        <v>44925</v>
      </c>
      <c r="ICP613" s="5" t="s">
        <v>3728</v>
      </c>
      <c r="ICQ613" s="17">
        <v>44925</v>
      </c>
      <c r="ICR613" s="5" t="s">
        <v>3728</v>
      </c>
      <c r="ICS613" s="17">
        <v>44925</v>
      </c>
      <c r="ICT613" s="5" t="s">
        <v>3728</v>
      </c>
      <c r="ICU613" s="17">
        <v>44925</v>
      </c>
      <c r="ICV613" s="5" t="s">
        <v>3728</v>
      </c>
      <c r="ICW613" s="17">
        <v>44925</v>
      </c>
      <c r="ICX613" s="5" t="s">
        <v>3728</v>
      </c>
      <c r="ICY613" s="17">
        <v>44925</v>
      </c>
      <c r="ICZ613" s="5" t="s">
        <v>3728</v>
      </c>
      <c r="IDA613" s="17">
        <v>44925</v>
      </c>
      <c r="IDB613" s="5" t="s">
        <v>3728</v>
      </c>
      <c r="IDC613" s="17">
        <v>44925</v>
      </c>
      <c r="IDD613" s="5" t="s">
        <v>3728</v>
      </c>
      <c r="IDE613" s="17">
        <v>44925</v>
      </c>
      <c r="IDF613" s="5" t="s">
        <v>3728</v>
      </c>
      <c r="IDG613" s="17">
        <v>44925</v>
      </c>
      <c r="IDH613" s="5" t="s">
        <v>3728</v>
      </c>
      <c r="IDI613" s="17">
        <v>44925</v>
      </c>
      <c r="IDJ613" s="5" t="s">
        <v>3728</v>
      </c>
      <c r="IDK613" s="17">
        <v>44925</v>
      </c>
      <c r="IDL613" s="5" t="s">
        <v>3728</v>
      </c>
      <c r="IDM613" s="17">
        <v>44925</v>
      </c>
      <c r="IDN613" s="5" t="s">
        <v>3728</v>
      </c>
      <c r="IDO613" s="17">
        <v>44925</v>
      </c>
      <c r="IDP613" s="5" t="s">
        <v>3728</v>
      </c>
      <c r="IDQ613" s="17">
        <v>44925</v>
      </c>
      <c r="IDR613" s="5" t="s">
        <v>3728</v>
      </c>
      <c r="IDS613" s="17">
        <v>44925</v>
      </c>
      <c r="IDT613" s="5" t="s">
        <v>3728</v>
      </c>
      <c r="IDU613" s="17">
        <v>44925</v>
      </c>
      <c r="IDV613" s="5" t="s">
        <v>3728</v>
      </c>
      <c r="IDW613" s="17">
        <v>44925</v>
      </c>
      <c r="IDX613" s="5" t="s">
        <v>3728</v>
      </c>
      <c r="IDY613" s="17">
        <v>44925</v>
      </c>
      <c r="IDZ613" s="5" t="s">
        <v>3728</v>
      </c>
      <c r="IEA613" s="17">
        <v>44925</v>
      </c>
      <c r="IEB613" s="5" t="s">
        <v>3728</v>
      </c>
      <c r="IEC613" s="17">
        <v>44925</v>
      </c>
      <c r="IED613" s="5" t="s">
        <v>3728</v>
      </c>
      <c r="IEE613" s="17">
        <v>44925</v>
      </c>
      <c r="IEF613" s="5" t="s">
        <v>3728</v>
      </c>
      <c r="IEG613" s="17">
        <v>44925</v>
      </c>
      <c r="IEH613" s="5" t="s">
        <v>3728</v>
      </c>
      <c r="IEI613" s="17">
        <v>44925</v>
      </c>
      <c r="IEJ613" s="5" t="s">
        <v>3728</v>
      </c>
      <c r="IEK613" s="17">
        <v>44925</v>
      </c>
      <c r="IEL613" s="5" t="s">
        <v>3728</v>
      </c>
      <c r="IEM613" s="17">
        <v>44925</v>
      </c>
      <c r="IEN613" s="5" t="s">
        <v>3728</v>
      </c>
      <c r="IEO613" s="17">
        <v>44925</v>
      </c>
      <c r="IEP613" s="5" t="s">
        <v>3728</v>
      </c>
      <c r="IEQ613" s="17">
        <v>44925</v>
      </c>
      <c r="IER613" s="5" t="s">
        <v>3728</v>
      </c>
      <c r="IES613" s="17">
        <v>44925</v>
      </c>
      <c r="IET613" s="5" t="s">
        <v>3728</v>
      </c>
      <c r="IEU613" s="17">
        <v>44925</v>
      </c>
      <c r="IEV613" s="5" t="s">
        <v>3728</v>
      </c>
      <c r="IEW613" s="17">
        <v>44925</v>
      </c>
      <c r="IEX613" s="5" t="s">
        <v>3728</v>
      </c>
      <c r="IEY613" s="17">
        <v>44925</v>
      </c>
      <c r="IEZ613" s="5" t="s">
        <v>3728</v>
      </c>
      <c r="IFA613" s="17">
        <v>44925</v>
      </c>
      <c r="IFB613" s="5" t="s">
        <v>3728</v>
      </c>
      <c r="IFC613" s="17">
        <v>44925</v>
      </c>
      <c r="IFD613" s="5" t="s">
        <v>3728</v>
      </c>
      <c r="IFE613" s="17">
        <v>44925</v>
      </c>
      <c r="IFF613" s="5" t="s">
        <v>3728</v>
      </c>
      <c r="IFG613" s="17">
        <v>44925</v>
      </c>
      <c r="IFH613" s="5" t="s">
        <v>3728</v>
      </c>
      <c r="IFI613" s="17">
        <v>44925</v>
      </c>
      <c r="IFJ613" s="5" t="s">
        <v>3728</v>
      </c>
      <c r="IFK613" s="17">
        <v>44925</v>
      </c>
      <c r="IFL613" s="5" t="s">
        <v>3728</v>
      </c>
      <c r="IFM613" s="17">
        <v>44925</v>
      </c>
      <c r="IFN613" s="5" t="s">
        <v>3728</v>
      </c>
      <c r="IFO613" s="17">
        <v>44925</v>
      </c>
      <c r="IFP613" s="5" t="s">
        <v>3728</v>
      </c>
      <c r="IFQ613" s="17">
        <v>44925</v>
      </c>
      <c r="IFR613" s="5" t="s">
        <v>3728</v>
      </c>
      <c r="IFS613" s="17">
        <v>44925</v>
      </c>
      <c r="IFT613" s="5" t="s">
        <v>3728</v>
      </c>
      <c r="IFU613" s="17">
        <v>44925</v>
      </c>
      <c r="IFV613" s="5" t="s">
        <v>3728</v>
      </c>
      <c r="IFW613" s="17">
        <v>44925</v>
      </c>
      <c r="IFX613" s="5" t="s">
        <v>3728</v>
      </c>
      <c r="IFY613" s="17">
        <v>44925</v>
      </c>
      <c r="IFZ613" s="5" t="s">
        <v>3728</v>
      </c>
      <c r="IGA613" s="17">
        <v>44925</v>
      </c>
      <c r="IGB613" s="5" t="s">
        <v>3728</v>
      </c>
      <c r="IGC613" s="17">
        <v>44925</v>
      </c>
      <c r="IGD613" s="5" t="s">
        <v>3728</v>
      </c>
      <c r="IGE613" s="17">
        <v>44925</v>
      </c>
      <c r="IGF613" s="5" t="s">
        <v>3728</v>
      </c>
      <c r="IGG613" s="17">
        <v>44925</v>
      </c>
      <c r="IGH613" s="5" t="s">
        <v>3728</v>
      </c>
      <c r="IGI613" s="17">
        <v>44925</v>
      </c>
      <c r="IGJ613" s="5" t="s">
        <v>3728</v>
      </c>
      <c r="IGK613" s="17">
        <v>44925</v>
      </c>
      <c r="IGL613" s="5" t="s">
        <v>3728</v>
      </c>
      <c r="IGM613" s="17">
        <v>44925</v>
      </c>
      <c r="IGN613" s="5" t="s">
        <v>3728</v>
      </c>
      <c r="IGO613" s="17">
        <v>44925</v>
      </c>
      <c r="IGP613" s="5" t="s">
        <v>3728</v>
      </c>
      <c r="IGQ613" s="17">
        <v>44925</v>
      </c>
      <c r="IGR613" s="5" t="s">
        <v>3728</v>
      </c>
      <c r="IGS613" s="17">
        <v>44925</v>
      </c>
      <c r="IGT613" s="5" t="s">
        <v>3728</v>
      </c>
      <c r="IGU613" s="17">
        <v>44925</v>
      </c>
      <c r="IGV613" s="5" t="s">
        <v>3728</v>
      </c>
      <c r="IGW613" s="17">
        <v>44925</v>
      </c>
      <c r="IGX613" s="5" t="s">
        <v>3728</v>
      </c>
      <c r="IGY613" s="17">
        <v>44925</v>
      </c>
      <c r="IGZ613" s="5" t="s">
        <v>3728</v>
      </c>
      <c r="IHA613" s="17">
        <v>44925</v>
      </c>
      <c r="IHB613" s="5" t="s">
        <v>3728</v>
      </c>
      <c r="IHC613" s="17">
        <v>44925</v>
      </c>
      <c r="IHD613" s="5" t="s">
        <v>3728</v>
      </c>
      <c r="IHE613" s="17">
        <v>44925</v>
      </c>
      <c r="IHF613" s="5" t="s">
        <v>3728</v>
      </c>
      <c r="IHG613" s="17">
        <v>44925</v>
      </c>
      <c r="IHH613" s="5" t="s">
        <v>3728</v>
      </c>
      <c r="IHI613" s="17">
        <v>44925</v>
      </c>
      <c r="IHJ613" s="5" t="s">
        <v>3728</v>
      </c>
      <c r="IHK613" s="17">
        <v>44925</v>
      </c>
      <c r="IHL613" s="5" t="s">
        <v>3728</v>
      </c>
      <c r="IHM613" s="17">
        <v>44925</v>
      </c>
      <c r="IHN613" s="5" t="s">
        <v>3728</v>
      </c>
      <c r="IHO613" s="17">
        <v>44925</v>
      </c>
      <c r="IHP613" s="5" t="s">
        <v>3728</v>
      </c>
      <c r="IHQ613" s="17">
        <v>44925</v>
      </c>
      <c r="IHR613" s="5" t="s">
        <v>3728</v>
      </c>
      <c r="IHS613" s="17">
        <v>44925</v>
      </c>
      <c r="IHT613" s="5" t="s">
        <v>3728</v>
      </c>
      <c r="IHU613" s="17">
        <v>44925</v>
      </c>
      <c r="IHV613" s="5" t="s">
        <v>3728</v>
      </c>
      <c r="IHW613" s="17">
        <v>44925</v>
      </c>
      <c r="IHX613" s="5" t="s">
        <v>3728</v>
      </c>
      <c r="IHY613" s="17">
        <v>44925</v>
      </c>
      <c r="IHZ613" s="5" t="s">
        <v>3728</v>
      </c>
      <c r="IIA613" s="17">
        <v>44925</v>
      </c>
      <c r="IIB613" s="5" t="s">
        <v>3728</v>
      </c>
      <c r="IIC613" s="17">
        <v>44925</v>
      </c>
      <c r="IID613" s="5" t="s">
        <v>3728</v>
      </c>
      <c r="IIE613" s="17">
        <v>44925</v>
      </c>
      <c r="IIF613" s="5" t="s">
        <v>3728</v>
      </c>
      <c r="IIG613" s="17">
        <v>44925</v>
      </c>
      <c r="IIH613" s="5" t="s">
        <v>3728</v>
      </c>
      <c r="III613" s="17">
        <v>44925</v>
      </c>
      <c r="IIJ613" s="5" t="s">
        <v>3728</v>
      </c>
      <c r="IIK613" s="17">
        <v>44925</v>
      </c>
      <c r="IIL613" s="5" t="s">
        <v>3728</v>
      </c>
      <c r="IIM613" s="17">
        <v>44925</v>
      </c>
      <c r="IIN613" s="5" t="s">
        <v>3728</v>
      </c>
      <c r="IIO613" s="17">
        <v>44925</v>
      </c>
      <c r="IIP613" s="5" t="s">
        <v>3728</v>
      </c>
      <c r="IIQ613" s="17">
        <v>44925</v>
      </c>
      <c r="IIR613" s="5" t="s">
        <v>3728</v>
      </c>
      <c r="IIS613" s="17">
        <v>44925</v>
      </c>
      <c r="IIT613" s="5" t="s">
        <v>3728</v>
      </c>
      <c r="IIU613" s="17">
        <v>44925</v>
      </c>
      <c r="IIV613" s="5" t="s">
        <v>3728</v>
      </c>
      <c r="IIW613" s="17">
        <v>44925</v>
      </c>
      <c r="IIX613" s="5" t="s">
        <v>3728</v>
      </c>
      <c r="IIY613" s="17">
        <v>44925</v>
      </c>
      <c r="IIZ613" s="5" t="s">
        <v>3728</v>
      </c>
      <c r="IJA613" s="17">
        <v>44925</v>
      </c>
      <c r="IJB613" s="5" t="s">
        <v>3728</v>
      </c>
      <c r="IJC613" s="17">
        <v>44925</v>
      </c>
      <c r="IJD613" s="5" t="s">
        <v>3728</v>
      </c>
      <c r="IJE613" s="17">
        <v>44925</v>
      </c>
      <c r="IJF613" s="5" t="s">
        <v>3728</v>
      </c>
      <c r="IJG613" s="17">
        <v>44925</v>
      </c>
      <c r="IJH613" s="5" t="s">
        <v>3728</v>
      </c>
      <c r="IJI613" s="17">
        <v>44925</v>
      </c>
      <c r="IJJ613" s="5" t="s">
        <v>3728</v>
      </c>
      <c r="IJK613" s="17">
        <v>44925</v>
      </c>
      <c r="IJL613" s="5" t="s">
        <v>3728</v>
      </c>
      <c r="IJM613" s="17">
        <v>44925</v>
      </c>
      <c r="IJN613" s="5" t="s">
        <v>3728</v>
      </c>
      <c r="IJO613" s="17">
        <v>44925</v>
      </c>
      <c r="IJP613" s="5" t="s">
        <v>3728</v>
      </c>
      <c r="IJQ613" s="17">
        <v>44925</v>
      </c>
      <c r="IJR613" s="5" t="s">
        <v>3728</v>
      </c>
      <c r="IJS613" s="17">
        <v>44925</v>
      </c>
      <c r="IJT613" s="5" t="s">
        <v>3728</v>
      </c>
      <c r="IJU613" s="17">
        <v>44925</v>
      </c>
      <c r="IJV613" s="5" t="s">
        <v>3728</v>
      </c>
      <c r="IJW613" s="17">
        <v>44925</v>
      </c>
      <c r="IJX613" s="5" t="s">
        <v>3728</v>
      </c>
      <c r="IJY613" s="17">
        <v>44925</v>
      </c>
      <c r="IJZ613" s="5" t="s">
        <v>3728</v>
      </c>
      <c r="IKA613" s="17">
        <v>44925</v>
      </c>
      <c r="IKB613" s="5" t="s">
        <v>3728</v>
      </c>
      <c r="IKC613" s="17">
        <v>44925</v>
      </c>
      <c r="IKD613" s="5" t="s">
        <v>3728</v>
      </c>
      <c r="IKE613" s="17">
        <v>44925</v>
      </c>
      <c r="IKF613" s="5" t="s">
        <v>3728</v>
      </c>
      <c r="IKG613" s="17">
        <v>44925</v>
      </c>
      <c r="IKH613" s="5" t="s">
        <v>3728</v>
      </c>
      <c r="IKI613" s="17">
        <v>44925</v>
      </c>
      <c r="IKJ613" s="5" t="s">
        <v>3728</v>
      </c>
      <c r="IKK613" s="17">
        <v>44925</v>
      </c>
      <c r="IKL613" s="5" t="s">
        <v>3728</v>
      </c>
      <c r="IKM613" s="17">
        <v>44925</v>
      </c>
      <c r="IKN613" s="5" t="s">
        <v>3728</v>
      </c>
      <c r="IKO613" s="17">
        <v>44925</v>
      </c>
      <c r="IKP613" s="5" t="s">
        <v>3728</v>
      </c>
      <c r="IKQ613" s="17">
        <v>44925</v>
      </c>
      <c r="IKR613" s="5" t="s">
        <v>3728</v>
      </c>
      <c r="IKS613" s="17">
        <v>44925</v>
      </c>
      <c r="IKT613" s="5" t="s">
        <v>3728</v>
      </c>
      <c r="IKU613" s="17">
        <v>44925</v>
      </c>
      <c r="IKV613" s="5" t="s">
        <v>3728</v>
      </c>
      <c r="IKW613" s="17">
        <v>44925</v>
      </c>
      <c r="IKX613" s="5" t="s">
        <v>3728</v>
      </c>
      <c r="IKY613" s="17">
        <v>44925</v>
      </c>
      <c r="IKZ613" s="5" t="s">
        <v>3728</v>
      </c>
      <c r="ILA613" s="17">
        <v>44925</v>
      </c>
      <c r="ILB613" s="5" t="s">
        <v>3728</v>
      </c>
      <c r="ILC613" s="17">
        <v>44925</v>
      </c>
      <c r="ILD613" s="5" t="s">
        <v>3728</v>
      </c>
      <c r="ILE613" s="17">
        <v>44925</v>
      </c>
      <c r="ILF613" s="5" t="s">
        <v>3728</v>
      </c>
      <c r="ILG613" s="17">
        <v>44925</v>
      </c>
      <c r="ILH613" s="5" t="s">
        <v>3728</v>
      </c>
      <c r="ILI613" s="17">
        <v>44925</v>
      </c>
      <c r="ILJ613" s="5" t="s">
        <v>3728</v>
      </c>
      <c r="ILK613" s="17">
        <v>44925</v>
      </c>
      <c r="ILL613" s="5" t="s">
        <v>3728</v>
      </c>
      <c r="ILM613" s="17">
        <v>44925</v>
      </c>
      <c r="ILN613" s="5" t="s">
        <v>3728</v>
      </c>
      <c r="ILO613" s="17">
        <v>44925</v>
      </c>
      <c r="ILP613" s="5" t="s">
        <v>3728</v>
      </c>
      <c r="ILQ613" s="17">
        <v>44925</v>
      </c>
      <c r="ILR613" s="5" t="s">
        <v>3728</v>
      </c>
      <c r="ILS613" s="17">
        <v>44925</v>
      </c>
      <c r="ILT613" s="5" t="s">
        <v>3728</v>
      </c>
      <c r="ILU613" s="17">
        <v>44925</v>
      </c>
      <c r="ILV613" s="5" t="s">
        <v>3728</v>
      </c>
      <c r="ILW613" s="17">
        <v>44925</v>
      </c>
      <c r="ILX613" s="5" t="s">
        <v>3728</v>
      </c>
      <c r="ILY613" s="17">
        <v>44925</v>
      </c>
      <c r="ILZ613" s="5" t="s">
        <v>3728</v>
      </c>
      <c r="IMA613" s="17">
        <v>44925</v>
      </c>
      <c r="IMB613" s="5" t="s">
        <v>3728</v>
      </c>
      <c r="IMC613" s="17">
        <v>44925</v>
      </c>
      <c r="IMD613" s="5" t="s">
        <v>3728</v>
      </c>
      <c r="IME613" s="17">
        <v>44925</v>
      </c>
      <c r="IMF613" s="5" t="s">
        <v>3728</v>
      </c>
      <c r="IMG613" s="17">
        <v>44925</v>
      </c>
      <c r="IMH613" s="5" t="s">
        <v>3728</v>
      </c>
      <c r="IMI613" s="17">
        <v>44925</v>
      </c>
      <c r="IMJ613" s="5" t="s">
        <v>3728</v>
      </c>
      <c r="IMK613" s="17">
        <v>44925</v>
      </c>
      <c r="IML613" s="5" t="s">
        <v>3728</v>
      </c>
      <c r="IMM613" s="17">
        <v>44925</v>
      </c>
      <c r="IMN613" s="5" t="s">
        <v>3728</v>
      </c>
      <c r="IMO613" s="17">
        <v>44925</v>
      </c>
      <c r="IMP613" s="5" t="s">
        <v>3728</v>
      </c>
      <c r="IMQ613" s="17">
        <v>44925</v>
      </c>
      <c r="IMR613" s="5" t="s">
        <v>3728</v>
      </c>
      <c r="IMS613" s="17">
        <v>44925</v>
      </c>
      <c r="IMT613" s="5" t="s">
        <v>3728</v>
      </c>
      <c r="IMU613" s="17">
        <v>44925</v>
      </c>
      <c r="IMV613" s="5" t="s">
        <v>3728</v>
      </c>
      <c r="IMW613" s="17">
        <v>44925</v>
      </c>
      <c r="IMX613" s="5" t="s">
        <v>3728</v>
      </c>
      <c r="IMY613" s="17">
        <v>44925</v>
      </c>
      <c r="IMZ613" s="5" t="s">
        <v>3728</v>
      </c>
      <c r="INA613" s="17">
        <v>44925</v>
      </c>
      <c r="INB613" s="5" t="s">
        <v>3728</v>
      </c>
      <c r="INC613" s="17">
        <v>44925</v>
      </c>
      <c r="IND613" s="5" t="s">
        <v>3728</v>
      </c>
      <c r="INE613" s="17">
        <v>44925</v>
      </c>
      <c r="INF613" s="5" t="s">
        <v>3728</v>
      </c>
      <c r="ING613" s="17">
        <v>44925</v>
      </c>
      <c r="INH613" s="5" t="s">
        <v>3728</v>
      </c>
      <c r="INI613" s="17">
        <v>44925</v>
      </c>
      <c r="INJ613" s="5" t="s">
        <v>3728</v>
      </c>
      <c r="INK613" s="17">
        <v>44925</v>
      </c>
      <c r="INL613" s="5" t="s">
        <v>3728</v>
      </c>
      <c r="INM613" s="17">
        <v>44925</v>
      </c>
      <c r="INN613" s="5" t="s">
        <v>3728</v>
      </c>
      <c r="INO613" s="17">
        <v>44925</v>
      </c>
      <c r="INP613" s="5" t="s">
        <v>3728</v>
      </c>
      <c r="INQ613" s="17">
        <v>44925</v>
      </c>
      <c r="INR613" s="5" t="s">
        <v>3728</v>
      </c>
      <c r="INS613" s="17">
        <v>44925</v>
      </c>
      <c r="INT613" s="5" t="s">
        <v>3728</v>
      </c>
      <c r="INU613" s="17">
        <v>44925</v>
      </c>
      <c r="INV613" s="5" t="s">
        <v>3728</v>
      </c>
      <c r="INW613" s="17">
        <v>44925</v>
      </c>
      <c r="INX613" s="5" t="s">
        <v>3728</v>
      </c>
      <c r="INY613" s="17">
        <v>44925</v>
      </c>
      <c r="INZ613" s="5" t="s">
        <v>3728</v>
      </c>
      <c r="IOA613" s="17">
        <v>44925</v>
      </c>
      <c r="IOB613" s="5" t="s">
        <v>3728</v>
      </c>
      <c r="IOC613" s="17">
        <v>44925</v>
      </c>
      <c r="IOD613" s="5" t="s">
        <v>3728</v>
      </c>
      <c r="IOE613" s="17">
        <v>44925</v>
      </c>
      <c r="IOF613" s="5" t="s">
        <v>3728</v>
      </c>
      <c r="IOG613" s="17">
        <v>44925</v>
      </c>
      <c r="IOH613" s="5" t="s">
        <v>3728</v>
      </c>
      <c r="IOI613" s="17">
        <v>44925</v>
      </c>
      <c r="IOJ613" s="5" t="s">
        <v>3728</v>
      </c>
      <c r="IOK613" s="17">
        <v>44925</v>
      </c>
      <c r="IOL613" s="5" t="s">
        <v>3728</v>
      </c>
      <c r="IOM613" s="17">
        <v>44925</v>
      </c>
      <c r="ION613" s="5" t="s">
        <v>3728</v>
      </c>
      <c r="IOO613" s="17">
        <v>44925</v>
      </c>
      <c r="IOP613" s="5" t="s">
        <v>3728</v>
      </c>
      <c r="IOQ613" s="17">
        <v>44925</v>
      </c>
      <c r="IOR613" s="5" t="s">
        <v>3728</v>
      </c>
      <c r="IOS613" s="17">
        <v>44925</v>
      </c>
      <c r="IOT613" s="5" t="s">
        <v>3728</v>
      </c>
      <c r="IOU613" s="17">
        <v>44925</v>
      </c>
      <c r="IOV613" s="5" t="s">
        <v>3728</v>
      </c>
      <c r="IOW613" s="17">
        <v>44925</v>
      </c>
      <c r="IOX613" s="5" t="s">
        <v>3728</v>
      </c>
      <c r="IOY613" s="17">
        <v>44925</v>
      </c>
      <c r="IOZ613" s="5" t="s">
        <v>3728</v>
      </c>
      <c r="IPA613" s="17">
        <v>44925</v>
      </c>
      <c r="IPB613" s="5" t="s">
        <v>3728</v>
      </c>
      <c r="IPC613" s="17">
        <v>44925</v>
      </c>
      <c r="IPD613" s="5" t="s">
        <v>3728</v>
      </c>
      <c r="IPE613" s="17">
        <v>44925</v>
      </c>
      <c r="IPF613" s="5" t="s">
        <v>3728</v>
      </c>
      <c r="IPG613" s="17">
        <v>44925</v>
      </c>
      <c r="IPH613" s="5" t="s">
        <v>3728</v>
      </c>
      <c r="IPI613" s="17">
        <v>44925</v>
      </c>
      <c r="IPJ613" s="5" t="s">
        <v>3728</v>
      </c>
      <c r="IPK613" s="17">
        <v>44925</v>
      </c>
      <c r="IPL613" s="5" t="s">
        <v>3728</v>
      </c>
      <c r="IPM613" s="17">
        <v>44925</v>
      </c>
      <c r="IPN613" s="5" t="s">
        <v>3728</v>
      </c>
      <c r="IPO613" s="17">
        <v>44925</v>
      </c>
      <c r="IPP613" s="5" t="s">
        <v>3728</v>
      </c>
      <c r="IPQ613" s="17">
        <v>44925</v>
      </c>
      <c r="IPR613" s="5" t="s">
        <v>3728</v>
      </c>
      <c r="IPS613" s="17">
        <v>44925</v>
      </c>
      <c r="IPT613" s="5" t="s">
        <v>3728</v>
      </c>
      <c r="IPU613" s="17">
        <v>44925</v>
      </c>
      <c r="IPV613" s="5" t="s">
        <v>3728</v>
      </c>
      <c r="IPW613" s="17">
        <v>44925</v>
      </c>
      <c r="IPX613" s="5" t="s">
        <v>3728</v>
      </c>
      <c r="IPY613" s="17">
        <v>44925</v>
      </c>
      <c r="IPZ613" s="5" t="s">
        <v>3728</v>
      </c>
      <c r="IQA613" s="17">
        <v>44925</v>
      </c>
      <c r="IQB613" s="5" t="s">
        <v>3728</v>
      </c>
      <c r="IQC613" s="17">
        <v>44925</v>
      </c>
      <c r="IQD613" s="5" t="s">
        <v>3728</v>
      </c>
      <c r="IQE613" s="17">
        <v>44925</v>
      </c>
      <c r="IQF613" s="5" t="s">
        <v>3728</v>
      </c>
      <c r="IQG613" s="17">
        <v>44925</v>
      </c>
      <c r="IQH613" s="5" t="s">
        <v>3728</v>
      </c>
      <c r="IQI613" s="17">
        <v>44925</v>
      </c>
      <c r="IQJ613" s="5" t="s">
        <v>3728</v>
      </c>
      <c r="IQK613" s="17">
        <v>44925</v>
      </c>
      <c r="IQL613" s="5" t="s">
        <v>3728</v>
      </c>
      <c r="IQM613" s="17">
        <v>44925</v>
      </c>
      <c r="IQN613" s="5" t="s">
        <v>3728</v>
      </c>
      <c r="IQO613" s="17">
        <v>44925</v>
      </c>
      <c r="IQP613" s="5" t="s">
        <v>3728</v>
      </c>
      <c r="IQQ613" s="17">
        <v>44925</v>
      </c>
      <c r="IQR613" s="5" t="s">
        <v>3728</v>
      </c>
      <c r="IQS613" s="17">
        <v>44925</v>
      </c>
      <c r="IQT613" s="5" t="s">
        <v>3728</v>
      </c>
      <c r="IQU613" s="17">
        <v>44925</v>
      </c>
      <c r="IQV613" s="5" t="s">
        <v>3728</v>
      </c>
      <c r="IQW613" s="17">
        <v>44925</v>
      </c>
      <c r="IQX613" s="5" t="s">
        <v>3728</v>
      </c>
      <c r="IQY613" s="17">
        <v>44925</v>
      </c>
      <c r="IQZ613" s="5" t="s">
        <v>3728</v>
      </c>
      <c r="IRA613" s="17">
        <v>44925</v>
      </c>
      <c r="IRB613" s="5" t="s">
        <v>3728</v>
      </c>
      <c r="IRC613" s="17">
        <v>44925</v>
      </c>
      <c r="IRD613" s="5" t="s">
        <v>3728</v>
      </c>
      <c r="IRE613" s="17">
        <v>44925</v>
      </c>
      <c r="IRF613" s="5" t="s">
        <v>3728</v>
      </c>
      <c r="IRG613" s="17">
        <v>44925</v>
      </c>
      <c r="IRH613" s="5" t="s">
        <v>3728</v>
      </c>
      <c r="IRI613" s="17">
        <v>44925</v>
      </c>
      <c r="IRJ613" s="5" t="s">
        <v>3728</v>
      </c>
      <c r="IRK613" s="17">
        <v>44925</v>
      </c>
      <c r="IRL613" s="5" t="s">
        <v>3728</v>
      </c>
      <c r="IRM613" s="17">
        <v>44925</v>
      </c>
      <c r="IRN613" s="5" t="s">
        <v>3728</v>
      </c>
      <c r="IRO613" s="17">
        <v>44925</v>
      </c>
      <c r="IRP613" s="5" t="s">
        <v>3728</v>
      </c>
      <c r="IRQ613" s="17">
        <v>44925</v>
      </c>
      <c r="IRR613" s="5" t="s">
        <v>3728</v>
      </c>
      <c r="IRS613" s="17">
        <v>44925</v>
      </c>
      <c r="IRT613" s="5" t="s">
        <v>3728</v>
      </c>
      <c r="IRU613" s="17">
        <v>44925</v>
      </c>
      <c r="IRV613" s="5" t="s">
        <v>3728</v>
      </c>
      <c r="IRW613" s="17">
        <v>44925</v>
      </c>
      <c r="IRX613" s="5" t="s">
        <v>3728</v>
      </c>
      <c r="IRY613" s="17">
        <v>44925</v>
      </c>
      <c r="IRZ613" s="5" t="s">
        <v>3728</v>
      </c>
      <c r="ISA613" s="17">
        <v>44925</v>
      </c>
      <c r="ISB613" s="5" t="s">
        <v>3728</v>
      </c>
      <c r="ISC613" s="17">
        <v>44925</v>
      </c>
      <c r="ISD613" s="5" t="s">
        <v>3728</v>
      </c>
      <c r="ISE613" s="17">
        <v>44925</v>
      </c>
      <c r="ISF613" s="5" t="s">
        <v>3728</v>
      </c>
      <c r="ISG613" s="17">
        <v>44925</v>
      </c>
      <c r="ISH613" s="5" t="s">
        <v>3728</v>
      </c>
      <c r="ISI613" s="17">
        <v>44925</v>
      </c>
      <c r="ISJ613" s="5" t="s">
        <v>3728</v>
      </c>
      <c r="ISK613" s="17">
        <v>44925</v>
      </c>
      <c r="ISL613" s="5" t="s">
        <v>3728</v>
      </c>
      <c r="ISM613" s="17">
        <v>44925</v>
      </c>
      <c r="ISN613" s="5" t="s">
        <v>3728</v>
      </c>
      <c r="ISO613" s="17">
        <v>44925</v>
      </c>
      <c r="ISP613" s="5" t="s">
        <v>3728</v>
      </c>
      <c r="ISQ613" s="17">
        <v>44925</v>
      </c>
      <c r="ISR613" s="5" t="s">
        <v>3728</v>
      </c>
      <c r="ISS613" s="17">
        <v>44925</v>
      </c>
      <c r="IST613" s="5" t="s">
        <v>3728</v>
      </c>
      <c r="ISU613" s="17">
        <v>44925</v>
      </c>
      <c r="ISV613" s="5" t="s">
        <v>3728</v>
      </c>
      <c r="ISW613" s="17">
        <v>44925</v>
      </c>
      <c r="ISX613" s="5" t="s">
        <v>3728</v>
      </c>
      <c r="ISY613" s="17">
        <v>44925</v>
      </c>
      <c r="ISZ613" s="5" t="s">
        <v>3728</v>
      </c>
      <c r="ITA613" s="17">
        <v>44925</v>
      </c>
      <c r="ITB613" s="5" t="s">
        <v>3728</v>
      </c>
      <c r="ITC613" s="17">
        <v>44925</v>
      </c>
      <c r="ITD613" s="5" t="s">
        <v>3728</v>
      </c>
      <c r="ITE613" s="17">
        <v>44925</v>
      </c>
      <c r="ITF613" s="5" t="s">
        <v>3728</v>
      </c>
      <c r="ITG613" s="17">
        <v>44925</v>
      </c>
      <c r="ITH613" s="5" t="s">
        <v>3728</v>
      </c>
      <c r="ITI613" s="17">
        <v>44925</v>
      </c>
      <c r="ITJ613" s="5" t="s">
        <v>3728</v>
      </c>
      <c r="ITK613" s="17">
        <v>44925</v>
      </c>
      <c r="ITL613" s="5" t="s">
        <v>3728</v>
      </c>
      <c r="ITM613" s="17">
        <v>44925</v>
      </c>
      <c r="ITN613" s="5" t="s">
        <v>3728</v>
      </c>
      <c r="ITO613" s="17">
        <v>44925</v>
      </c>
      <c r="ITP613" s="5" t="s">
        <v>3728</v>
      </c>
      <c r="ITQ613" s="17">
        <v>44925</v>
      </c>
      <c r="ITR613" s="5" t="s">
        <v>3728</v>
      </c>
      <c r="ITS613" s="17">
        <v>44925</v>
      </c>
      <c r="ITT613" s="5" t="s">
        <v>3728</v>
      </c>
      <c r="ITU613" s="17">
        <v>44925</v>
      </c>
      <c r="ITV613" s="5" t="s">
        <v>3728</v>
      </c>
      <c r="ITW613" s="17">
        <v>44925</v>
      </c>
      <c r="ITX613" s="5" t="s">
        <v>3728</v>
      </c>
      <c r="ITY613" s="17">
        <v>44925</v>
      </c>
      <c r="ITZ613" s="5" t="s">
        <v>3728</v>
      </c>
      <c r="IUA613" s="17">
        <v>44925</v>
      </c>
      <c r="IUB613" s="5" t="s">
        <v>3728</v>
      </c>
      <c r="IUC613" s="17">
        <v>44925</v>
      </c>
      <c r="IUD613" s="5" t="s">
        <v>3728</v>
      </c>
      <c r="IUE613" s="17">
        <v>44925</v>
      </c>
      <c r="IUF613" s="5" t="s">
        <v>3728</v>
      </c>
      <c r="IUG613" s="17">
        <v>44925</v>
      </c>
      <c r="IUH613" s="5" t="s">
        <v>3728</v>
      </c>
      <c r="IUI613" s="17">
        <v>44925</v>
      </c>
      <c r="IUJ613" s="5" t="s">
        <v>3728</v>
      </c>
      <c r="IUK613" s="17">
        <v>44925</v>
      </c>
      <c r="IUL613" s="5" t="s">
        <v>3728</v>
      </c>
      <c r="IUM613" s="17">
        <v>44925</v>
      </c>
      <c r="IUN613" s="5" t="s">
        <v>3728</v>
      </c>
      <c r="IUO613" s="17">
        <v>44925</v>
      </c>
      <c r="IUP613" s="5" t="s">
        <v>3728</v>
      </c>
      <c r="IUQ613" s="17">
        <v>44925</v>
      </c>
      <c r="IUR613" s="5" t="s">
        <v>3728</v>
      </c>
      <c r="IUS613" s="17">
        <v>44925</v>
      </c>
      <c r="IUT613" s="5" t="s">
        <v>3728</v>
      </c>
      <c r="IUU613" s="17">
        <v>44925</v>
      </c>
      <c r="IUV613" s="5" t="s">
        <v>3728</v>
      </c>
      <c r="IUW613" s="17">
        <v>44925</v>
      </c>
      <c r="IUX613" s="5" t="s">
        <v>3728</v>
      </c>
      <c r="IUY613" s="17">
        <v>44925</v>
      </c>
      <c r="IUZ613" s="5" t="s">
        <v>3728</v>
      </c>
      <c r="IVA613" s="17">
        <v>44925</v>
      </c>
      <c r="IVB613" s="5" t="s">
        <v>3728</v>
      </c>
      <c r="IVC613" s="17">
        <v>44925</v>
      </c>
      <c r="IVD613" s="5" t="s">
        <v>3728</v>
      </c>
      <c r="IVE613" s="17">
        <v>44925</v>
      </c>
      <c r="IVF613" s="5" t="s">
        <v>3728</v>
      </c>
      <c r="IVG613" s="17">
        <v>44925</v>
      </c>
      <c r="IVH613" s="5" t="s">
        <v>3728</v>
      </c>
      <c r="IVI613" s="17">
        <v>44925</v>
      </c>
      <c r="IVJ613" s="5" t="s">
        <v>3728</v>
      </c>
      <c r="IVK613" s="17">
        <v>44925</v>
      </c>
      <c r="IVL613" s="5" t="s">
        <v>3728</v>
      </c>
      <c r="IVM613" s="17">
        <v>44925</v>
      </c>
      <c r="IVN613" s="5" t="s">
        <v>3728</v>
      </c>
      <c r="IVO613" s="17">
        <v>44925</v>
      </c>
      <c r="IVP613" s="5" t="s">
        <v>3728</v>
      </c>
      <c r="IVQ613" s="17">
        <v>44925</v>
      </c>
      <c r="IVR613" s="5" t="s">
        <v>3728</v>
      </c>
      <c r="IVS613" s="17">
        <v>44925</v>
      </c>
      <c r="IVT613" s="5" t="s">
        <v>3728</v>
      </c>
      <c r="IVU613" s="17">
        <v>44925</v>
      </c>
      <c r="IVV613" s="5" t="s">
        <v>3728</v>
      </c>
      <c r="IVW613" s="17">
        <v>44925</v>
      </c>
      <c r="IVX613" s="5" t="s">
        <v>3728</v>
      </c>
      <c r="IVY613" s="17">
        <v>44925</v>
      </c>
      <c r="IVZ613" s="5" t="s">
        <v>3728</v>
      </c>
      <c r="IWA613" s="17">
        <v>44925</v>
      </c>
      <c r="IWB613" s="5" t="s">
        <v>3728</v>
      </c>
      <c r="IWC613" s="17">
        <v>44925</v>
      </c>
      <c r="IWD613" s="5" t="s">
        <v>3728</v>
      </c>
      <c r="IWE613" s="17">
        <v>44925</v>
      </c>
      <c r="IWF613" s="5" t="s">
        <v>3728</v>
      </c>
      <c r="IWG613" s="17">
        <v>44925</v>
      </c>
      <c r="IWH613" s="5" t="s">
        <v>3728</v>
      </c>
      <c r="IWI613" s="17">
        <v>44925</v>
      </c>
      <c r="IWJ613" s="5" t="s">
        <v>3728</v>
      </c>
      <c r="IWK613" s="17">
        <v>44925</v>
      </c>
      <c r="IWL613" s="5" t="s">
        <v>3728</v>
      </c>
      <c r="IWM613" s="17">
        <v>44925</v>
      </c>
      <c r="IWN613" s="5" t="s">
        <v>3728</v>
      </c>
      <c r="IWO613" s="17">
        <v>44925</v>
      </c>
      <c r="IWP613" s="5" t="s">
        <v>3728</v>
      </c>
      <c r="IWQ613" s="17">
        <v>44925</v>
      </c>
      <c r="IWR613" s="5" t="s">
        <v>3728</v>
      </c>
      <c r="IWS613" s="17">
        <v>44925</v>
      </c>
      <c r="IWT613" s="5" t="s">
        <v>3728</v>
      </c>
      <c r="IWU613" s="17">
        <v>44925</v>
      </c>
      <c r="IWV613" s="5" t="s">
        <v>3728</v>
      </c>
      <c r="IWW613" s="17">
        <v>44925</v>
      </c>
      <c r="IWX613" s="5" t="s">
        <v>3728</v>
      </c>
      <c r="IWY613" s="17">
        <v>44925</v>
      </c>
      <c r="IWZ613" s="5" t="s">
        <v>3728</v>
      </c>
      <c r="IXA613" s="17">
        <v>44925</v>
      </c>
      <c r="IXB613" s="5" t="s">
        <v>3728</v>
      </c>
      <c r="IXC613" s="17">
        <v>44925</v>
      </c>
      <c r="IXD613" s="5" t="s">
        <v>3728</v>
      </c>
      <c r="IXE613" s="17">
        <v>44925</v>
      </c>
      <c r="IXF613" s="5" t="s">
        <v>3728</v>
      </c>
      <c r="IXG613" s="17">
        <v>44925</v>
      </c>
      <c r="IXH613" s="5" t="s">
        <v>3728</v>
      </c>
      <c r="IXI613" s="17">
        <v>44925</v>
      </c>
      <c r="IXJ613" s="5" t="s">
        <v>3728</v>
      </c>
      <c r="IXK613" s="17">
        <v>44925</v>
      </c>
      <c r="IXL613" s="5" t="s">
        <v>3728</v>
      </c>
      <c r="IXM613" s="17">
        <v>44925</v>
      </c>
      <c r="IXN613" s="5" t="s">
        <v>3728</v>
      </c>
      <c r="IXO613" s="17">
        <v>44925</v>
      </c>
      <c r="IXP613" s="5" t="s">
        <v>3728</v>
      </c>
      <c r="IXQ613" s="17">
        <v>44925</v>
      </c>
      <c r="IXR613" s="5" t="s">
        <v>3728</v>
      </c>
      <c r="IXS613" s="17">
        <v>44925</v>
      </c>
      <c r="IXT613" s="5" t="s">
        <v>3728</v>
      </c>
      <c r="IXU613" s="17">
        <v>44925</v>
      </c>
      <c r="IXV613" s="5" t="s">
        <v>3728</v>
      </c>
      <c r="IXW613" s="17">
        <v>44925</v>
      </c>
      <c r="IXX613" s="5" t="s">
        <v>3728</v>
      </c>
      <c r="IXY613" s="17">
        <v>44925</v>
      </c>
      <c r="IXZ613" s="5" t="s">
        <v>3728</v>
      </c>
      <c r="IYA613" s="17">
        <v>44925</v>
      </c>
      <c r="IYB613" s="5" t="s">
        <v>3728</v>
      </c>
      <c r="IYC613" s="17">
        <v>44925</v>
      </c>
      <c r="IYD613" s="5" t="s">
        <v>3728</v>
      </c>
      <c r="IYE613" s="17">
        <v>44925</v>
      </c>
      <c r="IYF613" s="5" t="s">
        <v>3728</v>
      </c>
      <c r="IYG613" s="17">
        <v>44925</v>
      </c>
      <c r="IYH613" s="5" t="s">
        <v>3728</v>
      </c>
      <c r="IYI613" s="17">
        <v>44925</v>
      </c>
      <c r="IYJ613" s="5" t="s">
        <v>3728</v>
      </c>
      <c r="IYK613" s="17">
        <v>44925</v>
      </c>
      <c r="IYL613" s="5" t="s">
        <v>3728</v>
      </c>
      <c r="IYM613" s="17">
        <v>44925</v>
      </c>
      <c r="IYN613" s="5" t="s">
        <v>3728</v>
      </c>
      <c r="IYO613" s="17">
        <v>44925</v>
      </c>
      <c r="IYP613" s="5" t="s">
        <v>3728</v>
      </c>
      <c r="IYQ613" s="17">
        <v>44925</v>
      </c>
      <c r="IYR613" s="5" t="s">
        <v>3728</v>
      </c>
      <c r="IYS613" s="17">
        <v>44925</v>
      </c>
      <c r="IYT613" s="5" t="s">
        <v>3728</v>
      </c>
      <c r="IYU613" s="17">
        <v>44925</v>
      </c>
      <c r="IYV613" s="5" t="s">
        <v>3728</v>
      </c>
      <c r="IYW613" s="17">
        <v>44925</v>
      </c>
      <c r="IYX613" s="5" t="s">
        <v>3728</v>
      </c>
      <c r="IYY613" s="17">
        <v>44925</v>
      </c>
      <c r="IYZ613" s="5" t="s">
        <v>3728</v>
      </c>
      <c r="IZA613" s="17">
        <v>44925</v>
      </c>
      <c r="IZB613" s="5" t="s">
        <v>3728</v>
      </c>
      <c r="IZC613" s="17">
        <v>44925</v>
      </c>
      <c r="IZD613" s="5" t="s">
        <v>3728</v>
      </c>
      <c r="IZE613" s="17">
        <v>44925</v>
      </c>
      <c r="IZF613" s="5" t="s">
        <v>3728</v>
      </c>
      <c r="IZG613" s="17">
        <v>44925</v>
      </c>
      <c r="IZH613" s="5" t="s">
        <v>3728</v>
      </c>
      <c r="IZI613" s="17">
        <v>44925</v>
      </c>
      <c r="IZJ613" s="5" t="s">
        <v>3728</v>
      </c>
      <c r="IZK613" s="17">
        <v>44925</v>
      </c>
      <c r="IZL613" s="5" t="s">
        <v>3728</v>
      </c>
      <c r="IZM613" s="17">
        <v>44925</v>
      </c>
      <c r="IZN613" s="5" t="s">
        <v>3728</v>
      </c>
      <c r="IZO613" s="17">
        <v>44925</v>
      </c>
      <c r="IZP613" s="5" t="s">
        <v>3728</v>
      </c>
      <c r="IZQ613" s="17">
        <v>44925</v>
      </c>
      <c r="IZR613" s="5" t="s">
        <v>3728</v>
      </c>
      <c r="IZS613" s="17">
        <v>44925</v>
      </c>
      <c r="IZT613" s="5" t="s">
        <v>3728</v>
      </c>
      <c r="IZU613" s="17">
        <v>44925</v>
      </c>
      <c r="IZV613" s="5" t="s">
        <v>3728</v>
      </c>
      <c r="IZW613" s="17">
        <v>44925</v>
      </c>
      <c r="IZX613" s="5" t="s">
        <v>3728</v>
      </c>
      <c r="IZY613" s="17">
        <v>44925</v>
      </c>
      <c r="IZZ613" s="5" t="s">
        <v>3728</v>
      </c>
      <c r="JAA613" s="17">
        <v>44925</v>
      </c>
      <c r="JAB613" s="5" t="s">
        <v>3728</v>
      </c>
      <c r="JAC613" s="17">
        <v>44925</v>
      </c>
      <c r="JAD613" s="5" t="s">
        <v>3728</v>
      </c>
      <c r="JAE613" s="17">
        <v>44925</v>
      </c>
      <c r="JAF613" s="5" t="s">
        <v>3728</v>
      </c>
      <c r="JAG613" s="17">
        <v>44925</v>
      </c>
      <c r="JAH613" s="5" t="s">
        <v>3728</v>
      </c>
      <c r="JAI613" s="17">
        <v>44925</v>
      </c>
      <c r="JAJ613" s="5" t="s">
        <v>3728</v>
      </c>
      <c r="JAK613" s="17">
        <v>44925</v>
      </c>
      <c r="JAL613" s="5" t="s">
        <v>3728</v>
      </c>
      <c r="JAM613" s="17">
        <v>44925</v>
      </c>
      <c r="JAN613" s="5" t="s">
        <v>3728</v>
      </c>
      <c r="JAO613" s="17">
        <v>44925</v>
      </c>
      <c r="JAP613" s="5" t="s">
        <v>3728</v>
      </c>
      <c r="JAQ613" s="17">
        <v>44925</v>
      </c>
      <c r="JAR613" s="5" t="s">
        <v>3728</v>
      </c>
      <c r="JAS613" s="17">
        <v>44925</v>
      </c>
      <c r="JAT613" s="5" t="s">
        <v>3728</v>
      </c>
      <c r="JAU613" s="17">
        <v>44925</v>
      </c>
      <c r="JAV613" s="5" t="s">
        <v>3728</v>
      </c>
      <c r="JAW613" s="17">
        <v>44925</v>
      </c>
      <c r="JAX613" s="5" t="s">
        <v>3728</v>
      </c>
      <c r="JAY613" s="17">
        <v>44925</v>
      </c>
      <c r="JAZ613" s="5" t="s">
        <v>3728</v>
      </c>
      <c r="JBA613" s="17">
        <v>44925</v>
      </c>
      <c r="JBB613" s="5" t="s">
        <v>3728</v>
      </c>
      <c r="JBC613" s="17">
        <v>44925</v>
      </c>
      <c r="JBD613" s="5" t="s">
        <v>3728</v>
      </c>
      <c r="JBE613" s="17">
        <v>44925</v>
      </c>
      <c r="JBF613" s="5" t="s">
        <v>3728</v>
      </c>
      <c r="JBG613" s="17">
        <v>44925</v>
      </c>
      <c r="JBH613" s="5" t="s">
        <v>3728</v>
      </c>
      <c r="JBI613" s="17">
        <v>44925</v>
      </c>
      <c r="JBJ613" s="5" t="s">
        <v>3728</v>
      </c>
      <c r="JBK613" s="17">
        <v>44925</v>
      </c>
      <c r="JBL613" s="5" t="s">
        <v>3728</v>
      </c>
      <c r="JBM613" s="17">
        <v>44925</v>
      </c>
      <c r="JBN613" s="5" t="s">
        <v>3728</v>
      </c>
      <c r="JBO613" s="17">
        <v>44925</v>
      </c>
      <c r="JBP613" s="5" t="s">
        <v>3728</v>
      </c>
      <c r="JBQ613" s="17">
        <v>44925</v>
      </c>
      <c r="JBR613" s="5" t="s">
        <v>3728</v>
      </c>
      <c r="JBS613" s="17">
        <v>44925</v>
      </c>
      <c r="JBT613" s="5" t="s">
        <v>3728</v>
      </c>
      <c r="JBU613" s="17">
        <v>44925</v>
      </c>
      <c r="JBV613" s="5" t="s">
        <v>3728</v>
      </c>
      <c r="JBW613" s="17">
        <v>44925</v>
      </c>
      <c r="JBX613" s="5" t="s">
        <v>3728</v>
      </c>
      <c r="JBY613" s="17">
        <v>44925</v>
      </c>
      <c r="JBZ613" s="5" t="s">
        <v>3728</v>
      </c>
      <c r="JCA613" s="17">
        <v>44925</v>
      </c>
      <c r="JCB613" s="5" t="s">
        <v>3728</v>
      </c>
      <c r="JCC613" s="17">
        <v>44925</v>
      </c>
      <c r="JCD613" s="5" t="s">
        <v>3728</v>
      </c>
      <c r="JCE613" s="17">
        <v>44925</v>
      </c>
      <c r="JCF613" s="5" t="s">
        <v>3728</v>
      </c>
      <c r="JCG613" s="17">
        <v>44925</v>
      </c>
      <c r="JCH613" s="5" t="s">
        <v>3728</v>
      </c>
      <c r="JCI613" s="17">
        <v>44925</v>
      </c>
      <c r="JCJ613" s="5" t="s">
        <v>3728</v>
      </c>
      <c r="JCK613" s="17">
        <v>44925</v>
      </c>
      <c r="JCL613" s="5" t="s">
        <v>3728</v>
      </c>
      <c r="JCM613" s="17">
        <v>44925</v>
      </c>
      <c r="JCN613" s="5" t="s">
        <v>3728</v>
      </c>
      <c r="JCO613" s="17">
        <v>44925</v>
      </c>
      <c r="JCP613" s="5" t="s">
        <v>3728</v>
      </c>
      <c r="JCQ613" s="17">
        <v>44925</v>
      </c>
      <c r="JCR613" s="5" t="s">
        <v>3728</v>
      </c>
      <c r="JCS613" s="17">
        <v>44925</v>
      </c>
      <c r="JCT613" s="5" t="s">
        <v>3728</v>
      </c>
      <c r="JCU613" s="17">
        <v>44925</v>
      </c>
      <c r="JCV613" s="5" t="s">
        <v>3728</v>
      </c>
      <c r="JCW613" s="17">
        <v>44925</v>
      </c>
      <c r="JCX613" s="5" t="s">
        <v>3728</v>
      </c>
      <c r="JCY613" s="17">
        <v>44925</v>
      </c>
      <c r="JCZ613" s="5" t="s">
        <v>3728</v>
      </c>
      <c r="JDA613" s="17">
        <v>44925</v>
      </c>
      <c r="JDB613" s="5" t="s">
        <v>3728</v>
      </c>
      <c r="JDC613" s="17">
        <v>44925</v>
      </c>
      <c r="JDD613" s="5" t="s">
        <v>3728</v>
      </c>
      <c r="JDE613" s="17">
        <v>44925</v>
      </c>
      <c r="JDF613" s="5" t="s">
        <v>3728</v>
      </c>
      <c r="JDG613" s="17">
        <v>44925</v>
      </c>
      <c r="JDH613" s="5" t="s">
        <v>3728</v>
      </c>
      <c r="JDI613" s="17">
        <v>44925</v>
      </c>
      <c r="JDJ613" s="5" t="s">
        <v>3728</v>
      </c>
      <c r="JDK613" s="17">
        <v>44925</v>
      </c>
      <c r="JDL613" s="5" t="s">
        <v>3728</v>
      </c>
      <c r="JDM613" s="17">
        <v>44925</v>
      </c>
      <c r="JDN613" s="5" t="s">
        <v>3728</v>
      </c>
      <c r="JDO613" s="17">
        <v>44925</v>
      </c>
      <c r="JDP613" s="5" t="s">
        <v>3728</v>
      </c>
      <c r="JDQ613" s="17">
        <v>44925</v>
      </c>
      <c r="JDR613" s="5" t="s">
        <v>3728</v>
      </c>
      <c r="JDS613" s="17">
        <v>44925</v>
      </c>
      <c r="JDT613" s="5" t="s">
        <v>3728</v>
      </c>
      <c r="JDU613" s="17">
        <v>44925</v>
      </c>
      <c r="JDV613" s="5" t="s">
        <v>3728</v>
      </c>
      <c r="JDW613" s="17">
        <v>44925</v>
      </c>
      <c r="JDX613" s="5" t="s">
        <v>3728</v>
      </c>
      <c r="JDY613" s="17">
        <v>44925</v>
      </c>
      <c r="JDZ613" s="5" t="s">
        <v>3728</v>
      </c>
      <c r="JEA613" s="17">
        <v>44925</v>
      </c>
      <c r="JEB613" s="5" t="s">
        <v>3728</v>
      </c>
      <c r="JEC613" s="17">
        <v>44925</v>
      </c>
      <c r="JED613" s="5" t="s">
        <v>3728</v>
      </c>
      <c r="JEE613" s="17">
        <v>44925</v>
      </c>
      <c r="JEF613" s="5" t="s">
        <v>3728</v>
      </c>
      <c r="JEG613" s="17">
        <v>44925</v>
      </c>
      <c r="JEH613" s="5" t="s">
        <v>3728</v>
      </c>
      <c r="JEI613" s="17">
        <v>44925</v>
      </c>
      <c r="JEJ613" s="5" t="s">
        <v>3728</v>
      </c>
      <c r="JEK613" s="17">
        <v>44925</v>
      </c>
      <c r="JEL613" s="5" t="s">
        <v>3728</v>
      </c>
      <c r="JEM613" s="17">
        <v>44925</v>
      </c>
      <c r="JEN613" s="5" t="s">
        <v>3728</v>
      </c>
      <c r="JEO613" s="17">
        <v>44925</v>
      </c>
      <c r="JEP613" s="5" t="s">
        <v>3728</v>
      </c>
      <c r="JEQ613" s="17">
        <v>44925</v>
      </c>
      <c r="JER613" s="5" t="s">
        <v>3728</v>
      </c>
      <c r="JES613" s="17">
        <v>44925</v>
      </c>
      <c r="JET613" s="5" t="s">
        <v>3728</v>
      </c>
      <c r="JEU613" s="17">
        <v>44925</v>
      </c>
      <c r="JEV613" s="5" t="s">
        <v>3728</v>
      </c>
      <c r="JEW613" s="17">
        <v>44925</v>
      </c>
      <c r="JEX613" s="5" t="s">
        <v>3728</v>
      </c>
      <c r="JEY613" s="17">
        <v>44925</v>
      </c>
      <c r="JEZ613" s="5" t="s">
        <v>3728</v>
      </c>
      <c r="JFA613" s="17">
        <v>44925</v>
      </c>
      <c r="JFB613" s="5" t="s">
        <v>3728</v>
      </c>
      <c r="JFC613" s="17">
        <v>44925</v>
      </c>
      <c r="JFD613" s="5" t="s">
        <v>3728</v>
      </c>
      <c r="JFE613" s="17">
        <v>44925</v>
      </c>
      <c r="JFF613" s="5" t="s">
        <v>3728</v>
      </c>
      <c r="JFG613" s="17">
        <v>44925</v>
      </c>
      <c r="JFH613" s="5" t="s">
        <v>3728</v>
      </c>
      <c r="JFI613" s="17">
        <v>44925</v>
      </c>
      <c r="JFJ613" s="5" t="s">
        <v>3728</v>
      </c>
      <c r="JFK613" s="17">
        <v>44925</v>
      </c>
      <c r="JFL613" s="5" t="s">
        <v>3728</v>
      </c>
      <c r="JFM613" s="17">
        <v>44925</v>
      </c>
      <c r="JFN613" s="5" t="s">
        <v>3728</v>
      </c>
      <c r="JFO613" s="17">
        <v>44925</v>
      </c>
      <c r="JFP613" s="5" t="s">
        <v>3728</v>
      </c>
      <c r="JFQ613" s="17">
        <v>44925</v>
      </c>
      <c r="JFR613" s="5" t="s">
        <v>3728</v>
      </c>
      <c r="JFS613" s="17">
        <v>44925</v>
      </c>
      <c r="JFT613" s="5" t="s">
        <v>3728</v>
      </c>
      <c r="JFU613" s="17">
        <v>44925</v>
      </c>
      <c r="JFV613" s="5" t="s">
        <v>3728</v>
      </c>
      <c r="JFW613" s="17">
        <v>44925</v>
      </c>
      <c r="JFX613" s="5" t="s">
        <v>3728</v>
      </c>
      <c r="JFY613" s="17">
        <v>44925</v>
      </c>
      <c r="JFZ613" s="5" t="s">
        <v>3728</v>
      </c>
      <c r="JGA613" s="17">
        <v>44925</v>
      </c>
      <c r="JGB613" s="5" t="s">
        <v>3728</v>
      </c>
      <c r="JGC613" s="17">
        <v>44925</v>
      </c>
      <c r="JGD613" s="5" t="s">
        <v>3728</v>
      </c>
      <c r="JGE613" s="17">
        <v>44925</v>
      </c>
      <c r="JGF613" s="5" t="s">
        <v>3728</v>
      </c>
      <c r="JGG613" s="17">
        <v>44925</v>
      </c>
      <c r="JGH613" s="5" t="s">
        <v>3728</v>
      </c>
      <c r="JGI613" s="17">
        <v>44925</v>
      </c>
      <c r="JGJ613" s="5" t="s">
        <v>3728</v>
      </c>
      <c r="JGK613" s="17">
        <v>44925</v>
      </c>
      <c r="JGL613" s="5" t="s">
        <v>3728</v>
      </c>
      <c r="JGM613" s="17">
        <v>44925</v>
      </c>
      <c r="JGN613" s="5" t="s">
        <v>3728</v>
      </c>
      <c r="JGO613" s="17">
        <v>44925</v>
      </c>
      <c r="JGP613" s="5" t="s">
        <v>3728</v>
      </c>
      <c r="JGQ613" s="17">
        <v>44925</v>
      </c>
      <c r="JGR613" s="5" t="s">
        <v>3728</v>
      </c>
      <c r="JGS613" s="17">
        <v>44925</v>
      </c>
      <c r="JGT613" s="5" t="s">
        <v>3728</v>
      </c>
      <c r="JGU613" s="17">
        <v>44925</v>
      </c>
      <c r="JGV613" s="5" t="s">
        <v>3728</v>
      </c>
      <c r="JGW613" s="17">
        <v>44925</v>
      </c>
      <c r="JGX613" s="5" t="s">
        <v>3728</v>
      </c>
      <c r="JGY613" s="17">
        <v>44925</v>
      </c>
      <c r="JGZ613" s="5" t="s">
        <v>3728</v>
      </c>
      <c r="JHA613" s="17">
        <v>44925</v>
      </c>
      <c r="JHB613" s="5" t="s">
        <v>3728</v>
      </c>
      <c r="JHC613" s="17">
        <v>44925</v>
      </c>
      <c r="JHD613" s="5" t="s">
        <v>3728</v>
      </c>
      <c r="JHE613" s="17">
        <v>44925</v>
      </c>
      <c r="JHF613" s="5" t="s">
        <v>3728</v>
      </c>
      <c r="JHG613" s="17">
        <v>44925</v>
      </c>
      <c r="JHH613" s="5" t="s">
        <v>3728</v>
      </c>
      <c r="JHI613" s="17">
        <v>44925</v>
      </c>
      <c r="JHJ613" s="5" t="s">
        <v>3728</v>
      </c>
      <c r="JHK613" s="17">
        <v>44925</v>
      </c>
      <c r="JHL613" s="5" t="s">
        <v>3728</v>
      </c>
      <c r="JHM613" s="17">
        <v>44925</v>
      </c>
      <c r="JHN613" s="5" t="s">
        <v>3728</v>
      </c>
      <c r="JHO613" s="17">
        <v>44925</v>
      </c>
      <c r="JHP613" s="5" t="s">
        <v>3728</v>
      </c>
      <c r="JHQ613" s="17">
        <v>44925</v>
      </c>
      <c r="JHR613" s="5" t="s">
        <v>3728</v>
      </c>
      <c r="JHS613" s="17">
        <v>44925</v>
      </c>
      <c r="JHT613" s="5" t="s">
        <v>3728</v>
      </c>
      <c r="JHU613" s="17">
        <v>44925</v>
      </c>
      <c r="JHV613" s="5" t="s">
        <v>3728</v>
      </c>
      <c r="JHW613" s="17">
        <v>44925</v>
      </c>
      <c r="JHX613" s="5" t="s">
        <v>3728</v>
      </c>
      <c r="JHY613" s="17">
        <v>44925</v>
      </c>
      <c r="JHZ613" s="5" t="s">
        <v>3728</v>
      </c>
      <c r="JIA613" s="17">
        <v>44925</v>
      </c>
      <c r="JIB613" s="5" t="s">
        <v>3728</v>
      </c>
      <c r="JIC613" s="17">
        <v>44925</v>
      </c>
      <c r="JID613" s="5" t="s">
        <v>3728</v>
      </c>
      <c r="JIE613" s="17">
        <v>44925</v>
      </c>
      <c r="JIF613" s="5" t="s">
        <v>3728</v>
      </c>
      <c r="JIG613" s="17">
        <v>44925</v>
      </c>
      <c r="JIH613" s="5" t="s">
        <v>3728</v>
      </c>
      <c r="JII613" s="17">
        <v>44925</v>
      </c>
      <c r="JIJ613" s="5" t="s">
        <v>3728</v>
      </c>
      <c r="JIK613" s="17">
        <v>44925</v>
      </c>
      <c r="JIL613" s="5" t="s">
        <v>3728</v>
      </c>
      <c r="JIM613" s="17">
        <v>44925</v>
      </c>
      <c r="JIN613" s="5" t="s">
        <v>3728</v>
      </c>
      <c r="JIO613" s="17">
        <v>44925</v>
      </c>
      <c r="JIP613" s="5" t="s">
        <v>3728</v>
      </c>
      <c r="JIQ613" s="17">
        <v>44925</v>
      </c>
      <c r="JIR613" s="5" t="s">
        <v>3728</v>
      </c>
      <c r="JIS613" s="17">
        <v>44925</v>
      </c>
      <c r="JIT613" s="5" t="s">
        <v>3728</v>
      </c>
      <c r="JIU613" s="17">
        <v>44925</v>
      </c>
      <c r="JIV613" s="5" t="s">
        <v>3728</v>
      </c>
      <c r="JIW613" s="17">
        <v>44925</v>
      </c>
      <c r="JIX613" s="5" t="s">
        <v>3728</v>
      </c>
      <c r="JIY613" s="17">
        <v>44925</v>
      </c>
      <c r="JIZ613" s="5" t="s">
        <v>3728</v>
      </c>
      <c r="JJA613" s="17">
        <v>44925</v>
      </c>
      <c r="JJB613" s="5" t="s">
        <v>3728</v>
      </c>
      <c r="JJC613" s="17">
        <v>44925</v>
      </c>
      <c r="JJD613" s="5" t="s">
        <v>3728</v>
      </c>
      <c r="JJE613" s="17">
        <v>44925</v>
      </c>
      <c r="JJF613" s="5" t="s">
        <v>3728</v>
      </c>
      <c r="JJG613" s="17">
        <v>44925</v>
      </c>
      <c r="JJH613" s="5" t="s">
        <v>3728</v>
      </c>
      <c r="JJI613" s="17">
        <v>44925</v>
      </c>
      <c r="JJJ613" s="5" t="s">
        <v>3728</v>
      </c>
      <c r="JJK613" s="17">
        <v>44925</v>
      </c>
      <c r="JJL613" s="5" t="s">
        <v>3728</v>
      </c>
      <c r="JJM613" s="17">
        <v>44925</v>
      </c>
      <c r="JJN613" s="5" t="s">
        <v>3728</v>
      </c>
      <c r="JJO613" s="17">
        <v>44925</v>
      </c>
      <c r="JJP613" s="5" t="s">
        <v>3728</v>
      </c>
      <c r="JJQ613" s="17">
        <v>44925</v>
      </c>
      <c r="JJR613" s="5" t="s">
        <v>3728</v>
      </c>
      <c r="JJS613" s="17">
        <v>44925</v>
      </c>
      <c r="JJT613" s="5" t="s">
        <v>3728</v>
      </c>
      <c r="JJU613" s="17">
        <v>44925</v>
      </c>
      <c r="JJV613" s="5" t="s">
        <v>3728</v>
      </c>
      <c r="JJW613" s="17">
        <v>44925</v>
      </c>
      <c r="JJX613" s="5" t="s">
        <v>3728</v>
      </c>
      <c r="JJY613" s="17">
        <v>44925</v>
      </c>
      <c r="JJZ613" s="5" t="s">
        <v>3728</v>
      </c>
      <c r="JKA613" s="17">
        <v>44925</v>
      </c>
      <c r="JKB613" s="5" t="s">
        <v>3728</v>
      </c>
      <c r="JKC613" s="17">
        <v>44925</v>
      </c>
      <c r="JKD613" s="5" t="s">
        <v>3728</v>
      </c>
      <c r="JKE613" s="17">
        <v>44925</v>
      </c>
      <c r="JKF613" s="5" t="s">
        <v>3728</v>
      </c>
      <c r="JKG613" s="17">
        <v>44925</v>
      </c>
      <c r="JKH613" s="5" t="s">
        <v>3728</v>
      </c>
      <c r="JKI613" s="17">
        <v>44925</v>
      </c>
      <c r="JKJ613" s="5" t="s">
        <v>3728</v>
      </c>
      <c r="JKK613" s="17">
        <v>44925</v>
      </c>
      <c r="JKL613" s="5" t="s">
        <v>3728</v>
      </c>
      <c r="JKM613" s="17">
        <v>44925</v>
      </c>
      <c r="JKN613" s="5" t="s">
        <v>3728</v>
      </c>
      <c r="JKO613" s="17">
        <v>44925</v>
      </c>
      <c r="JKP613" s="5" t="s">
        <v>3728</v>
      </c>
      <c r="JKQ613" s="17">
        <v>44925</v>
      </c>
      <c r="JKR613" s="5" t="s">
        <v>3728</v>
      </c>
      <c r="JKS613" s="17">
        <v>44925</v>
      </c>
      <c r="JKT613" s="5" t="s">
        <v>3728</v>
      </c>
      <c r="JKU613" s="17">
        <v>44925</v>
      </c>
      <c r="JKV613" s="5" t="s">
        <v>3728</v>
      </c>
      <c r="JKW613" s="17">
        <v>44925</v>
      </c>
      <c r="JKX613" s="5" t="s">
        <v>3728</v>
      </c>
      <c r="JKY613" s="17">
        <v>44925</v>
      </c>
      <c r="JKZ613" s="5" t="s">
        <v>3728</v>
      </c>
      <c r="JLA613" s="17">
        <v>44925</v>
      </c>
      <c r="JLB613" s="5" t="s">
        <v>3728</v>
      </c>
      <c r="JLC613" s="17">
        <v>44925</v>
      </c>
      <c r="JLD613" s="5" t="s">
        <v>3728</v>
      </c>
      <c r="JLE613" s="17">
        <v>44925</v>
      </c>
      <c r="JLF613" s="5" t="s">
        <v>3728</v>
      </c>
      <c r="JLG613" s="17">
        <v>44925</v>
      </c>
      <c r="JLH613" s="5" t="s">
        <v>3728</v>
      </c>
      <c r="JLI613" s="17">
        <v>44925</v>
      </c>
      <c r="JLJ613" s="5" t="s">
        <v>3728</v>
      </c>
      <c r="JLK613" s="17">
        <v>44925</v>
      </c>
      <c r="JLL613" s="5" t="s">
        <v>3728</v>
      </c>
      <c r="JLM613" s="17">
        <v>44925</v>
      </c>
      <c r="JLN613" s="5" t="s">
        <v>3728</v>
      </c>
      <c r="JLO613" s="17">
        <v>44925</v>
      </c>
      <c r="JLP613" s="5" t="s">
        <v>3728</v>
      </c>
      <c r="JLQ613" s="17">
        <v>44925</v>
      </c>
      <c r="JLR613" s="5" t="s">
        <v>3728</v>
      </c>
      <c r="JLS613" s="17">
        <v>44925</v>
      </c>
      <c r="JLT613" s="5" t="s">
        <v>3728</v>
      </c>
      <c r="JLU613" s="17">
        <v>44925</v>
      </c>
      <c r="JLV613" s="5" t="s">
        <v>3728</v>
      </c>
      <c r="JLW613" s="17">
        <v>44925</v>
      </c>
      <c r="JLX613" s="5" t="s">
        <v>3728</v>
      </c>
      <c r="JLY613" s="17">
        <v>44925</v>
      </c>
      <c r="JLZ613" s="5" t="s">
        <v>3728</v>
      </c>
      <c r="JMA613" s="17">
        <v>44925</v>
      </c>
      <c r="JMB613" s="5" t="s">
        <v>3728</v>
      </c>
      <c r="JMC613" s="17">
        <v>44925</v>
      </c>
      <c r="JMD613" s="5" t="s">
        <v>3728</v>
      </c>
      <c r="JME613" s="17">
        <v>44925</v>
      </c>
      <c r="JMF613" s="5" t="s">
        <v>3728</v>
      </c>
      <c r="JMG613" s="17">
        <v>44925</v>
      </c>
      <c r="JMH613" s="5" t="s">
        <v>3728</v>
      </c>
      <c r="JMI613" s="17">
        <v>44925</v>
      </c>
      <c r="JMJ613" s="5" t="s">
        <v>3728</v>
      </c>
      <c r="JMK613" s="17">
        <v>44925</v>
      </c>
      <c r="JML613" s="5" t="s">
        <v>3728</v>
      </c>
      <c r="JMM613" s="17">
        <v>44925</v>
      </c>
      <c r="JMN613" s="5" t="s">
        <v>3728</v>
      </c>
      <c r="JMO613" s="17">
        <v>44925</v>
      </c>
      <c r="JMP613" s="5" t="s">
        <v>3728</v>
      </c>
      <c r="JMQ613" s="17">
        <v>44925</v>
      </c>
      <c r="JMR613" s="5" t="s">
        <v>3728</v>
      </c>
      <c r="JMS613" s="17">
        <v>44925</v>
      </c>
      <c r="JMT613" s="5" t="s">
        <v>3728</v>
      </c>
      <c r="JMU613" s="17">
        <v>44925</v>
      </c>
      <c r="JMV613" s="5" t="s">
        <v>3728</v>
      </c>
      <c r="JMW613" s="17">
        <v>44925</v>
      </c>
      <c r="JMX613" s="5" t="s">
        <v>3728</v>
      </c>
      <c r="JMY613" s="17">
        <v>44925</v>
      </c>
      <c r="JMZ613" s="5" t="s">
        <v>3728</v>
      </c>
      <c r="JNA613" s="17">
        <v>44925</v>
      </c>
      <c r="JNB613" s="5" t="s">
        <v>3728</v>
      </c>
      <c r="JNC613" s="17">
        <v>44925</v>
      </c>
      <c r="JND613" s="5" t="s">
        <v>3728</v>
      </c>
      <c r="JNE613" s="17">
        <v>44925</v>
      </c>
      <c r="JNF613" s="5" t="s">
        <v>3728</v>
      </c>
      <c r="JNG613" s="17">
        <v>44925</v>
      </c>
      <c r="JNH613" s="5" t="s">
        <v>3728</v>
      </c>
      <c r="JNI613" s="17">
        <v>44925</v>
      </c>
      <c r="JNJ613" s="5" t="s">
        <v>3728</v>
      </c>
      <c r="JNK613" s="17">
        <v>44925</v>
      </c>
      <c r="JNL613" s="5" t="s">
        <v>3728</v>
      </c>
      <c r="JNM613" s="17">
        <v>44925</v>
      </c>
      <c r="JNN613" s="5" t="s">
        <v>3728</v>
      </c>
      <c r="JNO613" s="17">
        <v>44925</v>
      </c>
      <c r="JNP613" s="5" t="s">
        <v>3728</v>
      </c>
      <c r="JNQ613" s="17">
        <v>44925</v>
      </c>
      <c r="JNR613" s="5" t="s">
        <v>3728</v>
      </c>
      <c r="JNS613" s="17">
        <v>44925</v>
      </c>
      <c r="JNT613" s="5" t="s">
        <v>3728</v>
      </c>
      <c r="JNU613" s="17">
        <v>44925</v>
      </c>
      <c r="JNV613" s="5" t="s">
        <v>3728</v>
      </c>
      <c r="JNW613" s="17">
        <v>44925</v>
      </c>
      <c r="JNX613" s="5" t="s">
        <v>3728</v>
      </c>
      <c r="JNY613" s="17">
        <v>44925</v>
      </c>
      <c r="JNZ613" s="5" t="s">
        <v>3728</v>
      </c>
      <c r="JOA613" s="17">
        <v>44925</v>
      </c>
      <c r="JOB613" s="5" t="s">
        <v>3728</v>
      </c>
      <c r="JOC613" s="17">
        <v>44925</v>
      </c>
      <c r="JOD613" s="5" t="s">
        <v>3728</v>
      </c>
      <c r="JOE613" s="17">
        <v>44925</v>
      </c>
      <c r="JOF613" s="5" t="s">
        <v>3728</v>
      </c>
      <c r="JOG613" s="17">
        <v>44925</v>
      </c>
      <c r="JOH613" s="5" t="s">
        <v>3728</v>
      </c>
      <c r="JOI613" s="17">
        <v>44925</v>
      </c>
      <c r="JOJ613" s="5" t="s">
        <v>3728</v>
      </c>
      <c r="JOK613" s="17">
        <v>44925</v>
      </c>
      <c r="JOL613" s="5" t="s">
        <v>3728</v>
      </c>
      <c r="JOM613" s="17">
        <v>44925</v>
      </c>
      <c r="JON613" s="5" t="s">
        <v>3728</v>
      </c>
      <c r="JOO613" s="17">
        <v>44925</v>
      </c>
      <c r="JOP613" s="5" t="s">
        <v>3728</v>
      </c>
      <c r="JOQ613" s="17">
        <v>44925</v>
      </c>
      <c r="JOR613" s="5" t="s">
        <v>3728</v>
      </c>
      <c r="JOS613" s="17">
        <v>44925</v>
      </c>
      <c r="JOT613" s="5" t="s">
        <v>3728</v>
      </c>
      <c r="JOU613" s="17">
        <v>44925</v>
      </c>
      <c r="JOV613" s="5" t="s">
        <v>3728</v>
      </c>
      <c r="JOW613" s="17">
        <v>44925</v>
      </c>
      <c r="JOX613" s="5" t="s">
        <v>3728</v>
      </c>
      <c r="JOY613" s="17">
        <v>44925</v>
      </c>
      <c r="JOZ613" s="5" t="s">
        <v>3728</v>
      </c>
      <c r="JPA613" s="17">
        <v>44925</v>
      </c>
      <c r="JPB613" s="5" t="s">
        <v>3728</v>
      </c>
      <c r="JPC613" s="17">
        <v>44925</v>
      </c>
      <c r="JPD613" s="5" t="s">
        <v>3728</v>
      </c>
      <c r="JPE613" s="17">
        <v>44925</v>
      </c>
      <c r="JPF613" s="5" t="s">
        <v>3728</v>
      </c>
      <c r="JPG613" s="17">
        <v>44925</v>
      </c>
      <c r="JPH613" s="5" t="s">
        <v>3728</v>
      </c>
      <c r="JPI613" s="17">
        <v>44925</v>
      </c>
      <c r="JPJ613" s="5" t="s">
        <v>3728</v>
      </c>
      <c r="JPK613" s="17">
        <v>44925</v>
      </c>
      <c r="JPL613" s="5" t="s">
        <v>3728</v>
      </c>
      <c r="JPM613" s="17">
        <v>44925</v>
      </c>
      <c r="JPN613" s="5" t="s">
        <v>3728</v>
      </c>
      <c r="JPO613" s="17">
        <v>44925</v>
      </c>
      <c r="JPP613" s="5" t="s">
        <v>3728</v>
      </c>
      <c r="JPQ613" s="17">
        <v>44925</v>
      </c>
      <c r="JPR613" s="5" t="s">
        <v>3728</v>
      </c>
      <c r="JPS613" s="17">
        <v>44925</v>
      </c>
      <c r="JPT613" s="5" t="s">
        <v>3728</v>
      </c>
      <c r="JPU613" s="17">
        <v>44925</v>
      </c>
      <c r="JPV613" s="5" t="s">
        <v>3728</v>
      </c>
      <c r="JPW613" s="17">
        <v>44925</v>
      </c>
      <c r="JPX613" s="5" t="s">
        <v>3728</v>
      </c>
      <c r="JPY613" s="17">
        <v>44925</v>
      </c>
      <c r="JPZ613" s="5" t="s">
        <v>3728</v>
      </c>
      <c r="JQA613" s="17">
        <v>44925</v>
      </c>
      <c r="JQB613" s="5" t="s">
        <v>3728</v>
      </c>
      <c r="JQC613" s="17">
        <v>44925</v>
      </c>
      <c r="JQD613" s="5" t="s">
        <v>3728</v>
      </c>
      <c r="JQE613" s="17">
        <v>44925</v>
      </c>
      <c r="JQF613" s="5" t="s">
        <v>3728</v>
      </c>
      <c r="JQG613" s="17">
        <v>44925</v>
      </c>
      <c r="JQH613" s="5" t="s">
        <v>3728</v>
      </c>
      <c r="JQI613" s="17">
        <v>44925</v>
      </c>
      <c r="JQJ613" s="5" t="s">
        <v>3728</v>
      </c>
      <c r="JQK613" s="17">
        <v>44925</v>
      </c>
      <c r="JQL613" s="5" t="s">
        <v>3728</v>
      </c>
      <c r="JQM613" s="17">
        <v>44925</v>
      </c>
      <c r="JQN613" s="5" t="s">
        <v>3728</v>
      </c>
      <c r="JQO613" s="17">
        <v>44925</v>
      </c>
      <c r="JQP613" s="5" t="s">
        <v>3728</v>
      </c>
      <c r="JQQ613" s="17">
        <v>44925</v>
      </c>
      <c r="JQR613" s="5" t="s">
        <v>3728</v>
      </c>
      <c r="JQS613" s="17">
        <v>44925</v>
      </c>
      <c r="JQT613" s="5" t="s">
        <v>3728</v>
      </c>
      <c r="JQU613" s="17">
        <v>44925</v>
      </c>
      <c r="JQV613" s="5" t="s">
        <v>3728</v>
      </c>
      <c r="JQW613" s="17">
        <v>44925</v>
      </c>
      <c r="JQX613" s="5" t="s">
        <v>3728</v>
      </c>
      <c r="JQY613" s="17">
        <v>44925</v>
      </c>
      <c r="JQZ613" s="5" t="s">
        <v>3728</v>
      </c>
      <c r="JRA613" s="17">
        <v>44925</v>
      </c>
      <c r="JRB613" s="5" t="s">
        <v>3728</v>
      </c>
      <c r="JRC613" s="17">
        <v>44925</v>
      </c>
      <c r="JRD613" s="5" t="s">
        <v>3728</v>
      </c>
      <c r="JRE613" s="17">
        <v>44925</v>
      </c>
      <c r="JRF613" s="5" t="s">
        <v>3728</v>
      </c>
      <c r="JRG613" s="17">
        <v>44925</v>
      </c>
      <c r="JRH613" s="5" t="s">
        <v>3728</v>
      </c>
      <c r="JRI613" s="17">
        <v>44925</v>
      </c>
      <c r="JRJ613" s="5" t="s">
        <v>3728</v>
      </c>
      <c r="JRK613" s="17">
        <v>44925</v>
      </c>
      <c r="JRL613" s="5" t="s">
        <v>3728</v>
      </c>
      <c r="JRM613" s="17">
        <v>44925</v>
      </c>
      <c r="JRN613" s="5" t="s">
        <v>3728</v>
      </c>
      <c r="JRO613" s="17">
        <v>44925</v>
      </c>
      <c r="JRP613" s="5" t="s">
        <v>3728</v>
      </c>
      <c r="JRQ613" s="17">
        <v>44925</v>
      </c>
      <c r="JRR613" s="5" t="s">
        <v>3728</v>
      </c>
      <c r="JRS613" s="17">
        <v>44925</v>
      </c>
      <c r="JRT613" s="5" t="s">
        <v>3728</v>
      </c>
      <c r="JRU613" s="17">
        <v>44925</v>
      </c>
      <c r="JRV613" s="5" t="s">
        <v>3728</v>
      </c>
      <c r="JRW613" s="17">
        <v>44925</v>
      </c>
      <c r="JRX613" s="5" t="s">
        <v>3728</v>
      </c>
      <c r="JRY613" s="17">
        <v>44925</v>
      </c>
      <c r="JRZ613" s="5" t="s">
        <v>3728</v>
      </c>
      <c r="JSA613" s="17">
        <v>44925</v>
      </c>
      <c r="JSB613" s="5" t="s">
        <v>3728</v>
      </c>
      <c r="JSC613" s="17">
        <v>44925</v>
      </c>
      <c r="JSD613" s="5" t="s">
        <v>3728</v>
      </c>
      <c r="JSE613" s="17">
        <v>44925</v>
      </c>
      <c r="JSF613" s="5" t="s">
        <v>3728</v>
      </c>
      <c r="JSG613" s="17">
        <v>44925</v>
      </c>
      <c r="JSH613" s="5" t="s">
        <v>3728</v>
      </c>
      <c r="JSI613" s="17">
        <v>44925</v>
      </c>
      <c r="JSJ613" s="5" t="s">
        <v>3728</v>
      </c>
      <c r="JSK613" s="17">
        <v>44925</v>
      </c>
      <c r="JSL613" s="5" t="s">
        <v>3728</v>
      </c>
      <c r="JSM613" s="17">
        <v>44925</v>
      </c>
      <c r="JSN613" s="5" t="s">
        <v>3728</v>
      </c>
      <c r="JSO613" s="17">
        <v>44925</v>
      </c>
      <c r="JSP613" s="5" t="s">
        <v>3728</v>
      </c>
      <c r="JSQ613" s="17">
        <v>44925</v>
      </c>
      <c r="JSR613" s="5" t="s">
        <v>3728</v>
      </c>
      <c r="JSS613" s="17">
        <v>44925</v>
      </c>
      <c r="JST613" s="5" t="s">
        <v>3728</v>
      </c>
      <c r="JSU613" s="17">
        <v>44925</v>
      </c>
      <c r="JSV613" s="5" t="s">
        <v>3728</v>
      </c>
      <c r="JSW613" s="17">
        <v>44925</v>
      </c>
      <c r="JSX613" s="5" t="s">
        <v>3728</v>
      </c>
      <c r="JSY613" s="17">
        <v>44925</v>
      </c>
      <c r="JSZ613" s="5" t="s">
        <v>3728</v>
      </c>
      <c r="JTA613" s="17">
        <v>44925</v>
      </c>
      <c r="JTB613" s="5" t="s">
        <v>3728</v>
      </c>
      <c r="JTC613" s="17">
        <v>44925</v>
      </c>
      <c r="JTD613" s="5" t="s">
        <v>3728</v>
      </c>
      <c r="JTE613" s="17">
        <v>44925</v>
      </c>
      <c r="JTF613" s="5" t="s">
        <v>3728</v>
      </c>
      <c r="JTG613" s="17">
        <v>44925</v>
      </c>
      <c r="JTH613" s="5" t="s">
        <v>3728</v>
      </c>
      <c r="JTI613" s="17">
        <v>44925</v>
      </c>
      <c r="JTJ613" s="5" t="s">
        <v>3728</v>
      </c>
      <c r="JTK613" s="17">
        <v>44925</v>
      </c>
      <c r="JTL613" s="5" t="s">
        <v>3728</v>
      </c>
      <c r="JTM613" s="17">
        <v>44925</v>
      </c>
      <c r="JTN613" s="5" t="s">
        <v>3728</v>
      </c>
      <c r="JTO613" s="17">
        <v>44925</v>
      </c>
      <c r="JTP613" s="5" t="s">
        <v>3728</v>
      </c>
      <c r="JTQ613" s="17">
        <v>44925</v>
      </c>
      <c r="JTR613" s="5" t="s">
        <v>3728</v>
      </c>
      <c r="JTS613" s="17">
        <v>44925</v>
      </c>
      <c r="JTT613" s="5" t="s">
        <v>3728</v>
      </c>
      <c r="JTU613" s="17">
        <v>44925</v>
      </c>
      <c r="JTV613" s="5" t="s">
        <v>3728</v>
      </c>
      <c r="JTW613" s="17">
        <v>44925</v>
      </c>
      <c r="JTX613" s="5" t="s">
        <v>3728</v>
      </c>
      <c r="JTY613" s="17">
        <v>44925</v>
      </c>
      <c r="JTZ613" s="5" t="s">
        <v>3728</v>
      </c>
      <c r="JUA613" s="17">
        <v>44925</v>
      </c>
      <c r="JUB613" s="5" t="s">
        <v>3728</v>
      </c>
      <c r="JUC613" s="17">
        <v>44925</v>
      </c>
      <c r="JUD613" s="5" t="s">
        <v>3728</v>
      </c>
      <c r="JUE613" s="17">
        <v>44925</v>
      </c>
      <c r="JUF613" s="5" t="s">
        <v>3728</v>
      </c>
      <c r="JUG613" s="17">
        <v>44925</v>
      </c>
      <c r="JUH613" s="5" t="s">
        <v>3728</v>
      </c>
      <c r="JUI613" s="17">
        <v>44925</v>
      </c>
      <c r="JUJ613" s="5" t="s">
        <v>3728</v>
      </c>
      <c r="JUK613" s="17">
        <v>44925</v>
      </c>
      <c r="JUL613" s="5" t="s">
        <v>3728</v>
      </c>
      <c r="JUM613" s="17">
        <v>44925</v>
      </c>
      <c r="JUN613" s="5" t="s">
        <v>3728</v>
      </c>
      <c r="JUO613" s="17">
        <v>44925</v>
      </c>
      <c r="JUP613" s="5" t="s">
        <v>3728</v>
      </c>
      <c r="JUQ613" s="17">
        <v>44925</v>
      </c>
      <c r="JUR613" s="5" t="s">
        <v>3728</v>
      </c>
      <c r="JUS613" s="17">
        <v>44925</v>
      </c>
      <c r="JUT613" s="5" t="s">
        <v>3728</v>
      </c>
      <c r="JUU613" s="17">
        <v>44925</v>
      </c>
      <c r="JUV613" s="5" t="s">
        <v>3728</v>
      </c>
      <c r="JUW613" s="17">
        <v>44925</v>
      </c>
      <c r="JUX613" s="5" t="s">
        <v>3728</v>
      </c>
      <c r="JUY613" s="17">
        <v>44925</v>
      </c>
      <c r="JUZ613" s="5" t="s">
        <v>3728</v>
      </c>
      <c r="JVA613" s="17">
        <v>44925</v>
      </c>
      <c r="JVB613" s="5" t="s">
        <v>3728</v>
      </c>
      <c r="JVC613" s="17">
        <v>44925</v>
      </c>
      <c r="JVD613" s="5" t="s">
        <v>3728</v>
      </c>
      <c r="JVE613" s="17">
        <v>44925</v>
      </c>
      <c r="JVF613" s="5" t="s">
        <v>3728</v>
      </c>
      <c r="JVG613" s="17">
        <v>44925</v>
      </c>
      <c r="JVH613" s="5" t="s">
        <v>3728</v>
      </c>
      <c r="JVI613" s="17">
        <v>44925</v>
      </c>
      <c r="JVJ613" s="5" t="s">
        <v>3728</v>
      </c>
      <c r="JVK613" s="17">
        <v>44925</v>
      </c>
      <c r="JVL613" s="5" t="s">
        <v>3728</v>
      </c>
      <c r="JVM613" s="17">
        <v>44925</v>
      </c>
      <c r="JVN613" s="5" t="s">
        <v>3728</v>
      </c>
      <c r="JVO613" s="17">
        <v>44925</v>
      </c>
      <c r="JVP613" s="5" t="s">
        <v>3728</v>
      </c>
      <c r="JVQ613" s="17">
        <v>44925</v>
      </c>
      <c r="JVR613" s="5" t="s">
        <v>3728</v>
      </c>
      <c r="JVS613" s="17">
        <v>44925</v>
      </c>
      <c r="JVT613" s="5" t="s">
        <v>3728</v>
      </c>
      <c r="JVU613" s="17">
        <v>44925</v>
      </c>
      <c r="JVV613" s="5" t="s">
        <v>3728</v>
      </c>
      <c r="JVW613" s="17">
        <v>44925</v>
      </c>
      <c r="JVX613" s="5" t="s">
        <v>3728</v>
      </c>
      <c r="JVY613" s="17">
        <v>44925</v>
      </c>
      <c r="JVZ613" s="5" t="s">
        <v>3728</v>
      </c>
      <c r="JWA613" s="17">
        <v>44925</v>
      </c>
      <c r="JWB613" s="5" t="s">
        <v>3728</v>
      </c>
      <c r="JWC613" s="17">
        <v>44925</v>
      </c>
      <c r="JWD613" s="5" t="s">
        <v>3728</v>
      </c>
      <c r="JWE613" s="17">
        <v>44925</v>
      </c>
      <c r="JWF613" s="5" t="s">
        <v>3728</v>
      </c>
      <c r="JWG613" s="17">
        <v>44925</v>
      </c>
      <c r="JWH613" s="5" t="s">
        <v>3728</v>
      </c>
      <c r="JWI613" s="17">
        <v>44925</v>
      </c>
      <c r="JWJ613" s="5" t="s">
        <v>3728</v>
      </c>
      <c r="JWK613" s="17">
        <v>44925</v>
      </c>
      <c r="JWL613" s="5" t="s">
        <v>3728</v>
      </c>
      <c r="JWM613" s="17">
        <v>44925</v>
      </c>
      <c r="JWN613" s="5" t="s">
        <v>3728</v>
      </c>
      <c r="JWO613" s="17">
        <v>44925</v>
      </c>
      <c r="JWP613" s="5" t="s">
        <v>3728</v>
      </c>
      <c r="JWQ613" s="17">
        <v>44925</v>
      </c>
      <c r="JWR613" s="5" t="s">
        <v>3728</v>
      </c>
      <c r="JWS613" s="17">
        <v>44925</v>
      </c>
      <c r="JWT613" s="5" t="s">
        <v>3728</v>
      </c>
      <c r="JWU613" s="17">
        <v>44925</v>
      </c>
      <c r="JWV613" s="5" t="s">
        <v>3728</v>
      </c>
      <c r="JWW613" s="17">
        <v>44925</v>
      </c>
      <c r="JWX613" s="5" t="s">
        <v>3728</v>
      </c>
      <c r="JWY613" s="17">
        <v>44925</v>
      </c>
      <c r="JWZ613" s="5" t="s">
        <v>3728</v>
      </c>
      <c r="JXA613" s="17">
        <v>44925</v>
      </c>
      <c r="JXB613" s="5" t="s">
        <v>3728</v>
      </c>
      <c r="JXC613" s="17">
        <v>44925</v>
      </c>
      <c r="JXD613" s="5" t="s">
        <v>3728</v>
      </c>
      <c r="JXE613" s="17">
        <v>44925</v>
      </c>
      <c r="JXF613" s="5" t="s">
        <v>3728</v>
      </c>
      <c r="JXG613" s="17">
        <v>44925</v>
      </c>
      <c r="JXH613" s="5" t="s">
        <v>3728</v>
      </c>
      <c r="JXI613" s="17">
        <v>44925</v>
      </c>
      <c r="JXJ613" s="5" t="s">
        <v>3728</v>
      </c>
      <c r="JXK613" s="17">
        <v>44925</v>
      </c>
      <c r="JXL613" s="5" t="s">
        <v>3728</v>
      </c>
      <c r="JXM613" s="17">
        <v>44925</v>
      </c>
      <c r="JXN613" s="5" t="s">
        <v>3728</v>
      </c>
      <c r="JXO613" s="17">
        <v>44925</v>
      </c>
      <c r="JXP613" s="5" t="s">
        <v>3728</v>
      </c>
      <c r="JXQ613" s="17">
        <v>44925</v>
      </c>
      <c r="JXR613" s="5" t="s">
        <v>3728</v>
      </c>
      <c r="JXS613" s="17">
        <v>44925</v>
      </c>
      <c r="JXT613" s="5" t="s">
        <v>3728</v>
      </c>
      <c r="JXU613" s="17">
        <v>44925</v>
      </c>
      <c r="JXV613" s="5" t="s">
        <v>3728</v>
      </c>
      <c r="JXW613" s="17">
        <v>44925</v>
      </c>
      <c r="JXX613" s="5" t="s">
        <v>3728</v>
      </c>
      <c r="JXY613" s="17">
        <v>44925</v>
      </c>
      <c r="JXZ613" s="5" t="s">
        <v>3728</v>
      </c>
      <c r="JYA613" s="17">
        <v>44925</v>
      </c>
      <c r="JYB613" s="5" t="s">
        <v>3728</v>
      </c>
      <c r="JYC613" s="17">
        <v>44925</v>
      </c>
      <c r="JYD613" s="5" t="s">
        <v>3728</v>
      </c>
      <c r="JYE613" s="17">
        <v>44925</v>
      </c>
      <c r="JYF613" s="5" t="s">
        <v>3728</v>
      </c>
      <c r="JYG613" s="17">
        <v>44925</v>
      </c>
      <c r="JYH613" s="5" t="s">
        <v>3728</v>
      </c>
      <c r="JYI613" s="17">
        <v>44925</v>
      </c>
      <c r="JYJ613" s="5" t="s">
        <v>3728</v>
      </c>
      <c r="JYK613" s="17">
        <v>44925</v>
      </c>
      <c r="JYL613" s="5" t="s">
        <v>3728</v>
      </c>
      <c r="JYM613" s="17">
        <v>44925</v>
      </c>
      <c r="JYN613" s="5" t="s">
        <v>3728</v>
      </c>
      <c r="JYO613" s="17">
        <v>44925</v>
      </c>
      <c r="JYP613" s="5" t="s">
        <v>3728</v>
      </c>
      <c r="JYQ613" s="17">
        <v>44925</v>
      </c>
      <c r="JYR613" s="5" t="s">
        <v>3728</v>
      </c>
      <c r="JYS613" s="17">
        <v>44925</v>
      </c>
      <c r="JYT613" s="5" t="s">
        <v>3728</v>
      </c>
      <c r="JYU613" s="17">
        <v>44925</v>
      </c>
      <c r="JYV613" s="5" t="s">
        <v>3728</v>
      </c>
      <c r="JYW613" s="17">
        <v>44925</v>
      </c>
      <c r="JYX613" s="5" t="s">
        <v>3728</v>
      </c>
      <c r="JYY613" s="17">
        <v>44925</v>
      </c>
      <c r="JYZ613" s="5" t="s">
        <v>3728</v>
      </c>
      <c r="JZA613" s="17">
        <v>44925</v>
      </c>
      <c r="JZB613" s="5" t="s">
        <v>3728</v>
      </c>
      <c r="JZC613" s="17">
        <v>44925</v>
      </c>
      <c r="JZD613" s="5" t="s">
        <v>3728</v>
      </c>
      <c r="JZE613" s="17">
        <v>44925</v>
      </c>
      <c r="JZF613" s="5" t="s">
        <v>3728</v>
      </c>
      <c r="JZG613" s="17">
        <v>44925</v>
      </c>
      <c r="JZH613" s="5" t="s">
        <v>3728</v>
      </c>
      <c r="JZI613" s="17">
        <v>44925</v>
      </c>
      <c r="JZJ613" s="5" t="s">
        <v>3728</v>
      </c>
      <c r="JZK613" s="17">
        <v>44925</v>
      </c>
      <c r="JZL613" s="5" t="s">
        <v>3728</v>
      </c>
      <c r="JZM613" s="17">
        <v>44925</v>
      </c>
      <c r="JZN613" s="5" t="s">
        <v>3728</v>
      </c>
      <c r="JZO613" s="17">
        <v>44925</v>
      </c>
      <c r="JZP613" s="5" t="s">
        <v>3728</v>
      </c>
      <c r="JZQ613" s="17">
        <v>44925</v>
      </c>
      <c r="JZR613" s="5" t="s">
        <v>3728</v>
      </c>
      <c r="JZS613" s="17">
        <v>44925</v>
      </c>
      <c r="JZT613" s="5" t="s">
        <v>3728</v>
      </c>
      <c r="JZU613" s="17">
        <v>44925</v>
      </c>
      <c r="JZV613" s="5" t="s">
        <v>3728</v>
      </c>
      <c r="JZW613" s="17">
        <v>44925</v>
      </c>
      <c r="JZX613" s="5" t="s">
        <v>3728</v>
      </c>
      <c r="JZY613" s="17">
        <v>44925</v>
      </c>
      <c r="JZZ613" s="5" t="s">
        <v>3728</v>
      </c>
      <c r="KAA613" s="17">
        <v>44925</v>
      </c>
      <c r="KAB613" s="5" t="s">
        <v>3728</v>
      </c>
      <c r="KAC613" s="17">
        <v>44925</v>
      </c>
      <c r="KAD613" s="5" t="s">
        <v>3728</v>
      </c>
      <c r="KAE613" s="17">
        <v>44925</v>
      </c>
      <c r="KAF613" s="5" t="s">
        <v>3728</v>
      </c>
      <c r="KAG613" s="17">
        <v>44925</v>
      </c>
      <c r="KAH613" s="5" t="s">
        <v>3728</v>
      </c>
      <c r="KAI613" s="17">
        <v>44925</v>
      </c>
      <c r="KAJ613" s="5" t="s">
        <v>3728</v>
      </c>
      <c r="KAK613" s="17">
        <v>44925</v>
      </c>
      <c r="KAL613" s="5" t="s">
        <v>3728</v>
      </c>
      <c r="KAM613" s="17">
        <v>44925</v>
      </c>
      <c r="KAN613" s="5" t="s">
        <v>3728</v>
      </c>
      <c r="KAO613" s="17">
        <v>44925</v>
      </c>
      <c r="KAP613" s="5" t="s">
        <v>3728</v>
      </c>
      <c r="KAQ613" s="17">
        <v>44925</v>
      </c>
      <c r="KAR613" s="5" t="s">
        <v>3728</v>
      </c>
      <c r="KAS613" s="17">
        <v>44925</v>
      </c>
      <c r="KAT613" s="5" t="s">
        <v>3728</v>
      </c>
      <c r="KAU613" s="17">
        <v>44925</v>
      </c>
      <c r="KAV613" s="5" t="s">
        <v>3728</v>
      </c>
      <c r="KAW613" s="17">
        <v>44925</v>
      </c>
      <c r="KAX613" s="5" t="s">
        <v>3728</v>
      </c>
      <c r="KAY613" s="17">
        <v>44925</v>
      </c>
      <c r="KAZ613" s="5" t="s">
        <v>3728</v>
      </c>
      <c r="KBA613" s="17">
        <v>44925</v>
      </c>
      <c r="KBB613" s="5" t="s">
        <v>3728</v>
      </c>
      <c r="KBC613" s="17">
        <v>44925</v>
      </c>
      <c r="KBD613" s="5" t="s">
        <v>3728</v>
      </c>
      <c r="KBE613" s="17">
        <v>44925</v>
      </c>
      <c r="KBF613" s="5" t="s">
        <v>3728</v>
      </c>
      <c r="KBG613" s="17">
        <v>44925</v>
      </c>
      <c r="KBH613" s="5" t="s">
        <v>3728</v>
      </c>
      <c r="KBI613" s="17">
        <v>44925</v>
      </c>
      <c r="KBJ613" s="5" t="s">
        <v>3728</v>
      </c>
      <c r="KBK613" s="17">
        <v>44925</v>
      </c>
      <c r="KBL613" s="5" t="s">
        <v>3728</v>
      </c>
      <c r="KBM613" s="17">
        <v>44925</v>
      </c>
      <c r="KBN613" s="5" t="s">
        <v>3728</v>
      </c>
      <c r="KBO613" s="17">
        <v>44925</v>
      </c>
      <c r="KBP613" s="5" t="s">
        <v>3728</v>
      </c>
      <c r="KBQ613" s="17">
        <v>44925</v>
      </c>
      <c r="KBR613" s="5" t="s">
        <v>3728</v>
      </c>
      <c r="KBS613" s="17">
        <v>44925</v>
      </c>
      <c r="KBT613" s="5" t="s">
        <v>3728</v>
      </c>
      <c r="KBU613" s="17">
        <v>44925</v>
      </c>
      <c r="KBV613" s="5" t="s">
        <v>3728</v>
      </c>
      <c r="KBW613" s="17">
        <v>44925</v>
      </c>
      <c r="KBX613" s="5" t="s">
        <v>3728</v>
      </c>
      <c r="KBY613" s="17">
        <v>44925</v>
      </c>
      <c r="KBZ613" s="5" t="s">
        <v>3728</v>
      </c>
      <c r="KCA613" s="17">
        <v>44925</v>
      </c>
      <c r="KCB613" s="5" t="s">
        <v>3728</v>
      </c>
      <c r="KCC613" s="17">
        <v>44925</v>
      </c>
      <c r="KCD613" s="5" t="s">
        <v>3728</v>
      </c>
      <c r="KCE613" s="17">
        <v>44925</v>
      </c>
      <c r="KCF613" s="5" t="s">
        <v>3728</v>
      </c>
      <c r="KCG613" s="17">
        <v>44925</v>
      </c>
      <c r="KCH613" s="5" t="s">
        <v>3728</v>
      </c>
      <c r="KCI613" s="17">
        <v>44925</v>
      </c>
      <c r="KCJ613" s="5" t="s">
        <v>3728</v>
      </c>
      <c r="KCK613" s="17">
        <v>44925</v>
      </c>
      <c r="KCL613" s="5" t="s">
        <v>3728</v>
      </c>
      <c r="KCM613" s="17">
        <v>44925</v>
      </c>
      <c r="KCN613" s="5" t="s">
        <v>3728</v>
      </c>
      <c r="KCO613" s="17">
        <v>44925</v>
      </c>
      <c r="KCP613" s="5" t="s">
        <v>3728</v>
      </c>
      <c r="KCQ613" s="17">
        <v>44925</v>
      </c>
      <c r="KCR613" s="5" t="s">
        <v>3728</v>
      </c>
      <c r="KCS613" s="17">
        <v>44925</v>
      </c>
      <c r="KCT613" s="5" t="s">
        <v>3728</v>
      </c>
      <c r="KCU613" s="17">
        <v>44925</v>
      </c>
      <c r="KCV613" s="5" t="s">
        <v>3728</v>
      </c>
      <c r="KCW613" s="17">
        <v>44925</v>
      </c>
      <c r="KCX613" s="5" t="s">
        <v>3728</v>
      </c>
      <c r="KCY613" s="17">
        <v>44925</v>
      </c>
      <c r="KCZ613" s="5" t="s">
        <v>3728</v>
      </c>
      <c r="KDA613" s="17">
        <v>44925</v>
      </c>
      <c r="KDB613" s="5" t="s">
        <v>3728</v>
      </c>
      <c r="KDC613" s="17">
        <v>44925</v>
      </c>
      <c r="KDD613" s="5" t="s">
        <v>3728</v>
      </c>
      <c r="KDE613" s="17">
        <v>44925</v>
      </c>
      <c r="KDF613" s="5" t="s">
        <v>3728</v>
      </c>
      <c r="KDG613" s="17">
        <v>44925</v>
      </c>
      <c r="KDH613" s="5" t="s">
        <v>3728</v>
      </c>
      <c r="KDI613" s="17">
        <v>44925</v>
      </c>
      <c r="KDJ613" s="5" t="s">
        <v>3728</v>
      </c>
      <c r="KDK613" s="17">
        <v>44925</v>
      </c>
      <c r="KDL613" s="5" t="s">
        <v>3728</v>
      </c>
      <c r="KDM613" s="17">
        <v>44925</v>
      </c>
      <c r="KDN613" s="5" t="s">
        <v>3728</v>
      </c>
      <c r="KDO613" s="17">
        <v>44925</v>
      </c>
      <c r="KDP613" s="5" t="s">
        <v>3728</v>
      </c>
      <c r="KDQ613" s="17">
        <v>44925</v>
      </c>
      <c r="KDR613" s="5" t="s">
        <v>3728</v>
      </c>
      <c r="KDS613" s="17">
        <v>44925</v>
      </c>
      <c r="KDT613" s="5" t="s">
        <v>3728</v>
      </c>
      <c r="KDU613" s="17">
        <v>44925</v>
      </c>
      <c r="KDV613" s="5" t="s">
        <v>3728</v>
      </c>
      <c r="KDW613" s="17">
        <v>44925</v>
      </c>
      <c r="KDX613" s="5" t="s">
        <v>3728</v>
      </c>
      <c r="KDY613" s="17">
        <v>44925</v>
      </c>
      <c r="KDZ613" s="5" t="s">
        <v>3728</v>
      </c>
      <c r="KEA613" s="17">
        <v>44925</v>
      </c>
      <c r="KEB613" s="5" t="s">
        <v>3728</v>
      </c>
      <c r="KEC613" s="17">
        <v>44925</v>
      </c>
      <c r="KED613" s="5" t="s">
        <v>3728</v>
      </c>
      <c r="KEE613" s="17">
        <v>44925</v>
      </c>
      <c r="KEF613" s="5" t="s">
        <v>3728</v>
      </c>
      <c r="KEG613" s="17">
        <v>44925</v>
      </c>
      <c r="KEH613" s="5" t="s">
        <v>3728</v>
      </c>
      <c r="KEI613" s="17">
        <v>44925</v>
      </c>
      <c r="KEJ613" s="5" t="s">
        <v>3728</v>
      </c>
      <c r="KEK613" s="17">
        <v>44925</v>
      </c>
      <c r="KEL613" s="5" t="s">
        <v>3728</v>
      </c>
      <c r="KEM613" s="17">
        <v>44925</v>
      </c>
      <c r="KEN613" s="5" t="s">
        <v>3728</v>
      </c>
      <c r="KEO613" s="17">
        <v>44925</v>
      </c>
      <c r="KEP613" s="5" t="s">
        <v>3728</v>
      </c>
      <c r="KEQ613" s="17">
        <v>44925</v>
      </c>
      <c r="KER613" s="5" t="s">
        <v>3728</v>
      </c>
      <c r="KES613" s="17">
        <v>44925</v>
      </c>
      <c r="KET613" s="5" t="s">
        <v>3728</v>
      </c>
      <c r="KEU613" s="17">
        <v>44925</v>
      </c>
      <c r="KEV613" s="5" t="s">
        <v>3728</v>
      </c>
      <c r="KEW613" s="17">
        <v>44925</v>
      </c>
      <c r="KEX613" s="5" t="s">
        <v>3728</v>
      </c>
      <c r="KEY613" s="17">
        <v>44925</v>
      </c>
      <c r="KEZ613" s="5" t="s">
        <v>3728</v>
      </c>
      <c r="KFA613" s="17">
        <v>44925</v>
      </c>
      <c r="KFB613" s="5" t="s">
        <v>3728</v>
      </c>
      <c r="KFC613" s="17">
        <v>44925</v>
      </c>
      <c r="KFD613" s="5" t="s">
        <v>3728</v>
      </c>
      <c r="KFE613" s="17">
        <v>44925</v>
      </c>
      <c r="KFF613" s="5" t="s">
        <v>3728</v>
      </c>
      <c r="KFG613" s="17">
        <v>44925</v>
      </c>
      <c r="KFH613" s="5" t="s">
        <v>3728</v>
      </c>
      <c r="KFI613" s="17">
        <v>44925</v>
      </c>
      <c r="KFJ613" s="5" t="s">
        <v>3728</v>
      </c>
      <c r="KFK613" s="17">
        <v>44925</v>
      </c>
      <c r="KFL613" s="5" t="s">
        <v>3728</v>
      </c>
      <c r="KFM613" s="17">
        <v>44925</v>
      </c>
      <c r="KFN613" s="5" t="s">
        <v>3728</v>
      </c>
      <c r="KFO613" s="17">
        <v>44925</v>
      </c>
      <c r="KFP613" s="5" t="s">
        <v>3728</v>
      </c>
      <c r="KFQ613" s="17">
        <v>44925</v>
      </c>
      <c r="KFR613" s="5" t="s">
        <v>3728</v>
      </c>
      <c r="KFS613" s="17">
        <v>44925</v>
      </c>
      <c r="KFT613" s="5" t="s">
        <v>3728</v>
      </c>
      <c r="KFU613" s="17">
        <v>44925</v>
      </c>
      <c r="KFV613" s="5" t="s">
        <v>3728</v>
      </c>
      <c r="KFW613" s="17">
        <v>44925</v>
      </c>
      <c r="KFX613" s="5" t="s">
        <v>3728</v>
      </c>
      <c r="KFY613" s="17">
        <v>44925</v>
      </c>
      <c r="KFZ613" s="5" t="s">
        <v>3728</v>
      </c>
      <c r="KGA613" s="17">
        <v>44925</v>
      </c>
      <c r="KGB613" s="5" t="s">
        <v>3728</v>
      </c>
      <c r="KGC613" s="17">
        <v>44925</v>
      </c>
      <c r="KGD613" s="5" t="s">
        <v>3728</v>
      </c>
      <c r="KGE613" s="17">
        <v>44925</v>
      </c>
      <c r="KGF613" s="5" t="s">
        <v>3728</v>
      </c>
      <c r="KGG613" s="17">
        <v>44925</v>
      </c>
      <c r="KGH613" s="5" t="s">
        <v>3728</v>
      </c>
      <c r="KGI613" s="17">
        <v>44925</v>
      </c>
      <c r="KGJ613" s="5" t="s">
        <v>3728</v>
      </c>
      <c r="KGK613" s="17">
        <v>44925</v>
      </c>
      <c r="KGL613" s="5" t="s">
        <v>3728</v>
      </c>
      <c r="KGM613" s="17">
        <v>44925</v>
      </c>
      <c r="KGN613" s="5" t="s">
        <v>3728</v>
      </c>
      <c r="KGO613" s="17">
        <v>44925</v>
      </c>
      <c r="KGP613" s="5" t="s">
        <v>3728</v>
      </c>
      <c r="KGQ613" s="17">
        <v>44925</v>
      </c>
      <c r="KGR613" s="5" t="s">
        <v>3728</v>
      </c>
      <c r="KGS613" s="17">
        <v>44925</v>
      </c>
      <c r="KGT613" s="5" t="s">
        <v>3728</v>
      </c>
      <c r="KGU613" s="17">
        <v>44925</v>
      </c>
      <c r="KGV613" s="5" t="s">
        <v>3728</v>
      </c>
      <c r="KGW613" s="17">
        <v>44925</v>
      </c>
      <c r="KGX613" s="5" t="s">
        <v>3728</v>
      </c>
      <c r="KGY613" s="17">
        <v>44925</v>
      </c>
      <c r="KGZ613" s="5" t="s">
        <v>3728</v>
      </c>
      <c r="KHA613" s="17">
        <v>44925</v>
      </c>
      <c r="KHB613" s="5" t="s">
        <v>3728</v>
      </c>
      <c r="KHC613" s="17">
        <v>44925</v>
      </c>
      <c r="KHD613" s="5" t="s">
        <v>3728</v>
      </c>
      <c r="KHE613" s="17">
        <v>44925</v>
      </c>
      <c r="KHF613" s="5" t="s">
        <v>3728</v>
      </c>
      <c r="KHG613" s="17">
        <v>44925</v>
      </c>
      <c r="KHH613" s="5" t="s">
        <v>3728</v>
      </c>
      <c r="KHI613" s="17">
        <v>44925</v>
      </c>
      <c r="KHJ613" s="5" t="s">
        <v>3728</v>
      </c>
      <c r="KHK613" s="17">
        <v>44925</v>
      </c>
      <c r="KHL613" s="5" t="s">
        <v>3728</v>
      </c>
      <c r="KHM613" s="17">
        <v>44925</v>
      </c>
      <c r="KHN613" s="5" t="s">
        <v>3728</v>
      </c>
      <c r="KHO613" s="17">
        <v>44925</v>
      </c>
      <c r="KHP613" s="5" t="s">
        <v>3728</v>
      </c>
      <c r="KHQ613" s="17">
        <v>44925</v>
      </c>
      <c r="KHR613" s="5" t="s">
        <v>3728</v>
      </c>
      <c r="KHS613" s="17">
        <v>44925</v>
      </c>
      <c r="KHT613" s="5" t="s">
        <v>3728</v>
      </c>
      <c r="KHU613" s="17">
        <v>44925</v>
      </c>
      <c r="KHV613" s="5" t="s">
        <v>3728</v>
      </c>
      <c r="KHW613" s="17">
        <v>44925</v>
      </c>
      <c r="KHX613" s="5" t="s">
        <v>3728</v>
      </c>
      <c r="KHY613" s="17">
        <v>44925</v>
      </c>
      <c r="KHZ613" s="5" t="s">
        <v>3728</v>
      </c>
      <c r="KIA613" s="17">
        <v>44925</v>
      </c>
      <c r="KIB613" s="5" t="s">
        <v>3728</v>
      </c>
      <c r="KIC613" s="17">
        <v>44925</v>
      </c>
      <c r="KID613" s="5" t="s">
        <v>3728</v>
      </c>
      <c r="KIE613" s="17">
        <v>44925</v>
      </c>
      <c r="KIF613" s="5" t="s">
        <v>3728</v>
      </c>
      <c r="KIG613" s="17">
        <v>44925</v>
      </c>
      <c r="KIH613" s="5" t="s">
        <v>3728</v>
      </c>
      <c r="KII613" s="17">
        <v>44925</v>
      </c>
      <c r="KIJ613" s="5" t="s">
        <v>3728</v>
      </c>
      <c r="KIK613" s="17">
        <v>44925</v>
      </c>
      <c r="KIL613" s="5" t="s">
        <v>3728</v>
      </c>
      <c r="KIM613" s="17">
        <v>44925</v>
      </c>
      <c r="KIN613" s="5" t="s">
        <v>3728</v>
      </c>
      <c r="KIO613" s="17">
        <v>44925</v>
      </c>
      <c r="KIP613" s="5" t="s">
        <v>3728</v>
      </c>
      <c r="KIQ613" s="17">
        <v>44925</v>
      </c>
      <c r="KIR613" s="5" t="s">
        <v>3728</v>
      </c>
      <c r="KIS613" s="17">
        <v>44925</v>
      </c>
      <c r="KIT613" s="5" t="s">
        <v>3728</v>
      </c>
      <c r="KIU613" s="17">
        <v>44925</v>
      </c>
      <c r="KIV613" s="5" t="s">
        <v>3728</v>
      </c>
      <c r="KIW613" s="17">
        <v>44925</v>
      </c>
      <c r="KIX613" s="5" t="s">
        <v>3728</v>
      </c>
      <c r="KIY613" s="17">
        <v>44925</v>
      </c>
      <c r="KIZ613" s="5" t="s">
        <v>3728</v>
      </c>
      <c r="KJA613" s="17">
        <v>44925</v>
      </c>
      <c r="KJB613" s="5" t="s">
        <v>3728</v>
      </c>
      <c r="KJC613" s="17">
        <v>44925</v>
      </c>
      <c r="KJD613" s="5" t="s">
        <v>3728</v>
      </c>
      <c r="KJE613" s="17">
        <v>44925</v>
      </c>
      <c r="KJF613" s="5" t="s">
        <v>3728</v>
      </c>
      <c r="KJG613" s="17">
        <v>44925</v>
      </c>
      <c r="KJH613" s="5" t="s">
        <v>3728</v>
      </c>
      <c r="KJI613" s="17">
        <v>44925</v>
      </c>
      <c r="KJJ613" s="5" t="s">
        <v>3728</v>
      </c>
      <c r="KJK613" s="17">
        <v>44925</v>
      </c>
      <c r="KJL613" s="5" t="s">
        <v>3728</v>
      </c>
      <c r="KJM613" s="17">
        <v>44925</v>
      </c>
      <c r="KJN613" s="5" t="s">
        <v>3728</v>
      </c>
      <c r="KJO613" s="17">
        <v>44925</v>
      </c>
      <c r="KJP613" s="5" t="s">
        <v>3728</v>
      </c>
      <c r="KJQ613" s="17">
        <v>44925</v>
      </c>
      <c r="KJR613" s="5" t="s">
        <v>3728</v>
      </c>
      <c r="KJS613" s="17">
        <v>44925</v>
      </c>
      <c r="KJT613" s="5" t="s">
        <v>3728</v>
      </c>
      <c r="KJU613" s="17">
        <v>44925</v>
      </c>
      <c r="KJV613" s="5" t="s">
        <v>3728</v>
      </c>
      <c r="KJW613" s="17">
        <v>44925</v>
      </c>
      <c r="KJX613" s="5" t="s">
        <v>3728</v>
      </c>
      <c r="KJY613" s="17">
        <v>44925</v>
      </c>
      <c r="KJZ613" s="5" t="s">
        <v>3728</v>
      </c>
      <c r="KKA613" s="17">
        <v>44925</v>
      </c>
      <c r="KKB613" s="5" t="s">
        <v>3728</v>
      </c>
      <c r="KKC613" s="17">
        <v>44925</v>
      </c>
      <c r="KKD613" s="5" t="s">
        <v>3728</v>
      </c>
      <c r="KKE613" s="17">
        <v>44925</v>
      </c>
      <c r="KKF613" s="5" t="s">
        <v>3728</v>
      </c>
      <c r="KKG613" s="17">
        <v>44925</v>
      </c>
      <c r="KKH613" s="5" t="s">
        <v>3728</v>
      </c>
      <c r="KKI613" s="17">
        <v>44925</v>
      </c>
      <c r="KKJ613" s="5" t="s">
        <v>3728</v>
      </c>
      <c r="KKK613" s="17">
        <v>44925</v>
      </c>
      <c r="KKL613" s="5" t="s">
        <v>3728</v>
      </c>
      <c r="KKM613" s="17">
        <v>44925</v>
      </c>
      <c r="KKN613" s="5" t="s">
        <v>3728</v>
      </c>
      <c r="KKO613" s="17">
        <v>44925</v>
      </c>
      <c r="KKP613" s="5" t="s">
        <v>3728</v>
      </c>
      <c r="KKQ613" s="17">
        <v>44925</v>
      </c>
      <c r="KKR613" s="5" t="s">
        <v>3728</v>
      </c>
      <c r="KKS613" s="17">
        <v>44925</v>
      </c>
      <c r="KKT613" s="5" t="s">
        <v>3728</v>
      </c>
      <c r="KKU613" s="17">
        <v>44925</v>
      </c>
      <c r="KKV613" s="5" t="s">
        <v>3728</v>
      </c>
      <c r="KKW613" s="17">
        <v>44925</v>
      </c>
      <c r="KKX613" s="5" t="s">
        <v>3728</v>
      </c>
      <c r="KKY613" s="17">
        <v>44925</v>
      </c>
      <c r="KKZ613" s="5" t="s">
        <v>3728</v>
      </c>
      <c r="KLA613" s="17">
        <v>44925</v>
      </c>
      <c r="KLB613" s="5" t="s">
        <v>3728</v>
      </c>
      <c r="KLC613" s="17">
        <v>44925</v>
      </c>
      <c r="KLD613" s="5" t="s">
        <v>3728</v>
      </c>
      <c r="KLE613" s="17">
        <v>44925</v>
      </c>
      <c r="KLF613" s="5" t="s">
        <v>3728</v>
      </c>
      <c r="KLG613" s="17">
        <v>44925</v>
      </c>
      <c r="KLH613" s="5" t="s">
        <v>3728</v>
      </c>
      <c r="KLI613" s="17">
        <v>44925</v>
      </c>
      <c r="KLJ613" s="5" t="s">
        <v>3728</v>
      </c>
      <c r="KLK613" s="17">
        <v>44925</v>
      </c>
      <c r="KLL613" s="5" t="s">
        <v>3728</v>
      </c>
      <c r="KLM613" s="17">
        <v>44925</v>
      </c>
      <c r="KLN613" s="5" t="s">
        <v>3728</v>
      </c>
      <c r="KLO613" s="17">
        <v>44925</v>
      </c>
      <c r="KLP613" s="5" t="s">
        <v>3728</v>
      </c>
      <c r="KLQ613" s="17">
        <v>44925</v>
      </c>
      <c r="KLR613" s="5" t="s">
        <v>3728</v>
      </c>
      <c r="KLS613" s="17">
        <v>44925</v>
      </c>
      <c r="KLT613" s="5" t="s">
        <v>3728</v>
      </c>
      <c r="KLU613" s="17">
        <v>44925</v>
      </c>
      <c r="KLV613" s="5" t="s">
        <v>3728</v>
      </c>
      <c r="KLW613" s="17">
        <v>44925</v>
      </c>
      <c r="KLX613" s="5" t="s">
        <v>3728</v>
      </c>
      <c r="KLY613" s="17">
        <v>44925</v>
      </c>
      <c r="KLZ613" s="5" t="s">
        <v>3728</v>
      </c>
      <c r="KMA613" s="17">
        <v>44925</v>
      </c>
      <c r="KMB613" s="5" t="s">
        <v>3728</v>
      </c>
      <c r="KMC613" s="17">
        <v>44925</v>
      </c>
      <c r="KMD613" s="5" t="s">
        <v>3728</v>
      </c>
      <c r="KME613" s="17">
        <v>44925</v>
      </c>
      <c r="KMF613" s="5" t="s">
        <v>3728</v>
      </c>
      <c r="KMG613" s="17">
        <v>44925</v>
      </c>
      <c r="KMH613" s="5" t="s">
        <v>3728</v>
      </c>
      <c r="KMI613" s="17">
        <v>44925</v>
      </c>
      <c r="KMJ613" s="5" t="s">
        <v>3728</v>
      </c>
      <c r="KMK613" s="17">
        <v>44925</v>
      </c>
      <c r="KML613" s="5" t="s">
        <v>3728</v>
      </c>
      <c r="KMM613" s="17">
        <v>44925</v>
      </c>
      <c r="KMN613" s="5" t="s">
        <v>3728</v>
      </c>
      <c r="KMO613" s="17">
        <v>44925</v>
      </c>
      <c r="KMP613" s="5" t="s">
        <v>3728</v>
      </c>
      <c r="KMQ613" s="17">
        <v>44925</v>
      </c>
      <c r="KMR613" s="5" t="s">
        <v>3728</v>
      </c>
      <c r="KMS613" s="17">
        <v>44925</v>
      </c>
      <c r="KMT613" s="5" t="s">
        <v>3728</v>
      </c>
      <c r="KMU613" s="17">
        <v>44925</v>
      </c>
      <c r="KMV613" s="5" t="s">
        <v>3728</v>
      </c>
      <c r="KMW613" s="17">
        <v>44925</v>
      </c>
      <c r="KMX613" s="5" t="s">
        <v>3728</v>
      </c>
      <c r="KMY613" s="17">
        <v>44925</v>
      </c>
      <c r="KMZ613" s="5" t="s">
        <v>3728</v>
      </c>
      <c r="KNA613" s="17">
        <v>44925</v>
      </c>
      <c r="KNB613" s="5" t="s">
        <v>3728</v>
      </c>
      <c r="KNC613" s="17">
        <v>44925</v>
      </c>
      <c r="KND613" s="5" t="s">
        <v>3728</v>
      </c>
      <c r="KNE613" s="17">
        <v>44925</v>
      </c>
      <c r="KNF613" s="5" t="s">
        <v>3728</v>
      </c>
      <c r="KNG613" s="17">
        <v>44925</v>
      </c>
      <c r="KNH613" s="5" t="s">
        <v>3728</v>
      </c>
      <c r="KNI613" s="17">
        <v>44925</v>
      </c>
      <c r="KNJ613" s="5" t="s">
        <v>3728</v>
      </c>
      <c r="KNK613" s="17">
        <v>44925</v>
      </c>
      <c r="KNL613" s="5" t="s">
        <v>3728</v>
      </c>
      <c r="KNM613" s="17">
        <v>44925</v>
      </c>
      <c r="KNN613" s="5" t="s">
        <v>3728</v>
      </c>
      <c r="KNO613" s="17">
        <v>44925</v>
      </c>
      <c r="KNP613" s="5" t="s">
        <v>3728</v>
      </c>
      <c r="KNQ613" s="17">
        <v>44925</v>
      </c>
      <c r="KNR613" s="5" t="s">
        <v>3728</v>
      </c>
      <c r="KNS613" s="17">
        <v>44925</v>
      </c>
      <c r="KNT613" s="5" t="s">
        <v>3728</v>
      </c>
      <c r="KNU613" s="17">
        <v>44925</v>
      </c>
      <c r="KNV613" s="5" t="s">
        <v>3728</v>
      </c>
      <c r="KNW613" s="17">
        <v>44925</v>
      </c>
      <c r="KNX613" s="5" t="s">
        <v>3728</v>
      </c>
      <c r="KNY613" s="17">
        <v>44925</v>
      </c>
      <c r="KNZ613" s="5" t="s">
        <v>3728</v>
      </c>
      <c r="KOA613" s="17">
        <v>44925</v>
      </c>
      <c r="KOB613" s="5" t="s">
        <v>3728</v>
      </c>
      <c r="KOC613" s="17">
        <v>44925</v>
      </c>
      <c r="KOD613" s="5" t="s">
        <v>3728</v>
      </c>
      <c r="KOE613" s="17">
        <v>44925</v>
      </c>
      <c r="KOF613" s="5" t="s">
        <v>3728</v>
      </c>
      <c r="KOG613" s="17">
        <v>44925</v>
      </c>
      <c r="KOH613" s="5" t="s">
        <v>3728</v>
      </c>
      <c r="KOI613" s="17">
        <v>44925</v>
      </c>
      <c r="KOJ613" s="5" t="s">
        <v>3728</v>
      </c>
      <c r="KOK613" s="17">
        <v>44925</v>
      </c>
      <c r="KOL613" s="5" t="s">
        <v>3728</v>
      </c>
      <c r="KOM613" s="17">
        <v>44925</v>
      </c>
      <c r="KON613" s="5" t="s">
        <v>3728</v>
      </c>
      <c r="KOO613" s="17">
        <v>44925</v>
      </c>
      <c r="KOP613" s="5" t="s">
        <v>3728</v>
      </c>
      <c r="KOQ613" s="17">
        <v>44925</v>
      </c>
      <c r="KOR613" s="5" t="s">
        <v>3728</v>
      </c>
      <c r="KOS613" s="17">
        <v>44925</v>
      </c>
      <c r="KOT613" s="5" t="s">
        <v>3728</v>
      </c>
      <c r="KOU613" s="17">
        <v>44925</v>
      </c>
      <c r="KOV613" s="5" t="s">
        <v>3728</v>
      </c>
      <c r="KOW613" s="17">
        <v>44925</v>
      </c>
      <c r="KOX613" s="5" t="s">
        <v>3728</v>
      </c>
      <c r="KOY613" s="17">
        <v>44925</v>
      </c>
      <c r="KOZ613" s="5" t="s">
        <v>3728</v>
      </c>
      <c r="KPA613" s="17">
        <v>44925</v>
      </c>
      <c r="KPB613" s="5" t="s">
        <v>3728</v>
      </c>
      <c r="KPC613" s="17">
        <v>44925</v>
      </c>
      <c r="KPD613" s="5" t="s">
        <v>3728</v>
      </c>
      <c r="KPE613" s="17">
        <v>44925</v>
      </c>
      <c r="KPF613" s="5" t="s">
        <v>3728</v>
      </c>
      <c r="KPG613" s="17">
        <v>44925</v>
      </c>
      <c r="KPH613" s="5" t="s">
        <v>3728</v>
      </c>
      <c r="KPI613" s="17">
        <v>44925</v>
      </c>
      <c r="KPJ613" s="5" t="s">
        <v>3728</v>
      </c>
      <c r="KPK613" s="17">
        <v>44925</v>
      </c>
      <c r="KPL613" s="5" t="s">
        <v>3728</v>
      </c>
      <c r="KPM613" s="17">
        <v>44925</v>
      </c>
      <c r="KPN613" s="5" t="s">
        <v>3728</v>
      </c>
      <c r="KPO613" s="17">
        <v>44925</v>
      </c>
      <c r="KPP613" s="5" t="s">
        <v>3728</v>
      </c>
      <c r="KPQ613" s="17">
        <v>44925</v>
      </c>
      <c r="KPR613" s="5" t="s">
        <v>3728</v>
      </c>
      <c r="KPS613" s="17">
        <v>44925</v>
      </c>
      <c r="KPT613" s="5" t="s">
        <v>3728</v>
      </c>
      <c r="KPU613" s="17">
        <v>44925</v>
      </c>
      <c r="KPV613" s="5" t="s">
        <v>3728</v>
      </c>
      <c r="KPW613" s="17">
        <v>44925</v>
      </c>
      <c r="KPX613" s="5" t="s">
        <v>3728</v>
      </c>
      <c r="KPY613" s="17">
        <v>44925</v>
      </c>
      <c r="KPZ613" s="5" t="s">
        <v>3728</v>
      </c>
      <c r="KQA613" s="17">
        <v>44925</v>
      </c>
      <c r="KQB613" s="5" t="s">
        <v>3728</v>
      </c>
      <c r="KQC613" s="17">
        <v>44925</v>
      </c>
      <c r="KQD613" s="5" t="s">
        <v>3728</v>
      </c>
      <c r="KQE613" s="17">
        <v>44925</v>
      </c>
      <c r="KQF613" s="5" t="s">
        <v>3728</v>
      </c>
      <c r="KQG613" s="17">
        <v>44925</v>
      </c>
      <c r="KQH613" s="5" t="s">
        <v>3728</v>
      </c>
      <c r="KQI613" s="17">
        <v>44925</v>
      </c>
      <c r="KQJ613" s="5" t="s">
        <v>3728</v>
      </c>
      <c r="KQK613" s="17">
        <v>44925</v>
      </c>
      <c r="KQL613" s="5" t="s">
        <v>3728</v>
      </c>
      <c r="KQM613" s="17">
        <v>44925</v>
      </c>
      <c r="KQN613" s="5" t="s">
        <v>3728</v>
      </c>
      <c r="KQO613" s="17">
        <v>44925</v>
      </c>
      <c r="KQP613" s="5" t="s">
        <v>3728</v>
      </c>
      <c r="KQQ613" s="17">
        <v>44925</v>
      </c>
      <c r="KQR613" s="5" t="s">
        <v>3728</v>
      </c>
      <c r="KQS613" s="17">
        <v>44925</v>
      </c>
      <c r="KQT613" s="5" t="s">
        <v>3728</v>
      </c>
      <c r="KQU613" s="17">
        <v>44925</v>
      </c>
      <c r="KQV613" s="5" t="s">
        <v>3728</v>
      </c>
      <c r="KQW613" s="17">
        <v>44925</v>
      </c>
      <c r="KQX613" s="5" t="s">
        <v>3728</v>
      </c>
      <c r="KQY613" s="17">
        <v>44925</v>
      </c>
      <c r="KQZ613" s="5" t="s">
        <v>3728</v>
      </c>
      <c r="KRA613" s="17">
        <v>44925</v>
      </c>
      <c r="KRB613" s="5" t="s">
        <v>3728</v>
      </c>
      <c r="KRC613" s="17">
        <v>44925</v>
      </c>
      <c r="KRD613" s="5" t="s">
        <v>3728</v>
      </c>
      <c r="KRE613" s="17">
        <v>44925</v>
      </c>
      <c r="KRF613" s="5" t="s">
        <v>3728</v>
      </c>
      <c r="KRG613" s="17">
        <v>44925</v>
      </c>
      <c r="KRH613" s="5" t="s">
        <v>3728</v>
      </c>
      <c r="KRI613" s="17">
        <v>44925</v>
      </c>
      <c r="KRJ613" s="5" t="s">
        <v>3728</v>
      </c>
      <c r="KRK613" s="17">
        <v>44925</v>
      </c>
      <c r="KRL613" s="5" t="s">
        <v>3728</v>
      </c>
      <c r="KRM613" s="17">
        <v>44925</v>
      </c>
      <c r="KRN613" s="5" t="s">
        <v>3728</v>
      </c>
      <c r="KRO613" s="17">
        <v>44925</v>
      </c>
      <c r="KRP613" s="5" t="s">
        <v>3728</v>
      </c>
      <c r="KRQ613" s="17">
        <v>44925</v>
      </c>
      <c r="KRR613" s="5" t="s">
        <v>3728</v>
      </c>
      <c r="KRS613" s="17">
        <v>44925</v>
      </c>
      <c r="KRT613" s="5" t="s">
        <v>3728</v>
      </c>
      <c r="KRU613" s="17">
        <v>44925</v>
      </c>
      <c r="KRV613" s="5" t="s">
        <v>3728</v>
      </c>
      <c r="KRW613" s="17">
        <v>44925</v>
      </c>
      <c r="KRX613" s="5" t="s">
        <v>3728</v>
      </c>
      <c r="KRY613" s="17">
        <v>44925</v>
      </c>
      <c r="KRZ613" s="5" t="s">
        <v>3728</v>
      </c>
      <c r="KSA613" s="17">
        <v>44925</v>
      </c>
      <c r="KSB613" s="5" t="s">
        <v>3728</v>
      </c>
      <c r="KSC613" s="17">
        <v>44925</v>
      </c>
      <c r="KSD613" s="5" t="s">
        <v>3728</v>
      </c>
      <c r="KSE613" s="17">
        <v>44925</v>
      </c>
      <c r="KSF613" s="5" t="s">
        <v>3728</v>
      </c>
      <c r="KSG613" s="17">
        <v>44925</v>
      </c>
      <c r="KSH613" s="5" t="s">
        <v>3728</v>
      </c>
      <c r="KSI613" s="17">
        <v>44925</v>
      </c>
      <c r="KSJ613" s="5" t="s">
        <v>3728</v>
      </c>
      <c r="KSK613" s="17">
        <v>44925</v>
      </c>
      <c r="KSL613" s="5" t="s">
        <v>3728</v>
      </c>
      <c r="KSM613" s="17">
        <v>44925</v>
      </c>
      <c r="KSN613" s="5" t="s">
        <v>3728</v>
      </c>
      <c r="KSO613" s="17">
        <v>44925</v>
      </c>
      <c r="KSP613" s="5" t="s">
        <v>3728</v>
      </c>
      <c r="KSQ613" s="17">
        <v>44925</v>
      </c>
      <c r="KSR613" s="5" t="s">
        <v>3728</v>
      </c>
      <c r="KSS613" s="17">
        <v>44925</v>
      </c>
      <c r="KST613" s="5" t="s">
        <v>3728</v>
      </c>
      <c r="KSU613" s="17">
        <v>44925</v>
      </c>
      <c r="KSV613" s="5" t="s">
        <v>3728</v>
      </c>
      <c r="KSW613" s="17">
        <v>44925</v>
      </c>
      <c r="KSX613" s="5" t="s">
        <v>3728</v>
      </c>
      <c r="KSY613" s="17">
        <v>44925</v>
      </c>
      <c r="KSZ613" s="5" t="s">
        <v>3728</v>
      </c>
      <c r="KTA613" s="17">
        <v>44925</v>
      </c>
      <c r="KTB613" s="5" t="s">
        <v>3728</v>
      </c>
      <c r="KTC613" s="17">
        <v>44925</v>
      </c>
      <c r="KTD613" s="5" t="s">
        <v>3728</v>
      </c>
      <c r="KTE613" s="17">
        <v>44925</v>
      </c>
      <c r="KTF613" s="5" t="s">
        <v>3728</v>
      </c>
      <c r="KTG613" s="17">
        <v>44925</v>
      </c>
      <c r="KTH613" s="5" t="s">
        <v>3728</v>
      </c>
      <c r="KTI613" s="17">
        <v>44925</v>
      </c>
      <c r="KTJ613" s="5" t="s">
        <v>3728</v>
      </c>
      <c r="KTK613" s="17">
        <v>44925</v>
      </c>
      <c r="KTL613" s="5" t="s">
        <v>3728</v>
      </c>
      <c r="KTM613" s="17">
        <v>44925</v>
      </c>
      <c r="KTN613" s="5" t="s">
        <v>3728</v>
      </c>
      <c r="KTO613" s="17">
        <v>44925</v>
      </c>
      <c r="KTP613" s="5" t="s">
        <v>3728</v>
      </c>
      <c r="KTQ613" s="17">
        <v>44925</v>
      </c>
      <c r="KTR613" s="5" t="s">
        <v>3728</v>
      </c>
      <c r="KTS613" s="17">
        <v>44925</v>
      </c>
      <c r="KTT613" s="5" t="s">
        <v>3728</v>
      </c>
      <c r="KTU613" s="17">
        <v>44925</v>
      </c>
      <c r="KTV613" s="5" t="s">
        <v>3728</v>
      </c>
      <c r="KTW613" s="17">
        <v>44925</v>
      </c>
      <c r="KTX613" s="5" t="s">
        <v>3728</v>
      </c>
      <c r="KTY613" s="17">
        <v>44925</v>
      </c>
      <c r="KTZ613" s="5" t="s">
        <v>3728</v>
      </c>
      <c r="KUA613" s="17">
        <v>44925</v>
      </c>
      <c r="KUB613" s="5" t="s">
        <v>3728</v>
      </c>
      <c r="KUC613" s="17">
        <v>44925</v>
      </c>
      <c r="KUD613" s="5" t="s">
        <v>3728</v>
      </c>
      <c r="KUE613" s="17">
        <v>44925</v>
      </c>
      <c r="KUF613" s="5" t="s">
        <v>3728</v>
      </c>
      <c r="KUG613" s="17">
        <v>44925</v>
      </c>
      <c r="KUH613" s="5" t="s">
        <v>3728</v>
      </c>
      <c r="KUI613" s="17">
        <v>44925</v>
      </c>
      <c r="KUJ613" s="5" t="s">
        <v>3728</v>
      </c>
      <c r="KUK613" s="17">
        <v>44925</v>
      </c>
      <c r="KUL613" s="5" t="s">
        <v>3728</v>
      </c>
      <c r="KUM613" s="17">
        <v>44925</v>
      </c>
      <c r="KUN613" s="5" t="s">
        <v>3728</v>
      </c>
      <c r="KUO613" s="17">
        <v>44925</v>
      </c>
      <c r="KUP613" s="5" t="s">
        <v>3728</v>
      </c>
      <c r="KUQ613" s="17">
        <v>44925</v>
      </c>
      <c r="KUR613" s="5" t="s">
        <v>3728</v>
      </c>
      <c r="KUS613" s="17">
        <v>44925</v>
      </c>
      <c r="KUT613" s="5" t="s">
        <v>3728</v>
      </c>
      <c r="KUU613" s="17">
        <v>44925</v>
      </c>
      <c r="KUV613" s="5" t="s">
        <v>3728</v>
      </c>
      <c r="KUW613" s="17">
        <v>44925</v>
      </c>
      <c r="KUX613" s="5" t="s">
        <v>3728</v>
      </c>
      <c r="KUY613" s="17">
        <v>44925</v>
      </c>
      <c r="KUZ613" s="5" t="s">
        <v>3728</v>
      </c>
      <c r="KVA613" s="17">
        <v>44925</v>
      </c>
      <c r="KVB613" s="5" t="s">
        <v>3728</v>
      </c>
      <c r="KVC613" s="17">
        <v>44925</v>
      </c>
      <c r="KVD613" s="5" t="s">
        <v>3728</v>
      </c>
      <c r="KVE613" s="17">
        <v>44925</v>
      </c>
      <c r="KVF613" s="5" t="s">
        <v>3728</v>
      </c>
      <c r="KVG613" s="17">
        <v>44925</v>
      </c>
      <c r="KVH613" s="5" t="s">
        <v>3728</v>
      </c>
      <c r="KVI613" s="17">
        <v>44925</v>
      </c>
      <c r="KVJ613" s="5" t="s">
        <v>3728</v>
      </c>
      <c r="KVK613" s="17">
        <v>44925</v>
      </c>
      <c r="KVL613" s="5" t="s">
        <v>3728</v>
      </c>
      <c r="KVM613" s="17">
        <v>44925</v>
      </c>
      <c r="KVN613" s="5" t="s">
        <v>3728</v>
      </c>
      <c r="KVO613" s="17">
        <v>44925</v>
      </c>
      <c r="KVP613" s="5" t="s">
        <v>3728</v>
      </c>
      <c r="KVQ613" s="17">
        <v>44925</v>
      </c>
      <c r="KVR613" s="5" t="s">
        <v>3728</v>
      </c>
      <c r="KVS613" s="17">
        <v>44925</v>
      </c>
      <c r="KVT613" s="5" t="s">
        <v>3728</v>
      </c>
      <c r="KVU613" s="17">
        <v>44925</v>
      </c>
      <c r="KVV613" s="5" t="s">
        <v>3728</v>
      </c>
      <c r="KVW613" s="17">
        <v>44925</v>
      </c>
      <c r="KVX613" s="5" t="s">
        <v>3728</v>
      </c>
      <c r="KVY613" s="17">
        <v>44925</v>
      </c>
      <c r="KVZ613" s="5" t="s">
        <v>3728</v>
      </c>
      <c r="KWA613" s="17">
        <v>44925</v>
      </c>
      <c r="KWB613" s="5" t="s">
        <v>3728</v>
      </c>
      <c r="KWC613" s="17">
        <v>44925</v>
      </c>
      <c r="KWD613" s="5" t="s">
        <v>3728</v>
      </c>
      <c r="KWE613" s="17">
        <v>44925</v>
      </c>
      <c r="KWF613" s="5" t="s">
        <v>3728</v>
      </c>
      <c r="KWG613" s="17">
        <v>44925</v>
      </c>
      <c r="KWH613" s="5" t="s">
        <v>3728</v>
      </c>
      <c r="KWI613" s="17">
        <v>44925</v>
      </c>
      <c r="KWJ613" s="5" t="s">
        <v>3728</v>
      </c>
      <c r="KWK613" s="17">
        <v>44925</v>
      </c>
      <c r="KWL613" s="5" t="s">
        <v>3728</v>
      </c>
      <c r="KWM613" s="17">
        <v>44925</v>
      </c>
      <c r="KWN613" s="5" t="s">
        <v>3728</v>
      </c>
      <c r="KWO613" s="17">
        <v>44925</v>
      </c>
      <c r="KWP613" s="5" t="s">
        <v>3728</v>
      </c>
      <c r="KWQ613" s="17">
        <v>44925</v>
      </c>
      <c r="KWR613" s="5" t="s">
        <v>3728</v>
      </c>
      <c r="KWS613" s="17">
        <v>44925</v>
      </c>
      <c r="KWT613" s="5" t="s">
        <v>3728</v>
      </c>
      <c r="KWU613" s="17">
        <v>44925</v>
      </c>
      <c r="KWV613" s="5" t="s">
        <v>3728</v>
      </c>
      <c r="KWW613" s="17">
        <v>44925</v>
      </c>
      <c r="KWX613" s="5" t="s">
        <v>3728</v>
      </c>
      <c r="KWY613" s="17">
        <v>44925</v>
      </c>
      <c r="KWZ613" s="5" t="s">
        <v>3728</v>
      </c>
      <c r="KXA613" s="17">
        <v>44925</v>
      </c>
      <c r="KXB613" s="5" t="s">
        <v>3728</v>
      </c>
      <c r="KXC613" s="17">
        <v>44925</v>
      </c>
      <c r="KXD613" s="5" t="s">
        <v>3728</v>
      </c>
      <c r="KXE613" s="17">
        <v>44925</v>
      </c>
      <c r="KXF613" s="5" t="s">
        <v>3728</v>
      </c>
      <c r="KXG613" s="17">
        <v>44925</v>
      </c>
      <c r="KXH613" s="5" t="s">
        <v>3728</v>
      </c>
      <c r="KXI613" s="17">
        <v>44925</v>
      </c>
      <c r="KXJ613" s="5" t="s">
        <v>3728</v>
      </c>
      <c r="KXK613" s="17">
        <v>44925</v>
      </c>
      <c r="KXL613" s="5" t="s">
        <v>3728</v>
      </c>
      <c r="KXM613" s="17">
        <v>44925</v>
      </c>
      <c r="KXN613" s="5" t="s">
        <v>3728</v>
      </c>
      <c r="KXO613" s="17">
        <v>44925</v>
      </c>
      <c r="KXP613" s="5" t="s">
        <v>3728</v>
      </c>
      <c r="KXQ613" s="17">
        <v>44925</v>
      </c>
      <c r="KXR613" s="5" t="s">
        <v>3728</v>
      </c>
      <c r="KXS613" s="17">
        <v>44925</v>
      </c>
      <c r="KXT613" s="5" t="s">
        <v>3728</v>
      </c>
      <c r="KXU613" s="17">
        <v>44925</v>
      </c>
      <c r="KXV613" s="5" t="s">
        <v>3728</v>
      </c>
      <c r="KXW613" s="17">
        <v>44925</v>
      </c>
      <c r="KXX613" s="5" t="s">
        <v>3728</v>
      </c>
      <c r="KXY613" s="17">
        <v>44925</v>
      </c>
      <c r="KXZ613" s="5" t="s">
        <v>3728</v>
      </c>
      <c r="KYA613" s="17">
        <v>44925</v>
      </c>
      <c r="KYB613" s="5" t="s">
        <v>3728</v>
      </c>
      <c r="KYC613" s="17">
        <v>44925</v>
      </c>
      <c r="KYD613" s="5" t="s">
        <v>3728</v>
      </c>
      <c r="KYE613" s="17">
        <v>44925</v>
      </c>
      <c r="KYF613" s="5" t="s">
        <v>3728</v>
      </c>
      <c r="KYG613" s="17">
        <v>44925</v>
      </c>
      <c r="KYH613" s="5" t="s">
        <v>3728</v>
      </c>
      <c r="KYI613" s="17">
        <v>44925</v>
      </c>
      <c r="KYJ613" s="5" t="s">
        <v>3728</v>
      </c>
      <c r="KYK613" s="17">
        <v>44925</v>
      </c>
      <c r="KYL613" s="5" t="s">
        <v>3728</v>
      </c>
      <c r="KYM613" s="17">
        <v>44925</v>
      </c>
      <c r="KYN613" s="5" t="s">
        <v>3728</v>
      </c>
      <c r="KYO613" s="17">
        <v>44925</v>
      </c>
      <c r="KYP613" s="5" t="s">
        <v>3728</v>
      </c>
      <c r="KYQ613" s="17">
        <v>44925</v>
      </c>
      <c r="KYR613" s="5" t="s">
        <v>3728</v>
      </c>
      <c r="KYS613" s="17">
        <v>44925</v>
      </c>
      <c r="KYT613" s="5" t="s">
        <v>3728</v>
      </c>
      <c r="KYU613" s="17">
        <v>44925</v>
      </c>
      <c r="KYV613" s="5" t="s">
        <v>3728</v>
      </c>
      <c r="KYW613" s="17">
        <v>44925</v>
      </c>
      <c r="KYX613" s="5" t="s">
        <v>3728</v>
      </c>
      <c r="KYY613" s="17">
        <v>44925</v>
      </c>
      <c r="KYZ613" s="5" t="s">
        <v>3728</v>
      </c>
      <c r="KZA613" s="17">
        <v>44925</v>
      </c>
      <c r="KZB613" s="5" t="s">
        <v>3728</v>
      </c>
      <c r="KZC613" s="17">
        <v>44925</v>
      </c>
      <c r="KZD613" s="5" t="s">
        <v>3728</v>
      </c>
      <c r="KZE613" s="17">
        <v>44925</v>
      </c>
      <c r="KZF613" s="5" t="s">
        <v>3728</v>
      </c>
      <c r="KZG613" s="17">
        <v>44925</v>
      </c>
      <c r="KZH613" s="5" t="s">
        <v>3728</v>
      </c>
      <c r="KZI613" s="17">
        <v>44925</v>
      </c>
      <c r="KZJ613" s="5" t="s">
        <v>3728</v>
      </c>
      <c r="KZK613" s="17">
        <v>44925</v>
      </c>
      <c r="KZL613" s="5" t="s">
        <v>3728</v>
      </c>
      <c r="KZM613" s="17">
        <v>44925</v>
      </c>
      <c r="KZN613" s="5" t="s">
        <v>3728</v>
      </c>
      <c r="KZO613" s="17">
        <v>44925</v>
      </c>
      <c r="KZP613" s="5" t="s">
        <v>3728</v>
      </c>
      <c r="KZQ613" s="17">
        <v>44925</v>
      </c>
      <c r="KZR613" s="5" t="s">
        <v>3728</v>
      </c>
      <c r="KZS613" s="17">
        <v>44925</v>
      </c>
      <c r="KZT613" s="5" t="s">
        <v>3728</v>
      </c>
      <c r="KZU613" s="17">
        <v>44925</v>
      </c>
      <c r="KZV613" s="5" t="s">
        <v>3728</v>
      </c>
      <c r="KZW613" s="17">
        <v>44925</v>
      </c>
      <c r="KZX613" s="5" t="s">
        <v>3728</v>
      </c>
      <c r="KZY613" s="17">
        <v>44925</v>
      </c>
      <c r="KZZ613" s="5" t="s">
        <v>3728</v>
      </c>
      <c r="LAA613" s="17">
        <v>44925</v>
      </c>
      <c r="LAB613" s="5" t="s">
        <v>3728</v>
      </c>
      <c r="LAC613" s="17">
        <v>44925</v>
      </c>
      <c r="LAD613" s="5" t="s">
        <v>3728</v>
      </c>
      <c r="LAE613" s="17">
        <v>44925</v>
      </c>
      <c r="LAF613" s="5" t="s">
        <v>3728</v>
      </c>
      <c r="LAG613" s="17">
        <v>44925</v>
      </c>
      <c r="LAH613" s="5" t="s">
        <v>3728</v>
      </c>
      <c r="LAI613" s="17">
        <v>44925</v>
      </c>
      <c r="LAJ613" s="5" t="s">
        <v>3728</v>
      </c>
      <c r="LAK613" s="17">
        <v>44925</v>
      </c>
      <c r="LAL613" s="5" t="s">
        <v>3728</v>
      </c>
      <c r="LAM613" s="17">
        <v>44925</v>
      </c>
      <c r="LAN613" s="5" t="s">
        <v>3728</v>
      </c>
      <c r="LAO613" s="17">
        <v>44925</v>
      </c>
      <c r="LAP613" s="5" t="s">
        <v>3728</v>
      </c>
      <c r="LAQ613" s="17">
        <v>44925</v>
      </c>
      <c r="LAR613" s="5" t="s">
        <v>3728</v>
      </c>
      <c r="LAS613" s="17">
        <v>44925</v>
      </c>
      <c r="LAT613" s="5" t="s">
        <v>3728</v>
      </c>
      <c r="LAU613" s="17">
        <v>44925</v>
      </c>
      <c r="LAV613" s="5" t="s">
        <v>3728</v>
      </c>
      <c r="LAW613" s="17">
        <v>44925</v>
      </c>
      <c r="LAX613" s="5" t="s">
        <v>3728</v>
      </c>
      <c r="LAY613" s="17">
        <v>44925</v>
      </c>
      <c r="LAZ613" s="5" t="s">
        <v>3728</v>
      </c>
      <c r="LBA613" s="17">
        <v>44925</v>
      </c>
      <c r="LBB613" s="5" t="s">
        <v>3728</v>
      </c>
      <c r="LBC613" s="17">
        <v>44925</v>
      </c>
      <c r="LBD613" s="5" t="s">
        <v>3728</v>
      </c>
      <c r="LBE613" s="17">
        <v>44925</v>
      </c>
      <c r="LBF613" s="5" t="s">
        <v>3728</v>
      </c>
      <c r="LBG613" s="17">
        <v>44925</v>
      </c>
      <c r="LBH613" s="5" t="s">
        <v>3728</v>
      </c>
      <c r="LBI613" s="17">
        <v>44925</v>
      </c>
      <c r="LBJ613" s="5" t="s">
        <v>3728</v>
      </c>
      <c r="LBK613" s="17">
        <v>44925</v>
      </c>
      <c r="LBL613" s="5" t="s">
        <v>3728</v>
      </c>
      <c r="LBM613" s="17">
        <v>44925</v>
      </c>
      <c r="LBN613" s="5" t="s">
        <v>3728</v>
      </c>
      <c r="LBO613" s="17">
        <v>44925</v>
      </c>
      <c r="LBP613" s="5" t="s">
        <v>3728</v>
      </c>
      <c r="LBQ613" s="17">
        <v>44925</v>
      </c>
      <c r="LBR613" s="5" t="s">
        <v>3728</v>
      </c>
      <c r="LBS613" s="17">
        <v>44925</v>
      </c>
      <c r="LBT613" s="5" t="s">
        <v>3728</v>
      </c>
      <c r="LBU613" s="17">
        <v>44925</v>
      </c>
      <c r="LBV613" s="5" t="s">
        <v>3728</v>
      </c>
      <c r="LBW613" s="17">
        <v>44925</v>
      </c>
      <c r="LBX613" s="5" t="s">
        <v>3728</v>
      </c>
      <c r="LBY613" s="17">
        <v>44925</v>
      </c>
      <c r="LBZ613" s="5" t="s">
        <v>3728</v>
      </c>
      <c r="LCA613" s="17">
        <v>44925</v>
      </c>
      <c r="LCB613" s="5" t="s">
        <v>3728</v>
      </c>
      <c r="LCC613" s="17">
        <v>44925</v>
      </c>
      <c r="LCD613" s="5" t="s">
        <v>3728</v>
      </c>
      <c r="LCE613" s="17">
        <v>44925</v>
      </c>
      <c r="LCF613" s="5" t="s">
        <v>3728</v>
      </c>
      <c r="LCG613" s="17">
        <v>44925</v>
      </c>
      <c r="LCH613" s="5" t="s">
        <v>3728</v>
      </c>
      <c r="LCI613" s="17">
        <v>44925</v>
      </c>
      <c r="LCJ613" s="5" t="s">
        <v>3728</v>
      </c>
      <c r="LCK613" s="17">
        <v>44925</v>
      </c>
      <c r="LCL613" s="5" t="s">
        <v>3728</v>
      </c>
      <c r="LCM613" s="17">
        <v>44925</v>
      </c>
      <c r="LCN613" s="5" t="s">
        <v>3728</v>
      </c>
      <c r="LCO613" s="17">
        <v>44925</v>
      </c>
      <c r="LCP613" s="5" t="s">
        <v>3728</v>
      </c>
      <c r="LCQ613" s="17">
        <v>44925</v>
      </c>
      <c r="LCR613" s="5" t="s">
        <v>3728</v>
      </c>
      <c r="LCS613" s="17">
        <v>44925</v>
      </c>
      <c r="LCT613" s="5" t="s">
        <v>3728</v>
      </c>
      <c r="LCU613" s="17">
        <v>44925</v>
      </c>
      <c r="LCV613" s="5" t="s">
        <v>3728</v>
      </c>
      <c r="LCW613" s="17">
        <v>44925</v>
      </c>
      <c r="LCX613" s="5" t="s">
        <v>3728</v>
      </c>
      <c r="LCY613" s="17">
        <v>44925</v>
      </c>
      <c r="LCZ613" s="5" t="s">
        <v>3728</v>
      </c>
      <c r="LDA613" s="17">
        <v>44925</v>
      </c>
      <c r="LDB613" s="5" t="s">
        <v>3728</v>
      </c>
      <c r="LDC613" s="17">
        <v>44925</v>
      </c>
      <c r="LDD613" s="5" t="s">
        <v>3728</v>
      </c>
      <c r="LDE613" s="17">
        <v>44925</v>
      </c>
      <c r="LDF613" s="5" t="s">
        <v>3728</v>
      </c>
      <c r="LDG613" s="17">
        <v>44925</v>
      </c>
      <c r="LDH613" s="5" t="s">
        <v>3728</v>
      </c>
      <c r="LDI613" s="17">
        <v>44925</v>
      </c>
      <c r="LDJ613" s="5" t="s">
        <v>3728</v>
      </c>
      <c r="LDK613" s="17">
        <v>44925</v>
      </c>
      <c r="LDL613" s="5" t="s">
        <v>3728</v>
      </c>
      <c r="LDM613" s="17">
        <v>44925</v>
      </c>
      <c r="LDN613" s="5" t="s">
        <v>3728</v>
      </c>
      <c r="LDO613" s="17">
        <v>44925</v>
      </c>
      <c r="LDP613" s="5" t="s">
        <v>3728</v>
      </c>
      <c r="LDQ613" s="17">
        <v>44925</v>
      </c>
      <c r="LDR613" s="5" t="s">
        <v>3728</v>
      </c>
      <c r="LDS613" s="17">
        <v>44925</v>
      </c>
      <c r="LDT613" s="5" t="s">
        <v>3728</v>
      </c>
      <c r="LDU613" s="17">
        <v>44925</v>
      </c>
      <c r="LDV613" s="5" t="s">
        <v>3728</v>
      </c>
      <c r="LDW613" s="17">
        <v>44925</v>
      </c>
      <c r="LDX613" s="5" t="s">
        <v>3728</v>
      </c>
      <c r="LDY613" s="17">
        <v>44925</v>
      </c>
      <c r="LDZ613" s="5" t="s">
        <v>3728</v>
      </c>
      <c r="LEA613" s="17">
        <v>44925</v>
      </c>
      <c r="LEB613" s="5" t="s">
        <v>3728</v>
      </c>
      <c r="LEC613" s="17">
        <v>44925</v>
      </c>
      <c r="LED613" s="5" t="s">
        <v>3728</v>
      </c>
      <c r="LEE613" s="17">
        <v>44925</v>
      </c>
      <c r="LEF613" s="5" t="s">
        <v>3728</v>
      </c>
      <c r="LEG613" s="17">
        <v>44925</v>
      </c>
      <c r="LEH613" s="5" t="s">
        <v>3728</v>
      </c>
      <c r="LEI613" s="17">
        <v>44925</v>
      </c>
      <c r="LEJ613" s="5" t="s">
        <v>3728</v>
      </c>
      <c r="LEK613" s="17">
        <v>44925</v>
      </c>
      <c r="LEL613" s="5" t="s">
        <v>3728</v>
      </c>
      <c r="LEM613" s="17">
        <v>44925</v>
      </c>
      <c r="LEN613" s="5" t="s">
        <v>3728</v>
      </c>
      <c r="LEO613" s="17">
        <v>44925</v>
      </c>
      <c r="LEP613" s="5" t="s">
        <v>3728</v>
      </c>
      <c r="LEQ613" s="17">
        <v>44925</v>
      </c>
      <c r="LER613" s="5" t="s">
        <v>3728</v>
      </c>
      <c r="LES613" s="17">
        <v>44925</v>
      </c>
      <c r="LET613" s="5" t="s">
        <v>3728</v>
      </c>
      <c r="LEU613" s="17">
        <v>44925</v>
      </c>
      <c r="LEV613" s="5" t="s">
        <v>3728</v>
      </c>
      <c r="LEW613" s="17">
        <v>44925</v>
      </c>
      <c r="LEX613" s="5" t="s">
        <v>3728</v>
      </c>
      <c r="LEY613" s="17">
        <v>44925</v>
      </c>
      <c r="LEZ613" s="5" t="s">
        <v>3728</v>
      </c>
      <c r="LFA613" s="17">
        <v>44925</v>
      </c>
      <c r="LFB613" s="5" t="s">
        <v>3728</v>
      </c>
      <c r="LFC613" s="17">
        <v>44925</v>
      </c>
      <c r="LFD613" s="5" t="s">
        <v>3728</v>
      </c>
      <c r="LFE613" s="17">
        <v>44925</v>
      </c>
      <c r="LFF613" s="5" t="s">
        <v>3728</v>
      </c>
      <c r="LFG613" s="17">
        <v>44925</v>
      </c>
      <c r="LFH613" s="5" t="s">
        <v>3728</v>
      </c>
      <c r="LFI613" s="17">
        <v>44925</v>
      </c>
      <c r="LFJ613" s="5" t="s">
        <v>3728</v>
      </c>
      <c r="LFK613" s="17">
        <v>44925</v>
      </c>
      <c r="LFL613" s="5" t="s">
        <v>3728</v>
      </c>
      <c r="LFM613" s="17">
        <v>44925</v>
      </c>
      <c r="LFN613" s="5" t="s">
        <v>3728</v>
      </c>
      <c r="LFO613" s="17">
        <v>44925</v>
      </c>
      <c r="LFP613" s="5" t="s">
        <v>3728</v>
      </c>
      <c r="LFQ613" s="17">
        <v>44925</v>
      </c>
      <c r="LFR613" s="5" t="s">
        <v>3728</v>
      </c>
      <c r="LFS613" s="17">
        <v>44925</v>
      </c>
      <c r="LFT613" s="5" t="s">
        <v>3728</v>
      </c>
      <c r="LFU613" s="17">
        <v>44925</v>
      </c>
      <c r="LFV613" s="5" t="s">
        <v>3728</v>
      </c>
      <c r="LFW613" s="17">
        <v>44925</v>
      </c>
      <c r="LFX613" s="5" t="s">
        <v>3728</v>
      </c>
      <c r="LFY613" s="17">
        <v>44925</v>
      </c>
      <c r="LFZ613" s="5" t="s">
        <v>3728</v>
      </c>
      <c r="LGA613" s="17">
        <v>44925</v>
      </c>
      <c r="LGB613" s="5" t="s">
        <v>3728</v>
      </c>
      <c r="LGC613" s="17">
        <v>44925</v>
      </c>
      <c r="LGD613" s="5" t="s">
        <v>3728</v>
      </c>
      <c r="LGE613" s="17">
        <v>44925</v>
      </c>
      <c r="LGF613" s="5" t="s">
        <v>3728</v>
      </c>
      <c r="LGG613" s="17">
        <v>44925</v>
      </c>
      <c r="LGH613" s="5" t="s">
        <v>3728</v>
      </c>
      <c r="LGI613" s="17">
        <v>44925</v>
      </c>
      <c r="LGJ613" s="5" t="s">
        <v>3728</v>
      </c>
      <c r="LGK613" s="17">
        <v>44925</v>
      </c>
      <c r="LGL613" s="5" t="s">
        <v>3728</v>
      </c>
      <c r="LGM613" s="17">
        <v>44925</v>
      </c>
      <c r="LGN613" s="5" t="s">
        <v>3728</v>
      </c>
      <c r="LGO613" s="17">
        <v>44925</v>
      </c>
      <c r="LGP613" s="5" t="s">
        <v>3728</v>
      </c>
      <c r="LGQ613" s="17">
        <v>44925</v>
      </c>
      <c r="LGR613" s="5" t="s">
        <v>3728</v>
      </c>
      <c r="LGS613" s="17">
        <v>44925</v>
      </c>
      <c r="LGT613" s="5" t="s">
        <v>3728</v>
      </c>
      <c r="LGU613" s="17">
        <v>44925</v>
      </c>
      <c r="LGV613" s="5" t="s">
        <v>3728</v>
      </c>
      <c r="LGW613" s="17">
        <v>44925</v>
      </c>
      <c r="LGX613" s="5" t="s">
        <v>3728</v>
      </c>
      <c r="LGY613" s="17">
        <v>44925</v>
      </c>
      <c r="LGZ613" s="5" t="s">
        <v>3728</v>
      </c>
      <c r="LHA613" s="17">
        <v>44925</v>
      </c>
      <c r="LHB613" s="5" t="s">
        <v>3728</v>
      </c>
      <c r="LHC613" s="17">
        <v>44925</v>
      </c>
      <c r="LHD613" s="5" t="s">
        <v>3728</v>
      </c>
      <c r="LHE613" s="17">
        <v>44925</v>
      </c>
      <c r="LHF613" s="5" t="s">
        <v>3728</v>
      </c>
      <c r="LHG613" s="17">
        <v>44925</v>
      </c>
      <c r="LHH613" s="5" t="s">
        <v>3728</v>
      </c>
      <c r="LHI613" s="17">
        <v>44925</v>
      </c>
      <c r="LHJ613" s="5" t="s">
        <v>3728</v>
      </c>
      <c r="LHK613" s="17">
        <v>44925</v>
      </c>
      <c r="LHL613" s="5" t="s">
        <v>3728</v>
      </c>
      <c r="LHM613" s="17">
        <v>44925</v>
      </c>
      <c r="LHN613" s="5" t="s">
        <v>3728</v>
      </c>
      <c r="LHO613" s="17">
        <v>44925</v>
      </c>
      <c r="LHP613" s="5" t="s">
        <v>3728</v>
      </c>
      <c r="LHQ613" s="17">
        <v>44925</v>
      </c>
      <c r="LHR613" s="5" t="s">
        <v>3728</v>
      </c>
      <c r="LHS613" s="17">
        <v>44925</v>
      </c>
      <c r="LHT613" s="5" t="s">
        <v>3728</v>
      </c>
      <c r="LHU613" s="17">
        <v>44925</v>
      </c>
      <c r="LHV613" s="5" t="s">
        <v>3728</v>
      </c>
      <c r="LHW613" s="17">
        <v>44925</v>
      </c>
      <c r="LHX613" s="5" t="s">
        <v>3728</v>
      </c>
      <c r="LHY613" s="17">
        <v>44925</v>
      </c>
      <c r="LHZ613" s="5" t="s">
        <v>3728</v>
      </c>
      <c r="LIA613" s="17">
        <v>44925</v>
      </c>
      <c r="LIB613" s="5" t="s">
        <v>3728</v>
      </c>
      <c r="LIC613" s="17">
        <v>44925</v>
      </c>
      <c r="LID613" s="5" t="s">
        <v>3728</v>
      </c>
      <c r="LIE613" s="17">
        <v>44925</v>
      </c>
      <c r="LIF613" s="5" t="s">
        <v>3728</v>
      </c>
      <c r="LIG613" s="17">
        <v>44925</v>
      </c>
      <c r="LIH613" s="5" t="s">
        <v>3728</v>
      </c>
      <c r="LII613" s="17">
        <v>44925</v>
      </c>
      <c r="LIJ613" s="5" t="s">
        <v>3728</v>
      </c>
      <c r="LIK613" s="17">
        <v>44925</v>
      </c>
      <c r="LIL613" s="5" t="s">
        <v>3728</v>
      </c>
      <c r="LIM613" s="17">
        <v>44925</v>
      </c>
      <c r="LIN613" s="5" t="s">
        <v>3728</v>
      </c>
      <c r="LIO613" s="17">
        <v>44925</v>
      </c>
      <c r="LIP613" s="5" t="s">
        <v>3728</v>
      </c>
      <c r="LIQ613" s="17">
        <v>44925</v>
      </c>
      <c r="LIR613" s="5" t="s">
        <v>3728</v>
      </c>
      <c r="LIS613" s="17">
        <v>44925</v>
      </c>
      <c r="LIT613" s="5" t="s">
        <v>3728</v>
      </c>
      <c r="LIU613" s="17">
        <v>44925</v>
      </c>
      <c r="LIV613" s="5" t="s">
        <v>3728</v>
      </c>
      <c r="LIW613" s="17">
        <v>44925</v>
      </c>
      <c r="LIX613" s="5" t="s">
        <v>3728</v>
      </c>
      <c r="LIY613" s="17">
        <v>44925</v>
      </c>
      <c r="LIZ613" s="5" t="s">
        <v>3728</v>
      </c>
      <c r="LJA613" s="17">
        <v>44925</v>
      </c>
      <c r="LJB613" s="5" t="s">
        <v>3728</v>
      </c>
      <c r="LJC613" s="17">
        <v>44925</v>
      </c>
      <c r="LJD613" s="5" t="s">
        <v>3728</v>
      </c>
      <c r="LJE613" s="17">
        <v>44925</v>
      </c>
      <c r="LJF613" s="5" t="s">
        <v>3728</v>
      </c>
      <c r="LJG613" s="17">
        <v>44925</v>
      </c>
      <c r="LJH613" s="5" t="s">
        <v>3728</v>
      </c>
      <c r="LJI613" s="17">
        <v>44925</v>
      </c>
      <c r="LJJ613" s="5" t="s">
        <v>3728</v>
      </c>
      <c r="LJK613" s="17">
        <v>44925</v>
      </c>
      <c r="LJL613" s="5" t="s">
        <v>3728</v>
      </c>
      <c r="LJM613" s="17">
        <v>44925</v>
      </c>
      <c r="LJN613" s="5" t="s">
        <v>3728</v>
      </c>
      <c r="LJO613" s="17">
        <v>44925</v>
      </c>
      <c r="LJP613" s="5" t="s">
        <v>3728</v>
      </c>
      <c r="LJQ613" s="17">
        <v>44925</v>
      </c>
      <c r="LJR613" s="5" t="s">
        <v>3728</v>
      </c>
      <c r="LJS613" s="17">
        <v>44925</v>
      </c>
      <c r="LJT613" s="5" t="s">
        <v>3728</v>
      </c>
      <c r="LJU613" s="17">
        <v>44925</v>
      </c>
      <c r="LJV613" s="5" t="s">
        <v>3728</v>
      </c>
      <c r="LJW613" s="17">
        <v>44925</v>
      </c>
      <c r="LJX613" s="5" t="s">
        <v>3728</v>
      </c>
      <c r="LJY613" s="17">
        <v>44925</v>
      </c>
      <c r="LJZ613" s="5" t="s">
        <v>3728</v>
      </c>
      <c r="LKA613" s="17">
        <v>44925</v>
      </c>
      <c r="LKB613" s="5" t="s">
        <v>3728</v>
      </c>
      <c r="LKC613" s="17">
        <v>44925</v>
      </c>
      <c r="LKD613" s="5" t="s">
        <v>3728</v>
      </c>
      <c r="LKE613" s="17">
        <v>44925</v>
      </c>
      <c r="LKF613" s="5" t="s">
        <v>3728</v>
      </c>
      <c r="LKG613" s="17">
        <v>44925</v>
      </c>
      <c r="LKH613" s="5" t="s">
        <v>3728</v>
      </c>
      <c r="LKI613" s="17">
        <v>44925</v>
      </c>
      <c r="LKJ613" s="5" t="s">
        <v>3728</v>
      </c>
      <c r="LKK613" s="17">
        <v>44925</v>
      </c>
      <c r="LKL613" s="5" t="s">
        <v>3728</v>
      </c>
      <c r="LKM613" s="17">
        <v>44925</v>
      </c>
      <c r="LKN613" s="5" t="s">
        <v>3728</v>
      </c>
      <c r="LKO613" s="17">
        <v>44925</v>
      </c>
      <c r="LKP613" s="5" t="s">
        <v>3728</v>
      </c>
      <c r="LKQ613" s="17">
        <v>44925</v>
      </c>
      <c r="LKR613" s="5" t="s">
        <v>3728</v>
      </c>
      <c r="LKS613" s="17">
        <v>44925</v>
      </c>
      <c r="LKT613" s="5" t="s">
        <v>3728</v>
      </c>
      <c r="LKU613" s="17">
        <v>44925</v>
      </c>
      <c r="LKV613" s="5" t="s">
        <v>3728</v>
      </c>
      <c r="LKW613" s="17">
        <v>44925</v>
      </c>
      <c r="LKX613" s="5" t="s">
        <v>3728</v>
      </c>
      <c r="LKY613" s="17">
        <v>44925</v>
      </c>
      <c r="LKZ613" s="5" t="s">
        <v>3728</v>
      </c>
      <c r="LLA613" s="17">
        <v>44925</v>
      </c>
      <c r="LLB613" s="5" t="s">
        <v>3728</v>
      </c>
      <c r="LLC613" s="17">
        <v>44925</v>
      </c>
      <c r="LLD613" s="5" t="s">
        <v>3728</v>
      </c>
      <c r="LLE613" s="17">
        <v>44925</v>
      </c>
      <c r="LLF613" s="5" t="s">
        <v>3728</v>
      </c>
      <c r="LLG613" s="17">
        <v>44925</v>
      </c>
      <c r="LLH613" s="5" t="s">
        <v>3728</v>
      </c>
      <c r="LLI613" s="17">
        <v>44925</v>
      </c>
      <c r="LLJ613" s="5" t="s">
        <v>3728</v>
      </c>
      <c r="LLK613" s="17">
        <v>44925</v>
      </c>
      <c r="LLL613" s="5" t="s">
        <v>3728</v>
      </c>
      <c r="LLM613" s="17">
        <v>44925</v>
      </c>
      <c r="LLN613" s="5" t="s">
        <v>3728</v>
      </c>
      <c r="LLO613" s="17">
        <v>44925</v>
      </c>
      <c r="LLP613" s="5" t="s">
        <v>3728</v>
      </c>
      <c r="LLQ613" s="17">
        <v>44925</v>
      </c>
      <c r="LLR613" s="5" t="s">
        <v>3728</v>
      </c>
      <c r="LLS613" s="17">
        <v>44925</v>
      </c>
      <c r="LLT613" s="5" t="s">
        <v>3728</v>
      </c>
      <c r="LLU613" s="17">
        <v>44925</v>
      </c>
      <c r="LLV613" s="5" t="s">
        <v>3728</v>
      </c>
      <c r="LLW613" s="17">
        <v>44925</v>
      </c>
      <c r="LLX613" s="5" t="s">
        <v>3728</v>
      </c>
      <c r="LLY613" s="17">
        <v>44925</v>
      </c>
      <c r="LLZ613" s="5" t="s">
        <v>3728</v>
      </c>
      <c r="LMA613" s="17">
        <v>44925</v>
      </c>
      <c r="LMB613" s="5" t="s">
        <v>3728</v>
      </c>
      <c r="LMC613" s="17">
        <v>44925</v>
      </c>
      <c r="LMD613" s="5" t="s">
        <v>3728</v>
      </c>
      <c r="LME613" s="17">
        <v>44925</v>
      </c>
      <c r="LMF613" s="5" t="s">
        <v>3728</v>
      </c>
      <c r="LMG613" s="17">
        <v>44925</v>
      </c>
      <c r="LMH613" s="5" t="s">
        <v>3728</v>
      </c>
      <c r="LMI613" s="17">
        <v>44925</v>
      </c>
      <c r="LMJ613" s="5" t="s">
        <v>3728</v>
      </c>
      <c r="LMK613" s="17">
        <v>44925</v>
      </c>
      <c r="LML613" s="5" t="s">
        <v>3728</v>
      </c>
      <c r="LMM613" s="17">
        <v>44925</v>
      </c>
      <c r="LMN613" s="5" t="s">
        <v>3728</v>
      </c>
      <c r="LMO613" s="17">
        <v>44925</v>
      </c>
      <c r="LMP613" s="5" t="s">
        <v>3728</v>
      </c>
      <c r="LMQ613" s="17">
        <v>44925</v>
      </c>
      <c r="LMR613" s="5" t="s">
        <v>3728</v>
      </c>
      <c r="LMS613" s="17">
        <v>44925</v>
      </c>
      <c r="LMT613" s="5" t="s">
        <v>3728</v>
      </c>
      <c r="LMU613" s="17">
        <v>44925</v>
      </c>
      <c r="LMV613" s="5" t="s">
        <v>3728</v>
      </c>
      <c r="LMW613" s="17">
        <v>44925</v>
      </c>
      <c r="LMX613" s="5" t="s">
        <v>3728</v>
      </c>
      <c r="LMY613" s="17">
        <v>44925</v>
      </c>
      <c r="LMZ613" s="5" t="s">
        <v>3728</v>
      </c>
      <c r="LNA613" s="17">
        <v>44925</v>
      </c>
      <c r="LNB613" s="5" t="s">
        <v>3728</v>
      </c>
      <c r="LNC613" s="17">
        <v>44925</v>
      </c>
      <c r="LND613" s="5" t="s">
        <v>3728</v>
      </c>
      <c r="LNE613" s="17">
        <v>44925</v>
      </c>
      <c r="LNF613" s="5" t="s">
        <v>3728</v>
      </c>
      <c r="LNG613" s="17">
        <v>44925</v>
      </c>
      <c r="LNH613" s="5" t="s">
        <v>3728</v>
      </c>
      <c r="LNI613" s="17">
        <v>44925</v>
      </c>
      <c r="LNJ613" s="5" t="s">
        <v>3728</v>
      </c>
      <c r="LNK613" s="17">
        <v>44925</v>
      </c>
      <c r="LNL613" s="5" t="s">
        <v>3728</v>
      </c>
      <c r="LNM613" s="17">
        <v>44925</v>
      </c>
      <c r="LNN613" s="5" t="s">
        <v>3728</v>
      </c>
      <c r="LNO613" s="17">
        <v>44925</v>
      </c>
      <c r="LNP613" s="5" t="s">
        <v>3728</v>
      </c>
      <c r="LNQ613" s="17">
        <v>44925</v>
      </c>
      <c r="LNR613" s="5" t="s">
        <v>3728</v>
      </c>
      <c r="LNS613" s="17">
        <v>44925</v>
      </c>
      <c r="LNT613" s="5" t="s">
        <v>3728</v>
      </c>
      <c r="LNU613" s="17">
        <v>44925</v>
      </c>
      <c r="LNV613" s="5" t="s">
        <v>3728</v>
      </c>
      <c r="LNW613" s="17">
        <v>44925</v>
      </c>
      <c r="LNX613" s="5" t="s">
        <v>3728</v>
      </c>
      <c r="LNY613" s="17">
        <v>44925</v>
      </c>
      <c r="LNZ613" s="5" t="s">
        <v>3728</v>
      </c>
      <c r="LOA613" s="17">
        <v>44925</v>
      </c>
      <c r="LOB613" s="5" t="s">
        <v>3728</v>
      </c>
      <c r="LOC613" s="17">
        <v>44925</v>
      </c>
      <c r="LOD613" s="5" t="s">
        <v>3728</v>
      </c>
      <c r="LOE613" s="17">
        <v>44925</v>
      </c>
      <c r="LOF613" s="5" t="s">
        <v>3728</v>
      </c>
      <c r="LOG613" s="17">
        <v>44925</v>
      </c>
      <c r="LOH613" s="5" t="s">
        <v>3728</v>
      </c>
      <c r="LOI613" s="17">
        <v>44925</v>
      </c>
      <c r="LOJ613" s="5" t="s">
        <v>3728</v>
      </c>
      <c r="LOK613" s="17">
        <v>44925</v>
      </c>
      <c r="LOL613" s="5" t="s">
        <v>3728</v>
      </c>
      <c r="LOM613" s="17">
        <v>44925</v>
      </c>
      <c r="LON613" s="5" t="s">
        <v>3728</v>
      </c>
      <c r="LOO613" s="17">
        <v>44925</v>
      </c>
      <c r="LOP613" s="5" t="s">
        <v>3728</v>
      </c>
      <c r="LOQ613" s="17">
        <v>44925</v>
      </c>
      <c r="LOR613" s="5" t="s">
        <v>3728</v>
      </c>
      <c r="LOS613" s="17">
        <v>44925</v>
      </c>
      <c r="LOT613" s="5" t="s">
        <v>3728</v>
      </c>
      <c r="LOU613" s="17">
        <v>44925</v>
      </c>
      <c r="LOV613" s="5" t="s">
        <v>3728</v>
      </c>
      <c r="LOW613" s="17">
        <v>44925</v>
      </c>
      <c r="LOX613" s="5" t="s">
        <v>3728</v>
      </c>
      <c r="LOY613" s="17">
        <v>44925</v>
      </c>
      <c r="LOZ613" s="5" t="s">
        <v>3728</v>
      </c>
      <c r="LPA613" s="17">
        <v>44925</v>
      </c>
      <c r="LPB613" s="5" t="s">
        <v>3728</v>
      </c>
      <c r="LPC613" s="17">
        <v>44925</v>
      </c>
      <c r="LPD613" s="5" t="s">
        <v>3728</v>
      </c>
      <c r="LPE613" s="17">
        <v>44925</v>
      </c>
      <c r="LPF613" s="5" t="s">
        <v>3728</v>
      </c>
      <c r="LPG613" s="17">
        <v>44925</v>
      </c>
      <c r="LPH613" s="5" t="s">
        <v>3728</v>
      </c>
      <c r="LPI613" s="17">
        <v>44925</v>
      </c>
      <c r="LPJ613" s="5" t="s">
        <v>3728</v>
      </c>
      <c r="LPK613" s="17">
        <v>44925</v>
      </c>
      <c r="LPL613" s="5" t="s">
        <v>3728</v>
      </c>
      <c r="LPM613" s="17">
        <v>44925</v>
      </c>
      <c r="LPN613" s="5" t="s">
        <v>3728</v>
      </c>
      <c r="LPO613" s="17">
        <v>44925</v>
      </c>
      <c r="LPP613" s="5" t="s">
        <v>3728</v>
      </c>
      <c r="LPQ613" s="17">
        <v>44925</v>
      </c>
      <c r="LPR613" s="5" t="s">
        <v>3728</v>
      </c>
      <c r="LPS613" s="17">
        <v>44925</v>
      </c>
      <c r="LPT613" s="5" t="s">
        <v>3728</v>
      </c>
      <c r="LPU613" s="17">
        <v>44925</v>
      </c>
      <c r="LPV613" s="5" t="s">
        <v>3728</v>
      </c>
      <c r="LPW613" s="17">
        <v>44925</v>
      </c>
      <c r="LPX613" s="5" t="s">
        <v>3728</v>
      </c>
      <c r="LPY613" s="17">
        <v>44925</v>
      </c>
      <c r="LPZ613" s="5" t="s">
        <v>3728</v>
      </c>
      <c r="LQA613" s="17">
        <v>44925</v>
      </c>
      <c r="LQB613" s="5" t="s">
        <v>3728</v>
      </c>
      <c r="LQC613" s="17">
        <v>44925</v>
      </c>
      <c r="LQD613" s="5" t="s">
        <v>3728</v>
      </c>
      <c r="LQE613" s="17">
        <v>44925</v>
      </c>
      <c r="LQF613" s="5" t="s">
        <v>3728</v>
      </c>
      <c r="LQG613" s="17">
        <v>44925</v>
      </c>
      <c r="LQH613" s="5" t="s">
        <v>3728</v>
      </c>
      <c r="LQI613" s="17">
        <v>44925</v>
      </c>
      <c r="LQJ613" s="5" t="s">
        <v>3728</v>
      </c>
      <c r="LQK613" s="17">
        <v>44925</v>
      </c>
      <c r="LQL613" s="5" t="s">
        <v>3728</v>
      </c>
      <c r="LQM613" s="17">
        <v>44925</v>
      </c>
      <c r="LQN613" s="5" t="s">
        <v>3728</v>
      </c>
      <c r="LQO613" s="17">
        <v>44925</v>
      </c>
      <c r="LQP613" s="5" t="s">
        <v>3728</v>
      </c>
      <c r="LQQ613" s="17">
        <v>44925</v>
      </c>
      <c r="LQR613" s="5" t="s">
        <v>3728</v>
      </c>
      <c r="LQS613" s="17">
        <v>44925</v>
      </c>
      <c r="LQT613" s="5" t="s">
        <v>3728</v>
      </c>
      <c r="LQU613" s="17">
        <v>44925</v>
      </c>
      <c r="LQV613" s="5" t="s">
        <v>3728</v>
      </c>
      <c r="LQW613" s="17">
        <v>44925</v>
      </c>
      <c r="LQX613" s="5" t="s">
        <v>3728</v>
      </c>
      <c r="LQY613" s="17">
        <v>44925</v>
      </c>
      <c r="LQZ613" s="5" t="s">
        <v>3728</v>
      </c>
      <c r="LRA613" s="17">
        <v>44925</v>
      </c>
      <c r="LRB613" s="5" t="s">
        <v>3728</v>
      </c>
      <c r="LRC613" s="17">
        <v>44925</v>
      </c>
      <c r="LRD613" s="5" t="s">
        <v>3728</v>
      </c>
      <c r="LRE613" s="17">
        <v>44925</v>
      </c>
      <c r="LRF613" s="5" t="s">
        <v>3728</v>
      </c>
      <c r="LRG613" s="17">
        <v>44925</v>
      </c>
      <c r="LRH613" s="5" t="s">
        <v>3728</v>
      </c>
      <c r="LRI613" s="17">
        <v>44925</v>
      </c>
      <c r="LRJ613" s="5" t="s">
        <v>3728</v>
      </c>
      <c r="LRK613" s="17">
        <v>44925</v>
      </c>
      <c r="LRL613" s="5" t="s">
        <v>3728</v>
      </c>
      <c r="LRM613" s="17">
        <v>44925</v>
      </c>
      <c r="LRN613" s="5" t="s">
        <v>3728</v>
      </c>
      <c r="LRO613" s="17">
        <v>44925</v>
      </c>
      <c r="LRP613" s="5" t="s">
        <v>3728</v>
      </c>
      <c r="LRQ613" s="17">
        <v>44925</v>
      </c>
      <c r="LRR613" s="5" t="s">
        <v>3728</v>
      </c>
      <c r="LRS613" s="17">
        <v>44925</v>
      </c>
      <c r="LRT613" s="5" t="s">
        <v>3728</v>
      </c>
      <c r="LRU613" s="17">
        <v>44925</v>
      </c>
      <c r="LRV613" s="5" t="s">
        <v>3728</v>
      </c>
      <c r="LRW613" s="17">
        <v>44925</v>
      </c>
      <c r="LRX613" s="5" t="s">
        <v>3728</v>
      </c>
      <c r="LRY613" s="17">
        <v>44925</v>
      </c>
      <c r="LRZ613" s="5" t="s">
        <v>3728</v>
      </c>
      <c r="LSA613" s="17">
        <v>44925</v>
      </c>
      <c r="LSB613" s="5" t="s">
        <v>3728</v>
      </c>
      <c r="LSC613" s="17">
        <v>44925</v>
      </c>
      <c r="LSD613" s="5" t="s">
        <v>3728</v>
      </c>
      <c r="LSE613" s="17">
        <v>44925</v>
      </c>
      <c r="LSF613" s="5" t="s">
        <v>3728</v>
      </c>
      <c r="LSG613" s="17">
        <v>44925</v>
      </c>
      <c r="LSH613" s="5" t="s">
        <v>3728</v>
      </c>
      <c r="LSI613" s="17">
        <v>44925</v>
      </c>
      <c r="LSJ613" s="5" t="s">
        <v>3728</v>
      </c>
      <c r="LSK613" s="17">
        <v>44925</v>
      </c>
      <c r="LSL613" s="5" t="s">
        <v>3728</v>
      </c>
      <c r="LSM613" s="17">
        <v>44925</v>
      </c>
      <c r="LSN613" s="5" t="s">
        <v>3728</v>
      </c>
      <c r="LSO613" s="17">
        <v>44925</v>
      </c>
      <c r="LSP613" s="5" t="s">
        <v>3728</v>
      </c>
      <c r="LSQ613" s="17">
        <v>44925</v>
      </c>
      <c r="LSR613" s="5" t="s">
        <v>3728</v>
      </c>
      <c r="LSS613" s="17">
        <v>44925</v>
      </c>
      <c r="LST613" s="5" t="s">
        <v>3728</v>
      </c>
      <c r="LSU613" s="17">
        <v>44925</v>
      </c>
      <c r="LSV613" s="5" t="s">
        <v>3728</v>
      </c>
      <c r="LSW613" s="17">
        <v>44925</v>
      </c>
      <c r="LSX613" s="5" t="s">
        <v>3728</v>
      </c>
      <c r="LSY613" s="17">
        <v>44925</v>
      </c>
      <c r="LSZ613" s="5" t="s">
        <v>3728</v>
      </c>
      <c r="LTA613" s="17">
        <v>44925</v>
      </c>
      <c r="LTB613" s="5" t="s">
        <v>3728</v>
      </c>
      <c r="LTC613" s="17">
        <v>44925</v>
      </c>
      <c r="LTD613" s="5" t="s">
        <v>3728</v>
      </c>
      <c r="LTE613" s="17">
        <v>44925</v>
      </c>
      <c r="LTF613" s="5" t="s">
        <v>3728</v>
      </c>
      <c r="LTG613" s="17">
        <v>44925</v>
      </c>
      <c r="LTH613" s="5" t="s">
        <v>3728</v>
      </c>
      <c r="LTI613" s="17">
        <v>44925</v>
      </c>
      <c r="LTJ613" s="5" t="s">
        <v>3728</v>
      </c>
      <c r="LTK613" s="17">
        <v>44925</v>
      </c>
      <c r="LTL613" s="5" t="s">
        <v>3728</v>
      </c>
      <c r="LTM613" s="17">
        <v>44925</v>
      </c>
      <c r="LTN613" s="5" t="s">
        <v>3728</v>
      </c>
      <c r="LTO613" s="17">
        <v>44925</v>
      </c>
      <c r="LTP613" s="5" t="s">
        <v>3728</v>
      </c>
      <c r="LTQ613" s="17">
        <v>44925</v>
      </c>
      <c r="LTR613" s="5" t="s">
        <v>3728</v>
      </c>
      <c r="LTS613" s="17">
        <v>44925</v>
      </c>
      <c r="LTT613" s="5" t="s">
        <v>3728</v>
      </c>
      <c r="LTU613" s="17">
        <v>44925</v>
      </c>
      <c r="LTV613" s="5" t="s">
        <v>3728</v>
      </c>
      <c r="LTW613" s="17">
        <v>44925</v>
      </c>
      <c r="LTX613" s="5" t="s">
        <v>3728</v>
      </c>
      <c r="LTY613" s="17">
        <v>44925</v>
      </c>
      <c r="LTZ613" s="5" t="s">
        <v>3728</v>
      </c>
      <c r="LUA613" s="17">
        <v>44925</v>
      </c>
      <c r="LUB613" s="5" t="s">
        <v>3728</v>
      </c>
      <c r="LUC613" s="17">
        <v>44925</v>
      </c>
      <c r="LUD613" s="5" t="s">
        <v>3728</v>
      </c>
      <c r="LUE613" s="17">
        <v>44925</v>
      </c>
      <c r="LUF613" s="5" t="s">
        <v>3728</v>
      </c>
      <c r="LUG613" s="17">
        <v>44925</v>
      </c>
      <c r="LUH613" s="5" t="s">
        <v>3728</v>
      </c>
      <c r="LUI613" s="17">
        <v>44925</v>
      </c>
      <c r="LUJ613" s="5" t="s">
        <v>3728</v>
      </c>
      <c r="LUK613" s="17">
        <v>44925</v>
      </c>
      <c r="LUL613" s="5" t="s">
        <v>3728</v>
      </c>
      <c r="LUM613" s="17">
        <v>44925</v>
      </c>
      <c r="LUN613" s="5" t="s">
        <v>3728</v>
      </c>
      <c r="LUO613" s="17">
        <v>44925</v>
      </c>
      <c r="LUP613" s="5" t="s">
        <v>3728</v>
      </c>
      <c r="LUQ613" s="17">
        <v>44925</v>
      </c>
      <c r="LUR613" s="5" t="s">
        <v>3728</v>
      </c>
      <c r="LUS613" s="17">
        <v>44925</v>
      </c>
      <c r="LUT613" s="5" t="s">
        <v>3728</v>
      </c>
      <c r="LUU613" s="17">
        <v>44925</v>
      </c>
      <c r="LUV613" s="5" t="s">
        <v>3728</v>
      </c>
      <c r="LUW613" s="17">
        <v>44925</v>
      </c>
      <c r="LUX613" s="5" t="s">
        <v>3728</v>
      </c>
      <c r="LUY613" s="17">
        <v>44925</v>
      </c>
      <c r="LUZ613" s="5" t="s">
        <v>3728</v>
      </c>
      <c r="LVA613" s="17">
        <v>44925</v>
      </c>
      <c r="LVB613" s="5" t="s">
        <v>3728</v>
      </c>
      <c r="LVC613" s="17">
        <v>44925</v>
      </c>
      <c r="LVD613" s="5" t="s">
        <v>3728</v>
      </c>
      <c r="LVE613" s="17">
        <v>44925</v>
      </c>
      <c r="LVF613" s="5" t="s">
        <v>3728</v>
      </c>
      <c r="LVG613" s="17">
        <v>44925</v>
      </c>
      <c r="LVH613" s="5" t="s">
        <v>3728</v>
      </c>
      <c r="LVI613" s="17">
        <v>44925</v>
      </c>
      <c r="LVJ613" s="5" t="s">
        <v>3728</v>
      </c>
      <c r="LVK613" s="17">
        <v>44925</v>
      </c>
      <c r="LVL613" s="5" t="s">
        <v>3728</v>
      </c>
      <c r="LVM613" s="17">
        <v>44925</v>
      </c>
      <c r="LVN613" s="5" t="s">
        <v>3728</v>
      </c>
      <c r="LVO613" s="17">
        <v>44925</v>
      </c>
      <c r="LVP613" s="5" t="s">
        <v>3728</v>
      </c>
      <c r="LVQ613" s="17">
        <v>44925</v>
      </c>
      <c r="LVR613" s="5" t="s">
        <v>3728</v>
      </c>
      <c r="LVS613" s="17">
        <v>44925</v>
      </c>
      <c r="LVT613" s="5" t="s">
        <v>3728</v>
      </c>
      <c r="LVU613" s="17">
        <v>44925</v>
      </c>
      <c r="LVV613" s="5" t="s">
        <v>3728</v>
      </c>
      <c r="LVW613" s="17">
        <v>44925</v>
      </c>
      <c r="LVX613" s="5" t="s">
        <v>3728</v>
      </c>
      <c r="LVY613" s="17">
        <v>44925</v>
      </c>
      <c r="LVZ613" s="5" t="s">
        <v>3728</v>
      </c>
      <c r="LWA613" s="17">
        <v>44925</v>
      </c>
      <c r="LWB613" s="5" t="s">
        <v>3728</v>
      </c>
      <c r="LWC613" s="17">
        <v>44925</v>
      </c>
      <c r="LWD613" s="5" t="s">
        <v>3728</v>
      </c>
      <c r="LWE613" s="17">
        <v>44925</v>
      </c>
      <c r="LWF613" s="5" t="s">
        <v>3728</v>
      </c>
      <c r="LWG613" s="17">
        <v>44925</v>
      </c>
      <c r="LWH613" s="5" t="s">
        <v>3728</v>
      </c>
      <c r="LWI613" s="17">
        <v>44925</v>
      </c>
      <c r="LWJ613" s="5" t="s">
        <v>3728</v>
      </c>
      <c r="LWK613" s="17">
        <v>44925</v>
      </c>
      <c r="LWL613" s="5" t="s">
        <v>3728</v>
      </c>
      <c r="LWM613" s="17">
        <v>44925</v>
      </c>
      <c r="LWN613" s="5" t="s">
        <v>3728</v>
      </c>
      <c r="LWO613" s="17">
        <v>44925</v>
      </c>
      <c r="LWP613" s="5" t="s">
        <v>3728</v>
      </c>
      <c r="LWQ613" s="17">
        <v>44925</v>
      </c>
      <c r="LWR613" s="5" t="s">
        <v>3728</v>
      </c>
      <c r="LWS613" s="17">
        <v>44925</v>
      </c>
      <c r="LWT613" s="5" t="s">
        <v>3728</v>
      </c>
      <c r="LWU613" s="17">
        <v>44925</v>
      </c>
      <c r="LWV613" s="5" t="s">
        <v>3728</v>
      </c>
      <c r="LWW613" s="17">
        <v>44925</v>
      </c>
      <c r="LWX613" s="5" t="s">
        <v>3728</v>
      </c>
      <c r="LWY613" s="17">
        <v>44925</v>
      </c>
      <c r="LWZ613" s="5" t="s">
        <v>3728</v>
      </c>
      <c r="LXA613" s="17">
        <v>44925</v>
      </c>
      <c r="LXB613" s="5" t="s">
        <v>3728</v>
      </c>
      <c r="LXC613" s="17">
        <v>44925</v>
      </c>
      <c r="LXD613" s="5" t="s">
        <v>3728</v>
      </c>
      <c r="LXE613" s="17">
        <v>44925</v>
      </c>
      <c r="LXF613" s="5" t="s">
        <v>3728</v>
      </c>
      <c r="LXG613" s="17">
        <v>44925</v>
      </c>
      <c r="LXH613" s="5" t="s">
        <v>3728</v>
      </c>
      <c r="LXI613" s="17">
        <v>44925</v>
      </c>
      <c r="LXJ613" s="5" t="s">
        <v>3728</v>
      </c>
      <c r="LXK613" s="17">
        <v>44925</v>
      </c>
      <c r="LXL613" s="5" t="s">
        <v>3728</v>
      </c>
      <c r="LXM613" s="17">
        <v>44925</v>
      </c>
      <c r="LXN613" s="5" t="s">
        <v>3728</v>
      </c>
      <c r="LXO613" s="17">
        <v>44925</v>
      </c>
      <c r="LXP613" s="5" t="s">
        <v>3728</v>
      </c>
      <c r="LXQ613" s="17">
        <v>44925</v>
      </c>
      <c r="LXR613" s="5" t="s">
        <v>3728</v>
      </c>
      <c r="LXS613" s="17">
        <v>44925</v>
      </c>
      <c r="LXT613" s="5" t="s">
        <v>3728</v>
      </c>
      <c r="LXU613" s="17">
        <v>44925</v>
      </c>
      <c r="LXV613" s="5" t="s">
        <v>3728</v>
      </c>
      <c r="LXW613" s="17">
        <v>44925</v>
      </c>
      <c r="LXX613" s="5" t="s">
        <v>3728</v>
      </c>
      <c r="LXY613" s="17">
        <v>44925</v>
      </c>
      <c r="LXZ613" s="5" t="s">
        <v>3728</v>
      </c>
      <c r="LYA613" s="17">
        <v>44925</v>
      </c>
      <c r="LYB613" s="5" t="s">
        <v>3728</v>
      </c>
      <c r="LYC613" s="17">
        <v>44925</v>
      </c>
      <c r="LYD613" s="5" t="s">
        <v>3728</v>
      </c>
      <c r="LYE613" s="17">
        <v>44925</v>
      </c>
      <c r="LYF613" s="5" t="s">
        <v>3728</v>
      </c>
      <c r="LYG613" s="17">
        <v>44925</v>
      </c>
      <c r="LYH613" s="5" t="s">
        <v>3728</v>
      </c>
      <c r="LYI613" s="17">
        <v>44925</v>
      </c>
      <c r="LYJ613" s="5" t="s">
        <v>3728</v>
      </c>
      <c r="LYK613" s="17">
        <v>44925</v>
      </c>
      <c r="LYL613" s="5" t="s">
        <v>3728</v>
      </c>
      <c r="LYM613" s="17">
        <v>44925</v>
      </c>
      <c r="LYN613" s="5" t="s">
        <v>3728</v>
      </c>
      <c r="LYO613" s="17">
        <v>44925</v>
      </c>
      <c r="LYP613" s="5" t="s">
        <v>3728</v>
      </c>
      <c r="LYQ613" s="17">
        <v>44925</v>
      </c>
      <c r="LYR613" s="5" t="s">
        <v>3728</v>
      </c>
      <c r="LYS613" s="17">
        <v>44925</v>
      </c>
      <c r="LYT613" s="5" t="s">
        <v>3728</v>
      </c>
      <c r="LYU613" s="17">
        <v>44925</v>
      </c>
      <c r="LYV613" s="5" t="s">
        <v>3728</v>
      </c>
      <c r="LYW613" s="17">
        <v>44925</v>
      </c>
      <c r="LYX613" s="5" t="s">
        <v>3728</v>
      </c>
      <c r="LYY613" s="17">
        <v>44925</v>
      </c>
      <c r="LYZ613" s="5" t="s">
        <v>3728</v>
      </c>
      <c r="LZA613" s="17">
        <v>44925</v>
      </c>
      <c r="LZB613" s="5" t="s">
        <v>3728</v>
      </c>
      <c r="LZC613" s="17">
        <v>44925</v>
      </c>
      <c r="LZD613" s="5" t="s">
        <v>3728</v>
      </c>
      <c r="LZE613" s="17">
        <v>44925</v>
      </c>
      <c r="LZF613" s="5" t="s">
        <v>3728</v>
      </c>
      <c r="LZG613" s="17">
        <v>44925</v>
      </c>
      <c r="LZH613" s="5" t="s">
        <v>3728</v>
      </c>
      <c r="LZI613" s="17">
        <v>44925</v>
      </c>
      <c r="LZJ613" s="5" t="s">
        <v>3728</v>
      </c>
      <c r="LZK613" s="17">
        <v>44925</v>
      </c>
      <c r="LZL613" s="5" t="s">
        <v>3728</v>
      </c>
      <c r="LZM613" s="17">
        <v>44925</v>
      </c>
      <c r="LZN613" s="5" t="s">
        <v>3728</v>
      </c>
      <c r="LZO613" s="17">
        <v>44925</v>
      </c>
      <c r="LZP613" s="5" t="s">
        <v>3728</v>
      </c>
      <c r="LZQ613" s="17">
        <v>44925</v>
      </c>
      <c r="LZR613" s="5" t="s">
        <v>3728</v>
      </c>
      <c r="LZS613" s="17">
        <v>44925</v>
      </c>
      <c r="LZT613" s="5" t="s">
        <v>3728</v>
      </c>
      <c r="LZU613" s="17">
        <v>44925</v>
      </c>
      <c r="LZV613" s="5" t="s">
        <v>3728</v>
      </c>
      <c r="LZW613" s="17">
        <v>44925</v>
      </c>
      <c r="LZX613" s="5" t="s">
        <v>3728</v>
      </c>
      <c r="LZY613" s="17">
        <v>44925</v>
      </c>
      <c r="LZZ613" s="5" t="s">
        <v>3728</v>
      </c>
      <c r="MAA613" s="17">
        <v>44925</v>
      </c>
      <c r="MAB613" s="5" t="s">
        <v>3728</v>
      </c>
      <c r="MAC613" s="17">
        <v>44925</v>
      </c>
      <c r="MAD613" s="5" t="s">
        <v>3728</v>
      </c>
      <c r="MAE613" s="17">
        <v>44925</v>
      </c>
      <c r="MAF613" s="5" t="s">
        <v>3728</v>
      </c>
      <c r="MAG613" s="17">
        <v>44925</v>
      </c>
      <c r="MAH613" s="5" t="s">
        <v>3728</v>
      </c>
      <c r="MAI613" s="17">
        <v>44925</v>
      </c>
      <c r="MAJ613" s="5" t="s">
        <v>3728</v>
      </c>
      <c r="MAK613" s="17">
        <v>44925</v>
      </c>
      <c r="MAL613" s="5" t="s">
        <v>3728</v>
      </c>
      <c r="MAM613" s="17">
        <v>44925</v>
      </c>
      <c r="MAN613" s="5" t="s">
        <v>3728</v>
      </c>
      <c r="MAO613" s="17">
        <v>44925</v>
      </c>
      <c r="MAP613" s="5" t="s">
        <v>3728</v>
      </c>
      <c r="MAQ613" s="17">
        <v>44925</v>
      </c>
      <c r="MAR613" s="5" t="s">
        <v>3728</v>
      </c>
      <c r="MAS613" s="17">
        <v>44925</v>
      </c>
      <c r="MAT613" s="5" t="s">
        <v>3728</v>
      </c>
      <c r="MAU613" s="17">
        <v>44925</v>
      </c>
      <c r="MAV613" s="5" t="s">
        <v>3728</v>
      </c>
      <c r="MAW613" s="17">
        <v>44925</v>
      </c>
      <c r="MAX613" s="5" t="s">
        <v>3728</v>
      </c>
      <c r="MAY613" s="17">
        <v>44925</v>
      </c>
      <c r="MAZ613" s="5" t="s">
        <v>3728</v>
      </c>
      <c r="MBA613" s="17">
        <v>44925</v>
      </c>
      <c r="MBB613" s="5" t="s">
        <v>3728</v>
      </c>
      <c r="MBC613" s="17">
        <v>44925</v>
      </c>
      <c r="MBD613" s="5" t="s">
        <v>3728</v>
      </c>
      <c r="MBE613" s="17">
        <v>44925</v>
      </c>
      <c r="MBF613" s="5" t="s">
        <v>3728</v>
      </c>
      <c r="MBG613" s="17">
        <v>44925</v>
      </c>
      <c r="MBH613" s="5" t="s">
        <v>3728</v>
      </c>
      <c r="MBI613" s="17">
        <v>44925</v>
      </c>
      <c r="MBJ613" s="5" t="s">
        <v>3728</v>
      </c>
      <c r="MBK613" s="17">
        <v>44925</v>
      </c>
      <c r="MBL613" s="5" t="s">
        <v>3728</v>
      </c>
      <c r="MBM613" s="17">
        <v>44925</v>
      </c>
      <c r="MBN613" s="5" t="s">
        <v>3728</v>
      </c>
      <c r="MBO613" s="17">
        <v>44925</v>
      </c>
      <c r="MBP613" s="5" t="s">
        <v>3728</v>
      </c>
      <c r="MBQ613" s="17">
        <v>44925</v>
      </c>
      <c r="MBR613" s="5" t="s">
        <v>3728</v>
      </c>
      <c r="MBS613" s="17">
        <v>44925</v>
      </c>
      <c r="MBT613" s="5" t="s">
        <v>3728</v>
      </c>
      <c r="MBU613" s="17">
        <v>44925</v>
      </c>
      <c r="MBV613" s="5" t="s">
        <v>3728</v>
      </c>
      <c r="MBW613" s="17">
        <v>44925</v>
      </c>
      <c r="MBX613" s="5" t="s">
        <v>3728</v>
      </c>
      <c r="MBY613" s="17">
        <v>44925</v>
      </c>
      <c r="MBZ613" s="5" t="s">
        <v>3728</v>
      </c>
      <c r="MCA613" s="17">
        <v>44925</v>
      </c>
      <c r="MCB613" s="5" t="s">
        <v>3728</v>
      </c>
      <c r="MCC613" s="17">
        <v>44925</v>
      </c>
      <c r="MCD613" s="5" t="s">
        <v>3728</v>
      </c>
      <c r="MCE613" s="17">
        <v>44925</v>
      </c>
      <c r="MCF613" s="5" t="s">
        <v>3728</v>
      </c>
      <c r="MCG613" s="17">
        <v>44925</v>
      </c>
      <c r="MCH613" s="5" t="s">
        <v>3728</v>
      </c>
      <c r="MCI613" s="17">
        <v>44925</v>
      </c>
      <c r="MCJ613" s="5" t="s">
        <v>3728</v>
      </c>
      <c r="MCK613" s="17">
        <v>44925</v>
      </c>
      <c r="MCL613" s="5" t="s">
        <v>3728</v>
      </c>
      <c r="MCM613" s="17">
        <v>44925</v>
      </c>
      <c r="MCN613" s="5" t="s">
        <v>3728</v>
      </c>
      <c r="MCO613" s="17">
        <v>44925</v>
      </c>
      <c r="MCP613" s="5" t="s">
        <v>3728</v>
      </c>
      <c r="MCQ613" s="17">
        <v>44925</v>
      </c>
      <c r="MCR613" s="5" t="s">
        <v>3728</v>
      </c>
      <c r="MCS613" s="17">
        <v>44925</v>
      </c>
      <c r="MCT613" s="5" t="s">
        <v>3728</v>
      </c>
      <c r="MCU613" s="17">
        <v>44925</v>
      </c>
      <c r="MCV613" s="5" t="s">
        <v>3728</v>
      </c>
      <c r="MCW613" s="17">
        <v>44925</v>
      </c>
      <c r="MCX613" s="5" t="s">
        <v>3728</v>
      </c>
      <c r="MCY613" s="17">
        <v>44925</v>
      </c>
      <c r="MCZ613" s="5" t="s">
        <v>3728</v>
      </c>
      <c r="MDA613" s="17">
        <v>44925</v>
      </c>
      <c r="MDB613" s="5" t="s">
        <v>3728</v>
      </c>
      <c r="MDC613" s="17">
        <v>44925</v>
      </c>
      <c r="MDD613" s="5" t="s">
        <v>3728</v>
      </c>
      <c r="MDE613" s="17">
        <v>44925</v>
      </c>
      <c r="MDF613" s="5" t="s">
        <v>3728</v>
      </c>
      <c r="MDG613" s="17">
        <v>44925</v>
      </c>
      <c r="MDH613" s="5" t="s">
        <v>3728</v>
      </c>
      <c r="MDI613" s="17">
        <v>44925</v>
      </c>
      <c r="MDJ613" s="5" t="s">
        <v>3728</v>
      </c>
      <c r="MDK613" s="17">
        <v>44925</v>
      </c>
      <c r="MDL613" s="5" t="s">
        <v>3728</v>
      </c>
      <c r="MDM613" s="17">
        <v>44925</v>
      </c>
      <c r="MDN613" s="5" t="s">
        <v>3728</v>
      </c>
      <c r="MDO613" s="17">
        <v>44925</v>
      </c>
      <c r="MDP613" s="5" t="s">
        <v>3728</v>
      </c>
      <c r="MDQ613" s="17">
        <v>44925</v>
      </c>
      <c r="MDR613" s="5" t="s">
        <v>3728</v>
      </c>
      <c r="MDS613" s="17">
        <v>44925</v>
      </c>
      <c r="MDT613" s="5" t="s">
        <v>3728</v>
      </c>
      <c r="MDU613" s="17">
        <v>44925</v>
      </c>
      <c r="MDV613" s="5" t="s">
        <v>3728</v>
      </c>
      <c r="MDW613" s="17">
        <v>44925</v>
      </c>
      <c r="MDX613" s="5" t="s">
        <v>3728</v>
      </c>
      <c r="MDY613" s="17">
        <v>44925</v>
      </c>
      <c r="MDZ613" s="5" t="s">
        <v>3728</v>
      </c>
      <c r="MEA613" s="17">
        <v>44925</v>
      </c>
      <c r="MEB613" s="5" t="s">
        <v>3728</v>
      </c>
      <c r="MEC613" s="17">
        <v>44925</v>
      </c>
      <c r="MED613" s="5" t="s">
        <v>3728</v>
      </c>
      <c r="MEE613" s="17">
        <v>44925</v>
      </c>
      <c r="MEF613" s="5" t="s">
        <v>3728</v>
      </c>
      <c r="MEG613" s="17">
        <v>44925</v>
      </c>
      <c r="MEH613" s="5" t="s">
        <v>3728</v>
      </c>
      <c r="MEI613" s="17">
        <v>44925</v>
      </c>
      <c r="MEJ613" s="5" t="s">
        <v>3728</v>
      </c>
      <c r="MEK613" s="17">
        <v>44925</v>
      </c>
      <c r="MEL613" s="5" t="s">
        <v>3728</v>
      </c>
      <c r="MEM613" s="17">
        <v>44925</v>
      </c>
      <c r="MEN613" s="5" t="s">
        <v>3728</v>
      </c>
      <c r="MEO613" s="17">
        <v>44925</v>
      </c>
      <c r="MEP613" s="5" t="s">
        <v>3728</v>
      </c>
      <c r="MEQ613" s="17">
        <v>44925</v>
      </c>
      <c r="MER613" s="5" t="s">
        <v>3728</v>
      </c>
      <c r="MES613" s="17">
        <v>44925</v>
      </c>
      <c r="MET613" s="5" t="s">
        <v>3728</v>
      </c>
      <c r="MEU613" s="17">
        <v>44925</v>
      </c>
      <c r="MEV613" s="5" t="s">
        <v>3728</v>
      </c>
      <c r="MEW613" s="17">
        <v>44925</v>
      </c>
      <c r="MEX613" s="5" t="s">
        <v>3728</v>
      </c>
      <c r="MEY613" s="17">
        <v>44925</v>
      </c>
      <c r="MEZ613" s="5" t="s">
        <v>3728</v>
      </c>
      <c r="MFA613" s="17">
        <v>44925</v>
      </c>
      <c r="MFB613" s="5" t="s">
        <v>3728</v>
      </c>
      <c r="MFC613" s="17">
        <v>44925</v>
      </c>
      <c r="MFD613" s="5" t="s">
        <v>3728</v>
      </c>
      <c r="MFE613" s="17">
        <v>44925</v>
      </c>
      <c r="MFF613" s="5" t="s">
        <v>3728</v>
      </c>
      <c r="MFG613" s="17">
        <v>44925</v>
      </c>
      <c r="MFH613" s="5" t="s">
        <v>3728</v>
      </c>
      <c r="MFI613" s="17">
        <v>44925</v>
      </c>
      <c r="MFJ613" s="5" t="s">
        <v>3728</v>
      </c>
      <c r="MFK613" s="17">
        <v>44925</v>
      </c>
      <c r="MFL613" s="5" t="s">
        <v>3728</v>
      </c>
      <c r="MFM613" s="17">
        <v>44925</v>
      </c>
      <c r="MFN613" s="5" t="s">
        <v>3728</v>
      </c>
      <c r="MFO613" s="17">
        <v>44925</v>
      </c>
      <c r="MFP613" s="5" t="s">
        <v>3728</v>
      </c>
      <c r="MFQ613" s="17">
        <v>44925</v>
      </c>
      <c r="MFR613" s="5" t="s">
        <v>3728</v>
      </c>
      <c r="MFS613" s="17">
        <v>44925</v>
      </c>
      <c r="MFT613" s="5" t="s">
        <v>3728</v>
      </c>
      <c r="MFU613" s="17">
        <v>44925</v>
      </c>
      <c r="MFV613" s="5" t="s">
        <v>3728</v>
      </c>
      <c r="MFW613" s="17">
        <v>44925</v>
      </c>
      <c r="MFX613" s="5" t="s">
        <v>3728</v>
      </c>
      <c r="MFY613" s="17">
        <v>44925</v>
      </c>
      <c r="MFZ613" s="5" t="s">
        <v>3728</v>
      </c>
      <c r="MGA613" s="17">
        <v>44925</v>
      </c>
      <c r="MGB613" s="5" t="s">
        <v>3728</v>
      </c>
      <c r="MGC613" s="17">
        <v>44925</v>
      </c>
      <c r="MGD613" s="5" t="s">
        <v>3728</v>
      </c>
      <c r="MGE613" s="17">
        <v>44925</v>
      </c>
      <c r="MGF613" s="5" t="s">
        <v>3728</v>
      </c>
      <c r="MGG613" s="17">
        <v>44925</v>
      </c>
      <c r="MGH613" s="5" t="s">
        <v>3728</v>
      </c>
      <c r="MGI613" s="17">
        <v>44925</v>
      </c>
      <c r="MGJ613" s="5" t="s">
        <v>3728</v>
      </c>
      <c r="MGK613" s="17">
        <v>44925</v>
      </c>
      <c r="MGL613" s="5" t="s">
        <v>3728</v>
      </c>
      <c r="MGM613" s="17">
        <v>44925</v>
      </c>
      <c r="MGN613" s="5" t="s">
        <v>3728</v>
      </c>
      <c r="MGO613" s="17">
        <v>44925</v>
      </c>
      <c r="MGP613" s="5" t="s">
        <v>3728</v>
      </c>
      <c r="MGQ613" s="17">
        <v>44925</v>
      </c>
      <c r="MGR613" s="5" t="s">
        <v>3728</v>
      </c>
      <c r="MGS613" s="17">
        <v>44925</v>
      </c>
      <c r="MGT613" s="5" t="s">
        <v>3728</v>
      </c>
      <c r="MGU613" s="17">
        <v>44925</v>
      </c>
      <c r="MGV613" s="5" t="s">
        <v>3728</v>
      </c>
      <c r="MGW613" s="17">
        <v>44925</v>
      </c>
      <c r="MGX613" s="5" t="s">
        <v>3728</v>
      </c>
      <c r="MGY613" s="17">
        <v>44925</v>
      </c>
      <c r="MGZ613" s="5" t="s">
        <v>3728</v>
      </c>
      <c r="MHA613" s="17">
        <v>44925</v>
      </c>
      <c r="MHB613" s="5" t="s">
        <v>3728</v>
      </c>
      <c r="MHC613" s="17">
        <v>44925</v>
      </c>
      <c r="MHD613" s="5" t="s">
        <v>3728</v>
      </c>
      <c r="MHE613" s="17">
        <v>44925</v>
      </c>
      <c r="MHF613" s="5" t="s">
        <v>3728</v>
      </c>
      <c r="MHG613" s="17">
        <v>44925</v>
      </c>
      <c r="MHH613" s="5" t="s">
        <v>3728</v>
      </c>
      <c r="MHI613" s="17">
        <v>44925</v>
      </c>
      <c r="MHJ613" s="5" t="s">
        <v>3728</v>
      </c>
      <c r="MHK613" s="17">
        <v>44925</v>
      </c>
      <c r="MHL613" s="5" t="s">
        <v>3728</v>
      </c>
      <c r="MHM613" s="17">
        <v>44925</v>
      </c>
      <c r="MHN613" s="5" t="s">
        <v>3728</v>
      </c>
      <c r="MHO613" s="17">
        <v>44925</v>
      </c>
      <c r="MHP613" s="5" t="s">
        <v>3728</v>
      </c>
      <c r="MHQ613" s="17">
        <v>44925</v>
      </c>
      <c r="MHR613" s="5" t="s">
        <v>3728</v>
      </c>
      <c r="MHS613" s="17">
        <v>44925</v>
      </c>
      <c r="MHT613" s="5" t="s">
        <v>3728</v>
      </c>
      <c r="MHU613" s="17">
        <v>44925</v>
      </c>
      <c r="MHV613" s="5" t="s">
        <v>3728</v>
      </c>
      <c r="MHW613" s="17">
        <v>44925</v>
      </c>
      <c r="MHX613" s="5" t="s">
        <v>3728</v>
      </c>
      <c r="MHY613" s="17">
        <v>44925</v>
      </c>
      <c r="MHZ613" s="5" t="s">
        <v>3728</v>
      </c>
      <c r="MIA613" s="17">
        <v>44925</v>
      </c>
      <c r="MIB613" s="5" t="s">
        <v>3728</v>
      </c>
      <c r="MIC613" s="17">
        <v>44925</v>
      </c>
      <c r="MID613" s="5" t="s">
        <v>3728</v>
      </c>
      <c r="MIE613" s="17">
        <v>44925</v>
      </c>
      <c r="MIF613" s="5" t="s">
        <v>3728</v>
      </c>
      <c r="MIG613" s="17">
        <v>44925</v>
      </c>
      <c r="MIH613" s="5" t="s">
        <v>3728</v>
      </c>
      <c r="MII613" s="17">
        <v>44925</v>
      </c>
      <c r="MIJ613" s="5" t="s">
        <v>3728</v>
      </c>
      <c r="MIK613" s="17">
        <v>44925</v>
      </c>
      <c r="MIL613" s="5" t="s">
        <v>3728</v>
      </c>
      <c r="MIM613" s="17">
        <v>44925</v>
      </c>
      <c r="MIN613" s="5" t="s">
        <v>3728</v>
      </c>
      <c r="MIO613" s="17">
        <v>44925</v>
      </c>
      <c r="MIP613" s="5" t="s">
        <v>3728</v>
      </c>
      <c r="MIQ613" s="17">
        <v>44925</v>
      </c>
      <c r="MIR613" s="5" t="s">
        <v>3728</v>
      </c>
      <c r="MIS613" s="17">
        <v>44925</v>
      </c>
      <c r="MIT613" s="5" t="s">
        <v>3728</v>
      </c>
      <c r="MIU613" s="17">
        <v>44925</v>
      </c>
      <c r="MIV613" s="5" t="s">
        <v>3728</v>
      </c>
      <c r="MIW613" s="17">
        <v>44925</v>
      </c>
      <c r="MIX613" s="5" t="s">
        <v>3728</v>
      </c>
      <c r="MIY613" s="17">
        <v>44925</v>
      </c>
      <c r="MIZ613" s="5" t="s">
        <v>3728</v>
      </c>
      <c r="MJA613" s="17">
        <v>44925</v>
      </c>
      <c r="MJB613" s="5" t="s">
        <v>3728</v>
      </c>
      <c r="MJC613" s="17">
        <v>44925</v>
      </c>
      <c r="MJD613" s="5" t="s">
        <v>3728</v>
      </c>
      <c r="MJE613" s="17">
        <v>44925</v>
      </c>
      <c r="MJF613" s="5" t="s">
        <v>3728</v>
      </c>
      <c r="MJG613" s="17">
        <v>44925</v>
      </c>
      <c r="MJH613" s="5" t="s">
        <v>3728</v>
      </c>
      <c r="MJI613" s="17">
        <v>44925</v>
      </c>
      <c r="MJJ613" s="5" t="s">
        <v>3728</v>
      </c>
      <c r="MJK613" s="17">
        <v>44925</v>
      </c>
      <c r="MJL613" s="5" t="s">
        <v>3728</v>
      </c>
      <c r="MJM613" s="17">
        <v>44925</v>
      </c>
      <c r="MJN613" s="5" t="s">
        <v>3728</v>
      </c>
      <c r="MJO613" s="17">
        <v>44925</v>
      </c>
      <c r="MJP613" s="5" t="s">
        <v>3728</v>
      </c>
      <c r="MJQ613" s="17">
        <v>44925</v>
      </c>
      <c r="MJR613" s="5" t="s">
        <v>3728</v>
      </c>
      <c r="MJS613" s="17">
        <v>44925</v>
      </c>
      <c r="MJT613" s="5" t="s">
        <v>3728</v>
      </c>
      <c r="MJU613" s="17">
        <v>44925</v>
      </c>
      <c r="MJV613" s="5" t="s">
        <v>3728</v>
      </c>
      <c r="MJW613" s="17">
        <v>44925</v>
      </c>
      <c r="MJX613" s="5" t="s">
        <v>3728</v>
      </c>
      <c r="MJY613" s="17">
        <v>44925</v>
      </c>
      <c r="MJZ613" s="5" t="s">
        <v>3728</v>
      </c>
      <c r="MKA613" s="17">
        <v>44925</v>
      </c>
      <c r="MKB613" s="5" t="s">
        <v>3728</v>
      </c>
      <c r="MKC613" s="17">
        <v>44925</v>
      </c>
      <c r="MKD613" s="5" t="s">
        <v>3728</v>
      </c>
      <c r="MKE613" s="17">
        <v>44925</v>
      </c>
      <c r="MKF613" s="5" t="s">
        <v>3728</v>
      </c>
      <c r="MKG613" s="17">
        <v>44925</v>
      </c>
      <c r="MKH613" s="5" t="s">
        <v>3728</v>
      </c>
      <c r="MKI613" s="17">
        <v>44925</v>
      </c>
      <c r="MKJ613" s="5" t="s">
        <v>3728</v>
      </c>
      <c r="MKK613" s="17">
        <v>44925</v>
      </c>
      <c r="MKL613" s="5" t="s">
        <v>3728</v>
      </c>
      <c r="MKM613" s="17">
        <v>44925</v>
      </c>
      <c r="MKN613" s="5" t="s">
        <v>3728</v>
      </c>
      <c r="MKO613" s="17">
        <v>44925</v>
      </c>
      <c r="MKP613" s="5" t="s">
        <v>3728</v>
      </c>
      <c r="MKQ613" s="17">
        <v>44925</v>
      </c>
      <c r="MKR613" s="5" t="s">
        <v>3728</v>
      </c>
      <c r="MKS613" s="17">
        <v>44925</v>
      </c>
      <c r="MKT613" s="5" t="s">
        <v>3728</v>
      </c>
      <c r="MKU613" s="17">
        <v>44925</v>
      </c>
      <c r="MKV613" s="5" t="s">
        <v>3728</v>
      </c>
      <c r="MKW613" s="17">
        <v>44925</v>
      </c>
      <c r="MKX613" s="5" t="s">
        <v>3728</v>
      </c>
      <c r="MKY613" s="17">
        <v>44925</v>
      </c>
      <c r="MKZ613" s="5" t="s">
        <v>3728</v>
      </c>
      <c r="MLA613" s="17">
        <v>44925</v>
      </c>
      <c r="MLB613" s="5" t="s">
        <v>3728</v>
      </c>
      <c r="MLC613" s="17">
        <v>44925</v>
      </c>
      <c r="MLD613" s="5" t="s">
        <v>3728</v>
      </c>
      <c r="MLE613" s="17">
        <v>44925</v>
      </c>
      <c r="MLF613" s="5" t="s">
        <v>3728</v>
      </c>
      <c r="MLG613" s="17">
        <v>44925</v>
      </c>
      <c r="MLH613" s="5" t="s">
        <v>3728</v>
      </c>
      <c r="MLI613" s="17">
        <v>44925</v>
      </c>
      <c r="MLJ613" s="5" t="s">
        <v>3728</v>
      </c>
      <c r="MLK613" s="17">
        <v>44925</v>
      </c>
      <c r="MLL613" s="5" t="s">
        <v>3728</v>
      </c>
      <c r="MLM613" s="17">
        <v>44925</v>
      </c>
      <c r="MLN613" s="5" t="s">
        <v>3728</v>
      </c>
      <c r="MLO613" s="17">
        <v>44925</v>
      </c>
      <c r="MLP613" s="5" t="s">
        <v>3728</v>
      </c>
      <c r="MLQ613" s="17">
        <v>44925</v>
      </c>
      <c r="MLR613" s="5" t="s">
        <v>3728</v>
      </c>
      <c r="MLS613" s="17">
        <v>44925</v>
      </c>
      <c r="MLT613" s="5" t="s">
        <v>3728</v>
      </c>
      <c r="MLU613" s="17">
        <v>44925</v>
      </c>
      <c r="MLV613" s="5" t="s">
        <v>3728</v>
      </c>
      <c r="MLW613" s="17">
        <v>44925</v>
      </c>
      <c r="MLX613" s="5" t="s">
        <v>3728</v>
      </c>
      <c r="MLY613" s="17">
        <v>44925</v>
      </c>
      <c r="MLZ613" s="5" t="s">
        <v>3728</v>
      </c>
      <c r="MMA613" s="17">
        <v>44925</v>
      </c>
      <c r="MMB613" s="5" t="s">
        <v>3728</v>
      </c>
      <c r="MMC613" s="17">
        <v>44925</v>
      </c>
      <c r="MMD613" s="5" t="s">
        <v>3728</v>
      </c>
      <c r="MME613" s="17">
        <v>44925</v>
      </c>
      <c r="MMF613" s="5" t="s">
        <v>3728</v>
      </c>
      <c r="MMG613" s="17">
        <v>44925</v>
      </c>
      <c r="MMH613" s="5" t="s">
        <v>3728</v>
      </c>
      <c r="MMI613" s="17">
        <v>44925</v>
      </c>
      <c r="MMJ613" s="5" t="s">
        <v>3728</v>
      </c>
      <c r="MMK613" s="17">
        <v>44925</v>
      </c>
      <c r="MML613" s="5" t="s">
        <v>3728</v>
      </c>
      <c r="MMM613" s="17">
        <v>44925</v>
      </c>
      <c r="MMN613" s="5" t="s">
        <v>3728</v>
      </c>
      <c r="MMO613" s="17">
        <v>44925</v>
      </c>
      <c r="MMP613" s="5" t="s">
        <v>3728</v>
      </c>
      <c r="MMQ613" s="17">
        <v>44925</v>
      </c>
      <c r="MMR613" s="5" t="s">
        <v>3728</v>
      </c>
      <c r="MMS613" s="17">
        <v>44925</v>
      </c>
      <c r="MMT613" s="5" t="s">
        <v>3728</v>
      </c>
      <c r="MMU613" s="17">
        <v>44925</v>
      </c>
      <c r="MMV613" s="5" t="s">
        <v>3728</v>
      </c>
      <c r="MMW613" s="17">
        <v>44925</v>
      </c>
      <c r="MMX613" s="5" t="s">
        <v>3728</v>
      </c>
      <c r="MMY613" s="17">
        <v>44925</v>
      </c>
      <c r="MMZ613" s="5" t="s">
        <v>3728</v>
      </c>
      <c r="MNA613" s="17">
        <v>44925</v>
      </c>
      <c r="MNB613" s="5" t="s">
        <v>3728</v>
      </c>
      <c r="MNC613" s="17">
        <v>44925</v>
      </c>
      <c r="MND613" s="5" t="s">
        <v>3728</v>
      </c>
      <c r="MNE613" s="17">
        <v>44925</v>
      </c>
      <c r="MNF613" s="5" t="s">
        <v>3728</v>
      </c>
      <c r="MNG613" s="17">
        <v>44925</v>
      </c>
      <c r="MNH613" s="5" t="s">
        <v>3728</v>
      </c>
      <c r="MNI613" s="17">
        <v>44925</v>
      </c>
      <c r="MNJ613" s="5" t="s">
        <v>3728</v>
      </c>
      <c r="MNK613" s="17">
        <v>44925</v>
      </c>
      <c r="MNL613" s="5" t="s">
        <v>3728</v>
      </c>
      <c r="MNM613" s="17">
        <v>44925</v>
      </c>
      <c r="MNN613" s="5" t="s">
        <v>3728</v>
      </c>
      <c r="MNO613" s="17">
        <v>44925</v>
      </c>
      <c r="MNP613" s="5" t="s">
        <v>3728</v>
      </c>
      <c r="MNQ613" s="17">
        <v>44925</v>
      </c>
      <c r="MNR613" s="5" t="s">
        <v>3728</v>
      </c>
      <c r="MNS613" s="17">
        <v>44925</v>
      </c>
      <c r="MNT613" s="5" t="s">
        <v>3728</v>
      </c>
      <c r="MNU613" s="17">
        <v>44925</v>
      </c>
      <c r="MNV613" s="5" t="s">
        <v>3728</v>
      </c>
      <c r="MNW613" s="17">
        <v>44925</v>
      </c>
      <c r="MNX613" s="5" t="s">
        <v>3728</v>
      </c>
      <c r="MNY613" s="17">
        <v>44925</v>
      </c>
      <c r="MNZ613" s="5" t="s">
        <v>3728</v>
      </c>
      <c r="MOA613" s="17">
        <v>44925</v>
      </c>
      <c r="MOB613" s="5" t="s">
        <v>3728</v>
      </c>
      <c r="MOC613" s="17">
        <v>44925</v>
      </c>
      <c r="MOD613" s="5" t="s">
        <v>3728</v>
      </c>
      <c r="MOE613" s="17">
        <v>44925</v>
      </c>
      <c r="MOF613" s="5" t="s">
        <v>3728</v>
      </c>
      <c r="MOG613" s="17">
        <v>44925</v>
      </c>
      <c r="MOH613" s="5" t="s">
        <v>3728</v>
      </c>
      <c r="MOI613" s="17">
        <v>44925</v>
      </c>
      <c r="MOJ613" s="5" t="s">
        <v>3728</v>
      </c>
      <c r="MOK613" s="17">
        <v>44925</v>
      </c>
      <c r="MOL613" s="5" t="s">
        <v>3728</v>
      </c>
      <c r="MOM613" s="17">
        <v>44925</v>
      </c>
      <c r="MON613" s="5" t="s">
        <v>3728</v>
      </c>
      <c r="MOO613" s="17">
        <v>44925</v>
      </c>
      <c r="MOP613" s="5" t="s">
        <v>3728</v>
      </c>
      <c r="MOQ613" s="17">
        <v>44925</v>
      </c>
      <c r="MOR613" s="5" t="s">
        <v>3728</v>
      </c>
      <c r="MOS613" s="17">
        <v>44925</v>
      </c>
      <c r="MOT613" s="5" t="s">
        <v>3728</v>
      </c>
      <c r="MOU613" s="17">
        <v>44925</v>
      </c>
      <c r="MOV613" s="5" t="s">
        <v>3728</v>
      </c>
      <c r="MOW613" s="17">
        <v>44925</v>
      </c>
      <c r="MOX613" s="5" t="s">
        <v>3728</v>
      </c>
      <c r="MOY613" s="17">
        <v>44925</v>
      </c>
      <c r="MOZ613" s="5" t="s">
        <v>3728</v>
      </c>
      <c r="MPA613" s="17">
        <v>44925</v>
      </c>
      <c r="MPB613" s="5" t="s">
        <v>3728</v>
      </c>
      <c r="MPC613" s="17">
        <v>44925</v>
      </c>
      <c r="MPD613" s="5" t="s">
        <v>3728</v>
      </c>
      <c r="MPE613" s="17">
        <v>44925</v>
      </c>
      <c r="MPF613" s="5" t="s">
        <v>3728</v>
      </c>
      <c r="MPG613" s="17">
        <v>44925</v>
      </c>
      <c r="MPH613" s="5" t="s">
        <v>3728</v>
      </c>
      <c r="MPI613" s="17">
        <v>44925</v>
      </c>
      <c r="MPJ613" s="5" t="s">
        <v>3728</v>
      </c>
      <c r="MPK613" s="17">
        <v>44925</v>
      </c>
      <c r="MPL613" s="5" t="s">
        <v>3728</v>
      </c>
      <c r="MPM613" s="17">
        <v>44925</v>
      </c>
      <c r="MPN613" s="5" t="s">
        <v>3728</v>
      </c>
      <c r="MPO613" s="17">
        <v>44925</v>
      </c>
      <c r="MPP613" s="5" t="s">
        <v>3728</v>
      </c>
      <c r="MPQ613" s="17">
        <v>44925</v>
      </c>
      <c r="MPR613" s="5" t="s">
        <v>3728</v>
      </c>
      <c r="MPS613" s="17">
        <v>44925</v>
      </c>
      <c r="MPT613" s="5" t="s">
        <v>3728</v>
      </c>
      <c r="MPU613" s="17">
        <v>44925</v>
      </c>
      <c r="MPV613" s="5" t="s">
        <v>3728</v>
      </c>
      <c r="MPW613" s="17">
        <v>44925</v>
      </c>
      <c r="MPX613" s="5" t="s">
        <v>3728</v>
      </c>
      <c r="MPY613" s="17">
        <v>44925</v>
      </c>
      <c r="MPZ613" s="5" t="s">
        <v>3728</v>
      </c>
      <c r="MQA613" s="17">
        <v>44925</v>
      </c>
      <c r="MQB613" s="5" t="s">
        <v>3728</v>
      </c>
      <c r="MQC613" s="17">
        <v>44925</v>
      </c>
      <c r="MQD613" s="5" t="s">
        <v>3728</v>
      </c>
      <c r="MQE613" s="17">
        <v>44925</v>
      </c>
      <c r="MQF613" s="5" t="s">
        <v>3728</v>
      </c>
      <c r="MQG613" s="17">
        <v>44925</v>
      </c>
      <c r="MQH613" s="5" t="s">
        <v>3728</v>
      </c>
      <c r="MQI613" s="17">
        <v>44925</v>
      </c>
      <c r="MQJ613" s="5" t="s">
        <v>3728</v>
      </c>
      <c r="MQK613" s="17">
        <v>44925</v>
      </c>
      <c r="MQL613" s="5" t="s">
        <v>3728</v>
      </c>
      <c r="MQM613" s="17">
        <v>44925</v>
      </c>
      <c r="MQN613" s="5" t="s">
        <v>3728</v>
      </c>
      <c r="MQO613" s="17">
        <v>44925</v>
      </c>
      <c r="MQP613" s="5" t="s">
        <v>3728</v>
      </c>
      <c r="MQQ613" s="17">
        <v>44925</v>
      </c>
      <c r="MQR613" s="5" t="s">
        <v>3728</v>
      </c>
      <c r="MQS613" s="17">
        <v>44925</v>
      </c>
      <c r="MQT613" s="5" t="s">
        <v>3728</v>
      </c>
      <c r="MQU613" s="17">
        <v>44925</v>
      </c>
      <c r="MQV613" s="5" t="s">
        <v>3728</v>
      </c>
      <c r="MQW613" s="17">
        <v>44925</v>
      </c>
      <c r="MQX613" s="5" t="s">
        <v>3728</v>
      </c>
      <c r="MQY613" s="17">
        <v>44925</v>
      </c>
      <c r="MQZ613" s="5" t="s">
        <v>3728</v>
      </c>
      <c r="MRA613" s="17">
        <v>44925</v>
      </c>
      <c r="MRB613" s="5" t="s">
        <v>3728</v>
      </c>
      <c r="MRC613" s="17">
        <v>44925</v>
      </c>
      <c r="MRD613" s="5" t="s">
        <v>3728</v>
      </c>
      <c r="MRE613" s="17">
        <v>44925</v>
      </c>
      <c r="MRF613" s="5" t="s">
        <v>3728</v>
      </c>
      <c r="MRG613" s="17">
        <v>44925</v>
      </c>
      <c r="MRH613" s="5" t="s">
        <v>3728</v>
      </c>
      <c r="MRI613" s="17">
        <v>44925</v>
      </c>
      <c r="MRJ613" s="5" t="s">
        <v>3728</v>
      </c>
      <c r="MRK613" s="17">
        <v>44925</v>
      </c>
      <c r="MRL613" s="5" t="s">
        <v>3728</v>
      </c>
      <c r="MRM613" s="17">
        <v>44925</v>
      </c>
      <c r="MRN613" s="5" t="s">
        <v>3728</v>
      </c>
      <c r="MRO613" s="17">
        <v>44925</v>
      </c>
      <c r="MRP613" s="5" t="s">
        <v>3728</v>
      </c>
      <c r="MRQ613" s="17">
        <v>44925</v>
      </c>
      <c r="MRR613" s="5" t="s">
        <v>3728</v>
      </c>
      <c r="MRS613" s="17">
        <v>44925</v>
      </c>
      <c r="MRT613" s="5" t="s">
        <v>3728</v>
      </c>
      <c r="MRU613" s="17">
        <v>44925</v>
      </c>
      <c r="MRV613" s="5" t="s">
        <v>3728</v>
      </c>
      <c r="MRW613" s="17">
        <v>44925</v>
      </c>
      <c r="MRX613" s="5" t="s">
        <v>3728</v>
      </c>
      <c r="MRY613" s="17">
        <v>44925</v>
      </c>
      <c r="MRZ613" s="5" t="s">
        <v>3728</v>
      </c>
      <c r="MSA613" s="17">
        <v>44925</v>
      </c>
      <c r="MSB613" s="5" t="s">
        <v>3728</v>
      </c>
      <c r="MSC613" s="17">
        <v>44925</v>
      </c>
      <c r="MSD613" s="5" t="s">
        <v>3728</v>
      </c>
      <c r="MSE613" s="17">
        <v>44925</v>
      </c>
      <c r="MSF613" s="5" t="s">
        <v>3728</v>
      </c>
      <c r="MSG613" s="17">
        <v>44925</v>
      </c>
      <c r="MSH613" s="5" t="s">
        <v>3728</v>
      </c>
      <c r="MSI613" s="17">
        <v>44925</v>
      </c>
      <c r="MSJ613" s="5" t="s">
        <v>3728</v>
      </c>
      <c r="MSK613" s="17">
        <v>44925</v>
      </c>
      <c r="MSL613" s="5" t="s">
        <v>3728</v>
      </c>
      <c r="MSM613" s="17">
        <v>44925</v>
      </c>
      <c r="MSN613" s="5" t="s">
        <v>3728</v>
      </c>
      <c r="MSO613" s="17">
        <v>44925</v>
      </c>
      <c r="MSP613" s="5" t="s">
        <v>3728</v>
      </c>
      <c r="MSQ613" s="17">
        <v>44925</v>
      </c>
      <c r="MSR613" s="5" t="s">
        <v>3728</v>
      </c>
      <c r="MSS613" s="17">
        <v>44925</v>
      </c>
      <c r="MST613" s="5" t="s">
        <v>3728</v>
      </c>
      <c r="MSU613" s="17">
        <v>44925</v>
      </c>
      <c r="MSV613" s="5" t="s">
        <v>3728</v>
      </c>
      <c r="MSW613" s="17">
        <v>44925</v>
      </c>
      <c r="MSX613" s="5" t="s">
        <v>3728</v>
      </c>
      <c r="MSY613" s="17">
        <v>44925</v>
      </c>
      <c r="MSZ613" s="5" t="s">
        <v>3728</v>
      </c>
      <c r="MTA613" s="17">
        <v>44925</v>
      </c>
      <c r="MTB613" s="5" t="s">
        <v>3728</v>
      </c>
      <c r="MTC613" s="17">
        <v>44925</v>
      </c>
      <c r="MTD613" s="5" t="s">
        <v>3728</v>
      </c>
      <c r="MTE613" s="17">
        <v>44925</v>
      </c>
      <c r="MTF613" s="5" t="s">
        <v>3728</v>
      </c>
      <c r="MTG613" s="17">
        <v>44925</v>
      </c>
      <c r="MTH613" s="5" t="s">
        <v>3728</v>
      </c>
      <c r="MTI613" s="17">
        <v>44925</v>
      </c>
      <c r="MTJ613" s="5" t="s">
        <v>3728</v>
      </c>
      <c r="MTK613" s="17">
        <v>44925</v>
      </c>
      <c r="MTL613" s="5" t="s">
        <v>3728</v>
      </c>
      <c r="MTM613" s="17">
        <v>44925</v>
      </c>
      <c r="MTN613" s="5" t="s">
        <v>3728</v>
      </c>
      <c r="MTO613" s="17">
        <v>44925</v>
      </c>
      <c r="MTP613" s="5" t="s">
        <v>3728</v>
      </c>
      <c r="MTQ613" s="17">
        <v>44925</v>
      </c>
      <c r="MTR613" s="5" t="s">
        <v>3728</v>
      </c>
      <c r="MTS613" s="17">
        <v>44925</v>
      </c>
      <c r="MTT613" s="5" t="s">
        <v>3728</v>
      </c>
      <c r="MTU613" s="17">
        <v>44925</v>
      </c>
      <c r="MTV613" s="5" t="s">
        <v>3728</v>
      </c>
      <c r="MTW613" s="17">
        <v>44925</v>
      </c>
      <c r="MTX613" s="5" t="s">
        <v>3728</v>
      </c>
      <c r="MTY613" s="17">
        <v>44925</v>
      </c>
      <c r="MTZ613" s="5" t="s">
        <v>3728</v>
      </c>
      <c r="MUA613" s="17">
        <v>44925</v>
      </c>
      <c r="MUB613" s="5" t="s">
        <v>3728</v>
      </c>
      <c r="MUC613" s="17">
        <v>44925</v>
      </c>
      <c r="MUD613" s="5" t="s">
        <v>3728</v>
      </c>
      <c r="MUE613" s="17">
        <v>44925</v>
      </c>
      <c r="MUF613" s="5" t="s">
        <v>3728</v>
      </c>
      <c r="MUG613" s="17">
        <v>44925</v>
      </c>
      <c r="MUH613" s="5" t="s">
        <v>3728</v>
      </c>
      <c r="MUI613" s="17">
        <v>44925</v>
      </c>
      <c r="MUJ613" s="5" t="s">
        <v>3728</v>
      </c>
      <c r="MUK613" s="17">
        <v>44925</v>
      </c>
      <c r="MUL613" s="5" t="s">
        <v>3728</v>
      </c>
      <c r="MUM613" s="17">
        <v>44925</v>
      </c>
      <c r="MUN613" s="5" t="s">
        <v>3728</v>
      </c>
      <c r="MUO613" s="17">
        <v>44925</v>
      </c>
      <c r="MUP613" s="5" t="s">
        <v>3728</v>
      </c>
      <c r="MUQ613" s="17">
        <v>44925</v>
      </c>
      <c r="MUR613" s="5" t="s">
        <v>3728</v>
      </c>
      <c r="MUS613" s="17">
        <v>44925</v>
      </c>
      <c r="MUT613" s="5" t="s">
        <v>3728</v>
      </c>
      <c r="MUU613" s="17">
        <v>44925</v>
      </c>
      <c r="MUV613" s="5" t="s">
        <v>3728</v>
      </c>
      <c r="MUW613" s="17">
        <v>44925</v>
      </c>
      <c r="MUX613" s="5" t="s">
        <v>3728</v>
      </c>
      <c r="MUY613" s="17">
        <v>44925</v>
      </c>
      <c r="MUZ613" s="5" t="s">
        <v>3728</v>
      </c>
      <c r="MVA613" s="17">
        <v>44925</v>
      </c>
      <c r="MVB613" s="5" t="s">
        <v>3728</v>
      </c>
      <c r="MVC613" s="17">
        <v>44925</v>
      </c>
      <c r="MVD613" s="5" t="s">
        <v>3728</v>
      </c>
      <c r="MVE613" s="17">
        <v>44925</v>
      </c>
      <c r="MVF613" s="5" t="s">
        <v>3728</v>
      </c>
      <c r="MVG613" s="17">
        <v>44925</v>
      </c>
      <c r="MVH613" s="5" t="s">
        <v>3728</v>
      </c>
      <c r="MVI613" s="17">
        <v>44925</v>
      </c>
      <c r="MVJ613" s="5" t="s">
        <v>3728</v>
      </c>
      <c r="MVK613" s="17">
        <v>44925</v>
      </c>
      <c r="MVL613" s="5" t="s">
        <v>3728</v>
      </c>
      <c r="MVM613" s="17">
        <v>44925</v>
      </c>
      <c r="MVN613" s="5" t="s">
        <v>3728</v>
      </c>
      <c r="MVO613" s="17">
        <v>44925</v>
      </c>
      <c r="MVP613" s="5" t="s">
        <v>3728</v>
      </c>
      <c r="MVQ613" s="17">
        <v>44925</v>
      </c>
      <c r="MVR613" s="5" t="s">
        <v>3728</v>
      </c>
      <c r="MVS613" s="17">
        <v>44925</v>
      </c>
      <c r="MVT613" s="5" t="s">
        <v>3728</v>
      </c>
      <c r="MVU613" s="17">
        <v>44925</v>
      </c>
      <c r="MVV613" s="5" t="s">
        <v>3728</v>
      </c>
      <c r="MVW613" s="17">
        <v>44925</v>
      </c>
      <c r="MVX613" s="5" t="s">
        <v>3728</v>
      </c>
      <c r="MVY613" s="17">
        <v>44925</v>
      </c>
      <c r="MVZ613" s="5" t="s">
        <v>3728</v>
      </c>
      <c r="MWA613" s="17">
        <v>44925</v>
      </c>
      <c r="MWB613" s="5" t="s">
        <v>3728</v>
      </c>
      <c r="MWC613" s="17">
        <v>44925</v>
      </c>
      <c r="MWD613" s="5" t="s">
        <v>3728</v>
      </c>
      <c r="MWE613" s="17">
        <v>44925</v>
      </c>
      <c r="MWF613" s="5" t="s">
        <v>3728</v>
      </c>
      <c r="MWG613" s="17">
        <v>44925</v>
      </c>
      <c r="MWH613" s="5" t="s">
        <v>3728</v>
      </c>
      <c r="MWI613" s="17">
        <v>44925</v>
      </c>
      <c r="MWJ613" s="5" t="s">
        <v>3728</v>
      </c>
      <c r="MWK613" s="17">
        <v>44925</v>
      </c>
      <c r="MWL613" s="5" t="s">
        <v>3728</v>
      </c>
      <c r="MWM613" s="17">
        <v>44925</v>
      </c>
      <c r="MWN613" s="5" t="s">
        <v>3728</v>
      </c>
      <c r="MWO613" s="17">
        <v>44925</v>
      </c>
      <c r="MWP613" s="5" t="s">
        <v>3728</v>
      </c>
      <c r="MWQ613" s="17">
        <v>44925</v>
      </c>
      <c r="MWR613" s="5" t="s">
        <v>3728</v>
      </c>
      <c r="MWS613" s="17">
        <v>44925</v>
      </c>
      <c r="MWT613" s="5" t="s">
        <v>3728</v>
      </c>
      <c r="MWU613" s="17">
        <v>44925</v>
      </c>
      <c r="MWV613" s="5" t="s">
        <v>3728</v>
      </c>
      <c r="MWW613" s="17">
        <v>44925</v>
      </c>
      <c r="MWX613" s="5" t="s">
        <v>3728</v>
      </c>
      <c r="MWY613" s="17">
        <v>44925</v>
      </c>
      <c r="MWZ613" s="5" t="s">
        <v>3728</v>
      </c>
      <c r="MXA613" s="17">
        <v>44925</v>
      </c>
      <c r="MXB613" s="5" t="s">
        <v>3728</v>
      </c>
      <c r="MXC613" s="17">
        <v>44925</v>
      </c>
      <c r="MXD613" s="5" t="s">
        <v>3728</v>
      </c>
      <c r="MXE613" s="17">
        <v>44925</v>
      </c>
      <c r="MXF613" s="5" t="s">
        <v>3728</v>
      </c>
      <c r="MXG613" s="17">
        <v>44925</v>
      </c>
      <c r="MXH613" s="5" t="s">
        <v>3728</v>
      </c>
      <c r="MXI613" s="17">
        <v>44925</v>
      </c>
      <c r="MXJ613" s="5" t="s">
        <v>3728</v>
      </c>
      <c r="MXK613" s="17">
        <v>44925</v>
      </c>
      <c r="MXL613" s="5" t="s">
        <v>3728</v>
      </c>
      <c r="MXM613" s="17">
        <v>44925</v>
      </c>
      <c r="MXN613" s="5" t="s">
        <v>3728</v>
      </c>
      <c r="MXO613" s="17">
        <v>44925</v>
      </c>
      <c r="MXP613" s="5" t="s">
        <v>3728</v>
      </c>
      <c r="MXQ613" s="17">
        <v>44925</v>
      </c>
      <c r="MXR613" s="5" t="s">
        <v>3728</v>
      </c>
      <c r="MXS613" s="17">
        <v>44925</v>
      </c>
      <c r="MXT613" s="5" t="s">
        <v>3728</v>
      </c>
      <c r="MXU613" s="17">
        <v>44925</v>
      </c>
      <c r="MXV613" s="5" t="s">
        <v>3728</v>
      </c>
      <c r="MXW613" s="17">
        <v>44925</v>
      </c>
      <c r="MXX613" s="5" t="s">
        <v>3728</v>
      </c>
      <c r="MXY613" s="17">
        <v>44925</v>
      </c>
      <c r="MXZ613" s="5" t="s">
        <v>3728</v>
      </c>
      <c r="MYA613" s="17">
        <v>44925</v>
      </c>
      <c r="MYB613" s="5" t="s">
        <v>3728</v>
      </c>
      <c r="MYC613" s="17">
        <v>44925</v>
      </c>
      <c r="MYD613" s="5" t="s">
        <v>3728</v>
      </c>
      <c r="MYE613" s="17">
        <v>44925</v>
      </c>
      <c r="MYF613" s="5" t="s">
        <v>3728</v>
      </c>
      <c r="MYG613" s="17">
        <v>44925</v>
      </c>
      <c r="MYH613" s="5" t="s">
        <v>3728</v>
      </c>
      <c r="MYI613" s="17">
        <v>44925</v>
      </c>
      <c r="MYJ613" s="5" t="s">
        <v>3728</v>
      </c>
      <c r="MYK613" s="17">
        <v>44925</v>
      </c>
      <c r="MYL613" s="5" t="s">
        <v>3728</v>
      </c>
      <c r="MYM613" s="17">
        <v>44925</v>
      </c>
      <c r="MYN613" s="5" t="s">
        <v>3728</v>
      </c>
      <c r="MYO613" s="17">
        <v>44925</v>
      </c>
      <c r="MYP613" s="5" t="s">
        <v>3728</v>
      </c>
      <c r="MYQ613" s="17">
        <v>44925</v>
      </c>
      <c r="MYR613" s="5" t="s">
        <v>3728</v>
      </c>
      <c r="MYS613" s="17">
        <v>44925</v>
      </c>
      <c r="MYT613" s="5" t="s">
        <v>3728</v>
      </c>
      <c r="MYU613" s="17">
        <v>44925</v>
      </c>
      <c r="MYV613" s="5" t="s">
        <v>3728</v>
      </c>
      <c r="MYW613" s="17">
        <v>44925</v>
      </c>
      <c r="MYX613" s="5" t="s">
        <v>3728</v>
      </c>
      <c r="MYY613" s="17">
        <v>44925</v>
      </c>
      <c r="MYZ613" s="5" t="s">
        <v>3728</v>
      </c>
      <c r="MZA613" s="17">
        <v>44925</v>
      </c>
      <c r="MZB613" s="5" t="s">
        <v>3728</v>
      </c>
      <c r="MZC613" s="17">
        <v>44925</v>
      </c>
      <c r="MZD613" s="5" t="s">
        <v>3728</v>
      </c>
      <c r="MZE613" s="17">
        <v>44925</v>
      </c>
      <c r="MZF613" s="5" t="s">
        <v>3728</v>
      </c>
      <c r="MZG613" s="17">
        <v>44925</v>
      </c>
      <c r="MZH613" s="5" t="s">
        <v>3728</v>
      </c>
      <c r="MZI613" s="17">
        <v>44925</v>
      </c>
      <c r="MZJ613" s="5" t="s">
        <v>3728</v>
      </c>
      <c r="MZK613" s="17">
        <v>44925</v>
      </c>
      <c r="MZL613" s="5" t="s">
        <v>3728</v>
      </c>
      <c r="MZM613" s="17">
        <v>44925</v>
      </c>
      <c r="MZN613" s="5" t="s">
        <v>3728</v>
      </c>
      <c r="MZO613" s="17">
        <v>44925</v>
      </c>
      <c r="MZP613" s="5" t="s">
        <v>3728</v>
      </c>
      <c r="MZQ613" s="17">
        <v>44925</v>
      </c>
      <c r="MZR613" s="5" t="s">
        <v>3728</v>
      </c>
      <c r="MZS613" s="17">
        <v>44925</v>
      </c>
      <c r="MZT613" s="5" t="s">
        <v>3728</v>
      </c>
      <c r="MZU613" s="17">
        <v>44925</v>
      </c>
      <c r="MZV613" s="5" t="s">
        <v>3728</v>
      </c>
      <c r="MZW613" s="17">
        <v>44925</v>
      </c>
      <c r="MZX613" s="5" t="s">
        <v>3728</v>
      </c>
      <c r="MZY613" s="17">
        <v>44925</v>
      </c>
      <c r="MZZ613" s="5" t="s">
        <v>3728</v>
      </c>
      <c r="NAA613" s="17">
        <v>44925</v>
      </c>
      <c r="NAB613" s="5" t="s">
        <v>3728</v>
      </c>
      <c r="NAC613" s="17">
        <v>44925</v>
      </c>
      <c r="NAD613" s="5" t="s">
        <v>3728</v>
      </c>
      <c r="NAE613" s="17">
        <v>44925</v>
      </c>
      <c r="NAF613" s="5" t="s">
        <v>3728</v>
      </c>
      <c r="NAG613" s="17">
        <v>44925</v>
      </c>
      <c r="NAH613" s="5" t="s">
        <v>3728</v>
      </c>
      <c r="NAI613" s="17">
        <v>44925</v>
      </c>
      <c r="NAJ613" s="5" t="s">
        <v>3728</v>
      </c>
      <c r="NAK613" s="17">
        <v>44925</v>
      </c>
      <c r="NAL613" s="5" t="s">
        <v>3728</v>
      </c>
      <c r="NAM613" s="17">
        <v>44925</v>
      </c>
      <c r="NAN613" s="5" t="s">
        <v>3728</v>
      </c>
      <c r="NAO613" s="17">
        <v>44925</v>
      </c>
      <c r="NAP613" s="5" t="s">
        <v>3728</v>
      </c>
      <c r="NAQ613" s="17">
        <v>44925</v>
      </c>
      <c r="NAR613" s="5" t="s">
        <v>3728</v>
      </c>
      <c r="NAS613" s="17">
        <v>44925</v>
      </c>
      <c r="NAT613" s="5" t="s">
        <v>3728</v>
      </c>
      <c r="NAU613" s="17">
        <v>44925</v>
      </c>
      <c r="NAV613" s="5" t="s">
        <v>3728</v>
      </c>
      <c r="NAW613" s="17">
        <v>44925</v>
      </c>
      <c r="NAX613" s="5" t="s">
        <v>3728</v>
      </c>
      <c r="NAY613" s="17">
        <v>44925</v>
      </c>
      <c r="NAZ613" s="5" t="s">
        <v>3728</v>
      </c>
      <c r="NBA613" s="17">
        <v>44925</v>
      </c>
      <c r="NBB613" s="5" t="s">
        <v>3728</v>
      </c>
      <c r="NBC613" s="17">
        <v>44925</v>
      </c>
      <c r="NBD613" s="5" t="s">
        <v>3728</v>
      </c>
      <c r="NBE613" s="17">
        <v>44925</v>
      </c>
      <c r="NBF613" s="5" t="s">
        <v>3728</v>
      </c>
      <c r="NBG613" s="17">
        <v>44925</v>
      </c>
      <c r="NBH613" s="5" t="s">
        <v>3728</v>
      </c>
      <c r="NBI613" s="17">
        <v>44925</v>
      </c>
      <c r="NBJ613" s="5" t="s">
        <v>3728</v>
      </c>
      <c r="NBK613" s="17">
        <v>44925</v>
      </c>
      <c r="NBL613" s="5" t="s">
        <v>3728</v>
      </c>
      <c r="NBM613" s="17">
        <v>44925</v>
      </c>
      <c r="NBN613" s="5" t="s">
        <v>3728</v>
      </c>
      <c r="NBO613" s="17">
        <v>44925</v>
      </c>
      <c r="NBP613" s="5" t="s">
        <v>3728</v>
      </c>
      <c r="NBQ613" s="17">
        <v>44925</v>
      </c>
      <c r="NBR613" s="5" t="s">
        <v>3728</v>
      </c>
      <c r="NBS613" s="17">
        <v>44925</v>
      </c>
      <c r="NBT613" s="5" t="s">
        <v>3728</v>
      </c>
      <c r="NBU613" s="17">
        <v>44925</v>
      </c>
      <c r="NBV613" s="5" t="s">
        <v>3728</v>
      </c>
      <c r="NBW613" s="17">
        <v>44925</v>
      </c>
      <c r="NBX613" s="5" t="s">
        <v>3728</v>
      </c>
      <c r="NBY613" s="17">
        <v>44925</v>
      </c>
      <c r="NBZ613" s="5" t="s">
        <v>3728</v>
      </c>
      <c r="NCA613" s="17">
        <v>44925</v>
      </c>
      <c r="NCB613" s="5" t="s">
        <v>3728</v>
      </c>
      <c r="NCC613" s="17">
        <v>44925</v>
      </c>
      <c r="NCD613" s="5" t="s">
        <v>3728</v>
      </c>
      <c r="NCE613" s="17">
        <v>44925</v>
      </c>
      <c r="NCF613" s="5" t="s">
        <v>3728</v>
      </c>
      <c r="NCG613" s="17">
        <v>44925</v>
      </c>
      <c r="NCH613" s="5" t="s">
        <v>3728</v>
      </c>
      <c r="NCI613" s="17">
        <v>44925</v>
      </c>
      <c r="NCJ613" s="5" t="s">
        <v>3728</v>
      </c>
      <c r="NCK613" s="17">
        <v>44925</v>
      </c>
      <c r="NCL613" s="5" t="s">
        <v>3728</v>
      </c>
      <c r="NCM613" s="17">
        <v>44925</v>
      </c>
      <c r="NCN613" s="5" t="s">
        <v>3728</v>
      </c>
      <c r="NCO613" s="17">
        <v>44925</v>
      </c>
      <c r="NCP613" s="5" t="s">
        <v>3728</v>
      </c>
      <c r="NCQ613" s="17">
        <v>44925</v>
      </c>
      <c r="NCR613" s="5" t="s">
        <v>3728</v>
      </c>
      <c r="NCS613" s="17">
        <v>44925</v>
      </c>
      <c r="NCT613" s="5" t="s">
        <v>3728</v>
      </c>
      <c r="NCU613" s="17">
        <v>44925</v>
      </c>
      <c r="NCV613" s="5" t="s">
        <v>3728</v>
      </c>
      <c r="NCW613" s="17">
        <v>44925</v>
      </c>
      <c r="NCX613" s="5" t="s">
        <v>3728</v>
      </c>
      <c r="NCY613" s="17">
        <v>44925</v>
      </c>
      <c r="NCZ613" s="5" t="s">
        <v>3728</v>
      </c>
      <c r="NDA613" s="17">
        <v>44925</v>
      </c>
      <c r="NDB613" s="5" t="s">
        <v>3728</v>
      </c>
      <c r="NDC613" s="17">
        <v>44925</v>
      </c>
      <c r="NDD613" s="5" t="s">
        <v>3728</v>
      </c>
      <c r="NDE613" s="17">
        <v>44925</v>
      </c>
      <c r="NDF613" s="5" t="s">
        <v>3728</v>
      </c>
      <c r="NDG613" s="17">
        <v>44925</v>
      </c>
      <c r="NDH613" s="5" t="s">
        <v>3728</v>
      </c>
      <c r="NDI613" s="17">
        <v>44925</v>
      </c>
      <c r="NDJ613" s="5" t="s">
        <v>3728</v>
      </c>
      <c r="NDK613" s="17">
        <v>44925</v>
      </c>
      <c r="NDL613" s="5" t="s">
        <v>3728</v>
      </c>
      <c r="NDM613" s="17">
        <v>44925</v>
      </c>
      <c r="NDN613" s="5" t="s">
        <v>3728</v>
      </c>
      <c r="NDO613" s="17">
        <v>44925</v>
      </c>
      <c r="NDP613" s="5" t="s">
        <v>3728</v>
      </c>
      <c r="NDQ613" s="17">
        <v>44925</v>
      </c>
      <c r="NDR613" s="5" t="s">
        <v>3728</v>
      </c>
      <c r="NDS613" s="17">
        <v>44925</v>
      </c>
      <c r="NDT613" s="5" t="s">
        <v>3728</v>
      </c>
      <c r="NDU613" s="17">
        <v>44925</v>
      </c>
      <c r="NDV613" s="5" t="s">
        <v>3728</v>
      </c>
      <c r="NDW613" s="17">
        <v>44925</v>
      </c>
      <c r="NDX613" s="5" t="s">
        <v>3728</v>
      </c>
      <c r="NDY613" s="17">
        <v>44925</v>
      </c>
      <c r="NDZ613" s="5" t="s">
        <v>3728</v>
      </c>
      <c r="NEA613" s="17">
        <v>44925</v>
      </c>
      <c r="NEB613" s="5" t="s">
        <v>3728</v>
      </c>
      <c r="NEC613" s="17">
        <v>44925</v>
      </c>
      <c r="NED613" s="5" t="s">
        <v>3728</v>
      </c>
      <c r="NEE613" s="17">
        <v>44925</v>
      </c>
      <c r="NEF613" s="5" t="s">
        <v>3728</v>
      </c>
      <c r="NEG613" s="17">
        <v>44925</v>
      </c>
      <c r="NEH613" s="5" t="s">
        <v>3728</v>
      </c>
      <c r="NEI613" s="17">
        <v>44925</v>
      </c>
      <c r="NEJ613" s="5" t="s">
        <v>3728</v>
      </c>
      <c r="NEK613" s="17">
        <v>44925</v>
      </c>
      <c r="NEL613" s="5" t="s">
        <v>3728</v>
      </c>
      <c r="NEM613" s="17">
        <v>44925</v>
      </c>
      <c r="NEN613" s="5" t="s">
        <v>3728</v>
      </c>
      <c r="NEO613" s="17">
        <v>44925</v>
      </c>
      <c r="NEP613" s="5" t="s">
        <v>3728</v>
      </c>
      <c r="NEQ613" s="17">
        <v>44925</v>
      </c>
      <c r="NER613" s="5" t="s">
        <v>3728</v>
      </c>
      <c r="NES613" s="17">
        <v>44925</v>
      </c>
      <c r="NET613" s="5" t="s">
        <v>3728</v>
      </c>
      <c r="NEU613" s="17">
        <v>44925</v>
      </c>
      <c r="NEV613" s="5" t="s">
        <v>3728</v>
      </c>
      <c r="NEW613" s="17">
        <v>44925</v>
      </c>
      <c r="NEX613" s="5" t="s">
        <v>3728</v>
      </c>
      <c r="NEY613" s="17">
        <v>44925</v>
      </c>
      <c r="NEZ613" s="5" t="s">
        <v>3728</v>
      </c>
      <c r="NFA613" s="17">
        <v>44925</v>
      </c>
      <c r="NFB613" s="5" t="s">
        <v>3728</v>
      </c>
      <c r="NFC613" s="17">
        <v>44925</v>
      </c>
      <c r="NFD613" s="5" t="s">
        <v>3728</v>
      </c>
      <c r="NFE613" s="17">
        <v>44925</v>
      </c>
      <c r="NFF613" s="5" t="s">
        <v>3728</v>
      </c>
      <c r="NFG613" s="17">
        <v>44925</v>
      </c>
      <c r="NFH613" s="5" t="s">
        <v>3728</v>
      </c>
      <c r="NFI613" s="17">
        <v>44925</v>
      </c>
      <c r="NFJ613" s="5" t="s">
        <v>3728</v>
      </c>
      <c r="NFK613" s="17">
        <v>44925</v>
      </c>
      <c r="NFL613" s="5" t="s">
        <v>3728</v>
      </c>
      <c r="NFM613" s="17">
        <v>44925</v>
      </c>
      <c r="NFN613" s="5" t="s">
        <v>3728</v>
      </c>
      <c r="NFO613" s="17">
        <v>44925</v>
      </c>
      <c r="NFP613" s="5" t="s">
        <v>3728</v>
      </c>
      <c r="NFQ613" s="17">
        <v>44925</v>
      </c>
      <c r="NFR613" s="5" t="s">
        <v>3728</v>
      </c>
      <c r="NFS613" s="17">
        <v>44925</v>
      </c>
      <c r="NFT613" s="5" t="s">
        <v>3728</v>
      </c>
      <c r="NFU613" s="17">
        <v>44925</v>
      </c>
      <c r="NFV613" s="5" t="s">
        <v>3728</v>
      </c>
      <c r="NFW613" s="17">
        <v>44925</v>
      </c>
      <c r="NFX613" s="5" t="s">
        <v>3728</v>
      </c>
      <c r="NFY613" s="17">
        <v>44925</v>
      </c>
      <c r="NFZ613" s="5" t="s">
        <v>3728</v>
      </c>
      <c r="NGA613" s="17">
        <v>44925</v>
      </c>
      <c r="NGB613" s="5" t="s">
        <v>3728</v>
      </c>
      <c r="NGC613" s="17">
        <v>44925</v>
      </c>
      <c r="NGD613" s="5" t="s">
        <v>3728</v>
      </c>
      <c r="NGE613" s="17">
        <v>44925</v>
      </c>
      <c r="NGF613" s="5" t="s">
        <v>3728</v>
      </c>
      <c r="NGG613" s="17">
        <v>44925</v>
      </c>
      <c r="NGH613" s="5" t="s">
        <v>3728</v>
      </c>
      <c r="NGI613" s="17">
        <v>44925</v>
      </c>
      <c r="NGJ613" s="5" t="s">
        <v>3728</v>
      </c>
      <c r="NGK613" s="17">
        <v>44925</v>
      </c>
      <c r="NGL613" s="5" t="s">
        <v>3728</v>
      </c>
      <c r="NGM613" s="17">
        <v>44925</v>
      </c>
      <c r="NGN613" s="5" t="s">
        <v>3728</v>
      </c>
      <c r="NGO613" s="17">
        <v>44925</v>
      </c>
      <c r="NGP613" s="5" t="s">
        <v>3728</v>
      </c>
      <c r="NGQ613" s="17">
        <v>44925</v>
      </c>
      <c r="NGR613" s="5" t="s">
        <v>3728</v>
      </c>
      <c r="NGS613" s="17">
        <v>44925</v>
      </c>
      <c r="NGT613" s="5" t="s">
        <v>3728</v>
      </c>
      <c r="NGU613" s="17">
        <v>44925</v>
      </c>
      <c r="NGV613" s="5" t="s">
        <v>3728</v>
      </c>
      <c r="NGW613" s="17">
        <v>44925</v>
      </c>
      <c r="NGX613" s="5" t="s">
        <v>3728</v>
      </c>
      <c r="NGY613" s="17">
        <v>44925</v>
      </c>
      <c r="NGZ613" s="5" t="s">
        <v>3728</v>
      </c>
      <c r="NHA613" s="17">
        <v>44925</v>
      </c>
      <c r="NHB613" s="5" t="s">
        <v>3728</v>
      </c>
      <c r="NHC613" s="17">
        <v>44925</v>
      </c>
      <c r="NHD613" s="5" t="s">
        <v>3728</v>
      </c>
      <c r="NHE613" s="17">
        <v>44925</v>
      </c>
      <c r="NHF613" s="5" t="s">
        <v>3728</v>
      </c>
      <c r="NHG613" s="17">
        <v>44925</v>
      </c>
      <c r="NHH613" s="5" t="s">
        <v>3728</v>
      </c>
      <c r="NHI613" s="17">
        <v>44925</v>
      </c>
      <c r="NHJ613" s="5" t="s">
        <v>3728</v>
      </c>
      <c r="NHK613" s="17">
        <v>44925</v>
      </c>
      <c r="NHL613" s="5" t="s">
        <v>3728</v>
      </c>
      <c r="NHM613" s="17">
        <v>44925</v>
      </c>
      <c r="NHN613" s="5" t="s">
        <v>3728</v>
      </c>
      <c r="NHO613" s="17">
        <v>44925</v>
      </c>
      <c r="NHP613" s="5" t="s">
        <v>3728</v>
      </c>
      <c r="NHQ613" s="17">
        <v>44925</v>
      </c>
      <c r="NHR613" s="5" t="s">
        <v>3728</v>
      </c>
      <c r="NHS613" s="17">
        <v>44925</v>
      </c>
      <c r="NHT613" s="5" t="s">
        <v>3728</v>
      </c>
      <c r="NHU613" s="17">
        <v>44925</v>
      </c>
      <c r="NHV613" s="5" t="s">
        <v>3728</v>
      </c>
      <c r="NHW613" s="17">
        <v>44925</v>
      </c>
      <c r="NHX613" s="5" t="s">
        <v>3728</v>
      </c>
      <c r="NHY613" s="17">
        <v>44925</v>
      </c>
      <c r="NHZ613" s="5" t="s">
        <v>3728</v>
      </c>
      <c r="NIA613" s="17">
        <v>44925</v>
      </c>
      <c r="NIB613" s="5" t="s">
        <v>3728</v>
      </c>
      <c r="NIC613" s="17">
        <v>44925</v>
      </c>
      <c r="NID613" s="5" t="s">
        <v>3728</v>
      </c>
      <c r="NIE613" s="17">
        <v>44925</v>
      </c>
      <c r="NIF613" s="5" t="s">
        <v>3728</v>
      </c>
      <c r="NIG613" s="17">
        <v>44925</v>
      </c>
      <c r="NIH613" s="5" t="s">
        <v>3728</v>
      </c>
      <c r="NII613" s="17">
        <v>44925</v>
      </c>
      <c r="NIJ613" s="5" t="s">
        <v>3728</v>
      </c>
      <c r="NIK613" s="17">
        <v>44925</v>
      </c>
      <c r="NIL613" s="5" t="s">
        <v>3728</v>
      </c>
      <c r="NIM613" s="17">
        <v>44925</v>
      </c>
      <c r="NIN613" s="5" t="s">
        <v>3728</v>
      </c>
      <c r="NIO613" s="17">
        <v>44925</v>
      </c>
      <c r="NIP613" s="5" t="s">
        <v>3728</v>
      </c>
      <c r="NIQ613" s="17">
        <v>44925</v>
      </c>
      <c r="NIR613" s="5" t="s">
        <v>3728</v>
      </c>
      <c r="NIS613" s="17">
        <v>44925</v>
      </c>
      <c r="NIT613" s="5" t="s">
        <v>3728</v>
      </c>
      <c r="NIU613" s="17">
        <v>44925</v>
      </c>
      <c r="NIV613" s="5" t="s">
        <v>3728</v>
      </c>
      <c r="NIW613" s="17">
        <v>44925</v>
      </c>
      <c r="NIX613" s="5" t="s">
        <v>3728</v>
      </c>
      <c r="NIY613" s="17">
        <v>44925</v>
      </c>
      <c r="NIZ613" s="5" t="s">
        <v>3728</v>
      </c>
      <c r="NJA613" s="17">
        <v>44925</v>
      </c>
      <c r="NJB613" s="5" t="s">
        <v>3728</v>
      </c>
      <c r="NJC613" s="17">
        <v>44925</v>
      </c>
      <c r="NJD613" s="5" t="s">
        <v>3728</v>
      </c>
      <c r="NJE613" s="17">
        <v>44925</v>
      </c>
      <c r="NJF613" s="5" t="s">
        <v>3728</v>
      </c>
      <c r="NJG613" s="17">
        <v>44925</v>
      </c>
      <c r="NJH613" s="5" t="s">
        <v>3728</v>
      </c>
      <c r="NJI613" s="17">
        <v>44925</v>
      </c>
      <c r="NJJ613" s="5" t="s">
        <v>3728</v>
      </c>
      <c r="NJK613" s="17">
        <v>44925</v>
      </c>
      <c r="NJL613" s="5" t="s">
        <v>3728</v>
      </c>
      <c r="NJM613" s="17">
        <v>44925</v>
      </c>
      <c r="NJN613" s="5" t="s">
        <v>3728</v>
      </c>
      <c r="NJO613" s="17">
        <v>44925</v>
      </c>
      <c r="NJP613" s="5" t="s">
        <v>3728</v>
      </c>
      <c r="NJQ613" s="17">
        <v>44925</v>
      </c>
      <c r="NJR613" s="5" t="s">
        <v>3728</v>
      </c>
      <c r="NJS613" s="17">
        <v>44925</v>
      </c>
      <c r="NJT613" s="5" t="s">
        <v>3728</v>
      </c>
      <c r="NJU613" s="17">
        <v>44925</v>
      </c>
      <c r="NJV613" s="5" t="s">
        <v>3728</v>
      </c>
      <c r="NJW613" s="17">
        <v>44925</v>
      </c>
      <c r="NJX613" s="5" t="s">
        <v>3728</v>
      </c>
      <c r="NJY613" s="17">
        <v>44925</v>
      </c>
      <c r="NJZ613" s="5" t="s">
        <v>3728</v>
      </c>
      <c r="NKA613" s="17">
        <v>44925</v>
      </c>
      <c r="NKB613" s="5" t="s">
        <v>3728</v>
      </c>
      <c r="NKC613" s="17">
        <v>44925</v>
      </c>
      <c r="NKD613" s="5" t="s">
        <v>3728</v>
      </c>
      <c r="NKE613" s="17">
        <v>44925</v>
      </c>
      <c r="NKF613" s="5" t="s">
        <v>3728</v>
      </c>
      <c r="NKG613" s="17">
        <v>44925</v>
      </c>
      <c r="NKH613" s="5" t="s">
        <v>3728</v>
      </c>
      <c r="NKI613" s="17">
        <v>44925</v>
      </c>
      <c r="NKJ613" s="5" t="s">
        <v>3728</v>
      </c>
      <c r="NKK613" s="17">
        <v>44925</v>
      </c>
      <c r="NKL613" s="5" t="s">
        <v>3728</v>
      </c>
      <c r="NKM613" s="17">
        <v>44925</v>
      </c>
      <c r="NKN613" s="5" t="s">
        <v>3728</v>
      </c>
      <c r="NKO613" s="17">
        <v>44925</v>
      </c>
      <c r="NKP613" s="5" t="s">
        <v>3728</v>
      </c>
      <c r="NKQ613" s="17">
        <v>44925</v>
      </c>
      <c r="NKR613" s="5" t="s">
        <v>3728</v>
      </c>
      <c r="NKS613" s="17">
        <v>44925</v>
      </c>
      <c r="NKT613" s="5" t="s">
        <v>3728</v>
      </c>
      <c r="NKU613" s="17">
        <v>44925</v>
      </c>
      <c r="NKV613" s="5" t="s">
        <v>3728</v>
      </c>
      <c r="NKW613" s="17">
        <v>44925</v>
      </c>
      <c r="NKX613" s="5" t="s">
        <v>3728</v>
      </c>
      <c r="NKY613" s="17">
        <v>44925</v>
      </c>
      <c r="NKZ613" s="5" t="s">
        <v>3728</v>
      </c>
      <c r="NLA613" s="17">
        <v>44925</v>
      </c>
      <c r="NLB613" s="5" t="s">
        <v>3728</v>
      </c>
      <c r="NLC613" s="17">
        <v>44925</v>
      </c>
      <c r="NLD613" s="5" t="s">
        <v>3728</v>
      </c>
      <c r="NLE613" s="17">
        <v>44925</v>
      </c>
      <c r="NLF613" s="5" t="s">
        <v>3728</v>
      </c>
      <c r="NLG613" s="17">
        <v>44925</v>
      </c>
      <c r="NLH613" s="5" t="s">
        <v>3728</v>
      </c>
      <c r="NLI613" s="17">
        <v>44925</v>
      </c>
      <c r="NLJ613" s="5" t="s">
        <v>3728</v>
      </c>
      <c r="NLK613" s="17">
        <v>44925</v>
      </c>
      <c r="NLL613" s="5" t="s">
        <v>3728</v>
      </c>
      <c r="NLM613" s="17">
        <v>44925</v>
      </c>
      <c r="NLN613" s="5" t="s">
        <v>3728</v>
      </c>
      <c r="NLO613" s="17">
        <v>44925</v>
      </c>
      <c r="NLP613" s="5" t="s">
        <v>3728</v>
      </c>
      <c r="NLQ613" s="17">
        <v>44925</v>
      </c>
      <c r="NLR613" s="5" t="s">
        <v>3728</v>
      </c>
      <c r="NLS613" s="17">
        <v>44925</v>
      </c>
      <c r="NLT613" s="5" t="s">
        <v>3728</v>
      </c>
      <c r="NLU613" s="17">
        <v>44925</v>
      </c>
      <c r="NLV613" s="5" t="s">
        <v>3728</v>
      </c>
      <c r="NLW613" s="17">
        <v>44925</v>
      </c>
      <c r="NLX613" s="5" t="s">
        <v>3728</v>
      </c>
      <c r="NLY613" s="17">
        <v>44925</v>
      </c>
      <c r="NLZ613" s="5" t="s">
        <v>3728</v>
      </c>
      <c r="NMA613" s="17">
        <v>44925</v>
      </c>
      <c r="NMB613" s="5" t="s">
        <v>3728</v>
      </c>
      <c r="NMC613" s="17">
        <v>44925</v>
      </c>
      <c r="NMD613" s="5" t="s">
        <v>3728</v>
      </c>
      <c r="NME613" s="17">
        <v>44925</v>
      </c>
      <c r="NMF613" s="5" t="s">
        <v>3728</v>
      </c>
      <c r="NMG613" s="17">
        <v>44925</v>
      </c>
      <c r="NMH613" s="5" t="s">
        <v>3728</v>
      </c>
      <c r="NMI613" s="17">
        <v>44925</v>
      </c>
      <c r="NMJ613" s="5" t="s">
        <v>3728</v>
      </c>
      <c r="NMK613" s="17">
        <v>44925</v>
      </c>
      <c r="NML613" s="5" t="s">
        <v>3728</v>
      </c>
      <c r="NMM613" s="17">
        <v>44925</v>
      </c>
      <c r="NMN613" s="5" t="s">
        <v>3728</v>
      </c>
      <c r="NMO613" s="17">
        <v>44925</v>
      </c>
      <c r="NMP613" s="5" t="s">
        <v>3728</v>
      </c>
      <c r="NMQ613" s="17">
        <v>44925</v>
      </c>
      <c r="NMR613" s="5" t="s">
        <v>3728</v>
      </c>
      <c r="NMS613" s="17">
        <v>44925</v>
      </c>
      <c r="NMT613" s="5" t="s">
        <v>3728</v>
      </c>
      <c r="NMU613" s="17">
        <v>44925</v>
      </c>
      <c r="NMV613" s="5" t="s">
        <v>3728</v>
      </c>
      <c r="NMW613" s="17">
        <v>44925</v>
      </c>
      <c r="NMX613" s="5" t="s">
        <v>3728</v>
      </c>
      <c r="NMY613" s="17">
        <v>44925</v>
      </c>
      <c r="NMZ613" s="5" t="s">
        <v>3728</v>
      </c>
      <c r="NNA613" s="17">
        <v>44925</v>
      </c>
      <c r="NNB613" s="5" t="s">
        <v>3728</v>
      </c>
      <c r="NNC613" s="17">
        <v>44925</v>
      </c>
      <c r="NND613" s="5" t="s">
        <v>3728</v>
      </c>
      <c r="NNE613" s="17">
        <v>44925</v>
      </c>
      <c r="NNF613" s="5" t="s">
        <v>3728</v>
      </c>
      <c r="NNG613" s="17">
        <v>44925</v>
      </c>
      <c r="NNH613" s="5" t="s">
        <v>3728</v>
      </c>
      <c r="NNI613" s="17">
        <v>44925</v>
      </c>
      <c r="NNJ613" s="5" t="s">
        <v>3728</v>
      </c>
      <c r="NNK613" s="17">
        <v>44925</v>
      </c>
      <c r="NNL613" s="5" t="s">
        <v>3728</v>
      </c>
      <c r="NNM613" s="17">
        <v>44925</v>
      </c>
      <c r="NNN613" s="5" t="s">
        <v>3728</v>
      </c>
      <c r="NNO613" s="17">
        <v>44925</v>
      </c>
      <c r="NNP613" s="5" t="s">
        <v>3728</v>
      </c>
      <c r="NNQ613" s="17">
        <v>44925</v>
      </c>
      <c r="NNR613" s="5" t="s">
        <v>3728</v>
      </c>
      <c r="NNS613" s="17">
        <v>44925</v>
      </c>
      <c r="NNT613" s="5" t="s">
        <v>3728</v>
      </c>
      <c r="NNU613" s="17">
        <v>44925</v>
      </c>
      <c r="NNV613" s="5" t="s">
        <v>3728</v>
      </c>
      <c r="NNW613" s="17">
        <v>44925</v>
      </c>
      <c r="NNX613" s="5" t="s">
        <v>3728</v>
      </c>
      <c r="NNY613" s="17">
        <v>44925</v>
      </c>
      <c r="NNZ613" s="5" t="s">
        <v>3728</v>
      </c>
      <c r="NOA613" s="17">
        <v>44925</v>
      </c>
      <c r="NOB613" s="5" t="s">
        <v>3728</v>
      </c>
      <c r="NOC613" s="17">
        <v>44925</v>
      </c>
      <c r="NOD613" s="5" t="s">
        <v>3728</v>
      </c>
      <c r="NOE613" s="17">
        <v>44925</v>
      </c>
      <c r="NOF613" s="5" t="s">
        <v>3728</v>
      </c>
      <c r="NOG613" s="17">
        <v>44925</v>
      </c>
      <c r="NOH613" s="5" t="s">
        <v>3728</v>
      </c>
      <c r="NOI613" s="17">
        <v>44925</v>
      </c>
      <c r="NOJ613" s="5" t="s">
        <v>3728</v>
      </c>
      <c r="NOK613" s="17">
        <v>44925</v>
      </c>
      <c r="NOL613" s="5" t="s">
        <v>3728</v>
      </c>
      <c r="NOM613" s="17">
        <v>44925</v>
      </c>
      <c r="NON613" s="5" t="s">
        <v>3728</v>
      </c>
      <c r="NOO613" s="17">
        <v>44925</v>
      </c>
      <c r="NOP613" s="5" t="s">
        <v>3728</v>
      </c>
      <c r="NOQ613" s="17">
        <v>44925</v>
      </c>
      <c r="NOR613" s="5" t="s">
        <v>3728</v>
      </c>
      <c r="NOS613" s="17">
        <v>44925</v>
      </c>
      <c r="NOT613" s="5" t="s">
        <v>3728</v>
      </c>
      <c r="NOU613" s="17">
        <v>44925</v>
      </c>
      <c r="NOV613" s="5" t="s">
        <v>3728</v>
      </c>
      <c r="NOW613" s="17">
        <v>44925</v>
      </c>
      <c r="NOX613" s="5" t="s">
        <v>3728</v>
      </c>
      <c r="NOY613" s="17">
        <v>44925</v>
      </c>
      <c r="NOZ613" s="5" t="s">
        <v>3728</v>
      </c>
      <c r="NPA613" s="17">
        <v>44925</v>
      </c>
      <c r="NPB613" s="5" t="s">
        <v>3728</v>
      </c>
      <c r="NPC613" s="17">
        <v>44925</v>
      </c>
      <c r="NPD613" s="5" t="s">
        <v>3728</v>
      </c>
      <c r="NPE613" s="17">
        <v>44925</v>
      </c>
      <c r="NPF613" s="5" t="s">
        <v>3728</v>
      </c>
      <c r="NPG613" s="17">
        <v>44925</v>
      </c>
      <c r="NPH613" s="5" t="s">
        <v>3728</v>
      </c>
      <c r="NPI613" s="17">
        <v>44925</v>
      </c>
      <c r="NPJ613" s="5" t="s">
        <v>3728</v>
      </c>
      <c r="NPK613" s="17">
        <v>44925</v>
      </c>
      <c r="NPL613" s="5" t="s">
        <v>3728</v>
      </c>
      <c r="NPM613" s="17">
        <v>44925</v>
      </c>
      <c r="NPN613" s="5" t="s">
        <v>3728</v>
      </c>
      <c r="NPO613" s="17">
        <v>44925</v>
      </c>
      <c r="NPP613" s="5" t="s">
        <v>3728</v>
      </c>
      <c r="NPQ613" s="17">
        <v>44925</v>
      </c>
      <c r="NPR613" s="5" t="s">
        <v>3728</v>
      </c>
      <c r="NPS613" s="17">
        <v>44925</v>
      </c>
      <c r="NPT613" s="5" t="s">
        <v>3728</v>
      </c>
      <c r="NPU613" s="17">
        <v>44925</v>
      </c>
      <c r="NPV613" s="5" t="s">
        <v>3728</v>
      </c>
      <c r="NPW613" s="17">
        <v>44925</v>
      </c>
      <c r="NPX613" s="5" t="s">
        <v>3728</v>
      </c>
      <c r="NPY613" s="17">
        <v>44925</v>
      </c>
      <c r="NPZ613" s="5" t="s">
        <v>3728</v>
      </c>
      <c r="NQA613" s="17">
        <v>44925</v>
      </c>
      <c r="NQB613" s="5" t="s">
        <v>3728</v>
      </c>
      <c r="NQC613" s="17">
        <v>44925</v>
      </c>
      <c r="NQD613" s="5" t="s">
        <v>3728</v>
      </c>
      <c r="NQE613" s="17">
        <v>44925</v>
      </c>
      <c r="NQF613" s="5" t="s">
        <v>3728</v>
      </c>
      <c r="NQG613" s="17">
        <v>44925</v>
      </c>
      <c r="NQH613" s="5" t="s">
        <v>3728</v>
      </c>
      <c r="NQI613" s="17">
        <v>44925</v>
      </c>
      <c r="NQJ613" s="5" t="s">
        <v>3728</v>
      </c>
      <c r="NQK613" s="17">
        <v>44925</v>
      </c>
      <c r="NQL613" s="5" t="s">
        <v>3728</v>
      </c>
      <c r="NQM613" s="17">
        <v>44925</v>
      </c>
      <c r="NQN613" s="5" t="s">
        <v>3728</v>
      </c>
      <c r="NQO613" s="17">
        <v>44925</v>
      </c>
      <c r="NQP613" s="5" t="s">
        <v>3728</v>
      </c>
      <c r="NQQ613" s="17">
        <v>44925</v>
      </c>
      <c r="NQR613" s="5" t="s">
        <v>3728</v>
      </c>
      <c r="NQS613" s="17">
        <v>44925</v>
      </c>
      <c r="NQT613" s="5" t="s">
        <v>3728</v>
      </c>
      <c r="NQU613" s="17">
        <v>44925</v>
      </c>
      <c r="NQV613" s="5" t="s">
        <v>3728</v>
      </c>
      <c r="NQW613" s="17">
        <v>44925</v>
      </c>
      <c r="NQX613" s="5" t="s">
        <v>3728</v>
      </c>
      <c r="NQY613" s="17">
        <v>44925</v>
      </c>
      <c r="NQZ613" s="5" t="s">
        <v>3728</v>
      </c>
      <c r="NRA613" s="17">
        <v>44925</v>
      </c>
      <c r="NRB613" s="5" t="s">
        <v>3728</v>
      </c>
      <c r="NRC613" s="17">
        <v>44925</v>
      </c>
      <c r="NRD613" s="5" t="s">
        <v>3728</v>
      </c>
      <c r="NRE613" s="17">
        <v>44925</v>
      </c>
      <c r="NRF613" s="5" t="s">
        <v>3728</v>
      </c>
      <c r="NRG613" s="17">
        <v>44925</v>
      </c>
      <c r="NRH613" s="5" t="s">
        <v>3728</v>
      </c>
      <c r="NRI613" s="17">
        <v>44925</v>
      </c>
      <c r="NRJ613" s="5" t="s">
        <v>3728</v>
      </c>
      <c r="NRK613" s="17">
        <v>44925</v>
      </c>
      <c r="NRL613" s="5" t="s">
        <v>3728</v>
      </c>
      <c r="NRM613" s="17">
        <v>44925</v>
      </c>
      <c r="NRN613" s="5" t="s">
        <v>3728</v>
      </c>
      <c r="NRO613" s="17">
        <v>44925</v>
      </c>
      <c r="NRP613" s="5" t="s">
        <v>3728</v>
      </c>
      <c r="NRQ613" s="17">
        <v>44925</v>
      </c>
      <c r="NRR613" s="5" t="s">
        <v>3728</v>
      </c>
      <c r="NRS613" s="17">
        <v>44925</v>
      </c>
      <c r="NRT613" s="5" t="s">
        <v>3728</v>
      </c>
      <c r="NRU613" s="17">
        <v>44925</v>
      </c>
      <c r="NRV613" s="5" t="s">
        <v>3728</v>
      </c>
      <c r="NRW613" s="17">
        <v>44925</v>
      </c>
      <c r="NRX613" s="5" t="s">
        <v>3728</v>
      </c>
      <c r="NRY613" s="17">
        <v>44925</v>
      </c>
      <c r="NRZ613" s="5" t="s">
        <v>3728</v>
      </c>
      <c r="NSA613" s="17">
        <v>44925</v>
      </c>
      <c r="NSB613" s="5" t="s">
        <v>3728</v>
      </c>
      <c r="NSC613" s="17">
        <v>44925</v>
      </c>
      <c r="NSD613" s="5" t="s">
        <v>3728</v>
      </c>
      <c r="NSE613" s="17">
        <v>44925</v>
      </c>
      <c r="NSF613" s="5" t="s">
        <v>3728</v>
      </c>
      <c r="NSG613" s="17">
        <v>44925</v>
      </c>
      <c r="NSH613" s="5" t="s">
        <v>3728</v>
      </c>
      <c r="NSI613" s="17">
        <v>44925</v>
      </c>
      <c r="NSJ613" s="5" t="s">
        <v>3728</v>
      </c>
      <c r="NSK613" s="17">
        <v>44925</v>
      </c>
      <c r="NSL613" s="5" t="s">
        <v>3728</v>
      </c>
      <c r="NSM613" s="17">
        <v>44925</v>
      </c>
      <c r="NSN613" s="5" t="s">
        <v>3728</v>
      </c>
      <c r="NSO613" s="17">
        <v>44925</v>
      </c>
      <c r="NSP613" s="5" t="s">
        <v>3728</v>
      </c>
      <c r="NSQ613" s="17">
        <v>44925</v>
      </c>
      <c r="NSR613" s="5" t="s">
        <v>3728</v>
      </c>
      <c r="NSS613" s="17">
        <v>44925</v>
      </c>
      <c r="NST613" s="5" t="s">
        <v>3728</v>
      </c>
      <c r="NSU613" s="17">
        <v>44925</v>
      </c>
      <c r="NSV613" s="5" t="s">
        <v>3728</v>
      </c>
      <c r="NSW613" s="17">
        <v>44925</v>
      </c>
      <c r="NSX613" s="5" t="s">
        <v>3728</v>
      </c>
      <c r="NSY613" s="17">
        <v>44925</v>
      </c>
      <c r="NSZ613" s="5" t="s">
        <v>3728</v>
      </c>
      <c r="NTA613" s="17">
        <v>44925</v>
      </c>
      <c r="NTB613" s="5" t="s">
        <v>3728</v>
      </c>
      <c r="NTC613" s="17">
        <v>44925</v>
      </c>
      <c r="NTD613" s="5" t="s">
        <v>3728</v>
      </c>
      <c r="NTE613" s="17">
        <v>44925</v>
      </c>
      <c r="NTF613" s="5" t="s">
        <v>3728</v>
      </c>
      <c r="NTG613" s="17">
        <v>44925</v>
      </c>
      <c r="NTH613" s="5" t="s">
        <v>3728</v>
      </c>
      <c r="NTI613" s="17">
        <v>44925</v>
      </c>
      <c r="NTJ613" s="5" t="s">
        <v>3728</v>
      </c>
      <c r="NTK613" s="17">
        <v>44925</v>
      </c>
      <c r="NTL613" s="5" t="s">
        <v>3728</v>
      </c>
      <c r="NTM613" s="17">
        <v>44925</v>
      </c>
      <c r="NTN613" s="5" t="s">
        <v>3728</v>
      </c>
      <c r="NTO613" s="17">
        <v>44925</v>
      </c>
      <c r="NTP613" s="5" t="s">
        <v>3728</v>
      </c>
      <c r="NTQ613" s="17">
        <v>44925</v>
      </c>
      <c r="NTR613" s="5" t="s">
        <v>3728</v>
      </c>
      <c r="NTS613" s="17">
        <v>44925</v>
      </c>
      <c r="NTT613" s="5" t="s">
        <v>3728</v>
      </c>
      <c r="NTU613" s="17">
        <v>44925</v>
      </c>
      <c r="NTV613" s="5" t="s">
        <v>3728</v>
      </c>
      <c r="NTW613" s="17">
        <v>44925</v>
      </c>
      <c r="NTX613" s="5" t="s">
        <v>3728</v>
      </c>
      <c r="NTY613" s="17">
        <v>44925</v>
      </c>
      <c r="NTZ613" s="5" t="s">
        <v>3728</v>
      </c>
      <c r="NUA613" s="17">
        <v>44925</v>
      </c>
      <c r="NUB613" s="5" t="s">
        <v>3728</v>
      </c>
      <c r="NUC613" s="17">
        <v>44925</v>
      </c>
      <c r="NUD613" s="5" t="s">
        <v>3728</v>
      </c>
      <c r="NUE613" s="17">
        <v>44925</v>
      </c>
      <c r="NUF613" s="5" t="s">
        <v>3728</v>
      </c>
      <c r="NUG613" s="17">
        <v>44925</v>
      </c>
      <c r="NUH613" s="5" t="s">
        <v>3728</v>
      </c>
      <c r="NUI613" s="17">
        <v>44925</v>
      </c>
      <c r="NUJ613" s="5" t="s">
        <v>3728</v>
      </c>
      <c r="NUK613" s="17">
        <v>44925</v>
      </c>
      <c r="NUL613" s="5" t="s">
        <v>3728</v>
      </c>
      <c r="NUM613" s="17">
        <v>44925</v>
      </c>
      <c r="NUN613" s="5" t="s">
        <v>3728</v>
      </c>
      <c r="NUO613" s="17">
        <v>44925</v>
      </c>
      <c r="NUP613" s="5" t="s">
        <v>3728</v>
      </c>
      <c r="NUQ613" s="17">
        <v>44925</v>
      </c>
      <c r="NUR613" s="5" t="s">
        <v>3728</v>
      </c>
      <c r="NUS613" s="17">
        <v>44925</v>
      </c>
      <c r="NUT613" s="5" t="s">
        <v>3728</v>
      </c>
      <c r="NUU613" s="17">
        <v>44925</v>
      </c>
      <c r="NUV613" s="5" t="s">
        <v>3728</v>
      </c>
      <c r="NUW613" s="17">
        <v>44925</v>
      </c>
      <c r="NUX613" s="5" t="s">
        <v>3728</v>
      </c>
      <c r="NUY613" s="17">
        <v>44925</v>
      </c>
      <c r="NUZ613" s="5" t="s">
        <v>3728</v>
      </c>
      <c r="NVA613" s="17">
        <v>44925</v>
      </c>
      <c r="NVB613" s="5" t="s">
        <v>3728</v>
      </c>
      <c r="NVC613" s="17">
        <v>44925</v>
      </c>
      <c r="NVD613" s="5" t="s">
        <v>3728</v>
      </c>
      <c r="NVE613" s="17">
        <v>44925</v>
      </c>
      <c r="NVF613" s="5" t="s">
        <v>3728</v>
      </c>
      <c r="NVG613" s="17">
        <v>44925</v>
      </c>
      <c r="NVH613" s="5" t="s">
        <v>3728</v>
      </c>
      <c r="NVI613" s="17">
        <v>44925</v>
      </c>
      <c r="NVJ613" s="5" t="s">
        <v>3728</v>
      </c>
      <c r="NVK613" s="17">
        <v>44925</v>
      </c>
      <c r="NVL613" s="5" t="s">
        <v>3728</v>
      </c>
      <c r="NVM613" s="17">
        <v>44925</v>
      </c>
      <c r="NVN613" s="5" t="s">
        <v>3728</v>
      </c>
      <c r="NVO613" s="17">
        <v>44925</v>
      </c>
      <c r="NVP613" s="5" t="s">
        <v>3728</v>
      </c>
      <c r="NVQ613" s="17">
        <v>44925</v>
      </c>
      <c r="NVR613" s="5" t="s">
        <v>3728</v>
      </c>
      <c r="NVS613" s="17">
        <v>44925</v>
      </c>
      <c r="NVT613" s="5" t="s">
        <v>3728</v>
      </c>
      <c r="NVU613" s="17">
        <v>44925</v>
      </c>
      <c r="NVV613" s="5" t="s">
        <v>3728</v>
      </c>
      <c r="NVW613" s="17">
        <v>44925</v>
      </c>
      <c r="NVX613" s="5" t="s">
        <v>3728</v>
      </c>
      <c r="NVY613" s="17">
        <v>44925</v>
      </c>
      <c r="NVZ613" s="5" t="s">
        <v>3728</v>
      </c>
      <c r="NWA613" s="17">
        <v>44925</v>
      </c>
      <c r="NWB613" s="5" t="s">
        <v>3728</v>
      </c>
      <c r="NWC613" s="17">
        <v>44925</v>
      </c>
      <c r="NWD613" s="5" t="s">
        <v>3728</v>
      </c>
      <c r="NWE613" s="17">
        <v>44925</v>
      </c>
      <c r="NWF613" s="5" t="s">
        <v>3728</v>
      </c>
      <c r="NWG613" s="17">
        <v>44925</v>
      </c>
      <c r="NWH613" s="5" t="s">
        <v>3728</v>
      </c>
      <c r="NWI613" s="17">
        <v>44925</v>
      </c>
      <c r="NWJ613" s="5" t="s">
        <v>3728</v>
      </c>
      <c r="NWK613" s="17">
        <v>44925</v>
      </c>
      <c r="NWL613" s="5" t="s">
        <v>3728</v>
      </c>
      <c r="NWM613" s="17">
        <v>44925</v>
      </c>
      <c r="NWN613" s="5" t="s">
        <v>3728</v>
      </c>
      <c r="NWO613" s="17">
        <v>44925</v>
      </c>
      <c r="NWP613" s="5" t="s">
        <v>3728</v>
      </c>
      <c r="NWQ613" s="17">
        <v>44925</v>
      </c>
      <c r="NWR613" s="5" t="s">
        <v>3728</v>
      </c>
      <c r="NWS613" s="17">
        <v>44925</v>
      </c>
      <c r="NWT613" s="5" t="s">
        <v>3728</v>
      </c>
      <c r="NWU613" s="17">
        <v>44925</v>
      </c>
      <c r="NWV613" s="5" t="s">
        <v>3728</v>
      </c>
      <c r="NWW613" s="17">
        <v>44925</v>
      </c>
      <c r="NWX613" s="5" t="s">
        <v>3728</v>
      </c>
      <c r="NWY613" s="17">
        <v>44925</v>
      </c>
      <c r="NWZ613" s="5" t="s">
        <v>3728</v>
      </c>
      <c r="NXA613" s="17">
        <v>44925</v>
      </c>
      <c r="NXB613" s="5" t="s">
        <v>3728</v>
      </c>
      <c r="NXC613" s="17">
        <v>44925</v>
      </c>
      <c r="NXD613" s="5" t="s">
        <v>3728</v>
      </c>
      <c r="NXE613" s="17">
        <v>44925</v>
      </c>
      <c r="NXF613" s="5" t="s">
        <v>3728</v>
      </c>
      <c r="NXG613" s="17">
        <v>44925</v>
      </c>
      <c r="NXH613" s="5" t="s">
        <v>3728</v>
      </c>
      <c r="NXI613" s="17">
        <v>44925</v>
      </c>
      <c r="NXJ613" s="5" t="s">
        <v>3728</v>
      </c>
      <c r="NXK613" s="17">
        <v>44925</v>
      </c>
      <c r="NXL613" s="5" t="s">
        <v>3728</v>
      </c>
      <c r="NXM613" s="17">
        <v>44925</v>
      </c>
      <c r="NXN613" s="5" t="s">
        <v>3728</v>
      </c>
      <c r="NXO613" s="17">
        <v>44925</v>
      </c>
      <c r="NXP613" s="5" t="s">
        <v>3728</v>
      </c>
      <c r="NXQ613" s="17">
        <v>44925</v>
      </c>
      <c r="NXR613" s="5" t="s">
        <v>3728</v>
      </c>
      <c r="NXS613" s="17">
        <v>44925</v>
      </c>
      <c r="NXT613" s="5" t="s">
        <v>3728</v>
      </c>
      <c r="NXU613" s="17">
        <v>44925</v>
      </c>
      <c r="NXV613" s="5" t="s">
        <v>3728</v>
      </c>
      <c r="NXW613" s="17">
        <v>44925</v>
      </c>
      <c r="NXX613" s="5" t="s">
        <v>3728</v>
      </c>
      <c r="NXY613" s="17">
        <v>44925</v>
      </c>
      <c r="NXZ613" s="5" t="s">
        <v>3728</v>
      </c>
      <c r="NYA613" s="17">
        <v>44925</v>
      </c>
      <c r="NYB613" s="5" t="s">
        <v>3728</v>
      </c>
      <c r="NYC613" s="17">
        <v>44925</v>
      </c>
      <c r="NYD613" s="5" t="s">
        <v>3728</v>
      </c>
      <c r="NYE613" s="17">
        <v>44925</v>
      </c>
      <c r="NYF613" s="5" t="s">
        <v>3728</v>
      </c>
      <c r="NYG613" s="17">
        <v>44925</v>
      </c>
      <c r="NYH613" s="5" t="s">
        <v>3728</v>
      </c>
      <c r="NYI613" s="17">
        <v>44925</v>
      </c>
      <c r="NYJ613" s="5" t="s">
        <v>3728</v>
      </c>
      <c r="NYK613" s="17">
        <v>44925</v>
      </c>
      <c r="NYL613" s="5" t="s">
        <v>3728</v>
      </c>
      <c r="NYM613" s="17">
        <v>44925</v>
      </c>
      <c r="NYN613" s="5" t="s">
        <v>3728</v>
      </c>
      <c r="NYO613" s="17">
        <v>44925</v>
      </c>
      <c r="NYP613" s="5" t="s">
        <v>3728</v>
      </c>
      <c r="NYQ613" s="17">
        <v>44925</v>
      </c>
      <c r="NYR613" s="5" t="s">
        <v>3728</v>
      </c>
      <c r="NYS613" s="17">
        <v>44925</v>
      </c>
      <c r="NYT613" s="5" t="s">
        <v>3728</v>
      </c>
      <c r="NYU613" s="17">
        <v>44925</v>
      </c>
      <c r="NYV613" s="5" t="s">
        <v>3728</v>
      </c>
      <c r="NYW613" s="17">
        <v>44925</v>
      </c>
      <c r="NYX613" s="5" t="s">
        <v>3728</v>
      </c>
      <c r="NYY613" s="17">
        <v>44925</v>
      </c>
      <c r="NYZ613" s="5" t="s">
        <v>3728</v>
      </c>
      <c r="NZA613" s="17">
        <v>44925</v>
      </c>
      <c r="NZB613" s="5" t="s">
        <v>3728</v>
      </c>
      <c r="NZC613" s="17">
        <v>44925</v>
      </c>
      <c r="NZD613" s="5" t="s">
        <v>3728</v>
      </c>
      <c r="NZE613" s="17">
        <v>44925</v>
      </c>
      <c r="NZF613" s="5" t="s">
        <v>3728</v>
      </c>
      <c r="NZG613" s="17">
        <v>44925</v>
      </c>
      <c r="NZH613" s="5" t="s">
        <v>3728</v>
      </c>
      <c r="NZI613" s="17">
        <v>44925</v>
      </c>
      <c r="NZJ613" s="5" t="s">
        <v>3728</v>
      </c>
      <c r="NZK613" s="17">
        <v>44925</v>
      </c>
      <c r="NZL613" s="5" t="s">
        <v>3728</v>
      </c>
      <c r="NZM613" s="17">
        <v>44925</v>
      </c>
      <c r="NZN613" s="5" t="s">
        <v>3728</v>
      </c>
      <c r="NZO613" s="17">
        <v>44925</v>
      </c>
      <c r="NZP613" s="5" t="s">
        <v>3728</v>
      </c>
      <c r="NZQ613" s="17">
        <v>44925</v>
      </c>
      <c r="NZR613" s="5" t="s">
        <v>3728</v>
      </c>
      <c r="NZS613" s="17">
        <v>44925</v>
      </c>
      <c r="NZT613" s="5" t="s">
        <v>3728</v>
      </c>
      <c r="NZU613" s="17">
        <v>44925</v>
      </c>
      <c r="NZV613" s="5" t="s">
        <v>3728</v>
      </c>
      <c r="NZW613" s="17">
        <v>44925</v>
      </c>
      <c r="NZX613" s="5" t="s">
        <v>3728</v>
      </c>
      <c r="NZY613" s="17">
        <v>44925</v>
      </c>
      <c r="NZZ613" s="5" t="s">
        <v>3728</v>
      </c>
      <c r="OAA613" s="17">
        <v>44925</v>
      </c>
      <c r="OAB613" s="5" t="s">
        <v>3728</v>
      </c>
      <c r="OAC613" s="17">
        <v>44925</v>
      </c>
      <c r="OAD613" s="5" t="s">
        <v>3728</v>
      </c>
      <c r="OAE613" s="17">
        <v>44925</v>
      </c>
      <c r="OAF613" s="5" t="s">
        <v>3728</v>
      </c>
      <c r="OAG613" s="17">
        <v>44925</v>
      </c>
      <c r="OAH613" s="5" t="s">
        <v>3728</v>
      </c>
      <c r="OAI613" s="17">
        <v>44925</v>
      </c>
      <c r="OAJ613" s="5" t="s">
        <v>3728</v>
      </c>
      <c r="OAK613" s="17">
        <v>44925</v>
      </c>
      <c r="OAL613" s="5" t="s">
        <v>3728</v>
      </c>
      <c r="OAM613" s="17">
        <v>44925</v>
      </c>
      <c r="OAN613" s="5" t="s">
        <v>3728</v>
      </c>
      <c r="OAO613" s="17">
        <v>44925</v>
      </c>
      <c r="OAP613" s="5" t="s">
        <v>3728</v>
      </c>
      <c r="OAQ613" s="17">
        <v>44925</v>
      </c>
      <c r="OAR613" s="5" t="s">
        <v>3728</v>
      </c>
      <c r="OAS613" s="17">
        <v>44925</v>
      </c>
      <c r="OAT613" s="5" t="s">
        <v>3728</v>
      </c>
      <c r="OAU613" s="17">
        <v>44925</v>
      </c>
      <c r="OAV613" s="5" t="s">
        <v>3728</v>
      </c>
      <c r="OAW613" s="17">
        <v>44925</v>
      </c>
      <c r="OAX613" s="5" t="s">
        <v>3728</v>
      </c>
      <c r="OAY613" s="17">
        <v>44925</v>
      </c>
      <c r="OAZ613" s="5" t="s">
        <v>3728</v>
      </c>
      <c r="OBA613" s="17">
        <v>44925</v>
      </c>
      <c r="OBB613" s="5" t="s">
        <v>3728</v>
      </c>
      <c r="OBC613" s="17">
        <v>44925</v>
      </c>
      <c r="OBD613" s="5" t="s">
        <v>3728</v>
      </c>
      <c r="OBE613" s="17">
        <v>44925</v>
      </c>
      <c r="OBF613" s="5" t="s">
        <v>3728</v>
      </c>
      <c r="OBG613" s="17">
        <v>44925</v>
      </c>
      <c r="OBH613" s="5" t="s">
        <v>3728</v>
      </c>
      <c r="OBI613" s="17">
        <v>44925</v>
      </c>
      <c r="OBJ613" s="5" t="s">
        <v>3728</v>
      </c>
      <c r="OBK613" s="17">
        <v>44925</v>
      </c>
      <c r="OBL613" s="5" t="s">
        <v>3728</v>
      </c>
      <c r="OBM613" s="17">
        <v>44925</v>
      </c>
      <c r="OBN613" s="5" t="s">
        <v>3728</v>
      </c>
      <c r="OBO613" s="17">
        <v>44925</v>
      </c>
      <c r="OBP613" s="5" t="s">
        <v>3728</v>
      </c>
      <c r="OBQ613" s="17">
        <v>44925</v>
      </c>
      <c r="OBR613" s="5" t="s">
        <v>3728</v>
      </c>
      <c r="OBS613" s="17">
        <v>44925</v>
      </c>
      <c r="OBT613" s="5" t="s">
        <v>3728</v>
      </c>
      <c r="OBU613" s="17">
        <v>44925</v>
      </c>
      <c r="OBV613" s="5" t="s">
        <v>3728</v>
      </c>
      <c r="OBW613" s="17">
        <v>44925</v>
      </c>
      <c r="OBX613" s="5" t="s">
        <v>3728</v>
      </c>
      <c r="OBY613" s="17">
        <v>44925</v>
      </c>
      <c r="OBZ613" s="5" t="s">
        <v>3728</v>
      </c>
      <c r="OCA613" s="17">
        <v>44925</v>
      </c>
      <c r="OCB613" s="5" t="s">
        <v>3728</v>
      </c>
      <c r="OCC613" s="17">
        <v>44925</v>
      </c>
      <c r="OCD613" s="5" t="s">
        <v>3728</v>
      </c>
      <c r="OCE613" s="17">
        <v>44925</v>
      </c>
      <c r="OCF613" s="5" t="s">
        <v>3728</v>
      </c>
      <c r="OCG613" s="17">
        <v>44925</v>
      </c>
      <c r="OCH613" s="5" t="s">
        <v>3728</v>
      </c>
      <c r="OCI613" s="17">
        <v>44925</v>
      </c>
      <c r="OCJ613" s="5" t="s">
        <v>3728</v>
      </c>
      <c r="OCK613" s="17">
        <v>44925</v>
      </c>
      <c r="OCL613" s="5" t="s">
        <v>3728</v>
      </c>
      <c r="OCM613" s="17">
        <v>44925</v>
      </c>
      <c r="OCN613" s="5" t="s">
        <v>3728</v>
      </c>
      <c r="OCO613" s="17">
        <v>44925</v>
      </c>
      <c r="OCP613" s="5" t="s">
        <v>3728</v>
      </c>
      <c r="OCQ613" s="17">
        <v>44925</v>
      </c>
      <c r="OCR613" s="5" t="s">
        <v>3728</v>
      </c>
      <c r="OCS613" s="17">
        <v>44925</v>
      </c>
      <c r="OCT613" s="5" t="s">
        <v>3728</v>
      </c>
      <c r="OCU613" s="17">
        <v>44925</v>
      </c>
      <c r="OCV613" s="5" t="s">
        <v>3728</v>
      </c>
      <c r="OCW613" s="17">
        <v>44925</v>
      </c>
      <c r="OCX613" s="5" t="s">
        <v>3728</v>
      </c>
      <c r="OCY613" s="17">
        <v>44925</v>
      </c>
      <c r="OCZ613" s="5" t="s">
        <v>3728</v>
      </c>
      <c r="ODA613" s="17">
        <v>44925</v>
      </c>
      <c r="ODB613" s="5" t="s">
        <v>3728</v>
      </c>
      <c r="ODC613" s="17">
        <v>44925</v>
      </c>
      <c r="ODD613" s="5" t="s">
        <v>3728</v>
      </c>
      <c r="ODE613" s="17">
        <v>44925</v>
      </c>
      <c r="ODF613" s="5" t="s">
        <v>3728</v>
      </c>
      <c r="ODG613" s="17">
        <v>44925</v>
      </c>
      <c r="ODH613" s="5" t="s">
        <v>3728</v>
      </c>
      <c r="ODI613" s="17">
        <v>44925</v>
      </c>
      <c r="ODJ613" s="5" t="s">
        <v>3728</v>
      </c>
      <c r="ODK613" s="17">
        <v>44925</v>
      </c>
      <c r="ODL613" s="5" t="s">
        <v>3728</v>
      </c>
      <c r="ODM613" s="17">
        <v>44925</v>
      </c>
      <c r="ODN613" s="5" t="s">
        <v>3728</v>
      </c>
      <c r="ODO613" s="17">
        <v>44925</v>
      </c>
      <c r="ODP613" s="5" t="s">
        <v>3728</v>
      </c>
      <c r="ODQ613" s="17">
        <v>44925</v>
      </c>
      <c r="ODR613" s="5" t="s">
        <v>3728</v>
      </c>
      <c r="ODS613" s="17">
        <v>44925</v>
      </c>
      <c r="ODT613" s="5" t="s">
        <v>3728</v>
      </c>
      <c r="ODU613" s="17">
        <v>44925</v>
      </c>
      <c r="ODV613" s="5" t="s">
        <v>3728</v>
      </c>
      <c r="ODW613" s="17">
        <v>44925</v>
      </c>
      <c r="ODX613" s="5" t="s">
        <v>3728</v>
      </c>
      <c r="ODY613" s="17">
        <v>44925</v>
      </c>
      <c r="ODZ613" s="5" t="s">
        <v>3728</v>
      </c>
      <c r="OEA613" s="17">
        <v>44925</v>
      </c>
      <c r="OEB613" s="5" t="s">
        <v>3728</v>
      </c>
      <c r="OEC613" s="17">
        <v>44925</v>
      </c>
      <c r="OED613" s="5" t="s">
        <v>3728</v>
      </c>
      <c r="OEE613" s="17">
        <v>44925</v>
      </c>
      <c r="OEF613" s="5" t="s">
        <v>3728</v>
      </c>
      <c r="OEG613" s="17">
        <v>44925</v>
      </c>
      <c r="OEH613" s="5" t="s">
        <v>3728</v>
      </c>
      <c r="OEI613" s="17">
        <v>44925</v>
      </c>
      <c r="OEJ613" s="5" t="s">
        <v>3728</v>
      </c>
      <c r="OEK613" s="17">
        <v>44925</v>
      </c>
      <c r="OEL613" s="5" t="s">
        <v>3728</v>
      </c>
      <c r="OEM613" s="17">
        <v>44925</v>
      </c>
      <c r="OEN613" s="5" t="s">
        <v>3728</v>
      </c>
      <c r="OEO613" s="17">
        <v>44925</v>
      </c>
      <c r="OEP613" s="5" t="s">
        <v>3728</v>
      </c>
      <c r="OEQ613" s="17">
        <v>44925</v>
      </c>
      <c r="OER613" s="5" t="s">
        <v>3728</v>
      </c>
      <c r="OES613" s="17">
        <v>44925</v>
      </c>
      <c r="OET613" s="5" t="s">
        <v>3728</v>
      </c>
      <c r="OEU613" s="17">
        <v>44925</v>
      </c>
      <c r="OEV613" s="5" t="s">
        <v>3728</v>
      </c>
      <c r="OEW613" s="17">
        <v>44925</v>
      </c>
      <c r="OEX613" s="5" t="s">
        <v>3728</v>
      </c>
      <c r="OEY613" s="17">
        <v>44925</v>
      </c>
      <c r="OEZ613" s="5" t="s">
        <v>3728</v>
      </c>
      <c r="OFA613" s="17">
        <v>44925</v>
      </c>
      <c r="OFB613" s="5" t="s">
        <v>3728</v>
      </c>
      <c r="OFC613" s="17">
        <v>44925</v>
      </c>
      <c r="OFD613" s="5" t="s">
        <v>3728</v>
      </c>
      <c r="OFE613" s="17">
        <v>44925</v>
      </c>
      <c r="OFF613" s="5" t="s">
        <v>3728</v>
      </c>
      <c r="OFG613" s="17">
        <v>44925</v>
      </c>
      <c r="OFH613" s="5" t="s">
        <v>3728</v>
      </c>
      <c r="OFI613" s="17">
        <v>44925</v>
      </c>
      <c r="OFJ613" s="5" t="s">
        <v>3728</v>
      </c>
      <c r="OFK613" s="17">
        <v>44925</v>
      </c>
      <c r="OFL613" s="5" t="s">
        <v>3728</v>
      </c>
      <c r="OFM613" s="17">
        <v>44925</v>
      </c>
      <c r="OFN613" s="5" t="s">
        <v>3728</v>
      </c>
      <c r="OFO613" s="17">
        <v>44925</v>
      </c>
      <c r="OFP613" s="5" t="s">
        <v>3728</v>
      </c>
      <c r="OFQ613" s="17">
        <v>44925</v>
      </c>
      <c r="OFR613" s="5" t="s">
        <v>3728</v>
      </c>
      <c r="OFS613" s="17">
        <v>44925</v>
      </c>
      <c r="OFT613" s="5" t="s">
        <v>3728</v>
      </c>
      <c r="OFU613" s="17">
        <v>44925</v>
      </c>
      <c r="OFV613" s="5" t="s">
        <v>3728</v>
      </c>
      <c r="OFW613" s="17">
        <v>44925</v>
      </c>
      <c r="OFX613" s="5" t="s">
        <v>3728</v>
      </c>
      <c r="OFY613" s="17">
        <v>44925</v>
      </c>
      <c r="OFZ613" s="5" t="s">
        <v>3728</v>
      </c>
      <c r="OGA613" s="17">
        <v>44925</v>
      </c>
      <c r="OGB613" s="5" t="s">
        <v>3728</v>
      </c>
      <c r="OGC613" s="17">
        <v>44925</v>
      </c>
      <c r="OGD613" s="5" t="s">
        <v>3728</v>
      </c>
      <c r="OGE613" s="17">
        <v>44925</v>
      </c>
      <c r="OGF613" s="5" t="s">
        <v>3728</v>
      </c>
      <c r="OGG613" s="17">
        <v>44925</v>
      </c>
      <c r="OGH613" s="5" t="s">
        <v>3728</v>
      </c>
      <c r="OGI613" s="17">
        <v>44925</v>
      </c>
      <c r="OGJ613" s="5" t="s">
        <v>3728</v>
      </c>
      <c r="OGK613" s="17">
        <v>44925</v>
      </c>
      <c r="OGL613" s="5" t="s">
        <v>3728</v>
      </c>
      <c r="OGM613" s="17">
        <v>44925</v>
      </c>
      <c r="OGN613" s="5" t="s">
        <v>3728</v>
      </c>
      <c r="OGO613" s="17">
        <v>44925</v>
      </c>
      <c r="OGP613" s="5" t="s">
        <v>3728</v>
      </c>
      <c r="OGQ613" s="17">
        <v>44925</v>
      </c>
      <c r="OGR613" s="5" t="s">
        <v>3728</v>
      </c>
      <c r="OGS613" s="17">
        <v>44925</v>
      </c>
      <c r="OGT613" s="5" t="s">
        <v>3728</v>
      </c>
      <c r="OGU613" s="17">
        <v>44925</v>
      </c>
      <c r="OGV613" s="5" t="s">
        <v>3728</v>
      </c>
      <c r="OGW613" s="17">
        <v>44925</v>
      </c>
      <c r="OGX613" s="5" t="s">
        <v>3728</v>
      </c>
      <c r="OGY613" s="17">
        <v>44925</v>
      </c>
      <c r="OGZ613" s="5" t="s">
        <v>3728</v>
      </c>
      <c r="OHA613" s="17">
        <v>44925</v>
      </c>
      <c r="OHB613" s="5" t="s">
        <v>3728</v>
      </c>
      <c r="OHC613" s="17">
        <v>44925</v>
      </c>
      <c r="OHD613" s="5" t="s">
        <v>3728</v>
      </c>
      <c r="OHE613" s="17">
        <v>44925</v>
      </c>
      <c r="OHF613" s="5" t="s">
        <v>3728</v>
      </c>
      <c r="OHG613" s="17">
        <v>44925</v>
      </c>
      <c r="OHH613" s="5" t="s">
        <v>3728</v>
      </c>
      <c r="OHI613" s="17">
        <v>44925</v>
      </c>
      <c r="OHJ613" s="5" t="s">
        <v>3728</v>
      </c>
      <c r="OHK613" s="17">
        <v>44925</v>
      </c>
      <c r="OHL613" s="5" t="s">
        <v>3728</v>
      </c>
      <c r="OHM613" s="17">
        <v>44925</v>
      </c>
      <c r="OHN613" s="5" t="s">
        <v>3728</v>
      </c>
      <c r="OHO613" s="17">
        <v>44925</v>
      </c>
      <c r="OHP613" s="5" t="s">
        <v>3728</v>
      </c>
      <c r="OHQ613" s="17">
        <v>44925</v>
      </c>
      <c r="OHR613" s="5" t="s">
        <v>3728</v>
      </c>
      <c r="OHS613" s="17">
        <v>44925</v>
      </c>
      <c r="OHT613" s="5" t="s">
        <v>3728</v>
      </c>
      <c r="OHU613" s="17">
        <v>44925</v>
      </c>
      <c r="OHV613" s="5" t="s">
        <v>3728</v>
      </c>
      <c r="OHW613" s="17">
        <v>44925</v>
      </c>
      <c r="OHX613" s="5" t="s">
        <v>3728</v>
      </c>
      <c r="OHY613" s="17">
        <v>44925</v>
      </c>
      <c r="OHZ613" s="5" t="s">
        <v>3728</v>
      </c>
      <c r="OIA613" s="17">
        <v>44925</v>
      </c>
      <c r="OIB613" s="5" t="s">
        <v>3728</v>
      </c>
      <c r="OIC613" s="17">
        <v>44925</v>
      </c>
      <c r="OID613" s="5" t="s">
        <v>3728</v>
      </c>
      <c r="OIE613" s="17">
        <v>44925</v>
      </c>
      <c r="OIF613" s="5" t="s">
        <v>3728</v>
      </c>
      <c r="OIG613" s="17">
        <v>44925</v>
      </c>
      <c r="OIH613" s="5" t="s">
        <v>3728</v>
      </c>
      <c r="OII613" s="17">
        <v>44925</v>
      </c>
      <c r="OIJ613" s="5" t="s">
        <v>3728</v>
      </c>
      <c r="OIK613" s="17">
        <v>44925</v>
      </c>
      <c r="OIL613" s="5" t="s">
        <v>3728</v>
      </c>
      <c r="OIM613" s="17">
        <v>44925</v>
      </c>
      <c r="OIN613" s="5" t="s">
        <v>3728</v>
      </c>
      <c r="OIO613" s="17">
        <v>44925</v>
      </c>
      <c r="OIP613" s="5" t="s">
        <v>3728</v>
      </c>
      <c r="OIQ613" s="17">
        <v>44925</v>
      </c>
      <c r="OIR613" s="5" t="s">
        <v>3728</v>
      </c>
      <c r="OIS613" s="17">
        <v>44925</v>
      </c>
      <c r="OIT613" s="5" t="s">
        <v>3728</v>
      </c>
      <c r="OIU613" s="17">
        <v>44925</v>
      </c>
      <c r="OIV613" s="5" t="s">
        <v>3728</v>
      </c>
      <c r="OIW613" s="17">
        <v>44925</v>
      </c>
      <c r="OIX613" s="5" t="s">
        <v>3728</v>
      </c>
      <c r="OIY613" s="17">
        <v>44925</v>
      </c>
      <c r="OIZ613" s="5" t="s">
        <v>3728</v>
      </c>
      <c r="OJA613" s="17">
        <v>44925</v>
      </c>
      <c r="OJB613" s="5" t="s">
        <v>3728</v>
      </c>
      <c r="OJC613" s="17">
        <v>44925</v>
      </c>
      <c r="OJD613" s="5" t="s">
        <v>3728</v>
      </c>
      <c r="OJE613" s="17">
        <v>44925</v>
      </c>
      <c r="OJF613" s="5" t="s">
        <v>3728</v>
      </c>
      <c r="OJG613" s="17">
        <v>44925</v>
      </c>
      <c r="OJH613" s="5" t="s">
        <v>3728</v>
      </c>
      <c r="OJI613" s="17">
        <v>44925</v>
      </c>
      <c r="OJJ613" s="5" t="s">
        <v>3728</v>
      </c>
      <c r="OJK613" s="17">
        <v>44925</v>
      </c>
      <c r="OJL613" s="5" t="s">
        <v>3728</v>
      </c>
      <c r="OJM613" s="17">
        <v>44925</v>
      </c>
      <c r="OJN613" s="5" t="s">
        <v>3728</v>
      </c>
      <c r="OJO613" s="17">
        <v>44925</v>
      </c>
      <c r="OJP613" s="5" t="s">
        <v>3728</v>
      </c>
      <c r="OJQ613" s="17">
        <v>44925</v>
      </c>
      <c r="OJR613" s="5" t="s">
        <v>3728</v>
      </c>
      <c r="OJS613" s="17">
        <v>44925</v>
      </c>
      <c r="OJT613" s="5" t="s">
        <v>3728</v>
      </c>
      <c r="OJU613" s="17">
        <v>44925</v>
      </c>
      <c r="OJV613" s="5" t="s">
        <v>3728</v>
      </c>
      <c r="OJW613" s="17">
        <v>44925</v>
      </c>
      <c r="OJX613" s="5" t="s">
        <v>3728</v>
      </c>
      <c r="OJY613" s="17">
        <v>44925</v>
      </c>
      <c r="OJZ613" s="5" t="s">
        <v>3728</v>
      </c>
      <c r="OKA613" s="17">
        <v>44925</v>
      </c>
      <c r="OKB613" s="5" t="s">
        <v>3728</v>
      </c>
      <c r="OKC613" s="17">
        <v>44925</v>
      </c>
      <c r="OKD613" s="5" t="s">
        <v>3728</v>
      </c>
      <c r="OKE613" s="17">
        <v>44925</v>
      </c>
      <c r="OKF613" s="5" t="s">
        <v>3728</v>
      </c>
      <c r="OKG613" s="17">
        <v>44925</v>
      </c>
      <c r="OKH613" s="5" t="s">
        <v>3728</v>
      </c>
      <c r="OKI613" s="17">
        <v>44925</v>
      </c>
      <c r="OKJ613" s="5" t="s">
        <v>3728</v>
      </c>
      <c r="OKK613" s="17">
        <v>44925</v>
      </c>
      <c r="OKL613" s="5" t="s">
        <v>3728</v>
      </c>
      <c r="OKM613" s="17">
        <v>44925</v>
      </c>
      <c r="OKN613" s="5" t="s">
        <v>3728</v>
      </c>
      <c r="OKO613" s="17">
        <v>44925</v>
      </c>
      <c r="OKP613" s="5" t="s">
        <v>3728</v>
      </c>
      <c r="OKQ613" s="17">
        <v>44925</v>
      </c>
      <c r="OKR613" s="5" t="s">
        <v>3728</v>
      </c>
      <c r="OKS613" s="17">
        <v>44925</v>
      </c>
      <c r="OKT613" s="5" t="s">
        <v>3728</v>
      </c>
      <c r="OKU613" s="17">
        <v>44925</v>
      </c>
      <c r="OKV613" s="5" t="s">
        <v>3728</v>
      </c>
      <c r="OKW613" s="17">
        <v>44925</v>
      </c>
      <c r="OKX613" s="5" t="s">
        <v>3728</v>
      </c>
      <c r="OKY613" s="17">
        <v>44925</v>
      </c>
      <c r="OKZ613" s="5" t="s">
        <v>3728</v>
      </c>
      <c r="OLA613" s="17">
        <v>44925</v>
      </c>
      <c r="OLB613" s="5" t="s">
        <v>3728</v>
      </c>
      <c r="OLC613" s="17">
        <v>44925</v>
      </c>
      <c r="OLD613" s="5" t="s">
        <v>3728</v>
      </c>
      <c r="OLE613" s="17">
        <v>44925</v>
      </c>
      <c r="OLF613" s="5" t="s">
        <v>3728</v>
      </c>
      <c r="OLG613" s="17">
        <v>44925</v>
      </c>
      <c r="OLH613" s="5" t="s">
        <v>3728</v>
      </c>
      <c r="OLI613" s="17">
        <v>44925</v>
      </c>
      <c r="OLJ613" s="5" t="s">
        <v>3728</v>
      </c>
      <c r="OLK613" s="17">
        <v>44925</v>
      </c>
      <c r="OLL613" s="5" t="s">
        <v>3728</v>
      </c>
      <c r="OLM613" s="17">
        <v>44925</v>
      </c>
      <c r="OLN613" s="5" t="s">
        <v>3728</v>
      </c>
      <c r="OLO613" s="17">
        <v>44925</v>
      </c>
      <c r="OLP613" s="5" t="s">
        <v>3728</v>
      </c>
      <c r="OLQ613" s="17">
        <v>44925</v>
      </c>
      <c r="OLR613" s="5" t="s">
        <v>3728</v>
      </c>
      <c r="OLS613" s="17">
        <v>44925</v>
      </c>
      <c r="OLT613" s="5" t="s">
        <v>3728</v>
      </c>
      <c r="OLU613" s="17">
        <v>44925</v>
      </c>
      <c r="OLV613" s="5" t="s">
        <v>3728</v>
      </c>
      <c r="OLW613" s="17">
        <v>44925</v>
      </c>
      <c r="OLX613" s="5" t="s">
        <v>3728</v>
      </c>
      <c r="OLY613" s="17">
        <v>44925</v>
      </c>
      <c r="OLZ613" s="5" t="s">
        <v>3728</v>
      </c>
      <c r="OMA613" s="17">
        <v>44925</v>
      </c>
      <c r="OMB613" s="5" t="s">
        <v>3728</v>
      </c>
      <c r="OMC613" s="17">
        <v>44925</v>
      </c>
      <c r="OMD613" s="5" t="s">
        <v>3728</v>
      </c>
      <c r="OME613" s="17">
        <v>44925</v>
      </c>
      <c r="OMF613" s="5" t="s">
        <v>3728</v>
      </c>
      <c r="OMG613" s="17">
        <v>44925</v>
      </c>
      <c r="OMH613" s="5" t="s">
        <v>3728</v>
      </c>
      <c r="OMI613" s="17">
        <v>44925</v>
      </c>
      <c r="OMJ613" s="5" t="s">
        <v>3728</v>
      </c>
      <c r="OMK613" s="17">
        <v>44925</v>
      </c>
      <c r="OML613" s="5" t="s">
        <v>3728</v>
      </c>
      <c r="OMM613" s="17">
        <v>44925</v>
      </c>
      <c r="OMN613" s="5" t="s">
        <v>3728</v>
      </c>
      <c r="OMO613" s="17">
        <v>44925</v>
      </c>
      <c r="OMP613" s="5" t="s">
        <v>3728</v>
      </c>
      <c r="OMQ613" s="17">
        <v>44925</v>
      </c>
      <c r="OMR613" s="5" t="s">
        <v>3728</v>
      </c>
      <c r="OMS613" s="17">
        <v>44925</v>
      </c>
      <c r="OMT613" s="5" t="s">
        <v>3728</v>
      </c>
      <c r="OMU613" s="17">
        <v>44925</v>
      </c>
      <c r="OMV613" s="5" t="s">
        <v>3728</v>
      </c>
      <c r="OMW613" s="17">
        <v>44925</v>
      </c>
      <c r="OMX613" s="5" t="s">
        <v>3728</v>
      </c>
      <c r="OMY613" s="17">
        <v>44925</v>
      </c>
      <c r="OMZ613" s="5" t="s">
        <v>3728</v>
      </c>
      <c r="ONA613" s="17">
        <v>44925</v>
      </c>
      <c r="ONB613" s="5" t="s">
        <v>3728</v>
      </c>
      <c r="ONC613" s="17">
        <v>44925</v>
      </c>
      <c r="OND613" s="5" t="s">
        <v>3728</v>
      </c>
      <c r="ONE613" s="17">
        <v>44925</v>
      </c>
      <c r="ONF613" s="5" t="s">
        <v>3728</v>
      </c>
      <c r="ONG613" s="17">
        <v>44925</v>
      </c>
      <c r="ONH613" s="5" t="s">
        <v>3728</v>
      </c>
      <c r="ONI613" s="17">
        <v>44925</v>
      </c>
      <c r="ONJ613" s="5" t="s">
        <v>3728</v>
      </c>
      <c r="ONK613" s="17">
        <v>44925</v>
      </c>
      <c r="ONL613" s="5" t="s">
        <v>3728</v>
      </c>
      <c r="ONM613" s="17">
        <v>44925</v>
      </c>
      <c r="ONN613" s="5" t="s">
        <v>3728</v>
      </c>
      <c r="ONO613" s="17">
        <v>44925</v>
      </c>
      <c r="ONP613" s="5" t="s">
        <v>3728</v>
      </c>
      <c r="ONQ613" s="17">
        <v>44925</v>
      </c>
      <c r="ONR613" s="5" t="s">
        <v>3728</v>
      </c>
      <c r="ONS613" s="17">
        <v>44925</v>
      </c>
      <c r="ONT613" s="5" t="s">
        <v>3728</v>
      </c>
      <c r="ONU613" s="17">
        <v>44925</v>
      </c>
      <c r="ONV613" s="5" t="s">
        <v>3728</v>
      </c>
      <c r="ONW613" s="17">
        <v>44925</v>
      </c>
      <c r="ONX613" s="5" t="s">
        <v>3728</v>
      </c>
      <c r="ONY613" s="17">
        <v>44925</v>
      </c>
      <c r="ONZ613" s="5" t="s">
        <v>3728</v>
      </c>
      <c r="OOA613" s="17">
        <v>44925</v>
      </c>
      <c r="OOB613" s="5" t="s">
        <v>3728</v>
      </c>
      <c r="OOC613" s="17">
        <v>44925</v>
      </c>
      <c r="OOD613" s="5" t="s">
        <v>3728</v>
      </c>
      <c r="OOE613" s="17">
        <v>44925</v>
      </c>
      <c r="OOF613" s="5" t="s">
        <v>3728</v>
      </c>
      <c r="OOG613" s="17">
        <v>44925</v>
      </c>
      <c r="OOH613" s="5" t="s">
        <v>3728</v>
      </c>
      <c r="OOI613" s="17">
        <v>44925</v>
      </c>
      <c r="OOJ613" s="5" t="s">
        <v>3728</v>
      </c>
      <c r="OOK613" s="17">
        <v>44925</v>
      </c>
      <c r="OOL613" s="5" t="s">
        <v>3728</v>
      </c>
      <c r="OOM613" s="17">
        <v>44925</v>
      </c>
      <c r="OON613" s="5" t="s">
        <v>3728</v>
      </c>
      <c r="OOO613" s="17">
        <v>44925</v>
      </c>
      <c r="OOP613" s="5" t="s">
        <v>3728</v>
      </c>
      <c r="OOQ613" s="17">
        <v>44925</v>
      </c>
      <c r="OOR613" s="5" t="s">
        <v>3728</v>
      </c>
      <c r="OOS613" s="17">
        <v>44925</v>
      </c>
      <c r="OOT613" s="5" t="s">
        <v>3728</v>
      </c>
      <c r="OOU613" s="17">
        <v>44925</v>
      </c>
      <c r="OOV613" s="5" t="s">
        <v>3728</v>
      </c>
      <c r="OOW613" s="17">
        <v>44925</v>
      </c>
      <c r="OOX613" s="5" t="s">
        <v>3728</v>
      </c>
      <c r="OOY613" s="17">
        <v>44925</v>
      </c>
      <c r="OOZ613" s="5" t="s">
        <v>3728</v>
      </c>
      <c r="OPA613" s="17">
        <v>44925</v>
      </c>
      <c r="OPB613" s="5" t="s">
        <v>3728</v>
      </c>
      <c r="OPC613" s="17">
        <v>44925</v>
      </c>
      <c r="OPD613" s="5" t="s">
        <v>3728</v>
      </c>
      <c r="OPE613" s="17">
        <v>44925</v>
      </c>
      <c r="OPF613" s="5" t="s">
        <v>3728</v>
      </c>
      <c r="OPG613" s="17">
        <v>44925</v>
      </c>
      <c r="OPH613" s="5" t="s">
        <v>3728</v>
      </c>
      <c r="OPI613" s="17">
        <v>44925</v>
      </c>
      <c r="OPJ613" s="5" t="s">
        <v>3728</v>
      </c>
      <c r="OPK613" s="17">
        <v>44925</v>
      </c>
      <c r="OPL613" s="5" t="s">
        <v>3728</v>
      </c>
      <c r="OPM613" s="17">
        <v>44925</v>
      </c>
      <c r="OPN613" s="5" t="s">
        <v>3728</v>
      </c>
      <c r="OPO613" s="17">
        <v>44925</v>
      </c>
      <c r="OPP613" s="5" t="s">
        <v>3728</v>
      </c>
      <c r="OPQ613" s="17">
        <v>44925</v>
      </c>
      <c r="OPR613" s="5" t="s">
        <v>3728</v>
      </c>
      <c r="OPS613" s="17">
        <v>44925</v>
      </c>
      <c r="OPT613" s="5" t="s">
        <v>3728</v>
      </c>
      <c r="OPU613" s="17">
        <v>44925</v>
      </c>
      <c r="OPV613" s="5" t="s">
        <v>3728</v>
      </c>
      <c r="OPW613" s="17">
        <v>44925</v>
      </c>
      <c r="OPX613" s="5" t="s">
        <v>3728</v>
      </c>
      <c r="OPY613" s="17">
        <v>44925</v>
      </c>
      <c r="OPZ613" s="5" t="s">
        <v>3728</v>
      </c>
      <c r="OQA613" s="17">
        <v>44925</v>
      </c>
      <c r="OQB613" s="5" t="s">
        <v>3728</v>
      </c>
      <c r="OQC613" s="17">
        <v>44925</v>
      </c>
      <c r="OQD613" s="5" t="s">
        <v>3728</v>
      </c>
      <c r="OQE613" s="17">
        <v>44925</v>
      </c>
      <c r="OQF613" s="5" t="s">
        <v>3728</v>
      </c>
      <c r="OQG613" s="17">
        <v>44925</v>
      </c>
      <c r="OQH613" s="5" t="s">
        <v>3728</v>
      </c>
      <c r="OQI613" s="17">
        <v>44925</v>
      </c>
      <c r="OQJ613" s="5" t="s">
        <v>3728</v>
      </c>
      <c r="OQK613" s="17">
        <v>44925</v>
      </c>
      <c r="OQL613" s="5" t="s">
        <v>3728</v>
      </c>
      <c r="OQM613" s="17">
        <v>44925</v>
      </c>
      <c r="OQN613" s="5" t="s">
        <v>3728</v>
      </c>
      <c r="OQO613" s="17">
        <v>44925</v>
      </c>
      <c r="OQP613" s="5" t="s">
        <v>3728</v>
      </c>
      <c r="OQQ613" s="17">
        <v>44925</v>
      </c>
      <c r="OQR613" s="5" t="s">
        <v>3728</v>
      </c>
      <c r="OQS613" s="17">
        <v>44925</v>
      </c>
      <c r="OQT613" s="5" t="s">
        <v>3728</v>
      </c>
      <c r="OQU613" s="17">
        <v>44925</v>
      </c>
      <c r="OQV613" s="5" t="s">
        <v>3728</v>
      </c>
      <c r="OQW613" s="17">
        <v>44925</v>
      </c>
      <c r="OQX613" s="5" t="s">
        <v>3728</v>
      </c>
      <c r="OQY613" s="17">
        <v>44925</v>
      </c>
      <c r="OQZ613" s="5" t="s">
        <v>3728</v>
      </c>
      <c r="ORA613" s="17">
        <v>44925</v>
      </c>
      <c r="ORB613" s="5" t="s">
        <v>3728</v>
      </c>
      <c r="ORC613" s="17">
        <v>44925</v>
      </c>
      <c r="ORD613" s="5" t="s">
        <v>3728</v>
      </c>
      <c r="ORE613" s="17">
        <v>44925</v>
      </c>
      <c r="ORF613" s="5" t="s">
        <v>3728</v>
      </c>
      <c r="ORG613" s="17">
        <v>44925</v>
      </c>
      <c r="ORH613" s="5" t="s">
        <v>3728</v>
      </c>
      <c r="ORI613" s="17">
        <v>44925</v>
      </c>
      <c r="ORJ613" s="5" t="s">
        <v>3728</v>
      </c>
      <c r="ORK613" s="17">
        <v>44925</v>
      </c>
      <c r="ORL613" s="5" t="s">
        <v>3728</v>
      </c>
      <c r="ORM613" s="17">
        <v>44925</v>
      </c>
      <c r="ORN613" s="5" t="s">
        <v>3728</v>
      </c>
      <c r="ORO613" s="17">
        <v>44925</v>
      </c>
      <c r="ORP613" s="5" t="s">
        <v>3728</v>
      </c>
      <c r="ORQ613" s="17">
        <v>44925</v>
      </c>
      <c r="ORR613" s="5" t="s">
        <v>3728</v>
      </c>
      <c r="ORS613" s="17">
        <v>44925</v>
      </c>
      <c r="ORT613" s="5" t="s">
        <v>3728</v>
      </c>
      <c r="ORU613" s="17">
        <v>44925</v>
      </c>
      <c r="ORV613" s="5" t="s">
        <v>3728</v>
      </c>
      <c r="ORW613" s="17">
        <v>44925</v>
      </c>
      <c r="ORX613" s="5" t="s">
        <v>3728</v>
      </c>
      <c r="ORY613" s="17">
        <v>44925</v>
      </c>
      <c r="ORZ613" s="5" t="s">
        <v>3728</v>
      </c>
      <c r="OSA613" s="17">
        <v>44925</v>
      </c>
      <c r="OSB613" s="5" t="s">
        <v>3728</v>
      </c>
      <c r="OSC613" s="17">
        <v>44925</v>
      </c>
      <c r="OSD613" s="5" t="s">
        <v>3728</v>
      </c>
      <c r="OSE613" s="17">
        <v>44925</v>
      </c>
      <c r="OSF613" s="5" t="s">
        <v>3728</v>
      </c>
      <c r="OSG613" s="17">
        <v>44925</v>
      </c>
      <c r="OSH613" s="5" t="s">
        <v>3728</v>
      </c>
      <c r="OSI613" s="17">
        <v>44925</v>
      </c>
      <c r="OSJ613" s="5" t="s">
        <v>3728</v>
      </c>
      <c r="OSK613" s="17">
        <v>44925</v>
      </c>
      <c r="OSL613" s="5" t="s">
        <v>3728</v>
      </c>
      <c r="OSM613" s="17">
        <v>44925</v>
      </c>
      <c r="OSN613" s="5" t="s">
        <v>3728</v>
      </c>
      <c r="OSO613" s="17">
        <v>44925</v>
      </c>
      <c r="OSP613" s="5" t="s">
        <v>3728</v>
      </c>
      <c r="OSQ613" s="17">
        <v>44925</v>
      </c>
      <c r="OSR613" s="5" t="s">
        <v>3728</v>
      </c>
      <c r="OSS613" s="17">
        <v>44925</v>
      </c>
      <c r="OST613" s="5" t="s">
        <v>3728</v>
      </c>
      <c r="OSU613" s="17">
        <v>44925</v>
      </c>
      <c r="OSV613" s="5" t="s">
        <v>3728</v>
      </c>
      <c r="OSW613" s="17">
        <v>44925</v>
      </c>
      <c r="OSX613" s="5" t="s">
        <v>3728</v>
      </c>
      <c r="OSY613" s="17">
        <v>44925</v>
      </c>
      <c r="OSZ613" s="5" t="s">
        <v>3728</v>
      </c>
      <c r="OTA613" s="17">
        <v>44925</v>
      </c>
      <c r="OTB613" s="5" t="s">
        <v>3728</v>
      </c>
      <c r="OTC613" s="17">
        <v>44925</v>
      </c>
      <c r="OTD613" s="5" t="s">
        <v>3728</v>
      </c>
      <c r="OTE613" s="17">
        <v>44925</v>
      </c>
      <c r="OTF613" s="5" t="s">
        <v>3728</v>
      </c>
      <c r="OTG613" s="17">
        <v>44925</v>
      </c>
      <c r="OTH613" s="5" t="s">
        <v>3728</v>
      </c>
      <c r="OTI613" s="17">
        <v>44925</v>
      </c>
      <c r="OTJ613" s="5" t="s">
        <v>3728</v>
      </c>
      <c r="OTK613" s="17">
        <v>44925</v>
      </c>
      <c r="OTL613" s="5" t="s">
        <v>3728</v>
      </c>
      <c r="OTM613" s="17">
        <v>44925</v>
      </c>
      <c r="OTN613" s="5" t="s">
        <v>3728</v>
      </c>
      <c r="OTO613" s="17">
        <v>44925</v>
      </c>
      <c r="OTP613" s="5" t="s">
        <v>3728</v>
      </c>
      <c r="OTQ613" s="17">
        <v>44925</v>
      </c>
      <c r="OTR613" s="5" t="s">
        <v>3728</v>
      </c>
      <c r="OTS613" s="17">
        <v>44925</v>
      </c>
      <c r="OTT613" s="5" t="s">
        <v>3728</v>
      </c>
      <c r="OTU613" s="17">
        <v>44925</v>
      </c>
      <c r="OTV613" s="5" t="s">
        <v>3728</v>
      </c>
      <c r="OTW613" s="17">
        <v>44925</v>
      </c>
      <c r="OTX613" s="5" t="s">
        <v>3728</v>
      </c>
      <c r="OTY613" s="17">
        <v>44925</v>
      </c>
      <c r="OTZ613" s="5" t="s">
        <v>3728</v>
      </c>
      <c r="OUA613" s="17">
        <v>44925</v>
      </c>
      <c r="OUB613" s="5" t="s">
        <v>3728</v>
      </c>
      <c r="OUC613" s="17">
        <v>44925</v>
      </c>
      <c r="OUD613" s="5" t="s">
        <v>3728</v>
      </c>
      <c r="OUE613" s="17">
        <v>44925</v>
      </c>
      <c r="OUF613" s="5" t="s">
        <v>3728</v>
      </c>
      <c r="OUG613" s="17">
        <v>44925</v>
      </c>
      <c r="OUH613" s="5" t="s">
        <v>3728</v>
      </c>
      <c r="OUI613" s="17">
        <v>44925</v>
      </c>
      <c r="OUJ613" s="5" t="s">
        <v>3728</v>
      </c>
      <c r="OUK613" s="17">
        <v>44925</v>
      </c>
      <c r="OUL613" s="5" t="s">
        <v>3728</v>
      </c>
      <c r="OUM613" s="17">
        <v>44925</v>
      </c>
      <c r="OUN613" s="5" t="s">
        <v>3728</v>
      </c>
      <c r="OUO613" s="17">
        <v>44925</v>
      </c>
      <c r="OUP613" s="5" t="s">
        <v>3728</v>
      </c>
      <c r="OUQ613" s="17">
        <v>44925</v>
      </c>
      <c r="OUR613" s="5" t="s">
        <v>3728</v>
      </c>
      <c r="OUS613" s="17">
        <v>44925</v>
      </c>
      <c r="OUT613" s="5" t="s">
        <v>3728</v>
      </c>
      <c r="OUU613" s="17">
        <v>44925</v>
      </c>
      <c r="OUV613" s="5" t="s">
        <v>3728</v>
      </c>
      <c r="OUW613" s="17">
        <v>44925</v>
      </c>
      <c r="OUX613" s="5" t="s">
        <v>3728</v>
      </c>
      <c r="OUY613" s="17">
        <v>44925</v>
      </c>
      <c r="OUZ613" s="5" t="s">
        <v>3728</v>
      </c>
      <c r="OVA613" s="17">
        <v>44925</v>
      </c>
      <c r="OVB613" s="5" t="s">
        <v>3728</v>
      </c>
      <c r="OVC613" s="17">
        <v>44925</v>
      </c>
      <c r="OVD613" s="5" t="s">
        <v>3728</v>
      </c>
      <c r="OVE613" s="17">
        <v>44925</v>
      </c>
      <c r="OVF613" s="5" t="s">
        <v>3728</v>
      </c>
      <c r="OVG613" s="17">
        <v>44925</v>
      </c>
      <c r="OVH613" s="5" t="s">
        <v>3728</v>
      </c>
      <c r="OVI613" s="17">
        <v>44925</v>
      </c>
      <c r="OVJ613" s="5" t="s">
        <v>3728</v>
      </c>
      <c r="OVK613" s="17">
        <v>44925</v>
      </c>
      <c r="OVL613" s="5" t="s">
        <v>3728</v>
      </c>
      <c r="OVM613" s="17">
        <v>44925</v>
      </c>
      <c r="OVN613" s="5" t="s">
        <v>3728</v>
      </c>
      <c r="OVO613" s="17">
        <v>44925</v>
      </c>
      <c r="OVP613" s="5" t="s">
        <v>3728</v>
      </c>
      <c r="OVQ613" s="17">
        <v>44925</v>
      </c>
      <c r="OVR613" s="5" t="s">
        <v>3728</v>
      </c>
      <c r="OVS613" s="17">
        <v>44925</v>
      </c>
      <c r="OVT613" s="5" t="s">
        <v>3728</v>
      </c>
      <c r="OVU613" s="17">
        <v>44925</v>
      </c>
      <c r="OVV613" s="5" t="s">
        <v>3728</v>
      </c>
      <c r="OVW613" s="17">
        <v>44925</v>
      </c>
      <c r="OVX613" s="5" t="s">
        <v>3728</v>
      </c>
      <c r="OVY613" s="17">
        <v>44925</v>
      </c>
      <c r="OVZ613" s="5" t="s">
        <v>3728</v>
      </c>
      <c r="OWA613" s="17">
        <v>44925</v>
      </c>
      <c r="OWB613" s="5" t="s">
        <v>3728</v>
      </c>
      <c r="OWC613" s="17">
        <v>44925</v>
      </c>
      <c r="OWD613" s="5" t="s">
        <v>3728</v>
      </c>
      <c r="OWE613" s="17">
        <v>44925</v>
      </c>
      <c r="OWF613" s="5" t="s">
        <v>3728</v>
      </c>
      <c r="OWG613" s="17">
        <v>44925</v>
      </c>
      <c r="OWH613" s="5" t="s">
        <v>3728</v>
      </c>
      <c r="OWI613" s="17">
        <v>44925</v>
      </c>
      <c r="OWJ613" s="5" t="s">
        <v>3728</v>
      </c>
      <c r="OWK613" s="17">
        <v>44925</v>
      </c>
      <c r="OWL613" s="5" t="s">
        <v>3728</v>
      </c>
      <c r="OWM613" s="17">
        <v>44925</v>
      </c>
      <c r="OWN613" s="5" t="s">
        <v>3728</v>
      </c>
      <c r="OWO613" s="17">
        <v>44925</v>
      </c>
      <c r="OWP613" s="5" t="s">
        <v>3728</v>
      </c>
      <c r="OWQ613" s="17">
        <v>44925</v>
      </c>
      <c r="OWR613" s="5" t="s">
        <v>3728</v>
      </c>
      <c r="OWS613" s="17">
        <v>44925</v>
      </c>
      <c r="OWT613" s="5" t="s">
        <v>3728</v>
      </c>
      <c r="OWU613" s="17">
        <v>44925</v>
      </c>
      <c r="OWV613" s="5" t="s">
        <v>3728</v>
      </c>
      <c r="OWW613" s="17">
        <v>44925</v>
      </c>
      <c r="OWX613" s="5" t="s">
        <v>3728</v>
      </c>
      <c r="OWY613" s="17">
        <v>44925</v>
      </c>
      <c r="OWZ613" s="5" t="s">
        <v>3728</v>
      </c>
      <c r="OXA613" s="17">
        <v>44925</v>
      </c>
      <c r="OXB613" s="5" t="s">
        <v>3728</v>
      </c>
      <c r="OXC613" s="17">
        <v>44925</v>
      </c>
      <c r="OXD613" s="5" t="s">
        <v>3728</v>
      </c>
      <c r="OXE613" s="17">
        <v>44925</v>
      </c>
      <c r="OXF613" s="5" t="s">
        <v>3728</v>
      </c>
      <c r="OXG613" s="17">
        <v>44925</v>
      </c>
      <c r="OXH613" s="5" t="s">
        <v>3728</v>
      </c>
      <c r="OXI613" s="17">
        <v>44925</v>
      </c>
      <c r="OXJ613" s="5" t="s">
        <v>3728</v>
      </c>
      <c r="OXK613" s="17">
        <v>44925</v>
      </c>
      <c r="OXL613" s="5" t="s">
        <v>3728</v>
      </c>
      <c r="OXM613" s="17">
        <v>44925</v>
      </c>
      <c r="OXN613" s="5" t="s">
        <v>3728</v>
      </c>
      <c r="OXO613" s="17">
        <v>44925</v>
      </c>
      <c r="OXP613" s="5" t="s">
        <v>3728</v>
      </c>
      <c r="OXQ613" s="17">
        <v>44925</v>
      </c>
      <c r="OXR613" s="5" t="s">
        <v>3728</v>
      </c>
      <c r="OXS613" s="17">
        <v>44925</v>
      </c>
      <c r="OXT613" s="5" t="s">
        <v>3728</v>
      </c>
      <c r="OXU613" s="17">
        <v>44925</v>
      </c>
      <c r="OXV613" s="5" t="s">
        <v>3728</v>
      </c>
      <c r="OXW613" s="17">
        <v>44925</v>
      </c>
      <c r="OXX613" s="5" t="s">
        <v>3728</v>
      </c>
      <c r="OXY613" s="17">
        <v>44925</v>
      </c>
      <c r="OXZ613" s="5" t="s">
        <v>3728</v>
      </c>
      <c r="OYA613" s="17">
        <v>44925</v>
      </c>
      <c r="OYB613" s="5" t="s">
        <v>3728</v>
      </c>
      <c r="OYC613" s="17">
        <v>44925</v>
      </c>
      <c r="OYD613" s="5" t="s">
        <v>3728</v>
      </c>
      <c r="OYE613" s="17">
        <v>44925</v>
      </c>
      <c r="OYF613" s="5" t="s">
        <v>3728</v>
      </c>
      <c r="OYG613" s="17">
        <v>44925</v>
      </c>
      <c r="OYH613" s="5" t="s">
        <v>3728</v>
      </c>
      <c r="OYI613" s="17">
        <v>44925</v>
      </c>
      <c r="OYJ613" s="5" t="s">
        <v>3728</v>
      </c>
      <c r="OYK613" s="17">
        <v>44925</v>
      </c>
      <c r="OYL613" s="5" t="s">
        <v>3728</v>
      </c>
      <c r="OYM613" s="17">
        <v>44925</v>
      </c>
      <c r="OYN613" s="5" t="s">
        <v>3728</v>
      </c>
      <c r="OYO613" s="17">
        <v>44925</v>
      </c>
      <c r="OYP613" s="5" t="s">
        <v>3728</v>
      </c>
      <c r="OYQ613" s="17">
        <v>44925</v>
      </c>
      <c r="OYR613" s="5" t="s">
        <v>3728</v>
      </c>
      <c r="OYS613" s="17">
        <v>44925</v>
      </c>
      <c r="OYT613" s="5" t="s">
        <v>3728</v>
      </c>
      <c r="OYU613" s="17">
        <v>44925</v>
      </c>
      <c r="OYV613" s="5" t="s">
        <v>3728</v>
      </c>
      <c r="OYW613" s="17">
        <v>44925</v>
      </c>
      <c r="OYX613" s="5" t="s">
        <v>3728</v>
      </c>
      <c r="OYY613" s="17">
        <v>44925</v>
      </c>
      <c r="OYZ613" s="5" t="s">
        <v>3728</v>
      </c>
      <c r="OZA613" s="17">
        <v>44925</v>
      </c>
      <c r="OZB613" s="5" t="s">
        <v>3728</v>
      </c>
      <c r="OZC613" s="17">
        <v>44925</v>
      </c>
      <c r="OZD613" s="5" t="s">
        <v>3728</v>
      </c>
      <c r="OZE613" s="17">
        <v>44925</v>
      </c>
      <c r="OZF613" s="5" t="s">
        <v>3728</v>
      </c>
      <c r="OZG613" s="17">
        <v>44925</v>
      </c>
      <c r="OZH613" s="5" t="s">
        <v>3728</v>
      </c>
      <c r="OZI613" s="17">
        <v>44925</v>
      </c>
      <c r="OZJ613" s="5" t="s">
        <v>3728</v>
      </c>
      <c r="OZK613" s="17">
        <v>44925</v>
      </c>
      <c r="OZL613" s="5" t="s">
        <v>3728</v>
      </c>
      <c r="OZM613" s="17">
        <v>44925</v>
      </c>
      <c r="OZN613" s="5" t="s">
        <v>3728</v>
      </c>
      <c r="OZO613" s="17">
        <v>44925</v>
      </c>
      <c r="OZP613" s="5" t="s">
        <v>3728</v>
      </c>
      <c r="OZQ613" s="17">
        <v>44925</v>
      </c>
      <c r="OZR613" s="5" t="s">
        <v>3728</v>
      </c>
      <c r="OZS613" s="17">
        <v>44925</v>
      </c>
      <c r="OZT613" s="5" t="s">
        <v>3728</v>
      </c>
      <c r="OZU613" s="17">
        <v>44925</v>
      </c>
      <c r="OZV613" s="5" t="s">
        <v>3728</v>
      </c>
      <c r="OZW613" s="17">
        <v>44925</v>
      </c>
      <c r="OZX613" s="5" t="s">
        <v>3728</v>
      </c>
      <c r="OZY613" s="17">
        <v>44925</v>
      </c>
      <c r="OZZ613" s="5" t="s">
        <v>3728</v>
      </c>
      <c r="PAA613" s="17">
        <v>44925</v>
      </c>
      <c r="PAB613" s="5" t="s">
        <v>3728</v>
      </c>
      <c r="PAC613" s="17">
        <v>44925</v>
      </c>
      <c r="PAD613" s="5" t="s">
        <v>3728</v>
      </c>
      <c r="PAE613" s="17">
        <v>44925</v>
      </c>
      <c r="PAF613" s="5" t="s">
        <v>3728</v>
      </c>
      <c r="PAG613" s="17">
        <v>44925</v>
      </c>
      <c r="PAH613" s="5" t="s">
        <v>3728</v>
      </c>
      <c r="PAI613" s="17">
        <v>44925</v>
      </c>
      <c r="PAJ613" s="5" t="s">
        <v>3728</v>
      </c>
      <c r="PAK613" s="17">
        <v>44925</v>
      </c>
      <c r="PAL613" s="5" t="s">
        <v>3728</v>
      </c>
      <c r="PAM613" s="17">
        <v>44925</v>
      </c>
      <c r="PAN613" s="5" t="s">
        <v>3728</v>
      </c>
      <c r="PAO613" s="17">
        <v>44925</v>
      </c>
      <c r="PAP613" s="5" t="s">
        <v>3728</v>
      </c>
      <c r="PAQ613" s="17">
        <v>44925</v>
      </c>
      <c r="PAR613" s="5" t="s">
        <v>3728</v>
      </c>
      <c r="PAS613" s="17">
        <v>44925</v>
      </c>
      <c r="PAT613" s="5" t="s">
        <v>3728</v>
      </c>
      <c r="PAU613" s="17">
        <v>44925</v>
      </c>
      <c r="PAV613" s="5" t="s">
        <v>3728</v>
      </c>
      <c r="PAW613" s="17">
        <v>44925</v>
      </c>
      <c r="PAX613" s="5" t="s">
        <v>3728</v>
      </c>
      <c r="PAY613" s="17">
        <v>44925</v>
      </c>
      <c r="PAZ613" s="5" t="s">
        <v>3728</v>
      </c>
      <c r="PBA613" s="17">
        <v>44925</v>
      </c>
      <c r="PBB613" s="5" t="s">
        <v>3728</v>
      </c>
      <c r="PBC613" s="17">
        <v>44925</v>
      </c>
      <c r="PBD613" s="5" t="s">
        <v>3728</v>
      </c>
      <c r="PBE613" s="17">
        <v>44925</v>
      </c>
      <c r="PBF613" s="5" t="s">
        <v>3728</v>
      </c>
      <c r="PBG613" s="17">
        <v>44925</v>
      </c>
      <c r="PBH613" s="5" t="s">
        <v>3728</v>
      </c>
      <c r="PBI613" s="17">
        <v>44925</v>
      </c>
      <c r="PBJ613" s="5" t="s">
        <v>3728</v>
      </c>
      <c r="PBK613" s="17">
        <v>44925</v>
      </c>
      <c r="PBL613" s="5" t="s">
        <v>3728</v>
      </c>
      <c r="PBM613" s="17">
        <v>44925</v>
      </c>
      <c r="PBN613" s="5" t="s">
        <v>3728</v>
      </c>
      <c r="PBO613" s="17">
        <v>44925</v>
      </c>
      <c r="PBP613" s="5" t="s">
        <v>3728</v>
      </c>
      <c r="PBQ613" s="17">
        <v>44925</v>
      </c>
      <c r="PBR613" s="5" t="s">
        <v>3728</v>
      </c>
      <c r="PBS613" s="17">
        <v>44925</v>
      </c>
      <c r="PBT613" s="5" t="s">
        <v>3728</v>
      </c>
      <c r="PBU613" s="17">
        <v>44925</v>
      </c>
      <c r="PBV613" s="5" t="s">
        <v>3728</v>
      </c>
      <c r="PBW613" s="17">
        <v>44925</v>
      </c>
      <c r="PBX613" s="5" t="s">
        <v>3728</v>
      </c>
      <c r="PBY613" s="17">
        <v>44925</v>
      </c>
      <c r="PBZ613" s="5" t="s">
        <v>3728</v>
      </c>
      <c r="PCA613" s="17">
        <v>44925</v>
      </c>
      <c r="PCB613" s="5" t="s">
        <v>3728</v>
      </c>
      <c r="PCC613" s="17">
        <v>44925</v>
      </c>
      <c r="PCD613" s="5" t="s">
        <v>3728</v>
      </c>
      <c r="PCE613" s="17">
        <v>44925</v>
      </c>
      <c r="PCF613" s="5" t="s">
        <v>3728</v>
      </c>
      <c r="PCG613" s="17">
        <v>44925</v>
      </c>
      <c r="PCH613" s="5" t="s">
        <v>3728</v>
      </c>
      <c r="PCI613" s="17">
        <v>44925</v>
      </c>
      <c r="PCJ613" s="5" t="s">
        <v>3728</v>
      </c>
      <c r="PCK613" s="17">
        <v>44925</v>
      </c>
      <c r="PCL613" s="5" t="s">
        <v>3728</v>
      </c>
      <c r="PCM613" s="17">
        <v>44925</v>
      </c>
      <c r="PCN613" s="5" t="s">
        <v>3728</v>
      </c>
      <c r="PCO613" s="17">
        <v>44925</v>
      </c>
      <c r="PCP613" s="5" t="s">
        <v>3728</v>
      </c>
      <c r="PCQ613" s="17">
        <v>44925</v>
      </c>
      <c r="PCR613" s="5" t="s">
        <v>3728</v>
      </c>
      <c r="PCS613" s="17">
        <v>44925</v>
      </c>
      <c r="PCT613" s="5" t="s">
        <v>3728</v>
      </c>
      <c r="PCU613" s="17">
        <v>44925</v>
      </c>
      <c r="PCV613" s="5" t="s">
        <v>3728</v>
      </c>
      <c r="PCW613" s="17">
        <v>44925</v>
      </c>
      <c r="PCX613" s="5" t="s">
        <v>3728</v>
      </c>
      <c r="PCY613" s="17">
        <v>44925</v>
      </c>
      <c r="PCZ613" s="5" t="s">
        <v>3728</v>
      </c>
      <c r="PDA613" s="17">
        <v>44925</v>
      </c>
      <c r="PDB613" s="5" t="s">
        <v>3728</v>
      </c>
      <c r="PDC613" s="17">
        <v>44925</v>
      </c>
      <c r="PDD613" s="5" t="s">
        <v>3728</v>
      </c>
      <c r="PDE613" s="17">
        <v>44925</v>
      </c>
      <c r="PDF613" s="5" t="s">
        <v>3728</v>
      </c>
      <c r="PDG613" s="17">
        <v>44925</v>
      </c>
      <c r="PDH613" s="5" t="s">
        <v>3728</v>
      </c>
      <c r="PDI613" s="17">
        <v>44925</v>
      </c>
      <c r="PDJ613" s="5" t="s">
        <v>3728</v>
      </c>
      <c r="PDK613" s="17">
        <v>44925</v>
      </c>
      <c r="PDL613" s="5" t="s">
        <v>3728</v>
      </c>
      <c r="PDM613" s="17">
        <v>44925</v>
      </c>
      <c r="PDN613" s="5" t="s">
        <v>3728</v>
      </c>
      <c r="PDO613" s="17">
        <v>44925</v>
      </c>
      <c r="PDP613" s="5" t="s">
        <v>3728</v>
      </c>
      <c r="PDQ613" s="17">
        <v>44925</v>
      </c>
      <c r="PDR613" s="5" t="s">
        <v>3728</v>
      </c>
      <c r="PDS613" s="17">
        <v>44925</v>
      </c>
      <c r="PDT613" s="5" t="s">
        <v>3728</v>
      </c>
      <c r="PDU613" s="17">
        <v>44925</v>
      </c>
      <c r="PDV613" s="5" t="s">
        <v>3728</v>
      </c>
      <c r="PDW613" s="17">
        <v>44925</v>
      </c>
      <c r="PDX613" s="5" t="s">
        <v>3728</v>
      </c>
      <c r="PDY613" s="17">
        <v>44925</v>
      </c>
      <c r="PDZ613" s="5" t="s">
        <v>3728</v>
      </c>
      <c r="PEA613" s="17">
        <v>44925</v>
      </c>
      <c r="PEB613" s="5" t="s">
        <v>3728</v>
      </c>
      <c r="PEC613" s="17">
        <v>44925</v>
      </c>
      <c r="PED613" s="5" t="s">
        <v>3728</v>
      </c>
      <c r="PEE613" s="17">
        <v>44925</v>
      </c>
      <c r="PEF613" s="5" t="s">
        <v>3728</v>
      </c>
      <c r="PEG613" s="17">
        <v>44925</v>
      </c>
      <c r="PEH613" s="5" t="s">
        <v>3728</v>
      </c>
      <c r="PEI613" s="17">
        <v>44925</v>
      </c>
      <c r="PEJ613" s="5" t="s">
        <v>3728</v>
      </c>
      <c r="PEK613" s="17">
        <v>44925</v>
      </c>
      <c r="PEL613" s="5" t="s">
        <v>3728</v>
      </c>
      <c r="PEM613" s="17">
        <v>44925</v>
      </c>
      <c r="PEN613" s="5" t="s">
        <v>3728</v>
      </c>
      <c r="PEO613" s="17">
        <v>44925</v>
      </c>
      <c r="PEP613" s="5" t="s">
        <v>3728</v>
      </c>
      <c r="PEQ613" s="17">
        <v>44925</v>
      </c>
      <c r="PER613" s="5" t="s">
        <v>3728</v>
      </c>
      <c r="PES613" s="17">
        <v>44925</v>
      </c>
      <c r="PET613" s="5" t="s">
        <v>3728</v>
      </c>
      <c r="PEU613" s="17">
        <v>44925</v>
      </c>
      <c r="PEV613" s="5" t="s">
        <v>3728</v>
      </c>
      <c r="PEW613" s="17">
        <v>44925</v>
      </c>
      <c r="PEX613" s="5" t="s">
        <v>3728</v>
      </c>
      <c r="PEY613" s="17">
        <v>44925</v>
      </c>
      <c r="PEZ613" s="5" t="s">
        <v>3728</v>
      </c>
      <c r="PFA613" s="17">
        <v>44925</v>
      </c>
      <c r="PFB613" s="5" t="s">
        <v>3728</v>
      </c>
      <c r="PFC613" s="17">
        <v>44925</v>
      </c>
      <c r="PFD613" s="5" t="s">
        <v>3728</v>
      </c>
      <c r="PFE613" s="17">
        <v>44925</v>
      </c>
      <c r="PFF613" s="5" t="s">
        <v>3728</v>
      </c>
      <c r="PFG613" s="17">
        <v>44925</v>
      </c>
      <c r="PFH613" s="5" t="s">
        <v>3728</v>
      </c>
      <c r="PFI613" s="17">
        <v>44925</v>
      </c>
      <c r="PFJ613" s="5" t="s">
        <v>3728</v>
      </c>
      <c r="PFK613" s="17">
        <v>44925</v>
      </c>
      <c r="PFL613" s="5" t="s">
        <v>3728</v>
      </c>
      <c r="PFM613" s="17">
        <v>44925</v>
      </c>
      <c r="PFN613" s="5" t="s">
        <v>3728</v>
      </c>
      <c r="PFO613" s="17">
        <v>44925</v>
      </c>
      <c r="PFP613" s="5" t="s">
        <v>3728</v>
      </c>
      <c r="PFQ613" s="17">
        <v>44925</v>
      </c>
      <c r="PFR613" s="5" t="s">
        <v>3728</v>
      </c>
      <c r="PFS613" s="17">
        <v>44925</v>
      </c>
      <c r="PFT613" s="5" t="s">
        <v>3728</v>
      </c>
      <c r="PFU613" s="17">
        <v>44925</v>
      </c>
      <c r="PFV613" s="5" t="s">
        <v>3728</v>
      </c>
      <c r="PFW613" s="17">
        <v>44925</v>
      </c>
      <c r="PFX613" s="5" t="s">
        <v>3728</v>
      </c>
      <c r="PFY613" s="17">
        <v>44925</v>
      </c>
      <c r="PFZ613" s="5" t="s">
        <v>3728</v>
      </c>
      <c r="PGA613" s="17">
        <v>44925</v>
      </c>
      <c r="PGB613" s="5" t="s">
        <v>3728</v>
      </c>
      <c r="PGC613" s="17">
        <v>44925</v>
      </c>
      <c r="PGD613" s="5" t="s">
        <v>3728</v>
      </c>
      <c r="PGE613" s="17">
        <v>44925</v>
      </c>
      <c r="PGF613" s="5" t="s">
        <v>3728</v>
      </c>
      <c r="PGG613" s="17">
        <v>44925</v>
      </c>
      <c r="PGH613" s="5" t="s">
        <v>3728</v>
      </c>
      <c r="PGI613" s="17">
        <v>44925</v>
      </c>
      <c r="PGJ613" s="5" t="s">
        <v>3728</v>
      </c>
      <c r="PGK613" s="17">
        <v>44925</v>
      </c>
      <c r="PGL613" s="5" t="s">
        <v>3728</v>
      </c>
      <c r="PGM613" s="17">
        <v>44925</v>
      </c>
      <c r="PGN613" s="5" t="s">
        <v>3728</v>
      </c>
      <c r="PGO613" s="17">
        <v>44925</v>
      </c>
      <c r="PGP613" s="5" t="s">
        <v>3728</v>
      </c>
      <c r="PGQ613" s="17">
        <v>44925</v>
      </c>
      <c r="PGR613" s="5" t="s">
        <v>3728</v>
      </c>
      <c r="PGS613" s="17">
        <v>44925</v>
      </c>
      <c r="PGT613" s="5" t="s">
        <v>3728</v>
      </c>
      <c r="PGU613" s="17">
        <v>44925</v>
      </c>
      <c r="PGV613" s="5" t="s">
        <v>3728</v>
      </c>
      <c r="PGW613" s="17">
        <v>44925</v>
      </c>
      <c r="PGX613" s="5" t="s">
        <v>3728</v>
      </c>
      <c r="PGY613" s="17">
        <v>44925</v>
      </c>
      <c r="PGZ613" s="5" t="s">
        <v>3728</v>
      </c>
      <c r="PHA613" s="17">
        <v>44925</v>
      </c>
      <c r="PHB613" s="5" t="s">
        <v>3728</v>
      </c>
      <c r="PHC613" s="17">
        <v>44925</v>
      </c>
      <c r="PHD613" s="5" t="s">
        <v>3728</v>
      </c>
      <c r="PHE613" s="17">
        <v>44925</v>
      </c>
      <c r="PHF613" s="5" t="s">
        <v>3728</v>
      </c>
      <c r="PHG613" s="17">
        <v>44925</v>
      </c>
      <c r="PHH613" s="5" t="s">
        <v>3728</v>
      </c>
      <c r="PHI613" s="17">
        <v>44925</v>
      </c>
      <c r="PHJ613" s="5" t="s">
        <v>3728</v>
      </c>
      <c r="PHK613" s="17">
        <v>44925</v>
      </c>
      <c r="PHL613" s="5" t="s">
        <v>3728</v>
      </c>
      <c r="PHM613" s="17">
        <v>44925</v>
      </c>
      <c r="PHN613" s="5" t="s">
        <v>3728</v>
      </c>
      <c r="PHO613" s="17">
        <v>44925</v>
      </c>
      <c r="PHP613" s="5" t="s">
        <v>3728</v>
      </c>
      <c r="PHQ613" s="17">
        <v>44925</v>
      </c>
      <c r="PHR613" s="5" t="s">
        <v>3728</v>
      </c>
      <c r="PHS613" s="17">
        <v>44925</v>
      </c>
      <c r="PHT613" s="5" t="s">
        <v>3728</v>
      </c>
      <c r="PHU613" s="17">
        <v>44925</v>
      </c>
      <c r="PHV613" s="5" t="s">
        <v>3728</v>
      </c>
      <c r="PHW613" s="17">
        <v>44925</v>
      </c>
      <c r="PHX613" s="5" t="s">
        <v>3728</v>
      </c>
      <c r="PHY613" s="17">
        <v>44925</v>
      </c>
      <c r="PHZ613" s="5" t="s">
        <v>3728</v>
      </c>
      <c r="PIA613" s="17">
        <v>44925</v>
      </c>
      <c r="PIB613" s="5" t="s">
        <v>3728</v>
      </c>
      <c r="PIC613" s="17">
        <v>44925</v>
      </c>
      <c r="PID613" s="5" t="s">
        <v>3728</v>
      </c>
      <c r="PIE613" s="17">
        <v>44925</v>
      </c>
      <c r="PIF613" s="5" t="s">
        <v>3728</v>
      </c>
      <c r="PIG613" s="17">
        <v>44925</v>
      </c>
      <c r="PIH613" s="5" t="s">
        <v>3728</v>
      </c>
      <c r="PII613" s="17">
        <v>44925</v>
      </c>
      <c r="PIJ613" s="5" t="s">
        <v>3728</v>
      </c>
      <c r="PIK613" s="17">
        <v>44925</v>
      </c>
      <c r="PIL613" s="5" t="s">
        <v>3728</v>
      </c>
      <c r="PIM613" s="17">
        <v>44925</v>
      </c>
      <c r="PIN613" s="5" t="s">
        <v>3728</v>
      </c>
      <c r="PIO613" s="17">
        <v>44925</v>
      </c>
      <c r="PIP613" s="5" t="s">
        <v>3728</v>
      </c>
      <c r="PIQ613" s="17">
        <v>44925</v>
      </c>
      <c r="PIR613" s="5" t="s">
        <v>3728</v>
      </c>
      <c r="PIS613" s="17">
        <v>44925</v>
      </c>
      <c r="PIT613" s="5" t="s">
        <v>3728</v>
      </c>
      <c r="PIU613" s="17">
        <v>44925</v>
      </c>
      <c r="PIV613" s="5" t="s">
        <v>3728</v>
      </c>
      <c r="PIW613" s="17">
        <v>44925</v>
      </c>
      <c r="PIX613" s="5" t="s">
        <v>3728</v>
      </c>
      <c r="PIY613" s="17">
        <v>44925</v>
      </c>
      <c r="PIZ613" s="5" t="s">
        <v>3728</v>
      </c>
      <c r="PJA613" s="17">
        <v>44925</v>
      </c>
      <c r="PJB613" s="5" t="s">
        <v>3728</v>
      </c>
      <c r="PJC613" s="17">
        <v>44925</v>
      </c>
      <c r="PJD613" s="5" t="s">
        <v>3728</v>
      </c>
      <c r="PJE613" s="17">
        <v>44925</v>
      </c>
      <c r="PJF613" s="5" t="s">
        <v>3728</v>
      </c>
      <c r="PJG613" s="17">
        <v>44925</v>
      </c>
      <c r="PJH613" s="5" t="s">
        <v>3728</v>
      </c>
      <c r="PJI613" s="17">
        <v>44925</v>
      </c>
      <c r="PJJ613" s="5" t="s">
        <v>3728</v>
      </c>
      <c r="PJK613" s="17">
        <v>44925</v>
      </c>
      <c r="PJL613" s="5" t="s">
        <v>3728</v>
      </c>
      <c r="PJM613" s="17">
        <v>44925</v>
      </c>
      <c r="PJN613" s="5" t="s">
        <v>3728</v>
      </c>
      <c r="PJO613" s="17">
        <v>44925</v>
      </c>
      <c r="PJP613" s="5" t="s">
        <v>3728</v>
      </c>
      <c r="PJQ613" s="17">
        <v>44925</v>
      </c>
      <c r="PJR613" s="5" t="s">
        <v>3728</v>
      </c>
      <c r="PJS613" s="17">
        <v>44925</v>
      </c>
      <c r="PJT613" s="5" t="s">
        <v>3728</v>
      </c>
      <c r="PJU613" s="17">
        <v>44925</v>
      </c>
      <c r="PJV613" s="5" t="s">
        <v>3728</v>
      </c>
      <c r="PJW613" s="17">
        <v>44925</v>
      </c>
      <c r="PJX613" s="5" t="s">
        <v>3728</v>
      </c>
      <c r="PJY613" s="17">
        <v>44925</v>
      </c>
      <c r="PJZ613" s="5" t="s">
        <v>3728</v>
      </c>
      <c r="PKA613" s="17">
        <v>44925</v>
      </c>
      <c r="PKB613" s="5" t="s">
        <v>3728</v>
      </c>
      <c r="PKC613" s="17">
        <v>44925</v>
      </c>
      <c r="PKD613" s="5" t="s">
        <v>3728</v>
      </c>
      <c r="PKE613" s="17">
        <v>44925</v>
      </c>
      <c r="PKF613" s="5" t="s">
        <v>3728</v>
      </c>
      <c r="PKG613" s="17">
        <v>44925</v>
      </c>
      <c r="PKH613" s="5" t="s">
        <v>3728</v>
      </c>
      <c r="PKI613" s="17">
        <v>44925</v>
      </c>
      <c r="PKJ613" s="5" t="s">
        <v>3728</v>
      </c>
      <c r="PKK613" s="17">
        <v>44925</v>
      </c>
      <c r="PKL613" s="5" t="s">
        <v>3728</v>
      </c>
      <c r="PKM613" s="17">
        <v>44925</v>
      </c>
      <c r="PKN613" s="5" t="s">
        <v>3728</v>
      </c>
      <c r="PKO613" s="17">
        <v>44925</v>
      </c>
      <c r="PKP613" s="5" t="s">
        <v>3728</v>
      </c>
      <c r="PKQ613" s="17">
        <v>44925</v>
      </c>
      <c r="PKR613" s="5" t="s">
        <v>3728</v>
      </c>
      <c r="PKS613" s="17">
        <v>44925</v>
      </c>
      <c r="PKT613" s="5" t="s">
        <v>3728</v>
      </c>
      <c r="PKU613" s="17">
        <v>44925</v>
      </c>
      <c r="PKV613" s="5" t="s">
        <v>3728</v>
      </c>
      <c r="PKW613" s="17">
        <v>44925</v>
      </c>
      <c r="PKX613" s="5" t="s">
        <v>3728</v>
      </c>
      <c r="PKY613" s="17">
        <v>44925</v>
      </c>
      <c r="PKZ613" s="5" t="s">
        <v>3728</v>
      </c>
      <c r="PLA613" s="17">
        <v>44925</v>
      </c>
      <c r="PLB613" s="5" t="s">
        <v>3728</v>
      </c>
      <c r="PLC613" s="17">
        <v>44925</v>
      </c>
      <c r="PLD613" s="5" t="s">
        <v>3728</v>
      </c>
      <c r="PLE613" s="17">
        <v>44925</v>
      </c>
      <c r="PLF613" s="5" t="s">
        <v>3728</v>
      </c>
      <c r="PLG613" s="17">
        <v>44925</v>
      </c>
      <c r="PLH613" s="5" t="s">
        <v>3728</v>
      </c>
      <c r="PLI613" s="17">
        <v>44925</v>
      </c>
      <c r="PLJ613" s="5" t="s">
        <v>3728</v>
      </c>
      <c r="PLK613" s="17">
        <v>44925</v>
      </c>
      <c r="PLL613" s="5" t="s">
        <v>3728</v>
      </c>
      <c r="PLM613" s="17">
        <v>44925</v>
      </c>
      <c r="PLN613" s="5" t="s">
        <v>3728</v>
      </c>
      <c r="PLO613" s="17">
        <v>44925</v>
      </c>
      <c r="PLP613" s="5" t="s">
        <v>3728</v>
      </c>
      <c r="PLQ613" s="17">
        <v>44925</v>
      </c>
      <c r="PLR613" s="5" t="s">
        <v>3728</v>
      </c>
      <c r="PLS613" s="17">
        <v>44925</v>
      </c>
      <c r="PLT613" s="5" t="s">
        <v>3728</v>
      </c>
      <c r="PLU613" s="17">
        <v>44925</v>
      </c>
      <c r="PLV613" s="5" t="s">
        <v>3728</v>
      </c>
      <c r="PLW613" s="17">
        <v>44925</v>
      </c>
      <c r="PLX613" s="5" t="s">
        <v>3728</v>
      </c>
      <c r="PLY613" s="17">
        <v>44925</v>
      </c>
      <c r="PLZ613" s="5" t="s">
        <v>3728</v>
      </c>
      <c r="PMA613" s="17">
        <v>44925</v>
      </c>
      <c r="PMB613" s="5" t="s">
        <v>3728</v>
      </c>
      <c r="PMC613" s="17">
        <v>44925</v>
      </c>
      <c r="PMD613" s="5" t="s">
        <v>3728</v>
      </c>
      <c r="PME613" s="17">
        <v>44925</v>
      </c>
      <c r="PMF613" s="5" t="s">
        <v>3728</v>
      </c>
      <c r="PMG613" s="17">
        <v>44925</v>
      </c>
      <c r="PMH613" s="5" t="s">
        <v>3728</v>
      </c>
      <c r="PMI613" s="17">
        <v>44925</v>
      </c>
      <c r="PMJ613" s="5" t="s">
        <v>3728</v>
      </c>
      <c r="PMK613" s="17">
        <v>44925</v>
      </c>
      <c r="PML613" s="5" t="s">
        <v>3728</v>
      </c>
      <c r="PMM613" s="17">
        <v>44925</v>
      </c>
      <c r="PMN613" s="5" t="s">
        <v>3728</v>
      </c>
      <c r="PMO613" s="17">
        <v>44925</v>
      </c>
      <c r="PMP613" s="5" t="s">
        <v>3728</v>
      </c>
      <c r="PMQ613" s="17">
        <v>44925</v>
      </c>
      <c r="PMR613" s="5" t="s">
        <v>3728</v>
      </c>
      <c r="PMS613" s="17">
        <v>44925</v>
      </c>
      <c r="PMT613" s="5" t="s">
        <v>3728</v>
      </c>
      <c r="PMU613" s="17">
        <v>44925</v>
      </c>
      <c r="PMV613" s="5" t="s">
        <v>3728</v>
      </c>
      <c r="PMW613" s="17">
        <v>44925</v>
      </c>
      <c r="PMX613" s="5" t="s">
        <v>3728</v>
      </c>
      <c r="PMY613" s="17">
        <v>44925</v>
      </c>
      <c r="PMZ613" s="5" t="s">
        <v>3728</v>
      </c>
      <c r="PNA613" s="17">
        <v>44925</v>
      </c>
      <c r="PNB613" s="5" t="s">
        <v>3728</v>
      </c>
      <c r="PNC613" s="17">
        <v>44925</v>
      </c>
      <c r="PND613" s="5" t="s">
        <v>3728</v>
      </c>
      <c r="PNE613" s="17">
        <v>44925</v>
      </c>
      <c r="PNF613" s="5" t="s">
        <v>3728</v>
      </c>
      <c r="PNG613" s="17">
        <v>44925</v>
      </c>
      <c r="PNH613" s="5" t="s">
        <v>3728</v>
      </c>
      <c r="PNI613" s="17">
        <v>44925</v>
      </c>
      <c r="PNJ613" s="5" t="s">
        <v>3728</v>
      </c>
      <c r="PNK613" s="17">
        <v>44925</v>
      </c>
      <c r="PNL613" s="5" t="s">
        <v>3728</v>
      </c>
      <c r="PNM613" s="17">
        <v>44925</v>
      </c>
      <c r="PNN613" s="5" t="s">
        <v>3728</v>
      </c>
      <c r="PNO613" s="17">
        <v>44925</v>
      </c>
      <c r="PNP613" s="5" t="s">
        <v>3728</v>
      </c>
      <c r="PNQ613" s="17">
        <v>44925</v>
      </c>
      <c r="PNR613" s="5" t="s">
        <v>3728</v>
      </c>
      <c r="PNS613" s="17">
        <v>44925</v>
      </c>
      <c r="PNT613" s="5" t="s">
        <v>3728</v>
      </c>
      <c r="PNU613" s="17">
        <v>44925</v>
      </c>
      <c r="PNV613" s="5" t="s">
        <v>3728</v>
      </c>
      <c r="PNW613" s="17">
        <v>44925</v>
      </c>
      <c r="PNX613" s="5" t="s">
        <v>3728</v>
      </c>
      <c r="PNY613" s="17">
        <v>44925</v>
      </c>
      <c r="PNZ613" s="5" t="s">
        <v>3728</v>
      </c>
      <c r="POA613" s="17">
        <v>44925</v>
      </c>
      <c r="POB613" s="5" t="s">
        <v>3728</v>
      </c>
      <c r="POC613" s="17">
        <v>44925</v>
      </c>
      <c r="POD613" s="5" t="s">
        <v>3728</v>
      </c>
      <c r="POE613" s="17">
        <v>44925</v>
      </c>
      <c r="POF613" s="5" t="s">
        <v>3728</v>
      </c>
      <c r="POG613" s="17">
        <v>44925</v>
      </c>
      <c r="POH613" s="5" t="s">
        <v>3728</v>
      </c>
      <c r="POI613" s="17">
        <v>44925</v>
      </c>
      <c r="POJ613" s="5" t="s">
        <v>3728</v>
      </c>
      <c r="POK613" s="17">
        <v>44925</v>
      </c>
      <c r="POL613" s="5" t="s">
        <v>3728</v>
      </c>
      <c r="POM613" s="17">
        <v>44925</v>
      </c>
      <c r="PON613" s="5" t="s">
        <v>3728</v>
      </c>
      <c r="POO613" s="17">
        <v>44925</v>
      </c>
      <c r="POP613" s="5" t="s">
        <v>3728</v>
      </c>
      <c r="POQ613" s="17">
        <v>44925</v>
      </c>
      <c r="POR613" s="5" t="s">
        <v>3728</v>
      </c>
      <c r="POS613" s="17">
        <v>44925</v>
      </c>
      <c r="POT613" s="5" t="s">
        <v>3728</v>
      </c>
      <c r="POU613" s="17">
        <v>44925</v>
      </c>
      <c r="POV613" s="5" t="s">
        <v>3728</v>
      </c>
      <c r="POW613" s="17">
        <v>44925</v>
      </c>
      <c r="POX613" s="5" t="s">
        <v>3728</v>
      </c>
      <c r="POY613" s="17">
        <v>44925</v>
      </c>
      <c r="POZ613" s="5" t="s">
        <v>3728</v>
      </c>
      <c r="PPA613" s="17">
        <v>44925</v>
      </c>
      <c r="PPB613" s="5" t="s">
        <v>3728</v>
      </c>
      <c r="PPC613" s="17">
        <v>44925</v>
      </c>
      <c r="PPD613" s="5" t="s">
        <v>3728</v>
      </c>
      <c r="PPE613" s="17">
        <v>44925</v>
      </c>
      <c r="PPF613" s="5" t="s">
        <v>3728</v>
      </c>
      <c r="PPG613" s="17">
        <v>44925</v>
      </c>
      <c r="PPH613" s="5" t="s">
        <v>3728</v>
      </c>
      <c r="PPI613" s="17">
        <v>44925</v>
      </c>
      <c r="PPJ613" s="5" t="s">
        <v>3728</v>
      </c>
      <c r="PPK613" s="17">
        <v>44925</v>
      </c>
      <c r="PPL613" s="5" t="s">
        <v>3728</v>
      </c>
      <c r="PPM613" s="17">
        <v>44925</v>
      </c>
      <c r="PPN613" s="5" t="s">
        <v>3728</v>
      </c>
      <c r="PPO613" s="17">
        <v>44925</v>
      </c>
      <c r="PPP613" s="5" t="s">
        <v>3728</v>
      </c>
      <c r="PPQ613" s="17">
        <v>44925</v>
      </c>
      <c r="PPR613" s="5" t="s">
        <v>3728</v>
      </c>
      <c r="PPS613" s="17">
        <v>44925</v>
      </c>
      <c r="PPT613" s="5" t="s">
        <v>3728</v>
      </c>
      <c r="PPU613" s="17">
        <v>44925</v>
      </c>
      <c r="PPV613" s="5" t="s">
        <v>3728</v>
      </c>
      <c r="PPW613" s="17">
        <v>44925</v>
      </c>
      <c r="PPX613" s="5" t="s">
        <v>3728</v>
      </c>
      <c r="PPY613" s="17">
        <v>44925</v>
      </c>
      <c r="PPZ613" s="5" t="s">
        <v>3728</v>
      </c>
      <c r="PQA613" s="17">
        <v>44925</v>
      </c>
      <c r="PQB613" s="5" t="s">
        <v>3728</v>
      </c>
      <c r="PQC613" s="17">
        <v>44925</v>
      </c>
      <c r="PQD613" s="5" t="s">
        <v>3728</v>
      </c>
      <c r="PQE613" s="17">
        <v>44925</v>
      </c>
      <c r="PQF613" s="5" t="s">
        <v>3728</v>
      </c>
      <c r="PQG613" s="17">
        <v>44925</v>
      </c>
      <c r="PQH613" s="5" t="s">
        <v>3728</v>
      </c>
      <c r="PQI613" s="17">
        <v>44925</v>
      </c>
      <c r="PQJ613" s="5" t="s">
        <v>3728</v>
      </c>
      <c r="PQK613" s="17">
        <v>44925</v>
      </c>
      <c r="PQL613" s="5" t="s">
        <v>3728</v>
      </c>
      <c r="PQM613" s="17">
        <v>44925</v>
      </c>
      <c r="PQN613" s="5" t="s">
        <v>3728</v>
      </c>
      <c r="PQO613" s="17">
        <v>44925</v>
      </c>
      <c r="PQP613" s="5" t="s">
        <v>3728</v>
      </c>
      <c r="PQQ613" s="17">
        <v>44925</v>
      </c>
      <c r="PQR613" s="5" t="s">
        <v>3728</v>
      </c>
      <c r="PQS613" s="17">
        <v>44925</v>
      </c>
      <c r="PQT613" s="5" t="s">
        <v>3728</v>
      </c>
      <c r="PQU613" s="17">
        <v>44925</v>
      </c>
      <c r="PQV613" s="5" t="s">
        <v>3728</v>
      </c>
      <c r="PQW613" s="17">
        <v>44925</v>
      </c>
      <c r="PQX613" s="5" t="s">
        <v>3728</v>
      </c>
      <c r="PQY613" s="17">
        <v>44925</v>
      </c>
      <c r="PQZ613" s="5" t="s">
        <v>3728</v>
      </c>
      <c r="PRA613" s="17">
        <v>44925</v>
      </c>
      <c r="PRB613" s="5" t="s">
        <v>3728</v>
      </c>
      <c r="PRC613" s="17">
        <v>44925</v>
      </c>
      <c r="PRD613" s="5" t="s">
        <v>3728</v>
      </c>
      <c r="PRE613" s="17">
        <v>44925</v>
      </c>
      <c r="PRF613" s="5" t="s">
        <v>3728</v>
      </c>
      <c r="PRG613" s="17">
        <v>44925</v>
      </c>
      <c r="PRH613" s="5" t="s">
        <v>3728</v>
      </c>
      <c r="PRI613" s="17">
        <v>44925</v>
      </c>
      <c r="PRJ613" s="5" t="s">
        <v>3728</v>
      </c>
      <c r="PRK613" s="17">
        <v>44925</v>
      </c>
      <c r="PRL613" s="5" t="s">
        <v>3728</v>
      </c>
      <c r="PRM613" s="17">
        <v>44925</v>
      </c>
      <c r="PRN613" s="5" t="s">
        <v>3728</v>
      </c>
      <c r="PRO613" s="17">
        <v>44925</v>
      </c>
      <c r="PRP613" s="5" t="s">
        <v>3728</v>
      </c>
      <c r="PRQ613" s="17">
        <v>44925</v>
      </c>
      <c r="PRR613" s="5" t="s">
        <v>3728</v>
      </c>
      <c r="PRS613" s="17">
        <v>44925</v>
      </c>
      <c r="PRT613" s="5" t="s">
        <v>3728</v>
      </c>
      <c r="PRU613" s="17">
        <v>44925</v>
      </c>
      <c r="PRV613" s="5" t="s">
        <v>3728</v>
      </c>
      <c r="PRW613" s="17">
        <v>44925</v>
      </c>
      <c r="PRX613" s="5" t="s">
        <v>3728</v>
      </c>
      <c r="PRY613" s="17">
        <v>44925</v>
      </c>
      <c r="PRZ613" s="5" t="s">
        <v>3728</v>
      </c>
      <c r="PSA613" s="17">
        <v>44925</v>
      </c>
      <c r="PSB613" s="5" t="s">
        <v>3728</v>
      </c>
      <c r="PSC613" s="17">
        <v>44925</v>
      </c>
      <c r="PSD613" s="5" t="s">
        <v>3728</v>
      </c>
      <c r="PSE613" s="17">
        <v>44925</v>
      </c>
      <c r="PSF613" s="5" t="s">
        <v>3728</v>
      </c>
      <c r="PSG613" s="17">
        <v>44925</v>
      </c>
      <c r="PSH613" s="5" t="s">
        <v>3728</v>
      </c>
      <c r="PSI613" s="17">
        <v>44925</v>
      </c>
      <c r="PSJ613" s="5" t="s">
        <v>3728</v>
      </c>
      <c r="PSK613" s="17">
        <v>44925</v>
      </c>
      <c r="PSL613" s="5" t="s">
        <v>3728</v>
      </c>
      <c r="PSM613" s="17">
        <v>44925</v>
      </c>
      <c r="PSN613" s="5" t="s">
        <v>3728</v>
      </c>
      <c r="PSO613" s="17">
        <v>44925</v>
      </c>
      <c r="PSP613" s="5" t="s">
        <v>3728</v>
      </c>
      <c r="PSQ613" s="17">
        <v>44925</v>
      </c>
      <c r="PSR613" s="5" t="s">
        <v>3728</v>
      </c>
      <c r="PSS613" s="17">
        <v>44925</v>
      </c>
      <c r="PST613" s="5" t="s">
        <v>3728</v>
      </c>
      <c r="PSU613" s="17">
        <v>44925</v>
      </c>
      <c r="PSV613" s="5" t="s">
        <v>3728</v>
      </c>
      <c r="PSW613" s="17">
        <v>44925</v>
      </c>
      <c r="PSX613" s="5" t="s">
        <v>3728</v>
      </c>
      <c r="PSY613" s="17">
        <v>44925</v>
      </c>
      <c r="PSZ613" s="5" t="s">
        <v>3728</v>
      </c>
      <c r="PTA613" s="17">
        <v>44925</v>
      </c>
      <c r="PTB613" s="5" t="s">
        <v>3728</v>
      </c>
      <c r="PTC613" s="17">
        <v>44925</v>
      </c>
      <c r="PTD613" s="5" t="s">
        <v>3728</v>
      </c>
      <c r="PTE613" s="17">
        <v>44925</v>
      </c>
      <c r="PTF613" s="5" t="s">
        <v>3728</v>
      </c>
      <c r="PTG613" s="17">
        <v>44925</v>
      </c>
      <c r="PTH613" s="5" t="s">
        <v>3728</v>
      </c>
      <c r="PTI613" s="17">
        <v>44925</v>
      </c>
      <c r="PTJ613" s="5" t="s">
        <v>3728</v>
      </c>
      <c r="PTK613" s="17">
        <v>44925</v>
      </c>
      <c r="PTL613" s="5" t="s">
        <v>3728</v>
      </c>
      <c r="PTM613" s="17">
        <v>44925</v>
      </c>
      <c r="PTN613" s="5" t="s">
        <v>3728</v>
      </c>
      <c r="PTO613" s="17">
        <v>44925</v>
      </c>
      <c r="PTP613" s="5" t="s">
        <v>3728</v>
      </c>
      <c r="PTQ613" s="17">
        <v>44925</v>
      </c>
      <c r="PTR613" s="5" t="s">
        <v>3728</v>
      </c>
      <c r="PTS613" s="17">
        <v>44925</v>
      </c>
      <c r="PTT613" s="5" t="s">
        <v>3728</v>
      </c>
      <c r="PTU613" s="17">
        <v>44925</v>
      </c>
      <c r="PTV613" s="5" t="s">
        <v>3728</v>
      </c>
      <c r="PTW613" s="17">
        <v>44925</v>
      </c>
      <c r="PTX613" s="5" t="s">
        <v>3728</v>
      </c>
      <c r="PTY613" s="17">
        <v>44925</v>
      </c>
      <c r="PTZ613" s="5" t="s">
        <v>3728</v>
      </c>
      <c r="PUA613" s="17">
        <v>44925</v>
      </c>
      <c r="PUB613" s="5" t="s">
        <v>3728</v>
      </c>
      <c r="PUC613" s="17">
        <v>44925</v>
      </c>
      <c r="PUD613" s="5" t="s">
        <v>3728</v>
      </c>
      <c r="PUE613" s="17">
        <v>44925</v>
      </c>
      <c r="PUF613" s="5" t="s">
        <v>3728</v>
      </c>
      <c r="PUG613" s="17">
        <v>44925</v>
      </c>
      <c r="PUH613" s="5" t="s">
        <v>3728</v>
      </c>
      <c r="PUI613" s="17">
        <v>44925</v>
      </c>
      <c r="PUJ613" s="5" t="s">
        <v>3728</v>
      </c>
      <c r="PUK613" s="17">
        <v>44925</v>
      </c>
      <c r="PUL613" s="5" t="s">
        <v>3728</v>
      </c>
      <c r="PUM613" s="17">
        <v>44925</v>
      </c>
      <c r="PUN613" s="5" t="s">
        <v>3728</v>
      </c>
      <c r="PUO613" s="17">
        <v>44925</v>
      </c>
      <c r="PUP613" s="5" t="s">
        <v>3728</v>
      </c>
      <c r="PUQ613" s="17">
        <v>44925</v>
      </c>
      <c r="PUR613" s="5" t="s">
        <v>3728</v>
      </c>
      <c r="PUS613" s="17">
        <v>44925</v>
      </c>
      <c r="PUT613" s="5" t="s">
        <v>3728</v>
      </c>
      <c r="PUU613" s="17">
        <v>44925</v>
      </c>
      <c r="PUV613" s="5" t="s">
        <v>3728</v>
      </c>
      <c r="PUW613" s="17">
        <v>44925</v>
      </c>
      <c r="PUX613" s="5" t="s">
        <v>3728</v>
      </c>
      <c r="PUY613" s="17">
        <v>44925</v>
      </c>
      <c r="PUZ613" s="5" t="s">
        <v>3728</v>
      </c>
      <c r="PVA613" s="17">
        <v>44925</v>
      </c>
      <c r="PVB613" s="5" t="s">
        <v>3728</v>
      </c>
      <c r="PVC613" s="17">
        <v>44925</v>
      </c>
      <c r="PVD613" s="5" t="s">
        <v>3728</v>
      </c>
      <c r="PVE613" s="17">
        <v>44925</v>
      </c>
      <c r="PVF613" s="5" t="s">
        <v>3728</v>
      </c>
      <c r="PVG613" s="17">
        <v>44925</v>
      </c>
      <c r="PVH613" s="5" t="s">
        <v>3728</v>
      </c>
      <c r="PVI613" s="17">
        <v>44925</v>
      </c>
      <c r="PVJ613" s="5" t="s">
        <v>3728</v>
      </c>
      <c r="PVK613" s="17">
        <v>44925</v>
      </c>
      <c r="PVL613" s="5" t="s">
        <v>3728</v>
      </c>
      <c r="PVM613" s="17">
        <v>44925</v>
      </c>
      <c r="PVN613" s="5" t="s">
        <v>3728</v>
      </c>
      <c r="PVO613" s="17">
        <v>44925</v>
      </c>
      <c r="PVP613" s="5" t="s">
        <v>3728</v>
      </c>
      <c r="PVQ613" s="17">
        <v>44925</v>
      </c>
      <c r="PVR613" s="5" t="s">
        <v>3728</v>
      </c>
      <c r="PVS613" s="17">
        <v>44925</v>
      </c>
      <c r="PVT613" s="5" t="s">
        <v>3728</v>
      </c>
      <c r="PVU613" s="17">
        <v>44925</v>
      </c>
      <c r="PVV613" s="5" t="s">
        <v>3728</v>
      </c>
      <c r="PVW613" s="17">
        <v>44925</v>
      </c>
      <c r="PVX613" s="5" t="s">
        <v>3728</v>
      </c>
      <c r="PVY613" s="17">
        <v>44925</v>
      </c>
      <c r="PVZ613" s="5" t="s">
        <v>3728</v>
      </c>
      <c r="PWA613" s="17">
        <v>44925</v>
      </c>
      <c r="PWB613" s="5" t="s">
        <v>3728</v>
      </c>
      <c r="PWC613" s="17">
        <v>44925</v>
      </c>
      <c r="PWD613" s="5" t="s">
        <v>3728</v>
      </c>
      <c r="PWE613" s="17">
        <v>44925</v>
      </c>
      <c r="PWF613" s="5" t="s">
        <v>3728</v>
      </c>
      <c r="PWG613" s="17">
        <v>44925</v>
      </c>
      <c r="PWH613" s="5" t="s">
        <v>3728</v>
      </c>
      <c r="PWI613" s="17">
        <v>44925</v>
      </c>
      <c r="PWJ613" s="5" t="s">
        <v>3728</v>
      </c>
      <c r="PWK613" s="17">
        <v>44925</v>
      </c>
      <c r="PWL613" s="5" t="s">
        <v>3728</v>
      </c>
      <c r="PWM613" s="17">
        <v>44925</v>
      </c>
      <c r="PWN613" s="5" t="s">
        <v>3728</v>
      </c>
      <c r="PWO613" s="17">
        <v>44925</v>
      </c>
      <c r="PWP613" s="5" t="s">
        <v>3728</v>
      </c>
      <c r="PWQ613" s="17">
        <v>44925</v>
      </c>
      <c r="PWR613" s="5" t="s">
        <v>3728</v>
      </c>
      <c r="PWS613" s="17">
        <v>44925</v>
      </c>
      <c r="PWT613" s="5" t="s">
        <v>3728</v>
      </c>
      <c r="PWU613" s="17">
        <v>44925</v>
      </c>
      <c r="PWV613" s="5" t="s">
        <v>3728</v>
      </c>
      <c r="PWW613" s="17">
        <v>44925</v>
      </c>
      <c r="PWX613" s="5" t="s">
        <v>3728</v>
      </c>
      <c r="PWY613" s="17">
        <v>44925</v>
      </c>
      <c r="PWZ613" s="5" t="s">
        <v>3728</v>
      </c>
      <c r="PXA613" s="17">
        <v>44925</v>
      </c>
      <c r="PXB613" s="5" t="s">
        <v>3728</v>
      </c>
      <c r="PXC613" s="17">
        <v>44925</v>
      </c>
      <c r="PXD613" s="5" t="s">
        <v>3728</v>
      </c>
      <c r="PXE613" s="17">
        <v>44925</v>
      </c>
      <c r="PXF613" s="5" t="s">
        <v>3728</v>
      </c>
      <c r="PXG613" s="17">
        <v>44925</v>
      </c>
      <c r="PXH613" s="5" t="s">
        <v>3728</v>
      </c>
      <c r="PXI613" s="17">
        <v>44925</v>
      </c>
      <c r="PXJ613" s="5" t="s">
        <v>3728</v>
      </c>
      <c r="PXK613" s="17">
        <v>44925</v>
      </c>
      <c r="PXL613" s="5" t="s">
        <v>3728</v>
      </c>
      <c r="PXM613" s="17">
        <v>44925</v>
      </c>
      <c r="PXN613" s="5" t="s">
        <v>3728</v>
      </c>
      <c r="PXO613" s="17">
        <v>44925</v>
      </c>
      <c r="PXP613" s="5" t="s">
        <v>3728</v>
      </c>
      <c r="PXQ613" s="17">
        <v>44925</v>
      </c>
      <c r="PXR613" s="5" t="s">
        <v>3728</v>
      </c>
      <c r="PXS613" s="17">
        <v>44925</v>
      </c>
      <c r="PXT613" s="5" t="s">
        <v>3728</v>
      </c>
      <c r="PXU613" s="17">
        <v>44925</v>
      </c>
      <c r="PXV613" s="5" t="s">
        <v>3728</v>
      </c>
      <c r="PXW613" s="17">
        <v>44925</v>
      </c>
      <c r="PXX613" s="5" t="s">
        <v>3728</v>
      </c>
      <c r="PXY613" s="17">
        <v>44925</v>
      </c>
      <c r="PXZ613" s="5" t="s">
        <v>3728</v>
      </c>
      <c r="PYA613" s="17">
        <v>44925</v>
      </c>
      <c r="PYB613" s="5" t="s">
        <v>3728</v>
      </c>
      <c r="PYC613" s="17">
        <v>44925</v>
      </c>
      <c r="PYD613" s="5" t="s">
        <v>3728</v>
      </c>
      <c r="PYE613" s="17">
        <v>44925</v>
      </c>
      <c r="PYF613" s="5" t="s">
        <v>3728</v>
      </c>
      <c r="PYG613" s="17">
        <v>44925</v>
      </c>
      <c r="PYH613" s="5" t="s">
        <v>3728</v>
      </c>
      <c r="PYI613" s="17">
        <v>44925</v>
      </c>
      <c r="PYJ613" s="5" t="s">
        <v>3728</v>
      </c>
      <c r="PYK613" s="17">
        <v>44925</v>
      </c>
      <c r="PYL613" s="5" t="s">
        <v>3728</v>
      </c>
      <c r="PYM613" s="17">
        <v>44925</v>
      </c>
      <c r="PYN613" s="5" t="s">
        <v>3728</v>
      </c>
      <c r="PYO613" s="17">
        <v>44925</v>
      </c>
      <c r="PYP613" s="5" t="s">
        <v>3728</v>
      </c>
      <c r="PYQ613" s="17">
        <v>44925</v>
      </c>
      <c r="PYR613" s="5" t="s">
        <v>3728</v>
      </c>
      <c r="PYS613" s="17">
        <v>44925</v>
      </c>
      <c r="PYT613" s="5" t="s">
        <v>3728</v>
      </c>
      <c r="PYU613" s="17">
        <v>44925</v>
      </c>
      <c r="PYV613" s="5" t="s">
        <v>3728</v>
      </c>
      <c r="PYW613" s="17">
        <v>44925</v>
      </c>
      <c r="PYX613" s="5" t="s">
        <v>3728</v>
      </c>
      <c r="PYY613" s="17">
        <v>44925</v>
      </c>
      <c r="PYZ613" s="5" t="s">
        <v>3728</v>
      </c>
      <c r="PZA613" s="17">
        <v>44925</v>
      </c>
      <c r="PZB613" s="5" t="s">
        <v>3728</v>
      </c>
      <c r="PZC613" s="17">
        <v>44925</v>
      </c>
      <c r="PZD613" s="5" t="s">
        <v>3728</v>
      </c>
      <c r="PZE613" s="17">
        <v>44925</v>
      </c>
      <c r="PZF613" s="5" t="s">
        <v>3728</v>
      </c>
      <c r="PZG613" s="17">
        <v>44925</v>
      </c>
      <c r="PZH613" s="5" t="s">
        <v>3728</v>
      </c>
      <c r="PZI613" s="17">
        <v>44925</v>
      </c>
      <c r="PZJ613" s="5" t="s">
        <v>3728</v>
      </c>
      <c r="PZK613" s="17">
        <v>44925</v>
      </c>
      <c r="PZL613" s="5" t="s">
        <v>3728</v>
      </c>
      <c r="PZM613" s="17">
        <v>44925</v>
      </c>
      <c r="PZN613" s="5" t="s">
        <v>3728</v>
      </c>
      <c r="PZO613" s="17">
        <v>44925</v>
      </c>
      <c r="PZP613" s="5" t="s">
        <v>3728</v>
      </c>
      <c r="PZQ613" s="17">
        <v>44925</v>
      </c>
      <c r="PZR613" s="5" t="s">
        <v>3728</v>
      </c>
      <c r="PZS613" s="17">
        <v>44925</v>
      </c>
      <c r="PZT613" s="5" t="s">
        <v>3728</v>
      </c>
      <c r="PZU613" s="17">
        <v>44925</v>
      </c>
      <c r="PZV613" s="5" t="s">
        <v>3728</v>
      </c>
      <c r="PZW613" s="17">
        <v>44925</v>
      </c>
      <c r="PZX613" s="5" t="s">
        <v>3728</v>
      </c>
      <c r="PZY613" s="17">
        <v>44925</v>
      </c>
      <c r="PZZ613" s="5" t="s">
        <v>3728</v>
      </c>
      <c r="QAA613" s="17">
        <v>44925</v>
      </c>
      <c r="QAB613" s="5" t="s">
        <v>3728</v>
      </c>
      <c r="QAC613" s="17">
        <v>44925</v>
      </c>
      <c r="QAD613" s="5" t="s">
        <v>3728</v>
      </c>
      <c r="QAE613" s="17">
        <v>44925</v>
      </c>
      <c r="QAF613" s="5" t="s">
        <v>3728</v>
      </c>
      <c r="QAG613" s="17">
        <v>44925</v>
      </c>
      <c r="QAH613" s="5" t="s">
        <v>3728</v>
      </c>
      <c r="QAI613" s="17">
        <v>44925</v>
      </c>
      <c r="QAJ613" s="5" t="s">
        <v>3728</v>
      </c>
      <c r="QAK613" s="17">
        <v>44925</v>
      </c>
      <c r="QAL613" s="5" t="s">
        <v>3728</v>
      </c>
      <c r="QAM613" s="17">
        <v>44925</v>
      </c>
      <c r="QAN613" s="5" t="s">
        <v>3728</v>
      </c>
      <c r="QAO613" s="17">
        <v>44925</v>
      </c>
      <c r="QAP613" s="5" t="s">
        <v>3728</v>
      </c>
      <c r="QAQ613" s="17">
        <v>44925</v>
      </c>
      <c r="QAR613" s="5" t="s">
        <v>3728</v>
      </c>
      <c r="QAS613" s="17">
        <v>44925</v>
      </c>
      <c r="QAT613" s="5" t="s">
        <v>3728</v>
      </c>
      <c r="QAU613" s="17">
        <v>44925</v>
      </c>
      <c r="QAV613" s="5" t="s">
        <v>3728</v>
      </c>
      <c r="QAW613" s="17">
        <v>44925</v>
      </c>
      <c r="QAX613" s="5" t="s">
        <v>3728</v>
      </c>
      <c r="QAY613" s="17">
        <v>44925</v>
      </c>
      <c r="QAZ613" s="5" t="s">
        <v>3728</v>
      </c>
      <c r="QBA613" s="17">
        <v>44925</v>
      </c>
      <c r="QBB613" s="5" t="s">
        <v>3728</v>
      </c>
      <c r="QBC613" s="17">
        <v>44925</v>
      </c>
      <c r="QBD613" s="5" t="s">
        <v>3728</v>
      </c>
      <c r="QBE613" s="17">
        <v>44925</v>
      </c>
      <c r="QBF613" s="5" t="s">
        <v>3728</v>
      </c>
      <c r="QBG613" s="17">
        <v>44925</v>
      </c>
      <c r="QBH613" s="5" t="s">
        <v>3728</v>
      </c>
      <c r="QBI613" s="17">
        <v>44925</v>
      </c>
      <c r="QBJ613" s="5" t="s">
        <v>3728</v>
      </c>
      <c r="QBK613" s="17">
        <v>44925</v>
      </c>
      <c r="QBL613" s="5" t="s">
        <v>3728</v>
      </c>
      <c r="QBM613" s="17">
        <v>44925</v>
      </c>
      <c r="QBN613" s="5" t="s">
        <v>3728</v>
      </c>
      <c r="QBO613" s="17">
        <v>44925</v>
      </c>
      <c r="QBP613" s="5" t="s">
        <v>3728</v>
      </c>
      <c r="QBQ613" s="17">
        <v>44925</v>
      </c>
      <c r="QBR613" s="5" t="s">
        <v>3728</v>
      </c>
      <c r="QBS613" s="17">
        <v>44925</v>
      </c>
      <c r="QBT613" s="5" t="s">
        <v>3728</v>
      </c>
      <c r="QBU613" s="17">
        <v>44925</v>
      </c>
      <c r="QBV613" s="5" t="s">
        <v>3728</v>
      </c>
      <c r="QBW613" s="17">
        <v>44925</v>
      </c>
      <c r="QBX613" s="5" t="s">
        <v>3728</v>
      </c>
      <c r="QBY613" s="17">
        <v>44925</v>
      </c>
      <c r="QBZ613" s="5" t="s">
        <v>3728</v>
      </c>
      <c r="QCA613" s="17">
        <v>44925</v>
      </c>
      <c r="QCB613" s="5" t="s">
        <v>3728</v>
      </c>
      <c r="QCC613" s="17">
        <v>44925</v>
      </c>
      <c r="QCD613" s="5" t="s">
        <v>3728</v>
      </c>
      <c r="QCE613" s="17">
        <v>44925</v>
      </c>
      <c r="QCF613" s="5" t="s">
        <v>3728</v>
      </c>
      <c r="QCG613" s="17">
        <v>44925</v>
      </c>
      <c r="QCH613" s="5" t="s">
        <v>3728</v>
      </c>
      <c r="QCI613" s="17">
        <v>44925</v>
      </c>
      <c r="QCJ613" s="5" t="s">
        <v>3728</v>
      </c>
      <c r="QCK613" s="17">
        <v>44925</v>
      </c>
      <c r="QCL613" s="5" t="s">
        <v>3728</v>
      </c>
      <c r="QCM613" s="17">
        <v>44925</v>
      </c>
      <c r="QCN613" s="5" t="s">
        <v>3728</v>
      </c>
      <c r="QCO613" s="17">
        <v>44925</v>
      </c>
      <c r="QCP613" s="5" t="s">
        <v>3728</v>
      </c>
      <c r="QCQ613" s="17">
        <v>44925</v>
      </c>
      <c r="QCR613" s="5" t="s">
        <v>3728</v>
      </c>
      <c r="QCS613" s="17">
        <v>44925</v>
      </c>
      <c r="QCT613" s="5" t="s">
        <v>3728</v>
      </c>
      <c r="QCU613" s="17">
        <v>44925</v>
      </c>
      <c r="QCV613" s="5" t="s">
        <v>3728</v>
      </c>
      <c r="QCW613" s="17">
        <v>44925</v>
      </c>
      <c r="QCX613" s="5" t="s">
        <v>3728</v>
      </c>
      <c r="QCY613" s="17">
        <v>44925</v>
      </c>
      <c r="QCZ613" s="5" t="s">
        <v>3728</v>
      </c>
      <c r="QDA613" s="17">
        <v>44925</v>
      </c>
      <c r="QDB613" s="5" t="s">
        <v>3728</v>
      </c>
      <c r="QDC613" s="17">
        <v>44925</v>
      </c>
      <c r="QDD613" s="5" t="s">
        <v>3728</v>
      </c>
      <c r="QDE613" s="17">
        <v>44925</v>
      </c>
      <c r="QDF613" s="5" t="s">
        <v>3728</v>
      </c>
      <c r="QDG613" s="17">
        <v>44925</v>
      </c>
      <c r="QDH613" s="5" t="s">
        <v>3728</v>
      </c>
      <c r="QDI613" s="17">
        <v>44925</v>
      </c>
      <c r="QDJ613" s="5" t="s">
        <v>3728</v>
      </c>
      <c r="QDK613" s="17">
        <v>44925</v>
      </c>
      <c r="QDL613" s="5" t="s">
        <v>3728</v>
      </c>
      <c r="QDM613" s="17">
        <v>44925</v>
      </c>
      <c r="QDN613" s="5" t="s">
        <v>3728</v>
      </c>
      <c r="QDO613" s="17">
        <v>44925</v>
      </c>
      <c r="QDP613" s="5" t="s">
        <v>3728</v>
      </c>
      <c r="QDQ613" s="17">
        <v>44925</v>
      </c>
      <c r="QDR613" s="5" t="s">
        <v>3728</v>
      </c>
      <c r="QDS613" s="17">
        <v>44925</v>
      </c>
      <c r="QDT613" s="5" t="s">
        <v>3728</v>
      </c>
      <c r="QDU613" s="17">
        <v>44925</v>
      </c>
      <c r="QDV613" s="5" t="s">
        <v>3728</v>
      </c>
      <c r="QDW613" s="17">
        <v>44925</v>
      </c>
      <c r="QDX613" s="5" t="s">
        <v>3728</v>
      </c>
      <c r="QDY613" s="17">
        <v>44925</v>
      </c>
      <c r="QDZ613" s="5" t="s">
        <v>3728</v>
      </c>
      <c r="QEA613" s="17">
        <v>44925</v>
      </c>
      <c r="QEB613" s="5" t="s">
        <v>3728</v>
      </c>
      <c r="QEC613" s="17">
        <v>44925</v>
      </c>
      <c r="QED613" s="5" t="s">
        <v>3728</v>
      </c>
      <c r="QEE613" s="17">
        <v>44925</v>
      </c>
      <c r="QEF613" s="5" t="s">
        <v>3728</v>
      </c>
      <c r="QEG613" s="17">
        <v>44925</v>
      </c>
      <c r="QEH613" s="5" t="s">
        <v>3728</v>
      </c>
      <c r="QEI613" s="17">
        <v>44925</v>
      </c>
      <c r="QEJ613" s="5" t="s">
        <v>3728</v>
      </c>
      <c r="QEK613" s="17">
        <v>44925</v>
      </c>
      <c r="QEL613" s="5" t="s">
        <v>3728</v>
      </c>
      <c r="QEM613" s="17">
        <v>44925</v>
      </c>
      <c r="QEN613" s="5" t="s">
        <v>3728</v>
      </c>
      <c r="QEO613" s="17">
        <v>44925</v>
      </c>
      <c r="QEP613" s="5" t="s">
        <v>3728</v>
      </c>
      <c r="QEQ613" s="17">
        <v>44925</v>
      </c>
      <c r="QER613" s="5" t="s">
        <v>3728</v>
      </c>
      <c r="QES613" s="17">
        <v>44925</v>
      </c>
      <c r="QET613" s="5" t="s">
        <v>3728</v>
      </c>
      <c r="QEU613" s="17">
        <v>44925</v>
      </c>
      <c r="QEV613" s="5" t="s">
        <v>3728</v>
      </c>
      <c r="QEW613" s="17">
        <v>44925</v>
      </c>
      <c r="QEX613" s="5" t="s">
        <v>3728</v>
      </c>
      <c r="QEY613" s="17">
        <v>44925</v>
      </c>
      <c r="QEZ613" s="5" t="s">
        <v>3728</v>
      </c>
      <c r="QFA613" s="17">
        <v>44925</v>
      </c>
      <c r="QFB613" s="5" t="s">
        <v>3728</v>
      </c>
      <c r="QFC613" s="17">
        <v>44925</v>
      </c>
      <c r="QFD613" s="5" t="s">
        <v>3728</v>
      </c>
      <c r="QFE613" s="17">
        <v>44925</v>
      </c>
      <c r="QFF613" s="5" t="s">
        <v>3728</v>
      </c>
      <c r="QFG613" s="17">
        <v>44925</v>
      </c>
      <c r="QFH613" s="5" t="s">
        <v>3728</v>
      </c>
      <c r="QFI613" s="17">
        <v>44925</v>
      </c>
      <c r="QFJ613" s="5" t="s">
        <v>3728</v>
      </c>
      <c r="QFK613" s="17">
        <v>44925</v>
      </c>
      <c r="QFL613" s="5" t="s">
        <v>3728</v>
      </c>
      <c r="QFM613" s="17">
        <v>44925</v>
      </c>
      <c r="QFN613" s="5" t="s">
        <v>3728</v>
      </c>
      <c r="QFO613" s="17">
        <v>44925</v>
      </c>
      <c r="QFP613" s="5" t="s">
        <v>3728</v>
      </c>
      <c r="QFQ613" s="17">
        <v>44925</v>
      </c>
      <c r="QFR613" s="5" t="s">
        <v>3728</v>
      </c>
      <c r="QFS613" s="17">
        <v>44925</v>
      </c>
      <c r="QFT613" s="5" t="s">
        <v>3728</v>
      </c>
      <c r="QFU613" s="17">
        <v>44925</v>
      </c>
      <c r="QFV613" s="5" t="s">
        <v>3728</v>
      </c>
      <c r="QFW613" s="17">
        <v>44925</v>
      </c>
      <c r="QFX613" s="5" t="s">
        <v>3728</v>
      </c>
      <c r="QFY613" s="17">
        <v>44925</v>
      </c>
      <c r="QFZ613" s="5" t="s">
        <v>3728</v>
      </c>
      <c r="QGA613" s="17">
        <v>44925</v>
      </c>
      <c r="QGB613" s="5" t="s">
        <v>3728</v>
      </c>
      <c r="QGC613" s="17">
        <v>44925</v>
      </c>
      <c r="QGD613" s="5" t="s">
        <v>3728</v>
      </c>
      <c r="QGE613" s="17">
        <v>44925</v>
      </c>
      <c r="QGF613" s="5" t="s">
        <v>3728</v>
      </c>
      <c r="QGG613" s="17">
        <v>44925</v>
      </c>
      <c r="QGH613" s="5" t="s">
        <v>3728</v>
      </c>
      <c r="QGI613" s="17">
        <v>44925</v>
      </c>
      <c r="QGJ613" s="5" t="s">
        <v>3728</v>
      </c>
      <c r="QGK613" s="17">
        <v>44925</v>
      </c>
      <c r="QGL613" s="5" t="s">
        <v>3728</v>
      </c>
      <c r="QGM613" s="17">
        <v>44925</v>
      </c>
      <c r="QGN613" s="5" t="s">
        <v>3728</v>
      </c>
      <c r="QGO613" s="17">
        <v>44925</v>
      </c>
      <c r="QGP613" s="5" t="s">
        <v>3728</v>
      </c>
      <c r="QGQ613" s="17">
        <v>44925</v>
      </c>
      <c r="QGR613" s="5" t="s">
        <v>3728</v>
      </c>
      <c r="QGS613" s="17">
        <v>44925</v>
      </c>
      <c r="QGT613" s="5" t="s">
        <v>3728</v>
      </c>
      <c r="QGU613" s="17">
        <v>44925</v>
      </c>
      <c r="QGV613" s="5" t="s">
        <v>3728</v>
      </c>
      <c r="QGW613" s="17">
        <v>44925</v>
      </c>
      <c r="QGX613" s="5" t="s">
        <v>3728</v>
      </c>
      <c r="QGY613" s="17">
        <v>44925</v>
      </c>
      <c r="QGZ613" s="5" t="s">
        <v>3728</v>
      </c>
      <c r="QHA613" s="17">
        <v>44925</v>
      </c>
      <c r="QHB613" s="5" t="s">
        <v>3728</v>
      </c>
      <c r="QHC613" s="17">
        <v>44925</v>
      </c>
      <c r="QHD613" s="5" t="s">
        <v>3728</v>
      </c>
      <c r="QHE613" s="17">
        <v>44925</v>
      </c>
      <c r="QHF613" s="5" t="s">
        <v>3728</v>
      </c>
      <c r="QHG613" s="17">
        <v>44925</v>
      </c>
      <c r="QHH613" s="5" t="s">
        <v>3728</v>
      </c>
      <c r="QHI613" s="17">
        <v>44925</v>
      </c>
      <c r="QHJ613" s="5" t="s">
        <v>3728</v>
      </c>
      <c r="QHK613" s="17">
        <v>44925</v>
      </c>
      <c r="QHL613" s="5" t="s">
        <v>3728</v>
      </c>
      <c r="QHM613" s="17">
        <v>44925</v>
      </c>
      <c r="QHN613" s="5" t="s">
        <v>3728</v>
      </c>
      <c r="QHO613" s="17">
        <v>44925</v>
      </c>
      <c r="QHP613" s="5" t="s">
        <v>3728</v>
      </c>
      <c r="QHQ613" s="17">
        <v>44925</v>
      </c>
      <c r="QHR613" s="5" t="s">
        <v>3728</v>
      </c>
      <c r="QHS613" s="17">
        <v>44925</v>
      </c>
      <c r="QHT613" s="5" t="s">
        <v>3728</v>
      </c>
      <c r="QHU613" s="17">
        <v>44925</v>
      </c>
      <c r="QHV613" s="5" t="s">
        <v>3728</v>
      </c>
      <c r="QHW613" s="17">
        <v>44925</v>
      </c>
      <c r="QHX613" s="5" t="s">
        <v>3728</v>
      </c>
      <c r="QHY613" s="17">
        <v>44925</v>
      </c>
      <c r="QHZ613" s="5" t="s">
        <v>3728</v>
      </c>
      <c r="QIA613" s="17">
        <v>44925</v>
      </c>
      <c r="QIB613" s="5" t="s">
        <v>3728</v>
      </c>
      <c r="QIC613" s="17">
        <v>44925</v>
      </c>
      <c r="QID613" s="5" t="s">
        <v>3728</v>
      </c>
      <c r="QIE613" s="17">
        <v>44925</v>
      </c>
      <c r="QIF613" s="5" t="s">
        <v>3728</v>
      </c>
      <c r="QIG613" s="17">
        <v>44925</v>
      </c>
      <c r="QIH613" s="5" t="s">
        <v>3728</v>
      </c>
      <c r="QII613" s="17">
        <v>44925</v>
      </c>
      <c r="QIJ613" s="5" t="s">
        <v>3728</v>
      </c>
      <c r="QIK613" s="17">
        <v>44925</v>
      </c>
      <c r="QIL613" s="5" t="s">
        <v>3728</v>
      </c>
      <c r="QIM613" s="17">
        <v>44925</v>
      </c>
      <c r="QIN613" s="5" t="s">
        <v>3728</v>
      </c>
      <c r="QIO613" s="17">
        <v>44925</v>
      </c>
      <c r="QIP613" s="5" t="s">
        <v>3728</v>
      </c>
      <c r="QIQ613" s="17">
        <v>44925</v>
      </c>
      <c r="QIR613" s="5" t="s">
        <v>3728</v>
      </c>
      <c r="QIS613" s="17">
        <v>44925</v>
      </c>
      <c r="QIT613" s="5" t="s">
        <v>3728</v>
      </c>
      <c r="QIU613" s="17">
        <v>44925</v>
      </c>
      <c r="QIV613" s="5" t="s">
        <v>3728</v>
      </c>
      <c r="QIW613" s="17">
        <v>44925</v>
      </c>
      <c r="QIX613" s="5" t="s">
        <v>3728</v>
      </c>
      <c r="QIY613" s="17">
        <v>44925</v>
      </c>
      <c r="QIZ613" s="5" t="s">
        <v>3728</v>
      </c>
      <c r="QJA613" s="17">
        <v>44925</v>
      </c>
      <c r="QJB613" s="5" t="s">
        <v>3728</v>
      </c>
      <c r="QJC613" s="17">
        <v>44925</v>
      </c>
      <c r="QJD613" s="5" t="s">
        <v>3728</v>
      </c>
      <c r="QJE613" s="17">
        <v>44925</v>
      </c>
      <c r="QJF613" s="5" t="s">
        <v>3728</v>
      </c>
      <c r="QJG613" s="17">
        <v>44925</v>
      </c>
      <c r="QJH613" s="5" t="s">
        <v>3728</v>
      </c>
      <c r="QJI613" s="17">
        <v>44925</v>
      </c>
      <c r="QJJ613" s="5" t="s">
        <v>3728</v>
      </c>
      <c r="QJK613" s="17">
        <v>44925</v>
      </c>
      <c r="QJL613" s="5" t="s">
        <v>3728</v>
      </c>
      <c r="QJM613" s="17">
        <v>44925</v>
      </c>
      <c r="QJN613" s="5" t="s">
        <v>3728</v>
      </c>
      <c r="QJO613" s="17">
        <v>44925</v>
      </c>
      <c r="QJP613" s="5" t="s">
        <v>3728</v>
      </c>
      <c r="QJQ613" s="17">
        <v>44925</v>
      </c>
      <c r="QJR613" s="5" t="s">
        <v>3728</v>
      </c>
      <c r="QJS613" s="17">
        <v>44925</v>
      </c>
      <c r="QJT613" s="5" t="s">
        <v>3728</v>
      </c>
      <c r="QJU613" s="17">
        <v>44925</v>
      </c>
      <c r="QJV613" s="5" t="s">
        <v>3728</v>
      </c>
      <c r="QJW613" s="17">
        <v>44925</v>
      </c>
      <c r="QJX613" s="5" t="s">
        <v>3728</v>
      </c>
      <c r="QJY613" s="17">
        <v>44925</v>
      </c>
      <c r="QJZ613" s="5" t="s">
        <v>3728</v>
      </c>
      <c r="QKA613" s="17">
        <v>44925</v>
      </c>
      <c r="QKB613" s="5" t="s">
        <v>3728</v>
      </c>
      <c r="QKC613" s="17">
        <v>44925</v>
      </c>
      <c r="QKD613" s="5" t="s">
        <v>3728</v>
      </c>
      <c r="QKE613" s="17">
        <v>44925</v>
      </c>
      <c r="QKF613" s="5" t="s">
        <v>3728</v>
      </c>
      <c r="QKG613" s="17">
        <v>44925</v>
      </c>
      <c r="QKH613" s="5" t="s">
        <v>3728</v>
      </c>
      <c r="QKI613" s="17">
        <v>44925</v>
      </c>
      <c r="QKJ613" s="5" t="s">
        <v>3728</v>
      </c>
      <c r="QKK613" s="17">
        <v>44925</v>
      </c>
      <c r="QKL613" s="5" t="s">
        <v>3728</v>
      </c>
      <c r="QKM613" s="17">
        <v>44925</v>
      </c>
      <c r="QKN613" s="5" t="s">
        <v>3728</v>
      </c>
      <c r="QKO613" s="17">
        <v>44925</v>
      </c>
      <c r="QKP613" s="5" t="s">
        <v>3728</v>
      </c>
      <c r="QKQ613" s="17">
        <v>44925</v>
      </c>
      <c r="QKR613" s="5" t="s">
        <v>3728</v>
      </c>
      <c r="QKS613" s="17">
        <v>44925</v>
      </c>
      <c r="QKT613" s="5" t="s">
        <v>3728</v>
      </c>
      <c r="QKU613" s="17">
        <v>44925</v>
      </c>
      <c r="QKV613" s="5" t="s">
        <v>3728</v>
      </c>
      <c r="QKW613" s="17">
        <v>44925</v>
      </c>
      <c r="QKX613" s="5" t="s">
        <v>3728</v>
      </c>
      <c r="QKY613" s="17">
        <v>44925</v>
      </c>
      <c r="QKZ613" s="5" t="s">
        <v>3728</v>
      </c>
      <c r="QLA613" s="17">
        <v>44925</v>
      </c>
      <c r="QLB613" s="5" t="s">
        <v>3728</v>
      </c>
      <c r="QLC613" s="17">
        <v>44925</v>
      </c>
      <c r="QLD613" s="5" t="s">
        <v>3728</v>
      </c>
      <c r="QLE613" s="17">
        <v>44925</v>
      </c>
      <c r="QLF613" s="5" t="s">
        <v>3728</v>
      </c>
      <c r="QLG613" s="17">
        <v>44925</v>
      </c>
      <c r="QLH613" s="5" t="s">
        <v>3728</v>
      </c>
      <c r="QLI613" s="17">
        <v>44925</v>
      </c>
      <c r="QLJ613" s="5" t="s">
        <v>3728</v>
      </c>
      <c r="QLK613" s="17">
        <v>44925</v>
      </c>
      <c r="QLL613" s="5" t="s">
        <v>3728</v>
      </c>
      <c r="QLM613" s="17">
        <v>44925</v>
      </c>
      <c r="QLN613" s="5" t="s">
        <v>3728</v>
      </c>
      <c r="QLO613" s="17">
        <v>44925</v>
      </c>
      <c r="QLP613" s="5" t="s">
        <v>3728</v>
      </c>
      <c r="QLQ613" s="17">
        <v>44925</v>
      </c>
      <c r="QLR613" s="5" t="s">
        <v>3728</v>
      </c>
      <c r="QLS613" s="17">
        <v>44925</v>
      </c>
      <c r="QLT613" s="5" t="s">
        <v>3728</v>
      </c>
      <c r="QLU613" s="17">
        <v>44925</v>
      </c>
      <c r="QLV613" s="5" t="s">
        <v>3728</v>
      </c>
      <c r="QLW613" s="17">
        <v>44925</v>
      </c>
      <c r="QLX613" s="5" t="s">
        <v>3728</v>
      </c>
      <c r="QLY613" s="17">
        <v>44925</v>
      </c>
      <c r="QLZ613" s="5" t="s">
        <v>3728</v>
      </c>
      <c r="QMA613" s="17">
        <v>44925</v>
      </c>
      <c r="QMB613" s="5" t="s">
        <v>3728</v>
      </c>
      <c r="QMC613" s="17">
        <v>44925</v>
      </c>
      <c r="QMD613" s="5" t="s">
        <v>3728</v>
      </c>
      <c r="QME613" s="17">
        <v>44925</v>
      </c>
      <c r="QMF613" s="5" t="s">
        <v>3728</v>
      </c>
      <c r="QMG613" s="17">
        <v>44925</v>
      </c>
      <c r="QMH613" s="5" t="s">
        <v>3728</v>
      </c>
      <c r="QMI613" s="17">
        <v>44925</v>
      </c>
      <c r="QMJ613" s="5" t="s">
        <v>3728</v>
      </c>
      <c r="QMK613" s="17">
        <v>44925</v>
      </c>
      <c r="QML613" s="5" t="s">
        <v>3728</v>
      </c>
      <c r="QMM613" s="17">
        <v>44925</v>
      </c>
      <c r="QMN613" s="5" t="s">
        <v>3728</v>
      </c>
      <c r="QMO613" s="17">
        <v>44925</v>
      </c>
      <c r="QMP613" s="5" t="s">
        <v>3728</v>
      </c>
      <c r="QMQ613" s="17">
        <v>44925</v>
      </c>
      <c r="QMR613" s="5" t="s">
        <v>3728</v>
      </c>
      <c r="QMS613" s="17">
        <v>44925</v>
      </c>
      <c r="QMT613" s="5" t="s">
        <v>3728</v>
      </c>
      <c r="QMU613" s="17">
        <v>44925</v>
      </c>
      <c r="QMV613" s="5" t="s">
        <v>3728</v>
      </c>
      <c r="QMW613" s="17">
        <v>44925</v>
      </c>
      <c r="QMX613" s="5" t="s">
        <v>3728</v>
      </c>
      <c r="QMY613" s="17">
        <v>44925</v>
      </c>
      <c r="QMZ613" s="5" t="s">
        <v>3728</v>
      </c>
      <c r="QNA613" s="17">
        <v>44925</v>
      </c>
      <c r="QNB613" s="5" t="s">
        <v>3728</v>
      </c>
      <c r="QNC613" s="17">
        <v>44925</v>
      </c>
      <c r="QND613" s="5" t="s">
        <v>3728</v>
      </c>
      <c r="QNE613" s="17">
        <v>44925</v>
      </c>
      <c r="QNF613" s="5" t="s">
        <v>3728</v>
      </c>
      <c r="QNG613" s="17">
        <v>44925</v>
      </c>
      <c r="QNH613" s="5" t="s">
        <v>3728</v>
      </c>
      <c r="QNI613" s="17">
        <v>44925</v>
      </c>
      <c r="QNJ613" s="5" t="s">
        <v>3728</v>
      </c>
      <c r="QNK613" s="17">
        <v>44925</v>
      </c>
      <c r="QNL613" s="5" t="s">
        <v>3728</v>
      </c>
      <c r="QNM613" s="17">
        <v>44925</v>
      </c>
      <c r="QNN613" s="5" t="s">
        <v>3728</v>
      </c>
      <c r="QNO613" s="17">
        <v>44925</v>
      </c>
      <c r="QNP613" s="5" t="s">
        <v>3728</v>
      </c>
      <c r="QNQ613" s="17">
        <v>44925</v>
      </c>
      <c r="QNR613" s="5" t="s">
        <v>3728</v>
      </c>
      <c r="QNS613" s="17">
        <v>44925</v>
      </c>
      <c r="QNT613" s="5" t="s">
        <v>3728</v>
      </c>
      <c r="QNU613" s="17">
        <v>44925</v>
      </c>
      <c r="QNV613" s="5" t="s">
        <v>3728</v>
      </c>
      <c r="QNW613" s="17">
        <v>44925</v>
      </c>
      <c r="QNX613" s="5" t="s">
        <v>3728</v>
      </c>
      <c r="QNY613" s="17">
        <v>44925</v>
      </c>
      <c r="QNZ613" s="5" t="s">
        <v>3728</v>
      </c>
      <c r="QOA613" s="17">
        <v>44925</v>
      </c>
      <c r="QOB613" s="5" t="s">
        <v>3728</v>
      </c>
      <c r="QOC613" s="17">
        <v>44925</v>
      </c>
      <c r="QOD613" s="5" t="s">
        <v>3728</v>
      </c>
      <c r="QOE613" s="17">
        <v>44925</v>
      </c>
      <c r="QOF613" s="5" t="s">
        <v>3728</v>
      </c>
      <c r="QOG613" s="17">
        <v>44925</v>
      </c>
      <c r="QOH613" s="5" t="s">
        <v>3728</v>
      </c>
      <c r="QOI613" s="17">
        <v>44925</v>
      </c>
      <c r="QOJ613" s="5" t="s">
        <v>3728</v>
      </c>
      <c r="QOK613" s="17">
        <v>44925</v>
      </c>
      <c r="QOL613" s="5" t="s">
        <v>3728</v>
      </c>
      <c r="QOM613" s="17">
        <v>44925</v>
      </c>
      <c r="QON613" s="5" t="s">
        <v>3728</v>
      </c>
      <c r="QOO613" s="17">
        <v>44925</v>
      </c>
      <c r="QOP613" s="5" t="s">
        <v>3728</v>
      </c>
      <c r="QOQ613" s="17">
        <v>44925</v>
      </c>
      <c r="QOR613" s="5" t="s">
        <v>3728</v>
      </c>
      <c r="QOS613" s="17">
        <v>44925</v>
      </c>
      <c r="QOT613" s="5" t="s">
        <v>3728</v>
      </c>
      <c r="QOU613" s="17">
        <v>44925</v>
      </c>
      <c r="QOV613" s="5" t="s">
        <v>3728</v>
      </c>
      <c r="QOW613" s="17">
        <v>44925</v>
      </c>
      <c r="QOX613" s="5" t="s">
        <v>3728</v>
      </c>
      <c r="QOY613" s="17">
        <v>44925</v>
      </c>
      <c r="QOZ613" s="5" t="s">
        <v>3728</v>
      </c>
      <c r="QPA613" s="17">
        <v>44925</v>
      </c>
      <c r="QPB613" s="5" t="s">
        <v>3728</v>
      </c>
      <c r="QPC613" s="17">
        <v>44925</v>
      </c>
      <c r="QPD613" s="5" t="s">
        <v>3728</v>
      </c>
      <c r="QPE613" s="17">
        <v>44925</v>
      </c>
      <c r="QPF613" s="5" t="s">
        <v>3728</v>
      </c>
      <c r="QPG613" s="17">
        <v>44925</v>
      </c>
      <c r="QPH613" s="5" t="s">
        <v>3728</v>
      </c>
      <c r="QPI613" s="17">
        <v>44925</v>
      </c>
      <c r="QPJ613" s="5" t="s">
        <v>3728</v>
      </c>
      <c r="QPK613" s="17">
        <v>44925</v>
      </c>
      <c r="QPL613" s="5" t="s">
        <v>3728</v>
      </c>
      <c r="QPM613" s="17">
        <v>44925</v>
      </c>
      <c r="QPN613" s="5" t="s">
        <v>3728</v>
      </c>
      <c r="QPO613" s="17">
        <v>44925</v>
      </c>
      <c r="QPP613" s="5" t="s">
        <v>3728</v>
      </c>
      <c r="QPQ613" s="17">
        <v>44925</v>
      </c>
      <c r="QPR613" s="5" t="s">
        <v>3728</v>
      </c>
      <c r="QPS613" s="17">
        <v>44925</v>
      </c>
      <c r="QPT613" s="5" t="s">
        <v>3728</v>
      </c>
      <c r="QPU613" s="17">
        <v>44925</v>
      </c>
      <c r="QPV613" s="5" t="s">
        <v>3728</v>
      </c>
      <c r="QPW613" s="17">
        <v>44925</v>
      </c>
      <c r="QPX613" s="5" t="s">
        <v>3728</v>
      </c>
      <c r="QPY613" s="17">
        <v>44925</v>
      </c>
      <c r="QPZ613" s="5" t="s">
        <v>3728</v>
      </c>
      <c r="QQA613" s="17">
        <v>44925</v>
      </c>
      <c r="QQB613" s="5" t="s">
        <v>3728</v>
      </c>
      <c r="QQC613" s="17">
        <v>44925</v>
      </c>
      <c r="QQD613" s="5" t="s">
        <v>3728</v>
      </c>
      <c r="QQE613" s="17">
        <v>44925</v>
      </c>
      <c r="QQF613" s="5" t="s">
        <v>3728</v>
      </c>
      <c r="QQG613" s="17">
        <v>44925</v>
      </c>
      <c r="QQH613" s="5" t="s">
        <v>3728</v>
      </c>
      <c r="QQI613" s="17">
        <v>44925</v>
      </c>
      <c r="QQJ613" s="5" t="s">
        <v>3728</v>
      </c>
      <c r="QQK613" s="17">
        <v>44925</v>
      </c>
      <c r="QQL613" s="5" t="s">
        <v>3728</v>
      </c>
      <c r="QQM613" s="17">
        <v>44925</v>
      </c>
      <c r="QQN613" s="5" t="s">
        <v>3728</v>
      </c>
      <c r="QQO613" s="17">
        <v>44925</v>
      </c>
      <c r="QQP613" s="5" t="s">
        <v>3728</v>
      </c>
      <c r="QQQ613" s="17">
        <v>44925</v>
      </c>
      <c r="QQR613" s="5" t="s">
        <v>3728</v>
      </c>
      <c r="QQS613" s="17">
        <v>44925</v>
      </c>
      <c r="QQT613" s="5" t="s">
        <v>3728</v>
      </c>
      <c r="QQU613" s="17">
        <v>44925</v>
      </c>
      <c r="QQV613" s="5" t="s">
        <v>3728</v>
      </c>
      <c r="QQW613" s="17">
        <v>44925</v>
      </c>
      <c r="QQX613" s="5" t="s">
        <v>3728</v>
      </c>
      <c r="QQY613" s="17">
        <v>44925</v>
      </c>
      <c r="QQZ613" s="5" t="s">
        <v>3728</v>
      </c>
      <c r="QRA613" s="17">
        <v>44925</v>
      </c>
      <c r="QRB613" s="5" t="s">
        <v>3728</v>
      </c>
      <c r="QRC613" s="17">
        <v>44925</v>
      </c>
      <c r="QRD613" s="5" t="s">
        <v>3728</v>
      </c>
      <c r="QRE613" s="17">
        <v>44925</v>
      </c>
      <c r="QRF613" s="5" t="s">
        <v>3728</v>
      </c>
      <c r="QRG613" s="17">
        <v>44925</v>
      </c>
      <c r="QRH613" s="5" t="s">
        <v>3728</v>
      </c>
      <c r="QRI613" s="17">
        <v>44925</v>
      </c>
      <c r="QRJ613" s="5" t="s">
        <v>3728</v>
      </c>
      <c r="QRK613" s="17">
        <v>44925</v>
      </c>
      <c r="QRL613" s="5" t="s">
        <v>3728</v>
      </c>
      <c r="QRM613" s="17">
        <v>44925</v>
      </c>
      <c r="QRN613" s="5" t="s">
        <v>3728</v>
      </c>
      <c r="QRO613" s="17">
        <v>44925</v>
      </c>
      <c r="QRP613" s="5" t="s">
        <v>3728</v>
      </c>
      <c r="QRQ613" s="17">
        <v>44925</v>
      </c>
      <c r="QRR613" s="5" t="s">
        <v>3728</v>
      </c>
      <c r="QRS613" s="17">
        <v>44925</v>
      </c>
      <c r="QRT613" s="5" t="s">
        <v>3728</v>
      </c>
      <c r="QRU613" s="17">
        <v>44925</v>
      </c>
      <c r="QRV613" s="5" t="s">
        <v>3728</v>
      </c>
      <c r="QRW613" s="17">
        <v>44925</v>
      </c>
      <c r="QRX613" s="5" t="s">
        <v>3728</v>
      </c>
      <c r="QRY613" s="17">
        <v>44925</v>
      </c>
      <c r="QRZ613" s="5" t="s">
        <v>3728</v>
      </c>
      <c r="QSA613" s="17">
        <v>44925</v>
      </c>
      <c r="QSB613" s="5" t="s">
        <v>3728</v>
      </c>
      <c r="QSC613" s="17">
        <v>44925</v>
      </c>
      <c r="QSD613" s="5" t="s">
        <v>3728</v>
      </c>
      <c r="QSE613" s="17">
        <v>44925</v>
      </c>
      <c r="QSF613" s="5" t="s">
        <v>3728</v>
      </c>
      <c r="QSG613" s="17">
        <v>44925</v>
      </c>
      <c r="QSH613" s="5" t="s">
        <v>3728</v>
      </c>
      <c r="QSI613" s="17">
        <v>44925</v>
      </c>
      <c r="QSJ613" s="5" t="s">
        <v>3728</v>
      </c>
      <c r="QSK613" s="17">
        <v>44925</v>
      </c>
      <c r="QSL613" s="5" t="s">
        <v>3728</v>
      </c>
      <c r="QSM613" s="17">
        <v>44925</v>
      </c>
      <c r="QSN613" s="5" t="s">
        <v>3728</v>
      </c>
      <c r="QSO613" s="17">
        <v>44925</v>
      </c>
      <c r="QSP613" s="5" t="s">
        <v>3728</v>
      </c>
      <c r="QSQ613" s="17">
        <v>44925</v>
      </c>
      <c r="QSR613" s="5" t="s">
        <v>3728</v>
      </c>
      <c r="QSS613" s="17">
        <v>44925</v>
      </c>
      <c r="QST613" s="5" t="s">
        <v>3728</v>
      </c>
      <c r="QSU613" s="17">
        <v>44925</v>
      </c>
      <c r="QSV613" s="5" t="s">
        <v>3728</v>
      </c>
      <c r="QSW613" s="17">
        <v>44925</v>
      </c>
      <c r="QSX613" s="5" t="s">
        <v>3728</v>
      </c>
      <c r="QSY613" s="17">
        <v>44925</v>
      </c>
      <c r="QSZ613" s="5" t="s">
        <v>3728</v>
      </c>
      <c r="QTA613" s="17">
        <v>44925</v>
      </c>
      <c r="QTB613" s="5" t="s">
        <v>3728</v>
      </c>
      <c r="QTC613" s="17">
        <v>44925</v>
      </c>
      <c r="QTD613" s="5" t="s">
        <v>3728</v>
      </c>
      <c r="QTE613" s="17">
        <v>44925</v>
      </c>
      <c r="QTF613" s="5" t="s">
        <v>3728</v>
      </c>
      <c r="QTG613" s="17">
        <v>44925</v>
      </c>
      <c r="QTH613" s="5" t="s">
        <v>3728</v>
      </c>
      <c r="QTI613" s="17">
        <v>44925</v>
      </c>
      <c r="QTJ613" s="5" t="s">
        <v>3728</v>
      </c>
      <c r="QTK613" s="17">
        <v>44925</v>
      </c>
      <c r="QTL613" s="5" t="s">
        <v>3728</v>
      </c>
      <c r="QTM613" s="17">
        <v>44925</v>
      </c>
      <c r="QTN613" s="5" t="s">
        <v>3728</v>
      </c>
      <c r="QTO613" s="17">
        <v>44925</v>
      </c>
      <c r="QTP613" s="5" t="s">
        <v>3728</v>
      </c>
      <c r="QTQ613" s="17">
        <v>44925</v>
      </c>
      <c r="QTR613" s="5" t="s">
        <v>3728</v>
      </c>
      <c r="QTS613" s="17">
        <v>44925</v>
      </c>
      <c r="QTT613" s="5" t="s">
        <v>3728</v>
      </c>
      <c r="QTU613" s="17">
        <v>44925</v>
      </c>
      <c r="QTV613" s="5" t="s">
        <v>3728</v>
      </c>
      <c r="QTW613" s="17">
        <v>44925</v>
      </c>
      <c r="QTX613" s="5" t="s">
        <v>3728</v>
      </c>
      <c r="QTY613" s="17">
        <v>44925</v>
      </c>
      <c r="QTZ613" s="5" t="s">
        <v>3728</v>
      </c>
      <c r="QUA613" s="17">
        <v>44925</v>
      </c>
      <c r="QUB613" s="5" t="s">
        <v>3728</v>
      </c>
      <c r="QUC613" s="17">
        <v>44925</v>
      </c>
      <c r="QUD613" s="5" t="s">
        <v>3728</v>
      </c>
      <c r="QUE613" s="17">
        <v>44925</v>
      </c>
      <c r="QUF613" s="5" t="s">
        <v>3728</v>
      </c>
      <c r="QUG613" s="17">
        <v>44925</v>
      </c>
      <c r="QUH613" s="5" t="s">
        <v>3728</v>
      </c>
      <c r="QUI613" s="17">
        <v>44925</v>
      </c>
      <c r="QUJ613" s="5" t="s">
        <v>3728</v>
      </c>
      <c r="QUK613" s="17">
        <v>44925</v>
      </c>
      <c r="QUL613" s="5" t="s">
        <v>3728</v>
      </c>
      <c r="QUM613" s="17">
        <v>44925</v>
      </c>
      <c r="QUN613" s="5" t="s">
        <v>3728</v>
      </c>
      <c r="QUO613" s="17">
        <v>44925</v>
      </c>
      <c r="QUP613" s="5" t="s">
        <v>3728</v>
      </c>
      <c r="QUQ613" s="17">
        <v>44925</v>
      </c>
      <c r="QUR613" s="5" t="s">
        <v>3728</v>
      </c>
      <c r="QUS613" s="17">
        <v>44925</v>
      </c>
      <c r="QUT613" s="5" t="s">
        <v>3728</v>
      </c>
      <c r="QUU613" s="17">
        <v>44925</v>
      </c>
      <c r="QUV613" s="5" t="s">
        <v>3728</v>
      </c>
      <c r="QUW613" s="17">
        <v>44925</v>
      </c>
      <c r="QUX613" s="5" t="s">
        <v>3728</v>
      </c>
      <c r="QUY613" s="17">
        <v>44925</v>
      </c>
      <c r="QUZ613" s="5" t="s">
        <v>3728</v>
      </c>
      <c r="QVA613" s="17">
        <v>44925</v>
      </c>
      <c r="QVB613" s="5" t="s">
        <v>3728</v>
      </c>
      <c r="QVC613" s="17">
        <v>44925</v>
      </c>
      <c r="QVD613" s="5" t="s">
        <v>3728</v>
      </c>
      <c r="QVE613" s="17">
        <v>44925</v>
      </c>
      <c r="QVF613" s="5" t="s">
        <v>3728</v>
      </c>
      <c r="QVG613" s="17">
        <v>44925</v>
      </c>
      <c r="QVH613" s="5" t="s">
        <v>3728</v>
      </c>
      <c r="QVI613" s="17">
        <v>44925</v>
      </c>
      <c r="QVJ613" s="5" t="s">
        <v>3728</v>
      </c>
      <c r="QVK613" s="17">
        <v>44925</v>
      </c>
      <c r="QVL613" s="5" t="s">
        <v>3728</v>
      </c>
      <c r="QVM613" s="17">
        <v>44925</v>
      </c>
      <c r="QVN613" s="5" t="s">
        <v>3728</v>
      </c>
      <c r="QVO613" s="17">
        <v>44925</v>
      </c>
      <c r="QVP613" s="5" t="s">
        <v>3728</v>
      </c>
      <c r="QVQ613" s="17">
        <v>44925</v>
      </c>
      <c r="QVR613" s="5" t="s">
        <v>3728</v>
      </c>
      <c r="QVS613" s="17">
        <v>44925</v>
      </c>
      <c r="QVT613" s="5" t="s">
        <v>3728</v>
      </c>
      <c r="QVU613" s="17">
        <v>44925</v>
      </c>
      <c r="QVV613" s="5" t="s">
        <v>3728</v>
      </c>
      <c r="QVW613" s="17">
        <v>44925</v>
      </c>
      <c r="QVX613" s="5" t="s">
        <v>3728</v>
      </c>
      <c r="QVY613" s="17">
        <v>44925</v>
      </c>
      <c r="QVZ613" s="5" t="s">
        <v>3728</v>
      </c>
      <c r="QWA613" s="17">
        <v>44925</v>
      </c>
      <c r="QWB613" s="5" t="s">
        <v>3728</v>
      </c>
      <c r="QWC613" s="17">
        <v>44925</v>
      </c>
      <c r="QWD613" s="5" t="s">
        <v>3728</v>
      </c>
      <c r="QWE613" s="17">
        <v>44925</v>
      </c>
      <c r="QWF613" s="5" t="s">
        <v>3728</v>
      </c>
      <c r="QWG613" s="17">
        <v>44925</v>
      </c>
      <c r="QWH613" s="5" t="s">
        <v>3728</v>
      </c>
      <c r="QWI613" s="17">
        <v>44925</v>
      </c>
      <c r="QWJ613" s="5" t="s">
        <v>3728</v>
      </c>
      <c r="QWK613" s="17">
        <v>44925</v>
      </c>
      <c r="QWL613" s="5" t="s">
        <v>3728</v>
      </c>
      <c r="QWM613" s="17">
        <v>44925</v>
      </c>
      <c r="QWN613" s="5" t="s">
        <v>3728</v>
      </c>
      <c r="QWO613" s="17">
        <v>44925</v>
      </c>
      <c r="QWP613" s="5" t="s">
        <v>3728</v>
      </c>
      <c r="QWQ613" s="17">
        <v>44925</v>
      </c>
      <c r="QWR613" s="5" t="s">
        <v>3728</v>
      </c>
      <c r="QWS613" s="17">
        <v>44925</v>
      </c>
      <c r="QWT613" s="5" t="s">
        <v>3728</v>
      </c>
      <c r="QWU613" s="17">
        <v>44925</v>
      </c>
      <c r="QWV613" s="5" t="s">
        <v>3728</v>
      </c>
      <c r="QWW613" s="17">
        <v>44925</v>
      </c>
      <c r="QWX613" s="5" t="s">
        <v>3728</v>
      </c>
      <c r="QWY613" s="17">
        <v>44925</v>
      </c>
      <c r="QWZ613" s="5" t="s">
        <v>3728</v>
      </c>
      <c r="QXA613" s="17">
        <v>44925</v>
      </c>
      <c r="QXB613" s="5" t="s">
        <v>3728</v>
      </c>
      <c r="QXC613" s="17">
        <v>44925</v>
      </c>
      <c r="QXD613" s="5" t="s">
        <v>3728</v>
      </c>
      <c r="QXE613" s="17">
        <v>44925</v>
      </c>
      <c r="QXF613" s="5" t="s">
        <v>3728</v>
      </c>
      <c r="QXG613" s="17">
        <v>44925</v>
      </c>
      <c r="QXH613" s="5" t="s">
        <v>3728</v>
      </c>
      <c r="QXI613" s="17">
        <v>44925</v>
      </c>
      <c r="QXJ613" s="5" t="s">
        <v>3728</v>
      </c>
      <c r="QXK613" s="17">
        <v>44925</v>
      </c>
      <c r="QXL613" s="5" t="s">
        <v>3728</v>
      </c>
      <c r="QXM613" s="17">
        <v>44925</v>
      </c>
      <c r="QXN613" s="5" t="s">
        <v>3728</v>
      </c>
      <c r="QXO613" s="17">
        <v>44925</v>
      </c>
      <c r="QXP613" s="5" t="s">
        <v>3728</v>
      </c>
      <c r="QXQ613" s="17">
        <v>44925</v>
      </c>
      <c r="QXR613" s="5" t="s">
        <v>3728</v>
      </c>
      <c r="QXS613" s="17">
        <v>44925</v>
      </c>
      <c r="QXT613" s="5" t="s">
        <v>3728</v>
      </c>
      <c r="QXU613" s="17">
        <v>44925</v>
      </c>
      <c r="QXV613" s="5" t="s">
        <v>3728</v>
      </c>
      <c r="QXW613" s="17">
        <v>44925</v>
      </c>
      <c r="QXX613" s="5" t="s">
        <v>3728</v>
      </c>
      <c r="QXY613" s="17">
        <v>44925</v>
      </c>
      <c r="QXZ613" s="5" t="s">
        <v>3728</v>
      </c>
      <c r="QYA613" s="17">
        <v>44925</v>
      </c>
      <c r="QYB613" s="5" t="s">
        <v>3728</v>
      </c>
      <c r="QYC613" s="17">
        <v>44925</v>
      </c>
      <c r="QYD613" s="5" t="s">
        <v>3728</v>
      </c>
      <c r="QYE613" s="17">
        <v>44925</v>
      </c>
      <c r="QYF613" s="5" t="s">
        <v>3728</v>
      </c>
      <c r="QYG613" s="17">
        <v>44925</v>
      </c>
      <c r="QYH613" s="5" t="s">
        <v>3728</v>
      </c>
      <c r="QYI613" s="17">
        <v>44925</v>
      </c>
      <c r="QYJ613" s="5" t="s">
        <v>3728</v>
      </c>
      <c r="QYK613" s="17">
        <v>44925</v>
      </c>
      <c r="QYL613" s="5" t="s">
        <v>3728</v>
      </c>
      <c r="QYM613" s="17">
        <v>44925</v>
      </c>
      <c r="QYN613" s="5" t="s">
        <v>3728</v>
      </c>
      <c r="QYO613" s="17">
        <v>44925</v>
      </c>
      <c r="QYP613" s="5" t="s">
        <v>3728</v>
      </c>
      <c r="QYQ613" s="17">
        <v>44925</v>
      </c>
      <c r="QYR613" s="5" t="s">
        <v>3728</v>
      </c>
      <c r="QYS613" s="17">
        <v>44925</v>
      </c>
      <c r="QYT613" s="5" t="s">
        <v>3728</v>
      </c>
      <c r="QYU613" s="17">
        <v>44925</v>
      </c>
      <c r="QYV613" s="5" t="s">
        <v>3728</v>
      </c>
      <c r="QYW613" s="17">
        <v>44925</v>
      </c>
      <c r="QYX613" s="5" t="s">
        <v>3728</v>
      </c>
      <c r="QYY613" s="17">
        <v>44925</v>
      </c>
      <c r="QYZ613" s="5" t="s">
        <v>3728</v>
      </c>
      <c r="QZA613" s="17">
        <v>44925</v>
      </c>
      <c r="QZB613" s="5" t="s">
        <v>3728</v>
      </c>
      <c r="QZC613" s="17">
        <v>44925</v>
      </c>
      <c r="QZD613" s="5" t="s">
        <v>3728</v>
      </c>
      <c r="QZE613" s="17">
        <v>44925</v>
      </c>
      <c r="QZF613" s="5" t="s">
        <v>3728</v>
      </c>
      <c r="QZG613" s="17">
        <v>44925</v>
      </c>
      <c r="QZH613" s="5" t="s">
        <v>3728</v>
      </c>
      <c r="QZI613" s="17">
        <v>44925</v>
      </c>
      <c r="QZJ613" s="5" t="s">
        <v>3728</v>
      </c>
      <c r="QZK613" s="17">
        <v>44925</v>
      </c>
      <c r="QZL613" s="5" t="s">
        <v>3728</v>
      </c>
      <c r="QZM613" s="17">
        <v>44925</v>
      </c>
      <c r="QZN613" s="5" t="s">
        <v>3728</v>
      </c>
      <c r="QZO613" s="17">
        <v>44925</v>
      </c>
      <c r="QZP613" s="5" t="s">
        <v>3728</v>
      </c>
      <c r="QZQ613" s="17">
        <v>44925</v>
      </c>
      <c r="QZR613" s="5" t="s">
        <v>3728</v>
      </c>
      <c r="QZS613" s="17">
        <v>44925</v>
      </c>
      <c r="QZT613" s="5" t="s">
        <v>3728</v>
      </c>
      <c r="QZU613" s="17">
        <v>44925</v>
      </c>
      <c r="QZV613" s="5" t="s">
        <v>3728</v>
      </c>
      <c r="QZW613" s="17">
        <v>44925</v>
      </c>
      <c r="QZX613" s="5" t="s">
        <v>3728</v>
      </c>
      <c r="QZY613" s="17">
        <v>44925</v>
      </c>
      <c r="QZZ613" s="5" t="s">
        <v>3728</v>
      </c>
      <c r="RAA613" s="17">
        <v>44925</v>
      </c>
      <c r="RAB613" s="5" t="s">
        <v>3728</v>
      </c>
      <c r="RAC613" s="17">
        <v>44925</v>
      </c>
      <c r="RAD613" s="5" t="s">
        <v>3728</v>
      </c>
      <c r="RAE613" s="17">
        <v>44925</v>
      </c>
      <c r="RAF613" s="5" t="s">
        <v>3728</v>
      </c>
      <c r="RAG613" s="17">
        <v>44925</v>
      </c>
      <c r="RAH613" s="5" t="s">
        <v>3728</v>
      </c>
      <c r="RAI613" s="17">
        <v>44925</v>
      </c>
      <c r="RAJ613" s="5" t="s">
        <v>3728</v>
      </c>
      <c r="RAK613" s="17">
        <v>44925</v>
      </c>
      <c r="RAL613" s="5" t="s">
        <v>3728</v>
      </c>
      <c r="RAM613" s="17">
        <v>44925</v>
      </c>
      <c r="RAN613" s="5" t="s">
        <v>3728</v>
      </c>
      <c r="RAO613" s="17">
        <v>44925</v>
      </c>
      <c r="RAP613" s="5" t="s">
        <v>3728</v>
      </c>
      <c r="RAQ613" s="17">
        <v>44925</v>
      </c>
      <c r="RAR613" s="5" t="s">
        <v>3728</v>
      </c>
      <c r="RAS613" s="17">
        <v>44925</v>
      </c>
      <c r="RAT613" s="5" t="s">
        <v>3728</v>
      </c>
      <c r="RAU613" s="17">
        <v>44925</v>
      </c>
      <c r="RAV613" s="5" t="s">
        <v>3728</v>
      </c>
      <c r="RAW613" s="17">
        <v>44925</v>
      </c>
      <c r="RAX613" s="5" t="s">
        <v>3728</v>
      </c>
      <c r="RAY613" s="17">
        <v>44925</v>
      </c>
      <c r="RAZ613" s="5" t="s">
        <v>3728</v>
      </c>
      <c r="RBA613" s="17">
        <v>44925</v>
      </c>
      <c r="RBB613" s="5" t="s">
        <v>3728</v>
      </c>
      <c r="RBC613" s="17">
        <v>44925</v>
      </c>
      <c r="RBD613" s="5" t="s">
        <v>3728</v>
      </c>
      <c r="RBE613" s="17">
        <v>44925</v>
      </c>
      <c r="RBF613" s="5" t="s">
        <v>3728</v>
      </c>
      <c r="RBG613" s="17">
        <v>44925</v>
      </c>
      <c r="RBH613" s="5" t="s">
        <v>3728</v>
      </c>
      <c r="RBI613" s="17">
        <v>44925</v>
      </c>
      <c r="RBJ613" s="5" t="s">
        <v>3728</v>
      </c>
      <c r="RBK613" s="17">
        <v>44925</v>
      </c>
      <c r="RBL613" s="5" t="s">
        <v>3728</v>
      </c>
      <c r="RBM613" s="17">
        <v>44925</v>
      </c>
      <c r="RBN613" s="5" t="s">
        <v>3728</v>
      </c>
      <c r="RBO613" s="17">
        <v>44925</v>
      </c>
      <c r="RBP613" s="5" t="s">
        <v>3728</v>
      </c>
      <c r="RBQ613" s="17">
        <v>44925</v>
      </c>
      <c r="RBR613" s="5" t="s">
        <v>3728</v>
      </c>
      <c r="RBS613" s="17">
        <v>44925</v>
      </c>
      <c r="RBT613" s="5" t="s">
        <v>3728</v>
      </c>
      <c r="RBU613" s="17">
        <v>44925</v>
      </c>
      <c r="RBV613" s="5" t="s">
        <v>3728</v>
      </c>
      <c r="RBW613" s="17">
        <v>44925</v>
      </c>
      <c r="RBX613" s="5" t="s">
        <v>3728</v>
      </c>
      <c r="RBY613" s="17">
        <v>44925</v>
      </c>
      <c r="RBZ613" s="5" t="s">
        <v>3728</v>
      </c>
      <c r="RCA613" s="17">
        <v>44925</v>
      </c>
      <c r="RCB613" s="5" t="s">
        <v>3728</v>
      </c>
      <c r="RCC613" s="17">
        <v>44925</v>
      </c>
      <c r="RCD613" s="5" t="s">
        <v>3728</v>
      </c>
      <c r="RCE613" s="17">
        <v>44925</v>
      </c>
      <c r="RCF613" s="5" t="s">
        <v>3728</v>
      </c>
      <c r="RCG613" s="17">
        <v>44925</v>
      </c>
      <c r="RCH613" s="5" t="s">
        <v>3728</v>
      </c>
      <c r="RCI613" s="17">
        <v>44925</v>
      </c>
      <c r="RCJ613" s="5" t="s">
        <v>3728</v>
      </c>
      <c r="RCK613" s="17">
        <v>44925</v>
      </c>
      <c r="RCL613" s="5" t="s">
        <v>3728</v>
      </c>
      <c r="RCM613" s="17">
        <v>44925</v>
      </c>
      <c r="RCN613" s="5" t="s">
        <v>3728</v>
      </c>
      <c r="RCO613" s="17">
        <v>44925</v>
      </c>
      <c r="RCP613" s="5" t="s">
        <v>3728</v>
      </c>
      <c r="RCQ613" s="17">
        <v>44925</v>
      </c>
      <c r="RCR613" s="5" t="s">
        <v>3728</v>
      </c>
      <c r="RCS613" s="17">
        <v>44925</v>
      </c>
      <c r="RCT613" s="5" t="s">
        <v>3728</v>
      </c>
      <c r="RCU613" s="17">
        <v>44925</v>
      </c>
      <c r="RCV613" s="5" t="s">
        <v>3728</v>
      </c>
      <c r="RCW613" s="17">
        <v>44925</v>
      </c>
      <c r="RCX613" s="5" t="s">
        <v>3728</v>
      </c>
      <c r="RCY613" s="17">
        <v>44925</v>
      </c>
      <c r="RCZ613" s="5" t="s">
        <v>3728</v>
      </c>
      <c r="RDA613" s="17">
        <v>44925</v>
      </c>
      <c r="RDB613" s="5" t="s">
        <v>3728</v>
      </c>
      <c r="RDC613" s="17">
        <v>44925</v>
      </c>
      <c r="RDD613" s="5" t="s">
        <v>3728</v>
      </c>
      <c r="RDE613" s="17">
        <v>44925</v>
      </c>
      <c r="RDF613" s="5" t="s">
        <v>3728</v>
      </c>
      <c r="RDG613" s="17">
        <v>44925</v>
      </c>
      <c r="RDH613" s="5" t="s">
        <v>3728</v>
      </c>
      <c r="RDI613" s="17">
        <v>44925</v>
      </c>
      <c r="RDJ613" s="5" t="s">
        <v>3728</v>
      </c>
      <c r="RDK613" s="17">
        <v>44925</v>
      </c>
      <c r="RDL613" s="5" t="s">
        <v>3728</v>
      </c>
      <c r="RDM613" s="17">
        <v>44925</v>
      </c>
      <c r="RDN613" s="5" t="s">
        <v>3728</v>
      </c>
      <c r="RDO613" s="17">
        <v>44925</v>
      </c>
      <c r="RDP613" s="5" t="s">
        <v>3728</v>
      </c>
      <c r="RDQ613" s="17">
        <v>44925</v>
      </c>
      <c r="RDR613" s="5" t="s">
        <v>3728</v>
      </c>
      <c r="RDS613" s="17">
        <v>44925</v>
      </c>
      <c r="RDT613" s="5" t="s">
        <v>3728</v>
      </c>
      <c r="RDU613" s="17">
        <v>44925</v>
      </c>
      <c r="RDV613" s="5" t="s">
        <v>3728</v>
      </c>
      <c r="RDW613" s="17">
        <v>44925</v>
      </c>
      <c r="RDX613" s="5" t="s">
        <v>3728</v>
      </c>
      <c r="RDY613" s="17">
        <v>44925</v>
      </c>
      <c r="RDZ613" s="5" t="s">
        <v>3728</v>
      </c>
      <c r="REA613" s="17">
        <v>44925</v>
      </c>
      <c r="REB613" s="5" t="s">
        <v>3728</v>
      </c>
      <c r="REC613" s="17">
        <v>44925</v>
      </c>
      <c r="RED613" s="5" t="s">
        <v>3728</v>
      </c>
      <c r="REE613" s="17">
        <v>44925</v>
      </c>
      <c r="REF613" s="5" t="s">
        <v>3728</v>
      </c>
      <c r="REG613" s="17">
        <v>44925</v>
      </c>
      <c r="REH613" s="5" t="s">
        <v>3728</v>
      </c>
      <c r="REI613" s="17">
        <v>44925</v>
      </c>
      <c r="REJ613" s="5" t="s">
        <v>3728</v>
      </c>
      <c r="REK613" s="17">
        <v>44925</v>
      </c>
      <c r="REL613" s="5" t="s">
        <v>3728</v>
      </c>
      <c r="REM613" s="17">
        <v>44925</v>
      </c>
      <c r="REN613" s="5" t="s">
        <v>3728</v>
      </c>
      <c r="REO613" s="17">
        <v>44925</v>
      </c>
      <c r="REP613" s="5" t="s">
        <v>3728</v>
      </c>
      <c r="REQ613" s="17">
        <v>44925</v>
      </c>
      <c r="RER613" s="5" t="s">
        <v>3728</v>
      </c>
      <c r="RES613" s="17">
        <v>44925</v>
      </c>
      <c r="RET613" s="5" t="s">
        <v>3728</v>
      </c>
      <c r="REU613" s="17">
        <v>44925</v>
      </c>
      <c r="REV613" s="5" t="s">
        <v>3728</v>
      </c>
      <c r="REW613" s="17">
        <v>44925</v>
      </c>
      <c r="REX613" s="5" t="s">
        <v>3728</v>
      </c>
      <c r="REY613" s="17">
        <v>44925</v>
      </c>
      <c r="REZ613" s="5" t="s">
        <v>3728</v>
      </c>
      <c r="RFA613" s="17">
        <v>44925</v>
      </c>
      <c r="RFB613" s="5" t="s">
        <v>3728</v>
      </c>
      <c r="RFC613" s="17">
        <v>44925</v>
      </c>
      <c r="RFD613" s="5" t="s">
        <v>3728</v>
      </c>
      <c r="RFE613" s="17">
        <v>44925</v>
      </c>
      <c r="RFF613" s="5" t="s">
        <v>3728</v>
      </c>
      <c r="RFG613" s="17">
        <v>44925</v>
      </c>
      <c r="RFH613" s="5" t="s">
        <v>3728</v>
      </c>
      <c r="RFI613" s="17">
        <v>44925</v>
      </c>
      <c r="RFJ613" s="5" t="s">
        <v>3728</v>
      </c>
      <c r="RFK613" s="17">
        <v>44925</v>
      </c>
      <c r="RFL613" s="5" t="s">
        <v>3728</v>
      </c>
      <c r="RFM613" s="17">
        <v>44925</v>
      </c>
      <c r="RFN613" s="5" t="s">
        <v>3728</v>
      </c>
      <c r="RFO613" s="17">
        <v>44925</v>
      </c>
      <c r="RFP613" s="5" t="s">
        <v>3728</v>
      </c>
      <c r="RFQ613" s="17">
        <v>44925</v>
      </c>
      <c r="RFR613" s="5" t="s">
        <v>3728</v>
      </c>
      <c r="RFS613" s="17">
        <v>44925</v>
      </c>
      <c r="RFT613" s="5" t="s">
        <v>3728</v>
      </c>
      <c r="RFU613" s="17">
        <v>44925</v>
      </c>
      <c r="RFV613" s="5" t="s">
        <v>3728</v>
      </c>
      <c r="RFW613" s="17">
        <v>44925</v>
      </c>
      <c r="RFX613" s="5" t="s">
        <v>3728</v>
      </c>
      <c r="RFY613" s="17">
        <v>44925</v>
      </c>
      <c r="RFZ613" s="5" t="s">
        <v>3728</v>
      </c>
      <c r="RGA613" s="17">
        <v>44925</v>
      </c>
      <c r="RGB613" s="5" t="s">
        <v>3728</v>
      </c>
      <c r="RGC613" s="17">
        <v>44925</v>
      </c>
      <c r="RGD613" s="5" t="s">
        <v>3728</v>
      </c>
      <c r="RGE613" s="17">
        <v>44925</v>
      </c>
      <c r="RGF613" s="5" t="s">
        <v>3728</v>
      </c>
      <c r="RGG613" s="17">
        <v>44925</v>
      </c>
      <c r="RGH613" s="5" t="s">
        <v>3728</v>
      </c>
      <c r="RGI613" s="17">
        <v>44925</v>
      </c>
      <c r="RGJ613" s="5" t="s">
        <v>3728</v>
      </c>
      <c r="RGK613" s="17">
        <v>44925</v>
      </c>
      <c r="RGL613" s="5" t="s">
        <v>3728</v>
      </c>
      <c r="RGM613" s="17">
        <v>44925</v>
      </c>
      <c r="RGN613" s="5" t="s">
        <v>3728</v>
      </c>
      <c r="RGO613" s="17">
        <v>44925</v>
      </c>
      <c r="RGP613" s="5" t="s">
        <v>3728</v>
      </c>
      <c r="RGQ613" s="17">
        <v>44925</v>
      </c>
      <c r="RGR613" s="5" t="s">
        <v>3728</v>
      </c>
      <c r="RGS613" s="17">
        <v>44925</v>
      </c>
      <c r="RGT613" s="5" t="s">
        <v>3728</v>
      </c>
      <c r="RGU613" s="17">
        <v>44925</v>
      </c>
      <c r="RGV613" s="5" t="s">
        <v>3728</v>
      </c>
      <c r="RGW613" s="17">
        <v>44925</v>
      </c>
      <c r="RGX613" s="5" t="s">
        <v>3728</v>
      </c>
      <c r="RGY613" s="17">
        <v>44925</v>
      </c>
      <c r="RGZ613" s="5" t="s">
        <v>3728</v>
      </c>
      <c r="RHA613" s="17">
        <v>44925</v>
      </c>
      <c r="RHB613" s="5" t="s">
        <v>3728</v>
      </c>
      <c r="RHC613" s="17">
        <v>44925</v>
      </c>
      <c r="RHD613" s="5" t="s">
        <v>3728</v>
      </c>
      <c r="RHE613" s="17">
        <v>44925</v>
      </c>
      <c r="RHF613" s="5" t="s">
        <v>3728</v>
      </c>
      <c r="RHG613" s="17">
        <v>44925</v>
      </c>
      <c r="RHH613" s="5" t="s">
        <v>3728</v>
      </c>
      <c r="RHI613" s="17">
        <v>44925</v>
      </c>
      <c r="RHJ613" s="5" t="s">
        <v>3728</v>
      </c>
      <c r="RHK613" s="17">
        <v>44925</v>
      </c>
      <c r="RHL613" s="5" t="s">
        <v>3728</v>
      </c>
      <c r="RHM613" s="17">
        <v>44925</v>
      </c>
      <c r="RHN613" s="5" t="s">
        <v>3728</v>
      </c>
      <c r="RHO613" s="17">
        <v>44925</v>
      </c>
      <c r="RHP613" s="5" t="s">
        <v>3728</v>
      </c>
      <c r="RHQ613" s="17">
        <v>44925</v>
      </c>
      <c r="RHR613" s="5" t="s">
        <v>3728</v>
      </c>
      <c r="RHS613" s="17">
        <v>44925</v>
      </c>
      <c r="RHT613" s="5" t="s">
        <v>3728</v>
      </c>
      <c r="RHU613" s="17">
        <v>44925</v>
      </c>
      <c r="RHV613" s="5" t="s">
        <v>3728</v>
      </c>
      <c r="RHW613" s="17">
        <v>44925</v>
      </c>
      <c r="RHX613" s="5" t="s">
        <v>3728</v>
      </c>
      <c r="RHY613" s="17">
        <v>44925</v>
      </c>
      <c r="RHZ613" s="5" t="s">
        <v>3728</v>
      </c>
      <c r="RIA613" s="17">
        <v>44925</v>
      </c>
      <c r="RIB613" s="5" t="s">
        <v>3728</v>
      </c>
      <c r="RIC613" s="17">
        <v>44925</v>
      </c>
      <c r="RID613" s="5" t="s">
        <v>3728</v>
      </c>
      <c r="RIE613" s="17">
        <v>44925</v>
      </c>
      <c r="RIF613" s="5" t="s">
        <v>3728</v>
      </c>
      <c r="RIG613" s="17">
        <v>44925</v>
      </c>
      <c r="RIH613" s="5" t="s">
        <v>3728</v>
      </c>
      <c r="RII613" s="17">
        <v>44925</v>
      </c>
      <c r="RIJ613" s="5" t="s">
        <v>3728</v>
      </c>
      <c r="RIK613" s="17">
        <v>44925</v>
      </c>
      <c r="RIL613" s="5" t="s">
        <v>3728</v>
      </c>
      <c r="RIM613" s="17">
        <v>44925</v>
      </c>
      <c r="RIN613" s="5" t="s">
        <v>3728</v>
      </c>
      <c r="RIO613" s="17">
        <v>44925</v>
      </c>
      <c r="RIP613" s="5" t="s">
        <v>3728</v>
      </c>
      <c r="RIQ613" s="17">
        <v>44925</v>
      </c>
      <c r="RIR613" s="5" t="s">
        <v>3728</v>
      </c>
      <c r="RIS613" s="17">
        <v>44925</v>
      </c>
      <c r="RIT613" s="5" t="s">
        <v>3728</v>
      </c>
      <c r="RIU613" s="17">
        <v>44925</v>
      </c>
      <c r="RIV613" s="5" t="s">
        <v>3728</v>
      </c>
      <c r="RIW613" s="17">
        <v>44925</v>
      </c>
      <c r="RIX613" s="5" t="s">
        <v>3728</v>
      </c>
      <c r="RIY613" s="17">
        <v>44925</v>
      </c>
      <c r="RIZ613" s="5" t="s">
        <v>3728</v>
      </c>
      <c r="RJA613" s="17">
        <v>44925</v>
      </c>
      <c r="RJB613" s="5" t="s">
        <v>3728</v>
      </c>
      <c r="RJC613" s="17">
        <v>44925</v>
      </c>
      <c r="RJD613" s="5" t="s">
        <v>3728</v>
      </c>
      <c r="RJE613" s="17">
        <v>44925</v>
      </c>
      <c r="RJF613" s="5" t="s">
        <v>3728</v>
      </c>
      <c r="RJG613" s="17">
        <v>44925</v>
      </c>
      <c r="RJH613" s="5" t="s">
        <v>3728</v>
      </c>
      <c r="RJI613" s="17">
        <v>44925</v>
      </c>
      <c r="RJJ613" s="5" t="s">
        <v>3728</v>
      </c>
      <c r="RJK613" s="17">
        <v>44925</v>
      </c>
      <c r="RJL613" s="5" t="s">
        <v>3728</v>
      </c>
      <c r="RJM613" s="17">
        <v>44925</v>
      </c>
      <c r="RJN613" s="5" t="s">
        <v>3728</v>
      </c>
      <c r="RJO613" s="17">
        <v>44925</v>
      </c>
      <c r="RJP613" s="5" t="s">
        <v>3728</v>
      </c>
      <c r="RJQ613" s="17">
        <v>44925</v>
      </c>
      <c r="RJR613" s="5" t="s">
        <v>3728</v>
      </c>
      <c r="RJS613" s="17">
        <v>44925</v>
      </c>
      <c r="RJT613" s="5" t="s">
        <v>3728</v>
      </c>
      <c r="RJU613" s="17">
        <v>44925</v>
      </c>
      <c r="RJV613" s="5" t="s">
        <v>3728</v>
      </c>
      <c r="RJW613" s="17">
        <v>44925</v>
      </c>
      <c r="RJX613" s="5" t="s">
        <v>3728</v>
      </c>
      <c r="RJY613" s="17">
        <v>44925</v>
      </c>
      <c r="RJZ613" s="5" t="s">
        <v>3728</v>
      </c>
      <c r="RKA613" s="17">
        <v>44925</v>
      </c>
      <c r="RKB613" s="5" t="s">
        <v>3728</v>
      </c>
      <c r="RKC613" s="17">
        <v>44925</v>
      </c>
      <c r="RKD613" s="5" t="s">
        <v>3728</v>
      </c>
      <c r="RKE613" s="17">
        <v>44925</v>
      </c>
      <c r="RKF613" s="5" t="s">
        <v>3728</v>
      </c>
      <c r="RKG613" s="17">
        <v>44925</v>
      </c>
      <c r="RKH613" s="5" t="s">
        <v>3728</v>
      </c>
      <c r="RKI613" s="17">
        <v>44925</v>
      </c>
      <c r="RKJ613" s="5" t="s">
        <v>3728</v>
      </c>
      <c r="RKK613" s="17">
        <v>44925</v>
      </c>
      <c r="RKL613" s="5" t="s">
        <v>3728</v>
      </c>
      <c r="RKM613" s="17">
        <v>44925</v>
      </c>
      <c r="RKN613" s="5" t="s">
        <v>3728</v>
      </c>
      <c r="RKO613" s="17">
        <v>44925</v>
      </c>
      <c r="RKP613" s="5" t="s">
        <v>3728</v>
      </c>
      <c r="RKQ613" s="17">
        <v>44925</v>
      </c>
      <c r="RKR613" s="5" t="s">
        <v>3728</v>
      </c>
      <c r="RKS613" s="17">
        <v>44925</v>
      </c>
      <c r="RKT613" s="5" t="s">
        <v>3728</v>
      </c>
      <c r="RKU613" s="17">
        <v>44925</v>
      </c>
      <c r="RKV613" s="5" t="s">
        <v>3728</v>
      </c>
      <c r="RKW613" s="17">
        <v>44925</v>
      </c>
      <c r="RKX613" s="5" t="s">
        <v>3728</v>
      </c>
      <c r="RKY613" s="17">
        <v>44925</v>
      </c>
      <c r="RKZ613" s="5" t="s">
        <v>3728</v>
      </c>
      <c r="RLA613" s="17">
        <v>44925</v>
      </c>
      <c r="RLB613" s="5" t="s">
        <v>3728</v>
      </c>
      <c r="RLC613" s="17">
        <v>44925</v>
      </c>
      <c r="RLD613" s="5" t="s">
        <v>3728</v>
      </c>
      <c r="RLE613" s="17">
        <v>44925</v>
      </c>
      <c r="RLF613" s="5" t="s">
        <v>3728</v>
      </c>
      <c r="RLG613" s="17">
        <v>44925</v>
      </c>
      <c r="RLH613" s="5" t="s">
        <v>3728</v>
      </c>
      <c r="RLI613" s="17">
        <v>44925</v>
      </c>
      <c r="RLJ613" s="5" t="s">
        <v>3728</v>
      </c>
      <c r="RLK613" s="17">
        <v>44925</v>
      </c>
      <c r="RLL613" s="5" t="s">
        <v>3728</v>
      </c>
      <c r="RLM613" s="17">
        <v>44925</v>
      </c>
      <c r="RLN613" s="5" t="s">
        <v>3728</v>
      </c>
      <c r="RLO613" s="17">
        <v>44925</v>
      </c>
      <c r="RLP613" s="5" t="s">
        <v>3728</v>
      </c>
      <c r="RLQ613" s="17">
        <v>44925</v>
      </c>
      <c r="RLR613" s="5" t="s">
        <v>3728</v>
      </c>
      <c r="RLS613" s="17">
        <v>44925</v>
      </c>
      <c r="RLT613" s="5" t="s">
        <v>3728</v>
      </c>
      <c r="RLU613" s="17">
        <v>44925</v>
      </c>
      <c r="RLV613" s="5" t="s">
        <v>3728</v>
      </c>
      <c r="RLW613" s="17">
        <v>44925</v>
      </c>
      <c r="RLX613" s="5" t="s">
        <v>3728</v>
      </c>
      <c r="RLY613" s="17">
        <v>44925</v>
      </c>
      <c r="RLZ613" s="5" t="s">
        <v>3728</v>
      </c>
      <c r="RMA613" s="17">
        <v>44925</v>
      </c>
      <c r="RMB613" s="5" t="s">
        <v>3728</v>
      </c>
      <c r="RMC613" s="17">
        <v>44925</v>
      </c>
      <c r="RMD613" s="5" t="s">
        <v>3728</v>
      </c>
      <c r="RME613" s="17">
        <v>44925</v>
      </c>
      <c r="RMF613" s="5" t="s">
        <v>3728</v>
      </c>
      <c r="RMG613" s="17">
        <v>44925</v>
      </c>
      <c r="RMH613" s="5" t="s">
        <v>3728</v>
      </c>
      <c r="RMI613" s="17">
        <v>44925</v>
      </c>
      <c r="RMJ613" s="5" t="s">
        <v>3728</v>
      </c>
      <c r="RMK613" s="17">
        <v>44925</v>
      </c>
      <c r="RML613" s="5" t="s">
        <v>3728</v>
      </c>
      <c r="RMM613" s="17">
        <v>44925</v>
      </c>
      <c r="RMN613" s="5" t="s">
        <v>3728</v>
      </c>
      <c r="RMO613" s="17">
        <v>44925</v>
      </c>
      <c r="RMP613" s="5" t="s">
        <v>3728</v>
      </c>
      <c r="RMQ613" s="17">
        <v>44925</v>
      </c>
      <c r="RMR613" s="5" t="s">
        <v>3728</v>
      </c>
      <c r="RMS613" s="17">
        <v>44925</v>
      </c>
      <c r="RMT613" s="5" t="s">
        <v>3728</v>
      </c>
      <c r="RMU613" s="17">
        <v>44925</v>
      </c>
      <c r="RMV613" s="5" t="s">
        <v>3728</v>
      </c>
      <c r="RMW613" s="17">
        <v>44925</v>
      </c>
      <c r="RMX613" s="5" t="s">
        <v>3728</v>
      </c>
      <c r="RMY613" s="17">
        <v>44925</v>
      </c>
      <c r="RMZ613" s="5" t="s">
        <v>3728</v>
      </c>
      <c r="RNA613" s="17">
        <v>44925</v>
      </c>
      <c r="RNB613" s="5" t="s">
        <v>3728</v>
      </c>
      <c r="RNC613" s="17">
        <v>44925</v>
      </c>
      <c r="RND613" s="5" t="s">
        <v>3728</v>
      </c>
      <c r="RNE613" s="17">
        <v>44925</v>
      </c>
      <c r="RNF613" s="5" t="s">
        <v>3728</v>
      </c>
      <c r="RNG613" s="17">
        <v>44925</v>
      </c>
      <c r="RNH613" s="5" t="s">
        <v>3728</v>
      </c>
      <c r="RNI613" s="17">
        <v>44925</v>
      </c>
      <c r="RNJ613" s="5" t="s">
        <v>3728</v>
      </c>
      <c r="RNK613" s="17">
        <v>44925</v>
      </c>
      <c r="RNL613" s="5" t="s">
        <v>3728</v>
      </c>
      <c r="RNM613" s="17">
        <v>44925</v>
      </c>
      <c r="RNN613" s="5" t="s">
        <v>3728</v>
      </c>
      <c r="RNO613" s="17">
        <v>44925</v>
      </c>
      <c r="RNP613" s="5" t="s">
        <v>3728</v>
      </c>
      <c r="RNQ613" s="17">
        <v>44925</v>
      </c>
      <c r="RNR613" s="5" t="s">
        <v>3728</v>
      </c>
      <c r="RNS613" s="17">
        <v>44925</v>
      </c>
      <c r="RNT613" s="5" t="s">
        <v>3728</v>
      </c>
      <c r="RNU613" s="17">
        <v>44925</v>
      </c>
      <c r="RNV613" s="5" t="s">
        <v>3728</v>
      </c>
      <c r="RNW613" s="17">
        <v>44925</v>
      </c>
      <c r="RNX613" s="5" t="s">
        <v>3728</v>
      </c>
      <c r="RNY613" s="17">
        <v>44925</v>
      </c>
      <c r="RNZ613" s="5" t="s">
        <v>3728</v>
      </c>
      <c r="ROA613" s="17">
        <v>44925</v>
      </c>
      <c r="ROB613" s="5" t="s">
        <v>3728</v>
      </c>
      <c r="ROC613" s="17">
        <v>44925</v>
      </c>
      <c r="ROD613" s="5" t="s">
        <v>3728</v>
      </c>
      <c r="ROE613" s="17">
        <v>44925</v>
      </c>
      <c r="ROF613" s="5" t="s">
        <v>3728</v>
      </c>
      <c r="ROG613" s="17">
        <v>44925</v>
      </c>
      <c r="ROH613" s="5" t="s">
        <v>3728</v>
      </c>
      <c r="ROI613" s="17">
        <v>44925</v>
      </c>
      <c r="ROJ613" s="5" t="s">
        <v>3728</v>
      </c>
      <c r="ROK613" s="17">
        <v>44925</v>
      </c>
      <c r="ROL613" s="5" t="s">
        <v>3728</v>
      </c>
      <c r="ROM613" s="17">
        <v>44925</v>
      </c>
      <c r="RON613" s="5" t="s">
        <v>3728</v>
      </c>
      <c r="ROO613" s="17">
        <v>44925</v>
      </c>
      <c r="ROP613" s="5" t="s">
        <v>3728</v>
      </c>
      <c r="ROQ613" s="17">
        <v>44925</v>
      </c>
      <c r="ROR613" s="5" t="s">
        <v>3728</v>
      </c>
      <c r="ROS613" s="17">
        <v>44925</v>
      </c>
      <c r="ROT613" s="5" t="s">
        <v>3728</v>
      </c>
      <c r="ROU613" s="17">
        <v>44925</v>
      </c>
      <c r="ROV613" s="5" t="s">
        <v>3728</v>
      </c>
      <c r="ROW613" s="17">
        <v>44925</v>
      </c>
      <c r="ROX613" s="5" t="s">
        <v>3728</v>
      </c>
      <c r="ROY613" s="17">
        <v>44925</v>
      </c>
      <c r="ROZ613" s="5" t="s">
        <v>3728</v>
      </c>
      <c r="RPA613" s="17">
        <v>44925</v>
      </c>
      <c r="RPB613" s="5" t="s">
        <v>3728</v>
      </c>
      <c r="RPC613" s="17">
        <v>44925</v>
      </c>
      <c r="RPD613" s="5" t="s">
        <v>3728</v>
      </c>
      <c r="RPE613" s="17">
        <v>44925</v>
      </c>
      <c r="RPF613" s="5" t="s">
        <v>3728</v>
      </c>
      <c r="RPG613" s="17">
        <v>44925</v>
      </c>
      <c r="RPH613" s="5" t="s">
        <v>3728</v>
      </c>
      <c r="RPI613" s="17">
        <v>44925</v>
      </c>
      <c r="RPJ613" s="5" t="s">
        <v>3728</v>
      </c>
      <c r="RPK613" s="17">
        <v>44925</v>
      </c>
      <c r="RPL613" s="5" t="s">
        <v>3728</v>
      </c>
      <c r="RPM613" s="17">
        <v>44925</v>
      </c>
      <c r="RPN613" s="5" t="s">
        <v>3728</v>
      </c>
      <c r="RPO613" s="17">
        <v>44925</v>
      </c>
      <c r="RPP613" s="5" t="s">
        <v>3728</v>
      </c>
      <c r="RPQ613" s="17">
        <v>44925</v>
      </c>
      <c r="RPR613" s="5" t="s">
        <v>3728</v>
      </c>
      <c r="RPS613" s="17">
        <v>44925</v>
      </c>
      <c r="RPT613" s="5" t="s">
        <v>3728</v>
      </c>
      <c r="RPU613" s="17">
        <v>44925</v>
      </c>
      <c r="RPV613" s="5" t="s">
        <v>3728</v>
      </c>
      <c r="RPW613" s="17">
        <v>44925</v>
      </c>
      <c r="RPX613" s="5" t="s">
        <v>3728</v>
      </c>
      <c r="RPY613" s="17">
        <v>44925</v>
      </c>
      <c r="RPZ613" s="5" t="s">
        <v>3728</v>
      </c>
      <c r="RQA613" s="17">
        <v>44925</v>
      </c>
      <c r="RQB613" s="5" t="s">
        <v>3728</v>
      </c>
      <c r="RQC613" s="17">
        <v>44925</v>
      </c>
      <c r="RQD613" s="5" t="s">
        <v>3728</v>
      </c>
      <c r="RQE613" s="17">
        <v>44925</v>
      </c>
      <c r="RQF613" s="5" t="s">
        <v>3728</v>
      </c>
      <c r="RQG613" s="17">
        <v>44925</v>
      </c>
      <c r="RQH613" s="5" t="s">
        <v>3728</v>
      </c>
      <c r="RQI613" s="17">
        <v>44925</v>
      </c>
      <c r="RQJ613" s="5" t="s">
        <v>3728</v>
      </c>
      <c r="RQK613" s="17">
        <v>44925</v>
      </c>
      <c r="RQL613" s="5" t="s">
        <v>3728</v>
      </c>
      <c r="RQM613" s="17">
        <v>44925</v>
      </c>
      <c r="RQN613" s="5" t="s">
        <v>3728</v>
      </c>
      <c r="RQO613" s="17">
        <v>44925</v>
      </c>
      <c r="RQP613" s="5" t="s">
        <v>3728</v>
      </c>
      <c r="RQQ613" s="17">
        <v>44925</v>
      </c>
      <c r="RQR613" s="5" t="s">
        <v>3728</v>
      </c>
      <c r="RQS613" s="17">
        <v>44925</v>
      </c>
      <c r="RQT613" s="5" t="s">
        <v>3728</v>
      </c>
      <c r="RQU613" s="17">
        <v>44925</v>
      </c>
      <c r="RQV613" s="5" t="s">
        <v>3728</v>
      </c>
      <c r="RQW613" s="17">
        <v>44925</v>
      </c>
      <c r="RQX613" s="5" t="s">
        <v>3728</v>
      </c>
      <c r="RQY613" s="17">
        <v>44925</v>
      </c>
      <c r="RQZ613" s="5" t="s">
        <v>3728</v>
      </c>
      <c r="RRA613" s="17">
        <v>44925</v>
      </c>
      <c r="RRB613" s="5" t="s">
        <v>3728</v>
      </c>
      <c r="RRC613" s="17">
        <v>44925</v>
      </c>
      <c r="RRD613" s="5" t="s">
        <v>3728</v>
      </c>
      <c r="RRE613" s="17">
        <v>44925</v>
      </c>
      <c r="RRF613" s="5" t="s">
        <v>3728</v>
      </c>
      <c r="RRG613" s="17">
        <v>44925</v>
      </c>
      <c r="RRH613" s="5" t="s">
        <v>3728</v>
      </c>
      <c r="RRI613" s="17">
        <v>44925</v>
      </c>
      <c r="RRJ613" s="5" t="s">
        <v>3728</v>
      </c>
      <c r="RRK613" s="17">
        <v>44925</v>
      </c>
      <c r="RRL613" s="5" t="s">
        <v>3728</v>
      </c>
      <c r="RRM613" s="17">
        <v>44925</v>
      </c>
      <c r="RRN613" s="5" t="s">
        <v>3728</v>
      </c>
      <c r="RRO613" s="17">
        <v>44925</v>
      </c>
      <c r="RRP613" s="5" t="s">
        <v>3728</v>
      </c>
      <c r="RRQ613" s="17">
        <v>44925</v>
      </c>
      <c r="RRR613" s="5" t="s">
        <v>3728</v>
      </c>
      <c r="RRS613" s="17">
        <v>44925</v>
      </c>
      <c r="RRT613" s="5" t="s">
        <v>3728</v>
      </c>
      <c r="RRU613" s="17">
        <v>44925</v>
      </c>
      <c r="RRV613" s="5" t="s">
        <v>3728</v>
      </c>
      <c r="RRW613" s="17">
        <v>44925</v>
      </c>
      <c r="RRX613" s="5" t="s">
        <v>3728</v>
      </c>
      <c r="RRY613" s="17">
        <v>44925</v>
      </c>
      <c r="RRZ613" s="5" t="s">
        <v>3728</v>
      </c>
      <c r="RSA613" s="17">
        <v>44925</v>
      </c>
      <c r="RSB613" s="5" t="s">
        <v>3728</v>
      </c>
      <c r="RSC613" s="17">
        <v>44925</v>
      </c>
      <c r="RSD613" s="5" t="s">
        <v>3728</v>
      </c>
      <c r="RSE613" s="17">
        <v>44925</v>
      </c>
      <c r="RSF613" s="5" t="s">
        <v>3728</v>
      </c>
      <c r="RSG613" s="17">
        <v>44925</v>
      </c>
      <c r="RSH613" s="5" t="s">
        <v>3728</v>
      </c>
      <c r="RSI613" s="17">
        <v>44925</v>
      </c>
      <c r="RSJ613" s="5" t="s">
        <v>3728</v>
      </c>
      <c r="RSK613" s="17">
        <v>44925</v>
      </c>
      <c r="RSL613" s="5" t="s">
        <v>3728</v>
      </c>
      <c r="RSM613" s="17">
        <v>44925</v>
      </c>
      <c r="RSN613" s="5" t="s">
        <v>3728</v>
      </c>
      <c r="RSO613" s="17">
        <v>44925</v>
      </c>
      <c r="RSP613" s="5" t="s">
        <v>3728</v>
      </c>
      <c r="RSQ613" s="17">
        <v>44925</v>
      </c>
      <c r="RSR613" s="5" t="s">
        <v>3728</v>
      </c>
      <c r="RSS613" s="17">
        <v>44925</v>
      </c>
      <c r="RST613" s="5" t="s">
        <v>3728</v>
      </c>
      <c r="RSU613" s="17">
        <v>44925</v>
      </c>
      <c r="RSV613" s="5" t="s">
        <v>3728</v>
      </c>
      <c r="RSW613" s="17">
        <v>44925</v>
      </c>
      <c r="RSX613" s="5" t="s">
        <v>3728</v>
      </c>
      <c r="RSY613" s="17">
        <v>44925</v>
      </c>
      <c r="RSZ613" s="5" t="s">
        <v>3728</v>
      </c>
      <c r="RTA613" s="17">
        <v>44925</v>
      </c>
      <c r="RTB613" s="5" t="s">
        <v>3728</v>
      </c>
      <c r="RTC613" s="17">
        <v>44925</v>
      </c>
      <c r="RTD613" s="5" t="s">
        <v>3728</v>
      </c>
      <c r="RTE613" s="17">
        <v>44925</v>
      </c>
      <c r="RTF613" s="5" t="s">
        <v>3728</v>
      </c>
      <c r="RTG613" s="17">
        <v>44925</v>
      </c>
      <c r="RTH613" s="5" t="s">
        <v>3728</v>
      </c>
      <c r="RTI613" s="17">
        <v>44925</v>
      </c>
      <c r="RTJ613" s="5" t="s">
        <v>3728</v>
      </c>
      <c r="RTK613" s="17">
        <v>44925</v>
      </c>
      <c r="RTL613" s="5" t="s">
        <v>3728</v>
      </c>
      <c r="RTM613" s="17">
        <v>44925</v>
      </c>
      <c r="RTN613" s="5" t="s">
        <v>3728</v>
      </c>
      <c r="RTO613" s="17">
        <v>44925</v>
      </c>
      <c r="RTP613" s="5" t="s">
        <v>3728</v>
      </c>
      <c r="RTQ613" s="17">
        <v>44925</v>
      </c>
      <c r="RTR613" s="5" t="s">
        <v>3728</v>
      </c>
      <c r="RTS613" s="17">
        <v>44925</v>
      </c>
      <c r="RTT613" s="5" t="s">
        <v>3728</v>
      </c>
      <c r="RTU613" s="17">
        <v>44925</v>
      </c>
      <c r="RTV613" s="5" t="s">
        <v>3728</v>
      </c>
      <c r="RTW613" s="17">
        <v>44925</v>
      </c>
      <c r="RTX613" s="5" t="s">
        <v>3728</v>
      </c>
      <c r="RTY613" s="17">
        <v>44925</v>
      </c>
      <c r="RTZ613" s="5" t="s">
        <v>3728</v>
      </c>
      <c r="RUA613" s="17">
        <v>44925</v>
      </c>
      <c r="RUB613" s="5" t="s">
        <v>3728</v>
      </c>
      <c r="RUC613" s="17">
        <v>44925</v>
      </c>
      <c r="RUD613" s="5" t="s">
        <v>3728</v>
      </c>
      <c r="RUE613" s="17">
        <v>44925</v>
      </c>
      <c r="RUF613" s="5" t="s">
        <v>3728</v>
      </c>
      <c r="RUG613" s="17">
        <v>44925</v>
      </c>
      <c r="RUH613" s="5" t="s">
        <v>3728</v>
      </c>
      <c r="RUI613" s="17">
        <v>44925</v>
      </c>
      <c r="RUJ613" s="5" t="s">
        <v>3728</v>
      </c>
      <c r="RUK613" s="17">
        <v>44925</v>
      </c>
      <c r="RUL613" s="5" t="s">
        <v>3728</v>
      </c>
      <c r="RUM613" s="17">
        <v>44925</v>
      </c>
      <c r="RUN613" s="5" t="s">
        <v>3728</v>
      </c>
      <c r="RUO613" s="17">
        <v>44925</v>
      </c>
      <c r="RUP613" s="5" t="s">
        <v>3728</v>
      </c>
      <c r="RUQ613" s="17">
        <v>44925</v>
      </c>
      <c r="RUR613" s="5" t="s">
        <v>3728</v>
      </c>
      <c r="RUS613" s="17">
        <v>44925</v>
      </c>
      <c r="RUT613" s="5" t="s">
        <v>3728</v>
      </c>
      <c r="RUU613" s="17">
        <v>44925</v>
      </c>
      <c r="RUV613" s="5" t="s">
        <v>3728</v>
      </c>
      <c r="RUW613" s="17">
        <v>44925</v>
      </c>
      <c r="RUX613" s="5" t="s">
        <v>3728</v>
      </c>
      <c r="RUY613" s="17">
        <v>44925</v>
      </c>
      <c r="RUZ613" s="5" t="s">
        <v>3728</v>
      </c>
      <c r="RVA613" s="17">
        <v>44925</v>
      </c>
      <c r="RVB613" s="5" t="s">
        <v>3728</v>
      </c>
      <c r="RVC613" s="17">
        <v>44925</v>
      </c>
      <c r="RVD613" s="5" t="s">
        <v>3728</v>
      </c>
      <c r="RVE613" s="17">
        <v>44925</v>
      </c>
      <c r="RVF613" s="5" t="s">
        <v>3728</v>
      </c>
      <c r="RVG613" s="17">
        <v>44925</v>
      </c>
      <c r="RVH613" s="5" t="s">
        <v>3728</v>
      </c>
      <c r="RVI613" s="17">
        <v>44925</v>
      </c>
      <c r="RVJ613" s="5" t="s">
        <v>3728</v>
      </c>
      <c r="RVK613" s="17">
        <v>44925</v>
      </c>
      <c r="RVL613" s="5" t="s">
        <v>3728</v>
      </c>
      <c r="RVM613" s="17">
        <v>44925</v>
      </c>
      <c r="RVN613" s="5" t="s">
        <v>3728</v>
      </c>
      <c r="RVO613" s="17">
        <v>44925</v>
      </c>
      <c r="RVP613" s="5" t="s">
        <v>3728</v>
      </c>
      <c r="RVQ613" s="17">
        <v>44925</v>
      </c>
      <c r="RVR613" s="5" t="s">
        <v>3728</v>
      </c>
      <c r="RVS613" s="17">
        <v>44925</v>
      </c>
      <c r="RVT613" s="5" t="s">
        <v>3728</v>
      </c>
      <c r="RVU613" s="17">
        <v>44925</v>
      </c>
      <c r="RVV613" s="5" t="s">
        <v>3728</v>
      </c>
      <c r="RVW613" s="17">
        <v>44925</v>
      </c>
      <c r="RVX613" s="5" t="s">
        <v>3728</v>
      </c>
      <c r="RVY613" s="17">
        <v>44925</v>
      </c>
      <c r="RVZ613" s="5" t="s">
        <v>3728</v>
      </c>
      <c r="RWA613" s="17">
        <v>44925</v>
      </c>
      <c r="RWB613" s="5" t="s">
        <v>3728</v>
      </c>
      <c r="RWC613" s="17">
        <v>44925</v>
      </c>
      <c r="RWD613" s="5" t="s">
        <v>3728</v>
      </c>
      <c r="RWE613" s="17">
        <v>44925</v>
      </c>
      <c r="RWF613" s="5" t="s">
        <v>3728</v>
      </c>
      <c r="RWG613" s="17">
        <v>44925</v>
      </c>
      <c r="RWH613" s="5" t="s">
        <v>3728</v>
      </c>
      <c r="RWI613" s="17">
        <v>44925</v>
      </c>
      <c r="RWJ613" s="5" t="s">
        <v>3728</v>
      </c>
      <c r="RWK613" s="17">
        <v>44925</v>
      </c>
      <c r="RWL613" s="5" t="s">
        <v>3728</v>
      </c>
      <c r="RWM613" s="17">
        <v>44925</v>
      </c>
      <c r="RWN613" s="5" t="s">
        <v>3728</v>
      </c>
      <c r="RWO613" s="17">
        <v>44925</v>
      </c>
      <c r="RWP613" s="5" t="s">
        <v>3728</v>
      </c>
      <c r="RWQ613" s="17">
        <v>44925</v>
      </c>
      <c r="RWR613" s="5" t="s">
        <v>3728</v>
      </c>
      <c r="RWS613" s="17">
        <v>44925</v>
      </c>
      <c r="RWT613" s="5" t="s">
        <v>3728</v>
      </c>
      <c r="RWU613" s="17">
        <v>44925</v>
      </c>
      <c r="RWV613" s="5" t="s">
        <v>3728</v>
      </c>
      <c r="RWW613" s="17">
        <v>44925</v>
      </c>
      <c r="RWX613" s="5" t="s">
        <v>3728</v>
      </c>
      <c r="RWY613" s="17">
        <v>44925</v>
      </c>
      <c r="RWZ613" s="5" t="s">
        <v>3728</v>
      </c>
      <c r="RXA613" s="17">
        <v>44925</v>
      </c>
      <c r="RXB613" s="5" t="s">
        <v>3728</v>
      </c>
      <c r="RXC613" s="17">
        <v>44925</v>
      </c>
      <c r="RXD613" s="5" t="s">
        <v>3728</v>
      </c>
      <c r="RXE613" s="17">
        <v>44925</v>
      </c>
      <c r="RXF613" s="5" t="s">
        <v>3728</v>
      </c>
      <c r="RXG613" s="17">
        <v>44925</v>
      </c>
      <c r="RXH613" s="5" t="s">
        <v>3728</v>
      </c>
      <c r="RXI613" s="17">
        <v>44925</v>
      </c>
      <c r="RXJ613" s="5" t="s">
        <v>3728</v>
      </c>
      <c r="RXK613" s="17">
        <v>44925</v>
      </c>
      <c r="RXL613" s="5" t="s">
        <v>3728</v>
      </c>
      <c r="RXM613" s="17">
        <v>44925</v>
      </c>
      <c r="RXN613" s="5" t="s">
        <v>3728</v>
      </c>
      <c r="RXO613" s="17">
        <v>44925</v>
      </c>
      <c r="RXP613" s="5" t="s">
        <v>3728</v>
      </c>
      <c r="RXQ613" s="17">
        <v>44925</v>
      </c>
      <c r="RXR613" s="5" t="s">
        <v>3728</v>
      </c>
      <c r="RXS613" s="17">
        <v>44925</v>
      </c>
      <c r="RXT613" s="5" t="s">
        <v>3728</v>
      </c>
      <c r="RXU613" s="17">
        <v>44925</v>
      </c>
      <c r="RXV613" s="5" t="s">
        <v>3728</v>
      </c>
      <c r="RXW613" s="17">
        <v>44925</v>
      </c>
      <c r="RXX613" s="5" t="s">
        <v>3728</v>
      </c>
      <c r="RXY613" s="17">
        <v>44925</v>
      </c>
      <c r="RXZ613" s="5" t="s">
        <v>3728</v>
      </c>
      <c r="RYA613" s="17">
        <v>44925</v>
      </c>
      <c r="RYB613" s="5" t="s">
        <v>3728</v>
      </c>
      <c r="RYC613" s="17">
        <v>44925</v>
      </c>
      <c r="RYD613" s="5" t="s">
        <v>3728</v>
      </c>
      <c r="RYE613" s="17">
        <v>44925</v>
      </c>
      <c r="RYF613" s="5" t="s">
        <v>3728</v>
      </c>
      <c r="RYG613" s="17">
        <v>44925</v>
      </c>
      <c r="RYH613" s="5" t="s">
        <v>3728</v>
      </c>
      <c r="RYI613" s="17">
        <v>44925</v>
      </c>
      <c r="RYJ613" s="5" t="s">
        <v>3728</v>
      </c>
      <c r="RYK613" s="17">
        <v>44925</v>
      </c>
      <c r="RYL613" s="5" t="s">
        <v>3728</v>
      </c>
      <c r="RYM613" s="17">
        <v>44925</v>
      </c>
      <c r="RYN613" s="5" t="s">
        <v>3728</v>
      </c>
      <c r="RYO613" s="17">
        <v>44925</v>
      </c>
      <c r="RYP613" s="5" t="s">
        <v>3728</v>
      </c>
      <c r="RYQ613" s="17">
        <v>44925</v>
      </c>
      <c r="RYR613" s="5" t="s">
        <v>3728</v>
      </c>
      <c r="RYS613" s="17">
        <v>44925</v>
      </c>
      <c r="RYT613" s="5" t="s">
        <v>3728</v>
      </c>
      <c r="RYU613" s="17">
        <v>44925</v>
      </c>
      <c r="RYV613" s="5" t="s">
        <v>3728</v>
      </c>
      <c r="RYW613" s="17">
        <v>44925</v>
      </c>
      <c r="RYX613" s="5" t="s">
        <v>3728</v>
      </c>
      <c r="RYY613" s="17">
        <v>44925</v>
      </c>
      <c r="RYZ613" s="5" t="s">
        <v>3728</v>
      </c>
      <c r="RZA613" s="17">
        <v>44925</v>
      </c>
      <c r="RZB613" s="5" t="s">
        <v>3728</v>
      </c>
      <c r="RZC613" s="17">
        <v>44925</v>
      </c>
      <c r="RZD613" s="5" t="s">
        <v>3728</v>
      </c>
      <c r="RZE613" s="17">
        <v>44925</v>
      </c>
      <c r="RZF613" s="5" t="s">
        <v>3728</v>
      </c>
      <c r="RZG613" s="17">
        <v>44925</v>
      </c>
      <c r="RZH613" s="5" t="s">
        <v>3728</v>
      </c>
      <c r="RZI613" s="17">
        <v>44925</v>
      </c>
      <c r="RZJ613" s="5" t="s">
        <v>3728</v>
      </c>
      <c r="RZK613" s="17">
        <v>44925</v>
      </c>
      <c r="RZL613" s="5" t="s">
        <v>3728</v>
      </c>
      <c r="RZM613" s="17">
        <v>44925</v>
      </c>
      <c r="RZN613" s="5" t="s">
        <v>3728</v>
      </c>
      <c r="RZO613" s="17">
        <v>44925</v>
      </c>
      <c r="RZP613" s="5" t="s">
        <v>3728</v>
      </c>
      <c r="RZQ613" s="17">
        <v>44925</v>
      </c>
      <c r="RZR613" s="5" t="s">
        <v>3728</v>
      </c>
      <c r="RZS613" s="17">
        <v>44925</v>
      </c>
      <c r="RZT613" s="5" t="s">
        <v>3728</v>
      </c>
      <c r="RZU613" s="17">
        <v>44925</v>
      </c>
      <c r="RZV613" s="5" t="s">
        <v>3728</v>
      </c>
      <c r="RZW613" s="17">
        <v>44925</v>
      </c>
      <c r="RZX613" s="5" t="s">
        <v>3728</v>
      </c>
      <c r="RZY613" s="17">
        <v>44925</v>
      </c>
      <c r="RZZ613" s="5" t="s">
        <v>3728</v>
      </c>
      <c r="SAA613" s="17">
        <v>44925</v>
      </c>
      <c r="SAB613" s="5" t="s">
        <v>3728</v>
      </c>
      <c r="SAC613" s="17">
        <v>44925</v>
      </c>
      <c r="SAD613" s="5" t="s">
        <v>3728</v>
      </c>
      <c r="SAE613" s="17">
        <v>44925</v>
      </c>
      <c r="SAF613" s="5" t="s">
        <v>3728</v>
      </c>
      <c r="SAG613" s="17">
        <v>44925</v>
      </c>
      <c r="SAH613" s="5" t="s">
        <v>3728</v>
      </c>
      <c r="SAI613" s="17">
        <v>44925</v>
      </c>
      <c r="SAJ613" s="5" t="s">
        <v>3728</v>
      </c>
      <c r="SAK613" s="17">
        <v>44925</v>
      </c>
      <c r="SAL613" s="5" t="s">
        <v>3728</v>
      </c>
      <c r="SAM613" s="17">
        <v>44925</v>
      </c>
      <c r="SAN613" s="5" t="s">
        <v>3728</v>
      </c>
      <c r="SAO613" s="17">
        <v>44925</v>
      </c>
      <c r="SAP613" s="5" t="s">
        <v>3728</v>
      </c>
      <c r="SAQ613" s="17">
        <v>44925</v>
      </c>
      <c r="SAR613" s="5" t="s">
        <v>3728</v>
      </c>
      <c r="SAS613" s="17">
        <v>44925</v>
      </c>
      <c r="SAT613" s="5" t="s">
        <v>3728</v>
      </c>
      <c r="SAU613" s="17">
        <v>44925</v>
      </c>
      <c r="SAV613" s="5" t="s">
        <v>3728</v>
      </c>
      <c r="SAW613" s="17">
        <v>44925</v>
      </c>
      <c r="SAX613" s="5" t="s">
        <v>3728</v>
      </c>
      <c r="SAY613" s="17">
        <v>44925</v>
      </c>
      <c r="SAZ613" s="5" t="s">
        <v>3728</v>
      </c>
      <c r="SBA613" s="17">
        <v>44925</v>
      </c>
      <c r="SBB613" s="5" t="s">
        <v>3728</v>
      </c>
      <c r="SBC613" s="17">
        <v>44925</v>
      </c>
      <c r="SBD613" s="5" t="s">
        <v>3728</v>
      </c>
      <c r="SBE613" s="17">
        <v>44925</v>
      </c>
      <c r="SBF613" s="5" t="s">
        <v>3728</v>
      </c>
      <c r="SBG613" s="17">
        <v>44925</v>
      </c>
      <c r="SBH613" s="5" t="s">
        <v>3728</v>
      </c>
      <c r="SBI613" s="17">
        <v>44925</v>
      </c>
      <c r="SBJ613" s="5" t="s">
        <v>3728</v>
      </c>
      <c r="SBK613" s="17">
        <v>44925</v>
      </c>
      <c r="SBL613" s="5" t="s">
        <v>3728</v>
      </c>
      <c r="SBM613" s="17">
        <v>44925</v>
      </c>
      <c r="SBN613" s="5" t="s">
        <v>3728</v>
      </c>
      <c r="SBO613" s="17">
        <v>44925</v>
      </c>
      <c r="SBP613" s="5" t="s">
        <v>3728</v>
      </c>
      <c r="SBQ613" s="17">
        <v>44925</v>
      </c>
      <c r="SBR613" s="5" t="s">
        <v>3728</v>
      </c>
      <c r="SBS613" s="17">
        <v>44925</v>
      </c>
      <c r="SBT613" s="5" t="s">
        <v>3728</v>
      </c>
      <c r="SBU613" s="17">
        <v>44925</v>
      </c>
      <c r="SBV613" s="5" t="s">
        <v>3728</v>
      </c>
      <c r="SBW613" s="17">
        <v>44925</v>
      </c>
      <c r="SBX613" s="5" t="s">
        <v>3728</v>
      </c>
      <c r="SBY613" s="17">
        <v>44925</v>
      </c>
      <c r="SBZ613" s="5" t="s">
        <v>3728</v>
      </c>
      <c r="SCA613" s="17">
        <v>44925</v>
      </c>
      <c r="SCB613" s="5" t="s">
        <v>3728</v>
      </c>
      <c r="SCC613" s="17">
        <v>44925</v>
      </c>
      <c r="SCD613" s="5" t="s">
        <v>3728</v>
      </c>
      <c r="SCE613" s="17">
        <v>44925</v>
      </c>
      <c r="SCF613" s="5" t="s">
        <v>3728</v>
      </c>
      <c r="SCG613" s="17">
        <v>44925</v>
      </c>
      <c r="SCH613" s="5" t="s">
        <v>3728</v>
      </c>
      <c r="SCI613" s="17">
        <v>44925</v>
      </c>
      <c r="SCJ613" s="5" t="s">
        <v>3728</v>
      </c>
      <c r="SCK613" s="17">
        <v>44925</v>
      </c>
      <c r="SCL613" s="5" t="s">
        <v>3728</v>
      </c>
      <c r="SCM613" s="17">
        <v>44925</v>
      </c>
      <c r="SCN613" s="5" t="s">
        <v>3728</v>
      </c>
      <c r="SCO613" s="17">
        <v>44925</v>
      </c>
      <c r="SCP613" s="5" t="s">
        <v>3728</v>
      </c>
      <c r="SCQ613" s="17">
        <v>44925</v>
      </c>
      <c r="SCR613" s="5" t="s">
        <v>3728</v>
      </c>
      <c r="SCS613" s="17">
        <v>44925</v>
      </c>
      <c r="SCT613" s="5" t="s">
        <v>3728</v>
      </c>
      <c r="SCU613" s="17">
        <v>44925</v>
      </c>
      <c r="SCV613" s="5" t="s">
        <v>3728</v>
      </c>
      <c r="SCW613" s="17">
        <v>44925</v>
      </c>
      <c r="SCX613" s="5" t="s">
        <v>3728</v>
      </c>
      <c r="SCY613" s="17">
        <v>44925</v>
      </c>
      <c r="SCZ613" s="5" t="s">
        <v>3728</v>
      </c>
      <c r="SDA613" s="17">
        <v>44925</v>
      </c>
      <c r="SDB613" s="5" t="s">
        <v>3728</v>
      </c>
      <c r="SDC613" s="17">
        <v>44925</v>
      </c>
      <c r="SDD613" s="5" t="s">
        <v>3728</v>
      </c>
      <c r="SDE613" s="17">
        <v>44925</v>
      </c>
      <c r="SDF613" s="5" t="s">
        <v>3728</v>
      </c>
      <c r="SDG613" s="17">
        <v>44925</v>
      </c>
      <c r="SDH613" s="5" t="s">
        <v>3728</v>
      </c>
      <c r="SDI613" s="17">
        <v>44925</v>
      </c>
      <c r="SDJ613" s="5" t="s">
        <v>3728</v>
      </c>
      <c r="SDK613" s="17">
        <v>44925</v>
      </c>
      <c r="SDL613" s="5" t="s">
        <v>3728</v>
      </c>
      <c r="SDM613" s="17">
        <v>44925</v>
      </c>
      <c r="SDN613" s="5" t="s">
        <v>3728</v>
      </c>
      <c r="SDO613" s="17">
        <v>44925</v>
      </c>
      <c r="SDP613" s="5" t="s">
        <v>3728</v>
      </c>
      <c r="SDQ613" s="17">
        <v>44925</v>
      </c>
      <c r="SDR613" s="5" t="s">
        <v>3728</v>
      </c>
      <c r="SDS613" s="17">
        <v>44925</v>
      </c>
      <c r="SDT613" s="5" t="s">
        <v>3728</v>
      </c>
      <c r="SDU613" s="17">
        <v>44925</v>
      </c>
      <c r="SDV613" s="5" t="s">
        <v>3728</v>
      </c>
      <c r="SDW613" s="17">
        <v>44925</v>
      </c>
      <c r="SDX613" s="5" t="s">
        <v>3728</v>
      </c>
      <c r="SDY613" s="17">
        <v>44925</v>
      </c>
      <c r="SDZ613" s="5" t="s">
        <v>3728</v>
      </c>
      <c r="SEA613" s="17">
        <v>44925</v>
      </c>
      <c r="SEB613" s="5" t="s">
        <v>3728</v>
      </c>
      <c r="SEC613" s="17">
        <v>44925</v>
      </c>
      <c r="SED613" s="5" t="s">
        <v>3728</v>
      </c>
      <c r="SEE613" s="17">
        <v>44925</v>
      </c>
      <c r="SEF613" s="5" t="s">
        <v>3728</v>
      </c>
      <c r="SEG613" s="17">
        <v>44925</v>
      </c>
      <c r="SEH613" s="5" t="s">
        <v>3728</v>
      </c>
      <c r="SEI613" s="17">
        <v>44925</v>
      </c>
      <c r="SEJ613" s="5" t="s">
        <v>3728</v>
      </c>
      <c r="SEK613" s="17">
        <v>44925</v>
      </c>
      <c r="SEL613" s="5" t="s">
        <v>3728</v>
      </c>
      <c r="SEM613" s="17">
        <v>44925</v>
      </c>
      <c r="SEN613" s="5" t="s">
        <v>3728</v>
      </c>
      <c r="SEO613" s="17">
        <v>44925</v>
      </c>
      <c r="SEP613" s="5" t="s">
        <v>3728</v>
      </c>
      <c r="SEQ613" s="17">
        <v>44925</v>
      </c>
      <c r="SER613" s="5" t="s">
        <v>3728</v>
      </c>
      <c r="SES613" s="17">
        <v>44925</v>
      </c>
      <c r="SET613" s="5" t="s">
        <v>3728</v>
      </c>
      <c r="SEU613" s="17">
        <v>44925</v>
      </c>
      <c r="SEV613" s="5" t="s">
        <v>3728</v>
      </c>
      <c r="SEW613" s="17">
        <v>44925</v>
      </c>
      <c r="SEX613" s="5" t="s">
        <v>3728</v>
      </c>
      <c r="SEY613" s="17">
        <v>44925</v>
      </c>
      <c r="SEZ613" s="5" t="s">
        <v>3728</v>
      </c>
      <c r="SFA613" s="17">
        <v>44925</v>
      </c>
      <c r="SFB613" s="5" t="s">
        <v>3728</v>
      </c>
      <c r="SFC613" s="17">
        <v>44925</v>
      </c>
      <c r="SFD613" s="5" t="s">
        <v>3728</v>
      </c>
      <c r="SFE613" s="17">
        <v>44925</v>
      </c>
      <c r="SFF613" s="5" t="s">
        <v>3728</v>
      </c>
      <c r="SFG613" s="17">
        <v>44925</v>
      </c>
      <c r="SFH613" s="5" t="s">
        <v>3728</v>
      </c>
      <c r="SFI613" s="17">
        <v>44925</v>
      </c>
      <c r="SFJ613" s="5" t="s">
        <v>3728</v>
      </c>
      <c r="SFK613" s="17">
        <v>44925</v>
      </c>
      <c r="SFL613" s="5" t="s">
        <v>3728</v>
      </c>
      <c r="SFM613" s="17">
        <v>44925</v>
      </c>
      <c r="SFN613" s="5" t="s">
        <v>3728</v>
      </c>
      <c r="SFO613" s="17">
        <v>44925</v>
      </c>
      <c r="SFP613" s="5" t="s">
        <v>3728</v>
      </c>
      <c r="SFQ613" s="17">
        <v>44925</v>
      </c>
      <c r="SFR613" s="5" t="s">
        <v>3728</v>
      </c>
      <c r="SFS613" s="17">
        <v>44925</v>
      </c>
      <c r="SFT613" s="5" t="s">
        <v>3728</v>
      </c>
      <c r="SFU613" s="17">
        <v>44925</v>
      </c>
      <c r="SFV613" s="5" t="s">
        <v>3728</v>
      </c>
      <c r="SFW613" s="17">
        <v>44925</v>
      </c>
      <c r="SFX613" s="5" t="s">
        <v>3728</v>
      </c>
      <c r="SFY613" s="17">
        <v>44925</v>
      </c>
      <c r="SFZ613" s="5" t="s">
        <v>3728</v>
      </c>
      <c r="SGA613" s="17">
        <v>44925</v>
      </c>
      <c r="SGB613" s="5" t="s">
        <v>3728</v>
      </c>
      <c r="SGC613" s="17">
        <v>44925</v>
      </c>
      <c r="SGD613" s="5" t="s">
        <v>3728</v>
      </c>
      <c r="SGE613" s="17">
        <v>44925</v>
      </c>
      <c r="SGF613" s="5" t="s">
        <v>3728</v>
      </c>
      <c r="SGG613" s="17">
        <v>44925</v>
      </c>
      <c r="SGH613" s="5" t="s">
        <v>3728</v>
      </c>
      <c r="SGI613" s="17">
        <v>44925</v>
      </c>
      <c r="SGJ613" s="5" t="s">
        <v>3728</v>
      </c>
      <c r="SGK613" s="17">
        <v>44925</v>
      </c>
      <c r="SGL613" s="5" t="s">
        <v>3728</v>
      </c>
      <c r="SGM613" s="17">
        <v>44925</v>
      </c>
      <c r="SGN613" s="5" t="s">
        <v>3728</v>
      </c>
      <c r="SGO613" s="17">
        <v>44925</v>
      </c>
      <c r="SGP613" s="5" t="s">
        <v>3728</v>
      </c>
      <c r="SGQ613" s="17">
        <v>44925</v>
      </c>
      <c r="SGR613" s="5" t="s">
        <v>3728</v>
      </c>
      <c r="SGS613" s="17">
        <v>44925</v>
      </c>
      <c r="SGT613" s="5" t="s">
        <v>3728</v>
      </c>
      <c r="SGU613" s="17">
        <v>44925</v>
      </c>
      <c r="SGV613" s="5" t="s">
        <v>3728</v>
      </c>
      <c r="SGW613" s="17">
        <v>44925</v>
      </c>
      <c r="SGX613" s="5" t="s">
        <v>3728</v>
      </c>
      <c r="SGY613" s="17">
        <v>44925</v>
      </c>
      <c r="SGZ613" s="5" t="s">
        <v>3728</v>
      </c>
      <c r="SHA613" s="17">
        <v>44925</v>
      </c>
      <c r="SHB613" s="5" t="s">
        <v>3728</v>
      </c>
      <c r="SHC613" s="17">
        <v>44925</v>
      </c>
      <c r="SHD613" s="5" t="s">
        <v>3728</v>
      </c>
      <c r="SHE613" s="17">
        <v>44925</v>
      </c>
      <c r="SHF613" s="5" t="s">
        <v>3728</v>
      </c>
      <c r="SHG613" s="17">
        <v>44925</v>
      </c>
      <c r="SHH613" s="5" t="s">
        <v>3728</v>
      </c>
      <c r="SHI613" s="17">
        <v>44925</v>
      </c>
      <c r="SHJ613" s="5" t="s">
        <v>3728</v>
      </c>
      <c r="SHK613" s="17">
        <v>44925</v>
      </c>
      <c r="SHL613" s="5" t="s">
        <v>3728</v>
      </c>
      <c r="SHM613" s="17">
        <v>44925</v>
      </c>
      <c r="SHN613" s="5" t="s">
        <v>3728</v>
      </c>
      <c r="SHO613" s="17">
        <v>44925</v>
      </c>
      <c r="SHP613" s="5" t="s">
        <v>3728</v>
      </c>
      <c r="SHQ613" s="17">
        <v>44925</v>
      </c>
      <c r="SHR613" s="5" t="s">
        <v>3728</v>
      </c>
      <c r="SHS613" s="17">
        <v>44925</v>
      </c>
      <c r="SHT613" s="5" t="s">
        <v>3728</v>
      </c>
      <c r="SHU613" s="17">
        <v>44925</v>
      </c>
      <c r="SHV613" s="5" t="s">
        <v>3728</v>
      </c>
      <c r="SHW613" s="17">
        <v>44925</v>
      </c>
      <c r="SHX613" s="5" t="s">
        <v>3728</v>
      </c>
      <c r="SHY613" s="17">
        <v>44925</v>
      </c>
      <c r="SHZ613" s="5" t="s">
        <v>3728</v>
      </c>
      <c r="SIA613" s="17">
        <v>44925</v>
      </c>
      <c r="SIB613" s="5" t="s">
        <v>3728</v>
      </c>
      <c r="SIC613" s="17">
        <v>44925</v>
      </c>
      <c r="SID613" s="5" t="s">
        <v>3728</v>
      </c>
      <c r="SIE613" s="17">
        <v>44925</v>
      </c>
      <c r="SIF613" s="5" t="s">
        <v>3728</v>
      </c>
      <c r="SIG613" s="17">
        <v>44925</v>
      </c>
      <c r="SIH613" s="5" t="s">
        <v>3728</v>
      </c>
      <c r="SII613" s="17">
        <v>44925</v>
      </c>
      <c r="SIJ613" s="5" t="s">
        <v>3728</v>
      </c>
      <c r="SIK613" s="17">
        <v>44925</v>
      </c>
      <c r="SIL613" s="5" t="s">
        <v>3728</v>
      </c>
      <c r="SIM613" s="17">
        <v>44925</v>
      </c>
      <c r="SIN613" s="5" t="s">
        <v>3728</v>
      </c>
      <c r="SIO613" s="17">
        <v>44925</v>
      </c>
      <c r="SIP613" s="5" t="s">
        <v>3728</v>
      </c>
      <c r="SIQ613" s="17">
        <v>44925</v>
      </c>
      <c r="SIR613" s="5" t="s">
        <v>3728</v>
      </c>
      <c r="SIS613" s="17">
        <v>44925</v>
      </c>
      <c r="SIT613" s="5" t="s">
        <v>3728</v>
      </c>
      <c r="SIU613" s="17">
        <v>44925</v>
      </c>
      <c r="SIV613" s="5" t="s">
        <v>3728</v>
      </c>
      <c r="SIW613" s="17">
        <v>44925</v>
      </c>
      <c r="SIX613" s="5" t="s">
        <v>3728</v>
      </c>
      <c r="SIY613" s="17">
        <v>44925</v>
      </c>
      <c r="SIZ613" s="5" t="s">
        <v>3728</v>
      </c>
      <c r="SJA613" s="17">
        <v>44925</v>
      </c>
      <c r="SJB613" s="5" t="s">
        <v>3728</v>
      </c>
      <c r="SJC613" s="17">
        <v>44925</v>
      </c>
      <c r="SJD613" s="5" t="s">
        <v>3728</v>
      </c>
      <c r="SJE613" s="17">
        <v>44925</v>
      </c>
      <c r="SJF613" s="5" t="s">
        <v>3728</v>
      </c>
      <c r="SJG613" s="17">
        <v>44925</v>
      </c>
      <c r="SJH613" s="5" t="s">
        <v>3728</v>
      </c>
      <c r="SJI613" s="17">
        <v>44925</v>
      </c>
      <c r="SJJ613" s="5" t="s">
        <v>3728</v>
      </c>
      <c r="SJK613" s="17">
        <v>44925</v>
      </c>
      <c r="SJL613" s="5" t="s">
        <v>3728</v>
      </c>
      <c r="SJM613" s="17">
        <v>44925</v>
      </c>
      <c r="SJN613" s="5" t="s">
        <v>3728</v>
      </c>
      <c r="SJO613" s="17">
        <v>44925</v>
      </c>
      <c r="SJP613" s="5" t="s">
        <v>3728</v>
      </c>
      <c r="SJQ613" s="17">
        <v>44925</v>
      </c>
      <c r="SJR613" s="5" t="s">
        <v>3728</v>
      </c>
      <c r="SJS613" s="17">
        <v>44925</v>
      </c>
      <c r="SJT613" s="5" t="s">
        <v>3728</v>
      </c>
      <c r="SJU613" s="17">
        <v>44925</v>
      </c>
      <c r="SJV613" s="5" t="s">
        <v>3728</v>
      </c>
      <c r="SJW613" s="17">
        <v>44925</v>
      </c>
      <c r="SJX613" s="5" t="s">
        <v>3728</v>
      </c>
      <c r="SJY613" s="17">
        <v>44925</v>
      </c>
      <c r="SJZ613" s="5" t="s">
        <v>3728</v>
      </c>
      <c r="SKA613" s="17">
        <v>44925</v>
      </c>
      <c r="SKB613" s="5" t="s">
        <v>3728</v>
      </c>
      <c r="SKC613" s="17">
        <v>44925</v>
      </c>
      <c r="SKD613" s="5" t="s">
        <v>3728</v>
      </c>
      <c r="SKE613" s="17">
        <v>44925</v>
      </c>
      <c r="SKF613" s="5" t="s">
        <v>3728</v>
      </c>
      <c r="SKG613" s="17">
        <v>44925</v>
      </c>
      <c r="SKH613" s="5" t="s">
        <v>3728</v>
      </c>
      <c r="SKI613" s="17">
        <v>44925</v>
      </c>
      <c r="SKJ613" s="5" t="s">
        <v>3728</v>
      </c>
      <c r="SKK613" s="17">
        <v>44925</v>
      </c>
      <c r="SKL613" s="5" t="s">
        <v>3728</v>
      </c>
      <c r="SKM613" s="17">
        <v>44925</v>
      </c>
      <c r="SKN613" s="5" t="s">
        <v>3728</v>
      </c>
      <c r="SKO613" s="17">
        <v>44925</v>
      </c>
      <c r="SKP613" s="5" t="s">
        <v>3728</v>
      </c>
      <c r="SKQ613" s="17">
        <v>44925</v>
      </c>
      <c r="SKR613" s="5" t="s">
        <v>3728</v>
      </c>
      <c r="SKS613" s="17">
        <v>44925</v>
      </c>
      <c r="SKT613" s="5" t="s">
        <v>3728</v>
      </c>
      <c r="SKU613" s="17">
        <v>44925</v>
      </c>
      <c r="SKV613" s="5" t="s">
        <v>3728</v>
      </c>
      <c r="SKW613" s="17">
        <v>44925</v>
      </c>
      <c r="SKX613" s="5" t="s">
        <v>3728</v>
      </c>
      <c r="SKY613" s="17">
        <v>44925</v>
      </c>
      <c r="SKZ613" s="5" t="s">
        <v>3728</v>
      </c>
      <c r="SLA613" s="17">
        <v>44925</v>
      </c>
      <c r="SLB613" s="5" t="s">
        <v>3728</v>
      </c>
      <c r="SLC613" s="17">
        <v>44925</v>
      </c>
      <c r="SLD613" s="5" t="s">
        <v>3728</v>
      </c>
      <c r="SLE613" s="17">
        <v>44925</v>
      </c>
      <c r="SLF613" s="5" t="s">
        <v>3728</v>
      </c>
      <c r="SLG613" s="17">
        <v>44925</v>
      </c>
      <c r="SLH613" s="5" t="s">
        <v>3728</v>
      </c>
      <c r="SLI613" s="17">
        <v>44925</v>
      </c>
      <c r="SLJ613" s="5" t="s">
        <v>3728</v>
      </c>
      <c r="SLK613" s="17">
        <v>44925</v>
      </c>
      <c r="SLL613" s="5" t="s">
        <v>3728</v>
      </c>
      <c r="SLM613" s="17">
        <v>44925</v>
      </c>
      <c r="SLN613" s="5" t="s">
        <v>3728</v>
      </c>
      <c r="SLO613" s="17">
        <v>44925</v>
      </c>
      <c r="SLP613" s="5" t="s">
        <v>3728</v>
      </c>
      <c r="SLQ613" s="17">
        <v>44925</v>
      </c>
      <c r="SLR613" s="5" t="s">
        <v>3728</v>
      </c>
      <c r="SLS613" s="17">
        <v>44925</v>
      </c>
      <c r="SLT613" s="5" t="s">
        <v>3728</v>
      </c>
      <c r="SLU613" s="17">
        <v>44925</v>
      </c>
      <c r="SLV613" s="5" t="s">
        <v>3728</v>
      </c>
      <c r="SLW613" s="17">
        <v>44925</v>
      </c>
      <c r="SLX613" s="5" t="s">
        <v>3728</v>
      </c>
      <c r="SLY613" s="17">
        <v>44925</v>
      </c>
      <c r="SLZ613" s="5" t="s">
        <v>3728</v>
      </c>
      <c r="SMA613" s="17">
        <v>44925</v>
      </c>
      <c r="SMB613" s="5" t="s">
        <v>3728</v>
      </c>
      <c r="SMC613" s="17">
        <v>44925</v>
      </c>
      <c r="SMD613" s="5" t="s">
        <v>3728</v>
      </c>
      <c r="SME613" s="17">
        <v>44925</v>
      </c>
      <c r="SMF613" s="5" t="s">
        <v>3728</v>
      </c>
      <c r="SMG613" s="17">
        <v>44925</v>
      </c>
      <c r="SMH613" s="5" t="s">
        <v>3728</v>
      </c>
      <c r="SMI613" s="17">
        <v>44925</v>
      </c>
      <c r="SMJ613" s="5" t="s">
        <v>3728</v>
      </c>
      <c r="SMK613" s="17">
        <v>44925</v>
      </c>
      <c r="SML613" s="5" t="s">
        <v>3728</v>
      </c>
      <c r="SMM613" s="17">
        <v>44925</v>
      </c>
      <c r="SMN613" s="5" t="s">
        <v>3728</v>
      </c>
      <c r="SMO613" s="17">
        <v>44925</v>
      </c>
      <c r="SMP613" s="5" t="s">
        <v>3728</v>
      </c>
      <c r="SMQ613" s="17">
        <v>44925</v>
      </c>
      <c r="SMR613" s="5" t="s">
        <v>3728</v>
      </c>
      <c r="SMS613" s="17">
        <v>44925</v>
      </c>
      <c r="SMT613" s="5" t="s">
        <v>3728</v>
      </c>
      <c r="SMU613" s="17">
        <v>44925</v>
      </c>
      <c r="SMV613" s="5" t="s">
        <v>3728</v>
      </c>
      <c r="SMW613" s="17">
        <v>44925</v>
      </c>
      <c r="SMX613" s="5" t="s">
        <v>3728</v>
      </c>
      <c r="SMY613" s="17">
        <v>44925</v>
      </c>
      <c r="SMZ613" s="5" t="s">
        <v>3728</v>
      </c>
      <c r="SNA613" s="17">
        <v>44925</v>
      </c>
      <c r="SNB613" s="5" t="s">
        <v>3728</v>
      </c>
      <c r="SNC613" s="17">
        <v>44925</v>
      </c>
      <c r="SND613" s="5" t="s">
        <v>3728</v>
      </c>
      <c r="SNE613" s="17">
        <v>44925</v>
      </c>
      <c r="SNF613" s="5" t="s">
        <v>3728</v>
      </c>
      <c r="SNG613" s="17">
        <v>44925</v>
      </c>
      <c r="SNH613" s="5" t="s">
        <v>3728</v>
      </c>
      <c r="SNI613" s="17">
        <v>44925</v>
      </c>
      <c r="SNJ613" s="5" t="s">
        <v>3728</v>
      </c>
      <c r="SNK613" s="17">
        <v>44925</v>
      </c>
      <c r="SNL613" s="5" t="s">
        <v>3728</v>
      </c>
      <c r="SNM613" s="17">
        <v>44925</v>
      </c>
      <c r="SNN613" s="5" t="s">
        <v>3728</v>
      </c>
      <c r="SNO613" s="17">
        <v>44925</v>
      </c>
      <c r="SNP613" s="5" t="s">
        <v>3728</v>
      </c>
      <c r="SNQ613" s="17">
        <v>44925</v>
      </c>
      <c r="SNR613" s="5" t="s">
        <v>3728</v>
      </c>
      <c r="SNS613" s="17">
        <v>44925</v>
      </c>
      <c r="SNT613" s="5" t="s">
        <v>3728</v>
      </c>
      <c r="SNU613" s="17">
        <v>44925</v>
      </c>
      <c r="SNV613" s="5" t="s">
        <v>3728</v>
      </c>
      <c r="SNW613" s="17">
        <v>44925</v>
      </c>
      <c r="SNX613" s="5" t="s">
        <v>3728</v>
      </c>
      <c r="SNY613" s="17">
        <v>44925</v>
      </c>
      <c r="SNZ613" s="5" t="s">
        <v>3728</v>
      </c>
      <c r="SOA613" s="17">
        <v>44925</v>
      </c>
      <c r="SOB613" s="5" t="s">
        <v>3728</v>
      </c>
      <c r="SOC613" s="17">
        <v>44925</v>
      </c>
      <c r="SOD613" s="5" t="s">
        <v>3728</v>
      </c>
      <c r="SOE613" s="17">
        <v>44925</v>
      </c>
      <c r="SOF613" s="5" t="s">
        <v>3728</v>
      </c>
      <c r="SOG613" s="17">
        <v>44925</v>
      </c>
      <c r="SOH613" s="5" t="s">
        <v>3728</v>
      </c>
      <c r="SOI613" s="17">
        <v>44925</v>
      </c>
      <c r="SOJ613" s="5" t="s">
        <v>3728</v>
      </c>
      <c r="SOK613" s="17">
        <v>44925</v>
      </c>
      <c r="SOL613" s="5" t="s">
        <v>3728</v>
      </c>
      <c r="SOM613" s="17">
        <v>44925</v>
      </c>
      <c r="SON613" s="5" t="s">
        <v>3728</v>
      </c>
      <c r="SOO613" s="17">
        <v>44925</v>
      </c>
      <c r="SOP613" s="5" t="s">
        <v>3728</v>
      </c>
      <c r="SOQ613" s="17">
        <v>44925</v>
      </c>
      <c r="SOR613" s="5" t="s">
        <v>3728</v>
      </c>
      <c r="SOS613" s="17">
        <v>44925</v>
      </c>
      <c r="SOT613" s="5" t="s">
        <v>3728</v>
      </c>
      <c r="SOU613" s="17">
        <v>44925</v>
      </c>
      <c r="SOV613" s="5" t="s">
        <v>3728</v>
      </c>
      <c r="SOW613" s="17">
        <v>44925</v>
      </c>
      <c r="SOX613" s="5" t="s">
        <v>3728</v>
      </c>
      <c r="SOY613" s="17">
        <v>44925</v>
      </c>
      <c r="SOZ613" s="5" t="s">
        <v>3728</v>
      </c>
      <c r="SPA613" s="17">
        <v>44925</v>
      </c>
      <c r="SPB613" s="5" t="s">
        <v>3728</v>
      </c>
      <c r="SPC613" s="17">
        <v>44925</v>
      </c>
      <c r="SPD613" s="5" t="s">
        <v>3728</v>
      </c>
      <c r="SPE613" s="17">
        <v>44925</v>
      </c>
      <c r="SPF613" s="5" t="s">
        <v>3728</v>
      </c>
      <c r="SPG613" s="17">
        <v>44925</v>
      </c>
      <c r="SPH613" s="5" t="s">
        <v>3728</v>
      </c>
      <c r="SPI613" s="17">
        <v>44925</v>
      </c>
      <c r="SPJ613" s="5" t="s">
        <v>3728</v>
      </c>
      <c r="SPK613" s="17">
        <v>44925</v>
      </c>
      <c r="SPL613" s="5" t="s">
        <v>3728</v>
      </c>
      <c r="SPM613" s="17">
        <v>44925</v>
      </c>
      <c r="SPN613" s="5" t="s">
        <v>3728</v>
      </c>
      <c r="SPO613" s="17">
        <v>44925</v>
      </c>
      <c r="SPP613" s="5" t="s">
        <v>3728</v>
      </c>
      <c r="SPQ613" s="17">
        <v>44925</v>
      </c>
      <c r="SPR613" s="5" t="s">
        <v>3728</v>
      </c>
      <c r="SPS613" s="17">
        <v>44925</v>
      </c>
      <c r="SPT613" s="5" t="s">
        <v>3728</v>
      </c>
      <c r="SPU613" s="17">
        <v>44925</v>
      </c>
      <c r="SPV613" s="5" t="s">
        <v>3728</v>
      </c>
      <c r="SPW613" s="17">
        <v>44925</v>
      </c>
      <c r="SPX613" s="5" t="s">
        <v>3728</v>
      </c>
      <c r="SPY613" s="17">
        <v>44925</v>
      </c>
      <c r="SPZ613" s="5" t="s">
        <v>3728</v>
      </c>
      <c r="SQA613" s="17">
        <v>44925</v>
      </c>
      <c r="SQB613" s="5" t="s">
        <v>3728</v>
      </c>
      <c r="SQC613" s="17">
        <v>44925</v>
      </c>
      <c r="SQD613" s="5" t="s">
        <v>3728</v>
      </c>
      <c r="SQE613" s="17">
        <v>44925</v>
      </c>
      <c r="SQF613" s="5" t="s">
        <v>3728</v>
      </c>
      <c r="SQG613" s="17">
        <v>44925</v>
      </c>
      <c r="SQH613" s="5" t="s">
        <v>3728</v>
      </c>
      <c r="SQI613" s="17">
        <v>44925</v>
      </c>
      <c r="SQJ613" s="5" t="s">
        <v>3728</v>
      </c>
      <c r="SQK613" s="17">
        <v>44925</v>
      </c>
      <c r="SQL613" s="5" t="s">
        <v>3728</v>
      </c>
      <c r="SQM613" s="17">
        <v>44925</v>
      </c>
      <c r="SQN613" s="5" t="s">
        <v>3728</v>
      </c>
      <c r="SQO613" s="17">
        <v>44925</v>
      </c>
      <c r="SQP613" s="5" t="s">
        <v>3728</v>
      </c>
      <c r="SQQ613" s="17">
        <v>44925</v>
      </c>
      <c r="SQR613" s="5" t="s">
        <v>3728</v>
      </c>
      <c r="SQS613" s="17">
        <v>44925</v>
      </c>
      <c r="SQT613" s="5" t="s">
        <v>3728</v>
      </c>
      <c r="SQU613" s="17">
        <v>44925</v>
      </c>
      <c r="SQV613" s="5" t="s">
        <v>3728</v>
      </c>
      <c r="SQW613" s="17">
        <v>44925</v>
      </c>
      <c r="SQX613" s="5" t="s">
        <v>3728</v>
      </c>
      <c r="SQY613" s="17">
        <v>44925</v>
      </c>
      <c r="SQZ613" s="5" t="s">
        <v>3728</v>
      </c>
      <c r="SRA613" s="17">
        <v>44925</v>
      </c>
      <c r="SRB613" s="5" t="s">
        <v>3728</v>
      </c>
      <c r="SRC613" s="17">
        <v>44925</v>
      </c>
      <c r="SRD613" s="5" t="s">
        <v>3728</v>
      </c>
      <c r="SRE613" s="17">
        <v>44925</v>
      </c>
      <c r="SRF613" s="5" t="s">
        <v>3728</v>
      </c>
      <c r="SRG613" s="17">
        <v>44925</v>
      </c>
      <c r="SRH613" s="5" t="s">
        <v>3728</v>
      </c>
      <c r="SRI613" s="17">
        <v>44925</v>
      </c>
      <c r="SRJ613" s="5" t="s">
        <v>3728</v>
      </c>
      <c r="SRK613" s="17">
        <v>44925</v>
      </c>
      <c r="SRL613" s="5" t="s">
        <v>3728</v>
      </c>
      <c r="SRM613" s="17">
        <v>44925</v>
      </c>
      <c r="SRN613" s="5" t="s">
        <v>3728</v>
      </c>
      <c r="SRO613" s="17">
        <v>44925</v>
      </c>
      <c r="SRP613" s="5" t="s">
        <v>3728</v>
      </c>
      <c r="SRQ613" s="17">
        <v>44925</v>
      </c>
      <c r="SRR613" s="5" t="s">
        <v>3728</v>
      </c>
      <c r="SRS613" s="17">
        <v>44925</v>
      </c>
      <c r="SRT613" s="5" t="s">
        <v>3728</v>
      </c>
      <c r="SRU613" s="17">
        <v>44925</v>
      </c>
      <c r="SRV613" s="5" t="s">
        <v>3728</v>
      </c>
      <c r="SRW613" s="17">
        <v>44925</v>
      </c>
      <c r="SRX613" s="5" t="s">
        <v>3728</v>
      </c>
      <c r="SRY613" s="17">
        <v>44925</v>
      </c>
      <c r="SRZ613" s="5" t="s">
        <v>3728</v>
      </c>
      <c r="SSA613" s="17">
        <v>44925</v>
      </c>
      <c r="SSB613" s="5" t="s">
        <v>3728</v>
      </c>
      <c r="SSC613" s="17">
        <v>44925</v>
      </c>
      <c r="SSD613" s="5" t="s">
        <v>3728</v>
      </c>
      <c r="SSE613" s="17">
        <v>44925</v>
      </c>
      <c r="SSF613" s="5" t="s">
        <v>3728</v>
      </c>
      <c r="SSG613" s="17">
        <v>44925</v>
      </c>
      <c r="SSH613" s="5" t="s">
        <v>3728</v>
      </c>
      <c r="SSI613" s="17">
        <v>44925</v>
      </c>
      <c r="SSJ613" s="5" t="s">
        <v>3728</v>
      </c>
      <c r="SSK613" s="17">
        <v>44925</v>
      </c>
      <c r="SSL613" s="5" t="s">
        <v>3728</v>
      </c>
      <c r="SSM613" s="17">
        <v>44925</v>
      </c>
      <c r="SSN613" s="5" t="s">
        <v>3728</v>
      </c>
      <c r="SSO613" s="17">
        <v>44925</v>
      </c>
      <c r="SSP613" s="5" t="s">
        <v>3728</v>
      </c>
      <c r="SSQ613" s="17">
        <v>44925</v>
      </c>
      <c r="SSR613" s="5" t="s">
        <v>3728</v>
      </c>
      <c r="SSS613" s="17">
        <v>44925</v>
      </c>
      <c r="SST613" s="5" t="s">
        <v>3728</v>
      </c>
      <c r="SSU613" s="17">
        <v>44925</v>
      </c>
      <c r="SSV613" s="5" t="s">
        <v>3728</v>
      </c>
      <c r="SSW613" s="17">
        <v>44925</v>
      </c>
      <c r="SSX613" s="5" t="s">
        <v>3728</v>
      </c>
      <c r="SSY613" s="17">
        <v>44925</v>
      </c>
      <c r="SSZ613" s="5" t="s">
        <v>3728</v>
      </c>
      <c r="STA613" s="17">
        <v>44925</v>
      </c>
      <c r="STB613" s="5" t="s">
        <v>3728</v>
      </c>
      <c r="STC613" s="17">
        <v>44925</v>
      </c>
      <c r="STD613" s="5" t="s">
        <v>3728</v>
      </c>
      <c r="STE613" s="17">
        <v>44925</v>
      </c>
      <c r="STF613" s="5" t="s">
        <v>3728</v>
      </c>
      <c r="STG613" s="17">
        <v>44925</v>
      </c>
      <c r="STH613" s="5" t="s">
        <v>3728</v>
      </c>
      <c r="STI613" s="17">
        <v>44925</v>
      </c>
      <c r="STJ613" s="5" t="s">
        <v>3728</v>
      </c>
      <c r="STK613" s="17">
        <v>44925</v>
      </c>
      <c r="STL613" s="5" t="s">
        <v>3728</v>
      </c>
      <c r="STM613" s="17">
        <v>44925</v>
      </c>
      <c r="STN613" s="5" t="s">
        <v>3728</v>
      </c>
      <c r="STO613" s="17">
        <v>44925</v>
      </c>
      <c r="STP613" s="5" t="s">
        <v>3728</v>
      </c>
      <c r="STQ613" s="17">
        <v>44925</v>
      </c>
      <c r="STR613" s="5" t="s">
        <v>3728</v>
      </c>
      <c r="STS613" s="17">
        <v>44925</v>
      </c>
      <c r="STT613" s="5" t="s">
        <v>3728</v>
      </c>
      <c r="STU613" s="17">
        <v>44925</v>
      </c>
      <c r="STV613" s="5" t="s">
        <v>3728</v>
      </c>
      <c r="STW613" s="17">
        <v>44925</v>
      </c>
      <c r="STX613" s="5" t="s">
        <v>3728</v>
      </c>
      <c r="STY613" s="17">
        <v>44925</v>
      </c>
      <c r="STZ613" s="5" t="s">
        <v>3728</v>
      </c>
      <c r="SUA613" s="17">
        <v>44925</v>
      </c>
      <c r="SUB613" s="5" t="s">
        <v>3728</v>
      </c>
      <c r="SUC613" s="17">
        <v>44925</v>
      </c>
      <c r="SUD613" s="5" t="s">
        <v>3728</v>
      </c>
      <c r="SUE613" s="17">
        <v>44925</v>
      </c>
      <c r="SUF613" s="5" t="s">
        <v>3728</v>
      </c>
      <c r="SUG613" s="17">
        <v>44925</v>
      </c>
      <c r="SUH613" s="5" t="s">
        <v>3728</v>
      </c>
      <c r="SUI613" s="17">
        <v>44925</v>
      </c>
      <c r="SUJ613" s="5" t="s">
        <v>3728</v>
      </c>
      <c r="SUK613" s="17">
        <v>44925</v>
      </c>
      <c r="SUL613" s="5" t="s">
        <v>3728</v>
      </c>
      <c r="SUM613" s="17">
        <v>44925</v>
      </c>
      <c r="SUN613" s="5" t="s">
        <v>3728</v>
      </c>
      <c r="SUO613" s="17">
        <v>44925</v>
      </c>
      <c r="SUP613" s="5" t="s">
        <v>3728</v>
      </c>
      <c r="SUQ613" s="17">
        <v>44925</v>
      </c>
      <c r="SUR613" s="5" t="s">
        <v>3728</v>
      </c>
      <c r="SUS613" s="17">
        <v>44925</v>
      </c>
      <c r="SUT613" s="5" t="s">
        <v>3728</v>
      </c>
      <c r="SUU613" s="17">
        <v>44925</v>
      </c>
      <c r="SUV613" s="5" t="s">
        <v>3728</v>
      </c>
      <c r="SUW613" s="17">
        <v>44925</v>
      </c>
      <c r="SUX613" s="5" t="s">
        <v>3728</v>
      </c>
      <c r="SUY613" s="17">
        <v>44925</v>
      </c>
      <c r="SUZ613" s="5" t="s">
        <v>3728</v>
      </c>
      <c r="SVA613" s="17">
        <v>44925</v>
      </c>
      <c r="SVB613" s="5" t="s">
        <v>3728</v>
      </c>
      <c r="SVC613" s="17">
        <v>44925</v>
      </c>
      <c r="SVD613" s="5" t="s">
        <v>3728</v>
      </c>
      <c r="SVE613" s="17">
        <v>44925</v>
      </c>
      <c r="SVF613" s="5" t="s">
        <v>3728</v>
      </c>
      <c r="SVG613" s="17">
        <v>44925</v>
      </c>
      <c r="SVH613" s="5" t="s">
        <v>3728</v>
      </c>
      <c r="SVI613" s="17">
        <v>44925</v>
      </c>
      <c r="SVJ613" s="5" t="s">
        <v>3728</v>
      </c>
      <c r="SVK613" s="17">
        <v>44925</v>
      </c>
      <c r="SVL613" s="5" t="s">
        <v>3728</v>
      </c>
      <c r="SVM613" s="17">
        <v>44925</v>
      </c>
      <c r="SVN613" s="5" t="s">
        <v>3728</v>
      </c>
      <c r="SVO613" s="17">
        <v>44925</v>
      </c>
      <c r="SVP613" s="5" t="s">
        <v>3728</v>
      </c>
      <c r="SVQ613" s="17">
        <v>44925</v>
      </c>
      <c r="SVR613" s="5" t="s">
        <v>3728</v>
      </c>
      <c r="SVS613" s="17">
        <v>44925</v>
      </c>
      <c r="SVT613" s="5" t="s">
        <v>3728</v>
      </c>
      <c r="SVU613" s="17">
        <v>44925</v>
      </c>
      <c r="SVV613" s="5" t="s">
        <v>3728</v>
      </c>
      <c r="SVW613" s="17">
        <v>44925</v>
      </c>
      <c r="SVX613" s="5" t="s">
        <v>3728</v>
      </c>
      <c r="SVY613" s="17">
        <v>44925</v>
      </c>
      <c r="SVZ613" s="5" t="s">
        <v>3728</v>
      </c>
      <c r="SWA613" s="17">
        <v>44925</v>
      </c>
      <c r="SWB613" s="5" t="s">
        <v>3728</v>
      </c>
      <c r="SWC613" s="17">
        <v>44925</v>
      </c>
      <c r="SWD613" s="5" t="s">
        <v>3728</v>
      </c>
      <c r="SWE613" s="17">
        <v>44925</v>
      </c>
      <c r="SWF613" s="5" t="s">
        <v>3728</v>
      </c>
      <c r="SWG613" s="17">
        <v>44925</v>
      </c>
      <c r="SWH613" s="5" t="s">
        <v>3728</v>
      </c>
      <c r="SWI613" s="17">
        <v>44925</v>
      </c>
      <c r="SWJ613" s="5" t="s">
        <v>3728</v>
      </c>
      <c r="SWK613" s="17">
        <v>44925</v>
      </c>
      <c r="SWL613" s="5" t="s">
        <v>3728</v>
      </c>
      <c r="SWM613" s="17">
        <v>44925</v>
      </c>
      <c r="SWN613" s="5" t="s">
        <v>3728</v>
      </c>
      <c r="SWO613" s="17">
        <v>44925</v>
      </c>
      <c r="SWP613" s="5" t="s">
        <v>3728</v>
      </c>
      <c r="SWQ613" s="17">
        <v>44925</v>
      </c>
      <c r="SWR613" s="5" t="s">
        <v>3728</v>
      </c>
      <c r="SWS613" s="17">
        <v>44925</v>
      </c>
      <c r="SWT613" s="5" t="s">
        <v>3728</v>
      </c>
      <c r="SWU613" s="17">
        <v>44925</v>
      </c>
      <c r="SWV613" s="5" t="s">
        <v>3728</v>
      </c>
      <c r="SWW613" s="17">
        <v>44925</v>
      </c>
      <c r="SWX613" s="5" t="s">
        <v>3728</v>
      </c>
      <c r="SWY613" s="17">
        <v>44925</v>
      </c>
      <c r="SWZ613" s="5" t="s">
        <v>3728</v>
      </c>
      <c r="SXA613" s="17">
        <v>44925</v>
      </c>
      <c r="SXB613" s="5" t="s">
        <v>3728</v>
      </c>
      <c r="SXC613" s="17">
        <v>44925</v>
      </c>
      <c r="SXD613" s="5" t="s">
        <v>3728</v>
      </c>
      <c r="SXE613" s="17">
        <v>44925</v>
      </c>
      <c r="SXF613" s="5" t="s">
        <v>3728</v>
      </c>
      <c r="SXG613" s="17">
        <v>44925</v>
      </c>
      <c r="SXH613" s="5" t="s">
        <v>3728</v>
      </c>
      <c r="SXI613" s="17">
        <v>44925</v>
      </c>
      <c r="SXJ613" s="5" t="s">
        <v>3728</v>
      </c>
      <c r="SXK613" s="17">
        <v>44925</v>
      </c>
      <c r="SXL613" s="5" t="s">
        <v>3728</v>
      </c>
      <c r="SXM613" s="17">
        <v>44925</v>
      </c>
      <c r="SXN613" s="5" t="s">
        <v>3728</v>
      </c>
      <c r="SXO613" s="17">
        <v>44925</v>
      </c>
      <c r="SXP613" s="5" t="s">
        <v>3728</v>
      </c>
      <c r="SXQ613" s="17">
        <v>44925</v>
      </c>
      <c r="SXR613" s="5" t="s">
        <v>3728</v>
      </c>
      <c r="SXS613" s="17">
        <v>44925</v>
      </c>
      <c r="SXT613" s="5" t="s">
        <v>3728</v>
      </c>
      <c r="SXU613" s="17">
        <v>44925</v>
      </c>
      <c r="SXV613" s="5" t="s">
        <v>3728</v>
      </c>
      <c r="SXW613" s="17">
        <v>44925</v>
      </c>
      <c r="SXX613" s="5" t="s">
        <v>3728</v>
      </c>
      <c r="SXY613" s="17">
        <v>44925</v>
      </c>
      <c r="SXZ613" s="5" t="s">
        <v>3728</v>
      </c>
      <c r="SYA613" s="17">
        <v>44925</v>
      </c>
      <c r="SYB613" s="5" t="s">
        <v>3728</v>
      </c>
      <c r="SYC613" s="17">
        <v>44925</v>
      </c>
      <c r="SYD613" s="5" t="s">
        <v>3728</v>
      </c>
      <c r="SYE613" s="17">
        <v>44925</v>
      </c>
      <c r="SYF613" s="5" t="s">
        <v>3728</v>
      </c>
      <c r="SYG613" s="17">
        <v>44925</v>
      </c>
      <c r="SYH613" s="5" t="s">
        <v>3728</v>
      </c>
      <c r="SYI613" s="17">
        <v>44925</v>
      </c>
      <c r="SYJ613" s="5" t="s">
        <v>3728</v>
      </c>
      <c r="SYK613" s="17">
        <v>44925</v>
      </c>
      <c r="SYL613" s="5" t="s">
        <v>3728</v>
      </c>
      <c r="SYM613" s="17">
        <v>44925</v>
      </c>
      <c r="SYN613" s="5" t="s">
        <v>3728</v>
      </c>
      <c r="SYO613" s="17">
        <v>44925</v>
      </c>
      <c r="SYP613" s="5" t="s">
        <v>3728</v>
      </c>
      <c r="SYQ613" s="17">
        <v>44925</v>
      </c>
      <c r="SYR613" s="5" t="s">
        <v>3728</v>
      </c>
      <c r="SYS613" s="17">
        <v>44925</v>
      </c>
      <c r="SYT613" s="5" t="s">
        <v>3728</v>
      </c>
      <c r="SYU613" s="17">
        <v>44925</v>
      </c>
      <c r="SYV613" s="5" t="s">
        <v>3728</v>
      </c>
      <c r="SYW613" s="17">
        <v>44925</v>
      </c>
      <c r="SYX613" s="5" t="s">
        <v>3728</v>
      </c>
      <c r="SYY613" s="17">
        <v>44925</v>
      </c>
      <c r="SYZ613" s="5" t="s">
        <v>3728</v>
      </c>
      <c r="SZA613" s="17">
        <v>44925</v>
      </c>
      <c r="SZB613" s="5" t="s">
        <v>3728</v>
      </c>
      <c r="SZC613" s="17">
        <v>44925</v>
      </c>
      <c r="SZD613" s="5" t="s">
        <v>3728</v>
      </c>
      <c r="SZE613" s="17">
        <v>44925</v>
      </c>
      <c r="SZF613" s="5" t="s">
        <v>3728</v>
      </c>
      <c r="SZG613" s="17">
        <v>44925</v>
      </c>
      <c r="SZH613" s="5" t="s">
        <v>3728</v>
      </c>
      <c r="SZI613" s="17">
        <v>44925</v>
      </c>
      <c r="SZJ613" s="5" t="s">
        <v>3728</v>
      </c>
      <c r="SZK613" s="17">
        <v>44925</v>
      </c>
      <c r="SZL613" s="5" t="s">
        <v>3728</v>
      </c>
      <c r="SZM613" s="17">
        <v>44925</v>
      </c>
      <c r="SZN613" s="5" t="s">
        <v>3728</v>
      </c>
      <c r="SZO613" s="17">
        <v>44925</v>
      </c>
      <c r="SZP613" s="5" t="s">
        <v>3728</v>
      </c>
      <c r="SZQ613" s="17">
        <v>44925</v>
      </c>
      <c r="SZR613" s="5" t="s">
        <v>3728</v>
      </c>
      <c r="SZS613" s="17">
        <v>44925</v>
      </c>
      <c r="SZT613" s="5" t="s">
        <v>3728</v>
      </c>
      <c r="SZU613" s="17">
        <v>44925</v>
      </c>
      <c r="SZV613" s="5" t="s">
        <v>3728</v>
      </c>
      <c r="SZW613" s="17">
        <v>44925</v>
      </c>
      <c r="SZX613" s="5" t="s">
        <v>3728</v>
      </c>
      <c r="SZY613" s="17">
        <v>44925</v>
      </c>
      <c r="SZZ613" s="5" t="s">
        <v>3728</v>
      </c>
      <c r="TAA613" s="17">
        <v>44925</v>
      </c>
      <c r="TAB613" s="5" t="s">
        <v>3728</v>
      </c>
      <c r="TAC613" s="17">
        <v>44925</v>
      </c>
      <c r="TAD613" s="5" t="s">
        <v>3728</v>
      </c>
      <c r="TAE613" s="17">
        <v>44925</v>
      </c>
      <c r="TAF613" s="5" t="s">
        <v>3728</v>
      </c>
      <c r="TAG613" s="17">
        <v>44925</v>
      </c>
      <c r="TAH613" s="5" t="s">
        <v>3728</v>
      </c>
      <c r="TAI613" s="17">
        <v>44925</v>
      </c>
      <c r="TAJ613" s="5" t="s">
        <v>3728</v>
      </c>
      <c r="TAK613" s="17">
        <v>44925</v>
      </c>
      <c r="TAL613" s="5" t="s">
        <v>3728</v>
      </c>
      <c r="TAM613" s="17">
        <v>44925</v>
      </c>
      <c r="TAN613" s="5" t="s">
        <v>3728</v>
      </c>
      <c r="TAO613" s="17">
        <v>44925</v>
      </c>
      <c r="TAP613" s="5" t="s">
        <v>3728</v>
      </c>
      <c r="TAQ613" s="17">
        <v>44925</v>
      </c>
      <c r="TAR613" s="5" t="s">
        <v>3728</v>
      </c>
      <c r="TAS613" s="17">
        <v>44925</v>
      </c>
      <c r="TAT613" s="5" t="s">
        <v>3728</v>
      </c>
      <c r="TAU613" s="17">
        <v>44925</v>
      </c>
      <c r="TAV613" s="5" t="s">
        <v>3728</v>
      </c>
      <c r="TAW613" s="17">
        <v>44925</v>
      </c>
      <c r="TAX613" s="5" t="s">
        <v>3728</v>
      </c>
      <c r="TAY613" s="17">
        <v>44925</v>
      </c>
      <c r="TAZ613" s="5" t="s">
        <v>3728</v>
      </c>
      <c r="TBA613" s="17">
        <v>44925</v>
      </c>
      <c r="TBB613" s="5" t="s">
        <v>3728</v>
      </c>
      <c r="TBC613" s="17">
        <v>44925</v>
      </c>
      <c r="TBD613" s="5" t="s">
        <v>3728</v>
      </c>
      <c r="TBE613" s="17">
        <v>44925</v>
      </c>
      <c r="TBF613" s="5" t="s">
        <v>3728</v>
      </c>
      <c r="TBG613" s="17">
        <v>44925</v>
      </c>
      <c r="TBH613" s="5" t="s">
        <v>3728</v>
      </c>
      <c r="TBI613" s="17">
        <v>44925</v>
      </c>
      <c r="TBJ613" s="5" t="s">
        <v>3728</v>
      </c>
      <c r="TBK613" s="17">
        <v>44925</v>
      </c>
      <c r="TBL613" s="5" t="s">
        <v>3728</v>
      </c>
      <c r="TBM613" s="17">
        <v>44925</v>
      </c>
      <c r="TBN613" s="5" t="s">
        <v>3728</v>
      </c>
      <c r="TBO613" s="17">
        <v>44925</v>
      </c>
      <c r="TBP613" s="5" t="s">
        <v>3728</v>
      </c>
      <c r="TBQ613" s="17">
        <v>44925</v>
      </c>
      <c r="TBR613" s="5" t="s">
        <v>3728</v>
      </c>
      <c r="TBS613" s="17">
        <v>44925</v>
      </c>
      <c r="TBT613" s="5" t="s">
        <v>3728</v>
      </c>
      <c r="TBU613" s="17">
        <v>44925</v>
      </c>
      <c r="TBV613" s="5" t="s">
        <v>3728</v>
      </c>
      <c r="TBW613" s="17">
        <v>44925</v>
      </c>
      <c r="TBX613" s="5" t="s">
        <v>3728</v>
      </c>
      <c r="TBY613" s="17">
        <v>44925</v>
      </c>
      <c r="TBZ613" s="5" t="s">
        <v>3728</v>
      </c>
      <c r="TCA613" s="17">
        <v>44925</v>
      </c>
      <c r="TCB613" s="5" t="s">
        <v>3728</v>
      </c>
      <c r="TCC613" s="17">
        <v>44925</v>
      </c>
      <c r="TCD613" s="5" t="s">
        <v>3728</v>
      </c>
      <c r="TCE613" s="17">
        <v>44925</v>
      </c>
      <c r="TCF613" s="5" t="s">
        <v>3728</v>
      </c>
      <c r="TCG613" s="17">
        <v>44925</v>
      </c>
      <c r="TCH613" s="5" t="s">
        <v>3728</v>
      </c>
      <c r="TCI613" s="17">
        <v>44925</v>
      </c>
      <c r="TCJ613" s="5" t="s">
        <v>3728</v>
      </c>
      <c r="TCK613" s="17">
        <v>44925</v>
      </c>
      <c r="TCL613" s="5" t="s">
        <v>3728</v>
      </c>
      <c r="TCM613" s="17">
        <v>44925</v>
      </c>
      <c r="TCN613" s="5" t="s">
        <v>3728</v>
      </c>
      <c r="TCO613" s="17">
        <v>44925</v>
      </c>
      <c r="TCP613" s="5" t="s">
        <v>3728</v>
      </c>
      <c r="TCQ613" s="17">
        <v>44925</v>
      </c>
      <c r="TCR613" s="5" t="s">
        <v>3728</v>
      </c>
      <c r="TCS613" s="17">
        <v>44925</v>
      </c>
      <c r="TCT613" s="5" t="s">
        <v>3728</v>
      </c>
      <c r="TCU613" s="17">
        <v>44925</v>
      </c>
      <c r="TCV613" s="5" t="s">
        <v>3728</v>
      </c>
      <c r="TCW613" s="17">
        <v>44925</v>
      </c>
      <c r="TCX613" s="5" t="s">
        <v>3728</v>
      </c>
      <c r="TCY613" s="17">
        <v>44925</v>
      </c>
      <c r="TCZ613" s="5" t="s">
        <v>3728</v>
      </c>
      <c r="TDA613" s="17">
        <v>44925</v>
      </c>
      <c r="TDB613" s="5" t="s">
        <v>3728</v>
      </c>
      <c r="TDC613" s="17">
        <v>44925</v>
      </c>
      <c r="TDD613" s="5" t="s">
        <v>3728</v>
      </c>
      <c r="TDE613" s="17">
        <v>44925</v>
      </c>
      <c r="TDF613" s="5" t="s">
        <v>3728</v>
      </c>
      <c r="TDG613" s="17">
        <v>44925</v>
      </c>
      <c r="TDH613" s="5" t="s">
        <v>3728</v>
      </c>
      <c r="TDI613" s="17">
        <v>44925</v>
      </c>
      <c r="TDJ613" s="5" t="s">
        <v>3728</v>
      </c>
      <c r="TDK613" s="17">
        <v>44925</v>
      </c>
      <c r="TDL613" s="5" t="s">
        <v>3728</v>
      </c>
      <c r="TDM613" s="17">
        <v>44925</v>
      </c>
      <c r="TDN613" s="5" t="s">
        <v>3728</v>
      </c>
      <c r="TDO613" s="17">
        <v>44925</v>
      </c>
      <c r="TDP613" s="5" t="s">
        <v>3728</v>
      </c>
      <c r="TDQ613" s="17">
        <v>44925</v>
      </c>
      <c r="TDR613" s="5" t="s">
        <v>3728</v>
      </c>
      <c r="TDS613" s="17">
        <v>44925</v>
      </c>
      <c r="TDT613" s="5" t="s">
        <v>3728</v>
      </c>
      <c r="TDU613" s="17">
        <v>44925</v>
      </c>
      <c r="TDV613" s="5" t="s">
        <v>3728</v>
      </c>
      <c r="TDW613" s="17">
        <v>44925</v>
      </c>
      <c r="TDX613" s="5" t="s">
        <v>3728</v>
      </c>
      <c r="TDY613" s="17">
        <v>44925</v>
      </c>
      <c r="TDZ613" s="5" t="s">
        <v>3728</v>
      </c>
      <c r="TEA613" s="17">
        <v>44925</v>
      </c>
      <c r="TEB613" s="5" t="s">
        <v>3728</v>
      </c>
      <c r="TEC613" s="17">
        <v>44925</v>
      </c>
      <c r="TED613" s="5" t="s">
        <v>3728</v>
      </c>
      <c r="TEE613" s="17">
        <v>44925</v>
      </c>
      <c r="TEF613" s="5" t="s">
        <v>3728</v>
      </c>
      <c r="TEG613" s="17">
        <v>44925</v>
      </c>
      <c r="TEH613" s="5" t="s">
        <v>3728</v>
      </c>
      <c r="TEI613" s="17">
        <v>44925</v>
      </c>
      <c r="TEJ613" s="5" t="s">
        <v>3728</v>
      </c>
      <c r="TEK613" s="17">
        <v>44925</v>
      </c>
      <c r="TEL613" s="5" t="s">
        <v>3728</v>
      </c>
      <c r="TEM613" s="17">
        <v>44925</v>
      </c>
      <c r="TEN613" s="5" t="s">
        <v>3728</v>
      </c>
      <c r="TEO613" s="17">
        <v>44925</v>
      </c>
      <c r="TEP613" s="5" t="s">
        <v>3728</v>
      </c>
      <c r="TEQ613" s="17">
        <v>44925</v>
      </c>
      <c r="TER613" s="5" t="s">
        <v>3728</v>
      </c>
      <c r="TES613" s="17">
        <v>44925</v>
      </c>
      <c r="TET613" s="5" t="s">
        <v>3728</v>
      </c>
      <c r="TEU613" s="17">
        <v>44925</v>
      </c>
      <c r="TEV613" s="5" t="s">
        <v>3728</v>
      </c>
      <c r="TEW613" s="17">
        <v>44925</v>
      </c>
      <c r="TEX613" s="5" t="s">
        <v>3728</v>
      </c>
      <c r="TEY613" s="17">
        <v>44925</v>
      </c>
      <c r="TEZ613" s="5" t="s">
        <v>3728</v>
      </c>
      <c r="TFA613" s="17">
        <v>44925</v>
      </c>
      <c r="TFB613" s="5" t="s">
        <v>3728</v>
      </c>
      <c r="TFC613" s="17">
        <v>44925</v>
      </c>
      <c r="TFD613" s="5" t="s">
        <v>3728</v>
      </c>
      <c r="TFE613" s="17">
        <v>44925</v>
      </c>
      <c r="TFF613" s="5" t="s">
        <v>3728</v>
      </c>
      <c r="TFG613" s="17">
        <v>44925</v>
      </c>
      <c r="TFH613" s="5" t="s">
        <v>3728</v>
      </c>
      <c r="TFI613" s="17">
        <v>44925</v>
      </c>
      <c r="TFJ613" s="5" t="s">
        <v>3728</v>
      </c>
      <c r="TFK613" s="17">
        <v>44925</v>
      </c>
      <c r="TFL613" s="5" t="s">
        <v>3728</v>
      </c>
      <c r="TFM613" s="17">
        <v>44925</v>
      </c>
      <c r="TFN613" s="5" t="s">
        <v>3728</v>
      </c>
      <c r="TFO613" s="17">
        <v>44925</v>
      </c>
      <c r="TFP613" s="5" t="s">
        <v>3728</v>
      </c>
      <c r="TFQ613" s="17">
        <v>44925</v>
      </c>
      <c r="TFR613" s="5" t="s">
        <v>3728</v>
      </c>
      <c r="TFS613" s="17">
        <v>44925</v>
      </c>
      <c r="TFT613" s="5" t="s">
        <v>3728</v>
      </c>
      <c r="TFU613" s="17">
        <v>44925</v>
      </c>
      <c r="TFV613" s="5" t="s">
        <v>3728</v>
      </c>
      <c r="TFW613" s="17">
        <v>44925</v>
      </c>
      <c r="TFX613" s="5" t="s">
        <v>3728</v>
      </c>
      <c r="TFY613" s="17">
        <v>44925</v>
      </c>
      <c r="TFZ613" s="5" t="s">
        <v>3728</v>
      </c>
      <c r="TGA613" s="17">
        <v>44925</v>
      </c>
      <c r="TGB613" s="5" t="s">
        <v>3728</v>
      </c>
      <c r="TGC613" s="17">
        <v>44925</v>
      </c>
      <c r="TGD613" s="5" t="s">
        <v>3728</v>
      </c>
      <c r="TGE613" s="17">
        <v>44925</v>
      </c>
      <c r="TGF613" s="5" t="s">
        <v>3728</v>
      </c>
      <c r="TGG613" s="17">
        <v>44925</v>
      </c>
      <c r="TGH613" s="5" t="s">
        <v>3728</v>
      </c>
      <c r="TGI613" s="17">
        <v>44925</v>
      </c>
      <c r="TGJ613" s="5" t="s">
        <v>3728</v>
      </c>
      <c r="TGK613" s="17">
        <v>44925</v>
      </c>
      <c r="TGL613" s="5" t="s">
        <v>3728</v>
      </c>
      <c r="TGM613" s="17">
        <v>44925</v>
      </c>
      <c r="TGN613" s="5" t="s">
        <v>3728</v>
      </c>
      <c r="TGO613" s="17">
        <v>44925</v>
      </c>
      <c r="TGP613" s="5" t="s">
        <v>3728</v>
      </c>
      <c r="TGQ613" s="17">
        <v>44925</v>
      </c>
      <c r="TGR613" s="5" t="s">
        <v>3728</v>
      </c>
      <c r="TGS613" s="17">
        <v>44925</v>
      </c>
      <c r="TGT613" s="5" t="s">
        <v>3728</v>
      </c>
      <c r="TGU613" s="17">
        <v>44925</v>
      </c>
      <c r="TGV613" s="5" t="s">
        <v>3728</v>
      </c>
      <c r="TGW613" s="17">
        <v>44925</v>
      </c>
      <c r="TGX613" s="5" t="s">
        <v>3728</v>
      </c>
      <c r="TGY613" s="17">
        <v>44925</v>
      </c>
      <c r="TGZ613" s="5" t="s">
        <v>3728</v>
      </c>
      <c r="THA613" s="17">
        <v>44925</v>
      </c>
      <c r="THB613" s="5" t="s">
        <v>3728</v>
      </c>
      <c r="THC613" s="17">
        <v>44925</v>
      </c>
      <c r="THD613" s="5" t="s">
        <v>3728</v>
      </c>
      <c r="THE613" s="17">
        <v>44925</v>
      </c>
      <c r="THF613" s="5" t="s">
        <v>3728</v>
      </c>
      <c r="THG613" s="17">
        <v>44925</v>
      </c>
      <c r="THH613" s="5" t="s">
        <v>3728</v>
      </c>
      <c r="THI613" s="17">
        <v>44925</v>
      </c>
      <c r="THJ613" s="5" t="s">
        <v>3728</v>
      </c>
      <c r="THK613" s="17">
        <v>44925</v>
      </c>
      <c r="THL613" s="5" t="s">
        <v>3728</v>
      </c>
      <c r="THM613" s="17">
        <v>44925</v>
      </c>
      <c r="THN613" s="5" t="s">
        <v>3728</v>
      </c>
      <c r="THO613" s="17">
        <v>44925</v>
      </c>
      <c r="THP613" s="5" t="s">
        <v>3728</v>
      </c>
      <c r="THQ613" s="17">
        <v>44925</v>
      </c>
      <c r="THR613" s="5" t="s">
        <v>3728</v>
      </c>
      <c r="THS613" s="17">
        <v>44925</v>
      </c>
      <c r="THT613" s="5" t="s">
        <v>3728</v>
      </c>
      <c r="THU613" s="17">
        <v>44925</v>
      </c>
      <c r="THV613" s="5" t="s">
        <v>3728</v>
      </c>
      <c r="THW613" s="17">
        <v>44925</v>
      </c>
      <c r="THX613" s="5" t="s">
        <v>3728</v>
      </c>
      <c r="THY613" s="17">
        <v>44925</v>
      </c>
      <c r="THZ613" s="5" t="s">
        <v>3728</v>
      </c>
      <c r="TIA613" s="17">
        <v>44925</v>
      </c>
      <c r="TIB613" s="5" t="s">
        <v>3728</v>
      </c>
      <c r="TIC613" s="17">
        <v>44925</v>
      </c>
      <c r="TID613" s="5" t="s">
        <v>3728</v>
      </c>
      <c r="TIE613" s="17">
        <v>44925</v>
      </c>
      <c r="TIF613" s="5" t="s">
        <v>3728</v>
      </c>
      <c r="TIG613" s="17">
        <v>44925</v>
      </c>
      <c r="TIH613" s="5" t="s">
        <v>3728</v>
      </c>
      <c r="TII613" s="17">
        <v>44925</v>
      </c>
      <c r="TIJ613" s="5" t="s">
        <v>3728</v>
      </c>
      <c r="TIK613" s="17">
        <v>44925</v>
      </c>
      <c r="TIL613" s="5" t="s">
        <v>3728</v>
      </c>
      <c r="TIM613" s="17">
        <v>44925</v>
      </c>
      <c r="TIN613" s="5" t="s">
        <v>3728</v>
      </c>
      <c r="TIO613" s="17">
        <v>44925</v>
      </c>
      <c r="TIP613" s="5" t="s">
        <v>3728</v>
      </c>
      <c r="TIQ613" s="17">
        <v>44925</v>
      </c>
      <c r="TIR613" s="5" t="s">
        <v>3728</v>
      </c>
      <c r="TIS613" s="17">
        <v>44925</v>
      </c>
      <c r="TIT613" s="5" t="s">
        <v>3728</v>
      </c>
      <c r="TIU613" s="17">
        <v>44925</v>
      </c>
      <c r="TIV613" s="5" t="s">
        <v>3728</v>
      </c>
      <c r="TIW613" s="17">
        <v>44925</v>
      </c>
      <c r="TIX613" s="5" t="s">
        <v>3728</v>
      </c>
      <c r="TIY613" s="17">
        <v>44925</v>
      </c>
      <c r="TIZ613" s="5" t="s">
        <v>3728</v>
      </c>
      <c r="TJA613" s="17">
        <v>44925</v>
      </c>
      <c r="TJB613" s="5" t="s">
        <v>3728</v>
      </c>
      <c r="TJC613" s="17">
        <v>44925</v>
      </c>
      <c r="TJD613" s="5" t="s">
        <v>3728</v>
      </c>
      <c r="TJE613" s="17">
        <v>44925</v>
      </c>
      <c r="TJF613" s="5" t="s">
        <v>3728</v>
      </c>
      <c r="TJG613" s="17">
        <v>44925</v>
      </c>
      <c r="TJH613" s="5" t="s">
        <v>3728</v>
      </c>
      <c r="TJI613" s="17">
        <v>44925</v>
      </c>
      <c r="TJJ613" s="5" t="s">
        <v>3728</v>
      </c>
      <c r="TJK613" s="17">
        <v>44925</v>
      </c>
      <c r="TJL613" s="5" t="s">
        <v>3728</v>
      </c>
      <c r="TJM613" s="17">
        <v>44925</v>
      </c>
      <c r="TJN613" s="5" t="s">
        <v>3728</v>
      </c>
      <c r="TJO613" s="17">
        <v>44925</v>
      </c>
      <c r="TJP613" s="5" t="s">
        <v>3728</v>
      </c>
      <c r="TJQ613" s="17">
        <v>44925</v>
      </c>
      <c r="TJR613" s="5" t="s">
        <v>3728</v>
      </c>
      <c r="TJS613" s="17">
        <v>44925</v>
      </c>
      <c r="TJT613" s="5" t="s">
        <v>3728</v>
      </c>
      <c r="TJU613" s="17">
        <v>44925</v>
      </c>
      <c r="TJV613" s="5" t="s">
        <v>3728</v>
      </c>
      <c r="TJW613" s="17">
        <v>44925</v>
      </c>
      <c r="TJX613" s="5" t="s">
        <v>3728</v>
      </c>
      <c r="TJY613" s="17">
        <v>44925</v>
      </c>
      <c r="TJZ613" s="5" t="s">
        <v>3728</v>
      </c>
      <c r="TKA613" s="17">
        <v>44925</v>
      </c>
      <c r="TKB613" s="5" t="s">
        <v>3728</v>
      </c>
      <c r="TKC613" s="17">
        <v>44925</v>
      </c>
      <c r="TKD613" s="5" t="s">
        <v>3728</v>
      </c>
      <c r="TKE613" s="17">
        <v>44925</v>
      </c>
      <c r="TKF613" s="5" t="s">
        <v>3728</v>
      </c>
      <c r="TKG613" s="17">
        <v>44925</v>
      </c>
      <c r="TKH613" s="5" t="s">
        <v>3728</v>
      </c>
      <c r="TKI613" s="17">
        <v>44925</v>
      </c>
      <c r="TKJ613" s="5" t="s">
        <v>3728</v>
      </c>
      <c r="TKK613" s="17">
        <v>44925</v>
      </c>
      <c r="TKL613" s="5" t="s">
        <v>3728</v>
      </c>
      <c r="TKM613" s="17">
        <v>44925</v>
      </c>
      <c r="TKN613" s="5" t="s">
        <v>3728</v>
      </c>
      <c r="TKO613" s="17">
        <v>44925</v>
      </c>
      <c r="TKP613" s="5" t="s">
        <v>3728</v>
      </c>
      <c r="TKQ613" s="17">
        <v>44925</v>
      </c>
      <c r="TKR613" s="5" t="s">
        <v>3728</v>
      </c>
      <c r="TKS613" s="17">
        <v>44925</v>
      </c>
      <c r="TKT613" s="5" t="s">
        <v>3728</v>
      </c>
      <c r="TKU613" s="17">
        <v>44925</v>
      </c>
      <c r="TKV613" s="5" t="s">
        <v>3728</v>
      </c>
      <c r="TKW613" s="17">
        <v>44925</v>
      </c>
      <c r="TKX613" s="5" t="s">
        <v>3728</v>
      </c>
      <c r="TKY613" s="17">
        <v>44925</v>
      </c>
      <c r="TKZ613" s="5" t="s">
        <v>3728</v>
      </c>
      <c r="TLA613" s="17">
        <v>44925</v>
      </c>
      <c r="TLB613" s="5" t="s">
        <v>3728</v>
      </c>
      <c r="TLC613" s="17">
        <v>44925</v>
      </c>
      <c r="TLD613" s="5" t="s">
        <v>3728</v>
      </c>
      <c r="TLE613" s="17">
        <v>44925</v>
      </c>
      <c r="TLF613" s="5" t="s">
        <v>3728</v>
      </c>
      <c r="TLG613" s="17">
        <v>44925</v>
      </c>
      <c r="TLH613" s="5" t="s">
        <v>3728</v>
      </c>
      <c r="TLI613" s="17">
        <v>44925</v>
      </c>
      <c r="TLJ613" s="5" t="s">
        <v>3728</v>
      </c>
      <c r="TLK613" s="17">
        <v>44925</v>
      </c>
      <c r="TLL613" s="5" t="s">
        <v>3728</v>
      </c>
      <c r="TLM613" s="17">
        <v>44925</v>
      </c>
      <c r="TLN613" s="5" t="s">
        <v>3728</v>
      </c>
      <c r="TLO613" s="17">
        <v>44925</v>
      </c>
      <c r="TLP613" s="5" t="s">
        <v>3728</v>
      </c>
      <c r="TLQ613" s="17">
        <v>44925</v>
      </c>
      <c r="TLR613" s="5" t="s">
        <v>3728</v>
      </c>
      <c r="TLS613" s="17">
        <v>44925</v>
      </c>
      <c r="TLT613" s="5" t="s">
        <v>3728</v>
      </c>
      <c r="TLU613" s="17">
        <v>44925</v>
      </c>
      <c r="TLV613" s="5" t="s">
        <v>3728</v>
      </c>
      <c r="TLW613" s="17">
        <v>44925</v>
      </c>
      <c r="TLX613" s="5" t="s">
        <v>3728</v>
      </c>
      <c r="TLY613" s="17">
        <v>44925</v>
      </c>
      <c r="TLZ613" s="5" t="s">
        <v>3728</v>
      </c>
      <c r="TMA613" s="17">
        <v>44925</v>
      </c>
      <c r="TMB613" s="5" t="s">
        <v>3728</v>
      </c>
      <c r="TMC613" s="17">
        <v>44925</v>
      </c>
      <c r="TMD613" s="5" t="s">
        <v>3728</v>
      </c>
      <c r="TME613" s="17">
        <v>44925</v>
      </c>
      <c r="TMF613" s="5" t="s">
        <v>3728</v>
      </c>
      <c r="TMG613" s="17">
        <v>44925</v>
      </c>
      <c r="TMH613" s="5" t="s">
        <v>3728</v>
      </c>
      <c r="TMI613" s="17">
        <v>44925</v>
      </c>
      <c r="TMJ613" s="5" t="s">
        <v>3728</v>
      </c>
      <c r="TMK613" s="17">
        <v>44925</v>
      </c>
      <c r="TML613" s="5" t="s">
        <v>3728</v>
      </c>
      <c r="TMM613" s="17">
        <v>44925</v>
      </c>
      <c r="TMN613" s="5" t="s">
        <v>3728</v>
      </c>
      <c r="TMO613" s="17">
        <v>44925</v>
      </c>
      <c r="TMP613" s="5" t="s">
        <v>3728</v>
      </c>
      <c r="TMQ613" s="17">
        <v>44925</v>
      </c>
      <c r="TMR613" s="5" t="s">
        <v>3728</v>
      </c>
      <c r="TMS613" s="17">
        <v>44925</v>
      </c>
      <c r="TMT613" s="5" t="s">
        <v>3728</v>
      </c>
      <c r="TMU613" s="17">
        <v>44925</v>
      </c>
      <c r="TMV613" s="5" t="s">
        <v>3728</v>
      </c>
      <c r="TMW613" s="17">
        <v>44925</v>
      </c>
      <c r="TMX613" s="5" t="s">
        <v>3728</v>
      </c>
      <c r="TMY613" s="17">
        <v>44925</v>
      </c>
      <c r="TMZ613" s="5" t="s">
        <v>3728</v>
      </c>
      <c r="TNA613" s="17">
        <v>44925</v>
      </c>
      <c r="TNB613" s="5" t="s">
        <v>3728</v>
      </c>
      <c r="TNC613" s="17">
        <v>44925</v>
      </c>
      <c r="TND613" s="5" t="s">
        <v>3728</v>
      </c>
      <c r="TNE613" s="17">
        <v>44925</v>
      </c>
      <c r="TNF613" s="5" t="s">
        <v>3728</v>
      </c>
      <c r="TNG613" s="17">
        <v>44925</v>
      </c>
      <c r="TNH613" s="5" t="s">
        <v>3728</v>
      </c>
      <c r="TNI613" s="17">
        <v>44925</v>
      </c>
      <c r="TNJ613" s="5" t="s">
        <v>3728</v>
      </c>
      <c r="TNK613" s="17">
        <v>44925</v>
      </c>
      <c r="TNL613" s="5" t="s">
        <v>3728</v>
      </c>
      <c r="TNM613" s="17">
        <v>44925</v>
      </c>
      <c r="TNN613" s="5" t="s">
        <v>3728</v>
      </c>
      <c r="TNO613" s="17">
        <v>44925</v>
      </c>
      <c r="TNP613" s="5" t="s">
        <v>3728</v>
      </c>
      <c r="TNQ613" s="17">
        <v>44925</v>
      </c>
      <c r="TNR613" s="5" t="s">
        <v>3728</v>
      </c>
      <c r="TNS613" s="17">
        <v>44925</v>
      </c>
      <c r="TNT613" s="5" t="s">
        <v>3728</v>
      </c>
      <c r="TNU613" s="17">
        <v>44925</v>
      </c>
      <c r="TNV613" s="5" t="s">
        <v>3728</v>
      </c>
      <c r="TNW613" s="17">
        <v>44925</v>
      </c>
      <c r="TNX613" s="5" t="s">
        <v>3728</v>
      </c>
      <c r="TNY613" s="17">
        <v>44925</v>
      </c>
      <c r="TNZ613" s="5" t="s">
        <v>3728</v>
      </c>
      <c r="TOA613" s="17">
        <v>44925</v>
      </c>
      <c r="TOB613" s="5" t="s">
        <v>3728</v>
      </c>
      <c r="TOC613" s="17">
        <v>44925</v>
      </c>
      <c r="TOD613" s="5" t="s">
        <v>3728</v>
      </c>
      <c r="TOE613" s="17">
        <v>44925</v>
      </c>
      <c r="TOF613" s="5" t="s">
        <v>3728</v>
      </c>
      <c r="TOG613" s="17">
        <v>44925</v>
      </c>
      <c r="TOH613" s="5" t="s">
        <v>3728</v>
      </c>
      <c r="TOI613" s="17">
        <v>44925</v>
      </c>
      <c r="TOJ613" s="5" t="s">
        <v>3728</v>
      </c>
      <c r="TOK613" s="17">
        <v>44925</v>
      </c>
      <c r="TOL613" s="5" t="s">
        <v>3728</v>
      </c>
      <c r="TOM613" s="17">
        <v>44925</v>
      </c>
      <c r="TON613" s="5" t="s">
        <v>3728</v>
      </c>
      <c r="TOO613" s="17">
        <v>44925</v>
      </c>
      <c r="TOP613" s="5" t="s">
        <v>3728</v>
      </c>
      <c r="TOQ613" s="17">
        <v>44925</v>
      </c>
      <c r="TOR613" s="5" t="s">
        <v>3728</v>
      </c>
      <c r="TOS613" s="17">
        <v>44925</v>
      </c>
      <c r="TOT613" s="5" t="s">
        <v>3728</v>
      </c>
      <c r="TOU613" s="17">
        <v>44925</v>
      </c>
      <c r="TOV613" s="5" t="s">
        <v>3728</v>
      </c>
      <c r="TOW613" s="17">
        <v>44925</v>
      </c>
      <c r="TOX613" s="5" t="s">
        <v>3728</v>
      </c>
      <c r="TOY613" s="17">
        <v>44925</v>
      </c>
      <c r="TOZ613" s="5" t="s">
        <v>3728</v>
      </c>
      <c r="TPA613" s="17">
        <v>44925</v>
      </c>
      <c r="TPB613" s="5" t="s">
        <v>3728</v>
      </c>
      <c r="TPC613" s="17">
        <v>44925</v>
      </c>
      <c r="TPD613" s="5" t="s">
        <v>3728</v>
      </c>
      <c r="TPE613" s="17">
        <v>44925</v>
      </c>
      <c r="TPF613" s="5" t="s">
        <v>3728</v>
      </c>
      <c r="TPG613" s="17">
        <v>44925</v>
      </c>
      <c r="TPH613" s="5" t="s">
        <v>3728</v>
      </c>
      <c r="TPI613" s="17">
        <v>44925</v>
      </c>
      <c r="TPJ613" s="5" t="s">
        <v>3728</v>
      </c>
      <c r="TPK613" s="17">
        <v>44925</v>
      </c>
      <c r="TPL613" s="5" t="s">
        <v>3728</v>
      </c>
      <c r="TPM613" s="17">
        <v>44925</v>
      </c>
      <c r="TPN613" s="5" t="s">
        <v>3728</v>
      </c>
      <c r="TPO613" s="17">
        <v>44925</v>
      </c>
      <c r="TPP613" s="5" t="s">
        <v>3728</v>
      </c>
      <c r="TPQ613" s="17">
        <v>44925</v>
      </c>
      <c r="TPR613" s="5" t="s">
        <v>3728</v>
      </c>
      <c r="TPS613" s="17">
        <v>44925</v>
      </c>
      <c r="TPT613" s="5" t="s">
        <v>3728</v>
      </c>
      <c r="TPU613" s="17">
        <v>44925</v>
      </c>
      <c r="TPV613" s="5" t="s">
        <v>3728</v>
      </c>
      <c r="TPW613" s="17">
        <v>44925</v>
      </c>
      <c r="TPX613" s="5" t="s">
        <v>3728</v>
      </c>
      <c r="TPY613" s="17">
        <v>44925</v>
      </c>
      <c r="TPZ613" s="5" t="s">
        <v>3728</v>
      </c>
      <c r="TQA613" s="17">
        <v>44925</v>
      </c>
      <c r="TQB613" s="5" t="s">
        <v>3728</v>
      </c>
      <c r="TQC613" s="17">
        <v>44925</v>
      </c>
      <c r="TQD613" s="5" t="s">
        <v>3728</v>
      </c>
      <c r="TQE613" s="17">
        <v>44925</v>
      </c>
      <c r="TQF613" s="5" t="s">
        <v>3728</v>
      </c>
      <c r="TQG613" s="17">
        <v>44925</v>
      </c>
      <c r="TQH613" s="5" t="s">
        <v>3728</v>
      </c>
      <c r="TQI613" s="17">
        <v>44925</v>
      </c>
      <c r="TQJ613" s="5" t="s">
        <v>3728</v>
      </c>
      <c r="TQK613" s="17">
        <v>44925</v>
      </c>
      <c r="TQL613" s="5" t="s">
        <v>3728</v>
      </c>
      <c r="TQM613" s="17">
        <v>44925</v>
      </c>
      <c r="TQN613" s="5" t="s">
        <v>3728</v>
      </c>
      <c r="TQO613" s="17">
        <v>44925</v>
      </c>
      <c r="TQP613" s="5" t="s">
        <v>3728</v>
      </c>
      <c r="TQQ613" s="17">
        <v>44925</v>
      </c>
      <c r="TQR613" s="5" t="s">
        <v>3728</v>
      </c>
      <c r="TQS613" s="17">
        <v>44925</v>
      </c>
      <c r="TQT613" s="5" t="s">
        <v>3728</v>
      </c>
      <c r="TQU613" s="17">
        <v>44925</v>
      </c>
      <c r="TQV613" s="5" t="s">
        <v>3728</v>
      </c>
      <c r="TQW613" s="17">
        <v>44925</v>
      </c>
      <c r="TQX613" s="5" t="s">
        <v>3728</v>
      </c>
      <c r="TQY613" s="17">
        <v>44925</v>
      </c>
      <c r="TQZ613" s="5" t="s">
        <v>3728</v>
      </c>
      <c r="TRA613" s="17">
        <v>44925</v>
      </c>
      <c r="TRB613" s="5" t="s">
        <v>3728</v>
      </c>
      <c r="TRC613" s="17">
        <v>44925</v>
      </c>
      <c r="TRD613" s="5" t="s">
        <v>3728</v>
      </c>
      <c r="TRE613" s="17">
        <v>44925</v>
      </c>
      <c r="TRF613" s="5" t="s">
        <v>3728</v>
      </c>
      <c r="TRG613" s="17">
        <v>44925</v>
      </c>
      <c r="TRH613" s="5" t="s">
        <v>3728</v>
      </c>
      <c r="TRI613" s="17">
        <v>44925</v>
      </c>
      <c r="TRJ613" s="5" t="s">
        <v>3728</v>
      </c>
      <c r="TRK613" s="17">
        <v>44925</v>
      </c>
      <c r="TRL613" s="5" t="s">
        <v>3728</v>
      </c>
      <c r="TRM613" s="17">
        <v>44925</v>
      </c>
      <c r="TRN613" s="5" t="s">
        <v>3728</v>
      </c>
      <c r="TRO613" s="17">
        <v>44925</v>
      </c>
      <c r="TRP613" s="5" t="s">
        <v>3728</v>
      </c>
      <c r="TRQ613" s="17">
        <v>44925</v>
      </c>
      <c r="TRR613" s="5" t="s">
        <v>3728</v>
      </c>
      <c r="TRS613" s="17">
        <v>44925</v>
      </c>
      <c r="TRT613" s="5" t="s">
        <v>3728</v>
      </c>
      <c r="TRU613" s="17">
        <v>44925</v>
      </c>
      <c r="TRV613" s="5" t="s">
        <v>3728</v>
      </c>
      <c r="TRW613" s="17">
        <v>44925</v>
      </c>
      <c r="TRX613" s="5" t="s">
        <v>3728</v>
      </c>
      <c r="TRY613" s="17">
        <v>44925</v>
      </c>
      <c r="TRZ613" s="5" t="s">
        <v>3728</v>
      </c>
      <c r="TSA613" s="17">
        <v>44925</v>
      </c>
      <c r="TSB613" s="5" t="s">
        <v>3728</v>
      </c>
      <c r="TSC613" s="17">
        <v>44925</v>
      </c>
      <c r="TSD613" s="5" t="s">
        <v>3728</v>
      </c>
      <c r="TSE613" s="17">
        <v>44925</v>
      </c>
      <c r="TSF613" s="5" t="s">
        <v>3728</v>
      </c>
      <c r="TSG613" s="17">
        <v>44925</v>
      </c>
      <c r="TSH613" s="5" t="s">
        <v>3728</v>
      </c>
      <c r="TSI613" s="17">
        <v>44925</v>
      </c>
      <c r="TSJ613" s="5" t="s">
        <v>3728</v>
      </c>
      <c r="TSK613" s="17">
        <v>44925</v>
      </c>
      <c r="TSL613" s="5" t="s">
        <v>3728</v>
      </c>
      <c r="TSM613" s="17">
        <v>44925</v>
      </c>
      <c r="TSN613" s="5" t="s">
        <v>3728</v>
      </c>
      <c r="TSO613" s="17">
        <v>44925</v>
      </c>
      <c r="TSP613" s="5" t="s">
        <v>3728</v>
      </c>
      <c r="TSQ613" s="17">
        <v>44925</v>
      </c>
      <c r="TSR613" s="5" t="s">
        <v>3728</v>
      </c>
      <c r="TSS613" s="17">
        <v>44925</v>
      </c>
      <c r="TST613" s="5" t="s">
        <v>3728</v>
      </c>
      <c r="TSU613" s="17">
        <v>44925</v>
      </c>
      <c r="TSV613" s="5" t="s">
        <v>3728</v>
      </c>
      <c r="TSW613" s="17">
        <v>44925</v>
      </c>
      <c r="TSX613" s="5" t="s">
        <v>3728</v>
      </c>
      <c r="TSY613" s="17">
        <v>44925</v>
      </c>
      <c r="TSZ613" s="5" t="s">
        <v>3728</v>
      </c>
      <c r="TTA613" s="17">
        <v>44925</v>
      </c>
      <c r="TTB613" s="5" t="s">
        <v>3728</v>
      </c>
      <c r="TTC613" s="17">
        <v>44925</v>
      </c>
      <c r="TTD613" s="5" t="s">
        <v>3728</v>
      </c>
      <c r="TTE613" s="17">
        <v>44925</v>
      </c>
      <c r="TTF613" s="5" t="s">
        <v>3728</v>
      </c>
      <c r="TTG613" s="17">
        <v>44925</v>
      </c>
      <c r="TTH613" s="5" t="s">
        <v>3728</v>
      </c>
      <c r="TTI613" s="17">
        <v>44925</v>
      </c>
      <c r="TTJ613" s="5" t="s">
        <v>3728</v>
      </c>
      <c r="TTK613" s="17">
        <v>44925</v>
      </c>
      <c r="TTL613" s="5" t="s">
        <v>3728</v>
      </c>
      <c r="TTM613" s="17">
        <v>44925</v>
      </c>
      <c r="TTN613" s="5" t="s">
        <v>3728</v>
      </c>
      <c r="TTO613" s="17">
        <v>44925</v>
      </c>
      <c r="TTP613" s="5" t="s">
        <v>3728</v>
      </c>
      <c r="TTQ613" s="17">
        <v>44925</v>
      </c>
      <c r="TTR613" s="5" t="s">
        <v>3728</v>
      </c>
      <c r="TTS613" s="17">
        <v>44925</v>
      </c>
      <c r="TTT613" s="5" t="s">
        <v>3728</v>
      </c>
      <c r="TTU613" s="17">
        <v>44925</v>
      </c>
      <c r="TTV613" s="5" t="s">
        <v>3728</v>
      </c>
      <c r="TTW613" s="17">
        <v>44925</v>
      </c>
      <c r="TTX613" s="5" t="s">
        <v>3728</v>
      </c>
      <c r="TTY613" s="17">
        <v>44925</v>
      </c>
      <c r="TTZ613" s="5" t="s">
        <v>3728</v>
      </c>
      <c r="TUA613" s="17">
        <v>44925</v>
      </c>
      <c r="TUB613" s="5" t="s">
        <v>3728</v>
      </c>
      <c r="TUC613" s="17">
        <v>44925</v>
      </c>
      <c r="TUD613" s="5" t="s">
        <v>3728</v>
      </c>
      <c r="TUE613" s="17">
        <v>44925</v>
      </c>
      <c r="TUF613" s="5" t="s">
        <v>3728</v>
      </c>
      <c r="TUG613" s="17">
        <v>44925</v>
      </c>
      <c r="TUH613" s="5" t="s">
        <v>3728</v>
      </c>
      <c r="TUI613" s="17">
        <v>44925</v>
      </c>
      <c r="TUJ613" s="5" t="s">
        <v>3728</v>
      </c>
      <c r="TUK613" s="17">
        <v>44925</v>
      </c>
      <c r="TUL613" s="5" t="s">
        <v>3728</v>
      </c>
      <c r="TUM613" s="17">
        <v>44925</v>
      </c>
      <c r="TUN613" s="5" t="s">
        <v>3728</v>
      </c>
      <c r="TUO613" s="17">
        <v>44925</v>
      </c>
      <c r="TUP613" s="5" t="s">
        <v>3728</v>
      </c>
      <c r="TUQ613" s="17">
        <v>44925</v>
      </c>
      <c r="TUR613" s="5" t="s">
        <v>3728</v>
      </c>
      <c r="TUS613" s="17">
        <v>44925</v>
      </c>
      <c r="TUT613" s="5" t="s">
        <v>3728</v>
      </c>
      <c r="TUU613" s="17">
        <v>44925</v>
      </c>
      <c r="TUV613" s="5" t="s">
        <v>3728</v>
      </c>
      <c r="TUW613" s="17">
        <v>44925</v>
      </c>
      <c r="TUX613" s="5" t="s">
        <v>3728</v>
      </c>
      <c r="TUY613" s="17">
        <v>44925</v>
      </c>
      <c r="TUZ613" s="5" t="s">
        <v>3728</v>
      </c>
      <c r="TVA613" s="17">
        <v>44925</v>
      </c>
      <c r="TVB613" s="5" t="s">
        <v>3728</v>
      </c>
      <c r="TVC613" s="17">
        <v>44925</v>
      </c>
      <c r="TVD613" s="5" t="s">
        <v>3728</v>
      </c>
      <c r="TVE613" s="17">
        <v>44925</v>
      </c>
      <c r="TVF613" s="5" t="s">
        <v>3728</v>
      </c>
      <c r="TVG613" s="17">
        <v>44925</v>
      </c>
      <c r="TVH613" s="5" t="s">
        <v>3728</v>
      </c>
      <c r="TVI613" s="17">
        <v>44925</v>
      </c>
      <c r="TVJ613" s="5" t="s">
        <v>3728</v>
      </c>
      <c r="TVK613" s="17">
        <v>44925</v>
      </c>
      <c r="TVL613" s="5" t="s">
        <v>3728</v>
      </c>
      <c r="TVM613" s="17">
        <v>44925</v>
      </c>
      <c r="TVN613" s="5" t="s">
        <v>3728</v>
      </c>
      <c r="TVO613" s="17">
        <v>44925</v>
      </c>
      <c r="TVP613" s="5" t="s">
        <v>3728</v>
      </c>
      <c r="TVQ613" s="17">
        <v>44925</v>
      </c>
      <c r="TVR613" s="5" t="s">
        <v>3728</v>
      </c>
      <c r="TVS613" s="17">
        <v>44925</v>
      </c>
      <c r="TVT613" s="5" t="s">
        <v>3728</v>
      </c>
      <c r="TVU613" s="17">
        <v>44925</v>
      </c>
      <c r="TVV613" s="5" t="s">
        <v>3728</v>
      </c>
      <c r="TVW613" s="17">
        <v>44925</v>
      </c>
      <c r="TVX613" s="5" t="s">
        <v>3728</v>
      </c>
      <c r="TVY613" s="17">
        <v>44925</v>
      </c>
      <c r="TVZ613" s="5" t="s">
        <v>3728</v>
      </c>
      <c r="TWA613" s="17">
        <v>44925</v>
      </c>
      <c r="TWB613" s="5" t="s">
        <v>3728</v>
      </c>
      <c r="TWC613" s="17">
        <v>44925</v>
      </c>
      <c r="TWD613" s="5" t="s">
        <v>3728</v>
      </c>
      <c r="TWE613" s="17">
        <v>44925</v>
      </c>
      <c r="TWF613" s="5" t="s">
        <v>3728</v>
      </c>
      <c r="TWG613" s="17">
        <v>44925</v>
      </c>
      <c r="TWH613" s="5" t="s">
        <v>3728</v>
      </c>
      <c r="TWI613" s="17">
        <v>44925</v>
      </c>
      <c r="TWJ613" s="5" t="s">
        <v>3728</v>
      </c>
      <c r="TWK613" s="17">
        <v>44925</v>
      </c>
      <c r="TWL613" s="5" t="s">
        <v>3728</v>
      </c>
      <c r="TWM613" s="17">
        <v>44925</v>
      </c>
      <c r="TWN613" s="5" t="s">
        <v>3728</v>
      </c>
      <c r="TWO613" s="17">
        <v>44925</v>
      </c>
      <c r="TWP613" s="5" t="s">
        <v>3728</v>
      </c>
      <c r="TWQ613" s="17">
        <v>44925</v>
      </c>
      <c r="TWR613" s="5" t="s">
        <v>3728</v>
      </c>
      <c r="TWS613" s="17">
        <v>44925</v>
      </c>
      <c r="TWT613" s="5" t="s">
        <v>3728</v>
      </c>
      <c r="TWU613" s="17">
        <v>44925</v>
      </c>
      <c r="TWV613" s="5" t="s">
        <v>3728</v>
      </c>
      <c r="TWW613" s="17">
        <v>44925</v>
      </c>
      <c r="TWX613" s="5" t="s">
        <v>3728</v>
      </c>
      <c r="TWY613" s="17">
        <v>44925</v>
      </c>
      <c r="TWZ613" s="5" t="s">
        <v>3728</v>
      </c>
      <c r="TXA613" s="17">
        <v>44925</v>
      </c>
      <c r="TXB613" s="5" t="s">
        <v>3728</v>
      </c>
      <c r="TXC613" s="17">
        <v>44925</v>
      </c>
      <c r="TXD613" s="5" t="s">
        <v>3728</v>
      </c>
      <c r="TXE613" s="17">
        <v>44925</v>
      </c>
      <c r="TXF613" s="5" t="s">
        <v>3728</v>
      </c>
      <c r="TXG613" s="17">
        <v>44925</v>
      </c>
      <c r="TXH613" s="5" t="s">
        <v>3728</v>
      </c>
      <c r="TXI613" s="17">
        <v>44925</v>
      </c>
      <c r="TXJ613" s="5" t="s">
        <v>3728</v>
      </c>
      <c r="TXK613" s="17">
        <v>44925</v>
      </c>
      <c r="TXL613" s="5" t="s">
        <v>3728</v>
      </c>
      <c r="TXM613" s="17">
        <v>44925</v>
      </c>
      <c r="TXN613" s="5" t="s">
        <v>3728</v>
      </c>
      <c r="TXO613" s="17">
        <v>44925</v>
      </c>
      <c r="TXP613" s="5" t="s">
        <v>3728</v>
      </c>
      <c r="TXQ613" s="17">
        <v>44925</v>
      </c>
      <c r="TXR613" s="5" t="s">
        <v>3728</v>
      </c>
      <c r="TXS613" s="17">
        <v>44925</v>
      </c>
      <c r="TXT613" s="5" t="s">
        <v>3728</v>
      </c>
      <c r="TXU613" s="17">
        <v>44925</v>
      </c>
      <c r="TXV613" s="5" t="s">
        <v>3728</v>
      </c>
      <c r="TXW613" s="17">
        <v>44925</v>
      </c>
      <c r="TXX613" s="5" t="s">
        <v>3728</v>
      </c>
      <c r="TXY613" s="17">
        <v>44925</v>
      </c>
      <c r="TXZ613" s="5" t="s">
        <v>3728</v>
      </c>
      <c r="TYA613" s="17">
        <v>44925</v>
      </c>
      <c r="TYB613" s="5" t="s">
        <v>3728</v>
      </c>
      <c r="TYC613" s="17">
        <v>44925</v>
      </c>
      <c r="TYD613" s="5" t="s">
        <v>3728</v>
      </c>
      <c r="TYE613" s="17">
        <v>44925</v>
      </c>
      <c r="TYF613" s="5" t="s">
        <v>3728</v>
      </c>
      <c r="TYG613" s="17">
        <v>44925</v>
      </c>
      <c r="TYH613" s="5" t="s">
        <v>3728</v>
      </c>
      <c r="TYI613" s="17">
        <v>44925</v>
      </c>
      <c r="TYJ613" s="5" t="s">
        <v>3728</v>
      </c>
      <c r="TYK613" s="17">
        <v>44925</v>
      </c>
      <c r="TYL613" s="5" t="s">
        <v>3728</v>
      </c>
      <c r="TYM613" s="17">
        <v>44925</v>
      </c>
      <c r="TYN613" s="5" t="s">
        <v>3728</v>
      </c>
      <c r="TYO613" s="17">
        <v>44925</v>
      </c>
      <c r="TYP613" s="5" t="s">
        <v>3728</v>
      </c>
      <c r="TYQ613" s="17">
        <v>44925</v>
      </c>
      <c r="TYR613" s="5" t="s">
        <v>3728</v>
      </c>
      <c r="TYS613" s="17">
        <v>44925</v>
      </c>
      <c r="TYT613" s="5" t="s">
        <v>3728</v>
      </c>
      <c r="TYU613" s="17">
        <v>44925</v>
      </c>
      <c r="TYV613" s="5" t="s">
        <v>3728</v>
      </c>
      <c r="TYW613" s="17">
        <v>44925</v>
      </c>
      <c r="TYX613" s="5" t="s">
        <v>3728</v>
      </c>
      <c r="TYY613" s="17">
        <v>44925</v>
      </c>
      <c r="TYZ613" s="5" t="s">
        <v>3728</v>
      </c>
      <c r="TZA613" s="17">
        <v>44925</v>
      </c>
      <c r="TZB613" s="5" t="s">
        <v>3728</v>
      </c>
      <c r="TZC613" s="17">
        <v>44925</v>
      </c>
      <c r="TZD613" s="5" t="s">
        <v>3728</v>
      </c>
      <c r="TZE613" s="17">
        <v>44925</v>
      </c>
      <c r="TZF613" s="5" t="s">
        <v>3728</v>
      </c>
      <c r="TZG613" s="17">
        <v>44925</v>
      </c>
      <c r="TZH613" s="5" t="s">
        <v>3728</v>
      </c>
      <c r="TZI613" s="17">
        <v>44925</v>
      </c>
      <c r="TZJ613" s="5" t="s">
        <v>3728</v>
      </c>
      <c r="TZK613" s="17">
        <v>44925</v>
      </c>
      <c r="TZL613" s="5" t="s">
        <v>3728</v>
      </c>
      <c r="TZM613" s="17">
        <v>44925</v>
      </c>
      <c r="TZN613" s="5" t="s">
        <v>3728</v>
      </c>
      <c r="TZO613" s="17">
        <v>44925</v>
      </c>
      <c r="TZP613" s="5" t="s">
        <v>3728</v>
      </c>
      <c r="TZQ613" s="17">
        <v>44925</v>
      </c>
      <c r="TZR613" s="5" t="s">
        <v>3728</v>
      </c>
      <c r="TZS613" s="17">
        <v>44925</v>
      </c>
      <c r="TZT613" s="5" t="s">
        <v>3728</v>
      </c>
      <c r="TZU613" s="17">
        <v>44925</v>
      </c>
      <c r="TZV613" s="5" t="s">
        <v>3728</v>
      </c>
      <c r="TZW613" s="17">
        <v>44925</v>
      </c>
      <c r="TZX613" s="5" t="s">
        <v>3728</v>
      </c>
      <c r="TZY613" s="17">
        <v>44925</v>
      </c>
      <c r="TZZ613" s="5" t="s">
        <v>3728</v>
      </c>
      <c r="UAA613" s="17">
        <v>44925</v>
      </c>
      <c r="UAB613" s="5" t="s">
        <v>3728</v>
      </c>
      <c r="UAC613" s="17">
        <v>44925</v>
      </c>
      <c r="UAD613" s="5" t="s">
        <v>3728</v>
      </c>
      <c r="UAE613" s="17">
        <v>44925</v>
      </c>
      <c r="UAF613" s="5" t="s">
        <v>3728</v>
      </c>
      <c r="UAG613" s="17">
        <v>44925</v>
      </c>
      <c r="UAH613" s="5" t="s">
        <v>3728</v>
      </c>
      <c r="UAI613" s="17">
        <v>44925</v>
      </c>
      <c r="UAJ613" s="5" t="s">
        <v>3728</v>
      </c>
      <c r="UAK613" s="17">
        <v>44925</v>
      </c>
      <c r="UAL613" s="5" t="s">
        <v>3728</v>
      </c>
      <c r="UAM613" s="17">
        <v>44925</v>
      </c>
      <c r="UAN613" s="5" t="s">
        <v>3728</v>
      </c>
      <c r="UAO613" s="17">
        <v>44925</v>
      </c>
      <c r="UAP613" s="5" t="s">
        <v>3728</v>
      </c>
      <c r="UAQ613" s="17">
        <v>44925</v>
      </c>
      <c r="UAR613" s="5" t="s">
        <v>3728</v>
      </c>
      <c r="UAS613" s="17">
        <v>44925</v>
      </c>
      <c r="UAT613" s="5" t="s">
        <v>3728</v>
      </c>
      <c r="UAU613" s="17">
        <v>44925</v>
      </c>
      <c r="UAV613" s="5" t="s">
        <v>3728</v>
      </c>
      <c r="UAW613" s="17">
        <v>44925</v>
      </c>
      <c r="UAX613" s="5" t="s">
        <v>3728</v>
      </c>
      <c r="UAY613" s="17">
        <v>44925</v>
      </c>
      <c r="UAZ613" s="5" t="s">
        <v>3728</v>
      </c>
      <c r="UBA613" s="17">
        <v>44925</v>
      </c>
      <c r="UBB613" s="5" t="s">
        <v>3728</v>
      </c>
      <c r="UBC613" s="17">
        <v>44925</v>
      </c>
      <c r="UBD613" s="5" t="s">
        <v>3728</v>
      </c>
      <c r="UBE613" s="17">
        <v>44925</v>
      </c>
      <c r="UBF613" s="5" t="s">
        <v>3728</v>
      </c>
      <c r="UBG613" s="17">
        <v>44925</v>
      </c>
      <c r="UBH613" s="5" t="s">
        <v>3728</v>
      </c>
      <c r="UBI613" s="17">
        <v>44925</v>
      </c>
      <c r="UBJ613" s="5" t="s">
        <v>3728</v>
      </c>
      <c r="UBK613" s="17">
        <v>44925</v>
      </c>
      <c r="UBL613" s="5" t="s">
        <v>3728</v>
      </c>
      <c r="UBM613" s="17">
        <v>44925</v>
      </c>
      <c r="UBN613" s="5" t="s">
        <v>3728</v>
      </c>
      <c r="UBO613" s="17">
        <v>44925</v>
      </c>
      <c r="UBP613" s="5" t="s">
        <v>3728</v>
      </c>
      <c r="UBQ613" s="17">
        <v>44925</v>
      </c>
      <c r="UBR613" s="5" t="s">
        <v>3728</v>
      </c>
      <c r="UBS613" s="17">
        <v>44925</v>
      </c>
      <c r="UBT613" s="5" t="s">
        <v>3728</v>
      </c>
      <c r="UBU613" s="17">
        <v>44925</v>
      </c>
      <c r="UBV613" s="5" t="s">
        <v>3728</v>
      </c>
      <c r="UBW613" s="17">
        <v>44925</v>
      </c>
      <c r="UBX613" s="5" t="s">
        <v>3728</v>
      </c>
      <c r="UBY613" s="17">
        <v>44925</v>
      </c>
      <c r="UBZ613" s="5" t="s">
        <v>3728</v>
      </c>
      <c r="UCA613" s="17">
        <v>44925</v>
      </c>
      <c r="UCB613" s="5" t="s">
        <v>3728</v>
      </c>
      <c r="UCC613" s="17">
        <v>44925</v>
      </c>
      <c r="UCD613" s="5" t="s">
        <v>3728</v>
      </c>
      <c r="UCE613" s="17">
        <v>44925</v>
      </c>
      <c r="UCF613" s="5" t="s">
        <v>3728</v>
      </c>
      <c r="UCG613" s="17">
        <v>44925</v>
      </c>
      <c r="UCH613" s="5" t="s">
        <v>3728</v>
      </c>
      <c r="UCI613" s="17">
        <v>44925</v>
      </c>
      <c r="UCJ613" s="5" t="s">
        <v>3728</v>
      </c>
      <c r="UCK613" s="17">
        <v>44925</v>
      </c>
      <c r="UCL613" s="5" t="s">
        <v>3728</v>
      </c>
      <c r="UCM613" s="17">
        <v>44925</v>
      </c>
      <c r="UCN613" s="5" t="s">
        <v>3728</v>
      </c>
      <c r="UCO613" s="17">
        <v>44925</v>
      </c>
      <c r="UCP613" s="5" t="s">
        <v>3728</v>
      </c>
      <c r="UCQ613" s="17">
        <v>44925</v>
      </c>
      <c r="UCR613" s="5" t="s">
        <v>3728</v>
      </c>
      <c r="UCS613" s="17">
        <v>44925</v>
      </c>
      <c r="UCT613" s="5" t="s">
        <v>3728</v>
      </c>
      <c r="UCU613" s="17">
        <v>44925</v>
      </c>
      <c r="UCV613" s="5" t="s">
        <v>3728</v>
      </c>
      <c r="UCW613" s="17">
        <v>44925</v>
      </c>
      <c r="UCX613" s="5" t="s">
        <v>3728</v>
      </c>
      <c r="UCY613" s="17">
        <v>44925</v>
      </c>
      <c r="UCZ613" s="5" t="s">
        <v>3728</v>
      </c>
      <c r="UDA613" s="17">
        <v>44925</v>
      </c>
      <c r="UDB613" s="5" t="s">
        <v>3728</v>
      </c>
      <c r="UDC613" s="17">
        <v>44925</v>
      </c>
      <c r="UDD613" s="5" t="s">
        <v>3728</v>
      </c>
      <c r="UDE613" s="17">
        <v>44925</v>
      </c>
      <c r="UDF613" s="5" t="s">
        <v>3728</v>
      </c>
      <c r="UDG613" s="17">
        <v>44925</v>
      </c>
      <c r="UDH613" s="5" t="s">
        <v>3728</v>
      </c>
      <c r="UDI613" s="17">
        <v>44925</v>
      </c>
      <c r="UDJ613" s="5" t="s">
        <v>3728</v>
      </c>
      <c r="UDK613" s="17">
        <v>44925</v>
      </c>
      <c r="UDL613" s="5" t="s">
        <v>3728</v>
      </c>
      <c r="UDM613" s="17">
        <v>44925</v>
      </c>
      <c r="UDN613" s="5" t="s">
        <v>3728</v>
      </c>
      <c r="UDO613" s="17">
        <v>44925</v>
      </c>
      <c r="UDP613" s="5" t="s">
        <v>3728</v>
      </c>
      <c r="UDQ613" s="17">
        <v>44925</v>
      </c>
      <c r="UDR613" s="5" t="s">
        <v>3728</v>
      </c>
      <c r="UDS613" s="17">
        <v>44925</v>
      </c>
      <c r="UDT613" s="5" t="s">
        <v>3728</v>
      </c>
      <c r="UDU613" s="17">
        <v>44925</v>
      </c>
      <c r="UDV613" s="5" t="s">
        <v>3728</v>
      </c>
      <c r="UDW613" s="17">
        <v>44925</v>
      </c>
      <c r="UDX613" s="5" t="s">
        <v>3728</v>
      </c>
      <c r="UDY613" s="17">
        <v>44925</v>
      </c>
      <c r="UDZ613" s="5" t="s">
        <v>3728</v>
      </c>
      <c r="UEA613" s="17">
        <v>44925</v>
      </c>
      <c r="UEB613" s="5" t="s">
        <v>3728</v>
      </c>
      <c r="UEC613" s="17">
        <v>44925</v>
      </c>
      <c r="UED613" s="5" t="s">
        <v>3728</v>
      </c>
      <c r="UEE613" s="17">
        <v>44925</v>
      </c>
      <c r="UEF613" s="5" t="s">
        <v>3728</v>
      </c>
      <c r="UEG613" s="17">
        <v>44925</v>
      </c>
      <c r="UEH613" s="5" t="s">
        <v>3728</v>
      </c>
      <c r="UEI613" s="17">
        <v>44925</v>
      </c>
      <c r="UEJ613" s="5" t="s">
        <v>3728</v>
      </c>
      <c r="UEK613" s="17">
        <v>44925</v>
      </c>
      <c r="UEL613" s="5" t="s">
        <v>3728</v>
      </c>
      <c r="UEM613" s="17">
        <v>44925</v>
      </c>
      <c r="UEN613" s="5" t="s">
        <v>3728</v>
      </c>
      <c r="UEO613" s="17">
        <v>44925</v>
      </c>
      <c r="UEP613" s="5" t="s">
        <v>3728</v>
      </c>
      <c r="UEQ613" s="17">
        <v>44925</v>
      </c>
      <c r="UER613" s="5" t="s">
        <v>3728</v>
      </c>
      <c r="UES613" s="17">
        <v>44925</v>
      </c>
      <c r="UET613" s="5" t="s">
        <v>3728</v>
      </c>
      <c r="UEU613" s="17">
        <v>44925</v>
      </c>
      <c r="UEV613" s="5" t="s">
        <v>3728</v>
      </c>
      <c r="UEW613" s="17">
        <v>44925</v>
      </c>
      <c r="UEX613" s="5" t="s">
        <v>3728</v>
      </c>
      <c r="UEY613" s="17">
        <v>44925</v>
      </c>
      <c r="UEZ613" s="5" t="s">
        <v>3728</v>
      </c>
      <c r="UFA613" s="17">
        <v>44925</v>
      </c>
      <c r="UFB613" s="5" t="s">
        <v>3728</v>
      </c>
      <c r="UFC613" s="17">
        <v>44925</v>
      </c>
      <c r="UFD613" s="5" t="s">
        <v>3728</v>
      </c>
      <c r="UFE613" s="17">
        <v>44925</v>
      </c>
      <c r="UFF613" s="5" t="s">
        <v>3728</v>
      </c>
      <c r="UFG613" s="17">
        <v>44925</v>
      </c>
      <c r="UFH613" s="5" t="s">
        <v>3728</v>
      </c>
      <c r="UFI613" s="17">
        <v>44925</v>
      </c>
      <c r="UFJ613" s="5" t="s">
        <v>3728</v>
      </c>
      <c r="UFK613" s="17">
        <v>44925</v>
      </c>
      <c r="UFL613" s="5" t="s">
        <v>3728</v>
      </c>
      <c r="UFM613" s="17">
        <v>44925</v>
      </c>
      <c r="UFN613" s="5" t="s">
        <v>3728</v>
      </c>
      <c r="UFO613" s="17">
        <v>44925</v>
      </c>
      <c r="UFP613" s="5" t="s">
        <v>3728</v>
      </c>
      <c r="UFQ613" s="17">
        <v>44925</v>
      </c>
      <c r="UFR613" s="5" t="s">
        <v>3728</v>
      </c>
      <c r="UFS613" s="17">
        <v>44925</v>
      </c>
      <c r="UFT613" s="5" t="s">
        <v>3728</v>
      </c>
      <c r="UFU613" s="17">
        <v>44925</v>
      </c>
      <c r="UFV613" s="5" t="s">
        <v>3728</v>
      </c>
      <c r="UFW613" s="17">
        <v>44925</v>
      </c>
      <c r="UFX613" s="5" t="s">
        <v>3728</v>
      </c>
      <c r="UFY613" s="17">
        <v>44925</v>
      </c>
      <c r="UFZ613" s="5" t="s">
        <v>3728</v>
      </c>
      <c r="UGA613" s="17">
        <v>44925</v>
      </c>
      <c r="UGB613" s="5" t="s">
        <v>3728</v>
      </c>
      <c r="UGC613" s="17">
        <v>44925</v>
      </c>
      <c r="UGD613" s="5" t="s">
        <v>3728</v>
      </c>
      <c r="UGE613" s="17">
        <v>44925</v>
      </c>
      <c r="UGF613" s="5" t="s">
        <v>3728</v>
      </c>
      <c r="UGG613" s="17">
        <v>44925</v>
      </c>
      <c r="UGH613" s="5" t="s">
        <v>3728</v>
      </c>
      <c r="UGI613" s="17">
        <v>44925</v>
      </c>
      <c r="UGJ613" s="5" t="s">
        <v>3728</v>
      </c>
      <c r="UGK613" s="17">
        <v>44925</v>
      </c>
      <c r="UGL613" s="5" t="s">
        <v>3728</v>
      </c>
      <c r="UGM613" s="17">
        <v>44925</v>
      </c>
      <c r="UGN613" s="5" t="s">
        <v>3728</v>
      </c>
      <c r="UGO613" s="17">
        <v>44925</v>
      </c>
      <c r="UGP613" s="5" t="s">
        <v>3728</v>
      </c>
      <c r="UGQ613" s="17">
        <v>44925</v>
      </c>
      <c r="UGR613" s="5" t="s">
        <v>3728</v>
      </c>
      <c r="UGS613" s="17">
        <v>44925</v>
      </c>
      <c r="UGT613" s="5" t="s">
        <v>3728</v>
      </c>
      <c r="UGU613" s="17">
        <v>44925</v>
      </c>
      <c r="UGV613" s="5" t="s">
        <v>3728</v>
      </c>
      <c r="UGW613" s="17">
        <v>44925</v>
      </c>
      <c r="UGX613" s="5" t="s">
        <v>3728</v>
      </c>
      <c r="UGY613" s="17">
        <v>44925</v>
      </c>
      <c r="UGZ613" s="5" t="s">
        <v>3728</v>
      </c>
      <c r="UHA613" s="17">
        <v>44925</v>
      </c>
      <c r="UHB613" s="5" t="s">
        <v>3728</v>
      </c>
      <c r="UHC613" s="17">
        <v>44925</v>
      </c>
      <c r="UHD613" s="5" t="s">
        <v>3728</v>
      </c>
      <c r="UHE613" s="17">
        <v>44925</v>
      </c>
      <c r="UHF613" s="5" t="s">
        <v>3728</v>
      </c>
      <c r="UHG613" s="17">
        <v>44925</v>
      </c>
      <c r="UHH613" s="5" t="s">
        <v>3728</v>
      </c>
      <c r="UHI613" s="17">
        <v>44925</v>
      </c>
      <c r="UHJ613" s="5" t="s">
        <v>3728</v>
      </c>
      <c r="UHK613" s="17">
        <v>44925</v>
      </c>
      <c r="UHL613" s="5" t="s">
        <v>3728</v>
      </c>
      <c r="UHM613" s="17">
        <v>44925</v>
      </c>
      <c r="UHN613" s="5" t="s">
        <v>3728</v>
      </c>
      <c r="UHO613" s="17">
        <v>44925</v>
      </c>
      <c r="UHP613" s="5" t="s">
        <v>3728</v>
      </c>
      <c r="UHQ613" s="17">
        <v>44925</v>
      </c>
      <c r="UHR613" s="5" t="s">
        <v>3728</v>
      </c>
      <c r="UHS613" s="17">
        <v>44925</v>
      </c>
      <c r="UHT613" s="5" t="s">
        <v>3728</v>
      </c>
      <c r="UHU613" s="17">
        <v>44925</v>
      </c>
      <c r="UHV613" s="5" t="s">
        <v>3728</v>
      </c>
      <c r="UHW613" s="17">
        <v>44925</v>
      </c>
      <c r="UHX613" s="5" t="s">
        <v>3728</v>
      </c>
      <c r="UHY613" s="17">
        <v>44925</v>
      </c>
      <c r="UHZ613" s="5" t="s">
        <v>3728</v>
      </c>
      <c r="UIA613" s="17">
        <v>44925</v>
      </c>
      <c r="UIB613" s="5" t="s">
        <v>3728</v>
      </c>
      <c r="UIC613" s="17">
        <v>44925</v>
      </c>
      <c r="UID613" s="5" t="s">
        <v>3728</v>
      </c>
      <c r="UIE613" s="17">
        <v>44925</v>
      </c>
      <c r="UIF613" s="5" t="s">
        <v>3728</v>
      </c>
      <c r="UIG613" s="17">
        <v>44925</v>
      </c>
      <c r="UIH613" s="5" t="s">
        <v>3728</v>
      </c>
      <c r="UII613" s="17">
        <v>44925</v>
      </c>
      <c r="UIJ613" s="5" t="s">
        <v>3728</v>
      </c>
      <c r="UIK613" s="17">
        <v>44925</v>
      </c>
      <c r="UIL613" s="5" t="s">
        <v>3728</v>
      </c>
      <c r="UIM613" s="17">
        <v>44925</v>
      </c>
      <c r="UIN613" s="5" t="s">
        <v>3728</v>
      </c>
      <c r="UIO613" s="17">
        <v>44925</v>
      </c>
      <c r="UIP613" s="5" t="s">
        <v>3728</v>
      </c>
      <c r="UIQ613" s="17">
        <v>44925</v>
      </c>
      <c r="UIR613" s="5" t="s">
        <v>3728</v>
      </c>
      <c r="UIS613" s="17">
        <v>44925</v>
      </c>
      <c r="UIT613" s="5" t="s">
        <v>3728</v>
      </c>
      <c r="UIU613" s="17">
        <v>44925</v>
      </c>
      <c r="UIV613" s="5" t="s">
        <v>3728</v>
      </c>
      <c r="UIW613" s="17">
        <v>44925</v>
      </c>
      <c r="UIX613" s="5" t="s">
        <v>3728</v>
      </c>
      <c r="UIY613" s="17">
        <v>44925</v>
      </c>
      <c r="UIZ613" s="5" t="s">
        <v>3728</v>
      </c>
      <c r="UJA613" s="17">
        <v>44925</v>
      </c>
      <c r="UJB613" s="5" t="s">
        <v>3728</v>
      </c>
      <c r="UJC613" s="17">
        <v>44925</v>
      </c>
      <c r="UJD613" s="5" t="s">
        <v>3728</v>
      </c>
      <c r="UJE613" s="17">
        <v>44925</v>
      </c>
      <c r="UJF613" s="5" t="s">
        <v>3728</v>
      </c>
      <c r="UJG613" s="17">
        <v>44925</v>
      </c>
      <c r="UJH613" s="5" t="s">
        <v>3728</v>
      </c>
      <c r="UJI613" s="17">
        <v>44925</v>
      </c>
      <c r="UJJ613" s="5" t="s">
        <v>3728</v>
      </c>
      <c r="UJK613" s="17">
        <v>44925</v>
      </c>
      <c r="UJL613" s="5" t="s">
        <v>3728</v>
      </c>
      <c r="UJM613" s="17">
        <v>44925</v>
      </c>
      <c r="UJN613" s="5" t="s">
        <v>3728</v>
      </c>
      <c r="UJO613" s="17">
        <v>44925</v>
      </c>
      <c r="UJP613" s="5" t="s">
        <v>3728</v>
      </c>
      <c r="UJQ613" s="17">
        <v>44925</v>
      </c>
      <c r="UJR613" s="5" t="s">
        <v>3728</v>
      </c>
      <c r="UJS613" s="17">
        <v>44925</v>
      </c>
      <c r="UJT613" s="5" t="s">
        <v>3728</v>
      </c>
      <c r="UJU613" s="17">
        <v>44925</v>
      </c>
      <c r="UJV613" s="5" t="s">
        <v>3728</v>
      </c>
      <c r="UJW613" s="17">
        <v>44925</v>
      </c>
      <c r="UJX613" s="5" t="s">
        <v>3728</v>
      </c>
      <c r="UJY613" s="17">
        <v>44925</v>
      </c>
      <c r="UJZ613" s="5" t="s">
        <v>3728</v>
      </c>
      <c r="UKA613" s="17">
        <v>44925</v>
      </c>
      <c r="UKB613" s="5" t="s">
        <v>3728</v>
      </c>
      <c r="UKC613" s="17">
        <v>44925</v>
      </c>
      <c r="UKD613" s="5" t="s">
        <v>3728</v>
      </c>
      <c r="UKE613" s="17">
        <v>44925</v>
      </c>
      <c r="UKF613" s="5" t="s">
        <v>3728</v>
      </c>
      <c r="UKG613" s="17">
        <v>44925</v>
      </c>
      <c r="UKH613" s="5" t="s">
        <v>3728</v>
      </c>
      <c r="UKI613" s="17">
        <v>44925</v>
      </c>
      <c r="UKJ613" s="5" t="s">
        <v>3728</v>
      </c>
      <c r="UKK613" s="17">
        <v>44925</v>
      </c>
      <c r="UKL613" s="5" t="s">
        <v>3728</v>
      </c>
      <c r="UKM613" s="17">
        <v>44925</v>
      </c>
      <c r="UKN613" s="5" t="s">
        <v>3728</v>
      </c>
      <c r="UKO613" s="17">
        <v>44925</v>
      </c>
      <c r="UKP613" s="5" t="s">
        <v>3728</v>
      </c>
      <c r="UKQ613" s="17">
        <v>44925</v>
      </c>
      <c r="UKR613" s="5" t="s">
        <v>3728</v>
      </c>
      <c r="UKS613" s="17">
        <v>44925</v>
      </c>
      <c r="UKT613" s="5" t="s">
        <v>3728</v>
      </c>
      <c r="UKU613" s="17">
        <v>44925</v>
      </c>
      <c r="UKV613" s="5" t="s">
        <v>3728</v>
      </c>
      <c r="UKW613" s="17">
        <v>44925</v>
      </c>
      <c r="UKX613" s="5" t="s">
        <v>3728</v>
      </c>
      <c r="UKY613" s="17">
        <v>44925</v>
      </c>
      <c r="UKZ613" s="5" t="s">
        <v>3728</v>
      </c>
      <c r="ULA613" s="17">
        <v>44925</v>
      </c>
      <c r="ULB613" s="5" t="s">
        <v>3728</v>
      </c>
      <c r="ULC613" s="17">
        <v>44925</v>
      </c>
      <c r="ULD613" s="5" t="s">
        <v>3728</v>
      </c>
      <c r="ULE613" s="17">
        <v>44925</v>
      </c>
      <c r="ULF613" s="5" t="s">
        <v>3728</v>
      </c>
      <c r="ULG613" s="17">
        <v>44925</v>
      </c>
      <c r="ULH613" s="5" t="s">
        <v>3728</v>
      </c>
      <c r="ULI613" s="17">
        <v>44925</v>
      </c>
      <c r="ULJ613" s="5" t="s">
        <v>3728</v>
      </c>
      <c r="ULK613" s="17">
        <v>44925</v>
      </c>
      <c r="ULL613" s="5" t="s">
        <v>3728</v>
      </c>
      <c r="ULM613" s="17">
        <v>44925</v>
      </c>
      <c r="ULN613" s="5" t="s">
        <v>3728</v>
      </c>
      <c r="ULO613" s="17">
        <v>44925</v>
      </c>
      <c r="ULP613" s="5" t="s">
        <v>3728</v>
      </c>
      <c r="ULQ613" s="17">
        <v>44925</v>
      </c>
      <c r="ULR613" s="5" t="s">
        <v>3728</v>
      </c>
      <c r="ULS613" s="17">
        <v>44925</v>
      </c>
      <c r="ULT613" s="5" t="s">
        <v>3728</v>
      </c>
      <c r="ULU613" s="17">
        <v>44925</v>
      </c>
      <c r="ULV613" s="5" t="s">
        <v>3728</v>
      </c>
      <c r="ULW613" s="17">
        <v>44925</v>
      </c>
      <c r="ULX613" s="5" t="s">
        <v>3728</v>
      </c>
      <c r="ULY613" s="17">
        <v>44925</v>
      </c>
      <c r="ULZ613" s="5" t="s">
        <v>3728</v>
      </c>
      <c r="UMA613" s="17">
        <v>44925</v>
      </c>
      <c r="UMB613" s="5" t="s">
        <v>3728</v>
      </c>
      <c r="UMC613" s="17">
        <v>44925</v>
      </c>
      <c r="UMD613" s="5" t="s">
        <v>3728</v>
      </c>
      <c r="UME613" s="17">
        <v>44925</v>
      </c>
      <c r="UMF613" s="5" t="s">
        <v>3728</v>
      </c>
      <c r="UMG613" s="17">
        <v>44925</v>
      </c>
      <c r="UMH613" s="5" t="s">
        <v>3728</v>
      </c>
      <c r="UMI613" s="17">
        <v>44925</v>
      </c>
      <c r="UMJ613" s="5" t="s">
        <v>3728</v>
      </c>
      <c r="UMK613" s="17">
        <v>44925</v>
      </c>
      <c r="UML613" s="5" t="s">
        <v>3728</v>
      </c>
      <c r="UMM613" s="17">
        <v>44925</v>
      </c>
      <c r="UMN613" s="5" t="s">
        <v>3728</v>
      </c>
      <c r="UMO613" s="17">
        <v>44925</v>
      </c>
      <c r="UMP613" s="5" t="s">
        <v>3728</v>
      </c>
      <c r="UMQ613" s="17">
        <v>44925</v>
      </c>
      <c r="UMR613" s="5" t="s">
        <v>3728</v>
      </c>
      <c r="UMS613" s="17">
        <v>44925</v>
      </c>
      <c r="UMT613" s="5" t="s">
        <v>3728</v>
      </c>
      <c r="UMU613" s="17">
        <v>44925</v>
      </c>
      <c r="UMV613" s="5" t="s">
        <v>3728</v>
      </c>
      <c r="UMW613" s="17">
        <v>44925</v>
      </c>
      <c r="UMX613" s="5" t="s">
        <v>3728</v>
      </c>
      <c r="UMY613" s="17">
        <v>44925</v>
      </c>
      <c r="UMZ613" s="5" t="s">
        <v>3728</v>
      </c>
      <c r="UNA613" s="17">
        <v>44925</v>
      </c>
      <c r="UNB613" s="5" t="s">
        <v>3728</v>
      </c>
      <c r="UNC613" s="17">
        <v>44925</v>
      </c>
      <c r="UND613" s="5" t="s">
        <v>3728</v>
      </c>
      <c r="UNE613" s="17">
        <v>44925</v>
      </c>
      <c r="UNF613" s="5" t="s">
        <v>3728</v>
      </c>
      <c r="UNG613" s="17">
        <v>44925</v>
      </c>
      <c r="UNH613" s="5" t="s">
        <v>3728</v>
      </c>
      <c r="UNI613" s="17">
        <v>44925</v>
      </c>
      <c r="UNJ613" s="5" t="s">
        <v>3728</v>
      </c>
      <c r="UNK613" s="17">
        <v>44925</v>
      </c>
      <c r="UNL613" s="5" t="s">
        <v>3728</v>
      </c>
      <c r="UNM613" s="17">
        <v>44925</v>
      </c>
      <c r="UNN613" s="5" t="s">
        <v>3728</v>
      </c>
      <c r="UNO613" s="17">
        <v>44925</v>
      </c>
      <c r="UNP613" s="5" t="s">
        <v>3728</v>
      </c>
      <c r="UNQ613" s="17">
        <v>44925</v>
      </c>
      <c r="UNR613" s="5" t="s">
        <v>3728</v>
      </c>
      <c r="UNS613" s="17">
        <v>44925</v>
      </c>
      <c r="UNT613" s="5" t="s">
        <v>3728</v>
      </c>
      <c r="UNU613" s="17">
        <v>44925</v>
      </c>
      <c r="UNV613" s="5" t="s">
        <v>3728</v>
      </c>
      <c r="UNW613" s="17">
        <v>44925</v>
      </c>
      <c r="UNX613" s="5" t="s">
        <v>3728</v>
      </c>
      <c r="UNY613" s="17">
        <v>44925</v>
      </c>
      <c r="UNZ613" s="5" t="s">
        <v>3728</v>
      </c>
      <c r="UOA613" s="17">
        <v>44925</v>
      </c>
      <c r="UOB613" s="5" t="s">
        <v>3728</v>
      </c>
      <c r="UOC613" s="17">
        <v>44925</v>
      </c>
      <c r="UOD613" s="5" t="s">
        <v>3728</v>
      </c>
      <c r="UOE613" s="17">
        <v>44925</v>
      </c>
      <c r="UOF613" s="5" t="s">
        <v>3728</v>
      </c>
      <c r="UOG613" s="17">
        <v>44925</v>
      </c>
      <c r="UOH613" s="5" t="s">
        <v>3728</v>
      </c>
      <c r="UOI613" s="17">
        <v>44925</v>
      </c>
      <c r="UOJ613" s="5" t="s">
        <v>3728</v>
      </c>
      <c r="UOK613" s="17">
        <v>44925</v>
      </c>
      <c r="UOL613" s="5" t="s">
        <v>3728</v>
      </c>
      <c r="UOM613" s="17">
        <v>44925</v>
      </c>
      <c r="UON613" s="5" t="s">
        <v>3728</v>
      </c>
      <c r="UOO613" s="17">
        <v>44925</v>
      </c>
      <c r="UOP613" s="5" t="s">
        <v>3728</v>
      </c>
      <c r="UOQ613" s="17">
        <v>44925</v>
      </c>
      <c r="UOR613" s="5" t="s">
        <v>3728</v>
      </c>
      <c r="UOS613" s="17">
        <v>44925</v>
      </c>
      <c r="UOT613" s="5" t="s">
        <v>3728</v>
      </c>
      <c r="UOU613" s="17">
        <v>44925</v>
      </c>
      <c r="UOV613" s="5" t="s">
        <v>3728</v>
      </c>
      <c r="UOW613" s="17">
        <v>44925</v>
      </c>
      <c r="UOX613" s="5" t="s">
        <v>3728</v>
      </c>
      <c r="UOY613" s="17">
        <v>44925</v>
      </c>
      <c r="UOZ613" s="5" t="s">
        <v>3728</v>
      </c>
      <c r="UPA613" s="17">
        <v>44925</v>
      </c>
      <c r="UPB613" s="5" t="s">
        <v>3728</v>
      </c>
      <c r="UPC613" s="17">
        <v>44925</v>
      </c>
      <c r="UPD613" s="5" t="s">
        <v>3728</v>
      </c>
      <c r="UPE613" s="17">
        <v>44925</v>
      </c>
      <c r="UPF613" s="5" t="s">
        <v>3728</v>
      </c>
      <c r="UPG613" s="17">
        <v>44925</v>
      </c>
      <c r="UPH613" s="5" t="s">
        <v>3728</v>
      </c>
      <c r="UPI613" s="17">
        <v>44925</v>
      </c>
      <c r="UPJ613" s="5" t="s">
        <v>3728</v>
      </c>
      <c r="UPK613" s="17">
        <v>44925</v>
      </c>
      <c r="UPL613" s="5" t="s">
        <v>3728</v>
      </c>
      <c r="UPM613" s="17">
        <v>44925</v>
      </c>
      <c r="UPN613" s="5" t="s">
        <v>3728</v>
      </c>
      <c r="UPO613" s="17">
        <v>44925</v>
      </c>
      <c r="UPP613" s="5" t="s">
        <v>3728</v>
      </c>
      <c r="UPQ613" s="17">
        <v>44925</v>
      </c>
      <c r="UPR613" s="5" t="s">
        <v>3728</v>
      </c>
      <c r="UPS613" s="17">
        <v>44925</v>
      </c>
      <c r="UPT613" s="5" t="s">
        <v>3728</v>
      </c>
      <c r="UPU613" s="17">
        <v>44925</v>
      </c>
      <c r="UPV613" s="5" t="s">
        <v>3728</v>
      </c>
      <c r="UPW613" s="17">
        <v>44925</v>
      </c>
      <c r="UPX613" s="5" t="s">
        <v>3728</v>
      </c>
      <c r="UPY613" s="17">
        <v>44925</v>
      </c>
      <c r="UPZ613" s="5" t="s">
        <v>3728</v>
      </c>
      <c r="UQA613" s="17">
        <v>44925</v>
      </c>
      <c r="UQB613" s="5" t="s">
        <v>3728</v>
      </c>
      <c r="UQC613" s="17">
        <v>44925</v>
      </c>
      <c r="UQD613" s="5" t="s">
        <v>3728</v>
      </c>
      <c r="UQE613" s="17">
        <v>44925</v>
      </c>
      <c r="UQF613" s="5" t="s">
        <v>3728</v>
      </c>
      <c r="UQG613" s="17">
        <v>44925</v>
      </c>
      <c r="UQH613" s="5" t="s">
        <v>3728</v>
      </c>
      <c r="UQI613" s="17">
        <v>44925</v>
      </c>
      <c r="UQJ613" s="5" t="s">
        <v>3728</v>
      </c>
      <c r="UQK613" s="17">
        <v>44925</v>
      </c>
      <c r="UQL613" s="5" t="s">
        <v>3728</v>
      </c>
      <c r="UQM613" s="17">
        <v>44925</v>
      </c>
      <c r="UQN613" s="5" t="s">
        <v>3728</v>
      </c>
      <c r="UQO613" s="17">
        <v>44925</v>
      </c>
      <c r="UQP613" s="5" t="s">
        <v>3728</v>
      </c>
      <c r="UQQ613" s="17">
        <v>44925</v>
      </c>
      <c r="UQR613" s="5" t="s">
        <v>3728</v>
      </c>
      <c r="UQS613" s="17">
        <v>44925</v>
      </c>
      <c r="UQT613" s="5" t="s">
        <v>3728</v>
      </c>
      <c r="UQU613" s="17">
        <v>44925</v>
      </c>
      <c r="UQV613" s="5" t="s">
        <v>3728</v>
      </c>
      <c r="UQW613" s="17">
        <v>44925</v>
      </c>
      <c r="UQX613" s="5" t="s">
        <v>3728</v>
      </c>
      <c r="UQY613" s="17">
        <v>44925</v>
      </c>
      <c r="UQZ613" s="5" t="s">
        <v>3728</v>
      </c>
      <c r="URA613" s="17">
        <v>44925</v>
      </c>
      <c r="URB613" s="5" t="s">
        <v>3728</v>
      </c>
      <c r="URC613" s="17">
        <v>44925</v>
      </c>
      <c r="URD613" s="5" t="s">
        <v>3728</v>
      </c>
      <c r="URE613" s="17">
        <v>44925</v>
      </c>
      <c r="URF613" s="5" t="s">
        <v>3728</v>
      </c>
      <c r="URG613" s="17">
        <v>44925</v>
      </c>
      <c r="URH613" s="5" t="s">
        <v>3728</v>
      </c>
      <c r="URI613" s="17">
        <v>44925</v>
      </c>
      <c r="URJ613" s="5" t="s">
        <v>3728</v>
      </c>
      <c r="URK613" s="17">
        <v>44925</v>
      </c>
      <c r="URL613" s="5" t="s">
        <v>3728</v>
      </c>
      <c r="URM613" s="17">
        <v>44925</v>
      </c>
      <c r="URN613" s="5" t="s">
        <v>3728</v>
      </c>
      <c r="URO613" s="17">
        <v>44925</v>
      </c>
      <c r="URP613" s="5" t="s">
        <v>3728</v>
      </c>
      <c r="URQ613" s="17">
        <v>44925</v>
      </c>
      <c r="URR613" s="5" t="s">
        <v>3728</v>
      </c>
      <c r="URS613" s="17">
        <v>44925</v>
      </c>
      <c r="URT613" s="5" t="s">
        <v>3728</v>
      </c>
      <c r="URU613" s="17">
        <v>44925</v>
      </c>
      <c r="URV613" s="5" t="s">
        <v>3728</v>
      </c>
      <c r="URW613" s="17">
        <v>44925</v>
      </c>
      <c r="URX613" s="5" t="s">
        <v>3728</v>
      </c>
      <c r="URY613" s="17">
        <v>44925</v>
      </c>
      <c r="URZ613" s="5" t="s">
        <v>3728</v>
      </c>
      <c r="USA613" s="17">
        <v>44925</v>
      </c>
      <c r="USB613" s="5" t="s">
        <v>3728</v>
      </c>
      <c r="USC613" s="17">
        <v>44925</v>
      </c>
      <c r="USD613" s="5" t="s">
        <v>3728</v>
      </c>
      <c r="USE613" s="17">
        <v>44925</v>
      </c>
      <c r="USF613" s="5" t="s">
        <v>3728</v>
      </c>
      <c r="USG613" s="17">
        <v>44925</v>
      </c>
      <c r="USH613" s="5" t="s">
        <v>3728</v>
      </c>
      <c r="USI613" s="17">
        <v>44925</v>
      </c>
      <c r="USJ613" s="5" t="s">
        <v>3728</v>
      </c>
      <c r="USK613" s="17">
        <v>44925</v>
      </c>
      <c r="USL613" s="5" t="s">
        <v>3728</v>
      </c>
      <c r="USM613" s="17">
        <v>44925</v>
      </c>
      <c r="USN613" s="5" t="s">
        <v>3728</v>
      </c>
      <c r="USO613" s="17">
        <v>44925</v>
      </c>
      <c r="USP613" s="5" t="s">
        <v>3728</v>
      </c>
      <c r="USQ613" s="17">
        <v>44925</v>
      </c>
      <c r="USR613" s="5" t="s">
        <v>3728</v>
      </c>
      <c r="USS613" s="17">
        <v>44925</v>
      </c>
      <c r="UST613" s="5" t="s">
        <v>3728</v>
      </c>
      <c r="USU613" s="17">
        <v>44925</v>
      </c>
      <c r="USV613" s="5" t="s">
        <v>3728</v>
      </c>
      <c r="USW613" s="17">
        <v>44925</v>
      </c>
      <c r="USX613" s="5" t="s">
        <v>3728</v>
      </c>
      <c r="USY613" s="17">
        <v>44925</v>
      </c>
      <c r="USZ613" s="5" t="s">
        <v>3728</v>
      </c>
      <c r="UTA613" s="17">
        <v>44925</v>
      </c>
      <c r="UTB613" s="5" t="s">
        <v>3728</v>
      </c>
      <c r="UTC613" s="17">
        <v>44925</v>
      </c>
      <c r="UTD613" s="5" t="s">
        <v>3728</v>
      </c>
      <c r="UTE613" s="17">
        <v>44925</v>
      </c>
      <c r="UTF613" s="5" t="s">
        <v>3728</v>
      </c>
      <c r="UTG613" s="17">
        <v>44925</v>
      </c>
      <c r="UTH613" s="5" t="s">
        <v>3728</v>
      </c>
      <c r="UTI613" s="17">
        <v>44925</v>
      </c>
      <c r="UTJ613" s="5" t="s">
        <v>3728</v>
      </c>
      <c r="UTK613" s="17">
        <v>44925</v>
      </c>
      <c r="UTL613" s="5" t="s">
        <v>3728</v>
      </c>
      <c r="UTM613" s="17">
        <v>44925</v>
      </c>
      <c r="UTN613" s="5" t="s">
        <v>3728</v>
      </c>
      <c r="UTO613" s="17">
        <v>44925</v>
      </c>
      <c r="UTP613" s="5" t="s">
        <v>3728</v>
      </c>
      <c r="UTQ613" s="17">
        <v>44925</v>
      </c>
      <c r="UTR613" s="5" t="s">
        <v>3728</v>
      </c>
      <c r="UTS613" s="17">
        <v>44925</v>
      </c>
      <c r="UTT613" s="5" t="s">
        <v>3728</v>
      </c>
      <c r="UTU613" s="17">
        <v>44925</v>
      </c>
      <c r="UTV613" s="5" t="s">
        <v>3728</v>
      </c>
      <c r="UTW613" s="17">
        <v>44925</v>
      </c>
      <c r="UTX613" s="5" t="s">
        <v>3728</v>
      </c>
      <c r="UTY613" s="17">
        <v>44925</v>
      </c>
      <c r="UTZ613" s="5" t="s">
        <v>3728</v>
      </c>
      <c r="UUA613" s="17">
        <v>44925</v>
      </c>
      <c r="UUB613" s="5" t="s">
        <v>3728</v>
      </c>
      <c r="UUC613" s="17">
        <v>44925</v>
      </c>
      <c r="UUD613" s="5" t="s">
        <v>3728</v>
      </c>
      <c r="UUE613" s="17">
        <v>44925</v>
      </c>
      <c r="UUF613" s="5" t="s">
        <v>3728</v>
      </c>
      <c r="UUG613" s="17">
        <v>44925</v>
      </c>
      <c r="UUH613" s="5" t="s">
        <v>3728</v>
      </c>
      <c r="UUI613" s="17">
        <v>44925</v>
      </c>
      <c r="UUJ613" s="5" t="s">
        <v>3728</v>
      </c>
      <c r="UUK613" s="17">
        <v>44925</v>
      </c>
      <c r="UUL613" s="5" t="s">
        <v>3728</v>
      </c>
      <c r="UUM613" s="17">
        <v>44925</v>
      </c>
      <c r="UUN613" s="5" t="s">
        <v>3728</v>
      </c>
      <c r="UUO613" s="17">
        <v>44925</v>
      </c>
      <c r="UUP613" s="5" t="s">
        <v>3728</v>
      </c>
      <c r="UUQ613" s="17">
        <v>44925</v>
      </c>
      <c r="UUR613" s="5" t="s">
        <v>3728</v>
      </c>
      <c r="UUS613" s="17">
        <v>44925</v>
      </c>
      <c r="UUT613" s="5" t="s">
        <v>3728</v>
      </c>
      <c r="UUU613" s="17">
        <v>44925</v>
      </c>
      <c r="UUV613" s="5" t="s">
        <v>3728</v>
      </c>
      <c r="UUW613" s="17">
        <v>44925</v>
      </c>
      <c r="UUX613" s="5" t="s">
        <v>3728</v>
      </c>
      <c r="UUY613" s="17">
        <v>44925</v>
      </c>
      <c r="UUZ613" s="5" t="s">
        <v>3728</v>
      </c>
      <c r="UVA613" s="17">
        <v>44925</v>
      </c>
      <c r="UVB613" s="5" t="s">
        <v>3728</v>
      </c>
      <c r="UVC613" s="17">
        <v>44925</v>
      </c>
      <c r="UVD613" s="5" t="s">
        <v>3728</v>
      </c>
      <c r="UVE613" s="17">
        <v>44925</v>
      </c>
      <c r="UVF613" s="5" t="s">
        <v>3728</v>
      </c>
      <c r="UVG613" s="17">
        <v>44925</v>
      </c>
      <c r="UVH613" s="5" t="s">
        <v>3728</v>
      </c>
      <c r="UVI613" s="17">
        <v>44925</v>
      </c>
      <c r="UVJ613" s="5" t="s">
        <v>3728</v>
      </c>
      <c r="UVK613" s="17">
        <v>44925</v>
      </c>
      <c r="UVL613" s="5" t="s">
        <v>3728</v>
      </c>
      <c r="UVM613" s="17">
        <v>44925</v>
      </c>
      <c r="UVN613" s="5" t="s">
        <v>3728</v>
      </c>
      <c r="UVO613" s="17">
        <v>44925</v>
      </c>
      <c r="UVP613" s="5" t="s">
        <v>3728</v>
      </c>
      <c r="UVQ613" s="17">
        <v>44925</v>
      </c>
      <c r="UVR613" s="5" t="s">
        <v>3728</v>
      </c>
      <c r="UVS613" s="17">
        <v>44925</v>
      </c>
      <c r="UVT613" s="5" t="s">
        <v>3728</v>
      </c>
      <c r="UVU613" s="17">
        <v>44925</v>
      </c>
      <c r="UVV613" s="5" t="s">
        <v>3728</v>
      </c>
      <c r="UVW613" s="17">
        <v>44925</v>
      </c>
      <c r="UVX613" s="5" t="s">
        <v>3728</v>
      </c>
      <c r="UVY613" s="17">
        <v>44925</v>
      </c>
      <c r="UVZ613" s="5" t="s">
        <v>3728</v>
      </c>
      <c r="UWA613" s="17">
        <v>44925</v>
      </c>
      <c r="UWB613" s="5" t="s">
        <v>3728</v>
      </c>
      <c r="UWC613" s="17">
        <v>44925</v>
      </c>
      <c r="UWD613" s="5" t="s">
        <v>3728</v>
      </c>
      <c r="UWE613" s="17">
        <v>44925</v>
      </c>
      <c r="UWF613" s="5" t="s">
        <v>3728</v>
      </c>
      <c r="UWG613" s="17">
        <v>44925</v>
      </c>
      <c r="UWH613" s="5" t="s">
        <v>3728</v>
      </c>
      <c r="UWI613" s="17">
        <v>44925</v>
      </c>
      <c r="UWJ613" s="5" t="s">
        <v>3728</v>
      </c>
      <c r="UWK613" s="17">
        <v>44925</v>
      </c>
      <c r="UWL613" s="5" t="s">
        <v>3728</v>
      </c>
      <c r="UWM613" s="17">
        <v>44925</v>
      </c>
      <c r="UWN613" s="5" t="s">
        <v>3728</v>
      </c>
      <c r="UWO613" s="17">
        <v>44925</v>
      </c>
      <c r="UWP613" s="5" t="s">
        <v>3728</v>
      </c>
      <c r="UWQ613" s="17">
        <v>44925</v>
      </c>
      <c r="UWR613" s="5" t="s">
        <v>3728</v>
      </c>
      <c r="UWS613" s="17">
        <v>44925</v>
      </c>
      <c r="UWT613" s="5" t="s">
        <v>3728</v>
      </c>
      <c r="UWU613" s="17">
        <v>44925</v>
      </c>
      <c r="UWV613" s="5" t="s">
        <v>3728</v>
      </c>
      <c r="UWW613" s="17">
        <v>44925</v>
      </c>
      <c r="UWX613" s="5" t="s">
        <v>3728</v>
      </c>
      <c r="UWY613" s="17">
        <v>44925</v>
      </c>
      <c r="UWZ613" s="5" t="s">
        <v>3728</v>
      </c>
      <c r="UXA613" s="17">
        <v>44925</v>
      </c>
      <c r="UXB613" s="5" t="s">
        <v>3728</v>
      </c>
      <c r="UXC613" s="17">
        <v>44925</v>
      </c>
      <c r="UXD613" s="5" t="s">
        <v>3728</v>
      </c>
      <c r="UXE613" s="17">
        <v>44925</v>
      </c>
      <c r="UXF613" s="5" t="s">
        <v>3728</v>
      </c>
      <c r="UXG613" s="17">
        <v>44925</v>
      </c>
      <c r="UXH613" s="5" t="s">
        <v>3728</v>
      </c>
      <c r="UXI613" s="17">
        <v>44925</v>
      </c>
      <c r="UXJ613" s="5" t="s">
        <v>3728</v>
      </c>
      <c r="UXK613" s="17">
        <v>44925</v>
      </c>
      <c r="UXL613" s="5" t="s">
        <v>3728</v>
      </c>
      <c r="UXM613" s="17">
        <v>44925</v>
      </c>
      <c r="UXN613" s="5" t="s">
        <v>3728</v>
      </c>
      <c r="UXO613" s="17">
        <v>44925</v>
      </c>
      <c r="UXP613" s="5" t="s">
        <v>3728</v>
      </c>
      <c r="UXQ613" s="17">
        <v>44925</v>
      </c>
      <c r="UXR613" s="5" t="s">
        <v>3728</v>
      </c>
      <c r="UXS613" s="17">
        <v>44925</v>
      </c>
      <c r="UXT613" s="5" t="s">
        <v>3728</v>
      </c>
      <c r="UXU613" s="17">
        <v>44925</v>
      </c>
      <c r="UXV613" s="5" t="s">
        <v>3728</v>
      </c>
      <c r="UXW613" s="17">
        <v>44925</v>
      </c>
      <c r="UXX613" s="5" t="s">
        <v>3728</v>
      </c>
      <c r="UXY613" s="17">
        <v>44925</v>
      </c>
      <c r="UXZ613" s="5" t="s">
        <v>3728</v>
      </c>
      <c r="UYA613" s="17">
        <v>44925</v>
      </c>
      <c r="UYB613" s="5" t="s">
        <v>3728</v>
      </c>
      <c r="UYC613" s="17">
        <v>44925</v>
      </c>
      <c r="UYD613" s="5" t="s">
        <v>3728</v>
      </c>
      <c r="UYE613" s="17">
        <v>44925</v>
      </c>
      <c r="UYF613" s="5" t="s">
        <v>3728</v>
      </c>
      <c r="UYG613" s="17">
        <v>44925</v>
      </c>
      <c r="UYH613" s="5" t="s">
        <v>3728</v>
      </c>
      <c r="UYI613" s="17">
        <v>44925</v>
      </c>
      <c r="UYJ613" s="5" t="s">
        <v>3728</v>
      </c>
      <c r="UYK613" s="17">
        <v>44925</v>
      </c>
      <c r="UYL613" s="5" t="s">
        <v>3728</v>
      </c>
      <c r="UYM613" s="17">
        <v>44925</v>
      </c>
      <c r="UYN613" s="5" t="s">
        <v>3728</v>
      </c>
      <c r="UYO613" s="17">
        <v>44925</v>
      </c>
      <c r="UYP613" s="5" t="s">
        <v>3728</v>
      </c>
      <c r="UYQ613" s="17">
        <v>44925</v>
      </c>
      <c r="UYR613" s="5" t="s">
        <v>3728</v>
      </c>
      <c r="UYS613" s="17">
        <v>44925</v>
      </c>
      <c r="UYT613" s="5" t="s">
        <v>3728</v>
      </c>
      <c r="UYU613" s="17">
        <v>44925</v>
      </c>
      <c r="UYV613" s="5" t="s">
        <v>3728</v>
      </c>
      <c r="UYW613" s="17">
        <v>44925</v>
      </c>
      <c r="UYX613" s="5" t="s">
        <v>3728</v>
      </c>
      <c r="UYY613" s="17">
        <v>44925</v>
      </c>
      <c r="UYZ613" s="5" t="s">
        <v>3728</v>
      </c>
      <c r="UZA613" s="17">
        <v>44925</v>
      </c>
      <c r="UZB613" s="5" t="s">
        <v>3728</v>
      </c>
      <c r="UZC613" s="17">
        <v>44925</v>
      </c>
      <c r="UZD613" s="5" t="s">
        <v>3728</v>
      </c>
      <c r="UZE613" s="17">
        <v>44925</v>
      </c>
      <c r="UZF613" s="5" t="s">
        <v>3728</v>
      </c>
      <c r="UZG613" s="17">
        <v>44925</v>
      </c>
      <c r="UZH613" s="5" t="s">
        <v>3728</v>
      </c>
      <c r="UZI613" s="17">
        <v>44925</v>
      </c>
      <c r="UZJ613" s="5" t="s">
        <v>3728</v>
      </c>
      <c r="UZK613" s="17">
        <v>44925</v>
      </c>
      <c r="UZL613" s="5" t="s">
        <v>3728</v>
      </c>
      <c r="UZM613" s="17">
        <v>44925</v>
      </c>
      <c r="UZN613" s="5" t="s">
        <v>3728</v>
      </c>
      <c r="UZO613" s="17">
        <v>44925</v>
      </c>
      <c r="UZP613" s="5" t="s">
        <v>3728</v>
      </c>
      <c r="UZQ613" s="17">
        <v>44925</v>
      </c>
      <c r="UZR613" s="5" t="s">
        <v>3728</v>
      </c>
      <c r="UZS613" s="17">
        <v>44925</v>
      </c>
      <c r="UZT613" s="5" t="s">
        <v>3728</v>
      </c>
      <c r="UZU613" s="17">
        <v>44925</v>
      </c>
      <c r="UZV613" s="5" t="s">
        <v>3728</v>
      </c>
      <c r="UZW613" s="17">
        <v>44925</v>
      </c>
      <c r="UZX613" s="5" t="s">
        <v>3728</v>
      </c>
      <c r="UZY613" s="17">
        <v>44925</v>
      </c>
      <c r="UZZ613" s="5" t="s">
        <v>3728</v>
      </c>
      <c r="VAA613" s="17">
        <v>44925</v>
      </c>
      <c r="VAB613" s="5" t="s">
        <v>3728</v>
      </c>
      <c r="VAC613" s="17">
        <v>44925</v>
      </c>
      <c r="VAD613" s="5" t="s">
        <v>3728</v>
      </c>
      <c r="VAE613" s="17">
        <v>44925</v>
      </c>
      <c r="VAF613" s="5" t="s">
        <v>3728</v>
      </c>
      <c r="VAG613" s="17">
        <v>44925</v>
      </c>
      <c r="VAH613" s="5" t="s">
        <v>3728</v>
      </c>
      <c r="VAI613" s="17">
        <v>44925</v>
      </c>
      <c r="VAJ613" s="5" t="s">
        <v>3728</v>
      </c>
      <c r="VAK613" s="17">
        <v>44925</v>
      </c>
      <c r="VAL613" s="5" t="s">
        <v>3728</v>
      </c>
      <c r="VAM613" s="17">
        <v>44925</v>
      </c>
      <c r="VAN613" s="5" t="s">
        <v>3728</v>
      </c>
      <c r="VAO613" s="17">
        <v>44925</v>
      </c>
      <c r="VAP613" s="5" t="s">
        <v>3728</v>
      </c>
      <c r="VAQ613" s="17">
        <v>44925</v>
      </c>
      <c r="VAR613" s="5" t="s">
        <v>3728</v>
      </c>
      <c r="VAS613" s="17">
        <v>44925</v>
      </c>
      <c r="VAT613" s="5" t="s">
        <v>3728</v>
      </c>
      <c r="VAU613" s="17">
        <v>44925</v>
      </c>
      <c r="VAV613" s="5" t="s">
        <v>3728</v>
      </c>
      <c r="VAW613" s="17">
        <v>44925</v>
      </c>
      <c r="VAX613" s="5" t="s">
        <v>3728</v>
      </c>
      <c r="VAY613" s="17">
        <v>44925</v>
      </c>
      <c r="VAZ613" s="5" t="s">
        <v>3728</v>
      </c>
      <c r="VBA613" s="17">
        <v>44925</v>
      </c>
      <c r="VBB613" s="5" t="s">
        <v>3728</v>
      </c>
      <c r="VBC613" s="17">
        <v>44925</v>
      </c>
      <c r="VBD613" s="5" t="s">
        <v>3728</v>
      </c>
      <c r="VBE613" s="17">
        <v>44925</v>
      </c>
      <c r="VBF613" s="5" t="s">
        <v>3728</v>
      </c>
      <c r="VBG613" s="17">
        <v>44925</v>
      </c>
      <c r="VBH613" s="5" t="s">
        <v>3728</v>
      </c>
      <c r="VBI613" s="17">
        <v>44925</v>
      </c>
      <c r="VBJ613" s="5" t="s">
        <v>3728</v>
      </c>
      <c r="VBK613" s="17">
        <v>44925</v>
      </c>
      <c r="VBL613" s="5" t="s">
        <v>3728</v>
      </c>
      <c r="VBM613" s="17">
        <v>44925</v>
      </c>
      <c r="VBN613" s="5" t="s">
        <v>3728</v>
      </c>
      <c r="VBO613" s="17">
        <v>44925</v>
      </c>
      <c r="VBP613" s="5" t="s">
        <v>3728</v>
      </c>
      <c r="VBQ613" s="17">
        <v>44925</v>
      </c>
      <c r="VBR613" s="5" t="s">
        <v>3728</v>
      </c>
      <c r="VBS613" s="17">
        <v>44925</v>
      </c>
      <c r="VBT613" s="5" t="s">
        <v>3728</v>
      </c>
      <c r="VBU613" s="17">
        <v>44925</v>
      </c>
      <c r="VBV613" s="5" t="s">
        <v>3728</v>
      </c>
      <c r="VBW613" s="17">
        <v>44925</v>
      </c>
      <c r="VBX613" s="5" t="s">
        <v>3728</v>
      </c>
      <c r="VBY613" s="17">
        <v>44925</v>
      </c>
      <c r="VBZ613" s="5" t="s">
        <v>3728</v>
      </c>
      <c r="VCA613" s="17">
        <v>44925</v>
      </c>
      <c r="VCB613" s="5" t="s">
        <v>3728</v>
      </c>
      <c r="VCC613" s="17">
        <v>44925</v>
      </c>
      <c r="VCD613" s="5" t="s">
        <v>3728</v>
      </c>
      <c r="VCE613" s="17">
        <v>44925</v>
      </c>
      <c r="VCF613" s="5" t="s">
        <v>3728</v>
      </c>
      <c r="VCG613" s="17">
        <v>44925</v>
      </c>
      <c r="VCH613" s="5" t="s">
        <v>3728</v>
      </c>
      <c r="VCI613" s="17">
        <v>44925</v>
      </c>
      <c r="VCJ613" s="5" t="s">
        <v>3728</v>
      </c>
      <c r="VCK613" s="17">
        <v>44925</v>
      </c>
      <c r="VCL613" s="5" t="s">
        <v>3728</v>
      </c>
      <c r="VCM613" s="17">
        <v>44925</v>
      </c>
      <c r="VCN613" s="5" t="s">
        <v>3728</v>
      </c>
      <c r="VCO613" s="17">
        <v>44925</v>
      </c>
      <c r="VCP613" s="5" t="s">
        <v>3728</v>
      </c>
      <c r="VCQ613" s="17">
        <v>44925</v>
      </c>
      <c r="VCR613" s="5" t="s">
        <v>3728</v>
      </c>
      <c r="VCS613" s="17">
        <v>44925</v>
      </c>
      <c r="VCT613" s="5" t="s">
        <v>3728</v>
      </c>
      <c r="VCU613" s="17">
        <v>44925</v>
      </c>
      <c r="VCV613" s="5" t="s">
        <v>3728</v>
      </c>
      <c r="VCW613" s="17">
        <v>44925</v>
      </c>
      <c r="VCX613" s="5" t="s">
        <v>3728</v>
      </c>
      <c r="VCY613" s="17">
        <v>44925</v>
      </c>
      <c r="VCZ613" s="5" t="s">
        <v>3728</v>
      </c>
      <c r="VDA613" s="17">
        <v>44925</v>
      </c>
      <c r="VDB613" s="5" t="s">
        <v>3728</v>
      </c>
      <c r="VDC613" s="17">
        <v>44925</v>
      </c>
      <c r="VDD613" s="5" t="s">
        <v>3728</v>
      </c>
      <c r="VDE613" s="17">
        <v>44925</v>
      </c>
      <c r="VDF613" s="5" t="s">
        <v>3728</v>
      </c>
      <c r="VDG613" s="17">
        <v>44925</v>
      </c>
      <c r="VDH613" s="5" t="s">
        <v>3728</v>
      </c>
      <c r="VDI613" s="17">
        <v>44925</v>
      </c>
      <c r="VDJ613" s="5" t="s">
        <v>3728</v>
      </c>
      <c r="VDK613" s="17">
        <v>44925</v>
      </c>
      <c r="VDL613" s="5" t="s">
        <v>3728</v>
      </c>
      <c r="VDM613" s="17">
        <v>44925</v>
      </c>
      <c r="VDN613" s="5" t="s">
        <v>3728</v>
      </c>
      <c r="VDO613" s="17">
        <v>44925</v>
      </c>
      <c r="VDP613" s="5" t="s">
        <v>3728</v>
      </c>
      <c r="VDQ613" s="17">
        <v>44925</v>
      </c>
      <c r="VDR613" s="5" t="s">
        <v>3728</v>
      </c>
      <c r="VDS613" s="17">
        <v>44925</v>
      </c>
      <c r="VDT613" s="5" t="s">
        <v>3728</v>
      </c>
      <c r="VDU613" s="17">
        <v>44925</v>
      </c>
      <c r="VDV613" s="5" t="s">
        <v>3728</v>
      </c>
      <c r="VDW613" s="17">
        <v>44925</v>
      </c>
      <c r="VDX613" s="5" t="s">
        <v>3728</v>
      </c>
      <c r="VDY613" s="17">
        <v>44925</v>
      </c>
      <c r="VDZ613" s="5" t="s">
        <v>3728</v>
      </c>
      <c r="VEA613" s="17">
        <v>44925</v>
      </c>
      <c r="VEB613" s="5" t="s">
        <v>3728</v>
      </c>
      <c r="VEC613" s="17">
        <v>44925</v>
      </c>
      <c r="VED613" s="5" t="s">
        <v>3728</v>
      </c>
      <c r="VEE613" s="17">
        <v>44925</v>
      </c>
      <c r="VEF613" s="5" t="s">
        <v>3728</v>
      </c>
      <c r="VEG613" s="17">
        <v>44925</v>
      </c>
      <c r="VEH613" s="5" t="s">
        <v>3728</v>
      </c>
      <c r="VEI613" s="17">
        <v>44925</v>
      </c>
      <c r="VEJ613" s="5" t="s">
        <v>3728</v>
      </c>
      <c r="VEK613" s="17">
        <v>44925</v>
      </c>
      <c r="VEL613" s="5" t="s">
        <v>3728</v>
      </c>
      <c r="VEM613" s="17">
        <v>44925</v>
      </c>
      <c r="VEN613" s="5" t="s">
        <v>3728</v>
      </c>
      <c r="VEO613" s="17">
        <v>44925</v>
      </c>
      <c r="VEP613" s="5" t="s">
        <v>3728</v>
      </c>
      <c r="VEQ613" s="17">
        <v>44925</v>
      </c>
      <c r="VER613" s="5" t="s">
        <v>3728</v>
      </c>
      <c r="VES613" s="17">
        <v>44925</v>
      </c>
      <c r="VET613" s="5" t="s">
        <v>3728</v>
      </c>
      <c r="VEU613" s="17">
        <v>44925</v>
      </c>
      <c r="VEV613" s="5" t="s">
        <v>3728</v>
      </c>
      <c r="VEW613" s="17">
        <v>44925</v>
      </c>
      <c r="VEX613" s="5" t="s">
        <v>3728</v>
      </c>
      <c r="VEY613" s="17">
        <v>44925</v>
      </c>
      <c r="VEZ613" s="5" t="s">
        <v>3728</v>
      </c>
      <c r="VFA613" s="17">
        <v>44925</v>
      </c>
      <c r="VFB613" s="5" t="s">
        <v>3728</v>
      </c>
      <c r="VFC613" s="17">
        <v>44925</v>
      </c>
      <c r="VFD613" s="5" t="s">
        <v>3728</v>
      </c>
      <c r="VFE613" s="17">
        <v>44925</v>
      </c>
      <c r="VFF613" s="5" t="s">
        <v>3728</v>
      </c>
      <c r="VFG613" s="17">
        <v>44925</v>
      </c>
      <c r="VFH613" s="5" t="s">
        <v>3728</v>
      </c>
      <c r="VFI613" s="17">
        <v>44925</v>
      </c>
      <c r="VFJ613" s="5" t="s">
        <v>3728</v>
      </c>
      <c r="VFK613" s="17">
        <v>44925</v>
      </c>
      <c r="VFL613" s="5" t="s">
        <v>3728</v>
      </c>
      <c r="VFM613" s="17">
        <v>44925</v>
      </c>
      <c r="VFN613" s="5" t="s">
        <v>3728</v>
      </c>
      <c r="VFO613" s="17">
        <v>44925</v>
      </c>
      <c r="VFP613" s="5" t="s">
        <v>3728</v>
      </c>
      <c r="VFQ613" s="17">
        <v>44925</v>
      </c>
      <c r="VFR613" s="5" t="s">
        <v>3728</v>
      </c>
      <c r="VFS613" s="17">
        <v>44925</v>
      </c>
      <c r="VFT613" s="5" t="s">
        <v>3728</v>
      </c>
      <c r="VFU613" s="17">
        <v>44925</v>
      </c>
      <c r="VFV613" s="5" t="s">
        <v>3728</v>
      </c>
      <c r="VFW613" s="17">
        <v>44925</v>
      </c>
      <c r="VFX613" s="5" t="s">
        <v>3728</v>
      </c>
      <c r="VFY613" s="17">
        <v>44925</v>
      </c>
      <c r="VFZ613" s="5" t="s">
        <v>3728</v>
      </c>
      <c r="VGA613" s="17">
        <v>44925</v>
      </c>
      <c r="VGB613" s="5" t="s">
        <v>3728</v>
      </c>
      <c r="VGC613" s="17">
        <v>44925</v>
      </c>
      <c r="VGD613" s="5" t="s">
        <v>3728</v>
      </c>
      <c r="VGE613" s="17">
        <v>44925</v>
      </c>
      <c r="VGF613" s="5" t="s">
        <v>3728</v>
      </c>
      <c r="VGG613" s="17">
        <v>44925</v>
      </c>
      <c r="VGH613" s="5" t="s">
        <v>3728</v>
      </c>
      <c r="VGI613" s="17">
        <v>44925</v>
      </c>
      <c r="VGJ613" s="5" t="s">
        <v>3728</v>
      </c>
      <c r="VGK613" s="17">
        <v>44925</v>
      </c>
      <c r="VGL613" s="5" t="s">
        <v>3728</v>
      </c>
      <c r="VGM613" s="17">
        <v>44925</v>
      </c>
      <c r="VGN613" s="5" t="s">
        <v>3728</v>
      </c>
      <c r="VGO613" s="17">
        <v>44925</v>
      </c>
      <c r="VGP613" s="5" t="s">
        <v>3728</v>
      </c>
      <c r="VGQ613" s="17">
        <v>44925</v>
      </c>
      <c r="VGR613" s="5" t="s">
        <v>3728</v>
      </c>
      <c r="VGS613" s="17">
        <v>44925</v>
      </c>
      <c r="VGT613" s="5" t="s">
        <v>3728</v>
      </c>
      <c r="VGU613" s="17">
        <v>44925</v>
      </c>
      <c r="VGV613" s="5" t="s">
        <v>3728</v>
      </c>
      <c r="VGW613" s="17">
        <v>44925</v>
      </c>
      <c r="VGX613" s="5" t="s">
        <v>3728</v>
      </c>
      <c r="VGY613" s="17">
        <v>44925</v>
      </c>
      <c r="VGZ613" s="5" t="s">
        <v>3728</v>
      </c>
      <c r="VHA613" s="17">
        <v>44925</v>
      </c>
      <c r="VHB613" s="5" t="s">
        <v>3728</v>
      </c>
      <c r="VHC613" s="17">
        <v>44925</v>
      </c>
      <c r="VHD613" s="5" t="s">
        <v>3728</v>
      </c>
      <c r="VHE613" s="17">
        <v>44925</v>
      </c>
      <c r="VHF613" s="5" t="s">
        <v>3728</v>
      </c>
      <c r="VHG613" s="17">
        <v>44925</v>
      </c>
      <c r="VHH613" s="5" t="s">
        <v>3728</v>
      </c>
      <c r="VHI613" s="17">
        <v>44925</v>
      </c>
      <c r="VHJ613" s="5" t="s">
        <v>3728</v>
      </c>
      <c r="VHK613" s="17">
        <v>44925</v>
      </c>
      <c r="VHL613" s="5" t="s">
        <v>3728</v>
      </c>
      <c r="VHM613" s="17">
        <v>44925</v>
      </c>
      <c r="VHN613" s="5" t="s">
        <v>3728</v>
      </c>
      <c r="VHO613" s="17">
        <v>44925</v>
      </c>
      <c r="VHP613" s="5" t="s">
        <v>3728</v>
      </c>
      <c r="VHQ613" s="17">
        <v>44925</v>
      </c>
      <c r="VHR613" s="5" t="s">
        <v>3728</v>
      </c>
      <c r="VHS613" s="17">
        <v>44925</v>
      </c>
      <c r="VHT613" s="5" t="s">
        <v>3728</v>
      </c>
      <c r="VHU613" s="17">
        <v>44925</v>
      </c>
      <c r="VHV613" s="5" t="s">
        <v>3728</v>
      </c>
      <c r="VHW613" s="17">
        <v>44925</v>
      </c>
      <c r="VHX613" s="5" t="s">
        <v>3728</v>
      </c>
      <c r="VHY613" s="17">
        <v>44925</v>
      </c>
      <c r="VHZ613" s="5" t="s">
        <v>3728</v>
      </c>
      <c r="VIA613" s="17">
        <v>44925</v>
      </c>
      <c r="VIB613" s="5" t="s">
        <v>3728</v>
      </c>
      <c r="VIC613" s="17">
        <v>44925</v>
      </c>
      <c r="VID613" s="5" t="s">
        <v>3728</v>
      </c>
      <c r="VIE613" s="17">
        <v>44925</v>
      </c>
      <c r="VIF613" s="5" t="s">
        <v>3728</v>
      </c>
      <c r="VIG613" s="17">
        <v>44925</v>
      </c>
      <c r="VIH613" s="5" t="s">
        <v>3728</v>
      </c>
      <c r="VII613" s="17">
        <v>44925</v>
      </c>
      <c r="VIJ613" s="5" t="s">
        <v>3728</v>
      </c>
      <c r="VIK613" s="17">
        <v>44925</v>
      </c>
      <c r="VIL613" s="5" t="s">
        <v>3728</v>
      </c>
      <c r="VIM613" s="17">
        <v>44925</v>
      </c>
      <c r="VIN613" s="5" t="s">
        <v>3728</v>
      </c>
      <c r="VIO613" s="17">
        <v>44925</v>
      </c>
      <c r="VIP613" s="5" t="s">
        <v>3728</v>
      </c>
      <c r="VIQ613" s="17">
        <v>44925</v>
      </c>
      <c r="VIR613" s="5" t="s">
        <v>3728</v>
      </c>
      <c r="VIS613" s="17">
        <v>44925</v>
      </c>
      <c r="VIT613" s="5" t="s">
        <v>3728</v>
      </c>
      <c r="VIU613" s="17">
        <v>44925</v>
      </c>
      <c r="VIV613" s="5" t="s">
        <v>3728</v>
      </c>
      <c r="VIW613" s="17">
        <v>44925</v>
      </c>
      <c r="VIX613" s="5" t="s">
        <v>3728</v>
      </c>
      <c r="VIY613" s="17">
        <v>44925</v>
      </c>
      <c r="VIZ613" s="5" t="s">
        <v>3728</v>
      </c>
      <c r="VJA613" s="17">
        <v>44925</v>
      </c>
      <c r="VJB613" s="5" t="s">
        <v>3728</v>
      </c>
      <c r="VJC613" s="17">
        <v>44925</v>
      </c>
      <c r="VJD613" s="5" t="s">
        <v>3728</v>
      </c>
      <c r="VJE613" s="17">
        <v>44925</v>
      </c>
      <c r="VJF613" s="5" t="s">
        <v>3728</v>
      </c>
      <c r="VJG613" s="17">
        <v>44925</v>
      </c>
      <c r="VJH613" s="5" t="s">
        <v>3728</v>
      </c>
      <c r="VJI613" s="17">
        <v>44925</v>
      </c>
      <c r="VJJ613" s="5" t="s">
        <v>3728</v>
      </c>
      <c r="VJK613" s="17">
        <v>44925</v>
      </c>
      <c r="VJL613" s="5" t="s">
        <v>3728</v>
      </c>
      <c r="VJM613" s="17">
        <v>44925</v>
      </c>
      <c r="VJN613" s="5" t="s">
        <v>3728</v>
      </c>
      <c r="VJO613" s="17">
        <v>44925</v>
      </c>
      <c r="VJP613" s="5" t="s">
        <v>3728</v>
      </c>
      <c r="VJQ613" s="17">
        <v>44925</v>
      </c>
      <c r="VJR613" s="5" t="s">
        <v>3728</v>
      </c>
      <c r="VJS613" s="17">
        <v>44925</v>
      </c>
      <c r="VJT613" s="5" t="s">
        <v>3728</v>
      </c>
      <c r="VJU613" s="17">
        <v>44925</v>
      </c>
      <c r="VJV613" s="5" t="s">
        <v>3728</v>
      </c>
      <c r="VJW613" s="17">
        <v>44925</v>
      </c>
      <c r="VJX613" s="5" t="s">
        <v>3728</v>
      </c>
      <c r="VJY613" s="17">
        <v>44925</v>
      </c>
      <c r="VJZ613" s="5" t="s">
        <v>3728</v>
      </c>
      <c r="VKA613" s="17">
        <v>44925</v>
      </c>
      <c r="VKB613" s="5" t="s">
        <v>3728</v>
      </c>
      <c r="VKC613" s="17">
        <v>44925</v>
      </c>
      <c r="VKD613" s="5" t="s">
        <v>3728</v>
      </c>
      <c r="VKE613" s="17">
        <v>44925</v>
      </c>
      <c r="VKF613" s="5" t="s">
        <v>3728</v>
      </c>
      <c r="VKG613" s="17">
        <v>44925</v>
      </c>
      <c r="VKH613" s="5" t="s">
        <v>3728</v>
      </c>
      <c r="VKI613" s="17">
        <v>44925</v>
      </c>
      <c r="VKJ613" s="5" t="s">
        <v>3728</v>
      </c>
      <c r="VKK613" s="17">
        <v>44925</v>
      </c>
      <c r="VKL613" s="5" t="s">
        <v>3728</v>
      </c>
      <c r="VKM613" s="17">
        <v>44925</v>
      </c>
      <c r="VKN613" s="5" t="s">
        <v>3728</v>
      </c>
      <c r="VKO613" s="17">
        <v>44925</v>
      </c>
      <c r="VKP613" s="5" t="s">
        <v>3728</v>
      </c>
      <c r="VKQ613" s="17">
        <v>44925</v>
      </c>
      <c r="VKR613" s="5" t="s">
        <v>3728</v>
      </c>
      <c r="VKS613" s="17">
        <v>44925</v>
      </c>
      <c r="VKT613" s="5" t="s">
        <v>3728</v>
      </c>
      <c r="VKU613" s="17">
        <v>44925</v>
      </c>
      <c r="VKV613" s="5" t="s">
        <v>3728</v>
      </c>
      <c r="VKW613" s="17">
        <v>44925</v>
      </c>
      <c r="VKX613" s="5" t="s">
        <v>3728</v>
      </c>
      <c r="VKY613" s="17">
        <v>44925</v>
      </c>
      <c r="VKZ613" s="5" t="s">
        <v>3728</v>
      </c>
      <c r="VLA613" s="17">
        <v>44925</v>
      </c>
      <c r="VLB613" s="5" t="s">
        <v>3728</v>
      </c>
      <c r="VLC613" s="17">
        <v>44925</v>
      </c>
      <c r="VLD613" s="5" t="s">
        <v>3728</v>
      </c>
      <c r="VLE613" s="17">
        <v>44925</v>
      </c>
      <c r="VLF613" s="5" t="s">
        <v>3728</v>
      </c>
      <c r="VLG613" s="17">
        <v>44925</v>
      </c>
      <c r="VLH613" s="5" t="s">
        <v>3728</v>
      </c>
      <c r="VLI613" s="17">
        <v>44925</v>
      </c>
      <c r="VLJ613" s="5" t="s">
        <v>3728</v>
      </c>
      <c r="VLK613" s="17">
        <v>44925</v>
      </c>
      <c r="VLL613" s="5" t="s">
        <v>3728</v>
      </c>
      <c r="VLM613" s="17">
        <v>44925</v>
      </c>
      <c r="VLN613" s="5" t="s">
        <v>3728</v>
      </c>
      <c r="VLO613" s="17">
        <v>44925</v>
      </c>
      <c r="VLP613" s="5" t="s">
        <v>3728</v>
      </c>
      <c r="VLQ613" s="17">
        <v>44925</v>
      </c>
      <c r="VLR613" s="5" t="s">
        <v>3728</v>
      </c>
      <c r="VLS613" s="17">
        <v>44925</v>
      </c>
      <c r="VLT613" s="5" t="s">
        <v>3728</v>
      </c>
      <c r="VLU613" s="17">
        <v>44925</v>
      </c>
      <c r="VLV613" s="5" t="s">
        <v>3728</v>
      </c>
      <c r="VLW613" s="17">
        <v>44925</v>
      </c>
      <c r="VLX613" s="5" t="s">
        <v>3728</v>
      </c>
      <c r="VLY613" s="17">
        <v>44925</v>
      </c>
      <c r="VLZ613" s="5" t="s">
        <v>3728</v>
      </c>
      <c r="VMA613" s="17">
        <v>44925</v>
      </c>
      <c r="VMB613" s="5" t="s">
        <v>3728</v>
      </c>
      <c r="VMC613" s="17">
        <v>44925</v>
      </c>
      <c r="VMD613" s="5" t="s">
        <v>3728</v>
      </c>
      <c r="VME613" s="17">
        <v>44925</v>
      </c>
      <c r="VMF613" s="5" t="s">
        <v>3728</v>
      </c>
      <c r="VMG613" s="17">
        <v>44925</v>
      </c>
      <c r="VMH613" s="5" t="s">
        <v>3728</v>
      </c>
      <c r="VMI613" s="17">
        <v>44925</v>
      </c>
      <c r="VMJ613" s="5" t="s">
        <v>3728</v>
      </c>
      <c r="VMK613" s="17">
        <v>44925</v>
      </c>
      <c r="VML613" s="5" t="s">
        <v>3728</v>
      </c>
      <c r="VMM613" s="17">
        <v>44925</v>
      </c>
      <c r="VMN613" s="5" t="s">
        <v>3728</v>
      </c>
      <c r="VMO613" s="17">
        <v>44925</v>
      </c>
      <c r="VMP613" s="5" t="s">
        <v>3728</v>
      </c>
      <c r="VMQ613" s="17">
        <v>44925</v>
      </c>
      <c r="VMR613" s="5" t="s">
        <v>3728</v>
      </c>
      <c r="VMS613" s="17">
        <v>44925</v>
      </c>
      <c r="VMT613" s="5" t="s">
        <v>3728</v>
      </c>
      <c r="VMU613" s="17">
        <v>44925</v>
      </c>
      <c r="VMV613" s="5" t="s">
        <v>3728</v>
      </c>
      <c r="VMW613" s="17">
        <v>44925</v>
      </c>
      <c r="VMX613" s="5" t="s">
        <v>3728</v>
      </c>
      <c r="VMY613" s="17">
        <v>44925</v>
      </c>
      <c r="VMZ613" s="5" t="s">
        <v>3728</v>
      </c>
      <c r="VNA613" s="17">
        <v>44925</v>
      </c>
      <c r="VNB613" s="5" t="s">
        <v>3728</v>
      </c>
      <c r="VNC613" s="17">
        <v>44925</v>
      </c>
      <c r="VND613" s="5" t="s">
        <v>3728</v>
      </c>
      <c r="VNE613" s="17">
        <v>44925</v>
      </c>
      <c r="VNF613" s="5" t="s">
        <v>3728</v>
      </c>
      <c r="VNG613" s="17">
        <v>44925</v>
      </c>
      <c r="VNH613" s="5" t="s">
        <v>3728</v>
      </c>
      <c r="VNI613" s="17">
        <v>44925</v>
      </c>
      <c r="VNJ613" s="5" t="s">
        <v>3728</v>
      </c>
      <c r="VNK613" s="17">
        <v>44925</v>
      </c>
      <c r="VNL613" s="5" t="s">
        <v>3728</v>
      </c>
      <c r="VNM613" s="17">
        <v>44925</v>
      </c>
      <c r="VNN613" s="5" t="s">
        <v>3728</v>
      </c>
      <c r="VNO613" s="17">
        <v>44925</v>
      </c>
      <c r="VNP613" s="5" t="s">
        <v>3728</v>
      </c>
      <c r="VNQ613" s="17">
        <v>44925</v>
      </c>
      <c r="VNR613" s="5" t="s">
        <v>3728</v>
      </c>
      <c r="VNS613" s="17">
        <v>44925</v>
      </c>
      <c r="VNT613" s="5" t="s">
        <v>3728</v>
      </c>
      <c r="VNU613" s="17">
        <v>44925</v>
      </c>
      <c r="VNV613" s="5" t="s">
        <v>3728</v>
      </c>
      <c r="VNW613" s="17">
        <v>44925</v>
      </c>
      <c r="VNX613" s="5" t="s">
        <v>3728</v>
      </c>
      <c r="VNY613" s="17">
        <v>44925</v>
      </c>
      <c r="VNZ613" s="5" t="s">
        <v>3728</v>
      </c>
      <c r="VOA613" s="17">
        <v>44925</v>
      </c>
      <c r="VOB613" s="5" t="s">
        <v>3728</v>
      </c>
      <c r="VOC613" s="17">
        <v>44925</v>
      </c>
      <c r="VOD613" s="5" t="s">
        <v>3728</v>
      </c>
      <c r="VOE613" s="17">
        <v>44925</v>
      </c>
      <c r="VOF613" s="5" t="s">
        <v>3728</v>
      </c>
      <c r="VOG613" s="17">
        <v>44925</v>
      </c>
      <c r="VOH613" s="5" t="s">
        <v>3728</v>
      </c>
      <c r="VOI613" s="17">
        <v>44925</v>
      </c>
      <c r="VOJ613" s="5" t="s">
        <v>3728</v>
      </c>
      <c r="VOK613" s="17">
        <v>44925</v>
      </c>
      <c r="VOL613" s="5" t="s">
        <v>3728</v>
      </c>
      <c r="VOM613" s="17">
        <v>44925</v>
      </c>
      <c r="VON613" s="5" t="s">
        <v>3728</v>
      </c>
      <c r="VOO613" s="17">
        <v>44925</v>
      </c>
      <c r="VOP613" s="5" t="s">
        <v>3728</v>
      </c>
      <c r="VOQ613" s="17">
        <v>44925</v>
      </c>
      <c r="VOR613" s="5" t="s">
        <v>3728</v>
      </c>
      <c r="VOS613" s="17">
        <v>44925</v>
      </c>
      <c r="VOT613" s="5" t="s">
        <v>3728</v>
      </c>
      <c r="VOU613" s="17">
        <v>44925</v>
      </c>
      <c r="VOV613" s="5" t="s">
        <v>3728</v>
      </c>
      <c r="VOW613" s="17">
        <v>44925</v>
      </c>
      <c r="VOX613" s="5" t="s">
        <v>3728</v>
      </c>
      <c r="VOY613" s="17">
        <v>44925</v>
      </c>
      <c r="VOZ613" s="5" t="s">
        <v>3728</v>
      </c>
      <c r="VPA613" s="17">
        <v>44925</v>
      </c>
      <c r="VPB613" s="5" t="s">
        <v>3728</v>
      </c>
      <c r="VPC613" s="17">
        <v>44925</v>
      </c>
      <c r="VPD613" s="5" t="s">
        <v>3728</v>
      </c>
      <c r="VPE613" s="17">
        <v>44925</v>
      </c>
      <c r="VPF613" s="5" t="s">
        <v>3728</v>
      </c>
      <c r="VPG613" s="17">
        <v>44925</v>
      </c>
      <c r="VPH613" s="5" t="s">
        <v>3728</v>
      </c>
      <c r="VPI613" s="17">
        <v>44925</v>
      </c>
      <c r="VPJ613" s="5" t="s">
        <v>3728</v>
      </c>
      <c r="VPK613" s="17">
        <v>44925</v>
      </c>
      <c r="VPL613" s="5" t="s">
        <v>3728</v>
      </c>
      <c r="VPM613" s="17">
        <v>44925</v>
      </c>
      <c r="VPN613" s="5" t="s">
        <v>3728</v>
      </c>
      <c r="VPO613" s="17">
        <v>44925</v>
      </c>
      <c r="VPP613" s="5" t="s">
        <v>3728</v>
      </c>
      <c r="VPQ613" s="17">
        <v>44925</v>
      </c>
      <c r="VPR613" s="5" t="s">
        <v>3728</v>
      </c>
      <c r="VPS613" s="17">
        <v>44925</v>
      </c>
      <c r="VPT613" s="5" t="s">
        <v>3728</v>
      </c>
      <c r="VPU613" s="17">
        <v>44925</v>
      </c>
      <c r="VPV613" s="5" t="s">
        <v>3728</v>
      </c>
      <c r="VPW613" s="17">
        <v>44925</v>
      </c>
      <c r="VPX613" s="5" t="s">
        <v>3728</v>
      </c>
      <c r="VPY613" s="17">
        <v>44925</v>
      </c>
      <c r="VPZ613" s="5" t="s">
        <v>3728</v>
      </c>
      <c r="VQA613" s="17">
        <v>44925</v>
      </c>
      <c r="VQB613" s="5" t="s">
        <v>3728</v>
      </c>
      <c r="VQC613" s="17">
        <v>44925</v>
      </c>
      <c r="VQD613" s="5" t="s">
        <v>3728</v>
      </c>
      <c r="VQE613" s="17">
        <v>44925</v>
      </c>
      <c r="VQF613" s="5" t="s">
        <v>3728</v>
      </c>
      <c r="VQG613" s="17">
        <v>44925</v>
      </c>
      <c r="VQH613" s="5" t="s">
        <v>3728</v>
      </c>
      <c r="VQI613" s="17">
        <v>44925</v>
      </c>
      <c r="VQJ613" s="5" t="s">
        <v>3728</v>
      </c>
      <c r="VQK613" s="17">
        <v>44925</v>
      </c>
      <c r="VQL613" s="5" t="s">
        <v>3728</v>
      </c>
      <c r="VQM613" s="17">
        <v>44925</v>
      </c>
      <c r="VQN613" s="5" t="s">
        <v>3728</v>
      </c>
      <c r="VQO613" s="17">
        <v>44925</v>
      </c>
      <c r="VQP613" s="5" t="s">
        <v>3728</v>
      </c>
      <c r="VQQ613" s="17">
        <v>44925</v>
      </c>
      <c r="VQR613" s="5" t="s">
        <v>3728</v>
      </c>
      <c r="VQS613" s="17">
        <v>44925</v>
      </c>
      <c r="VQT613" s="5" t="s">
        <v>3728</v>
      </c>
      <c r="VQU613" s="17">
        <v>44925</v>
      </c>
      <c r="VQV613" s="5" t="s">
        <v>3728</v>
      </c>
      <c r="VQW613" s="17">
        <v>44925</v>
      </c>
      <c r="VQX613" s="5" t="s">
        <v>3728</v>
      </c>
      <c r="VQY613" s="17">
        <v>44925</v>
      </c>
      <c r="VQZ613" s="5" t="s">
        <v>3728</v>
      </c>
      <c r="VRA613" s="17">
        <v>44925</v>
      </c>
      <c r="VRB613" s="5" t="s">
        <v>3728</v>
      </c>
      <c r="VRC613" s="17">
        <v>44925</v>
      </c>
      <c r="VRD613" s="5" t="s">
        <v>3728</v>
      </c>
      <c r="VRE613" s="17">
        <v>44925</v>
      </c>
      <c r="VRF613" s="5" t="s">
        <v>3728</v>
      </c>
      <c r="VRG613" s="17">
        <v>44925</v>
      </c>
      <c r="VRH613" s="5" t="s">
        <v>3728</v>
      </c>
      <c r="VRI613" s="17">
        <v>44925</v>
      </c>
      <c r="VRJ613" s="5" t="s">
        <v>3728</v>
      </c>
      <c r="VRK613" s="17">
        <v>44925</v>
      </c>
      <c r="VRL613" s="5" t="s">
        <v>3728</v>
      </c>
      <c r="VRM613" s="17">
        <v>44925</v>
      </c>
      <c r="VRN613" s="5" t="s">
        <v>3728</v>
      </c>
      <c r="VRO613" s="17">
        <v>44925</v>
      </c>
      <c r="VRP613" s="5" t="s">
        <v>3728</v>
      </c>
      <c r="VRQ613" s="17">
        <v>44925</v>
      </c>
      <c r="VRR613" s="5" t="s">
        <v>3728</v>
      </c>
      <c r="VRS613" s="17">
        <v>44925</v>
      </c>
      <c r="VRT613" s="5" t="s">
        <v>3728</v>
      </c>
      <c r="VRU613" s="17">
        <v>44925</v>
      </c>
      <c r="VRV613" s="5" t="s">
        <v>3728</v>
      </c>
      <c r="VRW613" s="17">
        <v>44925</v>
      </c>
      <c r="VRX613" s="5" t="s">
        <v>3728</v>
      </c>
      <c r="VRY613" s="17">
        <v>44925</v>
      </c>
      <c r="VRZ613" s="5" t="s">
        <v>3728</v>
      </c>
      <c r="VSA613" s="17">
        <v>44925</v>
      </c>
      <c r="VSB613" s="5" t="s">
        <v>3728</v>
      </c>
      <c r="VSC613" s="17">
        <v>44925</v>
      </c>
      <c r="VSD613" s="5" t="s">
        <v>3728</v>
      </c>
      <c r="VSE613" s="17">
        <v>44925</v>
      </c>
      <c r="VSF613" s="5" t="s">
        <v>3728</v>
      </c>
      <c r="VSG613" s="17">
        <v>44925</v>
      </c>
      <c r="VSH613" s="5" t="s">
        <v>3728</v>
      </c>
      <c r="VSI613" s="17">
        <v>44925</v>
      </c>
      <c r="VSJ613" s="5" t="s">
        <v>3728</v>
      </c>
      <c r="VSK613" s="17">
        <v>44925</v>
      </c>
      <c r="VSL613" s="5" t="s">
        <v>3728</v>
      </c>
      <c r="VSM613" s="17">
        <v>44925</v>
      </c>
      <c r="VSN613" s="5" t="s">
        <v>3728</v>
      </c>
      <c r="VSO613" s="17">
        <v>44925</v>
      </c>
      <c r="VSP613" s="5" t="s">
        <v>3728</v>
      </c>
      <c r="VSQ613" s="17">
        <v>44925</v>
      </c>
      <c r="VSR613" s="5" t="s">
        <v>3728</v>
      </c>
      <c r="VSS613" s="17">
        <v>44925</v>
      </c>
      <c r="VST613" s="5" t="s">
        <v>3728</v>
      </c>
      <c r="VSU613" s="17">
        <v>44925</v>
      </c>
      <c r="VSV613" s="5" t="s">
        <v>3728</v>
      </c>
      <c r="VSW613" s="17">
        <v>44925</v>
      </c>
      <c r="VSX613" s="5" t="s">
        <v>3728</v>
      </c>
      <c r="VSY613" s="17">
        <v>44925</v>
      </c>
      <c r="VSZ613" s="5" t="s">
        <v>3728</v>
      </c>
      <c r="VTA613" s="17">
        <v>44925</v>
      </c>
      <c r="VTB613" s="5" t="s">
        <v>3728</v>
      </c>
      <c r="VTC613" s="17">
        <v>44925</v>
      </c>
      <c r="VTD613" s="5" t="s">
        <v>3728</v>
      </c>
      <c r="VTE613" s="17">
        <v>44925</v>
      </c>
      <c r="VTF613" s="5" t="s">
        <v>3728</v>
      </c>
      <c r="VTG613" s="17">
        <v>44925</v>
      </c>
      <c r="VTH613" s="5" t="s">
        <v>3728</v>
      </c>
      <c r="VTI613" s="17">
        <v>44925</v>
      </c>
      <c r="VTJ613" s="5" t="s">
        <v>3728</v>
      </c>
      <c r="VTK613" s="17">
        <v>44925</v>
      </c>
      <c r="VTL613" s="5" t="s">
        <v>3728</v>
      </c>
      <c r="VTM613" s="17">
        <v>44925</v>
      </c>
      <c r="VTN613" s="5" t="s">
        <v>3728</v>
      </c>
      <c r="VTO613" s="17">
        <v>44925</v>
      </c>
      <c r="VTP613" s="5" t="s">
        <v>3728</v>
      </c>
      <c r="VTQ613" s="17">
        <v>44925</v>
      </c>
      <c r="VTR613" s="5" t="s">
        <v>3728</v>
      </c>
      <c r="VTS613" s="17">
        <v>44925</v>
      </c>
      <c r="VTT613" s="5" t="s">
        <v>3728</v>
      </c>
      <c r="VTU613" s="17">
        <v>44925</v>
      </c>
      <c r="VTV613" s="5" t="s">
        <v>3728</v>
      </c>
      <c r="VTW613" s="17">
        <v>44925</v>
      </c>
      <c r="VTX613" s="5" t="s">
        <v>3728</v>
      </c>
      <c r="VTY613" s="17">
        <v>44925</v>
      </c>
      <c r="VTZ613" s="5" t="s">
        <v>3728</v>
      </c>
      <c r="VUA613" s="17">
        <v>44925</v>
      </c>
      <c r="VUB613" s="5" t="s">
        <v>3728</v>
      </c>
      <c r="VUC613" s="17">
        <v>44925</v>
      </c>
      <c r="VUD613" s="5" t="s">
        <v>3728</v>
      </c>
      <c r="VUE613" s="17">
        <v>44925</v>
      </c>
      <c r="VUF613" s="5" t="s">
        <v>3728</v>
      </c>
      <c r="VUG613" s="17">
        <v>44925</v>
      </c>
      <c r="VUH613" s="5" t="s">
        <v>3728</v>
      </c>
      <c r="VUI613" s="17">
        <v>44925</v>
      </c>
      <c r="VUJ613" s="5" t="s">
        <v>3728</v>
      </c>
      <c r="VUK613" s="17">
        <v>44925</v>
      </c>
      <c r="VUL613" s="5" t="s">
        <v>3728</v>
      </c>
      <c r="VUM613" s="17">
        <v>44925</v>
      </c>
      <c r="VUN613" s="5" t="s">
        <v>3728</v>
      </c>
      <c r="VUO613" s="17">
        <v>44925</v>
      </c>
      <c r="VUP613" s="5" t="s">
        <v>3728</v>
      </c>
      <c r="VUQ613" s="17">
        <v>44925</v>
      </c>
      <c r="VUR613" s="5" t="s">
        <v>3728</v>
      </c>
      <c r="VUS613" s="17">
        <v>44925</v>
      </c>
      <c r="VUT613" s="5" t="s">
        <v>3728</v>
      </c>
      <c r="VUU613" s="17">
        <v>44925</v>
      </c>
      <c r="VUV613" s="5" t="s">
        <v>3728</v>
      </c>
      <c r="VUW613" s="17">
        <v>44925</v>
      </c>
      <c r="VUX613" s="5" t="s">
        <v>3728</v>
      </c>
      <c r="VUY613" s="17">
        <v>44925</v>
      </c>
      <c r="VUZ613" s="5" t="s">
        <v>3728</v>
      </c>
      <c r="VVA613" s="17">
        <v>44925</v>
      </c>
      <c r="VVB613" s="5" t="s">
        <v>3728</v>
      </c>
      <c r="VVC613" s="17">
        <v>44925</v>
      </c>
      <c r="VVD613" s="5" t="s">
        <v>3728</v>
      </c>
      <c r="VVE613" s="17">
        <v>44925</v>
      </c>
      <c r="VVF613" s="5" t="s">
        <v>3728</v>
      </c>
      <c r="VVG613" s="17">
        <v>44925</v>
      </c>
      <c r="VVH613" s="5" t="s">
        <v>3728</v>
      </c>
      <c r="VVI613" s="17">
        <v>44925</v>
      </c>
      <c r="VVJ613" s="5" t="s">
        <v>3728</v>
      </c>
      <c r="VVK613" s="17">
        <v>44925</v>
      </c>
      <c r="VVL613" s="5" t="s">
        <v>3728</v>
      </c>
      <c r="VVM613" s="17">
        <v>44925</v>
      </c>
      <c r="VVN613" s="5" t="s">
        <v>3728</v>
      </c>
      <c r="VVO613" s="17">
        <v>44925</v>
      </c>
      <c r="VVP613" s="5" t="s">
        <v>3728</v>
      </c>
      <c r="VVQ613" s="17">
        <v>44925</v>
      </c>
      <c r="VVR613" s="5" t="s">
        <v>3728</v>
      </c>
      <c r="VVS613" s="17">
        <v>44925</v>
      </c>
      <c r="VVT613" s="5" t="s">
        <v>3728</v>
      </c>
      <c r="VVU613" s="17">
        <v>44925</v>
      </c>
      <c r="VVV613" s="5" t="s">
        <v>3728</v>
      </c>
      <c r="VVW613" s="17">
        <v>44925</v>
      </c>
      <c r="VVX613" s="5" t="s">
        <v>3728</v>
      </c>
      <c r="VVY613" s="17">
        <v>44925</v>
      </c>
      <c r="VVZ613" s="5" t="s">
        <v>3728</v>
      </c>
      <c r="VWA613" s="17">
        <v>44925</v>
      </c>
      <c r="VWB613" s="5" t="s">
        <v>3728</v>
      </c>
      <c r="VWC613" s="17">
        <v>44925</v>
      </c>
      <c r="VWD613" s="5" t="s">
        <v>3728</v>
      </c>
      <c r="VWE613" s="17">
        <v>44925</v>
      </c>
      <c r="VWF613" s="5" t="s">
        <v>3728</v>
      </c>
      <c r="VWG613" s="17">
        <v>44925</v>
      </c>
      <c r="VWH613" s="5" t="s">
        <v>3728</v>
      </c>
      <c r="VWI613" s="17">
        <v>44925</v>
      </c>
      <c r="VWJ613" s="5" t="s">
        <v>3728</v>
      </c>
      <c r="VWK613" s="17">
        <v>44925</v>
      </c>
      <c r="VWL613" s="5" t="s">
        <v>3728</v>
      </c>
      <c r="VWM613" s="17">
        <v>44925</v>
      </c>
      <c r="VWN613" s="5" t="s">
        <v>3728</v>
      </c>
      <c r="VWO613" s="17">
        <v>44925</v>
      </c>
      <c r="VWP613" s="5" t="s">
        <v>3728</v>
      </c>
      <c r="VWQ613" s="17">
        <v>44925</v>
      </c>
      <c r="VWR613" s="5" t="s">
        <v>3728</v>
      </c>
      <c r="VWS613" s="17">
        <v>44925</v>
      </c>
      <c r="VWT613" s="5" t="s">
        <v>3728</v>
      </c>
      <c r="VWU613" s="17">
        <v>44925</v>
      </c>
      <c r="VWV613" s="5" t="s">
        <v>3728</v>
      </c>
      <c r="VWW613" s="17">
        <v>44925</v>
      </c>
      <c r="VWX613" s="5" t="s">
        <v>3728</v>
      </c>
      <c r="VWY613" s="17">
        <v>44925</v>
      </c>
      <c r="VWZ613" s="5" t="s">
        <v>3728</v>
      </c>
      <c r="VXA613" s="17">
        <v>44925</v>
      </c>
      <c r="VXB613" s="5" t="s">
        <v>3728</v>
      </c>
      <c r="VXC613" s="17">
        <v>44925</v>
      </c>
      <c r="VXD613" s="5" t="s">
        <v>3728</v>
      </c>
      <c r="VXE613" s="17">
        <v>44925</v>
      </c>
      <c r="VXF613" s="5" t="s">
        <v>3728</v>
      </c>
      <c r="VXG613" s="17">
        <v>44925</v>
      </c>
      <c r="VXH613" s="5" t="s">
        <v>3728</v>
      </c>
      <c r="VXI613" s="17">
        <v>44925</v>
      </c>
      <c r="VXJ613" s="5" t="s">
        <v>3728</v>
      </c>
      <c r="VXK613" s="17">
        <v>44925</v>
      </c>
      <c r="VXL613" s="5" t="s">
        <v>3728</v>
      </c>
      <c r="VXM613" s="17">
        <v>44925</v>
      </c>
      <c r="VXN613" s="5" t="s">
        <v>3728</v>
      </c>
      <c r="VXO613" s="17">
        <v>44925</v>
      </c>
      <c r="VXP613" s="5" t="s">
        <v>3728</v>
      </c>
      <c r="VXQ613" s="17">
        <v>44925</v>
      </c>
      <c r="VXR613" s="5" t="s">
        <v>3728</v>
      </c>
      <c r="VXS613" s="17">
        <v>44925</v>
      </c>
      <c r="VXT613" s="5" t="s">
        <v>3728</v>
      </c>
      <c r="VXU613" s="17">
        <v>44925</v>
      </c>
      <c r="VXV613" s="5" t="s">
        <v>3728</v>
      </c>
      <c r="VXW613" s="17">
        <v>44925</v>
      </c>
      <c r="VXX613" s="5" t="s">
        <v>3728</v>
      </c>
      <c r="VXY613" s="17">
        <v>44925</v>
      </c>
      <c r="VXZ613" s="5" t="s">
        <v>3728</v>
      </c>
      <c r="VYA613" s="17">
        <v>44925</v>
      </c>
      <c r="VYB613" s="5" t="s">
        <v>3728</v>
      </c>
      <c r="VYC613" s="17">
        <v>44925</v>
      </c>
      <c r="VYD613" s="5" t="s">
        <v>3728</v>
      </c>
      <c r="VYE613" s="17">
        <v>44925</v>
      </c>
      <c r="VYF613" s="5" t="s">
        <v>3728</v>
      </c>
      <c r="VYG613" s="17">
        <v>44925</v>
      </c>
      <c r="VYH613" s="5" t="s">
        <v>3728</v>
      </c>
      <c r="VYI613" s="17">
        <v>44925</v>
      </c>
      <c r="VYJ613" s="5" t="s">
        <v>3728</v>
      </c>
      <c r="VYK613" s="17">
        <v>44925</v>
      </c>
      <c r="VYL613" s="5" t="s">
        <v>3728</v>
      </c>
      <c r="VYM613" s="17">
        <v>44925</v>
      </c>
      <c r="VYN613" s="5" t="s">
        <v>3728</v>
      </c>
      <c r="VYO613" s="17">
        <v>44925</v>
      </c>
      <c r="VYP613" s="5" t="s">
        <v>3728</v>
      </c>
      <c r="VYQ613" s="17">
        <v>44925</v>
      </c>
      <c r="VYR613" s="5" t="s">
        <v>3728</v>
      </c>
      <c r="VYS613" s="17">
        <v>44925</v>
      </c>
      <c r="VYT613" s="5" t="s">
        <v>3728</v>
      </c>
      <c r="VYU613" s="17">
        <v>44925</v>
      </c>
      <c r="VYV613" s="5" t="s">
        <v>3728</v>
      </c>
      <c r="VYW613" s="17">
        <v>44925</v>
      </c>
      <c r="VYX613" s="5" t="s">
        <v>3728</v>
      </c>
      <c r="VYY613" s="17">
        <v>44925</v>
      </c>
      <c r="VYZ613" s="5" t="s">
        <v>3728</v>
      </c>
      <c r="VZA613" s="17">
        <v>44925</v>
      </c>
      <c r="VZB613" s="5" t="s">
        <v>3728</v>
      </c>
      <c r="VZC613" s="17">
        <v>44925</v>
      </c>
      <c r="VZD613" s="5" t="s">
        <v>3728</v>
      </c>
      <c r="VZE613" s="17">
        <v>44925</v>
      </c>
      <c r="VZF613" s="5" t="s">
        <v>3728</v>
      </c>
      <c r="VZG613" s="17">
        <v>44925</v>
      </c>
      <c r="VZH613" s="5" t="s">
        <v>3728</v>
      </c>
      <c r="VZI613" s="17">
        <v>44925</v>
      </c>
      <c r="VZJ613" s="5" t="s">
        <v>3728</v>
      </c>
      <c r="VZK613" s="17">
        <v>44925</v>
      </c>
      <c r="VZL613" s="5" t="s">
        <v>3728</v>
      </c>
      <c r="VZM613" s="17">
        <v>44925</v>
      </c>
      <c r="VZN613" s="5" t="s">
        <v>3728</v>
      </c>
      <c r="VZO613" s="17">
        <v>44925</v>
      </c>
      <c r="VZP613" s="5" t="s">
        <v>3728</v>
      </c>
      <c r="VZQ613" s="17">
        <v>44925</v>
      </c>
      <c r="VZR613" s="5" t="s">
        <v>3728</v>
      </c>
      <c r="VZS613" s="17">
        <v>44925</v>
      </c>
      <c r="VZT613" s="5" t="s">
        <v>3728</v>
      </c>
      <c r="VZU613" s="17">
        <v>44925</v>
      </c>
      <c r="VZV613" s="5" t="s">
        <v>3728</v>
      </c>
      <c r="VZW613" s="17">
        <v>44925</v>
      </c>
      <c r="VZX613" s="5" t="s">
        <v>3728</v>
      </c>
      <c r="VZY613" s="17">
        <v>44925</v>
      </c>
      <c r="VZZ613" s="5" t="s">
        <v>3728</v>
      </c>
      <c r="WAA613" s="17">
        <v>44925</v>
      </c>
      <c r="WAB613" s="5" t="s">
        <v>3728</v>
      </c>
      <c r="WAC613" s="17">
        <v>44925</v>
      </c>
      <c r="WAD613" s="5" t="s">
        <v>3728</v>
      </c>
      <c r="WAE613" s="17">
        <v>44925</v>
      </c>
      <c r="WAF613" s="5" t="s">
        <v>3728</v>
      </c>
      <c r="WAG613" s="17">
        <v>44925</v>
      </c>
      <c r="WAH613" s="5" t="s">
        <v>3728</v>
      </c>
      <c r="WAI613" s="17">
        <v>44925</v>
      </c>
      <c r="WAJ613" s="5" t="s">
        <v>3728</v>
      </c>
      <c r="WAK613" s="17">
        <v>44925</v>
      </c>
      <c r="WAL613" s="5" t="s">
        <v>3728</v>
      </c>
      <c r="WAM613" s="17">
        <v>44925</v>
      </c>
      <c r="WAN613" s="5" t="s">
        <v>3728</v>
      </c>
      <c r="WAO613" s="17">
        <v>44925</v>
      </c>
      <c r="WAP613" s="5" t="s">
        <v>3728</v>
      </c>
      <c r="WAQ613" s="17">
        <v>44925</v>
      </c>
      <c r="WAR613" s="5" t="s">
        <v>3728</v>
      </c>
      <c r="WAS613" s="17">
        <v>44925</v>
      </c>
      <c r="WAT613" s="5" t="s">
        <v>3728</v>
      </c>
      <c r="WAU613" s="17">
        <v>44925</v>
      </c>
      <c r="WAV613" s="5" t="s">
        <v>3728</v>
      </c>
      <c r="WAW613" s="17">
        <v>44925</v>
      </c>
      <c r="WAX613" s="5" t="s">
        <v>3728</v>
      </c>
      <c r="WAY613" s="17">
        <v>44925</v>
      </c>
      <c r="WAZ613" s="5" t="s">
        <v>3728</v>
      </c>
      <c r="WBA613" s="17">
        <v>44925</v>
      </c>
      <c r="WBB613" s="5" t="s">
        <v>3728</v>
      </c>
      <c r="WBC613" s="17">
        <v>44925</v>
      </c>
      <c r="WBD613" s="5" t="s">
        <v>3728</v>
      </c>
      <c r="WBE613" s="17">
        <v>44925</v>
      </c>
      <c r="WBF613" s="5" t="s">
        <v>3728</v>
      </c>
      <c r="WBG613" s="17">
        <v>44925</v>
      </c>
      <c r="WBH613" s="5" t="s">
        <v>3728</v>
      </c>
      <c r="WBI613" s="17">
        <v>44925</v>
      </c>
      <c r="WBJ613" s="5" t="s">
        <v>3728</v>
      </c>
      <c r="WBK613" s="17">
        <v>44925</v>
      </c>
      <c r="WBL613" s="5" t="s">
        <v>3728</v>
      </c>
      <c r="WBM613" s="17">
        <v>44925</v>
      </c>
      <c r="WBN613" s="5" t="s">
        <v>3728</v>
      </c>
      <c r="WBO613" s="17">
        <v>44925</v>
      </c>
      <c r="WBP613" s="5" t="s">
        <v>3728</v>
      </c>
      <c r="WBQ613" s="17">
        <v>44925</v>
      </c>
      <c r="WBR613" s="5" t="s">
        <v>3728</v>
      </c>
      <c r="WBS613" s="17">
        <v>44925</v>
      </c>
      <c r="WBT613" s="5" t="s">
        <v>3728</v>
      </c>
      <c r="WBU613" s="17">
        <v>44925</v>
      </c>
      <c r="WBV613" s="5" t="s">
        <v>3728</v>
      </c>
      <c r="WBW613" s="17">
        <v>44925</v>
      </c>
      <c r="WBX613" s="5" t="s">
        <v>3728</v>
      </c>
      <c r="WBY613" s="17">
        <v>44925</v>
      </c>
      <c r="WBZ613" s="5" t="s">
        <v>3728</v>
      </c>
      <c r="WCA613" s="17">
        <v>44925</v>
      </c>
      <c r="WCB613" s="5" t="s">
        <v>3728</v>
      </c>
      <c r="WCC613" s="17">
        <v>44925</v>
      </c>
      <c r="WCD613" s="5" t="s">
        <v>3728</v>
      </c>
      <c r="WCE613" s="17">
        <v>44925</v>
      </c>
      <c r="WCF613" s="5" t="s">
        <v>3728</v>
      </c>
      <c r="WCG613" s="17">
        <v>44925</v>
      </c>
      <c r="WCH613" s="5" t="s">
        <v>3728</v>
      </c>
      <c r="WCI613" s="17">
        <v>44925</v>
      </c>
      <c r="WCJ613" s="5" t="s">
        <v>3728</v>
      </c>
      <c r="WCK613" s="17">
        <v>44925</v>
      </c>
      <c r="WCL613" s="5" t="s">
        <v>3728</v>
      </c>
      <c r="WCM613" s="17">
        <v>44925</v>
      </c>
      <c r="WCN613" s="5" t="s">
        <v>3728</v>
      </c>
      <c r="WCO613" s="17">
        <v>44925</v>
      </c>
      <c r="WCP613" s="5" t="s">
        <v>3728</v>
      </c>
      <c r="WCQ613" s="17">
        <v>44925</v>
      </c>
      <c r="WCR613" s="5" t="s">
        <v>3728</v>
      </c>
      <c r="WCS613" s="17">
        <v>44925</v>
      </c>
      <c r="WCT613" s="5" t="s">
        <v>3728</v>
      </c>
      <c r="WCU613" s="17">
        <v>44925</v>
      </c>
      <c r="WCV613" s="5" t="s">
        <v>3728</v>
      </c>
      <c r="WCW613" s="17">
        <v>44925</v>
      </c>
      <c r="WCX613" s="5" t="s">
        <v>3728</v>
      </c>
      <c r="WCY613" s="17">
        <v>44925</v>
      </c>
      <c r="WCZ613" s="5" t="s">
        <v>3728</v>
      </c>
      <c r="WDA613" s="17">
        <v>44925</v>
      </c>
      <c r="WDB613" s="5" t="s">
        <v>3728</v>
      </c>
      <c r="WDC613" s="17">
        <v>44925</v>
      </c>
      <c r="WDD613" s="5" t="s">
        <v>3728</v>
      </c>
      <c r="WDE613" s="17">
        <v>44925</v>
      </c>
      <c r="WDF613" s="5" t="s">
        <v>3728</v>
      </c>
      <c r="WDG613" s="17">
        <v>44925</v>
      </c>
      <c r="WDH613" s="5" t="s">
        <v>3728</v>
      </c>
      <c r="WDI613" s="17">
        <v>44925</v>
      </c>
      <c r="WDJ613" s="5" t="s">
        <v>3728</v>
      </c>
      <c r="WDK613" s="17">
        <v>44925</v>
      </c>
      <c r="WDL613" s="5" t="s">
        <v>3728</v>
      </c>
      <c r="WDM613" s="17">
        <v>44925</v>
      </c>
      <c r="WDN613" s="5" t="s">
        <v>3728</v>
      </c>
      <c r="WDO613" s="17">
        <v>44925</v>
      </c>
      <c r="WDP613" s="5" t="s">
        <v>3728</v>
      </c>
      <c r="WDQ613" s="17">
        <v>44925</v>
      </c>
      <c r="WDR613" s="5" t="s">
        <v>3728</v>
      </c>
      <c r="WDS613" s="17">
        <v>44925</v>
      </c>
      <c r="WDT613" s="5" t="s">
        <v>3728</v>
      </c>
      <c r="WDU613" s="17">
        <v>44925</v>
      </c>
      <c r="WDV613" s="5" t="s">
        <v>3728</v>
      </c>
      <c r="WDW613" s="17">
        <v>44925</v>
      </c>
      <c r="WDX613" s="5" t="s">
        <v>3728</v>
      </c>
      <c r="WDY613" s="17">
        <v>44925</v>
      </c>
      <c r="WDZ613" s="5" t="s">
        <v>3728</v>
      </c>
      <c r="WEA613" s="17">
        <v>44925</v>
      </c>
      <c r="WEB613" s="5" t="s">
        <v>3728</v>
      </c>
      <c r="WEC613" s="17">
        <v>44925</v>
      </c>
      <c r="WED613" s="5" t="s">
        <v>3728</v>
      </c>
      <c r="WEE613" s="17">
        <v>44925</v>
      </c>
      <c r="WEF613" s="5" t="s">
        <v>3728</v>
      </c>
      <c r="WEG613" s="17">
        <v>44925</v>
      </c>
      <c r="WEH613" s="5" t="s">
        <v>3728</v>
      </c>
      <c r="WEI613" s="17">
        <v>44925</v>
      </c>
      <c r="WEJ613" s="5" t="s">
        <v>3728</v>
      </c>
      <c r="WEK613" s="17">
        <v>44925</v>
      </c>
      <c r="WEL613" s="5" t="s">
        <v>3728</v>
      </c>
      <c r="WEM613" s="17">
        <v>44925</v>
      </c>
      <c r="WEN613" s="5" t="s">
        <v>3728</v>
      </c>
      <c r="WEO613" s="17">
        <v>44925</v>
      </c>
      <c r="WEP613" s="5" t="s">
        <v>3728</v>
      </c>
      <c r="WEQ613" s="17">
        <v>44925</v>
      </c>
      <c r="WER613" s="5" t="s">
        <v>3728</v>
      </c>
      <c r="WES613" s="17">
        <v>44925</v>
      </c>
      <c r="WET613" s="5" t="s">
        <v>3728</v>
      </c>
      <c r="WEU613" s="17">
        <v>44925</v>
      </c>
      <c r="WEV613" s="5" t="s">
        <v>3728</v>
      </c>
      <c r="WEW613" s="17">
        <v>44925</v>
      </c>
      <c r="WEX613" s="5" t="s">
        <v>3728</v>
      </c>
      <c r="WEY613" s="17">
        <v>44925</v>
      </c>
      <c r="WEZ613" s="5" t="s">
        <v>3728</v>
      </c>
      <c r="WFA613" s="17">
        <v>44925</v>
      </c>
      <c r="WFB613" s="5" t="s">
        <v>3728</v>
      </c>
      <c r="WFC613" s="17">
        <v>44925</v>
      </c>
      <c r="WFD613" s="5" t="s">
        <v>3728</v>
      </c>
      <c r="WFE613" s="17">
        <v>44925</v>
      </c>
      <c r="WFF613" s="5" t="s">
        <v>3728</v>
      </c>
      <c r="WFG613" s="17">
        <v>44925</v>
      </c>
      <c r="WFH613" s="5" t="s">
        <v>3728</v>
      </c>
      <c r="WFI613" s="17">
        <v>44925</v>
      </c>
      <c r="WFJ613" s="5" t="s">
        <v>3728</v>
      </c>
      <c r="WFK613" s="17">
        <v>44925</v>
      </c>
      <c r="WFL613" s="5" t="s">
        <v>3728</v>
      </c>
      <c r="WFM613" s="17">
        <v>44925</v>
      </c>
      <c r="WFN613" s="5" t="s">
        <v>3728</v>
      </c>
      <c r="WFO613" s="17">
        <v>44925</v>
      </c>
      <c r="WFP613" s="5" t="s">
        <v>3728</v>
      </c>
      <c r="WFQ613" s="17">
        <v>44925</v>
      </c>
      <c r="WFR613" s="5" t="s">
        <v>3728</v>
      </c>
      <c r="WFS613" s="17">
        <v>44925</v>
      </c>
      <c r="WFT613" s="5" t="s">
        <v>3728</v>
      </c>
      <c r="WFU613" s="17">
        <v>44925</v>
      </c>
      <c r="WFV613" s="5" t="s">
        <v>3728</v>
      </c>
      <c r="WFW613" s="17">
        <v>44925</v>
      </c>
      <c r="WFX613" s="5" t="s">
        <v>3728</v>
      </c>
      <c r="WFY613" s="17">
        <v>44925</v>
      </c>
      <c r="WFZ613" s="5" t="s">
        <v>3728</v>
      </c>
      <c r="WGA613" s="17">
        <v>44925</v>
      </c>
      <c r="WGB613" s="5" t="s">
        <v>3728</v>
      </c>
      <c r="WGC613" s="17">
        <v>44925</v>
      </c>
      <c r="WGD613" s="5" t="s">
        <v>3728</v>
      </c>
      <c r="WGE613" s="17">
        <v>44925</v>
      </c>
      <c r="WGF613" s="5" t="s">
        <v>3728</v>
      </c>
      <c r="WGG613" s="17">
        <v>44925</v>
      </c>
      <c r="WGH613" s="5" t="s">
        <v>3728</v>
      </c>
      <c r="WGI613" s="17">
        <v>44925</v>
      </c>
      <c r="WGJ613" s="5" t="s">
        <v>3728</v>
      </c>
      <c r="WGK613" s="17">
        <v>44925</v>
      </c>
      <c r="WGL613" s="5" t="s">
        <v>3728</v>
      </c>
      <c r="WGM613" s="17">
        <v>44925</v>
      </c>
      <c r="WGN613" s="5" t="s">
        <v>3728</v>
      </c>
      <c r="WGO613" s="17">
        <v>44925</v>
      </c>
      <c r="WGP613" s="5" t="s">
        <v>3728</v>
      </c>
      <c r="WGQ613" s="17">
        <v>44925</v>
      </c>
      <c r="WGR613" s="5" t="s">
        <v>3728</v>
      </c>
      <c r="WGS613" s="17">
        <v>44925</v>
      </c>
      <c r="WGT613" s="5" t="s">
        <v>3728</v>
      </c>
      <c r="WGU613" s="17">
        <v>44925</v>
      </c>
      <c r="WGV613" s="5" t="s">
        <v>3728</v>
      </c>
      <c r="WGW613" s="17">
        <v>44925</v>
      </c>
      <c r="WGX613" s="5" t="s">
        <v>3728</v>
      </c>
      <c r="WGY613" s="17">
        <v>44925</v>
      </c>
      <c r="WGZ613" s="5" t="s">
        <v>3728</v>
      </c>
      <c r="WHA613" s="17">
        <v>44925</v>
      </c>
      <c r="WHB613" s="5" t="s">
        <v>3728</v>
      </c>
      <c r="WHC613" s="17">
        <v>44925</v>
      </c>
      <c r="WHD613" s="5" t="s">
        <v>3728</v>
      </c>
      <c r="WHE613" s="17">
        <v>44925</v>
      </c>
      <c r="WHF613" s="5" t="s">
        <v>3728</v>
      </c>
      <c r="WHG613" s="17">
        <v>44925</v>
      </c>
      <c r="WHH613" s="5" t="s">
        <v>3728</v>
      </c>
      <c r="WHI613" s="17">
        <v>44925</v>
      </c>
      <c r="WHJ613" s="5" t="s">
        <v>3728</v>
      </c>
      <c r="WHK613" s="17">
        <v>44925</v>
      </c>
      <c r="WHL613" s="5" t="s">
        <v>3728</v>
      </c>
      <c r="WHM613" s="17">
        <v>44925</v>
      </c>
      <c r="WHN613" s="5" t="s">
        <v>3728</v>
      </c>
      <c r="WHO613" s="17">
        <v>44925</v>
      </c>
      <c r="WHP613" s="5" t="s">
        <v>3728</v>
      </c>
      <c r="WHQ613" s="17">
        <v>44925</v>
      </c>
      <c r="WHR613" s="5" t="s">
        <v>3728</v>
      </c>
      <c r="WHS613" s="17">
        <v>44925</v>
      </c>
      <c r="WHT613" s="5" t="s">
        <v>3728</v>
      </c>
      <c r="WHU613" s="17">
        <v>44925</v>
      </c>
      <c r="WHV613" s="5" t="s">
        <v>3728</v>
      </c>
      <c r="WHW613" s="17">
        <v>44925</v>
      </c>
      <c r="WHX613" s="5" t="s">
        <v>3728</v>
      </c>
      <c r="WHY613" s="17">
        <v>44925</v>
      </c>
      <c r="WHZ613" s="5" t="s">
        <v>3728</v>
      </c>
      <c r="WIA613" s="17">
        <v>44925</v>
      </c>
      <c r="WIB613" s="5" t="s">
        <v>3728</v>
      </c>
      <c r="WIC613" s="17">
        <v>44925</v>
      </c>
      <c r="WID613" s="5" t="s">
        <v>3728</v>
      </c>
      <c r="WIE613" s="17">
        <v>44925</v>
      </c>
      <c r="WIF613" s="5" t="s">
        <v>3728</v>
      </c>
      <c r="WIG613" s="17">
        <v>44925</v>
      </c>
      <c r="WIH613" s="5" t="s">
        <v>3728</v>
      </c>
      <c r="WII613" s="17">
        <v>44925</v>
      </c>
      <c r="WIJ613" s="5" t="s">
        <v>3728</v>
      </c>
      <c r="WIK613" s="17">
        <v>44925</v>
      </c>
      <c r="WIL613" s="5" t="s">
        <v>3728</v>
      </c>
      <c r="WIM613" s="17">
        <v>44925</v>
      </c>
      <c r="WIN613" s="5" t="s">
        <v>3728</v>
      </c>
      <c r="WIO613" s="17">
        <v>44925</v>
      </c>
      <c r="WIP613" s="5" t="s">
        <v>3728</v>
      </c>
      <c r="WIQ613" s="17">
        <v>44925</v>
      </c>
      <c r="WIR613" s="5" t="s">
        <v>3728</v>
      </c>
      <c r="WIS613" s="17">
        <v>44925</v>
      </c>
      <c r="WIT613" s="5" t="s">
        <v>3728</v>
      </c>
      <c r="WIU613" s="17">
        <v>44925</v>
      </c>
      <c r="WIV613" s="5" t="s">
        <v>3728</v>
      </c>
      <c r="WIW613" s="17">
        <v>44925</v>
      </c>
      <c r="WIX613" s="5" t="s">
        <v>3728</v>
      </c>
      <c r="WIY613" s="17">
        <v>44925</v>
      </c>
      <c r="WIZ613" s="5" t="s">
        <v>3728</v>
      </c>
      <c r="WJA613" s="17">
        <v>44925</v>
      </c>
      <c r="WJB613" s="5" t="s">
        <v>3728</v>
      </c>
      <c r="WJC613" s="17">
        <v>44925</v>
      </c>
      <c r="WJD613" s="5" t="s">
        <v>3728</v>
      </c>
      <c r="WJE613" s="17">
        <v>44925</v>
      </c>
      <c r="WJF613" s="5" t="s">
        <v>3728</v>
      </c>
      <c r="WJG613" s="17">
        <v>44925</v>
      </c>
      <c r="WJH613" s="5" t="s">
        <v>3728</v>
      </c>
      <c r="WJI613" s="17">
        <v>44925</v>
      </c>
      <c r="WJJ613" s="5" t="s">
        <v>3728</v>
      </c>
      <c r="WJK613" s="17">
        <v>44925</v>
      </c>
      <c r="WJL613" s="5" t="s">
        <v>3728</v>
      </c>
      <c r="WJM613" s="17">
        <v>44925</v>
      </c>
      <c r="WJN613" s="5" t="s">
        <v>3728</v>
      </c>
      <c r="WJO613" s="17">
        <v>44925</v>
      </c>
      <c r="WJP613" s="5" t="s">
        <v>3728</v>
      </c>
      <c r="WJQ613" s="17">
        <v>44925</v>
      </c>
      <c r="WJR613" s="5" t="s">
        <v>3728</v>
      </c>
      <c r="WJS613" s="17">
        <v>44925</v>
      </c>
      <c r="WJT613" s="5" t="s">
        <v>3728</v>
      </c>
      <c r="WJU613" s="17">
        <v>44925</v>
      </c>
      <c r="WJV613" s="5" t="s">
        <v>3728</v>
      </c>
      <c r="WJW613" s="17">
        <v>44925</v>
      </c>
      <c r="WJX613" s="5" t="s">
        <v>3728</v>
      </c>
      <c r="WJY613" s="17">
        <v>44925</v>
      </c>
      <c r="WJZ613" s="5" t="s">
        <v>3728</v>
      </c>
      <c r="WKA613" s="17">
        <v>44925</v>
      </c>
      <c r="WKB613" s="5" t="s">
        <v>3728</v>
      </c>
      <c r="WKC613" s="17">
        <v>44925</v>
      </c>
      <c r="WKD613" s="5" t="s">
        <v>3728</v>
      </c>
      <c r="WKE613" s="17">
        <v>44925</v>
      </c>
      <c r="WKF613" s="5" t="s">
        <v>3728</v>
      </c>
      <c r="WKG613" s="17">
        <v>44925</v>
      </c>
      <c r="WKH613" s="5" t="s">
        <v>3728</v>
      </c>
      <c r="WKI613" s="17">
        <v>44925</v>
      </c>
      <c r="WKJ613" s="5" t="s">
        <v>3728</v>
      </c>
      <c r="WKK613" s="17">
        <v>44925</v>
      </c>
      <c r="WKL613" s="5" t="s">
        <v>3728</v>
      </c>
      <c r="WKM613" s="17">
        <v>44925</v>
      </c>
      <c r="WKN613" s="5" t="s">
        <v>3728</v>
      </c>
      <c r="WKO613" s="17">
        <v>44925</v>
      </c>
      <c r="WKP613" s="5" t="s">
        <v>3728</v>
      </c>
      <c r="WKQ613" s="17">
        <v>44925</v>
      </c>
      <c r="WKR613" s="5" t="s">
        <v>3728</v>
      </c>
      <c r="WKS613" s="17">
        <v>44925</v>
      </c>
      <c r="WKT613" s="5" t="s">
        <v>3728</v>
      </c>
      <c r="WKU613" s="17">
        <v>44925</v>
      </c>
      <c r="WKV613" s="5" t="s">
        <v>3728</v>
      </c>
      <c r="WKW613" s="17">
        <v>44925</v>
      </c>
      <c r="WKX613" s="5" t="s">
        <v>3728</v>
      </c>
      <c r="WKY613" s="17">
        <v>44925</v>
      </c>
      <c r="WKZ613" s="5" t="s">
        <v>3728</v>
      </c>
      <c r="WLA613" s="17">
        <v>44925</v>
      </c>
      <c r="WLB613" s="5" t="s">
        <v>3728</v>
      </c>
      <c r="WLC613" s="17">
        <v>44925</v>
      </c>
      <c r="WLD613" s="5" t="s">
        <v>3728</v>
      </c>
      <c r="WLE613" s="17">
        <v>44925</v>
      </c>
      <c r="WLF613" s="5" t="s">
        <v>3728</v>
      </c>
      <c r="WLG613" s="17">
        <v>44925</v>
      </c>
      <c r="WLH613" s="5" t="s">
        <v>3728</v>
      </c>
      <c r="WLI613" s="17">
        <v>44925</v>
      </c>
      <c r="WLJ613" s="5" t="s">
        <v>3728</v>
      </c>
      <c r="WLK613" s="17">
        <v>44925</v>
      </c>
      <c r="WLL613" s="5" t="s">
        <v>3728</v>
      </c>
      <c r="WLM613" s="17">
        <v>44925</v>
      </c>
      <c r="WLN613" s="5" t="s">
        <v>3728</v>
      </c>
      <c r="WLO613" s="17">
        <v>44925</v>
      </c>
      <c r="WLP613" s="5" t="s">
        <v>3728</v>
      </c>
      <c r="WLQ613" s="17">
        <v>44925</v>
      </c>
      <c r="WLR613" s="5" t="s">
        <v>3728</v>
      </c>
      <c r="WLS613" s="17">
        <v>44925</v>
      </c>
      <c r="WLT613" s="5" t="s">
        <v>3728</v>
      </c>
      <c r="WLU613" s="17">
        <v>44925</v>
      </c>
      <c r="WLV613" s="5" t="s">
        <v>3728</v>
      </c>
      <c r="WLW613" s="17">
        <v>44925</v>
      </c>
      <c r="WLX613" s="5" t="s">
        <v>3728</v>
      </c>
      <c r="WLY613" s="17">
        <v>44925</v>
      </c>
      <c r="WLZ613" s="5" t="s">
        <v>3728</v>
      </c>
      <c r="WMA613" s="17">
        <v>44925</v>
      </c>
      <c r="WMB613" s="5" t="s">
        <v>3728</v>
      </c>
      <c r="WMC613" s="17">
        <v>44925</v>
      </c>
      <c r="WMD613" s="5" t="s">
        <v>3728</v>
      </c>
      <c r="WME613" s="17">
        <v>44925</v>
      </c>
      <c r="WMF613" s="5" t="s">
        <v>3728</v>
      </c>
      <c r="WMG613" s="17">
        <v>44925</v>
      </c>
      <c r="WMH613" s="5" t="s">
        <v>3728</v>
      </c>
      <c r="WMI613" s="17">
        <v>44925</v>
      </c>
      <c r="WMJ613" s="5" t="s">
        <v>3728</v>
      </c>
      <c r="WMK613" s="17">
        <v>44925</v>
      </c>
      <c r="WML613" s="5" t="s">
        <v>3728</v>
      </c>
      <c r="WMM613" s="17">
        <v>44925</v>
      </c>
      <c r="WMN613" s="5" t="s">
        <v>3728</v>
      </c>
      <c r="WMO613" s="17">
        <v>44925</v>
      </c>
      <c r="WMP613" s="5" t="s">
        <v>3728</v>
      </c>
      <c r="WMQ613" s="17">
        <v>44925</v>
      </c>
      <c r="WMR613" s="5" t="s">
        <v>3728</v>
      </c>
      <c r="WMS613" s="17">
        <v>44925</v>
      </c>
      <c r="WMT613" s="5" t="s">
        <v>3728</v>
      </c>
      <c r="WMU613" s="17">
        <v>44925</v>
      </c>
      <c r="WMV613" s="5" t="s">
        <v>3728</v>
      </c>
      <c r="WMW613" s="17">
        <v>44925</v>
      </c>
      <c r="WMX613" s="5" t="s">
        <v>3728</v>
      </c>
      <c r="WMY613" s="17">
        <v>44925</v>
      </c>
      <c r="WMZ613" s="5" t="s">
        <v>3728</v>
      </c>
      <c r="WNA613" s="17">
        <v>44925</v>
      </c>
      <c r="WNB613" s="5" t="s">
        <v>3728</v>
      </c>
      <c r="WNC613" s="17">
        <v>44925</v>
      </c>
      <c r="WND613" s="5" t="s">
        <v>3728</v>
      </c>
      <c r="WNE613" s="17">
        <v>44925</v>
      </c>
      <c r="WNF613" s="5" t="s">
        <v>3728</v>
      </c>
      <c r="WNG613" s="17">
        <v>44925</v>
      </c>
      <c r="WNH613" s="5" t="s">
        <v>3728</v>
      </c>
      <c r="WNI613" s="17">
        <v>44925</v>
      </c>
      <c r="WNJ613" s="5" t="s">
        <v>3728</v>
      </c>
      <c r="WNK613" s="17">
        <v>44925</v>
      </c>
      <c r="WNL613" s="5" t="s">
        <v>3728</v>
      </c>
      <c r="WNM613" s="17">
        <v>44925</v>
      </c>
      <c r="WNN613" s="5" t="s">
        <v>3728</v>
      </c>
      <c r="WNO613" s="17">
        <v>44925</v>
      </c>
      <c r="WNP613" s="5" t="s">
        <v>3728</v>
      </c>
      <c r="WNQ613" s="17">
        <v>44925</v>
      </c>
      <c r="WNR613" s="5" t="s">
        <v>3728</v>
      </c>
      <c r="WNS613" s="17">
        <v>44925</v>
      </c>
      <c r="WNT613" s="5" t="s">
        <v>3728</v>
      </c>
      <c r="WNU613" s="17">
        <v>44925</v>
      </c>
      <c r="WNV613" s="5" t="s">
        <v>3728</v>
      </c>
      <c r="WNW613" s="17">
        <v>44925</v>
      </c>
      <c r="WNX613" s="5" t="s">
        <v>3728</v>
      </c>
      <c r="WNY613" s="17">
        <v>44925</v>
      </c>
      <c r="WNZ613" s="5" t="s">
        <v>3728</v>
      </c>
      <c r="WOA613" s="17">
        <v>44925</v>
      </c>
      <c r="WOB613" s="5" t="s">
        <v>3728</v>
      </c>
      <c r="WOC613" s="17">
        <v>44925</v>
      </c>
      <c r="WOD613" s="5" t="s">
        <v>3728</v>
      </c>
      <c r="WOE613" s="17">
        <v>44925</v>
      </c>
      <c r="WOF613" s="5" t="s">
        <v>3728</v>
      </c>
      <c r="WOG613" s="17">
        <v>44925</v>
      </c>
      <c r="WOH613" s="5" t="s">
        <v>3728</v>
      </c>
      <c r="WOI613" s="17">
        <v>44925</v>
      </c>
      <c r="WOJ613" s="5" t="s">
        <v>3728</v>
      </c>
      <c r="WOK613" s="17">
        <v>44925</v>
      </c>
      <c r="WOL613" s="5" t="s">
        <v>3728</v>
      </c>
      <c r="WOM613" s="17">
        <v>44925</v>
      </c>
      <c r="WON613" s="5" t="s">
        <v>3728</v>
      </c>
      <c r="WOO613" s="17">
        <v>44925</v>
      </c>
      <c r="WOP613" s="5" t="s">
        <v>3728</v>
      </c>
      <c r="WOQ613" s="17">
        <v>44925</v>
      </c>
      <c r="WOR613" s="5" t="s">
        <v>3728</v>
      </c>
      <c r="WOS613" s="17">
        <v>44925</v>
      </c>
      <c r="WOT613" s="5" t="s">
        <v>3728</v>
      </c>
      <c r="WOU613" s="17">
        <v>44925</v>
      </c>
      <c r="WOV613" s="5" t="s">
        <v>3728</v>
      </c>
      <c r="WOW613" s="17">
        <v>44925</v>
      </c>
      <c r="WOX613" s="5" t="s">
        <v>3728</v>
      </c>
      <c r="WOY613" s="17">
        <v>44925</v>
      </c>
      <c r="WOZ613" s="5" t="s">
        <v>3728</v>
      </c>
      <c r="WPA613" s="17">
        <v>44925</v>
      </c>
      <c r="WPB613" s="5" t="s">
        <v>3728</v>
      </c>
      <c r="WPC613" s="17">
        <v>44925</v>
      </c>
      <c r="WPD613" s="5" t="s">
        <v>3728</v>
      </c>
      <c r="WPE613" s="17">
        <v>44925</v>
      </c>
      <c r="WPF613" s="5" t="s">
        <v>3728</v>
      </c>
      <c r="WPG613" s="17">
        <v>44925</v>
      </c>
      <c r="WPH613" s="5" t="s">
        <v>3728</v>
      </c>
      <c r="WPI613" s="17">
        <v>44925</v>
      </c>
      <c r="WPJ613" s="5" t="s">
        <v>3728</v>
      </c>
      <c r="WPK613" s="17">
        <v>44925</v>
      </c>
      <c r="WPL613" s="5" t="s">
        <v>3728</v>
      </c>
      <c r="WPM613" s="17">
        <v>44925</v>
      </c>
      <c r="WPN613" s="5" t="s">
        <v>3728</v>
      </c>
      <c r="WPO613" s="17">
        <v>44925</v>
      </c>
      <c r="WPP613" s="5" t="s">
        <v>3728</v>
      </c>
      <c r="WPQ613" s="17">
        <v>44925</v>
      </c>
      <c r="WPR613" s="5" t="s">
        <v>3728</v>
      </c>
      <c r="WPS613" s="17">
        <v>44925</v>
      </c>
      <c r="WPT613" s="5" t="s">
        <v>3728</v>
      </c>
      <c r="WPU613" s="17">
        <v>44925</v>
      </c>
      <c r="WPV613" s="5" t="s">
        <v>3728</v>
      </c>
      <c r="WPW613" s="17">
        <v>44925</v>
      </c>
      <c r="WPX613" s="5" t="s">
        <v>3728</v>
      </c>
      <c r="WPY613" s="17">
        <v>44925</v>
      </c>
      <c r="WPZ613" s="5" t="s">
        <v>3728</v>
      </c>
      <c r="WQA613" s="17">
        <v>44925</v>
      </c>
      <c r="WQB613" s="5" t="s">
        <v>3728</v>
      </c>
      <c r="WQC613" s="17">
        <v>44925</v>
      </c>
      <c r="WQD613" s="5" t="s">
        <v>3728</v>
      </c>
      <c r="WQE613" s="17">
        <v>44925</v>
      </c>
      <c r="WQF613" s="5" t="s">
        <v>3728</v>
      </c>
      <c r="WQG613" s="17">
        <v>44925</v>
      </c>
      <c r="WQH613" s="5" t="s">
        <v>3728</v>
      </c>
      <c r="WQI613" s="17">
        <v>44925</v>
      </c>
      <c r="WQJ613" s="5" t="s">
        <v>3728</v>
      </c>
      <c r="WQK613" s="17">
        <v>44925</v>
      </c>
      <c r="WQL613" s="5" t="s">
        <v>3728</v>
      </c>
      <c r="WQM613" s="17">
        <v>44925</v>
      </c>
      <c r="WQN613" s="5" t="s">
        <v>3728</v>
      </c>
      <c r="WQO613" s="17">
        <v>44925</v>
      </c>
      <c r="WQP613" s="5" t="s">
        <v>3728</v>
      </c>
      <c r="WQQ613" s="17">
        <v>44925</v>
      </c>
      <c r="WQR613" s="5" t="s">
        <v>3728</v>
      </c>
      <c r="WQS613" s="17">
        <v>44925</v>
      </c>
      <c r="WQT613" s="5" t="s">
        <v>3728</v>
      </c>
      <c r="WQU613" s="17">
        <v>44925</v>
      </c>
      <c r="WQV613" s="5" t="s">
        <v>3728</v>
      </c>
      <c r="WQW613" s="17">
        <v>44925</v>
      </c>
      <c r="WQX613" s="5" t="s">
        <v>3728</v>
      </c>
      <c r="WQY613" s="17">
        <v>44925</v>
      </c>
      <c r="WQZ613" s="5" t="s">
        <v>3728</v>
      </c>
      <c r="WRA613" s="17">
        <v>44925</v>
      </c>
      <c r="WRB613" s="5" t="s">
        <v>3728</v>
      </c>
      <c r="WRC613" s="17">
        <v>44925</v>
      </c>
      <c r="WRD613" s="5" t="s">
        <v>3728</v>
      </c>
      <c r="WRE613" s="17">
        <v>44925</v>
      </c>
      <c r="WRF613" s="5" t="s">
        <v>3728</v>
      </c>
      <c r="WRG613" s="17">
        <v>44925</v>
      </c>
      <c r="WRH613" s="5" t="s">
        <v>3728</v>
      </c>
      <c r="WRI613" s="17">
        <v>44925</v>
      </c>
      <c r="WRJ613" s="5" t="s">
        <v>3728</v>
      </c>
      <c r="WRK613" s="17">
        <v>44925</v>
      </c>
      <c r="WRL613" s="5" t="s">
        <v>3728</v>
      </c>
      <c r="WRM613" s="17">
        <v>44925</v>
      </c>
      <c r="WRN613" s="5" t="s">
        <v>3728</v>
      </c>
      <c r="WRO613" s="17">
        <v>44925</v>
      </c>
      <c r="WRP613" s="5" t="s">
        <v>3728</v>
      </c>
      <c r="WRQ613" s="17">
        <v>44925</v>
      </c>
      <c r="WRR613" s="5" t="s">
        <v>3728</v>
      </c>
      <c r="WRS613" s="17">
        <v>44925</v>
      </c>
      <c r="WRT613" s="5" t="s">
        <v>3728</v>
      </c>
      <c r="WRU613" s="17">
        <v>44925</v>
      </c>
      <c r="WRV613" s="5" t="s">
        <v>3728</v>
      </c>
      <c r="WRW613" s="17">
        <v>44925</v>
      </c>
      <c r="WRX613" s="5" t="s">
        <v>3728</v>
      </c>
      <c r="WRY613" s="17">
        <v>44925</v>
      </c>
      <c r="WRZ613" s="5" t="s">
        <v>3728</v>
      </c>
      <c r="WSA613" s="17">
        <v>44925</v>
      </c>
      <c r="WSB613" s="5" t="s">
        <v>3728</v>
      </c>
      <c r="WSC613" s="17">
        <v>44925</v>
      </c>
      <c r="WSD613" s="5" t="s">
        <v>3728</v>
      </c>
      <c r="WSE613" s="17">
        <v>44925</v>
      </c>
      <c r="WSF613" s="5" t="s">
        <v>3728</v>
      </c>
      <c r="WSG613" s="17">
        <v>44925</v>
      </c>
      <c r="WSH613" s="5" t="s">
        <v>3728</v>
      </c>
      <c r="WSI613" s="17">
        <v>44925</v>
      </c>
      <c r="WSJ613" s="5" t="s">
        <v>3728</v>
      </c>
      <c r="WSK613" s="17">
        <v>44925</v>
      </c>
      <c r="WSL613" s="5" t="s">
        <v>3728</v>
      </c>
      <c r="WSM613" s="17">
        <v>44925</v>
      </c>
      <c r="WSN613" s="5" t="s">
        <v>3728</v>
      </c>
      <c r="WSO613" s="17">
        <v>44925</v>
      </c>
      <c r="WSP613" s="5" t="s">
        <v>3728</v>
      </c>
      <c r="WSQ613" s="17">
        <v>44925</v>
      </c>
      <c r="WSR613" s="5" t="s">
        <v>3728</v>
      </c>
      <c r="WSS613" s="17">
        <v>44925</v>
      </c>
      <c r="WST613" s="5" t="s">
        <v>3728</v>
      </c>
      <c r="WSU613" s="17">
        <v>44925</v>
      </c>
      <c r="WSV613" s="5" t="s">
        <v>3728</v>
      </c>
      <c r="WSW613" s="17">
        <v>44925</v>
      </c>
      <c r="WSX613" s="5" t="s">
        <v>3728</v>
      </c>
      <c r="WSY613" s="17">
        <v>44925</v>
      </c>
      <c r="WSZ613" s="5" t="s">
        <v>3728</v>
      </c>
      <c r="WTA613" s="17">
        <v>44925</v>
      </c>
      <c r="WTB613" s="5" t="s">
        <v>3728</v>
      </c>
      <c r="WTC613" s="17">
        <v>44925</v>
      </c>
      <c r="WTD613" s="5" t="s">
        <v>3728</v>
      </c>
      <c r="WTE613" s="17">
        <v>44925</v>
      </c>
      <c r="WTF613" s="5" t="s">
        <v>3728</v>
      </c>
      <c r="WTG613" s="17">
        <v>44925</v>
      </c>
      <c r="WTH613" s="5" t="s">
        <v>3728</v>
      </c>
      <c r="WTI613" s="17">
        <v>44925</v>
      </c>
      <c r="WTJ613" s="5" t="s">
        <v>3728</v>
      </c>
      <c r="WTK613" s="17">
        <v>44925</v>
      </c>
      <c r="WTL613" s="5" t="s">
        <v>3728</v>
      </c>
      <c r="WTM613" s="17">
        <v>44925</v>
      </c>
      <c r="WTN613" s="5" t="s">
        <v>3728</v>
      </c>
      <c r="WTO613" s="17">
        <v>44925</v>
      </c>
      <c r="WTP613" s="5" t="s">
        <v>3728</v>
      </c>
      <c r="WTQ613" s="17">
        <v>44925</v>
      </c>
      <c r="WTR613" s="5" t="s">
        <v>3728</v>
      </c>
      <c r="WTS613" s="17">
        <v>44925</v>
      </c>
      <c r="WTT613" s="5" t="s">
        <v>3728</v>
      </c>
      <c r="WTU613" s="17">
        <v>44925</v>
      </c>
      <c r="WTV613" s="5" t="s">
        <v>3728</v>
      </c>
      <c r="WTW613" s="17">
        <v>44925</v>
      </c>
      <c r="WTX613" s="5" t="s">
        <v>3728</v>
      </c>
      <c r="WTY613" s="17">
        <v>44925</v>
      </c>
      <c r="WTZ613" s="5" t="s">
        <v>3728</v>
      </c>
      <c r="WUA613" s="17">
        <v>44925</v>
      </c>
      <c r="WUB613" s="5" t="s">
        <v>3728</v>
      </c>
      <c r="WUC613" s="17">
        <v>44925</v>
      </c>
      <c r="WUD613" s="5" t="s">
        <v>3728</v>
      </c>
      <c r="WUE613" s="17">
        <v>44925</v>
      </c>
      <c r="WUF613" s="5" t="s">
        <v>3728</v>
      </c>
      <c r="WUG613" s="17">
        <v>44925</v>
      </c>
      <c r="WUH613" s="5" t="s">
        <v>3728</v>
      </c>
      <c r="WUI613" s="17">
        <v>44925</v>
      </c>
      <c r="WUJ613" s="5" t="s">
        <v>3728</v>
      </c>
      <c r="WUK613" s="17">
        <v>44925</v>
      </c>
      <c r="WUL613" s="5" t="s">
        <v>3728</v>
      </c>
      <c r="WUM613" s="17">
        <v>44925</v>
      </c>
      <c r="WUN613" s="5" t="s">
        <v>3728</v>
      </c>
      <c r="WUO613" s="17">
        <v>44925</v>
      </c>
      <c r="WUP613" s="5" t="s">
        <v>3728</v>
      </c>
      <c r="WUQ613" s="17">
        <v>44925</v>
      </c>
      <c r="WUR613" s="5" t="s">
        <v>3728</v>
      </c>
      <c r="WUS613" s="17">
        <v>44925</v>
      </c>
      <c r="WUT613" s="5" t="s">
        <v>3728</v>
      </c>
      <c r="WUU613" s="17">
        <v>44925</v>
      </c>
      <c r="WUV613" s="5" t="s">
        <v>3728</v>
      </c>
      <c r="WUW613" s="17">
        <v>44925</v>
      </c>
      <c r="WUX613" s="5" t="s">
        <v>3728</v>
      </c>
      <c r="WUY613" s="17">
        <v>44925</v>
      </c>
      <c r="WUZ613" s="5" t="s">
        <v>3728</v>
      </c>
      <c r="WVA613" s="17">
        <v>44925</v>
      </c>
      <c r="WVB613" s="5" t="s">
        <v>3728</v>
      </c>
      <c r="WVC613" s="17">
        <v>44925</v>
      </c>
      <c r="WVD613" s="5" t="s">
        <v>3728</v>
      </c>
      <c r="WVE613" s="17">
        <v>44925</v>
      </c>
      <c r="WVF613" s="5" t="s">
        <v>3728</v>
      </c>
      <c r="WVG613" s="17">
        <v>44925</v>
      </c>
      <c r="WVH613" s="5" t="s">
        <v>3728</v>
      </c>
      <c r="WVI613" s="17">
        <v>44925</v>
      </c>
      <c r="WVJ613" s="5" t="s">
        <v>3728</v>
      </c>
      <c r="WVK613" s="17">
        <v>44925</v>
      </c>
      <c r="WVL613" s="5" t="s">
        <v>3728</v>
      </c>
      <c r="WVM613" s="17">
        <v>44925</v>
      </c>
      <c r="WVN613" s="5" t="s">
        <v>3728</v>
      </c>
      <c r="WVO613" s="17">
        <v>44925</v>
      </c>
      <c r="WVP613" s="5" t="s">
        <v>3728</v>
      </c>
      <c r="WVQ613" s="17">
        <v>44925</v>
      </c>
      <c r="WVR613" s="5" t="s">
        <v>3728</v>
      </c>
      <c r="WVS613" s="17">
        <v>44925</v>
      </c>
      <c r="WVT613" s="5" t="s">
        <v>3728</v>
      </c>
      <c r="WVU613" s="17">
        <v>44925</v>
      </c>
      <c r="WVV613" s="5" t="s">
        <v>3728</v>
      </c>
      <c r="WVW613" s="17">
        <v>44925</v>
      </c>
      <c r="WVX613" s="5" t="s">
        <v>3728</v>
      </c>
      <c r="WVY613" s="17">
        <v>44925</v>
      </c>
      <c r="WVZ613" s="5" t="s">
        <v>3728</v>
      </c>
      <c r="WWA613" s="17">
        <v>44925</v>
      </c>
      <c r="WWB613" s="5" t="s">
        <v>3728</v>
      </c>
      <c r="WWC613" s="17">
        <v>44925</v>
      </c>
      <c r="WWD613" s="5" t="s">
        <v>3728</v>
      </c>
      <c r="WWE613" s="17">
        <v>44925</v>
      </c>
      <c r="WWF613" s="5" t="s">
        <v>3728</v>
      </c>
      <c r="WWG613" s="17">
        <v>44925</v>
      </c>
      <c r="WWH613" s="5" t="s">
        <v>3728</v>
      </c>
      <c r="WWI613" s="17">
        <v>44925</v>
      </c>
      <c r="WWJ613" s="5" t="s">
        <v>3728</v>
      </c>
      <c r="WWK613" s="17">
        <v>44925</v>
      </c>
      <c r="WWL613" s="5" t="s">
        <v>3728</v>
      </c>
      <c r="WWM613" s="17">
        <v>44925</v>
      </c>
      <c r="WWN613" s="5" t="s">
        <v>3728</v>
      </c>
      <c r="WWO613" s="17">
        <v>44925</v>
      </c>
      <c r="WWP613" s="5" t="s">
        <v>3728</v>
      </c>
      <c r="WWQ613" s="17">
        <v>44925</v>
      </c>
      <c r="WWR613" s="5" t="s">
        <v>3728</v>
      </c>
      <c r="WWS613" s="17">
        <v>44925</v>
      </c>
      <c r="WWT613" s="5" t="s">
        <v>3728</v>
      </c>
      <c r="WWU613" s="17">
        <v>44925</v>
      </c>
      <c r="WWV613" s="5" t="s">
        <v>3728</v>
      </c>
      <c r="WWW613" s="17">
        <v>44925</v>
      </c>
      <c r="WWX613" s="5" t="s">
        <v>3728</v>
      </c>
      <c r="WWY613" s="17">
        <v>44925</v>
      </c>
      <c r="WWZ613" s="5" t="s">
        <v>3728</v>
      </c>
      <c r="WXA613" s="17">
        <v>44925</v>
      </c>
      <c r="WXB613" s="5" t="s">
        <v>3728</v>
      </c>
      <c r="WXC613" s="17">
        <v>44925</v>
      </c>
      <c r="WXD613" s="5" t="s">
        <v>3728</v>
      </c>
      <c r="WXE613" s="17">
        <v>44925</v>
      </c>
      <c r="WXF613" s="5" t="s">
        <v>3728</v>
      </c>
      <c r="WXG613" s="17">
        <v>44925</v>
      </c>
      <c r="WXH613" s="5" t="s">
        <v>3728</v>
      </c>
      <c r="WXI613" s="17">
        <v>44925</v>
      </c>
      <c r="WXJ613" s="5" t="s">
        <v>3728</v>
      </c>
      <c r="WXK613" s="17">
        <v>44925</v>
      </c>
      <c r="WXL613" s="5" t="s">
        <v>3728</v>
      </c>
      <c r="WXM613" s="17">
        <v>44925</v>
      </c>
      <c r="WXN613" s="5" t="s">
        <v>3728</v>
      </c>
      <c r="WXO613" s="17">
        <v>44925</v>
      </c>
      <c r="WXP613" s="5" t="s">
        <v>3728</v>
      </c>
      <c r="WXQ613" s="17">
        <v>44925</v>
      </c>
      <c r="WXR613" s="5" t="s">
        <v>3728</v>
      </c>
      <c r="WXS613" s="17">
        <v>44925</v>
      </c>
      <c r="WXT613" s="5" t="s">
        <v>3728</v>
      </c>
      <c r="WXU613" s="17">
        <v>44925</v>
      </c>
      <c r="WXV613" s="5" t="s">
        <v>3728</v>
      </c>
      <c r="WXW613" s="17">
        <v>44925</v>
      </c>
      <c r="WXX613" s="5" t="s">
        <v>3728</v>
      </c>
      <c r="WXY613" s="17">
        <v>44925</v>
      </c>
      <c r="WXZ613" s="5" t="s">
        <v>3728</v>
      </c>
      <c r="WYA613" s="17">
        <v>44925</v>
      </c>
      <c r="WYB613" s="5" t="s">
        <v>3728</v>
      </c>
      <c r="WYC613" s="17">
        <v>44925</v>
      </c>
      <c r="WYD613" s="5" t="s">
        <v>3728</v>
      </c>
      <c r="WYE613" s="17">
        <v>44925</v>
      </c>
      <c r="WYF613" s="5" t="s">
        <v>3728</v>
      </c>
      <c r="WYG613" s="17">
        <v>44925</v>
      </c>
      <c r="WYH613" s="5" t="s">
        <v>3728</v>
      </c>
      <c r="WYI613" s="17">
        <v>44925</v>
      </c>
      <c r="WYJ613" s="5" t="s">
        <v>3728</v>
      </c>
      <c r="WYK613" s="17">
        <v>44925</v>
      </c>
      <c r="WYL613" s="5" t="s">
        <v>3728</v>
      </c>
      <c r="WYM613" s="17">
        <v>44925</v>
      </c>
      <c r="WYN613" s="5" t="s">
        <v>3728</v>
      </c>
      <c r="WYO613" s="17">
        <v>44925</v>
      </c>
      <c r="WYP613" s="5" t="s">
        <v>3728</v>
      </c>
      <c r="WYQ613" s="17">
        <v>44925</v>
      </c>
      <c r="WYR613" s="5" t="s">
        <v>3728</v>
      </c>
      <c r="WYS613" s="17">
        <v>44925</v>
      </c>
      <c r="WYT613" s="5" t="s">
        <v>3728</v>
      </c>
      <c r="WYU613" s="17">
        <v>44925</v>
      </c>
      <c r="WYV613" s="5" t="s">
        <v>3728</v>
      </c>
      <c r="WYW613" s="17">
        <v>44925</v>
      </c>
      <c r="WYX613" s="5" t="s">
        <v>3728</v>
      </c>
      <c r="WYY613" s="17">
        <v>44925</v>
      </c>
      <c r="WYZ613" s="5" t="s">
        <v>3728</v>
      </c>
      <c r="WZA613" s="17">
        <v>44925</v>
      </c>
      <c r="WZB613" s="5" t="s">
        <v>3728</v>
      </c>
      <c r="WZC613" s="17">
        <v>44925</v>
      </c>
      <c r="WZD613" s="5" t="s">
        <v>3728</v>
      </c>
      <c r="WZE613" s="17">
        <v>44925</v>
      </c>
      <c r="WZF613" s="5" t="s">
        <v>3728</v>
      </c>
      <c r="WZG613" s="17">
        <v>44925</v>
      </c>
      <c r="WZH613" s="5" t="s">
        <v>3728</v>
      </c>
      <c r="WZI613" s="17">
        <v>44925</v>
      </c>
      <c r="WZJ613" s="5" t="s">
        <v>3728</v>
      </c>
      <c r="WZK613" s="17">
        <v>44925</v>
      </c>
      <c r="WZL613" s="5" t="s">
        <v>3728</v>
      </c>
      <c r="WZM613" s="17">
        <v>44925</v>
      </c>
      <c r="WZN613" s="5" t="s">
        <v>3728</v>
      </c>
      <c r="WZO613" s="17">
        <v>44925</v>
      </c>
      <c r="WZP613" s="5" t="s">
        <v>3728</v>
      </c>
      <c r="WZQ613" s="17">
        <v>44925</v>
      </c>
      <c r="WZR613" s="5" t="s">
        <v>3728</v>
      </c>
      <c r="WZS613" s="17">
        <v>44925</v>
      </c>
      <c r="WZT613" s="5" t="s">
        <v>3728</v>
      </c>
      <c r="WZU613" s="17">
        <v>44925</v>
      </c>
      <c r="WZV613" s="5" t="s">
        <v>3728</v>
      </c>
      <c r="WZW613" s="17">
        <v>44925</v>
      </c>
      <c r="WZX613" s="5" t="s">
        <v>3728</v>
      </c>
      <c r="WZY613" s="17">
        <v>44925</v>
      </c>
      <c r="WZZ613" s="5" t="s">
        <v>3728</v>
      </c>
      <c r="XAA613" s="17">
        <v>44925</v>
      </c>
      <c r="XAB613" s="5" t="s">
        <v>3728</v>
      </c>
      <c r="XAC613" s="17">
        <v>44925</v>
      </c>
      <c r="XAD613" s="5" t="s">
        <v>3728</v>
      </c>
      <c r="XAE613" s="17">
        <v>44925</v>
      </c>
      <c r="XAF613" s="5" t="s">
        <v>3728</v>
      </c>
      <c r="XAG613" s="17">
        <v>44925</v>
      </c>
      <c r="XAH613" s="5" t="s">
        <v>3728</v>
      </c>
      <c r="XAI613" s="17">
        <v>44925</v>
      </c>
      <c r="XAJ613" s="5" t="s">
        <v>3728</v>
      </c>
      <c r="XAK613" s="17">
        <v>44925</v>
      </c>
      <c r="XAL613" s="5" t="s">
        <v>3728</v>
      </c>
      <c r="XAM613" s="17">
        <v>44925</v>
      </c>
      <c r="XAN613" s="5" t="s">
        <v>3728</v>
      </c>
      <c r="XAO613" s="17">
        <v>44925</v>
      </c>
      <c r="XAP613" s="5" t="s">
        <v>3728</v>
      </c>
      <c r="XAQ613" s="17">
        <v>44925</v>
      </c>
      <c r="XAR613" s="5" t="s">
        <v>3728</v>
      </c>
      <c r="XAS613" s="17">
        <v>44925</v>
      </c>
      <c r="XAT613" s="5" t="s">
        <v>3728</v>
      </c>
      <c r="XAU613" s="17">
        <v>44925</v>
      </c>
      <c r="XAV613" s="5" t="s">
        <v>3728</v>
      </c>
      <c r="XAW613" s="17">
        <v>44925</v>
      </c>
      <c r="XAX613" s="5" t="s">
        <v>3728</v>
      </c>
      <c r="XAY613" s="17">
        <v>44925</v>
      </c>
      <c r="XAZ613" s="5" t="s">
        <v>3728</v>
      </c>
      <c r="XBA613" s="17">
        <v>44925</v>
      </c>
      <c r="XBB613" s="5" t="s">
        <v>3728</v>
      </c>
      <c r="XBC613" s="17">
        <v>44925</v>
      </c>
      <c r="XBD613" s="5" t="s">
        <v>3728</v>
      </c>
      <c r="XBE613" s="17">
        <v>44925</v>
      </c>
      <c r="XBF613" s="5" t="s">
        <v>3728</v>
      </c>
      <c r="XBG613" s="17">
        <v>44925</v>
      </c>
      <c r="XBH613" s="5" t="s">
        <v>3728</v>
      </c>
      <c r="XBI613" s="17">
        <v>44925</v>
      </c>
      <c r="XBJ613" s="5" t="s">
        <v>3728</v>
      </c>
      <c r="XBK613" s="17">
        <v>44925</v>
      </c>
      <c r="XBL613" s="5" t="s">
        <v>3728</v>
      </c>
      <c r="XBM613" s="17">
        <v>44925</v>
      </c>
      <c r="XBN613" s="5" t="s">
        <v>3728</v>
      </c>
      <c r="XBO613" s="17">
        <v>44925</v>
      </c>
      <c r="XBP613" s="5" t="s">
        <v>3728</v>
      </c>
      <c r="XBQ613" s="17">
        <v>44925</v>
      </c>
      <c r="XBR613" s="5" t="s">
        <v>3728</v>
      </c>
      <c r="XBS613" s="17">
        <v>44925</v>
      </c>
      <c r="XBT613" s="5" t="s">
        <v>3728</v>
      </c>
      <c r="XBU613" s="17">
        <v>44925</v>
      </c>
      <c r="XBV613" s="5" t="s">
        <v>3728</v>
      </c>
      <c r="XBW613" s="17">
        <v>44925</v>
      </c>
      <c r="XBX613" s="5" t="s">
        <v>3728</v>
      </c>
      <c r="XBY613" s="17">
        <v>44925</v>
      </c>
      <c r="XBZ613" s="5" t="s">
        <v>3728</v>
      </c>
      <c r="XCA613" s="17">
        <v>44925</v>
      </c>
      <c r="XCB613" s="5" t="s">
        <v>3728</v>
      </c>
      <c r="XCC613" s="17">
        <v>44925</v>
      </c>
      <c r="XCD613" s="5" t="s">
        <v>3728</v>
      </c>
      <c r="XCE613" s="17">
        <v>44925</v>
      </c>
      <c r="XCF613" s="5" t="s">
        <v>3728</v>
      </c>
      <c r="XCG613" s="17">
        <v>44925</v>
      </c>
      <c r="XCH613" s="5" t="s">
        <v>3728</v>
      </c>
      <c r="XCI613" s="17">
        <v>44925</v>
      </c>
      <c r="XCJ613" s="5" t="s">
        <v>3728</v>
      </c>
      <c r="XCK613" s="17">
        <v>44925</v>
      </c>
      <c r="XCL613" s="5" t="s">
        <v>3728</v>
      </c>
      <c r="XCM613" s="17">
        <v>44925</v>
      </c>
      <c r="XCN613" s="5" t="s">
        <v>3728</v>
      </c>
      <c r="XCO613" s="17">
        <v>44925</v>
      </c>
      <c r="XCP613" s="5" t="s">
        <v>3728</v>
      </c>
      <c r="XCQ613" s="17">
        <v>44925</v>
      </c>
      <c r="XCR613" s="5" t="s">
        <v>3728</v>
      </c>
      <c r="XCS613" s="17">
        <v>44925</v>
      </c>
      <c r="XCT613" s="5" t="s">
        <v>3728</v>
      </c>
      <c r="XCU613" s="17">
        <v>44925</v>
      </c>
      <c r="XCV613" s="5" t="s">
        <v>3728</v>
      </c>
      <c r="XCW613" s="17">
        <v>44925</v>
      </c>
      <c r="XCX613" s="5" t="s">
        <v>3728</v>
      </c>
      <c r="XCY613" s="17">
        <v>44925</v>
      </c>
      <c r="XCZ613" s="5" t="s">
        <v>3728</v>
      </c>
      <c r="XDA613" s="17">
        <v>44925</v>
      </c>
      <c r="XDB613" s="5" t="s">
        <v>3728</v>
      </c>
      <c r="XDC613" s="17">
        <v>44925</v>
      </c>
      <c r="XDD613" s="5" t="s">
        <v>3728</v>
      </c>
      <c r="XDE613" s="17">
        <v>44925</v>
      </c>
      <c r="XDF613" s="5" t="s">
        <v>3728</v>
      </c>
      <c r="XDG613" s="17">
        <v>44925</v>
      </c>
      <c r="XDH613" s="5" t="s">
        <v>3728</v>
      </c>
      <c r="XDI613" s="17">
        <v>44925</v>
      </c>
      <c r="XDJ613" s="5" t="s">
        <v>3728</v>
      </c>
      <c r="XDK613" s="17">
        <v>44925</v>
      </c>
      <c r="XDL613" s="5" t="s">
        <v>3728</v>
      </c>
      <c r="XDM613" s="17">
        <v>44925</v>
      </c>
      <c r="XDN613" s="5" t="s">
        <v>3728</v>
      </c>
      <c r="XDO613" s="17">
        <v>44925</v>
      </c>
      <c r="XDP613" s="5" t="s">
        <v>3728</v>
      </c>
      <c r="XDQ613" s="17">
        <v>44925</v>
      </c>
      <c r="XDR613" s="5" t="s">
        <v>3728</v>
      </c>
      <c r="XDS613" s="17">
        <v>44925</v>
      </c>
      <c r="XDT613" s="5" t="s">
        <v>3728</v>
      </c>
      <c r="XDU613" s="17">
        <v>44925</v>
      </c>
      <c r="XDV613" s="5" t="s">
        <v>3728</v>
      </c>
      <c r="XDW613" s="17">
        <v>44925</v>
      </c>
      <c r="XDX613" s="5" t="s">
        <v>3728</v>
      </c>
      <c r="XDY613" s="17">
        <v>44925</v>
      </c>
      <c r="XDZ613" s="5" t="s">
        <v>3728</v>
      </c>
      <c r="XEA613" s="17">
        <v>44925</v>
      </c>
      <c r="XEB613" s="5" t="s">
        <v>3728</v>
      </c>
      <c r="XEC613" s="17">
        <v>44925</v>
      </c>
      <c r="XED613" s="5" t="s">
        <v>3728</v>
      </c>
      <c r="XEE613" s="17">
        <v>44925</v>
      </c>
      <c r="XEF613" s="5" t="s">
        <v>3728</v>
      </c>
      <c r="XEG613" s="17">
        <v>44925</v>
      </c>
      <c r="XEH613" s="5" t="s">
        <v>3728</v>
      </c>
      <c r="XEI613" s="17">
        <v>44925</v>
      </c>
      <c r="XEJ613" s="5" t="s">
        <v>3728</v>
      </c>
      <c r="XEK613" s="17">
        <v>44925</v>
      </c>
      <c r="XEL613" s="5" t="s">
        <v>3728</v>
      </c>
      <c r="XEM613" s="17">
        <v>44925</v>
      </c>
      <c r="XEN613" s="5" t="s">
        <v>3728</v>
      </c>
      <c r="XEO613" s="17">
        <v>44925</v>
      </c>
      <c r="XEP613" s="5" t="s">
        <v>3728</v>
      </c>
      <c r="XEQ613" s="17">
        <v>44925</v>
      </c>
      <c r="XER613" s="5" t="s">
        <v>3728</v>
      </c>
      <c r="XES613" s="17">
        <v>44925</v>
      </c>
      <c r="XET613" s="5" t="s">
        <v>3728</v>
      </c>
      <c r="XEU613" s="17">
        <v>44925</v>
      </c>
      <c r="XEV613" s="5" t="s">
        <v>3728</v>
      </c>
      <c r="XEW613" s="17">
        <v>44925</v>
      </c>
      <c r="XEX613" s="5" t="s">
        <v>3728</v>
      </c>
      <c r="XEY613" s="17">
        <v>44925</v>
      </c>
      <c r="XEZ613" s="5" t="s">
        <v>3728</v>
      </c>
      <c r="XFA613" s="17">
        <v>44925</v>
      </c>
      <c r="XFB613" s="5" t="s">
        <v>3728</v>
      </c>
    </row>
    <row r="614" spans="1:16382" ht="17.25" customHeight="1" x14ac:dyDescent="0.3">
      <c r="A614" s="169">
        <f t="shared" si="66"/>
        <v>528</v>
      </c>
      <c r="B614" s="21" t="s">
        <v>614</v>
      </c>
      <c r="C614" s="5">
        <v>1971</v>
      </c>
      <c r="D614" s="3"/>
      <c r="E614" s="15" t="s">
        <v>3645</v>
      </c>
      <c r="F614" s="15">
        <v>5</v>
      </c>
      <c r="G614" s="100"/>
      <c r="H614" s="15">
        <v>4774.2299999999996</v>
      </c>
      <c r="I614" s="15">
        <v>203</v>
      </c>
      <c r="J614" s="19">
        <f t="shared" si="70"/>
        <v>1394257.67</v>
      </c>
      <c r="K614" s="105"/>
      <c r="L614" s="105"/>
      <c r="M614" s="105"/>
      <c r="N614" s="19">
        <f>SUMIF('2020'!B:B,B614,'2020'!C:C)+SUMIF('2021'!B:B,B614,'2021'!C:C)+SUMIF('2022'!B:B,B614,'2022'!C:C)</f>
        <v>1394257.67</v>
      </c>
      <c r="O614" s="17">
        <v>44925</v>
      </c>
      <c r="P614" s="5" t="s">
        <v>3728</v>
      </c>
      <c r="Q614" s="17">
        <v>44925</v>
      </c>
      <c r="R614" s="5" t="s">
        <v>3728</v>
      </c>
      <c r="S614" s="17">
        <v>44925</v>
      </c>
      <c r="T614" s="5" t="s">
        <v>3728</v>
      </c>
      <c r="U614" s="17">
        <v>44925</v>
      </c>
      <c r="V614" s="5" t="s">
        <v>3728</v>
      </c>
      <c r="W614" s="17">
        <v>44925</v>
      </c>
      <c r="X614" s="5" t="s">
        <v>3728</v>
      </c>
      <c r="Y614" s="17">
        <v>44925</v>
      </c>
      <c r="Z614" s="5" t="s">
        <v>3728</v>
      </c>
      <c r="AA614" s="17">
        <v>44925</v>
      </c>
      <c r="AB614" s="5" t="s">
        <v>3728</v>
      </c>
      <c r="AC614" s="17">
        <v>44925</v>
      </c>
      <c r="AD614" s="5" t="s">
        <v>3728</v>
      </c>
      <c r="AE614" s="17">
        <v>44925</v>
      </c>
      <c r="AF614" s="5" t="s">
        <v>3728</v>
      </c>
      <c r="AG614" s="17">
        <v>44925</v>
      </c>
      <c r="AH614" s="5" t="s">
        <v>3728</v>
      </c>
      <c r="AI614" s="17">
        <v>44925</v>
      </c>
      <c r="AJ614" s="5" t="s">
        <v>3728</v>
      </c>
      <c r="AK614" s="17">
        <v>44925</v>
      </c>
      <c r="AL614" s="5" t="s">
        <v>3728</v>
      </c>
      <c r="AM614" s="17">
        <v>44925</v>
      </c>
      <c r="AN614" s="5" t="s">
        <v>3728</v>
      </c>
      <c r="AO614" s="17">
        <v>44925</v>
      </c>
      <c r="AP614" s="5" t="s">
        <v>3728</v>
      </c>
      <c r="AQ614" s="17">
        <v>44925</v>
      </c>
      <c r="AR614" s="5" t="s">
        <v>3728</v>
      </c>
      <c r="AS614" s="17">
        <v>44925</v>
      </c>
      <c r="AT614" s="5" t="s">
        <v>3728</v>
      </c>
      <c r="AU614" s="17">
        <v>44925</v>
      </c>
      <c r="AV614" s="5" t="s">
        <v>3728</v>
      </c>
      <c r="AW614" s="17">
        <v>44925</v>
      </c>
      <c r="AX614" s="5" t="s">
        <v>3728</v>
      </c>
      <c r="AY614" s="17">
        <v>44925</v>
      </c>
      <c r="AZ614" s="5" t="s">
        <v>3728</v>
      </c>
      <c r="BA614" s="17">
        <v>44925</v>
      </c>
      <c r="BB614" s="5" t="s">
        <v>3728</v>
      </c>
      <c r="BC614" s="17">
        <v>44925</v>
      </c>
      <c r="BD614" s="5" t="s">
        <v>3728</v>
      </c>
      <c r="BE614" s="17">
        <v>44925</v>
      </c>
      <c r="BF614" s="5" t="s">
        <v>3728</v>
      </c>
      <c r="BG614" s="17">
        <v>44925</v>
      </c>
      <c r="BH614" s="5" t="s">
        <v>3728</v>
      </c>
      <c r="BI614" s="17">
        <v>44925</v>
      </c>
      <c r="BJ614" s="5" t="s">
        <v>3728</v>
      </c>
      <c r="BK614" s="17">
        <v>44925</v>
      </c>
      <c r="BL614" s="5" t="s">
        <v>3728</v>
      </c>
      <c r="BM614" s="17">
        <v>44925</v>
      </c>
      <c r="BN614" s="5" t="s">
        <v>3728</v>
      </c>
      <c r="BO614" s="17">
        <v>44925</v>
      </c>
      <c r="BP614" s="5" t="s">
        <v>3728</v>
      </c>
      <c r="BQ614" s="17">
        <v>44925</v>
      </c>
      <c r="BR614" s="5" t="s">
        <v>3728</v>
      </c>
      <c r="BS614" s="17">
        <v>44925</v>
      </c>
      <c r="BT614" s="5" t="s">
        <v>3728</v>
      </c>
      <c r="BU614" s="17">
        <v>44925</v>
      </c>
      <c r="BV614" s="5" t="s">
        <v>3728</v>
      </c>
      <c r="BW614" s="17">
        <v>44925</v>
      </c>
      <c r="BX614" s="5" t="s">
        <v>3728</v>
      </c>
      <c r="BY614" s="17">
        <v>44925</v>
      </c>
      <c r="BZ614" s="5" t="s">
        <v>3728</v>
      </c>
      <c r="CA614" s="17">
        <v>44925</v>
      </c>
      <c r="CB614" s="5" t="s">
        <v>3728</v>
      </c>
      <c r="CC614" s="17">
        <v>44925</v>
      </c>
      <c r="CD614" s="5" t="s">
        <v>3728</v>
      </c>
      <c r="CE614" s="17">
        <v>44925</v>
      </c>
      <c r="CF614" s="5" t="s">
        <v>3728</v>
      </c>
      <c r="CG614" s="17">
        <v>44925</v>
      </c>
      <c r="CH614" s="5" t="s">
        <v>3728</v>
      </c>
      <c r="CI614" s="17">
        <v>44925</v>
      </c>
      <c r="CJ614" s="5" t="s">
        <v>3728</v>
      </c>
      <c r="CK614" s="17">
        <v>44925</v>
      </c>
      <c r="CL614" s="5" t="s">
        <v>3728</v>
      </c>
      <c r="CM614" s="17">
        <v>44925</v>
      </c>
      <c r="CN614" s="5" t="s">
        <v>3728</v>
      </c>
      <c r="CO614" s="17">
        <v>44925</v>
      </c>
      <c r="CP614" s="5" t="s">
        <v>3728</v>
      </c>
      <c r="CQ614" s="17">
        <v>44925</v>
      </c>
      <c r="CR614" s="5" t="s">
        <v>3728</v>
      </c>
      <c r="CS614" s="17">
        <v>44925</v>
      </c>
      <c r="CT614" s="5" t="s">
        <v>3728</v>
      </c>
      <c r="CU614" s="17">
        <v>44925</v>
      </c>
      <c r="CV614" s="5" t="s">
        <v>3728</v>
      </c>
      <c r="CW614" s="17">
        <v>44925</v>
      </c>
      <c r="CX614" s="5" t="s">
        <v>3728</v>
      </c>
      <c r="CY614" s="17">
        <v>44925</v>
      </c>
      <c r="CZ614" s="5" t="s">
        <v>3728</v>
      </c>
      <c r="DA614" s="17">
        <v>44925</v>
      </c>
      <c r="DB614" s="5" t="s">
        <v>3728</v>
      </c>
      <c r="DC614" s="17">
        <v>44925</v>
      </c>
      <c r="DD614" s="5" t="s">
        <v>3728</v>
      </c>
      <c r="DE614" s="17">
        <v>44925</v>
      </c>
      <c r="DF614" s="5" t="s">
        <v>3728</v>
      </c>
      <c r="DG614" s="17">
        <v>44925</v>
      </c>
      <c r="DH614" s="5" t="s">
        <v>3728</v>
      </c>
      <c r="DI614" s="17">
        <v>44925</v>
      </c>
      <c r="DJ614" s="5" t="s">
        <v>3728</v>
      </c>
      <c r="DK614" s="17">
        <v>44925</v>
      </c>
      <c r="DL614" s="5" t="s">
        <v>3728</v>
      </c>
      <c r="DM614" s="17">
        <v>44925</v>
      </c>
      <c r="DN614" s="5" t="s">
        <v>3728</v>
      </c>
      <c r="DO614" s="17">
        <v>44925</v>
      </c>
      <c r="DP614" s="5" t="s">
        <v>3728</v>
      </c>
      <c r="DQ614" s="17">
        <v>44925</v>
      </c>
      <c r="DR614" s="5" t="s">
        <v>3728</v>
      </c>
      <c r="DS614" s="17">
        <v>44925</v>
      </c>
      <c r="DT614" s="5" t="s">
        <v>3728</v>
      </c>
      <c r="DU614" s="17">
        <v>44925</v>
      </c>
      <c r="DV614" s="5" t="s">
        <v>3728</v>
      </c>
      <c r="DW614" s="17">
        <v>44925</v>
      </c>
      <c r="DX614" s="5" t="s">
        <v>3728</v>
      </c>
      <c r="DY614" s="17">
        <v>44925</v>
      </c>
      <c r="DZ614" s="5" t="s">
        <v>3728</v>
      </c>
      <c r="EA614" s="17">
        <v>44925</v>
      </c>
      <c r="EB614" s="5" t="s">
        <v>3728</v>
      </c>
      <c r="EC614" s="17">
        <v>44925</v>
      </c>
      <c r="ED614" s="5" t="s">
        <v>3728</v>
      </c>
      <c r="EE614" s="17">
        <v>44925</v>
      </c>
      <c r="EF614" s="5" t="s">
        <v>3728</v>
      </c>
      <c r="EG614" s="17">
        <v>44925</v>
      </c>
      <c r="EH614" s="5" t="s">
        <v>3728</v>
      </c>
      <c r="EI614" s="17">
        <v>44925</v>
      </c>
      <c r="EJ614" s="5" t="s">
        <v>3728</v>
      </c>
      <c r="EK614" s="17">
        <v>44925</v>
      </c>
      <c r="EL614" s="5" t="s">
        <v>3728</v>
      </c>
      <c r="EM614" s="17">
        <v>44925</v>
      </c>
      <c r="EN614" s="5" t="s">
        <v>3728</v>
      </c>
      <c r="EO614" s="17">
        <v>44925</v>
      </c>
      <c r="EP614" s="5" t="s">
        <v>3728</v>
      </c>
      <c r="EQ614" s="17">
        <v>44925</v>
      </c>
      <c r="ER614" s="5" t="s">
        <v>3728</v>
      </c>
      <c r="ES614" s="17">
        <v>44925</v>
      </c>
      <c r="ET614" s="5" t="s">
        <v>3728</v>
      </c>
      <c r="EU614" s="17">
        <v>44925</v>
      </c>
      <c r="EV614" s="5" t="s">
        <v>3728</v>
      </c>
      <c r="EW614" s="17">
        <v>44925</v>
      </c>
      <c r="EX614" s="5" t="s">
        <v>3728</v>
      </c>
      <c r="EY614" s="17">
        <v>44925</v>
      </c>
      <c r="EZ614" s="5" t="s">
        <v>3728</v>
      </c>
      <c r="FA614" s="17">
        <v>44925</v>
      </c>
      <c r="FB614" s="5" t="s">
        <v>3728</v>
      </c>
      <c r="FC614" s="17">
        <v>44925</v>
      </c>
      <c r="FD614" s="5" t="s">
        <v>3728</v>
      </c>
      <c r="FE614" s="17">
        <v>44925</v>
      </c>
      <c r="FF614" s="5" t="s">
        <v>3728</v>
      </c>
      <c r="FG614" s="17">
        <v>44925</v>
      </c>
      <c r="FH614" s="5" t="s">
        <v>3728</v>
      </c>
      <c r="FI614" s="17">
        <v>44925</v>
      </c>
      <c r="FJ614" s="5" t="s">
        <v>3728</v>
      </c>
      <c r="FK614" s="17">
        <v>44925</v>
      </c>
      <c r="FL614" s="5" t="s">
        <v>3728</v>
      </c>
      <c r="FM614" s="17">
        <v>44925</v>
      </c>
      <c r="FN614" s="5" t="s">
        <v>3728</v>
      </c>
      <c r="FO614" s="17">
        <v>44925</v>
      </c>
      <c r="FP614" s="5" t="s">
        <v>3728</v>
      </c>
      <c r="FQ614" s="17">
        <v>44925</v>
      </c>
      <c r="FR614" s="5" t="s">
        <v>3728</v>
      </c>
      <c r="FS614" s="17">
        <v>44925</v>
      </c>
      <c r="FT614" s="5" t="s">
        <v>3728</v>
      </c>
      <c r="FU614" s="17">
        <v>44925</v>
      </c>
      <c r="FV614" s="5" t="s">
        <v>3728</v>
      </c>
      <c r="FW614" s="17">
        <v>44925</v>
      </c>
      <c r="FX614" s="5" t="s">
        <v>3728</v>
      </c>
      <c r="FY614" s="17">
        <v>44925</v>
      </c>
      <c r="FZ614" s="5" t="s">
        <v>3728</v>
      </c>
      <c r="GA614" s="17">
        <v>44925</v>
      </c>
      <c r="GB614" s="5" t="s">
        <v>3728</v>
      </c>
      <c r="GC614" s="17">
        <v>44925</v>
      </c>
      <c r="GD614" s="5" t="s">
        <v>3728</v>
      </c>
      <c r="GE614" s="17">
        <v>44925</v>
      </c>
      <c r="GF614" s="5" t="s">
        <v>3728</v>
      </c>
      <c r="GG614" s="17">
        <v>44925</v>
      </c>
      <c r="GH614" s="5" t="s">
        <v>3728</v>
      </c>
      <c r="GI614" s="17">
        <v>44925</v>
      </c>
      <c r="GJ614" s="5" t="s">
        <v>3728</v>
      </c>
      <c r="GK614" s="17">
        <v>44925</v>
      </c>
      <c r="GL614" s="5" t="s">
        <v>3728</v>
      </c>
      <c r="GM614" s="17">
        <v>44925</v>
      </c>
      <c r="GN614" s="5" t="s">
        <v>3728</v>
      </c>
      <c r="GO614" s="17">
        <v>44925</v>
      </c>
      <c r="GP614" s="5" t="s">
        <v>3728</v>
      </c>
      <c r="GQ614" s="17">
        <v>44925</v>
      </c>
      <c r="GR614" s="5" t="s">
        <v>3728</v>
      </c>
      <c r="GS614" s="17">
        <v>44925</v>
      </c>
      <c r="GT614" s="5" t="s">
        <v>3728</v>
      </c>
      <c r="GU614" s="17">
        <v>44925</v>
      </c>
      <c r="GV614" s="5" t="s">
        <v>3728</v>
      </c>
      <c r="GW614" s="17">
        <v>44925</v>
      </c>
      <c r="GX614" s="5" t="s">
        <v>3728</v>
      </c>
      <c r="GY614" s="17">
        <v>44925</v>
      </c>
      <c r="GZ614" s="5" t="s">
        <v>3728</v>
      </c>
      <c r="HA614" s="17">
        <v>44925</v>
      </c>
      <c r="HB614" s="5" t="s">
        <v>3728</v>
      </c>
      <c r="HC614" s="17">
        <v>44925</v>
      </c>
      <c r="HD614" s="5" t="s">
        <v>3728</v>
      </c>
      <c r="HE614" s="17">
        <v>44925</v>
      </c>
      <c r="HF614" s="5" t="s">
        <v>3728</v>
      </c>
      <c r="HG614" s="17">
        <v>44925</v>
      </c>
      <c r="HH614" s="5" t="s">
        <v>3728</v>
      </c>
      <c r="HI614" s="17">
        <v>44925</v>
      </c>
      <c r="HJ614" s="5" t="s">
        <v>3728</v>
      </c>
      <c r="HK614" s="17">
        <v>44925</v>
      </c>
      <c r="HL614" s="5" t="s">
        <v>3728</v>
      </c>
      <c r="HM614" s="17">
        <v>44925</v>
      </c>
      <c r="HN614" s="5" t="s">
        <v>3728</v>
      </c>
      <c r="HO614" s="17">
        <v>44925</v>
      </c>
      <c r="HP614" s="5" t="s">
        <v>3728</v>
      </c>
      <c r="HQ614" s="17">
        <v>44925</v>
      </c>
      <c r="HR614" s="5" t="s">
        <v>3728</v>
      </c>
      <c r="HS614" s="17">
        <v>44925</v>
      </c>
      <c r="HT614" s="5" t="s">
        <v>3728</v>
      </c>
      <c r="HU614" s="17">
        <v>44925</v>
      </c>
      <c r="HV614" s="5" t="s">
        <v>3728</v>
      </c>
      <c r="HW614" s="17">
        <v>44925</v>
      </c>
      <c r="HX614" s="5" t="s">
        <v>3728</v>
      </c>
      <c r="HY614" s="17">
        <v>44925</v>
      </c>
      <c r="HZ614" s="5" t="s">
        <v>3728</v>
      </c>
      <c r="IA614" s="17">
        <v>44925</v>
      </c>
      <c r="IB614" s="5" t="s">
        <v>3728</v>
      </c>
      <c r="IC614" s="17">
        <v>44925</v>
      </c>
      <c r="ID614" s="5" t="s">
        <v>3728</v>
      </c>
      <c r="IE614" s="17">
        <v>44925</v>
      </c>
      <c r="IF614" s="5" t="s">
        <v>3728</v>
      </c>
      <c r="IG614" s="17">
        <v>44925</v>
      </c>
      <c r="IH614" s="5" t="s">
        <v>3728</v>
      </c>
      <c r="II614" s="17">
        <v>44925</v>
      </c>
      <c r="IJ614" s="5" t="s">
        <v>3728</v>
      </c>
      <c r="IK614" s="17">
        <v>44925</v>
      </c>
      <c r="IL614" s="5" t="s">
        <v>3728</v>
      </c>
      <c r="IM614" s="17">
        <v>44925</v>
      </c>
      <c r="IN614" s="5" t="s">
        <v>3728</v>
      </c>
      <c r="IO614" s="17">
        <v>44925</v>
      </c>
      <c r="IP614" s="5" t="s">
        <v>3728</v>
      </c>
      <c r="IQ614" s="17">
        <v>44925</v>
      </c>
      <c r="IR614" s="5" t="s">
        <v>3728</v>
      </c>
      <c r="IS614" s="17">
        <v>44925</v>
      </c>
      <c r="IT614" s="5" t="s">
        <v>3728</v>
      </c>
      <c r="IU614" s="17">
        <v>44925</v>
      </c>
      <c r="IV614" s="5" t="s">
        <v>3728</v>
      </c>
      <c r="IW614" s="17">
        <v>44925</v>
      </c>
      <c r="IX614" s="5" t="s">
        <v>3728</v>
      </c>
      <c r="IY614" s="17">
        <v>44925</v>
      </c>
      <c r="IZ614" s="5" t="s">
        <v>3728</v>
      </c>
      <c r="JA614" s="17">
        <v>44925</v>
      </c>
      <c r="JB614" s="5" t="s">
        <v>3728</v>
      </c>
      <c r="JC614" s="17">
        <v>44925</v>
      </c>
      <c r="JD614" s="5" t="s">
        <v>3728</v>
      </c>
      <c r="JE614" s="17">
        <v>44925</v>
      </c>
      <c r="JF614" s="5" t="s">
        <v>3728</v>
      </c>
      <c r="JG614" s="17">
        <v>44925</v>
      </c>
      <c r="JH614" s="5" t="s">
        <v>3728</v>
      </c>
      <c r="JI614" s="17">
        <v>44925</v>
      </c>
      <c r="JJ614" s="5" t="s">
        <v>3728</v>
      </c>
      <c r="JK614" s="17">
        <v>44925</v>
      </c>
      <c r="JL614" s="5" t="s">
        <v>3728</v>
      </c>
      <c r="JM614" s="17">
        <v>44925</v>
      </c>
      <c r="JN614" s="5" t="s">
        <v>3728</v>
      </c>
      <c r="JO614" s="17">
        <v>44925</v>
      </c>
      <c r="JP614" s="5" t="s">
        <v>3728</v>
      </c>
      <c r="JQ614" s="17">
        <v>44925</v>
      </c>
      <c r="JR614" s="5" t="s">
        <v>3728</v>
      </c>
      <c r="JS614" s="17">
        <v>44925</v>
      </c>
      <c r="JT614" s="5" t="s">
        <v>3728</v>
      </c>
      <c r="JU614" s="17">
        <v>44925</v>
      </c>
      <c r="JV614" s="5" t="s">
        <v>3728</v>
      </c>
      <c r="JW614" s="17">
        <v>44925</v>
      </c>
      <c r="JX614" s="5" t="s">
        <v>3728</v>
      </c>
      <c r="JY614" s="17">
        <v>44925</v>
      </c>
      <c r="JZ614" s="5" t="s">
        <v>3728</v>
      </c>
      <c r="KA614" s="17">
        <v>44925</v>
      </c>
      <c r="KB614" s="5" t="s">
        <v>3728</v>
      </c>
      <c r="KC614" s="17">
        <v>44925</v>
      </c>
      <c r="KD614" s="5" t="s">
        <v>3728</v>
      </c>
      <c r="KE614" s="17">
        <v>44925</v>
      </c>
      <c r="KF614" s="5" t="s">
        <v>3728</v>
      </c>
      <c r="KG614" s="17">
        <v>44925</v>
      </c>
      <c r="KH614" s="5" t="s">
        <v>3728</v>
      </c>
      <c r="KI614" s="17">
        <v>44925</v>
      </c>
      <c r="KJ614" s="5" t="s">
        <v>3728</v>
      </c>
      <c r="KK614" s="17">
        <v>44925</v>
      </c>
      <c r="KL614" s="5" t="s">
        <v>3728</v>
      </c>
      <c r="KM614" s="17">
        <v>44925</v>
      </c>
      <c r="KN614" s="5" t="s">
        <v>3728</v>
      </c>
      <c r="KO614" s="17">
        <v>44925</v>
      </c>
      <c r="KP614" s="5" t="s">
        <v>3728</v>
      </c>
      <c r="KQ614" s="17">
        <v>44925</v>
      </c>
      <c r="KR614" s="5" t="s">
        <v>3728</v>
      </c>
      <c r="KS614" s="17">
        <v>44925</v>
      </c>
      <c r="KT614" s="5" t="s">
        <v>3728</v>
      </c>
      <c r="KU614" s="17">
        <v>44925</v>
      </c>
      <c r="KV614" s="5" t="s">
        <v>3728</v>
      </c>
      <c r="KW614" s="17">
        <v>44925</v>
      </c>
      <c r="KX614" s="5" t="s">
        <v>3728</v>
      </c>
      <c r="KY614" s="17">
        <v>44925</v>
      </c>
      <c r="KZ614" s="5" t="s">
        <v>3728</v>
      </c>
      <c r="LA614" s="17">
        <v>44925</v>
      </c>
      <c r="LB614" s="5" t="s">
        <v>3728</v>
      </c>
      <c r="LC614" s="17">
        <v>44925</v>
      </c>
      <c r="LD614" s="5" t="s">
        <v>3728</v>
      </c>
      <c r="LE614" s="17">
        <v>44925</v>
      </c>
      <c r="LF614" s="5" t="s">
        <v>3728</v>
      </c>
      <c r="LG614" s="17">
        <v>44925</v>
      </c>
      <c r="LH614" s="5" t="s">
        <v>3728</v>
      </c>
      <c r="LI614" s="17">
        <v>44925</v>
      </c>
      <c r="LJ614" s="5" t="s">
        <v>3728</v>
      </c>
      <c r="LK614" s="17">
        <v>44925</v>
      </c>
      <c r="LL614" s="5" t="s">
        <v>3728</v>
      </c>
      <c r="LM614" s="17">
        <v>44925</v>
      </c>
      <c r="LN614" s="5" t="s">
        <v>3728</v>
      </c>
      <c r="LO614" s="17">
        <v>44925</v>
      </c>
      <c r="LP614" s="5" t="s">
        <v>3728</v>
      </c>
      <c r="LQ614" s="17">
        <v>44925</v>
      </c>
      <c r="LR614" s="5" t="s">
        <v>3728</v>
      </c>
      <c r="LS614" s="17">
        <v>44925</v>
      </c>
      <c r="LT614" s="5" t="s">
        <v>3728</v>
      </c>
      <c r="LU614" s="17">
        <v>44925</v>
      </c>
      <c r="LV614" s="5" t="s">
        <v>3728</v>
      </c>
      <c r="LW614" s="17">
        <v>44925</v>
      </c>
      <c r="LX614" s="5" t="s">
        <v>3728</v>
      </c>
      <c r="LY614" s="17">
        <v>44925</v>
      </c>
      <c r="LZ614" s="5" t="s">
        <v>3728</v>
      </c>
      <c r="MA614" s="17">
        <v>44925</v>
      </c>
      <c r="MB614" s="5" t="s">
        <v>3728</v>
      </c>
      <c r="MC614" s="17">
        <v>44925</v>
      </c>
      <c r="MD614" s="5" t="s">
        <v>3728</v>
      </c>
      <c r="ME614" s="17">
        <v>44925</v>
      </c>
      <c r="MF614" s="5" t="s">
        <v>3728</v>
      </c>
      <c r="MG614" s="17">
        <v>44925</v>
      </c>
      <c r="MH614" s="5" t="s">
        <v>3728</v>
      </c>
      <c r="MI614" s="17">
        <v>44925</v>
      </c>
      <c r="MJ614" s="5" t="s">
        <v>3728</v>
      </c>
      <c r="MK614" s="17">
        <v>44925</v>
      </c>
      <c r="ML614" s="5" t="s">
        <v>3728</v>
      </c>
      <c r="MM614" s="17">
        <v>44925</v>
      </c>
      <c r="MN614" s="5" t="s">
        <v>3728</v>
      </c>
      <c r="MO614" s="17">
        <v>44925</v>
      </c>
      <c r="MP614" s="5" t="s">
        <v>3728</v>
      </c>
      <c r="MQ614" s="17">
        <v>44925</v>
      </c>
      <c r="MR614" s="5" t="s">
        <v>3728</v>
      </c>
      <c r="MS614" s="17">
        <v>44925</v>
      </c>
      <c r="MT614" s="5" t="s">
        <v>3728</v>
      </c>
      <c r="MU614" s="17">
        <v>44925</v>
      </c>
      <c r="MV614" s="5" t="s">
        <v>3728</v>
      </c>
      <c r="MW614" s="17">
        <v>44925</v>
      </c>
      <c r="MX614" s="5" t="s">
        <v>3728</v>
      </c>
      <c r="MY614" s="17">
        <v>44925</v>
      </c>
      <c r="MZ614" s="5" t="s">
        <v>3728</v>
      </c>
      <c r="NA614" s="17">
        <v>44925</v>
      </c>
      <c r="NB614" s="5" t="s">
        <v>3728</v>
      </c>
      <c r="NC614" s="17">
        <v>44925</v>
      </c>
      <c r="ND614" s="5" t="s">
        <v>3728</v>
      </c>
      <c r="NE614" s="17">
        <v>44925</v>
      </c>
      <c r="NF614" s="5" t="s">
        <v>3728</v>
      </c>
      <c r="NG614" s="17">
        <v>44925</v>
      </c>
      <c r="NH614" s="5" t="s">
        <v>3728</v>
      </c>
      <c r="NI614" s="17">
        <v>44925</v>
      </c>
      <c r="NJ614" s="5" t="s">
        <v>3728</v>
      </c>
      <c r="NK614" s="17">
        <v>44925</v>
      </c>
      <c r="NL614" s="5" t="s">
        <v>3728</v>
      </c>
      <c r="NM614" s="17">
        <v>44925</v>
      </c>
      <c r="NN614" s="5" t="s">
        <v>3728</v>
      </c>
      <c r="NO614" s="17">
        <v>44925</v>
      </c>
      <c r="NP614" s="5" t="s">
        <v>3728</v>
      </c>
      <c r="NQ614" s="17">
        <v>44925</v>
      </c>
      <c r="NR614" s="5" t="s">
        <v>3728</v>
      </c>
      <c r="NS614" s="17">
        <v>44925</v>
      </c>
      <c r="NT614" s="5" t="s">
        <v>3728</v>
      </c>
      <c r="NU614" s="17">
        <v>44925</v>
      </c>
      <c r="NV614" s="5" t="s">
        <v>3728</v>
      </c>
      <c r="NW614" s="17">
        <v>44925</v>
      </c>
      <c r="NX614" s="5" t="s">
        <v>3728</v>
      </c>
      <c r="NY614" s="17">
        <v>44925</v>
      </c>
      <c r="NZ614" s="5" t="s">
        <v>3728</v>
      </c>
      <c r="OA614" s="17">
        <v>44925</v>
      </c>
      <c r="OB614" s="5" t="s">
        <v>3728</v>
      </c>
      <c r="OC614" s="17">
        <v>44925</v>
      </c>
      <c r="OD614" s="5" t="s">
        <v>3728</v>
      </c>
      <c r="OE614" s="17">
        <v>44925</v>
      </c>
      <c r="OF614" s="5" t="s">
        <v>3728</v>
      </c>
      <c r="OG614" s="17">
        <v>44925</v>
      </c>
      <c r="OH614" s="5" t="s">
        <v>3728</v>
      </c>
      <c r="OI614" s="17">
        <v>44925</v>
      </c>
      <c r="OJ614" s="5" t="s">
        <v>3728</v>
      </c>
      <c r="OK614" s="17">
        <v>44925</v>
      </c>
      <c r="OL614" s="5" t="s">
        <v>3728</v>
      </c>
      <c r="OM614" s="17">
        <v>44925</v>
      </c>
      <c r="ON614" s="5" t="s">
        <v>3728</v>
      </c>
      <c r="OO614" s="17">
        <v>44925</v>
      </c>
      <c r="OP614" s="5" t="s">
        <v>3728</v>
      </c>
      <c r="OQ614" s="17">
        <v>44925</v>
      </c>
      <c r="OR614" s="5" t="s">
        <v>3728</v>
      </c>
      <c r="OS614" s="17">
        <v>44925</v>
      </c>
      <c r="OT614" s="5" t="s">
        <v>3728</v>
      </c>
      <c r="OU614" s="17">
        <v>44925</v>
      </c>
      <c r="OV614" s="5" t="s">
        <v>3728</v>
      </c>
      <c r="OW614" s="17">
        <v>44925</v>
      </c>
      <c r="OX614" s="5" t="s">
        <v>3728</v>
      </c>
      <c r="OY614" s="17">
        <v>44925</v>
      </c>
      <c r="OZ614" s="5" t="s">
        <v>3728</v>
      </c>
      <c r="PA614" s="17">
        <v>44925</v>
      </c>
      <c r="PB614" s="5" t="s">
        <v>3728</v>
      </c>
      <c r="PC614" s="17">
        <v>44925</v>
      </c>
      <c r="PD614" s="5" t="s">
        <v>3728</v>
      </c>
      <c r="PE614" s="17">
        <v>44925</v>
      </c>
      <c r="PF614" s="5" t="s">
        <v>3728</v>
      </c>
      <c r="PG614" s="17">
        <v>44925</v>
      </c>
      <c r="PH614" s="5" t="s">
        <v>3728</v>
      </c>
      <c r="PI614" s="17">
        <v>44925</v>
      </c>
      <c r="PJ614" s="5" t="s">
        <v>3728</v>
      </c>
      <c r="PK614" s="17">
        <v>44925</v>
      </c>
      <c r="PL614" s="5" t="s">
        <v>3728</v>
      </c>
      <c r="PM614" s="17">
        <v>44925</v>
      </c>
      <c r="PN614" s="5" t="s">
        <v>3728</v>
      </c>
      <c r="PO614" s="17">
        <v>44925</v>
      </c>
      <c r="PP614" s="5" t="s">
        <v>3728</v>
      </c>
      <c r="PQ614" s="17">
        <v>44925</v>
      </c>
      <c r="PR614" s="5" t="s">
        <v>3728</v>
      </c>
      <c r="PS614" s="17">
        <v>44925</v>
      </c>
      <c r="PT614" s="5" t="s">
        <v>3728</v>
      </c>
      <c r="PU614" s="17">
        <v>44925</v>
      </c>
      <c r="PV614" s="5" t="s">
        <v>3728</v>
      </c>
      <c r="PW614" s="17">
        <v>44925</v>
      </c>
      <c r="PX614" s="5" t="s">
        <v>3728</v>
      </c>
      <c r="PY614" s="17">
        <v>44925</v>
      </c>
      <c r="PZ614" s="5" t="s">
        <v>3728</v>
      </c>
      <c r="QA614" s="17">
        <v>44925</v>
      </c>
      <c r="QB614" s="5" t="s">
        <v>3728</v>
      </c>
      <c r="QC614" s="17">
        <v>44925</v>
      </c>
      <c r="QD614" s="5" t="s">
        <v>3728</v>
      </c>
      <c r="QE614" s="17">
        <v>44925</v>
      </c>
      <c r="QF614" s="5" t="s">
        <v>3728</v>
      </c>
      <c r="QG614" s="17">
        <v>44925</v>
      </c>
      <c r="QH614" s="5" t="s">
        <v>3728</v>
      </c>
      <c r="QI614" s="17">
        <v>44925</v>
      </c>
      <c r="QJ614" s="5" t="s">
        <v>3728</v>
      </c>
      <c r="QK614" s="17">
        <v>44925</v>
      </c>
      <c r="QL614" s="5" t="s">
        <v>3728</v>
      </c>
      <c r="QM614" s="17">
        <v>44925</v>
      </c>
      <c r="QN614" s="5" t="s">
        <v>3728</v>
      </c>
      <c r="QO614" s="17">
        <v>44925</v>
      </c>
      <c r="QP614" s="5" t="s">
        <v>3728</v>
      </c>
      <c r="QQ614" s="17">
        <v>44925</v>
      </c>
      <c r="QR614" s="5" t="s">
        <v>3728</v>
      </c>
      <c r="QS614" s="17">
        <v>44925</v>
      </c>
      <c r="QT614" s="5" t="s">
        <v>3728</v>
      </c>
      <c r="QU614" s="17">
        <v>44925</v>
      </c>
      <c r="QV614" s="5" t="s">
        <v>3728</v>
      </c>
      <c r="QW614" s="17">
        <v>44925</v>
      </c>
      <c r="QX614" s="5" t="s">
        <v>3728</v>
      </c>
      <c r="QY614" s="17">
        <v>44925</v>
      </c>
      <c r="QZ614" s="5" t="s">
        <v>3728</v>
      </c>
      <c r="RA614" s="17">
        <v>44925</v>
      </c>
      <c r="RB614" s="5" t="s">
        <v>3728</v>
      </c>
      <c r="RC614" s="17">
        <v>44925</v>
      </c>
      <c r="RD614" s="5" t="s">
        <v>3728</v>
      </c>
      <c r="RE614" s="17">
        <v>44925</v>
      </c>
      <c r="RF614" s="5" t="s">
        <v>3728</v>
      </c>
      <c r="RG614" s="17">
        <v>44925</v>
      </c>
      <c r="RH614" s="5" t="s">
        <v>3728</v>
      </c>
      <c r="RI614" s="17">
        <v>44925</v>
      </c>
      <c r="RJ614" s="5" t="s">
        <v>3728</v>
      </c>
      <c r="RK614" s="17">
        <v>44925</v>
      </c>
      <c r="RL614" s="5" t="s">
        <v>3728</v>
      </c>
      <c r="RM614" s="17">
        <v>44925</v>
      </c>
      <c r="RN614" s="5" t="s">
        <v>3728</v>
      </c>
      <c r="RO614" s="17">
        <v>44925</v>
      </c>
      <c r="RP614" s="5" t="s">
        <v>3728</v>
      </c>
      <c r="RQ614" s="17">
        <v>44925</v>
      </c>
      <c r="RR614" s="5" t="s">
        <v>3728</v>
      </c>
      <c r="RS614" s="17">
        <v>44925</v>
      </c>
      <c r="RT614" s="5" t="s">
        <v>3728</v>
      </c>
      <c r="RU614" s="17">
        <v>44925</v>
      </c>
      <c r="RV614" s="5" t="s">
        <v>3728</v>
      </c>
      <c r="RW614" s="17">
        <v>44925</v>
      </c>
      <c r="RX614" s="5" t="s">
        <v>3728</v>
      </c>
      <c r="RY614" s="17">
        <v>44925</v>
      </c>
      <c r="RZ614" s="5" t="s">
        <v>3728</v>
      </c>
      <c r="SA614" s="17">
        <v>44925</v>
      </c>
      <c r="SB614" s="5" t="s">
        <v>3728</v>
      </c>
      <c r="SC614" s="17">
        <v>44925</v>
      </c>
      <c r="SD614" s="5" t="s">
        <v>3728</v>
      </c>
      <c r="SE614" s="17">
        <v>44925</v>
      </c>
      <c r="SF614" s="5" t="s">
        <v>3728</v>
      </c>
      <c r="SG614" s="17">
        <v>44925</v>
      </c>
      <c r="SH614" s="5" t="s">
        <v>3728</v>
      </c>
      <c r="SI614" s="17">
        <v>44925</v>
      </c>
      <c r="SJ614" s="5" t="s">
        <v>3728</v>
      </c>
      <c r="SK614" s="17">
        <v>44925</v>
      </c>
      <c r="SL614" s="5" t="s">
        <v>3728</v>
      </c>
      <c r="SM614" s="17">
        <v>44925</v>
      </c>
      <c r="SN614" s="5" t="s">
        <v>3728</v>
      </c>
      <c r="SO614" s="17">
        <v>44925</v>
      </c>
      <c r="SP614" s="5" t="s">
        <v>3728</v>
      </c>
      <c r="SQ614" s="17">
        <v>44925</v>
      </c>
      <c r="SR614" s="5" t="s">
        <v>3728</v>
      </c>
      <c r="SS614" s="17">
        <v>44925</v>
      </c>
      <c r="ST614" s="5" t="s">
        <v>3728</v>
      </c>
      <c r="SU614" s="17">
        <v>44925</v>
      </c>
      <c r="SV614" s="5" t="s">
        <v>3728</v>
      </c>
      <c r="SW614" s="17">
        <v>44925</v>
      </c>
      <c r="SX614" s="5" t="s">
        <v>3728</v>
      </c>
      <c r="SY614" s="17">
        <v>44925</v>
      </c>
      <c r="SZ614" s="5" t="s">
        <v>3728</v>
      </c>
      <c r="TA614" s="17">
        <v>44925</v>
      </c>
      <c r="TB614" s="5" t="s">
        <v>3728</v>
      </c>
      <c r="TC614" s="17">
        <v>44925</v>
      </c>
      <c r="TD614" s="5" t="s">
        <v>3728</v>
      </c>
      <c r="TE614" s="17">
        <v>44925</v>
      </c>
      <c r="TF614" s="5" t="s">
        <v>3728</v>
      </c>
      <c r="TG614" s="17">
        <v>44925</v>
      </c>
      <c r="TH614" s="5" t="s">
        <v>3728</v>
      </c>
      <c r="TI614" s="17">
        <v>44925</v>
      </c>
      <c r="TJ614" s="5" t="s">
        <v>3728</v>
      </c>
      <c r="TK614" s="17">
        <v>44925</v>
      </c>
      <c r="TL614" s="5" t="s">
        <v>3728</v>
      </c>
      <c r="TM614" s="17">
        <v>44925</v>
      </c>
      <c r="TN614" s="5" t="s">
        <v>3728</v>
      </c>
      <c r="TO614" s="17">
        <v>44925</v>
      </c>
      <c r="TP614" s="5" t="s">
        <v>3728</v>
      </c>
      <c r="TQ614" s="17">
        <v>44925</v>
      </c>
      <c r="TR614" s="5" t="s">
        <v>3728</v>
      </c>
      <c r="TS614" s="17">
        <v>44925</v>
      </c>
      <c r="TT614" s="5" t="s">
        <v>3728</v>
      </c>
      <c r="TU614" s="17">
        <v>44925</v>
      </c>
      <c r="TV614" s="5" t="s">
        <v>3728</v>
      </c>
      <c r="TW614" s="17">
        <v>44925</v>
      </c>
      <c r="TX614" s="5" t="s">
        <v>3728</v>
      </c>
      <c r="TY614" s="17">
        <v>44925</v>
      </c>
      <c r="TZ614" s="5" t="s">
        <v>3728</v>
      </c>
      <c r="UA614" s="17">
        <v>44925</v>
      </c>
      <c r="UB614" s="5" t="s">
        <v>3728</v>
      </c>
      <c r="UC614" s="17">
        <v>44925</v>
      </c>
      <c r="UD614" s="5" t="s">
        <v>3728</v>
      </c>
      <c r="UE614" s="17">
        <v>44925</v>
      </c>
      <c r="UF614" s="5" t="s">
        <v>3728</v>
      </c>
      <c r="UG614" s="17">
        <v>44925</v>
      </c>
      <c r="UH614" s="5" t="s">
        <v>3728</v>
      </c>
      <c r="UI614" s="17">
        <v>44925</v>
      </c>
      <c r="UJ614" s="5" t="s">
        <v>3728</v>
      </c>
      <c r="UK614" s="17">
        <v>44925</v>
      </c>
      <c r="UL614" s="5" t="s">
        <v>3728</v>
      </c>
      <c r="UM614" s="17">
        <v>44925</v>
      </c>
      <c r="UN614" s="5" t="s">
        <v>3728</v>
      </c>
      <c r="UO614" s="17">
        <v>44925</v>
      </c>
      <c r="UP614" s="5" t="s">
        <v>3728</v>
      </c>
      <c r="UQ614" s="17">
        <v>44925</v>
      </c>
      <c r="UR614" s="5" t="s">
        <v>3728</v>
      </c>
      <c r="US614" s="17">
        <v>44925</v>
      </c>
      <c r="UT614" s="5" t="s">
        <v>3728</v>
      </c>
      <c r="UU614" s="17">
        <v>44925</v>
      </c>
      <c r="UV614" s="5" t="s">
        <v>3728</v>
      </c>
      <c r="UW614" s="17">
        <v>44925</v>
      </c>
      <c r="UX614" s="5" t="s">
        <v>3728</v>
      </c>
      <c r="UY614" s="17">
        <v>44925</v>
      </c>
      <c r="UZ614" s="5" t="s">
        <v>3728</v>
      </c>
      <c r="VA614" s="17">
        <v>44925</v>
      </c>
      <c r="VB614" s="5" t="s">
        <v>3728</v>
      </c>
      <c r="VC614" s="17">
        <v>44925</v>
      </c>
      <c r="VD614" s="5" t="s">
        <v>3728</v>
      </c>
      <c r="VE614" s="17">
        <v>44925</v>
      </c>
      <c r="VF614" s="5" t="s">
        <v>3728</v>
      </c>
      <c r="VG614" s="17">
        <v>44925</v>
      </c>
      <c r="VH614" s="5" t="s">
        <v>3728</v>
      </c>
      <c r="VI614" s="17">
        <v>44925</v>
      </c>
      <c r="VJ614" s="5" t="s">
        <v>3728</v>
      </c>
      <c r="VK614" s="17">
        <v>44925</v>
      </c>
      <c r="VL614" s="5" t="s">
        <v>3728</v>
      </c>
      <c r="VM614" s="17">
        <v>44925</v>
      </c>
      <c r="VN614" s="5" t="s">
        <v>3728</v>
      </c>
      <c r="VO614" s="17">
        <v>44925</v>
      </c>
      <c r="VP614" s="5" t="s">
        <v>3728</v>
      </c>
      <c r="VQ614" s="17">
        <v>44925</v>
      </c>
      <c r="VR614" s="5" t="s">
        <v>3728</v>
      </c>
      <c r="VS614" s="17">
        <v>44925</v>
      </c>
      <c r="VT614" s="5" t="s">
        <v>3728</v>
      </c>
      <c r="VU614" s="17">
        <v>44925</v>
      </c>
      <c r="VV614" s="5" t="s">
        <v>3728</v>
      </c>
      <c r="VW614" s="17">
        <v>44925</v>
      </c>
      <c r="VX614" s="5" t="s">
        <v>3728</v>
      </c>
      <c r="VY614" s="17">
        <v>44925</v>
      </c>
      <c r="VZ614" s="5" t="s">
        <v>3728</v>
      </c>
      <c r="WA614" s="17">
        <v>44925</v>
      </c>
      <c r="WB614" s="5" t="s">
        <v>3728</v>
      </c>
      <c r="WC614" s="17">
        <v>44925</v>
      </c>
      <c r="WD614" s="5" t="s">
        <v>3728</v>
      </c>
      <c r="WE614" s="17">
        <v>44925</v>
      </c>
      <c r="WF614" s="5" t="s">
        <v>3728</v>
      </c>
      <c r="WG614" s="17">
        <v>44925</v>
      </c>
      <c r="WH614" s="5" t="s">
        <v>3728</v>
      </c>
      <c r="WI614" s="17">
        <v>44925</v>
      </c>
      <c r="WJ614" s="5" t="s">
        <v>3728</v>
      </c>
      <c r="WK614" s="17">
        <v>44925</v>
      </c>
      <c r="WL614" s="5" t="s">
        <v>3728</v>
      </c>
      <c r="WM614" s="17">
        <v>44925</v>
      </c>
      <c r="WN614" s="5" t="s">
        <v>3728</v>
      </c>
      <c r="WO614" s="17">
        <v>44925</v>
      </c>
      <c r="WP614" s="5" t="s">
        <v>3728</v>
      </c>
      <c r="WQ614" s="17">
        <v>44925</v>
      </c>
      <c r="WR614" s="5" t="s">
        <v>3728</v>
      </c>
      <c r="WS614" s="17">
        <v>44925</v>
      </c>
      <c r="WT614" s="5" t="s">
        <v>3728</v>
      </c>
      <c r="WU614" s="17">
        <v>44925</v>
      </c>
      <c r="WV614" s="5" t="s">
        <v>3728</v>
      </c>
      <c r="WW614" s="17">
        <v>44925</v>
      </c>
      <c r="WX614" s="5" t="s">
        <v>3728</v>
      </c>
      <c r="WY614" s="17">
        <v>44925</v>
      </c>
      <c r="WZ614" s="5" t="s">
        <v>3728</v>
      </c>
      <c r="XA614" s="17">
        <v>44925</v>
      </c>
      <c r="XB614" s="5" t="s">
        <v>3728</v>
      </c>
      <c r="XC614" s="17">
        <v>44925</v>
      </c>
      <c r="XD614" s="5" t="s">
        <v>3728</v>
      </c>
      <c r="XE614" s="17">
        <v>44925</v>
      </c>
      <c r="XF614" s="5" t="s">
        <v>3728</v>
      </c>
      <c r="XG614" s="17">
        <v>44925</v>
      </c>
      <c r="XH614" s="5" t="s">
        <v>3728</v>
      </c>
      <c r="XI614" s="17">
        <v>44925</v>
      </c>
      <c r="XJ614" s="5" t="s">
        <v>3728</v>
      </c>
      <c r="XK614" s="17">
        <v>44925</v>
      </c>
      <c r="XL614" s="5" t="s">
        <v>3728</v>
      </c>
      <c r="XM614" s="17">
        <v>44925</v>
      </c>
      <c r="XN614" s="5" t="s">
        <v>3728</v>
      </c>
      <c r="XO614" s="17">
        <v>44925</v>
      </c>
      <c r="XP614" s="5" t="s">
        <v>3728</v>
      </c>
      <c r="XQ614" s="17">
        <v>44925</v>
      </c>
      <c r="XR614" s="5" t="s">
        <v>3728</v>
      </c>
      <c r="XS614" s="17">
        <v>44925</v>
      </c>
      <c r="XT614" s="5" t="s">
        <v>3728</v>
      </c>
      <c r="XU614" s="17">
        <v>44925</v>
      </c>
      <c r="XV614" s="5" t="s">
        <v>3728</v>
      </c>
      <c r="XW614" s="17">
        <v>44925</v>
      </c>
      <c r="XX614" s="5" t="s">
        <v>3728</v>
      </c>
      <c r="XY614" s="17">
        <v>44925</v>
      </c>
      <c r="XZ614" s="5" t="s">
        <v>3728</v>
      </c>
      <c r="YA614" s="17">
        <v>44925</v>
      </c>
      <c r="YB614" s="5" t="s">
        <v>3728</v>
      </c>
      <c r="YC614" s="17">
        <v>44925</v>
      </c>
      <c r="YD614" s="5" t="s">
        <v>3728</v>
      </c>
      <c r="YE614" s="17">
        <v>44925</v>
      </c>
      <c r="YF614" s="5" t="s">
        <v>3728</v>
      </c>
      <c r="YG614" s="17">
        <v>44925</v>
      </c>
      <c r="YH614" s="5" t="s">
        <v>3728</v>
      </c>
      <c r="YI614" s="17">
        <v>44925</v>
      </c>
      <c r="YJ614" s="5" t="s">
        <v>3728</v>
      </c>
      <c r="YK614" s="17">
        <v>44925</v>
      </c>
      <c r="YL614" s="5" t="s">
        <v>3728</v>
      </c>
      <c r="YM614" s="17">
        <v>44925</v>
      </c>
      <c r="YN614" s="5" t="s">
        <v>3728</v>
      </c>
      <c r="YO614" s="17">
        <v>44925</v>
      </c>
      <c r="YP614" s="5" t="s">
        <v>3728</v>
      </c>
      <c r="YQ614" s="17">
        <v>44925</v>
      </c>
      <c r="YR614" s="5" t="s">
        <v>3728</v>
      </c>
      <c r="YS614" s="17">
        <v>44925</v>
      </c>
      <c r="YT614" s="5" t="s">
        <v>3728</v>
      </c>
      <c r="YU614" s="17">
        <v>44925</v>
      </c>
      <c r="YV614" s="5" t="s">
        <v>3728</v>
      </c>
      <c r="YW614" s="17">
        <v>44925</v>
      </c>
      <c r="YX614" s="5" t="s">
        <v>3728</v>
      </c>
      <c r="YY614" s="17">
        <v>44925</v>
      </c>
      <c r="YZ614" s="5" t="s">
        <v>3728</v>
      </c>
      <c r="ZA614" s="17">
        <v>44925</v>
      </c>
      <c r="ZB614" s="5" t="s">
        <v>3728</v>
      </c>
      <c r="ZC614" s="17">
        <v>44925</v>
      </c>
      <c r="ZD614" s="5" t="s">
        <v>3728</v>
      </c>
      <c r="ZE614" s="17">
        <v>44925</v>
      </c>
      <c r="ZF614" s="5" t="s">
        <v>3728</v>
      </c>
      <c r="ZG614" s="17">
        <v>44925</v>
      </c>
      <c r="ZH614" s="5" t="s">
        <v>3728</v>
      </c>
      <c r="ZI614" s="17">
        <v>44925</v>
      </c>
      <c r="ZJ614" s="5" t="s">
        <v>3728</v>
      </c>
      <c r="ZK614" s="17">
        <v>44925</v>
      </c>
      <c r="ZL614" s="5" t="s">
        <v>3728</v>
      </c>
      <c r="ZM614" s="17">
        <v>44925</v>
      </c>
      <c r="ZN614" s="5" t="s">
        <v>3728</v>
      </c>
      <c r="ZO614" s="17">
        <v>44925</v>
      </c>
      <c r="ZP614" s="5" t="s">
        <v>3728</v>
      </c>
      <c r="ZQ614" s="17">
        <v>44925</v>
      </c>
      <c r="ZR614" s="5" t="s">
        <v>3728</v>
      </c>
      <c r="ZS614" s="17">
        <v>44925</v>
      </c>
      <c r="ZT614" s="5" t="s">
        <v>3728</v>
      </c>
      <c r="ZU614" s="17">
        <v>44925</v>
      </c>
      <c r="ZV614" s="5" t="s">
        <v>3728</v>
      </c>
      <c r="ZW614" s="17">
        <v>44925</v>
      </c>
      <c r="ZX614" s="5" t="s">
        <v>3728</v>
      </c>
      <c r="ZY614" s="17">
        <v>44925</v>
      </c>
      <c r="ZZ614" s="5" t="s">
        <v>3728</v>
      </c>
      <c r="AAA614" s="17">
        <v>44925</v>
      </c>
      <c r="AAB614" s="5" t="s">
        <v>3728</v>
      </c>
      <c r="AAC614" s="17">
        <v>44925</v>
      </c>
      <c r="AAD614" s="5" t="s">
        <v>3728</v>
      </c>
      <c r="AAE614" s="17">
        <v>44925</v>
      </c>
      <c r="AAF614" s="5" t="s">
        <v>3728</v>
      </c>
      <c r="AAG614" s="17">
        <v>44925</v>
      </c>
      <c r="AAH614" s="5" t="s">
        <v>3728</v>
      </c>
      <c r="AAI614" s="17">
        <v>44925</v>
      </c>
      <c r="AAJ614" s="5" t="s">
        <v>3728</v>
      </c>
      <c r="AAK614" s="17">
        <v>44925</v>
      </c>
      <c r="AAL614" s="5" t="s">
        <v>3728</v>
      </c>
      <c r="AAM614" s="17">
        <v>44925</v>
      </c>
      <c r="AAN614" s="5" t="s">
        <v>3728</v>
      </c>
      <c r="AAO614" s="17">
        <v>44925</v>
      </c>
      <c r="AAP614" s="5" t="s">
        <v>3728</v>
      </c>
      <c r="AAQ614" s="17">
        <v>44925</v>
      </c>
      <c r="AAR614" s="5" t="s">
        <v>3728</v>
      </c>
      <c r="AAS614" s="17">
        <v>44925</v>
      </c>
      <c r="AAT614" s="5" t="s">
        <v>3728</v>
      </c>
      <c r="AAU614" s="17">
        <v>44925</v>
      </c>
      <c r="AAV614" s="5" t="s">
        <v>3728</v>
      </c>
      <c r="AAW614" s="17">
        <v>44925</v>
      </c>
      <c r="AAX614" s="5" t="s">
        <v>3728</v>
      </c>
      <c r="AAY614" s="17">
        <v>44925</v>
      </c>
      <c r="AAZ614" s="5" t="s">
        <v>3728</v>
      </c>
      <c r="ABA614" s="17">
        <v>44925</v>
      </c>
      <c r="ABB614" s="5" t="s">
        <v>3728</v>
      </c>
      <c r="ABC614" s="17">
        <v>44925</v>
      </c>
      <c r="ABD614" s="5" t="s">
        <v>3728</v>
      </c>
      <c r="ABE614" s="17">
        <v>44925</v>
      </c>
      <c r="ABF614" s="5" t="s">
        <v>3728</v>
      </c>
      <c r="ABG614" s="17">
        <v>44925</v>
      </c>
      <c r="ABH614" s="5" t="s">
        <v>3728</v>
      </c>
      <c r="ABI614" s="17">
        <v>44925</v>
      </c>
      <c r="ABJ614" s="5" t="s">
        <v>3728</v>
      </c>
      <c r="ABK614" s="17">
        <v>44925</v>
      </c>
      <c r="ABL614" s="5" t="s">
        <v>3728</v>
      </c>
      <c r="ABM614" s="17">
        <v>44925</v>
      </c>
      <c r="ABN614" s="5" t="s">
        <v>3728</v>
      </c>
      <c r="ABO614" s="17">
        <v>44925</v>
      </c>
      <c r="ABP614" s="5" t="s">
        <v>3728</v>
      </c>
      <c r="ABQ614" s="17">
        <v>44925</v>
      </c>
      <c r="ABR614" s="5" t="s">
        <v>3728</v>
      </c>
      <c r="ABS614" s="17">
        <v>44925</v>
      </c>
      <c r="ABT614" s="5" t="s">
        <v>3728</v>
      </c>
      <c r="ABU614" s="17">
        <v>44925</v>
      </c>
      <c r="ABV614" s="5" t="s">
        <v>3728</v>
      </c>
      <c r="ABW614" s="17">
        <v>44925</v>
      </c>
      <c r="ABX614" s="5" t="s">
        <v>3728</v>
      </c>
      <c r="ABY614" s="17">
        <v>44925</v>
      </c>
      <c r="ABZ614" s="5" t="s">
        <v>3728</v>
      </c>
      <c r="ACA614" s="17">
        <v>44925</v>
      </c>
      <c r="ACB614" s="5" t="s">
        <v>3728</v>
      </c>
      <c r="ACC614" s="17">
        <v>44925</v>
      </c>
      <c r="ACD614" s="5" t="s">
        <v>3728</v>
      </c>
      <c r="ACE614" s="17">
        <v>44925</v>
      </c>
      <c r="ACF614" s="5" t="s">
        <v>3728</v>
      </c>
      <c r="ACG614" s="17">
        <v>44925</v>
      </c>
      <c r="ACH614" s="5" t="s">
        <v>3728</v>
      </c>
      <c r="ACI614" s="17">
        <v>44925</v>
      </c>
      <c r="ACJ614" s="5" t="s">
        <v>3728</v>
      </c>
      <c r="ACK614" s="17">
        <v>44925</v>
      </c>
      <c r="ACL614" s="5" t="s">
        <v>3728</v>
      </c>
      <c r="ACM614" s="17">
        <v>44925</v>
      </c>
      <c r="ACN614" s="5" t="s">
        <v>3728</v>
      </c>
      <c r="ACO614" s="17">
        <v>44925</v>
      </c>
      <c r="ACP614" s="5" t="s">
        <v>3728</v>
      </c>
      <c r="ACQ614" s="17">
        <v>44925</v>
      </c>
      <c r="ACR614" s="5" t="s">
        <v>3728</v>
      </c>
      <c r="ACS614" s="17">
        <v>44925</v>
      </c>
      <c r="ACT614" s="5" t="s">
        <v>3728</v>
      </c>
      <c r="ACU614" s="17">
        <v>44925</v>
      </c>
      <c r="ACV614" s="5" t="s">
        <v>3728</v>
      </c>
      <c r="ACW614" s="17">
        <v>44925</v>
      </c>
      <c r="ACX614" s="5" t="s">
        <v>3728</v>
      </c>
      <c r="ACY614" s="17">
        <v>44925</v>
      </c>
      <c r="ACZ614" s="5" t="s">
        <v>3728</v>
      </c>
      <c r="ADA614" s="17">
        <v>44925</v>
      </c>
      <c r="ADB614" s="5" t="s">
        <v>3728</v>
      </c>
      <c r="ADC614" s="17">
        <v>44925</v>
      </c>
      <c r="ADD614" s="5" t="s">
        <v>3728</v>
      </c>
      <c r="ADE614" s="17">
        <v>44925</v>
      </c>
      <c r="ADF614" s="5" t="s">
        <v>3728</v>
      </c>
      <c r="ADG614" s="17">
        <v>44925</v>
      </c>
      <c r="ADH614" s="5" t="s">
        <v>3728</v>
      </c>
      <c r="ADI614" s="17">
        <v>44925</v>
      </c>
      <c r="ADJ614" s="5" t="s">
        <v>3728</v>
      </c>
      <c r="ADK614" s="17">
        <v>44925</v>
      </c>
      <c r="ADL614" s="5" t="s">
        <v>3728</v>
      </c>
      <c r="ADM614" s="17">
        <v>44925</v>
      </c>
      <c r="ADN614" s="5" t="s">
        <v>3728</v>
      </c>
      <c r="ADO614" s="17">
        <v>44925</v>
      </c>
      <c r="ADP614" s="5" t="s">
        <v>3728</v>
      </c>
      <c r="ADQ614" s="17">
        <v>44925</v>
      </c>
      <c r="ADR614" s="5" t="s">
        <v>3728</v>
      </c>
      <c r="ADS614" s="17">
        <v>44925</v>
      </c>
      <c r="ADT614" s="5" t="s">
        <v>3728</v>
      </c>
      <c r="ADU614" s="17">
        <v>44925</v>
      </c>
      <c r="ADV614" s="5" t="s">
        <v>3728</v>
      </c>
      <c r="ADW614" s="17">
        <v>44925</v>
      </c>
      <c r="ADX614" s="5" t="s">
        <v>3728</v>
      </c>
      <c r="ADY614" s="17">
        <v>44925</v>
      </c>
      <c r="ADZ614" s="5" t="s">
        <v>3728</v>
      </c>
      <c r="AEA614" s="17">
        <v>44925</v>
      </c>
      <c r="AEB614" s="5" t="s">
        <v>3728</v>
      </c>
      <c r="AEC614" s="17">
        <v>44925</v>
      </c>
      <c r="AED614" s="5" t="s">
        <v>3728</v>
      </c>
      <c r="AEE614" s="17">
        <v>44925</v>
      </c>
      <c r="AEF614" s="5" t="s">
        <v>3728</v>
      </c>
      <c r="AEG614" s="17">
        <v>44925</v>
      </c>
      <c r="AEH614" s="5" t="s">
        <v>3728</v>
      </c>
      <c r="AEI614" s="17">
        <v>44925</v>
      </c>
      <c r="AEJ614" s="5" t="s">
        <v>3728</v>
      </c>
      <c r="AEK614" s="17">
        <v>44925</v>
      </c>
      <c r="AEL614" s="5" t="s">
        <v>3728</v>
      </c>
      <c r="AEM614" s="17">
        <v>44925</v>
      </c>
      <c r="AEN614" s="5" t="s">
        <v>3728</v>
      </c>
      <c r="AEO614" s="17">
        <v>44925</v>
      </c>
      <c r="AEP614" s="5" t="s">
        <v>3728</v>
      </c>
      <c r="AEQ614" s="17">
        <v>44925</v>
      </c>
      <c r="AER614" s="5" t="s">
        <v>3728</v>
      </c>
      <c r="AES614" s="17">
        <v>44925</v>
      </c>
      <c r="AET614" s="5" t="s">
        <v>3728</v>
      </c>
      <c r="AEU614" s="17">
        <v>44925</v>
      </c>
      <c r="AEV614" s="5" t="s">
        <v>3728</v>
      </c>
      <c r="AEW614" s="17">
        <v>44925</v>
      </c>
      <c r="AEX614" s="5" t="s">
        <v>3728</v>
      </c>
      <c r="AEY614" s="17">
        <v>44925</v>
      </c>
      <c r="AEZ614" s="5" t="s">
        <v>3728</v>
      </c>
      <c r="AFA614" s="17">
        <v>44925</v>
      </c>
      <c r="AFB614" s="5" t="s">
        <v>3728</v>
      </c>
      <c r="AFC614" s="17">
        <v>44925</v>
      </c>
      <c r="AFD614" s="5" t="s">
        <v>3728</v>
      </c>
      <c r="AFE614" s="17">
        <v>44925</v>
      </c>
      <c r="AFF614" s="5" t="s">
        <v>3728</v>
      </c>
      <c r="AFG614" s="17">
        <v>44925</v>
      </c>
      <c r="AFH614" s="5" t="s">
        <v>3728</v>
      </c>
      <c r="AFI614" s="17">
        <v>44925</v>
      </c>
      <c r="AFJ614" s="5" t="s">
        <v>3728</v>
      </c>
      <c r="AFK614" s="17">
        <v>44925</v>
      </c>
      <c r="AFL614" s="5" t="s">
        <v>3728</v>
      </c>
      <c r="AFM614" s="17">
        <v>44925</v>
      </c>
      <c r="AFN614" s="5" t="s">
        <v>3728</v>
      </c>
      <c r="AFO614" s="17">
        <v>44925</v>
      </c>
      <c r="AFP614" s="5" t="s">
        <v>3728</v>
      </c>
      <c r="AFQ614" s="17">
        <v>44925</v>
      </c>
      <c r="AFR614" s="5" t="s">
        <v>3728</v>
      </c>
      <c r="AFS614" s="17">
        <v>44925</v>
      </c>
      <c r="AFT614" s="5" t="s">
        <v>3728</v>
      </c>
      <c r="AFU614" s="17">
        <v>44925</v>
      </c>
      <c r="AFV614" s="5" t="s">
        <v>3728</v>
      </c>
      <c r="AFW614" s="17">
        <v>44925</v>
      </c>
      <c r="AFX614" s="5" t="s">
        <v>3728</v>
      </c>
      <c r="AFY614" s="17">
        <v>44925</v>
      </c>
      <c r="AFZ614" s="5" t="s">
        <v>3728</v>
      </c>
      <c r="AGA614" s="17">
        <v>44925</v>
      </c>
      <c r="AGB614" s="5" t="s">
        <v>3728</v>
      </c>
      <c r="AGC614" s="17">
        <v>44925</v>
      </c>
      <c r="AGD614" s="5" t="s">
        <v>3728</v>
      </c>
      <c r="AGE614" s="17">
        <v>44925</v>
      </c>
      <c r="AGF614" s="5" t="s">
        <v>3728</v>
      </c>
      <c r="AGG614" s="17">
        <v>44925</v>
      </c>
      <c r="AGH614" s="5" t="s">
        <v>3728</v>
      </c>
      <c r="AGI614" s="17">
        <v>44925</v>
      </c>
      <c r="AGJ614" s="5" t="s">
        <v>3728</v>
      </c>
      <c r="AGK614" s="17">
        <v>44925</v>
      </c>
      <c r="AGL614" s="5" t="s">
        <v>3728</v>
      </c>
      <c r="AGM614" s="17">
        <v>44925</v>
      </c>
      <c r="AGN614" s="5" t="s">
        <v>3728</v>
      </c>
      <c r="AGO614" s="17">
        <v>44925</v>
      </c>
      <c r="AGP614" s="5" t="s">
        <v>3728</v>
      </c>
      <c r="AGQ614" s="17">
        <v>44925</v>
      </c>
      <c r="AGR614" s="5" t="s">
        <v>3728</v>
      </c>
      <c r="AGS614" s="17">
        <v>44925</v>
      </c>
      <c r="AGT614" s="5" t="s">
        <v>3728</v>
      </c>
      <c r="AGU614" s="17">
        <v>44925</v>
      </c>
      <c r="AGV614" s="5" t="s">
        <v>3728</v>
      </c>
      <c r="AGW614" s="17">
        <v>44925</v>
      </c>
      <c r="AGX614" s="5" t="s">
        <v>3728</v>
      </c>
      <c r="AGY614" s="17">
        <v>44925</v>
      </c>
      <c r="AGZ614" s="5" t="s">
        <v>3728</v>
      </c>
      <c r="AHA614" s="17">
        <v>44925</v>
      </c>
      <c r="AHB614" s="5" t="s">
        <v>3728</v>
      </c>
      <c r="AHC614" s="17">
        <v>44925</v>
      </c>
      <c r="AHD614" s="5" t="s">
        <v>3728</v>
      </c>
      <c r="AHE614" s="17">
        <v>44925</v>
      </c>
      <c r="AHF614" s="5" t="s">
        <v>3728</v>
      </c>
      <c r="AHG614" s="17">
        <v>44925</v>
      </c>
      <c r="AHH614" s="5" t="s">
        <v>3728</v>
      </c>
      <c r="AHI614" s="17">
        <v>44925</v>
      </c>
      <c r="AHJ614" s="5" t="s">
        <v>3728</v>
      </c>
      <c r="AHK614" s="17">
        <v>44925</v>
      </c>
      <c r="AHL614" s="5" t="s">
        <v>3728</v>
      </c>
      <c r="AHM614" s="17">
        <v>44925</v>
      </c>
      <c r="AHN614" s="5" t="s">
        <v>3728</v>
      </c>
      <c r="AHO614" s="17">
        <v>44925</v>
      </c>
      <c r="AHP614" s="5" t="s">
        <v>3728</v>
      </c>
      <c r="AHQ614" s="17">
        <v>44925</v>
      </c>
      <c r="AHR614" s="5" t="s">
        <v>3728</v>
      </c>
      <c r="AHS614" s="17">
        <v>44925</v>
      </c>
      <c r="AHT614" s="5" t="s">
        <v>3728</v>
      </c>
      <c r="AHU614" s="17">
        <v>44925</v>
      </c>
      <c r="AHV614" s="5" t="s">
        <v>3728</v>
      </c>
      <c r="AHW614" s="17">
        <v>44925</v>
      </c>
      <c r="AHX614" s="5" t="s">
        <v>3728</v>
      </c>
      <c r="AHY614" s="17">
        <v>44925</v>
      </c>
      <c r="AHZ614" s="5" t="s">
        <v>3728</v>
      </c>
      <c r="AIA614" s="17">
        <v>44925</v>
      </c>
      <c r="AIB614" s="5" t="s">
        <v>3728</v>
      </c>
      <c r="AIC614" s="17">
        <v>44925</v>
      </c>
      <c r="AID614" s="5" t="s">
        <v>3728</v>
      </c>
      <c r="AIE614" s="17">
        <v>44925</v>
      </c>
      <c r="AIF614" s="5" t="s">
        <v>3728</v>
      </c>
      <c r="AIG614" s="17">
        <v>44925</v>
      </c>
      <c r="AIH614" s="5" t="s">
        <v>3728</v>
      </c>
      <c r="AII614" s="17">
        <v>44925</v>
      </c>
      <c r="AIJ614" s="5" t="s">
        <v>3728</v>
      </c>
      <c r="AIK614" s="17">
        <v>44925</v>
      </c>
      <c r="AIL614" s="5" t="s">
        <v>3728</v>
      </c>
      <c r="AIM614" s="17">
        <v>44925</v>
      </c>
      <c r="AIN614" s="5" t="s">
        <v>3728</v>
      </c>
      <c r="AIO614" s="17">
        <v>44925</v>
      </c>
      <c r="AIP614" s="5" t="s">
        <v>3728</v>
      </c>
      <c r="AIQ614" s="17">
        <v>44925</v>
      </c>
      <c r="AIR614" s="5" t="s">
        <v>3728</v>
      </c>
      <c r="AIS614" s="17">
        <v>44925</v>
      </c>
      <c r="AIT614" s="5" t="s">
        <v>3728</v>
      </c>
      <c r="AIU614" s="17">
        <v>44925</v>
      </c>
      <c r="AIV614" s="5" t="s">
        <v>3728</v>
      </c>
      <c r="AIW614" s="17">
        <v>44925</v>
      </c>
      <c r="AIX614" s="5" t="s">
        <v>3728</v>
      </c>
      <c r="AIY614" s="17">
        <v>44925</v>
      </c>
      <c r="AIZ614" s="5" t="s">
        <v>3728</v>
      </c>
      <c r="AJA614" s="17">
        <v>44925</v>
      </c>
      <c r="AJB614" s="5" t="s">
        <v>3728</v>
      </c>
      <c r="AJC614" s="17">
        <v>44925</v>
      </c>
      <c r="AJD614" s="5" t="s">
        <v>3728</v>
      </c>
      <c r="AJE614" s="17">
        <v>44925</v>
      </c>
      <c r="AJF614" s="5" t="s">
        <v>3728</v>
      </c>
      <c r="AJG614" s="17">
        <v>44925</v>
      </c>
      <c r="AJH614" s="5" t="s">
        <v>3728</v>
      </c>
      <c r="AJI614" s="17">
        <v>44925</v>
      </c>
      <c r="AJJ614" s="5" t="s">
        <v>3728</v>
      </c>
      <c r="AJK614" s="17">
        <v>44925</v>
      </c>
      <c r="AJL614" s="5" t="s">
        <v>3728</v>
      </c>
      <c r="AJM614" s="17">
        <v>44925</v>
      </c>
      <c r="AJN614" s="5" t="s">
        <v>3728</v>
      </c>
      <c r="AJO614" s="17">
        <v>44925</v>
      </c>
      <c r="AJP614" s="5" t="s">
        <v>3728</v>
      </c>
      <c r="AJQ614" s="17">
        <v>44925</v>
      </c>
      <c r="AJR614" s="5" t="s">
        <v>3728</v>
      </c>
      <c r="AJS614" s="17">
        <v>44925</v>
      </c>
      <c r="AJT614" s="5" t="s">
        <v>3728</v>
      </c>
      <c r="AJU614" s="17">
        <v>44925</v>
      </c>
      <c r="AJV614" s="5" t="s">
        <v>3728</v>
      </c>
      <c r="AJW614" s="17">
        <v>44925</v>
      </c>
      <c r="AJX614" s="5" t="s">
        <v>3728</v>
      </c>
      <c r="AJY614" s="17">
        <v>44925</v>
      </c>
      <c r="AJZ614" s="5" t="s">
        <v>3728</v>
      </c>
      <c r="AKA614" s="17">
        <v>44925</v>
      </c>
      <c r="AKB614" s="5" t="s">
        <v>3728</v>
      </c>
      <c r="AKC614" s="17">
        <v>44925</v>
      </c>
      <c r="AKD614" s="5" t="s">
        <v>3728</v>
      </c>
      <c r="AKE614" s="17">
        <v>44925</v>
      </c>
      <c r="AKF614" s="5" t="s">
        <v>3728</v>
      </c>
      <c r="AKG614" s="17">
        <v>44925</v>
      </c>
      <c r="AKH614" s="5" t="s">
        <v>3728</v>
      </c>
      <c r="AKI614" s="17">
        <v>44925</v>
      </c>
      <c r="AKJ614" s="5" t="s">
        <v>3728</v>
      </c>
      <c r="AKK614" s="17">
        <v>44925</v>
      </c>
      <c r="AKL614" s="5" t="s">
        <v>3728</v>
      </c>
      <c r="AKM614" s="17">
        <v>44925</v>
      </c>
      <c r="AKN614" s="5" t="s">
        <v>3728</v>
      </c>
      <c r="AKO614" s="17">
        <v>44925</v>
      </c>
      <c r="AKP614" s="5" t="s">
        <v>3728</v>
      </c>
      <c r="AKQ614" s="17">
        <v>44925</v>
      </c>
      <c r="AKR614" s="5" t="s">
        <v>3728</v>
      </c>
      <c r="AKS614" s="17">
        <v>44925</v>
      </c>
      <c r="AKT614" s="5" t="s">
        <v>3728</v>
      </c>
      <c r="AKU614" s="17">
        <v>44925</v>
      </c>
      <c r="AKV614" s="5" t="s">
        <v>3728</v>
      </c>
      <c r="AKW614" s="17">
        <v>44925</v>
      </c>
      <c r="AKX614" s="5" t="s">
        <v>3728</v>
      </c>
      <c r="AKY614" s="17">
        <v>44925</v>
      </c>
      <c r="AKZ614" s="5" t="s">
        <v>3728</v>
      </c>
      <c r="ALA614" s="17">
        <v>44925</v>
      </c>
      <c r="ALB614" s="5" t="s">
        <v>3728</v>
      </c>
      <c r="ALC614" s="17">
        <v>44925</v>
      </c>
      <c r="ALD614" s="5" t="s">
        <v>3728</v>
      </c>
      <c r="ALE614" s="17">
        <v>44925</v>
      </c>
      <c r="ALF614" s="5" t="s">
        <v>3728</v>
      </c>
      <c r="ALG614" s="17">
        <v>44925</v>
      </c>
      <c r="ALH614" s="5" t="s">
        <v>3728</v>
      </c>
      <c r="ALI614" s="17">
        <v>44925</v>
      </c>
      <c r="ALJ614" s="5" t="s">
        <v>3728</v>
      </c>
      <c r="ALK614" s="17">
        <v>44925</v>
      </c>
      <c r="ALL614" s="5" t="s">
        <v>3728</v>
      </c>
      <c r="ALM614" s="17">
        <v>44925</v>
      </c>
      <c r="ALN614" s="5" t="s">
        <v>3728</v>
      </c>
      <c r="ALO614" s="17">
        <v>44925</v>
      </c>
      <c r="ALP614" s="5" t="s">
        <v>3728</v>
      </c>
      <c r="ALQ614" s="17">
        <v>44925</v>
      </c>
      <c r="ALR614" s="5" t="s">
        <v>3728</v>
      </c>
      <c r="ALS614" s="17">
        <v>44925</v>
      </c>
      <c r="ALT614" s="5" t="s">
        <v>3728</v>
      </c>
      <c r="ALU614" s="17">
        <v>44925</v>
      </c>
      <c r="ALV614" s="5" t="s">
        <v>3728</v>
      </c>
      <c r="ALW614" s="17">
        <v>44925</v>
      </c>
      <c r="ALX614" s="5" t="s">
        <v>3728</v>
      </c>
      <c r="ALY614" s="17">
        <v>44925</v>
      </c>
      <c r="ALZ614" s="5" t="s">
        <v>3728</v>
      </c>
      <c r="AMA614" s="17">
        <v>44925</v>
      </c>
      <c r="AMB614" s="5" t="s">
        <v>3728</v>
      </c>
      <c r="AMC614" s="17">
        <v>44925</v>
      </c>
      <c r="AMD614" s="5" t="s">
        <v>3728</v>
      </c>
      <c r="AME614" s="17">
        <v>44925</v>
      </c>
      <c r="AMF614" s="5" t="s">
        <v>3728</v>
      </c>
      <c r="AMG614" s="17">
        <v>44925</v>
      </c>
      <c r="AMH614" s="5" t="s">
        <v>3728</v>
      </c>
      <c r="AMI614" s="17">
        <v>44925</v>
      </c>
      <c r="AMJ614" s="5" t="s">
        <v>3728</v>
      </c>
      <c r="AMK614" s="17">
        <v>44925</v>
      </c>
      <c r="AML614" s="5" t="s">
        <v>3728</v>
      </c>
      <c r="AMM614" s="17">
        <v>44925</v>
      </c>
      <c r="AMN614" s="5" t="s">
        <v>3728</v>
      </c>
      <c r="AMO614" s="17">
        <v>44925</v>
      </c>
      <c r="AMP614" s="5" t="s">
        <v>3728</v>
      </c>
      <c r="AMQ614" s="17">
        <v>44925</v>
      </c>
      <c r="AMR614" s="5" t="s">
        <v>3728</v>
      </c>
      <c r="AMS614" s="17">
        <v>44925</v>
      </c>
      <c r="AMT614" s="5" t="s">
        <v>3728</v>
      </c>
      <c r="AMU614" s="17">
        <v>44925</v>
      </c>
      <c r="AMV614" s="5" t="s">
        <v>3728</v>
      </c>
      <c r="AMW614" s="17">
        <v>44925</v>
      </c>
      <c r="AMX614" s="5" t="s">
        <v>3728</v>
      </c>
      <c r="AMY614" s="17">
        <v>44925</v>
      </c>
      <c r="AMZ614" s="5" t="s">
        <v>3728</v>
      </c>
      <c r="ANA614" s="17">
        <v>44925</v>
      </c>
      <c r="ANB614" s="5" t="s">
        <v>3728</v>
      </c>
      <c r="ANC614" s="17">
        <v>44925</v>
      </c>
      <c r="AND614" s="5" t="s">
        <v>3728</v>
      </c>
      <c r="ANE614" s="17">
        <v>44925</v>
      </c>
      <c r="ANF614" s="5" t="s">
        <v>3728</v>
      </c>
      <c r="ANG614" s="17">
        <v>44925</v>
      </c>
      <c r="ANH614" s="5" t="s">
        <v>3728</v>
      </c>
      <c r="ANI614" s="17">
        <v>44925</v>
      </c>
      <c r="ANJ614" s="5" t="s">
        <v>3728</v>
      </c>
      <c r="ANK614" s="17">
        <v>44925</v>
      </c>
      <c r="ANL614" s="5" t="s">
        <v>3728</v>
      </c>
      <c r="ANM614" s="17">
        <v>44925</v>
      </c>
      <c r="ANN614" s="5" t="s">
        <v>3728</v>
      </c>
      <c r="ANO614" s="17">
        <v>44925</v>
      </c>
      <c r="ANP614" s="5" t="s">
        <v>3728</v>
      </c>
      <c r="ANQ614" s="17">
        <v>44925</v>
      </c>
      <c r="ANR614" s="5" t="s">
        <v>3728</v>
      </c>
      <c r="ANS614" s="17">
        <v>44925</v>
      </c>
      <c r="ANT614" s="5" t="s">
        <v>3728</v>
      </c>
      <c r="ANU614" s="17">
        <v>44925</v>
      </c>
      <c r="ANV614" s="5" t="s">
        <v>3728</v>
      </c>
      <c r="ANW614" s="17">
        <v>44925</v>
      </c>
      <c r="ANX614" s="5" t="s">
        <v>3728</v>
      </c>
      <c r="ANY614" s="17">
        <v>44925</v>
      </c>
      <c r="ANZ614" s="5" t="s">
        <v>3728</v>
      </c>
      <c r="AOA614" s="17">
        <v>44925</v>
      </c>
      <c r="AOB614" s="5" t="s">
        <v>3728</v>
      </c>
      <c r="AOC614" s="17">
        <v>44925</v>
      </c>
      <c r="AOD614" s="5" t="s">
        <v>3728</v>
      </c>
      <c r="AOE614" s="17">
        <v>44925</v>
      </c>
      <c r="AOF614" s="5" t="s">
        <v>3728</v>
      </c>
      <c r="AOG614" s="17">
        <v>44925</v>
      </c>
      <c r="AOH614" s="5" t="s">
        <v>3728</v>
      </c>
      <c r="AOI614" s="17">
        <v>44925</v>
      </c>
      <c r="AOJ614" s="5" t="s">
        <v>3728</v>
      </c>
      <c r="AOK614" s="17">
        <v>44925</v>
      </c>
      <c r="AOL614" s="5" t="s">
        <v>3728</v>
      </c>
      <c r="AOM614" s="17">
        <v>44925</v>
      </c>
      <c r="AON614" s="5" t="s">
        <v>3728</v>
      </c>
      <c r="AOO614" s="17">
        <v>44925</v>
      </c>
      <c r="AOP614" s="5" t="s">
        <v>3728</v>
      </c>
      <c r="AOQ614" s="17">
        <v>44925</v>
      </c>
      <c r="AOR614" s="5" t="s">
        <v>3728</v>
      </c>
      <c r="AOS614" s="17">
        <v>44925</v>
      </c>
      <c r="AOT614" s="5" t="s">
        <v>3728</v>
      </c>
      <c r="AOU614" s="17">
        <v>44925</v>
      </c>
      <c r="AOV614" s="5" t="s">
        <v>3728</v>
      </c>
      <c r="AOW614" s="17">
        <v>44925</v>
      </c>
      <c r="AOX614" s="5" t="s">
        <v>3728</v>
      </c>
      <c r="AOY614" s="17">
        <v>44925</v>
      </c>
      <c r="AOZ614" s="5" t="s">
        <v>3728</v>
      </c>
      <c r="APA614" s="17">
        <v>44925</v>
      </c>
      <c r="APB614" s="5" t="s">
        <v>3728</v>
      </c>
      <c r="APC614" s="17">
        <v>44925</v>
      </c>
      <c r="APD614" s="5" t="s">
        <v>3728</v>
      </c>
      <c r="APE614" s="17">
        <v>44925</v>
      </c>
      <c r="APF614" s="5" t="s">
        <v>3728</v>
      </c>
      <c r="APG614" s="17">
        <v>44925</v>
      </c>
      <c r="APH614" s="5" t="s">
        <v>3728</v>
      </c>
      <c r="API614" s="17">
        <v>44925</v>
      </c>
      <c r="APJ614" s="5" t="s">
        <v>3728</v>
      </c>
      <c r="APK614" s="17">
        <v>44925</v>
      </c>
      <c r="APL614" s="5" t="s">
        <v>3728</v>
      </c>
      <c r="APM614" s="17">
        <v>44925</v>
      </c>
      <c r="APN614" s="5" t="s">
        <v>3728</v>
      </c>
      <c r="APO614" s="17">
        <v>44925</v>
      </c>
      <c r="APP614" s="5" t="s">
        <v>3728</v>
      </c>
      <c r="APQ614" s="17">
        <v>44925</v>
      </c>
      <c r="APR614" s="5" t="s">
        <v>3728</v>
      </c>
      <c r="APS614" s="17">
        <v>44925</v>
      </c>
      <c r="APT614" s="5" t="s">
        <v>3728</v>
      </c>
      <c r="APU614" s="17">
        <v>44925</v>
      </c>
      <c r="APV614" s="5" t="s">
        <v>3728</v>
      </c>
      <c r="APW614" s="17">
        <v>44925</v>
      </c>
      <c r="APX614" s="5" t="s">
        <v>3728</v>
      </c>
      <c r="APY614" s="17">
        <v>44925</v>
      </c>
      <c r="APZ614" s="5" t="s">
        <v>3728</v>
      </c>
      <c r="AQA614" s="17">
        <v>44925</v>
      </c>
      <c r="AQB614" s="5" t="s">
        <v>3728</v>
      </c>
      <c r="AQC614" s="17">
        <v>44925</v>
      </c>
      <c r="AQD614" s="5" t="s">
        <v>3728</v>
      </c>
      <c r="AQE614" s="17">
        <v>44925</v>
      </c>
      <c r="AQF614" s="5" t="s">
        <v>3728</v>
      </c>
      <c r="AQG614" s="17">
        <v>44925</v>
      </c>
      <c r="AQH614" s="5" t="s">
        <v>3728</v>
      </c>
      <c r="AQI614" s="17">
        <v>44925</v>
      </c>
      <c r="AQJ614" s="5" t="s">
        <v>3728</v>
      </c>
      <c r="AQK614" s="17">
        <v>44925</v>
      </c>
      <c r="AQL614" s="5" t="s">
        <v>3728</v>
      </c>
      <c r="AQM614" s="17">
        <v>44925</v>
      </c>
      <c r="AQN614" s="5" t="s">
        <v>3728</v>
      </c>
      <c r="AQO614" s="17">
        <v>44925</v>
      </c>
      <c r="AQP614" s="5" t="s">
        <v>3728</v>
      </c>
      <c r="AQQ614" s="17">
        <v>44925</v>
      </c>
      <c r="AQR614" s="5" t="s">
        <v>3728</v>
      </c>
      <c r="AQS614" s="17">
        <v>44925</v>
      </c>
      <c r="AQT614" s="5" t="s">
        <v>3728</v>
      </c>
      <c r="AQU614" s="17">
        <v>44925</v>
      </c>
      <c r="AQV614" s="5" t="s">
        <v>3728</v>
      </c>
      <c r="AQW614" s="17">
        <v>44925</v>
      </c>
      <c r="AQX614" s="5" t="s">
        <v>3728</v>
      </c>
      <c r="AQY614" s="17">
        <v>44925</v>
      </c>
      <c r="AQZ614" s="5" t="s">
        <v>3728</v>
      </c>
      <c r="ARA614" s="17">
        <v>44925</v>
      </c>
      <c r="ARB614" s="5" t="s">
        <v>3728</v>
      </c>
      <c r="ARC614" s="17">
        <v>44925</v>
      </c>
      <c r="ARD614" s="5" t="s">
        <v>3728</v>
      </c>
      <c r="ARE614" s="17">
        <v>44925</v>
      </c>
      <c r="ARF614" s="5" t="s">
        <v>3728</v>
      </c>
      <c r="ARG614" s="17">
        <v>44925</v>
      </c>
      <c r="ARH614" s="5" t="s">
        <v>3728</v>
      </c>
      <c r="ARI614" s="17">
        <v>44925</v>
      </c>
      <c r="ARJ614" s="5" t="s">
        <v>3728</v>
      </c>
      <c r="ARK614" s="17">
        <v>44925</v>
      </c>
      <c r="ARL614" s="5" t="s">
        <v>3728</v>
      </c>
      <c r="ARM614" s="17">
        <v>44925</v>
      </c>
      <c r="ARN614" s="5" t="s">
        <v>3728</v>
      </c>
      <c r="ARO614" s="17">
        <v>44925</v>
      </c>
      <c r="ARP614" s="5" t="s">
        <v>3728</v>
      </c>
      <c r="ARQ614" s="17">
        <v>44925</v>
      </c>
      <c r="ARR614" s="5" t="s">
        <v>3728</v>
      </c>
      <c r="ARS614" s="17">
        <v>44925</v>
      </c>
      <c r="ART614" s="5" t="s">
        <v>3728</v>
      </c>
      <c r="ARU614" s="17">
        <v>44925</v>
      </c>
      <c r="ARV614" s="5" t="s">
        <v>3728</v>
      </c>
      <c r="ARW614" s="17">
        <v>44925</v>
      </c>
      <c r="ARX614" s="5" t="s">
        <v>3728</v>
      </c>
      <c r="ARY614" s="17">
        <v>44925</v>
      </c>
      <c r="ARZ614" s="5" t="s">
        <v>3728</v>
      </c>
      <c r="ASA614" s="17">
        <v>44925</v>
      </c>
      <c r="ASB614" s="5" t="s">
        <v>3728</v>
      </c>
      <c r="ASC614" s="17">
        <v>44925</v>
      </c>
      <c r="ASD614" s="5" t="s">
        <v>3728</v>
      </c>
      <c r="ASE614" s="17">
        <v>44925</v>
      </c>
      <c r="ASF614" s="5" t="s">
        <v>3728</v>
      </c>
      <c r="ASG614" s="17">
        <v>44925</v>
      </c>
      <c r="ASH614" s="5" t="s">
        <v>3728</v>
      </c>
      <c r="ASI614" s="17">
        <v>44925</v>
      </c>
      <c r="ASJ614" s="5" t="s">
        <v>3728</v>
      </c>
      <c r="ASK614" s="17">
        <v>44925</v>
      </c>
      <c r="ASL614" s="5" t="s">
        <v>3728</v>
      </c>
      <c r="ASM614" s="17">
        <v>44925</v>
      </c>
      <c r="ASN614" s="5" t="s">
        <v>3728</v>
      </c>
      <c r="ASO614" s="17">
        <v>44925</v>
      </c>
      <c r="ASP614" s="5" t="s">
        <v>3728</v>
      </c>
      <c r="ASQ614" s="17">
        <v>44925</v>
      </c>
      <c r="ASR614" s="5" t="s">
        <v>3728</v>
      </c>
      <c r="ASS614" s="17">
        <v>44925</v>
      </c>
      <c r="AST614" s="5" t="s">
        <v>3728</v>
      </c>
      <c r="ASU614" s="17">
        <v>44925</v>
      </c>
      <c r="ASV614" s="5" t="s">
        <v>3728</v>
      </c>
      <c r="ASW614" s="17">
        <v>44925</v>
      </c>
      <c r="ASX614" s="5" t="s">
        <v>3728</v>
      </c>
      <c r="ASY614" s="17">
        <v>44925</v>
      </c>
      <c r="ASZ614" s="5" t="s">
        <v>3728</v>
      </c>
      <c r="ATA614" s="17">
        <v>44925</v>
      </c>
      <c r="ATB614" s="5" t="s">
        <v>3728</v>
      </c>
      <c r="ATC614" s="17">
        <v>44925</v>
      </c>
      <c r="ATD614" s="5" t="s">
        <v>3728</v>
      </c>
      <c r="ATE614" s="17">
        <v>44925</v>
      </c>
      <c r="ATF614" s="5" t="s">
        <v>3728</v>
      </c>
      <c r="ATG614" s="17">
        <v>44925</v>
      </c>
      <c r="ATH614" s="5" t="s">
        <v>3728</v>
      </c>
      <c r="ATI614" s="17">
        <v>44925</v>
      </c>
      <c r="ATJ614" s="5" t="s">
        <v>3728</v>
      </c>
      <c r="ATK614" s="17">
        <v>44925</v>
      </c>
      <c r="ATL614" s="5" t="s">
        <v>3728</v>
      </c>
      <c r="ATM614" s="17">
        <v>44925</v>
      </c>
      <c r="ATN614" s="5" t="s">
        <v>3728</v>
      </c>
      <c r="ATO614" s="17">
        <v>44925</v>
      </c>
      <c r="ATP614" s="5" t="s">
        <v>3728</v>
      </c>
      <c r="ATQ614" s="17">
        <v>44925</v>
      </c>
      <c r="ATR614" s="5" t="s">
        <v>3728</v>
      </c>
      <c r="ATS614" s="17">
        <v>44925</v>
      </c>
      <c r="ATT614" s="5" t="s">
        <v>3728</v>
      </c>
      <c r="ATU614" s="17">
        <v>44925</v>
      </c>
      <c r="ATV614" s="5" t="s">
        <v>3728</v>
      </c>
      <c r="ATW614" s="17">
        <v>44925</v>
      </c>
      <c r="ATX614" s="5" t="s">
        <v>3728</v>
      </c>
      <c r="ATY614" s="17">
        <v>44925</v>
      </c>
      <c r="ATZ614" s="5" t="s">
        <v>3728</v>
      </c>
      <c r="AUA614" s="17">
        <v>44925</v>
      </c>
      <c r="AUB614" s="5" t="s">
        <v>3728</v>
      </c>
      <c r="AUC614" s="17">
        <v>44925</v>
      </c>
      <c r="AUD614" s="5" t="s">
        <v>3728</v>
      </c>
      <c r="AUE614" s="17">
        <v>44925</v>
      </c>
      <c r="AUF614" s="5" t="s">
        <v>3728</v>
      </c>
      <c r="AUG614" s="17">
        <v>44925</v>
      </c>
      <c r="AUH614" s="5" t="s">
        <v>3728</v>
      </c>
      <c r="AUI614" s="17">
        <v>44925</v>
      </c>
      <c r="AUJ614" s="5" t="s">
        <v>3728</v>
      </c>
      <c r="AUK614" s="17">
        <v>44925</v>
      </c>
      <c r="AUL614" s="5" t="s">
        <v>3728</v>
      </c>
      <c r="AUM614" s="17">
        <v>44925</v>
      </c>
      <c r="AUN614" s="5" t="s">
        <v>3728</v>
      </c>
      <c r="AUO614" s="17">
        <v>44925</v>
      </c>
      <c r="AUP614" s="5" t="s">
        <v>3728</v>
      </c>
      <c r="AUQ614" s="17">
        <v>44925</v>
      </c>
      <c r="AUR614" s="5" t="s">
        <v>3728</v>
      </c>
      <c r="AUS614" s="17">
        <v>44925</v>
      </c>
      <c r="AUT614" s="5" t="s">
        <v>3728</v>
      </c>
      <c r="AUU614" s="17">
        <v>44925</v>
      </c>
      <c r="AUV614" s="5" t="s">
        <v>3728</v>
      </c>
      <c r="AUW614" s="17">
        <v>44925</v>
      </c>
      <c r="AUX614" s="5" t="s">
        <v>3728</v>
      </c>
      <c r="AUY614" s="17">
        <v>44925</v>
      </c>
      <c r="AUZ614" s="5" t="s">
        <v>3728</v>
      </c>
      <c r="AVA614" s="17">
        <v>44925</v>
      </c>
      <c r="AVB614" s="5" t="s">
        <v>3728</v>
      </c>
      <c r="AVC614" s="17">
        <v>44925</v>
      </c>
      <c r="AVD614" s="5" t="s">
        <v>3728</v>
      </c>
      <c r="AVE614" s="17">
        <v>44925</v>
      </c>
      <c r="AVF614" s="5" t="s">
        <v>3728</v>
      </c>
      <c r="AVG614" s="17">
        <v>44925</v>
      </c>
      <c r="AVH614" s="5" t="s">
        <v>3728</v>
      </c>
      <c r="AVI614" s="17">
        <v>44925</v>
      </c>
      <c r="AVJ614" s="5" t="s">
        <v>3728</v>
      </c>
      <c r="AVK614" s="17">
        <v>44925</v>
      </c>
      <c r="AVL614" s="5" t="s">
        <v>3728</v>
      </c>
      <c r="AVM614" s="17">
        <v>44925</v>
      </c>
      <c r="AVN614" s="5" t="s">
        <v>3728</v>
      </c>
      <c r="AVO614" s="17">
        <v>44925</v>
      </c>
      <c r="AVP614" s="5" t="s">
        <v>3728</v>
      </c>
      <c r="AVQ614" s="17">
        <v>44925</v>
      </c>
      <c r="AVR614" s="5" t="s">
        <v>3728</v>
      </c>
      <c r="AVS614" s="17">
        <v>44925</v>
      </c>
      <c r="AVT614" s="5" t="s">
        <v>3728</v>
      </c>
      <c r="AVU614" s="17">
        <v>44925</v>
      </c>
      <c r="AVV614" s="5" t="s">
        <v>3728</v>
      </c>
      <c r="AVW614" s="17">
        <v>44925</v>
      </c>
      <c r="AVX614" s="5" t="s">
        <v>3728</v>
      </c>
      <c r="AVY614" s="17">
        <v>44925</v>
      </c>
      <c r="AVZ614" s="5" t="s">
        <v>3728</v>
      </c>
      <c r="AWA614" s="17">
        <v>44925</v>
      </c>
      <c r="AWB614" s="5" t="s">
        <v>3728</v>
      </c>
      <c r="AWC614" s="17">
        <v>44925</v>
      </c>
      <c r="AWD614" s="5" t="s">
        <v>3728</v>
      </c>
      <c r="AWE614" s="17">
        <v>44925</v>
      </c>
      <c r="AWF614" s="5" t="s">
        <v>3728</v>
      </c>
      <c r="AWG614" s="17">
        <v>44925</v>
      </c>
      <c r="AWH614" s="5" t="s">
        <v>3728</v>
      </c>
      <c r="AWI614" s="17">
        <v>44925</v>
      </c>
      <c r="AWJ614" s="5" t="s">
        <v>3728</v>
      </c>
      <c r="AWK614" s="17">
        <v>44925</v>
      </c>
      <c r="AWL614" s="5" t="s">
        <v>3728</v>
      </c>
      <c r="AWM614" s="17">
        <v>44925</v>
      </c>
      <c r="AWN614" s="5" t="s">
        <v>3728</v>
      </c>
      <c r="AWO614" s="17">
        <v>44925</v>
      </c>
      <c r="AWP614" s="5" t="s">
        <v>3728</v>
      </c>
      <c r="AWQ614" s="17">
        <v>44925</v>
      </c>
      <c r="AWR614" s="5" t="s">
        <v>3728</v>
      </c>
      <c r="AWS614" s="17">
        <v>44925</v>
      </c>
      <c r="AWT614" s="5" t="s">
        <v>3728</v>
      </c>
      <c r="AWU614" s="17">
        <v>44925</v>
      </c>
      <c r="AWV614" s="5" t="s">
        <v>3728</v>
      </c>
      <c r="AWW614" s="17">
        <v>44925</v>
      </c>
      <c r="AWX614" s="5" t="s">
        <v>3728</v>
      </c>
      <c r="AWY614" s="17">
        <v>44925</v>
      </c>
      <c r="AWZ614" s="5" t="s">
        <v>3728</v>
      </c>
      <c r="AXA614" s="17">
        <v>44925</v>
      </c>
      <c r="AXB614" s="5" t="s">
        <v>3728</v>
      </c>
      <c r="AXC614" s="17">
        <v>44925</v>
      </c>
      <c r="AXD614" s="5" t="s">
        <v>3728</v>
      </c>
      <c r="AXE614" s="17">
        <v>44925</v>
      </c>
      <c r="AXF614" s="5" t="s">
        <v>3728</v>
      </c>
      <c r="AXG614" s="17">
        <v>44925</v>
      </c>
      <c r="AXH614" s="5" t="s">
        <v>3728</v>
      </c>
      <c r="AXI614" s="17">
        <v>44925</v>
      </c>
      <c r="AXJ614" s="5" t="s">
        <v>3728</v>
      </c>
      <c r="AXK614" s="17">
        <v>44925</v>
      </c>
      <c r="AXL614" s="5" t="s">
        <v>3728</v>
      </c>
      <c r="AXM614" s="17">
        <v>44925</v>
      </c>
      <c r="AXN614" s="5" t="s">
        <v>3728</v>
      </c>
      <c r="AXO614" s="17">
        <v>44925</v>
      </c>
      <c r="AXP614" s="5" t="s">
        <v>3728</v>
      </c>
      <c r="AXQ614" s="17">
        <v>44925</v>
      </c>
      <c r="AXR614" s="5" t="s">
        <v>3728</v>
      </c>
      <c r="AXS614" s="17">
        <v>44925</v>
      </c>
      <c r="AXT614" s="5" t="s">
        <v>3728</v>
      </c>
      <c r="AXU614" s="17">
        <v>44925</v>
      </c>
      <c r="AXV614" s="5" t="s">
        <v>3728</v>
      </c>
      <c r="AXW614" s="17">
        <v>44925</v>
      </c>
      <c r="AXX614" s="5" t="s">
        <v>3728</v>
      </c>
      <c r="AXY614" s="17">
        <v>44925</v>
      </c>
      <c r="AXZ614" s="5" t="s">
        <v>3728</v>
      </c>
      <c r="AYA614" s="17">
        <v>44925</v>
      </c>
      <c r="AYB614" s="5" t="s">
        <v>3728</v>
      </c>
      <c r="AYC614" s="17">
        <v>44925</v>
      </c>
      <c r="AYD614" s="5" t="s">
        <v>3728</v>
      </c>
      <c r="AYE614" s="17">
        <v>44925</v>
      </c>
      <c r="AYF614" s="5" t="s">
        <v>3728</v>
      </c>
      <c r="AYG614" s="17">
        <v>44925</v>
      </c>
      <c r="AYH614" s="5" t="s">
        <v>3728</v>
      </c>
      <c r="AYI614" s="17">
        <v>44925</v>
      </c>
      <c r="AYJ614" s="5" t="s">
        <v>3728</v>
      </c>
      <c r="AYK614" s="17">
        <v>44925</v>
      </c>
      <c r="AYL614" s="5" t="s">
        <v>3728</v>
      </c>
      <c r="AYM614" s="17">
        <v>44925</v>
      </c>
      <c r="AYN614" s="5" t="s">
        <v>3728</v>
      </c>
      <c r="AYO614" s="17">
        <v>44925</v>
      </c>
      <c r="AYP614" s="5" t="s">
        <v>3728</v>
      </c>
      <c r="AYQ614" s="17">
        <v>44925</v>
      </c>
      <c r="AYR614" s="5" t="s">
        <v>3728</v>
      </c>
      <c r="AYS614" s="17">
        <v>44925</v>
      </c>
      <c r="AYT614" s="5" t="s">
        <v>3728</v>
      </c>
      <c r="AYU614" s="17">
        <v>44925</v>
      </c>
      <c r="AYV614" s="5" t="s">
        <v>3728</v>
      </c>
      <c r="AYW614" s="17">
        <v>44925</v>
      </c>
      <c r="AYX614" s="5" t="s">
        <v>3728</v>
      </c>
      <c r="AYY614" s="17">
        <v>44925</v>
      </c>
      <c r="AYZ614" s="5" t="s">
        <v>3728</v>
      </c>
      <c r="AZA614" s="17">
        <v>44925</v>
      </c>
      <c r="AZB614" s="5" t="s">
        <v>3728</v>
      </c>
      <c r="AZC614" s="17">
        <v>44925</v>
      </c>
      <c r="AZD614" s="5" t="s">
        <v>3728</v>
      </c>
      <c r="AZE614" s="17">
        <v>44925</v>
      </c>
      <c r="AZF614" s="5" t="s">
        <v>3728</v>
      </c>
      <c r="AZG614" s="17">
        <v>44925</v>
      </c>
      <c r="AZH614" s="5" t="s">
        <v>3728</v>
      </c>
      <c r="AZI614" s="17">
        <v>44925</v>
      </c>
      <c r="AZJ614" s="5" t="s">
        <v>3728</v>
      </c>
      <c r="AZK614" s="17">
        <v>44925</v>
      </c>
      <c r="AZL614" s="5" t="s">
        <v>3728</v>
      </c>
      <c r="AZM614" s="17">
        <v>44925</v>
      </c>
      <c r="AZN614" s="5" t="s">
        <v>3728</v>
      </c>
      <c r="AZO614" s="17">
        <v>44925</v>
      </c>
      <c r="AZP614" s="5" t="s">
        <v>3728</v>
      </c>
      <c r="AZQ614" s="17">
        <v>44925</v>
      </c>
      <c r="AZR614" s="5" t="s">
        <v>3728</v>
      </c>
      <c r="AZS614" s="17">
        <v>44925</v>
      </c>
      <c r="AZT614" s="5" t="s">
        <v>3728</v>
      </c>
      <c r="AZU614" s="17">
        <v>44925</v>
      </c>
      <c r="AZV614" s="5" t="s">
        <v>3728</v>
      </c>
      <c r="AZW614" s="17">
        <v>44925</v>
      </c>
      <c r="AZX614" s="5" t="s">
        <v>3728</v>
      </c>
      <c r="AZY614" s="17">
        <v>44925</v>
      </c>
      <c r="AZZ614" s="5" t="s">
        <v>3728</v>
      </c>
      <c r="BAA614" s="17">
        <v>44925</v>
      </c>
      <c r="BAB614" s="5" t="s">
        <v>3728</v>
      </c>
      <c r="BAC614" s="17">
        <v>44925</v>
      </c>
      <c r="BAD614" s="5" t="s">
        <v>3728</v>
      </c>
      <c r="BAE614" s="17">
        <v>44925</v>
      </c>
      <c r="BAF614" s="5" t="s">
        <v>3728</v>
      </c>
      <c r="BAG614" s="17">
        <v>44925</v>
      </c>
      <c r="BAH614" s="5" t="s">
        <v>3728</v>
      </c>
      <c r="BAI614" s="17">
        <v>44925</v>
      </c>
      <c r="BAJ614" s="5" t="s">
        <v>3728</v>
      </c>
      <c r="BAK614" s="17">
        <v>44925</v>
      </c>
      <c r="BAL614" s="5" t="s">
        <v>3728</v>
      </c>
      <c r="BAM614" s="17">
        <v>44925</v>
      </c>
      <c r="BAN614" s="5" t="s">
        <v>3728</v>
      </c>
      <c r="BAO614" s="17">
        <v>44925</v>
      </c>
      <c r="BAP614" s="5" t="s">
        <v>3728</v>
      </c>
      <c r="BAQ614" s="17">
        <v>44925</v>
      </c>
      <c r="BAR614" s="5" t="s">
        <v>3728</v>
      </c>
      <c r="BAS614" s="17">
        <v>44925</v>
      </c>
      <c r="BAT614" s="5" t="s">
        <v>3728</v>
      </c>
      <c r="BAU614" s="17">
        <v>44925</v>
      </c>
      <c r="BAV614" s="5" t="s">
        <v>3728</v>
      </c>
      <c r="BAW614" s="17">
        <v>44925</v>
      </c>
      <c r="BAX614" s="5" t="s">
        <v>3728</v>
      </c>
      <c r="BAY614" s="17">
        <v>44925</v>
      </c>
      <c r="BAZ614" s="5" t="s">
        <v>3728</v>
      </c>
      <c r="BBA614" s="17">
        <v>44925</v>
      </c>
      <c r="BBB614" s="5" t="s">
        <v>3728</v>
      </c>
      <c r="BBC614" s="17">
        <v>44925</v>
      </c>
      <c r="BBD614" s="5" t="s">
        <v>3728</v>
      </c>
      <c r="BBE614" s="17">
        <v>44925</v>
      </c>
      <c r="BBF614" s="5" t="s">
        <v>3728</v>
      </c>
      <c r="BBG614" s="17">
        <v>44925</v>
      </c>
      <c r="BBH614" s="5" t="s">
        <v>3728</v>
      </c>
      <c r="BBI614" s="17">
        <v>44925</v>
      </c>
      <c r="BBJ614" s="5" t="s">
        <v>3728</v>
      </c>
      <c r="BBK614" s="17">
        <v>44925</v>
      </c>
      <c r="BBL614" s="5" t="s">
        <v>3728</v>
      </c>
      <c r="BBM614" s="17">
        <v>44925</v>
      </c>
      <c r="BBN614" s="5" t="s">
        <v>3728</v>
      </c>
      <c r="BBO614" s="17">
        <v>44925</v>
      </c>
      <c r="BBP614" s="5" t="s">
        <v>3728</v>
      </c>
      <c r="BBQ614" s="17">
        <v>44925</v>
      </c>
      <c r="BBR614" s="5" t="s">
        <v>3728</v>
      </c>
      <c r="BBS614" s="17">
        <v>44925</v>
      </c>
      <c r="BBT614" s="5" t="s">
        <v>3728</v>
      </c>
      <c r="BBU614" s="17">
        <v>44925</v>
      </c>
      <c r="BBV614" s="5" t="s">
        <v>3728</v>
      </c>
      <c r="BBW614" s="17">
        <v>44925</v>
      </c>
      <c r="BBX614" s="5" t="s">
        <v>3728</v>
      </c>
      <c r="BBY614" s="17">
        <v>44925</v>
      </c>
      <c r="BBZ614" s="5" t="s">
        <v>3728</v>
      </c>
      <c r="BCA614" s="17">
        <v>44925</v>
      </c>
      <c r="BCB614" s="5" t="s">
        <v>3728</v>
      </c>
      <c r="BCC614" s="17">
        <v>44925</v>
      </c>
      <c r="BCD614" s="5" t="s">
        <v>3728</v>
      </c>
      <c r="BCE614" s="17">
        <v>44925</v>
      </c>
      <c r="BCF614" s="5" t="s">
        <v>3728</v>
      </c>
      <c r="BCG614" s="17">
        <v>44925</v>
      </c>
      <c r="BCH614" s="5" t="s">
        <v>3728</v>
      </c>
      <c r="BCI614" s="17">
        <v>44925</v>
      </c>
      <c r="BCJ614" s="5" t="s">
        <v>3728</v>
      </c>
      <c r="BCK614" s="17">
        <v>44925</v>
      </c>
      <c r="BCL614" s="5" t="s">
        <v>3728</v>
      </c>
      <c r="BCM614" s="17">
        <v>44925</v>
      </c>
      <c r="BCN614" s="5" t="s">
        <v>3728</v>
      </c>
      <c r="BCO614" s="17">
        <v>44925</v>
      </c>
      <c r="BCP614" s="5" t="s">
        <v>3728</v>
      </c>
      <c r="BCQ614" s="17">
        <v>44925</v>
      </c>
      <c r="BCR614" s="5" t="s">
        <v>3728</v>
      </c>
      <c r="BCS614" s="17">
        <v>44925</v>
      </c>
      <c r="BCT614" s="5" t="s">
        <v>3728</v>
      </c>
      <c r="BCU614" s="17">
        <v>44925</v>
      </c>
      <c r="BCV614" s="5" t="s">
        <v>3728</v>
      </c>
      <c r="BCW614" s="17">
        <v>44925</v>
      </c>
      <c r="BCX614" s="5" t="s">
        <v>3728</v>
      </c>
      <c r="BCY614" s="17">
        <v>44925</v>
      </c>
      <c r="BCZ614" s="5" t="s">
        <v>3728</v>
      </c>
      <c r="BDA614" s="17">
        <v>44925</v>
      </c>
      <c r="BDB614" s="5" t="s">
        <v>3728</v>
      </c>
      <c r="BDC614" s="17">
        <v>44925</v>
      </c>
      <c r="BDD614" s="5" t="s">
        <v>3728</v>
      </c>
      <c r="BDE614" s="17">
        <v>44925</v>
      </c>
      <c r="BDF614" s="5" t="s">
        <v>3728</v>
      </c>
      <c r="BDG614" s="17">
        <v>44925</v>
      </c>
      <c r="BDH614" s="5" t="s">
        <v>3728</v>
      </c>
      <c r="BDI614" s="17">
        <v>44925</v>
      </c>
      <c r="BDJ614" s="5" t="s">
        <v>3728</v>
      </c>
      <c r="BDK614" s="17">
        <v>44925</v>
      </c>
      <c r="BDL614" s="5" t="s">
        <v>3728</v>
      </c>
      <c r="BDM614" s="17">
        <v>44925</v>
      </c>
      <c r="BDN614" s="5" t="s">
        <v>3728</v>
      </c>
      <c r="BDO614" s="17">
        <v>44925</v>
      </c>
      <c r="BDP614" s="5" t="s">
        <v>3728</v>
      </c>
      <c r="BDQ614" s="17">
        <v>44925</v>
      </c>
      <c r="BDR614" s="5" t="s">
        <v>3728</v>
      </c>
      <c r="BDS614" s="17">
        <v>44925</v>
      </c>
      <c r="BDT614" s="5" t="s">
        <v>3728</v>
      </c>
      <c r="BDU614" s="17">
        <v>44925</v>
      </c>
      <c r="BDV614" s="5" t="s">
        <v>3728</v>
      </c>
      <c r="BDW614" s="17">
        <v>44925</v>
      </c>
      <c r="BDX614" s="5" t="s">
        <v>3728</v>
      </c>
      <c r="BDY614" s="17">
        <v>44925</v>
      </c>
      <c r="BDZ614" s="5" t="s">
        <v>3728</v>
      </c>
      <c r="BEA614" s="17">
        <v>44925</v>
      </c>
      <c r="BEB614" s="5" t="s">
        <v>3728</v>
      </c>
      <c r="BEC614" s="17">
        <v>44925</v>
      </c>
      <c r="BED614" s="5" t="s">
        <v>3728</v>
      </c>
      <c r="BEE614" s="17">
        <v>44925</v>
      </c>
      <c r="BEF614" s="5" t="s">
        <v>3728</v>
      </c>
      <c r="BEG614" s="17">
        <v>44925</v>
      </c>
      <c r="BEH614" s="5" t="s">
        <v>3728</v>
      </c>
      <c r="BEI614" s="17">
        <v>44925</v>
      </c>
      <c r="BEJ614" s="5" t="s">
        <v>3728</v>
      </c>
      <c r="BEK614" s="17">
        <v>44925</v>
      </c>
      <c r="BEL614" s="5" t="s">
        <v>3728</v>
      </c>
      <c r="BEM614" s="17">
        <v>44925</v>
      </c>
      <c r="BEN614" s="5" t="s">
        <v>3728</v>
      </c>
      <c r="BEO614" s="17">
        <v>44925</v>
      </c>
      <c r="BEP614" s="5" t="s">
        <v>3728</v>
      </c>
      <c r="BEQ614" s="17">
        <v>44925</v>
      </c>
      <c r="BER614" s="5" t="s">
        <v>3728</v>
      </c>
      <c r="BES614" s="17">
        <v>44925</v>
      </c>
      <c r="BET614" s="5" t="s">
        <v>3728</v>
      </c>
      <c r="BEU614" s="17">
        <v>44925</v>
      </c>
      <c r="BEV614" s="5" t="s">
        <v>3728</v>
      </c>
      <c r="BEW614" s="17">
        <v>44925</v>
      </c>
      <c r="BEX614" s="5" t="s">
        <v>3728</v>
      </c>
      <c r="BEY614" s="17">
        <v>44925</v>
      </c>
      <c r="BEZ614" s="5" t="s">
        <v>3728</v>
      </c>
      <c r="BFA614" s="17">
        <v>44925</v>
      </c>
      <c r="BFB614" s="5" t="s">
        <v>3728</v>
      </c>
      <c r="BFC614" s="17">
        <v>44925</v>
      </c>
      <c r="BFD614" s="5" t="s">
        <v>3728</v>
      </c>
      <c r="BFE614" s="17">
        <v>44925</v>
      </c>
      <c r="BFF614" s="5" t="s">
        <v>3728</v>
      </c>
      <c r="BFG614" s="17">
        <v>44925</v>
      </c>
      <c r="BFH614" s="5" t="s">
        <v>3728</v>
      </c>
      <c r="BFI614" s="17">
        <v>44925</v>
      </c>
      <c r="BFJ614" s="5" t="s">
        <v>3728</v>
      </c>
      <c r="BFK614" s="17">
        <v>44925</v>
      </c>
      <c r="BFL614" s="5" t="s">
        <v>3728</v>
      </c>
      <c r="BFM614" s="17">
        <v>44925</v>
      </c>
      <c r="BFN614" s="5" t="s">
        <v>3728</v>
      </c>
      <c r="BFO614" s="17">
        <v>44925</v>
      </c>
      <c r="BFP614" s="5" t="s">
        <v>3728</v>
      </c>
      <c r="BFQ614" s="17">
        <v>44925</v>
      </c>
      <c r="BFR614" s="5" t="s">
        <v>3728</v>
      </c>
      <c r="BFS614" s="17">
        <v>44925</v>
      </c>
      <c r="BFT614" s="5" t="s">
        <v>3728</v>
      </c>
      <c r="BFU614" s="17">
        <v>44925</v>
      </c>
      <c r="BFV614" s="5" t="s">
        <v>3728</v>
      </c>
      <c r="BFW614" s="17">
        <v>44925</v>
      </c>
      <c r="BFX614" s="5" t="s">
        <v>3728</v>
      </c>
      <c r="BFY614" s="17">
        <v>44925</v>
      </c>
      <c r="BFZ614" s="5" t="s">
        <v>3728</v>
      </c>
      <c r="BGA614" s="17">
        <v>44925</v>
      </c>
      <c r="BGB614" s="5" t="s">
        <v>3728</v>
      </c>
      <c r="BGC614" s="17">
        <v>44925</v>
      </c>
      <c r="BGD614" s="5" t="s">
        <v>3728</v>
      </c>
      <c r="BGE614" s="17">
        <v>44925</v>
      </c>
      <c r="BGF614" s="5" t="s">
        <v>3728</v>
      </c>
      <c r="BGG614" s="17">
        <v>44925</v>
      </c>
      <c r="BGH614" s="5" t="s">
        <v>3728</v>
      </c>
      <c r="BGI614" s="17">
        <v>44925</v>
      </c>
      <c r="BGJ614" s="5" t="s">
        <v>3728</v>
      </c>
      <c r="BGK614" s="17">
        <v>44925</v>
      </c>
      <c r="BGL614" s="5" t="s">
        <v>3728</v>
      </c>
      <c r="BGM614" s="17">
        <v>44925</v>
      </c>
      <c r="BGN614" s="5" t="s">
        <v>3728</v>
      </c>
      <c r="BGO614" s="17">
        <v>44925</v>
      </c>
      <c r="BGP614" s="5" t="s">
        <v>3728</v>
      </c>
      <c r="BGQ614" s="17">
        <v>44925</v>
      </c>
      <c r="BGR614" s="5" t="s">
        <v>3728</v>
      </c>
      <c r="BGS614" s="17">
        <v>44925</v>
      </c>
      <c r="BGT614" s="5" t="s">
        <v>3728</v>
      </c>
      <c r="BGU614" s="17">
        <v>44925</v>
      </c>
      <c r="BGV614" s="5" t="s">
        <v>3728</v>
      </c>
      <c r="BGW614" s="17">
        <v>44925</v>
      </c>
      <c r="BGX614" s="5" t="s">
        <v>3728</v>
      </c>
      <c r="BGY614" s="17">
        <v>44925</v>
      </c>
      <c r="BGZ614" s="5" t="s">
        <v>3728</v>
      </c>
      <c r="BHA614" s="17">
        <v>44925</v>
      </c>
      <c r="BHB614" s="5" t="s">
        <v>3728</v>
      </c>
      <c r="BHC614" s="17">
        <v>44925</v>
      </c>
      <c r="BHD614" s="5" t="s">
        <v>3728</v>
      </c>
      <c r="BHE614" s="17">
        <v>44925</v>
      </c>
      <c r="BHF614" s="5" t="s">
        <v>3728</v>
      </c>
      <c r="BHG614" s="17">
        <v>44925</v>
      </c>
      <c r="BHH614" s="5" t="s">
        <v>3728</v>
      </c>
      <c r="BHI614" s="17">
        <v>44925</v>
      </c>
      <c r="BHJ614" s="5" t="s">
        <v>3728</v>
      </c>
      <c r="BHK614" s="17">
        <v>44925</v>
      </c>
      <c r="BHL614" s="5" t="s">
        <v>3728</v>
      </c>
      <c r="BHM614" s="17">
        <v>44925</v>
      </c>
      <c r="BHN614" s="5" t="s">
        <v>3728</v>
      </c>
      <c r="BHO614" s="17">
        <v>44925</v>
      </c>
      <c r="BHP614" s="5" t="s">
        <v>3728</v>
      </c>
      <c r="BHQ614" s="17">
        <v>44925</v>
      </c>
      <c r="BHR614" s="5" t="s">
        <v>3728</v>
      </c>
      <c r="BHS614" s="17">
        <v>44925</v>
      </c>
      <c r="BHT614" s="5" t="s">
        <v>3728</v>
      </c>
      <c r="BHU614" s="17">
        <v>44925</v>
      </c>
      <c r="BHV614" s="5" t="s">
        <v>3728</v>
      </c>
      <c r="BHW614" s="17">
        <v>44925</v>
      </c>
      <c r="BHX614" s="5" t="s">
        <v>3728</v>
      </c>
      <c r="BHY614" s="17">
        <v>44925</v>
      </c>
      <c r="BHZ614" s="5" t="s">
        <v>3728</v>
      </c>
      <c r="BIA614" s="17">
        <v>44925</v>
      </c>
      <c r="BIB614" s="5" t="s">
        <v>3728</v>
      </c>
      <c r="BIC614" s="17">
        <v>44925</v>
      </c>
      <c r="BID614" s="5" t="s">
        <v>3728</v>
      </c>
      <c r="BIE614" s="17">
        <v>44925</v>
      </c>
      <c r="BIF614" s="5" t="s">
        <v>3728</v>
      </c>
      <c r="BIG614" s="17">
        <v>44925</v>
      </c>
      <c r="BIH614" s="5" t="s">
        <v>3728</v>
      </c>
      <c r="BII614" s="17">
        <v>44925</v>
      </c>
      <c r="BIJ614" s="5" t="s">
        <v>3728</v>
      </c>
      <c r="BIK614" s="17">
        <v>44925</v>
      </c>
      <c r="BIL614" s="5" t="s">
        <v>3728</v>
      </c>
      <c r="BIM614" s="17">
        <v>44925</v>
      </c>
      <c r="BIN614" s="5" t="s">
        <v>3728</v>
      </c>
      <c r="BIO614" s="17">
        <v>44925</v>
      </c>
      <c r="BIP614" s="5" t="s">
        <v>3728</v>
      </c>
      <c r="BIQ614" s="17">
        <v>44925</v>
      </c>
      <c r="BIR614" s="5" t="s">
        <v>3728</v>
      </c>
      <c r="BIS614" s="17">
        <v>44925</v>
      </c>
      <c r="BIT614" s="5" t="s">
        <v>3728</v>
      </c>
      <c r="BIU614" s="17">
        <v>44925</v>
      </c>
      <c r="BIV614" s="5" t="s">
        <v>3728</v>
      </c>
      <c r="BIW614" s="17">
        <v>44925</v>
      </c>
      <c r="BIX614" s="5" t="s">
        <v>3728</v>
      </c>
      <c r="BIY614" s="17">
        <v>44925</v>
      </c>
      <c r="BIZ614" s="5" t="s">
        <v>3728</v>
      </c>
      <c r="BJA614" s="17">
        <v>44925</v>
      </c>
      <c r="BJB614" s="5" t="s">
        <v>3728</v>
      </c>
      <c r="BJC614" s="17">
        <v>44925</v>
      </c>
      <c r="BJD614" s="5" t="s">
        <v>3728</v>
      </c>
      <c r="BJE614" s="17">
        <v>44925</v>
      </c>
      <c r="BJF614" s="5" t="s">
        <v>3728</v>
      </c>
      <c r="BJG614" s="17">
        <v>44925</v>
      </c>
      <c r="BJH614" s="5" t="s">
        <v>3728</v>
      </c>
      <c r="BJI614" s="17">
        <v>44925</v>
      </c>
      <c r="BJJ614" s="5" t="s">
        <v>3728</v>
      </c>
      <c r="BJK614" s="17">
        <v>44925</v>
      </c>
      <c r="BJL614" s="5" t="s">
        <v>3728</v>
      </c>
      <c r="BJM614" s="17">
        <v>44925</v>
      </c>
      <c r="BJN614" s="5" t="s">
        <v>3728</v>
      </c>
      <c r="BJO614" s="17">
        <v>44925</v>
      </c>
      <c r="BJP614" s="5" t="s">
        <v>3728</v>
      </c>
      <c r="BJQ614" s="17">
        <v>44925</v>
      </c>
      <c r="BJR614" s="5" t="s">
        <v>3728</v>
      </c>
      <c r="BJS614" s="17">
        <v>44925</v>
      </c>
      <c r="BJT614" s="5" t="s">
        <v>3728</v>
      </c>
      <c r="BJU614" s="17">
        <v>44925</v>
      </c>
      <c r="BJV614" s="5" t="s">
        <v>3728</v>
      </c>
      <c r="BJW614" s="17">
        <v>44925</v>
      </c>
      <c r="BJX614" s="5" t="s">
        <v>3728</v>
      </c>
      <c r="BJY614" s="17">
        <v>44925</v>
      </c>
      <c r="BJZ614" s="5" t="s">
        <v>3728</v>
      </c>
      <c r="BKA614" s="17">
        <v>44925</v>
      </c>
      <c r="BKB614" s="5" t="s">
        <v>3728</v>
      </c>
      <c r="BKC614" s="17">
        <v>44925</v>
      </c>
      <c r="BKD614" s="5" t="s">
        <v>3728</v>
      </c>
      <c r="BKE614" s="17">
        <v>44925</v>
      </c>
      <c r="BKF614" s="5" t="s">
        <v>3728</v>
      </c>
      <c r="BKG614" s="17">
        <v>44925</v>
      </c>
      <c r="BKH614" s="5" t="s">
        <v>3728</v>
      </c>
      <c r="BKI614" s="17">
        <v>44925</v>
      </c>
      <c r="BKJ614" s="5" t="s">
        <v>3728</v>
      </c>
      <c r="BKK614" s="17">
        <v>44925</v>
      </c>
      <c r="BKL614" s="5" t="s">
        <v>3728</v>
      </c>
      <c r="BKM614" s="17">
        <v>44925</v>
      </c>
      <c r="BKN614" s="5" t="s">
        <v>3728</v>
      </c>
      <c r="BKO614" s="17">
        <v>44925</v>
      </c>
      <c r="BKP614" s="5" t="s">
        <v>3728</v>
      </c>
      <c r="BKQ614" s="17">
        <v>44925</v>
      </c>
      <c r="BKR614" s="5" t="s">
        <v>3728</v>
      </c>
      <c r="BKS614" s="17">
        <v>44925</v>
      </c>
      <c r="BKT614" s="5" t="s">
        <v>3728</v>
      </c>
      <c r="BKU614" s="17">
        <v>44925</v>
      </c>
      <c r="BKV614" s="5" t="s">
        <v>3728</v>
      </c>
      <c r="BKW614" s="17">
        <v>44925</v>
      </c>
      <c r="BKX614" s="5" t="s">
        <v>3728</v>
      </c>
      <c r="BKY614" s="17">
        <v>44925</v>
      </c>
      <c r="BKZ614" s="5" t="s">
        <v>3728</v>
      </c>
      <c r="BLA614" s="17">
        <v>44925</v>
      </c>
      <c r="BLB614" s="5" t="s">
        <v>3728</v>
      </c>
      <c r="BLC614" s="17">
        <v>44925</v>
      </c>
      <c r="BLD614" s="5" t="s">
        <v>3728</v>
      </c>
      <c r="BLE614" s="17">
        <v>44925</v>
      </c>
      <c r="BLF614" s="5" t="s">
        <v>3728</v>
      </c>
      <c r="BLG614" s="17">
        <v>44925</v>
      </c>
      <c r="BLH614" s="5" t="s">
        <v>3728</v>
      </c>
      <c r="BLI614" s="17">
        <v>44925</v>
      </c>
      <c r="BLJ614" s="5" t="s">
        <v>3728</v>
      </c>
      <c r="BLK614" s="17">
        <v>44925</v>
      </c>
      <c r="BLL614" s="5" t="s">
        <v>3728</v>
      </c>
      <c r="BLM614" s="17">
        <v>44925</v>
      </c>
      <c r="BLN614" s="5" t="s">
        <v>3728</v>
      </c>
      <c r="BLO614" s="17">
        <v>44925</v>
      </c>
      <c r="BLP614" s="5" t="s">
        <v>3728</v>
      </c>
      <c r="BLQ614" s="17">
        <v>44925</v>
      </c>
      <c r="BLR614" s="5" t="s">
        <v>3728</v>
      </c>
      <c r="BLS614" s="17">
        <v>44925</v>
      </c>
      <c r="BLT614" s="5" t="s">
        <v>3728</v>
      </c>
      <c r="BLU614" s="17">
        <v>44925</v>
      </c>
      <c r="BLV614" s="5" t="s">
        <v>3728</v>
      </c>
      <c r="BLW614" s="17">
        <v>44925</v>
      </c>
      <c r="BLX614" s="5" t="s">
        <v>3728</v>
      </c>
      <c r="BLY614" s="17">
        <v>44925</v>
      </c>
      <c r="BLZ614" s="5" t="s">
        <v>3728</v>
      </c>
      <c r="BMA614" s="17">
        <v>44925</v>
      </c>
      <c r="BMB614" s="5" t="s">
        <v>3728</v>
      </c>
      <c r="BMC614" s="17">
        <v>44925</v>
      </c>
      <c r="BMD614" s="5" t="s">
        <v>3728</v>
      </c>
      <c r="BME614" s="17">
        <v>44925</v>
      </c>
      <c r="BMF614" s="5" t="s">
        <v>3728</v>
      </c>
      <c r="BMG614" s="17">
        <v>44925</v>
      </c>
      <c r="BMH614" s="5" t="s">
        <v>3728</v>
      </c>
      <c r="BMI614" s="17">
        <v>44925</v>
      </c>
      <c r="BMJ614" s="5" t="s">
        <v>3728</v>
      </c>
      <c r="BMK614" s="17">
        <v>44925</v>
      </c>
      <c r="BML614" s="5" t="s">
        <v>3728</v>
      </c>
      <c r="BMM614" s="17">
        <v>44925</v>
      </c>
      <c r="BMN614" s="5" t="s">
        <v>3728</v>
      </c>
      <c r="BMO614" s="17">
        <v>44925</v>
      </c>
      <c r="BMP614" s="5" t="s">
        <v>3728</v>
      </c>
      <c r="BMQ614" s="17">
        <v>44925</v>
      </c>
      <c r="BMR614" s="5" t="s">
        <v>3728</v>
      </c>
      <c r="BMS614" s="17">
        <v>44925</v>
      </c>
      <c r="BMT614" s="5" t="s">
        <v>3728</v>
      </c>
      <c r="BMU614" s="17">
        <v>44925</v>
      </c>
      <c r="BMV614" s="5" t="s">
        <v>3728</v>
      </c>
      <c r="BMW614" s="17">
        <v>44925</v>
      </c>
      <c r="BMX614" s="5" t="s">
        <v>3728</v>
      </c>
      <c r="BMY614" s="17">
        <v>44925</v>
      </c>
      <c r="BMZ614" s="5" t="s">
        <v>3728</v>
      </c>
      <c r="BNA614" s="17">
        <v>44925</v>
      </c>
      <c r="BNB614" s="5" t="s">
        <v>3728</v>
      </c>
      <c r="BNC614" s="17">
        <v>44925</v>
      </c>
      <c r="BND614" s="5" t="s">
        <v>3728</v>
      </c>
      <c r="BNE614" s="17">
        <v>44925</v>
      </c>
      <c r="BNF614" s="5" t="s">
        <v>3728</v>
      </c>
      <c r="BNG614" s="17">
        <v>44925</v>
      </c>
      <c r="BNH614" s="5" t="s">
        <v>3728</v>
      </c>
      <c r="BNI614" s="17">
        <v>44925</v>
      </c>
      <c r="BNJ614" s="5" t="s">
        <v>3728</v>
      </c>
      <c r="BNK614" s="17">
        <v>44925</v>
      </c>
      <c r="BNL614" s="5" t="s">
        <v>3728</v>
      </c>
      <c r="BNM614" s="17">
        <v>44925</v>
      </c>
      <c r="BNN614" s="5" t="s">
        <v>3728</v>
      </c>
      <c r="BNO614" s="17">
        <v>44925</v>
      </c>
      <c r="BNP614" s="5" t="s">
        <v>3728</v>
      </c>
      <c r="BNQ614" s="17">
        <v>44925</v>
      </c>
      <c r="BNR614" s="5" t="s">
        <v>3728</v>
      </c>
      <c r="BNS614" s="17">
        <v>44925</v>
      </c>
      <c r="BNT614" s="5" t="s">
        <v>3728</v>
      </c>
      <c r="BNU614" s="17">
        <v>44925</v>
      </c>
      <c r="BNV614" s="5" t="s">
        <v>3728</v>
      </c>
      <c r="BNW614" s="17">
        <v>44925</v>
      </c>
      <c r="BNX614" s="5" t="s">
        <v>3728</v>
      </c>
      <c r="BNY614" s="17">
        <v>44925</v>
      </c>
      <c r="BNZ614" s="5" t="s">
        <v>3728</v>
      </c>
      <c r="BOA614" s="17">
        <v>44925</v>
      </c>
      <c r="BOB614" s="5" t="s">
        <v>3728</v>
      </c>
      <c r="BOC614" s="17">
        <v>44925</v>
      </c>
      <c r="BOD614" s="5" t="s">
        <v>3728</v>
      </c>
      <c r="BOE614" s="17">
        <v>44925</v>
      </c>
      <c r="BOF614" s="5" t="s">
        <v>3728</v>
      </c>
      <c r="BOG614" s="17">
        <v>44925</v>
      </c>
      <c r="BOH614" s="5" t="s">
        <v>3728</v>
      </c>
      <c r="BOI614" s="17">
        <v>44925</v>
      </c>
      <c r="BOJ614" s="5" t="s">
        <v>3728</v>
      </c>
      <c r="BOK614" s="17">
        <v>44925</v>
      </c>
      <c r="BOL614" s="5" t="s">
        <v>3728</v>
      </c>
      <c r="BOM614" s="17">
        <v>44925</v>
      </c>
      <c r="BON614" s="5" t="s">
        <v>3728</v>
      </c>
      <c r="BOO614" s="17">
        <v>44925</v>
      </c>
      <c r="BOP614" s="5" t="s">
        <v>3728</v>
      </c>
      <c r="BOQ614" s="17">
        <v>44925</v>
      </c>
      <c r="BOR614" s="5" t="s">
        <v>3728</v>
      </c>
      <c r="BOS614" s="17">
        <v>44925</v>
      </c>
      <c r="BOT614" s="5" t="s">
        <v>3728</v>
      </c>
      <c r="BOU614" s="17">
        <v>44925</v>
      </c>
      <c r="BOV614" s="5" t="s">
        <v>3728</v>
      </c>
      <c r="BOW614" s="17">
        <v>44925</v>
      </c>
      <c r="BOX614" s="5" t="s">
        <v>3728</v>
      </c>
      <c r="BOY614" s="17">
        <v>44925</v>
      </c>
      <c r="BOZ614" s="5" t="s">
        <v>3728</v>
      </c>
      <c r="BPA614" s="17">
        <v>44925</v>
      </c>
      <c r="BPB614" s="5" t="s">
        <v>3728</v>
      </c>
      <c r="BPC614" s="17">
        <v>44925</v>
      </c>
      <c r="BPD614" s="5" t="s">
        <v>3728</v>
      </c>
      <c r="BPE614" s="17">
        <v>44925</v>
      </c>
      <c r="BPF614" s="5" t="s">
        <v>3728</v>
      </c>
      <c r="BPG614" s="17">
        <v>44925</v>
      </c>
      <c r="BPH614" s="5" t="s">
        <v>3728</v>
      </c>
      <c r="BPI614" s="17">
        <v>44925</v>
      </c>
      <c r="BPJ614" s="5" t="s">
        <v>3728</v>
      </c>
      <c r="BPK614" s="17">
        <v>44925</v>
      </c>
      <c r="BPL614" s="5" t="s">
        <v>3728</v>
      </c>
      <c r="BPM614" s="17">
        <v>44925</v>
      </c>
      <c r="BPN614" s="5" t="s">
        <v>3728</v>
      </c>
      <c r="BPO614" s="17">
        <v>44925</v>
      </c>
      <c r="BPP614" s="5" t="s">
        <v>3728</v>
      </c>
      <c r="BPQ614" s="17">
        <v>44925</v>
      </c>
      <c r="BPR614" s="5" t="s">
        <v>3728</v>
      </c>
      <c r="BPS614" s="17">
        <v>44925</v>
      </c>
      <c r="BPT614" s="5" t="s">
        <v>3728</v>
      </c>
      <c r="BPU614" s="17">
        <v>44925</v>
      </c>
      <c r="BPV614" s="5" t="s">
        <v>3728</v>
      </c>
      <c r="BPW614" s="17">
        <v>44925</v>
      </c>
      <c r="BPX614" s="5" t="s">
        <v>3728</v>
      </c>
      <c r="BPY614" s="17">
        <v>44925</v>
      </c>
      <c r="BPZ614" s="5" t="s">
        <v>3728</v>
      </c>
      <c r="BQA614" s="17">
        <v>44925</v>
      </c>
      <c r="BQB614" s="5" t="s">
        <v>3728</v>
      </c>
      <c r="BQC614" s="17">
        <v>44925</v>
      </c>
      <c r="BQD614" s="5" t="s">
        <v>3728</v>
      </c>
      <c r="BQE614" s="17">
        <v>44925</v>
      </c>
      <c r="BQF614" s="5" t="s">
        <v>3728</v>
      </c>
      <c r="BQG614" s="17">
        <v>44925</v>
      </c>
      <c r="BQH614" s="5" t="s">
        <v>3728</v>
      </c>
      <c r="BQI614" s="17">
        <v>44925</v>
      </c>
      <c r="BQJ614" s="5" t="s">
        <v>3728</v>
      </c>
      <c r="BQK614" s="17">
        <v>44925</v>
      </c>
      <c r="BQL614" s="5" t="s">
        <v>3728</v>
      </c>
      <c r="BQM614" s="17">
        <v>44925</v>
      </c>
      <c r="BQN614" s="5" t="s">
        <v>3728</v>
      </c>
      <c r="BQO614" s="17">
        <v>44925</v>
      </c>
      <c r="BQP614" s="5" t="s">
        <v>3728</v>
      </c>
      <c r="BQQ614" s="17">
        <v>44925</v>
      </c>
      <c r="BQR614" s="5" t="s">
        <v>3728</v>
      </c>
      <c r="BQS614" s="17">
        <v>44925</v>
      </c>
      <c r="BQT614" s="5" t="s">
        <v>3728</v>
      </c>
      <c r="BQU614" s="17">
        <v>44925</v>
      </c>
      <c r="BQV614" s="5" t="s">
        <v>3728</v>
      </c>
      <c r="BQW614" s="17">
        <v>44925</v>
      </c>
      <c r="BQX614" s="5" t="s">
        <v>3728</v>
      </c>
      <c r="BQY614" s="17">
        <v>44925</v>
      </c>
      <c r="BQZ614" s="5" t="s">
        <v>3728</v>
      </c>
      <c r="BRA614" s="17">
        <v>44925</v>
      </c>
      <c r="BRB614" s="5" t="s">
        <v>3728</v>
      </c>
      <c r="BRC614" s="17">
        <v>44925</v>
      </c>
      <c r="BRD614" s="5" t="s">
        <v>3728</v>
      </c>
      <c r="BRE614" s="17">
        <v>44925</v>
      </c>
      <c r="BRF614" s="5" t="s">
        <v>3728</v>
      </c>
      <c r="BRG614" s="17">
        <v>44925</v>
      </c>
      <c r="BRH614" s="5" t="s">
        <v>3728</v>
      </c>
      <c r="BRI614" s="17">
        <v>44925</v>
      </c>
      <c r="BRJ614" s="5" t="s">
        <v>3728</v>
      </c>
      <c r="BRK614" s="17">
        <v>44925</v>
      </c>
      <c r="BRL614" s="5" t="s">
        <v>3728</v>
      </c>
      <c r="BRM614" s="17">
        <v>44925</v>
      </c>
      <c r="BRN614" s="5" t="s">
        <v>3728</v>
      </c>
      <c r="BRO614" s="17">
        <v>44925</v>
      </c>
      <c r="BRP614" s="5" t="s">
        <v>3728</v>
      </c>
      <c r="BRQ614" s="17">
        <v>44925</v>
      </c>
      <c r="BRR614" s="5" t="s">
        <v>3728</v>
      </c>
      <c r="BRS614" s="17">
        <v>44925</v>
      </c>
      <c r="BRT614" s="5" t="s">
        <v>3728</v>
      </c>
      <c r="BRU614" s="17">
        <v>44925</v>
      </c>
      <c r="BRV614" s="5" t="s">
        <v>3728</v>
      </c>
      <c r="BRW614" s="17">
        <v>44925</v>
      </c>
      <c r="BRX614" s="5" t="s">
        <v>3728</v>
      </c>
      <c r="BRY614" s="17">
        <v>44925</v>
      </c>
      <c r="BRZ614" s="5" t="s">
        <v>3728</v>
      </c>
      <c r="BSA614" s="17">
        <v>44925</v>
      </c>
      <c r="BSB614" s="5" t="s">
        <v>3728</v>
      </c>
      <c r="BSC614" s="17">
        <v>44925</v>
      </c>
      <c r="BSD614" s="5" t="s">
        <v>3728</v>
      </c>
      <c r="BSE614" s="17">
        <v>44925</v>
      </c>
      <c r="BSF614" s="5" t="s">
        <v>3728</v>
      </c>
      <c r="BSG614" s="17">
        <v>44925</v>
      </c>
      <c r="BSH614" s="5" t="s">
        <v>3728</v>
      </c>
      <c r="BSI614" s="17">
        <v>44925</v>
      </c>
      <c r="BSJ614" s="5" t="s">
        <v>3728</v>
      </c>
      <c r="BSK614" s="17">
        <v>44925</v>
      </c>
      <c r="BSL614" s="5" t="s">
        <v>3728</v>
      </c>
      <c r="BSM614" s="17">
        <v>44925</v>
      </c>
      <c r="BSN614" s="5" t="s">
        <v>3728</v>
      </c>
      <c r="BSO614" s="17">
        <v>44925</v>
      </c>
      <c r="BSP614" s="5" t="s">
        <v>3728</v>
      </c>
      <c r="BSQ614" s="17">
        <v>44925</v>
      </c>
      <c r="BSR614" s="5" t="s">
        <v>3728</v>
      </c>
      <c r="BSS614" s="17">
        <v>44925</v>
      </c>
      <c r="BST614" s="5" t="s">
        <v>3728</v>
      </c>
      <c r="BSU614" s="17">
        <v>44925</v>
      </c>
      <c r="BSV614" s="5" t="s">
        <v>3728</v>
      </c>
      <c r="BSW614" s="17">
        <v>44925</v>
      </c>
      <c r="BSX614" s="5" t="s">
        <v>3728</v>
      </c>
      <c r="BSY614" s="17">
        <v>44925</v>
      </c>
      <c r="BSZ614" s="5" t="s">
        <v>3728</v>
      </c>
      <c r="BTA614" s="17">
        <v>44925</v>
      </c>
      <c r="BTB614" s="5" t="s">
        <v>3728</v>
      </c>
      <c r="BTC614" s="17">
        <v>44925</v>
      </c>
      <c r="BTD614" s="5" t="s">
        <v>3728</v>
      </c>
      <c r="BTE614" s="17">
        <v>44925</v>
      </c>
      <c r="BTF614" s="5" t="s">
        <v>3728</v>
      </c>
      <c r="BTG614" s="17">
        <v>44925</v>
      </c>
      <c r="BTH614" s="5" t="s">
        <v>3728</v>
      </c>
      <c r="BTI614" s="17">
        <v>44925</v>
      </c>
      <c r="BTJ614" s="5" t="s">
        <v>3728</v>
      </c>
      <c r="BTK614" s="17">
        <v>44925</v>
      </c>
      <c r="BTL614" s="5" t="s">
        <v>3728</v>
      </c>
      <c r="BTM614" s="17">
        <v>44925</v>
      </c>
      <c r="BTN614" s="5" t="s">
        <v>3728</v>
      </c>
      <c r="BTO614" s="17">
        <v>44925</v>
      </c>
      <c r="BTP614" s="5" t="s">
        <v>3728</v>
      </c>
      <c r="BTQ614" s="17">
        <v>44925</v>
      </c>
      <c r="BTR614" s="5" t="s">
        <v>3728</v>
      </c>
      <c r="BTS614" s="17">
        <v>44925</v>
      </c>
      <c r="BTT614" s="5" t="s">
        <v>3728</v>
      </c>
      <c r="BTU614" s="17">
        <v>44925</v>
      </c>
      <c r="BTV614" s="5" t="s">
        <v>3728</v>
      </c>
      <c r="BTW614" s="17">
        <v>44925</v>
      </c>
      <c r="BTX614" s="5" t="s">
        <v>3728</v>
      </c>
      <c r="BTY614" s="17">
        <v>44925</v>
      </c>
      <c r="BTZ614" s="5" t="s">
        <v>3728</v>
      </c>
      <c r="BUA614" s="17">
        <v>44925</v>
      </c>
      <c r="BUB614" s="5" t="s">
        <v>3728</v>
      </c>
      <c r="BUC614" s="17">
        <v>44925</v>
      </c>
      <c r="BUD614" s="5" t="s">
        <v>3728</v>
      </c>
      <c r="BUE614" s="17">
        <v>44925</v>
      </c>
      <c r="BUF614" s="5" t="s">
        <v>3728</v>
      </c>
      <c r="BUG614" s="17">
        <v>44925</v>
      </c>
      <c r="BUH614" s="5" t="s">
        <v>3728</v>
      </c>
      <c r="BUI614" s="17">
        <v>44925</v>
      </c>
      <c r="BUJ614" s="5" t="s">
        <v>3728</v>
      </c>
      <c r="BUK614" s="17">
        <v>44925</v>
      </c>
      <c r="BUL614" s="5" t="s">
        <v>3728</v>
      </c>
      <c r="BUM614" s="17">
        <v>44925</v>
      </c>
      <c r="BUN614" s="5" t="s">
        <v>3728</v>
      </c>
      <c r="BUO614" s="17">
        <v>44925</v>
      </c>
      <c r="BUP614" s="5" t="s">
        <v>3728</v>
      </c>
      <c r="BUQ614" s="17">
        <v>44925</v>
      </c>
      <c r="BUR614" s="5" t="s">
        <v>3728</v>
      </c>
      <c r="BUS614" s="17">
        <v>44925</v>
      </c>
      <c r="BUT614" s="5" t="s">
        <v>3728</v>
      </c>
      <c r="BUU614" s="17">
        <v>44925</v>
      </c>
      <c r="BUV614" s="5" t="s">
        <v>3728</v>
      </c>
      <c r="BUW614" s="17">
        <v>44925</v>
      </c>
      <c r="BUX614" s="5" t="s">
        <v>3728</v>
      </c>
      <c r="BUY614" s="17">
        <v>44925</v>
      </c>
      <c r="BUZ614" s="5" t="s">
        <v>3728</v>
      </c>
      <c r="BVA614" s="17">
        <v>44925</v>
      </c>
      <c r="BVB614" s="5" t="s">
        <v>3728</v>
      </c>
      <c r="BVC614" s="17">
        <v>44925</v>
      </c>
      <c r="BVD614" s="5" t="s">
        <v>3728</v>
      </c>
      <c r="BVE614" s="17">
        <v>44925</v>
      </c>
      <c r="BVF614" s="5" t="s">
        <v>3728</v>
      </c>
      <c r="BVG614" s="17">
        <v>44925</v>
      </c>
      <c r="BVH614" s="5" t="s">
        <v>3728</v>
      </c>
      <c r="BVI614" s="17">
        <v>44925</v>
      </c>
      <c r="BVJ614" s="5" t="s">
        <v>3728</v>
      </c>
      <c r="BVK614" s="17">
        <v>44925</v>
      </c>
      <c r="BVL614" s="5" t="s">
        <v>3728</v>
      </c>
      <c r="BVM614" s="17">
        <v>44925</v>
      </c>
      <c r="BVN614" s="5" t="s">
        <v>3728</v>
      </c>
      <c r="BVO614" s="17">
        <v>44925</v>
      </c>
      <c r="BVP614" s="5" t="s">
        <v>3728</v>
      </c>
      <c r="BVQ614" s="17">
        <v>44925</v>
      </c>
      <c r="BVR614" s="5" t="s">
        <v>3728</v>
      </c>
      <c r="BVS614" s="17">
        <v>44925</v>
      </c>
      <c r="BVT614" s="5" t="s">
        <v>3728</v>
      </c>
      <c r="BVU614" s="17">
        <v>44925</v>
      </c>
      <c r="BVV614" s="5" t="s">
        <v>3728</v>
      </c>
      <c r="BVW614" s="17">
        <v>44925</v>
      </c>
      <c r="BVX614" s="5" t="s">
        <v>3728</v>
      </c>
      <c r="BVY614" s="17">
        <v>44925</v>
      </c>
      <c r="BVZ614" s="5" t="s">
        <v>3728</v>
      </c>
      <c r="BWA614" s="17">
        <v>44925</v>
      </c>
      <c r="BWB614" s="5" t="s">
        <v>3728</v>
      </c>
      <c r="BWC614" s="17">
        <v>44925</v>
      </c>
      <c r="BWD614" s="5" t="s">
        <v>3728</v>
      </c>
      <c r="BWE614" s="17">
        <v>44925</v>
      </c>
      <c r="BWF614" s="5" t="s">
        <v>3728</v>
      </c>
      <c r="BWG614" s="17">
        <v>44925</v>
      </c>
      <c r="BWH614" s="5" t="s">
        <v>3728</v>
      </c>
      <c r="BWI614" s="17">
        <v>44925</v>
      </c>
      <c r="BWJ614" s="5" t="s">
        <v>3728</v>
      </c>
      <c r="BWK614" s="17">
        <v>44925</v>
      </c>
      <c r="BWL614" s="5" t="s">
        <v>3728</v>
      </c>
      <c r="BWM614" s="17">
        <v>44925</v>
      </c>
      <c r="BWN614" s="5" t="s">
        <v>3728</v>
      </c>
      <c r="BWO614" s="17">
        <v>44925</v>
      </c>
      <c r="BWP614" s="5" t="s">
        <v>3728</v>
      </c>
      <c r="BWQ614" s="17">
        <v>44925</v>
      </c>
      <c r="BWR614" s="5" t="s">
        <v>3728</v>
      </c>
      <c r="BWS614" s="17">
        <v>44925</v>
      </c>
      <c r="BWT614" s="5" t="s">
        <v>3728</v>
      </c>
      <c r="BWU614" s="17">
        <v>44925</v>
      </c>
      <c r="BWV614" s="5" t="s">
        <v>3728</v>
      </c>
      <c r="BWW614" s="17">
        <v>44925</v>
      </c>
      <c r="BWX614" s="5" t="s">
        <v>3728</v>
      </c>
      <c r="BWY614" s="17">
        <v>44925</v>
      </c>
      <c r="BWZ614" s="5" t="s">
        <v>3728</v>
      </c>
      <c r="BXA614" s="17">
        <v>44925</v>
      </c>
      <c r="BXB614" s="5" t="s">
        <v>3728</v>
      </c>
      <c r="BXC614" s="17">
        <v>44925</v>
      </c>
      <c r="BXD614" s="5" t="s">
        <v>3728</v>
      </c>
      <c r="BXE614" s="17">
        <v>44925</v>
      </c>
      <c r="BXF614" s="5" t="s">
        <v>3728</v>
      </c>
      <c r="BXG614" s="17">
        <v>44925</v>
      </c>
      <c r="BXH614" s="5" t="s">
        <v>3728</v>
      </c>
      <c r="BXI614" s="17">
        <v>44925</v>
      </c>
      <c r="BXJ614" s="5" t="s">
        <v>3728</v>
      </c>
      <c r="BXK614" s="17">
        <v>44925</v>
      </c>
      <c r="BXL614" s="5" t="s">
        <v>3728</v>
      </c>
      <c r="BXM614" s="17">
        <v>44925</v>
      </c>
      <c r="BXN614" s="5" t="s">
        <v>3728</v>
      </c>
      <c r="BXO614" s="17">
        <v>44925</v>
      </c>
      <c r="BXP614" s="5" t="s">
        <v>3728</v>
      </c>
      <c r="BXQ614" s="17">
        <v>44925</v>
      </c>
      <c r="BXR614" s="5" t="s">
        <v>3728</v>
      </c>
      <c r="BXS614" s="17">
        <v>44925</v>
      </c>
      <c r="BXT614" s="5" t="s">
        <v>3728</v>
      </c>
      <c r="BXU614" s="17">
        <v>44925</v>
      </c>
      <c r="BXV614" s="5" t="s">
        <v>3728</v>
      </c>
      <c r="BXW614" s="17">
        <v>44925</v>
      </c>
      <c r="BXX614" s="5" t="s">
        <v>3728</v>
      </c>
      <c r="BXY614" s="17">
        <v>44925</v>
      </c>
      <c r="BXZ614" s="5" t="s">
        <v>3728</v>
      </c>
      <c r="BYA614" s="17">
        <v>44925</v>
      </c>
      <c r="BYB614" s="5" t="s">
        <v>3728</v>
      </c>
      <c r="BYC614" s="17">
        <v>44925</v>
      </c>
      <c r="BYD614" s="5" t="s">
        <v>3728</v>
      </c>
      <c r="BYE614" s="17">
        <v>44925</v>
      </c>
      <c r="BYF614" s="5" t="s">
        <v>3728</v>
      </c>
      <c r="BYG614" s="17">
        <v>44925</v>
      </c>
      <c r="BYH614" s="5" t="s">
        <v>3728</v>
      </c>
      <c r="BYI614" s="17">
        <v>44925</v>
      </c>
      <c r="BYJ614" s="5" t="s">
        <v>3728</v>
      </c>
      <c r="BYK614" s="17">
        <v>44925</v>
      </c>
      <c r="BYL614" s="5" t="s">
        <v>3728</v>
      </c>
      <c r="BYM614" s="17">
        <v>44925</v>
      </c>
      <c r="BYN614" s="5" t="s">
        <v>3728</v>
      </c>
      <c r="BYO614" s="17">
        <v>44925</v>
      </c>
      <c r="BYP614" s="5" t="s">
        <v>3728</v>
      </c>
      <c r="BYQ614" s="17">
        <v>44925</v>
      </c>
      <c r="BYR614" s="5" t="s">
        <v>3728</v>
      </c>
      <c r="BYS614" s="17">
        <v>44925</v>
      </c>
      <c r="BYT614" s="5" t="s">
        <v>3728</v>
      </c>
      <c r="BYU614" s="17">
        <v>44925</v>
      </c>
      <c r="BYV614" s="5" t="s">
        <v>3728</v>
      </c>
      <c r="BYW614" s="17">
        <v>44925</v>
      </c>
      <c r="BYX614" s="5" t="s">
        <v>3728</v>
      </c>
      <c r="BYY614" s="17">
        <v>44925</v>
      </c>
      <c r="BYZ614" s="5" t="s">
        <v>3728</v>
      </c>
      <c r="BZA614" s="17">
        <v>44925</v>
      </c>
      <c r="BZB614" s="5" t="s">
        <v>3728</v>
      </c>
      <c r="BZC614" s="17">
        <v>44925</v>
      </c>
      <c r="BZD614" s="5" t="s">
        <v>3728</v>
      </c>
      <c r="BZE614" s="17">
        <v>44925</v>
      </c>
      <c r="BZF614" s="5" t="s">
        <v>3728</v>
      </c>
      <c r="BZG614" s="17">
        <v>44925</v>
      </c>
      <c r="BZH614" s="5" t="s">
        <v>3728</v>
      </c>
      <c r="BZI614" s="17">
        <v>44925</v>
      </c>
      <c r="BZJ614" s="5" t="s">
        <v>3728</v>
      </c>
      <c r="BZK614" s="17">
        <v>44925</v>
      </c>
      <c r="BZL614" s="5" t="s">
        <v>3728</v>
      </c>
      <c r="BZM614" s="17">
        <v>44925</v>
      </c>
      <c r="BZN614" s="5" t="s">
        <v>3728</v>
      </c>
      <c r="BZO614" s="17">
        <v>44925</v>
      </c>
      <c r="BZP614" s="5" t="s">
        <v>3728</v>
      </c>
      <c r="BZQ614" s="17">
        <v>44925</v>
      </c>
      <c r="BZR614" s="5" t="s">
        <v>3728</v>
      </c>
      <c r="BZS614" s="17">
        <v>44925</v>
      </c>
      <c r="BZT614" s="5" t="s">
        <v>3728</v>
      </c>
      <c r="BZU614" s="17">
        <v>44925</v>
      </c>
      <c r="BZV614" s="5" t="s">
        <v>3728</v>
      </c>
      <c r="BZW614" s="17">
        <v>44925</v>
      </c>
      <c r="BZX614" s="5" t="s">
        <v>3728</v>
      </c>
      <c r="BZY614" s="17">
        <v>44925</v>
      </c>
      <c r="BZZ614" s="5" t="s">
        <v>3728</v>
      </c>
      <c r="CAA614" s="17">
        <v>44925</v>
      </c>
      <c r="CAB614" s="5" t="s">
        <v>3728</v>
      </c>
      <c r="CAC614" s="17">
        <v>44925</v>
      </c>
      <c r="CAD614" s="5" t="s">
        <v>3728</v>
      </c>
      <c r="CAE614" s="17">
        <v>44925</v>
      </c>
      <c r="CAF614" s="5" t="s">
        <v>3728</v>
      </c>
      <c r="CAG614" s="17">
        <v>44925</v>
      </c>
      <c r="CAH614" s="5" t="s">
        <v>3728</v>
      </c>
      <c r="CAI614" s="17">
        <v>44925</v>
      </c>
      <c r="CAJ614" s="5" t="s">
        <v>3728</v>
      </c>
      <c r="CAK614" s="17">
        <v>44925</v>
      </c>
      <c r="CAL614" s="5" t="s">
        <v>3728</v>
      </c>
      <c r="CAM614" s="17">
        <v>44925</v>
      </c>
      <c r="CAN614" s="5" t="s">
        <v>3728</v>
      </c>
      <c r="CAO614" s="17">
        <v>44925</v>
      </c>
      <c r="CAP614" s="5" t="s">
        <v>3728</v>
      </c>
      <c r="CAQ614" s="17">
        <v>44925</v>
      </c>
      <c r="CAR614" s="5" t="s">
        <v>3728</v>
      </c>
      <c r="CAS614" s="17">
        <v>44925</v>
      </c>
      <c r="CAT614" s="5" t="s">
        <v>3728</v>
      </c>
      <c r="CAU614" s="17">
        <v>44925</v>
      </c>
      <c r="CAV614" s="5" t="s">
        <v>3728</v>
      </c>
      <c r="CAW614" s="17">
        <v>44925</v>
      </c>
      <c r="CAX614" s="5" t="s">
        <v>3728</v>
      </c>
      <c r="CAY614" s="17">
        <v>44925</v>
      </c>
      <c r="CAZ614" s="5" t="s">
        <v>3728</v>
      </c>
      <c r="CBA614" s="17">
        <v>44925</v>
      </c>
      <c r="CBB614" s="5" t="s">
        <v>3728</v>
      </c>
      <c r="CBC614" s="17">
        <v>44925</v>
      </c>
      <c r="CBD614" s="5" t="s">
        <v>3728</v>
      </c>
      <c r="CBE614" s="17">
        <v>44925</v>
      </c>
      <c r="CBF614" s="5" t="s">
        <v>3728</v>
      </c>
      <c r="CBG614" s="17">
        <v>44925</v>
      </c>
      <c r="CBH614" s="5" t="s">
        <v>3728</v>
      </c>
      <c r="CBI614" s="17">
        <v>44925</v>
      </c>
      <c r="CBJ614" s="5" t="s">
        <v>3728</v>
      </c>
      <c r="CBK614" s="17">
        <v>44925</v>
      </c>
      <c r="CBL614" s="5" t="s">
        <v>3728</v>
      </c>
      <c r="CBM614" s="17">
        <v>44925</v>
      </c>
      <c r="CBN614" s="5" t="s">
        <v>3728</v>
      </c>
      <c r="CBO614" s="17">
        <v>44925</v>
      </c>
      <c r="CBP614" s="5" t="s">
        <v>3728</v>
      </c>
      <c r="CBQ614" s="17">
        <v>44925</v>
      </c>
      <c r="CBR614" s="5" t="s">
        <v>3728</v>
      </c>
      <c r="CBS614" s="17">
        <v>44925</v>
      </c>
      <c r="CBT614" s="5" t="s">
        <v>3728</v>
      </c>
      <c r="CBU614" s="17">
        <v>44925</v>
      </c>
      <c r="CBV614" s="5" t="s">
        <v>3728</v>
      </c>
      <c r="CBW614" s="17">
        <v>44925</v>
      </c>
      <c r="CBX614" s="5" t="s">
        <v>3728</v>
      </c>
      <c r="CBY614" s="17">
        <v>44925</v>
      </c>
      <c r="CBZ614" s="5" t="s">
        <v>3728</v>
      </c>
      <c r="CCA614" s="17">
        <v>44925</v>
      </c>
      <c r="CCB614" s="5" t="s">
        <v>3728</v>
      </c>
      <c r="CCC614" s="17">
        <v>44925</v>
      </c>
      <c r="CCD614" s="5" t="s">
        <v>3728</v>
      </c>
      <c r="CCE614" s="17">
        <v>44925</v>
      </c>
      <c r="CCF614" s="5" t="s">
        <v>3728</v>
      </c>
      <c r="CCG614" s="17">
        <v>44925</v>
      </c>
      <c r="CCH614" s="5" t="s">
        <v>3728</v>
      </c>
      <c r="CCI614" s="17">
        <v>44925</v>
      </c>
      <c r="CCJ614" s="5" t="s">
        <v>3728</v>
      </c>
      <c r="CCK614" s="17">
        <v>44925</v>
      </c>
      <c r="CCL614" s="5" t="s">
        <v>3728</v>
      </c>
      <c r="CCM614" s="17">
        <v>44925</v>
      </c>
      <c r="CCN614" s="5" t="s">
        <v>3728</v>
      </c>
      <c r="CCO614" s="17">
        <v>44925</v>
      </c>
      <c r="CCP614" s="5" t="s">
        <v>3728</v>
      </c>
      <c r="CCQ614" s="17">
        <v>44925</v>
      </c>
      <c r="CCR614" s="5" t="s">
        <v>3728</v>
      </c>
      <c r="CCS614" s="17">
        <v>44925</v>
      </c>
      <c r="CCT614" s="5" t="s">
        <v>3728</v>
      </c>
      <c r="CCU614" s="17">
        <v>44925</v>
      </c>
      <c r="CCV614" s="5" t="s">
        <v>3728</v>
      </c>
      <c r="CCW614" s="17">
        <v>44925</v>
      </c>
      <c r="CCX614" s="5" t="s">
        <v>3728</v>
      </c>
      <c r="CCY614" s="17">
        <v>44925</v>
      </c>
      <c r="CCZ614" s="5" t="s">
        <v>3728</v>
      </c>
      <c r="CDA614" s="17">
        <v>44925</v>
      </c>
      <c r="CDB614" s="5" t="s">
        <v>3728</v>
      </c>
      <c r="CDC614" s="17">
        <v>44925</v>
      </c>
      <c r="CDD614" s="5" t="s">
        <v>3728</v>
      </c>
      <c r="CDE614" s="17">
        <v>44925</v>
      </c>
      <c r="CDF614" s="5" t="s">
        <v>3728</v>
      </c>
      <c r="CDG614" s="17">
        <v>44925</v>
      </c>
      <c r="CDH614" s="5" t="s">
        <v>3728</v>
      </c>
      <c r="CDI614" s="17">
        <v>44925</v>
      </c>
      <c r="CDJ614" s="5" t="s">
        <v>3728</v>
      </c>
      <c r="CDK614" s="17">
        <v>44925</v>
      </c>
      <c r="CDL614" s="5" t="s">
        <v>3728</v>
      </c>
      <c r="CDM614" s="17">
        <v>44925</v>
      </c>
      <c r="CDN614" s="5" t="s">
        <v>3728</v>
      </c>
      <c r="CDO614" s="17">
        <v>44925</v>
      </c>
      <c r="CDP614" s="5" t="s">
        <v>3728</v>
      </c>
      <c r="CDQ614" s="17">
        <v>44925</v>
      </c>
      <c r="CDR614" s="5" t="s">
        <v>3728</v>
      </c>
      <c r="CDS614" s="17">
        <v>44925</v>
      </c>
      <c r="CDT614" s="5" t="s">
        <v>3728</v>
      </c>
      <c r="CDU614" s="17">
        <v>44925</v>
      </c>
      <c r="CDV614" s="5" t="s">
        <v>3728</v>
      </c>
      <c r="CDW614" s="17">
        <v>44925</v>
      </c>
      <c r="CDX614" s="5" t="s">
        <v>3728</v>
      </c>
      <c r="CDY614" s="17">
        <v>44925</v>
      </c>
      <c r="CDZ614" s="5" t="s">
        <v>3728</v>
      </c>
      <c r="CEA614" s="17">
        <v>44925</v>
      </c>
      <c r="CEB614" s="5" t="s">
        <v>3728</v>
      </c>
      <c r="CEC614" s="17">
        <v>44925</v>
      </c>
      <c r="CED614" s="5" t="s">
        <v>3728</v>
      </c>
      <c r="CEE614" s="17">
        <v>44925</v>
      </c>
      <c r="CEF614" s="5" t="s">
        <v>3728</v>
      </c>
      <c r="CEG614" s="17">
        <v>44925</v>
      </c>
      <c r="CEH614" s="5" t="s">
        <v>3728</v>
      </c>
      <c r="CEI614" s="17">
        <v>44925</v>
      </c>
      <c r="CEJ614" s="5" t="s">
        <v>3728</v>
      </c>
      <c r="CEK614" s="17">
        <v>44925</v>
      </c>
      <c r="CEL614" s="5" t="s">
        <v>3728</v>
      </c>
      <c r="CEM614" s="17">
        <v>44925</v>
      </c>
      <c r="CEN614" s="5" t="s">
        <v>3728</v>
      </c>
      <c r="CEO614" s="17">
        <v>44925</v>
      </c>
      <c r="CEP614" s="5" t="s">
        <v>3728</v>
      </c>
      <c r="CEQ614" s="17">
        <v>44925</v>
      </c>
      <c r="CER614" s="5" t="s">
        <v>3728</v>
      </c>
      <c r="CES614" s="17">
        <v>44925</v>
      </c>
      <c r="CET614" s="5" t="s">
        <v>3728</v>
      </c>
      <c r="CEU614" s="17">
        <v>44925</v>
      </c>
      <c r="CEV614" s="5" t="s">
        <v>3728</v>
      </c>
      <c r="CEW614" s="17">
        <v>44925</v>
      </c>
      <c r="CEX614" s="5" t="s">
        <v>3728</v>
      </c>
      <c r="CEY614" s="17">
        <v>44925</v>
      </c>
      <c r="CEZ614" s="5" t="s">
        <v>3728</v>
      </c>
      <c r="CFA614" s="17">
        <v>44925</v>
      </c>
      <c r="CFB614" s="5" t="s">
        <v>3728</v>
      </c>
      <c r="CFC614" s="17">
        <v>44925</v>
      </c>
      <c r="CFD614" s="5" t="s">
        <v>3728</v>
      </c>
      <c r="CFE614" s="17">
        <v>44925</v>
      </c>
      <c r="CFF614" s="5" t="s">
        <v>3728</v>
      </c>
      <c r="CFG614" s="17">
        <v>44925</v>
      </c>
      <c r="CFH614" s="5" t="s">
        <v>3728</v>
      </c>
      <c r="CFI614" s="17">
        <v>44925</v>
      </c>
      <c r="CFJ614" s="5" t="s">
        <v>3728</v>
      </c>
      <c r="CFK614" s="17">
        <v>44925</v>
      </c>
      <c r="CFL614" s="5" t="s">
        <v>3728</v>
      </c>
      <c r="CFM614" s="17">
        <v>44925</v>
      </c>
      <c r="CFN614" s="5" t="s">
        <v>3728</v>
      </c>
      <c r="CFO614" s="17">
        <v>44925</v>
      </c>
      <c r="CFP614" s="5" t="s">
        <v>3728</v>
      </c>
      <c r="CFQ614" s="17">
        <v>44925</v>
      </c>
      <c r="CFR614" s="5" t="s">
        <v>3728</v>
      </c>
      <c r="CFS614" s="17">
        <v>44925</v>
      </c>
      <c r="CFT614" s="5" t="s">
        <v>3728</v>
      </c>
      <c r="CFU614" s="17">
        <v>44925</v>
      </c>
      <c r="CFV614" s="5" t="s">
        <v>3728</v>
      </c>
      <c r="CFW614" s="17">
        <v>44925</v>
      </c>
      <c r="CFX614" s="5" t="s">
        <v>3728</v>
      </c>
      <c r="CFY614" s="17">
        <v>44925</v>
      </c>
      <c r="CFZ614" s="5" t="s">
        <v>3728</v>
      </c>
      <c r="CGA614" s="17">
        <v>44925</v>
      </c>
      <c r="CGB614" s="5" t="s">
        <v>3728</v>
      </c>
      <c r="CGC614" s="17">
        <v>44925</v>
      </c>
      <c r="CGD614" s="5" t="s">
        <v>3728</v>
      </c>
      <c r="CGE614" s="17">
        <v>44925</v>
      </c>
      <c r="CGF614" s="5" t="s">
        <v>3728</v>
      </c>
      <c r="CGG614" s="17">
        <v>44925</v>
      </c>
      <c r="CGH614" s="5" t="s">
        <v>3728</v>
      </c>
      <c r="CGI614" s="17">
        <v>44925</v>
      </c>
      <c r="CGJ614" s="5" t="s">
        <v>3728</v>
      </c>
      <c r="CGK614" s="17">
        <v>44925</v>
      </c>
      <c r="CGL614" s="5" t="s">
        <v>3728</v>
      </c>
      <c r="CGM614" s="17">
        <v>44925</v>
      </c>
      <c r="CGN614" s="5" t="s">
        <v>3728</v>
      </c>
      <c r="CGO614" s="17">
        <v>44925</v>
      </c>
      <c r="CGP614" s="5" t="s">
        <v>3728</v>
      </c>
      <c r="CGQ614" s="17">
        <v>44925</v>
      </c>
      <c r="CGR614" s="5" t="s">
        <v>3728</v>
      </c>
      <c r="CGS614" s="17">
        <v>44925</v>
      </c>
      <c r="CGT614" s="5" t="s">
        <v>3728</v>
      </c>
      <c r="CGU614" s="17">
        <v>44925</v>
      </c>
      <c r="CGV614" s="5" t="s">
        <v>3728</v>
      </c>
      <c r="CGW614" s="17">
        <v>44925</v>
      </c>
      <c r="CGX614" s="5" t="s">
        <v>3728</v>
      </c>
      <c r="CGY614" s="17">
        <v>44925</v>
      </c>
      <c r="CGZ614" s="5" t="s">
        <v>3728</v>
      </c>
      <c r="CHA614" s="17">
        <v>44925</v>
      </c>
      <c r="CHB614" s="5" t="s">
        <v>3728</v>
      </c>
      <c r="CHC614" s="17">
        <v>44925</v>
      </c>
      <c r="CHD614" s="5" t="s">
        <v>3728</v>
      </c>
      <c r="CHE614" s="17">
        <v>44925</v>
      </c>
      <c r="CHF614" s="5" t="s">
        <v>3728</v>
      </c>
      <c r="CHG614" s="17">
        <v>44925</v>
      </c>
      <c r="CHH614" s="5" t="s">
        <v>3728</v>
      </c>
      <c r="CHI614" s="17">
        <v>44925</v>
      </c>
      <c r="CHJ614" s="5" t="s">
        <v>3728</v>
      </c>
      <c r="CHK614" s="17">
        <v>44925</v>
      </c>
      <c r="CHL614" s="5" t="s">
        <v>3728</v>
      </c>
      <c r="CHM614" s="17">
        <v>44925</v>
      </c>
      <c r="CHN614" s="5" t="s">
        <v>3728</v>
      </c>
      <c r="CHO614" s="17">
        <v>44925</v>
      </c>
      <c r="CHP614" s="5" t="s">
        <v>3728</v>
      </c>
      <c r="CHQ614" s="17">
        <v>44925</v>
      </c>
      <c r="CHR614" s="5" t="s">
        <v>3728</v>
      </c>
      <c r="CHS614" s="17">
        <v>44925</v>
      </c>
      <c r="CHT614" s="5" t="s">
        <v>3728</v>
      </c>
      <c r="CHU614" s="17">
        <v>44925</v>
      </c>
      <c r="CHV614" s="5" t="s">
        <v>3728</v>
      </c>
      <c r="CHW614" s="17">
        <v>44925</v>
      </c>
      <c r="CHX614" s="5" t="s">
        <v>3728</v>
      </c>
      <c r="CHY614" s="17">
        <v>44925</v>
      </c>
      <c r="CHZ614" s="5" t="s">
        <v>3728</v>
      </c>
      <c r="CIA614" s="17">
        <v>44925</v>
      </c>
      <c r="CIB614" s="5" t="s">
        <v>3728</v>
      </c>
      <c r="CIC614" s="17">
        <v>44925</v>
      </c>
      <c r="CID614" s="5" t="s">
        <v>3728</v>
      </c>
      <c r="CIE614" s="17">
        <v>44925</v>
      </c>
      <c r="CIF614" s="5" t="s">
        <v>3728</v>
      </c>
      <c r="CIG614" s="17">
        <v>44925</v>
      </c>
      <c r="CIH614" s="5" t="s">
        <v>3728</v>
      </c>
      <c r="CII614" s="17">
        <v>44925</v>
      </c>
      <c r="CIJ614" s="5" t="s">
        <v>3728</v>
      </c>
      <c r="CIK614" s="17">
        <v>44925</v>
      </c>
      <c r="CIL614" s="5" t="s">
        <v>3728</v>
      </c>
      <c r="CIM614" s="17">
        <v>44925</v>
      </c>
      <c r="CIN614" s="5" t="s">
        <v>3728</v>
      </c>
      <c r="CIO614" s="17">
        <v>44925</v>
      </c>
      <c r="CIP614" s="5" t="s">
        <v>3728</v>
      </c>
      <c r="CIQ614" s="17">
        <v>44925</v>
      </c>
      <c r="CIR614" s="5" t="s">
        <v>3728</v>
      </c>
      <c r="CIS614" s="17">
        <v>44925</v>
      </c>
      <c r="CIT614" s="5" t="s">
        <v>3728</v>
      </c>
      <c r="CIU614" s="17">
        <v>44925</v>
      </c>
      <c r="CIV614" s="5" t="s">
        <v>3728</v>
      </c>
      <c r="CIW614" s="17">
        <v>44925</v>
      </c>
      <c r="CIX614" s="5" t="s">
        <v>3728</v>
      </c>
      <c r="CIY614" s="17">
        <v>44925</v>
      </c>
      <c r="CIZ614" s="5" t="s">
        <v>3728</v>
      </c>
      <c r="CJA614" s="17">
        <v>44925</v>
      </c>
      <c r="CJB614" s="5" t="s">
        <v>3728</v>
      </c>
      <c r="CJC614" s="17">
        <v>44925</v>
      </c>
      <c r="CJD614" s="5" t="s">
        <v>3728</v>
      </c>
      <c r="CJE614" s="17">
        <v>44925</v>
      </c>
      <c r="CJF614" s="5" t="s">
        <v>3728</v>
      </c>
      <c r="CJG614" s="17">
        <v>44925</v>
      </c>
      <c r="CJH614" s="5" t="s">
        <v>3728</v>
      </c>
      <c r="CJI614" s="17">
        <v>44925</v>
      </c>
      <c r="CJJ614" s="5" t="s">
        <v>3728</v>
      </c>
      <c r="CJK614" s="17">
        <v>44925</v>
      </c>
      <c r="CJL614" s="5" t="s">
        <v>3728</v>
      </c>
      <c r="CJM614" s="17">
        <v>44925</v>
      </c>
      <c r="CJN614" s="5" t="s">
        <v>3728</v>
      </c>
      <c r="CJO614" s="17">
        <v>44925</v>
      </c>
      <c r="CJP614" s="5" t="s">
        <v>3728</v>
      </c>
      <c r="CJQ614" s="17">
        <v>44925</v>
      </c>
      <c r="CJR614" s="5" t="s">
        <v>3728</v>
      </c>
      <c r="CJS614" s="17">
        <v>44925</v>
      </c>
      <c r="CJT614" s="5" t="s">
        <v>3728</v>
      </c>
      <c r="CJU614" s="17">
        <v>44925</v>
      </c>
      <c r="CJV614" s="5" t="s">
        <v>3728</v>
      </c>
      <c r="CJW614" s="17">
        <v>44925</v>
      </c>
      <c r="CJX614" s="5" t="s">
        <v>3728</v>
      </c>
      <c r="CJY614" s="17">
        <v>44925</v>
      </c>
      <c r="CJZ614" s="5" t="s">
        <v>3728</v>
      </c>
      <c r="CKA614" s="17">
        <v>44925</v>
      </c>
      <c r="CKB614" s="5" t="s">
        <v>3728</v>
      </c>
      <c r="CKC614" s="17">
        <v>44925</v>
      </c>
      <c r="CKD614" s="5" t="s">
        <v>3728</v>
      </c>
      <c r="CKE614" s="17">
        <v>44925</v>
      </c>
      <c r="CKF614" s="5" t="s">
        <v>3728</v>
      </c>
      <c r="CKG614" s="17">
        <v>44925</v>
      </c>
      <c r="CKH614" s="5" t="s">
        <v>3728</v>
      </c>
      <c r="CKI614" s="17">
        <v>44925</v>
      </c>
      <c r="CKJ614" s="5" t="s">
        <v>3728</v>
      </c>
      <c r="CKK614" s="17">
        <v>44925</v>
      </c>
      <c r="CKL614" s="5" t="s">
        <v>3728</v>
      </c>
      <c r="CKM614" s="17">
        <v>44925</v>
      </c>
      <c r="CKN614" s="5" t="s">
        <v>3728</v>
      </c>
      <c r="CKO614" s="17">
        <v>44925</v>
      </c>
      <c r="CKP614" s="5" t="s">
        <v>3728</v>
      </c>
      <c r="CKQ614" s="17">
        <v>44925</v>
      </c>
      <c r="CKR614" s="5" t="s">
        <v>3728</v>
      </c>
      <c r="CKS614" s="17">
        <v>44925</v>
      </c>
      <c r="CKT614" s="5" t="s">
        <v>3728</v>
      </c>
      <c r="CKU614" s="17">
        <v>44925</v>
      </c>
      <c r="CKV614" s="5" t="s">
        <v>3728</v>
      </c>
      <c r="CKW614" s="17">
        <v>44925</v>
      </c>
      <c r="CKX614" s="5" t="s">
        <v>3728</v>
      </c>
      <c r="CKY614" s="17">
        <v>44925</v>
      </c>
      <c r="CKZ614" s="5" t="s">
        <v>3728</v>
      </c>
      <c r="CLA614" s="17">
        <v>44925</v>
      </c>
      <c r="CLB614" s="5" t="s">
        <v>3728</v>
      </c>
      <c r="CLC614" s="17">
        <v>44925</v>
      </c>
      <c r="CLD614" s="5" t="s">
        <v>3728</v>
      </c>
      <c r="CLE614" s="17">
        <v>44925</v>
      </c>
      <c r="CLF614" s="5" t="s">
        <v>3728</v>
      </c>
      <c r="CLG614" s="17">
        <v>44925</v>
      </c>
      <c r="CLH614" s="5" t="s">
        <v>3728</v>
      </c>
      <c r="CLI614" s="17">
        <v>44925</v>
      </c>
      <c r="CLJ614" s="5" t="s">
        <v>3728</v>
      </c>
      <c r="CLK614" s="17">
        <v>44925</v>
      </c>
      <c r="CLL614" s="5" t="s">
        <v>3728</v>
      </c>
      <c r="CLM614" s="17">
        <v>44925</v>
      </c>
      <c r="CLN614" s="5" t="s">
        <v>3728</v>
      </c>
      <c r="CLO614" s="17">
        <v>44925</v>
      </c>
      <c r="CLP614" s="5" t="s">
        <v>3728</v>
      </c>
      <c r="CLQ614" s="17">
        <v>44925</v>
      </c>
      <c r="CLR614" s="5" t="s">
        <v>3728</v>
      </c>
      <c r="CLS614" s="17">
        <v>44925</v>
      </c>
      <c r="CLT614" s="5" t="s">
        <v>3728</v>
      </c>
      <c r="CLU614" s="17">
        <v>44925</v>
      </c>
      <c r="CLV614" s="5" t="s">
        <v>3728</v>
      </c>
      <c r="CLW614" s="17">
        <v>44925</v>
      </c>
      <c r="CLX614" s="5" t="s">
        <v>3728</v>
      </c>
      <c r="CLY614" s="17">
        <v>44925</v>
      </c>
      <c r="CLZ614" s="5" t="s">
        <v>3728</v>
      </c>
      <c r="CMA614" s="17">
        <v>44925</v>
      </c>
      <c r="CMB614" s="5" t="s">
        <v>3728</v>
      </c>
      <c r="CMC614" s="17">
        <v>44925</v>
      </c>
      <c r="CMD614" s="5" t="s">
        <v>3728</v>
      </c>
      <c r="CME614" s="17">
        <v>44925</v>
      </c>
      <c r="CMF614" s="5" t="s">
        <v>3728</v>
      </c>
      <c r="CMG614" s="17">
        <v>44925</v>
      </c>
      <c r="CMH614" s="5" t="s">
        <v>3728</v>
      </c>
      <c r="CMI614" s="17">
        <v>44925</v>
      </c>
      <c r="CMJ614" s="5" t="s">
        <v>3728</v>
      </c>
      <c r="CMK614" s="17">
        <v>44925</v>
      </c>
      <c r="CML614" s="5" t="s">
        <v>3728</v>
      </c>
      <c r="CMM614" s="17">
        <v>44925</v>
      </c>
      <c r="CMN614" s="5" t="s">
        <v>3728</v>
      </c>
      <c r="CMO614" s="17">
        <v>44925</v>
      </c>
      <c r="CMP614" s="5" t="s">
        <v>3728</v>
      </c>
      <c r="CMQ614" s="17">
        <v>44925</v>
      </c>
      <c r="CMR614" s="5" t="s">
        <v>3728</v>
      </c>
      <c r="CMS614" s="17">
        <v>44925</v>
      </c>
      <c r="CMT614" s="5" t="s">
        <v>3728</v>
      </c>
      <c r="CMU614" s="17">
        <v>44925</v>
      </c>
      <c r="CMV614" s="5" t="s">
        <v>3728</v>
      </c>
      <c r="CMW614" s="17">
        <v>44925</v>
      </c>
      <c r="CMX614" s="5" t="s">
        <v>3728</v>
      </c>
      <c r="CMY614" s="17">
        <v>44925</v>
      </c>
      <c r="CMZ614" s="5" t="s">
        <v>3728</v>
      </c>
      <c r="CNA614" s="17">
        <v>44925</v>
      </c>
      <c r="CNB614" s="5" t="s">
        <v>3728</v>
      </c>
      <c r="CNC614" s="17">
        <v>44925</v>
      </c>
      <c r="CND614" s="5" t="s">
        <v>3728</v>
      </c>
      <c r="CNE614" s="17">
        <v>44925</v>
      </c>
      <c r="CNF614" s="5" t="s">
        <v>3728</v>
      </c>
      <c r="CNG614" s="17">
        <v>44925</v>
      </c>
      <c r="CNH614" s="5" t="s">
        <v>3728</v>
      </c>
      <c r="CNI614" s="17">
        <v>44925</v>
      </c>
      <c r="CNJ614" s="5" t="s">
        <v>3728</v>
      </c>
      <c r="CNK614" s="17">
        <v>44925</v>
      </c>
      <c r="CNL614" s="5" t="s">
        <v>3728</v>
      </c>
      <c r="CNM614" s="17">
        <v>44925</v>
      </c>
      <c r="CNN614" s="5" t="s">
        <v>3728</v>
      </c>
      <c r="CNO614" s="17">
        <v>44925</v>
      </c>
      <c r="CNP614" s="5" t="s">
        <v>3728</v>
      </c>
      <c r="CNQ614" s="17">
        <v>44925</v>
      </c>
      <c r="CNR614" s="5" t="s">
        <v>3728</v>
      </c>
      <c r="CNS614" s="17">
        <v>44925</v>
      </c>
      <c r="CNT614" s="5" t="s">
        <v>3728</v>
      </c>
      <c r="CNU614" s="17">
        <v>44925</v>
      </c>
      <c r="CNV614" s="5" t="s">
        <v>3728</v>
      </c>
      <c r="CNW614" s="17">
        <v>44925</v>
      </c>
      <c r="CNX614" s="5" t="s">
        <v>3728</v>
      </c>
      <c r="CNY614" s="17">
        <v>44925</v>
      </c>
      <c r="CNZ614" s="5" t="s">
        <v>3728</v>
      </c>
      <c r="COA614" s="17">
        <v>44925</v>
      </c>
      <c r="COB614" s="5" t="s">
        <v>3728</v>
      </c>
      <c r="COC614" s="17">
        <v>44925</v>
      </c>
      <c r="COD614" s="5" t="s">
        <v>3728</v>
      </c>
      <c r="COE614" s="17">
        <v>44925</v>
      </c>
      <c r="COF614" s="5" t="s">
        <v>3728</v>
      </c>
      <c r="COG614" s="17">
        <v>44925</v>
      </c>
      <c r="COH614" s="5" t="s">
        <v>3728</v>
      </c>
      <c r="COI614" s="17">
        <v>44925</v>
      </c>
      <c r="COJ614" s="5" t="s">
        <v>3728</v>
      </c>
      <c r="COK614" s="17">
        <v>44925</v>
      </c>
      <c r="COL614" s="5" t="s">
        <v>3728</v>
      </c>
      <c r="COM614" s="17">
        <v>44925</v>
      </c>
      <c r="CON614" s="5" t="s">
        <v>3728</v>
      </c>
      <c r="COO614" s="17">
        <v>44925</v>
      </c>
      <c r="COP614" s="5" t="s">
        <v>3728</v>
      </c>
      <c r="COQ614" s="17">
        <v>44925</v>
      </c>
      <c r="COR614" s="5" t="s">
        <v>3728</v>
      </c>
      <c r="COS614" s="17">
        <v>44925</v>
      </c>
      <c r="COT614" s="5" t="s">
        <v>3728</v>
      </c>
      <c r="COU614" s="17">
        <v>44925</v>
      </c>
      <c r="COV614" s="5" t="s">
        <v>3728</v>
      </c>
      <c r="COW614" s="17">
        <v>44925</v>
      </c>
      <c r="COX614" s="5" t="s">
        <v>3728</v>
      </c>
      <c r="COY614" s="17">
        <v>44925</v>
      </c>
      <c r="COZ614" s="5" t="s">
        <v>3728</v>
      </c>
      <c r="CPA614" s="17">
        <v>44925</v>
      </c>
      <c r="CPB614" s="5" t="s">
        <v>3728</v>
      </c>
      <c r="CPC614" s="17">
        <v>44925</v>
      </c>
      <c r="CPD614" s="5" t="s">
        <v>3728</v>
      </c>
      <c r="CPE614" s="17">
        <v>44925</v>
      </c>
      <c r="CPF614" s="5" t="s">
        <v>3728</v>
      </c>
      <c r="CPG614" s="17">
        <v>44925</v>
      </c>
      <c r="CPH614" s="5" t="s">
        <v>3728</v>
      </c>
      <c r="CPI614" s="17">
        <v>44925</v>
      </c>
      <c r="CPJ614" s="5" t="s">
        <v>3728</v>
      </c>
      <c r="CPK614" s="17">
        <v>44925</v>
      </c>
      <c r="CPL614" s="5" t="s">
        <v>3728</v>
      </c>
      <c r="CPM614" s="17">
        <v>44925</v>
      </c>
      <c r="CPN614" s="5" t="s">
        <v>3728</v>
      </c>
      <c r="CPO614" s="17">
        <v>44925</v>
      </c>
      <c r="CPP614" s="5" t="s">
        <v>3728</v>
      </c>
      <c r="CPQ614" s="17">
        <v>44925</v>
      </c>
      <c r="CPR614" s="5" t="s">
        <v>3728</v>
      </c>
      <c r="CPS614" s="17">
        <v>44925</v>
      </c>
      <c r="CPT614" s="5" t="s">
        <v>3728</v>
      </c>
      <c r="CPU614" s="17">
        <v>44925</v>
      </c>
      <c r="CPV614" s="5" t="s">
        <v>3728</v>
      </c>
      <c r="CPW614" s="17">
        <v>44925</v>
      </c>
      <c r="CPX614" s="5" t="s">
        <v>3728</v>
      </c>
      <c r="CPY614" s="17">
        <v>44925</v>
      </c>
      <c r="CPZ614" s="5" t="s">
        <v>3728</v>
      </c>
      <c r="CQA614" s="17">
        <v>44925</v>
      </c>
      <c r="CQB614" s="5" t="s">
        <v>3728</v>
      </c>
      <c r="CQC614" s="17">
        <v>44925</v>
      </c>
      <c r="CQD614" s="5" t="s">
        <v>3728</v>
      </c>
      <c r="CQE614" s="17">
        <v>44925</v>
      </c>
      <c r="CQF614" s="5" t="s">
        <v>3728</v>
      </c>
      <c r="CQG614" s="17">
        <v>44925</v>
      </c>
      <c r="CQH614" s="5" t="s">
        <v>3728</v>
      </c>
      <c r="CQI614" s="17">
        <v>44925</v>
      </c>
      <c r="CQJ614" s="5" t="s">
        <v>3728</v>
      </c>
      <c r="CQK614" s="17">
        <v>44925</v>
      </c>
      <c r="CQL614" s="5" t="s">
        <v>3728</v>
      </c>
      <c r="CQM614" s="17">
        <v>44925</v>
      </c>
      <c r="CQN614" s="5" t="s">
        <v>3728</v>
      </c>
      <c r="CQO614" s="17">
        <v>44925</v>
      </c>
      <c r="CQP614" s="5" t="s">
        <v>3728</v>
      </c>
      <c r="CQQ614" s="17">
        <v>44925</v>
      </c>
      <c r="CQR614" s="5" t="s">
        <v>3728</v>
      </c>
      <c r="CQS614" s="17">
        <v>44925</v>
      </c>
      <c r="CQT614" s="5" t="s">
        <v>3728</v>
      </c>
      <c r="CQU614" s="17">
        <v>44925</v>
      </c>
      <c r="CQV614" s="5" t="s">
        <v>3728</v>
      </c>
      <c r="CQW614" s="17">
        <v>44925</v>
      </c>
      <c r="CQX614" s="5" t="s">
        <v>3728</v>
      </c>
      <c r="CQY614" s="17">
        <v>44925</v>
      </c>
      <c r="CQZ614" s="5" t="s">
        <v>3728</v>
      </c>
      <c r="CRA614" s="17">
        <v>44925</v>
      </c>
      <c r="CRB614" s="5" t="s">
        <v>3728</v>
      </c>
      <c r="CRC614" s="17">
        <v>44925</v>
      </c>
      <c r="CRD614" s="5" t="s">
        <v>3728</v>
      </c>
      <c r="CRE614" s="17">
        <v>44925</v>
      </c>
      <c r="CRF614" s="5" t="s">
        <v>3728</v>
      </c>
      <c r="CRG614" s="17">
        <v>44925</v>
      </c>
      <c r="CRH614" s="5" t="s">
        <v>3728</v>
      </c>
      <c r="CRI614" s="17">
        <v>44925</v>
      </c>
      <c r="CRJ614" s="5" t="s">
        <v>3728</v>
      </c>
      <c r="CRK614" s="17">
        <v>44925</v>
      </c>
      <c r="CRL614" s="5" t="s">
        <v>3728</v>
      </c>
      <c r="CRM614" s="17">
        <v>44925</v>
      </c>
      <c r="CRN614" s="5" t="s">
        <v>3728</v>
      </c>
      <c r="CRO614" s="17">
        <v>44925</v>
      </c>
      <c r="CRP614" s="5" t="s">
        <v>3728</v>
      </c>
      <c r="CRQ614" s="17">
        <v>44925</v>
      </c>
      <c r="CRR614" s="5" t="s">
        <v>3728</v>
      </c>
      <c r="CRS614" s="17">
        <v>44925</v>
      </c>
      <c r="CRT614" s="5" t="s">
        <v>3728</v>
      </c>
      <c r="CRU614" s="17">
        <v>44925</v>
      </c>
      <c r="CRV614" s="5" t="s">
        <v>3728</v>
      </c>
      <c r="CRW614" s="17">
        <v>44925</v>
      </c>
      <c r="CRX614" s="5" t="s">
        <v>3728</v>
      </c>
      <c r="CRY614" s="17">
        <v>44925</v>
      </c>
      <c r="CRZ614" s="5" t="s">
        <v>3728</v>
      </c>
      <c r="CSA614" s="17">
        <v>44925</v>
      </c>
      <c r="CSB614" s="5" t="s">
        <v>3728</v>
      </c>
      <c r="CSC614" s="17">
        <v>44925</v>
      </c>
      <c r="CSD614" s="5" t="s">
        <v>3728</v>
      </c>
      <c r="CSE614" s="17">
        <v>44925</v>
      </c>
      <c r="CSF614" s="5" t="s">
        <v>3728</v>
      </c>
      <c r="CSG614" s="17">
        <v>44925</v>
      </c>
      <c r="CSH614" s="5" t="s">
        <v>3728</v>
      </c>
      <c r="CSI614" s="17">
        <v>44925</v>
      </c>
      <c r="CSJ614" s="5" t="s">
        <v>3728</v>
      </c>
      <c r="CSK614" s="17">
        <v>44925</v>
      </c>
      <c r="CSL614" s="5" t="s">
        <v>3728</v>
      </c>
      <c r="CSM614" s="17">
        <v>44925</v>
      </c>
      <c r="CSN614" s="5" t="s">
        <v>3728</v>
      </c>
      <c r="CSO614" s="17">
        <v>44925</v>
      </c>
      <c r="CSP614" s="5" t="s">
        <v>3728</v>
      </c>
      <c r="CSQ614" s="17">
        <v>44925</v>
      </c>
      <c r="CSR614" s="5" t="s">
        <v>3728</v>
      </c>
      <c r="CSS614" s="17">
        <v>44925</v>
      </c>
      <c r="CST614" s="5" t="s">
        <v>3728</v>
      </c>
      <c r="CSU614" s="17">
        <v>44925</v>
      </c>
      <c r="CSV614" s="5" t="s">
        <v>3728</v>
      </c>
      <c r="CSW614" s="17">
        <v>44925</v>
      </c>
      <c r="CSX614" s="5" t="s">
        <v>3728</v>
      </c>
      <c r="CSY614" s="17">
        <v>44925</v>
      </c>
      <c r="CSZ614" s="5" t="s">
        <v>3728</v>
      </c>
      <c r="CTA614" s="17">
        <v>44925</v>
      </c>
      <c r="CTB614" s="5" t="s">
        <v>3728</v>
      </c>
      <c r="CTC614" s="17">
        <v>44925</v>
      </c>
      <c r="CTD614" s="5" t="s">
        <v>3728</v>
      </c>
      <c r="CTE614" s="17">
        <v>44925</v>
      </c>
      <c r="CTF614" s="5" t="s">
        <v>3728</v>
      </c>
      <c r="CTG614" s="17">
        <v>44925</v>
      </c>
      <c r="CTH614" s="5" t="s">
        <v>3728</v>
      </c>
      <c r="CTI614" s="17">
        <v>44925</v>
      </c>
      <c r="CTJ614" s="5" t="s">
        <v>3728</v>
      </c>
      <c r="CTK614" s="17">
        <v>44925</v>
      </c>
      <c r="CTL614" s="5" t="s">
        <v>3728</v>
      </c>
      <c r="CTM614" s="17">
        <v>44925</v>
      </c>
      <c r="CTN614" s="5" t="s">
        <v>3728</v>
      </c>
      <c r="CTO614" s="17">
        <v>44925</v>
      </c>
      <c r="CTP614" s="5" t="s">
        <v>3728</v>
      </c>
      <c r="CTQ614" s="17">
        <v>44925</v>
      </c>
      <c r="CTR614" s="5" t="s">
        <v>3728</v>
      </c>
      <c r="CTS614" s="17">
        <v>44925</v>
      </c>
      <c r="CTT614" s="5" t="s">
        <v>3728</v>
      </c>
      <c r="CTU614" s="17">
        <v>44925</v>
      </c>
      <c r="CTV614" s="5" t="s">
        <v>3728</v>
      </c>
      <c r="CTW614" s="17">
        <v>44925</v>
      </c>
      <c r="CTX614" s="5" t="s">
        <v>3728</v>
      </c>
      <c r="CTY614" s="17">
        <v>44925</v>
      </c>
      <c r="CTZ614" s="5" t="s">
        <v>3728</v>
      </c>
      <c r="CUA614" s="17">
        <v>44925</v>
      </c>
      <c r="CUB614" s="5" t="s">
        <v>3728</v>
      </c>
      <c r="CUC614" s="17">
        <v>44925</v>
      </c>
      <c r="CUD614" s="5" t="s">
        <v>3728</v>
      </c>
      <c r="CUE614" s="17">
        <v>44925</v>
      </c>
      <c r="CUF614" s="5" t="s">
        <v>3728</v>
      </c>
      <c r="CUG614" s="17">
        <v>44925</v>
      </c>
      <c r="CUH614" s="5" t="s">
        <v>3728</v>
      </c>
      <c r="CUI614" s="17">
        <v>44925</v>
      </c>
      <c r="CUJ614" s="5" t="s">
        <v>3728</v>
      </c>
      <c r="CUK614" s="17">
        <v>44925</v>
      </c>
      <c r="CUL614" s="5" t="s">
        <v>3728</v>
      </c>
      <c r="CUM614" s="17">
        <v>44925</v>
      </c>
      <c r="CUN614" s="5" t="s">
        <v>3728</v>
      </c>
      <c r="CUO614" s="17">
        <v>44925</v>
      </c>
      <c r="CUP614" s="5" t="s">
        <v>3728</v>
      </c>
      <c r="CUQ614" s="17">
        <v>44925</v>
      </c>
      <c r="CUR614" s="5" t="s">
        <v>3728</v>
      </c>
      <c r="CUS614" s="17">
        <v>44925</v>
      </c>
      <c r="CUT614" s="5" t="s">
        <v>3728</v>
      </c>
      <c r="CUU614" s="17">
        <v>44925</v>
      </c>
      <c r="CUV614" s="5" t="s">
        <v>3728</v>
      </c>
      <c r="CUW614" s="17">
        <v>44925</v>
      </c>
      <c r="CUX614" s="5" t="s">
        <v>3728</v>
      </c>
      <c r="CUY614" s="17">
        <v>44925</v>
      </c>
      <c r="CUZ614" s="5" t="s">
        <v>3728</v>
      </c>
      <c r="CVA614" s="17">
        <v>44925</v>
      </c>
      <c r="CVB614" s="5" t="s">
        <v>3728</v>
      </c>
      <c r="CVC614" s="17">
        <v>44925</v>
      </c>
      <c r="CVD614" s="5" t="s">
        <v>3728</v>
      </c>
      <c r="CVE614" s="17">
        <v>44925</v>
      </c>
      <c r="CVF614" s="5" t="s">
        <v>3728</v>
      </c>
      <c r="CVG614" s="17">
        <v>44925</v>
      </c>
      <c r="CVH614" s="5" t="s">
        <v>3728</v>
      </c>
      <c r="CVI614" s="17">
        <v>44925</v>
      </c>
      <c r="CVJ614" s="5" t="s">
        <v>3728</v>
      </c>
      <c r="CVK614" s="17">
        <v>44925</v>
      </c>
      <c r="CVL614" s="5" t="s">
        <v>3728</v>
      </c>
      <c r="CVM614" s="17">
        <v>44925</v>
      </c>
      <c r="CVN614" s="5" t="s">
        <v>3728</v>
      </c>
      <c r="CVO614" s="17">
        <v>44925</v>
      </c>
      <c r="CVP614" s="5" t="s">
        <v>3728</v>
      </c>
      <c r="CVQ614" s="17">
        <v>44925</v>
      </c>
      <c r="CVR614" s="5" t="s">
        <v>3728</v>
      </c>
      <c r="CVS614" s="17">
        <v>44925</v>
      </c>
      <c r="CVT614" s="5" t="s">
        <v>3728</v>
      </c>
      <c r="CVU614" s="17">
        <v>44925</v>
      </c>
      <c r="CVV614" s="5" t="s">
        <v>3728</v>
      </c>
      <c r="CVW614" s="17">
        <v>44925</v>
      </c>
      <c r="CVX614" s="5" t="s">
        <v>3728</v>
      </c>
      <c r="CVY614" s="17">
        <v>44925</v>
      </c>
      <c r="CVZ614" s="5" t="s">
        <v>3728</v>
      </c>
      <c r="CWA614" s="17">
        <v>44925</v>
      </c>
      <c r="CWB614" s="5" t="s">
        <v>3728</v>
      </c>
      <c r="CWC614" s="17">
        <v>44925</v>
      </c>
      <c r="CWD614" s="5" t="s">
        <v>3728</v>
      </c>
      <c r="CWE614" s="17">
        <v>44925</v>
      </c>
      <c r="CWF614" s="5" t="s">
        <v>3728</v>
      </c>
      <c r="CWG614" s="17">
        <v>44925</v>
      </c>
      <c r="CWH614" s="5" t="s">
        <v>3728</v>
      </c>
      <c r="CWI614" s="17">
        <v>44925</v>
      </c>
      <c r="CWJ614" s="5" t="s">
        <v>3728</v>
      </c>
      <c r="CWK614" s="17">
        <v>44925</v>
      </c>
      <c r="CWL614" s="5" t="s">
        <v>3728</v>
      </c>
      <c r="CWM614" s="17">
        <v>44925</v>
      </c>
      <c r="CWN614" s="5" t="s">
        <v>3728</v>
      </c>
      <c r="CWO614" s="17">
        <v>44925</v>
      </c>
      <c r="CWP614" s="5" t="s">
        <v>3728</v>
      </c>
      <c r="CWQ614" s="17">
        <v>44925</v>
      </c>
      <c r="CWR614" s="5" t="s">
        <v>3728</v>
      </c>
      <c r="CWS614" s="17">
        <v>44925</v>
      </c>
      <c r="CWT614" s="5" t="s">
        <v>3728</v>
      </c>
      <c r="CWU614" s="17">
        <v>44925</v>
      </c>
      <c r="CWV614" s="5" t="s">
        <v>3728</v>
      </c>
      <c r="CWW614" s="17">
        <v>44925</v>
      </c>
      <c r="CWX614" s="5" t="s">
        <v>3728</v>
      </c>
      <c r="CWY614" s="17">
        <v>44925</v>
      </c>
      <c r="CWZ614" s="5" t="s">
        <v>3728</v>
      </c>
      <c r="CXA614" s="17">
        <v>44925</v>
      </c>
      <c r="CXB614" s="5" t="s">
        <v>3728</v>
      </c>
      <c r="CXC614" s="17">
        <v>44925</v>
      </c>
      <c r="CXD614" s="5" t="s">
        <v>3728</v>
      </c>
      <c r="CXE614" s="17">
        <v>44925</v>
      </c>
      <c r="CXF614" s="5" t="s">
        <v>3728</v>
      </c>
      <c r="CXG614" s="17">
        <v>44925</v>
      </c>
      <c r="CXH614" s="5" t="s">
        <v>3728</v>
      </c>
      <c r="CXI614" s="17">
        <v>44925</v>
      </c>
      <c r="CXJ614" s="5" t="s">
        <v>3728</v>
      </c>
      <c r="CXK614" s="17">
        <v>44925</v>
      </c>
      <c r="CXL614" s="5" t="s">
        <v>3728</v>
      </c>
      <c r="CXM614" s="17">
        <v>44925</v>
      </c>
      <c r="CXN614" s="5" t="s">
        <v>3728</v>
      </c>
      <c r="CXO614" s="17">
        <v>44925</v>
      </c>
      <c r="CXP614" s="5" t="s">
        <v>3728</v>
      </c>
      <c r="CXQ614" s="17">
        <v>44925</v>
      </c>
      <c r="CXR614" s="5" t="s">
        <v>3728</v>
      </c>
      <c r="CXS614" s="17">
        <v>44925</v>
      </c>
      <c r="CXT614" s="5" t="s">
        <v>3728</v>
      </c>
      <c r="CXU614" s="17">
        <v>44925</v>
      </c>
      <c r="CXV614" s="5" t="s">
        <v>3728</v>
      </c>
      <c r="CXW614" s="17">
        <v>44925</v>
      </c>
      <c r="CXX614" s="5" t="s">
        <v>3728</v>
      </c>
      <c r="CXY614" s="17">
        <v>44925</v>
      </c>
      <c r="CXZ614" s="5" t="s">
        <v>3728</v>
      </c>
      <c r="CYA614" s="17">
        <v>44925</v>
      </c>
      <c r="CYB614" s="5" t="s">
        <v>3728</v>
      </c>
      <c r="CYC614" s="17">
        <v>44925</v>
      </c>
      <c r="CYD614" s="5" t="s">
        <v>3728</v>
      </c>
      <c r="CYE614" s="17">
        <v>44925</v>
      </c>
      <c r="CYF614" s="5" t="s">
        <v>3728</v>
      </c>
      <c r="CYG614" s="17">
        <v>44925</v>
      </c>
      <c r="CYH614" s="5" t="s">
        <v>3728</v>
      </c>
      <c r="CYI614" s="17">
        <v>44925</v>
      </c>
      <c r="CYJ614" s="5" t="s">
        <v>3728</v>
      </c>
      <c r="CYK614" s="17">
        <v>44925</v>
      </c>
      <c r="CYL614" s="5" t="s">
        <v>3728</v>
      </c>
      <c r="CYM614" s="17">
        <v>44925</v>
      </c>
      <c r="CYN614" s="5" t="s">
        <v>3728</v>
      </c>
      <c r="CYO614" s="17">
        <v>44925</v>
      </c>
      <c r="CYP614" s="5" t="s">
        <v>3728</v>
      </c>
      <c r="CYQ614" s="17">
        <v>44925</v>
      </c>
      <c r="CYR614" s="5" t="s">
        <v>3728</v>
      </c>
      <c r="CYS614" s="17">
        <v>44925</v>
      </c>
      <c r="CYT614" s="5" t="s">
        <v>3728</v>
      </c>
      <c r="CYU614" s="17">
        <v>44925</v>
      </c>
      <c r="CYV614" s="5" t="s">
        <v>3728</v>
      </c>
      <c r="CYW614" s="17">
        <v>44925</v>
      </c>
      <c r="CYX614" s="5" t="s">
        <v>3728</v>
      </c>
      <c r="CYY614" s="17">
        <v>44925</v>
      </c>
      <c r="CYZ614" s="5" t="s">
        <v>3728</v>
      </c>
      <c r="CZA614" s="17">
        <v>44925</v>
      </c>
      <c r="CZB614" s="5" t="s">
        <v>3728</v>
      </c>
      <c r="CZC614" s="17">
        <v>44925</v>
      </c>
      <c r="CZD614" s="5" t="s">
        <v>3728</v>
      </c>
      <c r="CZE614" s="17">
        <v>44925</v>
      </c>
      <c r="CZF614" s="5" t="s">
        <v>3728</v>
      </c>
      <c r="CZG614" s="17">
        <v>44925</v>
      </c>
      <c r="CZH614" s="5" t="s">
        <v>3728</v>
      </c>
      <c r="CZI614" s="17">
        <v>44925</v>
      </c>
      <c r="CZJ614" s="5" t="s">
        <v>3728</v>
      </c>
      <c r="CZK614" s="17">
        <v>44925</v>
      </c>
      <c r="CZL614" s="5" t="s">
        <v>3728</v>
      </c>
      <c r="CZM614" s="17">
        <v>44925</v>
      </c>
      <c r="CZN614" s="5" t="s">
        <v>3728</v>
      </c>
      <c r="CZO614" s="17">
        <v>44925</v>
      </c>
      <c r="CZP614" s="5" t="s">
        <v>3728</v>
      </c>
      <c r="CZQ614" s="17">
        <v>44925</v>
      </c>
      <c r="CZR614" s="5" t="s">
        <v>3728</v>
      </c>
      <c r="CZS614" s="17">
        <v>44925</v>
      </c>
      <c r="CZT614" s="5" t="s">
        <v>3728</v>
      </c>
      <c r="CZU614" s="17">
        <v>44925</v>
      </c>
      <c r="CZV614" s="5" t="s">
        <v>3728</v>
      </c>
      <c r="CZW614" s="17">
        <v>44925</v>
      </c>
      <c r="CZX614" s="5" t="s">
        <v>3728</v>
      </c>
      <c r="CZY614" s="17">
        <v>44925</v>
      </c>
      <c r="CZZ614" s="5" t="s">
        <v>3728</v>
      </c>
      <c r="DAA614" s="17">
        <v>44925</v>
      </c>
      <c r="DAB614" s="5" t="s">
        <v>3728</v>
      </c>
      <c r="DAC614" s="17">
        <v>44925</v>
      </c>
      <c r="DAD614" s="5" t="s">
        <v>3728</v>
      </c>
      <c r="DAE614" s="17">
        <v>44925</v>
      </c>
      <c r="DAF614" s="5" t="s">
        <v>3728</v>
      </c>
      <c r="DAG614" s="17">
        <v>44925</v>
      </c>
      <c r="DAH614" s="5" t="s">
        <v>3728</v>
      </c>
      <c r="DAI614" s="17">
        <v>44925</v>
      </c>
      <c r="DAJ614" s="5" t="s">
        <v>3728</v>
      </c>
      <c r="DAK614" s="17">
        <v>44925</v>
      </c>
      <c r="DAL614" s="5" t="s">
        <v>3728</v>
      </c>
      <c r="DAM614" s="17">
        <v>44925</v>
      </c>
      <c r="DAN614" s="5" t="s">
        <v>3728</v>
      </c>
      <c r="DAO614" s="17">
        <v>44925</v>
      </c>
      <c r="DAP614" s="5" t="s">
        <v>3728</v>
      </c>
      <c r="DAQ614" s="17">
        <v>44925</v>
      </c>
      <c r="DAR614" s="5" t="s">
        <v>3728</v>
      </c>
      <c r="DAS614" s="17">
        <v>44925</v>
      </c>
      <c r="DAT614" s="5" t="s">
        <v>3728</v>
      </c>
      <c r="DAU614" s="17">
        <v>44925</v>
      </c>
      <c r="DAV614" s="5" t="s">
        <v>3728</v>
      </c>
      <c r="DAW614" s="17">
        <v>44925</v>
      </c>
      <c r="DAX614" s="5" t="s">
        <v>3728</v>
      </c>
      <c r="DAY614" s="17">
        <v>44925</v>
      </c>
      <c r="DAZ614" s="5" t="s">
        <v>3728</v>
      </c>
      <c r="DBA614" s="17">
        <v>44925</v>
      </c>
      <c r="DBB614" s="5" t="s">
        <v>3728</v>
      </c>
      <c r="DBC614" s="17">
        <v>44925</v>
      </c>
      <c r="DBD614" s="5" t="s">
        <v>3728</v>
      </c>
      <c r="DBE614" s="17">
        <v>44925</v>
      </c>
      <c r="DBF614" s="5" t="s">
        <v>3728</v>
      </c>
      <c r="DBG614" s="17">
        <v>44925</v>
      </c>
      <c r="DBH614" s="5" t="s">
        <v>3728</v>
      </c>
      <c r="DBI614" s="17">
        <v>44925</v>
      </c>
      <c r="DBJ614" s="5" t="s">
        <v>3728</v>
      </c>
      <c r="DBK614" s="17">
        <v>44925</v>
      </c>
      <c r="DBL614" s="5" t="s">
        <v>3728</v>
      </c>
      <c r="DBM614" s="17">
        <v>44925</v>
      </c>
      <c r="DBN614" s="5" t="s">
        <v>3728</v>
      </c>
      <c r="DBO614" s="17">
        <v>44925</v>
      </c>
      <c r="DBP614" s="5" t="s">
        <v>3728</v>
      </c>
      <c r="DBQ614" s="17">
        <v>44925</v>
      </c>
      <c r="DBR614" s="5" t="s">
        <v>3728</v>
      </c>
      <c r="DBS614" s="17">
        <v>44925</v>
      </c>
      <c r="DBT614" s="5" t="s">
        <v>3728</v>
      </c>
      <c r="DBU614" s="17">
        <v>44925</v>
      </c>
      <c r="DBV614" s="5" t="s">
        <v>3728</v>
      </c>
      <c r="DBW614" s="17">
        <v>44925</v>
      </c>
      <c r="DBX614" s="5" t="s">
        <v>3728</v>
      </c>
      <c r="DBY614" s="17">
        <v>44925</v>
      </c>
      <c r="DBZ614" s="5" t="s">
        <v>3728</v>
      </c>
      <c r="DCA614" s="17">
        <v>44925</v>
      </c>
      <c r="DCB614" s="5" t="s">
        <v>3728</v>
      </c>
      <c r="DCC614" s="17">
        <v>44925</v>
      </c>
      <c r="DCD614" s="5" t="s">
        <v>3728</v>
      </c>
      <c r="DCE614" s="17">
        <v>44925</v>
      </c>
      <c r="DCF614" s="5" t="s">
        <v>3728</v>
      </c>
      <c r="DCG614" s="17">
        <v>44925</v>
      </c>
      <c r="DCH614" s="5" t="s">
        <v>3728</v>
      </c>
      <c r="DCI614" s="17">
        <v>44925</v>
      </c>
      <c r="DCJ614" s="5" t="s">
        <v>3728</v>
      </c>
      <c r="DCK614" s="17">
        <v>44925</v>
      </c>
      <c r="DCL614" s="5" t="s">
        <v>3728</v>
      </c>
      <c r="DCM614" s="17">
        <v>44925</v>
      </c>
      <c r="DCN614" s="5" t="s">
        <v>3728</v>
      </c>
      <c r="DCO614" s="17">
        <v>44925</v>
      </c>
      <c r="DCP614" s="5" t="s">
        <v>3728</v>
      </c>
      <c r="DCQ614" s="17">
        <v>44925</v>
      </c>
      <c r="DCR614" s="5" t="s">
        <v>3728</v>
      </c>
      <c r="DCS614" s="17">
        <v>44925</v>
      </c>
      <c r="DCT614" s="5" t="s">
        <v>3728</v>
      </c>
      <c r="DCU614" s="17">
        <v>44925</v>
      </c>
      <c r="DCV614" s="5" t="s">
        <v>3728</v>
      </c>
      <c r="DCW614" s="17">
        <v>44925</v>
      </c>
      <c r="DCX614" s="5" t="s">
        <v>3728</v>
      </c>
      <c r="DCY614" s="17">
        <v>44925</v>
      </c>
      <c r="DCZ614" s="5" t="s">
        <v>3728</v>
      </c>
      <c r="DDA614" s="17">
        <v>44925</v>
      </c>
      <c r="DDB614" s="5" t="s">
        <v>3728</v>
      </c>
      <c r="DDC614" s="17">
        <v>44925</v>
      </c>
      <c r="DDD614" s="5" t="s">
        <v>3728</v>
      </c>
      <c r="DDE614" s="17">
        <v>44925</v>
      </c>
      <c r="DDF614" s="5" t="s">
        <v>3728</v>
      </c>
      <c r="DDG614" s="17">
        <v>44925</v>
      </c>
      <c r="DDH614" s="5" t="s">
        <v>3728</v>
      </c>
      <c r="DDI614" s="17">
        <v>44925</v>
      </c>
      <c r="DDJ614" s="5" t="s">
        <v>3728</v>
      </c>
      <c r="DDK614" s="17">
        <v>44925</v>
      </c>
      <c r="DDL614" s="5" t="s">
        <v>3728</v>
      </c>
      <c r="DDM614" s="17">
        <v>44925</v>
      </c>
      <c r="DDN614" s="5" t="s">
        <v>3728</v>
      </c>
      <c r="DDO614" s="17">
        <v>44925</v>
      </c>
      <c r="DDP614" s="5" t="s">
        <v>3728</v>
      </c>
      <c r="DDQ614" s="17">
        <v>44925</v>
      </c>
      <c r="DDR614" s="5" t="s">
        <v>3728</v>
      </c>
      <c r="DDS614" s="17">
        <v>44925</v>
      </c>
      <c r="DDT614" s="5" t="s">
        <v>3728</v>
      </c>
      <c r="DDU614" s="17">
        <v>44925</v>
      </c>
      <c r="DDV614" s="5" t="s">
        <v>3728</v>
      </c>
      <c r="DDW614" s="17">
        <v>44925</v>
      </c>
      <c r="DDX614" s="5" t="s">
        <v>3728</v>
      </c>
      <c r="DDY614" s="17">
        <v>44925</v>
      </c>
      <c r="DDZ614" s="5" t="s">
        <v>3728</v>
      </c>
      <c r="DEA614" s="17">
        <v>44925</v>
      </c>
      <c r="DEB614" s="5" t="s">
        <v>3728</v>
      </c>
      <c r="DEC614" s="17">
        <v>44925</v>
      </c>
      <c r="DED614" s="5" t="s">
        <v>3728</v>
      </c>
      <c r="DEE614" s="17">
        <v>44925</v>
      </c>
      <c r="DEF614" s="5" t="s">
        <v>3728</v>
      </c>
      <c r="DEG614" s="17">
        <v>44925</v>
      </c>
      <c r="DEH614" s="5" t="s">
        <v>3728</v>
      </c>
      <c r="DEI614" s="17">
        <v>44925</v>
      </c>
      <c r="DEJ614" s="5" t="s">
        <v>3728</v>
      </c>
      <c r="DEK614" s="17">
        <v>44925</v>
      </c>
      <c r="DEL614" s="5" t="s">
        <v>3728</v>
      </c>
      <c r="DEM614" s="17">
        <v>44925</v>
      </c>
      <c r="DEN614" s="5" t="s">
        <v>3728</v>
      </c>
      <c r="DEO614" s="17">
        <v>44925</v>
      </c>
      <c r="DEP614" s="5" t="s">
        <v>3728</v>
      </c>
      <c r="DEQ614" s="17">
        <v>44925</v>
      </c>
      <c r="DER614" s="5" t="s">
        <v>3728</v>
      </c>
      <c r="DES614" s="17">
        <v>44925</v>
      </c>
      <c r="DET614" s="5" t="s">
        <v>3728</v>
      </c>
      <c r="DEU614" s="17">
        <v>44925</v>
      </c>
      <c r="DEV614" s="5" t="s">
        <v>3728</v>
      </c>
      <c r="DEW614" s="17">
        <v>44925</v>
      </c>
      <c r="DEX614" s="5" t="s">
        <v>3728</v>
      </c>
      <c r="DEY614" s="17">
        <v>44925</v>
      </c>
      <c r="DEZ614" s="5" t="s">
        <v>3728</v>
      </c>
      <c r="DFA614" s="17">
        <v>44925</v>
      </c>
      <c r="DFB614" s="5" t="s">
        <v>3728</v>
      </c>
      <c r="DFC614" s="17">
        <v>44925</v>
      </c>
      <c r="DFD614" s="5" t="s">
        <v>3728</v>
      </c>
      <c r="DFE614" s="17">
        <v>44925</v>
      </c>
      <c r="DFF614" s="5" t="s">
        <v>3728</v>
      </c>
      <c r="DFG614" s="17">
        <v>44925</v>
      </c>
      <c r="DFH614" s="5" t="s">
        <v>3728</v>
      </c>
      <c r="DFI614" s="17">
        <v>44925</v>
      </c>
      <c r="DFJ614" s="5" t="s">
        <v>3728</v>
      </c>
      <c r="DFK614" s="17">
        <v>44925</v>
      </c>
      <c r="DFL614" s="5" t="s">
        <v>3728</v>
      </c>
      <c r="DFM614" s="17">
        <v>44925</v>
      </c>
      <c r="DFN614" s="5" t="s">
        <v>3728</v>
      </c>
      <c r="DFO614" s="17">
        <v>44925</v>
      </c>
      <c r="DFP614" s="5" t="s">
        <v>3728</v>
      </c>
      <c r="DFQ614" s="17">
        <v>44925</v>
      </c>
      <c r="DFR614" s="5" t="s">
        <v>3728</v>
      </c>
      <c r="DFS614" s="17">
        <v>44925</v>
      </c>
      <c r="DFT614" s="5" t="s">
        <v>3728</v>
      </c>
      <c r="DFU614" s="17">
        <v>44925</v>
      </c>
      <c r="DFV614" s="5" t="s">
        <v>3728</v>
      </c>
      <c r="DFW614" s="17">
        <v>44925</v>
      </c>
      <c r="DFX614" s="5" t="s">
        <v>3728</v>
      </c>
      <c r="DFY614" s="17">
        <v>44925</v>
      </c>
      <c r="DFZ614" s="5" t="s">
        <v>3728</v>
      </c>
      <c r="DGA614" s="17">
        <v>44925</v>
      </c>
      <c r="DGB614" s="5" t="s">
        <v>3728</v>
      </c>
      <c r="DGC614" s="17">
        <v>44925</v>
      </c>
      <c r="DGD614" s="5" t="s">
        <v>3728</v>
      </c>
      <c r="DGE614" s="17">
        <v>44925</v>
      </c>
      <c r="DGF614" s="5" t="s">
        <v>3728</v>
      </c>
      <c r="DGG614" s="17">
        <v>44925</v>
      </c>
      <c r="DGH614" s="5" t="s">
        <v>3728</v>
      </c>
      <c r="DGI614" s="17">
        <v>44925</v>
      </c>
      <c r="DGJ614" s="5" t="s">
        <v>3728</v>
      </c>
      <c r="DGK614" s="17">
        <v>44925</v>
      </c>
      <c r="DGL614" s="5" t="s">
        <v>3728</v>
      </c>
      <c r="DGM614" s="17">
        <v>44925</v>
      </c>
      <c r="DGN614" s="5" t="s">
        <v>3728</v>
      </c>
      <c r="DGO614" s="17">
        <v>44925</v>
      </c>
      <c r="DGP614" s="5" t="s">
        <v>3728</v>
      </c>
      <c r="DGQ614" s="17">
        <v>44925</v>
      </c>
      <c r="DGR614" s="5" t="s">
        <v>3728</v>
      </c>
      <c r="DGS614" s="17">
        <v>44925</v>
      </c>
      <c r="DGT614" s="5" t="s">
        <v>3728</v>
      </c>
      <c r="DGU614" s="17">
        <v>44925</v>
      </c>
      <c r="DGV614" s="5" t="s">
        <v>3728</v>
      </c>
      <c r="DGW614" s="17">
        <v>44925</v>
      </c>
      <c r="DGX614" s="5" t="s">
        <v>3728</v>
      </c>
      <c r="DGY614" s="17">
        <v>44925</v>
      </c>
      <c r="DGZ614" s="5" t="s">
        <v>3728</v>
      </c>
      <c r="DHA614" s="17">
        <v>44925</v>
      </c>
      <c r="DHB614" s="5" t="s">
        <v>3728</v>
      </c>
      <c r="DHC614" s="17">
        <v>44925</v>
      </c>
      <c r="DHD614" s="5" t="s">
        <v>3728</v>
      </c>
      <c r="DHE614" s="17">
        <v>44925</v>
      </c>
      <c r="DHF614" s="5" t="s">
        <v>3728</v>
      </c>
      <c r="DHG614" s="17">
        <v>44925</v>
      </c>
      <c r="DHH614" s="5" t="s">
        <v>3728</v>
      </c>
      <c r="DHI614" s="17">
        <v>44925</v>
      </c>
      <c r="DHJ614" s="5" t="s">
        <v>3728</v>
      </c>
      <c r="DHK614" s="17">
        <v>44925</v>
      </c>
      <c r="DHL614" s="5" t="s">
        <v>3728</v>
      </c>
      <c r="DHM614" s="17">
        <v>44925</v>
      </c>
      <c r="DHN614" s="5" t="s">
        <v>3728</v>
      </c>
      <c r="DHO614" s="17">
        <v>44925</v>
      </c>
      <c r="DHP614" s="5" t="s">
        <v>3728</v>
      </c>
      <c r="DHQ614" s="17">
        <v>44925</v>
      </c>
      <c r="DHR614" s="5" t="s">
        <v>3728</v>
      </c>
      <c r="DHS614" s="17">
        <v>44925</v>
      </c>
      <c r="DHT614" s="5" t="s">
        <v>3728</v>
      </c>
      <c r="DHU614" s="17">
        <v>44925</v>
      </c>
      <c r="DHV614" s="5" t="s">
        <v>3728</v>
      </c>
      <c r="DHW614" s="17">
        <v>44925</v>
      </c>
      <c r="DHX614" s="5" t="s">
        <v>3728</v>
      </c>
      <c r="DHY614" s="17">
        <v>44925</v>
      </c>
      <c r="DHZ614" s="5" t="s">
        <v>3728</v>
      </c>
      <c r="DIA614" s="17">
        <v>44925</v>
      </c>
      <c r="DIB614" s="5" t="s">
        <v>3728</v>
      </c>
      <c r="DIC614" s="17">
        <v>44925</v>
      </c>
      <c r="DID614" s="5" t="s">
        <v>3728</v>
      </c>
      <c r="DIE614" s="17">
        <v>44925</v>
      </c>
      <c r="DIF614" s="5" t="s">
        <v>3728</v>
      </c>
      <c r="DIG614" s="17">
        <v>44925</v>
      </c>
      <c r="DIH614" s="5" t="s">
        <v>3728</v>
      </c>
      <c r="DII614" s="17">
        <v>44925</v>
      </c>
      <c r="DIJ614" s="5" t="s">
        <v>3728</v>
      </c>
      <c r="DIK614" s="17">
        <v>44925</v>
      </c>
      <c r="DIL614" s="5" t="s">
        <v>3728</v>
      </c>
      <c r="DIM614" s="17">
        <v>44925</v>
      </c>
      <c r="DIN614" s="5" t="s">
        <v>3728</v>
      </c>
      <c r="DIO614" s="17">
        <v>44925</v>
      </c>
      <c r="DIP614" s="5" t="s">
        <v>3728</v>
      </c>
      <c r="DIQ614" s="17">
        <v>44925</v>
      </c>
      <c r="DIR614" s="5" t="s">
        <v>3728</v>
      </c>
      <c r="DIS614" s="17">
        <v>44925</v>
      </c>
      <c r="DIT614" s="5" t="s">
        <v>3728</v>
      </c>
      <c r="DIU614" s="17">
        <v>44925</v>
      </c>
      <c r="DIV614" s="5" t="s">
        <v>3728</v>
      </c>
      <c r="DIW614" s="17">
        <v>44925</v>
      </c>
      <c r="DIX614" s="5" t="s">
        <v>3728</v>
      </c>
      <c r="DIY614" s="17">
        <v>44925</v>
      </c>
      <c r="DIZ614" s="5" t="s">
        <v>3728</v>
      </c>
      <c r="DJA614" s="17">
        <v>44925</v>
      </c>
      <c r="DJB614" s="5" t="s">
        <v>3728</v>
      </c>
      <c r="DJC614" s="17">
        <v>44925</v>
      </c>
      <c r="DJD614" s="5" t="s">
        <v>3728</v>
      </c>
      <c r="DJE614" s="17">
        <v>44925</v>
      </c>
      <c r="DJF614" s="5" t="s">
        <v>3728</v>
      </c>
      <c r="DJG614" s="17">
        <v>44925</v>
      </c>
      <c r="DJH614" s="5" t="s">
        <v>3728</v>
      </c>
      <c r="DJI614" s="17">
        <v>44925</v>
      </c>
      <c r="DJJ614" s="5" t="s">
        <v>3728</v>
      </c>
      <c r="DJK614" s="17">
        <v>44925</v>
      </c>
      <c r="DJL614" s="5" t="s">
        <v>3728</v>
      </c>
      <c r="DJM614" s="17">
        <v>44925</v>
      </c>
      <c r="DJN614" s="5" t="s">
        <v>3728</v>
      </c>
      <c r="DJO614" s="17">
        <v>44925</v>
      </c>
      <c r="DJP614" s="5" t="s">
        <v>3728</v>
      </c>
      <c r="DJQ614" s="17">
        <v>44925</v>
      </c>
      <c r="DJR614" s="5" t="s">
        <v>3728</v>
      </c>
      <c r="DJS614" s="17">
        <v>44925</v>
      </c>
      <c r="DJT614" s="5" t="s">
        <v>3728</v>
      </c>
      <c r="DJU614" s="17">
        <v>44925</v>
      </c>
      <c r="DJV614" s="5" t="s">
        <v>3728</v>
      </c>
      <c r="DJW614" s="17">
        <v>44925</v>
      </c>
      <c r="DJX614" s="5" t="s">
        <v>3728</v>
      </c>
      <c r="DJY614" s="17">
        <v>44925</v>
      </c>
      <c r="DJZ614" s="5" t="s">
        <v>3728</v>
      </c>
      <c r="DKA614" s="17">
        <v>44925</v>
      </c>
      <c r="DKB614" s="5" t="s">
        <v>3728</v>
      </c>
      <c r="DKC614" s="17">
        <v>44925</v>
      </c>
      <c r="DKD614" s="5" t="s">
        <v>3728</v>
      </c>
      <c r="DKE614" s="17">
        <v>44925</v>
      </c>
      <c r="DKF614" s="5" t="s">
        <v>3728</v>
      </c>
      <c r="DKG614" s="17">
        <v>44925</v>
      </c>
      <c r="DKH614" s="5" t="s">
        <v>3728</v>
      </c>
      <c r="DKI614" s="17">
        <v>44925</v>
      </c>
      <c r="DKJ614" s="5" t="s">
        <v>3728</v>
      </c>
      <c r="DKK614" s="17">
        <v>44925</v>
      </c>
      <c r="DKL614" s="5" t="s">
        <v>3728</v>
      </c>
      <c r="DKM614" s="17">
        <v>44925</v>
      </c>
      <c r="DKN614" s="5" t="s">
        <v>3728</v>
      </c>
      <c r="DKO614" s="17">
        <v>44925</v>
      </c>
      <c r="DKP614" s="5" t="s">
        <v>3728</v>
      </c>
      <c r="DKQ614" s="17">
        <v>44925</v>
      </c>
      <c r="DKR614" s="5" t="s">
        <v>3728</v>
      </c>
      <c r="DKS614" s="17">
        <v>44925</v>
      </c>
      <c r="DKT614" s="5" t="s">
        <v>3728</v>
      </c>
      <c r="DKU614" s="17">
        <v>44925</v>
      </c>
      <c r="DKV614" s="5" t="s">
        <v>3728</v>
      </c>
      <c r="DKW614" s="17">
        <v>44925</v>
      </c>
      <c r="DKX614" s="5" t="s">
        <v>3728</v>
      </c>
      <c r="DKY614" s="17">
        <v>44925</v>
      </c>
      <c r="DKZ614" s="5" t="s">
        <v>3728</v>
      </c>
      <c r="DLA614" s="17">
        <v>44925</v>
      </c>
      <c r="DLB614" s="5" t="s">
        <v>3728</v>
      </c>
      <c r="DLC614" s="17">
        <v>44925</v>
      </c>
      <c r="DLD614" s="5" t="s">
        <v>3728</v>
      </c>
      <c r="DLE614" s="17">
        <v>44925</v>
      </c>
      <c r="DLF614" s="5" t="s">
        <v>3728</v>
      </c>
      <c r="DLG614" s="17">
        <v>44925</v>
      </c>
      <c r="DLH614" s="5" t="s">
        <v>3728</v>
      </c>
      <c r="DLI614" s="17">
        <v>44925</v>
      </c>
      <c r="DLJ614" s="5" t="s">
        <v>3728</v>
      </c>
      <c r="DLK614" s="17">
        <v>44925</v>
      </c>
      <c r="DLL614" s="5" t="s">
        <v>3728</v>
      </c>
      <c r="DLM614" s="17">
        <v>44925</v>
      </c>
      <c r="DLN614" s="5" t="s">
        <v>3728</v>
      </c>
      <c r="DLO614" s="17">
        <v>44925</v>
      </c>
      <c r="DLP614" s="5" t="s">
        <v>3728</v>
      </c>
      <c r="DLQ614" s="17">
        <v>44925</v>
      </c>
      <c r="DLR614" s="5" t="s">
        <v>3728</v>
      </c>
      <c r="DLS614" s="17">
        <v>44925</v>
      </c>
      <c r="DLT614" s="5" t="s">
        <v>3728</v>
      </c>
      <c r="DLU614" s="17">
        <v>44925</v>
      </c>
      <c r="DLV614" s="5" t="s">
        <v>3728</v>
      </c>
      <c r="DLW614" s="17">
        <v>44925</v>
      </c>
      <c r="DLX614" s="5" t="s">
        <v>3728</v>
      </c>
      <c r="DLY614" s="17">
        <v>44925</v>
      </c>
      <c r="DLZ614" s="5" t="s">
        <v>3728</v>
      </c>
      <c r="DMA614" s="17">
        <v>44925</v>
      </c>
      <c r="DMB614" s="5" t="s">
        <v>3728</v>
      </c>
      <c r="DMC614" s="17">
        <v>44925</v>
      </c>
      <c r="DMD614" s="5" t="s">
        <v>3728</v>
      </c>
      <c r="DME614" s="17">
        <v>44925</v>
      </c>
      <c r="DMF614" s="5" t="s">
        <v>3728</v>
      </c>
      <c r="DMG614" s="17">
        <v>44925</v>
      </c>
      <c r="DMH614" s="5" t="s">
        <v>3728</v>
      </c>
      <c r="DMI614" s="17">
        <v>44925</v>
      </c>
      <c r="DMJ614" s="5" t="s">
        <v>3728</v>
      </c>
      <c r="DMK614" s="17">
        <v>44925</v>
      </c>
      <c r="DML614" s="5" t="s">
        <v>3728</v>
      </c>
      <c r="DMM614" s="17">
        <v>44925</v>
      </c>
      <c r="DMN614" s="5" t="s">
        <v>3728</v>
      </c>
      <c r="DMO614" s="17">
        <v>44925</v>
      </c>
      <c r="DMP614" s="5" t="s">
        <v>3728</v>
      </c>
      <c r="DMQ614" s="17">
        <v>44925</v>
      </c>
      <c r="DMR614" s="5" t="s">
        <v>3728</v>
      </c>
      <c r="DMS614" s="17">
        <v>44925</v>
      </c>
      <c r="DMT614" s="5" t="s">
        <v>3728</v>
      </c>
      <c r="DMU614" s="17">
        <v>44925</v>
      </c>
      <c r="DMV614" s="5" t="s">
        <v>3728</v>
      </c>
      <c r="DMW614" s="17">
        <v>44925</v>
      </c>
      <c r="DMX614" s="5" t="s">
        <v>3728</v>
      </c>
      <c r="DMY614" s="17">
        <v>44925</v>
      </c>
      <c r="DMZ614" s="5" t="s">
        <v>3728</v>
      </c>
      <c r="DNA614" s="17">
        <v>44925</v>
      </c>
      <c r="DNB614" s="5" t="s">
        <v>3728</v>
      </c>
      <c r="DNC614" s="17">
        <v>44925</v>
      </c>
      <c r="DND614" s="5" t="s">
        <v>3728</v>
      </c>
      <c r="DNE614" s="17">
        <v>44925</v>
      </c>
      <c r="DNF614" s="5" t="s">
        <v>3728</v>
      </c>
      <c r="DNG614" s="17">
        <v>44925</v>
      </c>
      <c r="DNH614" s="5" t="s">
        <v>3728</v>
      </c>
      <c r="DNI614" s="17">
        <v>44925</v>
      </c>
      <c r="DNJ614" s="5" t="s">
        <v>3728</v>
      </c>
      <c r="DNK614" s="17">
        <v>44925</v>
      </c>
      <c r="DNL614" s="5" t="s">
        <v>3728</v>
      </c>
      <c r="DNM614" s="17">
        <v>44925</v>
      </c>
      <c r="DNN614" s="5" t="s">
        <v>3728</v>
      </c>
      <c r="DNO614" s="17">
        <v>44925</v>
      </c>
      <c r="DNP614" s="5" t="s">
        <v>3728</v>
      </c>
      <c r="DNQ614" s="17">
        <v>44925</v>
      </c>
      <c r="DNR614" s="5" t="s">
        <v>3728</v>
      </c>
      <c r="DNS614" s="17">
        <v>44925</v>
      </c>
      <c r="DNT614" s="5" t="s">
        <v>3728</v>
      </c>
      <c r="DNU614" s="17">
        <v>44925</v>
      </c>
      <c r="DNV614" s="5" t="s">
        <v>3728</v>
      </c>
      <c r="DNW614" s="17">
        <v>44925</v>
      </c>
      <c r="DNX614" s="5" t="s">
        <v>3728</v>
      </c>
      <c r="DNY614" s="17">
        <v>44925</v>
      </c>
      <c r="DNZ614" s="5" t="s">
        <v>3728</v>
      </c>
      <c r="DOA614" s="17">
        <v>44925</v>
      </c>
      <c r="DOB614" s="5" t="s">
        <v>3728</v>
      </c>
      <c r="DOC614" s="17">
        <v>44925</v>
      </c>
      <c r="DOD614" s="5" t="s">
        <v>3728</v>
      </c>
      <c r="DOE614" s="17">
        <v>44925</v>
      </c>
      <c r="DOF614" s="5" t="s">
        <v>3728</v>
      </c>
      <c r="DOG614" s="17">
        <v>44925</v>
      </c>
      <c r="DOH614" s="5" t="s">
        <v>3728</v>
      </c>
      <c r="DOI614" s="17">
        <v>44925</v>
      </c>
      <c r="DOJ614" s="5" t="s">
        <v>3728</v>
      </c>
      <c r="DOK614" s="17">
        <v>44925</v>
      </c>
      <c r="DOL614" s="5" t="s">
        <v>3728</v>
      </c>
      <c r="DOM614" s="17">
        <v>44925</v>
      </c>
      <c r="DON614" s="5" t="s">
        <v>3728</v>
      </c>
      <c r="DOO614" s="17">
        <v>44925</v>
      </c>
      <c r="DOP614" s="5" t="s">
        <v>3728</v>
      </c>
      <c r="DOQ614" s="17">
        <v>44925</v>
      </c>
      <c r="DOR614" s="5" t="s">
        <v>3728</v>
      </c>
      <c r="DOS614" s="17">
        <v>44925</v>
      </c>
      <c r="DOT614" s="5" t="s">
        <v>3728</v>
      </c>
      <c r="DOU614" s="17">
        <v>44925</v>
      </c>
      <c r="DOV614" s="5" t="s">
        <v>3728</v>
      </c>
      <c r="DOW614" s="17">
        <v>44925</v>
      </c>
      <c r="DOX614" s="5" t="s">
        <v>3728</v>
      </c>
      <c r="DOY614" s="17">
        <v>44925</v>
      </c>
      <c r="DOZ614" s="5" t="s">
        <v>3728</v>
      </c>
      <c r="DPA614" s="17">
        <v>44925</v>
      </c>
      <c r="DPB614" s="5" t="s">
        <v>3728</v>
      </c>
      <c r="DPC614" s="17">
        <v>44925</v>
      </c>
      <c r="DPD614" s="5" t="s">
        <v>3728</v>
      </c>
      <c r="DPE614" s="17">
        <v>44925</v>
      </c>
      <c r="DPF614" s="5" t="s">
        <v>3728</v>
      </c>
      <c r="DPG614" s="17">
        <v>44925</v>
      </c>
      <c r="DPH614" s="5" t="s">
        <v>3728</v>
      </c>
      <c r="DPI614" s="17">
        <v>44925</v>
      </c>
      <c r="DPJ614" s="5" t="s">
        <v>3728</v>
      </c>
      <c r="DPK614" s="17">
        <v>44925</v>
      </c>
      <c r="DPL614" s="5" t="s">
        <v>3728</v>
      </c>
      <c r="DPM614" s="17">
        <v>44925</v>
      </c>
      <c r="DPN614" s="5" t="s">
        <v>3728</v>
      </c>
      <c r="DPO614" s="17">
        <v>44925</v>
      </c>
      <c r="DPP614" s="5" t="s">
        <v>3728</v>
      </c>
      <c r="DPQ614" s="17">
        <v>44925</v>
      </c>
      <c r="DPR614" s="5" t="s">
        <v>3728</v>
      </c>
      <c r="DPS614" s="17">
        <v>44925</v>
      </c>
      <c r="DPT614" s="5" t="s">
        <v>3728</v>
      </c>
      <c r="DPU614" s="17">
        <v>44925</v>
      </c>
      <c r="DPV614" s="5" t="s">
        <v>3728</v>
      </c>
      <c r="DPW614" s="17">
        <v>44925</v>
      </c>
      <c r="DPX614" s="5" t="s">
        <v>3728</v>
      </c>
      <c r="DPY614" s="17">
        <v>44925</v>
      </c>
      <c r="DPZ614" s="5" t="s">
        <v>3728</v>
      </c>
      <c r="DQA614" s="17">
        <v>44925</v>
      </c>
      <c r="DQB614" s="5" t="s">
        <v>3728</v>
      </c>
      <c r="DQC614" s="17">
        <v>44925</v>
      </c>
      <c r="DQD614" s="5" t="s">
        <v>3728</v>
      </c>
      <c r="DQE614" s="17">
        <v>44925</v>
      </c>
      <c r="DQF614" s="5" t="s">
        <v>3728</v>
      </c>
      <c r="DQG614" s="17">
        <v>44925</v>
      </c>
      <c r="DQH614" s="5" t="s">
        <v>3728</v>
      </c>
      <c r="DQI614" s="17">
        <v>44925</v>
      </c>
      <c r="DQJ614" s="5" t="s">
        <v>3728</v>
      </c>
      <c r="DQK614" s="17">
        <v>44925</v>
      </c>
      <c r="DQL614" s="5" t="s">
        <v>3728</v>
      </c>
      <c r="DQM614" s="17">
        <v>44925</v>
      </c>
      <c r="DQN614" s="5" t="s">
        <v>3728</v>
      </c>
      <c r="DQO614" s="17">
        <v>44925</v>
      </c>
      <c r="DQP614" s="5" t="s">
        <v>3728</v>
      </c>
      <c r="DQQ614" s="17">
        <v>44925</v>
      </c>
      <c r="DQR614" s="5" t="s">
        <v>3728</v>
      </c>
      <c r="DQS614" s="17">
        <v>44925</v>
      </c>
      <c r="DQT614" s="5" t="s">
        <v>3728</v>
      </c>
      <c r="DQU614" s="17">
        <v>44925</v>
      </c>
      <c r="DQV614" s="5" t="s">
        <v>3728</v>
      </c>
      <c r="DQW614" s="17">
        <v>44925</v>
      </c>
      <c r="DQX614" s="5" t="s">
        <v>3728</v>
      </c>
      <c r="DQY614" s="17">
        <v>44925</v>
      </c>
      <c r="DQZ614" s="5" t="s">
        <v>3728</v>
      </c>
      <c r="DRA614" s="17">
        <v>44925</v>
      </c>
      <c r="DRB614" s="5" t="s">
        <v>3728</v>
      </c>
      <c r="DRC614" s="17">
        <v>44925</v>
      </c>
      <c r="DRD614" s="5" t="s">
        <v>3728</v>
      </c>
      <c r="DRE614" s="17">
        <v>44925</v>
      </c>
      <c r="DRF614" s="5" t="s">
        <v>3728</v>
      </c>
      <c r="DRG614" s="17">
        <v>44925</v>
      </c>
      <c r="DRH614" s="5" t="s">
        <v>3728</v>
      </c>
      <c r="DRI614" s="17">
        <v>44925</v>
      </c>
      <c r="DRJ614" s="5" t="s">
        <v>3728</v>
      </c>
      <c r="DRK614" s="17">
        <v>44925</v>
      </c>
      <c r="DRL614" s="5" t="s">
        <v>3728</v>
      </c>
      <c r="DRM614" s="17">
        <v>44925</v>
      </c>
      <c r="DRN614" s="5" t="s">
        <v>3728</v>
      </c>
      <c r="DRO614" s="17">
        <v>44925</v>
      </c>
      <c r="DRP614" s="5" t="s">
        <v>3728</v>
      </c>
      <c r="DRQ614" s="17">
        <v>44925</v>
      </c>
      <c r="DRR614" s="5" t="s">
        <v>3728</v>
      </c>
      <c r="DRS614" s="17">
        <v>44925</v>
      </c>
      <c r="DRT614" s="5" t="s">
        <v>3728</v>
      </c>
      <c r="DRU614" s="17">
        <v>44925</v>
      </c>
      <c r="DRV614" s="5" t="s">
        <v>3728</v>
      </c>
      <c r="DRW614" s="17">
        <v>44925</v>
      </c>
      <c r="DRX614" s="5" t="s">
        <v>3728</v>
      </c>
      <c r="DRY614" s="17">
        <v>44925</v>
      </c>
      <c r="DRZ614" s="5" t="s">
        <v>3728</v>
      </c>
      <c r="DSA614" s="17">
        <v>44925</v>
      </c>
      <c r="DSB614" s="5" t="s">
        <v>3728</v>
      </c>
      <c r="DSC614" s="17">
        <v>44925</v>
      </c>
      <c r="DSD614" s="5" t="s">
        <v>3728</v>
      </c>
      <c r="DSE614" s="17">
        <v>44925</v>
      </c>
      <c r="DSF614" s="5" t="s">
        <v>3728</v>
      </c>
      <c r="DSG614" s="17">
        <v>44925</v>
      </c>
      <c r="DSH614" s="5" t="s">
        <v>3728</v>
      </c>
      <c r="DSI614" s="17">
        <v>44925</v>
      </c>
      <c r="DSJ614" s="5" t="s">
        <v>3728</v>
      </c>
      <c r="DSK614" s="17">
        <v>44925</v>
      </c>
      <c r="DSL614" s="5" t="s">
        <v>3728</v>
      </c>
      <c r="DSM614" s="17">
        <v>44925</v>
      </c>
      <c r="DSN614" s="5" t="s">
        <v>3728</v>
      </c>
      <c r="DSO614" s="17">
        <v>44925</v>
      </c>
      <c r="DSP614" s="5" t="s">
        <v>3728</v>
      </c>
      <c r="DSQ614" s="17">
        <v>44925</v>
      </c>
      <c r="DSR614" s="5" t="s">
        <v>3728</v>
      </c>
      <c r="DSS614" s="17">
        <v>44925</v>
      </c>
      <c r="DST614" s="5" t="s">
        <v>3728</v>
      </c>
      <c r="DSU614" s="17">
        <v>44925</v>
      </c>
      <c r="DSV614" s="5" t="s">
        <v>3728</v>
      </c>
      <c r="DSW614" s="17">
        <v>44925</v>
      </c>
      <c r="DSX614" s="5" t="s">
        <v>3728</v>
      </c>
      <c r="DSY614" s="17">
        <v>44925</v>
      </c>
      <c r="DSZ614" s="5" t="s">
        <v>3728</v>
      </c>
      <c r="DTA614" s="17">
        <v>44925</v>
      </c>
      <c r="DTB614" s="5" t="s">
        <v>3728</v>
      </c>
      <c r="DTC614" s="17">
        <v>44925</v>
      </c>
      <c r="DTD614" s="5" t="s">
        <v>3728</v>
      </c>
      <c r="DTE614" s="17">
        <v>44925</v>
      </c>
      <c r="DTF614" s="5" t="s">
        <v>3728</v>
      </c>
      <c r="DTG614" s="17">
        <v>44925</v>
      </c>
      <c r="DTH614" s="5" t="s">
        <v>3728</v>
      </c>
      <c r="DTI614" s="17">
        <v>44925</v>
      </c>
      <c r="DTJ614" s="5" t="s">
        <v>3728</v>
      </c>
      <c r="DTK614" s="17">
        <v>44925</v>
      </c>
      <c r="DTL614" s="5" t="s">
        <v>3728</v>
      </c>
      <c r="DTM614" s="17">
        <v>44925</v>
      </c>
      <c r="DTN614" s="5" t="s">
        <v>3728</v>
      </c>
      <c r="DTO614" s="17">
        <v>44925</v>
      </c>
      <c r="DTP614" s="5" t="s">
        <v>3728</v>
      </c>
      <c r="DTQ614" s="17">
        <v>44925</v>
      </c>
      <c r="DTR614" s="5" t="s">
        <v>3728</v>
      </c>
      <c r="DTS614" s="17">
        <v>44925</v>
      </c>
      <c r="DTT614" s="5" t="s">
        <v>3728</v>
      </c>
      <c r="DTU614" s="17">
        <v>44925</v>
      </c>
      <c r="DTV614" s="5" t="s">
        <v>3728</v>
      </c>
      <c r="DTW614" s="17">
        <v>44925</v>
      </c>
      <c r="DTX614" s="5" t="s">
        <v>3728</v>
      </c>
      <c r="DTY614" s="17">
        <v>44925</v>
      </c>
      <c r="DTZ614" s="5" t="s">
        <v>3728</v>
      </c>
      <c r="DUA614" s="17">
        <v>44925</v>
      </c>
      <c r="DUB614" s="5" t="s">
        <v>3728</v>
      </c>
      <c r="DUC614" s="17">
        <v>44925</v>
      </c>
      <c r="DUD614" s="5" t="s">
        <v>3728</v>
      </c>
      <c r="DUE614" s="17">
        <v>44925</v>
      </c>
      <c r="DUF614" s="5" t="s">
        <v>3728</v>
      </c>
      <c r="DUG614" s="17">
        <v>44925</v>
      </c>
      <c r="DUH614" s="5" t="s">
        <v>3728</v>
      </c>
      <c r="DUI614" s="17">
        <v>44925</v>
      </c>
      <c r="DUJ614" s="5" t="s">
        <v>3728</v>
      </c>
      <c r="DUK614" s="17">
        <v>44925</v>
      </c>
      <c r="DUL614" s="5" t="s">
        <v>3728</v>
      </c>
      <c r="DUM614" s="17">
        <v>44925</v>
      </c>
      <c r="DUN614" s="5" t="s">
        <v>3728</v>
      </c>
      <c r="DUO614" s="17">
        <v>44925</v>
      </c>
      <c r="DUP614" s="5" t="s">
        <v>3728</v>
      </c>
      <c r="DUQ614" s="17">
        <v>44925</v>
      </c>
      <c r="DUR614" s="5" t="s">
        <v>3728</v>
      </c>
      <c r="DUS614" s="17">
        <v>44925</v>
      </c>
      <c r="DUT614" s="5" t="s">
        <v>3728</v>
      </c>
      <c r="DUU614" s="17">
        <v>44925</v>
      </c>
      <c r="DUV614" s="5" t="s">
        <v>3728</v>
      </c>
      <c r="DUW614" s="17">
        <v>44925</v>
      </c>
      <c r="DUX614" s="5" t="s">
        <v>3728</v>
      </c>
      <c r="DUY614" s="17">
        <v>44925</v>
      </c>
      <c r="DUZ614" s="5" t="s">
        <v>3728</v>
      </c>
      <c r="DVA614" s="17">
        <v>44925</v>
      </c>
      <c r="DVB614" s="5" t="s">
        <v>3728</v>
      </c>
      <c r="DVC614" s="17">
        <v>44925</v>
      </c>
      <c r="DVD614" s="5" t="s">
        <v>3728</v>
      </c>
      <c r="DVE614" s="17">
        <v>44925</v>
      </c>
      <c r="DVF614" s="5" t="s">
        <v>3728</v>
      </c>
      <c r="DVG614" s="17">
        <v>44925</v>
      </c>
      <c r="DVH614" s="5" t="s">
        <v>3728</v>
      </c>
      <c r="DVI614" s="17">
        <v>44925</v>
      </c>
      <c r="DVJ614" s="5" t="s">
        <v>3728</v>
      </c>
      <c r="DVK614" s="17">
        <v>44925</v>
      </c>
      <c r="DVL614" s="5" t="s">
        <v>3728</v>
      </c>
      <c r="DVM614" s="17">
        <v>44925</v>
      </c>
      <c r="DVN614" s="5" t="s">
        <v>3728</v>
      </c>
      <c r="DVO614" s="17">
        <v>44925</v>
      </c>
      <c r="DVP614" s="5" t="s">
        <v>3728</v>
      </c>
      <c r="DVQ614" s="17">
        <v>44925</v>
      </c>
      <c r="DVR614" s="5" t="s">
        <v>3728</v>
      </c>
      <c r="DVS614" s="17">
        <v>44925</v>
      </c>
      <c r="DVT614" s="5" t="s">
        <v>3728</v>
      </c>
      <c r="DVU614" s="17">
        <v>44925</v>
      </c>
      <c r="DVV614" s="5" t="s">
        <v>3728</v>
      </c>
      <c r="DVW614" s="17">
        <v>44925</v>
      </c>
      <c r="DVX614" s="5" t="s">
        <v>3728</v>
      </c>
      <c r="DVY614" s="17">
        <v>44925</v>
      </c>
      <c r="DVZ614" s="5" t="s">
        <v>3728</v>
      </c>
      <c r="DWA614" s="17">
        <v>44925</v>
      </c>
      <c r="DWB614" s="5" t="s">
        <v>3728</v>
      </c>
      <c r="DWC614" s="17">
        <v>44925</v>
      </c>
      <c r="DWD614" s="5" t="s">
        <v>3728</v>
      </c>
      <c r="DWE614" s="17">
        <v>44925</v>
      </c>
      <c r="DWF614" s="5" t="s">
        <v>3728</v>
      </c>
      <c r="DWG614" s="17">
        <v>44925</v>
      </c>
      <c r="DWH614" s="5" t="s">
        <v>3728</v>
      </c>
      <c r="DWI614" s="17">
        <v>44925</v>
      </c>
      <c r="DWJ614" s="5" t="s">
        <v>3728</v>
      </c>
      <c r="DWK614" s="17">
        <v>44925</v>
      </c>
      <c r="DWL614" s="5" t="s">
        <v>3728</v>
      </c>
      <c r="DWM614" s="17">
        <v>44925</v>
      </c>
      <c r="DWN614" s="5" t="s">
        <v>3728</v>
      </c>
      <c r="DWO614" s="17">
        <v>44925</v>
      </c>
      <c r="DWP614" s="5" t="s">
        <v>3728</v>
      </c>
      <c r="DWQ614" s="17">
        <v>44925</v>
      </c>
      <c r="DWR614" s="5" t="s">
        <v>3728</v>
      </c>
      <c r="DWS614" s="17">
        <v>44925</v>
      </c>
      <c r="DWT614" s="5" t="s">
        <v>3728</v>
      </c>
      <c r="DWU614" s="17">
        <v>44925</v>
      </c>
      <c r="DWV614" s="5" t="s">
        <v>3728</v>
      </c>
      <c r="DWW614" s="17">
        <v>44925</v>
      </c>
      <c r="DWX614" s="5" t="s">
        <v>3728</v>
      </c>
      <c r="DWY614" s="17">
        <v>44925</v>
      </c>
      <c r="DWZ614" s="5" t="s">
        <v>3728</v>
      </c>
      <c r="DXA614" s="17">
        <v>44925</v>
      </c>
      <c r="DXB614" s="5" t="s">
        <v>3728</v>
      </c>
      <c r="DXC614" s="17">
        <v>44925</v>
      </c>
      <c r="DXD614" s="5" t="s">
        <v>3728</v>
      </c>
      <c r="DXE614" s="17">
        <v>44925</v>
      </c>
      <c r="DXF614" s="5" t="s">
        <v>3728</v>
      </c>
      <c r="DXG614" s="17">
        <v>44925</v>
      </c>
      <c r="DXH614" s="5" t="s">
        <v>3728</v>
      </c>
      <c r="DXI614" s="17">
        <v>44925</v>
      </c>
      <c r="DXJ614" s="5" t="s">
        <v>3728</v>
      </c>
      <c r="DXK614" s="17">
        <v>44925</v>
      </c>
      <c r="DXL614" s="5" t="s">
        <v>3728</v>
      </c>
      <c r="DXM614" s="17">
        <v>44925</v>
      </c>
      <c r="DXN614" s="5" t="s">
        <v>3728</v>
      </c>
      <c r="DXO614" s="17">
        <v>44925</v>
      </c>
      <c r="DXP614" s="5" t="s">
        <v>3728</v>
      </c>
      <c r="DXQ614" s="17">
        <v>44925</v>
      </c>
      <c r="DXR614" s="5" t="s">
        <v>3728</v>
      </c>
      <c r="DXS614" s="17">
        <v>44925</v>
      </c>
      <c r="DXT614" s="5" t="s">
        <v>3728</v>
      </c>
      <c r="DXU614" s="17">
        <v>44925</v>
      </c>
      <c r="DXV614" s="5" t="s">
        <v>3728</v>
      </c>
      <c r="DXW614" s="17">
        <v>44925</v>
      </c>
      <c r="DXX614" s="5" t="s">
        <v>3728</v>
      </c>
      <c r="DXY614" s="17">
        <v>44925</v>
      </c>
      <c r="DXZ614" s="5" t="s">
        <v>3728</v>
      </c>
      <c r="DYA614" s="17">
        <v>44925</v>
      </c>
      <c r="DYB614" s="5" t="s">
        <v>3728</v>
      </c>
      <c r="DYC614" s="17">
        <v>44925</v>
      </c>
      <c r="DYD614" s="5" t="s">
        <v>3728</v>
      </c>
      <c r="DYE614" s="17">
        <v>44925</v>
      </c>
      <c r="DYF614" s="5" t="s">
        <v>3728</v>
      </c>
      <c r="DYG614" s="17">
        <v>44925</v>
      </c>
      <c r="DYH614" s="5" t="s">
        <v>3728</v>
      </c>
      <c r="DYI614" s="17">
        <v>44925</v>
      </c>
      <c r="DYJ614" s="5" t="s">
        <v>3728</v>
      </c>
      <c r="DYK614" s="17">
        <v>44925</v>
      </c>
      <c r="DYL614" s="5" t="s">
        <v>3728</v>
      </c>
      <c r="DYM614" s="17">
        <v>44925</v>
      </c>
      <c r="DYN614" s="5" t="s">
        <v>3728</v>
      </c>
      <c r="DYO614" s="17">
        <v>44925</v>
      </c>
      <c r="DYP614" s="5" t="s">
        <v>3728</v>
      </c>
      <c r="DYQ614" s="17">
        <v>44925</v>
      </c>
      <c r="DYR614" s="5" t="s">
        <v>3728</v>
      </c>
      <c r="DYS614" s="17">
        <v>44925</v>
      </c>
      <c r="DYT614" s="5" t="s">
        <v>3728</v>
      </c>
      <c r="DYU614" s="17">
        <v>44925</v>
      </c>
      <c r="DYV614" s="5" t="s">
        <v>3728</v>
      </c>
      <c r="DYW614" s="17">
        <v>44925</v>
      </c>
      <c r="DYX614" s="5" t="s">
        <v>3728</v>
      </c>
      <c r="DYY614" s="17">
        <v>44925</v>
      </c>
      <c r="DYZ614" s="5" t="s">
        <v>3728</v>
      </c>
      <c r="DZA614" s="17">
        <v>44925</v>
      </c>
      <c r="DZB614" s="5" t="s">
        <v>3728</v>
      </c>
      <c r="DZC614" s="17">
        <v>44925</v>
      </c>
      <c r="DZD614" s="5" t="s">
        <v>3728</v>
      </c>
      <c r="DZE614" s="17">
        <v>44925</v>
      </c>
      <c r="DZF614" s="5" t="s">
        <v>3728</v>
      </c>
      <c r="DZG614" s="17">
        <v>44925</v>
      </c>
      <c r="DZH614" s="5" t="s">
        <v>3728</v>
      </c>
      <c r="DZI614" s="17">
        <v>44925</v>
      </c>
      <c r="DZJ614" s="5" t="s">
        <v>3728</v>
      </c>
      <c r="DZK614" s="17">
        <v>44925</v>
      </c>
      <c r="DZL614" s="5" t="s">
        <v>3728</v>
      </c>
      <c r="DZM614" s="17">
        <v>44925</v>
      </c>
      <c r="DZN614" s="5" t="s">
        <v>3728</v>
      </c>
      <c r="DZO614" s="17">
        <v>44925</v>
      </c>
      <c r="DZP614" s="5" t="s">
        <v>3728</v>
      </c>
      <c r="DZQ614" s="17">
        <v>44925</v>
      </c>
      <c r="DZR614" s="5" t="s">
        <v>3728</v>
      </c>
      <c r="DZS614" s="17">
        <v>44925</v>
      </c>
      <c r="DZT614" s="5" t="s">
        <v>3728</v>
      </c>
      <c r="DZU614" s="17">
        <v>44925</v>
      </c>
      <c r="DZV614" s="5" t="s">
        <v>3728</v>
      </c>
      <c r="DZW614" s="17">
        <v>44925</v>
      </c>
      <c r="DZX614" s="5" t="s">
        <v>3728</v>
      </c>
      <c r="DZY614" s="17">
        <v>44925</v>
      </c>
      <c r="DZZ614" s="5" t="s">
        <v>3728</v>
      </c>
      <c r="EAA614" s="17">
        <v>44925</v>
      </c>
      <c r="EAB614" s="5" t="s">
        <v>3728</v>
      </c>
      <c r="EAC614" s="17">
        <v>44925</v>
      </c>
      <c r="EAD614" s="5" t="s">
        <v>3728</v>
      </c>
      <c r="EAE614" s="17">
        <v>44925</v>
      </c>
      <c r="EAF614" s="5" t="s">
        <v>3728</v>
      </c>
      <c r="EAG614" s="17">
        <v>44925</v>
      </c>
      <c r="EAH614" s="5" t="s">
        <v>3728</v>
      </c>
      <c r="EAI614" s="17">
        <v>44925</v>
      </c>
      <c r="EAJ614" s="5" t="s">
        <v>3728</v>
      </c>
      <c r="EAK614" s="17">
        <v>44925</v>
      </c>
      <c r="EAL614" s="5" t="s">
        <v>3728</v>
      </c>
      <c r="EAM614" s="17">
        <v>44925</v>
      </c>
      <c r="EAN614" s="5" t="s">
        <v>3728</v>
      </c>
      <c r="EAO614" s="17">
        <v>44925</v>
      </c>
      <c r="EAP614" s="5" t="s">
        <v>3728</v>
      </c>
      <c r="EAQ614" s="17">
        <v>44925</v>
      </c>
      <c r="EAR614" s="5" t="s">
        <v>3728</v>
      </c>
      <c r="EAS614" s="17">
        <v>44925</v>
      </c>
      <c r="EAT614" s="5" t="s">
        <v>3728</v>
      </c>
      <c r="EAU614" s="17">
        <v>44925</v>
      </c>
      <c r="EAV614" s="5" t="s">
        <v>3728</v>
      </c>
      <c r="EAW614" s="17">
        <v>44925</v>
      </c>
      <c r="EAX614" s="5" t="s">
        <v>3728</v>
      </c>
      <c r="EAY614" s="17">
        <v>44925</v>
      </c>
      <c r="EAZ614" s="5" t="s">
        <v>3728</v>
      </c>
      <c r="EBA614" s="17">
        <v>44925</v>
      </c>
      <c r="EBB614" s="5" t="s">
        <v>3728</v>
      </c>
      <c r="EBC614" s="17">
        <v>44925</v>
      </c>
      <c r="EBD614" s="5" t="s">
        <v>3728</v>
      </c>
      <c r="EBE614" s="17">
        <v>44925</v>
      </c>
      <c r="EBF614" s="5" t="s">
        <v>3728</v>
      </c>
      <c r="EBG614" s="17">
        <v>44925</v>
      </c>
      <c r="EBH614" s="5" t="s">
        <v>3728</v>
      </c>
      <c r="EBI614" s="17">
        <v>44925</v>
      </c>
      <c r="EBJ614" s="5" t="s">
        <v>3728</v>
      </c>
      <c r="EBK614" s="17">
        <v>44925</v>
      </c>
      <c r="EBL614" s="5" t="s">
        <v>3728</v>
      </c>
      <c r="EBM614" s="17">
        <v>44925</v>
      </c>
      <c r="EBN614" s="5" t="s">
        <v>3728</v>
      </c>
      <c r="EBO614" s="17">
        <v>44925</v>
      </c>
      <c r="EBP614" s="5" t="s">
        <v>3728</v>
      </c>
      <c r="EBQ614" s="17">
        <v>44925</v>
      </c>
      <c r="EBR614" s="5" t="s">
        <v>3728</v>
      </c>
      <c r="EBS614" s="17">
        <v>44925</v>
      </c>
      <c r="EBT614" s="5" t="s">
        <v>3728</v>
      </c>
      <c r="EBU614" s="17">
        <v>44925</v>
      </c>
      <c r="EBV614" s="5" t="s">
        <v>3728</v>
      </c>
      <c r="EBW614" s="17">
        <v>44925</v>
      </c>
      <c r="EBX614" s="5" t="s">
        <v>3728</v>
      </c>
      <c r="EBY614" s="17">
        <v>44925</v>
      </c>
      <c r="EBZ614" s="5" t="s">
        <v>3728</v>
      </c>
      <c r="ECA614" s="17">
        <v>44925</v>
      </c>
      <c r="ECB614" s="5" t="s">
        <v>3728</v>
      </c>
      <c r="ECC614" s="17">
        <v>44925</v>
      </c>
      <c r="ECD614" s="5" t="s">
        <v>3728</v>
      </c>
      <c r="ECE614" s="17">
        <v>44925</v>
      </c>
      <c r="ECF614" s="5" t="s">
        <v>3728</v>
      </c>
      <c r="ECG614" s="17">
        <v>44925</v>
      </c>
      <c r="ECH614" s="5" t="s">
        <v>3728</v>
      </c>
      <c r="ECI614" s="17">
        <v>44925</v>
      </c>
      <c r="ECJ614" s="5" t="s">
        <v>3728</v>
      </c>
      <c r="ECK614" s="17">
        <v>44925</v>
      </c>
      <c r="ECL614" s="5" t="s">
        <v>3728</v>
      </c>
      <c r="ECM614" s="17">
        <v>44925</v>
      </c>
      <c r="ECN614" s="5" t="s">
        <v>3728</v>
      </c>
      <c r="ECO614" s="17">
        <v>44925</v>
      </c>
      <c r="ECP614" s="5" t="s">
        <v>3728</v>
      </c>
      <c r="ECQ614" s="17">
        <v>44925</v>
      </c>
      <c r="ECR614" s="5" t="s">
        <v>3728</v>
      </c>
      <c r="ECS614" s="17">
        <v>44925</v>
      </c>
      <c r="ECT614" s="5" t="s">
        <v>3728</v>
      </c>
      <c r="ECU614" s="17">
        <v>44925</v>
      </c>
      <c r="ECV614" s="5" t="s">
        <v>3728</v>
      </c>
      <c r="ECW614" s="17">
        <v>44925</v>
      </c>
      <c r="ECX614" s="5" t="s">
        <v>3728</v>
      </c>
      <c r="ECY614" s="17">
        <v>44925</v>
      </c>
      <c r="ECZ614" s="5" t="s">
        <v>3728</v>
      </c>
      <c r="EDA614" s="17">
        <v>44925</v>
      </c>
      <c r="EDB614" s="5" t="s">
        <v>3728</v>
      </c>
      <c r="EDC614" s="17">
        <v>44925</v>
      </c>
      <c r="EDD614" s="5" t="s">
        <v>3728</v>
      </c>
      <c r="EDE614" s="17">
        <v>44925</v>
      </c>
      <c r="EDF614" s="5" t="s">
        <v>3728</v>
      </c>
      <c r="EDG614" s="17">
        <v>44925</v>
      </c>
      <c r="EDH614" s="5" t="s">
        <v>3728</v>
      </c>
      <c r="EDI614" s="17">
        <v>44925</v>
      </c>
      <c r="EDJ614" s="5" t="s">
        <v>3728</v>
      </c>
      <c r="EDK614" s="17">
        <v>44925</v>
      </c>
      <c r="EDL614" s="5" t="s">
        <v>3728</v>
      </c>
      <c r="EDM614" s="17">
        <v>44925</v>
      </c>
      <c r="EDN614" s="5" t="s">
        <v>3728</v>
      </c>
      <c r="EDO614" s="17">
        <v>44925</v>
      </c>
      <c r="EDP614" s="5" t="s">
        <v>3728</v>
      </c>
      <c r="EDQ614" s="17">
        <v>44925</v>
      </c>
      <c r="EDR614" s="5" t="s">
        <v>3728</v>
      </c>
      <c r="EDS614" s="17">
        <v>44925</v>
      </c>
      <c r="EDT614" s="5" t="s">
        <v>3728</v>
      </c>
      <c r="EDU614" s="17">
        <v>44925</v>
      </c>
      <c r="EDV614" s="5" t="s">
        <v>3728</v>
      </c>
      <c r="EDW614" s="17">
        <v>44925</v>
      </c>
      <c r="EDX614" s="5" t="s">
        <v>3728</v>
      </c>
      <c r="EDY614" s="17">
        <v>44925</v>
      </c>
      <c r="EDZ614" s="5" t="s">
        <v>3728</v>
      </c>
      <c r="EEA614" s="17">
        <v>44925</v>
      </c>
      <c r="EEB614" s="5" t="s">
        <v>3728</v>
      </c>
      <c r="EEC614" s="17">
        <v>44925</v>
      </c>
      <c r="EED614" s="5" t="s">
        <v>3728</v>
      </c>
      <c r="EEE614" s="17">
        <v>44925</v>
      </c>
      <c r="EEF614" s="5" t="s">
        <v>3728</v>
      </c>
      <c r="EEG614" s="17">
        <v>44925</v>
      </c>
      <c r="EEH614" s="5" t="s">
        <v>3728</v>
      </c>
      <c r="EEI614" s="17">
        <v>44925</v>
      </c>
      <c r="EEJ614" s="5" t="s">
        <v>3728</v>
      </c>
      <c r="EEK614" s="17">
        <v>44925</v>
      </c>
      <c r="EEL614" s="5" t="s">
        <v>3728</v>
      </c>
      <c r="EEM614" s="17">
        <v>44925</v>
      </c>
      <c r="EEN614" s="5" t="s">
        <v>3728</v>
      </c>
      <c r="EEO614" s="17">
        <v>44925</v>
      </c>
      <c r="EEP614" s="5" t="s">
        <v>3728</v>
      </c>
      <c r="EEQ614" s="17">
        <v>44925</v>
      </c>
      <c r="EER614" s="5" t="s">
        <v>3728</v>
      </c>
      <c r="EES614" s="17">
        <v>44925</v>
      </c>
      <c r="EET614" s="5" t="s">
        <v>3728</v>
      </c>
      <c r="EEU614" s="17">
        <v>44925</v>
      </c>
      <c r="EEV614" s="5" t="s">
        <v>3728</v>
      </c>
      <c r="EEW614" s="17">
        <v>44925</v>
      </c>
      <c r="EEX614" s="5" t="s">
        <v>3728</v>
      </c>
      <c r="EEY614" s="17">
        <v>44925</v>
      </c>
      <c r="EEZ614" s="5" t="s">
        <v>3728</v>
      </c>
      <c r="EFA614" s="17">
        <v>44925</v>
      </c>
      <c r="EFB614" s="5" t="s">
        <v>3728</v>
      </c>
      <c r="EFC614" s="17">
        <v>44925</v>
      </c>
      <c r="EFD614" s="5" t="s">
        <v>3728</v>
      </c>
      <c r="EFE614" s="17">
        <v>44925</v>
      </c>
      <c r="EFF614" s="5" t="s">
        <v>3728</v>
      </c>
      <c r="EFG614" s="17">
        <v>44925</v>
      </c>
      <c r="EFH614" s="5" t="s">
        <v>3728</v>
      </c>
      <c r="EFI614" s="17">
        <v>44925</v>
      </c>
      <c r="EFJ614" s="5" t="s">
        <v>3728</v>
      </c>
      <c r="EFK614" s="17">
        <v>44925</v>
      </c>
      <c r="EFL614" s="5" t="s">
        <v>3728</v>
      </c>
      <c r="EFM614" s="17">
        <v>44925</v>
      </c>
      <c r="EFN614" s="5" t="s">
        <v>3728</v>
      </c>
      <c r="EFO614" s="17">
        <v>44925</v>
      </c>
      <c r="EFP614" s="5" t="s">
        <v>3728</v>
      </c>
      <c r="EFQ614" s="17">
        <v>44925</v>
      </c>
      <c r="EFR614" s="5" t="s">
        <v>3728</v>
      </c>
      <c r="EFS614" s="17">
        <v>44925</v>
      </c>
      <c r="EFT614" s="5" t="s">
        <v>3728</v>
      </c>
      <c r="EFU614" s="17">
        <v>44925</v>
      </c>
      <c r="EFV614" s="5" t="s">
        <v>3728</v>
      </c>
      <c r="EFW614" s="17">
        <v>44925</v>
      </c>
      <c r="EFX614" s="5" t="s">
        <v>3728</v>
      </c>
      <c r="EFY614" s="17">
        <v>44925</v>
      </c>
      <c r="EFZ614" s="5" t="s">
        <v>3728</v>
      </c>
      <c r="EGA614" s="17">
        <v>44925</v>
      </c>
      <c r="EGB614" s="5" t="s">
        <v>3728</v>
      </c>
      <c r="EGC614" s="17">
        <v>44925</v>
      </c>
      <c r="EGD614" s="5" t="s">
        <v>3728</v>
      </c>
      <c r="EGE614" s="17">
        <v>44925</v>
      </c>
      <c r="EGF614" s="5" t="s">
        <v>3728</v>
      </c>
      <c r="EGG614" s="17">
        <v>44925</v>
      </c>
      <c r="EGH614" s="5" t="s">
        <v>3728</v>
      </c>
      <c r="EGI614" s="17">
        <v>44925</v>
      </c>
      <c r="EGJ614" s="5" t="s">
        <v>3728</v>
      </c>
      <c r="EGK614" s="17">
        <v>44925</v>
      </c>
      <c r="EGL614" s="5" t="s">
        <v>3728</v>
      </c>
      <c r="EGM614" s="17">
        <v>44925</v>
      </c>
      <c r="EGN614" s="5" t="s">
        <v>3728</v>
      </c>
      <c r="EGO614" s="17">
        <v>44925</v>
      </c>
      <c r="EGP614" s="5" t="s">
        <v>3728</v>
      </c>
      <c r="EGQ614" s="17">
        <v>44925</v>
      </c>
      <c r="EGR614" s="5" t="s">
        <v>3728</v>
      </c>
      <c r="EGS614" s="17">
        <v>44925</v>
      </c>
      <c r="EGT614" s="5" t="s">
        <v>3728</v>
      </c>
      <c r="EGU614" s="17">
        <v>44925</v>
      </c>
      <c r="EGV614" s="5" t="s">
        <v>3728</v>
      </c>
      <c r="EGW614" s="17">
        <v>44925</v>
      </c>
      <c r="EGX614" s="5" t="s">
        <v>3728</v>
      </c>
      <c r="EGY614" s="17">
        <v>44925</v>
      </c>
      <c r="EGZ614" s="5" t="s">
        <v>3728</v>
      </c>
      <c r="EHA614" s="17">
        <v>44925</v>
      </c>
      <c r="EHB614" s="5" t="s">
        <v>3728</v>
      </c>
      <c r="EHC614" s="17">
        <v>44925</v>
      </c>
      <c r="EHD614" s="5" t="s">
        <v>3728</v>
      </c>
      <c r="EHE614" s="17">
        <v>44925</v>
      </c>
      <c r="EHF614" s="5" t="s">
        <v>3728</v>
      </c>
      <c r="EHG614" s="17">
        <v>44925</v>
      </c>
      <c r="EHH614" s="5" t="s">
        <v>3728</v>
      </c>
      <c r="EHI614" s="17">
        <v>44925</v>
      </c>
      <c r="EHJ614" s="5" t="s">
        <v>3728</v>
      </c>
      <c r="EHK614" s="17">
        <v>44925</v>
      </c>
      <c r="EHL614" s="5" t="s">
        <v>3728</v>
      </c>
      <c r="EHM614" s="17">
        <v>44925</v>
      </c>
      <c r="EHN614" s="5" t="s">
        <v>3728</v>
      </c>
      <c r="EHO614" s="17">
        <v>44925</v>
      </c>
      <c r="EHP614" s="5" t="s">
        <v>3728</v>
      </c>
      <c r="EHQ614" s="17">
        <v>44925</v>
      </c>
      <c r="EHR614" s="5" t="s">
        <v>3728</v>
      </c>
      <c r="EHS614" s="17">
        <v>44925</v>
      </c>
      <c r="EHT614" s="5" t="s">
        <v>3728</v>
      </c>
      <c r="EHU614" s="17">
        <v>44925</v>
      </c>
      <c r="EHV614" s="5" t="s">
        <v>3728</v>
      </c>
      <c r="EHW614" s="17">
        <v>44925</v>
      </c>
      <c r="EHX614" s="5" t="s">
        <v>3728</v>
      </c>
      <c r="EHY614" s="17">
        <v>44925</v>
      </c>
      <c r="EHZ614" s="5" t="s">
        <v>3728</v>
      </c>
      <c r="EIA614" s="17">
        <v>44925</v>
      </c>
      <c r="EIB614" s="5" t="s">
        <v>3728</v>
      </c>
      <c r="EIC614" s="17">
        <v>44925</v>
      </c>
      <c r="EID614" s="5" t="s">
        <v>3728</v>
      </c>
      <c r="EIE614" s="17">
        <v>44925</v>
      </c>
      <c r="EIF614" s="5" t="s">
        <v>3728</v>
      </c>
      <c r="EIG614" s="17">
        <v>44925</v>
      </c>
      <c r="EIH614" s="5" t="s">
        <v>3728</v>
      </c>
      <c r="EII614" s="17">
        <v>44925</v>
      </c>
      <c r="EIJ614" s="5" t="s">
        <v>3728</v>
      </c>
      <c r="EIK614" s="17">
        <v>44925</v>
      </c>
      <c r="EIL614" s="5" t="s">
        <v>3728</v>
      </c>
      <c r="EIM614" s="17">
        <v>44925</v>
      </c>
      <c r="EIN614" s="5" t="s">
        <v>3728</v>
      </c>
      <c r="EIO614" s="17">
        <v>44925</v>
      </c>
      <c r="EIP614" s="5" t="s">
        <v>3728</v>
      </c>
      <c r="EIQ614" s="17">
        <v>44925</v>
      </c>
      <c r="EIR614" s="5" t="s">
        <v>3728</v>
      </c>
      <c r="EIS614" s="17">
        <v>44925</v>
      </c>
      <c r="EIT614" s="5" t="s">
        <v>3728</v>
      </c>
      <c r="EIU614" s="17">
        <v>44925</v>
      </c>
      <c r="EIV614" s="5" t="s">
        <v>3728</v>
      </c>
      <c r="EIW614" s="17">
        <v>44925</v>
      </c>
      <c r="EIX614" s="5" t="s">
        <v>3728</v>
      </c>
      <c r="EIY614" s="17">
        <v>44925</v>
      </c>
      <c r="EIZ614" s="5" t="s">
        <v>3728</v>
      </c>
      <c r="EJA614" s="17">
        <v>44925</v>
      </c>
      <c r="EJB614" s="5" t="s">
        <v>3728</v>
      </c>
      <c r="EJC614" s="17">
        <v>44925</v>
      </c>
      <c r="EJD614" s="5" t="s">
        <v>3728</v>
      </c>
      <c r="EJE614" s="17">
        <v>44925</v>
      </c>
      <c r="EJF614" s="5" t="s">
        <v>3728</v>
      </c>
      <c r="EJG614" s="17">
        <v>44925</v>
      </c>
      <c r="EJH614" s="5" t="s">
        <v>3728</v>
      </c>
      <c r="EJI614" s="17">
        <v>44925</v>
      </c>
      <c r="EJJ614" s="5" t="s">
        <v>3728</v>
      </c>
      <c r="EJK614" s="17">
        <v>44925</v>
      </c>
      <c r="EJL614" s="5" t="s">
        <v>3728</v>
      </c>
      <c r="EJM614" s="17">
        <v>44925</v>
      </c>
      <c r="EJN614" s="5" t="s">
        <v>3728</v>
      </c>
      <c r="EJO614" s="17">
        <v>44925</v>
      </c>
      <c r="EJP614" s="5" t="s">
        <v>3728</v>
      </c>
      <c r="EJQ614" s="17">
        <v>44925</v>
      </c>
      <c r="EJR614" s="5" t="s">
        <v>3728</v>
      </c>
      <c r="EJS614" s="17">
        <v>44925</v>
      </c>
      <c r="EJT614" s="5" t="s">
        <v>3728</v>
      </c>
      <c r="EJU614" s="17">
        <v>44925</v>
      </c>
      <c r="EJV614" s="5" t="s">
        <v>3728</v>
      </c>
      <c r="EJW614" s="17">
        <v>44925</v>
      </c>
      <c r="EJX614" s="5" t="s">
        <v>3728</v>
      </c>
      <c r="EJY614" s="17">
        <v>44925</v>
      </c>
      <c r="EJZ614" s="5" t="s">
        <v>3728</v>
      </c>
      <c r="EKA614" s="17">
        <v>44925</v>
      </c>
      <c r="EKB614" s="5" t="s">
        <v>3728</v>
      </c>
      <c r="EKC614" s="17">
        <v>44925</v>
      </c>
      <c r="EKD614" s="5" t="s">
        <v>3728</v>
      </c>
      <c r="EKE614" s="17">
        <v>44925</v>
      </c>
      <c r="EKF614" s="5" t="s">
        <v>3728</v>
      </c>
      <c r="EKG614" s="17">
        <v>44925</v>
      </c>
      <c r="EKH614" s="5" t="s">
        <v>3728</v>
      </c>
      <c r="EKI614" s="17">
        <v>44925</v>
      </c>
      <c r="EKJ614" s="5" t="s">
        <v>3728</v>
      </c>
      <c r="EKK614" s="17">
        <v>44925</v>
      </c>
      <c r="EKL614" s="5" t="s">
        <v>3728</v>
      </c>
      <c r="EKM614" s="17">
        <v>44925</v>
      </c>
      <c r="EKN614" s="5" t="s">
        <v>3728</v>
      </c>
      <c r="EKO614" s="17">
        <v>44925</v>
      </c>
      <c r="EKP614" s="5" t="s">
        <v>3728</v>
      </c>
      <c r="EKQ614" s="17">
        <v>44925</v>
      </c>
      <c r="EKR614" s="5" t="s">
        <v>3728</v>
      </c>
      <c r="EKS614" s="17">
        <v>44925</v>
      </c>
      <c r="EKT614" s="5" t="s">
        <v>3728</v>
      </c>
      <c r="EKU614" s="17">
        <v>44925</v>
      </c>
      <c r="EKV614" s="5" t="s">
        <v>3728</v>
      </c>
      <c r="EKW614" s="17">
        <v>44925</v>
      </c>
      <c r="EKX614" s="5" t="s">
        <v>3728</v>
      </c>
      <c r="EKY614" s="17">
        <v>44925</v>
      </c>
      <c r="EKZ614" s="5" t="s">
        <v>3728</v>
      </c>
      <c r="ELA614" s="17">
        <v>44925</v>
      </c>
      <c r="ELB614" s="5" t="s">
        <v>3728</v>
      </c>
      <c r="ELC614" s="17">
        <v>44925</v>
      </c>
      <c r="ELD614" s="5" t="s">
        <v>3728</v>
      </c>
      <c r="ELE614" s="17">
        <v>44925</v>
      </c>
      <c r="ELF614" s="5" t="s">
        <v>3728</v>
      </c>
      <c r="ELG614" s="17">
        <v>44925</v>
      </c>
      <c r="ELH614" s="5" t="s">
        <v>3728</v>
      </c>
      <c r="ELI614" s="17">
        <v>44925</v>
      </c>
      <c r="ELJ614" s="5" t="s">
        <v>3728</v>
      </c>
      <c r="ELK614" s="17">
        <v>44925</v>
      </c>
      <c r="ELL614" s="5" t="s">
        <v>3728</v>
      </c>
      <c r="ELM614" s="17">
        <v>44925</v>
      </c>
      <c r="ELN614" s="5" t="s">
        <v>3728</v>
      </c>
      <c r="ELO614" s="17">
        <v>44925</v>
      </c>
      <c r="ELP614" s="5" t="s">
        <v>3728</v>
      </c>
      <c r="ELQ614" s="17">
        <v>44925</v>
      </c>
      <c r="ELR614" s="5" t="s">
        <v>3728</v>
      </c>
      <c r="ELS614" s="17">
        <v>44925</v>
      </c>
      <c r="ELT614" s="5" t="s">
        <v>3728</v>
      </c>
      <c r="ELU614" s="17">
        <v>44925</v>
      </c>
      <c r="ELV614" s="5" t="s">
        <v>3728</v>
      </c>
      <c r="ELW614" s="17">
        <v>44925</v>
      </c>
      <c r="ELX614" s="5" t="s">
        <v>3728</v>
      </c>
      <c r="ELY614" s="17">
        <v>44925</v>
      </c>
      <c r="ELZ614" s="5" t="s">
        <v>3728</v>
      </c>
      <c r="EMA614" s="17">
        <v>44925</v>
      </c>
      <c r="EMB614" s="5" t="s">
        <v>3728</v>
      </c>
      <c r="EMC614" s="17">
        <v>44925</v>
      </c>
      <c r="EMD614" s="5" t="s">
        <v>3728</v>
      </c>
      <c r="EME614" s="17">
        <v>44925</v>
      </c>
      <c r="EMF614" s="5" t="s">
        <v>3728</v>
      </c>
      <c r="EMG614" s="17">
        <v>44925</v>
      </c>
      <c r="EMH614" s="5" t="s">
        <v>3728</v>
      </c>
      <c r="EMI614" s="17">
        <v>44925</v>
      </c>
      <c r="EMJ614" s="5" t="s">
        <v>3728</v>
      </c>
      <c r="EMK614" s="17">
        <v>44925</v>
      </c>
      <c r="EML614" s="5" t="s">
        <v>3728</v>
      </c>
      <c r="EMM614" s="17">
        <v>44925</v>
      </c>
      <c r="EMN614" s="5" t="s">
        <v>3728</v>
      </c>
      <c r="EMO614" s="17">
        <v>44925</v>
      </c>
      <c r="EMP614" s="5" t="s">
        <v>3728</v>
      </c>
      <c r="EMQ614" s="17">
        <v>44925</v>
      </c>
      <c r="EMR614" s="5" t="s">
        <v>3728</v>
      </c>
      <c r="EMS614" s="17">
        <v>44925</v>
      </c>
      <c r="EMT614" s="5" t="s">
        <v>3728</v>
      </c>
      <c r="EMU614" s="17">
        <v>44925</v>
      </c>
      <c r="EMV614" s="5" t="s">
        <v>3728</v>
      </c>
      <c r="EMW614" s="17">
        <v>44925</v>
      </c>
      <c r="EMX614" s="5" t="s">
        <v>3728</v>
      </c>
      <c r="EMY614" s="17">
        <v>44925</v>
      </c>
      <c r="EMZ614" s="5" t="s">
        <v>3728</v>
      </c>
      <c r="ENA614" s="17">
        <v>44925</v>
      </c>
      <c r="ENB614" s="5" t="s">
        <v>3728</v>
      </c>
      <c r="ENC614" s="17">
        <v>44925</v>
      </c>
      <c r="END614" s="5" t="s">
        <v>3728</v>
      </c>
      <c r="ENE614" s="17">
        <v>44925</v>
      </c>
      <c r="ENF614" s="5" t="s">
        <v>3728</v>
      </c>
      <c r="ENG614" s="17">
        <v>44925</v>
      </c>
      <c r="ENH614" s="5" t="s">
        <v>3728</v>
      </c>
      <c r="ENI614" s="17">
        <v>44925</v>
      </c>
      <c r="ENJ614" s="5" t="s">
        <v>3728</v>
      </c>
      <c r="ENK614" s="17">
        <v>44925</v>
      </c>
      <c r="ENL614" s="5" t="s">
        <v>3728</v>
      </c>
      <c r="ENM614" s="17">
        <v>44925</v>
      </c>
      <c r="ENN614" s="5" t="s">
        <v>3728</v>
      </c>
      <c r="ENO614" s="17">
        <v>44925</v>
      </c>
      <c r="ENP614" s="5" t="s">
        <v>3728</v>
      </c>
      <c r="ENQ614" s="17">
        <v>44925</v>
      </c>
      <c r="ENR614" s="5" t="s">
        <v>3728</v>
      </c>
      <c r="ENS614" s="17">
        <v>44925</v>
      </c>
      <c r="ENT614" s="5" t="s">
        <v>3728</v>
      </c>
      <c r="ENU614" s="17">
        <v>44925</v>
      </c>
      <c r="ENV614" s="5" t="s">
        <v>3728</v>
      </c>
      <c r="ENW614" s="17">
        <v>44925</v>
      </c>
      <c r="ENX614" s="5" t="s">
        <v>3728</v>
      </c>
      <c r="ENY614" s="17">
        <v>44925</v>
      </c>
      <c r="ENZ614" s="5" t="s">
        <v>3728</v>
      </c>
      <c r="EOA614" s="17">
        <v>44925</v>
      </c>
      <c r="EOB614" s="5" t="s">
        <v>3728</v>
      </c>
      <c r="EOC614" s="17">
        <v>44925</v>
      </c>
      <c r="EOD614" s="5" t="s">
        <v>3728</v>
      </c>
      <c r="EOE614" s="17">
        <v>44925</v>
      </c>
      <c r="EOF614" s="5" t="s">
        <v>3728</v>
      </c>
      <c r="EOG614" s="17">
        <v>44925</v>
      </c>
      <c r="EOH614" s="5" t="s">
        <v>3728</v>
      </c>
      <c r="EOI614" s="17">
        <v>44925</v>
      </c>
      <c r="EOJ614" s="5" t="s">
        <v>3728</v>
      </c>
      <c r="EOK614" s="17">
        <v>44925</v>
      </c>
      <c r="EOL614" s="5" t="s">
        <v>3728</v>
      </c>
      <c r="EOM614" s="17">
        <v>44925</v>
      </c>
      <c r="EON614" s="5" t="s">
        <v>3728</v>
      </c>
      <c r="EOO614" s="17">
        <v>44925</v>
      </c>
      <c r="EOP614" s="5" t="s">
        <v>3728</v>
      </c>
      <c r="EOQ614" s="17">
        <v>44925</v>
      </c>
      <c r="EOR614" s="5" t="s">
        <v>3728</v>
      </c>
      <c r="EOS614" s="17">
        <v>44925</v>
      </c>
      <c r="EOT614" s="5" t="s">
        <v>3728</v>
      </c>
      <c r="EOU614" s="17">
        <v>44925</v>
      </c>
      <c r="EOV614" s="5" t="s">
        <v>3728</v>
      </c>
      <c r="EOW614" s="17">
        <v>44925</v>
      </c>
      <c r="EOX614" s="5" t="s">
        <v>3728</v>
      </c>
      <c r="EOY614" s="17">
        <v>44925</v>
      </c>
      <c r="EOZ614" s="5" t="s">
        <v>3728</v>
      </c>
      <c r="EPA614" s="17">
        <v>44925</v>
      </c>
      <c r="EPB614" s="5" t="s">
        <v>3728</v>
      </c>
      <c r="EPC614" s="17">
        <v>44925</v>
      </c>
      <c r="EPD614" s="5" t="s">
        <v>3728</v>
      </c>
      <c r="EPE614" s="17">
        <v>44925</v>
      </c>
      <c r="EPF614" s="5" t="s">
        <v>3728</v>
      </c>
      <c r="EPG614" s="17">
        <v>44925</v>
      </c>
      <c r="EPH614" s="5" t="s">
        <v>3728</v>
      </c>
      <c r="EPI614" s="17">
        <v>44925</v>
      </c>
      <c r="EPJ614" s="5" t="s">
        <v>3728</v>
      </c>
      <c r="EPK614" s="17">
        <v>44925</v>
      </c>
      <c r="EPL614" s="5" t="s">
        <v>3728</v>
      </c>
      <c r="EPM614" s="17">
        <v>44925</v>
      </c>
      <c r="EPN614" s="5" t="s">
        <v>3728</v>
      </c>
      <c r="EPO614" s="17">
        <v>44925</v>
      </c>
      <c r="EPP614" s="5" t="s">
        <v>3728</v>
      </c>
      <c r="EPQ614" s="17">
        <v>44925</v>
      </c>
      <c r="EPR614" s="5" t="s">
        <v>3728</v>
      </c>
      <c r="EPS614" s="17">
        <v>44925</v>
      </c>
      <c r="EPT614" s="5" t="s">
        <v>3728</v>
      </c>
      <c r="EPU614" s="17">
        <v>44925</v>
      </c>
      <c r="EPV614" s="5" t="s">
        <v>3728</v>
      </c>
      <c r="EPW614" s="17">
        <v>44925</v>
      </c>
      <c r="EPX614" s="5" t="s">
        <v>3728</v>
      </c>
      <c r="EPY614" s="17">
        <v>44925</v>
      </c>
      <c r="EPZ614" s="5" t="s">
        <v>3728</v>
      </c>
      <c r="EQA614" s="17">
        <v>44925</v>
      </c>
      <c r="EQB614" s="5" t="s">
        <v>3728</v>
      </c>
      <c r="EQC614" s="17">
        <v>44925</v>
      </c>
      <c r="EQD614" s="5" t="s">
        <v>3728</v>
      </c>
      <c r="EQE614" s="17">
        <v>44925</v>
      </c>
      <c r="EQF614" s="5" t="s">
        <v>3728</v>
      </c>
      <c r="EQG614" s="17">
        <v>44925</v>
      </c>
      <c r="EQH614" s="5" t="s">
        <v>3728</v>
      </c>
      <c r="EQI614" s="17">
        <v>44925</v>
      </c>
      <c r="EQJ614" s="5" t="s">
        <v>3728</v>
      </c>
      <c r="EQK614" s="17">
        <v>44925</v>
      </c>
      <c r="EQL614" s="5" t="s">
        <v>3728</v>
      </c>
      <c r="EQM614" s="17">
        <v>44925</v>
      </c>
      <c r="EQN614" s="5" t="s">
        <v>3728</v>
      </c>
      <c r="EQO614" s="17">
        <v>44925</v>
      </c>
      <c r="EQP614" s="5" t="s">
        <v>3728</v>
      </c>
      <c r="EQQ614" s="17">
        <v>44925</v>
      </c>
      <c r="EQR614" s="5" t="s">
        <v>3728</v>
      </c>
      <c r="EQS614" s="17">
        <v>44925</v>
      </c>
      <c r="EQT614" s="5" t="s">
        <v>3728</v>
      </c>
      <c r="EQU614" s="17">
        <v>44925</v>
      </c>
      <c r="EQV614" s="5" t="s">
        <v>3728</v>
      </c>
      <c r="EQW614" s="17">
        <v>44925</v>
      </c>
      <c r="EQX614" s="5" t="s">
        <v>3728</v>
      </c>
      <c r="EQY614" s="17">
        <v>44925</v>
      </c>
      <c r="EQZ614" s="5" t="s">
        <v>3728</v>
      </c>
      <c r="ERA614" s="17">
        <v>44925</v>
      </c>
      <c r="ERB614" s="5" t="s">
        <v>3728</v>
      </c>
      <c r="ERC614" s="17">
        <v>44925</v>
      </c>
      <c r="ERD614" s="5" t="s">
        <v>3728</v>
      </c>
      <c r="ERE614" s="17">
        <v>44925</v>
      </c>
      <c r="ERF614" s="5" t="s">
        <v>3728</v>
      </c>
      <c r="ERG614" s="17">
        <v>44925</v>
      </c>
      <c r="ERH614" s="5" t="s">
        <v>3728</v>
      </c>
      <c r="ERI614" s="17">
        <v>44925</v>
      </c>
      <c r="ERJ614" s="5" t="s">
        <v>3728</v>
      </c>
      <c r="ERK614" s="17">
        <v>44925</v>
      </c>
      <c r="ERL614" s="5" t="s">
        <v>3728</v>
      </c>
      <c r="ERM614" s="17">
        <v>44925</v>
      </c>
      <c r="ERN614" s="5" t="s">
        <v>3728</v>
      </c>
      <c r="ERO614" s="17">
        <v>44925</v>
      </c>
      <c r="ERP614" s="5" t="s">
        <v>3728</v>
      </c>
      <c r="ERQ614" s="17">
        <v>44925</v>
      </c>
      <c r="ERR614" s="5" t="s">
        <v>3728</v>
      </c>
      <c r="ERS614" s="17">
        <v>44925</v>
      </c>
      <c r="ERT614" s="5" t="s">
        <v>3728</v>
      </c>
      <c r="ERU614" s="17">
        <v>44925</v>
      </c>
      <c r="ERV614" s="5" t="s">
        <v>3728</v>
      </c>
      <c r="ERW614" s="17">
        <v>44925</v>
      </c>
      <c r="ERX614" s="5" t="s">
        <v>3728</v>
      </c>
      <c r="ERY614" s="17">
        <v>44925</v>
      </c>
      <c r="ERZ614" s="5" t="s">
        <v>3728</v>
      </c>
      <c r="ESA614" s="17">
        <v>44925</v>
      </c>
      <c r="ESB614" s="5" t="s">
        <v>3728</v>
      </c>
      <c r="ESC614" s="17">
        <v>44925</v>
      </c>
      <c r="ESD614" s="5" t="s">
        <v>3728</v>
      </c>
      <c r="ESE614" s="17">
        <v>44925</v>
      </c>
      <c r="ESF614" s="5" t="s">
        <v>3728</v>
      </c>
      <c r="ESG614" s="17">
        <v>44925</v>
      </c>
      <c r="ESH614" s="5" t="s">
        <v>3728</v>
      </c>
      <c r="ESI614" s="17">
        <v>44925</v>
      </c>
      <c r="ESJ614" s="5" t="s">
        <v>3728</v>
      </c>
      <c r="ESK614" s="17">
        <v>44925</v>
      </c>
      <c r="ESL614" s="5" t="s">
        <v>3728</v>
      </c>
      <c r="ESM614" s="17">
        <v>44925</v>
      </c>
      <c r="ESN614" s="5" t="s">
        <v>3728</v>
      </c>
      <c r="ESO614" s="17">
        <v>44925</v>
      </c>
      <c r="ESP614" s="5" t="s">
        <v>3728</v>
      </c>
      <c r="ESQ614" s="17">
        <v>44925</v>
      </c>
      <c r="ESR614" s="5" t="s">
        <v>3728</v>
      </c>
      <c r="ESS614" s="17">
        <v>44925</v>
      </c>
      <c r="EST614" s="5" t="s">
        <v>3728</v>
      </c>
      <c r="ESU614" s="17">
        <v>44925</v>
      </c>
      <c r="ESV614" s="5" t="s">
        <v>3728</v>
      </c>
      <c r="ESW614" s="17">
        <v>44925</v>
      </c>
      <c r="ESX614" s="5" t="s">
        <v>3728</v>
      </c>
      <c r="ESY614" s="17">
        <v>44925</v>
      </c>
      <c r="ESZ614" s="5" t="s">
        <v>3728</v>
      </c>
      <c r="ETA614" s="17">
        <v>44925</v>
      </c>
      <c r="ETB614" s="5" t="s">
        <v>3728</v>
      </c>
      <c r="ETC614" s="17">
        <v>44925</v>
      </c>
      <c r="ETD614" s="5" t="s">
        <v>3728</v>
      </c>
      <c r="ETE614" s="17">
        <v>44925</v>
      </c>
      <c r="ETF614" s="5" t="s">
        <v>3728</v>
      </c>
      <c r="ETG614" s="17">
        <v>44925</v>
      </c>
      <c r="ETH614" s="5" t="s">
        <v>3728</v>
      </c>
      <c r="ETI614" s="17">
        <v>44925</v>
      </c>
      <c r="ETJ614" s="5" t="s">
        <v>3728</v>
      </c>
      <c r="ETK614" s="17">
        <v>44925</v>
      </c>
      <c r="ETL614" s="5" t="s">
        <v>3728</v>
      </c>
      <c r="ETM614" s="17">
        <v>44925</v>
      </c>
      <c r="ETN614" s="5" t="s">
        <v>3728</v>
      </c>
      <c r="ETO614" s="17">
        <v>44925</v>
      </c>
      <c r="ETP614" s="5" t="s">
        <v>3728</v>
      </c>
      <c r="ETQ614" s="17">
        <v>44925</v>
      </c>
      <c r="ETR614" s="5" t="s">
        <v>3728</v>
      </c>
      <c r="ETS614" s="17">
        <v>44925</v>
      </c>
      <c r="ETT614" s="5" t="s">
        <v>3728</v>
      </c>
      <c r="ETU614" s="17">
        <v>44925</v>
      </c>
      <c r="ETV614" s="5" t="s">
        <v>3728</v>
      </c>
      <c r="ETW614" s="17">
        <v>44925</v>
      </c>
      <c r="ETX614" s="5" t="s">
        <v>3728</v>
      </c>
      <c r="ETY614" s="17">
        <v>44925</v>
      </c>
      <c r="ETZ614" s="5" t="s">
        <v>3728</v>
      </c>
      <c r="EUA614" s="17">
        <v>44925</v>
      </c>
      <c r="EUB614" s="5" t="s">
        <v>3728</v>
      </c>
      <c r="EUC614" s="17">
        <v>44925</v>
      </c>
      <c r="EUD614" s="5" t="s">
        <v>3728</v>
      </c>
      <c r="EUE614" s="17">
        <v>44925</v>
      </c>
      <c r="EUF614" s="5" t="s">
        <v>3728</v>
      </c>
      <c r="EUG614" s="17">
        <v>44925</v>
      </c>
      <c r="EUH614" s="5" t="s">
        <v>3728</v>
      </c>
      <c r="EUI614" s="17">
        <v>44925</v>
      </c>
      <c r="EUJ614" s="5" t="s">
        <v>3728</v>
      </c>
      <c r="EUK614" s="17">
        <v>44925</v>
      </c>
      <c r="EUL614" s="5" t="s">
        <v>3728</v>
      </c>
      <c r="EUM614" s="17">
        <v>44925</v>
      </c>
      <c r="EUN614" s="5" t="s">
        <v>3728</v>
      </c>
      <c r="EUO614" s="17">
        <v>44925</v>
      </c>
      <c r="EUP614" s="5" t="s">
        <v>3728</v>
      </c>
      <c r="EUQ614" s="17">
        <v>44925</v>
      </c>
      <c r="EUR614" s="5" t="s">
        <v>3728</v>
      </c>
      <c r="EUS614" s="17">
        <v>44925</v>
      </c>
      <c r="EUT614" s="5" t="s">
        <v>3728</v>
      </c>
      <c r="EUU614" s="17">
        <v>44925</v>
      </c>
      <c r="EUV614" s="5" t="s">
        <v>3728</v>
      </c>
      <c r="EUW614" s="17">
        <v>44925</v>
      </c>
      <c r="EUX614" s="5" t="s">
        <v>3728</v>
      </c>
      <c r="EUY614" s="17">
        <v>44925</v>
      </c>
      <c r="EUZ614" s="5" t="s">
        <v>3728</v>
      </c>
      <c r="EVA614" s="17">
        <v>44925</v>
      </c>
      <c r="EVB614" s="5" t="s">
        <v>3728</v>
      </c>
      <c r="EVC614" s="17">
        <v>44925</v>
      </c>
      <c r="EVD614" s="5" t="s">
        <v>3728</v>
      </c>
      <c r="EVE614" s="17">
        <v>44925</v>
      </c>
      <c r="EVF614" s="5" t="s">
        <v>3728</v>
      </c>
      <c r="EVG614" s="17">
        <v>44925</v>
      </c>
      <c r="EVH614" s="5" t="s">
        <v>3728</v>
      </c>
      <c r="EVI614" s="17">
        <v>44925</v>
      </c>
      <c r="EVJ614" s="5" t="s">
        <v>3728</v>
      </c>
      <c r="EVK614" s="17">
        <v>44925</v>
      </c>
      <c r="EVL614" s="5" t="s">
        <v>3728</v>
      </c>
      <c r="EVM614" s="17">
        <v>44925</v>
      </c>
      <c r="EVN614" s="5" t="s">
        <v>3728</v>
      </c>
      <c r="EVO614" s="17">
        <v>44925</v>
      </c>
      <c r="EVP614" s="5" t="s">
        <v>3728</v>
      </c>
      <c r="EVQ614" s="17">
        <v>44925</v>
      </c>
      <c r="EVR614" s="5" t="s">
        <v>3728</v>
      </c>
      <c r="EVS614" s="17">
        <v>44925</v>
      </c>
      <c r="EVT614" s="5" t="s">
        <v>3728</v>
      </c>
      <c r="EVU614" s="17">
        <v>44925</v>
      </c>
      <c r="EVV614" s="5" t="s">
        <v>3728</v>
      </c>
      <c r="EVW614" s="17">
        <v>44925</v>
      </c>
      <c r="EVX614" s="5" t="s">
        <v>3728</v>
      </c>
      <c r="EVY614" s="17">
        <v>44925</v>
      </c>
      <c r="EVZ614" s="5" t="s">
        <v>3728</v>
      </c>
      <c r="EWA614" s="17">
        <v>44925</v>
      </c>
      <c r="EWB614" s="5" t="s">
        <v>3728</v>
      </c>
      <c r="EWC614" s="17">
        <v>44925</v>
      </c>
      <c r="EWD614" s="5" t="s">
        <v>3728</v>
      </c>
      <c r="EWE614" s="17">
        <v>44925</v>
      </c>
      <c r="EWF614" s="5" t="s">
        <v>3728</v>
      </c>
      <c r="EWG614" s="17">
        <v>44925</v>
      </c>
      <c r="EWH614" s="5" t="s">
        <v>3728</v>
      </c>
      <c r="EWI614" s="17">
        <v>44925</v>
      </c>
      <c r="EWJ614" s="5" t="s">
        <v>3728</v>
      </c>
      <c r="EWK614" s="17">
        <v>44925</v>
      </c>
      <c r="EWL614" s="5" t="s">
        <v>3728</v>
      </c>
      <c r="EWM614" s="17">
        <v>44925</v>
      </c>
      <c r="EWN614" s="5" t="s">
        <v>3728</v>
      </c>
      <c r="EWO614" s="17">
        <v>44925</v>
      </c>
      <c r="EWP614" s="5" t="s">
        <v>3728</v>
      </c>
      <c r="EWQ614" s="17">
        <v>44925</v>
      </c>
      <c r="EWR614" s="5" t="s">
        <v>3728</v>
      </c>
      <c r="EWS614" s="17">
        <v>44925</v>
      </c>
      <c r="EWT614" s="5" t="s">
        <v>3728</v>
      </c>
      <c r="EWU614" s="17">
        <v>44925</v>
      </c>
      <c r="EWV614" s="5" t="s">
        <v>3728</v>
      </c>
      <c r="EWW614" s="17">
        <v>44925</v>
      </c>
      <c r="EWX614" s="5" t="s">
        <v>3728</v>
      </c>
      <c r="EWY614" s="17">
        <v>44925</v>
      </c>
      <c r="EWZ614" s="5" t="s">
        <v>3728</v>
      </c>
      <c r="EXA614" s="17">
        <v>44925</v>
      </c>
      <c r="EXB614" s="5" t="s">
        <v>3728</v>
      </c>
      <c r="EXC614" s="17">
        <v>44925</v>
      </c>
      <c r="EXD614" s="5" t="s">
        <v>3728</v>
      </c>
      <c r="EXE614" s="17">
        <v>44925</v>
      </c>
      <c r="EXF614" s="5" t="s">
        <v>3728</v>
      </c>
      <c r="EXG614" s="17">
        <v>44925</v>
      </c>
      <c r="EXH614" s="5" t="s">
        <v>3728</v>
      </c>
      <c r="EXI614" s="17">
        <v>44925</v>
      </c>
      <c r="EXJ614" s="5" t="s">
        <v>3728</v>
      </c>
      <c r="EXK614" s="17">
        <v>44925</v>
      </c>
      <c r="EXL614" s="5" t="s">
        <v>3728</v>
      </c>
      <c r="EXM614" s="17">
        <v>44925</v>
      </c>
      <c r="EXN614" s="5" t="s">
        <v>3728</v>
      </c>
      <c r="EXO614" s="17">
        <v>44925</v>
      </c>
      <c r="EXP614" s="5" t="s">
        <v>3728</v>
      </c>
      <c r="EXQ614" s="17">
        <v>44925</v>
      </c>
      <c r="EXR614" s="5" t="s">
        <v>3728</v>
      </c>
      <c r="EXS614" s="17">
        <v>44925</v>
      </c>
      <c r="EXT614" s="5" t="s">
        <v>3728</v>
      </c>
      <c r="EXU614" s="17">
        <v>44925</v>
      </c>
      <c r="EXV614" s="5" t="s">
        <v>3728</v>
      </c>
      <c r="EXW614" s="17">
        <v>44925</v>
      </c>
      <c r="EXX614" s="5" t="s">
        <v>3728</v>
      </c>
      <c r="EXY614" s="17">
        <v>44925</v>
      </c>
      <c r="EXZ614" s="5" t="s">
        <v>3728</v>
      </c>
      <c r="EYA614" s="17">
        <v>44925</v>
      </c>
      <c r="EYB614" s="5" t="s">
        <v>3728</v>
      </c>
      <c r="EYC614" s="17">
        <v>44925</v>
      </c>
      <c r="EYD614" s="5" t="s">
        <v>3728</v>
      </c>
      <c r="EYE614" s="17">
        <v>44925</v>
      </c>
      <c r="EYF614" s="5" t="s">
        <v>3728</v>
      </c>
      <c r="EYG614" s="17">
        <v>44925</v>
      </c>
      <c r="EYH614" s="5" t="s">
        <v>3728</v>
      </c>
      <c r="EYI614" s="17">
        <v>44925</v>
      </c>
      <c r="EYJ614" s="5" t="s">
        <v>3728</v>
      </c>
      <c r="EYK614" s="17">
        <v>44925</v>
      </c>
      <c r="EYL614" s="5" t="s">
        <v>3728</v>
      </c>
      <c r="EYM614" s="17">
        <v>44925</v>
      </c>
      <c r="EYN614" s="5" t="s">
        <v>3728</v>
      </c>
      <c r="EYO614" s="17">
        <v>44925</v>
      </c>
      <c r="EYP614" s="5" t="s">
        <v>3728</v>
      </c>
      <c r="EYQ614" s="17">
        <v>44925</v>
      </c>
      <c r="EYR614" s="5" t="s">
        <v>3728</v>
      </c>
      <c r="EYS614" s="17">
        <v>44925</v>
      </c>
      <c r="EYT614" s="5" t="s">
        <v>3728</v>
      </c>
      <c r="EYU614" s="17">
        <v>44925</v>
      </c>
      <c r="EYV614" s="5" t="s">
        <v>3728</v>
      </c>
      <c r="EYW614" s="17">
        <v>44925</v>
      </c>
      <c r="EYX614" s="5" t="s">
        <v>3728</v>
      </c>
      <c r="EYY614" s="17">
        <v>44925</v>
      </c>
      <c r="EYZ614" s="5" t="s">
        <v>3728</v>
      </c>
      <c r="EZA614" s="17">
        <v>44925</v>
      </c>
      <c r="EZB614" s="5" t="s">
        <v>3728</v>
      </c>
      <c r="EZC614" s="17">
        <v>44925</v>
      </c>
      <c r="EZD614" s="5" t="s">
        <v>3728</v>
      </c>
      <c r="EZE614" s="17">
        <v>44925</v>
      </c>
      <c r="EZF614" s="5" t="s">
        <v>3728</v>
      </c>
      <c r="EZG614" s="17">
        <v>44925</v>
      </c>
      <c r="EZH614" s="5" t="s">
        <v>3728</v>
      </c>
      <c r="EZI614" s="17">
        <v>44925</v>
      </c>
      <c r="EZJ614" s="5" t="s">
        <v>3728</v>
      </c>
      <c r="EZK614" s="17">
        <v>44925</v>
      </c>
      <c r="EZL614" s="5" t="s">
        <v>3728</v>
      </c>
      <c r="EZM614" s="17">
        <v>44925</v>
      </c>
      <c r="EZN614" s="5" t="s">
        <v>3728</v>
      </c>
      <c r="EZO614" s="17">
        <v>44925</v>
      </c>
      <c r="EZP614" s="5" t="s">
        <v>3728</v>
      </c>
      <c r="EZQ614" s="17">
        <v>44925</v>
      </c>
      <c r="EZR614" s="5" t="s">
        <v>3728</v>
      </c>
      <c r="EZS614" s="17">
        <v>44925</v>
      </c>
      <c r="EZT614" s="5" t="s">
        <v>3728</v>
      </c>
      <c r="EZU614" s="17">
        <v>44925</v>
      </c>
      <c r="EZV614" s="5" t="s">
        <v>3728</v>
      </c>
      <c r="EZW614" s="17">
        <v>44925</v>
      </c>
      <c r="EZX614" s="5" t="s">
        <v>3728</v>
      </c>
      <c r="EZY614" s="17">
        <v>44925</v>
      </c>
      <c r="EZZ614" s="5" t="s">
        <v>3728</v>
      </c>
      <c r="FAA614" s="17">
        <v>44925</v>
      </c>
      <c r="FAB614" s="5" t="s">
        <v>3728</v>
      </c>
      <c r="FAC614" s="17">
        <v>44925</v>
      </c>
      <c r="FAD614" s="5" t="s">
        <v>3728</v>
      </c>
      <c r="FAE614" s="17">
        <v>44925</v>
      </c>
      <c r="FAF614" s="5" t="s">
        <v>3728</v>
      </c>
      <c r="FAG614" s="17">
        <v>44925</v>
      </c>
      <c r="FAH614" s="5" t="s">
        <v>3728</v>
      </c>
      <c r="FAI614" s="17">
        <v>44925</v>
      </c>
      <c r="FAJ614" s="5" t="s">
        <v>3728</v>
      </c>
      <c r="FAK614" s="17">
        <v>44925</v>
      </c>
      <c r="FAL614" s="5" t="s">
        <v>3728</v>
      </c>
      <c r="FAM614" s="17">
        <v>44925</v>
      </c>
      <c r="FAN614" s="5" t="s">
        <v>3728</v>
      </c>
      <c r="FAO614" s="17">
        <v>44925</v>
      </c>
      <c r="FAP614" s="5" t="s">
        <v>3728</v>
      </c>
      <c r="FAQ614" s="17">
        <v>44925</v>
      </c>
      <c r="FAR614" s="5" t="s">
        <v>3728</v>
      </c>
      <c r="FAS614" s="17">
        <v>44925</v>
      </c>
      <c r="FAT614" s="5" t="s">
        <v>3728</v>
      </c>
      <c r="FAU614" s="17">
        <v>44925</v>
      </c>
      <c r="FAV614" s="5" t="s">
        <v>3728</v>
      </c>
      <c r="FAW614" s="17">
        <v>44925</v>
      </c>
      <c r="FAX614" s="5" t="s">
        <v>3728</v>
      </c>
      <c r="FAY614" s="17">
        <v>44925</v>
      </c>
      <c r="FAZ614" s="5" t="s">
        <v>3728</v>
      </c>
      <c r="FBA614" s="17">
        <v>44925</v>
      </c>
      <c r="FBB614" s="5" t="s">
        <v>3728</v>
      </c>
      <c r="FBC614" s="17">
        <v>44925</v>
      </c>
      <c r="FBD614" s="5" t="s">
        <v>3728</v>
      </c>
      <c r="FBE614" s="17">
        <v>44925</v>
      </c>
      <c r="FBF614" s="5" t="s">
        <v>3728</v>
      </c>
      <c r="FBG614" s="17">
        <v>44925</v>
      </c>
      <c r="FBH614" s="5" t="s">
        <v>3728</v>
      </c>
      <c r="FBI614" s="17">
        <v>44925</v>
      </c>
      <c r="FBJ614" s="5" t="s">
        <v>3728</v>
      </c>
      <c r="FBK614" s="17">
        <v>44925</v>
      </c>
      <c r="FBL614" s="5" t="s">
        <v>3728</v>
      </c>
      <c r="FBM614" s="17">
        <v>44925</v>
      </c>
      <c r="FBN614" s="5" t="s">
        <v>3728</v>
      </c>
      <c r="FBO614" s="17">
        <v>44925</v>
      </c>
      <c r="FBP614" s="5" t="s">
        <v>3728</v>
      </c>
      <c r="FBQ614" s="17">
        <v>44925</v>
      </c>
      <c r="FBR614" s="5" t="s">
        <v>3728</v>
      </c>
      <c r="FBS614" s="17">
        <v>44925</v>
      </c>
      <c r="FBT614" s="5" t="s">
        <v>3728</v>
      </c>
      <c r="FBU614" s="17">
        <v>44925</v>
      </c>
      <c r="FBV614" s="5" t="s">
        <v>3728</v>
      </c>
      <c r="FBW614" s="17">
        <v>44925</v>
      </c>
      <c r="FBX614" s="5" t="s">
        <v>3728</v>
      </c>
      <c r="FBY614" s="17">
        <v>44925</v>
      </c>
      <c r="FBZ614" s="5" t="s">
        <v>3728</v>
      </c>
      <c r="FCA614" s="17">
        <v>44925</v>
      </c>
      <c r="FCB614" s="5" t="s">
        <v>3728</v>
      </c>
      <c r="FCC614" s="17">
        <v>44925</v>
      </c>
      <c r="FCD614" s="5" t="s">
        <v>3728</v>
      </c>
      <c r="FCE614" s="17">
        <v>44925</v>
      </c>
      <c r="FCF614" s="5" t="s">
        <v>3728</v>
      </c>
      <c r="FCG614" s="17">
        <v>44925</v>
      </c>
      <c r="FCH614" s="5" t="s">
        <v>3728</v>
      </c>
      <c r="FCI614" s="17">
        <v>44925</v>
      </c>
      <c r="FCJ614" s="5" t="s">
        <v>3728</v>
      </c>
      <c r="FCK614" s="17">
        <v>44925</v>
      </c>
      <c r="FCL614" s="5" t="s">
        <v>3728</v>
      </c>
      <c r="FCM614" s="17">
        <v>44925</v>
      </c>
      <c r="FCN614" s="5" t="s">
        <v>3728</v>
      </c>
      <c r="FCO614" s="17">
        <v>44925</v>
      </c>
      <c r="FCP614" s="5" t="s">
        <v>3728</v>
      </c>
      <c r="FCQ614" s="17">
        <v>44925</v>
      </c>
      <c r="FCR614" s="5" t="s">
        <v>3728</v>
      </c>
      <c r="FCS614" s="17">
        <v>44925</v>
      </c>
      <c r="FCT614" s="5" t="s">
        <v>3728</v>
      </c>
      <c r="FCU614" s="17">
        <v>44925</v>
      </c>
      <c r="FCV614" s="5" t="s">
        <v>3728</v>
      </c>
      <c r="FCW614" s="17">
        <v>44925</v>
      </c>
      <c r="FCX614" s="5" t="s">
        <v>3728</v>
      </c>
      <c r="FCY614" s="17">
        <v>44925</v>
      </c>
      <c r="FCZ614" s="5" t="s">
        <v>3728</v>
      </c>
      <c r="FDA614" s="17">
        <v>44925</v>
      </c>
      <c r="FDB614" s="5" t="s">
        <v>3728</v>
      </c>
      <c r="FDC614" s="17">
        <v>44925</v>
      </c>
      <c r="FDD614" s="5" t="s">
        <v>3728</v>
      </c>
      <c r="FDE614" s="17">
        <v>44925</v>
      </c>
      <c r="FDF614" s="5" t="s">
        <v>3728</v>
      </c>
      <c r="FDG614" s="17">
        <v>44925</v>
      </c>
      <c r="FDH614" s="5" t="s">
        <v>3728</v>
      </c>
      <c r="FDI614" s="17">
        <v>44925</v>
      </c>
      <c r="FDJ614" s="5" t="s">
        <v>3728</v>
      </c>
      <c r="FDK614" s="17">
        <v>44925</v>
      </c>
      <c r="FDL614" s="5" t="s">
        <v>3728</v>
      </c>
      <c r="FDM614" s="17">
        <v>44925</v>
      </c>
      <c r="FDN614" s="5" t="s">
        <v>3728</v>
      </c>
      <c r="FDO614" s="17">
        <v>44925</v>
      </c>
      <c r="FDP614" s="5" t="s">
        <v>3728</v>
      </c>
      <c r="FDQ614" s="17">
        <v>44925</v>
      </c>
      <c r="FDR614" s="5" t="s">
        <v>3728</v>
      </c>
      <c r="FDS614" s="17">
        <v>44925</v>
      </c>
      <c r="FDT614" s="5" t="s">
        <v>3728</v>
      </c>
      <c r="FDU614" s="17">
        <v>44925</v>
      </c>
      <c r="FDV614" s="5" t="s">
        <v>3728</v>
      </c>
      <c r="FDW614" s="17">
        <v>44925</v>
      </c>
      <c r="FDX614" s="5" t="s">
        <v>3728</v>
      </c>
      <c r="FDY614" s="17">
        <v>44925</v>
      </c>
      <c r="FDZ614" s="5" t="s">
        <v>3728</v>
      </c>
      <c r="FEA614" s="17">
        <v>44925</v>
      </c>
      <c r="FEB614" s="5" t="s">
        <v>3728</v>
      </c>
      <c r="FEC614" s="17">
        <v>44925</v>
      </c>
      <c r="FED614" s="5" t="s">
        <v>3728</v>
      </c>
      <c r="FEE614" s="17">
        <v>44925</v>
      </c>
      <c r="FEF614" s="5" t="s">
        <v>3728</v>
      </c>
      <c r="FEG614" s="17">
        <v>44925</v>
      </c>
      <c r="FEH614" s="5" t="s">
        <v>3728</v>
      </c>
      <c r="FEI614" s="17">
        <v>44925</v>
      </c>
      <c r="FEJ614" s="5" t="s">
        <v>3728</v>
      </c>
      <c r="FEK614" s="17">
        <v>44925</v>
      </c>
      <c r="FEL614" s="5" t="s">
        <v>3728</v>
      </c>
      <c r="FEM614" s="17">
        <v>44925</v>
      </c>
      <c r="FEN614" s="5" t="s">
        <v>3728</v>
      </c>
      <c r="FEO614" s="17">
        <v>44925</v>
      </c>
      <c r="FEP614" s="5" t="s">
        <v>3728</v>
      </c>
      <c r="FEQ614" s="17">
        <v>44925</v>
      </c>
      <c r="FER614" s="5" t="s">
        <v>3728</v>
      </c>
      <c r="FES614" s="17">
        <v>44925</v>
      </c>
      <c r="FET614" s="5" t="s">
        <v>3728</v>
      </c>
      <c r="FEU614" s="17">
        <v>44925</v>
      </c>
      <c r="FEV614" s="5" t="s">
        <v>3728</v>
      </c>
      <c r="FEW614" s="17">
        <v>44925</v>
      </c>
      <c r="FEX614" s="5" t="s">
        <v>3728</v>
      </c>
      <c r="FEY614" s="17">
        <v>44925</v>
      </c>
      <c r="FEZ614" s="5" t="s">
        <v>3728</v>
      </c>
      <c r="FFA614" s="17">
        <v>44925</v>
      </c>
      <c r="FFB614" s="5" t="s">
        <v>3728</v>
      </c>
      <c r="FFC614" s="17">
        <v>44925</v>
      </c>
      <c r="FFD614" s="5" t="s">
        <v>3728</v>
      </c>
      <c r="FFE614" s="17">
        <v>44925</v>
      </c>
      <c r="FFF614" s="5" t="s">
        <v>3728</v>
      </c>
      <c r="FFG614" s="17">
        <v>44925</v>
      </c>
      <c r="FFH614" s="5" t="s">
        <v>3728</v>
      </c>
      <c r="FFI614" s="17">
        <v>44925</v>
      </c>
      <c r="FFJ614" s="5" t="s">
        <v>3728</v>
      </c>
      <c r="FFK614" s="17">
        <v>44925</v>
      </c>
      <c r="FFL614" s="5" t="s">
        <v>3728</v>
      </c>
      <c r="FFM614" s="17">
        <v>44925</v>
      </c>
      <c r="FFN614" s="5" t="s">
        <v>3728</v>
      </c>
      <c r="FFO614" s="17">
        <v>44925</v>
      </c>
      <c r="FFP614" s="5" t="s">
        <v>3728</v>
      </c>
      <c r="FFQ614" s="17">
        <v>44925</v>
      </c>
      <c r="FFR614" s="5" t="s">
        <v>3728</v>
      </c>
      <c r="FFS614" s="17">
        <v>44925</v>
      </c>
      <c r="FFT614" s="5" t="s">
        <v>3728</v>
      </c>
      <c r="FFU614" s="17">
        <v>44925</v>
      </c>
      <c r="FFV614" s="5" t="s">
        <v>3728</v>
      </c>
      <c r="FFW614" s="17">
        <v>44925</v>
      </c>
      <c r="FFX614" s="5" t="s">
        <v>3728</v>
      </c>
      <c r="FFY614" s="17">
        <v>44925</v>
      </c>
      <c r="FFZ614" s="5" t="s">
        <v>3728</v>
      </c>
      <c r="FGA614" s="17">
        <v>44925</v>
      </c>
      <c r="FGB614" s="5" t="s">
        <v>3728</v>
      </c>
      <c r="FGC614" s="17">
        <v>44925</v>
      </c>
      <c r="FGD614" s="5" t="s">
        <v>3728</v>
      </c>
      <c r="FGE614" s="17">
        <v>44925</v>
      </c>
      <c r="FGF614" s="5" t="s">
        <v>3728</v>
      </c>
      <c r="FGG614" s="17">
        <v>44925</v>
      </c>
      <c r="FGH614" s="5" t="s">
        <v>3728</v>
      </c>
      <c r="FGI614" s="17">
        <v>44925</v>
      </c>
      <c r="FGJ614" s="5" t="s">
        <v>3728</v>
      </c>
      <c r="FGK614" s="17">
        <v>44925</v>
      </c>
      <c r="FGL614" s="5" t="s">
        <v>3728</v>
      </c>
      <c r="FGM614" s="17">
        <v>44925</v>
      </c>
      <c r="FGN614" s="5" t="s">
        <v>3728</v>
      </c>
      <c r="FGO614" s="17">
        <v>44925</v>
      </c>
      <c r="FGP614" s="5" t="s">
        <v>3728</v>
      </c>
      <c r="FGQ614" s="17">
        <v>44925</v>
      </c>
      <c r="FGR614" s="5" t="s">
        <v>3728</v>
      </c>
      <c r="FGS614" s="17">
        <v>44925</v>
      </c>
      <c r="FGT614" s="5" t="s">
        <v>3728</v>
      </c>
      <c r="FGU614" s="17">
        <v>44925</v>
      </c>
      <c r="FGV614" s="5" t="s">
        <v>3728</v>
      </c>
      <c r="FGW614" s="17">
        <v>44925</v>
      </c>
      <c r="FGX614" s="5" t="s">
        <v>3728</v>
      </c>
      <c r="FGY614" s="17">
        <v>44925</v>
      </c>
      <c r="FGZ614" s="5" t="s">
        <v>3728</v>
      </c>
      <c r="FHA614" s="17">
        <v>44925</v>
      </c>
      <c r="FHB614" s="5" t="s">
        <v>3728</v>
      </c>
      <c r="FHC614" s="17">
        <v>44925</v>
      </c>
      <c r="FHD614" s="5" t="s">
        <v>3728</v>
      </c>
      <c r="FHE614" s="17">
        <v>44925</v>
      </c>
      <c r="FHF614" s="5" t="s">
        <v>3728</v>
      </c>
      <c r="FHG614" s="17">
        <v>44925</v>
      </c>
      <c r="FHH614" s="5" t="s">
        <v>3728</v>
      </c>
      <c r="FHI614" s="17">
        <v>44925</v>
      </c>
      <c r="FHJ614" s="5" t="s">
        <v>3728</v>
      </c>
      <c r="FHK614" s="17">
        <v>44925</v>
      </c>
      <c r="FHL614" s="5" t="s">
        <v>3728</v>
      </c>
      <c r="FHM614" s="17">
        <v>44925</v>
      </c>
      <c r="FHN614" s="5" t="s">
        <v>3728</v>
      </c>
      <c r="FHO614" s="17">
        <v>44925</v>
      </c>
      <c r="FHP614" s="5" t="s">
        <v>3728</v>
      </c>
      <c r="FHQ614" s="17">
        <v>44925</v>
      </c>
      <c r="FHR614" s="5" t="s">
        <v>3728</v>
      </c>
      <c r="FHS614" s="17">
        <v>44925</v>
      </c>
      <c r="FHT614" s="5" t="s">
        <v>3728</v>
      </c>
      <c r="FHU614" s="17">
        <v>44925</v>
      </c>
      <c r="FHV614" s="5" t="s">
        <v>3728</v>
      </c>
      <c r="FHW614" s="17">
        <v>44925</v>
      </c>
      <c r="FHX614" s="5" t="s">
        <v>3728</v>
      </c>
      <c r="FHY614" s="17">
        <v>44925</v>
      </c>
      <c r="FHZ614" s="5" t="s">
        <v>3728</v>
      </c>
      <c r="FIA614" s="17">
        <v>44925</v>
      </c>
      <c r="FIB614" s="5" t="s">
        <v>3728</v>
      </c>
      <c r="FIC614" s="17">
        <v>44925</v>
      </c>
      <c r="FID614" s="5" t="s">
        <v>3728</v>
      </c>
      <c r="FIE614" s="17">
        <v>44925</v>
      </c>
      <c r="FIF614" s="5" t="s">
        <v>3728</v>
      </c>
      <c r="FIG614" s="17">
        <v>44925</v>
      </c>
      <c r="FIH614" s="5" t="s">
        <v>3728</v>
      </c>
      <c r="FII614" s="17">
        <v>44925</v>
      </c>
      <c r="FIJ614" s="5" t="s">
        <v>3728</v>
      </c>
      <c r="FIK614" s="17">
        <v>44925</v>
      </c>
      <c r="FIL614" s="5" t="s">
        <v>3728</v>
      </c>
      <c r="FIM614" s="17">
        <v>44925</v>
      </c>
      <c r="FIN614" s="5" t="s">
        <v>3728</v>
      </c>
      <c r="FIO614" s="17">
        <v>44925</v>
      </c>
      <c r="FIP614" s="5" t="s">
        <v>3728</v>
      </c>
      <c r="FIQ614" s="17">
        <v>44925</v>
      </c>
      <c r="FIR614" s="5" t="s">
        <v>3728</v>
      </c>
      <c r="FIS614" s="17">
        <v>44925</v>
      </c>
      <c r="FIT614" s="5" t="s">
        <v>3728</v>
      </c>
      <c r="FIU614" s="17">
        <v>44925</v>
      </c>
      <c r="FIV614" s="5" t="s">
        <v>3728</v>
      </c>
      <c r="FIW614" s="17">
        <v>44925</v>
      </c>
      <c r="FIX614" s="5" t="s">
        <v>3728</v>
      </c>
      <c r="FIY614" s="17">
        <v>44925</v>
      </c>
      <c r="FIZ614" s="5" t="s">
        <v>3728</v>
      </c>
      <c r="FJA614" s="17">
        <v>44925</v>
      </c>
      <c r="FJB614" s="5" t="s">
        <v>3728</v>
      </c>
      <c r="FJC614" s="17">
        <v>44925</v>
      </c>
      <c r="FJD614" s="5" t="s">
        <v>3728</v>
      </c>
      <c r="FJE614" s="17">
        <v>44925</v>
      </c>
      <c r="FJF614" s="5" t="s">
        <v>3728</v>
      </c>
      <c r="FJG614" s="17">
        <v>44925</v>
      </c>
      <c r="FJH614" s="5" t="s">
        <v>3728</v>
      </c>
      <c r="FJI614" s="17">
        <v>44925</v>
      </c>
      <c r="FJJ614" s="5" t="s">
        <v>3728</v>
      </c>
      <c r="FJK614" s="17">
        <v>44925</v>
      </c>
      <c r="FJL614" s="5" t="s">
        <v>3728</v>
      </c>
      <c r="FJM614" s="17">
        <v>44925</v>
      </c>
      <c r="FJN614" s="5" t="s">
        <v>3728</v>
      </c>
      <c r="FJO614" s="17">
        <v>44925</v>
      </c>
      <c r="FJP614" s="5" t="s">
        <v>3728</v>
      </c>
      <c r="FJQ614" s="17">
        <v>44925</v>
      </c>
      <c r="FJR614" s="5" t="s">
        <v>3728</v>
      </c>
      <c r="FJS614" s="17">
        <v>44925</v>
      </c>
      <c r="FJT614" s="5" t="s">
        <v>3728</v>
      </c>
      <c r="FJU614" s="17">
        <v>44925</v>
      </c>
      <c r="FJV614" s="5" t="s">
        <v>3728</v>
      </c>
      <c r="FJW614" s="17">
        <v>44925</v>
      </c>
      <c r="FJX614" s="5" t="s">
        <v>3728</v>
      </c>
      <c r="FJY614" s="17">
        <v>44925</v>
      </c>
      <c r="FJZ614" s="5" t="s">
        <v>3728</v>
      </c>
      <c r="FKA614" s="17">
        <v>44925</v>
      </c>
      <c r="FKB614" s="5" t="s">
        <v>3728</v>
      </c>
      <c r="FKC614" s="17">
        <v>44925</v>
      </c>
      <c r="FKD614" s="5" t="s">
        <v>3728</v>
      </c>
      <c r="FKE614" s="17">
        <v>44925</v>
      </c>
      <c r="FKF614" s="5" t="s">
        <v>3728</v>
      </c>
      <c r="FKG614" s="17">
        <v>44925</v>
      </c>
      <c r="FKH614" s="5" t="s">
        <v>3728</v>
      </c>
      <c r="FKI614" s="17">
        <v>44925</v>
      </c>
      <c r="FKJ614" s="5" t="s">
        <v>3728</v>
      </c>
      <c r="FKK614" s="17">
        <v>44925</v>
      </c>
      <c r="FKL614" s="5" t="s">
        <v>3728</v>
      </c>
      <c r="FKM614" s="17">
        <v>44925</v>
      </c>
      <c r="FKN614" s="5" t="s">
        <v>3728</v>
      </c>
      <c r="FKO614" s="17">
        <v>44925</v>
      </c>
      <c r="FKP614" s="5" t="s">
        <v>3728</v>
      </c>
      <c r="FKQ614" s="17">
        <v>44925</v>
      </c>
      <c r="FKR614" s="5" t="s">
        <v>3728</v>
      </c>
      <c r="FKS614" s="17">
        <v>44925</v>
      </c>
      <c r="FKT614" s="5" t="s">
        <v>3728</v>
      </c>
      <c r="FKU614" s="17">
        <v>44925</v>
      </c>
      <c r="FKV614" s="5" t="s">
        <v>3728</v>
      </c>
      <c r="FKW614" s="17">
        <v>44925</v>
      </c>
      <c r="FKX614" s="5" t="s">
        <v>3728</v>
      </c>
      <c r="FKY614" s="17">
        <v>44925</v>
      </c>
      <c r="FKZ614" s="5" t="s">
        <v>3728</v>
      </c>
      <c r="FLA614" s="17">
        <v>44925</v>
      </c>
      <c r="FLB614" s="5" t="s">
        <v>3728</v>
      </c>
      <c r="FLC614" s="17">
        <v>44925</v>
      </c>
      <c r="FLD614" s="5" t="s">
        <v>3728</v>
      </c>
      <c r="FLE614" s="17">
        <v>44925</v>
      </c>
      <c r="FLF614" s="5" t="s">
        <v>3728</v>
      </c>
      <c r="FLG614" s="17">
        <v>44925</v>
      </c>
      <c r="FLH614" s="5" t="s">
        <v>3728</v>
      </c>
      <c r="FLI614" s="17">
        <v>44925</v>
      </c>
      <c r="FLJ614" s="5" t="s">
        <v>3728</v>
      </c>
      <c r="FLK614" s="17">
        <v>44925</v>
      </c>
      <c r="FLL614" s="5" t="s">
        <v>3728</v>
      </c>
      <c r="FLM614" s="17">
        <v>44925</v>
      </c>
      <c r="FLN614" s="5" t="s">
        <v>3728</v>
      </c>
      <c r="FLO614" s="17">
        <v>44925</v>
      </c>
      <c r="FLP614" s="5" t="s">
        <v>3728</v>
      </c>
      <c r="FLQ614" s="17">
        <v>44925</v>
      </c>
      <c r="FLR614" s="5" t="s">
        <v>3728</v>
      </c>
      <c r="FLS614" s="17">
        <v>44925</v>
      </c>
      <c r="FLT614" s="5" t="s">
        <v>3728</v>
      </c>
      <c r="FLU614" s="17">
        <v>44925</v>
      </c>
      <c r="FLV614" s="5" t="s">
        <v>3728</v>
      </c>
      <c r="FLW614" s="17">
        <v>44925</v>
      </c>
      <c r="FLX614" s="5" t="s">
        <v>3728</v>
      </c>
      <c r="FLY614" s="17">
        <v>44925</v>
      </c>
      <c r="FLZ614" s="5" t="s">
        <v>3728</v>
      </c>
      <c r="FMA614" s="17">
        <v>44925</v>
      </c>
      <c r="FMB614" s="5" t="s">
        <v>3728</v>
      </c>
      <c r="FMC614" s="17">
        <v>44925</v>
      </c>
      <c r="FMD614" s="5" t="s">
        <v>3728</v>
      </c>
      <c r="FME614" s="17">
        <v>44925</v>
      </c>
      <c r="FMF614" s="5" t="s">
        <v>3728</v>
      </c>
      <c r="FMG614" s="17">
        <v>44925</v>
      </c>
      <c r="FMH614" s="5" t="s">
        <v>3728</v>
      </c>
      <c r="FMI614" s="17">
        <v>44925</v>
      </c>
      <c r="FMJ614" s="5" t="s">
        <v>3728</v>
      </c>
      <c r="FMK614" s="17">
        <v>44925</v>
      </c>
      <c r="FML614" s="5" t="s">
        <v>3728</v>
      </c>
      <c r="FMM614" s="17">
        <v>44925</v>
      </c>
      <c r="FMN614" s="5" t="s">
        <v>3728</v>
      </c>
      <c r="FMO614" s="17">
        <v>44925</v>
      </c>
      <c r="FMP614" s="5" t="s">
        <v>3728</v>
      </c>
      <c r="FMQ614" s="17">
        <v>44925</v>
      </c>
      <c r="FMR614" s="5" t="s">
        <v>3728</v>
      </c>
      <c r="FMS614" s="17">
        <v>44925</v>
      </c>
      <c r="FMT614" s="5" t="s">
        <v>3728</v>
      </c>
      <c r="FMU614" s="17">
        <v>44925</v>
      </c>
      <c r="FMV614" s="5" t="s">
        <v>3728</v>
      </c>
      <c r="FMW614" s="17">
        <v>44925</v>
      </c>
      <c r="FMX614" s="5" t="s">
        <v>3728</v>
      </c>
      <c r="FMY614" s="17">
        <v>44925</v>
      </c>
      <c r="FMZ614" s="5" t="s">
        <v>3728</v>
      </c>
      <c r="FNA614" s="17">
        <v>44925</v>
      </c>
      <c r="FNB614" s="5" t="s">
        <v>3728</v>
      </c>
      <c r="FNC614" s="17">
        <v>44925</v>
      </c>
      <c r="FND614" s="5" t="s">
        <v>3728</v>
      </c>
      <c r="FNE614" s="17">
        <v>44925</v>
      </c>
      <c r="FNF614" s="5" t="s">
        <v>3728</v>
      </c>
      <c r="FNG614" s="17">
        <v>44925</v>
      </c>
      <c r="FNH614" s="5" t="s">
        <v>3728</v>
      </c>
      <c r="FNI614" s="17">
        <v>44925</v>
      </c>
      <c r="FNJ614" s="5" t="s">
        <v>3728</v>
      </c>
      <c r="FNK614" s="17">
        <v>44925</v>
      </c>
      <c r="FNL614" s="5" t="s">
        <v>3728</v>
      </c>
      <c r="FNM614" s="17">
        <v>44925</v>
      </c>
      <c r="FNN614" s="5" t="s">
        <v>3728</v>
      </c>
      <c r="FNO614" s="17">
        <v>44925</v>
      </c>
      <c r="FNP614" s="5" t="s">
        <v>3728</v>
      </c>
      <c r="FNQ614" s="17">
        <v>44925</v>
      </c>
      <c r="FNR614" s="5" t="s">
        <v>3728</v>
      </c>
      <c r="FNS614" s="17">
        <v>44925</v>
      </c>
      <c r="FNT614" s="5" t="s">
        <v>3728</v>
      </c>
      <c r="FNU614" s="17">
        <v>44925</v>
      </c>
      <c r="FNV614" s="5" t="s">
        <v>3728</v>
      </c>
      <c r="FNW614" s="17">
        <v>44925</v>
      </c>
      <c r="FNX614" s="5" t="s">
        <v>3728</v>
      </c>
      <c r="FNY614" s="17">
        <v>44925</v>
      </c>
      <c r="FNZ614" s="5" t="s">
        <v>3728</v>
      </c>
      <c r="FOA614" s="17">
        <v>44925</v>
      </c>
      <c r="FOB614" s="5" t="s">
        <v>3728</v>
      </c>
      <c r="FOC614" s="17">
        <v>44925</v>
      </c>
      <c r="FOD614" s="5" t="s">
        <v>3728</v>
      </c>
      <c r="FOE614" s="17">
        <v>44925</v>
      </c>
      <c r="FOF614" s="5" t="s">
        <v>3728</v>
      </c>
      <c r="FOG614" s="17">
        <v>44925</v>
      </c>
      <c r="FOH614" s="5" t="s">
        <v>3728</v>
      </c>
      <c r="FOI614" s="17">
        <v>44925</v>
      </c>
      <c r="FOJ614" s="5" t="s">
        <v>3728</v>
      </c>
      <c r="FOK614" s="17">
        <v>44925</v>
      </c>
      <c r="FOL614" s="5" t="s">
        <v>3728</v>
      </c>
      <c r="FOM614" s="17">
        <v>44925</v>
      </c>
      <c r="FON614" s="5" t="s">
        <v>3728</v>
      </c>
      <c r="FOO614" s="17">
        <v>44925</v>
      </c>
      <c r="FOP614" s="5" t="s">
        <v>3728</v>
      </c>
      <c r="FOQ614" s="17">
        <v>44925</v>
      </c>
      <c r="FOR614" s="5" t="s">
        <v>3728</v>
      </c>
      <c r="FOS614" s="17">
        <v>44925</v>
      </c>
      <c r="FOT614" s="5" t="s">
        <v>3728</v>
      </c>
      <c r="FOU614" s="17">
        <v>44925</v>
      </c>
      <c r="FOV614" s="5" t="s">
        <v>3728</v>
      </c>
      <c r="FOW614" s="17">
        <v>44925</v>
      </c>
      <c r="FOX614" s="5" t="s">
        <v>3728</v>
      </c>
      <c r="FOY614" s="17">
        <v>44925</v>
      </c>
      <c r="FOZ614" s="5" t="s">
        <v>3728</v>
      </c>
      <c r="FPA614" s="17">
        <v>44925</v>
      </c>
      <c r="FPB614" s="5" t="s">
        <v>3728</v>
      </c>
      <c r="FPC614" s="17">
        <v>44925</v>
      </c>
      <c r="FPD614" s="5" t="s">
        <v>3728</v>
      </c>
      <c r="FPE614" s="17">
        <v>44925</v>
      </c>
      <c r="FPF614" s="5" t="s">
        <v>3728</v>
      </c>
      <c r="FPG614" s="17">
        <v>44925</v>
      </c>
      <c r="FPH614" s="5" t="s">
        <v>3728</v>
      </c>
      <c r="FPI614" s="17">
        <v>44925</v>
      </c>
      <c r="FPJ614" s="5" t="s">
        <v>3728</v>
      </c>
      <c r="FPK614" s="17">
        <v>44925</v>
      </c>
      <c r="FPL614" s="5" t="s">
        <v>3728</v>
      </c>
      <c r="FPM614" s="17">
        <v>44925</v>
      </c>
      <c r="FPN614" s="5" t="s">
        <v>3728</v>
      </c>
      <c r="FPO614" s="17">
        <v>44925</v>
      </c>
      <c r="FPP614" s="5" t="s">
        <v>3728</v>
      </c>
      <c r="FPQ614" s="17">
        <v>44925</v>
      </c>
      <c r="FPR614" s="5" t="s">
        <v>3728</v>
      </c>
      <c r="FPS614" s="17">
        <v>44925</v>
      </c>
      <c r="FPT614" s="5" t="s">
        <v>3728</v>
      </c>
      <c r="FPU614" s="17">
        <v>44925</v>
      </c>
      <c r="FPV614" s="5" t="s">
        <v>3728</v>
      </c>
      <c r="FPW614" s="17">
        <v>44925</v>
      </c>
      <c r="FPX614" s="5" t="s">
        <v>3728</v>
      </c>
      <c r="FPY614" s="17">
        <v>44925</v>
      </c>
      <c r="FPZ614" s="5" t="s">
        <v>3728</v>
      </c>
      <c r="FQA614" s="17">
        <v>44925</v>
      </c>
      <c r="FQB614" s="5" t="s">
        <v>3728</v>
      </c>
      <c r="FQC614" s="17">
        <v>44925</v>
      </c>
      <c r="FQD614" s="5" t="s">
        <v>3728</v>
      </c>
      <c r="FQE614" s="17">
        <v>44925</v>
      </c>
      <c r="FQF614" s="5" t="s">
        <v>3728</v>
      </c>
      <c r="FQG614" s="17">
        <v>44925</v>
      </c>
      <c r="FQH614" s="5" t="s">
        <v>3728</v>
      </c>
      <c r="FQI614" s="17">
        <v>44925</v>
      </c>
      <c r="FQJ614" s="5" t="s">
        <v>3728</v>
      </c>
      <c r="FQK614" s="17">
        <v>44925</v>
      </c>
      <c r="FQL614" s="5" t="s">
        <v>3728</v>
      </c>
      <c r="FQM614" s="17">
        <v>44925</v>
      </c>
      <c r="FQN614" s="5" t="s">
        <v>3728</v>
      </c>
      <c r="FQO614" s="17">
        <v>44925</v>
      </c>
      <c r="FQP614" s="5" t="s">
        <v>3728</v>
      </c>
      <c r="FQQ614" s="17">
        <v>44925</v>
      </c>
      <c r="FQR614" s="5" t="s">
        <v>3728</v>
      </c>
      <c r="FQS614" s="17">
        <v>44925</v>
      </c>
      <c r="FQT614" s="5" t="s">
        <v>3728</v>
      </c>
      <c r="FQU614" s="17">
        <v>44925</v>
      </c>
      <c r="FQV614" s="5" t="s">
        <v>3728</v>
      </c>
      <c r="FQW614" s="17">
        <v>44925</v>
      </c>
      <c r="FQX614" s="5" t="s">
        <v>3728</v>
      </c>
      <c r="FQY614" s="17">
        <v>44925</v>
      </c>
      <c r="FQZ614" s="5" t="s">
        <v>3728</v>
      </c>
      <c r="FRA614" s="17">
        <v>44925</v>
      </c>
      <c r="FRB614" s="5" t="s">
        <v>3728</v>
      </c>
      <c r="FRC614" s="17">
        <v>44925</v>
      </c>
      <c r="FRD614" s="5" t="s">
        <v>3728</v>
      </c>
      <c r="FRE614" s="17">
        <v>44925</v>
      </c>
      <c r="FRF614" s="5" t="s">
        <v>3728</v>
      </c>
      <c r="FRG614" s="17">
        <v>44925</v>
      </c>
      <c r="FRH614" s="5" t="s">
        <v>3728</v>
      </c>
      <c r="FRI614" s="17">
        <v>44925</v>
      </c>
      <c r="FRJ614" s="5" t="s">
        <v>3728</v>
      </c>
      <c r="FRK614" s="17">
        <v>44925</v>
      </c>
      <c r="FRL614" s="5" t="s">
        <v>3728</v>
      </c>
      <c r="FRM614" s="17">
        <v>44925</v>
      </c>
      <c r="FRN614" s="5" t="s">
        <v>3728</v>
      </c>
      <c r="FRO614" s="17">
        <v>44925</v>
      </c>
      <c r="FRP614" s="5" t="s">
        <v>3728</v>
      </c>
      <c r="FRQ614" s="17">
        <v>44925</v>
      </c>
      <c r="FRR614" s="5" t="s">
        <v>3728</v>
      </c>
      <c r="FRS614" s="17">
        <v>44925</v>
      </c>
      <c r="FRT614" s="5" t="s">
        <v>3728</v>
      </c>
      <c r="FRU614" s="17">
        <v>44925</v>
      </c>
      <c r="FRV614" s="5" t="s">
        <v>3728</v>
      </c>
      <c r="FRW614" s="17">
        <v>44925</v>
      </c>
      <c r="FRX614" s="5" t="s">
        <v>3728</v>
      </c>
      <c r="FRY614" s="17">
        <v>44925</v>
      </c>
      <c r="FRZ614" s="5" t="s">
        <v>3728</v>
      </c>
      <c r="FSA614" s="17">
        <v>44925</v>
      </c>
      <c r="FSB614" s="5" t="s">
        <v>3728</v>
      </c>
      <c r="FSC614" s="17">
        <v>44925</v>
      </c>
      <c r="FSD614" s="5" t="s">
        <v>3728</v>
      </c>
      <c r="FSE614" s="17">
        <v>44925</v>
      </c>
      <c r="FSF614" s="5" t="s">
        <v>3728</v>
      </c>
      <c r="FSG614" s="17">
        <v>44925</v>
      </c>
      <c r="FSH614" s="5" t="s">
        <v>3728</v>
      </c>
      <c r="FSI614" s="17">
        <v>44925</v>
      </c>
      <c r="FSJ614" s="5" t="s">
        <v>3728</v>
      </c>
      <c r="FSK614" s="17">
        <v>44925</v>
      </c>
      <c r="FSL614" s="5" t="s">
        <v>3728</v>
      </c>
      <c r="FSM614" s="17">
        <v>44925</v>
      </c>
      <c r="FSN614" s="5" t="s">
        <v>3728</v>
      </c>
      <c r="FSO614" s="17">
        <v>44925</v>
      </c>
      <c r="FSP614" s="5" t="s">
        <v>3728</v>
      </c>
      <c r="FSQ614" s="17">
        <v>44925</v>
      </c>
      <c r="FSR614" s="5" t="s">
        <v>3728</v>
      </c>
      <c r="FSS614" s="17">
        <v>44925</v>
      </c>
      <c r="FST614" s="5" t="s">
        <v>3728</v>
      </c>
      <c r="FSU614" s="17">
        <v>44925</v>
      </c>
      <c r="FSV614" s="5" t="s">
        <v>3728</v>
      </c>
      <c r="FSW614" s="17">
        <v>44925</v>
      </c>
      <c r="FSX614" s="5" t="s">
        <v>3728</v>
      </c>
      <c r="FSY614" s="17">
        <v>44925</v>
      </c>
      <c r="FSZ614" s="5" t="s">
        <v>3728</v>
      </c>
      <c r="FTA614" s="17">
        <v>44925</v>
      </c>
      <c r="FTB614" s="5" t="s">
        <v>3728</v>
      </c>
      <c r="FTC614" s="17">
        <v>44925</v>
      </c>
      <c r="FTD614" s="5" t="s">
        <v>3728</v>
      </c>
      <c r="FTE614" s="17">
        <v>44925</v>
      </c>
      <c r="FTF614" s="5" t="s">
        <v>3728</v>
      </c>
      <c r="FTG614" s="17">
        <v>44925</v>
      </c>
      <c r="FTH614" s="5" t="s">
        <v>3728</v>
      </c>
      <c r="FTI614" s="17">
        <v>44925</v>
      </c>
      <c r="FTJ614" s="5" t="s">
        <v>3728</v>
      </c>
      <c r="FTK614" s="17">
        <v>44925</v>
      </c>
      <c r="FTL614" s="5" t="s">
        <v>3728</v>
      </c>
      <c r="FTM614" s="17">
        <v>44925</v>
      </c>
      <c r="FTN614" s="5" t="s">
        <v>3728</v>
      </c>
      <c r="FTO614" s="17">
        <v>44925</v>
      </c>
      <c r="FTP614" s="5" t="s">
        <v>3728</v>
      </c>
      <c r="FTQ614" s="17">
        <v>44925</v>
      </c>
      <c r="FTR614" s="5" t="s">
        <v>3728</v>
      </c>
      <c r="FTS614" s="17">
        <v>44925</v>
      </c>
      <c r="FTT614" s="5" t="s">
        <v>3728</v>
      </c>
      <c r="FTU614" s="17">
        <v>44925</v>
      </c>
      <c r="FTV614" s="5" t="s">
        <v>3728</v>
      </c>
      <c r="FTW614" s="17">
        <v>44925</v>
      </c>
      <c r="FTX614" s="5" t="s">
        <v>3728</v>
      </c>
      <c r="FTY614" s="17">
        <v>44925</v>
      </c>
      <c r="FTZ614" s="5" t="s">
        <v>3728</v>
      </c>
      <c r="FUA614" s="17">
        <v>44925</v>
      </c>
      <c r="FUB614" s="5" t="s">
        <v>3728</v>
      </c>
      <c r="FUC614" s="17">
        <v>44925</v>
      </c>
      <c r="FUD614" s="5" t="s">
        <v>3728</v>
      </c>
      <c r="FUE614" s="17">
        <v>44925</v>
      </c>
      <c r="FUF614" s="5" t="s">
        <v>3728</v>
      </c>
      <c r="FUG614" s="17">
        <v>44925</v>
      </c>
      <c r="FUH614" s="5" t="s">
        <v>3728</v>
      </c>
      <c r="FUI614" s="17">
        <v>44925</v>
      </c>
      <c r="FUJ614" s="5" t="s">
        <v>3728</v>
      </c>
      <c r="FUK614" s="17">
        <v>44925</v>
      </c>
      <c r="FUL614" s="5" t="s">
        <v>3728</v>
      </c>
      <c r="FUM614" s="17">
        <v>44925</v>
      </c>
      <c r="FUN614" s="5" t="s">
        <v>3728</v>
      </c>
      <c r="FUO614" s="17">
        <v>44925</v>
      </c>
      <c r="FUP614" s="5" t="s">
        <v>3728</v>
      </c>
      <c r="FUQ614" s="17">
        <v>44925</v>
      </c>
      <c r="FUR614" s="5" t="s">
        <v>3728</v>
      </c>
      <c r="FUS614" s="17">
        <v>44925</v>
      </c>
      <c r="FUT614" s="5" t="s">
        <v>3728</v>
      </c>
      <c r="FUU614" s="17">
        <v>44925</v>
      </c>
      <c r="FUV614" s="5" t="s">
        <v>3728</v>
      </c>
      <c r="FUW614" s="17">
        <v>44925</v>
      </c>
      <c r="FUX614" s="5" t="s">
        <v>3728</v>
      </c>
      <c r="FUY614" s="17">
        <v>44925</v>
      </c>
      <c r="FUZ614" s="5" t="s">
        <v>3728</v>
      </c>
      <c r="FVA614" s="17">
        <v>44925</v>
      </c>
      <c r="FVB614" s="5" t="s">
        <v>3728</v>
      </c>
      <c r="FVC614" s="17">
        <v>44925</v>
      </c>
      <c r="FVD614" s="5" t="s">
        <v>3728</v>
      </c>
      <c r="FVE614" s="17">
        <v>44925</v>
      </c>
      <c r="FVF614" s="5" t="s">
        <v>3728</v>
      </c>
      <c r="FVG614" s="17">
        <v>44925</v>
      </c>
      <c r="FVH614" s="5" t="s">
        <v>3728</v>
      </c>
      <c r="FVI614" s="17">
        <v>44925</v>
      </c>
      <c r="FVJ614" s="5" t="s">
        <v>3728</v>
      </c>
      <c r="FVK614" s="17">
        <v>44925</v>
      </c>
      <c r="FVL614" s="5" t="s">
        <v>3728</v>
      </c>
      <c r="FVM614" s="17">
        <v>44925</v>
      </c>
      <c r="FVN614" s="5" t="s">
        <v>3728</v>
      </c>
      <c r="FVO614" s="17">
        <v>44925</v>
      </c>
      <c r="FVP614" s="5" t="s">
        <v>3728</v>
      </c>
      <c r="FVQ614" s="17">
        <v>44925</v>
      </c>
      <c r="FVR614" s="5" t="s">
        <v>3728</v>
      </c>
      <c r="FVS614" s="17">
        <v>44925</v>
      </c>
      <c r="FVT614" s="5" t="s">
        <v>3728</v>
      </c>
      <c r="FVU614" s="17">
        <v>44925</v>
      </c>
      <c r="FVV614" s="5" t="s">
        <v>3728</v>
      </c>
      <c r="FVW614" s="17">
        <v>44925</v>
      </c>
      <c r="FVX614" s="5" t="s">
        <v>3728</v>
      </c>
      <c r="FVY614" s="17">
        <v>44925</v>
      </c>
      <c r="FVZ614" s="5" t="s">
        <v>3728</v>
      </c>
      <c r="FWA614" s="17">
        <v>44925</v>
      </c>
      <c r="FWB614" s="5" t="s">
        <v>3728</v>
      </c>
      <c r="FWC614" s="17">
        <v>44925</v>
      </c>
      <c r="FWD614" s="5" t="s">
        <v>3728</v>
      </c>
      <c r="FWE614" s="17">
        <v>44925</v>
      </c>
      <c r="FWF614" s="5" t="s">
        <v>3728</v>
      </c>
      <c r="FWG614" s="17">
        <v>44925</v>
      </c>
      <c r="FWH614" s="5" t="s">
        <v>3728</v>
      </c>
      <c r="FWI614" s="17">
        <v>44925</v>
      </c>
      <c r="FWJ614" s="5" t="s">
        <v>3728</v>
      </c>
      <c r="FWK614" s="17">
        <v>44925</v>
      </c>
      <c r="FWL614" s="5" t="s">
        <v>3728</v>
      </c>
      <c r="FWM614" s="17">
        <v>44925</v>
      </c>
      <c r="FWN614" s="5" t="s">
        <v>3728</v>
      </c>
      <c r="FWO614" s="17">
        <v>44925</v>
      </c>
      <c r="FWP614" s="5" t="s">
        <v>3728</v>
      </c>
      <c r="FWQ614" s="17">
        <v>44925</v>
      </c>
      <c r="FWR614" s="5" t="s">
        <v>3728</v>
      </c>
      <c r="FWS614" s="17">
        <v>44925</v>
      </c>
      <c r="FWT614" s="5" t="s">
        <v>3728</v>
      </c>
      <c r="FWU614" s="17">
        <v>44925</v>
      </c>
      <c r="FWV614" s="5" t="s">
        <v>3728</v>
      </c>
      <c r="FWW614" s="17">
        <v>44925</v>
      </c>
      <c r="FWX614" s="5" t="s">
        <v>3728</v>
      </c>
      <c r="FWY614" s="17">
        <v>44925</v>
      </c>
      <c r="FWZ614" s="5" t="s">
        <v>3728</v>
      </c>
      <c r="FXA614" s="17">
        <v>44925</v>
      </c>
      <c r="FXB614" s="5" t="s">
        <v>3728</v>
      </c>
      <c r="FXC614" s="17">
        <v>44925</v>
      </c>
      <c r="FXD614" s="5" t="s">
        <v>3728</v>
      </c>
      <c r="FXE614" s="17">
        <v>44925</v>
      </c>
      <c r="FXF614" s="5" t="s">
        <v>3728</v>
      </c>
      <c r="FXG614" s="17">
        <v>44925</v>
      </c>
      <c r="FXH614" s="5" t="s">
        <v>3728</v>
      </c>
      <c r="FXI614" s="17">
        <v>44925</v>
      </c>
      <c r="FXJ614" s="5" t="s">
        <v>3728</v>
      </c>
      <c r="FXK614" s="17">
        <v>44925</v>
      </c>
      <c r="FXL614" s="5" t="s">
        <v>3728</v>
      </c>
      <c r="FXM614" s="17">
        <v>44925</v>
      </c>
      <c r="FXN614" s="5" t="s">
        <v>3728</v>
      </c>
      <c r="FXO614" s="17">
        <v>44925</v>
      </c>
      <c r="FXP614" s="5" t="s">
        <v>3728</v>
      </c>
      <c r="FXQ614" s="17">
        <v>44925</v>
      </c>
      <c r="FXR614" s="5" t="s">
        <v>3728</v>
      </c>
      <c r="FXS614" s="17">
        <v>44925</v>
      </c>
      <c r="FXT614" s="5" t="s">
        <v>3728</v>
      </c>
      <c r="FXU614" s="17">
        <v>44925</v>
      </c>
      <c r="FXV614" s="5" t="s">
        <v>3728</v>
      </c>
      <c r="FXW614" s="17">
        <v>44925</v>
      </c>
      <c r="FXX614" s="5" t="s">
        <v>3728</v>
      </c>
      <c r="FXY614" s="17">
        <v>44925</v>
      </c>
      <c r="FXZ614" s="5" t="s">
        <v>3728</v>
      </c>
      <c r="FYA614" s="17">
        <v>44925</v>
      </c>
      <c r="FYB614" s="5" t="s">
        <v>3728</v>
      </c>
      <c r="FYC614" s="17">
        <v>44925</v>
      </c>
      <c r="FYD614" s="5" t="s">
        <v>3728</v>
      </c>
      <c r="FYE614" s="17">
        <v>44925</v>
      </c>
      <c r="FYF614" s="5" t="s">
        <v>3728</v>
      </c>
      <c r="FYG614" s="17">
        <v>44925</v>
      </c>
      <c r="FYH614" s="5" t="s">
        <v>3728</v>
      </c>
      <c r="FYI614" s="17">
        <v>44925</v>
      </c>
      <c r="FYJ614" s="5" t="s">
        <v>3728</v>
      </c>
      <c r="FYK614" s="17">
        <v>44925</v>
      </c>
      <c r="FYL614" s="5" t="s">
        <v>3728</v>
      </c>
      <c r="FYM614" s="17">
        <v>44925</v>
      </c>
      <c r="FYN614" s="5" t="s">
        <v>3728</v>
      </c>
      <c r="FYO614" s="17">
        <v>44925</v>
      </c>
      <c r="FYP614" s="5" t="s">
        <v>3728</v>
      </c>
      <c r="FYQ614" s="17">
        <v>44925</v>
      </c>
      <c r="FYR614" s="5" t="s">
        <v>3728</v>
      </c>
      <c r="FYS614" s="17">
        <v>44925</v>
      </c>
      <c r="FYT614" s="5" t="s">
        <v>3728</v>
      </c>
      <c r="FYU614" s="17">
        <v>44925</v>
      </c>
      <c r="FYV614" s="5" t="s">
        <v>3728</v>
      </c>
      <c r="FYW614" s="17">
        <v>44925</v>
      </c>
      <c r="FYX614" s="5" t="s">
        <v>3728</v>
      </c>
      <c r="FYY614" s="17">
        <v>44925</v>
      </c>
      <c r="FYZ614" s="5" t="s">
        <v>3728</v>
      </c>
      <c r="FZA614" s="17">
        <v>44925</v>
      </c>
      <c r="FZB614" s="5" t="s">
        <v>3728</v>
      </c>
      <c r="FZC614" s="17">
        <v>44925</v>
      </c>
      <c r="FZD614" s="5" t="s">
        <v>3728</v>
      </c>
      <c r="FZE614" s="17">
        <v>44925</v>
      </c>
      <c r="FZF614" s="5" t="s">
        <v>3728</v>
      </c>
      <c r="FZG614" s="17">
        <v>44925</v>
      </c>
      <c r="FZH614" s="5" t="s">
        <v>3728</v>
      </c>
      <c r="FZI614" s="17">
        <v>44925</v>
      </c>
      <c r="FZJ614" s="5" t="s">
        <v>3728</v>
      </c>
      <c r="FZK614" s="17">
        <v>44925</v>
      </c>
      <c r="FZL614" s="5" t="s">
        <v>3728</v>
      </c>
      <c r="FZM614" s="17">
        <v>44925</v>
      </c>
      <c r="FZN614" s="5" t="s">
        <v>3728</v>
      </c>
      <c r="FZO614" s="17">
        <v>44925</v>
      </c>
      <c r="FZP614" s="5" t="s">
        <v>3728</v>
      </c>
      <c r="FZQ614" s="17">
        <v>44925</v>
      </c>
      <c r="FZR614" s="5" t="s">
        <v>3728</v>
      </c>
      <c r="FZS614" s="17">
        <v>44925</v>
      </c>
      <c r="FZT614" s="5" t="s">
        <v>3728</v>
      </c>
      <c r="FZU614" s="17">
        <v>44925</v>
      </c>
      <c r="FZV614" s="5" t="s">
        <v>3728</v>
      </c>
      <c r="FZW614" s="17">
        <v>44925</v>
      </c>
      <c r="FZX614" s="5" t="s">
        <v>3728</v>
      </c>
      <c r="FZY614" s="17">
        <v>44925</v>
      </c>
      <c r="FZZ614" s="5" t="s">
        <v>3728</v>
      </c>
      <c r="GAA614" s="17">
        <v>44925</v>
      </c>
      <c r="GAB614" s="5" t="s">
        <v>3728</v>
      </c>
      <c r="GAC614" s="17">
        <v>44925</v>
      </c>
      <c r="GAD614" s="5" t="s">
        <v>3728</v>
      </c>
      <c r="GAE614" s="17">
        <v>44925</v>
      </c>
      <c r="GAF614" s="5" t="s">
        <v>3728</v>
      </c>
      <c r="GAG614" s="17">
        <v>44925</v>
      </c>
      <c r="GAH614" s="5" t="s">
        <v>3728</v>
      </c>
      <c r="GAI614" s="17">
        <v>44925</v>
      </c>
      <c r="GAJ614" s="5" t="s">
        <v>3728</v>
      </c>
      <c r="GAK614" s="17">
        <v>44925</v>
      </c>
      <c r="GAL614" s="5" t="s">
        <v>3728</v>
      </c>
      <c r="GAM614" s="17">
        <v>44925</v>
      </c>
      <c r="GAN614" s="5" t="s">
        <v>3728</v>
      </c>
      <c r="GAO614" s="17">
        <v>44925</v>
      </c>
      <c r="GAP614" s="5" t="s">
        <v>3728</v>
      </c>
      <c r="GAQ614" s="17">
        <v>44925</v>
      </c>
      <c r="GAR614" s="5" t="s">
        <v>3728</v>
      </c>
      <c r="GAS614" s="17">
        <v>44925</v>
      </c>
      <c r="GAT614" s="5" t="s">
        <v>3728</v>
      </c>
      <c r="GAU614" s="17">
        <v>44925</v>
      </c>
      <c r="GAV614" s="5" t="s">
        <v>3728</v>
      </c>
      <c r="GAW614" s="17">
        <v>44925</v>
      </c>
      <c r="GAX614" s="5" t="s">
        <v>3728</v>
      </c>
      <c r="GAY614" s="17">
        <v>44925</v>
      </c>
      <c r="GAZ614" s="5" t="s">
        <v>3728</v>
      </c>
      <c r="GBA614" s="17">
        <v>44925</v>
      </c>
      <c r="GBB614" s="5" t="s">
        <v>3728</v>
      </c>
      <c r="GBC614" s="17">
        <v>44925</v>
      </c>
      <c r="GBD614" s="5" t="s">
        <v>3728</v>
      </c>
      <c r="GBE614" s="17">
        <v>44925</v>
      </c>
      <c r="GBF614" s="5" t="s">
        <v>3728</v>
      </c>
      <c r="GBG614" s="17">
        <v>44925</v>
      </c>
      <c r="GBH614" s="5" t="s">
        <v>3728</v>
      </c>
      <c r="GBI614" s="17">
        <v>44925</v>
      </c>
      <c r="GBJ614" s="5" t="s">
        <v>3728</v>
      </c>
      <c r="GBK614" s="17">
        <v>44925</v>
      </c>
      <c r="GBL614" s="5" t="s">
        <v>3728</v>
      </c>
      <c r="GBM614" s="17">
        <v>44925</v>
      </c>
      <c r="GBN614" s="5" t="s">
        <v>3728</v>
      </c>
      <c r="GBO614" s="17">
        <v>44925</v>
      </c>
      <c r="GBP614" s="5" t="s">
        <v>3728</v>
      </c>
      <c r="GBQ614" s="17">
        <v>44925</v>
      </c>
      <c r="GBR614" s="5" t="s">
        <v>3728</v>
      </c>
      <c r="GBS614" s="17">
        <v>44925</v>
      </c>
      <c r="GBT614" s="5" t="s">
        <v>3728</v>
      </c>
      <c r="GBU614" s="17">
        <v>44925</v>
      </c>
      <c r="GBV614" s="5" t="s">
        <v>3728</v>
      </c>
      <c r="GBW614" s="17">
        <v>44925</v>
      </c>
      <c r="GBX614" s="5" t="s">
        <v>3728</v>
      </c>
      <c r="GBY614" s="17">
        <v>44925</v>
      </c>
      <c r="GBZ614" s="5" t="s">
        <v>3728</v>
      </c>
      <c r="GCA614" s="17">
        <v>44925</v>
      </c>
      <c r="GCB614" s="5" t="s">
        <v>3728</v>
      </c>
      <c r="GCC614" s="17">
        <v>44925</v>
      </c>
      <c r="GCD614" s="5" t="s">
        <v>3728</v>
      </c>
      <c r="GCE614" s="17">
        <v>44925</v>
      </c>
      <c r="GCF614" s="5" t="s">
        <v>3728</v>
      </c>
      <c r="GCG614" s="17">
        <v>44925</v>
      </c>
      <c r="GCH614" s="5" t="s">
        <v>3728</v>
      </c>
      <c r="GCI614" s="17">
        <v>44925</v>
      </c>
      <c r="GCJ614" s="5" t="s">
        <v>3728</v>
      </c>
      <c r="GCK614" s="17">
        <v>44925</v>
      </c>
      <c r="GCL614" s="5" t="s">
        <v>3728</v>
      </c>
      <c r="GCM614" s="17">
        <v>44925</v>
      </c>
      <c r="GCN614" s="5" t="s">
        <v>3728</v>
      </c>
      <c r="GCO614" s="17">
        <v>44925</v>
      </c>
      <c r="GCP614" s="5" t="s">
        <v>3728</v>
      </c>
      <c r="GCQ614" s="17">
        <v>44925</v>
      </c>
      <c r="GCR614" s="5" t="s">
        <v>3728</v>
      </c>
      <c r="GCS614" s="17">
        <v>44925</v>
      </c>
      <c r="GCT614" s="5" t="s">
        <v>3728</v>
      </c>
      <c r="GCU614" s="17">
        <v>44925</v>
      </c>
      <c r="GCV614" s="5" t="s">
        <v>3728</v>
      </c>
      <c r="GCW614" s="17">
        <v>44925</v>
      </c>
      <c r="GCX614" s="5" t="s">
        <v>3728</v>
      </c>
      <c r="GCY614" s="17">
        <v>44925</v>
      </c>
      <c r="GCZ614" s="5" t="s">
        <v>3728</v>
      </c>
      <c r="GDA614" s="17">
        <v>44925</v>
      </c>
      <c r="GDB614" s="5" t="s">
        <v>3728</v>
      </c>
      <c r="GDC614" s="17">
        <v>44925</v>
      </c>
      <c r="GDD614" s="5" t="s">
        <v>3728</v>
      </c>
      <c r="GDE614" s="17">
        <v>44925</v>
      </c>
      <c r="GDF614" s="5" t="s">
        <v>3728</v>
      </c>
      <c r="GDG614" s="17">
        <v>44925</v>
      </c>
      <c r="GDH614" s="5" t="s">
        <v>3728</v>
      </c>
      <c r="GDI614" s="17">
        <v>44925</v>
      </c>
      <c r="GDJ614" s="5" t="s">
        <v>3728</v>
      </c>
      <c r="GDK614" s="17">
        <v>44925</v>
      </c>
      <c r="GDL614" s="5" t="s">
        <v>3728</v>
      </c>
      <c r="GDM614" s="17">
        <v>44925</v>
      </c>
      <c r="GDN614" s="5" t="s">
        <v>3728</v>
      </c>
      <c r="GDO614" s="17">
        <v>44925</v>
      </c>
      <c r="GDP614" s="5" t="s">
        <v>3728</v>
      </c>
      <c r="GDQ614" s="17">
        <v>44925</v>
      </c>
      <c r="GDR614" s="5" t="s">
        <v>3728</v>
      </c>
      <c r="GDS614" s="17">
        <v>44925</v>
      </c>
      <c r="GDT614" s="5" t="s">
        <v>3728</v>
      </c>
      <c r="GDU614" s="17">
        <v>44925</v>
      </c>
      <c r="GDV614" s="5" t="s">
        <v>3728</v>
      </c>
      <c r="GDW614" s="17">
        <v>44925</v>
      </c>
      <c r="GDX614" s="5" t="s">
        <v>3728</v>
      </c>
      <c r="GDY614" s="17">
        <v>44925</v>
      </c>
      <c r="GDZ614" s="5" t="s">
        <v>3728</v>
      </c>
      <c r="GEA614" s="17">
        <v>44925</v>
      </c>
      <c r="GEB614" s="5" t="s">
        <v>3728</v>
      </c>
      <c r="GEC614" s="17">
        <v>44925</v>
      </c>
      <c r="GED614" s="5" t="s">
        <v>3728</v>
      </c>
      <c r="GEE614" s="17">
        <v>44925</v>
      </c>
      <c r="GEF614" s="5" t="s">
        <v>3728</v>
      </c>
      <c r="GEG614" s="17">
        <v>44925</v>
      </c>
      <c r="GEH614" s="5" t="s">
        <v>3728</v>
      </c>
      <c r="GEI614" s="17">
        <v>44925</v>
      </c>
      <c r="GEJ614" s="5" t="s">
        <v>3728</v>
      </c>
      <c r="GEK614" s="17">
        <v>44925</v>
      </c>
      <c r="GEL614" s="5" t="s">
        <v>3728</v>
      </c>
      <c r="GEM614" s="17">
        <v>44925</v>
      </c>
      <c r="GEN614" s="5" t="s">
        <v>3728</v>
      </c>
      <c r="GEO614" s="17">
        <v>44925</v>
      </c>
      <c r="GEP614" s="5" t="s">
        <v>3728</v>
      </c>
      <c r="GEQ614" s="17">
        <v>44925</v>
      </c>
      <c r="GER614" s="5" t="s">
        <v>3728</v>
      </c>
      <c r="GES614" s="17">
        <v>44925</v>
      </c>
      <c r="GET614" s="5" t="s">
        <v>3728</v>
      </c>
      <c r="GEU614" s="17">
        <v>44925</v>
      </c>
      <c r="GEV614" s="5" t="s">
        <v>3728</v>
      </c>
      <c r="GEW614" s="17">
        <v>44925</v>
      </c>
      <c r="GEX614" s="5" t="s">
        <v>3728</v>
      </c>
      <c r="GEY614" s="17">
        <v>44925</v>
      </c>
      <c r="GEZ614" s="5" t="s">
        <v>3728</v>
      </c>
      <c r="GFA614" s="17">
        <v>44925</v>
      </c>
      <c r="GFB614" s="5" t="s">
        <v>3728</v>
      </c>
      <c r="GFC614" s="17">
        <v>44925</v>
      </c>
      <c r="GFD614" s="5" t="s">
        <v>3728</v>
      </c>
      <c r="GFE614" s="17">
        <v>44925</v>
      </c>
      <c r="GFF614" s="5" t="s">
        <v>3728</v>
      </c>
      <c r="GFG614" s="17">
        <v>44925</v>
      </c>
      <c r="GFH614" s="5" t="s">
        <v>3728</v>
      </c>
      <c r="GFI614" s="17">
        <v>44925</v>
      </c>
      <c r="GFJ614" s="5" t="s">
        <v>3728</v>
      </c>
      <c r="GFK614" s="17">
        <v>44925</v>
      </c>
      <c r="GFL614" s="5" t="s">
        <v>3728</v>
      </c>
      <c r="GFM614" s="17">
        <v>44925</v>
      </c>
      <c r="GFN614" s="5" t="s">
        <v>3728</v>
      </c>
      <c r="GFO614" s="17">
        <v>44925</v>
      </c>
      <c r="GFP614" s="5" t="s">
        <v>3728</v>
      </c>
      <c r="GFQ614" s="17">
        <v>44925</v>
      </c>
      <c r="GFR614" s="5" t="s">
        <v>3728</v>
      </c>
      <c r="GFS614" s="17">
        <v>44925</v>
      </c>
      <c r="GFT614" s="5" t="s">
        <v>3728</v>
      </c>
      <c r="GFU614" s="17">
        <v>44925</v>
      </c>
      <c r="GFV614" s="5" t="s">
        <v>3728</v>
      </c>
      <c r="GFW614" s="17">
        <v>44925</v>
      </c>
      <c r="GFX614" s="5" t="s">
        <v>3728</v>
      </c>
      <c r="GFY614" s="17">
        <v>44925</v>
      </c>
      <c r="GFZ614" s="5" t="s">
        <v>3728</v>
      </c>
      <c r="GGA614" s="17">
        <v>44925</v>
      </c>
      <c r="GGB614" s="5" t="s">
        <v>3728</v>
      </c>
      <c r="GGC614" s="17">
        <v>44925</v>
      </c>
      <c r="GGD614" s="5" t="s">
        <v>3728</v>
      </c>
      <c r="GGE614" s="17">
        <v>44925</v>
      </c>
      <c r="GGF614" s="5" t="s">
        <v>3728</v>
      </c>
      <c r="GGG614" s="17">
        <v>44925</v>
      </c>
      <c r="GGH614" s="5" t="s">
        <v>3728</v>
      </c>
      <c r="GGI614" s="17">
        <v>44925</v>
      </c>
      <c r="GGJ614" s="5" t="s">
        <v>3728</v>
      </c>
      <c r="GGK614" s="17">
        <v>44925</v>
      </c>
      <c r="GGL614" s="5" t="s">
        <v>3728</v>
      </c>
      <c r="GGM614" s="17">
        <v>44925</v>
      </c>
      <c r="GGN614" s="5" t="s">
        <v>3728</v>
      </c>
      <c r="GGO614" s="17">
        <v>44925</v>
      </c>
      <c r="GGP614" s="5" t="s">
        <v>3728</v>
      </c>
      <c r="GGQ614" s="17">
        <v>44925</v>
      </c>
      <c r="GGR614" s="5" t="s">
        <v>3728</v>
      </c>
      <c r="GGS614" s="17">
        <v>44925</v>
      </c>
      <c r="GGT614" s="5" t="s">
        <v>3728</v>
      </c>
      <c r="GGU614" s="17">
        <v>44925</v>
      </c>
      <c r="GGV614" s="5" t="s">
        <v>3728</v>
      </c>
      <c r="GGW614" s="17">
        <v>44925</v>
      </c>
      <c r="GGX614" s="5" t="s">
        <v>3728</v>
      </c>
      <c r="GGY614" s="17">
        <v>44925</v>
      </c>
      <c r="GGZ614" s="5" t="s">
        <v>3728</v>
      </c>
      <c r="GHA614" s="17">
        <v>44925</v>
      </c>
      <c r="GHB614" s="5" t="s">
        <v>3728</v>
      </c>
      <c r="GHC614" s="17">
        <v>44925</v>
      </c>
      <c r="GHD614" s="5" t="s">
        <v>3728</v>
      </c>
      <c r="GHE614" s="17">
        <v>44925</v>
      </c>
      <c r="GHF614" s="5" t="s">
        <v>3728</v>
      </c>
      <c r="GHG614" s="17">
        <v>44925</v>
      </c>
      <c r="GHH614" s="5" t="s">
        <v>3728</v>
      </c>
      <c r="GHI614" s="17">
        <v>44925</v>
      </c>
      <c r="GHJ614" s="5" t="s">
        <v>3728</v>
      </c>
      <c r="GHK614" s="17">
        <v>44925</v>
      </c>
      <c r="GHL614" s="5" t="s">
        <v>3728</v>
      </c>
      <c r="GHM614" s="17">
        <v>44925</v>
      </c>
      <c r="GHN614" s="5" t="s">
        <v>3728</v>
      </c>
      <c r="GHO614" s="17">
        <v>44925</v>
      </c>
      <c r="GHP614" s="5" t="s">
        <v>3728</v>
      </c>
      <c r="GHQ614" s="17">
        <v>44925</v>
      </c>
      <c r="GHR614" s="5" t="s">
        <v>3728</v>
      </c>
      <c r="GHS614" s="17">
        <v>44925</v>
      </c>
      <c r="GHT614" s="5" t="s">
        <v>3728</v>
      </c>
      <c r="GHU614" s="17">
        <v>44925</v>
      </c>
      <c r="GHV614" s="5" t="s">
        <v>3728</v>
      </c>
      <c r="GHW614" s="17">
        <v>44925</v>
      </c>
      <c r="GHX614" s="5" t="s">
        <v>3728</v>
      </c>
      <c r="GHY614" s="17">
        <v>44925</v>
      </c>
      <c r="GHZ614" s="5" t="s">
        <v>3728</v>
      </c>
      <c r="GIA614" s="17">
        <v>44925</v>
      </c>
      <c r="GIB614" s="5" t="s">
        <v>3728</v>
      </c>
      <c r="GIC614" s="17">
        <v>44925</v>
      </c>
      <c r="GID614" s="5" t="s">
        <v>3728</v>
      </c>
      <c r="GIE614" s="17">
        <v>44925</v>
      </c>
      <c r="GIF614" s="5" t="s">
        <v>3728</v>
      </c>
      <c r="GIG614" s="17">
        <v>44925</v>
      </c>
      <c r="GIH614" s="5" t="s">
        <v>3728</v>
      </c>
      <c r="GII614" s="17">
        <v>44925</v>
      </c>
      <c r="GIJ614" s="5" t="s">
        <v>3728</v>
      </c>
      <c r="GIK614" s="17">
        <v>44925</v>
      </c>
      <c r="GIL614" s="5" t="s">
        <v>3728</v>
      </c>
      <c r="GIM614" s="17">
        <v>44925</v>
      </c>
      <c r="GIN614" s="5" t="s">
        <v>3728</v>
      </c>
      <c r="GIO614" s="17">
        <v>44925</v>
      </c>
      <c r="GIP614" s="5" t="s">
        <v>3728</v>
      </c>
      <c r="GIQ614" s="17">
        <v>44925</v>
      </c>
      <c r="GIR614" s="5" t="s">
        <v>3728</v>
      </c>
      <c r="GIS614" s="17">
        <v>44925</v>
      </c>
      <c r="GIT614" s="5" t="s">
        <v>3728</v>
      </c>
      <c r="GIU614" s="17">
        <v>44925</v>
      </c>
      <c r="GIV614" s="5" t="s">
        <v>3728</v>
      </c>
      <c r="GIW614" s="17">
        <v>44925</v>
      </c>
      <c r="GIX614" s="5" t="s">
        <v>3728</v>
      </c>
      <c r="GIY614" s="17">
        <v>44925</v>
      </c>
      <c r="GIZ614" s="5" t="s">
        <v>3728</v>
      </c>
      <c r="GJA614" s="17">
        <v>44925</v>
      </c>
      <c r="GJB614" s="5" t="s">
        <v>3728</v>
      </c>
      <c r="GJC614" s="17">
        <v>44925</v>
      </c>
      <c r="GJD614" s="5" t="s">
        <v>3728</v>
      </c>
      <c r="GJE614" s="17">
        <v>44925</v>
      </c>
      <c r="GJF614" s="5" t="s">
        <v>3728</v>
      </c>
      <c r="GJG614" s="17">
        <v>44925</v>
      </c>
      <c r="GJH614" s="5" t="s">
        <v>3728</v>
      </c>
      <c r="GJI614" s="17">
        <v>44925</v>
      </c>
      <c r="GJJ614" s="5" t="s">
        <v>3728</v>
      </c>
      <c r="GJK614" s="17">
        <v>44925</v>
      </c>
      <c r="GJL614" s="5" t="s">
        <v>3728</v>
      </c>
      <c r="GJM614" s="17">
        <v>44925</v>
      </c>
      <c r="GJN614" s="5" t="s">
        <v>3728</v>
      </c>
      <c r="GJO614" s="17">
        <v>44925</v>
      </c>
      <c r="GJP614" s="5" t="s">
        <v>3728</v>
      </c>
      <c r="GJQ614" s="17">
        <v>44925</v>
      </c>
      <c r="GJR614" s="5" t="s">
        <v>3728</v>
      </c>
      <c r="GJS614" s="17">
        <v>44925</v>
      </c>
      <c r="GJT614" s="5" t="s">
        <v>3728</v>
      </c>
      <c r="GJU614" s="17">
        <v>44925</v>
      </c>
      <c r="GJV614" s="5" t="s">
        <v>3728</v>
      </c>
      <c r="GJW614" s="17">
        <v>44925</v>
      </c>
      <c r="GJX614" s="5" t="s">
        <v>3728</v>
      </c>
      <c r="GJY614" s="17">
        <v>44925</v>
      </c>
      <c r="GJZ614" s="5" t="s">
        <v>3728</v>
      </c>
      <c r="GKA614" s="17">
        <v>44925</v>
      </c>
      <c r="GKB614" s="5" t="s">
        <v>3728</v>
      </c>
      <c r="GKC614" s="17">
        <v>44925</v>
      </c>
      <c r="GKD614" s="5" t="s">
        <v>3728</v>
      </c>
      <c r="GKE614" s="17">
        <v>44925</v>
      </c>
      <c r="GKF614" s="5" t="s">
        <v>3728</v>
      </c>
      <c r="GKG614" s="17">
        <v>44925</v>
      </c>
      <c r="GKH614" s="5" t="s">
        <v>3728</v>
      </c>
      <c r="GKI614" s="17">
        <v>44925</v>
      </c>
      <c r="GKJ614" s="5" t="s">
        <v>3728</v>
      </c>
      <c r="GKK614" s="17">
        <v>44925</v>
      </c>
      <c r="GKL614" s="5" t="s">
        <v>3728</v>
      </c>
      <c r="GKM614" s="17">
        <v>44925</v>
      </c>
      <c r="GKN614" s="5" t="s">
        <v>3728</v>
      </c>
      <c r="GKO614" s="17">
        <v>44925</v>
      </c>
      <c r="GKP614" s="5" t="s">
        <v>3728</v>
      </c>
      <c r="GKQ614" s="17">
        <v>44925</v>
      </c>
      <c r="GKR614" s="5" t="s">
        <v>3728</v>
      </c>
      <c r="GKS614" s="17">
        <v>44925</v>
      </c>
      <c r="GKT614" s="5" t="s">
        <v>3728</v>
      </c>
      <c r="GKU614" s="17">
        <v>44925</v>
      </c>
      <c r="GKV614" s="5" t="s">
        <v>3728</v>
      </c>
      <c r="GKW614" s="17">
        <v>44925</v>
      </c>
      <c r="GKX614" s="5" t="s">
        <v>3728</v>
      </c>
      <c r="GKY614" s="17">
        <v>44925</v>
      </c>
      <c r="GKZ614" s="5" t="s">
        <v>3728</v>
      </c>
      <c r="GLA614" s="17">
        <v>44925</v>
      </c>
      <c r="GLB614" s="5" t="s">
        <v>3728</v>
      </c>
      <c r="GLC614" s="17">
        <v>44925</v>
      </c>
      <c r="GLD614" s="5" t="s">
        <v>3728</v>
      </c>
      <c r="GLE614" s="17">
        <v>44925</v>
      </c>
      <c r="GLF614" s="5" t="s">
        <v>3728</v>
      </c>
      <c r="GLG614" s="17">
        <v>44925</v>
      </c>
      <c r="GLH614" s="5" t="s">
        <v>3728</v>
      </c>
      <c r="GLI614" s="17">
        <v>44925</v>
      </c>
      <c r="GLJ614" s="5" t="s">
        <v>3728</v>
      </c>
      <c r="GLK614" s="17">
        <v>44925</v>
      </c>
      <c r="GLL614" s="5" t="s">
        <v>3728</v>
      </c>
      <c r="GLM614" s="17">
        <v>44925</v>
      </c>
      <c r="GLN614" s="5" t="s">
        <v>3728</v>
      </c>
      <c r="GLO614" s="17">
        <v>44925</v>
      </c>
      <c r="GLP614" s="5" t="s">
        <v>3728</v>
      </c>
      <c r="GLQ614" s="17">
        <v>44925</v>
      </c>
      <c r="GLR614" s="5" t="s">
        <v>3728</v>
      </c>
      <c r="GLS614" s="17">
        <v>44925</v>
      </c>
      <c r="GLT614" s="5" t="s">
        <v>3728</v>
      </c>
      <c r="GLU614" s="17">
        <v>44925</v>
      </c>
      <c r="GLV614" s="5" t="s">
        <v>3728</v>
      </c>
      <c r="GLW614" s="17">
        <v>44925</v>
      </c>
      <c r="GLX614" s="5" t="s">
        <v>3728</v>
      </c>
      <c r="GLY614" s="17">
        <v>44925</v>
      </c>
      <c r="GLZ614" s="5" t="s">
        <v>3728</v>
      </c>
      <c r="GMA614" s="17">
        <v>44925</v>
      </c>
      <c r="GMB614" s="5" t="s">
        <v>3728</v>
      </c>
      <c r="GMC614" s="17">
        <v>44925</v>
      </c>
      <c r="GMD614" s="5" t="s">
        <v>3728</v>
      </c>
      <c r="GME614" s="17">
        <v>44925</v>
      </c>
      <c r="GMF614" s="5" t="s">
        <v>3728</v>
      </c>
      <c r="GMG614" s="17">
        <v>44925</v>
      </c>
      <c r="GMH614" s="5" t="s">
        <v>3728</v>
      </c>
      <c r="GMI614" s="17">
        <v>44925</v>
      </c>
      <c r="GMJ614" s="5" t="s">
        <v>3728</v>
      </c>
      <c r="GMK614" s="17">
        <v>44925</v>
      </c>
      <c r="GML614" s="5" t="s">
        <v>3728</v>
      </c>
      <c r="GMM614" s="17">
        <v>44925</v>
      </c>
      <c r="GMN614" s="5" t="s">
        <v>3728</v>
      </c>
      <c r="GMO614" s="17">
        <v>44925</v>
      </c>
      <c r="GMP614" s="5" t="s">
        <v>3728</v>
      </c>
      <c r="GMQ614" s="17">
        <v>44925</v>
      </c>
      <c r="GMR614" s="5" t="s">
        <v>3728</v>
      </c>
      <c r="GMS614" s="17">
        <v>44925</v>
      </c>
      <c r="GMT614" s="5" t="s">
        <v>3728</v>
      </c>
      <c r="GMU614" s="17">
        <v>44925</v>
      </c>
      <c r="GMV614" s="5" t="s">
        <v>3728</v>
      </c>
      <c r="GMW614" s="17">
        <v>44925</v>
      </c>
      <c r="GMX614" s="5" t="s">
        <v>3728</v>
      </c>
      <c r="GMY614" s="17">
        <v>44925</v>
      </c>
      <c r="GMZ614" s="5" t="s">
        <v>3728</v>
      </c>
      <c r="GNA614" s="17">
        <v>44925</v>
      </c>
      <c r="GNB614" s="5" t="s">
        <v>3728</v>
      </c>
      <c r="GNC614" s="17">
        <v>44925</v>
      </c>
      <c r="GND614" s="5" t="s">
        <v>3728</v>
      </c>
      <c r="GNE614" s="17">
        <v>44925</v>
      </c>
      <c r="GNF614" s="5" t="s">
        <v>3728</v>
      </c>
      <c r="GNG614" s="17">
        <v>44925</v>
      </c>
      <c r="GNH614" s="5" t="s">
        <v>3728</v>
      </c>
      <c r="GNI614" s="17">
        <v>44925</v>
      </c>
      <c r="GNJ614" s="5" t="s">
        <v>3728</v>
      </c>
      <c r="GNK614" s="17">
        <v>44925</v>
      </c>
      <c r="GNL614" s="5" t="s">
        <v>3728</v>
      </c>
      <c r="GNM614" s="17">
        <v>44925</v>
      </c>
      <c r="GNN614" s="5" t="s">
        <v>3728</v>
      </c>
      <c r="GNO614" s="17">
        <v>44925</v>
      </c>
      <c r="GNP614" s="5" t="s">
        <v>3728</v>
      </c>
      <c r="GNQ614" s="17">
        <v>44925</v>
      </c>
      <c r="GNR614" s="5" t="s">
        <v>3728</v>
      </c>
      <c r="GNS614" s="17">
        <v>44925</v>
      </c>
      <c r="GNT614" s="5" t="s">
        <v>3728</v>
      </c>
      <c r="GNU614" s="17">
        <v>44925</v>
      </c>
      <c r="GNV614" s="5" t="s">
        <v>3728</v>
      </c>
      <c r="GNW614" s="17">
        <v>44925</v>
      </c>
      <c r="GNX614" s="5" t="s">
        <v>3728</v>
      </c>
      <c r="GNY614" s="17">
        <v>44925</v>
      </c>
      <c r="GNZ614" s="5" t="s">
        <v>3728</v>
      </c>
      <c r="GOA614" s="17">
        <v>44925</v>
      </c>
      <c r="GOB614" s="5" t="s">
        <v>3728</v>
      </c>
      <c r="GOC614" s="17">
        <v>44925</v>
      </c>
      <c r="GOD614" s="5" t="s">
        <v>3728</v>
      </c>
      <c r="GOE614" s="17">
        <v>44925</v>
      </c>
      <c r="GOF614" s="5" t="s">
        <v>3728</v>
      </c>
      <c r="GOG614" s="17">
        <v>44925</v>
      </c>
      <c r="GOH614" s="5" t="s">
        <v>3728</v>
      </c>
      <c r="GOI614" s="17">
        <v>44925</v>
      </c>
      <c r="GOJ614" s="5" t="s">
        <v>3728</v>
      </c>
      <c r="GOK614" s="17">
        <v>44925</v>
      </c>
      <c r="GOL614" s="5" t="s">
        <v>3728</v>
      </c>
      <c r="GOM614" s="17">
        <v>44925</v>
      </c>
      <c r="GON614" s="5" t="s">
        <v>3728</v>
      </c>
      <c r="GOO614" s="17">
        <v>44925</v>
      </c>
      <c r="GOP614" s="5" t="s">
        <v>3728</v>
      </c>
      <c r="GOQ614" s="17">
        <v>44925</v>
      </c>
      <c r="GOR614" s="5" t="s">
        <v>3728</v>
      </c>
      <c r="GOS614" s="17">
        <v>44925</v>
      </c>
      <c r="GOT614" s="5" t="s">
        <v>3728</v>
      </c>
      <c r="GOU614" s="17">
        <v>44925</v>
      </c>
      <c r="GOV614" s="5" t="s">
        <v>3728</v>
      </c>
      <c r="GOW614" s="17">
        <v>44925</v>
      </c>
      <c r="GOX614" s="5" t="s">
        <v>3728</v>
      </c>
      <c r="GOY614" s="17">
        <v>44925</v>
      </c>
      <c r="GOZ614" s="5" t="s">
        <v>3728</v>
      </c>
      <c r="GPA614" s="17">
        <v>44925</v>
      </c>
      <c r="GPB614" s="5" t="s">
        <v>3728</v>
      </c>
      <c r="GPC614" s="17">
        <v>44925</v>
      </c>
      <c r="GPD614" s="5" t="s">
        <v>3728</v>
      </c>
      <c r="GPE614" s="17">
        <v>44925</v>
      </c>
      <c r="GPF614" s="5" t="s">
        <v>3728</v>
      </c>
      <c r="GPG614" s="17">
        <v>44925</v>
      </c>
      <c r="GPH614" s="5" t="s">
        <v>3728</v>
      </c>
      <c r="GPI614" s="17">
        <v>44925</v>
      </c>
      <c r="GPJ614" s="5" t="s">
        <v>3728</v>
      </c>
      <c r="GPK614" s="17">
        <v>44925</v>
      </c>
      <c r="GPL614" s="5" t="s">
        <v>3728</v>
      </c>
      <c r="GPM614" s="17">
        <v>44925</v>
      </c>
      <c r="GPN614" s="5" t="s">
        <v>3728</v>
      </c>
      <c r="GPO614" s="17">
        <v>44925</v>
      </c>
      <c r="GPP614" s="5" t="s">
        <v>3728</v>
      </c>
      <c r="GPQ614" s="17">
        <v>44925</v>
      </c>
      <c r="GPR614" s="5" t="s">
        <v>3728</v>
      </c>
      <c r="GPS614" s="17">
        <v>44925</v>
      </c>
      <c r="GPT614" s="5" t="s">
        <v>3728</v>
      </c>
      <c r="GPU614" s="17">
        <v>44925</v>
      </c>
      <c r="GPV614" s="5" t="s">
        <v>3728</v>
      </c>
      <c r="GPW614" s="17">
        <v>44925</v>
      </c>
      <c r="GPX614" s="5" t="s">
        <v>3728</v>
      </c>
      <c r="GPY614" s="17">
        <v>44925</v>
      </c>
      <c r="GPZ614" s="5" t="s">
        <v>3728</v>
      </c>
      <c r="GQA614" s="17">
        <v>44925</v>
      </c>
      <c r="GQB614" s="5" t="s">
        <v>3728</v>
      </c>
      <c r="GQC614" s="17">
        <v>44925</v>
      </c>
      <c r="GQD614" s="5" t="s">
        <v>3728</v>
      </c>
      <c r="GQE614" s="17">
        <v>44925</v>
      </c>
      <c r="GQF614" s="5" t="s">
        <v>3728</v>
      </c>
      <c r="GQG614" s="17">
        <v>44925</v>
      </c>
      <c r="GQH614" s="5" t="s">
        <v>3728</v>
      </c>
      <c r="GQI614" s="17">
        <v>44925</v>
      </c>
      <c r="GQJ614" s="5" t="s">
        <v>3728</v>
      </c>
      <c r="GQK614" s="17">
        <v>44925</v>
      </c>
      <c r="GQL614" s="5" t="s">
        <v>3728</v>
      </c>
      <c r="GQM614" s="17">
        <v>44925</v>
      </c>
      <c r="GQN614" s="5" t="s">
        <v>3728</v>
      </c>
      <c r="GQO614" s="17">
        <v>44925</v>
      </c>
      <c r="GQP614" s="5" t="s">
        <v>3728</v>
      </c>
      <c r="GQQ614" s="17">
        <v>44925</v>
      </c>
      <c r="GQR614" s="5" t="s">
        <v>3728</v>
      </c>
      <c r="GQS614" s="17">
        <v>44925</v>
      </c>
      <c r="GQT614" s="5" t="s">
        <v>3728</v>
      </c>
      <c r="GQU614" s="17">
        <v>44925</v>
      </c>
      <c r="GQV614" s="5" t="s">
        <v>3728</v>
      </c>
      <c r="GQW614" s="17">
        <v>44925</v>
      </c>
      <c r="GQX614" s="5" t="s">
        <v>3728</v>
      </c>
      <c r="GQY614" s="17">
        <v>44925</v>
      </c>
      <c r="GQZ614" s="5" t="s">
        <v>3728</v>
      </c>
      <c r="GRA614" s="17">
        <v>44925</v>
      </c>
      <c r="GRB614" s="5" t="s">
        <v>3728</v>
      </c>
      <c r="GRC614" s="17">
        <v>44925</v>
      </c>
      <c r="GRD614" s="5" t="s">
        <v>3728</v>
      </c>
      <c r="GRE614" s="17">
        <v>44925</v>
      </c>
      <c r="GRF614" s="5" t="s">
        <v>3728</v>
      </c>
      <c r="GRG614" s="17">
        <v>44925</v>
      </c>
      <c r="GRH614" s="5" t="s">
        <v>3728</v>
      </c>
      <c r="GRI614" s="17">
        <v>44925</v>
      </c>
      <c r="GRJ614" s="5" t="s">
        <v>3728</v>
      </c>
      <c r="GRK614" s="17">
        <v>44925</v>
      </c>
      <c r="GRL614" s="5" t="s">
        <v>3728</v>
      </c>
      <c r="GRM614" s="17">
        <v>44925</v>
      </c>
      <c r="GRN614" s="5" t="s">
        <v>3728</v>
      </c>
      <c r="GRO614" s="17">
        <v>44925</v>
      </c>
      <c r="GRP614" s="5" t="s">
        <v>3728</v>
      </c>
      <c r="GRQ614" s="17">
        <v>44925</v>
      </c>
      <c r="GRR614" s="5" t="s">
        <v>3728</v>
      </c>
      <c r="GRS614" s="17">
        <v>44925</v>
      </c>
      <c r="GRT614" s="5" t="s">
        <v>3728</v>
      </c>
      <c r="GRU614" s="17">
        <v>44925</v>
      </c>
      <c r="GRV614" s="5" t="s">
        <v>3728</v>
      </c>
      <c r="GRW614" s="17">
        <v>44925</v>
      </c>
      <c r="GRX614" s="5" t="s">
        <v>3728</v>
      </c>
      <c r="GRY614" s="17">
        <v>44925</v>
      </c>
      <c r="GRZ614" s="5" t="s">
        <v>3728</v>
      </c>
      <c r="GSA614" s="17">
        <v>44925</v>
      </c>
      <c r="GSB614" s="5" t="s">
        <v>3728</v>
      </c>
      <c r="GSC614" s="17">
        <v>44925</v>
      </c>
      <c r="GSD614" s="5" t="s">
        <v>3728</v>
      </c>
      <c r="GSE614" s="17">
        <v>44925</v>
      </c>
      <c r="GSF614" s="5" t="s">
        <v>3728</v>
      </c>
      <c r="GSG614" s="17">
        <v>44925</v>
      </c>
      <c r="GSH614" s="5" t="s">
        <v>3728</v>
      </c>
      <c r="GSI614" s="17">
        <v>44925</v>
      </c>
      <c r="GSJ614" s="5" t="s">
        <v>3728</v>
      </c>
      <c r="GSK614" s="17">
        <v>44925</v>
      </c>
      <c r="GSL614" s="5" t="s">
        <v>3728</v>
      </c>
      <c r="GSM614" s="17">
        <v>44925</v>
      </c>
      <c r="GSN614" s="5" t="s">
        <v>3728</v>
      </c>
      <c r="GSO614" s="17">
        <v>44925</v>
      </c>
      <c r="GSP614" s="5" t="s">
        <v>3728</v>
      </c>
      <c r="GSQ614" s="17">
        <v>44925</v>
      </c>
      <c r="GSR614" s="5" t="s">
        <v>3728</v>
      </c>
      <c r="GSS614" s="17">
        <v>44925</v>
      </c>
      <c r="GST614" s="5" t="s">
        <v>3728</v>
      </c>
      <c r="GSU614" s="17">
        <v>44925</v>
      </c>
      <c r="GSV614" s="5" t="s">
        <v>3728</v>
      </c>
      <c r="GSW614" s="17">
        <v>44925</v>
      </c>
      <c r="GSX614" s="5" t="s">
        <v>3728</v>
      </c>
      <c r="GSY614" s="17">
        <v>44925</v>
      </c>
      <c r="GSZ614" s="5" t="s">
        <v>3728</v>
      </c>
      <c r="GTA614" s="17">
        <v>44925</v>
      </c>
      <c r="GTB614" s="5" t="s">
        <v>3728</v>
      </c>
      <c r="GTC614" s="17">
        <v>44925</v>
      </c>
      <c r="GTD614" s="5" t="s">
        <v>3728</v>
      </c>
      <c r="GTE614" s="17">
        <v>44925</v>
      </c>
      <c r="GTF614" s="5" t="s">
        <v>3728</v>
      </c>
      <c r="GTG614" s="17">
        <v>44925</v>
      </c>
      <c r="GTH614" s="5" t="s">
        <v>3728</v>
      </c>
      <c r="GTI614" s="17">
        <v>44925</v>
      </c>
      <c r="GTJ614" s="5" t="s">
        <v>3728</v>
      </c>
      <c r="GTK614" s="17">
        <v>44925</v>
      </c>
      <c r="GTL614" s="5" t="s">
        <v>3728</v>
      </c>
      <c r="GTM614" s="17">
        <v>44925</v>
      </c>
      <c r="GTN614" s="5" t="s">
        <v>3728</v>
      </c>
      <c r="GTO614" s="17">
        <v>44925</v>
      </c>
      <c r="GTP614" s="5" t="s">
        <v>3728</v>
      </c>
      <c r="GTQ614" s="17">
        <v>44925</v>
      </c>
      <c r="GTR614" s="5" t="s">
        <v>3728</v>
      </c>
      <c r="GTS614" s="17">
        <v>44925</v>
      </c>
      <c r="GTT614" s="5" t="s">
        <v>3728</v>
      </c>
      <c r="GTU614" s="17">
        <v>44925</v>
      </c>
      <c r="GTV614" s="5" t="s">
        <v>3728</v>
      </c>
      <c r="GTW614" s="17">
        <v>44925</v>
      </c>
      <c r="GTX614" s="5" t="s">
        <v>3728</v>
      </c>
      <c r="GTY614" s="17">
        <v>44925</v>
      </c>
      <c r="GTZ614" s="5" t="s">
        <v>3728</v>
      </c>
      <c r="GUA614" s="17">
        <v>44925</v>
      </c>
      <c r="GUB614" s="5" t="s">
        <v>3728</v>
      </c>
      <c r="GUC614" s="17">
        <v>44925</v>
      </c>
      <c r="GUD614" s="5" t="s">
        <v>3728</v>
      </c>
      <c r="GUE614" s="17">
        <v>44925</v>
      </c>
      <c r="GUF614" s="5" t="s">
        <v>3728</v>
      </c>
      <c r="GUG614" s="17">
        <v>44925</v>
      </c>
      <c r="GUH614" s="5" t="s">
        <v>3728</v>
      </c>
      <c r="GUI614" s="17">
        <v>44925</v>
      </c>
      <c r="GUJ614" s="5" t="s">
        <v>3728</v>
      </c>
      <c r="GUK614" s="17">
        <v>44925</v>
      </c>
      <c r="GUL614" s="5" t="s">
        <v>3728</v>
      </c>
      <c r="GUM614" s="17">
        <v>44925</v>
      </c>
      <c r="GUN614" s="5" t="s">
        <v>3728</v>
      </c>
      <c r="GUO614" s="17">
        <v>44925</v>
      </c>
      <c r="GUP614" s="5" t="s">
        <v>3728</v>
      </c>
      <c r="GUQ614" s="17">
        <v>44925</v>
      </c>
      <c r="GUR614" s="5" t="s">
        <v>3728</v>
      </c>
      <c r="GUS614" s="17">
        <v>44925</v>
      </c>
      <c r="GUT614" s="5" t="s">
        <v>3728</v>
      </c>
      <c r="GUU614" s="17">
        <v>44925</v>
      </c>
      <c r="GUV614" s="5" t="s">
        <v>3728</v>
      </c>
      <c r="GUW614" s="17">
        <v>44925</v>
      </c>
      <c r="GUX614" s="5" t="s">
        <v>3728</v>
      </c>
      <c r="GUY614" s="17">
        <v>44925</v>
      </c>
      <c r="GUZ614" s="5" t="s">
        <v>3728</v>
      </c>
      <c r="GVA614" s="17">
        <v>44925</v>
      </c>
      <c r="GVB614" s="5" t="s">
        <v>3728</v>
      </c>
      <c r="GVC614" s="17">
        <v>44925</v>
      </c>
      <c r="GVD614" s="5" t="s">
        <v>3728</v>
      </c>
      <c r="GVE614" s="17">
        <v>44925</v>
      </c>
      <c r="GVF614" s="5" t="s">
        <v>3728</v>
      </c>
      <c r="GVG614" s="17">
        <v>44925</v>
      </c>
      <c r="GVH614" s="5" t="s">
        <v>3728</v>
      </c>
      <c r="GVI614" s="17">
        <v>44925</v>
      </c>
      <c r="GVJ614" s="5" t="s">
        <v>3728</v>
      </c>
      <c r="GVK614" s="17">
        <v>44925</v>
      </c>
      <c r="GVL614" s="5" t="s">
        <v>3728</v>
      </c>
      <c r="GVM614" s="17">
        <v>44925</v>
      </c>
      <c r="GVN614" s="5" t="s">
        <v>3728</v>
      </c>
      <c r="GVO614" s="17">
        <v>44925</v>
      </c>
      <c r="GVP614" s="5" t="s">
        <v>3728</v>
      </c>
      <c r="GVQ614" s="17">
        <v>44925</v>
      </c>
      <c r="GVR614" s="5" t="s">
        <v>3728</v>
      </c>
      <c r="GVS614" s="17">
        <v>44925</v>
      </c>
      <c r="GVT614" s="5" t="s">
        <v>3728</v>
      </c>
      <c r="GVU614" s="17">
        <v>44925</v>
      </c>
      <c r="GVV614" s="5" t="s">
        <v>3728</v>
      </c>
      <c r="GVW614" s="17">
        <v>44925</v>
      </c>
      <c r="GVX614" s="5" t="s">
        <v>3728</v>
      </c>
      <c r="GVY614" s="17">
        <v>44925</v>
      </c>
      <c r="GVZ614" s="5" t="s">
        <v>3728</v>
      </c>
      <c r="GWA614" s="17">
        <v>44925</v>
      </c>
      <c r="GWB614" s="5" t="s">
        <v>3728</v>
      </c>
      <c r="GWC614" s="17">
        <v>44925</v>
      </c>
      <c r="GWD614" s="5" t="s">
        <v>3728</v>
      </c>
      <c r="GWE614" s="17">
        <v>44925</v>
      </c>
      <c r="GWF614" s="5" t="s">
        <v>3728</v>
      </c>
      <c r="GWG614" s="17">
        <v>44925</v>
      </c>
      <c r="GWH614" s="5" t="s">
        <v>3728</v>
      </c>
      <c r="GWI614" s="17">
        <v>44925</v>
      </c>
      <c r="GWJ614" s="5" t="s">
        <v>3728</v>
      </c>
      <c r="GWK614" s="17">
        <v>44925</v>
      </c>
      <c r="GWL614" s="5" t="s">
        <v>3728</v>
      </c>
      <c r="GWM614" s="17">
        <v>44925</v>
      </c>
      <c r="GWN614" s="5" t="s">
        <v>3728</v>
      </c>
      <c r="GWO614" s="17">
        <v>44925</v>
      </c>
      <c r="GWP614" s="5" t="s">
        <v>3728</v>
      </c>
      <c r="GWQ614" s="17">
        <v>44925</v>
      </c>
      <c r="GWR614" s="5" t="s">
        <v>3728</v>
      </c>
      <c r="GWS614" s="17">
        <v>44925</v>
      </c>
      <c r="GWT614" s="5" t="s">
        <v>3728</v>
      </c>
      <c r="GWU614" s="17">
        <v>44925</v>
      </c>
      <c r="GWV614" s="5" t="s">
        <v>3728</v>
      </c>
      <c r="GWW614" s="17">
        <v>44925</v>
      </c>
      <c r="GWX614" s="5" t="s">
        <v>3728</v>
      </c>
      <c r="GWY614" s="17">
        <v>44925</v>
      </c>
      <c r="GWZ614" s="5" t="s">
        <v>3728</v>
      </c>
      <c r="GXA614" s="17">
        <v>44925</v>
      </c>
      <c r="GXB614" s="5" t="s">
        <v>3728</v>
      </c>
      <c r="GXC614" s="17">
        <v>44925</v>
      </c>
      <c r="GXD614" s="5" t="s">
        <v>3728</v>
      </c>
      <c r="GXE614" s="17">
        <v>44925</v>
      </c>
      <c r="GXF614" s="5" t="s">
        <v>3728</v>
      </c>
      <c r="GXG614" s="17">
        <v>44925</v>
      </c>
      <c r="GXH614" s="5" t="s">
        <v>3728</v>
      </c>
      <c r="GXI614" s="17">
        <v>44925</v>
      </c>
      <c r="GXJ614" s="5" t="s">
        <v>3728</v>
      </c>
      <c r="GXK614" s="17">
        <v>44925</v>
      </c>
      <c r="GXL614" s="5" t="s">
        <v>3728</v>
      </c>
      <c r="GXM614" s="17">
        <v>44925</v>
      </c>
      <c r="GXN614" s="5" t="s">
        <v>3728</v>
      </c>
      <c r="GXO614" s="17">
        <v>44925</v>
      </c>
      <c r="GXP614" s="5" t="s">
        <v>3728</v>
      </c>
      <c r="GXQ614" s="17">
        <v>44925</v>
      </c>
      <c r="GXR614" s="5" t="s">
        <v>3728</v>
      </c>
      <c r="GXS614" s="17">
        <v>44925</v>
      </c>
      <c r="GXT614" s="5" t="s">
        <v>3728</v>
      </c>
      <c r="GXU614" s="17">
        <v>44925</v>
      </c>
      <c r="GXV614" s="5" t="s">
        <v>3728</v>
      </c>
      <c r="GXW614" s="17">
        <v>44925</v>
      </c>
      <c r="GXX614" s="5" t="s">
        <v>3728</v>
      </c>
      <c r="GXY614" s="17">
        <v>44925</v>
      </c>
      <c r="GXZ614" s="5" t="s">
        <v>3728</v>
      </c>
      <c r="GYA614" s="17">
        <v>44925</v>
      </c>
      <c r="GYB614" s="5" t="s">
        <v>3728</v>
      </c>
      <c r="GYC614" s="17">
        <v>44925</v>
      </c>
      <c r="GYD614" s="5" t="s">
        <v>3728</v>
      </c>
      <c r="GYE614" s="17">
        <v>44925</v>
      </c>
      <c r="GYF614" s="5" t="s">
        <v>3728</v>
      </c>
      <c r="GYG614" s="17">
        <v>44925</v>
      </c>
      <c r="GYH614" s="5" t="s">
        <v>3728</v>
      </c>
      <c r="GYI614" s="17">
        <v>44925</v>
      </c>
      <c r="GYJ614" s="5" t="s">
        <v>3728</v>
      </c>
      <c r="GYK614" s="17">
        <v>44925</v>
      </c>
      <c r="GYL614" s="5" t="s">
        <v>3728</v>
      </c>
      <c r="GYM614" s="17">
        <v>44925</v>
      </c>
      <c r="GYN614" s="5" t="s">
        <v>3728</v>
      </c>
      <c r="GYO614" s="17">
        <v>44925</v>
      </c>
      <c r="GYP614" s="5" t="s">
        <v>3728</v>
      </c>
      <c r="GYQ614" s="17">
        <v>44925</v>
      </c>
      <c r="GYR614" s="5" t="s">
        <v>3728</v>
      </c>
      <c r="GYS614" s="17">
        <v>44925</v>
      </c>
      <c r="GYT614" s="5" t="s">
        <v>3728</v>
      </c>
      <c r="GYU614" s="17">
        <v>44925</v>
      </c>
      <c r="GYV614" s="5" t="s">
        <v>3728</v>
      </c>
      <c r="GYW614" s="17">
        <v>44925</v>
      </c>
      <c r="GYX614" s="5" t="s">
        <v>3728</v>
      </c>
      <c r="GYY614" s="17">
        <v>44925</v>
      </c>
      <c r="GYZ614" s="5" t="s">
        <v>3728</v>
      </c>
      <c r="GZA614" s="17">
        <v>44925</v>
      </c>
      <c r="GZB614" s="5" t="s">
        <v>3728</v>
      </c>
      <c r="GZC614" s="17">
        <v>44925</v>
      </c>
      <c r="GZD614" s="5" t="s">
        <v>3728</v>
      </c>
      <c r="GZE614" s="17">
        <v>44925</v>
      </c>
      <c r="GZF614" s="5" t="s">
        <v>3728</v>
      </c>
      <c r="GZG614" s="17">
        <v>44925</v>
      </c>
      <c r="GZH614" s="5" t="s">
        <v>3728</v>
      </c>
      <c r="GZI614" s="17">
        <v>44925</v>
      </c>
      <c r="GZJ614" s="5" t="s">
        <v>3728</v>
      </c>
      <c r="GZK614" s="17">
        <v>44925</v>
      </c>
      <c r="GZL614" s="5" t="s">
        <v>3728</v>
      </c>
      <c r="GZM614" s="17">
        <v>44925</v>
      </c>
      <c r="GZN614" s="5" t="s">
        <v>3728</v>
      </c>
      <c r="GZO614" s="17">
        <v>44925</v>
      </c>
      <c r="GZP614" s="5" t="s">
        <v>3728</v>
      </c>
      <c r="GZQ614" s="17">
        <v>44925</v>
      </c>
      <c r="GZR614" s="5" t="s">
        <v>3728</v>
      </c>
      <c r="GZS614" s="17">
        <v>44925</v>
      </c>
      <c r="GZT614" s="5" t="s">
        <v>3728</v>
      </c>
      <c r="GZU614" s="17">
        <v>44925</v>
      </c>
      <c r="GZV614" s="5" t="s">
        <v>3728</v>
      </c>
      <c r="GZW614" s="17">
        <v>44925</v>
      </c>
      <c r="GZX614" s="5" t="s">
        <v>3728</v>
      </c>
      <c r="GZY614" s="17">
        <v>44925</v>
      </c>
      <c r="GZZ614" s="5" t="s">
        <v>3728</v>
      </c>
      <c r="HAA614" s="17">
        <v>44925</v>
      </c>
      <c r="HAB614" s="5" t="s">
        <v>3728</v>
      </c>
      <c r="HAC614" s="17">
        <v>44925</v>
      </c>
      <c r="HAD614" s="5" t="s">
        <v>3728</v>
      </c>
      <c r="HAE614" s="17">
        <v>44925</v>
      </c>
      <c r="HAF614" s="5" t="s">
        <v>3728</v>
      </c>
      <c r="HAG614" s="17">
        <v>44925</v>
      </c>
      <c r="HAH614" s="5" t="s">
        <v>3728</v>
      </c>
      <c r="HAI614" s="17">
        <v>44925</v>
      </c>
      <c r="HAJ614" s="5" t="s">
        <v>3728</v>
      </c>
      <c r="HAK614" s="17">
        <v>44925</v>
      </c>
      <c r="HAL614" s="5" t="s">
        <v>3728</v>
      </c>
      <c r="HAM614" s="17">
        <v>44925</v>
      </c>
      <c r="HAN614" s="5" t="s">
        <v>3728</v>
      </c>
      <c r="HAO614" s="17">
        <v>44925</v>
      </c>
      <c r="HAP614" s="5" t="s">
        <v>3728</v>
      </c>
      <c r="HAQ614" s="17">
        <v>44925</v>
      </c>
      <c r="HAR614" s="5" t="s">
        <v>3728</v>
      </c>
      <c r="HAS614" s="17">
        <v>44925</v>
      </c>
      <c r="HAT614" s="5" t="s">
        <v>3728</v>
      </c>
      <c r="HAU614" s="17">
        <v>44925</v>
      </c>
      <c r="HAV614" s="5" t="s">
        <v>3728</v>
      </c>
      <c r="HAW614" s="17">
        <v>44925</v>
      </c>
      <c r="HAX614" s="5" t="s">
        <v>3728</v>
      </c>
      <c r="HAY614" s="17">
        <v>44925</v>
      </c>
      <c r="HAZ614" s="5" t="s">
        <v>3728</v>
      </c>
      <c r="HBA614" s="17">
        <v>44925</v>
      </c>
      <c r="HBB614" s="5" t="s">
        <v>3728</v>
      </c>
      <c r="HBC614" s="17">
        <v>44925</v>
      </c>
      <c r="HBD614" s="5" t="s">
        <v>3728</v>
      </c>
      <c r="HBE614" s="17">
        <v>44925</v>
      </c>
      <c r="HBF614" s="5" t="s">
        <v>3728</v>
      </c>
      <c r="HBG614" s="17">
        <v>44925</v>
      </c>
      <c r="HBH614" s="5" t="s">
        <v>3728</v>
      </c>
      <c r="HBI614" s="17">
        <v>44925</v>
      </c>
      <c r="HBJ614" s="5" t="s">
        <v>3728</v>
      </c>
      <c r="HBK614" s="17">
        <v>44925</v>
      </c>
      <c r="HBL614" s="5" t="s">
        <v>3728</v>
      </c>
      <c r="HBM614" s="17">
        <v>44925</v>
      </c>
      <c r="HBN614" s="5" t="s">
        <v>3728</v>
      </c>
      <c r="HBO614" s="17">
        <v>44925</v>
      </c>
      <c r="HBP614" s="5" t="s">
        <v>3728</v>
      </c>
      <c r="HBQ614" s="17">
        <v>44925</v>
      </c>
      <c r="HBR614" s="5" t="s">
        <v>3728</v>
      </c>
      <c r="HBS614" s="17">
        <v>44925</v>
      </c>
      <c r="HBT614" s="5" t="s">
        <v>3728</v>
      </c>
      <c r="HBU614" s="17">
        <v>44925</v>
      </c>
      <c r="HBV614" s="5" t="s">
        <v>3728</v>
      </c>
      <c r="HBW614" s="17">
        <v>44925</v>
      </c>
      <c r="HBX614" s="5" t="s">
        <v>3728</v>
      </c>
      <c r="HBY614" s="17">
        <v>44925</v>
      </c>
      <c r="HBZ614" s="5" t="s">
        <v>3728</v>
      </c>
      <c r="HCA614" s="17">
        <v>44925</v>
      </c>
      <c r="HCB614" s="5" t="s">
        <v>3728</v>
      </c>
      <c r="HCC614" s="17">
        <v>44925</v>
      </c>
      <c r="HCD614" s="5" t="s">
        <v>3728</v>
      </c>
      <c r="HCE614" s="17">
        <v>44925</v>
      </c>
      <c r="HCF614" s="5" t="s">
        <v>3728</v>
      </c>
      <c r="HCG614" s="17">
        <v>44925</v>
      </c>
      <c r="HCH614" s="5" t="s">
        <v>3728</v>
      </c>
      <c r="HCI614" s="17">
        <v>44925</v>
      </c>
      <c r="HCJ614" s="5" t="s">
        <v>3728</v>
      </c>
      <c r="HCK614" s="17">
        <v>44925</v>
      </c>
      <c r="HCL614" s="5" t="s">
        <v>3728</v>
      </c>
      <c r="HCM614" s="17">
        <v>44925</v>
      </c>
      <c r="HCN614" s="5" t="s">
        <v>3728</v>
      </c>
      <c r="HCO614" s="17">
        <v>44925</v>
      </c>
      <c r="HCP614" s="5" t="s">
        <v>3728</v>
      </c>
      <c r="HCQ614" s="17">
        <v>44925</v>
      </c>
      <c r="HCR614" s="5" t="s">
        <v>3728</v>
      </c>
      <c r="HCS614" s="17">
        <v>44925</v>
      </c>
      <c r="HCT614" s="5" t="s">
        <v>3728</v>
      </c>
      <c r="HCU614" s="17">
        <v>44925</v>
      </c>
      <c r="HCV614" s="5" t="s">
        <v>3728</v>
      </c>
      <c r="HCW614" s="17">
        <v>44925</v>
      </c>
      <c r="HCX614" s="5" t="s">
        <v>3728</v>
      </c>
      <c r="HCY614" s="17">
        <v>44925</v>
      </c>
      <c r="HCZ614" s="5" t="s">
        <v>3728</v>
      </c>
      <c r="HDA614" s="17">
        <v>44925</v>
      </c>
      <c r="HDB614" s="5" t="s">
        <v>3728</v>
      </c>
      <c r="HDC614" s="17">
        <v>44925</v>
      </c>
      <c r="HDD614" s="5" t="s">
        <v>3728</v>
      </c>
      <c r="HDE614" s="17">
        <v>44925</v>
      </c>
      <c r="HDF614" s="5" t="s">
        <v>3728</v>
      </c>
      <c r="HDG614" s="17">
        <v>44925</v>
      </c>
      <c r="HDH614" s="5" t="s">
        <v>3728</v>
      </c>
      <c r="HDI614" s="17">
        <v>44925</v>
      </c>
      <c r="HDJ614" s="5" t="s">
        <v>3728</v>
      </c>
      <c r="HDK614" s="17">
        <v>44925</v>
      </c>
      <c r="HDL614" s="5" t="s">
        <v>3728</v>
      </c>
      <c r="HDM614" s="17">
        <v>44925</v>
      </c>
      <c r="HDN614" s="5" t="s">
        <v>3728</v>
      </c>
      <c r="HDO614" s="17">
        <v>44925</v>
      </c>
      <c r="HDP614" s="5" t="s">
        <v>3728</v>
      </c>
      <c r="HDQ614" s="17">
        <v>44925</v>
      </c>
      <c r="HDR614" s="5" t="s">
        <v>3728</v>
      </c>
      <c r="HDS614" s="17">
        <v>44925</v>
      </c>
      <c r="HDT614" s="5" t="s">
        <v>3728</v>
      </c>
      <c r="HDU614" s="17">
        <v>44925</v>
      </c>
      <c r="HDV614" s="5" t="s">
        <v>3728</v>
      </c>
      <c r="HDW614" s="17">
        <v>44925</v>
      </c>
      <c r="HDX614" s="5" t="s">
        <v>3728</v>
      </c>
      <c r="HDY614" s="17">
        <v>44925</v>
      </c>
      <c r="HDZ614" s="5" t="s">
        <v>3728</v>
      </c>
      <c r="HEA614" s="17">
        <v>44925</v>
      </c>
      <c r="HEB614" s="5" t="s">
        <v>3728</v>
      </c>
      <c r="HEC614" s="17">
        <v>44925</v>
      </c>
      <c r="HED614" s="5" t="s">
        <v>3728</v>
      </c>
      <c r="HEE614" s="17">
        <v>44925</v>
      </c>
      <c r="HEF614" s="5" t="s">
        <v>3728</v>
      </c>
      <c r="HEG614" s="17">
        <v>44925</v>
      </c>
      <c r="HEH614" s="5" t="s">
        <v>3728</v>
      </c>
      <c r="HEI614" s="17">
        <v>44925</v>
      </c>
      <c r="HEJ614" s="5" t="s">
        <v>3728</v>
      </c>
      <c r="HEK614" s="17">
        <v>44925</v>
      </c>
      <c r="HEL614" s="5" t="s">
        <v>3728</v>
      </c>
      <c r="HEM614" s="17">
        <v>44925</v>
      </c>
      <c r="HEN614" s="5" t="s">
        <v>3728</v>
      </c>
      <c r="HEO614" s="17">
        <v>44925</v>
      </c>
      <c r="HEP614" s="5" t="s">
        <v>3728</v>
      </c>
      <c r="HEQ614" s="17">
        <v>44925</v>
      </c>
      <c r="HER614" s="5" t="s">
        <v>3728</v>
      </c>
      <c r="HES614" s="17">
        <v>44925</v>
      </c>
      <c r="HET614" s="5" t="s">
        <v>3728</v>
      </c>
      <c r="HEU614" s="17">
        <v>44925</v>
      </c>
      <c r="HEV614" s="5" t="s">
        <v>3728</v>
      </c>
      <c r="HEW614" s="17">
        <v>44925</v>
      </c>
      <c r="HEX614" s="5" t="s">
        <v>3728</v>
      </c>
      <c r="HEY614" s="17">
        <v>44925</v>
      </c>
      <c r="HEZ614" s="5" t="s">
        <v>3728</v>
      </c>
      <c r="HFA614" s="17">
        <v>44925</v>
      </c>
      <c r="HFB614" s="5" t="s">
        <v>3728</v>
      </c>
      <c r="HFC614" s="17">
        <v>44925</v>
      </c>
      <c r="HFD614" s="5" t="s">
        <v>3728</v>
      </c>
      <c r="HFE614" s="17">
        <v>44925</v>
      </c>
      <c r="HFF614" s="5" t="s">
        <v>3728</v>
      </c>
      <c r="HFG614" s="17">
        <v>44925</v>
      </c>
      <c r="HFH614" s="5" t="s">
        <v>3728</v>
      </c>
      <c r="HFI614" s="17">
        <v>44925</v>
      </c>
      <c r="HFJ614" s="5" t="s">
        <v>3728</v>
      </c>
      <c r="HFK614" s="17">
        <v>44925</v>
      </c>
      <c r="HFL614" s="5" t="s">
        <v>3728</v>
      </c>
      <c r="HFM614" s="17">
        <v>44925</v>
      </c>
      <c r="HFN614" s="5" t="s">
        <v>3728</v>
      </c>
      <c r="HFO614" s="17">
        <v>44925</v>
      </c>
      <c r="HFP614" s="5" t="s">
        <v>3728</v>
      </c>
      <c r="HFQ614" s="17">
        <v>44925</v>
      </c>
      <c r="HFR614" s="5" t="s">
        <v>3728</v>
      </c>
      <c r="HFS614" s="17">
        <v>44925</v>
      </c>
      <c r="HFT614" s="5" t="s">
        <v>3728</v>
      </c>
      <c r="HFU614" s="17">
        <v>44925</v>
      </c>
      <c r="HFV614" s="5" t="s">
        <v>3728</v>
      </c>
      <c r="HFW614" s="17">
        <v>44925</v>
      </c>
      <c r="HFX614" s="5" t="s">
        <v>3728</v>
      </c>
      <c r="HFY614" s="17">
        <v>44925</v>
      </c>
      <c r="HFZ614" s="5" t="s">
        <v>3728</v>
      </c>
      <c r="HGA614" s="17">
        <v>44925</v>
      </c>
      <c r="HGB614" s="5" t="s">
        <v>3728</v>
      </c>
      <c r="HGC614" s="17">
        <v>44925</v>
      </c>
      <c r="HGD614" s="5" t="s">
        <v>3728</v>
      </c>
      <c r="HGE614" s="17">
        <v>44925</v>
      </c>
      <c r="HGF614" s="5" t="s">
        <v>3728</v>
      </c>
      <c r="HGG614" s="17">
        <v>44925</v>
      </c>
      <c r="HGH614" s="5" t="s">
        <v>3728</v>
      </c>
      <c r="HGI614" s="17">
        <v>44925</v>
      </c>
      <c r="HGJ614" s="5" t="s">
        <v>3728</v>
      </c>
      <c r="HGK614" s="17">
        <v>44925</v>
      </c>
      <c r="HGL614" s="5" t="s">
        <v>3728</v>
      </c>
      <c r="HGM614" s="17">
        <v>44925</v>
      </c>
      <c r="HGN614" s="5" t="s">
        <v>3728</v>
      </c>
      <c r="HGO614" s="17">
        <v>44925</v>
      </c>
      <c r="HGP614" s="5" t="s">
        <v>3728</v>
      </c>
      <c r="HGQ614" s="17">
        <v>44925</v>
      </c>
      <c r="HGR614" s="5" t="s">
        <v>3728</v>
      </c>
      <c r="HGS614" s="17">
        <v>44925</v>
      </c>
      <c r="HGT614" s="5" t="s">
        <v>3728</v>
      </c>
      <c r="HGU614" s="17">
        <v>44925</v>
      </c>
      <c r="HGV614" s="5" t="s">
        <v>3728</v>
      </c>
      <c r="HGW614" s="17">
        <v>44925</v>
      </c>
      <c r="HGX614" s="5" t="s">
        <v>3728</v>
      </c>
      <c r="HGY614" s="17">
        <v>44925</v>
      </c>
      <c r="HGZ614" s="5" t="s">
        <v>3728</v>
      </c>
      <c r="HHA614" s="17">
        <v>44925</v>
      </c>
      <c r="HHB614" s="5" t="s">
        <v>3728</v>
      </c>
      <c r="HHC614" s="17">
        <v>44925</v>
      </c>
      <c r="HHD614" s="5" t="s">
        <v>3728</v>
      </c>
      <c r="HHE614" s="17">
        <v>44925</v>
      </c>
      <c r="HHF614" s="5" t="s">
        <v>3728</v>
      </c>
      <c r="HHG614" s="17">
        <v>44925</v>
      </c>
      <c r="HHH614" s="5" t="s">
        <v>3728</v>
      </c>
      <c r="HHI614" s="17">
        <v>44925</v>
      </c>
      <c r="HHJ614" s="5" t="s">
        <v>3728</v>
      </c>
      <c r="HHK614" s="17">
        <v>44925</v>
      </c>
      <c r="HHL614" s="5" t="s">
        <v>3728</v>
      </c>
      <c r="HHM614" s="17">
        <v>44925</v>
      </c>
      <c r="HHN614" s="5" t="s">
        <v>3728</v>
      </c>
      <c r="HHO614" s="17">
        <v>44925</v>
      </c>
      <c r="HHP614" s="5" t="s">
        <v>3728</v>
      </c>
      <c r="HHQ614" s="17">
        <v>44925</v>
      </c>
      <c r="HHR614" s="5" t="s">
        <v>3728</v>
      </c>
      <c r="HHS614" s="17">
        <v>44925</v>
      </c>
      <c r="HHT614" s="5" t="s">
        <v>3728</v>
      </c>
      <c r="HHU614" s="17">
        <v>44925</v>
      </c>
      <c r="HHV614" s="5" t="s">
        <v>3728</v>
      </c>
      <c r="HHW614" s="17">
        <v>44925</v>
      </c>
      <c r="HHX614" s="5" t="s">
        <v>3728</v>
      </c>
      <c r="HHY614" s="17">
        <v>44925</v>
      </c>
      <c r="HHZ614" s="5" t="s">
        <v>3728</v>
      </c>
      <c r="HIA614" s="17">
        <v>44925</v>
      </c>
      <c r="HIB614" s="5" t="s">
        <v>3728</v>
      </c>
      <c r="HIC614" s="17">
        <v>44925</v>
      </c>
      <c r="HID614" s="5" t="s">
        <v>3728</v>
      </c>
      <c r="HIE614" s="17">
        <v>44925</v>
      </c>
      <c r="HIF614" s="5" t="s">
        <v>3728</v>
      </c>
      <c r="HIG614" s="17">
        <v>44925</v>
      </c>
      <c r="HIH614" s="5" t="s">
        <v>3728</v>
      </c>
      <c r="HII614" s="17">
        <v>44925</v>
      </c>
      <c r="HIJ614" s="5" t="s">
        <v>3728</v>
      </c>
      <c r="HIK614" s="17">
        <v>44925</v>
      </c>
      <c r="HIL614" s="5" t="s">
        <v>3728</v>
      </c>
      <c r="HIM614" s="17">
        <v>44925</v>
      </c>
      <c r="HIN614" s="5" t="s">
        <v>3728</v>
      </c>
      <c r="HIO614" s="17">
        <v>44925</v>
      </c>
      <c r="HIP614" s="5" t="s">
        <v>3728</v>
      </c>
      <c r="HIQ614" s="17">
        <v>44925</v>
      </c>
      <c r="HIR614" s="5" t="s">
        <v>3728</v>
      </c>
      <c r="HIS614" s="17">
        <v>44925</v>
      </c>
      <c r="HIT614" s="5" t="s">
        <v>3728</v>
      </c>
      <c r="HIU614" s="17">
        <v>44925</v>
      </c>
      <c r="HIV614" s="5" t="s">
        <v>3728</v>
      </c>
      <c r="HIW614" s="17">
        <v>44925</v>
      </c>
      <c r="HIX614" s="5" t="s">
        <v>3728</v>
      </c>
      <c r="HIY614" s="17">
        <v>44925</v>
      </c>
      <c r="HIZ614" s="5" t="s">
        <v>3728</v>
      </c>
      <c r="HJA614" s="17">
        <v>44925</v>
      </c>
      <c r="HJB614" s="5" t="s">
        <v>3728</v>
      </c>
      <c r="HJC614" s="17">
        <v>44925</v>
      </c>
      <c r="HJD614" s="5" t="s">
        <v>3728</v>
      </c>
      <c r="HJE614" s="17">
        <v>44925</v>
      </c>
      <c r="HJF614" s="5" t="s">
        <v>3728</v>
      </c>
      <c r="HJG614" s="17">
        <v>44925</v>
      </c>
      <c r="HJH614" s="5" t="s">
        <v>3728</v>
      </c>
      <c r="HJI614" s="17">
        <v>44925</v>
      </c>
      <c r="HJJ614" s="5" t="s">
        <v>3728</v>
      </c>
      <c r="HJK614" s="17">
        <v>44925</v>
      </c>
      <c r="HJL614" s="5" t="s">
        <v>3728</v>
      </c>
      <c r="HJM614" s="17">
        <v>44925</v>
      </c>
      <c r="HJN614" s="5" t="s">
        <v>3728</v>
      </c>
      <c r="HJO614" s="17">
        <v>44925</v>
      </c>
      <c r="HJP614" s="5" t="s">
        <v>3728</v>
      </c>
      <c r="HJQ614" s="17">
        <v>44925</v>
      </c>
      <c r="HJR614" s="5" t="s">
        <v>3728</v>
      </c>
      <c r="HJS614" s="17">
        <v>44925</v>
      </c>
      <c r="HJT614" s="5" t="s">
        <v>3728</v>
      </c>
      <c r="HJU614" s="17">
        <v>44925</v>
      </c>
      <c r="HJV614" s="5" t="s">
        <v>3728</v>
      </c>
      <c r="HJW614" s="17">
        <v>44925</v>
      </c>
      <c r="HJX614" s="5" t="s">
        <v>3728</v>
      </c>
      <c r="HJY614" s="17">
        <v>44925</v>
      </c>
      <c r="HJZ614" s="5" t="s">
        <v>3728</v>
      </c>
      <c r="HKA614" s="17">
        <v>44925</v>
      </c>
      <c r="HKB614" s="5" t="s">
        <v>3728</v>
      </c>
      <c r="HKC614" s="17">
        <v>44925</v>
      </c>
      <c r="HKD614" s="5" t="s">
        <v>3728</v>
      </c>
      <c r="HKE614" s="17">
        <v>44925</v>
      </c>
      <c r="HKF614" s="5" t="s">
        <v>3728</v>
      </c>
      <c r="HKG614" s="17">
        <v>44925</v>
      </c>
      <c r="HKH614" s="5" t="s">
        <v>3728</v>
      </c>
      <c r="HKI614" s="17">
        <v>44925</v>
      </c>
      <c r="HKJ614" s="5" t="s">
        <v>3728</v>
      </c>
      <c r="HKK614" s="17">
        <v>44925</v>
      </c>
      <c r="HKL614" s="5" t="s">
        <v>3728</v>
      </c>
      <c r="HKM614" s="17">
        <v>44925</v>
      </c>
      <c r="HKN614" s="5" t="s">
        <v>3728</v>
      </c>
      <c r="HKO614" s="17">
        <v>44925</v>
      </c>
      <c r="HKP614" s="5" t="s">
        <v>3728</v>
      </c>
      <c r="HKQ614" s="17">
        <v>44925</v>
      </c>
      <c r="HKR614" s="5" t="s">
        <v>3728</v>
      </c>
      <c r="HKS614" s="17">
        <v>44925</v>
      </c>
      <c r="HKT614" s="5" t="s">
        <v>3728</v>
      </c>
      <c r="HKU614" s="17">
        <v>44925</v>
      </c>
      <c r="HKV614" s="5" t="s">
        <v>3728</v>
      </c>
      <c r="HKW614" s="17">
        <v>44925</v>
      </c>
      <c r="HKX614" s="5" t="s">
        <v>3728</v>
      </c>
      <c r="HKY614" s="17">
        <v>44925</v>
      </c>
      <c r="HKZ614" s="5" t="s">
        <v>3728</v>
      </c>
      <c r="HLA614" s="17">
        <v>44925</v>
      </c>
      <c r="HLB614" s="5" t="s">
        <v>3728</v>
      </c>
      <c r="HLC614" s="17">
        <v>44925</v>
      </c>
      <c r="HLD614" s="5" t="s">
        <v>3728</v>
      </c>
      <c r="HLE614" s="17">
        <v>44925</v>
      </c>
      <c r="HLF614" s="5" t="s">
        <v>3728</v>
      </c>
      <c r="HLG614" s="17">
        <v>44925</v>
      </c>
      <c r="HLH614" s="5" t="s">
        <v>3728</v>
      </c>
      <c r="HLI614" s="17">
        <v>44925</v>
      </c>
      <c r="HLJ614" s="5" t="s">
        <v>3728</v>
      </c>
      <c r="HLK614" s="17">
        <v>44925</v>
      </c>
      <c r="HLL614" s="5" t="s">
        <v>3728</v>
      </c>
      <c r="HLM614" s="17">
        <v>44925</v>
      </c>
      <c r="HLN614" s="5" t="s">
        <v>3728</v>
      </c>
      <c r="HLO614" s="17">
        <v>44925</v>
      </c>
      <c r="HLP614" s="5" t="s">
        <v>3728</v>
      </c>
      <c r="HLQ614" s="17">
        <v>44925</v>
      </c>
      <c r="HLR614" s="5" t="s">
        <v>3728</v>
      </c>
      <c r="HLS614" s="17">
        <v>44925</v>
      </c>
      <c r="HLT614" s="5" t="s">
        <v>3728</v>
      </c>
      <c r="HLU614" s="17">
        <v>44925</v>
      </c>
      <c r="HLV614" s="5" t="s">
        <v>3728</v>
      </c>
      <c r="HLW614" s="17">
        <v>44925</v>
      </c>
      <c r="HLX614" s="5" t="s">
        <v>3728</v>
      </c>
      <c r="HLY614" s="17">
        <v>44925</v>
      </c>
      <c r="HLZ614" s="5" t="s">
        <v>3728</v>
      </c>
      <c r="HMA614" s="17">
        <v>44925</v>
      </c>
      <c r="HMB614" s="5" t="s">
        <v>3728</v>
      </c>
      <c r="HMC614" s="17">
        <v>44925</v>
      </c>
      <c r="HMD614" s="5" t="s">
        <v>3728</v>
      </c>
      <c r="HME614" s="17">
        <v>44925</v>
      </c>
      <c r="HMF614" s="5" t="s">
        <v>3728</v>
      </c>
      <c r="HMG614" s="17">
        <v>44925</v>
      </c>
      <c r="HMH614" s="5" t="s">
        <v>3728</v>
      </c>
      <c r="HMI614" s="17">
        <v>44925</v>
      </c>
      <c r="HMJ614" s="5" t="s">
        <v>3728</v>
      </c>
      <c r="HMK614" s="17">
        <v>44925</v>
      </c>
      <c r="HML614" s="5" t="s">
        <v>3728</v>
      </c>
      <c r="HMM614" s="17">
        <v>44925</v>
      </c>
      <c r="HMN614" s="5" t="s">
        <v>3728</v>
      </c>
      <c r="HMO614" s="17">
        <v>44925</v>
      </c>
      <c r="HMP614" s="5" t="s">
        <v>3728</v>
      </c>
      <c r="HMQ614" s="17">
        <v>44925</v>
      </c>
      <c r="HMR614" s="5" t="s">
        <v>3728</v>
      </c>
      <c r="HMS614" s="17">
        <v>44925</v>
      </c>
      <c r="HMT614" s="5" t="s">
        <v>3728</v>
      </c>
      <c r="HMU614" s="17">
        <v>44925</v>
      </c>
      <c r="HMV614" s="5" t="s">
        <v>3728</v>
      </c>
      <c r="HMW614" s="17">
        <v>44925</v>
      </c>
      <c r="HMX614" s="5" t="s">
        <v>3728</v>
      </c>
      <c r="HMY614" s="17">
        <v>44925</v>
      </c>
      <c r="HMZ614" s="5" t="s">
        <v>3728</v>
      </c>
      <c r="HNA614" s="17">
        <v>44925</v>
      </c>
      <c r="HNB614" s="5" t="s">
        <v>3728</v>
      </c>
      <c r="HNC614" s="17">
        <v>44925</v>
      </c>
      <c r="HND614" s="5" t="s">
        <v>3728</v>
      </c>
      <c r="HNE614" s="17">
        <v>44925</v>
      </c>
      <c r="HNF614" s="5" t="s">
        <v>3728</v>
      </c>
      <c r="HNG614" s="17">
        <v>44925</v>
      </c>
      <c r="HNH614" s="5" t="s">
        <v>3728</v>
      </c>
      <c r="HNI614" s="17">
        <v>44925</v>
      </c>
      <c r="HNJ614" s="5" t="s">
        <v>3728</v>
      </c>
      <c r="HNK614" s="17">
        <v>44925</v>
      </c>
      <c r="HNL614" s="5" t="s">
        <v>3728</v>
      </c>
      <c r="HNM614" s="17">
        <v>44925</v>
      </c>
      <c r="HNN614" s="5" t="s">
        <v>3728</v>
      </c>
      <c r="HNO614" s="17">
        <v>44925</v>
      </c>
      <c r="HNP614" s="5" t="s">
        <v>3728</v>
      </c>
      <c r="HNQ614" s="17">
        <v>44925</v>
      </c>
      <c r="HNR614" s="5" t="s">
        <v>3728</v>
      </c>
      <c r="HNS614" s="17">
        <v>44925</v>
      </c>
      <c r="HNT614" s="5" t="s">
        <v>3728</v>
      </c>
      <c r="HNU614" s="17">
        <v>44925</v>
      </c>
      <c r="HNV614" s="5" t="s">
        <v>3728</v>
      </c>
      <c r="HNW614" s="17">
        <v>44925</v>
      </c>
      <c r="HNX614" s="5" t="s">
        <v>3728</v>
      </c>
      <c r="HNY614" s="17">
        <v>44925</v>
      </c>
      <c r="HNZ614" s="5" t="s">
        <v>3728</v>
      </c>
      <c r="HOA614" s="17">
        <v>44925</v>
      </c>
      <c r="HOB614" s="5" t="s">
        <v>3728</v>
      </c>
      <c r="HOC614" s="17">
        <v>44925</v>
      </c>
      <c r="HOD614" s="5" t="s">
        <v>3728</v>
      </c>
      <c r="HOE614" s="17">
        <v>44925</v>
      </c>
      <c r="HOF614" s="5" t="s">
        <v>3728</v>
      </c>
      <c r="HOG614" s="17">
        <v>44925</v>
      </c>
      <c r="HOH614" s="5" t="s">
        <v>3728</v>
      </c>
      <c r="HOI614" s="17">
        <v>44925</v>
      </c>
      <c r="HOJ614" s="5" t="s">
        <v>3728</v>
      </c>
      <c r="HOK614" s="17">
        <v>44925</v>
      </c>
      <c r="HOL614" s="5" t="s">
        <v>3728</v>
      </c>
      <c r="HOM614" s="17">
        <v>44925</v>
      </c>
      <c r="HON614" s="5" t="s">
        <v>3728</v>
      </c>
      <c r="HOO614" s="17">
        <v>44925</v>
      </c>
      <c r="HOP614" s="5" t="s">
        <v>3728</v>
      </c>
      <c r="HOQ614" s="17">
        <v>44925</v>
      </c>
      <c r="HOR614" s="5" t="s">
        <v>3728</v>
      </c>
      <c r="HOS614" s="17">
        <v>44925</v>
      </c>
      <c r="HOT614" s="5" t="s">
        <v>3728</v>
      </c>
      <c r="HOU614" s="17">
        <v>44925</v>
      </c>
      <c r="HOV614" s="5" t="s">
        <v>3728</v>
      </c>
      <c r="HOW614" s="17">
        <v>44925</v>
      </c>
      <c r="HOX614" s="5" t="s">
        <v>3728</v>
      </c>
      <c r="HOY614" s="17">
        <v>44925</v>
      </c>
      <c r="HOZ614" s="5" t="s">
        <v>3728</v>
      </c>
      <c r="HPA614" s="17">
        <v>44925</v>
      </c>
      <c r="HPB614" s="5" t="s">
        <v>3728</v>
      </c>
      <c r="HPC614" s="17">
        <v>44925</v>
      </c>
      <c r="HPD614" s="5" t="s">
        <v>3728</v>
      </c>
      <c r="HPE614" s="17">
        <v>44925</v>
      </c>
      <c r="HPF614" s="5" t="s">
        <v>3728</v>
      </c>
      <c r="HPG614" s="17">
        <v>44925</v>
      </c>
      <c r="HPH614" s="5" t="s">
        <v>3728</v>
      </c>
      <c r="HPI614" s="17">
        <v>44925</v>
      </c>
      <c r="HPJ614" s="5" t="s">
        <v>3728</v>
      </c>
      <c r="HPK614" s="17">
        <v>44925</v>
      </c>
      <c r="HPL614" s="5" t="s">
        <v>3728</v>
      </c>
      <c r="HPM614" s="17">
        <v>44925</v>
      </c>
      <c r="HPN614" s="5" t="s">
        <v>3728</v>
      </c>
      <c r="HPO614" s="17">
        <v>44925</v>
      </c>
      <c r="HPP614" s="5" t="s">
        <v>3728</v>
      </c>
      <c r="HPQ614" s="17">
        <v>44925</v>
      </c>
      <c r="HPR614" s="5" t="s">
        <v>3728</v>
      </c>
      <c r="HPS614" s="17">
        <v>44925</v>
      </c>
      <c r="HPT614" s="5" t="s">
        <v>3728</v>
      </c>
      <c r="HPU614" s="17">
        <v>44925</v>
      </c>
      <c r="HPV614" s="5" t="s">
        <v>3728</v>
      </c>
      <c r="HPW614" s="17">
        <v>44925</v>
      </c>
      <c r="HPX614" s="5" t="s">
        <v>3728</v>
      </c>
      <c r="HPY614" s="17">
        <v>44925</v>
      </c>
      <c r="HPZ614" s="5" t="s">
        <v>3728</v>
      </c>
      <c r="HQA614" s="17">
        <v>44925</v>
      </c>
      <c r="HQB614" s="5" t="s">
        <v>3728</v>
      </c>
      <c r="HQC614" s="17">
        <v>44925</v>
      </c>
      <c r="HQD614" s="5" t="s">
        <v>3728</v>
      </c>
      <c r="HQE614" s="17">
        <v>44925</v>
      </c>
      <c r="HQF614" s="5" t="s">
        <v>3728</v>
      </c>
      <c r="HQG614" s="17">
        <v>44925</v>
      </c>
      <c r="HQH614" s="5" t="s">
        <v>3728</v>
      </c>
      <c r="HQI614" s="17">
        <v>44925</v>
      </c>
      <c r="HQJ614" s="5" t="s">
        <v>3728</v>
      </c>
      <c r="HQK614" s="17">
        <v>44925</v>
      </c>
      <c r="HQL614" s="5" t="s">
        <v>3728</v>
      </c>
      <c r="HQM614" s="17">
        <v>44925</v>
      </c>
      <c r="HQN614" s="5" t="s">
        <v>3728</v>
      </c>
      <c r="HQO614" s="17">
        <v>44925</v>
      </c>
      <c r="HQP614" s="5" t="s">
        <v>3728</v>
      </c>
      <c r="HQQ614" s="17">
        <v>44925</v>
      </c>
      <c r="HQR614" s="5" t="s">
        <v>3728</v>
      </c>
      <c r="HQS614" s="17">
        <v>44925</v>
      </c>
      <c r="HQT614" s="5" t="s">
        <v>3728</v>
      </c>
      <c r="HQU614" s="17">
        <v>44925</v>
      </c>
      <c r="HQV614" s="5" t="s">
        <v>3728</v>
      </c>
      <c r="HQW614" s="17">
        <v>44925</v>
      </c>
      <c r="HQX614" s="5" t="s">
        <v>3728</v>
      </c>
      <c r="HQY614" s="17">
        <v>44925</v>
      </c>
      <c r="HQZ614" s="5" t="s">
        <v>3728</v>
      </c>
      <c r="HRA614" s="17">
        <v>44925</v>
      </c>
      <c r="HRB614" s="5" t="s">
        <v>3728</v>
      </c>
      <c r="HRC614" s="17">
        <v>44925</v>
      </c>
      <c r="HRD614" s="5" t="s">
        <v>3728</v>
      </c>
      <c r="HRE614" s="17">
        <v>44925</v>
      </c>
      <c r="HRF614" s="5" t="s">
        <v>3728</v>
      </c>
      <c r="HRG614" s="17">
        <v>44925</v>
      </c>
      <c r="HRH614" s="5" t="s">
        <v>3728</v>
      </c>
      <c r="HRI614" s="17">
        <v>44925</v>
      </c>
      <c r="HRJ614" s="5" t="s">
        <v>3728</v>
      </c>
      <c r="HRK614" s="17">
        <v>44925</v>
      </c>
      <c r="HRL614" s="5" t="s">
        <v>3728</v>
      </c>
      <c r="HRM614" s="17">
        <v>44925</v>
      </c>
      <c r="HRN614" s="5" t="s">
        <v>3728</v>
      </c>
      <c r="HRO614" s="17">
        <v>44925</v>
      </c>
      <c r="HRP614" s="5" t="s">
        <v>3728</v>
      </c>
      <c r="HRQ614" s="17">
        <v>44925</v>
      </c>
      <c r="HRR614" s="5" t="s">
        <v>3728</v>
      </c>
      <c r="HRS614" s="17">
        <v>44925</v>
      </c>
      <c r="HRT614" s="5" t="s">
        <v>3728</v>
      </c>
      <c r="HRU614" s="17">
        <v>44925</v>
      </c>
      <c r="HRV614" s="5" t="s">
        <v>3728</v>
      </c>
      <c r="HRW614" s="17">
        <v>44925</v>
      </c>
      <c r="HRX614" s="5" t="s">
        <v>3728</v>
      </c>
      <c r="HRY614" s="17">
        <v>44925</v>
      </c>
      <c r="HRZ614" s="5" t="s">
        <v>3728</v>
      </c>
      <c r="HSA614" s="17">
        <v>44925</v>
      </c>
      <c r="HSB614" s="5" t="s">
        <v>3728</v>
      </c>
      <c r="HSC614" s="17">
        <v>44925</v>
      </c>
      <c r="HSD614" s="5" t="s">
        <v>3728</v>
      </c>
      <c r="HSE614" s="17">
        <v>44925</v>
      </c>
      <c r="HSF614" s="5" t="s">
        <v>3728</v>
      </c>
      <c r="HSG614" s="17">
        <v>44925</v>
      </c>
      <c r="HSH614" s="5" t="s">
        <v>3728</v>
      </c>
      <c r="HSI614" s="17">
        <v>44925</v>
      </c>
      <c r="HSJ614" s="5" t="s">
        <v>3728</v>
      </c>
      <c r="HSK614" s="17">
        <v>44925</v>
      </c>
      <c r="HSL614" s="5" t="s">
        <v>3728</v>
      </c>
      <c r="HSM614" s="17">
        <v>44925</v>
      </c>
      <c r="HSN614" s="5" t="s">
        <v>3728</v>
      </c>
      <c r="HSO614" s="17">
        <v>44925</v>
      </c>
      <c r="HSP614" s="5" t="s">
        <v>3728</v>
      </c>
      <c r="HSQ614" s="17">
        <v>44925</v>
      </c>
      <c r="HSR614" s="5" t="s">
        <v>3728</v>
      </c>
      <c r="HSS614" s="17">
        <v>44925</v>
      </c>
      <c r="HST614" s="5" t="s">
        <v>3728</v>
      </c>
      <c r="HSU614" s="17">
        <v>44925</v>
      </c>
      <c r="HSV614" s="5" t="s">
        <v>3728</v>
      </c>
      <c r="HSW614" s="17">
        <v>44925</v>
      </c>
      <c r="HSX614" s="5" t="s">
        <v>3728</v>
      </c>
      <c r="HSY614" s="17">
        <v>44925</v>
      </c>
      <c r="HSZ614" s="5" t="s">
        <v>3728</v>
      </c>
      <c r="HTA614" s="17">
        <v>44925</v>
      </c>
      <c r="HTB614" s="5" t="s">
        <v>3728</v>
      </c>
      <c r="HTC614" s="17">
        <v>44925</v>
      </c>
      <c r="HTD614" s="5" t="s">
        <v>3728</v>
      </c>
      <c r="HTE614" s="17">
        <v>44925</v>
      </c>
      <c r="HTF614" s="5" t="s">
        <v>3728</v>
      </c>
      <c r="HTG614" s="17">
        <v>44925</v>
      </c>
      <c r="HTH614" s="5" t="s">
        <v>3728</v>
      </c>
      <c r="HTI614" s="17">
        <v>44925</v>
      </c>
      <c r="HTJ614" s="5" t="s">
        <v>3728</v>
      </c>
      <c r="HTK614" s="17">
        <v>44925</v>
      </c>
      <c r="HTL614" s="5" t="s">
        <v>3728</v>
      </c>
      <c r="HTM614" s="17">
        <v>44925</v>
      </c>
      <c r="HTN614" s="5" t="s">
        <v>3728</v>
      </c>
      <c r="HTO614" s="17">
        <v>44925</v>
      </c>
      <c r="HTP614" s="5" t="s">
        <v>3728</v>
      </c>
      <c r="HTQ614" s="17">
        <v>44925</v>
      </c>
      <c r="HTR614" s="5" t="s">
        <v>3728</v>
      </c>
      <c r="HTS614" s="17">
        <v>44925</v>
      </c>
      <c r="HTT614" s="5" t="s">
        <v>3728</v>
      </c>
      <c r="HTU614" s="17">
        <v>44925</v>
      </c>
      <c r="HTV614" s="5" t="s">
        <v>3728</v>
      </c>
      <c r="HTW614" s="17">
        <v>44925</v>
      </c>
      <c r="HTX614" s="5" t="s">
        <v>3728</v>
      </c>
      <c r="HTY614" s="17">
        <v>44925</v>
      </c>
      <c r="HTZ614" s="5" t="s">
        <v>3728</v>
      </c>
      <c r="HUA614" s="17">
        <v>44925</v>
      </c>
      <c r="HUB614" s="5" t="s">
        <v>3728</v>
      </c>
      <c r="HUC614" s="17">
        <v>44925</v>
      </c>
      <c r="HUD614" s="5" t="s">
        <v>3728</v>
      </c>
      <c r="HUE614" s="17">
        <v>44925</v>
      </c>
      <c r="HUF614" s="5" t="s">
        <v>3728</v>
      </c>
      <c r="HUG614" s="17">
        <v>44925</v>
      </c>
      <c r="HUH614" s="5" t="s">
        <v>3728</v>
      </c>
      <c r="HUI614" s="17">
        <v>44925</v>
      </c>
      <c r="HUJ614" s="5" t="s">
        <v>3728</v>
      </c>
      <c r="HUK614" s="17">
        <v>44925</v>
      </c>
      <c r="HUL614" s="5" t="s">
        <v>3728</v>
      </c>
      <c r="HUM614" s="17">
        <v>44925</v>
      </c>
      <c r="HUN614" s="5" t="s">
        <v>3728</v>
      </c>
      <c r="HUO614" s="17">
        <v>44925</v>
      </c>
      <c r="HUP614" s="5" t="s">
        <v>3728</v>
      </c>
      <c r="HUQ614" s="17">
        <v>44925</v>
      </c>
      <c r="HUR614" s="5" t="s">
        <v>3728</v>
      </c>
      <c r="HUS614" s="17">
        <v>44925</v>
      </c>
      <c r="HUT614" s="5" t="s">
        <v>3728</v>
      </c>
      <c r="HUU614" s="17">
        <v>44925</v>
      </c>
      <c r="HUV614" s="5" t="s">
        <v>3728</v>
      </c>
      <c r="HUW614" s="17">
        <v>44925</v>
      </c>
      <c r="HUX614" s="5" t="s">
        <v>3728</v>
      </c>
      <c r="HUY614" s="17">
        <v>44925</v>
      </c>
      <c r="HUZ614" s="5" t="s">
        <v>3728</v>
      </c>
      <c r="HVA614" s="17">
        <v>44925</v>
      </c>
      <c r="HVB614" s="5" t="s">
        <v>3728</v>
      </c>
      <c r="HVC614" s="17">
        <v>44925</v>
      </c>
      <c r="HVD614" s="5" t="s">
        <v>3728</v>
      </c>
      <c r="HVE614" s="17">
        <v>44925</v>
      </c>
      <c r="HVF614" s="5" t="s">
        <v>3728</v>
      </c>
      <c r="HVG614" s="17">
        <v>44925</v>
      </c>
      <c r="HVH614" s="5" t="s">
        <v>3728</v>
      </c>
      <c r="HVI614" s="17">
        <v>44925</v>
      </c>
      <c r="HVJ614" s="5" t="s">
        <v>3728</v>
      </c>
      <c r="HVK614" s="17">
        <v>44925</v>
      </c>
      <c r="HVL614" s="5" t="s">
        <v>3728</v>
      </c>
      <c r="HVM614" s="17">
        <v>44925</v>
      </c>
      <c r="HVN614" s="5" t="s">
        <v>3728</v>
      </c>
      <c r="HVO614" s="17">
        <v>44925</v>
      </c>
      <c r="HVP614" s="5" t="s">
        <v>3728</v>
      </c>
      <c r="HVQ614" s="17">
        <v>44925</v>
      </c>
      <c r="HVR614" s="5" t="s">
        <v>3728</v>
      </c>
      <c r="HVS614" s="17">
        <v>44925</v>
      </c>
      <c r="HVT614" s="5" t="s">
        <v>3728</v>
      </c>
      <c r="HVU614" s="17">
        <v>44925</v>
      </c>
      <c r="HVV614" s="5" t="s">
        <v>3728</v>
      </c>
      <c r="HVW614" s="17">
        <v>44925</v>
      </c>
      <c r="HVX614" s="5" t="s">
        <v>3728</v>
      </c>
      <c r="HVY614" s="17">
        <v>44925</v>
      </c>
      <c r="HVZ614" s="5" t="s">
        <v>3728</v>
      </c>
      <c r="HWA614" s="17">
        <v>44925</v>
      </c>
      <c r="HWB614" s="5" t="s">
        <v>3728</v>
      </c>
      <c r="HWC614" s="17">
        <v>44925</v>
      </c>
      <c r="HWD614" s="5" t="s">
        <v>3728</v>
      </c>
      <c r="HWE614" s="17">
        <v>44925</v>
      </c>
      <c r="HWF614" s="5" t="s">
        <v>3728</v>
      </c>
      <c r="HWG614" s="17">
        <v>44925</v>
      </c>
      <c r="HWH614" s="5" t="s">
        <v>3728</v>
      </c>
      <c r="HWI614" s="17">
        <v>44925</v>
      </c>
      <c r="HWJ614" s="5" t="s">
        <v>3728</v>
      </c>
      <c r="HWK614" s="17">
        <v>44925</v>
      </c>
      <c r="HWL614" s="5" t="s">
        <v>3728</v>
      </c>
      <c r="HWM614" s="17">
        <v>44925</v>
      </c>
      <c r="HWN614" s="5" t="s">
        <v>3728</v>
      </c>
      <c r="HWO614" s="17">
        <v>44925</v>
      </c>
      <c r="HWP614" s="5" t="s">
        <v>3728</v>
      </c>
      <c r="HWQ614" s="17">
        <v>44925</v>
      </c>
      <c r="HWR614" s="5" t="s">
        <v>3728</v>
      </c>
      <c r="HWS614" s="17">
        <v>44925</v>
      </c>
      <c r="HWT614" s="5" t="s">
        <v>3728</v>
      </c>
      <c r="HWU614" s="17">
        <v>44925</v>
      </c>
      <c r="HWV614" s="5" t="s">
        <v>3728</v>
      </c>
      <c r="HWW614" s="17">
        <v>44925</v>
      </c>
      <c r="HWX614" s="5" t="s">
        <v>3728</v>
      </c>
      <c r="HWY614" s="17">
        <v>44925</v>
      </c>
      <c r="HWZ614" s="5" t="s">
        <v>3728</v>
      </c>
      <c r="HXA614" s="17">
        <v>44925</v>
      </c>
      <c r="HXB614" s="5" t="s">
        <v>3728</v>
      </c>
      <c r="HXC614" s="17">
        <v>44925</v>
      </c>
      <c r="HXD614" s="5" t="s">
        <v>3728</v>
      </c>
      <c r="HXE614" s="17">
        <v>44925</v>
      </c>
      <c r="HXF614" s="5" t="s">
        <v>3728</v>
      </c>
      <c r="HXG614" s="17">
        <v>44925</v>
      </c>
      <c r="HXH614" s="5" t="s">
        <v>3728</v>
      </c>
      <c r="HXI614" s="17">
        <v>44925</v>
      </c>
      <c r="HXJ614" s="5" t="s">
        <v>3728</v>
      </c>
      <c r="HXK614" s="17">
        <v>44925</v>
      </c>
      <c r="HXL614" s="5" t="s">
        <v>3728</v>
      </c>
      <c r="HXM614" s="17">
        <v>44925</v>
      </c>
      <c r="HXN614" s="5" t="s">
        <v>3728</v>
      </c>
      <c r="HXO614" s="17">
        <v>44925</v>
      </c>
      <c r="HXP614" s="5" t="s">
        <v>3728</v>
      </c>
      <c r="HXQ614" s="17">
        <v>44925</v>
      </c>
      <c r="HXR614" s="5" t="s">
        <v>3728</v>
      </c>
      <c r="HXS614" s="17">
        <v>44925</v>
      </c>
      <c r="HXT614" s="5" t="s">
        <v>3728</v>
      </c>
      <c r="HXU614" s="17">
        <v>44925</v>
      </c>
      <c r="HXV614" s="5" t="s">
        <v>3728</v>
      </c>
      <c r="HXW614" s="17">
        <v>44925</v>
      </c>
      <c r="HXX614" s="5" t="s">
        <v>3728</v>
      </c>
      <c r="HXY614" s="17">
        <v>44925</v>
      </c>
      <c r="HXZ614" s="5" t="s">
        <v>3728</v>
      </c>
      <c r="HYA614" s="17">
        <v>44925</v>
      </c>
      <c r="HYB614" s="5" t="s">
        <v>3728</v>
      </c>
      <c r="HYC614" s="17">
        <v>44925</v>
      </c>
      <c r="HYD614" s="5" t="s">
        <v>3728</v>
      </c>
      <c r="HYE614" s="17">
        <v>44925</v>
      </c>
      <c r="HYF614" s="5" t="s">
        <v>3728</v>
      </c>
      <c r="HYG614" s="17">
        <v>44925</v>
      </c>
      <c r="HYH614" s="5" t="s">
        <v>3728</v>
      </c>
      <c r="HYI614" s="17">
        <v>44925</v>
      </c>
      <c r="HYJ614" s="5" t="s">
        <v>3728</v>
      </c>
      <c r="HYK614" s="17">
        <v>44925</v>
      </c>
      <c r="HYL614" s="5" t="s">
        <v>3728</v>
      </c>
      <c r="HYM614" s="17">
        <v>44925</v>
      </c>
      <c r="HYN614" s="5" t="s">
        <v>3728</v>
      </c>
      <c r="HYO614" s="17">
        <v>44925</v>
      </c>
      <c r="HYP614" s="5" t="s">
        <v>3728</v>
      </c>
      <c r="HYQ614" s="17">
        <v>44925</v>
      </c>
      <c r="HYR614" s="5" t="s">
        <v>3728</v>
      </c>
      <c r="HYS614" s="17">
        <v>44925</v>
      </c>
      <c r="HYT614" s="5" t="s">
        <v>3728</v>
      </c>
      <c r="HYU614" s="17">
        <v>44925</v>
      </c>
      <c r="HYV614" s="5" t="s">
        <v>3728</v>
      </c>
      <c r="HYW614" s="17">
        <v>44925</v>
      </c>
      <c r="HYX614" s="5" t="s">
        <v>3728</v>
      </c>
      <c r="HYY614" s="17">
        <v>44925</v>
      </c>
      <c r="HYZ614" s="5" t="s">
        <v>3728</v>
      </c>
      <c r="HZA614" s="17">
        <v>44925</v>
      </c>
      <c r="HZB614" s="5" t="s">
        <v>3728</v>
      </c>
      <c r="HZC614" s="17">
        <v>44925</v>
      </c>
      <c r="HZD614" s="5" t="s">
        <v>3728</v>
      </c>
      <c r="HZE614" s="17">
        <v>44925</v>
      </c>
      <c r="HZF614" s="5" t="s">
        <v>3728</v>
      </c>
      <c r="HZG614" s="17">
        <v>44925</v>
      </c>
      <c r="HZH614" s="5" t="s">
        <v>3728</v>
      </c>
      <c r="HZI614" s="17">
        <v>44925</v>
      </c>
      <c r="HZJ614" s="5" t="s">
        <v>3728</v>
      </c>
      <c r="HZK614" s="17">
        <v>44925</v>
      </c>
      <c r="HZL614" s="5" t="s">
        <v>3728</v>
      </c>
      <c r="HZM614" s="17">
        <v>44925</v>
      </c>
      <c r="HZN614" s="5" t="s">
        <v>3728</v>
      </c>
      <c r="HZO614" s="17">
        <v>44925</v>
      </c>
      <c r="HZP614" s="5" t="s">
        <v>3728</v>
      </c>
      <c r="HZQ614" s="17">
        <v>44925</v>
      </c>
      <c r="HZR614" s="5" t="s">
        <v>3728</v>
      </c>
      <c r="HZS614" s="17">
        <v>44925</v>
      </c>
      <c r="HZT614" s="5" t="s">
        <v>3728</v>
      </c>
      <c r="HZU614" s="17">
        <v>44925</v>
      </c>
      <c r="HZV614" s="5" t="s">
        <v>3728</v>
      </c>
      <c r="HZW614" s="17">
        <v>44925</v>
      </c>
      <c r="HZX614" s="5" t="s">
        <v>3728</v>
      </c>
      <c r="HZY614" s="17">
        <v>44925</v>
      </c>
      <c r="HZZ614" s="5" t="s">
        <v>3728</v>
      </c>
      <c r="IAA614" s="17">
        <v>44925</v>
      </c>
      <c r="IAB614" s="5" t="s">
        <v>3728</v>
      </c>
      <c r="IAC614" s="17">
        <v>44925</v>
      </c>
      <c r="IAD614" s="5" t="s">
        <v>3728</v>
      </c>
      <c r="IAE614" s="17">
        <v>44925</v>
      </c>
      <c r="IAF614" s="5" t="s">
        <v>3728</v>
      </c>
      <c r="IAG614" s="17">
        <v>44925</v>
      </c>
      <c r="IAH614" s="5" t="s">
        <v>3728</v>
      </c>
      <c r="IAI614" s="17">
        <v>44925</v>
      </c>
      <c r="IAJ614" s="5" t="s">
        <v>3728</v>
      </c>
      <c r="IAK614" s="17">
        <v>44925</v>
      </c>
      <c r="IAL614" s="5" t="s">
        <v>3728</v>
      </c>
      <c r="IAM614" s="17">
        <v>44925</v>
      </c>
      <c r="IAN614" s="5" t="s">
        <v>3728</v>
      </c>
      <c r="IAO614" s="17">
        <v>44925</v>
      </c>
      <c r="IAP614" s="5" t="s">
        <v>3728</v>
      </c>
      <c r="IAQ614" s="17">
        <v>44925</v>
      </c>
      <c r="IAR614" s="5" t="s">
        <v>3728</v>
      </c>
      <c r="IAS614" s="17">
        <v>44925</v>
      </c>
      <c r="IAT614" s="5" t="s">
        <v>3728</v>
      </c>
      <c r="IAU614" s="17">
        <v>44925</v>
      </c>
      <c r="IAV614" s="5" t="s">
        <v>3728</v>
      </c>
      <c r="IAW614" s="17">
        <v>44925</v>
      </c>
      <c r="IAX614" s="5" t="s">
        <v>3728</v>
      </c>
      <c r="IAY614" s="17">
        <v>44925</v>
      </c>
      <c r="IAZ614" s="5" t="s">
        <v>3728</v>
      </c>
      <c r="IBA614" s="17">
        <v>44925</v>
      </c>
      <c r="IBB614" s="5" t="s">
        <v>3728</v>
      </c>
      <c r="IBC614" s="17">
        <v>44925</v>
      </c>
      <c r="IBD614" s="5" t="s">
        <v>3728</v>
      </c>
      <c r="IBE614" s="17">
        <v>44925</v>
      </c>
      <c r="IBF614" s="5" t="s">
        <v>3728</v>
      </c>
      <c r="IBG614" s="17">
        <v>44925</v>
      </c>
      <c r="IBH614" s="5" t="s">
        <v>3728</v>
      </c>
      <c r="IBI614" s="17">
        <v>44925</v>
      </c>
      <c r="IBJ614" s="5" t="s">
        <v>3728</v>
      </c>
      <c r="IBK614" s="17">
        <v>44925</v>
      </c>
      <c r="IBL614" s="5" t="s">
        <v>3728</v>
      </c>
      <c r="IBM614" s="17">
        <v>44925</v>
      </c>
      <c r="IBN614" s="5" t="s">
        <v>3728</v>
      </c>
      <c r="IBO614" s="17">
        <v>44925</v>
      </c>
      <c r="IBP614" s="5" t="s">
        <v>3728</v>
      </c>
      <c r="IBQ614" s="17">
        <v>44925</v>
      </c>
      <c r="IBR614" s="5" t="s">
        <v>3728</v>
      </c>
      <c r="IBS614" s="17">
        <v>44925</v>
      </c>
      <c r="IBT614" s="5" t="s">
        <v>3728</v>
      </c>
      <c r="IBU614" s="17">
        <v>44925</v>
      </c>
      <c r="IBV614" s="5" t="s">
        <v>3728</v>
      </c>
      <c r="IBW614" s="17">
        <v>44925</v>
      </c>
      <c r="IBX614" s="5" t="s">
        <v>3728</v>
      </c>
      <c r="IBY614" s="17">
        <v>44925</v>
      </c>
      <c r="IBZ614" s="5" t="s">
        <v>3728</v>
      </c>
      <c r="ICA614" s="17">
        <v>44925</v>
      </c>
      <c r="ICB614" s="5" t="s">
        <v>3728</v>
      </c>
      <c r="ICC614" s="17">
        <v>44925</v>
      </c>
      <c r="ICD614" s="5" t="s">
        <v>3728</v>
      </c>
      <c r="ICE614" s="17">
        <v>44925</v>
      </c>
      <c r="ICF614" s="5" t="s">
        <v>3728</v>
      </c>
      <c r="ICG614" s="17">
        <v>44925</v>
      </c>
      <c r="ICH614" s="5" t="s">
        <v>3728</v>
      </c>
      <c r="ICI614" s="17">
        <v>44925</v>
      </c>
      <c r="ICJ614" s="5" t="s">
        <v>3728</v>
      </c>
      <c r="ICK614" s="17">
        <v>44925</v>
      </c>
      <c r="ICL614" s="5" t="s">
        <v>3728</v>
      </c>
      <c r="ICM614" s="17">
        <v>44925</v>
      </c>
      <c r="ICN614" s="5" t="s">
        <v>3728</v>
      </c>
      <c r="ICO614" s="17">
        <v>44925</v>
      </c>
      <c r="ICP614" s="5" t="s">
        <v>3728</v>
      </c>
      <c r="ICQ614" s="17">
        <v>44925</v>
      </c>
      <c r="ICR614" s="5" t="s">
        <v>3728</v>
      </c>
      <c r="ICS614" s="17">
        <v>44925</v>
      </c>
      <c r="ICT614" s="5" t="s">
        <v>3728</v>
      </c>
      <c r="ICU614" s="17">
        <v>44925</v>
      </c>
      <c r="ICV614" s="5" t="s">
        <v>3728</v>
      </c>
      <c r="ICW614" s="17">
        <v>44925</v>
      </c>
      <c r="ICX614" s="5" t="s">
        <v>3728</v>
      </c>
      <c r="ICY614" s="17">
        <v>44925</v>
      </c>
      <c r="ICZ614" s="5" t="s">
        <v>3728</v>
      </c>
      <c r="IDA614" s="17">
        <v>44925</v>
      </c>
      <c r="IDB614" s="5" t="s">
        <v>3728</v>
      </c>
      <c r="IDC614" s="17">
        <v>44925</v>
      </c>
      <c r="IDD614" s="5" t="s">
        <v>3728</v>
      </c>
      <c r="IDE614" s="17">
        <v>44925</v>
      </c>
      <c r="IDF614" s="5" t="s">
        <v>3728</v>
      </c>
      <c r="IDG614" s="17">
        <v>44925</v>
      </c>
      <c r="IDH614" s="5" t="s">
        <v>3728</v>
      </c>
      <c r="IDI614" s="17">
        <v>44925</v>
      </c>
      <c r="IDJ614" s="5" t="s">
        <v>3728</v>
      </c>
      <c r="IDK614" s="17">
        <v>44925</v>
      </c>
      <c r="IDL614" s="5" t="s">
        <v>3728</v>
      </c>
      <c r="IDM614" s="17">
        <v>44925</v>
      </c>
      <c r="IDN614" s="5" t="s">
        <v>3728</v>
      </c>
      <c r="IDO614" s="17">
        <v>44925</v>
      </c>
      <c r="IDP614" s="5" t="s">
        <v>3728</v>
      </c>
      <c r="IDQ614" s="17">
        <v>44925</v>
      </c>
      <c r="IDR614" s="5" t="s">
        <v>3728</v>
      </c>
      <c r="IDS614" s="17">
        <v>44925</v>
      </c>
      <c r="IDT614" s="5" t="s">
        <v>3728</v>
      </c>
      <c r="IDU614" s="17">
        <v>44925</v>
      </c>
      <c r="IDV614" s="5" t="s">
        <v>3728</v>
      </c>
      <c r="IDW614" s="17">
        <v>44925</v>
      </c>
      <c r="IDX614" s="5" t="s">
        <v>3728</v>
      </c>
      <c r="IDY614" s="17">
        <v>44925</v>
      </c>
      <c r="IDZ614" s="5" t="s">
        <v>3728</v>
      </c>
      <c r="IEA614" s="17">
        <v>44925</v>
      </c>
      <c r="IEB614" s="5" t="s">
        <v>3728</v>
      </c>
      <c r="IEC614" s="17">
        <v>44925</v>
      </c>
      <c r="IED614" s="5" t="s">
        <v>3728</v>
      </c>
      <c r="IEE614" s="17">
        <v>44925</v>
      </c>
      <c r="IEF614" s="5" t="s">
        <v>3728</v>
      </c>
      <c r="IEG614" s="17">
        <v>44925</v>
      </c>
      <c r="IEH614" s="5" t="s">
        <v>3728</v>
      </c>
      <c r="IEI614" s="17">
        <v>44925</v>
      </c>
      <c r="IEJ614" s="5" t="s">
        <v>3728</v>
      </c>
      <c r="IEK614" s="17">
        <v>44925</v>
      </c>
      <c r="IEL614" s="5" t="s">
        <v>3728</v>
      </c>
      <c r="IEM614" s="17">
        <v>44925</v>
      </c>
      <c r="IEN614" s="5" t="s">
        <v>3728</v>
      </c>
      <c r="IEO614" s="17">
        <v>44925</v>
      </c>
      <c r="IEP614" s="5" t="s">
        <v>3728</v>
      </c>
      <c r="IEQ614" s="17">
        <v>44925</v>
      </c>
      <c r="IER614" s="5" t="s">
        <v>3728</v>
      </c>
      <c r="IES614" s="17">
        <v>44925</v>
      </c>
      <c r="IET614" s="5" t="s">
        <v>3728</v>
      </c>
      <c r="IEU614" s="17">
        <v>44925</v>
      </c>
      <c r="IEV614" s="5" t="s">
        <v>3728</v>
      </c>
      <c r="IEW614" s="17">
        <v>44925</v>
      </c>
      <c r="IEX614" s="5" t="s">
        <v>3728</v>
      </c>
      <c r="IEY614" s="17">
        <v>44925</v>
      </c>
      <c r="IEZ614" s="5" t="s">
        <v>3728</v>
      </c>
      <c r="IFA614" s="17">
        <v>44925</v>
      </c>
      <c r="IFB614" s="5" t="s">
        <v>3728</v>
      </c>
      <c r="IFC614" s="17">
        <v>44925</v>
      </c>
      <c r="IFD614" s="5" t="s">
        <v>3728</v>
      </c>
      <c r="IFE614" s="17">
        <v>44925</v>
      </c>
      <c r="IFF614" s="5" t="s">
        <v>3728</v>
      </c>
      <c r="IFG614" s="17">
        <v>44925</v>
      </c>
      <c r="IFH614" s="5" t="s">
        <v>3728</v>
      </c>
      <c r="IFI614" s="17">
        <v>44925</v>
      </c>
      <c r="IFJ614" s="5" t="s">
        <v>3728</v>
      </c>
      <c r="IFK614" s="17">
        <v>44925</v>
      </c>
      <c r="IFL614" s="5" t="s">
        <v>3728</v>
      </c>
      <c r="IFM614" s="17">
        <v>44925</v>
      </c>
      <c r="IFN614" s="5" t="s">
        <v>3728</v>
      </c>
      <c r="IFO614" s="17">
        <v>44925</v>
      </c>
      <c r="IFP614" s="5" t="s">
        <v>3728</v>
      </c>
      <c r="IFQ614" s="17">
        <v>44925</v>
      </c>
      <c r="IFR614" s="5" t="s">
        <v>3728</v>
      </c>
      <c r="IFS614" s="17">
        <v>44925</v>
      </c>
      <c r="IFT614" s="5" t="s">
        <v>3728</v>
      </c>
      <c r="IFU614" s="17">
        <v>44925</v>
      </c>
      <c r="IFV614" s="5" t="s">
        <v>3728</v>
      </c>
      <c r="IFW614" s="17">
        <v>44925</v>
      </c>
      <c r="IFX614" s="5" t="s">
        <v>3728</v>
      </c>
      <c r="IFY614" s="17">
        <v>44925</v>
      </c>
      <c r="IFZ614" s="5" t="s">
        <v>3728</v>
      </c>
      <c r="IGA614" s="17">
        <v>44925</v>
      </c>
      <c r="IGB614" s="5" t="s">
        <v>3728</v>
      </c>
      <c r="IGC614" s="17">
        <v>44925</v>
      </c>
      <c r="IGD614" s="5" t="s">
        <v>3728</v>
      </c>
      <c r="IGE614" s="17">
        <v>44925</v>
      </c>
      <c r="IGF614" s="5" t="s">
        <v>3728</v>
      </c>
      <c r="IGG614" s="17">
        <v>44925</v>
      </c>
      <c r="IGH614" s="5" t="s">
        <v>3728</v>
      </c>
      <c r="IGI614" s="17">
        <v>44925</v>
      </c>
      <c r="IGJ614" s="5" t="s">
        <v>3728</v>
      </c>
      <c r="IGK614" s="17">
        <v>44925</v>
      </c>
      <c r="IGL614" s="5" t="s">
        <v>3728</v>
      </c>
      <c r="IGM614" s="17">
        <v>44925</v>
      </c>
      <c r="IGN614" s="5" t="s">
        <v>3728</v>
      </c>
      <c r="IGO614" s="17">
        <v>44925</v>
      </c>
      <c r="IGP614" s="5" t="s">
        <v>3728</v>
      </c>
      <c r="IGQ614" s="17">
        <v>44925</v>
      </c>
      <c r="IGR614" s="5" t="s">
        <v>3728</v>
      </c>
      <c r="IGS614" s="17">
        <v>44925</v>
      </c>
      <c r="IGT614" s="5" t="s">
        <v>3728</v>
      </c>
      <c r="IGU614" s="17">
        <v>44925</v>
      </c>
      <c r="IGV614" s="5" t="s">
        <v>3728</v>
      </c>
      <c r="IGW614" s="17">
        <v>44925</v>
      </c>
      <c r="IGX614" s="5" t="s">
        <v>3728</v>
      </c>
      <c r="IGY614" s="17">
        <v>44925</v>
      </c>
      <c r="IGZ614" s="5" t="s">
        <v>3728</v>
      </c>
      <c r="IHA614" s="17">
        <v>44925</v>
      </c>
      <c r="IHB614" s="5" t="s">
        <v>3728</v>
      </c>
      <c r="IHC614" s="17">
        <v>44925</v>
      </c>
      <c r="IHD614" s="5" t="s">
        <v>3728</v>
      </c>
      <c r="IHE614" s="17">
        <v>44925</v>
      </c>
      <c r="IHF614" s="5" t="s">
        <v>3728</v>
      </c>
      <c r="IHG614" s="17">
        <v>44925</v>
      </c>
      <c r="IHH614" s="5" t="s">
        <v>3728</v>
      </c>
      <c r="IHI614" s="17">
        <v>44925</v>
      </c>
      <c r="IHJ614" s="5" t="s">
        <v>3728</v>
      </c>
      <c r="IHK614" s="17">
        <v>44925</v>
      </c>
      <c r="IHL614" s="5" t="s">
        <v>3728</v>
      </c>
      <c r="IHM614" s="17">
        <v>44925</v>
      </c>
      <c r="IHN614" s="5" t="s">
        <v>3728</v>
      </c>
      <c r="IHO614" s="17">
        <v>44925</v>
      </c>
      <c r="IHP614" s="5" t="s">
        <v>3728</v>
      </c>
      <c r="IHQ614" s="17">
        <v>44925</v>
      </c>
      <c r="IHR614" s="5" t="s">
        <v>3728</v>
      </c>
      <c r="IHS614" s="17">
        <v>44925</v>
      </c>
      <c r="IHT614" s="5" t="s">
        <v>3728</v>
      </c>
      <c r="IHU614" s="17">
        <v>44925</v>
      </c>
      <c r="IHV614" s="5" t="s">
        <v>3728</v>
      </c>
      <c r="IHW614" s="17">
        <v>44925</v>
      </c>
      <c r="IHX614" s="5" t="s">
        <v>3728</v>
      </c>
      <c r="IHY614" s="17">
        <v>44925</v>
      </c>
      <c r="IHZ614" s="5" t="s">
        <v>3728</v>
      </c>
      <c r="IIA614" s="17">
        <v>44925</v>
      </c>
      <c r="IIB614" s="5" t="s">
        <v>3728</v>
      </c>
      <c r="IIC614" s="17">
        <v>44925</v>
      </c>
      <c r="IID614" s="5" t="s">
        <v>3728</v>
      </c>
      <c r="IIE614" s="17">
        <v>44925</v>
      </c>
      <c r="IIF614" s="5" t="s">
        <v>3728</v>
      </c>
      <c r="IIG614" s="17">
        <v>44925</v>
      </c>
      <c r="IIH614" s="5" t="s">
        <v>3728</v>
      </c>
      <c r="III614" s="17">
        <v>44925</v>
      </c>
      <c r="IIJ614" s="5" t="s">
        <v>3728</v>
      </c>
      <c r="IIK614" s="17">
        <v>44925</v>
      </c>
      <c r="IIL614" s="5" t="s">
        <v>3728</v>
      </c>
      <c r="IIM614" s="17">
        <v>44925</v>
      </c>
      <c r="IIN614" s="5" t="s">
        <v>3728</v>
      </c>
      <c r="IIO614" s="17">
        <v>44925</v>
      </c>
      <c r="IIP614" s="5" t="s">
        <v>3728</v>
      </c>
      <c r="IIQ614" s="17">
        <v>44925</v>
      </c>
      <c r="IIR614" s="5" t="s">
        <v>3728</v>
      </c>
      <c r="IIS614" s="17">
        <v>44925</v>
      </c>
      <c r="IIT614" s="5" t="s">
        <v>3728</v>
      </c>
      <c r="IIU614" s="17">
        <v>44925</v>
      </c>
      <c r="IIV614" s="5" t="s">
        <v>3728</v>
      </c>
      <c r="IIW614" s="17">
        <v>44925</v>
      </c>
      <c r="IIX614" s="5" t="s">
        <v>3728</v>
      </c>
      <c r="IIY614" s="17">
        <v>44925</v>
      </c>
      <c r="IIZ614" s="5" t="s">
        <v>3728</v>
      </c>
      <c r="IJA614" s="17">
        <v>44925</v>
      </c>
      <c r="IJB614" s="5" t="s">
        <v>3728</v>
      </c>
      <c r="IJC614" s="17">
        <v>44925</v>
      </c>
      <c r="IJD614" s="5" t="s">
        <v>3728</v>
      </c>
      <c r="IJE614" s="17">
        <v>44925</v>
      </c>
      <c r="IJF614" s="5" t="s">
        <v>3728</v>
      </c>
      <c r="IJG614" s="17">
        <v>44925</v>
      </c>
      <c r="IJH614" s="5" t="s">
        <v>3728</v>
      </c>
      <c r="IJI614" s="17">
        <v>44925</v>
      </c>
      <c r="IJJ614" s="5" t="s">
        <v>3728</v>
      </c>
      <c r="IJK614" s="17">
        <v>44925</v>
      </c>
      <c r="IJL614" s="5" t="s">
        <v>3728</v>
      </c>
      <c r="IJM614" s="17">
        <v>44925</v>
      </c>
      <c r="IJN614" s="5" t="s">
        <v>3728</v>
      </c>
      <c r="IJO614" s="17">
        <v>44925</v>
      </c>
      <c r="IJP614" s="5" t="s">
        <v>3728</v>
      </c>
      <c r="IJQ614" s="17">
        <v>44925</v>
      </c>
      <c r="IJR614" s="5" t="s">
        <v>3728</v>
      </c>
      <c r="IJS614" s="17">
        <v>44925</v>
      </c>
      <c r="IJT614" s="5" t="s">
        <v>3728</v>
      </c>
      <c r="IJU614" s="17">
        <v>44925</v>
      </c>
      <c r="IJV614" s="5" t="s">
        <v>3728</v>
      </c>
      <c r="IJW614" s="17">
        <v>44925</v>
      </c>
      <c r="IJX614" s="5" t="s">
        <v>3728</v>
      </c>
      <c r="IJY614" s="17">
        <v>44925</v>
      </c>
      <c r="IJZ614" s="5" t="s">
        <v>3728</v>
      </c>
      <c r="IKA614" s="17">
        <v>44925</v>
      </c>
      <c r="IKB614" s="5" t="s">
        <v>3728</v>
      </c>
      <c r="IKC614" s="17">
        <v>44925</v>
      </c>
      <c r="IKD614" s="5" t="s">
        <v>3728</v>
      </c>
      <c r="IKE614" s="17">
        <v>44925</v>
      </c>
      <c r="IKF614" s="5" t="s">
        <v>3728</v>
      </c>
      <c r="IKG614" s="17">
        <v>44925</v>
      </c>
      <c r="IKH614" s="5" t="s">
        <v>3728</v>
      </c>
      <c r="IKI614" s="17">
        <v>44925</v>
      </c>
      <c r="IKJ614" s="5" t="s">
        <v>3728</v>
      </c>
      <c r="IKK614" s="17">
        <v>44925</v>
      </c>
      <c r="IKL614" s="5" t="s">
        <v>3728</v>
      </c>
      <c r="IKM614" s="17">
        <v>44925</v>
      </c>
      <c r="IKN614" s="5" t="s">
        <v>3728</v>
      </c>
      <c r="IKO614" s="17">
        <v>44925</v>
      </c>
      <c r="IKP614" s="5" t="s">
        <v>3728</v>
      </c>
      <c r="IKQ614" s="17">
        <v>44925</v>
      </c>
      <c r="IKR614" s="5" t="s">
        <v>3728</v>
      </c>
      <c r="IKS614" s="17">
        <v>44925</v>
      </c>
      <c r="IKT614" s="5" t="s">
        <v>3728</v>
      </c>
      <c r="IKU614" s="17">
        <v>44925</v>
      </c>
      <c r="IKV614" s="5" t="s">
        <v>3728</v>
      </c>
      <c r="IKW614" s="17">
        <v>44925</v>
      </c>
      <c r="IKX614" s="5" t="s">
        <v>3728</v>
      </c>
      <c r="IKY614" s="17">
        <v>44925</v>
      </c>
      <c r="IKZ614" s="5" t="s">
        <v>3728</v>
      </c>
      <c r="ILA614" s="17">
        <v>44925</v>
      </c>
      <c r="ILB614" s="5" t="s">
        <v>3728</v>
      </c>
      <c r="ILC614" s="17">
        <v>44925</v>
      </c>
      <c r="ILD614" s="5" t="s">
        <v>3728</v>
      </c>
      <c r="ILE614" s="17">
        <v>44925</v>
      </c>
      <c r="ILF614" s="5" t="s">
        <v>3728</v>
      </c>
      <c r="ILG614" s="17">
        <v>44925</v>
      </c>
      <c r="ILH614" s="5" t="s">
        <v>3728</v>
      </c>
      <c r="ILI614" s="17">
        <v>44925</v>
      </c>
      <c r="ILJ614" s="5" t="s">
        <v>3728</v>
      </c>
      <c r="ILK614" s="17">
        <v>44925</v>
      </c>
      <c r="ILL614" s="5" t="s">
        <v>3728</v>
      </c>
      <c r="ILM614" s="17">
        <v>44925</v>
      </c>
      <c r="ILN614" s="5" t="s">
        <v>3728</v>
      </c>
      <c r="ILO614" s="17">
        <v>44925</v>
      </c>
      <c r="ILP614" s="5" t="s">
        <v>3728</v>
      </c>
      <c r="ILQ614" s="17">
        <v>44925</v>
      </c>
      <c r="ILR614" s="5" t="s">
        <v>3728</v>
      </c>
      <c r="ILS614" s="17">
        <v>44925</v>
      </c>
      <c r="ILT614" s="5" t="s">
        <v>3728</v>
      </c>
      <c r="ILU614" s="17">
        <v>44925</v>
      </c>
      <c r="ILV614" s="5" t="s">
        <v>3728</v>
      </c>
      <c r="ILW614" s="17">
        <v>44925</v>
      </c>
      <c r="ILX614" s="5" t="s">
        <v>3728</v>
      </c>
      <c r="ILY614" s="17">
        <v>44925</v>
      </c>
      <c r="ILZ614" s="5" t="s">
        <v>3728</v>
      </c>
      <c r="IMA614" s="17">
        <v>44925</v>
      </c>
      <c r="IMB614" s="5" t="s">
        <v>3728</v>
      </c>
      <c r="IMC614" s="17">
        <v>44925</v>
      </c>
      <c r="IMD614" s="5" t="s">
        <v>3728</v>
      </c>
      <c r="IME614" s="17">
        <v>44925</v>
      </c>
      <c r="IMF614" s="5" t="s">
        <v>3728</v>
      </c>
      <c r="IMG614" s="17">
        <v>44925</v>
      </c>
      <c r="IMH614" s="5" t="s">
        <v>3728</v>
      </c>
      <c r="IMI614" s="17">
        <v>44925</v>
      </c>
      <c r="IMJ614" s="5" t="s">
        <v>3728</v>
      </c>
      <c r="IMK614" s="17">
        <v>44925</v>
      </c>
      <c r="IML614" s="5" t="s">
        <v>3728</v>
      </c>
      <c r="IMM614" s="17">
        <v>44925</v>
      </c>
      <c r="IMN614" s="5" t="s">
        <v>3728</v>
      </c>
      <c r="IMO614" s="17">
        <v>44925</v>
      </c>
      <c r="IMP614" s="5" t="s">
        <v>3728</v>
      </c>
      <c r="IMQ614" s="17">
        <v>44925</v>
      </c>
      <c r="IMR614" s="5" t="s">
        <v>3728</v>
      </c>
      <c r="IMS614" s="17">
        <v>44925</v>
      </c>
      <c r="IMT614" s="5" t="s">
        <v>3728</v>
      </c>
      <c r="IMU614" s="17">
        <v>44925</v>
      </c>
      <c r="IMV614" s="5" t="s">
        <v>3728</v>
      </c>
      <c r="IMW614" s="17">
        <v>44925</v>
      </c>
      <c r="IMX614" s="5" t="s">
        <v>3728</v>
      </c>
      <c r="IMY614" s="17">
        <v>44925</v>
      </c>
      <c r="IMZ614" s="5" t="s">
        <v>3728</v>
      </c>
      <c r="INA614" s="17">
        <v>44925</v>
      </c>
      <c r="INB614" s="5" t="s">
        <v>3728</v>
      </c>
      <c r="INC614" s="17">
        <v>44925</v>
      </c>
      <c r="IND614" s="5" t="s">
        <v>3728</v>
      </c>
      <c r="INE614" s="17">
        <v>44925</v>
      </c>
      <c r="INF614" s="5" t="s">
        <v>3728</v>
      </c>
      <c r="ING614" s="17">
        <v>44925</v>
      </c>
      <c r="INH614" s="5" t="s">
        <v>3728</v>
      </c>
      <c r="INI614" s="17">
        <v>44925</v>
      </c>
      <c r="INJ614" s="5" t="s">
        <v>3728</v>
      </c>
      <c r="INK614" s="17">
        <v>44925</v>
      </c>
      <c r="INL614" s="5" t="s">
        <v>3728</v>
      </c>
      <c r="INM614" s="17">
        <v>44925</v>
      </c>
      <c r="INN614" s="5" t="s">
        <v>3728</v>
      </c>
      <c r="INO614" s="17">
        <v>44925</v>
      </c>
      <c r="INP614" s="5" t="s">
        <v>3728</v>
      </c>
      <c r="INQ614" s="17">
        <v>44925</v>
      </c>
      <c r="INR614" s="5" t="s">
        <v>3728</v>
      </c>
      <c r="INS614" s="17">
        <v>44925</v>
      </c>
      <c r="INT614" s="5" t="s">
        <v>3728</v>
      </c>
      <c r="INU614" s="17">
        <v>44925</v>
      </c>
      <c r="INV614" s="5" t="s">
        <v>3728</v>
      </c>
      <c r="INW614" s="17">
        <v>44925</v>
      </c>
      <c r="INX614" s="5" t="s">
        <v>3728</v>
      </c>
      <c r="INY614" s="17">
        <v>44925</v>
      </c>
      <c r="INZ614" s="5" t="s">
        <v>3728</v>
      </c>
      <c r="IOA614" s="17">
        <v>44925</v>
      </c>
      <c r="IOB614" s="5" t="s">
        <v>3728</v>
      </c>
      <c r="IOC614" s="17">
        <v>44925</v>
      </c>
      <c r="IOD614" s="5" t="s">
        <v>3728</v>
      </c>
      <c r="IOE614" s="17">
        <v>44925</v>
      </c>
      <c r="IOF614" s="5" t="s">
        <v>3728</v>
      </c>
      <c r="IOG614" s="17">
        <v>44925</v>
      </c>
      <c r="IOH614" s="5" t="s">
        <v>3728</v>
      </c>
      <c r="IOI614" s="17">
        <v>44925</v>
      </c>
      <c r="IOJ614" s="5" t="s">
        <v>3728</v>
      </c>
      <c r="IOK614" s="17">
        <v>44925</v>
      </c>
      <c r="IOL614" s="5" t="s">
        <v>3728</v>
      </c>
      <c r="IOM614" s="17">
        <v>44925</v>
      </c>
      <c r="ION614" s="5" t="s">
        <v>3728</v>
      </c>
      <c r="IOO614" s="17">
        <v>44925</v>
      </c>
      <c r="IOP614" s="5" t="s">
        <v>3728</v>
      </c>
      <c r="IOQ614" s="17">
        <v>44925</v>
      </c>
      <c r="IOR614" s="5" t="s">
        <v>3728</v>
      </c>
      <c r="IOS614" s="17">
        <v>44925</v>
      </c>
      <c r="IOT614" s="5" t="s">
        <v>3728</v>
      </c>
      <c r="IOU614" s="17">
        <v>44925</v>
      </c>
      <c r="IOV614" s="5" t="s">
        <v>3728</v>
      </c>
      <c r="IOW614" s="17">
        <v>44925</v>
      </c>
      <c r="IOX614" s="5" t="s">
        <v>3728</v>
      </c>
      <c r="IOY614" s="17">
        <v>44925</v>
      </c>
      <c r="IOZ614" s="5" t="s">
        <v>3728</v>
      </c>
      <c r="IPA614" s="17">
        <v>44925</v>
      </c>
      <c r="IPB614" s="5" t="s">
        <v>3728</v>
      </c>
      <c r="IPC614" s="17">
        <v>44925</v>
      </c>
      <c r="IPD614" s="5" t="s">
        <v>3728</v>
      </c>
      <c r="IPE614" s="17">
        <v>44925</v>
      </c>
      <c r="IPF614" s="5" t="s">
        <v>3728</v>
      </c>
      <c r="IPG614" s="17">
        <v>44925</v>
      </c>
      <c r="IPH614" s="5" t="s">
        <v>3728</v>
      </c>
      <c r="IPI614" s="17">
        <v>44925</v>
      </c>
      <c r="IPJ614" s="5" t="s">
        <v>3728</v>
      </c>
      <c r="IPK614" s="17">
        <v>44925</v>
      </c>
      <c r="IPL614" s="5" t="s">
        <v>3728</v>
      </c>
      <c r="IPM614" s="17">
        <v>44925</v>
      </c>
      <c r="IPN614" s="5" t="s">
        <v>3728</v>
      </c>
      <c r="IPO614" s="17">
        <v>44925</v>
      </c>
      <c r="IPP614" s="5" t="s">
        <v>3728</v>
      </c>
      <c r="IPQ614" s="17">
        <v>44925</v>
      </c>
      <c r="IPR614" s="5" t="s">
        <v>3728</v>
      </c>
      <c r="IPS614" s="17">
        <v>44925</v>
      </c>
      <c r="IPT614" s="5" t="s">
        <v>3728</v>
      </c>
      <c r="IPU614" s="17">
        <v>44925</v>
      </c>
      <c r="IPV614" s="5" t="s">
        <v>3728</v>
      </c>
      <c r="IPW614" s="17">
        <v>44925</v>
      </c>
      <c r="IPX614" s="5" t="s">
        <v>3728</v>
      </c>
      <c r="IPY614" s="17">
        <v>44925</v>
      </c>
      <c r="IPZ614" s="5" t="s">
        <v>3728</v>
      </c>
      <c r="IQA614" s="17">
        <v>44925</v>
      </c>
      <c r="IQB614" s="5" t="s">
        <v>3728</v>
      </c>
      <c r="IQC614" s="17">
        <v>44925</v>
      </c>
      <c r="IQD614" s="5" t="s">
        <v>3728</v>
      </c>
      <c r="IQE614" s="17">
        <v>44925</v>
      </c>
      <c r="IQF614" s="5" t="s">
        <v>3728</v>
      </c>
      <c r="IQG614" s="17">
        <v>44925</v>
      </c>
      <c r="IQH614" s="5" t="s">
        <v>3728</v>
      </c>
      <c r="IQI614" s="17">
        <v>44925</v>
      </c>
      <c r="IQJ614" s="5" t="s">
        <v>3728</v>
      </c>
      <c r="IQK614" s="17">
        <v>44925</v>
      </c>
      <c r="IQL614" s="5" t="s">
        <v>3728</v>
      </c>
      <c r="IQM614" s="17">
        <v>44925</v>
      </c>
      <c r="IQN614" s="5" t="s">
        <v>3728</v>
      </c>
      <c r="IQO614" s="17">
        <v>44925</v>
      </c>
      <c r="IQP614" s="5" t="s">
        <v>3728</v>
      </c>
      <c r="IQQ614" s="17">
        <v>44925</v>
      </c>
      <c r="IQR614" s="5" t="s">
        <v>3728</v>
      </c>
      <c r="IQS614" s="17">
        <v>44925</v>
      </c>
      <c r="IQT614" s="5" t="s">
        <v>3728</v>
      </c>
      <c r="IQU614" s="17">
        <v>44925</v>
      </c>
      <c r="IQV614" s="5" t="s">
        <v>3728</v>
      </c>
      <c r="IQW614" s="17">
        <v>44925</v>
      </c>
      <c r="IQX614" s="5" t="s">
        <v>3728</v>
      </c>
      <c r="IQY614" s="17">
        <v>44925</v>
      </c>
      <c r="IQZ614" s="5" t="s">
        <v>3728</v>
      </c>
      <c r="IRA614" s="17">
        <v>44925</v>
      </c>
      <c r="IRB614" s="5" t="s">
        <v>3728</v>
      </c>
      <c r="IRC614" s="17">
        <v>44925</v>
      </c>
      <c r="IRD614" s="5" t="s">
        <v>3728</v>
      </c>
      <c r="IRE614" s="17">
        <v>44925</v>
      </c>
      <c r="IRF614" s="5" t="s">
        <v>3728</v>
      </c>
      <c r="IRG614" s="17">
        <v>44925</v>
      </c>
      <c r="IRH614" s="5" t="s">
        <v>3728</v>
      </c>
      <c r="IRI614" s="17">
        <v>44925</v>
      </c>
      <c r="IRJ614" s="5" t="s">
        <v>3728</v>
      </c>
      <c r="IRK614" s="17">
        <v>44925</v>
      </c>
      <c r="IRL614" s="5" t="s">
        <v>3728</v>
      </c>
      <c r="IRM614" s="17">
        <v>44925</v>
      </c>
      <c r="IRN614" s="5" t="s">
        <v>3728</v>
      </c>
      <c r="IRO614" s="17">
        <v>44925</v>
      </c>
      <c r="IRP614" s="5" t="s">
        <v>3728</v>
      </c>
      <c r="IRQ614" s="17">
        <v>44925</v>
      </c>
      <c r="IRR614" s="5" t="s">
        <v>3728</v>
      </c>
      <c r="IRS614" s="17">
        <v>44925</v>
      </c>
      <c r="IRT614" s="5" t="s">
        <v>3728</v>
      </c>
      <c r="IRU614" s="17">
        <v>44925</v>
      </c>
      <c r="IRV614" s="5" t="s">
        <v>3728</v>
      </c>
      <c r="IRW614" s="17">
        <v>44925</v>
      </c>
      <c r="IRX614" s="5" t="s">
        <v>3728</v>
      </c>
      <c r="IRY614" s="17">
        <v>44925</v>
      </c>
      <c r="IRZ614" s="5" t="s">
        <v>3728</v>
      </c>
      <c r="ISA614" s="17">
        <v>44925</v>
      </c>
      <c r="ISB614" s="5" t="s">
        <v>3728</v>
      </c>
      <c r="ISC614" s="17">
        <v>44925</v>
      </c>
      <c r="ISD614" s="5" t="s">
        <v>3728</v>
      </c>
      <c r="ISE614" s="17">
        <v>44925</v>
      </c>
      <c r="ISF614" s="5" t="s">
        <v>3728</v>
      </c>
      <c r="ISG614" s="17">
        <v>44925</v>
      </c>
      <c r="ISH614" s="5" t="s">
        <v>3728</v>
      </c>
      <c r="ISI614" s="17">
        <v>44925</v>
      </c>
      <c r="ISJ614" s="5" t="s">
        <v>3728</v>
      </c>
      <c r="ISK614" s="17">
        <v>44925</v>
      </c>
      <c r="ISL614" s="5" t="s">
        <v>3728</v>
      </c>
      <c r="ISM614" s="17">
        <v>44925</v>
      </c>
      <c r="ISN614" s="5" t="s">
        <v>3728</v>
      </c>
      <c r="ISO614" s="17">
        <v>44925</v>
      </c>
      <c r="ISP614" s="5" t="s">
        <v>3728</v>
      </c>
      <c r="ISQ614" s="17">
        <v>44925</v>
      </c>
      <c r="ISR614" s="5" t="s">
        <v>3728</v>
      </c>
      <c r="ISS614" s="17">
        <v>44925</v>
      </c>
      <c r="IST614" s="5" t="s">
        <v>3728</v>
      </c>
      <c r="ISU614" s="17">
        <v>44925</v>
      </c>
      <c r="ISV614" s="5" t="s">
        <v>3728</v>
      </c>
      <c r="ISW614" s="17">
        <v>44925</v>
      </c>
      <c r="ISX614" s="5" t="s">
        <v>3728</v>
      </c>
      <c r="ISY614" s="17">
        <v>44925</v>
      </c>
      <c r="ISZ614" s="5" t="s">
        <v>3728</v>
      </c>
      <c r="ITA614" s="17">
        <v>44925</v>
      </c>
      <c r="ITB614" s="5" t="s">
        <v>3728</v>
      </c>
      <c r="ITC614" s="17">
        <v>44925</v>
      </c>
      <c r="ITD614" s="5" t="s">
        <v>3728</v>
      </c>
      <c r="ITE614" s="17">
        <v>44925</v>
      </c>
      <c r="ITF614" s="5" t="s">
        <v>3728</v>
      </c>
      <c r="ITG614" s="17">
        <v>44925</v>
      </c>
      <c r="ITH614" s="5" t="s">
        <v>3728</v>
      </c>
      <c r="ITI614" s="17">
        <v>44925</v>
      </c>
      <c r="ITJ614" s="5" t="s">
        <v>3728</v>
      </c>
      <c r="ITK614" s="17">
        <v>44925</v>
      </c>
      <c r="ITL614" s="5" t="s">
        <v>3728</v>
      </c>
      <c r="ITM614" s="17">
        <v>44925</v>
      </c>
      <c r="ITN614" s="5" t="s">
        <v>3728</v>
      </c>
      <c r="ITO614" s="17">
        <v>44925</v>
      </c>
      <c r="ITP614" s="5" t="s">
        <v>3728</v>
      </c>
      <c r="ITQ614" s="17">
        <v>44925</v>
      </c>
      <c r="ITR614" s="5" t="s">
        <v>3728</v>
      </c>
      <c r="ITS614" s="17">
        <v>44925</v>
      </c>
      <c r="ITT614" s="5" t="s">
        <v>3728</v>
      </c>
      <c r="ITU614" s="17">
        <v>44925</v>
      </c>
      <c r="ITV614" s="5" t="s">
        <v>3728</v>
      </c>
      <c r="ITW614" s="17">
        <v>44925</v>
      </c>
      <c r="ITX614" s="5" t="s">
        <v>3728</v>
      </c>
      <c r="ITY614" s="17">
        <v>44925</v>
      </c>
      <c r="ITZ614" s="5" t="s">
        <v>3728</v>
      </c>
      <c r="IUA614" s="17">
        <v>44925</v>
      </c>
      <c r="IUB614" s="5" t="s">
        <v>3728</v>
      </c>
      <c r="IUC614" s="17">
        <v>44925</v>
      </c>
      <c r="IUD614" s="5" t="s">
        <v>3728</v>
      </c>
      <c r="IUE614" s="17">
        <v>44925</v>
      </c>
      <c r="IUF614" s="5" t="s">
        <v>3728</v>
      </c>
      <c r="IUG614" s="17">
        <v>44925</v>
      </c>
      <c r="IUH614" s="5" t="s">
        <v>3728</v>
      </c>
      <c r="IUI614" s="17">
        <v>44925</v>
      </c>
      <c r="IUJ614" s="5" t="s">
        <v>3728</v>
      </c>
      <c r="IUK614" s="17">
        <v>44925</v>
      </c>
      <c r="IUL614" s="5" t="s">
        <v>3728</v>
      </c>
      <c r="IUM614" s="17">
        <v>44925</v>
      </c>
      <c r="IUN614" s="5" t="s">
        <v>3728</v>
      </c>
      <c r="IUO614" s="17">
        <v>44925</v>
      </c>
      <c r="IUP614" s="5" t="s">
        <v>3728</v>
      </c>
      <c r="IUQ614" s="17">
        <v>44925</v>
      </c>
      <c r="IUR614" s="5" t="s">
        <v>3728</v>
      </c>
      <c r="IUS614" s="17">
        <v>44925</v>
      </c>
      <c r="IUT614" s="5" t="s">
        <v>3728</v>
      </c>
      <c r="IUU614" s="17">
        <v>44925</v>
      </c>
      <c r="IUV614" s="5" t="s">
        <v>3728</v>
      </c>
      <c r="IUW614" s="17">
        <v>44925</v>
      </c>
      <c r="IUX614" s="5" t="s">
        <v>3728</v>
      </c>
      <c r="IUY614" s="17">
        <v>44925</v>
      </c>
      <c r="IUZ614" s="5" t="s">
        <v>3728</v>
      </c>
      <c r="IVA614" s="17">
        <v>44925</v>
      </c>
      <c r="IVB614" s="5" t="s">
        <v>3728</v>
      </c>
      <c r="IVC614" s="17">
        <v>44925</v>
      </c>
      <c r="IVD614" s="5" t="s">
        <v>3728</v>
      </c>
      <c r="IVE614" s="17">
        <v>44925</v>
      </c>
      <c r="IVF614" s="5" t="s">
        <v>3728</v>
      </c>
      <c r="IVG614" s="17">
        <v>44925</v>
      </c>
      <c r="IVH614" s="5" t="s">
        <v>3728</v>
      </c>
      <c r="IVI614" s="17">
        <v>44925</v>
      </c>
      <c r="IVJ614" s="5" t="s">
        <v>3728</v>
      </c>
      <c r="IVK614" s="17">
        <v>44925</v>
      </c>
      <c r="IVL614" s="5" t="s">
        <v>3728</v>
      </c>
      <c r="IVM614" s="17">
        <v>44925</v>
      </c>
      <c r="IVN614" s="5" t="s">
        <v>3728</v>
      </c>
      <c r="IVO614" s="17">
        <v>44925</v>
      </c>
      <c r="IVP614" s="5" t="s">
        <v>3728</v>
      </c>
      <c r="IVQ614" s="17">
        <v>44925</v>
      </c>
      <c r="IVR614" s="5" t="s">
        <v>3728</v>
      </c>
      <c r="IVS614" s="17">
        <v>44925</v>
      </c>
      <c r="IVT614" s="5" t="s">
        <v>3728</v>
      </c>
      <c r="IVU614" s="17">
        <v>44925</v>
      </c>
      <c r="IVV614" s="5" t="s">
        <v>3728</v>
      </c>
      <c r="IVW614" s="17">
        <v>44925</v>
      </c>
      <c r="IVX614" s="5" t="s">
        <v>3728</v>
      </c>
      <c r="IVY614" s="17">
        <v>44925</v>
      </c>
      <c r="IVZ614" s="5" t="s">
        <v>3728</v>
      </c>
      <c r="IWA614" s="17">
        <v>44925</v>
      </c>
      <c r="IWB614" s="5" t="s">
        <v>3728</v>
      </c>
      <c r="IWC614" s="17">
        <v>44925</v>
      </c>
      <c r="IWD614" s="5" t="s">
        <v>3728</v>
      </c>
      <c r="IWE614" s="17">
        <v>44925</v>
      </c>
      <c r="IWF614" s="5" t="s">
        <v>3728</v>
      </c>
      <c r="IWG614" s="17">
        <v>44925</v>
      </c>
      <c r="IWH614" s="5" t="s">
        <v>3728</v>
      </c>
      <c r="IWI614" s="17">
        <v>44925</v>
      </c>
      <c r="IWJ614" s="5" t="s">
        <v>3728</v>
      </c>
      <c r="IWK614" s="17">
        <v>44925</v>
      </c>
      <c r="IWL614" s="5" t="s">
        <v>3728</v>
      </c>
      <c r="IWM614" s="17">
        <v>44925</v>
      </c>
      <c r="IWN614" s="5" t="s">
        <v>3728</v>
      </c>
      <c r="IWO614" s="17">
        <v>44925</v>
      </c>
      <c r="IWP614" s="5" t="s">
        <v>3728</v>
      </c>
      <c r="IWQ614" s="17">
        <v>44925</v>
      </c>
      <c r="IWR614" s="5" t="s">
        <v>3728</v>
      </c>
      <c r="IWS614" s="17">
        <v>44925</v>
      </c>
      <c r="IWT614" s="5" t="s">
        <v>3728</v>
      </c>
      <c r="IWU614" s="17">
        <v>44925</v>
      </c>
      <c r="IWV614" s="5" t="s">
        <v>3728</v>
      </c>
      <c r="IWW614" s="17">
        <v>44925</v>
      </c>
      <c r="IWX614" s="5" t="s">
        <v>3728</v>
      </c>
      <c r="IWY614" s="17">
        <v>44925</v>
      </c>
      <c r="IWZ614" s="5" t="s">
        <v>3728</v>
      </c>
      <c r="IXA614" s="17">
        <v>44925</v>
      </c>
      <c r="IXB614" s="5" t="s">
        <v>3728</v>
      </c>
      <c r="IXC614" s="17">
        <v>44925</v>
      </c>
      <c r="IXD614" s="5" t="s">
        <v>3728</v>
      </c>
      <c r="IXE614" s="17">
        <v>44925</v>
      </c>
      <c r="IXF614" s="5" t="s">
        <v>3728</v>
      </c>
      <c r="IXG614" s="17">
        <v>44925</v>
      </c>
      <c r="IXH614" s="5" t="s">
        <v>3728</v>
      </c>
      <c r="IXI614" s="17">
        <v>44925</v>
      </c>
      <c r="IXJ614" s="5" t="s">
        <v>3728</v>
      </c>
      <c r="IXK614" s="17">
        <v>44925</v>
      </c>
      <c r="IXL614" s="5" t="s">
        <v>3728</v>
      </c>
      <c r="IXM614" s="17">
        <v>44925</v>
      </c>
      <c r="IXN614" s="5" t="s">
        <v>3728</v>
      </c>
      <c r="IXO614" s="17">
        <v>44925</v>
      </c>
      <c r="IXP614" s="5" t="s">
        <v>3728</v>
      </c>
      <c r="IXQ614" s="17">
        <v>44925</v>
      </c>
      <c r="IXR614" s="5" t="s">
        <v>3728</v>
      </c>
      <c r="IXS614" s="17">
        <v>44925</v>
      </c>
      <c r="IXT614" s="5" t="s">
        <v>3728</v>
      </c>
      <c r="IXU614" s="17">
        <v>44925</v>
      </c>
      <c r="IXV614" s="5" t="s">
        <v>3728</v>
      </c>
      <c r="IXW614" s="17">
        <v>44925</v>
      </c>
      <c r="IXX614" s="5" t="s">
        <v>3728</v>
      </c>
      <c r="IXY614" s="17">
        <v>44925</v>
      </c>
      <c r="IXZ614" s="5" t="s">
        <v>3728</v>
      </c>
      <c r="IYA614" s="17">
        <v>44925</v>
      </c>
      <c r="IYB614" s="5" t="s">
        <v>3728</v>
      </c>
      <c r="IYC614" s="17">
        <v>44925</v>
      </c>
      <c r="IYD614" s="5" t="s">
        <v>3728</v>
      </c>
      <c r="IYE614" s="17">
        <v>44925</v>
      </c>
      <c r="IYF614" s="5" t="s">
        <v>3728</v>
      </c>
      <c r="IYG614" s="17">
        <v>44925</v>
      </c>
      <c r="IYH614" s="5" t="s">
        <v>3728</v>
      </c>
      <c r="IYI614" s="17">
        <v>44925</v>
      </c>
      <c r="IYJ614" s="5" t="s">
        <v>3728</v>
      </c>
      <c r="IYK614" s="17">
        <v>44925</v>
      </c>
      <c r="IYL614" s="5" t="s">
        <v>3728</v>
      </c>
      <c r="IYM614" s="17">
        <v>44925</v>
      </c>
      <c r="IYN614" s="5" t="s">
        <v>3728</v>
      </c>
      <c r="IYO614" s="17">
        <v>44925</v>
      </c>
      <c r="IYP614" s="5" t="s">
        <v>3728</v>
      </c>
      <c r="IYQ614" s="17">
        <v>44925</v>
      </c>
      <c r="IYR614" s="5" t="s">
        <v>3728</v>
      </c>
      <c r="IYS614" s="17">
        <v>44925</v>
      </c>
      <c r="IYT614" s="5" t="s">
        <v>3728</v>
      </c>
      <c r="IYU614" s="17">
        <v>44925</v>
      </c>
      <c r="IYV614" s="5" t="s">
        <v>3728</v>
      </c>
      <c r="IYW614" s="17">
        <v>44925</v>
      </c>
      <c r="IYX614" s="5" t="s">
        <v>3728</v>
      </c>
      <c r="IYY614" s="17">
        <v>44925</v>
      </c>
      <c r="IYZ614" s="5" t="s">
        <v>3728</v>
      </c>
      <c r="IZA614" s="17">
        <v>44925</v>
      </c>
      <c r="IZB614" s="5" t="s">
        <v>3728</v>
      </c>
      <c r="IZC614" s="17">
        <v>44925</v>
      </c>
      <c r="IZD614" s="5" t="s">
        <v>3728</v>
      </c>
      <c r="IZE614" s="17">
        <v>44925</v>
      </c>
      <c r="IZF614" s="5" t="s">
        <v>3728</v>
      </c>
      <c r="IZG614" s="17">
        <v>44925</v>
      </c>
      <c r="IZH614" s="5" t="s">
        <v>3728</v>
      </c>
      <c r="IZI614" s="17">
        <v>44925</v>
      </c>
      <c r="IZJ614" s="5" t="s">
        <v>3728</v>
      </c>
      <c r="IZK614" s="17">
        <v>44925</v>
      </c>
      <c r="IZL614" s="5" t="s">
        <v>3728</v>
      </c>
      <c r="IZM614" s="17">
        <v>44925</v>
      </c>
      <c r="IZN614" s="5" t="s">
        <v>3728</v>
      </c>
      <c r="IZO614" s="17">
        <v>44925</v>
      </c>
      <c r="IZP614" s="5" t="s">
        <v>3728</v>
      </c>
      <c r="IZQ614" s="17">
        <v>44925</v>
      </c>
      <c r="IZR614" s="5" t="s">
        <v>3728</v>
      </c>
      <c r="IZS614" s="17">
        <v>44925</v>
      </c>
      <c r="IZT614" s="5" t="s">
        <v>3728</v>
      </c>
      <c r="IZU614" s="17">
        <v>44925</v>
      </c>
      <c r="IZV614" s="5" t="s">
        <v>3728</v>
      </c>
      <c r="IZW614" s="17">
        <v>44925</v>
      </c>
      <c r="IZX614" s="5" t="s">
        <v>3728</v>
      </c>
      <c r="IZY614" s="17">
        <v>44925</v>
      </c>
      <c r="IZZ614" s="5" t="s">
        <v>3728</v>
      </c>
      <c r="JAA614" s="17">
        <v>44925</v>
      </c>
      <c r="JAB614" s="5" t="s">
        <v>3728</v>
      </c>
      <c r="JAC614" s="17">
        <v>44925</v>
      </c>
      <c r="JAD614" s="5" t="s">
        <v>3728</v>
      </c>
      <c r="JAE614" s="17">
        <v>44925</v>
      </c>
      <c r="JAF614" s="5" t="s">
        <v>3728</v>
      </c>
      <c r="JAG614" s="17">
        <v>44925</v>
      </c>
      <c r="JAH614" s="5" t="s">
        <v>3728</v>
      </c>
      <c r="JAI614" s="17">
        <v>44925</v>
      </c>
      <c r="JAJ614" s="5" t="s">
        <v>3728</v>
      </c>
      <c r="JAK614" s="17">
        <v>44925</v>
      </c>
      <c r="JAL614" s="5" t="s">
        <v>3728</v>
      </c>
      <c r="JAM614" s="17">
        <v>44925</v>
      </c>
      <c r="JAN614" s="5" t="s">
        <v>3728</v>
      </c>
      <c r="JAO614" s="17">
        <v>44925</v>
      </c>
      <c r="JAP614" s="5" t="s">
        <v>3728</v>
      </c>
      <c r="JAQ614" s="17">
        <v>44925</v>
      </c>
      <c r="JAR614" s="5" t="s">
        <v>3728</v>
      </c>
      <c r="JAS614" s="17">
        <v>44925</v>
      </c>
      <c r="JAT614" s="5" t="s">
        <v>3728</v>
      </c>
      <c r="JAU614" s="17">
        <v>44925</v>
      </c>
      <c r="JAV614" s="5" t="s">
        <v>3728</v>
      </c>
      <c r="JAW614" s="17">
        <v>44925</v>
      </c>
      <c r="JAX614" s="5" t="s">
        <v>3728</v>
      </c>
      <c r="JAY614" s="17">
        <v>44925</v>
      </c>
      <c r="JAZ614" s="5" t="s">
        <v>3728</v>
      </c>
      <c r="JBA614" s="17">
        <v>44925</v>
      </c>
      <c r="JBB614" s="5" t="s">
        <v>3728</v>
      </c>
      <c r="JBC614" s="17">
        <v>44925</v>
      </c>
      <c r="JBD614" s="5" t="s">
        <v>3728</v>
      </c>
      <c r="JBE614" s="17">
        <v>44925</v>
      </c>
      <c r="JBF614" s="5" t="s">
        <v>3728</v>
      </c>
      <c r="JBG614" s="17">
        <v>44925</v>
      </c>
      <c r="JBH614" s="5" t="s">
        <v>3728</v>
      </c>
      <c r="JBI614" s="17">
        <v>44925</v>
      </c>
      <c r="JBJ614" s="5" t="s">
        <v>3728</v>
      </c>
      <c r="JBK614" s="17">
        <v>44925</v>
      </c>
      <c r="JBL614" s="5" t="s">
        <v>3728</v>
      </c>
      <c r="JBM614" s="17">
        <v>44925</v>
      </c>
      <c r="JBN614" s="5" t="s">
        <v>3728</v>
      </c>
      <c r="JBO614" s="17">
        <v>44925</v>
      </c>
      <c r="JBP614" s="5" t="s">
        <v>3728</v>
      </c>
      <c r="JBQ614" s="17">
        <v>44925</v>
      </c>
      <c r="JBR614" s="5" t="s">
        <v>3728</v>
      </c>
      <c r="JBS614" s="17">
        <v>44925</v>
      </c>
      <c r="JBT614" s="5" t="s">
        <v>3728</v>
      </c>
      <c r="JBU614" s="17">
        <v>44925</v>
      </c>
      <c r="JBV614" s="5" t="s">
        <v>3728</v>
      </c>
      <c r="JBW614" s="17">
        <v>44925</v>
      </c>
      <c r="JBX614" s="5" t="s">
        <v>3728</v>
      </c>
      <c r="JBY614" s="17">
        <v>44925</v>
      </c>
      <c r="JBZ614" s="5" t="s">
        <v>3728</v>
      </c>
      <c r="JCA614" s="17">
        <v>44925</v>
      </c>
      <c r="JCB614" s="5" t="s">
        <v>3728</v>
      </c>
      <c r="JCC614" s="17">
        <v>44925</v>
      </c>
      <c r="JCD614" s="5" t="s">
        <v>3728</v>
      </c>
      <c r="JCE614" s="17">
        <v>44925</v>
      </c>
      <c r="JCF614" s="5" t="s">
        <v>3728</v>
      </c>
      <c r="JCG614" s="17">
        <v>44925</v>
      </c>
      <c r="JCH614" s="5" t="s">
        <v>3728</v>
      </c>
      <c r="JCI614" s="17">
        <v>44925</v>
      </c>
      <c r="JCJ614" s="5" t="s">
        <v>3728</v>
      </c>
      <c r="JCK614" s="17">
        <v>44925</v>
      </c>
      <c r="JCL614" s="5" t="s">
        <v>3728</v>
      </c>
      <c r="JCM614" s="17">
        <v>44925</v>
      </c>
      <c r="JCN614" s="5" t="s">
        <v>3728</v>
      </c>
      <c r="JCO614" s="17">
        <v>44925</v>
      </c>
      <c r="JCP614" s="5" t="s">
        <v>3728</v>
      </c>
      <c r="JCQ614" s="17">
        <v>44925</v>
      </c>
      <c r="JCR614" s="5" t="s">
        <v>3728</v>
      </c>
      <c r="JCS614" s="17">
        <v>44925</v>
      </c>
      <c r="JCT614" s="5" t="s">
        <v>3728</v>
      </c>
      <c r="JCU614" s="17">
        <v>44925</v>
      </c>
      <c r="JCV614" s="5" t="s">
        <v>3728</v>
      </c>
      <c r="JCW614" s="17">
        <v>44925</v>
      </c>
      <c r="JCX614" s="5" t="s">
        <v>3728</v>
      </c>
      <c r="JCY614" s="17">
        <v>44925</v>
      </c>
      <c r="JCZ614" s="5" t="s">
        <v>3728</v>
      </c>
      <c r="JDA614" s="17">
        <v>44925</v>
      </c>
      <c r="JDB614" s="5" t="s">
        <v>3728</v>
      </c>
      <c r="JDC614" s="17">
        <v>44925</v>
      </c>
      <c r="JDD614" s="5" t="s">
        <v>3728</v>
      </c>
      <c r="JDE614" s="17">
        <v>44925</v>
      </c>
      <c r="JDF614" s="5" t="s">
        <v>3728</v>
      </c>
      <c r="JDG614" s="17">
        <v>44925</v>
      </c>
      <c r="JDH614" s="5" t="s">
        <v>3728</v>
      </c>
      <c r="JDI614" s="17">
        <v>44925</v>
      </c>
      <c r="JDJ614" s="5" t="s">
        <v>3728</v>
      </c>
      <c r="JDK614" s="17">
        <v>44925</v>
      </c>
      <c r="JDL614" s="5" t="s">
        <v>3728</v>
      </c>
      <c r="JDM614" s="17">
        <v>44925</v>
      </c>
      <c r="JDN614" s="5" t="s">
        <v>3728</v>
      </c>
      <c r="JDO614" s="17">
        <v>44925</v>
      </c>
      <c r="JDP614" s="5" t="s">
        <v>3728</v>
      </c>
      <c r="JDQ614" s="17">
        <v>44925</v>
      </c>
      <c r="JDR614" s="5" t="s">
        <v>3728</v>
      </c>
      <c r="JDS614" s="17">
        <v>44925</v>
      </c>
      <c r="JDT614" s="5" t="s">
        <v>3728</v>
      </c>
      <c r="JDU614" s="17">
        <v>44925</v>
      </c>
      <c r="JDV614" s="5" t="s">
        <v>3728</v>
      </c>
      <c r="JDW614" s="17">
        <v>44925</v>
      </c>
      <c r="JDX614" s="5" t="s">
        <v>3728</v>
      </c>
      <c r="JDY614" s="17">
        <v>44925</v>
      </c>
      <c r="JDZ614" s="5" t="s">
        <v>3728</v>
      </c>
      <c r="JEA614" s="17">
        <v>44925</v>
      </c>
      <c r="JEB614" s="5" t="s">
        <v>3728</v>
      </c>
      <c r="JEC614" s="17">
        <v>44925</v>
      </c>
      <c r="JED614" s="5" t="s">
        <v>3728</v>
      </c>
      <c r="JEE614" s="17">
        <v>44925</v>
      </c>
      <c r="JEF614" s="5" t="s">
        <v>3728</v>
      </c>
      <c r="JEG614" s="17">
        <v>44925</v>
      </c>
      <c r="JEH614" s="5" t="s">
        <v>3728</v>
      </c>
      <c r="JEI614" s="17">
        <v>44925</v>
      </c>
      <c r="JEJ614" s="5" t="s">
        <v>3728</v>
      </c>
      <c r="JEK614" s="17">
        <v>44925</v>
      </c>
      <c r="JEL614" s="5" t="s">
        <v>3728</v>
      </c>
      <c r="JEM614" s="17">
        <v>44925</v>
      </c>
      <c r="JEN614" s="5" t="s">
        <v>3728</v>
      </c>
      <c r="JEO614" s="17">
        <v>44925</v>
      </c>
      <c r="JEP614" s="5" t="s">
        <v>3728</v>
      </c>
      <c r="JEQ614" s="17">
        <v>44925</v>
      </c>
      <c r="JER614" s="5" t="s">
        <v>3728</v>
      </c>
      <c r="JES614" s="17">
        <v>44925</v>
      </c>
      <c r="JET614" s="5" t="s">
        <v>3728</v>
      </c>
      <c r="JEU614" s="17">
        <v>44925</v>
      </c>
      <c r="JEV614" s="5" t="s">
        <v>3728</v>
      </c>
      <c r="JEW614" s="17">
        <v>44925</v>
      </c>
      <c r="JEX614" s="5" t="s">
        <v>3728</v>
      </c>
      <c r="JEY614" s="17">
        <v>44925</v>
      </c>
      <c r="JEZ614" s="5" t="s">
        <v>3728</v>
      </c>
      <c r="JFA614" s="17">
        <v>44925</v>
      </c>
      <c r="JFB614" s="5" t="s">
        <v>3728</v>
      </c>
      <c r="JFC614" s="17">
        <v>44925</v>
      </c>
      <c r="JFD614" s="5" t="s">
        <v>3728</v>
      </c>
      <c r="JFE614" s="17">
        <v>44925</v>
      </c>
      <c r="JFF614" s="5" t="s">
        <v>3728</v>
      </c>
      <c r="JFG614" s="17">
        <v>44925</v>
      </c>
      <c r="JFH614" s="5" t="s">
        <v>3728</v>
      </c>
      <c r="JFI614" s="17">
        <v>44925</v>
      </c>
      <c r="JFJ614" s="5" t="s">
        <v>3728</v>
      </c>
      <c r="JFK614" s="17">
        <v>44925</v>
      </c>
      <c r="JFL614" s="5" t="s">
        <v>3728</v>
      </c>
      <c r="JFM614" s="17">
        <v>44925</v>
      </c>
      <c r="JFN614" s="5" t="s">
        <v>3728</v>
      </c>
      <c r="JFO614" s="17">
        <v>44925</v>
      </c>
      <c r="JFP614" s="5" t="s">
        <v>3728</v>
      </c>
      <c r="JFQ614" s="17">
        <v>44925</v>
      </c>
      <c r="JFR614" s="5" t="s">
        <v>3728</v>
      </c>
      <c r="JFS614" s="17">
        <v>44925</v>
      </c>
      <c r="JFT614" s="5" t="s">
        <v>3728</v>
      </c>
      <c r="JFU614" s="17">
        <v>44925</v>
      </c>
      <c r="JFV614" s="5" t="s">
        <v>3728</v>
      </c>
      <c r="JFW614" s="17">
        <v>44925</v>
      </c>
      <c r="JFX614" s="5" t="s">
        <v>3728</v>
      </c>
      <c r="JFY614" s="17">
        <v>44925</v>
      </c>
      <c r="JFZ614" s="5" t="s">
        <v>3728</v>
      </c>
      <c r="JGA614" s="17">
        <v>44925</v>
      </c>
      <c r="JGB614" s="5" t="s">
        <v>3728</v>
      </c>
      <c r="JGC614" s="17">
        <v>44925</v>
      </c>
      <c r="JGD614" s="5" t="s">
        <v>3728</v>
      </c>
      <c r="JGE614" s="17">
        <v>44925</v>
      </c>
      <c r="JGF614" s="5" t="s">
        <v>3728</v>
      </c>
      <c r="JGG614" s="17">
        <v>44925</v>
      </c>
      <c r="JGH614" s="5" t="s">
        <v>3728</v>
      </c>
      <c r="JGI614" s="17">
        <v>44925</v>
      </c>
      <c r="JGJ614" s="5" t="s">
        <v>3728</v>
      </c>
      <c r="JGK614" s="17">
        <v>44925</v>
      </c>
      <c r="JGL614" s="5" t="s">
        <v>3728</v>
      </c>
      <c r="JGM614" s="17">
        <v>44925</v>
      </c>
      <c r="JGN614" s="5" t="s">
        <v>3728</v>
      </c>
      <c r="JGO614" s="17">
        <v>44925</v>
      </c>
      <c r="JGP614" s="5" t="s">
        <v>3728</v>
      </c>
      <c r="JGQ614" s="17">
        <v>44925</v>
      </c>
      <c r="JGR614" s="5" t="s">
        <v>3728</v>
      </c>
      <c r="JGS614" s="17">
        <v>44925</v>
      </c>
      <c r="JGT614" s="5" t="s">
        <v>3728</v>
      </c>
      <c r="JGU614" s="17">
        <v>44925</v>
      </c>
      <c r="JGV614" s="5" t="s">
        <v>3728</v>
      </c>
      <c r="JGW614" s="17">
        <v>44925</v>
      </c>
      <c r="JGX614" s="5" t="s">
        <v>3728</v>
      </c>
      <c r="JGY614" s="17">
        <v>44925</v>
      </c>
      <c r="JGZ614" s="5" t="s">
        <v>3728</v>
      </c>
      <c r="JHA614" s="17">
        <v>44925</v>
      </c>
      <c r="JHB614" s="5" t="s">
        <v>3728</v>
      </c>
      <c r="JHC614" s="17">
        <v>44925</v>
      </c>
      <c r="JHD614" s="5" t="s">
        <v>3728</v>
      </c>
      <c r="JHE614" s="17">
        <v>44925</v>
      </c>
      <c r="JHF614" s="5" t="s">
        <v>3728</v>
      </c>
      <c r="JHG614" s="17">
        <v>44925</v>
      </c>
      <c r="JHH614" s="5" t="s">
        <v>3728</v>
      </c>
      <c r="JHI614" s="17">
        <v>44925</v>
      </c>
      <c r="JHJ614" s="5" t="s">
        <v>3728</v>
      </c>
      <c r="JHK614" s="17">
        <v>44925</v>
      </c>
      <c r="JHL614" s="5" t="s">
        <v>3728</v>
      </c>
      <c r="JHM614" s="17">
        <v>44925</v>
      </c>
      <c r="JHN614" s="5" t="s">
        <v>3728</v>
      </c>
      <c r="JHO614" s="17">
        <v>44925</v>
      </c>
      <c r="JHP614" s="5" t="s">
        <v>3728</v>
      </c>
      <c r="JHQ614" s="17">
        <v>44925</v>
      </c>
      <c r="JHR614" s="5" t="s">
        <v>3728</v>
      </c>
      <c r="JHS614" s="17">
        <v>44925</v>
      </c>
      <c r="JHT614" s="5" t="s">
        <v>3728</v>
      </c>
      <c r="JHU614" s="17">
        <v>44925</v>
      </c>
      <c r="JHV614" s="5" t="s">
        <v>3728</v>
      </c>
      <c r="JHW614" s="17">
        <v>44925</v>
      </c>
      <c r="JHX614" s="5" t="s">
        <v>3728</v>
      </c>
      <c r="JHY614" s="17">
        <v>44925</v>
      </c>
      <c r="JHZ614" s="5" t="s">
        <v>3728</v>
      </c>
      <c r="JIA614" s="17">
        <v>44925</v>
      </c>
      <c r="JIB614" s="5" t="s">
        <v>3728</v>
      </c>
      <c r="JIC614" s="17">
        <v>44925</v>
      </c>
      <c r="JID614" s="5" t="s">
        <v>3728</v>
      </c>
      <c r="JIE614" s="17">
        <v>44925</v>
      </c>
      <c r="JIF614" s="5" t="s">
        <v>3728</v>
      </c>
      <c r="JIG614" s="17">
        <v>44925</v>
      </c>
      <c r="JIH614" s="5" t="s">
        <v>3728</v>
      </c>
      <c r="JII614" s="17">
        <v>44925</v>
      </c>
      <c r="JIJ614" s="5" t="s">
        <v>3728</v>
      </c>
      <c r="JIK614" s="17">
        <v>44925</v>
      </c>
      <c r="JIL614" s="5" t="s">
        <v>3728</v>
      </c>
      <c r="JIM614" s="17">
        <v>44925</v>
      </c>
      <c r="JIN614" s="5" t="s">
        <v>3728</v>
      </c>
      <c r="JIO614" s="17">
        <v>44925</v>
      </c>
      <c r="JIP614" s="5" t="s">
        <v>3728</v>
      </c>
      <c r="JIQ614" s="17">
        <v>44925</v>
      </c>
      <c r="JIR614" s="5" t="s">
        <v>3728</v>
      </c>
      <c r="JIS614" s="17">
        <v>44925</v>
      </c>
      <c r="JIT614" s="5" t="s">
        <v>3728</v>
      </c>
      <c r="JIU614" s="17">
        <v>44925</v>
      </c>
      <c r="JIV614" s="5" t="s">
        <v>3728</v>
      </c>
      <c r="JIW614" s="17">
        <v>44925</v>
      </c>
      <c r="JIX614" s="5" t="s">
        <v>3728</v>
      </c>
      <c r="JIY614" s="17">
        <v>44925</v>
      </c>
      <c r="JIZ614" s="5" t="s">
        <v>3728</v>
      </c>
      <c r="JJA614" s="17">
        <v>44925</v>
      </c>
      <c r="JJB614" s="5" t="s">
        <v>3728</v>
      </c>
      <c r="JJC614" s="17">
        <v>44925</v>
      </c>
      <c r="JJD614" s="5" t="s">
        <v>3728</v>
      </c>
      <c r="JJE614" s="17">
        <v>44925</v>
      </c>
      <c r="JJF614" s="5" t="s">
        <v>3728</v>
      </c>
      <c r="JJG614" s="17">
        <v>44925</v>
      </c>
      <c r="JJH614" s="5" t="s">
        <v>3728</v>
      </c>
      <c r="JJI614" s="17">
        <v>44925</v>
      </c>
      <c r="JJJ614" s="5" t="s">
        <v>3728</v>
      </c>
      <c r="JJK614" s="17">
        <v>44925</v>
      </c>
      <c r="JJL614" s="5" t="s">
        <v>3728</v>
      </c>
      <c r="JJM614" s="17">
        <v>44925</v>
      </c>
      <c r="JJN614" s="5" t="s">
        <v>3728</v>
      </c>
      <c r="JJO614" s="17">
        <v>44925</v>
      </c>
      <c r="JJP614" s="5" t="s">
        <v>3728</v>
      </c>
      <c r="JJQ614" s="17">
        <v>44925</v>
      </c>
      <c r="JJR614" s="5" t="s">
        <v>3728</v>
      </c>
      <c r="JJS614" s="17">
        <v>44925</v>
      </c>
      <c r="JJT614" s="5" t="s">
        <v>3728</v>
      </c>
      <c r="JJU614" s="17">
        <v>44925</v>
      </c>
      <c r="JJV614" s="5" t="s">
        <v>3728</v>
      </c>
      <c r="JJW614" s="17">
        <v>44925</v>
      </c>
      <c r="JJX614" s="5" t="s">
        <v>3728</v>
      </c>
      <c r="JJY614" s="17">
        <v>44925</v>
      </c>
      <c r="JJZ614" s="5" t="s">
        <v>3728</v>
      </c>
      <c r="JKA614" s="17">
        <v>44925</v>
      </c>
      <c r="JKB614" s="5" t="s">
        <v>3728</v>
      </c>
      <c r="JKC614" s="17">
        <v>44925</v>
      </c>
      <c r="JKD614" s="5" t="s">
        <v>3728</v>
      </c>
      <c r="JKE614" s="17">
        <v>44925</v>
      </c>
      <c r="JKF614" s="5" t="s">
        <v>3728</v>
      </c>
      <c r="JKG614" s="17">
        <v>44925</v>
      </c>
      <c r="JKH614" s="5" t="s">
        <v>3728</v>
      </c>
      <c r="JKI614" s="17">
        <v>44925</v>
      </c>
      <c r="JKJ614" s="5" t="s">
        <v>3728</v>
      </c>
      <c r="JKK614" s="17">
        <v>44925</v>
      </c>
      <c r="JKL614" s="5" t="s">
        <v>3728</v>
      </c>
      <c r="JKM614" s="17">
        <v>44925</v>
      </c>
      <c r="JKN614" s="5" t="s">
        <v>3728</v>
      </c>
      <c r="JKO614" s="17">
        <v>44925</v>
      </c>
      <c r="JKP614" s="5" t="s">
        <v>3728</v>
      </c>
      <c r="JKQ614" s="17">
        <v>44925</v>
      </c>
      <c r="JKR614" s="5" t="s">
        <v>3728</v>
      </c>
      <c r="JKS614" s="17">
        <v>44925</v>
      </c>
      <c r="JKT614" s="5" t="s">
        <v>3728</v>
      </c>
      <c r="JKU614" s="17">
        <v>44925</v>
      </c>
      <c r="JKV614" s="5" t="s">
        <v>3728</v>
      </c>
      <c r="JKW614" s="17">
        <v>44925</v>
      </c>
      <c r="JKX614" s="5" t="s">
        <v>3728</v>
      </c>
      <c r="JKY614" s="17">
        <v>44925</v>
      </c>
      <c r="JKZ614" s="5" t="s">
        <v>3728</v>
      </c>
      <c r="JLA614" s="17">
        <v>44925</v>
      </c>
      <c r="JLB614" s="5" t="s">
        <v>3728</v>
      </c>
      <c r="JLC614" s="17">
        <v>44925</v>
      </c>
      <c r="JLD614" s="5" t="s">
        <v>3728</v>
      </c>
      <c r="JLE614" s="17">
        <v>44925</v>
      </c>
      <c r="JLF614" s="5" t="s">
        <v>3728</v>
      </c>
      <c r="JLG614" s="17">
        <v>44925</v>
      </c>
      <c r="JLH614" s="5" t="s">
        <v>3728</v>
      </c>
      <c r="JLI614" s="17">
        <v>44925</v>
      </c>
      <c r="JLJ614" s="5" t="s">
        <v>3728</v>
      </c>
      <c r="JLK614" s="17">
        <v>44925</v>
      </c>
      <c r="JLL614" s="5" t="s">
        <v>3728</v>
      </c>
      <c r="JLM614" s="17">
        <v>44925</v>
      </c>
      <c r="JLN614" s="5" t="s">
        <v>3728</v>
      </c>
      <c r="JLO614" s="17">
        <v>44925</v>
      </c>
      <c r="JLP614" s="5" t="s">
        <v>3728</v>
      </c>
      <c r="JLQ614" s="17">
        <v>44925</v>
      </c>
      <c r="JLR614" s="5" t="s">
        <v>3728</v>
      </c>
      <c r="JLS614" s="17">
        <v>44925</v>
      </c>
      <c r="JLT614" s="5" t="s">
        <v>3728</v>
      </c>
      <c r="JLU614" s="17">
        <v>44925</v>
      </c>
      <c r="JLV614" s="5" t="s">
        <v>3728</v>
      </c>
      <c r="JLW614" s="17">
        <v>44925</v>
      </c>
      <c r="JLX614" s="5" t="s">
        <v>3728</v>
      </c>
      <c r="JLY614" s="17">
        <v>44925</v>
      </c>
      <c r="JLZ614" s="5" t="s">
        <v>3728</v>
      </c>
      <c r="JMA614" s="17">
        <v>44925</v>
      </c>
      <c r="JMB614" s="5" t="s">
        <v>3728</v>
      </c>
      <c r="JMC614" s="17">
        <v>44925</v>
      </c>
      <c r="JMD614" s="5" t="s">
        <v>3728</v>
      </c>
      <c r="JME614" s="17">
        <v>44925</v>
      </c>
      <c r="JMF614" s="5" t="s">
        <v>3728</v>
      </c>
      <c r="JMG614" s="17">
        <v>44925</v>
      </c>
      <c r="JMH614" s="5" t="s">
        <v>3728</v>
      </c>
      <c r="JMI614" s="17">
        <v>44925</v>
      </c>
      <c r="JMJ614" s="5" t="s">
        <v>3728</v>
      </c>
      <c r="JMK614" s="17">
        <v>44925</v>
      </c>
      <c r="JML614" s="5" t="s">
        <v>3728</v>
      </c>
      <c r="JMM614" s="17">
        <v>44925</v>
      </c>
      <c r="JMN614" s="5" t="s">
        <v>3728</v>
      </c>
      <c r="JMO614" s="17">
        <v>44925</v>
      </c>
      <c r="JMP614" s="5" t="s">
        <v>3728</v>
      </c>
      <c r="JMQ614" s="17">
        <v>44925</v>
      </c>
      <c r="JMR614" s="5" t="s">
        <v>3728</v>
      </c>
      <c r="JMS614" s="17">
        <v>44925</v>
      </c>
      <c r="JMT614" s="5" t="s">
        <v>3728</v>
      </c>
      <c r="JMU614" s="17">
        <v>44925</v>
      </c>
      <c r="JMV614" s="5" t="s">
        <v>3728</v>
      </c>
      <c r="JMW614" s="17">
        <v>44925</v>
      </c>
      <c r="JMX614" s="5" t="s">
        <v>3728</v>
      </c>
      <c r="JMY614" s="17">
        <v>44925</v>
      </c>
      <c r="JMZ614" s="5" t="s">
        <v>3728</v>
      </c>
      <c r="JNA614" s="17">
        <v>44925</v>
      </c>
      <c r="JNB614" s="5" t="s">
        <v>3728</v>
      </c>
      <c r="JNC614" s="17">
        <v>44925</v>
      </c>
      <c r="JND614" s="5" t="s">
        <v>3728</v>
      </c>
      <c r="JNE614" s="17">
        <v>44925</v>
      </c>
      <c r="JNF614" s="5" t="s">
        <v>3728</v>
      </c>
      <c r="JNG614" s="17">
        <v>44925</v>
      </c>
      <c r="JNH614" s="5" t="s">
        <v>3728</v>
      </c>
      <c r="JNI614" s="17">
        <v>44925</v>
      </c>
      <c r="JNJ614" s="5" t="s">
        <v>3728</v>
      </c>
      <c r="JNK614" s="17">
        <v>44925</v>
      </c>
      <c r="JNL614" s="5" t="s">
        <v>3728</v>
      </c>
      <c r="JNM614" s="17">
        <v>44925</v>
      </c>
      <c r="JNN614" s="5" t="s">
        <v>3728</v>
      </c>
      <c r="JNO614" s="17">
        <v>44925</v>
      </c>
      <c r="JNP614" s="5" t="s">
        <v>3728</v>
      </c>
      <c r="JNQ614" s="17">
        <v>44925</v>
      </c>
      <c r="JNR614" s="5" t="s">
        <v>3728</v>
      </c>
      <c r="JNS614" s="17">
        <v>44925</v>
      </c>
      <c r="JNT614" s="5" t="s">
        <v>3728</v>
      </c>
      <c r="JNU614" s="17">
        <v>44925</v>
      </c>
      <c r="JNV614" s="5" t="s">
        <v>3728</v>
      </c>
      <c r="JNW614" s="17">
        <v>44925</v>
      </c>
      <c r="JNX614" s="5" t="s">
        <v>3728</v>
      </c>
      <c r="JNY614" s="17">
        <v>44925</v>
      </c>
      <c r="JNZ614" s="5" t="s">
        <v>3728</v>
      </c>
      <c r="JOA614" s="17">
        <v>44925</v>
      </c>
      <c r="JOB614" s="5" t="s">
        <v>3728</v>
      </c>
      <c r="JOC614" s="17">
        <v>44925</v>
      </c>
      <c r="JOD614" s="5" t="s">
        <v>3728</v>
      </c>
      <c r="JOE614" s="17">
        <v>44925</v>
      </c>
      <c r="JOF614" s="5" t="s">
        <v>3728</v>
      </c>
      <c r="JOG614" s="17">
        <v>44925</v>
      </c>
      <c r="JOH614" s="5" t="s">
        <v>3728</v>
      </c>
      <c r="JOI614" s="17">
        <v>44925</v>
      </c>
      <c r="JOJ614" s="5" t="s">
        <v>3728</v>
      </c>
      <c r="JOK614" s="17">
        <v>44925</v>
      </c>
      <c r="JOL614" s="5" t="s">
        <v>3728</v>
      </c>
      <c r="JOM614" s="17">
        <v>44925</v>
      </c>
      <c r="JON614" s="5" t="s">
        <v>3728</v>
      </c>
      <c r="JOO614" s="17">
        <v>44925</v>
      </c>
      <c r="JOP614" s="5" t="s">
        <v>3728</v>
      </c>
      <c r="JOQ614" s="17">
        <v>44925</v>
      </c>
      <c r="JOR614" s="5" t="s">
        <v>3728</v>
      </c>
      <c r="JOS614" s="17">
        <v>44925</v>
      </c>
      <c r="JOT614" s="5" t="s">
        <v>3728</v>
      </c>
      <c r="JOU614" s="17">
        <v>44925</v>
      </c>
      <c r="JOV614" s="5" t="s">
        <v>3728</v>
      </c>
      <c r="JOW614" s="17">
        <v>44925</v>
      </c>
      <c r="JOX614" s="5" t="s">
        <v>3728</v>
      </c>
      <c r="JOY614" s="17">
        <v>44925</v>
      </c>
      <c r="JOZ614" s="5" t="s">
        <v>3728</v>
      </c>
      <c r="JPA614" s="17">
        <v>44925</v>
      </c>
      <c r="JPB614" s="5" t="s">
        <v>3728</v>
      </c>
      <c r="JPC614" s="17">
        <v>44925</v>
      </c>
      <c r="JPD614" s="5" t="s">
        <v>3728</v>
      </c>
      <c r="JPE614" s="17">
        <v>44925</v>
      </c>
      <c r="JPF614" s="5" t="s">
        <v>3728</v>
      </c>
      <c r="JPG614" s="17">
        <v>44925</v>
      </c>
      <c r="JPH614" s="5" t="s">
        <v>3728</v>
      </c>
      <c r="JPI614" s="17">
        <v>44925</v>
      </c>
      <c r="JPJ614" s="5" t="s">
        <v>3728</v>
      </c>
      <c r="JPK614" s="17">
        <v>44925</v>
      </c>
      <c r="JPL614" s="5" t="s">
        <v>3728</v>
      </c>
      <c r="JPM614" s="17">
        <v>44925</v>
      </c>
      <c r="JPN614" s="5" t="s">
        <v>3728</v>
      </c>
      <c r="JPO614" s="17">
        <v>44925</v>
      </c>
      <c r="JPP614" s="5" t="s">
        <v>3728</v>
      </c>
      <c r="JPQ614" s="17">
        <v>44925</v>
      </c>
      <c r="JPR614" s="5" t="s">
        <v>3728</v>
      </c>
      <c r="JPS614" s="17">
        <v>44925</v>
      </c>
      <c r="JPT614" s="5" t="s">
        <v>3728</v>
      </c>
      <c r="JPU614" s="17">
        <v>44925</v>
      </c>
      <c r="JPV614" s="5" t="s">
        <v>3728</v>
      </c>
      <c r="JPW614" s="17">
        <v>44925</v>
      </c>
      <c r="JPX614" s="5" t="s">
        <v>3728</v>
      </c>
      <c r="JPY614" s="17">
        <v>44925</v>
      </c>
      <c r="JPZ614" s="5" t="s">
        <v>3728</v>
      </c>
      <c r="JQA614" s="17">
        <v>44925</v>
      </c>
      <c r="JQB614" s="5" t="s">
        <v>3728</v>
      </c>
      <c r="JQC614" s="17">
        <v>44925</v>
      </c>
      <c r="JQD614" s="5" t="s">
        <v>3728</v>
      </c>
      <c r="JQE614" s="17">
        <v>44925</v>
      </c>
      <c r="JQF614" s="5" t="s">
        <v>3728</v>
      </c>
      <c r="JQG614" s="17">
        <v>44925</v>
      </c>
      <c r="JQH614" s="5" t="s">
        <v>3728</v>
      </c>
      <c r="JQI614" s="17">
        <v>44925</v>
      </c>
      <c r="JQJ614" s="5" t="s">
        <v>3728</v>
      </c>
      <c r="JQK614" s="17">
        <v>44925</v>
      </c>
      <c r="JQL614" s="5" t="s">
        <v>3728</v>
      </c>
      <c r="JQM614" s="17">
        <v>44925</v>
      </c>
      <c r="JQN614" s="5" t="s">
        <v>3728</v>
      </c>
      <c r="JQO614" s="17">
        <v>44925</v>
      </c>
      <c r="JQP614" s="5" t="s">
        <v>3728</v>
      </c>
      <c r="JQQ614" s="17">
        <v>44925</v>
      </c>
      <c r="JQR614" s="5" t="s">
        <v>3728</v>
      </c>
      <c r="JQS614" s="17">
        <v>44925</v>
      </c>
      <c r="JQT614" s="5" t="s">
        <v>3728</v>
      </c>
      <c r="JQU614" s="17">
        <v>44925</v>
      </c>
      <c r="JQV614" s="5" t="s">
        <v>3728</v>
      </c>
      <c r="JQW614" s="17">
        <v>44925</v>
      </c>
      <c r="JQX614" s="5" t="s">
        <v>3728</v>
      </c>
      <c r="JQY614" s="17">
        <v>44925</v>
      </c>
      <c r="JQZ614" s="5" t="s">
        <v>3728</v>
      </c>
      <c r="JRA614" s="17">
        <v>44925</v>
      </c>
      <c r="JRB614" s="5" t="s">
        <v>3728</v>
      </c>
      <c r="JRC614" s="17">
        <v>44925</v>
      </c>
      <c r="JRD614" s="5" t="s">
        <v>3728</v>
      </c>
      <c r="JRE614" s="17">
        <v>44925</v>
      </c>
      <c r="JRF614" s="5" t="s">
        <v>3728</v>
      </c>
      <c r="JRG614" s="17">
        <v>44925</v>
      </c>
      <c r="JRH614" s="5" t="s">
        <v>3728</v>
      </c>
      <c r="JRI614" s="17">
        <v>44925</v>
      </c>
      <c r="JRJ614" s="5" t="s">
        <v>3728</v>
      </c>
      <c r="JRK614" s="17">
        <v>44925</v>
      </c>
      <c r="JRL614" s="5" t="s">
        <v>3728</v>
      </c>
      <c r="JRM614" s="17">
        <v>44925</v>
      </c>
      <c r="JRN614" s="5" t="s">
        <v>3728</v>
      </c>
      <c r="JRO614" s="17">
        <v>44925</v>
      </c>
      <c r="JRP614" s="5" t="s">
        <v>3728</v>
      </c>
      <c r="JRQ614" s="17">
        <v>44925</v>
      </c>
      <c r="JRR614" s="5" t="s">
        <v>3728</v>
      </c>
      <c r="JRS614" s="17">
        <v>44925</v>
      </c>
      <c r="JRT614" s="5" t="s">
        <v>3728</v>
      </c>
      <c r="JRU614" s="17">
        <v>44925</v>
      </c>
      <c r="JRV614" s="5" t="s">
        <v>3728</v>
      </c>
      <c r="JRW614" s="17">
        <v>44925</v>
      </c>
      <c r="JRX614" s="5" t="s">
        <v>3728</v>
      </c>
      <c r="JRY614" s="17">
        <v>44925</v>
      </c>
      <c r="JRZ614" s="5" t="s">
        <v>3728</v>
      </c>
      <c r="JSA614" s="17">
        <v>44925</v>
      </c>
      <c r="JSB614" s="5" t="s">
        <v>3728</v>
      </c>
      <c r="JSC614" s="17">
        <v>44925</v>
      </c>
      <c r="JSD614" s="5" t="s">
        <v>3728</v>
      </c>
      <c r="JSE614" s="17">
        <v>44925</v>
      </c>
      <c r="JSF614" s="5" t="s">
        <v>3728</v>
      </c>
      <c r="JSG614" s="17">
        <v>44925</v>
      </c>
      <c r="JSH614" s="5" t="s">
        <v>3728</v>
      </c>
      <c r="JSI614" s="17">
        <v>44925</v>
      </c>
      <c r="JSJ614" s="5" t="s">
        <v>3728</v>
      </c>
      <c r="JSK614" s="17">
        <v>44925</v>
      </c>
      <c r="JSL614" s="5" t="s">
        <v>3728</v>
      </c>
      <c r="JSM614" s="17">
        <v>44925</v>
      </c>
      <c r="JSN614" s="5" t="s">
        <v>3728</v>
      </c>
      <c r="JSO614" s="17">
        <v>44925</v>
      </c>
      <c r="JSP614" s="5" t="s">
        <v>3728</v>
      </c>
      <c r="JSQ614" s="17">
        <v>44925</v>
      </c>
      <c r="JSR614" s="5" t="s">
        <v>3728</v>
      </c>
      <c r="JSS614" s="17">
        <v>44925</v>
      </c>
      <c r="JST614" s="5" t="s">
        <v>3728</v>
      </c>
      <c r="JSU614" s="17">
        <v>44925</v>
      </c>
      <c r="JSV614" s="5" t="s">
        <v>3728</v>
      </c>
      <c r="JSW614" s="17">
        <v>44925</v>
      </c>
      <c r="JSX614" s="5" t="s">
        <v>3728</v>
      </c>
      <c r="JSY614" s="17">
        <v>44925</v>
      </c>
      <c r="JSZ614" s="5" t="s">
        <v>3728</v>
      </c>
      <c r="JTA614" s="17">
        <v>44925</v>
      </c>
      <c r="JTB614" s="5" t="s">
        <v>3728</v>
      </c>
      <c r="JTC614" s="17">
        <v>44925</v>
      </c>
      <c r="JTD614" s="5" t="s">
        <v>3728</v>
      </c>
      <c r="JTE614" s="17">
        <v>44925</v>
      </c>
      <c r="JTF614" s="5" t="s">
        <v>3728</v>
      </c>
      <c r="JTG614" s="17">
        <v>44925</v>
      </c>
      <c r="JTH614" s="5" t="s">
        <v>3728</v>
      </c>
      <c r="JTI614" s="17">
        <v>44925</v>
      </c>
      <c r="JTJ614" s="5" t="s">
        <v>3728</v>
      </c>
      <c r="JTK614" s="17">
        <v>44925</v>
      </c>
      <c r="JTL614" s="5" t="s">
        <v>3728</v>
      </c>
      <c r="JTM614" s="17">
        <v>44925</v>
      </c>
      <c r="JTN614" s="5" t="s">
        <v>3728</v>
      </c>
      <c r="JTO614" s="17">
        <v>44925</v>
      </c>
      <c r="JTP614" s="5" t="s">
        <v>3728</v>
      </c>
      <c r="JTQ614" s="17">
        <v>44925</v>
      </c>
      <c r="JTR614" s="5" t="s">
        <v>3728</v>
      </c>
      <c r="JTS614" s="17">
        <v>44925</v>
      </c>
      <c r="JTT614" s="5" t="s">
        <v>3728</v>
      </c>
      <c r="JTU614" s="17">
        <v>44925</v>
      </c>
      <c r="JTV614" s="5" t="s">
        <v>3728</v>
      </c>
      <c r="JTW614" s="17">
        <v>44925</v>
      </c>
      <c r="JTX614" s="5" t="s">
        <v>3728</v>
      </c>
      <c r="JTY614" s="17">
        <v>44925</v>
      </c>
      <c r="JTZ614" s="5" t="s">
        <v>3728</v>
      </c>
      <c r="JUA614" s="17">
        <v>44925</v>
      </c>
      <c r="JUB614" s="5" t="s">
        <v>3728</v>
      </c>
      <c r="JUC614" s="17">
        <v>44925</v>
      </c>
      <c r="JUD614" s="5" t="s">
        <v>3728</v>
      </c>
      <c r="JUE614" s="17">
        <v>44925</v>
      </c>
      <c r="JUF614" s="5" t="s">
        <v>3728</v>
      </c>
      <c r="JUG614" s="17">
        <v>44925</v>
      </c>
      <c r="JUH614" s="5" t="s">
        <v>3728</v>
      </c>
      <c r="JUI614" s="17">
        <v>44925</v>
      </c>
      <c r="JUJ614" s="5" t="s">
        <v>3728</v>
      </c>
      <c r="JUK614" s="17">
        <v>44925</v>
      </c>
      <c r="JUL614" s="5" t="s">
        <v>3728</v>
      </c>
      <c r="JUM614" s="17">
        <v>44925</v>
      </c>
      <c r="JUN614" s="5" t="s">
        <v>3728</v>
      </c>
      <c r="JUO614" s="17">
        <v>44925</v>
      </c>
      <c r="JUP614" s="5" t="s">
        <v>3728</v>
      </c>
      <c r="JUQ614" s="17">
        <v>44925</v>
      </c>
      <c r="JUR614" s="5" t="s">
        <v>3728</v>
      </c>
      <c r="JUS614" s="17">
        <v>44925</v>
      </c>
      <c r="JUT614" s="5" t="s">
        <v>3728</v>
      </c>
      <c r="JUU614" s="17">
        <v>44925</v>
      </c>
      <c r="JUV614" s="5" t="s">
        <v>3728</v>
      </c>
      <c r="JUW614" s="17">
        <v>44925</v>
      </c>
      <c r="JUX614" s="5" t="s">
        <v>3728</v>
      </c>
      <c r="JUY614" s="17">
        <v>44925</v>
      </c>
      <c r="JUZ614" s="5" t="s">
        <v>3728</v>
      </c>
      <c r="JVA614" s="17">
        <v>44925</v>
      </c>
      <c r="JVB614" s="5" t="s">
        <v>3728</v>
      </c>
      <c r="JVC614" s="17">
        <v>44925</v>
      </c>
      <c r="JVD614" s="5" t="s">
        <v>3728</v>
      </c>
      <c r="JVE614" s="17">
        <v>44925</v>
      </c>
      <c r="JVF614" s="5" t="s">
        <v>3728</v>
      </c>
      <c r="JVG614" s="17">
        <v>44925</v>
      </c>
      <c r="JVH614" s="5" t="s">
        <v>3728</v>
      </c>
      <c r="JVI614" s="17">
        <v>44925</v>
      </c>
      <c r="JVJ614" s="5" t="s">
        <v>3728</v>
      </c>
      <c r="JVK614" s="17">
        <v>44925</v>
      </c>
      <c r="JVL614" s="5" t="s">
        <v>3728</v>
      </c>
      <c r="JVM614" s="17">
        <v>44925</v>
      </c>
      <c r="JVN614" s="5" t="s">
        <v>3728</v>
      </c>
      <c r="JVO614" s="17">
        <v>44925</v>
      </c>
      <c r="JVP614" s="5" t="s">
        <v>3728</v>
      </c>
      <c r="JVQ614" s="17">
        <v>44925</v>
      </c>
      <c r="JVR614" s="5" t="s">
        <v>3728</v>
      </c>
      <c r="JVS614" s="17">
        <v>44925</v>
      </c>
      <c r="JVT614" s="5" t="s">
        <v>3728</v>
      </c>
      <c r="JVU614" s="17">
        <v>44925</v>
      </c>
      <c r="JVV614" s="5" t="s">
        <v>3728</v>
      </c>
      <c r="JVW614" s="17">
        <v>44925</v>
      </c>
      <c r="JVX614" s="5" t="s">
        <v>3728</v>
      </c>
      <c r="JVY614" s="17">
        <v>44925</v>
      </c>
      <c r="JVZ614" s="5" t="s">
        <v>3728</v>
      </c>
      <c r="JWA614" s="17">
        <v>44925</v>
      </c>
      <c r="JWB614" s="5" t="s">
        <v>3728</v>
      </c>
      <c r="JWC614" s="17">
        <v>44925</v>
      </c>
      <c r="JWD614" s="5" t="s">
        <v>3728</v>
      </c>
      <c r="JWE614" s="17">
        <v>44925</v>
      </c>
      <c r="JWF614" s="5" t="s">
        <v>3728</v>
      </c>
      <c r="JWG614" s="17">
        <v>44925</v>
      </c>
      <c r="JWH614" s="5" t="s">
        <v>3728</v>
      </c>
      <c r="JWI614" s="17">
        <v>44925</v>
      </c>
      <c r="JWJ614" s="5" t="s">
        <v>3728</v>
      </c>
      <c r="JWK614" s="17">
        <v>44925</v>
      </c>
      <c r="JWL614" s="5" t="s">
        <v>3728</v>
      </c>
      <c r="JWM614" s="17">
        <v>44925</v>
      </c>
      <c r="JWN614" s="5" t="s">
        <v>3728</v>
      </c>
      <c r="JWO614" s="17">
        <v>44925</v>
      </c>
      <c r="JWP614" s="5" t="s">
        <v>3728</v>
      </c>
      <c r="JWQ614" s="17">
        <v>44925</v>
      </c>
      <c r="JWR614" s="5" t="s">
        <v>3728</v>
      </c>
      <c r="JWS614" s="17">
        <v>44925</v>
      </c>
      <c r="JWT614" s="5" t="s">
        <v>3728</v>
      </c>
      <c r="JWU614" s="17">
        <v>44925</v>
      </c>
      <c r="JWV614" s="5" t="s">
        <v>3728</v>
      </c>
      <c r="JWW614" s="17">
        <v>44925</v>
      </c>
      <c r="JWX614" s="5" t="s">
        <v>3728</v>
      </c>
      <c r="JWY614" s="17">
        <v>44925</v>
      </c>
      <c r="JWZ614" s="5" t="s">
        <v>3728</v>
      </c>
      <c r="JXA614" s="17">
        <v>44925</v>
      </c>
      <c r="JXB614" s="5" t="s">
        <v>3728</v>
      </c>
      <c r="JXC614" s="17">
        <v>44925</v>
      </c>
      <c r="JXD614" s="5" t="s">
        <v>3728</v>
      </c>
      <c r="JXE614" s="17">
        <v>44925</v>
      </c>
      <c r="JXF614" s="5" t="s">
        <v>3728</v>
      </c>
      <c r="JXG614" s="17">
        <v>44925</v>
      </c>
      <c r="JXH614" s="5" t="s">
        <v>3728</v>
      </c>
      <c r="JXI614" s="17">
        <v>44925</v>
      </c>
      <c r="JXJ614" s="5" t="s">
        <v>3728</v>
      </c>
      <c r="JXK614" s="17">
        <v>44925</v>
      </c>
      <c r="JXL614" s="5" t="s">
        <v>3728</v>
      </c>
      <c r="JXM614" s="17">
        <v>44925</v>
      </c>
      <c r="JXN614" s="5" t="s">
        <v>3728</v>
      </c>
      <c r="JXO614" s="17">
        <v>44925</v>
      </c>
      <c r="JXP614" s="5" t="s">
        <v>3728</v>
      </c>
      <c r="JXQ614" s="17">
        <v>44925</v>
      </c>
      <c r="JXR614" s="5" t="s">
        <v>3728</v>
      </c>
      <c r="JXS614" s="17">
        <v>44925</v>
      </c>
      <c r="JXT614" s="5" t="s">
        <v>3728</v>
      </c>
      <c r="JXU614" s="17">
        <v>44925</v>
      </c>
      <c r="JXV614" s="5" t="s">
        <v>3728</v>
      </c>
      <c r="JXW614" s="17">
        <v>44925</v>
      </c>
      <c r="JXX614" s="5" t="s">
        <v>3728</v>
      </c>
      <c r="JXY614" s="17">
        <v>44925</v>
      </c>
      <c r="JXZ614" s="5" t="s">
        <v>3728</v>
      </c>
      <c r="JYA614" s="17">
        <v>44925</v>
      </c>
      <c r="JYB614" s="5" t="s">
        <v>3728</v>
      </c>
      <c r="JYC614" s="17">
        <v>44925</v>
      </c>
      <c r="JYD614" s="5" t="s">
        <v>3728</v>
      </c>
      <c r="JYE614" s="17">
        <v>44925</v>
      </c>
      <c r="JYF614" s="5" t="s">
        <v>3728</v>
      </c>
      <c r="JYG614" s="17">
        <v>44925</v>
      </c>
      <c r="JYH614" s="5" t="s">
        <v>3728</v>
      </c>
      <c r="JYI614" s="17">
        <v>44925</v>
      </c>
      <c r="JYJ614" s="5" t="s">
        <v>3728</v>
      </c>
      <c r="JYK614" s="17">
        <v>44925</v>
      </c>
      <c r="JYL614" s="5" t="s">
        <v>3728</v>
      </c>
      <c r="JYM614" s="17">
        <v>44925</v>
      </c>
      <c r="JYN614" s="5" t="s">
        <v>3728</v>
      </c>
      <c r="JYO614" s="17">
        <v>44925</v>
      </c>
      <c r="JYP614" s="5" t="s">
        <v>3728</v>
      </c>
      <c r="JYQ614" s="17">
        <v>44925</v>
      </c>
      <c r="JYR614" s="5" t="s">
        <v>3728</v>
      </c>
      <c r="JYS614" s="17">
        <v>44925</v>
      </c>
      <c r="JYT614" s="5" t="s">
        <v>3728</v>
      </c>
      <c r="JYU614" s="17">
        <v>44925</v>
      </c>
      <c r="JYV614" s="5" t="s">
        <v>3728</v>
      </c>
      <c r="JYW614" s="17">
        <v>44925</v>
      </c>
      <c r="JYX614" s="5" t="s">
        <v>3728</v>
      </c>
      <c r="JYY614" s="17">
        <v>44925</v>
      </c>
      <c r="JYZ614" s="5" t="s">
        <v>3728</v>
      </c>
      <c r="JZA614" s="17">
        <v>44925</v>
      </c>
      <c r="JZB614" s="5" t="s">
        <v>3728</v>
      </c>
      <c r="JZC614" s="17">
        <v>44925</v>
      </c>
      <c r="JZD614" s="5" t="s">
        <v>3728</v>
      </c>
      <c r="JZE614" s="17">
        <v>44925</v>
      </c>
      <c r="JZF614" s="5" t="s">
        <v>3728</v>
      </c>
      <c r="JZG614" s="17">
        <v>44925</v>
      </c>
      <c r="JZH614" s="5" t="s">
        <v>3728</v>
      </c>
      <c r="JZI614" s="17">
        <v>44925</v>
      </c>
      <c r="JZJ614" s="5" t="s">
        <v>3728</v>
      </c>
      <c r="JZK614" s="17">
        <v>44925</v>
      </c>
      <c r="JZL614" s="5" t="s">
        <v>3728</v>
      </c>
      <c r="JZM614" s="17">
        <v>44925</v>
      </c>
      <c r="JZN614" s="5" t="s">
        <v>3728</v>
      </c>
      <c r="JZO614" s="17">
        <v>44925</v>
      </c>
      <c r="JZP614" s="5" t="s">
        <v>3728</v>
      </c>
      <c r="JZQ614" s="17">
        <v>44925</v>
      </c>
      <c r="JZR614" s="5" t="s">
        <v>3728</v>
      </c>
      <c r="JZS614" s="17">
        <v>44925</v>
      </c>
      <c r="JZT614" s="5" t="s">
        <v>3728</v>
      </c>
      <c r="JZU614" s="17">
        <v>44925</v>
      </c>
      <c r="JZV614" s="5" t="s">
        <v>3728</v>
      </c>
      <c r="JZW614" s="17">
        <v>44925</v>
      </c>
      <c r="JZX614" s="5" t="s">
        <v>3728</v>
      </c>
      <c r="JZY614" s="17">
        <v>44925</v>
      </c>
      <c r="JZZ614" s="5" t="s">
        <v>3728</v>
      </c>
      <c r="KAA614" s="17">
        <v>44925</v>
      </c>
      <c r="KAB614" s="5" t="s">
        <v>3728</v>
      </c>
      <c r="KAC614" s="17">
        <v>44925</v>
      </c>
      <c r="KAD614" s="5" t="s">
        <v>3728</v>
      </c>
      <c r="KAE614" s="17">
        <v>44925</v>
      </c>
      <c r="KAF614" s="5" t="s">
        <v>3728</v>
      </c>
      <c r="KAG614" s="17">
        <v>44925</v>
      </c>
      <c r="KAH614" s="5" t="s">
        <v>3728</v>
      </c>
      <c r="KAI614" s="17">
        <v>44925</v>
      </c>
      <c r="KAJ614" s="5" t="s">
        <v>3728</v>
      </c>
      <c r="KAK614" s="17">
        <v>44925</v>
      </c>
      <c r="KAL614" s="5" t="s">
        <v>3728</v>
      </c>
      <c r="KAM614" s="17">
        <v>44925</v>
      </c>
      <c r="KAN614" s="5" t="s">
        <v>3728</v>
      </c>
      <c r="KAO614" s="17">
        <v>44925</v>
      </c>
      <c r="KAP614" s="5" t="s">
        <v>3728</v>
      </c>
      <c r="KAQ614" s="17">
        <v>44925</v>
      </c>
      <c r="KAR614" s="5" t="s">
        <v>3728</v>
      </c>
      <c r="KAS614" s="17">
        <v>44925</v>
      </c>
      <c r="KAT614" s="5" t="s">
        <v>3728</v>
      </c>
      <c r="KAU614" s="17">
        <v>44925</v>
      </c>
      <c r="KAV614" s="5" t="s">
        <v>3728</v>
      </c>
      <c r="KAW614" s="17">
        <v>44925</v>
      </c>
      <c r="KAX614" s="5" t="s">
        <v>3728</v>
      </c>
      <c r="KAY614" s="17">
        <v>44925</v>
      </c>
      <c r="KAZ614" s="5" t="s">
        <v>3728</v>
      </c>
      <c r="KBA614" s="17">
        <v>44925</v>
      </c>
      <c r="KBB614" s="5" t="s">
        <v>3728</v>
      </c>
      <c r="KBC614" s="17">
        <v>44925</v>
      </c>
      <c r="KBD614" s="5" t="s">
        <v>3728</v>
      </c>
      <c r="KBE614" s="17">
        <v>44925</v>
      </c>
      <c r="KBF614" s="5" t="s">
        <v>3728</v>
      </c>
      <c r="KBG614" s="17">
        <v>44925</v>
      </c>
      <c r="KBH614" s="5" t="s">
        <v>3728</v>
      </c>
      <c r="KBI614" s="17">
        <v>44925</v>
      </c>
      <c r="KBJ614" s="5" t="s">
        <v>3728</v>
      </c>
      <c r="KBK614" s="17">
        <v>44925</v>
      </c>
      <c r="KBL614" s="5" t="s">
        <v>3728</v>
      </c>
      <c r="KBM614" s="17">
        <v>44925</v>
      </c>
      <c r="KBN614" s="5" t="s">
        <v>3728</v>
      </c>
      <c r="KBO614" s="17">
        <v>44925</v>
      </c>
      <c r="KBP614" s="5" t="s">
        <v>3728</v>
      </c>
      <c r="KBQ614" s="17">
        <v>44925</v>
      </c>
      <c r="KBR614" s="5" t="s">
        <v>3728</v>
      </c>
      <c r="KBS614" s="17">
        <v>44925</v>
      </c>
      <c r="KBT614" s="5" t="s">
        <v>3728</v>
      </c>
      <c r="KBU614" s="17">
        <v>44925</v>
      </c>
      <c r="KBV614" s="5" t="s">
        <v>3728</v>
      </c>
      <c r="KBW614" s="17">
        <v>44925</v>
      </c>
      <c r="KBX614" s="5" t="s">
        <v>3728</v>
      </c>
      <c r="KBY614" s="17">
        <v>44925</v>
      </c>
      <c r="KBZ614" s="5" t="s">
        <v>3728</v>
      </c>
      <c r="KCA614" s="17">
        <v>44925</v>
      </c>
      <c r="KCB614" s="5" t="s">
        <v>3728</v>
      </c>
      <c r="KCC614" s="17">
        <v>44925</v>
      </c>
      <c r="KCD614" s="5" t="s">
        <v>3728</v>
      </c>
      <c r="KCE614" s="17">
        <v>44925</v>
      </c>
      <c r="KCF614" s="5" t="s">
        <v>3728</v>
      </c>
      <c r="KCG614" s="17">
        <v>44925</v>
      </c>
      <c r="KCH614" s="5" t="s">
        <v>3728</v>
      </c>
      <c r="KCI614" s="17">
        <v>44925</v>
      </c>
      <c r="KCJ614" s="5" t="s">
        <v>3728</v>
      </c>
      <c r="KCK614" s="17">
        <v>44925</v>
      </c>
      <c r="KCL614" s="5" t="s">
        <v>3728</v>
      </c>
      <c r="KCM614" s="17">
        <v>44925</v>
      </c>
      <c r="KCN614" s="5" t="s">
        <v>3728</v>
      </c>
      <c r="KCO614" s="17">
        <v>44925</v>
      </c>
      <c r="KCP614" s="5" t="s">
        <v>3728</v>
      </c>
      <c r="KCQ614" s="17">
        <v>44925</v>
      </c>
      <c r="KCR614" s="5" t="s">
        <v>3728</v>
      </c>
      <c r="KCS614" s="17">
        <v>44925</v>
      </c>
      <c r="KCT614" s="5" t="s">
        <v>3728</v>
      </c>
      <c r="KCU614" s="17">
        <v>44925</v>
      </c>
      <c r="KCV614" s="5" t="s">
        <v>3728</v>
      </c>
      <c r="KCW614" s="17">
        <v>44925</v>
      </c>
      <c r="KCX614" s="5" t="s">
        <v>3728</v>
      </c>
      <c r="KCY614" s="17">
        <v>44925</v>
      </c>
      <c r="KCZ614" s="5" t="s">
        <v>3728</v>
      </c>
      <c r="KDA614" s="17">
        <v>44925</v>
      </c>
      <c r="KDB614" s="5" t="s">
        <v>3728</v>
      </c>
      <c r="KDC614" s="17">
        <v>44925</v>
      </c>
      <c r="KDD614" s="5" t="s">
        <v>3728</v>
      </c>
      <c r="KDE614" s="17">
        <v>44925</v>
      </c>
      <c r="KDF614" s="5" t="s">
        <v>3728</v>
      </c>
      <c r="KDG614" s="17">
        <v>44925</v>
      </c>
      <c r="KDH614" s="5" t="s">
        <v>3728</v>
      </c>
      <c r="KDI614" s="17">
        <v>44925</v>
      </c>
      <c r="KDJ614" s="5" t="s">
        <v>3728</v>
      </c>
      <c r="KDK614" s="17">
        <v>44925</v>
      </c>
      <c r="KDL614" s="5" t="s">
        <v>3728</v>
      </c>
      <c r="KDM614" s="17">
        <v>44925</v>
      </c>
      <c r="KDN614" s="5" t="s">
        <v>3728</v>
      </c>
      <c r="KDO614" s="17">
        <v>44925</v>
      </c>
      <c r="KDP614" s="5" t="s">
        <v>3728</v>
      </c>
      <c r="KDQ614" s="17">
        <v>44925</v>
      </c>
      <c r="KDR614" s="5" t="s">
        <v>3728</v>
      </c>
      <c r="KDS614" s="17">
        <v>44925</v>
      </c>
      <c r="KDT614" s="5" t="s">
        <v>3728</v>
      </c>
      <c r="KDU614" s="17">
        <v>44925</v>
      </c>
      <c r="KDV614" s="5" t="s">
        <v>3728</v>
      </c>
      <c r="KDW614" s="17">
        <v>44925</v>
      </c>
      <c r="KDX614" s="5" t="s">
        <v>3728</v>
      </c>
      <c r="KDY614" s="17">
        <v>44925</v>
      </c>
      <c r="KDZ614" s="5" t="s">
        <v>3728</v>
      </c>
      <c r="KEA614" s="17">
        <v>44925</v>
      </c>
      <c r="KEB614" s="5" t="s">
        <v>3728</v>
      </c>
      <c r="KEC614" s="17">
        <v>44925</v>
      </c>
      <c r="KED614" s="5" t="s">
        <v>3728</v>
      </c>
      <c r="KEE614" s="17">
        <v>44925</v>
      </c>
      <c r="KEF614" s="5" t="s">
        <v>3728</v>
      </c>
      <c r="KEG614" s="17">
        <v>44925</v>
      </c>
      <c r="KEH614" s="5" t="s">
        <v>3728</v>
      </c>
      <c r="KEI614" s="17">
        <v>44925</v>
      </c>
      <c r="KEJ614" s="5" t="s">
        <v>3728</v>
      </c>
      <c r="KEK614" s="17">
        <v>44925</v>
      </c>
      <c r="KEL614" s="5" t="s">
        <v>3728</v>
      </c>
      <c r="KEM614" s="17">
        <v>44925</v>
      </c>
      <c r="KEN614" s="5" t="s">
        <v>3728</v>
      </c>
      <c r="KEO614" s="17">
        <v>44925</v>
      </c>
      <c r="KEP614" s="5" t="s">
        <v>3728</v>
      </c>
      <c r="KEQ614" s="17">
        <v>44925</v>
      </c>
      <c r="KER614" s="5" t="s">
        <v>3728</v>
      </c>
      <c r="KES614" s="17">
        <v>44925</v>
      </c>
      <c r="KET614" s="5" t="s">
        <v>3728</v>
      </c>
      <c r="KEU614" s="17">
        <v>44925</v>
      </c>
      <c r="KEV614" s="5" t="s">
        <v>3728</v>
      </c>
      <c r="KEW614" s="17">
        <v>44925</v>
      </c>
      <c r="KEX614" s="5" t="s">
        <v>3728</v>
      </c>
      <c r="KEY614" s="17">
        <v>44925</v>
      </c>
      <c r="KEZ614" s="5" t="s">
        <v>3728</v>
      </c>
      <c r="KFA614" s="17">
        <v>44925</v>
      </c>
      <c r="KFB614" s="5" t="s">
        <v>3728</v>
      </c>
      <c r="KFC614" s="17">
        <v>44925</v>
      </c>
      <c r="KFD614" s="5" t="s">
        <v>3728</v>
      </c>
      <c r="KFE614" s="17">
        <v>44925</v>
      </c>
      <c r="KFF614" s="5" t="s">
        <v>3728</v>
      </c>
      <c r="KFG614" s="17">
        <v>44925</v>
      </c>
      <c r="KFH614" s="5" t="s">
        <v>3728</v>
      </c>
      <c r="KFI614" s="17">
        <v>44925</v>
      </c>
      <c r="KFJ614" s="5" t="s">
        <v>3728</v>
      </c>
      <c r="KFK614" s="17">
        <v>44925</v>
      </c>
      <c r="KFL614" s="5" t="s">
        <v>3728</v>
      </c>
      <c r="KFM614" s="17">
        <v>44925</v>
      </c>
      <c r="KFN614" s="5" t="s">
        <v>3728</v>
      </c>
      <c r="KFO614" s="17">
        <v>44925</v>
      </c>
      <c r="KFP614" s="5" t="s">
        <v>3728</v>
      </c>
      <c r="KFQ614" s="17">
        <v>44925</v>
      </c>
      <c r="KFR614" s="5" t="s">
        <v>3728</v>
      </c>
      <c r="KFS614" s="17">
        <v>44925</v>
      </c>
      <c r="KFT614" s="5" t="s">
        <v>3728</v>
      </c>
      <c r="KFU614" s="17">
        <v>44925</v>
      </c>
      <c r="KFV614" s="5" t="s">
        <v>3728</v>
      </c>
      <c r="KFW614" s="17">
        <v>44925</v>
      </c>
      <c r="KFX614" s="5" t="s">
        <v>3728</v>
      </c>
      <c r="KFY614" s="17">
        <v>44925</v>
      </c>
      <c r="KFZ614" s="5" t="s">
        <v>3728</v>
      </c>
      <c r="KGA614" s="17">
        <v>44925</v>
      </c>
      <c r="KGB614" s="5" t="s">
        <v>3728</v>
      </c>
      <c r="KGC614" s="17">
        <v>44925</v>
      </c>
      <c r="KGD614" s="5" t="s">
        <v>3728</v>
      </c>
      <c r="KGE614" s="17">
        <v>44925</v>
      </c>
      <c r="KGF614" s="5" t="s">
        <v>3728</v>
      </c>
      <c r="KGG614" s="17">
        <v>44925</v>
      </c>
      <c r="KGH614" s="5" t="s">
        <v>3728</v>
      </c>
      <c r="KGI614" s="17">
        <v>44925</v>
      </c>
      <c r="KGJ614" s="5" t="s">
        <v>3728</v>
      </c>
      <c r="KGK614" s="17">
        <v>44925</v>
      </c>
      <c r="KGL614" s="5" t="s">
        <v>3728</v>
      </c>
      <c r="KGM614" s="17">
        <v>44925</v>
      </c>
      <c r="KGN614" s="5" t="s">
        <v>3728</v>
      </c>
      <c r="KGO614" s="17">
        <v>44925</v>
      </c>
      <c r="KGP614" s="5" t="s">
        <v>3728</v>
      </c>
      <c r="KGQ614" s="17">
        <v>44925</v>
      </c>
      <c r="KGR614" s="5" t="s">
        <v>3728</v>
      </c>
      <c r="KGS614" s="17">
        <v>44925</v>
      </c>
      <c r="KGT614" s="5" t="s">
        <v>3728</v>
      </c>
      <c r="KGU614" s="17">
        <v>44925</v>
      </c>
      <c r="KGV614" s="5" t="s">
        <v>3728</v>
      </c>
      <c r="KGW614" s="17">
        <v>44925</v>
      </c>
      <c r="KGX614" s="5" t="s">
        <v>3728</v>
      </c>
      <c r="KGY614" s="17">
        <v>44925</v>
      </c>
      <c r="KGZ614" s="5" t="s">
        <v>3728</v>
      </c>
      <c r="KHA614" s="17">
        <v>44925</v>
      </c>
      <c r="KHB614" s="5" t="s">
        <v>3728</v>
      </c>
      <c r="KHC614" s="17">
        <v>44925</v>
      </c>
      <c r="KHD614" s="5" t="s">
        <v>3728</v>
      </c>
      <c r="KHE614" s="17">
        <v>44925</v>
      </c>
      <c r="KHF614" s="5" t="s">
        <v>3728</v>
      </c>
      <c r="KHG614" s="17">
        <v>44925</v>
      </c>
      <c r="KHH614" s="5" t="s">
        <v>3728</v>
      </c>
      <c r="KHI614" s="17">
        <v>44925</v>
      </c>
      <c r="KHJ614" s="5" t="s">
        <v>3728</v>
      </c>
      <c r="KHK614" s="17">
        <v>44925</v>
      </c>
      <c r="KHL614" s="5" t="s">
        <v>3728</v>
      </c>
      <c r="KHM614" s="17">
        <v>44925</v>
      </c>
      <c r="KHN614" s="5" t="s">
        <v>3728</v>
      </c>
      <c r="KHO614" s="17">
        <v>44925</v>
      </c>
      <c r="KHP614" s="5" t="s">
        <v>3728</v>
      </c>
      <c r="KHQ614" s="17">
        <v>44925</v>
      </c>
      <c r="KHR614" s="5" t="s">
        <v>3728</v>
      </c>
      <c r="KHS614" s="17">
        <v>44925</v>
      </c>
      <c r="KHT614" s="5" t="s">
        <v>3728</v>
      </c>
      <c r="KHU614" s="17">
        <v>44925</v>
      </c>
      <c r="KHV614" s="5" t="s">
        <v>3728</v>
      </c>
      <c r="KHW614" s="17">
        <v>44925</v>
      </c>
      <c r="KHX614" s="5" t="s">
        <v>3728</v>
      </c>
      <c r="KHY614" s="17">
        <v>44925</v>
      </c>
      <c r="KHZ614" s="5" t="s">
        <v>3728</v>
      </c>
      <c r="KIA614" s="17">
        <v>44925</v>
      </c>
      <c r="KIB614" s="5" t="s">
        <v>3728</v>
      </c>
      <c r="KIC614" s="17">
        <v>44925</v>
      </c>
      <c r="KID614" s="5" t="s">
        <v>3728</v>
      </c>
      <c r="KIE614" s="17">
        <v>44925</v>
      </c>
      <c r="KIF614" s="5" t="s">
        <v>3728</v>
      </c>
      <c r="KIG614" s="17">
        <v>44925</v>
      </c>
      <c r="KIH614" s="5" t="s">
        <v>3728</v>
      </c>
      <c r="KII614" s="17">
        <v>44925</v>
      </c>
      <c r="KIJ614" s="5" t="s">
        <v>3728</v>
      </c>
      <c r="KIK614" s="17">
        <v>44925</v>
      </c>
      <c r="KIL614" s="5" t="s">
        <v>3728</v>
      </c>
      <c r="KIM614" s="17">
        <v>44925</v>
      </c>
      <c r="KIN614" s="5" t="s">
        <v>3728</v>
      </c>
      <c r="KIO614" s="17">
        <v>44925</v>
      </c>
      <c r="KIP614" s="5" t="s">
        <v>3728</v>
      </c>
      <c r="KIQ614" s="17">
        <v>44925</v>
      </c>
      <c r="KIR614" s="5" t="s">
        <v>3728</v>
      </c>
      <c r="KIS614" s="17">
        <v>44925</v>
      </c>
      <c r="KIT614" s="5" t="s">
        <v>3728</v>
      </c>
      <c r="KIU614" s="17">
        <v>44925</v>
      </c>
      <c r="KIV614" s="5" t="s">
        <v>3728</v>
      </c>
      <c r="KIW614" s="17">
        <v>44925</v>
      </c>
      <c r="KIX614" s="5" t="s">
        <v>3728</v>
      </c>
      <c r="KIY614" s="17">
        <v>44925</v>
      </c>
      <c r="KIZ614" s="5" t="s">
        <v>3728</v>
      </c>
      <c r="KJA614" s="17">
        <v>44925</v>
      </c>
      <c r="KJB614" s="5" t="s">
        <v>3728</v>
      </c>
      <c r="KJC614" s="17">
        <v>44925</v>
      </c>
      <c r="KJD614" s="5" t="s">
        <v>3728</v>
      </c>
      <c r="KJE614" s="17">
        <v>44925</v>
      </c>
      <c r="KJF614" s="5" t="s">
        <v>3728</v>
      </c>
      <c r="KJG614" s="17">
        <v>44925</v>
      </c>
      <c r="KJH614" s="5" t="s">
        <v>3728</v>
      </c>
      <c r="KJI614" s="17">
        <v>44925</v>
      </c>
      <c r="KJJ614" s="5" t="s">
        <v>3728</v>
      </c>
      <c r="KJK614" s="17">
        <v>44925</v>
      </c>
      <c r="KJL614" s="5" t="s">
        <v>3728</v>
      </c>
      <c r="KJM614" s="17">
        <v>44925</v>
      </c>
      <c r="KJN614" s="5" t="s">
        <v>3728</v>
      </c>
      <c r="KJO614" s="17">
        <v>44925</v>
      </c>
      <c r="KJP614" s="5" t="s">
        <v>3728</v>
      </c>
      <c r="KJQ614" s="17">
        <v>44925</v>
      </c>
      <c r="KJR614" s="5" t="s">
        <v>3728</v>
      </c>
      <c r="KJS614" s="17">
        <v>44925</v>
      </c>
      <c r="KJT614" s="5" t="s">
        <v>3728</v>
      </c>
      <c r="KJU614" s="17">
        <v>44925</v>
      </c>
      <c r="KJV614" s="5" t="s">
        <v>3728</v>
      </c>
      <c r="KJW614" s="17">
        <v>44925</v>
      </c>
      <c r="KJX614" s="5" t="s">
        <v>3728</v>
      </c>
      <c r="KJY614" s="17">
        <v>44925</v>
      </c>
      <c r="KJZ614" s="5" t="s">
        <v>3728</v>
      </c>
      <c r="KKA614" s="17">
        <v>44925</v>
      </c>
      <c r="KKB614" s="5" t="s">
        <v>3728</v>
      </c>
      <c r="KKC614" s="17">
        <v>44925</v>
      </c>
      <c r="KKD614" s="5" t="s">
        <v>3728</v>
      </c>
      <c r="KKE614" s="17">
        <v>44925</v>
      </c>
      <c r="KKF614" s="5" t="s">
        <v>3728</v>
      </c>
      <c r="KKG614" s="17">
        <v>44925</v>
      </c>
      <c r="KKH614" s="5" t="s">
        <v>3728</v>
      </c>
      <c r="KKI614" s="17">
        <v>44925</v>
      </c>
      <c r="KKJ614" s="5" t="s">
        <v>3728</v>
      </c>
      <c r="KKK614" s="17">
        <v>44925</v>
      </c>
      <c r="KKL614" s="5" t="s">
        <v>3728</v>
      </c>
      <c r="KKM614" s="17">
        <v>44925</v>
      </c>
      <c r="KKN614" s="5" t="s">
        <v>3728</v>
      </c>
      <c r="KKO614" s="17">
        <v>44925</v>
      </c>
      <c r="KKP614" s="5" t="s">
        <v>3728</v>
      </c>
      <c r="KKQ614" s="17">
        <v>44925</v>
      </c>
      <c r="KKR614" s="5" t="s">
        <v>3728</v>
      </c>
      <c r="KKS614" s="17">
        <v>44925</v>
      </c>
      <c r="KKT614" s="5" t="s">
        <v>3728</v>
      </c>
      <c r="KKU614" s="17">
        <v>44925</v>
      </c>
      <c r="KKV614" s="5" t="s">
        <v>3728</v>
      </c>
      <c r="KKW614" s="17">
        <v>44925</v>
      </c>
      <c r="KKX614" s="5" t="s">
        <v>3728</v>
      </c>
      <c r="KKY614" s="17">
        <v>44925</v>
      </c>
      <c r="KKZ614" s="5" t="s">
        <v>3728</v>
      </c>
      <c r="KLA614" s="17">
        <v>44925</v>
      </c>
      <c r="KLB614" s="5" t="s">
        <v>3728</v>
      </c>
      <c r="KLC614" s="17">
        <v>44925</v>
      </c>
      <c r="KLD614" s="5" t="s">
        <v>3728</v>
      </c>
      <c r="KLE614" s="17">
        <v>44925</v>
      </c>
      <c r="KLF614" s="5" t="s">
        <v>3728</v>
      </c>
      <c r="KLG614" s="17">
        <v>44925</v>
      </c>
      <c r="KLH614" s="5" t="s">
        <v>3728</v>
      </c>
      <c r="KLI614" s="17">
        <v>44925</v>
      </c>
      <c r="KLJ614" s="5" t="s">
        <v>3728</v>
      </c>
      <c r="KLK614" s="17">
        <v>44925</v>
      </c>
      <c r="KLL614" s="5" t="s">
        <v>3728</v>
      </c>
      <c r="KLM614" s="17">
        <v>44925</v>
      </c>
      <c r="KLN614" s="5" t="s">
        <v>3728</v>
      </c>
      <c r="KLO614" s="17">
        <v>44925</v>
      </c>
      <c r="KLP614" s="5" t="s">
        <v>3728</v>
      </c>
      <c r="KLQ614" s="17">
        <v>44925</v>
      </c>
      <c r="KLR614" s="5" t="s">
        <v>3728</v>
      </c>
      <c r="KLS614" s="17">
        <v>44925</v>
      </c>
      <c r="KLT614" s="5" t="s">
        <v>3728</v>
      </c>
      <c r="KLU614" s="17">
        <v>44925</v>
      </c>
      <c r="KLV614" s="5" t="s">
        <v>3728</v>
      </c>
      <c r="KLW614" s="17">
        <v>44925</v>
      </c>
      <c r="KLX614" s="5" t="s">
        <v>3728</v>
      </c>
      <c r="KLY614" s="17">
        <v>44925</v>
      </c>
      <c r="KLZ614" s="5" t="s">
        <v>3728</v>
      </c>
      <c r="KMA614" s="17">
        <v>44925</v>
      </c>
      <c r="KMB614" s="5" t="s">
        <v>3728</v>
      </c>
      <c r="KMC614" s="17">
        <v>44925</v>
      </c>
      <c r="KMD614" s="5" t="s">
        <v>3728</v>
      </c>
      <c r="KME614" s="17">
        <v>44925</v>
      </c>
      <c r="KMF614" s="5" t="s">
        <v>3728</v>
      </c>
      <c r="KMG614" s="17">
        <v>44925</v>
      </c>
      <c r="KMH614" s="5" t="s">
        <v>3728</v>
      </c>
      <c r="KMI614" s="17">
        <v>44925</v>
      </c>
      <c r="KMJ614" s="5" t="s">
        <v>3728</v>
      </c>
      <c r="KMK614" s="17">
        <v>44925</v>
      </c>
      <c r="KML614" s="5" t="s">
        <v>3728</v>
      </c>
      <c r="KMM614" s="17">
        <v>44925</v>
      </c>
      <c r="KMN614" s="5" t="s">
        <v>3728</v>
      </c>
      <c r="KMO614" s="17">
        <v>44925</v>
      </c>
      <c r="KMP614" s="5" t="s">
        <v>3728</v>
      </c>
      <c r="KMQ614" s="17">
        <v>44925</v>
      </c>
      <c r="KMR614" s="5" t="s">
        <v>3728</v>
      </c>
      <c r="KMS614" s="17">
        <v>44925</v>
      </c>
      <c r="KMT614" s="5" t="s">
        <v>3728</v>
      </c>
      <c r="KMU614" s="17">
        <v>44925</v>
      </c>
      <c r="KMV614" s="5" t="s">
        <v>3728</v>
      </c>
      <c r="KMW614" s="17">
        <v>44925</v>
      </c>
      <c r="KMX614" s="5" t="s">
        <v>3728</v>
      </c>
      <c r="KMY614" s="17">
        <v>44925</v>
      </c>
      <c r="KMZ614" s="5" t="s">
        <v>3728</v>
      </c>
      <c r="KNA614" s="17">
        <v>44925</v>
      </c>
      <c r="KNB614" s="5" t="s">
        <v>3728</v>
      </c>
      <c r="KNC614" s="17">
        <v>44925</v>
      </c>
      <c r="KND614" s="5" t="s">
        <v>3728</v>
      </c>
      <c r="KNE614" s="17">
        <v>44925</v>
      </c>
      <c r="KNF614" s="5" t="s">
        <v>3728</v>
      </c>
      <c r="KNG614" s="17">
        <v>44925</v>
      </c>
      <c r="KNH614" s="5" t="s">
        <v>3728</v>
      </c>
      <c r="KNI614" s="17">
        <v>44925</v>
      </c>
      <c r="KNJ614" s="5" t="s">
        <v>3728</v>
      </c>
      <c r="KNK614" s="17">
        <v>44925</v>
      </c>
      <c r="KNL614" s="5" t="s">
        <v>3728</v>
      </c>
      <c r="KNM614" s="17">
        <v>44925</v>
      </c>
      <c r="KNN614" s="5" t="s">
        <v>3728</v>
      </c>
      <c r="KNO614" s="17">
        <v>44925</v>
      </c>
      <c r="KNP614" s="5" t="s">
        <v>3728</v>
      </c>
      <c r="KNQ614" s="17">
        <v>44925</v>
      </c>
      <c r="KNR614" s="5" t="s">
        <v>3728</v>
      </c>
      <c r="KNS614" s="17">
        <v>44925</v>
      </c>
      <c r="KNT614" s="5" t="s">
        <v>3728</v>
      </c>
      <c r="KNU614" s="17">
        <v>44925</v>
      </c>
      <c r="KNV614" s="5" t="s">
        <v>3728</v>
      </c>
      <c r="KNW614" s="17">
        <v>44925</v>
      </c>
      <c r="KNX614" s="5" t="s">
        <v>3728</v>
      </c>
      <c r="KNY614" s="17">
        <v>44925</v>
      </c>
      <c r="KNZ614" s="5" t="s">
        <v>3728</v>
      </c>
      <c r="KOA614" s="17">
        <v>44925</v>
      </c>
      <c r="KOB614" s="5" t="s">
        <v>3728</v>
      </c>
      <c r="KOC614" s="17">
        <v>44925</v>
      </c>
      <c r="KOD614" s="5" t="s">
        <v>3728</v>
      </c>
      <c r="KOE614" s="17">
        <v>44925</v>
      </c>
      <c r="KOF614" s="5" t="s">
        <v>3728</v>
      </c>
      <c r="KOG614" s="17">
        <v>44925</v>
      </c>
      <c r="KOH614" s="5" t="s">
        <v>3728</v>
      </c>
      <c r="KOI614" s="17">
        <v>44925</v>
      </c>
      <c r="KOJ614" s="5" t="s">
        <v>3728</v>
      </c>
      <c r="KOK614" s="17">
        <v>44925</v>
      </c>
      <c r="KOL614" s="5" t="s">
        <v>3728</v>
      </c>
      <c r="KOM614" s="17">
        <v>44925</v>
      </c>
      <c r="KON614" s="5" t="s">
        <v>3728</v>
      </c>
      <c r="KOO614" s="17">
        <v>44925</v>
      </c>
      <c r="KOP614" s="5" t="s">
        <v>3728</v>
      </c>
      <c r="KOQ614" s="17">
        <v>44925</v>
      </c>
      <c r="KOR614" s="5" t="s">
        <v>3728</v>
      </c>
      <c r="KOS614" s="17">
        <v>44925</v>
      </c>
      <c r="KOT614" s="5" t="s">
        <v>3728</v>
      </c>
      <c r="KOU614" s="17">
        <v>44925</v>
      </c>
      <c r="KOV614" s="5" t="s">
        <v>3728</v>
      </c>
      <c r="KOW614" s="17">
        <v>44925</v>
      </c>
      <c r="KOX614" s="5" t="s">
        <v>3728</v>
      </c>
      <c r="KOY614" s="17">
        <v>44925</v>
      </c>
      <c r="KOZ614" s="5" t="s">
        <v>3728</v>
      </c>
      <c r="KPA614" s="17">
        <v>44925</v>
      </c>
      <c r="KPB614" s="5" t="s">
        <v>3728</v>
      </c>
      <c r="KPC614" s="17">
        <v>44925</v>
      </c>
      <c r="KPD614" s="5" t="s">
        <v>3728</v>
      </c>
      <c r="KPE614" s="17">
        <v>44925</v>
      </c>
      <c r="KPF614" s="5" t="s">
        <v>3728</v>
      </c>
      <c r="KPG614" s="17">
        <v>44925</v>
      </c>
      <c r="KPH614" s="5" t="s">
        <v>3728</v>
      </c>
      <c r="KPI614" s="17">
        <v>44925</v>
      </c>
      <c r="KPJ614" s="5" t="s">
        <v>3728</v>
      </c>
      <c r="KPK614" s="17">
        <v>44925</v>
      </c>
      <c r="KPL614" s="5" t="s">
        <v>3728</v>
      </c>
      <c r="KPM614" s="17">
        <v>44925</v>
      </c>
      <c r="KPN614" s="5" t="s">
        <v>3728</v>
      </c>
      <c r="KPO614" s="17">
        <v>44925</v>
      </c>
      <c r="KPP614" s="5" t="s">
        <v>3728</v>
      </c>
      <c r="KPQ614" s="17">
        <v>44925</v>
      </c>
      <c r="KPR614" s="5" t="s">
        <v>3728</v>
      </c>
      <c r="KPS614" s="17">
        <v>44925</v>
      </c>
      <c r="KPT614" s="5" t="s">
        <v>3728</v>
      </c>
      <c r="KPU614" s="17">
        <v>44925</v>
      </c>
      <c r="KPV614" s="5" t="s">
        <v>3728</v>
      </c>
      <c r="KPW614" s="17">
        <v>44925</v>
      </c>
      <c r="KPX614" s="5" t="s">
        <v>3728</v>
      </c>
      <c r="KPY614" s="17">
        <v>44925</v>
      </c>
      <c r="KPZ614" s="5" t="s">
        <v>3728</v>
      </c>
      <c r="KQA614" s="17">
        <v>44925</v>
      </c>
      <c r="KQB614" s="5" t="s">
        <v>3728</v>
      </c>
      <c r="KQC614" s="17">
        <v>44925</v>
      </c>
      <c r="KQD614" s="5" t="s">
        <v>3728</v>
      </c>
      <c r="KQE614" s="17">
        <v>44925</v>
      </c>
      <c r="KQF614" s="5" t="s">
        <v>3728</v>
      </c>
      <c r="KQG614" s="17">
        <v>44925</v>
      </c>
      <c r="KQH614" s="5" t="s">
        <v>3728</v>
      </c>
      <c r="KQI614" s="17">
        <v>44925</v>
      </c>
      <c r="KQJ614" s="5" t="s">
        <v>3728</v>
      </c>
      <c r="KQK614" s="17">
        <v>44925</v>
      </c>
      <c r="KQL614" s="5" t="s">
        <v>3728</v>
      </c>
      <c r="KQM614" s="17">
        <v>44925</v>
      </c>
      <c r="KQN614" s="5" t="s">
        <v>3728</v>
      </c>
      <c r="KQO614" s="17">
        <v>44925</v>
      </c>
      <c r="KQP614" s="5" t="s">
        <v>3728</v>
      </c>
      <c r="KQQ614" s="17">
        <v>44925</v>
      </c>
      <c r="KQR614" s="5" t="s">
        <v>3728</v>
      </c>
      <c r="KQS614" s="17">
        <v>44925</v>
      </c>
      <c r="KQT614" s="5" t="s">
        <v>3728</v>
      </c>
      <c r="KQU614" s="17">
        <v>44925</v>
      </c>
      <c r="KQV614" s="5" t="s">
        <v>3728</v>
      </c>
      <c r="KQW614" s="17">
        <v>44925</v>
      </c>
      <c r="KQX614" s="5" t="s">
        <v>3728</v>
      </c>
      <c r="KQY614" s="17">
        <v>44925</v>
      </c>
      <c r="KQZ614" s="5" t="s">
        <v>3728</v>
      </c>
      <c r="KRA614" s="17">
        <v>44925</v>
      </c>
      <c r="KRB614" s="5" t="s">
        <v>3728</v>
      </c>
      <c r="KRC614" s="17">
        <v>44925</v>
      </c>
      <c r="KRD614" s="5" t="s">
        <v>3728</v>
      </c>
      <c r="KRE614" s="17">
        <v>44925</v>
      </c>
      <c r="KRF614" s="5" t="s">
        <v>3728</v>
      </c>
      <c r="KRG614" s="17">
        <v>44925</v>
      </c>
      <c r="KRH614" s="5" t="s">
        <v>3728</v>
      </c>
      <c r="KRI614" s="17">
        <v>44925</v>
      </c>
      <c r="KRJ614" s="5" t="s">
        <v>3728</v>
      </c>
      <c r="KRK614" s="17">
        <v>44925</v>
      </c>
      <c r="KRL614" s="5" t="s">
        <v>3728</v>
      </c>
      <c r="KRM614" s="17">
        <v>44925</v>
      </c>
      <c r="KRN614" s="5" t="s">
        <v>3728</v>
      </c>
      <c r="KRO614" s="17">
        <v>44925</v>
      </c>
      <c r="KRP614" s="5" t="s">
        <v>3728</v>
      </c>
      <c r="KRQ614" s="17">
        <v>44925</v>
      </c>
      <c r="KRR614" s="5" t="s">
        <v>3728</v>
      </c>
      <c r="KRS614" s="17">
        <v>44925</v>
      </c>
      <c r="KRT614" s="5" t="s">
        <v>3728</v>
      </c>
      <c r="KRU614" s="17">
        <v>44925</v>
      </c>
      <c r="KRV614" s="5" t="s">
        <v>3728</v>
      </c>
      <c r="KRW614" s="17">
        <v>44925</v>
      </c>
      <c r="KRX614" s="5" t="s">
        <v>3728</v>
      </c>
      <c r="KRY614" s="17">
        <v>44925</v>
      </c>
      <c r="KRZ614" s="5" t="s">
        <v>3728</v>
      </c>
      <c r="KSA614" s="17">
        <v>44925</v>
      </c>
      <c r="KSB614" s="5" t="s">
        <v>3728</v>
      </c>
      <c r="KSC614" s="17">
        <v>44925</v>
      </c>
      <c r="KSD614" s="5" t="s">
        <v>3728</v>
      </c>
      <c r="KSE614" s="17">
        <v>44925</v>
      </c>
      <c r="KSF614" s="5" t="s">
        <v>3728</v>
      </c>
      <c r="KSG614" s="17">
        <v>44925</v>
      </c>
      <c r="KSH614" s="5" t="s">
        <v>3728</v>
      </c>
      <c r="KSI614" s="17">
        <v>44925</v>
      </c>
      <c r="KSJ614" s="5" t="s">
        <v>3728</v>
      </c>
      <c r="KSK614" s="17">
        <v>44925</v>
      </c>
      <c r="KSL614" s="5" t="s">
        <v>3728</v>
      </c>
      <c r="KSM614" s="17">
        <v>44925</v>
      </c>
      <c r="KSN614" s="5" t="s">
        <v>3728</v>
      </c>
      <c r="KSO614" s="17">
        <v>44925</v>
      </c>
      <c r="KSP614" s="5" t="s">
        <v>3728</v>
      </c>
      <c r="KSQ614" s="17">
        <v>44925</v>
      </c>
      <c r="KSR614" s="5" t="s">
        <v>3728</v>
      </c>
      <c r="KSS614" s="17">
        <v>44925</v>
      </c>
      <c r="KST614" s="5" t="s">
        <v>3728</v>
      </c>
      <c r="KSU614" s="17">
        <v>44925</v>
      </c>
      <c r="KSV614" s="5" t="s">
        <v>3728</v>
      </c>
      <c r="KSW614" s="17">
        <v>44925</v>
      </c>
      <c r="KSX614" s="5" t="s">
        <v>3728</v>
      </c>
      <c r="KSY614" s="17">
        <v>44925</v>
      </c>
      <c r="KSZ614" s="5" t="s">
        <v>3728</v>
      </c>
      <c r="KTA614" s="17">
        <v>44925</v>
      </c>
      <c r="KTB614" s="5" t="s">
        <v>3728</v>
      </c>
      <c r="KTC614" s="17">
        <v>44925</v>
      </c>
      <c r="KTD614" s="5" t="s">
        <v>3728</v>
      </c>
      <c r="KTE614" s="17">
        <v>44925</v>
      </c>
      <c r="KTF614" s="5" t="s">
        <v>3728</v>
      </c>
      <c r="KTG614" s="17">
        <v>44925</v>
      </c>
      <c r="KTH614" s="5" t="s">
        <v>3728</v>
      </c>
      <c r="KTI614" s="17">
        <v>44925</v>
      </c>
      <c r="KTJ614" s="5" t="s">
        <v>3728</v>
      </c>
      <c r="KTK614" s="17">
        <v>44925</v>
      </c>
      <c r="KTL614" s="5" t="s">
        <v>3728</v>
      </c>
      <c r="KTM614" s="17">
        <v>44925</v>
      </c>
      <c r="KTN614" s="5" t="s">
        <v>3728</v>
      </c>
      <c r="KTO614" s="17">
        <v>44925</v>
      </c>
      <c r="KTP614" s="5" t="s">
        <v>3728</v>
      </c>
      <c r="KTQ614" s="17">
        <v>44925</v>
      </c>
      <c r="KTR614" s="5" t="s">
        <v>3728</v>
      </c>
      <c r="KTS614" s="17">
        <v>44925</v>
      </c>
      <c r="KTT614" s="5" t="s">
        <v>3728</v>
      </c>
      <c r="KTU614" s="17">
        <v>44925</v>
      </c>
      <c r="KTV614" s="5" t="s">
        <v>3728</v>
      </c>
      <c r="KTW614" s="17">
        <v>44925</v>
      </c>
      <c r="KTX614" s="5" t="s">
        <v>3728</v>
      </c>
      <c r="KTY614" s="17">
        <v>44925</v>
      </c>
      <c r="KTZ614" s="5" t="s">
        <v>3728</v>
      </c>
      <c r="KUA614" s="17">
        <v>44925</v>
      </c>
      <c r="KUB614" s="5" t="s">
        <v>3728</v>
      </c>
      <c r="KUC614" s="17">
        <v>44925</v>
      </c>
      <c r="KUD614" s="5" t="s">
        <v>3728</v>
      </c>
      <c r="KUE614" s="17">
        <v>44925</v>
      </c>
      <c r="KUF614" s="5" t="s">
        <v>3728</v>
      </c>
      <c r="KUG614" s="17">
        <v>44925</v>
      </c>
      <c r="KUH614" s="5" t="s">
        <v>3728</v>
      </c>
      <c r="KUI614" s="17">
        <v>44925</v>
      </c>
      <c r="KUJ614" s="5" t="s">
        <v>3728</v>
      </c>
      <c r="KUK614" s="17">
        <v>44925</v>
      </c>
      <c r="KUL614" s="5" t="s">
        <v>3728</v>
      </c>
      <c r="KUM614" s="17">
        <v>44925</v>
      </c>
      <c r="KUN614" s="5" t="s">
        <v>3728</v>
      </c>
      <c r="KUO614" s="17">
        <v>44925</v>
      </c>
      <c r="KUP614" s="5" t="s">
        <v>3728</v>
      </c>
      <c r="KUQ614" s="17">
        <v>44925</v>
      </c>
      <c r="KUR614" s="5" t="s">
        <v>3728</v>
      </c>
      <c r="KUS614" s="17">
        <v>44925</v>
      </c>
      <c r="KUT614" s="5" t="s">
        <v>3728</v>
      </c>
      <c r="KUU614" s="17">
        <v>44925</v>
      </c>
      <c r="KUV614" s="5" t="s">
        <v>3728</v>
      </c>
      <c r="KUW614" s="17">
        <v>44925</v>
      </c>
      <c r="KUX614" s="5" t="s">
        <v>3728</v>
      </c>
      <c r="KUY614" s="17">
        <v>44925</v>
      </c>
      <c r="KUZ614" s="5" t="s">
        <v>3728</v>
      </c>
      <c r="KVA614" s="17">
        <v>44925</v>
      </c>
      <c r="KVB614" s="5" t="s">
        <v>3728</v>
      </c>
      <c r="KVC614" s="17">
        <v>44925</v>
      </c>
      <c r="KVD614" s="5" t="s">
        <v>3728</v>
      </c>
      <c r="KVE614" s="17">
        <v>44925</v>
      </c>
      <c r="KVF614" s="5" t="s">
        <v>3728</v>
      </c>
      <c r="KVG614" s="17">
        <v>44925</v>
      </c>
      <c r="KVH614" s="5" t="s">
        <v>3728</v>
      </c>
      <c r="KVI614" s="17">
        <v>44925</v>
      </c>
      <c r="KVJ614" s="5" t="s">
        <v>3728</v>
      </c>
      <c r="KVK614" s="17">
        <v>44925</v>
      </c>
      <c r="KVL614" s="5" t="s">
        <v>3728</v>
      </c>
      <c r="KVM614" s="17">
        <v>44925</v>
      </c>
      <c r="KVN614" s="5" t="s">
        <v>3728</v>
      </c>
      <c r="KVO614" s="17">
        <v>44925</v>
      </c>
      <c r="KVP614" s="5" t="s">
        <v>3728</v>
      </c>
      <c r="KVQ614" s="17">
        <v>44925</v>
      </c>
      <c r="KVR614" s="5" t="s">
        <v>3728</v>
      </c>
      <c r="KVS614" s="17">
        <v>44925</v>
      </c>
      <c r="KVT614" s="5" t="s">
        <v>3728</v>
      </c>
      <c r="KVU614" s="17">
        <v>44925</v>
      </c>
      <c r="KVV614" s="5" t="s">
        <v>3728</v>
      </c>
      <c r="KVW614" s="17">
        <v>44925</v>
      </c>
      <c r="KVX614" s="5" t="s">
        <v>3728</v>
      </c>
      <c r="KVY614" s="17">
        <v>44925</v>
      </c>
      <c r="KVZ614" s="5" t="s">
        <v>3728</v>
      </c>
      <c r="KWA614" s="17">
        <v>44925</v>
      </c>
      <c r="KWB614" s="5" t="s">
        <v>3728</v>
      </c>
      <c r="KWC614" s="17">
        <v>44925</v>
      </c>
      <c r="KWD614" s="5" t="s">
        <v>3728</v>
      </c>
      <c r="KWE614" s="17">
        <v>44925</v>
      </c>
      <c r="KWF614" s="5" t="s">
        <v>3728</v>
      </c>
      <c r="KWG614" s="17">
        <v>44925</v>
      </c>
      <c r="KWH614" s="5" t="s">
        <v>3728</v>
      </c>
      <c r="KWI614" s="17">
        <v>44925</v>
      </c>
      <c r="KWJ614" s="5" t="s">
        <v>3728</v>
      </c>
      <c r="KWK614" s="17">
        <v>44925</v>
      </c>
      <c r="KWL614" s="5" t="s">
        <v>3728</v>
      </c>
      <c r="KWM614" s="17">
        <v>44925</v>
      </c>
      <c r="KWN614" s="5" t="s">
        <v>3728</v>
      </c>
      <c r="KWO614" s="17">
        <v>44925</v>
      </c>
      <c r="KWP614" s="5" t="s">
        <v>3728</v>
      </c>
      <c r="KWQ614" s="17">
        <v>44925</v>
      </c>
      <c r="KWR614" s="5" t="s">
        <v>3728</v>
      </c>
      <c r="KWS614" s="17">
        <v>44925</v>
      </c>
      <c r="KWT614" s="5" t="s">
        <v>3728</v>
      </c>
      <c r="KWU614" s="17">
        <v>44925</v>
      </c>
      <c r="KWV614" s="5" t="s">
        <v>3728</v>
      </c>
      <c r="KWW614" s="17">
        <v>44925</v>
      </c>
      <c r="KWX614" s="5" t="s">
        <v>3728</v>
      </c>
      <c r="KWY614" s="17">
        <v>44925</v>
      </c>
      <c r="KWZ614" s="5" t="s">
        <v>3728</v>
      </c>
      <c r="KXA614" s="17">
        <v>44925</v>
      </c>
      <c r="KXB614" s="5" t="s">
        <v>3728</v>
      </c>
      <c r="KXC614" s="17">
        <v>44925</v>
      </c>
      <c r="KXD614" s="5" t="s">
        <v>3728</v>
      </c>
      <c r="KXE614" s="17">
        <v>44925</v>
      </c>
      <c r="KXF614" s="5" t="s">
        <v>3728</v>
      </c>
      <c r="KXG614" s="17">
        <v>44925</v>
      </c>
      <c r="KXH614" s="5" t="s">
        <v>3728</v>
      </c>
      <c r="KXI614" s="17">
        <v>44925</v>
      </c>
      <c r="KXJ614" s="5" t="s">
        <v>3728</v>
      </c>
      <c r="KXK614" s="17">
        <v>44925</v>
      </c>
      <c r="KXL614" s="5" t="s">
        <v>3728</v>
      </c>
      <c r="KXM614" s="17">
        <v>44925</v>
      </c>
      <c r="KXN614" s="5" t="s">
        <v>3728</v>
      </c>
      <c r="KXO614" s="17">
        <v>44925</v>
      </c>
      <c r="KXP614" s="5" t="s">
        <v>3728</v>
      </c>
      <c r="KXQ614" s="17">
        <v>44925</v>
      </c>
      <c r="KXR614" s="5" t="s">
        <v>3728</v>
      </c>
      <c r="KXS614" s="17">
        <v>44925</v>
      </c>
      <c r="KXT614" s="5" t="s">
        <v>3728</v>
      </c>
      <c r="KXU614" s="17">
        <v>44925</v>
      </c>
      <c r="KXV614" s="5" t="s">
        <v>3728</v>
      </c>
      <c r="KXW614" s="17">
        <v>44925</v>
      </c>
      <c r="KXX614" s="5" t="s">
        <v>3728</v>
      </c>
      <c r="KXY614" s="17">
        <v>44925</v>
      </c>
      <c r="KXZ614" s="5" t="s">
        <v>3728</v>
      </c>
      <c r="KYA614" s="17">
        <v>44925</v>
      </c>
      <c r="KYB614" s="5" t="s">
        <v>3728</v>
      </c>
      <c r="KYC614" s="17">
        <v>44925</v>
      </c>
      <c r="KYD614" s="5" t="s">
        <v>3728</v>
      </c>
      <c r="KYE614" s="17">
        <v>44925</v>
      </c>
      <c r="KYF614" s="5" t="s">
        <v>3728</v>
      </c>
      <c r="KYG614" s="17">
        <v>44925</v>
      </c>
      <c r="KYH614" s="5" t="s">
        <v>3728</v>
      </c>
      <c r="KYI614" s="17">
        <v>44925</v>
      </c>
      <c r="KYJ614" s="5" t="s">
        <v>3728</v>
      </c>
      <c r="KYK614" s="17">
        <v>44925</v>
      </c>
      <c r="KYL614" s="5" t="s">
        <v>3728</v>
      </c>
      <c r="KYM614" s="17">
        <v>44925</v>
      </c>
      <c r="KYN614" s="5" t="s">
        <v>3728</v>
      </c>
      <c r="KYO614" s="17">
        <v>44925</v>
      </c>
      <c r="KYP614" s="5" t="s">
        <v>3728</v>
      </c>
      <c r="KYQ614" s="17">
        <v>44925</v>
      </c>
      <c r="KYR614" s="5" t="s">
        <v>3728</v>
      </c>
      <c r="KYS614" s="17">
        <v>44925</v>
      </c>
      <c r="KYT614" s="5" t="s">
        <v>3728</v>
      </c>
      <c r="KYU614" s="17">
        <v>44925</v>
      </c>
      <c r="KYV614" s="5" t="s">
        <v>3728</v>
      </c>
      <c r="KYW614" s="17">
        <v>44925</v>
      </c>
      <c r="KYX614" s="5" t="s">
        <v>3728</v>
      </c>
      <c r="KYY614" s="17">
        <v>44925</v>
      </c>
      <c r="KYZ614" s="5" t="s">
        <v>3728</v>
      </c>
      <c r="KZA614" s="17">
        <v>44925</v>
      </c>
      <c r="KZB614" s="5" t="s">
        <v>3728</v>
      </c>
      <c r="KZC614" s="17">
        <v>44925</v>
      </c>
      <c r="KZD614" s="5" t="s">
        <v>3728</v>
      </c>
      <c r="KZE614" s="17">
        <v>44925</v>
      </c>
      <c r="KZF614" s="5" t="s">
        <v>3728</v>
      </c>
      <c r="KZG614" s="17">
        <v>44925</v>
      </c>
      <c r="KZH614" s="5" t="s">
        <v>3728</v>
      </c>
      <c r="KZI614" s="17">
        <v>44925</v>
      </c>
      <c r="KZJ614" s="5" t="s">
        <v>3728</v>
      </c>
      <c r="KZK614" s="17">
        <v>44925</v>
      </c>
      <c r="KZL614" s="5" t="s">
        <v>3728</v>
      </c>
      <c r="KZM614" s="17">
        <v>44925</v>
      </c>
      <c r="KZN614" s="5" t="s">
        <v>3728</v>
      </c>
      <c r="KZO614" s="17">
        <v>44925</v>
      </c>
      <c r="KZP614" s="5" t="s">
        <v>3728</v>
      </c>
      <c r="KZQ614" s="17">
        <v>44925</v>
      </c>
      <c r="KZR614" s="5" t="s">
        <v>3728</v>
      </c>
      <c r="KZS614" s="17">
        <v>44925</v>
      </c>
      <c r="KZT614" s="5" t="s">
        <v>3728</v>
      </c>
      <c r="KZU614" s="17">
        <v>44925</v>
      </c>
      <c r="KZV614" s="5" t="s">
        <v>3728</v>
      </c>
      <c r="KZW614" s="17">
        <v>44925</v>
      </c>
      <c r="KZX614" s="5" t="s">
        <v>3728</v>
      </c>
      <c r="KZY614" s="17">
        <v>44925</v>
      </c>
      <c r="KZZ614" s="5" t="s">
        <v>3728</v>
      </c>
      <c r="LAA614" s="17">
        <v>44925</v>
      </c>
      <c r="LAB614" s="5" t="s">
        <v>3728</v>
      </c>
      <c r="LAC614" s="17">
        <v>44925</v>
      </c>
      <c r="LAD614" s="5" t="s">
        <v>3728</v>
      </c>
      <c r="LAE614" s="17">
        <v>44925</v>
      </c>
      <c r="LAF614" s="5" t="s">
        <v>3728</v>
      </c>
      <c r="LAG614" s="17">
        <v>44925</v>
      </c>
      <c r="LAH614" s="5" t="s">
        <v>3728</v>
      </c>
      <c r="LAI614" s="17">
        <v>44925</v>
      </c>
      <c r="LAJ614" s="5" t="s">
        <v>3728</v>
      </c>
      <c r="LAK614" s="17">
        <v>44925</v>
      </c>
      <c r="LAL614" s="5" t="s">
        <v>3728</v>
      </c>
      <c r="LAM614" s="17">
        <v>44925</v>
      </c>
      <c r="LAN614" s="5" t="s">
        <v>3728</v>
      </c>
      <c r="LAO614" s="17">
        <v>44925</v>
      </c>
      <c r="LAP614" s="5" t="s">
        <v>3728</v>
      </c>
      <c r="LAQ614" s="17">
        <v>44925</v>
      </c>
      <c r="LAR614" s="5" t="s">
        <v>3728</v>
      </c>
      <c r="LAS614" s="17">
        <v>44925</v>
      </c>
      <c r="LAT614" s="5" t="s">
        <v>3728</v>
      </c>
      <c r="LAU614" s="17">
        <v>44925</v>
      </c>
      <c r="LAV614" s="5" t="s">
        <v>3728</v>
      </c>
      <c r="LAW614" s="17">
        <v>44925</v>
      </c>
      <c r="LAX614" s="5" t="s">
        <v>3728</v>
      </c>
      <c r="LAY614" s="17">
        <v>44925</v>
      </c>
      <c r="LAZ614" s="5" t="s">
        <v>3728</v>
      </c>
      <c r="LBA614" s="17">
        <v>44925</v>
      </c>
      <c r="LBB614" s="5" t="s">
        <v>3728</v>
      </c>
      <c r="LBC614" s="17">
        <v>44925</v>
      </c>
      <c r="LBD614" s="5" t="s">
        <v>3728</v>
      </c>
      <c r="LBE614" s="17">
        <v>44925</v>
      </c>
      <c r="LBF614" s="5" t="s">
        <v>3728</v>
      </c>
      <c r="LBG614" s="17">
        <v>44925</v>
      </c>
      <c r="LBH614" s="5" t="s">
        <v>3728</v>
      </c>
      <c r="LBI614" s="17">
        <v>44925</v>
      </c>
      <c r="LBJ614" s="5" t="s">
        <v>3728</v>
      </c>
      <c r="LBK614" s="17">
        <v>44925</v>
      </c>
      <c r="LBL614" s="5" t="s">
        <v>3728</v>
      </c>
      <c r="LBM614" s="17">
        <v>44925</v>
      </c>
      <c r="LBN614" s="5" t="s">
        <v>3728</v>
      </c>
      <c r="LBO614" s="17">
        <v>44925</v>
      </c>
      <c r="LBP614" s="5" t="s">
        <v>3728</v>
      </c>
      <c r="LBQ614" s="17">
        <v>44925</v>
      </c>
      <c r="LBR614" s="5" t="s">
        <v>3728</v>
      </c>
      <c r="LBS614" s="17">
        <v>44925</v>
      </c>
      <c r="LBT614" s="5" t="s">
        <v>3728</v>
      </c>
      <c r="LBU614" s="17">
        <v>44925</v>
      </c>
      <c r="LBV614" s="5" t="s">
        <v>3728</v>
      </c>
      <c r="LBW614" s="17">
        <v>44925</v>
      </c>
      <c r="LBX614" s="5" t="s">
        <v>3728</v>
      </c>
      <c r="LBY614" s="17">
        <v>44925</v>
      </c>
      <c r="LBZ614" s="5" t="s">
        <v>3728</v>
      </c>
      <c r="LCA614" s="17">
        <v>44925</v>
      </c>
      <c r="LCB614" s="5" t="s">
        <v>3728</v>
      </c>
      <c r="LCC614" s="17">
        <v>44925</v>
      </c>
      <c r="LCD614" s="5" t="s">
        <v>3728</v>
      </c>
      <c r="LCE614" s="17">
        <v>44925</v>
      </c>
      <c r="LCF614" s="5" t="s">
        <v>3728</v>
      </c>
      <c r="LCG614" s="17">
        <v>44925</v>
      </c>
      <c r="LCH614" s="5" t="s">
        <v>3728</v>
      </c>
      <c r="LCI614" s="17">
        <v>44925</v>
      </c>
      <c r="LCJ614" s="5" t="s">
        <v>3728</v>
      </c>
      <c r="LCK614" s="17">
        <v>44925</v>
      </c>
      <c r="LCL614" s="5" t="s">
        <v>3728</v>
      </c>
      <c r="LCM614" s="17">
        <v>44925</v>
      </c>
      <c r="LCN614" s="5" t="s">
        <v>3728</v>
      </c>
      <c r="LCO614" s="17">
        <v>44925</v>
      </c>
      <c r="LCP614" s="5" t="s">
        <v>3728</v>
      </c>
      <c r="LCQ614" s="17">
        <v>44925</v>
      </c>
      <c r="LCR614" s="5" t="s">
        <v>3728</v>
      </c>
      <c r="LCS614" s="17">
        <v>44925</v>
      </c>
      <c r="LCT614" s="5" t="s">
        <v>3728</v>
      </c>
      <c r="LCU614" s="17">
        <v>44925</v>
      </c>
      <c r="LCV614" s="5" t="s">
        <v>3728</v>
      </c>
      <c r="LCW614" s="17">
        <v>44925</v>
      </c>
      <c r="LCX614" s="5" t="s">
        <v>3728</v>
      </c>
      <c r="LCY614" s="17">
        <v>44925</v>
      </c>
      <c r="LCZ614" s="5" t="s">
        <v>3728</v>
      </c>
      <c r="LDA614" s="17">
        <v>44925</v>
      </c>
      <c r="LDB614" s="5" t="s">
        <v>3728</v>
      </c>
      <c r="LDC614" s="17">
        <v>44925</v>
      </c>
      <c r="LDD614" s="5" t="s">
        <v>3728</v>
      </c>
      <c r="LDE614" s="17">
        <v>44925</v>
      </c>
      <c r="LDF614" s="5" t="s">
        <v>3728</v>
      </c>
      <c r="LDG614" s="17">
        <v>44925</v>
      </c>
      <c r="LDH614" s="5" t="s">
        <v>3728</v>
      </c>
      <c r="LDI614" s="17">
        <v>44925</v>
      </c>
      <c r="LDJ614" s="5" t="s">
        <v>3728</v>
      </c>
      <c r="LDK614" s="17">
        <v>44925</v>
      </c>
      <c r="LDL614" s="5" t="s">
        <v>3728</v>
      </c>
      <c r="LDM614" s="17">
        <v>44925</v>
      </c>
      <c r="LDN614" s="5" t="s">
        <v>3728</v>
      </c>
      <c r="LDO614" s="17">
        <v>44925</v>
      </c>
      <c r="LDP614" s="5" t="s">
        <v>3728</v>
      </c>
      <c r="LDQ614" s="17">
        <v>44925</v>
      </c>
      <c r="LDR614" s="5" t="s">
        <v>3728</v>
      </c>
      <c r="LDS614" s="17">
        <v>44925</v>
      </c>
      <c r="LDT614" s="5" t="s">
        <v>3728</v>
      </c>
      <c r="LDU614" s="17">
        <v>44925</v>
      </c>
      <c r="LDV614" s="5" t="s">
        <v>3728</v>
      </c>
      <c r="LDW614" s="17">
        <v>44925</v>
      </c>
      <c r="LDX614" s="5" t="s">
        <v>3728</v>
      </c>
      <c r="LDY614" s="17">
        <v>44925</v>
      </c>
      <c r="LDZ614" s="5" t="s">
        <v>3728</v>
      </c>
      <c r="LEA614" s="17">
        <v>44925</v>
      </c>
      <c r="LEB614" s="5" t="s">
        <v>3728</v>
      </c>
      <c r="LEC614" s="17">
        <v>44925</v>
      </c>
      <c r="LED614" s="5" t="s">
        <v>3728</v>
      </c>
      <c r="LEE614" s="17">
        <v>44925</v>
      </c>
      <c r="LEF614" s="5" t="s">
        <v>3728</v>
      </c>
      <c r="LEG614" s="17">
        <v>44925</v>
      </c>
      <c r="LEH614" s="5" t="s">
        <v>3728</v>
      </c>
      <c r="LEI614" s="17">
        <v>44925</v>
      </c>
      <c r="LEJ614" s="5" t="s">
        <v>3728</v>
      </c>
      <c r="LEK614" s="17">
        <v>44925</v>
      </c>
      <c r="LEL614" s="5" t="s">
        <v>3728</v>
      </c>
      <c r="LEM614" s="17">
        <v>44925</v>
      </c>
      <c r="LEN614" s="5" t="s">
        <v>3728</v>
      </c>
      <c r="LEO614" s="17">
        <v>44925</v>
      </c>
      <c r="LEP614" s="5" t="s">
        <v>3728</v>
      </c>
      <c r="LEQ614" s="17">
        <v>44925</v>
      </c>
      <c r="LER614" s="5" t="s">
        <v>3728</v>
      </c>
      <c r="LES614" s="17">
        <v>44925</v>
      </c>
      <c r="LET614" s="5" t="s">
        <v>3728</v>
      </c>
      <c r="LEU614" s="17">
        <v>44925</v>
      </c>
      <c r="LEV614" s="5" t="s">
        <v>3728</v>
      </c>
      <c r="LEW614" s="17">
        <v>44925</v>
      </c>
      <c r="LEX614" s="5" t="s">
        <v>3728</v>
      </c>
      <c r="LEY614" s="17">
        <v>44925</v>
      </c>
      <c r="LEZ614" s="5" t="s">
        <v>3728</v>
      </c>
      <c r="LFA614" s="17">
        <v>44925</v>
      </c>
      <c r="LFB614" s="5" t="s">
        <v>3728</v>
      </c>
      <c r="LFC614" s="17">
        <v>44925</v>
      </c>
      <c r="LFD614" s="5" t="s">
        <v>3728</v>
      </c>
      <c r="LFE614" s="17">
        <v>44925</v>
      </c>
      <c r="LFF614" s="5" t="s">
        <v>3728</v>
      </c>
      <c r="LFG614" s="17">
        <v>44925</v>
      </c>
      <c r="LFH614" s="5" t="s">
        <v>3728</v>
      </c>
      <c r="LFI614" s="17">
        <v>44925</v>
      </c>
      <c r="LFJ614" s="5" t="s">
        <v>3728</v>
      </c>
      <c r="LFK614" s="17">
        <v>44925</v>
      </c>
      <c r="LFL614" s="5" t="s">
        <v>3728</v>
      </c>
      <c r="LFM614" s="17">
        <v>44925</v>
      </c>
      <c r="LFN614" s="5" t="s">
        <v>3728</v>
      </c>
      <c r="LFO614" s="17">
        <v>44925</v>
      </c>
      <c r="LFP614" s="5" t="s">
        <v>3728</v>
      </c>
      <c r="LFQ614" s="17">
        <v>44925</v>
      </c>
      <c r="LFR614" s="5" t="s">
        <v>3728</v>
      </c>
      <c r="LFS614" s="17">
        <v>44925</v>
      </c>
      <c r="LFT614" s="5" t="s">
        <v>3728</v>
      </c>
      <c r="LFU614" s="17">
        <v>44925</v>
      </c>
      <c r="LFV614" s="5" t="s">
        <v>3728</v>
      </c>
      <c r="LFW614" s="17">
        <v>44925</v>
      </c>
      <c r="LFX614" s="5" t="s">
        <v>3728</v>
      </c>
      <c r="LFY614" s="17">
        <v>44925</v>
      </c>
      <c r="LFZ614" s="5" t="s">
        <v>3728</v>
      </c>
      <c r="LGA614" s="17">
        <v>44925</v>
      </c>
      <c r="LGB614" s="5" t="s">
        <v>3728</v>
      </c>
      <c r="LGC614" s="17">
        <v>44925</v>
      </c>
      <c r="LGD614" s="5" t="s">
        <v>3728</v>
      </c>
      <c r="LGE614" s="17">
        <v>44925</v>
      </c>
      <c r="LGF614" s="5" t="s">
        <v>3728</v>
      </c>
      <c r="LGG614" s="17">
        <v>44925</v>
      </c>
      <c r="LGH614" s="5" t="s">
        <v>3728</v>
      </c>
      <c r="LGI614" s="17">
        <v>44925</v>
      </c>
      <c r="LGJ614" s="5" t="s">
        <v>3728</v>
      </c>
      <c r="LGK614" s="17">
        <v>44925</v>
      </c>
      <c r="LGL614" s="5" t="s">
        <v>3728</v>
      </c>
      <c r="LGM614" s="17">
        <v>44925</v>
      </c>
      <c r="LGN614" s="5" t="s">
        <v>3728</v>
      </c>
      <c r="LGO614" s="17">
        <v>44925</v>
      </c>
      <c r="LGP614" s="5" t="s">
        <v>3728</v>
      </c>
      <c r="LGQ614" s="17">
        <v>44925</v>
      </c>
      <c r="LGR614" s="5" t="s">
        <v>3728</v>
      </c>
      <c r="LGS614" s="17">
        <v>44925</v>
      </c>
      <c r="LGT614" s="5" t="s">
        <v>3728</v>
      </c>
      <c r="LGU614" s="17">
        <v>44925</v>
      </c>
      <c r="LGV614" s="5" t="s">
        <v>3728</v>
      </c>
      <c r="LGW614" s="17">
        <v>44925</v>
      </c>
      <c r="LGX614" s="5" t="s">
        <v>3728</v>
      </c>
      <c r="LGY614" s="17">
        <v>44925</v>
      </c>
      <c r="LGZ614" s="5" t="s">
        <v>3728</v>
      </c>
      <c r="LHA614" s="17">
        <v>44925</v>
      </c>
      <c r="LHB614" s="5" t="s">
        <v>3728</v>
      </c>
      <c r="LHC614" s="17">
        <v>44925</v>
      </c>
      <c r="LHD614" s="5" t="s">
        <v>3728</v>
      </c>
      <c r="LHE614" s="17">
        <v>44925</v>
      </c>
      <c r="LHF614" s="5" t="s">
        <v>3728</v>
      </c>
      <c r="LHG614" s="17">
        <v>44925</v>
      </c>
      <c r="LHH614" s="5" t="s">
        <v>3728</v>
      </c>
      <c r="LHI614" s="17">
        <v>44925</v>
      </c>
      <c r="LHJ614" s="5" t="s">
        <v>3728</v>
      </c>
      <c r="LHK614" s="17">
        <v>44925</v>
      </c>
      <c r="LHL614" s="5" t="s">
        <v>3728</v>
      </c>
      <c r="LHM614" s="17">
        <v>44925</v>
      </c>
      <c r="LHN614" s="5" t="s">
        <v>3728</v>
      </c>
      <c r="LHO614" s="17">
        <v>44925</v>
      </c>
      <c r="LHP614" s="5" t="s">
        <v>3728</v>
      </c>
      <c r="LHQ614" s="17">
        <v>44925</v>
      </c>
      <c r="LHR614" s="5" t="s">
        <v>3728</v>
      </c>
      <c r="LHS614" s="17">
        <v>44925</v>
      </c>
      <c r="LHT614" s="5" t="s">
        <v>3728</v>
      </c>
      <c r="LHU614" s="17">
        <v>44925</v>
      </c>
      <c r="LHV614" s="5" t="s">
        <v>3728</v>
      </c>
      <c r="LHW614" s="17">
        <v>44925</v>
      </c>
      <c r="LHX614" s="5" t="s">
        <v>3728</v>
      </c>
      <c r="LHY614" s="17">
        <v>44925</v>
      </c>
      <c r="LHZ614" s="5" t="s">
        <v>3728</v>
      </c>
      <c r="LIA614" s="17">
        <v>44925</v>
      </c>
      <c r="LIB614" s="5" t="s">
        <v>3728</v>
      </c>
      <c r="LIC614" s="17">
        <v>44925</v>
      </c>
      <c r="LID614" s="5" t="s">
        <v>3728</v>
      </c>
      <c r="LIE614" s="17">
        <v>44925</v>
      </c>
      <c r="LIF614" s="5" t="s">
        <v>3728</v>
      </c>
      <c r="LIG614" s="17">
        <v>44925</v>
      </c>
      <c r="LIH614" s="5" t="s">
        <v>3728</v>
      </c>
      <c r="LII614" s="17">
        <v>44925</v>
      </c>
      <c r="LIJ614" s="5" t="s">
        <v>3728</v>
      </c>
      <c r="LIK614" s="17">
        <v>44925</v>
      </c>
      <c r="LIL614" s="5" t="s">
        <v>3728</v>
      </c>
      <c r="LIM614" s="17">
        <v>44925</v>
      </c>
      <c r="LIN614" s="5" t="s">
        <v>3728</v>
      </c>
      <c r="LIO614" s="17">
        <v>44925</v>
      </c>
      <c r="LIP614" s="5" t="s">
        <v>3728</v>
      </c>
      <c r="LIQ614" s="17">
        <v>44925</v>
      </c>
      <c r="LIR614" s="5" t="s">
        <v>3728</v>
      </c>
      <c r="LIS614" s="17">
        <v>44925</v>
      </c>
      <c r="LIT614" s="5" t="s">
        <v>3728</v>
      </c>
      <c r="LIU614" s="17">
        <v>44925</v>
      </c>
      <c r="LIV614" s="5" t="s">
        <v>3728</v>
      </c>
      <c r="LIW614" s="17">
        <v>44925</v>
      </c>
      <c r="LIX614" s="5" t="s">
        <v>3728</v>
      </c>
      <c r="LIY614" s="17">
        <v>44925</v>
      </c>
      <c r="LIZ614" s="5" t="s">
        <v>3728</v>
      </c>
      <c r="LJA614" s="17">
        <v>44925</v>
      </c>
      <c r="LJB614" s="5" t="s">
        <v>3728</v>
      </c>
      <c r="LJC614" s="17">
        <v>44925</v>
      </c>
      <c r="LJD614" s="5" t="s">
        <v>3728</v>
      </c>
      <c r="LJE614" s="17">
        <v>44925</v>
      </c>
      <c r="LJF614" s="5" t="s">
        <v>3728</v>
      </c>
      <c r="LJG614" s="17">
        <v>44925</v>
      </c>
      <c r="LJH614" s="5" t="s">
        <v>3728</v>
      </c>
      <c r="LJI614" s="17">
        <v>44925</v>
      </c>
      <c r="LJJ614" s="5" t="s">
        <v>3728</v>
      </c>
      <c r="LJK614" s="17">
        <v>44925</v>
      </c>
      <c r="LJL614" s="5" t="s">
        <v>3728</v>
      </c>
      <c r="LJM614" s="17">
        <v>44925</v>
      </c>
      <c r="LJN614" s="5" t="s">
        <v>3728</v>
      </c>
      <c r="LJO614" s="17">
        <v>44925</v>
      </c>
      <c r="LJP614" s="5" t="s">
        <v>3728</v>
      </c>
      <c r="LJQ614" s="17">
        <v>44925</v>
      </c>
      <c r="LJR614" s="5" t="s">
        <v>3728</v>
      </c>
      <c r="LJS614" s="17">
        <v>44925</v>
      </c>
      <c r="LJT614" s="5" t="s">
        <v>3728</v>
      </c>
      <c r="LJU614" s="17">
        <v>44925</v>
      </c>
      <c r="LJV614" s="5" t="s">
        <v>3728</v>
      </c>
      <c r="LJW614" s="17">
        <v>44925</v>
      </c>
      <c r="LJX614" s="5" t="s">
        <v>3728</v>
      </c>
      <c r="LJY614" s="17">
        <v>44925</v>
      </c>
      <c r="LJZ614" s="5" t="s">
        <v>3728</v>
      </c>
      <c r="LKA614" s="17">
        <v>44925</v>
      </c>
      <c r="LKB614" s="5" t="s">
        <v>3728</v>
      </c>
      <c r="LKC614" s="17">
        <v>44925</v>
      </c>
      <c r="LKD614" s="5" t="s">
        <v>3728</v>
      </c>
      <c r="LKE614" s="17">
        <v>44925</v>
      </c>
      <c r="LKF614" s="5" t="s">
        <v>3728</v>
      </c>
      <c r="LKG614" s="17">
        <v>44925</v>
      </c>
      <c r="LKH614" s="5" t="s">
        <v>3728</v>
      </c>
      <c r="LKI614" s="17">
        <v>44925</v>
      </c>
      <c r="LKJ614" s="5" t="s">
        <v>3728</v>
      </c>
      <c r="LKK614" s="17">
        <v>44925</v>
      </c>
      <c r="LKL614" s="5" t="s">
        <v>3728</v>
      </c>
      <c r="LKM614" s="17">
        <v>44925</v>
      </c>
      <c r="LKN614" s="5" t="s">
        <v>3728</v>
      </c>
      <c r="LKO614" s="17">
        <v>44925</v>
      </c>
      <c r="LKP614" s="5" t="s">
        <v>3728</v>
      </c>
      <c r="LKQ614" s="17">
        <v>44925</v>
      </c>
      <c r="LKR614" s="5" t="s">
        <v>3728</v>
      </c>
      <c r="LKS614" s="17">
        <v>44925</v>
      </c>
      <c r="LKT614" s="5" t="s">
        <v>3728</v>
      </c>
      <c r="LKU614" s="17">
        <v>44925</v>
      </c>
      <c r="LKV614" s="5" t="s">
        <v>3728</v>
      </c>
      <c r="LKW614" s="17">
        <v>44925</v>
      </c>
      <c r="LKX614" s="5" t="s">
        <v>3728</v>
      </c>
      <c r="LKY614" s="17">
        <v>44925</v>
      </c>
      <c r="LKZ614" s="5" t="s">
        <v>3728</v>
      </c>
      <c r="LLA614" s="17">
        <v>44925</v>
      </c>
      <c r="LLB614" s="5" t="s">
        <v>3728</v>
      </c>
      <c r="LLC614" s="17">
        <v>44925</v>
      </c>
      <c r="LLD614" s="5" t="s">
        <v>3728</v>
      </c>
      <c r="LLE614" s="17">
        <v>44925</v>
      </c>
      <c r="LLF614" s="5" t="s">
        <v>3728</v>
      </c>
      <c r="LLG614" s="17">
        <v>44925</v>
      </c>
      <c r="LLH614" s="5" t="s">
        <v>3728</v>
      </c>
      <c r="LLI614" s="17">
        <v>44925</v>
      </c>
      <c r="LLJ614" s="5" t="s">
        <v>3728</v>
      </c>
      <c r="LLK614" s="17">
        <v>44925</v>
      </c>
      <c r="LLL614" s="5" t="s">
        <v>3728</v>
      </c>
      <c r="LLM614" s="17">
        <v>44925</v>
      </c>
      <c r="LLN614" s="5" t="s">
        <v>3728</v>
      </c>
      <c r="LLO614" s="17">
        <v>44925</v>
      </c>
      <c r="LLP614" s="5" t="s">
        <v>3728</v>
      </c>
      <c r="LLQ614" s="17">
        <v>44925</v>
      </c>
      <c r="LLR614" s="5" t="s">
        <v>3728</v>
      </c>
      <c r="LLS614" s="17">
        <v>44925</v>
      </c>
      <c r="LLT614" s="5" t="s">
        <v>3728</v>
      </c>
      <c r="LLU614" s="17">
        <v>44925</v>
      </c>
      <c r="LLV614" s="5" t="s">
        <v>3728</v>
      </c>
      <c r="LLW614" s="17">
        <v>44925</v>
      </c>
      <c r="LLX614" s="5" t="s">
        <v>3728</v>
      </c>
      <c r="LLY614" s="17">
        <v>44925</v>
      </c>
      <c r="LLZ614" s="5" t="s">
        <v>3728</v>
      </c>
      <c r="LMA614" s="17">
        <v>44925</v>
      </c>
      <c r="LMB614" s="5" t="s">
        <v>3728</v>
      </c>
      <c r="LMC614" s="17">
        <v>44925</v>
      </c>
      <c r="LMD614" s="5" t="s">
        <v>3728</v>
      </c>
      <c r="LME614" s="17">
        <v>44925</v>
      </c>
      <c r="LMF614" s="5" t="s">
        <v>3728</v>
      </c>
      <c r="LMG614" s="17">
        <v>44925</v>
      </c>
      <c r="LMH614" s="5" t="s">
        <v>3728</v>
      </c>
      <c r="LMI614" s="17">
        <v>44925</v>
      </c>
      <c r="LMJ614" s="5" t="s">
        <v>3728</v>
      </c>
      <c r="LMK614" s="17">
        <v>44925</v>
      </c>
      <c r="LML614" s="5" t="s">
        <v>3728</v>
      </c>
      <c r="LMM614" s="17">
        <v>44925</v>
      </c>
      <c r="LMN614" s="5" t="s">
        <v>3728</v>
      </c>
      <c r="LMO614" s="17">
        <v>44925</v>
      </c>
      <c r="LMP614" s="5" t="s">
        <v>3728</v>
      </c>
      <c r="LMQ614" s="17">
        <v>44925</v>
      </c>
      <c r="LMR614" s="5" t="s">
        <v>3728</v>
      </c>
      <c r="LMS614" s="17">
        <v>44925</v>
      </c>
      <c r="LMT614" s="5" t="s">
        <v>3728</v>
      </c>
      <c r="LMU614" s="17">
        <v>44925</v>
      </c>
      <c r="LMV614" s="5" t="s">
        <v>3728</v>
      </c>
      <c r="LMW614" s="17">
        <v>44925</v>
      </c>
      <c r="LMX614" s="5" t="s">
        <v>3728</v>
      </c>
      <c r="LMY614" s="17">
        <v>44925</v>
      </c>
      <c r="LMZ614" s="5" t="s">
        <v>3728</v>
      </c>
      <c r="LNA614" s="17">
        <v>44925</v>
      </c>
      <c r="LNB614" s="5" t="s">
        <v>3728</v>
      </c>
      <c r="LNC614" s="17">
        <v>44925</v>
      </c>
      <c r="LND614" s="5" t="s">
        <v>3728</v>
      </c>
      <c r="LNE614" s="17">
        <v>44925</v>
      </c>
      <c r="LNF614" s="5" t="s">
        <v>3728</v>
      </c>
      <c r="LNG614" s="17">
        <v>44925</v>
      </c>
      <c r="LNH614" s="5" t="s">
        <v>3728</v>
      </c>
      <c r="LNI614" s="17">
        <v>44925</v>
      </c>
      <c r="LNJ614" s="5" t="s">
        <v>3728</v>
      </c>
      <c r="LNK614" s="17">
        <v>44925</v>
      </c>
      <c r="LNL614" s="5" t="s">
        <v>3728</v>
      </c>
      <c r="LNM614" s="17">
        <v>44925</v>
      </c>
      <c r="LNN614" s="5" t="s">
        <v>3728</v>
      </c>
      <c r="LNO614" s="17">
        <v>44925</v>
      </c>
      <c r="LNP614" s="5" t="s">
        <v>3728</v>
      </c>
      <c r="LNQ614" s="17">
        <v>44925</v>
      </c>
      <c r="LNR614" s="5" t="s">
        <v>3728</v>
      </c>
      <c r="LNS614" s="17">
        <v>44925</v>
      </c>
      <c r="LNT614" s="5" t="s">
        <v>3728</v>
      </c>
      <c r="LNU614" s="17">
        <v>44925</v>
      </c>
      <c r="LNV614" s="5" t="s">
        <v>3728</v>
      </c>
      <c r="LNW614" s="17">
        <v>44925</v>
      </c>
      <c r="LNX614" s="5" t="s">
        <v>3728</v>
      </c>
      <c r="LNY614" s="17">
        <v>44925</v>
      </c>
      <c r="LNZ614" s="5" t="s">
        <v>3728</v>
      </c>
      <c r="LOA614" s="17">
        <v>44925</v>
      </c>
      <c r="LOB614" s="5" t="s">
        <v>3728</v>
      </c>
      <c r="LOC614" s="17">
        <v>44925</v>
      </c>
      <c r="LOD614" s="5" t="s">
        <v>3728</v>
      </c>
      <c r="LOE614" s="17">
        <v>44925</v>
      </c>
      <c r="LOF614" s="5" t="s">
        <v>3728</v>
      </c>
      <c r="LOG614" s="17">
        <v>44925</v>
      </c>
      <c r="LOH614" s="5" t="s">
        <v>3728</v>
      </c>
      <c r="LOI614" s="17">
        <v>44925</v>
      </c>
      <c r="LOJ614" s="5" t="s">
        <v>3728</v>
      </c>
      <c r="LOK614" s="17">
        <v>44925</v>
      </c>
      <c r="LOL614" s="5" t="s">
        <v>3728</v>
      </c>
      <c r="LOM614" s="17">
        <v>44925</v>
      </c>
      <c r="LON614" s="5" t="s">
        <v>3728</v>
      </c>
      <c r="LOO614" s="17">
        <v>44925</v>
      </c>
      <c r="LOP614" s="5" t="s">
        <v>3728</v>
      </c>
      <c r="LOQ614" s="17">
        <v>44925</v>
      </c>
      <c r="LOR614" s="5" t="s">
        <v>3728</v>
      </c>
      <c r="LOS614" s="17">
        <v>44925</v>
      </c>
      <c r="LOT614" s="5" t="s">
        <v>3728</v>
      </c>
      <c r="LOU614" s="17">
        <v>44925</v>
      </c>
      <c r="LOV614" s="5" t="s">
        <v>3728</v>
      </c>
      <c r="LOW614" s="17">
        <v>44925</v>
      </c>
      <c r="LOX614" s="5" t="s">
        <v>3728</v>
      </c>
      <c r="LOY614" s="17">
        <v>44925</v>
      </c>
      <c r="LOZ614" s="5" t="s">
        <v>3728</v>
      </c>
      <c r="LPA614" s="17">
        <v>44925</v>
      </c>
      <c r="LPB614" s="5" t="s">
        <v>3728</v>
      </c>
      <c r="LPC614" s="17">
        <v>44925</v>
      </c>
      <c r="LPD614" s="5" t="s">
        <v>3728</v>
      </c>
      <c r="LPE614" s="17">
        <v>44925</v>
      </c>
      <c r="LPF614" s="5" t="s">
        <v>3728</v>
      </c>
      <c r="LPG614" s="17">
        <v>44925</v>
      </c>
      <c r="LPH614" s="5" t="s">
        <v>3728</v>
      </c>
      <c r="LPI614" s="17">
        <v>44925</v>
      </c>
      <c r="LPJ614" s="5" t="s">
        <v>3728</v>
      </c>
      <c r="LPK614" s="17">
        <v>44925</v>
      </c>
      <c r="LPL614" s="5" t="s">
        <v>3728</v>
      </c>
      <c r="LPM614" s="17">
        <v>44925</v>
      </c>
      <c r="LPN614" s="5" t="s">
        <v>3728</v>
      </c>
      <c r="LPO614" s="17">
        <v>44925</v>
      </c>
      <c r="LPP614" s="5" t="s">
        <v>3728</v>
      </c>
      <c r="LPQ614" s="17">
        <v>44925</v>
      </c>
      <c r="LPR614" s="5" t="s">
        <v>3728</v>
      </c>
      <c r="LPS614" s="17">
        <v>44925</v>
      </c>
      <c r="LPT614" s="5" t="s">
        <v>3728</v>
      </c>
      <c r="LPU614" s="17">
        <v>44925</v>
      </c>
      <c r="LPV614" s="5" t="s">
        <v>3728</v>
      </c>
      <c r="LPW614" s="17">
        <v>44925</v>
      </c>
      <c r="LPX614" s="5" t="s">
        <v>3728</v>
      </c>
      <c r="LPY614" s="17">
        <v>44925</v>
      </c>
      <c r="LPZ614" s="5" t="s">
        <v>3728</v>
      </c>
      <c r="LQA614" s="17">
        <v>44925</v>
      </c>
      <c r="LQB614" s="5" t="s">
        <v>3728</v>
      </c>
      <c r="LQC614" s="17">
        <v>44925</v>
      </c>
      <c r="LQD614" s="5" t="s">
        <v>3728</v>
      </c>
      <c r="LQE614" s="17">
        <v>44925</v>
      </c>
      <c r="LQF614" s="5" t="s">
        <v>3728</v>
      </c>
      <c r="LQG614" s="17">
        <v>44925</v>
      </c>
      <c r="LQH614" s="5" t="s">
        <v>3728</v>
      </c>
      <c r="LQI614" s="17">
        <v>44925</v>
      </c>
      <c r="LQJ614" s="5" t="s">
        <v>3728</v>
      </c>
      <c r="LQK614" s="17">
        <v>44925</v>
      </c>
      <c r="LQL614" s="5" t="s">
        <v>3728</v>
      </c>
      <c r="LQM614" s="17">
        <v>44925</v>
      </c>
      <c r="LQN614" s="5" t="s">
        <v>3728</v>
      </c>
      <c r="LQO614" s="17">
        <v>44925</v>
      </c>
      <c r="LQP614" s="5" t="s">
        <v>3728</v>
      </c>
      <c r="LQQ614" s="17">
        <v>44925</v>
      </c>
      <c r="LQR614" s="5" t="s">
        <v>3728</v>
      </c>
      <c r="LQS614" s="17">
        <v>44925</v>
      </c>
      <c r="LQT614" s="5" t="s">
        <v>3728</v>
      </c>
      <c r="LQU614" s="17">
        <v>44925</v>
      </c>
      <c r="LQV614" s="5" t="s">
        <v>3728</v>
      </c>
      <c r="LQW614" s="17">
        <v>44925</v>
      </c>
      <c r="LQX614" s="5" t="s">
        <v>3728</v>
      </c>
      <c r="LQY614" s="17">
        <v>44925</v>
      </c>
      <c r="LQZ614" s="5" t="s">
        <v>3728</v>
      </c>
      <c r="LRA614" s="17">
        <v>44925</v>
      </c>
      <c r="LRB614" s="5" t="s">
        <v>3728</v>
      </c>
      <c r="LRC614" s="17">
        <v>44925</v>
      </c>
      <c r="LRD614" s="5" t="s">
        <v>3728</v>
      </c>
      <c r="LRE614" s="17">
        <v>44925</v>
      </c>
      <c r="LRF614" s="5" t="s">
        <v>3728</v>
      </c>
      <c r="LRG614" s="17">
        <v>44925</v>
      </c>
      <c r="LRH614" s="5" t="s">
        <v>3728</v>
      </c>
      <c r="LRI614" s="17">
        <v>44925</v>
      </c>
      <c r="LRJ614" s="5" t="s">
        <v>3728</v>
      </c>
      <c r="LRK614" s="17">
        <v>44925</v>
      </c>
      <c r="LRL614" s="5" t="s">
        <v>3728</v>
      </c>
      <c r="LRM614" s="17">
        <v>44925</v>
      </c>
      <c r="LRN614" s="5" t="s">
        <v>3728</v>
      </c>
      <c r="LRO614" s="17">
        <v>44925</v>
      </c>
      <c r="LRP614" s="5" t="s">
        <v>3728</v>
      </c>
      <c r="LRQ614" s="17">
        <v>44925</v>
      </c>
      <c r="LRR614" s="5" t="s">
        <v>3728</v>
      </c>
      <c r="LRS614" s="17">
        <v>44925</v>
      </c>
      <c r="LRT614" s="5" t="s">
        <v>3728</v>
      </c>
      <c r="LRU614" s="17">
        <v>44925</v>
      </c>
      <c r="LRV614" s="5" t="s">
        <v>3728</v>
      </c>
      <c r="LRW614" s="17">
        <v>44925</v>
      </c>
      <c r="LRX614" s="5" t="s">
        <v>3728</v>
      </c>
      <c r="LRY614" s="17">
        <v>44925</v>
      </c>
      <c r="LRZ614" s="5" t="s">
        <v>3728</v>
      </c>
      <c r="LSA614" s="17">
        <v>44925</v>
      </c>
      <c r="LSB614" s="5" t="s">
        <v>3728</v>
      </c>
      <c r="LSC614" s="17">
        <v>44925</v>
      </c>
      <c r="LSD614" s="5" t="s">
        <v>3728</v>
      </c>
      <c r="LSE614" s="17">
        <v>44925</v>
      </c>
      <c r="LSF614" s="5" t="s">
        <v>3728</v>
      </c>
      <c r="LSG614" s="17">
        <v>44925</v>
      </c>
      <c r="LSH614" s="5" t="s">
        <v>3728</v>
      </c>
      <c r="LSI614" s="17">
        <v>44925</v>
      </c>
      <c r="LSJ614" s="5" t="s">
        <v>3728</v>
      </c>
      <c r="LSK614" s="17">
        <v>44925</v>
      </c>
      <c r="LSL614" s="5" t="s">
        <v>3728</v>
      </c>
      <c r="LSM614" s="17">
        <v>44925</v>
      </c>
      <c r="LSN614" s="5" t="s">
        <v>3728</v>
      </c>
      <c r="LSO614" s="17">
        <v>44925</v>
      </c>
      <c r="LSP614" s="5" t="s">
        <v>3728</v>
      </c>
      <c r="LSQ614" s="17">
        <v>44925</v>
      </c>
      <c r="LSR614" s="5" t="s">
        <v>3728</v>
      </c>
      <c r="LSS614" s="17">
        <v>44925</v>
      </c>
      <c r="LST614" s="5" t="s">
        <v>3728</v>
      </c>
      <c r="LSU614" s="17">
        <v>44925</v>
      </c>
      <c r="LSV614" s="5" t="s">
        <v>3728</v>
      </c>
      <c r="LSW614" s="17">
        <v>44925</v>
      </c>
      <c r="LSX614" s="5" t="s">
        <v>3728</v>
      </c>
      <c r="LSY614" s="17">
        <v>44925</v>
      </c>
      <c r="LSZ614" s="5" t="s">
        <v>3728</v>
      </c>
      <c r="LTA614" s="17">
        <v>44925</v>
      </c>
      <c r="LTB614" s="5" t="s">
        <v>3728</v>
      </c>
      <c r="LTC614" s="17">
        <v>44925</v>
      </c>
      <c r="LTD614" s="5" t="s">
        <v>3728</v>
      </c>
      <c r="LTE614" s="17">
        <v>44925</v>
      </c>
      <c r="LTF614" s="5" t="s">
        <v>3728</v>
      </c>
      <c r="LTG614" s="17">
        <v>44925</v>
      </c>
      <c r="LTH614" s="5" t="s">
        <v>3728</v>
      </c>
      <c r="LTI614" s="17">
        <v>44925</v>
      </c>
      <c r="LTJ614" s="5" t="s">
        <v>3728</v>
      </c>
      <c r="LTK614" s="17">
        <v>44925</v>
      </c>
      <c r="LTL614" s="5" t="s">
        <v>3728</v>
      </c>
      <c r="LTM614" s="17">
        <v>44925</v>
      </c>
      <c r="LTN614" s="5" t="s">
        <v>3728</v>
      </c>
      <c r="LTO614" s="17">
        <v>44925</v>
      </c>
      <c r="LTP614" s="5" t="s">
        <v>3728</v>
      </c>
      <c r="LTQ614" s="17">
        <v>44925</v>
      </c>
      <c r="LTR614" s="5" t="s">
        <v>3728</v>
      </c>
      <c r="LTS614" s="17">
        <v>44925</v>
      </c>
      <c r="LTT614" s="5" t="s">
        <v>3728</v>
      </c>
      <c r="LTU614" s="17">
        <v>44925</v>
      </c>
      <c r="LTV614" s="5" t="s">
        <v>3728</v>
      </c>
      <c r="LTW614" s="17">
        <v>44925</v>
      </c>
      <c r="LTX614" s="5" t="s">
        <v>3728</v>
      </c>
      <c r="LTY614" s="17">
        <v>44925</v>
      </c>
      <c r="LTZ614" s="5" t="s">
        <v>3728</v>
      </c>
      <c r="LUA614" s="17">
        <v>44925</v>
      </c>
      <c r="LUB614" s="5" t="s">
        <v>3728</v>
      </c>
      <c r="LUC614" s="17">
        <v>44925</v>
      </c>
      <c r="LUD614" s="5" t="s">
        <v>3728</v>
      </c>
      <c r="LUE614" s="17">
        <v>44925</v>
      </c>
      <c r="LUF614" s="5" t="s">
        <v>3728</v>
      </c>
      <c r="LUG614" s="17">
        <v>44925</v>
      </c>
      <c r="LUH614" s="5" t="s">
        <v>3728</v>
      </c>
      <c r="LUI614" s="17">
        <v>44925</v>
      </c>
      <c r="LUJ614" s="5" t="s">
        <v>3728</v>
      </c>
      <c r="LUK614" s="17">
        <v>44925</v>
      </c>
      <c r="LUL614" s="5" t="s">
        <v>3728</v>
      </c>
      <c r="LUM614" s="17">
        <v>44925</v>
      </c>
      <c r="LUN614" s="5" t="s">
        <v>3728</v>
      </c>
      <c r="LUO614" s="17">
        <v>44925</v>
      </c>
      <c r="LUP614" s="5" t="s">
        <v>3728</v>
      </c>
      <c r="LUQ614" s="17">
        <v>44925</v>
      </c>
      <c r="LUR614" s="5" t="s">
        <v>3728</v>
      </c>
      <c r="LUS614" s="17">
        <v>44925</v>
      </c>
      <c r="LUT614" s="5" t="s">
        <v>3728</v>
      </c>
      <c r="LUU614" s="17">
        <v>44925</v>
      </c>
      <c r="LUV614" s="5" t="s">
        <v>3728</v>
      </c>
      <c r="LUW614" s="17">
        <v>44925</v>
      </c>
      <c r="LUX614" s="5" t="s">
        <v>3728</v>
      </c>
      <c r="LUY614" s="17">
        <v>44925</v>
      </c>
      <c r="LUZ614" s="5" t="s">
        <v>3728</v>
      </c>
      <c r="LVA614" s="17">
        <v>44925</v>
      </c>
      <c r="LVB614" s="5" t="s">
        <v>3728</v>
      </c>
      <c r="LVC614" s="17">
        <v>44925</v>
      </c>
      <c r="LVD614" s="5" t="s">
        <v>3728</v>
      </c>
      <c r="LVE614" s="17">
        <v>44925</v>
      </c>
      <c r="LVF614" s="5" t="s">
        <v>3728</v>
      </c>
      <c r="LVG614" s="17">
        <v>44925</v>
      </c>
      <c r="LVH614" s="5" t="s">
        <v>3728</v>
      </c>
      <c r="LVI614" s="17">
        <v>44925</v>
      </c>
      <c r="LVJ614" s="5" t="s">
        <v>3728</v>
      </c>
      <c r="LVK614" s="17">
        <v>44925</v>
      </c>
      <c r="LVL614" s="5" t="s">
        <v>3728</v>
      </c>
      <c r="LVM614" s="17">
        <v>44925</v>
      </c>
      <c r="LVN614" s="5" t="s">
        <v>3728</v>
      </c>
      <c r="LVO614" s="17">
        <v>44925</v>
      </c>
      <c r="LVP614" s="5" t="s">
        <v>3728</v>
      </c>
      <c r="LVQ614" s="17">
        <v>44925</v>
      </c>
      <c r="LVR614" s="5" t="s">
        <v>3728</v>
      </c>
      <c r="LVS614" s="17">
        <v>44925</v>
      </c>
      <c r="LVT614" s="5" t="s">
        <v>3728</v>
      </c>
      <c r="LVU614" s="17">
        <v>44925</v>
      </c>
      <c r="LVV614" s="5" t="s">
        <v>3728</v>
      </c>
      <c r="LVW614" s="17">
        <v>44925</v>
      </c>
      <c r="LVX614" s="5" t="s">
        <v>3728</v>
      </c>
      <c r="LVY614" s="17">
        <v>44925</v>
      </c>
      <c r="LVZ614" s="5" t="s">
        <v>3728</v>
      </c>
      <c r="LWA614" s="17">
        <v>44925</v>
      </c>
      <c r="LWB614" s="5" t="s">
        <v>3728</v>
      </c>
      <c r="LWC614" s="17">
        <v>44925</v>
      </c>
      <c r="LWD614" s="5" t="s">
        <v>3728</v>
      </c>
      <c r="LWE614" s="17">
        <v>44925</v>
      </c>
      <c r="LWF614" s="5" t="s">
        <v>3728</v>
      </c>
      <c r="LWG614" s="17">
        <v>44925</v>
      </c>
      <c r="LWH614" s="5" t="s">
        <v>3728</v>
      </c>
      <c r="LWI614" s="17">
        <v>44925</v>
      </c>
      <c r="LWJ614" s="5" t="s">
        <v>3728</v>
      </c>
      <c r="LWK614" s="17">
        <v>44925</v>
      </c>
      <c r="LWL614" s="5" t="s">
        <v>3728</v>
      </c>
      <c r="LWM614" s="17">
        <v>44925</v>
      </c>
      <c r="LWN614" s="5" t="s">
        <v>3728</v>
      </c>
      <c r="LWO614" s="17">
        <v>44925</v>
      </c>
      <c r="LWP614" s="5" t="s">
        <v>3728</v>
      </c>
      <c r="LWQ614" s="17">
        <v>44925</v>
      </c>
      <c r="LWR614" s="5" t="s">
        <v>3728</v>
      </c>
      <c r="LWS614" s="17">
        <v>44925</v>
      </c>
      <c r="LWT614" s="5" t="s">
        <v>3728</v>
      </c>
      <c r="LWU614" s="17">
        <v>44925</v>
      </c>
      <c r="LWV614" s="5" t="s">
        <v>3728</v>
      </c>
      <c r="LWW614" s="17">
        <v>44925</v>
      </c>
      <c r="LWX614" s="5" t="s">
        <v>3728</v>
      </c>
      <c r="LWY614" s="17">
        <v>44925</v>
      </c>
      <c r="LWZ614" s="5" t="s">
        <v>3728</v>
      </c>
      <c r="LXA614" s="17">
        <v>44925</v>
      </c>
      <c r="LXB614" s="5" t="s">
        <v>3728</v>
      </c>
      <c r="LXC614" s="17">
        <v>44925</v>
      </c>
      <c r="LXD614" s="5" t="s">
        <v>3728</v>
      </c>
      <c r="LXE614" s="17">
        <v>44925</v>
      </c>
      <c r="LXF614" s="5" t="s">
        <v>3728</v>
      </c>
      <c r="LXG614" s="17">
        <v>44925</v>
      </c>
      <c r="LXH614" s="5" t="s">
        <v>3728</v>
      </c>
      <c r="LXI614" s="17">
        <v>44925</v>
      </c>
      <c r="LXJ614" s="5" t="s">
        <v>3728</v>
      </c>
      <c r="LXK614" s="17">
        <v>44925</v>
      </c>
      <c r="LXL614" s="5" t="s">
        <v>3728</v>
      </c>
      <c r="LXM614" s="17">
        <v>44925</v>
      </c>
      <c r="LXN614" s="5" t="s">
        <v>3728</v>
      </c>
      <c r="LXO614" s="17">
        <v>44925</v>
      </c>
      <c r="LXP614" s="5" t="s">
        <v>3728</v>
      </c>
      <c r="LXQ614" s="17">
        <v>44925</v>
      </c>
      <c r="LXR614" s="5" t="s">
        <v>3728</v>
      </c>
      <c r="LXS614" s="17">
        <v>44925</v>
      </c>
      <c r="LXT614" s="5" t="s">
        <v>3728</v>
      </c>
      <c r="LXU614" s="17">
        <v>44925</v>
      </c>
      <c r="LXV614" s="5" t="s">
        <v>3728</v>
      </c>
      <c r="LXW614" s="17">
        <v>44925</v>
      </c>
      <c r="LXX614" s="5" t="s">
        <v>3728</v>
      </c>
      <c r="LXY614" s="17">
        <v>44925</v>
      </c>
      <c r="LXZ614" s="5" t="s">
        <v>3728</v>
      </c>
      <c r="LYA614" s="17">
        <v>44925</v>
      </c>
      <c r="LYB614" s="5" t="s">
        <v>3728</v>
      </c>
      <c r="LYC614" s="17">
        <v>44925</v>
      </c>
      <c r="LYD614" s="5" t="s">
        <v>3728</v>
      </c>
      <c r="LYE614" s="17">
        <v>44925</v>
      </c>
      <c r="LYF614" s="5" t="s">
        <v>3728</v>
      </c>
      <c r="LYG614" s="17">
        <v>44925</v>
      </c>
      <c r="LYH614" s="5" t="s">
        <v>3728</v>
      </c>
      <c r="LYI614" s="17">
        <v>44925</v>
      </c>
      <c r="LYJ614" s="5" t="s">
        <v>3728</v>
      </c>
      <c r="LYK614" s="17">
        <v>44925</v>
      </c>
      <c r="LYL614" s="5" t="s">
        <v>3728</v>
      </c>
      <c r="LYM614" s="17">
        <v>44925</v>
      </c>
      <c r="LYN614" s="5" t="s">
        <v>3728</v>
      </c>
      <c r="LYO614" s="17">
        <v>44925</v>
      </c>
      <c r="LYP614" s="5" t="s">
        <v>3728</v>
      </c>
      <c r="LYQ614" s="17">
        <v>44925</v>
      </c>
      <c r="LYR614" s="5" t="s">
        <v>3728</v>
      </c>
      <c r="LYS614" s="17">
        <v>44925</v>
      </c>
      <c r="LYT614" s="5" t="s">
        <v>3728</v>
      </c>
      <c r="LYU614" s="17">
        <v>44925</v>
      </c>
      <c r="LYV614" s="5" t="s">
        <v>3728</v>
      </c>
      <c r="LYW614" s="17">
        <v>44925</v>
      </c>
      <c r="LYX614" s="5" t="s">
        <v>3728</v>
      </c>
      <c r="LYY614" s="17">
        <v>44925</v>
      </c>
      <c r="LYZ614" s="5" t="s">
        <v>3728</v>
      </c>
      <c r="LZA614" s="17">
        <v>44925</v>
      </c>
      <c r="LZB614" s="5" t="s">
        <v>3728</v>
      </c>
      <c r="LZC614" s="17">
        <v>44925</v>
      </c>
      <c r="LZD614" s="5" t="s">
        <v>3728</v>
      </c>
      <c r="LZE614" s="17">
        <v>44925</v>
      </c>
      <c r="LZF614" s="5" t="s">
        <v>3728</v>
      </c>
      <c r="LZG614" s="17">
        <v>44925</v>
      </c>
      <c r="LZH614" s="5" t="s">
        <v>3728</v>
      </c>
      <c r="LZI614" s="17">
        <v>44925</v>
      </c>
      <c r="LZJ614" s="5" t="s">
        <v>3728</v>
      </c>
      <c r="LZK614" s="17">
        <v>44925</v>
      </c>
      <c r="LZL614" s="5" t="s">
        <v>3728</v>
      </c>
      <c r="LZM614" s="17">
        <v>44925</v>
      </c>
      <c r="LZN614" s="5" t="s">
        <v>3728</v>
      </c>
      <c r="LZO614" s="17">
        <v>44925</v>
      </c>
      <c r="LZP614" s="5" t="s">
        <v>3728</v>
      </c>
      <c r="LZQ614" s="17">
        <v>44925</v>
      </c>
      <c r="LZR614" s="5" t="s">
        <v>3728</v>
      </c>
      <c r="LZS614" s="17">
        <v>44925</v>
      </c>
      <c r="LZT614" s="5" t="s">
        <v>3728</v>
      </c>
      <c r="LZU614" s="17">
        <v>44925</v>
      </c>
      <c r="LZV614" s="5" t="s">
        <v>3728</v>
      </c>
      <c r="LZW614" s="17">
        <v>44925</v>
      </c>
      <c r="LZX614" s="5" t="s">
        <v>3728</v>
      </c>
      <c r="LZY614" s="17">
        <v>44925</v>
      </c>
      <c r="LZZ614" s="5" t="s">
        <v>3728</v>
      </c>
      <c r="MAA614" s="17">
        <v>44925</v>
      </c>
      <c r="MAB614" s="5" t="s">
        <v>3728</v>
      </c>
      <c r="MAC614" s="17">
        <v>44925</v>
      </c>
      <c r="MAD614" s="5" t="s">
        <v>3728</v>
      </c>
      <c r="MAE614" s="17">
        <v>44925</v>
      </c>
      <c r="MAF614" s="5" t="s">
        <v>3728</v>
      </c>
      <c r="MAG614" s="17">
        <v>44925</v>
      </c>
      <c r="MAH614" s="5" t="s">
        <v>3728</v>
      </c>
      <c r="MAI614" s="17">
        <v>44925</v>
      </c>
      <c r="MAJ614" s="5" t="s">
        <v>3728</v>
      </c>
      <c r="MAK614" s="17">
        <v>44925</v>
      </c>
      <c r="MAL614" s="5" t="s">
        <v>3728</v>
      </c>
      <c r="MAM614" s="17">
        <v>44925</v>
      </c>
      <c r="MAN614" s="5" t="s">
        <v>3728</v>
      </c>
      <c r="MAO614" s="17">
        <v>44925</v>
      </c>
      <c r="MAP614" s="5" t="s">
        <v>3728</v>
      </c>
      <c r="MAQ614" s="17">
        <v>44925</v>
      </c>
      <c r="MAR614" s="5" t="s">
        <v>3728</v>
      </c>
      <c r="MAS614" s="17">
        <v>44925</v>
      </c>
      <c r="MAT614" s="5" t="s">
        <v>3728</v>
      </c>
      <c r="MAU614" s="17">
        <v>44925</v>
      </c>
      <c r="MAV614" s="5" t="s">
        <v>3728</v>
      </c>
      <c r="MAW614" s="17">
        <v>44925</v>
      </c>
      <c r="MAX614" s="5" t="s">
        <v>3728</v>
      </c>
      <c r="MAY614" s="17">
        <v>44925</v>
      </c>
      <c r="MAZ614" s="5" t="s">
        <v>3728</v>
      </c>
      <c r="MBA614" s="17">
        <v>44925</v>
      </c>
      <c r="MBB614" s="5" t="s">
        <v>3728</v>
      </c>
      <c r="MBC614" s="17">
        <v>44925</v>
      </c>
      <c r="MBD614" s="5" t="s">
        <v>3728</v>
      </c>
      <c r="MBE614" s="17">
        <v>44925</v>
      </c>
      <c r="MBF614" s="5" t="s">
        <v>3728</v>
      </c>
      <c r="MBG614" s="17">
        <v>44925</v>
      </c>
      <c r="MBH614" s="5" t="s">
        <v>3728</v>
      </c>
      <c r="MBI614" s="17">
        <v>44925</v>
      </c>
      <c r="MBJ614" s="5" t="s">
        <v>3728</v>
      </c>
      <c r="MBK614" s="17">
        <v>44925</v>
      </c>
      <c r="MBL614" s="5" t="s">
        <v>3728</v>
      </c>
      <c r="MBM614" s="17">
        <v>44925</v>
      </c>
      <c r="MBN614" s="5" t="s">
        <v>3728</v>
      </c>
      <c r="MBO614" s="17">
        <v>44925</v>
      </c>
      <c r="MBP614" s="5" t="s">
        <v>3728</v>
      </c>
      <c r="MBQ614" s="17">
        <v>44925</v>
      </c>
      <c r="MBR614" s="5" t="s">
        <v>3728</v>
      </c>
      <c r="MBS614" s="17">
        <v>44925</v>
      </c>
      <c r="MBT614" s="5" t="s">
        <v>3728</v>
      </c>
      <c r="MBU614" s="17">
        <v>44925</v>
      </c>
      <c r="MBV614" s="5" t="s">
        <v>3728</v>
      </c>
      <c r="MBW614" s="17">
        <v>44925</v>
      </c>
      <c r="MBX614" s="5" t="s">
        <v>3728</v>
      </c>
      <c r="MBY614" s="17">
        <v>44925</v>
      </c>
      <c r="MBZ614" s="5" t="s">
        <v>3728</v>
      </c>
      <c r="MCA614" s="17">
        <v>44925</v>
      </c>
      <c r="MCB614" s="5" t="s">
        <v>3728</v>
      </c>
      <c r="MCC614" s="17">
        <v>44925</v>
      </c>
      <c r="MCD614" s="5" t="s">
        <v>3728</v>
      </c>
      <c r="MCE614" s="17">
        <v>44925</v>
      </c>
      <c r="MCF614" s="5" t="s">
        <v>3728</v>
      </c>
      <c r="MCG614" s="17">
        <v>44925</v>
      </c>
      <c r="MCH614" s="5" t="s">
        <v>3728</v>
      </c>
      <c r="MCI614" s="17">
        <v>44925</v>
      </c>
      <c r="MCJ614" s="5" t="s">
        <v>3728</v>
      </c>
      <c r="MCK614" s="17">
        <v>44925</v>
      </c>
      <c r="MCL614" s="5" t="s">
        <v>3728</v>
      </c>
      <c r="MCM614" s="17">
        <v>44925</v>
      </c>
      <c r="MCN614" s="5" t="s">
        <v>3728</v>
      </c>
      <c r="MCO614" s="17">
        <v>44925</v>
      </c>
      <c r="MCP614" s="5" t="s">
        <v>3728</v>
      </c>
      <c r="MCQ614" s="17">
        <v>44925</v>
      </c>
      <c r="MCR614" s="5" t="s">
        <v>3728</v>
      </c>
      <c r="MCS614" s="17">
        <v>44925</v>
      </c>
      <c r="MCT614" s="5" t="s">
        <v>3728</v>
      </c>
      <c r="MCU614" s="17">
        <v>44925</v>
      </c>
      <c r="MCV614" s="5" t="s">
        <v>3728</v>
      </c>
      <c r="MCW614" s="17">
        <v>44925</v>
      </c>
      <c r="MCX614" s="5" t="s">
        <v>3728</v>
      </c>
      <c r="MCY614" s="17">
        <v>44925</v>
      </c>
      <c r="MCZ614" s="5" t="s">
        <v>3728</v>
      </c>
      <c r="MDA614" s="17">
        <v>44925</v>
      </c>
      <c r="MDB614" s="5" t="s">
        <v>3728</v>
      </c>
      <c r="MDC614" s="17">
        <v>44925</v>
      </c>
      <c r="MDD614" s="5" t="s">
        <v>3728</v>
      </c>
      <c r="MDE614" s="17">
        <v>44925</v>
      </c>
      <c r="MDF614" s="5" t="s">
        <v>3728</v>
      </c>
      <c r="MDG614" s="17">
        <v>44925</v>
      </c>
      <c r="MDH614" s="5" t="s">
        <v>3728</v>
      </c>
      <c r="MDI614" s="17">
        <v>44925</v>
      </c>
      <c r="MDJ614" s="5" t="s">
        <v>3728</v>
      </c>
      <c r="MDK614" s="17">
        <v>44925</v>
      </c>
      <c r="MDL614" s="5" t="s">
        <v>3728</v>
      </c>
      <c r="MDM614" s="17">
        <v>44925</v>
      </c>
      <c r="MDN614" s="5" t="s">
        <v>3728</v>
      </c>
      <c r="MDO614" s="17">
        <v>44925</v>
      </c>
      <c r="MDP614" s="5" t="s">
        <v>3728</v>
      </c>
      <c r="MDQ614" s="17">
        <v>44925</v>
      </c>
      <c r="MDR614" s="5" t="s">
        <v>3728</v>
      </c>
      <c r="MDS614" s="17">
        <v>44925</v>
      </c>
      <c r="MDT614" s="5" t="s">
        <v>3728</v>
      </c>
      <c r="MDU614" s="17">
        <v>44925</v>
      </c>
      <c r="MDV614" s="5" t="s">
        <v>3728</v>
      </c>
      <c r="MDW614" s="17">
        <v>44925</v>
      </c>
      <c r="MDX614" s="5" t="s">
        <v>3728</v>
      </c>
      <c r="MDY614" s="17">
        <v>44925</v>
      </c>
      <c r="MDZ614" s="5" t="s">
        <v>3728</v>
      </c>
      <c r="MEA614" s="17">
        <v>44925</v>
      </c>
      <c r="MEB614" s="5" t="s">
        <v>3728</v>
      </c>
      <c r="MEC614" s="17">
        <v>44925</v>
      </c>
      <c r="MED614" s="5" t="s">
        <v>3728</v>
      </c>
      <c r="MEE614" s="17">
        <v>44925</v>
      </c>
      <c r="MEF614" s="5" t="s">
        <v>3728</v>
      </c>
      <c r="MEG614" s="17">
        <v>44925</v>
      </c>
      <c r="MEH614" s="5" t="s">
        <v>3728</v>
      </c>
      <c r="MEI614" s="17">
        <v>44925</v>
      </c>
      <c r="MEJ614" s="5" t="s">
        <v>3728</v>
      </c>
      <c r="MEK614" s="17">
        <v>44925</v>
      </c>
      <c r="MEL614" s="5" t="s">
        <v>3728</v>
      </c>
      <c r="MEM614" s="17">
        <v>44925</v>
      </c>
      <c r="MEN614" s="5" t="s">
        <v>3728</v>
      </c>
      <c r="MEO614" s="17">
        <v>44925</v>
      </c>
      <c r="MEP614" s="5" t="s">
        <v>3728</v>
      </c>
      <c r="MEQ614" s="17">
        <v>44925</v>
      </c>
      <c r="MER614" s="5" t="s">
        <v>3728</v>
      </c>
      <c r="MES614" s="17">
        <v>44925</v>
      </c>
      <c r="MET614" s="5" t="s">
        <v>3728</v>
      </c>
      <c r="MEU614" s="17">
        <v>44925</v>
      </c>
      <c r="MEV614" s="5" t="s">
        <v>3728</v>
      </c>
      <c r="MEW614" s="17">
        <v>44925</v>
      </c>
      <c r="MEX614" s="5" t="s">
        <v>3728</v>
      </c>
      <c r="MEY614" s="17">
        <v>44925</v>
      </c>
      <c r="MEZ614" s="5" t="s">
        <v>3728</v>
      </c>
      <c r="MFA614" s="17">
        <v>44925</v>
      </c>
      <c r="MFB614" s="5" t="s">
        <v>3728</v>
      </c>
      <c r="MFC614" s="17">
        <v>44925</v>
      </c>
      <c r="MFD614" s="5" t="s">
        <v>3728</v>
      </c>
      <c r="MFE614" s="17">
        <v>44925</v>
      </c>
      <c r="MFF614" s="5" t="s">
        <v>3728</v>
      </c>
      <c r="MFG614" s="17">
        <v>44925</v>
      </c>
      <c r="MFH614" s="5" t="s">
        <v>3728</v>
      </c>
      <c r="MFI614" s="17">
        <v>44925</v>
      </c>
      <c r="MFJ614" s="5" t="s">
        <v>3728</v>
      </c>
      <c r="MFK614" s="17">
        <v>44925</v>
      </c>
      <c r="MFL614" s="5" t="s">
        <v>3728</v>
      </c>
      <c r="MFM614" s="17">
        <v>44925</v>
      </c>
      <c r="MFN614" s="5" t="s">
        <v>3728</v>
      </c>
      <c r="MFO614" s="17">
        <v>44925</v>
      </c>
      <c r="MFP614" s="5" t="s">
        <v>3728</v>
      </c>
      <c r="MFQ614" s="17">
        <v>44925</v>
      </c>
      <c r="MFR614" s="5" t="s">
        <v>3728</v>
      </c>
      <c r="MFS614" s="17">
        <v>44925</v>
      </c>
      <c r="MFT614" s="5" t="s">
        <v>3728</v>
      </c>
      <c r="MFU614" s="17">
        <v>44925</v>
      </c>
      <c r="MFV614" s="5" t="s">
        <v>3728</v>
      </c>
      <c r="MFW614" s="17">
        <v>44925</v>
      </c>
      <c r="MFX614" s="5" t="s">
        <v>3728</v>
      </c>
      <c r="MFY614" s="17">
        <v>44925</v>
      </c>
      <c r="MFZ614" s="5" t="s">
        <v>3728</v>
      </c>
      <c r="MGA614" s="17">
        <v>44925</v>
      </c>
      <c r="MGB614" s="5" t="s">
        <v>3728</v>
      </c>
      <c r="MGC614" s="17">
        <v>44925</v>
      </c>
      <c r="MGD614" s="5" t="s">
        <v>3728</v>
      </c>
      <c r="MGE614" s="17">
        <v>44925</v>
      </c>
      <c r="MGF614" s="5" t="s">
        <v>3728</v>
      </c>
      <c r="MGG614" s="17">
        <v>44925</v>
      </c>
      <c r="MGH614" s="5" t="s">
        <v>3728</v>
      </c>
      <c r="MGI614" s="17">
        <v>44925</v>
      </c>
      <c r="MGJ614" s="5" t="s">
        <v>3728</v>
      </c>
      <c r="MGK614" s="17">
        <v>44925</v>
      </c>
      <c r="MGL614" s="5" t="s">
        <v>3728</v>
      </c>
      <c r="MGM614" s="17">
        <v>44925</v>
      </c>
      <c r="MGN614" s="5" t="s">
        <v>3728</v>
      </c>
      <c r="MGO614" s="17">
        <v>44925</v>
      </c>
      <c r="MGP614" s="5" t="s">
        <v>3728</v>
      </c>
      <c r="MGQ614" s="17">
        <v>44925</v>
      </c>
      <c r="MGR614" s="5" t="s">
        <v>3728</v>
      </c>
      <c r="MGS614" s="17">
        <v>44925</v>
      </c>
      <c r="MGT614" s="5" t="s">
        <v>3728</v>
      </c>
      <c r="MGU614" s="17">
        <v>44925</v>
      </c>
      <c r="MGV614" s="5" t="s">
        <v>3728</v>
      </c>
      <c r="MGW614" s="17">
        <v>44925</v>
      </c>
      <c r="MGX614" s="5" t="s">
        <v>3728</v>
      </c>
      <c r="MGY614" s="17">
        <v>44925</v>
      </c>
      <c r="MGZ614" s="5" t="s">
        <v>3728</v>
      </c>
      <c r="MHA614" s="17">
        <v>44925</v>
      </c>
      <c r="MHB614" s="5" t="s">
        <v>3728</v>
      </c>
      <c r="MHC614" s="17">
        <v>44925</v>
      </c>
      <c r="MHD614" s="5" t="s">
        <v>3728</v>
      </c>
      <c r="MHE614" s="17">
        <v>44925</v>
      </c>
      <c r="MHF614" s="5" t="s">
        <v>3728</v>
      </c>
      <c r="MHG614" s="17">
        <v>44925</v>
      </c>
      <c r="MHH614" s="5" t="s">
        <v>3728</v>
      </c>
      <c r="MHI614" s="17">
        <v>44925</v>
      </c>
      <c r="MHJ614" s="5" t="s">
        <v>3728</v>
      </c>
      <c r="MHK614" s="17">
        <v>44925</v>
      </c>
      <c r="MHL614" s="5" t="s">
        <v>3728</v>
      </c>
      <c r="MHM614" s="17">
        <v>44925</v>
      </c>
      <c r="MHN614" s="5" t="s">
        <v>3728</v>
      </c>
      <c r="MHO614" s="17">
        <v>44925</v>
      </c>
      <c r="MHP614" s="5" t="s">
        <v>3728</v>
      </c>
      <c r="MHQ614" s="17">
        <v>44925</v>
      </c>
      <c r="MHR614" s="5" t="s">
        <v>3728</v>
      </c>
      <c r="MHS614" s="17">
        <v>44925</v>
      </c>
      <c r="MHT614" s="5" t="s">
        <v>3728</v>
      </c>
      <c r="MHU614" s="17">
        <v>44925</v>
      </c>
      <c r="MHV614" s="5" t="s">
        <v>3728</v>
      </c>
      <c r="MHW614" s="17">
        <v>44925</v>
      </c>
      <c r="MHX614" s="5" t="s">
        <v>3728</v>
      </c>
      <c r="MHY614" s="17">
        <v>44925</v>
      </c>
      <c r="MHZ614" s="5" t="s">
        <v>3728</v>
      </c>
      <c r="MIA614" s="17">
        <v>44925</v>
      </c>
      <c r="MIB614" s="5" t="s">
        <v>3728</v>
      </c>
      <c r="MIC614" s="17">
        <v>44925</v>
      </c>
      <c r="MID614" s="5" t="s">
        <v>3728</v>
      </c>
      <c r="MIE614" s="17">
        <v>44925</v>
      </c>
      <c r="MIF614" s="5" t="s">
        <v>3728</v>
      </c>
      <c r="MIG614" s="17">
        <v>44925</v>
      </c>
      <c r="MIH614" s="5" t="s">
        <v>3728</v>
      </c>
      <c r="MII614" s="17">
        <v>44925</v>
      </c>
      <c r="MIJ614" s="5" t="s">
        <v>3728</v>
      </c>
      <c r="MIK614" s="17">
        <v>44925</v>
      </c>
      <c r="MIL614" s="5" t="s">
        <v>3728</v>
      </c>
      <c r="MIM614" s="17">
        <v>44925</v>
      </c>
      <c r="MIN614" s="5" t="s">
        <v>3728</v>
      </c>
      <c r="MIO614" s="17">
        <v>44925</v>
      </c>
      <c r="MIP614" s="5" t="s">
        <v>3728</v>
      </c>
      <c r="MIQ614" s="17">
        <v>44925</v>
      </c>
      <c r="MIR614" s="5" t="s">
        <v>3728</v>
      </c>
      <c r="MIS614" s="17">
        <v>44925</v>
      </c>
      <c r="MIT614" s="5" t="s">
        <v>3728</v>
      </c>
      <c r="MIU614" s="17">
        <v>44925</v>
      </c>
      <c r="MIV614" s="5" t="s">
        <v>3728</v>
      </c>
      <c r="MIW614" s="17">
        <v>44925</v>
      </c>
      <c r="MIX614" s="5" t="s">
        <v>3728</v>
      </c>
      <c r="MIY614" s="17">
        <v>44925</v>
      </c>
      <c r="MIZ614" s="5" t="s">
        <v>3728</v>
      </c>
      <c r="MJA614" s="17">
        <v>44925</v>
      </c>
      <c r="MJB614" s="5" t="s">
        <v>3728</v>
      </c>
      <c r="MJC614" s="17">
        <v>44925</v>
      </c>
      <c r="MJD614" s="5" t="s">
        <v>3728</v>
      </c>
      <c r="MJE614" s="17">
        <v>44925</v>
      </c>
      <c r="MJF614" s="5" t="s">
        <v>3728</v>
      </c>
      <c r="MJG614" s="17">
        <v>44925</v>
      </c>
      <c r="MJH614" s="5" t="s">
        <v>3728</v>
      </c>
      <c r="MJI614" s="17">
        <v>44925</v>
      </c>
      <c r="MJJ614" s="5" t="s">
        <v>3728</v>
      </c>
      <c r="MJK614" s="17">
        <v>44925</v>
      </c>
      <c r="MJL614" s="5" t="s">
        <v>3728</v>
      </c>
      <c r="MJM614" s="17">
        <v>44925</v>
      </c>
      <c r="MJN614" s="5" t="s">
        <v>3728</v>
      </c>
      <c r="MJO614" s="17">
        <v>44925</v>
      </c>
      <c r="MJP614" s="5" t="s">
        <v>3728</v>
      </c>
      <c r="MJQ614" s="17">
        <v>44925</v>
      </c>
      <c r="MJR614" s="5" t="s">
        <v>3728</v>
      </c>
      <c r="MJS614" s="17">
        <v>44925</v>
      </c>
      <c r="MJT614" s="5" t="s">
        <v>3728</v>
      </c>
      <c r="MJU614" s="17">
        <v>44925</v>
      </c>
      <c r="MJV614" s="5" t="s">
        <v>3728</v>
      </c>
      <c r="MJW614" s="17">
        <v>44925</v>
      </c>
      <c r="MJX614" s="5" t="s">
        <v>3728</v>
      </c>
      <c r="MJY614" s="17">
        <v>44925</v>
      </c>
      <c r="MJZ614" s="5" t="s">
        <v>3728</v>
      </c>
      <c r="MKA614" s="17">
        <v>44925</v>
      </c>
      <c r="MKB614" s="5" t="s">
        <v>3728</v>
      </c>
      <c r="MKC614" s="17">
        <v>44925</v>
      </c>
      <c r="MKD614" s="5" t="s">
        <v>3728</v>
      </c>
      <c r="MKE614" s="17">
        <v>44925</v>
      </c>
      <c r="MKF614" s="5" t="s">
        <v>3728</v>
      </c>
      <c r="MKG614" s="17">
        <v>44925</v>
      </c>
      <c r="MKH614" s="5" t="s">
        <v>3728</v>
      </c>
      <c r="MKI614" s="17">
        <v>44925</v>
      </c>
      <c r="MKJ614" s="5" t="s">
        <v>3728</v>
      </c>
      <c r="MKK614" s="17">
        <v>44925</v>
      </c>
      <c r="MKL614" s="5" t="s">
        <v>3728</v>
      </c>
      <c r="MKM614" s="17">
        <v>44925</v>
      </c>
      <c r="MKN614" s="5" t="s">
        <v>3728</v>
      </c>
      <c r="MKO614" s="17">
        <v>44925</v>
      </c>
      <c r="MKP614" s="5" t="s">
        <v>3728</v>
      </c>
      <c r="MKQ614" s="17">
        <v>44925</v>
      </c>
      <c r="MKR614" s="5" t="s">
        <v>3728</v>
      </c>
      <c r="MKS614" s="17">
        <v>44925</v>
      </c>
      <c r="MKT614" s="5" t="s">
        <v>3728</v>
      </c>
      <c r="MKU614" s="17">
        <v>44925</v>
      </c>
      <c r="MKV614" s="5" t="s">
        <v>3728</v>
      </c>
      <c r="MKW614" s="17">
        <v>44925</v>
      </c>
      <c r="MKX614" s="5" t="s">
        <v>3728</v>
      </c>
      <c r="MKY614" s="17">
        <v>44925</v>
      </c>
      <c r="MKZ614" s="5" t="s">
        <v>3728</v>
      </c>
      <c r="MLA614" s="17">
        <v>44925</v>
      </c>
      <c r="MLB614" s="5" t="s">
        <v>3728</v>
      </c>
      <c r="MLC614" s="17">
        <v>44925</v>
      </c>
      <c r="MLD614" s="5" t="s">
        <v>3728</v>
      </c>
      <c r="MLE614" s="17">
        <v>44925</v>
      </c>
      <c r="MLF614" s="5" t="s">
        <v>3728</v>
      </c>
      <c r="MLG614" s="17">
        <v>44925</v>
      </c>
      <c r="MLH614" s="5" t="s">
        <v>3728</v>
      </c>
      <c r="MLI614" s="17">
        <v>44925</v>
      </c>
      <c r="MLJ614" s="5" t="s">
        <v>3728</v>
      </c>
      <c r="MLK614" s="17">
        <v>44925</v>
      </c>
      <c r="MLL614" s="5" t="s">
        <v>3728</v>
      </c>
      <c r="MLM614" s="17">
        <v>44925</v>
      </c>
      <c r="MLN614" s="5" t="s">
        <v>3728</v>
      </c>
      <c r="MLO614" s="17">
        <v>44925</v>
      </c>
      <c r="MLP614" s="5" t="s">
        <v>3728</v>
      </c>
      <c r="MLQ614" s="17">
        <v>44925</v>
      </c>
      <c r="MLR614" s="5" t="s">
        <v>3728</v>
      </c>
      <c r="MLS614" s="17">
        <v>44925</v>
      </c>
      <c r="MLT614" s="5" t="s">
        <v>3728</v>
      </c>
      <c r="MLU614" s="17">
        <v>44925</v>
      </c>
      <c r="MLV614" s="5" t="s">
        <v>3728</v>
      </c>
      <c r="MLW614" s="17">
        <v>44925</v>
      </c>
      <c r="MLX614" s="5" t="s">
        <v>3728</v>
      </c>
      <c r="MLY614" s="17">
        <v>44925</v>
      </c>
      <c r="MLZ614" s="5" t="s">
        <v>3728</v>
      </c>
      <c r="MMA614" s="17">
        <v>44925</v>
      </c>
      <c r="MMB614" s="5" t="s">
        <v>3728</v>
      </c>
      <c r="MMC614" s="17">
        <v>44925</v>
      </c>
      <c r="MMD614" s="5" t="s">
        <v>3728</v>
      </c>
      <c r="MME614" s="17">
        <v>44925</v>
      </c>
      <c r="MMF614" s="5" t="s">
        <v>3728</v>
      </c>
      <c r="MMG614" s="17">
        <v>44925</v>
      </c>
      <c r="MMH614" s="5" t="s">
        <v>3728</v>
      </c>
      <c r="MMI614" s="17">
        <v>44925</v>
      </c>
      <c r="MMJ614" s="5" t="s">
        <v>3728</v>
      </c>
      <c r="MMK614" s="17">
        <v>44925</v>
      </c>
      <c r="MML614" s="5" t="s">
        <v>3728</v>
      </c>
      <c r="MMM614" s="17">
        <v>44925</v>
      </c>
      <c r="MMN614" s="5" t="s">
        <v>3728</v>
      </c>
      <c r="MMO614" s="17">
        <v>44925</v>
      </c>
      <c r="MMP614" s="5" t="s">
        <v>3728</v>
      </c>
      <c r="MMQ614" s="17">
        <v>44925</v>
      </c>
      <c r="MMR614" s="5" t="s">
        <v>3728</v>
      </c>
      <c r="MMS614" s="17">
        <v>44925</v>
      </c>
      <c r="MMT614" s="5" t="s">
        <v>3728</v>
      </c>
      <c r="MMU614" s="17">
        <v>44925</v>
      </c>
      <c r="MMV614" s="5" t="s">
        <v>3728</v>
      </c>
      <c r="MMW614" s="17">
        <v>44925</v>
      </c>
      <c r="MMX614" s="5" t="s">
        <v>3728</v>
      </c>
      <c r="MMY614" s="17">
        <v>44925</v>
      </c>
      <c r="MMZ614" s="5" t="s">
        <v>3728</v>
      </c>
      <c r="MNA614" s="17">
        <v>44925</v>
      </c>
      <c r="MNB614" s="5" t="s">
        <v>3728</v>
      </c>
      <c r="MNC614" s="17">
        <v>44925</v>
      </c>
      <c r="MND614" s="5" t="s">
        <v>3728</v>
      </c>
      <c r="MNE614" s="17">
        <v>44925</v>
      </c>
      <c r="MNF614" s="5" t="s">
        <v>3728</v>
      </c>
      <c r="MNG614" s="17">
        <v>44925</v>
      </c>
      <c r="MNH614" s="5" t="s">
        <v>3728</v>
      </c>
      <c r="MNI614" s="17">
        <v>44925</v>
      </c>
      <c r="MNJ614" s="5" t="s">
        <v>3728</v>
      </c>
      <c r="MNK614" s="17">
        <v>44925</v>
      </c>
      <c r="MNL614" s="5" t="s">
        <v>3728</v>
      </c>
      <c r="MNM614" s="17">
        <v>44925</v>
      </c>
      <c r="MNN614" s="5" t="s">
        <v>3728</v>
      </c>
      <c r="MNO614" s="17">
        <v>44925</v>
      </c>
      <c r="MNP614" s="5" t="s">
        <v>3728</v>
      </c>
      <c r="MNQ614" s="17">
        <v>44925</v>
      </c>
      <c r="MNR614" s="5" t="s">
        <v>3728</v>
      </c>
      <c r="MNS614" s="17">
        <v>44925</v>
      </c>
      <c r="MNT614" s="5" t="s">
        <v>3728</v>
      </c>
      <c r="MNU614" s="17">
        <v>44925</v>
      </c>
      <c r="MNV614" s="5" t="s">
        <v>3728</v>
      </c>
      <c r="MNW614" s="17">
        <v>44925</v>
      </c>
      <c r="MNX614" s="5" t="s">
        <v>3728</v>
      </c>
      <c r="MNY614" s="17">
        <v>44925</v>
      </c>
      <c r="MNZ614" s="5" t="s">
        <v>3728</v>
      </c>
      <c r="MOA614" s="17">
        <v>44925</v>
      </c>
      <c r="MOB614" s="5" t="s">
        <v>3728</v>
      </c>
      <c r="MOC614" s="17">
        <v>44925</v>
      </c>
      <c r="MOD614" s="5" t="s">
        <v>3728</v>
      </c>
      <c r="MOE614" s="17">
        <v>44925</v>
      </c>
      <c r="MOF614" s="5" t="s">
        <v>3728</v>
      </c>
      <c r="MOG614" s="17">
        <v>44925</v>
      </c>
      <c r="MOH614" s="5" t="s">
        <v>3728</v>
      </c>
      <c r="MOI614" s="17">
        <v>44925</v>
      </c>
      <c r="MOJ614" s="5" t="s">
        <v>3728</v>
      </c>
      <c r="MOK614" s="17">
        <v>44925</v>
      </c>
      <c r="MOL614" s="5" t="s">
        <v>3728</v>
      </c>
      <c r="MOM614" s="17">
        <v>44925</v>
      </c>
      <c r="MON614" s="5" t="s">
        <v>3728</v>
      </c>
      <c r="MOO614" s="17">
        <v>44925</v>
      </c>
      <c r="MOP614" s="5" t="s">
        <v>3728</v>
      </c>
      <c r="MOQ614" s="17">
        <v>44925</v>
      </c>
      <c r="MOR614" s="5" t="s">
        <v>3728</v>
      </c>
      <c r="MOS614" s="17">
        <v>44925</v>
      </c>
      <c r="MOT614" s="5" t="s">
        <v>3728</v>
      </c>
      <c r="MOU614" s="17">
        <v>44925</v>
      </c>
      <c r="MOV614" s="5" t="s">
        <v>3728</v>
      </c>
      <c r="MOW614" s="17">
        <v>44925</v>
      </c>
      <c r="MOX614" s="5" t="s">
        <v>3728</v>
      </c>
      <c r="MOY614" s="17">
        <v>44925</v>
      </c>
      <c r="MOZ614" s="5" t="s">
        <v>3728</v>
      </c>
      <c r="MPA614" s="17">
        <v>44925</v>
      </c>
      <c r="MPB614" s="5" t="s">
        <v>3728</v>
      </c>
      <c r="MPC614" s="17">
        <v>44925</v>
      </c>
      <c r="MPD614" s="5" t="s">
        <v>3728</v>
      </c>
      <c r="MPE614" s="17">
        <v>44925</v>
      </c>
      <c r="MPF614" s="5" t="s">
        <v>3728</v>
      </c>
      <c r="MPG614" s="17">
        <v>44925</v>
      </c>
      <c r="MPH614" s="5" t="s">
        <v>3728</v>
      </c>
      <c r="MPI614" s="17">
        <v>44925</v>
      </c>
      <c r="MPJ614" s="5" t="s">
        <v>3728</v>
      </c>
      <c r="MPK614" s="17">
        <v>44925</v>
      </c>
      <c r="MPL614" s="5" t="s">
        <v>3728</v>
      </c>
      <c r="MPM614" s="17">
        <v>44925</v>
      </c>
      <c r="MPN614" s="5" t="s">
        <v>3728</v>
      </c>
      <c r="MPO614" s="17">
        <v>44925</v>
      </c>
      <c r="MPP614" s="5" t="s">
        <v>3728</v>
      </c>
      <c r="MPQ614" s="17">
        <v>44925</v>
      </c>
      <c r="MPR614" s="5" t="s">
        <v>3728</v>
      </c>
      <c r="MPS614" s="17">
        <v>44925</v>
      </c>
      <c r="MPT614" s="5" t="s">
        <v>3728</v>
      </c>
      <c r="MPU614" s="17">
        <v>44925</v>
      </c>
      <c r="MPV614" s="5" t="s">
        <v>3728</v>
      </c>
      <c r="MPW614" s="17">
        <v>44925</v>
      </c>
      <c r="MPX614" s="5" t="s">
        <v>3728</v>
      </c>
      <c r="MPY614" s="17">
        <v>44925</v>
      </c>
      <c r="MPZ614" s="5" t="s">
        <v>3728</v>
      </c>
      <c r="MQA614" s="17">
        <v>44925</v>
      </c>
      <c r="MQB614" s="5" t="s">
        <v>3728</v>
      </c>
      <c r="MQC614" s="17">
        <v>44925</v>
      </c>
      <c r="MQD614" s="5" t="s">
        <v>3728</v>
      </c>
      <c r="MQE614" s="17">
        <v>44925</v>
      </c>
      <c r="MQF614" s="5" t="s">
        <v>3728</v>
      </c>
      <c r="MQG614" s="17">
        <v>44925</v>
      </c>
      <c r="MQH614" s="5" t="s">
        <v>3728</v>
      </c>
      <c r="MQI614" s="17">
        <v>44925</v>
      </c>
      <c r="MQJ614" s="5" t="s">
        <v>3728</v>
      </c>
      <c r="MQK614" s="17">
        <v>44925</v>
      </c>
      <c r="MQL614" s="5" t="s">
        <v>3728</v>
      </c>
      <c r="MQM614" s="17">
        <v>44925</v>
      </c>
      <c r="MQN614" s="5" t="s">
        <v>3728</v>
      </c>
      <c r="MQO614" s="17">
        <v>44925</v>
      </c>
      <c r="MQP614" s="5" t="s">
        <v>3728</v>
      </c>
      <c r="MQQ614" s="17">
        <v>44925</v>
      </c>
      <c r="MQR614" s="5" t="s">
        <v>3728</v>
      </c>
      <c r="MQS614" s="17">
        <v>44925</v>
      </c>
      <c r="MQT614" s="5" t="s">
        <v>3728</v>
      </c>
      <c r="MQU614" s="17">
        <v>44925</v>
      </c>
      <c r="MQV614" s="5" t="s">
        <v>3728</v>
      </c>
      <c r="MQW614" s="17">
        <v>44925</v>
      </c>
      <c r="MQX614" s="5" t="s">
        <v>3728</v>
      </c>
      <c r="MQY614" s="17">
        <v>44925</v>
      </c>
      <c r="MQZ614" s="5" t="s">
        <v>3728</v>
      </c>
      <c r="MRA614" s="17">
        <v>44925</v>
      </c>
      <c r="MRB614" s="5" t="s">
        <v>3728</v>
      </c>
      <c r="MRC614" s="17">
        <v>44925</v>
      </c>
      <c r="MRD614" s="5" t="s">
        <v>3728</v>
      </c>
      <c r="MRE614" s="17">
        <v>44925</v>
      </c>
      <c r="MRF614" s="5" t="s">
        <v>3728</v>
      </c>
      <c r="MRG614" s="17">
        <v>44925</v>
      </c>
      <c r="MRH614" s="5" t="s">
        <v>3728</v>
      </c>
      <c r="MRI614" s="17">
        <v>44925</v>
      </c>
      <c r="MRJ614" s="5" t="s">
        <v>3728</v>
      </c>
      <c r="MRK614" s="17">
        <v>44925</v>
      </c>
      <c r="MRL614" s="5" t="s">
        <v>3728</v>
      </c>
      <c r="MRM614" s="17">
        <v>44925</v>
      </c>
      <c r="MRN614" s="5" t="s">
        <v>3728</v>
      </c>
      <c r="MRO614" s="17">
        <v>44925</v>
      </c>
      <c r="MRP614" s="5" t="s">
        <v>3728</v>
      </c>
      <c r="MRQ614" s="17">
        <v>44925</v>
      </c>
      <c r="MRR614" s="5" t="s">
        <v>3728</v>
      </c>
      <c r="MRS614" s="17">
        <v>44925</v>
      </c>
      <c r="MRT614" s="5" t="s">
        <v>3728</v>
      </c>
      <c r="MRU614" s="17">
        <v>44925</v>
      </c>
      <c r="MRV614" s="5" t="s">
        <v>3728</v>
      </c>
      <c r="MRW614" s="17">
        <v>44925</v>
      </c>
      <c r="MRX614" s="5" t="s">
        <v>3728</v>
      </c>
      <c r="MRY614" s="17">
        <v>44925</v>
      </c>
      <c r="MRZ614" s="5" t="s">
        <v>3728</v>
      </c>
      <c r="MSA614" s="17">
        <v>44925</v>
      </c>
      <c r="MSB614" s="5" t="s">
        <v>3728</v>
      </c>
      <c r="MSC614" s="17">
        <v>44925</v>
      </c>
      <c r="MSD614" s="5" t="s">
        <v>3728</v>
      </c>
      <c r="MSE614" s="17">
        <v>44925</v>
      </c>
      <c r="MSF614" s="5" t="s">
        <v>3728</v>
      </c>
      <c r="MSG614" s="17">
        <v>44925</v>
      </c>
      <c r="MSH614" s="5" t="s">
        <v>3728</v>
      </c>
      <c r="MSI614" s="17">
        <v>44925</v>
      </c>
      <c r="MSJ614" s="5" t="s">
        <v>3728</v>
      </c>
      <c r="MSK614" s="17">
        <v>44925</v>
      </c>
      <c r="MSL614" s="5" t="s">
        <v>3728</v>
      </c>
      <c r="MSM614" s="17">
        <v>44925</v>
      </c>
      <c r="MSN614" s="5" t="s">
        <v>3728</v>
      </c>
      <c r="MSO614" s="17">
        <v>44925</v>
      </c>
      <c r="MSP614" s="5" t="s">
        <v>3728</v>
      </c>
      <c r="MSQ614" s="17">
        <v>44925</v>
      </c>
      <c r="MSR614" s="5" t="s">
        <v>3728</v>
      </c>
      <c r="MSS614" s="17">
        <v>44925</v>
      </c>
      <c r="MST614" s="5" t="s">
        <v>3728</v>
      </c>
      <c r="MSU614" s="17">
        <v>44925</v>
      </c>
      <c r="MSV614" s="5" t="s">
        <v>3728</v>
      </c>
      <c r="MSW614" s="17">
        <v>44925</v>
      </c>
      <c r="MSX614" s="5" t="s">
        <v>3728</v>
      </c>
      <c r="MSY614" s="17">
        <v>44925</v>
      </c>
      <c r="MSZ614" s="5" t="s">
        <v>3728</v>
      </c>
      <c r="MTA614" s="17">
        <v>44925</v>
      </c>
      <c r="MTB614" s="5" t="s">
        <v>3728</v>
      </c>
      <c r="MTC614" s="17">
        <v>44925</v>
      </c>
      <c r="MTD614" s="5" t="s">
        <v>3728</v>
      </c>
      <c r="MTE614" s="17">
        <v>44925</v>
      </c>
      <c r="MTF614" s="5" t="s">
        <v>3728</v>
      </c>
      <c r="MTG614" s="17">
        <v>44925</v>
      </c>
      <c r="MTH614" s="5" t="s">
        <v>3728</v>
      </c>
      <c r="MTI614" s="17">
        <v>44925</v>
      </c>
      <c r="MTJ614" s="5" t="s">
        <v>3728</v>
      </c>
      <c r="MTK614" s="17">
        <v>44925</v>
      </c>
      <c r="MTL614" s="5" t="s">
        <v>3728</v>
      </c>
      <c r="MTM614" s="17">
        <v>44925</v>
      </c>
      <c r="MTN614" s="5" t="s">
        <v>3728</v>
      </c>
      <c r="MTO614" s="17">
        <v>44925</v>
      </c>
      <c r="MTP614" s="5" t="s">
        <v>3728</v>
      </c>
      <c r="MTQ614" s="17">
        <v>44925</v>
      </c>
      <c r="MTR614" s="5" t="s">
        <v>3728</v>
      </c>
      <c r="MTS614" s="17">
        <v>44925</v>
      </c>
      <c r="MTT614" s="5" t="s">
        <v>3728</v>
      </c>
      <c r="MTU614" s="17">
        <v>44925</v>
      </c>
      <c r="MTV614" s="5" t="s">
        <v>3728</v>
      </c>
      <c r="MTW614" s="17">
        <v>44925</v>
      </c>
      <c r="MTX614" s="5" t="s">
        <v>3728</v>
      </c>
      <c r="MTY614" s="17">
        <v>44925</v>
      </c>
      <c r="MTZ614" s="5" t="s">
        <v>3728</v>
      </c>
      <c r="MUA614" s="17">
        <v>44925</v>
      </c>
      <c r="MUB614" s="5" t="s">
        <v>3728</v>
      </c>
      <c r="MUC614" s="17">
        <v>44925</v>
      </c>
      <c r="MUD614" s="5" t="s">
        <v>3728</v>
      </c>
      <c r="MUE614" s="17">
        <v>44925</v>
      </c>
      <c r="MUF614" s="5" t="s">
        <v>3728</v>
      </c>
      <c r="MUG614" s="17">
        <v>44925</v>
      </c>
      <c r="MUH614" s="5" t="s">
        <v>3728</v>
      </c>
      <c r="MUI614" s="17">
        <v>44925</v>
      </c>
      <c r="MUJ614" s="5" t="s">
        <v>3728</v>
      </c>
      <c r="MUK614" s="17">
        <v>44925</v>
      </c>
      <c r="MUL614" s="5" t="s">
        <v>3728</v>
      </c>
      <c r="MUM614" s="17">
        <v>44925</v>
      </c>
      <c r="MUN614" s="5" t="s">
        <v>3728</v>
      </c>
      <c r="MUO614" s="17">
        <v>44925</v>
      </c>
      <c r="MUP614" s="5" t="s">
        <v>3728</v>
      </c>
      <c r="MUQ614" s="17">
        <v>44925</v>
      </c>
      <c r="MUR614" s="5" t="s">
        <v>3728</v>
      </c>
      <c r="MUS614" s="17">
        <v>44925</v>
      </c>
      <c r="MUT614" s="5" t="s">
        <v>3728</v>
      </c>
      <c r="MUU614" s="17">
        <v>44925</v>
      </c>
      <c r="MUV614" s="5" t="s">
        <v>3728</v>
      </c>
      <c r="MUW614" s="17">
        <v>44925</v>
      </c>
      <c r="MUX614" s="5" t="s">
        <v>3728</v>
      </c>
      <c r="MUY614" s="17">
        <v>44925</v>
      </c>
      <c r="MUZ614" s="5" t="s">
        <v>3728</v>
      </c>
      <c r="MVA614" s="17">
        <v>44925</v>
      </c>
      <c r="MVB614" s="5" t="s">
        <v>3728</v>
      </c>
      <c r="MVC614" s="17">
        <v>44925</v>
      </c>
      <c r="MVD614" s="5" t="s">
        <v>3728</v>
      </c>
      <c r="MVE614" s="17">
        <v>44925</v>
      </c>
      <c r="MVF614" s="5" t="s">
        <v>3728</v>
      </c>
      <c r="MVG614" s="17">
        <v>44925</v>
      </c>
      <c r="MVH614" s="5" t="s">
        <v>3728</v>
      </c>
      <c r="MVI614" s="17">
        <v>44925</v>
      </c>
      <c r="MVJ614" s="5" t="s">
        <v>3728</v>
      </c>
      <c r="MVK614" s="17">
        <v>44925</v>
      </c>
      <c r="MVL614" s="5" t="s">
        <v>3728</v>
      </c>
      <c r="MVM614" s="17">
        <v>44925</v>
      </c>
      <c r="MVN614" s="5" t="s">
        <v>3728</v>
      </c>
      <c r="MVO614" s="17">
        <v>44925</v>
      </c>
      <c r="MVP614" s="5" t="s">
        <v>3728</v>
      </c>
      <c r="MVQ614" s="17">
        <v>44925</v>
      </c>
      <c r="MVR614" s="5" t="s">
        <v>3728</v>
      </c>
      <c r="MVS614" s="17">
        <v>44925</v>
      </c>
      <c r="MVT614" s="5" t="s">
        <v>3728</v>
      </c>
      <c r="MVU614" s="17">
        <v>44925</v>
      </c>
      <c r="MVV614" s="5" t="s">
        <v>3728</v>
      </c>
      <c r="MVW614" s="17">
        <v>44925</v>
      </c>
      <c r="MVX614" s="5" t="s">
        <v>3728</v>
      </c>
      <c r="MVY614" s="17">
        <v>44925</v>
      </c>
      <c r="MVZ614" s="5" t="s">
        <v>3728</v>
      </c>
      <c r="MWA614" s="17">
        <v>44925</v>
      </c>
      <c r="MWB614" s="5" t="s">
        <v>3728</v>
      </c>
      <c r="MWC614" s="17">
        <v>44925</v>
      </c>
      <c r="MWD614" s="5" t="s">
        <v>3728</v>
      </c>
      <c r="MWE614" s="17">
        <v>44925</v>
      </c>
      <c r="MWF614" s="5" t="s">
        <v>3728</v>
      </c>
      <c r="MWG614" s="17">
        <v>44925</v>
      </c>
      <c r="MWH614" s="5" t="s">
        <v>3728</v>
      </c>
      <c r="MWI614" s="17">
        <v>44925</v>
      </c>
      <c r="MWJ614" s="5" t="s">
        <v>3728</v>
      </c>
      <c r="MWK614" s="17">
        <v>44925</v>
      </c>
      <c r="MWL614" s="5" t="s">
        <v>3728</v>
      </c>
      <c r="MWM614" s="17">
        <v>44925</v>
      </c>
      <c r="MWN614" s="5" t="s">
        <v>3728</v>
      </c>
      <c r="MWO614" s="17">
        <v>44925</v>
      </c>
      <c r="MWP614" s="5" t="s">
        <v>3728</v>
      </c>
      <c r="MWQ614" s="17">
        <v>44925</v>
      </c>
      <c r="MWR614" s="5" t="s">
        <v>3728</v>
      </c>
      <c r="MWS614" s="17">
        <v>44925</v>
      </c>
      <c r="MWT614" s="5" t="s">
        <v>3728</v>
      </c>
      <c r="MWU614" s="17">
        <v>44925</v>
      </c>
      <c r="MWV614" s="5" t="s">
        <v>3728</v>
      </c>
      <c r="MWW614" s="17">
        <v>44925</v>
      </c>
      <c r="MWX614" s="5" t="s">
        <v>3728</v>
      </c>
      <c r="MWY614" s="17">
        <v>44925</v>
      </c>
      <c r="MWZ614" s="5" t="s">
        <v>3728</v>
      </c>
      <c r="MXA614" s="17">
        <v>44925</v>
      </c>
      <c r="MXB614" s="5" t="s">
        <v>3728</v>
      </c>
      <c r="MXC614" s="17">
        <v>44925</v>
      </c>
      <c r="MXD614" s="5" t="s">
        <v>3728</v>
      </c>
      <c r="MXE614" s="17">
        <v>44925</v>
      </c>
      <c r="MXF614" s="5" t="s">
        <v>3728</v>
      </c>
      <c r="MXG614" s="17">
        <v>44925</v>
      </c>
      <c r="MXH614" s="5" t="s">
        <v>3728</v>
      </c>
      <c r="MXI614" s="17">
        <v>44925</v>
      </c>
      <c r="MXJ614" s="5" t="s">
        <v>3728</v>
      </c>
      <c r="MXK614" s="17">
        <v>44925</v>
      </c>
      <c r="MXL614" s="5" t="s">
        <v>3728</v>
      </c>
      <c r="MXM614" s="17">
        <v>44925</v>
      </c>
      <c r="MXN614" s="5" t="s">
        <v>3728</v>
      </c>
      <c r="MXO614" s="17">
        <v>44925</v>
      </c>
      <c r="MXP614" s="5" t="s">
        <v>3728</v>
      </c>
      <c r="MXQ614" s="17">
        <v>44925</v>
      </c>
      <c r="MXR614" s="5" t="s">
        <v>3728</v>
      </c>
      <c r="MXS614" s="17">
        <v>44925</v>
      </c>
      <c r="MXT614" s="5" t="s">
        <v>3728</v>
      </c>
      <c r="MXU614" s="17">
        <v>44925</v>
      </c>
      <c r="MXV614" s="5" t="s">
        <v>3728</v>
      </c>
      <c r="MXW614" s="17">
        <v>44925</v>
      </c>
      <c r="MXX614" s="5" t="s">
        <v>3728</v>
      </c>
      <c r="MXY614" s="17">
        <v>44925</v>
      </c>
      <c r="MXZ614" s="5" t="s">
        <v>3728</v>
      </c>
      <c r="MYA614" s="17">
        <v>44925</v>
      </c>
      <c r="MYB614" s="5" t="s">
        <v>3728</v>
      </c>
      <c r="MYC614" s="17">
        <v>44925</v>
      </c>
      <c r="MYD614" s="5" t="s">
        <v>3728</v>
      </c>
      <c r="MYE614" s="17">
        <v>44925</v>
      </c>
      <c r="MYF614" s="5" t="s">
        <v>3728</v>
      </c>
      <c r="MYG614" s="17">
        <v>44925</v>
      </c>
      <c r="MYH614" s="5" t="s">
        <v>3728</v>
      </c>
      <c r="MYI614" s="17">
        <v>44925</v>
      </c>
      <c r="MYJ614" s="5" t="s">
        <v>3728</v>
      </c>
      <c r="MYK614" s="17">
        <v>44925</v>
      </c>
      <c r="MYL614" s="5" t="s">
        <v>3728</v>
      </c>
      <c r="MYM614" s="17">
        <v>44925</v>
      </c>
      <c r="MYN614" s="5" t="s">
        <v>3728</v>
      </c>
      <c r="MYO614" s="17">
        <v>44925</v>
      </c>
      <c r="MYP614" s="5" t="s">
        <v>3728</v>
      </c>
      <c r="MYQ614" s="17">
        <v>44925</v>
      </c>
      <c r="MYR614" s="5" t="s">
        <v>3728</v>
      </c>
      <c r="MYS614" s="17">
        <v>44925</v>
      </c>
      <c r="MYT614" s="5" t="s">
        <v>3728</v>
      </c>
      <c r="MYU614" s="17">
        <v>44925</v>
      </c>
      <c r="MYV614" s="5" t="s">
        <v>3728</v>
      </c>
      <c r="MYW614" s="17">
        <v>44925</v>
      </c>
      <c r="MYX614" s="5" t="s">
        <v>3728</v>
      </c>
      <c r="MYY614" s="17">
        <v>44925</v>
      </c>
      <c r="MYZ614" s="5" t="s">
        <v>3728</v>
      </c>
      <c r="MZA614" s="17">
        <v>44925</v>
      </c>
      <c r="MZB614" s="5" t="s">
        <v>3728</v>
      </c>
      <c r="MZC614" s="17">
        <v>44925</v>
      </c>
      <c r="MZD614" s="5" t="s">
        <v>3728</v>
      </c>
      <c r="MZE614" s="17">
        <v>44925</v>
      </c>
      <c r="MZF614" s="5" t="s">
        <v>3728</v>
      </c>
      <c r="MZG614" s="17">
        <v>44925</v>
      </c>
      <c r="MZH614" s="5" t="s">
        <v>3728</v>
      </c>
      <c r="MZI614" s="17">
        <v>44925</v>
      </c>
      <c r="MZJ614" s="5" t="s">
        <v>3728</v>
      </c>
      <c r="MZK614" s="17">
        <v>44925</v>
      </c>
      <c r="MZL614" s="5" t="s">
        <v>3728</v>
      </c>
      <c r="MZM614" s="17">
        <v>44925</v>
      </c>
      <c r="MZN614" s="5" t="s">
        <v>3728</v>
      </c>
      <c r="MZO614" s="17">
        <v>44925</v>
      </c>
      <c r="MZP614" s="5" t="s">
        <v>3728</v>
      </c>
      <c r="MZQ614" s="17">
        <v>44925</v>
      </c>
      <c r="MZR614" s="5" t="s">
        <v>3728</v>
      </c>
      <c r="MZS614" s="17">
        <v>44925</v>
      </c>
      <c r="MZT614" s="5" t="s">
        <v>3728</v>
      </c>
      <c r="MZU614" s="17">
        <v>44925</v>
      </c>
      <c r="MZV614" s="5" t="s">
        <v>3728</v>
      </c>
      <c r="MZW614" s="17">
        <v>44925</v>
      </c>
      <c r="MZX614" s="5" t="s">
        <v>3728</v>
      </c>
      <c r="MZY614" s="17">
        <v>44925</v>
      </c>
      <c r="MZZ614" s="5" t="s">
        <v>3728</v>
      </c>
      <c r="NAA614" s="17">
        <v>44925</v>
      </c>
      <c r="NAB614" s="5" t="s">
        <v>3728</v>
      </c>
      <c r="NAC614" s="17">
        <v>44925</v>
      </c>
      <c r="NAD614" s="5" t="s">
        <v>3728</v>
      </c>
      <c r="NAE614" s="17">
        <v>44925</v>
      </c>
      <c r="NAF614" s="5" t="s">
        <v>3728</v>
      </c>
      <c r="NAG614" s="17">
        <v>44925</v>
      </c>
      <c r="NAH614" s="5" t="s">
        <v>3728</v>
      </c>
      <c r="NAI614" s="17">
        <v>44925</v>
      </c>
      <c r="NAJ614" s="5" t="s">
        <v>3728</v>
      </c>
      <c r="NAK614" s="17">
        <v>44925</v>
      </c>
      <c r="NAL614" s="5" t="s">
        <v>3728</v>
      </c>
      <c r="NAM614" s="17">
        <v>44925</v>
      </c>
      <c r="NAN614" s="5" t="s">
        <v>3728</v>
      </c>
      <c r="NAO614" s="17">
        <v>44925</v>
      </c>
      <c r="NAP614" s="5" t="s">
        <v>3728</v>
      </c>
      <c r="NAQ614" s="17">
        <v>44925</v>
      </c>
      <c r="NAR614" s="5" t="s">
        <v>3728</v>
      </c>
      <c r="NAS614" s="17">
        <v>44925</v>
      </c>
      <c r="NAT614" s="5" t="s">
        <v>3728</v>
      </c>
      <c r="NAU614" s="17">
        <v>44925</v>
      </c>
      <c r="NAV614" s="5" t="s">
        <v>3728</v>
      </c>
      <c r="NAW614" s="17">
        <v>44925</v>
      </c>
      <c r="NAX614" s="5" t="s">
        <v>3728</v>
      </c>
      <c r="NAY614" s="17">
        <v>44925</v>
      </c>
      <c r="NAZ614" s="5" t="s">
        <v>3728</v>
      </c>
      <c r="NBA614" s="17">
        <v>44925</v>
      </c>
      <c r="NBB614" s="5" t="s">
        <v>3728</v>
      </c>
      <c r="NBC614" s="17">
        <v>44925</v>
      </c>
      <c r="NBD614" s="5" t="s">
        <v>3728</v>
      </c>
      <c r="NBE614" s="17">
        <v>44925</v>
      </c>
      <c r="NBF614" s="5" t="s">
        <v>3728</v>
      </c>
      <c r="NBG614" s="17">
        <v>44925</v>
      </c>
      <c r="NBH614" s="5" t="s">
        <v>3728</v>
      </c>
      <c r="NBI614" s="17">
        <v>44925</v>
      </c>
      <c r="NBJ614" s="5" t="s">
        <v>3728</v>
      </c>
      <c r="NBK614" s="17">
        <v>44925</v>
      </c>
      <c r="NBL614" s="5" t="s">
        <v>3728</v>
      </c>
      <c r="NBM614" s="17">
        <v>44925</v>
      </c>
      <c r="NBN614" s="5" t="s">
        <v>3728</v>
      </c>
      <c r="NBO614" s="17">
        <v>44925</v>
      </c>
      <c r="NBP614" s="5" t="s">
        <v>3728</v>
      </c>
      <c r="NBQ614" s="17">
        <v>44925</v>
      </c>
      <c r="NBR614" s="5" t="s">
        <v>3728</v>
      </c>
      <c r="NBS614" s="17">
        <v>44925</v>
      </c>
      <c r="NBT614" s="5" t="s">
        <v>3728</v>
      </c>
      <c r="NBU614" s="17">
        <v>44925</v>
      </c>
      <c r="NBV614" s="5" t="s">
        <v>3728</v>
      </c>
      <c r="NBW614" s="17">
        <v>44925</v>
      </c>
      <c r="NBX614" s="5" t="s">
        <v>3728</v>
      </c>
      <c r="NBY614" s="17">
        <v>44925</v>
      </c>
      <c r="NBZ614" s="5" t="s">
        <v>3728</v>
      </c>
      <c r="NCA614" s="17">
        <v>44925</v>
      </c>
      <c r="NCB614" s="5" t="s">
        <v>3728</v>
      </c>
      <c r="NCC614" s="17">
        <v>44925</v>
      </c>
      <c r="NCD614" s="5" t="s">
        <v>3728</v>
      </c>
      <c r="NCE614" s="17">
        <v>44925</v>
      </c>
      <c r="NCF614" s="5" t="s">
        <v>3728</v>
      </c>
      <c r="NCG614" s="17">
        <v>44925</v>
      </c>
      <c r="NCH614" s="5" t="s">
        <v>3728</v>
      </c>
      <c r="NCI614" s="17">
        <v>44925</v>
      </c>
      <c r="NCJ614" s="5" t="s">
        <v>3728</v>
      </c>
      <c r="NCK614" s="17">
        <v>44925</v>
      </c>
      <c r="NCL614" s="5" t="s">
        <v>3728</v>
      </c>
      <c r="NCM614" s="17">
        <v>44925</v>
      </c>
      <c r="NCN614" s="5" t="s">
        <v>3728</v>
      </c>
      <c r="NCO614" s="17">
        <v>44925</v>
      </c>
      <c r="NCP614" s="5" t="s">
        <v>3728</v>
      </c>
      <c r="NCQ614" s="17">
        <v>44925</v>
      </c>
      <c r="NCR614" s="5" t="s">
        <v>3728</v>
      </c>
      <c r="NCS614" s="17">
        <v>44925</v>
      </c>
      <c r="NCT614" s="5" t="s">
        <v>3728</v>
      </c>
      <c r="NCU614" s="17">
        <v>44925</v>
      </c>
      <c r="NCV614" s="5" t="s">
        <v>3728</v>
      </c>
      <c r="NCW614" s="17">
        <v>44925</v>
      </c>
      <c r="NCX614" s="5" t="s">
        <v>3728</v>
      </c>
      <c r="NCY614" s="17">
        <v>44925</v>
      </c>
      <c r="NCZ614" s="5" t="s">
        <v>3728</v>
      </c>
      <c r="NDA614" s="17">
        <v>44925</v>
      </c>
      <c r="NDB614" s="5" t="s">
        <v>3728</v>
      </c>
      <c r="NDC614" s="17">
        <v>44925</v>
      </c>
      <c r="NDD614" s="5" t="s">
        <v>3728</v>
      </c>
      <c r="NDE614" s="17">
        <v>44925</v>
      </c>
      <c r="NDF614" s="5" t="s">
        <v>3728</v>
      </c>
      <c r="NDG614" s="17">
        <v>44925</v>
      </c>
      <c r="NDH614" s="5" t="s">
        <v>3728</v>
      </c>
      <c r="NDI614" s="17">
        <v>44925</v>
      </c>
      <c r="NDJ614" s="5" t="s">
        <v>3728</v>
      </c>
      <c r="NDK614" s="17">
        <v>44925</v>
      </c>
      <c r="NDL614" s="5" t="s">
        <v>3728</v>
      </c>
      <c r="NDM614" s="17">
        <v>44925</v>
      </c>
      <c r="NDN614" s="5" t="s">
        <v>3728</v>
      </c>
      <c r="NDO614" s="17">
        <v>44925</v>
      </c>
      <c r="NDP614" s="5" t="s">
        <v>3728</v>
      </c>
      <c r="NDQ614" s="17">
        <v>44925</v>
      </c>
      <c r="NDR614" s="5" t="s">
        <v>3728</v>
      </c>
      <c r="NDS614" s="17">
        <v>44925</v>
      </c>
      <c r="NDT614" s="5" t="s">
        <v>3728</v>
      </c>
      <c r="NDU614" s="17">
        <v>44925</v>
      </c>
      <c r="NDV614" s="5" t="s">
        <v>3728</v>
      </c>
      <c r="NDW614" s="17">
        <v>44925</v>
      </c>
      <c r="NDX614" s="5" t="s">
        <v>3728</v>
      </c>
      <c r="NDY614" s="17">
        <v>44925</v>
      </c>
      <c r="NDZ614" s="5" t="s">
        <v>3728</v>
      </c>
      <c r="NEA614" s="17">
        <v>44925</v>
      </c>
      <c r="NEB614" s="5" t="s">
        <v>3728</v>
      </c>
      <c r="NEC614" s="17">
        <v>44925</v>
      </c>
      <c r="NED614" s="5" t="s">
        <v>3728</v>
      </c>
      <c r="NEE614" s="17">
        <v>44925</v>
      </c>
      <c r="NEF614" s="5" t="s">
        <v>3728</v>
      </c>
      <c r="NEG614" s="17">
        <v>44925</v>
      </c>
      <c r="NEH614" s="5" t="s">
        <v>3728</v>
      </c>
      <c r="NEI614" s="17">
        <v>44925</v>
      </c>
      <c r="NEJ614" s="5" t="s">
        <v>3728</v>
      </c>
      <c r="NEK614" s="17">
        <v>44925</v>
      </c>
      <c r="NEL614" s="5" t="s">
        <v>3728</v>
      </c>
      <c r="NEM614" s="17">
        <v>44925</v>
      </c>
      <c r="NEN614" s="5" t="s">
        <v>3728</v>
      </c>
      <c r="NEO614" s="17">
        <v>44925</v>
      </c>
      <c r="NEP614" s="5" t="s">
        <v>3728</v>
      </c>
      <c r="NEQ614" s="17">
        <v>44925</v>
      </c>
      <c r="NER614" s="5" t="s">
        <v>3728</v>
      </c>
      <c r="NES614" s="17">
        <v>44925</v>
      </c>
      <c r="NET614" s="5" t="s">
        <v>3728</v>
      </c>
      <c r="NEU614" s="17">
        <v>44925</v>
      </c>
      <c r="NEV614" s="5" t="s">
        <v>3728</v>
      </c>
      <c r="NEW614" s="17">
        <v>44925</v>
      </c>
      <c r="NEX614" s="5" t="s">
        <v>3728</v>
      </c>
      <c r="NEY614" s="17">
        <v>44925</v>
      </c>
      <c r="NEZ614" s="5" t="s">
        <v>3728</v>
      </c>
      <c r="NFA614" s="17">
        <v>44925</v>
      </c>
      <c r="NFB614" s="5" t="s">
        <v>3728</v>
      </c>
      <c r="NFC614" s="17">
        <v>44925</v>
      </c>
      <c r="NFD614" s="5" t="s">
        <v>3728</v>
      </c>
      <c r="NFE614" s="17">
        <v>44925</v>
      </c>
      <c r="NFF614" s="5" t="s">
        <v>3728</v>
      </c>
      <c r="NFG614" s="17">
        <v>44925</v>
      </c>
      <c r="NFH614" s="5" t="s">
        <v>3728</v>
      </c>
      <c r="NFI614" s="17">
        <v>44925</v>
      </c>
      <c r="NFJ614" s="5" t="s">
        <v>3728</v>
      </c>
      <c r="NFK614" s="17">
        <v>44925</v>
      </c>
      <c r="NFL614" s="5" t="s">
        <v>3728</v>
      </c>
      <c r="NFM614" s="17">
        <v>44925</v>
      </c>
      <c r="NFN614" s="5" t="s">
        <v>3728</v>
      </c>
      <c r="NFO614" s="17">
        <v>44925</v>
      </c>
      <c r="NFP614" s="5" t="s">
        <v>3728</v>
      </c>
      <c r="NFQ614" s="17">
        <v>44925</v>
      </c>
      <c r="NFR614" s="5" t="s">
        <v>3728</v>
      </c>
      <c r="NFS614" s="17">
        <v>44925</v>
      </c>
      <c r="NFT614" s="5" t="s">
        <v>3728</v>
      </c>
      <c r="NFU614" s="17">
        <v>44925</v>
      </c>
      <c r="NFV614" s="5" t="s">
        <v>3728</v>
      </c>
      <c r="NFW614" s="17">
        <v>44925</v>
      </c>
      <c r="NFX614" s="5" t="s">
        <v>3728</v>
      </c>
      <c r="NFY614" s="17">
        <v>44925</v>
      </c>
      <c r="NFZ614" s="5" t="s">
        <v>3728</v>
      </c>
      <c r="NGA614" s="17">
        <v>44925</v>
      </c>
      <c r="NGB614" s="5" t="s">
        <v>3728</v>
      </c>
      <c r="NGC614" s="17">
        <v>44925</v>
      </c>
      <c r="NGD614" s="5" t="s">
        <v>3728</v>
      </c>
      <c r="NGE614" s="17">
        <v>44925</v>
      </c>
      <c r="NGF614" s="5" t="s">
        <v>3728</v>
      </c>
      <c r="NGG614" s="17">
        <v>44925</v>
      </c>
      <c r="NGH614" s="5" t="s">
        <v>3728</v>
      </c>
      <c r="NGI614" s="17">
        <v>44925</v>
      </c>
      <c r="NGJ614" s="5" t="s">
        <v>3728</v>
      </c>
      <c r="NGK614" s="17">
        <v>44925</v>
      </c>
      <c r="NGL614" s="5" t="s">
        <v>3728</v>
      </c>
      <c r="NGM614" s="17">
        <v>44925</v>
      </c>
      <c r="NGN614" s="5" t="s">
        <v>3728</v>
      </c>
      <c r="NGO614" s="17">
        <v>44925</v>
      </c>
      <c r="NGP614" s="5" t="s">
        <v>3728</v>
      </c>
      <c r="NGQ614" s="17">
        <v>44925</v>
      </c>
      <c r="NGR614" s="5" t="s">
        <v>3728</v>
      </c>
      <c r="NGS614" s="17">
        <v>44925</v>
      </c>
      <c r="NGT614" s="5" t="s">
        <v>3728</v>
      </c>
      <c r="NGU614" s="17">
        <v>44925</v>
      </c>
      <c r="NGV614" s="5" t="s">
        <v>3728</v>
      </c>
      <c r="NGW614" s="17">
        <v>44925</v>
      </c>
      <c r="NGX614" s="5" t="s">
        <v>3728</v>
      </c>
      <c r="NGY614" s="17">
        <v>44925</v>
      </c>
      <c r="NGZ614" s="5" t="s">
        <v>3728</v>
      </c>
      <c r="NHA614" s="17">
        <v>44925</v>
      </c>
      <c r="NHB614" s="5" t="s">
        <v>3728</v>
      </c>
      <c r="NHC614" s="17">
        <v>44925</v>
      </c>
      <c r="NHD614" s="5" t="s">
        <v>3728</v>
      </c>
      <c r="NHE614" s="17">
        <v>44925</v>
      </c>
      <c r="NHF614" s="5" t="s">
        <v>3728</v>
      </c>
      <c r="NHG614" s="17">
        <v>44925</v>
      </c>
      <c r="NHH614" s="5" t="s">
        <v>3728</v>
      </c>
      <c r="NHI614" s="17">
        <v>44925</v>
      </c>
      <c r="NHJ614" s="5" t="s">
        <v>3728</v>
      </c>
      <c r="NHK614" s="17">
        <v>44925</v>
      </c>
      <c r="NHL614" s="5" t="s">
        <v>3728</v>
      </c>
      <c r="NHM614" s="17">
        <v>44925</v>
      </c>
      <c r="NHN614" s="5" t="s">
        <v>3728</v>
      </c>
      <c r="NHO614" s="17">
        <v>44925</v>
      </c>
      <c r="NHP614" s="5" t="s">
        <v>3728</v>
      </c>
      <c r="NHQ614" s="17">
        <v>44925</v>
      </c>
      <c r="NHR614" s="5" t="s">
        <v>3728</v>
      </c>
      <c r="NHS614" s="17">
        <v>44925</v>
      </c>
      <c r="NHT614" s="5" t="s">
        <v>3728</v>
      </c>
      <c r="NHU614" s="17">
        <v>44925</v>
      </c>
      <c r="NHV614" s="5" t="s">
        <v>3728</v>
      </c>
      <c r="NHW614" s="17">
        <v>44925</v>
      </c>
      <c r="NHX614" s="5" t="s">
        <v>3728</v>
      </c>
      <c r="NHY614" s="17">
        <v>44925</v>
      </c>
      <c r="NHZ614" s="5" t="s">
        <v>3728</v>
      </c>
      <c r="NIA614" s="17">
        <v>44925</v>
      </c>
      <c r="NIB614" s="5" t="s">
        <v>3728</v>
      </c>
      <c r="NIC614" s="17">
        <v>44925</v>
      </c>
      <c r="NID614" s="5" t="s">
        <v>3728</v>
      </c>
      <c r="NIE614" s="17">
        <v>44925</v>
      </c>
      <c r="NIF614" s="5" t="s">
        <v>3728</v>
      </c>
      <c r="NIG614" s="17">
        <v>44925</v>
      </c>
      <c r="NIH614" s="5" t="s">
        <v>3728</v>
      </c>
      <c r="NII614" s="17">
        <v>44925</v>
      </c>
      <c r="NIJ614" s="5" t="s">
        <v>3728</v>
      </c>
      <c r="NIK614" s="17">
        <v>44925</v>
      </c>
      <c r="NIL614" s="5" t="s">
        <v>3728</v>
      </c>
      <c r="NIM614" s="17">
        <v>44925</v>
      </c>
      <c r="NIN614" s="5" t="s">
        <v>3728</v>
      </c>
      <c r="NIO614" s="17">
        <v>44925</v>
      </c>
      <c r="NIP614" s="5" t="s">
        <v>3728</v>
      </c>
      <c r="NIQ614" s="17">
        <v>44925</v>
      </c>
      <c r="NIR614" s="5" t="s">
        <v>3728</v>
      </c>
      <c r="NIS614" s="17">
        <v>44925</v>
      </c>
      <c r="NIT614" s="5" t="s">
        <v>3728</v>
      </c>
      <c r="NIU614" s="17">
        <v>44925</v>
      </c>
      <c r="NIV614" s="5" t="s">
        <v>3728</v>
      </c>
      <c r="NIW614" s="17">
        <v>44925</v>
      </c>
      <c r="NIX614" s="5" t="s">
        <v>3728</v>
      </c>
      <c r="NIY614" s="17">
        <v>44925</v>
      </c>
      <c r="NIZ614" s="5" t="s">
        <v>3728</v>
      </c>
      <c r="NJA614" s="17">
        <v>44925</v>
      </c>
      <c r="NJB614" s="5" t="s">
        <v>3728</v>
      </c>
      <c r="NJC614" s="17">
        <v>44925</v>
      </c>
      <c r="NJD614" s="5" t="s">
        <v>3728</v>
      </c>
      <c r="NJE614" s="17">
        <v>44925</v>
      </c>
      <c r="NJF614" s="5" t="s">
        <v>3728</v>
      </c>
      <c r="NJG614" s="17">
        <v>44925</v>
      </c>
      <c r="NJH614" s="5" t="s">
        <v>3728</v>
      </c>
      <c r="NJI614" s="17">
        <v>44925</v>
      </c>
      <c r="NJJ614" s="5" t="s">
        <v>3728</v>
      </c>
      <c r="NJK614" s="17">
        <v>44925</v>
      </c>
      <c r="NJL614" s="5" t="s">
        <v>3728</v>
      </c>
      <c r="NJM614" s="17">
        <v>44925</v>
      </c>
      <c r="NJN614" s="5" t="s">
        <v>3728</v>
      </c>
      <c r="NJO614" s="17">
        <v>44925</v>
      </c>
      <c r="NJP614" s="5" t="s">
        <v>3728</v>
      </c>
      <c r="NJQ614" s="17">
        <v>44925</v>
      </c>
      <c r="NJR614" s="5" t="s">
        <v>3728</v>
      </c>
      <c r="NJS614" s="17">
        <v>44925</v>
      </c>
      <c r="NJT614" s="5" t="s">
        <v>3728</v>
      </c>
      <c r="NJU614" s="17">
        <v>44925</v>
      </c>
      <c r="NJV614" s="5" t="s">
        <v>3728</v>
      </c>
      <c r="NJW614" s="17">
        <v>44925</v>
      </c>
      <c r="NJX614" s="5" t="s">
        <v>3728</v>
      </c>
      <c r="NJY614" s="17">
        <v>44925</v>
      </c>
      <c r="NJZ614" s="5" t="s">
        <v>3728</v>
      </c>
      <c r="NKA614" s="17">
        <v>44925</v>
      </c>
      <c r="NKB614" s="5" t="s">
        <v>3728</v>
      </c>
      <c r="NKC614" s="17">
        <v>44925</v>
      </c>
      <c r="NKD614" s="5" t="s">
        <v>3728</v>
      </c>
      <c r="NKE614" s="17">
        <v>44925</v>
      </c>
      <c r="NKF614" s="5" t="s">
        <v>3728</v>
      </c>
      <c r="NKG614" s="17">
        <v>44925</v>
      </c>
      <c r="NKH614" s="5" t="s">
        <v>3728</v>
      </c>
      <c r="NKI614" s="17">
        <v>44925</v>
      </c>
      <c r="NKJ614" s="5" t="s">
        <v>3728</v>
      </c>
      <c r="NKK614" s="17">
        <v>44925</v>
      </c>
      <c r="NKL614" s="5" t="s">
        <v>3728</v>
      </c>
      <c r="NKM614" s="17">
        <v>44925</v>
      </c>
      <c r="NKN614" s="5" t="s">
        <v>3728</v>
      </c>
      <c r="NKO614" s="17">
        <v>44925</v>
      </c>
      <c r="NKP614" s="5" t="s">
        <v>3728</v>
      </c>
      <c r="NKQ614" s="17">
        <v>44925</v>
      </c>
      <c r="NKR614" s="5" t="s">
        <v>3728</v>
      </c>
      <c r="NKS614" s="17">
        <v>44925</v>
      </c>
      <c r="NKT614" s="5" t="s">
        <v>3728</v>
      </c>
      <c r="NKU614" s="17">
        <v>44925</v>
      </c>
      <c r="NKV614" s="5" t="s">
        <v>3728</v>
      </c>
      <c r="NKW614" s="17">
        <v>44925</v>
      </c>
      <c r="NKX614" s="5" t="s">
        <v>3728</v>
      </c>
      <c r="NKY614" s="17">
        <v>44925</v>
      </c>
      <c r="NKZ614" s="5" t="s">
        <v>3728</v>
      </c>
      <c r="NLA614" s="17">
        <v>44925</v>
      </c>
      <c r="NLB614" s="5" t="s">
        <v>3728</v>
      </c>
      <c r="NLC614" s="17">
        <v>44925</v>
      </c>
      <c r="NLD614" s="5" t="s">
        <v>3728</v>
      </c>
      <c r="NLE614" s="17">
        <v>44925</v>
      </c>
      <c r="NLF614" s="5" t="s">
        <v>3728</v>
      </c>
      <c r="NLG614" s="17">
        <v>44925</v>
      </c>
      <c r="NLH614" s="5" t="s">
        <v>3728</v>
      </c>
      <c r="NLI614" s="17">
        <v>44925</v>
      </c>
      <c r="NLJ614" s="5" t="s">
        <v>3728</v>
      </c>
      <c r="NLK614" s="17">
        <v>44925</v>
      </c>
      <c r="NLL614" s="5" t="s">
        <v>3728</v>
      </c>
      <c r="NLM614" s="17">
        <v>44925</v>
      </c>
      <c r="NLN614" s="5" t="s">
        <v>3728</v>
      </c>
      <c r="NLO614" s="17">
        <v>44925</v>
      </c>
      <c r="NLP614" s="5" t="s">
        <v>3728</v>
      </c>
      <c r="NLQ614" s="17">
        <v>44925</v>
      </c>
      <c r="NLR614" s="5" t="s">
        <v>3728</v>
      </c>
      <c r="NLS614" s="17">
        <v>44925</v>
      </c>
      <c r="NLT614" s="5" t="s">
        <v>3728</v>
      </c>
      <c r="NLU614" s="17">
        <v>44925</v>
      </c>
      <c r="NLV614" s="5" t="s">
        <v>3728</v>
      </c>
      <c r="NLW614" s="17">
        <v>44925</v>
      </c>
      <c r="NLX614" s="5" t="s">
        <v>3728</v>
      </c>
      <c r="NLY614" s="17">
        <v>44925</v>
      </c>
      <c r="NLZ614" s="5" t="s">
        <v>3728</v>
      </c>
      <c r="NMA614" s="17">
        <v>44925</v>
      </c>
      <c r="NMB614" s="5" t="s">
        <v>3728</v>
      </c>
      <c r="NMC614" s="17">
        <v>44925</v>
      </c>
      <c r="NMD614" s="5" t="s">
        <v>3728</v>
      </c>
      <c r="NME614" s="17">
        <v>44925</v>
      </c>
      <c r="NMF614" s="5" t="s">
        <v>3728</v>
      </c>
      <c r="NMG614" s="17">
        <v>44925</v>
      </c>
      <c r="NMH614" s="5" t="s">
        <v>3728</v>
      </c>
      <c r="NMI614" s="17">
        <v>44925</v>
      </c>
      <c r="NMJ614" s="5" t="s">
        <v>3728</v>
      </c>
      <c r="NMK614" s="17">
        <v>44925</v>
      </c>
      <c r="NML614" s="5" t="s">
        <v>3728</v>
      </c>
      <c r="NMM614" s="17">
        <v>44925</v>
      </c>
      <c r="NMN614" s="5" t="s">
        <v>3728</v>
      </c>
      <c r="NMO614" s="17">
        <v>44925</v>
      </c>
      <c r="NMP614" s="5" t="s">
        <v>3728</v>
      </c>
      <c r="NMQ614" s="17">
        <v>44925</v>
      </c>
      <c r="NMR614" s="5" t="s">
        <v>3728</v>
      </c>
      <c r="NMS614" s="17">
        <v>44925</v>
      </c>
      <c r="NMT614" s="5" t="s">
        <v>3728</v>
      </c>
      <c r="NMU614" s="17">
        <v>44925</v>
      </c>
      <c r="NMV614" s="5" t="s">
        <v>3728</v>
      </c>
      <c r="NMW614" s="17">
        <v>44925</v>
      </c>
      <c r="NMX614" s="5" t="s">
        <v>3728</v>
      </c>
      <c r="NMY614" s="17">
        <v>44925</v>
      </c>
      <c r="NMZ614" s="5" t="s">
        <v>3728</v>
      </c>
      <c r="NNA614" s="17">
        <v>44925</v>
      </c>
      <c r="NNB614" s="5" t="s">
        <v>3728</v>
      </c>
      <c r="NNC614" s="17">
        <v>44925</v>
      </c>
      <c r="NND614" s="5" t="s">
        <v>3728</v>
      </c>
      <c r="NNE614" s="17">
        <v>44925</v>
      </c>
      <c r="NNF614" s="5" t="s">
        <v>3728</v>
      </c>
      <c r="NNG614" s="17">
        <v>44925</v>
      </c>
      <c r="NNH614" s="5" t="s">
        <v>3728</v>
      </c>
      <c r="NNI614" s="17">
        <v>44925</v>
      </c>
      <c r="NNJ614" s="5" t="s">
        <v>3728</v>
      </c>
      <c r="NNK614" s="17">
        <v>44925</v>
      </c>
      <c r="NNL614" s="5" t="s">
        <v>3728</v>
      </c>
      <c r="NNM614" s="17">
        <v>44925</v>
      </c>
      <c r="NNN614" s="5" t="s">
        <v>3728</v>
      </c>
      <c r="NNO614" s="17">
        <v>44925</v>
      </c>
      <c r="NNP614" s="5" t="s">
        <v>3728</v>
      </c>
      <c r="NNQ614" s="17">
        <v>44925</v>
      </c>
      <c r="NNR614" s="5" t="s">
        <v>3728</v>
      </c>
      <c r="NNS614" s="17">
        <v>44925</v>
      </c>
      <c r="NNT614" s="5" t="s">
        <v>3728</v>
      </c>
      <c r="NNU614" s="17">
        <v>44925</v>
      </c>
      <c r="NNV614" s="5" t="s">
        <v>3728</v>
      </c>
      <c r="NNW614" s="17">
        <v>44925</v>
      </c>
      <c r="NNX614" s="5" t="s">
        <v>3728</v>
      </c>
      <c r="NNY614" s="17">
        <v>44925</v>
      </c>
      <c r="NNZ614" s="5" t="s">
        <v>3728</v>
      </c>
      <c r="NOA614" s="17">
        <v>44925</v>
      </c>
      <c r="NOB614" s="5" t="s">
        <v>3728</v>
      </c>
      <c r="NOC614" s="17">
        <v>44925</v>
      </c>
      <c r="NOD614" s="5" t="s">
        <v>3728</v>
      </c>
      <c r="NOE614" s="17">
        <v>44925</v>
      </c>
      <c r="NOF614" s="5" t="s">
        <v>3728</v>
      </c>
      <c r="NOG614" s="17">
        <v>44925</v>
      </c>
      <c r="NOH614" s="5" t="s">
        <v>3728</v>
      </c>
      <c r="NOI614" s="17">
        <v>44925</v>
      </c>
      <c r="NOJ614" s="5" t="s">
        <v>3728</v>
      </c>
      <c r="NOK614" s="17">
        <v>44925</v>
      </c>
      <c r="NOL614" s="5" t="s">
        <v>3728</v>
      </c>
      <c r="NOM614" s="17">
        <v>44925</v>
      </c>
      <c r="NON614" s="5" t="s">
        <v>3728</v>
      </c>
      <c r="NOO614" s="17">
        <v>44925</v>
      </c>
      <c r="NOP614" s="5" t="s">
        <v>3728</v>
      </c>
      <c r="NOQ614" s="17">
        <v>44925</v>
      </c>
      <c r="NOR614" s="5" t="s">
        <v>3728</v>
      </c>
      <c r="NOS614" s="17">
        <v>44925</v>
      </c>
      <c r="NOT614" s="5" t="s">
        <v>3728</v>
      </c>
      <c r="NOU614" s="17">
        <v>44925</v>
      </c>
      <c r="NOV614" s="5" t="s">
        <v>3728</v>
      </c>
      <c r="NOW614" s="17">
        <v>44925</v>
      </c>
      <c r="NOX614" s="5" t="s">
        <v>3728</v>
      </c>
      <c r="NOY614" s="17">
        <v>44925</v>
      </c>
      <c r="NOZ614" s="5" t="s">
        <v>3728</v>
      </c>
      <c r="NPA614" s="17">
        <v>44925</v>
      </c>
      <c r="NPB614" s="5" t="s">
        <v>3728</v>
      </c>
      <c r="NPC614" s="17">
        <v>44925</v>
      </c>
      <c r="NPD614" s="5" t="s">
        <v>3728</v>
      </c>
      <c r="NPE614" s="17">
        <v>44925</v>
      </c>
      <c r="NPF614" s="5" t="s">
        <v>3728</v>
      </c>
      <c r="NPG614" s="17">
        <v>44925</v>
      </c>
      <c r="NPH614" s="5" t="s">
        <v>3728</v>
      </c>
      <c r="NPI614" s="17">
        <v>44925</v>
      </c>
      <c r="NPJ614" s="5" t="s">
        <v>3728</v>
      </c>
      <c r="NPK614" s="17">
        <v>44925</v>
      </c>
      <c r="NPL614" s="5" t="s">
        <v>3728</v>
      </c>
      <c r="NPM614" s="17">
        <v>44925</v>
      </c>
      <c r="NPN614" s="5" t="s">
        <v>3728</v>
      </c>
      <c r="NPO614" s="17">
        <v>44925</v>
      </c>
      <c r="NPP614" s="5" t="s">
        <v>3728</v>
      </c>
      <c r="NPQ614" s="17">
        <v>44925</v>
      </c>
      <c r="NPR614" s="5" t="s">
        <v>3728</v>
      </c>
      <c r="NPS614" s="17">
        <v>44925</v>
      </c>
      <c r="NPT614" s="5" t="s">
        <v>3728</v>
      </c>
      <c r="NPU614" s="17">
        <v>44925</v>
      </c>
      <c r="NPV614" s="5" t="s">
        <v>3728</v>
      </c>
      <c r="NPW614" s="17">
        <v>44925</v>
      </c>
      <c r="NPX614" s="5" t="s">
        <v>3728</v>
      </c>
      <c r="NPY614" s="17">
        <v>44925</v>
      </c>
      <c r="NPZ614" s="5" t="s">
        <v>3728</v>
      </c>
      <c r="NQA614" s="17">
        <v>44925</v>
      </c>
      <c r="NQB614" s="5" t="s">
        <v>3728</v>
      </c>
      <c r="NQC614" s="17">
        <v>44925</v>
      </c>
      <c r="NQD614" s="5" t="s">
        <v>3728</v>
      </c>
      <c r="NQE614" s="17">
        <v>44925</v>
      </c>
      <c r="NQF614" s="5" t="s">
        <v>3728</v>
      </c>
      <c r="NQG614" s="17">
        <v>44925</v>
      </c>
      <c r="NQH614" s="5" t="s">
        <v>3728</v>
      </c>
      <c r="NQI614" s="17">
        <v>44925</v>
      </c>
      <c r="NQJ614" s="5" t="s">
        <v>3728</v>
      </c>
      <c r="NQK614" s="17">
        <v>44925</v>
      </c>
      <c r="NQL614" s="5" t="s">
        <v>3728</v>
      </c>
      <c r="NQM614" s="17">
        <v>44925</v>
      </c>
      <c r="NQN614" s="5" t="s">
        <v>3728</v>
      </c>
      <c r="NQO614" s="17">
        <v>44925</v>
      </c>
      <c r="NQP614" s="5" t="s">
        <v>3728</v>
      </c>
      <c r="NQQ614" s="17">
        <v>44925</v>
      </c>
      <c r="NQR614" s="5" t="s">
        <v>3728</v>
      </c>
      <c r="NQS614" s="17">
        <v>44925</v>
      </c>
      <c r="NQT614" s="5" t="s">
        <v>3728</v>
      </c>
      <c r="NQU614" s="17">
        <v>44925</v>
      </c>
      <c r="NQV614" s="5" t="s">
        <v>3728</v>
      </c>
      <c r="NQW614" s="17">
        <v>44925</v>
      </c>
      <c r="NQX614" s="5" t="s">
        <v>3728</v>
      </c>
      <c r="NQY614" s="17">
        <v>44925</v>
      </c>
      <c r="NQZ614" s="5" t="s">
        <v>3728</v>
      </c>
      <c r="NRA614" s="17">
        <v>44925</v>
      </c>
      <c r="NRB614" s="5" t="s">
        <v>3728</v>
      </c>
      <c r="NRC614" s="17">
        <v>44925</v>
      </c>
      <c r="NRD614" s="5" t="s">
        <v>3728</v>
      </c>
      <c r="NRE614" s="17">
        <v>44925</v>
      </c>
      <c r="NRF614" s="5" t="s">
        <v>3728</v>
      </c>
      <c r="NRG614" s="17">
        <v>44925</v>
      </c>
      <c r="NRH614" s="5" t="s">
        <v>3728</v>
      </c>
      <c r="NRI614" s="17">
        <v>44925</v>
      </c>
      <c r="NRJ614" s="5" t="s">
        <v>3728</v>
      </c>
      <c r="NRK614" s="17">
        <v>44925</v>
      </c>
      <c r="NRL614" s="5" t="s">
        <v>3728</v>
      </c>
      <c r="NRM614" s="17">
        <v>44925</v>
      </c>
      <c r="NRN614" s="5" t="s">
        <v>3728</v>
      </c>
      <c r="NRO614" s="17">
        <v>44925</v>
      </c>
      <c r="NRP614" s="5" t="s">
        <v>3728</v>
      </c>
      <c r="NRQ614" s="17">
        <v>44925</v>
      </c>
      <c r="NRR614" s="5" t="s">
        <v>3728</v>
      </c>
      <c r="NRS614" s="17">
        <v>44925</v>
      </c>
      <c r="NRT614" s="5" t="s">
        <v>3728</v>
      </c>
      <c r="NRU614" s="17">
        <v>44925</v>
      </c>
      <c r="NRV614" s="5" t="s">
        <v>3728</v>
      </c>
      <c r="NRW614" s="17">
        <v>44925</v>
      </c>
      <c r="NRX614" s="5" t="s">
        <v>3728</v>
      </c>
      <c r="NRY614" s="17">
        <v>44925</v>
      </c>
      <c r="NRZ614" s="5" t="s">
        <v>3728</v>
      </c>
      <c r="NSA614" s="17">
        <v>44925</v>
      </c>
      <c r="NSB614" s="5" t="s">
        <v>3728</v>
      </c>
      <c r="NSC614" s="17">
        <v>44925</v>
      </c>
      <c r="NSD614" s="5" t="s">
        <v>3728</v>
      </c>
      <c r="NSE614" s="17">
        <v>44925</v>
      </c>
      <c r="NSF614" s="5" t="s">
        <v>3728</v>
      </c>
      <c r="NSG614" s="17">
        <v>44925</v>
      </c>
      <c r="NSH614" s="5" t="s">
        <v>3728</v>
      </c>
      <c r="NSI614" s="17">
        <v>44925</v>
      </c>
      <c r="NSJ614" s="5" t="s">
        <v>3728</v>
      </c>
      <c r="NSK614" s="17">
        <v>44925</v>
      </c>
      <c r="NSL614" s="5" t="s">
        <v>3728</v>
      </c>
      <c r="NSM614" s="17">
        <v>44925</v>
      </c>
      <c r="NSN614" s="5" t="s">
        <v>3728</v>
      </c>
      <c r="NSO614" s="17">
        <v>44925</v>
      </c>
      <c r="NSP614" s="5" t="s">
        <v>3728</v>
      </c>
      <c r="NSQ614" s="17">
        <v>44925</v>
      </c>
      <c r="NSR614" s="5" t="s">
        <v>3728</v>
      </c>
      <c r="NSS614" s="17">
        <v>44925</v>
      </c>
      <c r="NST614" s="5" t="s">
        <v>3728</v>
      </c>
      <c r="NSU614" s="17">
        <v>44925</v>
      </c>
      <c r="NSV614" s="5" t="s">
        <v>3728</v>
      </c>
      <c r="NSW614" s="17">
        <v>44925</v>
      </c>
      <c r="NSX614" s="5" t="s">
        <v>3728</v>
      </c>
      <c r="NSY614" s="17">
        <v>44925</v>
      </c>
      <c r="NSZ614" s="5" t="s">
        <v>3728</v>
      </c>
      <c r="NTA614" s="17">
        <v>44925</v>
      </c>
      <c r="NTB614" s="5" t="s">
        <v>3728</v>
      </c>
      <c r="NTC614" s="17">
        <v>44925</v>
      </c>
      <c r="NTD614" s="5" t="s">
        <v>3728</v>
      </c>
      <c r="NTE614" s="17">
        <v>44925</v>
      </c>
      <c r="NTF614" s="5" t="s">
        <v>3728</v>
      </c>
      <c r="NTG614" s="17">
        <v>44925</v>
      </c>
      <c r="NTH614" s="5" t="s">
        <v>3728</v>
      </c>
      <c r="NTI614" s="17">
        <v>44925</v>
      </c>
      <c r="NTJ614" s="5" t="s">
        <v>3728</v>
      </c>
      <c r="NTK614" s="17">
        <v>44925</v>
      </c>
      <c r="NTL614" s="5" t="s">
        <v>3728</v>
      </c>
      <c r="NTM614" s="17">
        <v>44925</v>
      </c>
      <c r="NTN614" s="5" t="s">
        <v>3728</v>
      </c>
      <c r="NTO614" s="17">
        <v>44925</v>
      </c>
      <c r="NTP614" s="5" t="s">
        <v>3728</v>
      </c>
      <c r="NTQ614" s="17">
        <v>44925</v>
      </c>
      <c r="NTR614" s="5" t="s">
        <v>3728</v>
      </c>
      <c r="NTS614" s="17">
        <v>44925</v>
      </c>
      <c r="NTT614" s="5" t="s">
        <v>3728</v>
      </c>
      <c r="NTU614" s="17">
        <v>44925</v>
      </c>
      <c r="NTV614" s="5" t="s">
        <v>3728</v>
      </c>
      <c r="NTW614" s="17">
        <v>44925</v>
      </c>
      <c r="NTX614" s="5" t="s">
        <v>3728</v>
      </c>
      <c r="NTY614" s="17">
        <v>44925</v>
      </c>
      <c r="NTZ614" s="5" t="s">
        <v>3728</v>
      </c>
      <c r="NUA614" s="17">
        <v>44925</v>
      </c>
      <c r="NUB614" s="5" t="s">
        <v>3728</v>
      </c>
      <c r="NUC614" s="17">
        <v>44925</v>
      </c>
      <c r="NUD614" s="5" t="s">
        <v>3728</v>
      </c>
      <c r="NUE614" s="17">
        <v>44925</v>
      </c>
      <c r="NUF614" s="5" t="s">
        <v>3728</v>
      </c>
      <c r="NUG614" s="17">
        <v>44925</v>
      </c>
      <c r="NUH614" s="5" t="s">
        <v>3728</v>
      </c>
      <c r="NUI614" s="17">
        <v>44925</v>
      </c>
      <c r="NUJ614" s="5" t="s">
        <v>3728</v>
      </c>
      <c r="NUK614" s="17">
        <v>44925</v>
      </c>
      <c r="NUL614" s="5" t="s">
        <v>3728</v>
      </c>
      <c r="NUM614" s="17">
        <v>44925</v>
      </c>
      <c r="NUN614" s="5" t="s">
        <v>3728</v>
      </c>
      <c r="NUO614" s="17">
        <v>44925</v>
      </c>
      <c r="NUP614" s="5" t="s">
        <v>3728</v>
      </c>
      <c r="NUQ614" s="17">
        <v>44925</v>
      </c>
      <c r="NUR614" s="5" t="s">
        <v>3728</v>
      </c>
      <c r="NUS614" s="17">
        <v>44925</v>
      </c>
      <c r="NUT614" s="5" t="s">
        <v>3728</v>
      </c>
      <c r="NUU614" s="17">
        <v>44925</v>
      </c>
      <c r="NUV614" s="5" t="s">
        <v>3728</v>
      </c>
      <c r="NUW614" s="17">
        <v>44925</v>
      </c>
      <c r="NUX614" s="5" t="s">
        <v>3728</v>
      </c>
      <c r="NUY614" s="17">
        <v>44925</v>
      </c>
      <c r="NUZ614" s="5" t="s">
        <v>3728</v>
      </c>
      <c r="NVA614" s="17">
        <v>44925</v>
      </c>
      <c r="NVB614" s="5" t="s">
        <v>3728</v>
      </c>
      <c r="NVC614" s="17">
        <v>44925</v>
      </c>
      <c r="NVD614" s="5" t="s">
        <v>3728</v>
      </c>
      <c r="NVE614" s="17">
        <v>44925</v>
      </c>
      <c r="NVF614" s="5" t="s">
        <v>3728</v>
      </c>
      <c r="NVG614" s="17">
        <v>44925</v>
      </c>
      <c r="NVH614" s="5" t="s">
        <v>3728</v>
      </c>
      <c r="NVI614" s="17">
        <v>44925</v>
      </c>
      <c r="NVJ614" s="5" t="s">
        <v>3728</v>
      </c>
      <c r="NVK614" s="17">
        <v>44925</v>
      </c>
      <c r="NVL614" s="5" t="s">
        <v>3728</v>
      </c>
      <c r="NVM614" s="17">
        <v>44925</v>
      </c>
      <c r="NVN614" s="5" t="s">
        <v>3728</v>
      </c>
      <c r="NVO614" s="17">
        <v>44925</v>
      </c>
      <c r="NVP614" s="5" t="s">
        <v>3728</v>
      </c>
      <c r="NVQ614" s="17">
        <v>44925</v>
      </c>
      <c r="NVR614" s="5" t="s">
        <v>3728</v>
      </c>
      <c r="NVS614" s="17">
        <v>44925</v>
      </c>
      <c r="NVT614" s="5" t="s">
        <v>3728</v>
      </c>
      <c r="NVU614" s="17">
        <v>44925</v>
      </c>
      <c r="NVV614" s="5" t="s">
        <v>3728</v>
      </c>
      <c r="NVW614" s="17">
        <v>44925</v>
      </c>
      <c r="NVX614" s="5" t="s">
        <v>3728</v>
      </c>
      <c r="NVY614" s="17">
        <v>44925</v>
      </c>
      <c r="NVZ614" s="5" t="s">
        <v>3728</v>
      </c>
      <c r="NWA614" s="17">
        <v>44925</v>
      </c>
      <c r="NWB614" s="5" t="s">
        <v>3728</v>
      </c>
      <c r="NWC614" s="17">
        <v>44925</v>
      </c>
      <c r="NWD614" s="5" t="s">
        <v>3728</v>
      </c>
      <c r="NWE614" s="17">
        <v>44925</v>
      </c>
      <c r="NWF614" s="5" t="s">
        <v>3728</v>
      </c>
      <c r="NWG614" s="17">
        <v>44925</v>
      </c>
      <c r="NWH614" s="5" t="s">
        <v>3728</v>
      </c>
      <c r="NWI614" s="17">
        <v>44925</v>
      </c>
      <c r="NWJ614" s="5" t="s">
        <v>3728</v>
      </c>
      <c r="NWK614" s="17">
        <v>44925</v>
      </c>
      <c r="NWL614" s="5" t="s">
        <v>3728</v>
      </c>
      <c r="NWM614" s="17">
        <v>44925</v>
      </c>
      <c r="NWN614" s="5" t="s">
        <v>3728</v>
      </c>
      <c r="NWO614" s="17">
        <v>44925</v>
      </c>
      <c r="NWP614" s="5" t="s">
        <v>3728</v>
      </c>
      <c r="NWQ614" s="17">
        <v>44925</v>
      </c>
      <c r="NWR614" s="5" t="s">
        <v>3728</v>
      </c>
      <c r="NWS614" s="17">
        <v>44925</v>
      </c>
      <c r="NWT614" s="5" t="s">
        <v>3728</v>
      </c>
      <c r="NWU614" s="17">
        <v>44925</v>
      </c>
      <c r="NWV614" s="5" t="s">
        <v>3728</v>
      </c>
      <c r="NWW614" s="17">
        <v>44925</v>
      </c>
      <c r="NWX614" s="5" t="s">
        <v>3728</v>
      </c>
      <c r="NWY614" s="17">
        <v>44925</v>
      </c>
      <c r="NWZ614" s="5" t="s">
        <v>3728</v>
      </c>
      <c r="NXA614" s="17">
        <v>44925</v>
      </c>
      <c r="NXB614" s="5" t="s">
        <v>3728</v>
      </c>
      <c r="NXC614" s="17">
        <v>44925</v>
      </c>
      <c r="NXD614" s="5" t="s">
        <v>3728</v>
      </c>
      <c r="NXE614" s="17">
        <v>44925</v>
      </c>
      <c r="NXF614" s="5" t="s">
        <v>3728</v>
      </c>
      <c r="NXG614" s="17">
        <v>44925</v>
      </c>
      <c r="NXH614" s="5" t="s">
        <v>3728</v>
      </c>
      <c r="NXI614" s="17">
        <v>44925</v>
      </c>
      <c r="NXJ614" s="5" t="s">
        <v>3728</v>
      </c>
      <c r="NXK614" s="17">
        <v>44925</v>
      </c>
      <c r="NXL614" s="5" t="s">
        <v>3728</v>
      </c>
      <c r="NXM614" s="17">
        <v>44925</v>
      </c>
      <c r="NXN614" s="5" t="s">
        <v>3728</v>
      </c>
      <c r="NXO614" s="17">
        <v>44925</v>
      </c>
      <c r="NXP614" s="5" t="s">
        <v>3728</v>
      </c>
      <c r="NXQ614" s="17">
        <v>44925</v>
      </c>
      <c r="NXR614" s="5" t="s">
        <v>3728</v>
      </c>
      <c r="NXS614" s="17">
        <v>44925</v>
      </c>
      <c r="NXT614" s="5" t="s">
        <v>3728</v>
      </c>
      <c r="NXU614" s="17">
        <v>44925</v>
      </c>
      <c r="NXV614" s="5" t="s">
        <v>3728</v>
      </c>
      <c r="NXW614" s="17">
        <v>44925</v>
      </c>
      <c r="NXX614" s="5" t="s">
        <v>3728</v>
      </c>
      <c r="NXY614" s="17">
        <v>44925</v>
      </c>
      <c r="NXZ614" s="5" t="s">
        <v>3728</v>
      </c>
      <c r="NYA614" s="17">
        <v>44925</v>
      </c>
      <c r="NYB614" s="5" t="s">
        <v>3728</v>
      </c>
      <c r="NYC614" s="17">
        <v>44925</v>
      </c>
      <c r="NYD614" s="5" t="s">
        <v>3728</v>
      </c>
      <c r="NYE614" s="17">
        <v>44925</v>
      </c>
      <c r="NYF614" s="5" t="s">
        <v>3728</v>
      </c>
      <c r="NYG614" s="17">
        <v>44925</v>
      </c>
      <c r="NYH614" s="5" t="s">
        <v>3728</v>
      </c>
      <c r="NYI614" s="17">
        <v>44925</v>
      </c>
      <c r="NYJ614" s="5" t="s">
        <v>3728</v>
      </c>
      <c r="NYK614" s="17">
        <v>44925</v>
      </c>
      <c r="NYL614" s="5" t="s">
        <v>3728</v>
      </c>
      <c r="NYM614" s="17">
        <v>44925</v>
      </c>
      <c r="NYN614" s="5" t="s">
        <v>3728</v>
      </c>
      <c r="NYO614" s="17">
        <v>44925</v>
      </c>
      <c r="NYP614" s="5" t="s">
        <v>3728</v>
      </c>
      <c r="NYQ614" s="17">
        <v>44925</v>
      </c>
      <c r="NYR614" s="5" t="s">
        <v>3728</v>
      </c>
      <c r="NYS614" s="17">
        <v>44925</v>
      </c>
      <c r="NYT614" s="5" t="s">
        <v>3728</v>
      </c>
      <c r="NYU614" s="17">
        <v>44925</v>
      </c>
      <c r="NYV614" s="5" t="s">
        <v>3728</v>
      </c>
      <c r="NYW614" s="17">
        <v>44925</v>
      </c>
      <c r="NYX614" s="5" t="s">
        <v>3728</v>
      </c>
      <c r="NYY614" s="17">
        <v>44925</v>
      </c>
      <c r="NYZ614" s="5" t="s">
        <v>3728</v>
      </c>
      <c r="NZA614" s="17">
        <v>44925</v>
      </c>
      <c r="NZB614" s="5" t="s">
        <v>3728</v>
      </c>
      <c r="NZC614" s="17">
        <v>44925</v>
      </c>
      <c r="NZD614" s="5" t="s">
        <v>3728</v>
      </c>
      <c r="NZE614" s="17">
        <v>44925</v>
      </c>
      <c r="NZF614" s="5" t="s">
        <v>3728</v>
      </c>
      <c r="NZG614" s="17">
        <v>44925</v>
      </c>
      <c r="NZH614" s="5" t="s">
        <v>3728</v>
      </c>
      <c r="NZI614" s="17">
        <v>44925</v>
      </c>
      <c r="NZJ614" s="5" t="s">
        <v>3728</v>
      </c>
      <c r="NZK614" s="17">
        <v>44925</v>
      </c>
      <c r="NZL614" s="5" t="s">
        <v>3728</v>
      </c>
      <c r="NZM614" s="17">
        <v>44925</v>
      </c>
      <c r="NZN614" s="5" t="s">
        <v>3728</v>
      </c>
      <c r="NZO614" s="17">
        <v>44925</v>
      </c>
      <c r="NZP614" s="5" t="s">
        <v>3728</v>
      </c>
      <c r="NZQ614" s="17">
        <v>44925</v>
      </c>
      <c r="NZR614" s="5" t="s">
        <v>3728</v>
      </c>
      <c r="NZS614" s="17">
        <v>44925</v>
      </c>
      <c r="NZT614" s="5" t="s">
        <v>3728</v>
      </c>
      <c r="NZU614" s="17">
        <v>44925</v>
      </c>
      <c r="NZV614" s="5" t="s">
        <v>3728</v>
      </c>
      <c r="NZW614" s="17">
        <v>44925</v>
      </c>
      <c r="NZX614" s="5" t="s">
        <v>3728</v>
      </c>
      <c r="NZY614" s="17">
        <v>44925</v>
      </c>
      <c r="NZZ614" s="5" t="s">
        <v>3728</v>
      </c>
      <c r="OAA614" s="17">
        <v>44925</v>
      </c>
      <c r="OAB614" s="5" t="s">
        <v>3728</v>
      </c>
      <c r="OAC614" s="17">
        <v>44925</v>
      </c>
      <c r="OAD614" s="5" t="s">
        <v>3728</v>
      </c>
      <c r="OAE614" s="17">
        <v>44925</v>
      </c>
      <c r="OAF614" s="5" t="s">
        <v>3728</v>
      </c>
      <c r="OAG614" s="17">
        <v>44925</v>
      </c>
      <c r="OAH614" s="5" t="s">
        <v>3728</v>
      </c>
      <c r="OAI614" s="17">
        <v>44925</v>
      </c>
      <c r="OAJ614" s="5" t="s">
        <v>3728</v>
      </c>
      <c r="OAK614" s="17">
        <v>44925</v>
      </c>
      <c r="OAL614" s="5" t="s">
        <v>3728</v>
      </c>
      <c r="OAM614" s="17">
        <v>44925</v>
      </c>
      <c r="OAN614" s="5" t="s">
        <v>3728</v>
      </c>
      <c r="OAO614" s="17">
        <v>44925</v>
      </c>
      <c r="OAP614" s="5" t="s">
        <v>3728</v>
      </c>
      <c r="OAQ614" s="17">
        <v>44925</v>
      </c>
      <c r="OAR614" s="5" t="s">
        <v>3728</v>
      </c>
      <c r="OAS614" s="17">
        <v>44925</v>
      </c>
      <c r="OAT614" s="5" t="s">
        <v>3728</v>
      </c>
      <c r="OAU614" s="17">
        <v>44925</v>
      </c>
      <c r="OAV614" s="5" t="s">
        <v>3728</v>
      </c>
      <c r="OAW614" s="17">
        <v>44925</v>
      </c>
      <c r="OAX614" s="5" t="s">
        <v>3728</v>
      </c>
      <c r="OAY614" s="17">
        <v>44925</v>
      </c>
      <c r="OAZ614" s="5" t="s">
        <v>3728</v>
      </c>
      <c r="OBA614" s="17">
        <v>44925</v>
      </c>
      <c r="OBB614" s="5" t="s">
        <v>3728</v>
      </c>
      <c r="OBC614" s="17">
        <v>44925</v>
      </c>
      <c r="OBD614" s="5" t="s">
        <v>3728</v>
      </c>
      <c r="OBE614" s="17">
        <v>44925</v>
      </c>
      <c r="OBF614" s="5" t="s">
        <v>3728</v>
      </c>
      <c r="OBG614" s="17">
        <v>44925</v>
      </c>
      <c r="OBH614" s="5" t="s">
        <v>3728</v>
      </c>
      <c r="OBI614" s="17">
        <v>44925</v>
      </c>
      <c r="OBJ614" s="5" t="s">
        <v>3728</v>
      </c>
      <c r="OBK614" s="17">
        <v>44925</v>
      </c>
      <c r="OBL614" s="5" t="s">
        <v>3728</v>
      </c>
      <c r="OBM614" s="17">
        <v>44925</v>
      </c>
      <c r="OBN614" s="5" t="s">
        <v>3728</v>
      </c>
      <c r="OBO614" s="17">
        <v>44925</v>
      </c>
      <c r="OBP614" s="5" t="s">
        <v>3728</v>
      </c>
      <c r="OBQ614" s="17">
        <v>44925</v>
      </c>
      <c r="OBR614" s="5" t="s">
        <v>3728</v>
      </c>
      <c r="OBS614" s="17">
        <v>44925</v>
      </c>
      <c r="OBT614" s="5" t="s">
        <v>3728</v>
      </c>
      <c r="OBU614" s="17">
        <v>44925</v>
      </c>
      <c r="OBV614" s="5" t="s">
        <v>3728</v>
      </c>
      <c r="OBW614" s="17">
        <v>44925</v>
      </c>
      <c r="OBX614" s="5" t="s">
        <v>3728</v>
      </c>
      <c r="OBY614" s="17">
        <v>44925</v>
      </c>
      <c r="OBZ614" s="5" t="s">
        <v>3728</v>
      </c>
      <c r="OCA614" s="17">
        <v>44925</v>
      </c>
      <c r="OCB614" s="5" t="s">
        <v>3728</v>
      </c>
      <c r="OCC614" s="17">
        <v>44925</v>
      </c>
      <c r="OCD614" s="5" t="s">
        <v>3728</v>
      </c>
      <c r="OCE614" s="17">
        <v>44925</v>
      </c>
      <c r="OCF614" s="5" t="s">
        <v>3728</v>
      </c>
      <c r="OCG614" s="17">
        <v>44925</v>
      </c>
      <c r="OCH614" s="5" t="s">
        <v>3728</v>
      </c>
      <c r="OCI614" s="17">
        <v>44925</v>
      </c>
      <c r="OCJ614" s="5" t="s">
        <v>3728</v>
      </c>
      <c r="OCK614" s="17">
        <v>44925</v>
      </c>
      <c r="OCL614" s="5" t="s">
        <v>3728</v>
      </c>
      <c r="OCM614" s="17">
        <v>44925</v>
      </c>
      <c r="OCN614" s="5" t="s">
        <v>3728</v>
      </c>
      <c r="OCO614" s="17">
        <v>44925</v>
      </c>
      <c r="OCP614" s="5" t="s">
        <v>3728</v>
      </c>
      <c r="OCQ614" s="17">
        <v>44925</v>
      </c>
      <c r="OCR614" s="5" t="s">
        <v>3728</v>
      </c>
      <c r="OCS614" s="17">
        <v>44925</v>
      </c>
      <c r="OCT614" s="5" t="s">
        <v>3728</v>
      </c>
      <c r="OCU614" s="17">
        <v>44925</v>
      </c>
      <c r="OCV614" s="5" t="s">
        <v>3728</v>
      </c>
      <c r="OCW614" s="17">
        <v>44925</v>
      </c>
      <c r="OCX614" s="5" t="s">
        <v>3728</v>
      </c>
      <c r="OCY614" s="17">
        <v>44925</v>
      </c>
      <c r="OCZ614" s="5" t="s">
        <v>3728</v>
      </c>
      <c r="ODA614" s="17">
        <v>44925</v>
      </c>
      <c r="ODB614" s="5" t="s">
        <v>3728</v>
      </c>
      <c r="ODC614" s="17">
        <v>44925</v>
      </c>
      <c r="ODD614" s="5" t="s">
        <v>3728</v>
      </c>
      <c r="ODE614" s="17">
        <v>44925</v>
      </c>
      <c r="ODF614" s="5" t="s">
        <v>3728</v>
      </c>
      <c r="ODG614" s="17">
        <v>44925</v>
      </c>
      <c r="ODH614" s="5" t="s">
        <v>3728</v>
      </c>
      <c r="ODI614" s="17">
        <v>44925</v>
      </c>
      <c r="ODJ614" s="5" t="s">
        <v>3728</v>
      </c>
      <c r="ODK614" s="17">
        <v>44925</v>
      </c>
      <c r="ODL614" s="5" t="s">
        <v>3728</v>
      </c>
      <c r="ODM614" s="17">
        <v>44925</v>
      </c>
      <c r="ODN614" s="5" t="s">
        <v>3728</v>
      </c>
      <c r="ODO614" s="17">
        <v>44925</v>
      </c>
      <c r="ODP614" s="5" t="s">
        <v>3728</v>
      </c>
      <c r="ODQ614" s="17">
        <v>44925</v>
      </c>
      <c r="ODR614" s="5" t="s">
        <v>3728</v>
      </c>
      <c r="ODS614" s="17">
        <v>44925</v>
      </c>
      <c r="ODT614" s="5" t="s">
        <v>3728</v>
      </c>
      <c r="ODU614" s="17">
        <v>44925</v>
      </c>
      <c r="ODV614" s="5" t="s">
        <v>3728</v>
      </c>
      <c r="ODW614" s="17">
        <v>44925</v>
      </c>
      <c r="ODX614" s="5" t="s">
        <v>3728</v>
      </c>
      <c r="ODY614" s="17">
        <v>44925</v>
      </c>
      <c r="ODZ614" s="5" t="s">
        <v>3728</v>
      </c>
      <c r="OEA614" s="17">
        <v>44925</v>
      </c>
      <c r="OEB614" s="5" t="s">
        <v>3728</v>
      </c>
      <c r="OEC614" s="17">
        <v>44925</v>
      </c>
      <c r="OED614" s="5" t="s">
        <v>3728</v>
      </c>
      <c r="OEE614" s="17">
        <v>44925</v>
      </c>
      <c r="OEF614" s="5" t="s">
        <v>3728</v>
      </c>
      <c r="OEG614" s="17">
        <v>44925</v>
      </c>
      <c r="OEH614" s="5" t="s">
        <v>3728</v>
      </c>
      <c r="OEI614" s="17">
        <v>44925</v>
      </c>
      <c r="OEJ614" s="5" t="s">
        <v>3728</v>
      </c>
      <c r="OEK614" s="17">
        <v>44925</v>
      </c>
      <c r="OEL614" s="5" t="s">
        <v>3728</v>
      </c>
      <c r="OEM614" s="17">
        <v>44925</v>
      </c>
      <c r="OEN614" s="5" t="s">
        <v>3728</v>
      </c>
      <c r="OEO614" s="17">
        <v>44925</v>
      </c>
      <c r="OEP614" s="5" t="s">
        <v>3728</v>
      </c>
      <c r="OEQ614" s="17">
        <v>44925</v>
      </c>
      <c r="OER614" s="5" t="s">
        <v>3728</v>
      </c>
      <c r="OES614" s="17">
        <v>44925</v>
      </c>
      <c r="OET614" s="5" t="s">
        <v>3728</v>
      </c>
      <c r="OEU614" s="17">
        <v>44925</v>
      </c>
      <c r="OEV614" s="5" t="s">
        <v>3728</v>
      </c>
      <c r="OEW614" s="17">
        <v>44925</v>
      </c>
      <c r="OEX614" s="5" t="s">
        <v>3728</v>
      </c>
      <c r="OEY614" s="17">
        <v>44925</v>
      </c>
      <c r="OEZ614" s="5" t="s">
        <v>3728</v>
      </c>
      <c r="OFA614" s="17">
        <v>44925</v>
      </c>
      <c r="OFB614" s="5" t="s">
        <v>3728</v>
      </c>
      <c r="OFC614" s="17">
        <v>44925</v>
      </c>
      <c r="OFD614" s="5" t="s">
        <v>3728</v>
      </c>
      <c r="OFE614" s="17">
        <v>44925</v>
      </c>
      <c r="OFF614" s="5" t="s">
        <v>3728</v>
      </c>
      <c r="OFG614" s="17">
        <v>44925</v>
      </c>
      <c r="OFH614" s="5" t="s">
        <v>3728</v>
      </c>
      <c r="OFI614" s="17">
        <v>44925</v>
      </c>
      <c r="OFJ614" s="5" t="s">
        <v>3728</v>
      </c>
      <c r="OFK614" s="17">
        <v>44925</v>
      </c>
      <c r="OFL614" s="5" t="s">
        <v>3728</v>
      </c>
      <c r="OFM614" s="17">
        <v>44925</v>
      </c>
      <c r="OFN614" s="5" t="s">
        <v>3728</v>
      </c>
      <c r="OFO614" s="17">
        <v>44925</v>
      </c>
      <c r="OFP614" s="5" t="s">
        <v>3728</v>
      </c>
      <c r="OFQ614" s="17">
        <v>44925</v>
      </c>
      <c r="OFR614" s="5" t="s">
        <v>3728</v>
      </c>
      <c r="OFS614" s="17">
        <v>44925</v>
      </c>
      <c r="OFT614" s="5" t="s">
        <v>3728</v>
      </c>
      <c r="OFU614" s="17">
        <v>44925</v>
      </c>
      <c r="OFV614" s="5" t="s">
        <v>3728</v>
      </c>
      <c r="OFW614" s="17">
        <v>44925</v>
      </c>
      <c r="OFX614" s="5" t="s">
        <v>3728</v>
      </c>
      <c r="OFY614" s="17">
        <v>44925</v>
      </c>
      <c r="OFZ614" s="5" t="s">
        <v>3728</v>
      </c>
      <c r="OGA614" s="17">
        <v>44925</v>
      </c>
      <c r="OGB614" s="5" t="s">
        <v>3728</v>
      </c>
      <c r="OGC614" s="17">
        <v>44925</v>
      </c>
      <c r="OGD614" s="5" t="s">
        <v>3728</v>
      </c>
      <c r="OGE614" s="17">
        <v>44925</v>
      </c>
      <c r="OGF614" s="5" t="s">
        <v>3728</v>
      </c>
      <c r="OGG614" s="17">
        <v>44925</v>
      </c>
      <c r="OGH614" s="5" t="s">
        <v>3728</v>
      </c>
      <c r="OGI614" s="17">
        <v>44925</v>
      </c>
      <c r="OGJ614" s="5" t="s">
        <v>3728</v>
      </c>
      <c r="OGK614" s="17">
        <v>44925</v>
      </c>
      <c r="OGL614" s="5" t="s">
        <v>3728</v>
      </c>
      <c r="OGM614" s="17">
        <v>44925</v>
      </c>
      <c r="OGN614" s="5" t="s">
        <v>3728</v>
      </c>
      <c r="OGO614" s="17">
        <v>44925</v>
      </c>
      <c r="OGP614" s="5" t="s">
        <v>3728</v>
      </c>
      <c r="OGQ614" s="17">
        <v>44925</v>
      </c>
      <c r="OGR614" s="5" t="s">
        <v>3728</v>
      </c>
      <c r="OGS614" s="17">
        <v>44925</v>
      </c>
      <c r="OGT614" s="5" t="s">
        <v>3728</v>
      </c>
      <c r="OGU614" s="17">
        <v>44925</v>
      </c>
      <c r="OGV614" s="5" t="s">
        <v>3728</v>
      </c>
      <c r="OGW614" s="17">
        <v>44925</v>
      </c>
      <c r="OGX614" s="5" t="s">
        <v>3728</v>
      </c>
      <c r="OGY614" s="17">
        <v>44925</v>
      </c>
      <c r="OGZ614" s="5" t="s">
        <v>3728</v>
      </c>
      <c r="OHA614" s="17">
        <v>44925</v>
      </c>
      <c r="OHB614" s="5" t="s">
        <v>3728</v>
      </c>
      <c r="OHC614" s="17">
        <v>44925</v>
      </c>
      <c r="OHD614" s="5" t="s">
        <v>3728</v>
      </c>
      <c r="OHE614" s="17">
        <v>44925</v>
      </c>
      <c r="OHF614" s="5" t="s">
        <v>3728</v>
      </c>
      <c r="OHG614" s="17">
        <v>44925</v>
      </c>
      <c r="OHH614" s="5" t="s">
        <v>3728</v>
      </c>
      <c r="OHI614" s="17">
        <v>44925</v>
      </c>
      <c r="OHJ614" s="5" t="s">
        <v>3728</v>
      </c>
      <c r="OHK614" s="17">
        <v>44925</v>
      </c>
      <c r="OHL614" s="5" t="s">
        <v>3728</v>
      </c>
      <c r="OHM614" s="17">
        <v>44925</v>
      </c>
      <c r="OHN614" s="5" t="s">
        <v>3728</v>
      </c>
      <c r="OHO614" s="17">
        <v>44925</v>
      </c>
      <c r="OHP614" s="5" t="s">
        <v>3728</v>
      </c>
      <c r="OHQ614" s="17">
        <v>44925</v>
      </c>
      <c r="OHR614" s="5" t="s">
        <v>3728</v>
      </c>
      <c r="OHS614" s="17">
        <v>44925</v>
      </c>
      <c r="OHT614" s="5" t="s">
        <v>3728</v>
      </c>
      <c r="OHU614" s="17">
        <v>44925</v>
      </c>
      <c r="OHV614" s="5" t="s">
        <v>3728</v>
      </c>
      <c r="OHW614" s="17">
        <v>44925</v>
      </c>
      <c r="OHX614" s="5" t="s">
        <v>3728</v>
      </c>
      <c r="OHY614" s="17">
        <v>44925</v>
      </c>
      <c r="OHZ614" s="5" t="s">
        <v>3728</v>
      </c>
      <c r="OIA614" s="17">
        <v>44925</v>
      </c>
      <c r="OIB614" s="5" t="s">
        <v>3728</v>
      </c>
      <c r="OIC614" s="17">
        <v>44925</v>
      </c>
      <c r="OID614" s="5" t="s">
        <v>3728</v>
      </c>
      <c r="OIE614" s="17">
        <v>44925</v>
      </c>
      <c r="OIF614" s="5" t="s">
        <v>3728</v>
      </c>
      <c r="OIG614" s="17">
        <v>44925</v>
      </c>
      <c r="OIH614" s="5" t="s">
        <v>3728</v>
      </c>
      <c r="OII614" s="17">
        <v>44925</v>
      </c>
      <c r="OIJ614" s="5" t="s">
        <v>3728</v>
      </c>
      <c r="OIK614" s="17">
        <v>44925</v>
      </c>
      <c r="OIL614" s="5" t="s">
        <v>3728</v>
      </c>
      <c r="OIM614" s="17">
        <v>44925</v>
      </c>
      <c r="OIN614" s="5" t="s">
        <v>3728</v>
      </c>
      <c r="OIO614" s="17">
        <v>44925</v>
      </c>
      <c r="OIP614" s="5" t="s">
        <v>3728</v>
      </c>
      <c r="OIQ614" s="17">
        <v>44925</v>
      </c>
      <c r="OIR614" s="5" t="s">
        <v>3728</v>
      </c>
      <c r="OIS614" s="17">
        <v>44925</v>
      </c>
      <c r="OIT614" s="5" t="s">
        <v>3728</v>
      </c>
      <c r="OIU614" s="17">
        <v>44925</v>
      </c>
      <c r="OIV614" s="5" t="s">
        <v>3728</v>
      </c>
      <c r="OIW614" s="17">
        <v>44925</v>
      </c>
      <c r="OIX614" s="5" t="s">
        <v>3728</v>
      </c>
      <c r="OIY614" s="17">
        <v>44925</v>
      </c>
      <c r="OIZ614" s="5" t="s">
        <v>3728</v>
      </c>
      <c r="OJA614" s="17">
        <v>44925</v>
      </c>
      <c r="OJB614" s="5" t="s">
        <v>3728</v>
      </c>
      <c r="OJC614" s="17">
        <v>44925</v>
      </c>
      <c r="OJD614" s="5" t="s">
        <v>3728</v>
      </c>
      <c r="OJE614" s="17">
        <v>44925</v>
      </c>
      <c r="OJF614" s="5" t="s">
        <v>3728</v>
      </c>
      <c r="OJG614" s="17">
        <v>44925</v>
      </c>
      <c r="OJH614" s="5" t="s">
        <v>3728</v>
      </c>
      <c r="OJI614" s="17">
        <v>44925</v>
      </c>
      <c r="OJJ614" s="5" t="s">
        <v>3728</v>
      </c>
      <c r="OJK614" s="17">
        <v>44925</v>
      </c>
      <c r="OJL614" s="5" t="s">
        <v>3728</v>
      </c>
      <c r="OJM614" s="17">
        <v>44925</v>
      </c>
      <c r="OJN614" s="5" t="s">
        <v>3728</v>
      </c>
      <c r="OJO614" s="17">
        <v>44925</v>
      </c>
      <c r="OJP614" s="5" t="s">
        <v>3728</v>
      </c>
      <c r="OJQ614" s="17">
        <v>44925</v>
      </c>
      <c r="OJR614" s="5" t="s">
        <v>3728</v>
      </c>
      <c r="OJS614" s="17">
        <v>44925</v>
      </c>
      <c r="OJT614" s="5" t="s">
        <v>3728</v>
      </c>
      <c r="OJU614" s="17">
        <v>44925</v>
      </c>
      <c r="OJV614" s="5" t="s">
        <v>3728</v>
      </c>
      <c r="OJW614" s="17">
        <v>44925</v>
      </c>
      <c r="OJX614" s="5" t="s">
        <v>3728</v>
      </c>
      <c r="OJY614" s="17">
        <v>44925</v>
      </c>
      <c r="OJZ614" s="5" t="s">
        <v>3728</v>
      </c>
      <c r="OKA614" s="17">
        <v>44925</v>
      </c>
      <c r="OKB614" s="5" t="s">
        <v>3728</v>
      </c>
      <c r="OKC614" s="17">
        <v>44925</v>
      </c>
      <c r="OKD614" s="5" t="s">
        <v>3728</v>
      </c>
      <c r="OKE614" s="17">
        <v>44925</v>
      </c>
      <c r="OKF614" s="5" t="s">
        <v>3728</v>
      </c>
      <c r="OKG614" s="17">
        <v>44925</v>
      </c>
      <c r="OKH614" s="5" t="s">
        <v>3728</v>
      </c>
      <c r="OKI614" s="17">
        <v>44925</v>
      </c>
      <c r="OKJ614" s="5" t="s">
        <v>3728</v>
      </c>
      <c r="OKK614" s="17">
        <v>44925</v>
      </c>
      <c r="OKL614" s="5" t="s">
        <v>3728</v>
      </c>
      <c r="OKM614" s="17">
        <v>44925</v>
      </c>
      <c r="OKN614" s="5" t="s">
        <v>3728</v>
      </c>
      <c r="OKO614" s="17">
        <v>44925</v>
      </c>
      <c r="OKP614" s="5" t="s">
        <v>3728</v>
      </c>
      <c r="OKQ614" s="17">
        <v>44925</v>
      </c>
      <c r="OKR614" s="5" t="s">
        <v>3728</v>
      </c>
      <c r="OKS614" s="17">
        <v>44925</v>
      </c>
      <c r="OKT614" s="5" t="s">
        <v>3728</v>
      </c>
      <c r="OKU614" s="17">
        <v>44925</v>
      </c>
      <c r="OKV614" s="5" t="s">
        <v>3728</v>
      </c>
      <c r="OKW614" s="17">
        <v>44925</v>
      </c>
      <c r="OKX614" s="5" t="s">
        <v>3728</v>
      </c>
      <c r="OKY614" s="17">
        <v>44925</v>
      </c>
      <c r="OKZ614" s="5" t="s">
        <v>3728</v>
      </c>
      <c r="OLA614" s="17">
        <v>44925</v>
      </c>
      <c r="OLB614" s="5" t="s">
        <v>3728</v>
      </c>
      <c r="OLC614" s="17">
        <v>44925</v>
      </c>
      <c r="OLD614" s="5" t="s">
        <v>3728</v>
      </c>
      <c r="OLE614" s="17">
        <v>44925</v>
      </c>
      <c r="OLF614" s="5" t="s">
        <v>3728</v>
      </c>
      <c r="OLG614" s="17">
        <v>44925</v>
      </c>
      <c r="OLH614" s="5" t="s">
        <v>3728</v>
      </c>
      <c r="OLI614" s="17">
        <v>44925</v>
      </c>
      <c r="OLJ614" s="5" t="s">
        <v>3728</v>
      </c>
      <c r="OLK614" s="17">
        <v>44925</v>
      </c>
      <c r="OLL614" s="5" t="s">
        <v>3728</v>
      </c>
      <c r="OLM614" s="17">
        <v>44925</v>
      </c>
      <c r="OLN614" s="5" t="s">
        <v>3728</v>
      </c>
      <c r="OLO614" s="17">
        <v>44925</v>
      </c>
      <c r="OLP614" s="5" t="s">
        <v>3728</v>
      </c>
      <c r="OLQ614" s="17">
        <v>44925</v>
      </c>
      <c r="OLR614" s="5" t="s">
        <v>3728</v>
      </c>
      <c r="OLS614" s="17">
        <v>44925</v>
      </c>
      <c r="OLT614" s="5" t="s">
        <v>3728</v>
      </c>
      <c r="OLU614" s="17">
        <v>44925</v>
      </c>
      <c r="OLV614" s="5" t="s">
        <v>3728</v>
      </c>
      <c r="OLW614" s="17">
        <v>44925</v>
      </c>
      <c r="OLX614" s="5" t="s">
        <v>3728</v>
      </c>
      <c r="OLY614" s="17">
        <v>44925</v>
      </c>
      <c r="OLZ614" s="5" t="s">
        <v>3728</v>
      </c>
      <c r="OMA614" s="17">
        <v>44925</v>
      </c>
      <c r="OMB614" s="5" t="s">
        <v>3728</v>
      </c>
      <c r="OMC614" s="17">
        <v>44925</v>
      </c>
      <c r="OMD614" s="5" t="s">
        <v>3728</v>
      </c>
      <c r="OME614" s="17">
        <v>44925</v>
      </c>
      <c r="OMF614" s="5" t="s">
        <v>3728</v>
      </c>
      <c r="OMG614" s="17">
        <v>44925</v>
      </c>
      <c r="OMH614" s="5" t="s">
        <v>3728</v>
      </c>
      <c r="OMI614" s="17">
        <v>44925</v>
      </c>
      <c r="OMJ614" s="5" t="s">
        <v>3728</v>
      </c>
      <c r="OMK614" s="17">
        <v>44925</v>
      </c>
      <c r="OML614" s="5" t="s">
        <v>3728</v>
      </c>
      <c r="OMM614" s="17">
        <v>44925</v>
      </c>
      <c r="OMN614" s="5" t="s">
        <v>3728</v>
      </c>
      <c r="OMO614" s="17">
        <v>44925</v>
      </c>
      <c r="OMP614" s="5" t="s">
        <v>3728</v>
      </c>
      <c r="OMQ614" s="17">
        <v>44925</v>
      </c>
      <c r="OMR614" s="5" t="s">
        <v>3728</v>
      </c>
      <c r="OMS614" s="17">
        <v>44925</v>
      </c>
      <c r="OMT614" s="5" t="s">
        <v>3728</v>
      </c>
      <c r="OMU614" s="17">
        <v>44925</v>
      </c>
      <c r="OMV614" s="5" t="s">
        <v>3728</v>
      </c>
      <c r="OMW614" s="17">
        <v>44925</v>
      </c>
      <c r="OMX614" s="5" t="s">
        <v>3728</v>
      </c>
      <c r="OMY614" s="17">
        <v>44925</v>
      </c>
      <c r="OMZ614" s="5" t="s">
        <v>3728</v>
      </c>
      <c r="ONA614" s="17">
        <v>44925</v>
      </c>
      <c r="ONB614" s="5" t="s">
        <v>3728</v>
      </c>
      <c r="ONC614" s="17">
        <v>44925</v>
      </c>
      <c r="OND614" s="5" t="s">
        <v>3728</v>
      </c>
      <c r="ONE614" s="17">
        <v>44925</v>
      </c>
      <c r="ONF614" s="5" t="s">
        <v>3728</v>
      </c>
      <c r="ONG614" s="17">
        <v>44925</v>
      </c>
      <c r="ONH614" s="5" t="s">
        <v>3728</v>
      </c>
      <c r="ONI614" s="17">
        <v>44925</v>
      </c>
      <c r="ONJ614" s="5" t="s">
        <v>3728</v>
      </c>
      <c r="ONK614" s="17">
        <v>44925</v>
      </c>
      <c r="ONL614" s="5" t="s">
        <v>3728</v>
      </c>
      <c r="ONM614" s="17">
        <v>44925</v>
      </c>
      <c r="ONN614" s="5" t="s">
        <v>3728</v>
      </c>
      <c r="ONO614" s="17">
        <v>44925</v>
      </c>
      <c r="ONP614" s="5" t="s">
        <v>3728</v>
      </c>
      <c r="ONQ614" s="17">
        <v>44925</v>
      </c>
      <c r="ONR614" s="5" t="s">
        <v>3728</v>
      </c>
      <c r="ONS614" s="17">
        <v>44925</v>
      </c>
      <c r="ONT614" s="5" t="s">
        <v>3728</v>
      </c>
      <c r="ONU614" s="17">
        <v>44925</v>
      </c>
      <c r="ONV614" s="5" t="s">
        <v>3728</v>
      </c>
      <c r="ONW614" s="17">
        <v>44925</v>
      </c>
      <c r="ONX614" s="5" t="s">
        <v>3728</v>
      </c>
      <c r="ONY614" s="17">
        <v>44925</v>
      </c>
      <c r="ONZ614" s="5" t="s">
        <v>3728</v>
      </c>
      <c r="OOA614" s="17">
        <v>44925</v>
      </c>
      <c r="OOB614" s="5" t="s">
        <v>3728</v>
      </c>
      <c r="OOC614" s="17">
        <v>44925</v>
      </c>
      <c r="OOD614" s="5" t="s">
        <v>3728</v>
      </c>
      <c r="OOE614" s="17">
        <v>44925</v>
      </c>
      <c r="OOF614" s="5" t="s">
        <v>3728</v>
      </c>
      <c r="OOG614" s="17">
        <v>44925</v>
      </c>
      <c r="OOH614" s="5" t="s">
        <v>3728</v>
      </c>
      <c r="OOI614" s="17">
        <v>44925</v>
      </c>
      <c r="OOJ614" s="5" t="s">
        <v>3728</v>
      </c>
      <c r="OOK614" s="17">
        <v>44925</v>
      </c>
      <c r="OOL614" s="5" t="s">
        <v>3728</v>
      </c>
      <c r="OOM614" s="17">
        <v>44925</v>
      </c>
      <c r="OON614" s="5" t="s">
        <v>3728</v>
      </c>
      <c r="OOO614" s="17">
        <v>44925</v>
      </c>
      <c r="OOP614" s="5" t="s">
        <v>3728</v>
      </c>
      <c r="OOQ614" s="17">
        <v>44925</v>
      </c>
      <c r="OOR614" s="5" t="s">
        <v>3728</v>
      </c>
      <c r="OOS614" s="17">
        <v>44925</v>
      </c>
      <c r="OOT614" s="5" t="s">
        <v>3728</v>
      </c>
      <c r="OOU614" s="17">
        <v>44925</v>
      </c>
      <c r="OOV614" s="5" t="s">
        <v>3728</v>
      </c>
      <c r="OOW614" s="17">
        <v>44925</v>
      </c>
      <c r="OOX614" s="5" t="s">
        <v>3728</v>
      </c>
      <c r="OOY614" s="17">
        <v>44925</v>
      </c>
      <c r="OOZ614" s="5" t="s">
        <v>3728</v>
      </c>
      <c r="OPA614" s="17">
        <v>44925</v>
      </c>
      <c r="OPB614" s="5" t="s">
        <v>3728</v>
      </c>
      <c r="OPC614" s="17">
        <v>44925</v>
      </c>
      <c r="OPD614" s="5" t="s">
        <v>3728</v>
      </c>
      <c r="OPE614" s="17">
        <v>44925</v>
      </c>
      <c r="OPF614" s="5" t="s">
        <v>3728</v>
      </c>
      <c r="OPG614" s="17">
        <v>44925</v>
      </c>
      <c r="OPH614" s="5" t="s">
        <v>3728</v>
      </c>
      <c r="OPI614" s="17">
        <v>44925</v>
      </c>
      <c r="OPJ614" s="5" t="s">
        <v>3728</v>
      </c>
      <c r="OPK614" s="17">
        <v>44925</v>
      </c>
      <c r="OPL614" s="5" t="s">
        <v>3728</v>
      </c>
      <c r="OPM614" s="17">
        <v>44925</v>
      </c>
      <c r="OPN614" s="5" t="s">
        <v>3728</v>
      </c>
      <c r="OPO614" s="17">
        <v>44925</v>
      </c>
      <c r="OPP614" s="5" t="s">
        <v>3728</v>
      </c>
      <c r="OPQ614" s="17">
        <v>44925</v>
      </c>
      <c r="OPR614" s="5" t="s">
        <v>3728</v>
      </c>
      <c r="OPS614" s="17">
        <v>44925</v>
      </c>
      <c r="OPT614" s="5" t="s">
        <v>3728</v>
      </c>
      <c r="OPU614" s="17">
        <v>44925</v>
      </c>
      <c r="OPV614" s="5" t="s">
        <v>3728</v>
      </c>
      <c r="OPW614" s="17">
        <v>44925</v>
      </c>
      <c r="OPX614" s="5" t="s">
        <v>3728</v>
      </c>
      <c r="OPY614" s="17">
        <v>44925</v>
      </c>
      <c r="OPZ614" s="5" t="s">
        <v>3728</v>
      </c>
      <c r="OQA614" s="17">
        <v>44925</v>
      </c>
      <c r="OQB614" s="5" t="s">
        <v>3728</v>
      </c>
      <c r="OQC614" s="17">
        <v>44925</v>
      </c>
      <c r="OQD614" s="5" t="s">
        <v>3728</v>
      </c>
      <c r="OQE614" s="17">
        <v>44925</v>
      </c>
      <c r="OQF614" s="5" t="s">
        <v>3728</v>
      </c>
      <c r="OQG614" s="17">
        <v>44925</v>
      </c>
      <c r="OQH614" s="5" t="s">
        <v>3728</v>
      </c>
      <c r="OQI614" s="17">
        <v>44925</v>
      </c>
      <c r="OQJ614" s="5" t="s">
        <v>3728</v>
      </c>
      <c r="OQK614" s="17">
        <v>44925</v>
      </c>
      <c r="OQL614" s="5" t="s">
        <v>3728</v>
      </c>
      <c r="OQM614" s="17">
        <v>44925</v>
      </c>
      <c r="OQN614" s="5" t="s">
        <v>3728</v>
      </c>
      <c r="OQO614" s="17">
        <v>44925</v>
      </c>
      <c r="OQP614" s="5" t="s">
        <v>3728</v>
      </c>
      <c r="OQQ614" s="17">
        <v>44925</v>
      </c>
      <c r="OQR614" s="5" t="s">
        <v>3728</v>
      </c>
      <c r="OQS614" s="17">
        <v>44925</v>
      </c>
      <c r="OQT614" s="5" t="s">
        <v>3728</v>
      </c>
      <c r="OQU614" s="17">
        <v>44925</v>
      </c>
      <c r="OQV614" s="5" t="s">
        <v>3728</v>
      </c>
      <c r="OQW614" s="17">
        <v>44925</v>
      </c>
      <c r="OQX614" s="5" t="s">
        <v>3728</v>
      </c>
      <c r="OQY614" s="17">
        <v>44925</v>
      </c>
      <c r="OQZ614" s="5" t="s">
        <v>3728</v>
      </c>
      <c r="ORA614" s="17">
        <v>44925</v>
      </c>
      <c r="ORB614" s="5" t="s">
        <v>3728</v>
      </c>
      <c r="ORC614" s="17">
        <v>44925</v>
      </c>
      <c r="ORD614" s="5" t="s">
        <v>3728</v>
      </c>
      <c r="ORE614" s="17">
        <v>44925</v>
      </c>
      <c r="ORF614" s="5" t="s">
        <v>3728</v>
      </c>
      <c r="ORG614" s="17">
        <v>44925</v>
      </c>
      <c r="ORH614" s="5" t="s">
        <v>3728</v>
      </c>
      <c r="ORI614" s="17">
        <v>44925</v>
      </c>
      <c r="ORJ614" s="5" t="s">
        <v>3728</v>
      </c>
      <c r="ORK614" s="17">
        <v>44925</v>
      </c>
      <c r="ORL614" s="5" t="s">
        <v>3728</v>
      </c>
      <c r="ORM614" s="17">
        <v>44925</v>
      </c>
      <c r="ORN614" s="5" t="s">
        <v>3728</v>
      </c>
      <c r="ORO614" s="17">
        <v>44925</v>
      </c>
      <c r="ORP614" s="5" t="s">
        <v>3728</v>
      </c>
      <c r="ORQ614" s="17">
        <v>44925</v>
      </c>
      <c r="ORR614" s="5" t="s">
        <v>3728</v>
      </c>
      <c r="ORS614" s="17">
        <v>44925</v>
      </c>
      <c r="ORT614" s="5" t="s">
        <v>3728</v>
      </c>
      <c r="ORU614" s="17">
        <v>44925</v>
      </c>
      <c r="ORV614" s="5" t="s">
        <v>3728</v>
      </c>
      <c r="ORW614" s="17">
        <v>44925</v>
      </c>
      <c r="ORX614" s="5" t="s">
        <v>3728</v>
      </c>
      <c r="ORY614" s="17">
        <v>44925</v>
      </c>
      <c r="ORZ614" s="5" t="s">
        <v>3728</v>
      </c>
      <c r="OSA614" s="17">
        <v>44925</v>
      </c>
      <c r="OSB614" s="5" t="s">
        <v>3728</v>
      </c>
      <c r="OSC614" s="17">
        <v>44925</v>
      </c>
      <c r="OSD614" s="5" t="s">
        <v>3728</v>
      </c>
      <c r="OSE614" s="17">
        <v>44925</v>
      </c>
      <c r="OSF614" s="5" t="s">
        <v>3728</v>
      </c>
      <c r="OSG614" s="17">
        <v>44925</v>
      </c>
      <c r="OSH614" s="5" t="s">
        <v>3728</v>
      </c>
      <c r="OSI614" s="17">
        <v>44925</v>
      </c>
      <c r="OSJ614" s="5" t="s">
        <v>3728</v>
      </c>
      <c r="OSK614" s="17">
        <v>44925</v>
      </c>
      <c r="OSL614" s="5" t="s">
        <v>3728</v>
      </c>
      <c r="OSM614" s="17">
        <v>44925</v>
      </c>
      <c r="OSN614" s="5" t="s">
        <v>3728</v>
      </c>
      <c r="OSO614" s="17">
        <v>44925</v>
      </c>
      <c r="OSP614" s="5" t="s">
        <v>3728</v>
      </c>
      <c r="OSQ614" s="17">
        <v>44925</v>
      </c>
      <c r="OSR614" s="5" t="s">
        <v>3728</v>
      </c>
      <c r="OSS614" s="17">
        <v>44925</v>
      </c>
      <c r="OST614" s="5" t="s">
        <v>3728</v>
      </c>
      <c r="OSU614" s="17">
        <v>44925</v>
      </c>
      <c r="OSV614" s="5" t="s">
        <v>3728</v>
      </c>
      <c r="OSW614" s="17">
        <v>44925</v>
      </c>
      <c r="OSX614" s="5" t="s">
        <v>3728</v>
      </c>
      <c r="OSY614" s="17">
        <v>44925</v>
      </c>
      <c r="OSZ614" s="5" t="s">
        <v>3728</v>
      </c>
      <c r="OTA614" s="17">
        <v>44925</v>
      </c>
      <c r="OTB614" s="5" t="s">
        <v>3728</v>
      </c>
      <c r="OTC614" s="17">
        <v>44925</v>
      </c>
      <c r="OTD614" s="5" t="s">
        <v>3728</v>
      </c>
      <c r="OTE614" s="17">
        <v>44925</v>
      </c>
      <c r="OTF614" s="5" t="s">
        <v>3728</v>
      </c>
      <c r="OTG614" s="17">
        <v>44925</v>
      </c>
      <c r="OTH614" s="5" t="s">
        <v>3728</v>
      </c>
      <c r="OTI614" s="17">
        <v>44925</v>
      </c>
      <c r="OTJ614" s="5" t="s">
        <v>3728</v>
      </c>
      <c r="OTK614" s="17">
        <v>44925</v>
      </c>
      <c r="OTL614" s="5" t="s">
        <v>3728</v>
      </c>
      <c r="OTM614" s="17">
        <v>44925</v>
      </c>
      <c r="OTN614" s="5" t="s">
        <v>3728</v>
      </c>
      <c r="OTO614" s="17">
        <v>44925</v>
      </c>
      <c r="OTP614" s="5" t="s">
        <v>3728</v>
      </c>
      <c r="OTQ614" s="17">
        <v>44925</v>
      </c>
      <c r="OTR614" s="5" t="s">
        <v>3728</v>
      </c>
      <c r="OTS614" s="17">
        <v>44925</v>
      </c>
      <c r="OTT614" s="5" t="s">
        <v>3728</v>
      </c>
      <c r="OTU614" s="17">
        <v>44925</v>
      </c>
      <c r="OTV614" s="5" t="s">
        <v>3728</v>
      </c>
      <c r="OTW614" s="17">
        <v>44925</v>
      </c>
      <c r="OTX614" s="5" t="s">
        <v>3728</v>
      </c>
      <c r="OTY614" s="17">
        <v>44925</v>
      </c>
      <c r="OTZ614" s="5" t="s">
        <v>3728</v>
      </c>
      <c r="OUA614" s="17">
        <v>44925</v>
      </c>
      <c r="OUB614" s="5" t="s">
        <v>3728</v>
      </c>
      <c r="OUC614" s="17">
        <v>44925</v>
      </c>
      <c r="OUD614" s="5" t="s">
        <v>3728</v>
      </c>
      <c r="OUE614" s="17">
        <v>44925</v>
      </c>
      <c r="OUF614" s="5" t="s">
        <v>3728</v>
      </c>
      <c r="OUG614" s="17">
        <v>44925</v>
      </c>
      <c r="OUH614" s="5" t="s">
        <v>3728</v>
      </c>
      <c r="OUI614" s="17">
        <v>44925</v>
      </c>
      <c r="OUJ614" s="5" t="s">
        <v>3728</v>
      </c>
      <c r="OUK614" s="17">
        <v>44925</v>
      </c>
      <c r="OUL614" s="5" t="s">
        <v>3728</v>
      </c>
      <c r="OUM614" s="17">
        <v>44925</v>
      </c>
      <c r="OUN614" s="5" t="s">
        <v>3728</v>
      </c>
      <c r="OUO614" s="17">
        <v>44925</v>
      </c>
      <c r="OUP614" s="5" t="s">
        <v>3728</v>
      </c>
      <c r="OUQ614" s="17">
        <v>44925</v>
      </c>
      <c r="OUR614" s="5" t="s">
        <v>3728</v>
      </c>
      <c r="OUS614" s="17">
        <v>44925</v>
      </c>
      <c r="OUT614" s="5" t="s">
        <v>3728</v>
      </c>
      <c r="OUU614" s="17">
        <v>44925</v>
      </c>
      <c r="OUV614" s="5" t="s">
        <v>3728</v>
      </c>
      <c r="OUW614" s="17">
        <v>44925</v>
      </c>
      <c r="OUX614" s="5" t="s">
        <v>3728</v>
      </c>
      <c r="OUY614" s="17">
        <v>44925</v>
      </c>
      <c r="OUZ614" s="5" t="s">
        <v>3728</v>
      </c>
      <c r="OVA614" s="17">
        <v>44925</v>
      </c>
      <c r="OVB614" s="5" t="s">
        <v>3728</v>
      </c>
      <c r="OVC614" s="17">
        <v>44925</v>
      </c>
      <c r="OVD614" s="5" t="s">
        <v>3728</v>
      </c>
      <c r="OVE614" s="17">
        <v>44925</v>
      </c>
      <c r="OVF614" s="5" t="s">
        <v>3728</v>
      </c>
      <c r="OVG614" s="17">
        <v>44925</v>
      </c>
      <c r="OVH614" s="5" t="s">
        <v>3728</v>
      </c>
      <c r="OVI614" s="17">
        <v>44925</v>
      </c>
      <c r="OVJ614" s="5" t="s">
        <v>3728</v>
      </c>
      <c r="OVK614" s="17">
        <v>44925</v>
      </c>
      <c r="OVL614" s="5" t="s">
        <v>3728</v>
      </c>
      <c r="OVM614" s="17">
        <v>44925</v>
      </c>
      <c r="OVN614" s="5" t="s">
        <v>3728</v>
      </c>
      <c r="OVO614" s="17">
        <v>44925</v>
      </c>
      <c r="OVP614" s="5" t="s">
        <v>3728</v>
      </c>
      <c r="OVQ614" s="17">
        <v>44925</v>
      </c>
      <c r="OVR614" s="5" t="s">
        <v>3728</v>
      </c>
      <c r="OVS614" s="17">
        <v>44925</v>
      </c>
      <c r="OVT614" s="5" t="s">
        <v>3728</v>
      </c>
      <c r="OVU614" s="17">
        <v>44925</v>
      </c>
      <c r="OVV614" s="5" t="s">
        <v>3728</v>
      </c>
      <c r="OVW614" s="17">
        <v>44925</v>
      </c>
      <c r="OVX614" s="5" t="s">
        <v>3728</v>
      </c>
      <c r="OVY614" s="17">
        <v>44925</v>
      </c>
      <c r="OVZ614" s="5" t="s">
        <v>3728</v>
      </c>
      <c r="OWA614" s="17">
        <v>44925</v>
      </c>
      <c r="OWB614" s="5" t="s">
        <v>3728</v>
      </c>
      <c r="OWC614" s="17">
        <v>44925</v>
      </c>
      <c r="OWD614" s="5" t="s">
        <v>3728</v>
      </c>
      <c r="OWE614" s="17">
        <v>44925</v>
      </c>
      <c r="OWF614" s="5" t="s">
        <v>3728</v>
      </c>
      <c r="OWG614" s="17">
        <v>44925</v>
      </c>
      <c r="OWH614" s="5" t="s">
        <v>3728</v>
      </c>
      <c r="OWI614" s="17">
        <v>44925</v>
      </c>
      <c r="OWJ614" s="5" t="s">
        <v>3728</v>
      </c>
      <c r="OWK614" s="17">
        <v>44925</v>
      </c>
      <c r="OWL614" s="5" t="s">
        <v>3728</v>
      </c>
      <c r="OWM614" s="17">
        <v>44925</v>
      </c>
      <c r="OWN614" s="5" t="s">
        <v>3728</v>
      </c>
      <c r="OWO614" s="17">
        <v>44925</v>
      </c>
      <c r="OWP614" s="5" t="s">
        <v>3728</v>
      </c>
      <c r="OWQ614" s="17">
        <v>44925</v>
      </c>
      <c r="OWR614" s="5" t="s">
        <v>3728</v>
      </c>
      <c r="OWS614" s="17">
        <v>44925</v>
      </c>
      <c r="OWT614" s="5" t="s">
        <v>3728</v>
      </c>
      <c r="OWU614" s="17">
        <v>44925</v>
      </c>
      <c r="OWV614" s="5" t="s">
        <v>3728</v>
      </c>
      <c r="OWW614" s="17">
        <v>44925</v>
      </c>
      <c r="OWX614" s="5" t="s">
        <v>3728</v>
      </c>
      <c r="OWY614" s="17">
        <v>44925</v>
      </c>
      <c r="OWZ614" s="5" t="s">
        <v>3728</v>
      </c>
      <c r="OXA614" s="17">
        <v>44925</v>
      </c>
      <c r="OXB614" s="5" t="s">
        <v>3728</v>
      </c>
      <c r="OXC614" s="17">
        <v>44925</v>
      </c>
      <c r="OXD614" s="5" t="s">
        <v>3728</v>
      </c>
      <c r="OXE614" s="17">
        <v>44925</v>
      </c>
      <c r="OXF614" s="5" t="s">
        <v>3728</v>
      </c>
      <c r="OXG614" s="17">
        <v>44925</v>
      </c>
      <c r="OXH614" s="5" t="s">
        <v>3728</v>
      </c>
      <c r="OXI614" s="17">
        <v>44925</v>
      </c>
      <c r="OXJ614" s="5" t="s">
        <v>3728</v>
      </c>
      <c r="OXK614" s="17">
        <v>44925</v>
      </c>
      <c r="OXL614" s="5" t="s">
        <v>3728</v>
      </c>
      <c r="OXM614" s="17">
        <v>44925</v>
      </c>
      <c r="OXN614" s="5" t="s">
        <v>3728</v>
      </c>
      <c r="OXO614" s="17">
        <v>44925</v>
      </c>
      <c r="OXP614" s="5" t="s">
        <v>3728</v>
      </c>
      <c r="OXQ614" s="17">
        <v>44925</v>
      </c>
      <c r="OXR614" s="5" t="s">
        <v>3728</v>
      </c>
      <c r="OXS614" s="17">
        <v>44925</v>
      </c>
      <c r="OXT614" s="5" t="s">
        <v>3728</v>
      </c>
      <c r="OXU614" s="17">
        <v>44925</v>
      </c>
      <c r="OXV614" s="5" t="s">
        <v>3728</v>
      </c>
      <c r="OXW614" s="17">
        <v>44925</v>
      </c>
      <c r="OXX614" s="5" t="s">
        <v>3728</v>
      </c>
      <c r="OXY614" s="17">
        <v>44925</v>
      </c>
      <c r="OXZ614" s="5" t="s">
        <v>3728</v>
      </c>
      <c r="OYA614" s="17">
        <v>44925</v>
      </c>
      <c r="OYB614" s="5" t="s">
        <v>3728</v>
      </c>
      <c r="OYC614" s="17">
        <v>44925</v>
      </c>
      <c r="OYD614" s="5" t="s">
        <v>3728</v>
      </c>
      <c r="OYE614" s="17">
        <v>44925</v>
      </c>
      <c r="OYF614" s="5" t="s">
        <v>3728</v>
      </c>
      <c r="OYG614" s="17">
        <v>44925</v>
      </c>
      <c r="OYH614" s="5" t="s">
        <v>3728</v>
      </c>
      <c r="OYI614" s="17">
        <v>44925</v>
      </c>
      <c r="OYJ614" s="5" t="s">
        <v>3728</v>
      </c>
      <c r="OYK614" s="17">
        <v>44925</v>
      </c>
      <c r="OYL614" s="5" t="s">
        <v>3728</v>
      </c>
      <c r="OYM614" s="17">
        <v>44925</v>
      </c>
      <c r="OYN614" s="5" t="s">
        <v>3728</v>
      </c>
      <c r="OYO614" s="17">
        <v>44925</v>
      </c>
      <c r="OYP614" s="5" t="s">
        <v>3728</v>
      </c>
      <c r="OYQ614" s="17">
        <v>44925</v>
      </c>
      <c r="OYR614" s="5" t="s">
        <v>3728</v>
      </c>
      <c r="OYS614" s="17">
        <v>44925</v>
      </c>
      <c r="OYT614" s="5" t="s">
        <v>3728</v>
      </c>
      <c r="OYU614" s="17">
        <v>44925</v>
      </c>
      <c r="OYV614" s="5" t="s">
        <v>3728</v>
      </c>
      <c r="OYW614" s="17">
        <v>44925</v>
      </c>
      <c r="OYX614" s="5" t="s">
        <v>3728</v>
      </c>
      <c r="OYY614" s="17">
        <v>44925</v>
      </c>
      <c r="OYZ614" s="5" t="s">
        <v>3728</v>
      </c>
      <c r="OZA614" s="17">
        <v>44925</v>
      </c>
      <c r="OZB614" s="5" t="s">
        <v>3728</v>
      </c>
      <c r="OZC614" s="17">
        <v>44925</v>
      </c>
      <c r="OZD614" s="5" t="s">
        <v>3728</v>
      </c>
      <c r="OZE614" s="17">
        <v>44925</v>
      </c>
      <c r="OZF614" s="5" t="s">
        <v>3728</v>
      </c>
      <c r="OZG614" s="17">
        <v>44925</v>
      </c>
      <c r="OZH614" s="5" t="s">
        <v>3728</v>
      </c>
      <c r="OZI614" s="17">
        <v>44925</v>
      </c>
      <c r="OZJ614" s="5" t="s">
        <v>3728</v>
      </c>
      <c r="OZK614" s="17">
        <v>44925</v>
      </c>
      <c r="OZL614" s="5" t="s">
        <v>3728</v>
      </c>
      <c r="OZM614" s="17">
        <v>44925</v>
      </c>
      <c r="OZN614" s="5" t="s">
        <v>3728</v>
      </c>
      <c r="OZO614" s="17">
        <v>44925</v>
      </c>
      <c r="OZP614" s="5" t="s">
        <v>3728</v>
      </c>
      <c r="OZQ614" s="17">
        <v>44925</v>
      </c>
      <c r="OZR614" s="5" t="s">
        <v>3728</v>
      </c>
      <c r="OZS614" s="17">
        <v>44925</v>
      </c>
      <c r="OZT614" s="5" t="s">
        <v>3728</v>
      </c>
      <c r="OZU614" s="17">
        <v>44925</v>
      </c>
      <c r="OZV614" s="5" t="s">
        <v>3728</v>
      </c>
      <c r="OZW614" s="17">
        <v>44925</v>
      </c>
      <c r="OZX614" s="5" t="s">
        <v>3728</v>
      </c>
      <c r="OZY614" s="17">
        <v>44925</v>
      </c>
      <c r="OZZ614" s="5" t="s">
        <v>3728</v>
      </c>
      <c r="PAA614" s="17">
        <v>44925</v>
      </c>
      <c r="PAB614" s="5" t="s">
        <v>3728</v>
      </c>
      <c r="PAC614" s="17">
        <v>44925</v>
      </c>
      <c r="PAD614" s="5" t="s">
        <v>3728</v>
      </c>
      <c r="PAE614" s="17">
        <v>44925</v>
      </c>
      <c r="PAF614" s="5" t="s">
        <v>3728</v>
      </c>
      <c r="PAG614" s="17">
        <v>44925</v>
      </c>
      <c r="PAH614" s="5" t="s">
        <v>3728</v>
      </c>
      <c r="PAI614" s="17">
        <v>44925</v>
      </c>
      <c r="PAJ614" s="5" t="s">
        <v>3728</v>
      </c>
      <c r="PAK614" s="17">
        <v>44925</v>
      </c>
      <c r="PAL614" s="5" t="s">
        <v>3728</v>
      </c>
      <c r="PAM614" s="17">
        <v>44925</v>
      </c>
      <c r="PAN614" s="5" t="s">
        <v>3728</v>
      </c>
      <c r="PAO614" s="17">
        <v>44925</v>
      </c>
      <c r="PAP614" s="5" t="s">
        <v>3728</v>
      </c>
      <c r="PAQ614" s="17">
        <v>44925</v>
      </c>
      <c r="PAR614" s="5" t="s">
        <v>3728</v>
      </c>
      <c r="PAS614" s="17">
        <v>44925</v>
      </c>
      <c r="PAT614" s="5" t="s">
        <v>3728</v>
      </c>
      <c r="PAU614" s="17">
        <v>44925</v>
      </c>
      <c r="PAV614" s="5" t="s">
        <v>3728</v>
      </c>
      <c r="PAW614" s="17">
        <v>44925</v>
      </c>
      <c r="PAX614" s="5" t="s">
        <v>3728</v>
      </c>
      <c r="PAY614" s="17">
        <v>44925</v>
      </c>
      <c r="PAZ614" s="5" t="s">
        <v>3728</v>
      </c>
      <c r="PBA614" s="17">
        <v>44925</v>
      </c>
      <c r="PBB614" s="5" t="s">
        <v>3728</v>
      </c>
      <c r="PBC614" s="17">
        <v>44925</v>
      </c>
      <c r="PBD614" s="5" t="s">
        <v>3728</v>
      </c>
      <c r="PBE614" s="17">
        <v>44925</v>
      </c>
      <c r="PBF614" s="5" t="s">
        <v>3728</v>
      </c>
      <c r="PBG614" s="17">
        <v>44925</v>
      </c>
      <c r="PBH614" s="5" t="s">
        <v>3728</v>
      </c>
      <c r="PBI614" s="17">
        <v>44925</v>
      </c>
      <c r="PBJ614" s="5" t="s">
        <v>3728</v>
      </c>
      <c r="PBK614" s="17">
        <v>44925</v>
      </c>
      <c r="PBL614" s="5" t="s">
        <v>3728</v>
      </c>
      <c r="PBM614" s="17">
        <v>44925</v>
      </c>
      <c r="PBN614" s="5" t="s">
        <v>3728</v>
      </c>
      <c r="PBO614" s="17">
        <v>44925</v>
      </c>
      <c r="PBP614" s="5" t="s">
        <v>3728</v>
      </c>
      <c r="PBQ614" s="17">
        <v>44925</v>
      </c>
      <c r="PBR614" s="5" t="s">
        <v>3728</v>
      </c>
      <c r="PBS614" s="17">
        <v>44925</v>
      </c>
      <c r="PBT614" s="5" t="s">
        <v>3728</v>
      </c>
      <c r="PBU614" s="17">
        <v>44925</v>
      </c>
      <c r="PBV614" s="5" t="s">
        <v>3728</v>
      </c>
      <c r="PBW614" s="17">
        <v>44925</v>
      </c>
      <c r="PBX614" s="5" t="s">
        <v>3728</v>
      </c>
      <c r="PBY614" s="17">
        <v>44925</v>
      </c>
      <c r="PBZ614" s="5" t="s">
        <v>3728</v>
      </c>
      <c r="PCA614" s="17">
        <v>44925</v>
      </c>
      <c r="PCB614" s="5" t="s">
        <v>3728</v>
      </c>
      <c r="PCC614" s="17">
        <v>44925</v>
      </c>
      <c r="PCD614" s="5" t="s">
        <v>3728</v>
      </c>
      <c r="PCE614" s="17">
        <v>44925</v>
      </c>
      <c r="PCF614" s="5" t="s">
        <v>3728</v>
      </c>
      <c r="PCG614" s="17">
        <v>44925</v>
      </c>
      <c r="PCH614" s="5" t="s">
        <v>3728</v>
      </c>
      <c r="PCI614" s="17">
        <v>44925</v>
      </c>
      <c r="PCJ614" s="5" t="s">
        <v>3728</v>
      </c>
      <c r="PCK614" s="17">
        <v>44925</v>
      </c>
      <c r="PCL614" s="5" t="s">
        <v>3728</v>
      </c>
      <c r="PCM614" s="17">
        <v>44925</v>
      </c>
      <c r="PCN614" s="5" t="s">
        <v>3728</v>
      </c>
      <c r="PCO614" s="17">
        <v>44925</v>
      </c>
      <c r="PCP614" s="5" t="s">
        <v>3728</v>
      </c>
      <c r="PCQ614" s="17">
        <v>44925</v>
      </c>
      <c r="PCR614" s="5" t="s">
        <v>3728</v>
      </c>
      <c r="PCS614" s="17">
        <v>44925</v>
      </c>
      <c r="PCT614" s="5" t="s">
        <v>3728</v>
      </c>
      <c r="PCU614" s="17">
        <v>44925</v>
      </c>
      <c r="PCV614" s="5" t="s">
        <v>3728</v>
      </c>
      <c r="PCW614" s="17">
        <v>44925</v>
      </c>
      <c r="PCX614" s="5" t="s">
        <v>3728</v>
      </c>
      <c r="PCY614" s="17">
        <v>44925</v>
      </c>
      <c r="PCZ614" s="5" t="s">
        <v>3728</v>
      </c>
      <c r="PDA614" s="17">
        <v>44925</v>
      </c>
      <c r="PDB614" s="5" t="s">
        <v>3728</v>
      </c>
      <c r="PDC614" s="17">
        <v>44925</v>
      </c>
      <c r="PDD614" s="5" t="s">
        <v>3728</v>
      </c>
      <c r="PDE614" s="17">
        <v>44925</v>
      </c>
      <c r="PDF614" s="5" t="s">
        <v>3728</v>
      </c>
      <c r="PDG614" s="17">
        <v>44925</v>
      </c>
      <c r="PDH614" s="5" t="s">
        <v>3728</v>
      </c>
      <c r="PDI614" s="17">
        <v>44925</v>
      </c>
      <c r="PDJ614" s="5" t="s">
        <v>3728</v>
      </c>
      <c r="PDK614" s="17">
        <v>44925</v>
      </c>
      <c r="PDL614" s="5" t="s">
        <v>3728</v>
      </c>
      <c r="PDM614" s="17">
        <v>44925</v>
      </c>
      <c r="PDN614" s="5" t="s">
        <v>3728</v>
      </c>
      <c r="PDO614" s="17">
        <v>44925</v>
      </c>
      <c r="PDP614" s="5" t="s">
        <v>3728</v>
      </c>
      <c r="PDQ614" s="17">
        <v>44925</v>
      </c>
      <c r="PDR614" s="5" t="s">
        <v>3728</v>
      </c>
      <c r="PDS614" s="17">
        <v>44925</v>
      </c>
      <c r="PDT614" s="5" t="s">
        <v>3728</v>
      </c>
      <c r="PDU614" s="17">
        <v>44925</v>
      </c>
      <c r="PDV614" s="5" t="s">
        <v>3728</v>
      </c>
      <c r="PDW614" s="17">
        <v>44925</v>
      </c>
      <c r="PDX614" s="5" t="s">
        <v>3728</v>
      </c>
      <c r="PDY614" s="17">
        <v>44925</v>
      </c>
      <c r="PDZ614" s="5" t="s">
        <v>3728</v>
      </c>
      <c r="PEA614" s="17">
        <v>44925</v>
      </c>
      <c r="PEB614" s="5" t="s">
        <v>3728</v>
      </c>
      <c r="PEC614" s="17">
        <v>44925</v>
      </c>
      <c r="PED614" s="5" t="s">
        <v>3728</v>
      </c>
      <c r="PEE614" s="17">
        <v>44925</v>
      </c>
      <c r="PEF614" s="5" t="s">
        <v>3728</v>
      </c>
      <c r="PEG614" s="17">
        <v>44925</v>
      </c>
      <c r="PEH614" s="5" t="s">
        <v>3728</v>
      </c>
      <c r="PEI614" s="17">
        <v>44925</v>
      </c>
      <c r="PEJ614" s="5" t="s">
        <v>3728</v>
      </c>
      <c r="PEK614" s="17">
        <v>44925</v>
      </c>
      <c r="PEL614" s="5" t="s">
        <v>3728</v>
      </c>
      <c r="PEM614" s="17">
        <v>44925</v>
      </c>
      <c r="PEN614" s="5" t="s">
        <v>3728</v>
      </c>
      <c r="PEO614" s="17">
        <v>44925</v>
      </c>
      <c r="PEP614" s="5" t="s">
        <v>3728</v>
      </c>
      <c r="PEQ614" s="17">
        <v>44925</v>
      </c>
      <c r="PER614" s="5" t="s">
        <v>3728</v>
      </c>
      <c r="PES614" s="17">
        <v>44925</v>
      </c>
      <c r="PET614" s="5" t="s">
        <v>3728</v>
      </c>
      <c r="PEU614" s="17">
        <v>44925</v>
      </c>
      <c r="PEV614" s="5" t="s">
        <v>3728</v>
      </c>
      <c r="PEW614" s="17">
        <v>44925</v>
      </c>
      <c r="PEX614" s="5" t="s">
        <v>3728</v>
      </c>
      <c r="PEY614" s="17">
        <v>44925</v>
      </c>
      <c r="PEZ614" s="5" t="s">
        <v>3728</v>
      </c>
      <c r="PFA614" s="17">
        <v>44925</v>
      </c>
      <c r="PFB614" s="5" t="s">
        <v>3728</v>
      </c>
      <c r="PFC614" s="17">
        <v>44925</v>
      </c>
      <c r="PFD614" s="5" t="s">
        <v>3728</v>
      </c>
      <c r="PFE614" s="17">
        <v>44925</v>
      </c>
      <c r="PFF614" s="5" t="s">
        <v>3728</v>
      </c>
      <c r="PFG614" s="17">
        <v>44925</v>
      </c>
      <c r="PFH614" s="5" t="s">
        <v>3728</v>
      </c>
      <c r="PFI614" s="17">
        <v>44925</v>
      </c>
      <c r="PFJ614" s="5" t="s">
        <v>3728</v>
      </c>
      <c r="PFK614" s="17">
        <v>44925</v>
      </c>
      <c r="PFL614" s="5" t="s">
        <v>3728</v>
      </c>
      <c r="PFM614" s="17">
        <v>44925</v>
      </c>
      <c r="PFN614" s="5" t="s">
        <v>3728</v>
      </c>
      <c r="PFO614" s="17">
        <v>44925</v>
      </c>
      <c r="PFP614" s="5" t="s">
        <v>3728</v>
      </c>
      <c r="PFQ614" s="17">
        <v>44925</v>
      </c>
      <c r="PFR614" s="5" t="s">
        <v>3728</v>
      </c>
      <c r="PFS614" s="17">
        <v>44925</v>
      </c>
      <c r="PFT614" s="5" t="s">
        <v>3728</v>
      </c>
      <c r="PFU614" s="17">
        <v>44925</v>
      </c>
      <c r="PFV614" s="5" t="s">
        <v>3728</v>
      </c>
      <c r="PFW614" s="17">
        <v>44925</v>
      </c>
      <c r="PFX614" s="5" t="s">
        <v>3728</v>
      </c>
      <c r="PFY614" s="17">
        <v>44925</v>
      </c>
      <c r="PFZ614" s="5" t="s">
        <v>3728</v>
      </c>
      <c r="PGA614" s="17">
        <v>44925</v>
      </c>
      <c r="PGB614" s="5" t="s">
        <v>3728</v>
      </c>
      <c r="PGC614" s="17">
        <v>44925</v>
      </c>
      <c r="PGD614" s="5" t="s">
        <v>3728</v>
      </c>
      <c r="PGE614" s="17">
        <v>44925</v>
      </c>
      <c r="PGF614" s="5" t="s">
        <v>3728</v>
      </c>
      <c r="PGG614" s="17">
        <v>44925</v>
      </c>
      <c r="PGH614" s="5" t="s">
        <v>3728</v>
      </c>
      <c r="PGI614" s="17">
        <v>44925</v>
      </c>
      <c r="PGJ614" s="5" t="s">
        <v>3728</v>
      </c>
      <c r="PGK614" s="17">
        <v>44925</v>
      </c>
      <c r="PGL614" s="5" t="s">
        <v>3728</v>
      </c>
      <c r="PGM614" s="17">
        <v>44925</v>
      </c>
      <c r="PGN614" s="5" t="s">
        <v>3728</v>
      </c>
      <c r="PGO614" s="17">
        <v>44925</v>
      </c>
      <c r="PGP614" s="5" t="s">
        <v>3728</v>
      </c>
      <c r="PGQ614" s="17">
        <v>44925</v>
      </c>
      <c r="PGR614" s="5" t="s">
        <v>3728</v>
      </c>
      <c r="PGS614" s="17">
        <v>44925</v>
      </c>
      <c r="PGT614" s="5" t="s">
        <v>3728</v>
      </c>
      <c r="PGU614" s="17">
        <v>44925</v>
      </c>
      <c r="PGV614" s="5" t="s">
        <v>3728</v>
      </c>
      <c r="PGW614" s="17">
        <v>44925</v>
      </c>
      <c r="PGX614" s="5" t="s">
        <v>3728</v>
      </c>
      <c r="PGY614" s="17">
        <v>44925</v>
      </c>
      <c r="PGZ614" s="5" t="s">
        <v>3728</v>
      </c>
      <c r="PHA614" s="17">
        <v>44925</v>
      </c>
      <c r="PHB614" s="5" t="s">
        <v>3728</v>
      </c>
      <c r="PHC614" s="17">
        <v>44925</v>
      </c>
      <c r="PHD614" s="5" t="s">
        <v>3728</v>
      </c>
      <c r="PHE614" s="17">
        <v>44925</v>
      </c>
      <c r="PHF614" s="5" t="s">
        <v>3728</v>
      </c>
      <c r="PHG614" s="17">
        <v>44925</v>
      </c>
      <c r="PHH614" s="5" t="s">
        <v>3728</v>
      </c>
      <c r="PHI614" s="17">
        <v>44925</v>
      </c>
      <c r="PHJ614" s="5" t="s">
        <v>3728</v>
      </c>
      <c r="PHK614" s="17">
        <v>44925</v>
      </c>
      <c r="PHL614" s="5" t="s">
        <v>3728</v>
      </c>
      <c r="PHM614" s="17">
        <v>44925</v>
      </c>
      <c r="PHN614" s="5" t="s">
        <v>3728</v>
      </c>
      <c r="PHO614" s="17">
        <v>44925</v>
      </c>
      <c r="PHP614" s="5" t="s">
        <v>3728</v>
      </c>
      <c r="PHQ614" s="17">
        <v>44925</v>
      </c>
      <c r="PHR614" s="5" t="s">
        <v>3728</v>
      </c>
      <c r="PHS614" s="17">
        <v>44925</v>
      </c>
      <c r="PHT614" s="5" t="s">
        <v>3728</v>
      </c>
      <c r="PHU614" s="17">
        <v>44925</v>
      </c>
      <c r="PHV614" s="5" t="s">
        <v>3728</v>
      </c>
      <c r="PHW614" s="17">
        <v>44925</v>
      </c>
      <c r="PHX614" s="5" t="s">
        <v>3728</v>
      </c>
      <c r="PHY614" s="17">
        <v>44925</v>
      </c>
      <c r="PHZ614" s="5" t="s">
        <v>3728</v>
      </c>
      <c r="PIA614" s="17">
        <v>44925</v>
      </c>
      <c r="PIB614" s="5" t="s">
        <v>3728</v>
      </c>
      <c r="PIC614" s="17">
        <v>44925</v>
      </c>
      <c r="PID614" s="5" t="s">
        <v>3728</v>
      </c>
      <c r="PIE614" s="17">
        <v>44925</v>
      </c>
      <c r="PIF614" s="5" t="s">
        <v>3728</v>
      </c>
      <c r="PIG614" s="17">
        <v>44925</v>
      </c>
      <c r="PIH614" s="5" t="s">
        <v>3728</v>
      </c>
      <c r="PII614" s="17">
        <v>44925</v>
      </c>
      <c r="PIJ614" s="5" t="s">
        <v>3728</v>
      </c>
      <c r="PIK614" s="17">
        <v>44925</v>
      </c>
      <c r="PIL614" s="5" t="s">
        <v>3728</v>
      </c>
      <c r="PIM614" s="17">
        <v>44925</v>
      </c>
      <c r="PIN614" s="5" t="s">
        <v>3728</v>
      </c>
      <c r="PIO614" s="17">
        <v>44925</v>
      </c>
      <c r="PIP614" s="5" t="s">
        <v>3728</v>
      </c>
      <c r="PIQ614" s="17">
        <v>44925</v>
      </c>
      <c r="PIR614" s="5" t="s">
        <v>3728</v>
      </c>
      <c r="PIS614" s="17">
        <v>44925</v>
      </c>
      <c r="PIT614" s="5" t="s">
        <v>3728</v>
      </c>
      <c r="PIU614" s="17">
        <v>44925</v>
      </c>
      <c r="PIV614" s="5" t="s">
        <v>3728</v>
      </c>
      <c r="PIW614" s="17">
        <v>44925</v>
      </c>
      <c r="PIX614" s="5" t="s">
        <v>3728</v>
      </c>
      <c r="PIY614" s="17">
        <v>44925</v>
      </c>
      <c r="PIZ614" s="5" t="s">
        <v>3728</v>
      </c>
      <c r="PJA614" s="17">
        <v>44925</v>
      </c>
      <c r="PJB614" s="5" t="s">
        <v>3728</v>
      </c>
      <c r="PJC614" s="17">
        <v>44925</v>
      </c>
      <c r="PJD614" s="5" t="s">
        <v>3728</v>
      </c>
      <c r="PJE614" s="17">
        <v>44925</v>
      </c>
      <c r="PJF614" s="5" t="s">
        <v>3728</v>
      </c>
      <c r="PJG614" s="17">
        <v>44925</v>
      </c>
      <c r="PJH614" s="5" t="s">
        <v>3728</v>
      </c>
      <c r="PJI614" s="17">
        <v>44925</v>
      </c>
      <c r="PJJ614" s="5" t="s">
        <v>3728</v>
      </c>
      <c r="PJK614" s="17">
        <v>44925</v>
      </c>
      <c r="PJL614" s="5" t="s">
        <v>3728</v>
      </c>
      <c r="PJM614" s="17">
        <v>44925</v>
      </c>
      <c r="PJN614" s="5" t="s">
        <v>3728</v>
      </c>
      <c r="PJO614" s="17">
        <v>44925</v>
      </c>
      <c r="PJP614" s="5" t="s">
        <v>3728</v>
      </c>
      <c r="PJQ614" s="17">
        <v>44925</v>
      </c>
      <c r="PJR614" s="5" t="s">
        <v>3728</v>
      </c>
      <c r="PJS614" s="17">
        <v>44925</v>
      </c>
      <c r="PJT614" s="5" t="s">
        <v>3728</v>
      </c>
      <c r="PJU614" s="17">
        <v>44925</v>
      </c>
      <c r="PJV614" s="5" t="s">
        <v>3728</v>
      </c>
      <c r="PJW614" s="17">
        <v>44925</v>
      </c>
      <c r="PJX614" s="5" t="s">
        <v>3728</v>
      </c>
      <c r="PJY614" s="17">
        <v>44925</v>
      </c>
      <c r="PJZ614" s="5" t="s">
        <v>3728</v>
      </c>
      <c r="PKA614" s="17">
        <v>44925</v>
      </c>
      <c r="PKB614" s="5" t="s">
        <v>3728</v>
      </c>
      <c r="PKC614" s="17">
        <v>44925</v>
      </c>
      <c r="PKD614" s="5" t="s">
        <v>3728</v>
      </c>
      <c r="PKE614" s="17">
        <v>44925</v>
      </c>
      <c r="PKF614" s="5" t="s">
        <v>3728</v>
      </c>
      <c r="PKG614" s="17">
        <v>44925</v>
      </c>
      <c r="PKH614" s="5" t="s">
        <v>3728</v>
      </c>
      <c r="PKI614" s="17">
        <v>44925</v>
      </c>
      <c r="PKJ614" s="5" t="s">
        <v>3728</v>
      </c>
      <c r="PKK614" s="17">
        <v>44925</v>
      </c>
      <c r="PKL614" s="5" t="s">
        <v>3728</v>
      </c>
      <c r="PKM614" s="17">
        <v>44925</v>
      </c>
      <c r="PKN614" s="5" t="s">
        <v>3728</v>
      </c>
      <c r="PKO614" s="17">
        <v>44925</v>
      </c>
      <c r="PKP614" s="5" t="s">
        <v>3728</v>
      </c>
      <c r="PKQ614" s="17">
        <v>44925</v>
      </c>
      <c r="PKR614" s="5" t="s">
        <v>3728</v>
      </c>
      <c r="PKS614" s="17">
        <v>44925</v>
      </c>
      <c r="PKT614" s="5" t="s">
        <v>3728</v>
      </c>
      <c r="PKU614" s="17">
        <v>44925</v>
      </c>
      <c r="PKV614" s="5" t="s">
        <v>3728</v>
      </c>
      <c r="PKW614" s="17">
        <v>44925</v>
      </c>
      <c r="PKX614" s="5" t="s">
        <v>3728</v>
      </c>
      <c r="PKY614" s="17">
        <v>44925</v>
      </c>
      <c r="PKZ614" s="5" t="s">
        <v>3728</v>
      </c>
      <c r="PLA614" s="17">
        <v>44925</v>
      </c>
      <c r="PLB614" s="5" t="s">
        <v>3728</v>
      </c>
      <c r="PLC614" s="17">
        <v>44925</v>
      </c>
      <c r="PLD614" s="5" t="s">
        <v>3728</v>
      </c>
      <c r="PLE614" s="17">
        <v>44925</v>
      </c>
      <c r="PLF614" s="5" t="s">
        <v>3728</v>
      </c>
      <c r="PLG614" s="17">
        <v>44925</v>
      </c>
      <c r="PLH614" s="5" t="s">
        <v>3728</v>
      </c>
      <c r="PLI614" s="17">
        <v>44925</v>
      </c>
      <c r="PLJ614" s="5" t="s">
        <v>3728</v>
      </c>
      <c r="PLK614" s="17">
        <v>44925</v>
      </c>
      <c r="PLL614" s="5" t="s">
        <v>3728</v>
      </c>
      <c r="PLM614" s="17">
        <v>44925</v>
      </c>
      <c r="PLN614" s="5" t="s">
        <v>3728</v>
      </c>
      <c r="PLO614" s="17">
        <v>44925</v>
      </c>
      <c r="PLP614" s="5" t="s">
        <v>3728</v>
      </c>
      <c r="PLQ614" s="17">
        <v>44925</v>
      </c>
      <c r="PLR614" s="5" t="s">
        <v>3728</v>
      </c>
      <c r="PLS614" s="17">
        <v>44925</v>
      </c>
      <c r="PLT614" s="5" t="s">
        <v>3728</v>
      </c>
      <c r="PLU614" s="17">
        <v>44925</v>
      </c>
      <c r="PLV614" s="5" t="s">
        <v>3728</v>
      </c>
      <c r="PLW614" s="17">
        <v>44925</v>
      </c>
      <c r="PLX614" s="5" t="s">
        <v>3728</v>
      </c>
      <c r="PLY614" s="17">
        <v>44925</v>
      </c>
      <c r="PLZ614" s="5" t="s">
        <v>3728</v>
      </c>
      <c r="PMA614" s="17">
        <v>44925</v>
      </c>
      <c r="PMB614" s="5" t="s">
        <v>3728</v>
      </c>
      <c r="PMC614" s="17">
        <v>44925</v>
      </c>
      <c r="PMD614" s="5" t="s">
        <v>3728</v>
      </c>
      <c r="PME614" s="17">
        <v>44925</v>
      </c>
      <c r="PMF614" s="5" t="s">
        <v>3728</v>
      </c>
      <c r="PMG614" s="17">
        <v>44925</v>
      </c>
      <c r="PMH614" s="5" t="s">
        <v>3728</v>
      </c>
      <c r="PMI614" s="17">
        <v>44925</v>
      </c>
      <c r="PMJ614" s="5" t="s">
        <v>3728</v>
      </c>
      <c r="PMK614" s="17">
        <v>44925</v>
      </c>
      <c r="PML614" s="5" t="s">
        <v>3728</v>
      </c>
      <c r="PMM614" s="17">
        <v>44925</v>
      </c>
      <c r="PMN614" s="5" t="s">
        <v>3728</v>
      </c>
      <c r="PMO614" s="17">
        <v>44925</v>
      </c>
      <c r="PMP614" s="5" t="s">
        <v>3728</v>
      </c>
      <c r="PMQ614" s="17">
        <v>44925</v>
      </c>
      <c r="PMR614" s="5" t="s">
        <v>3728</v>
      </c>
      <c r="PMS614" s="17">
        <v>44925</v>
      </c>
      <c r="PMT614" s="5" t="s">
        <v>3728</v>
      </c>
      <c r="PMU614" s="17">
        <v>44925</v>
      </c>
      <c r="PMV614" s="5" t="s">
        <v>3728</v>
      </c>
      <c r="PMW614" s="17">
        <v>44925</v>
      </c>
      <c r="PMX614" s="5" t="s">
        <v>3728</v>
      </c>
      <c r="PMY614" s="17">
        <v>44925</v>
      </c>
      <c r="PMZ614" s="5" t="s">
        <v>3728</v>
      </c>
      <c r="PNA614" s="17">
        <v>44925</v>
      </c>
      <c r="PNB614" s="5" t="s">
        <v>3728</v>
      </c>
      <c r="PNC614" s="17">
        <v>44925</v>
      </c>
      <c r="PND614" s="5" t="s">
        <v>3728</v>
      </c>
      <c r="PNE614" s="17">
        <v>44925</v>
      </c>
      <c r="PNF614" s="5" t="s">
        <v>3728</v>
      </c>
      <c r="PNG614" s="17">
        <v>44925</v>
      </c>
      <c r="PNH614" s="5" t="s">
        <v>3728</v>
      </c>
      <c r="PNI614" s="17">
        <v>44925</v>
      </c>
      <c r="PNJ614" s="5" t="s">
        <v>3728</v>
      </c>
      <c r="PNK614" s="17">
        <v>44925</v>
      </c>
      <c r="PNL614" s="5" t="s">
        <v>3728</v>
      </c>
      <c r="PNM614" s="17">
        <v>44925</v>
      </c>
      <c r="PNN614" s="5" t="s">
        <v>3728</v>
      </c>
      <c r="PNO614" s="17">
        <v>44925</v>
      </c>
      <c r="PNP614" s="5" t="s">
        <v>3728</v>
      </c>
      <c r="PNQ614" s="17">
        <v>44925</v>
      </c>
      <c r="PNR614" s="5" t="s">
        <v>3728</v>
      </c>
      <c r="PNS614" s="17">
        <v>44925</v>
      </c>
      <c r="PNT614" s="5" t="s">
        <v>3728</v>
      </c>
      <c r="PNU614" s="17">
        <v>44925</v>
      </c>
      <c r="PNV614" s="5" t="s">
        <v>3728</v>
      </c>
      <c r="PNW614" s="17">
        <v>44925</v>
      </c>
      <c r="PNX614" s="5" t="s">
        <v>3728</v>
      </c>
      <c r="PNY614" s="17">
        <v>44925</v>
      </c>
      <c r="PNZ614" s="5" t="s">
        <v>3728</v>
      </c>
      <c r="POA614" s="17">
        <v>44925</v>
      </c>
      <c r="POB614" s="5" t="s">
        <v>3728</v>
      </c>
      <c r="POC614" s="17">
        <v>44925</v>
      </c>
      <c r="POD614" s="5" t="s">
        <v>3728</v>
      </c>
      <c r="POE614" s="17">
        <v>44925</v>
      </c>
      <c r="POF614" s="5" t="s">
        <v>3728</v>
      </c>
      <c r="POG614" s="17">
        <v>44925</v>
      </c>
      <c r="POH614" s="5" t="s">
        <v>3728</v>
      </c>
      <c r="POI614" s="17">
        <v>44925</v>
      </c>
      <c r="POJ614" s="5" t="s">
        <v>3728</v>
      </c>
      <c r="POK614" s="17">
        <v>44925</v>
      </c>
      <c r="POL614" s="5" t="s">
        <v>3728</v>
      </c>
      <c r="POM614" s="17">
        <v>44925</v>
      </c>
      <c r="PON614" s="5" t="s">
        <v>3728</v>
      </c>
      <c r="POO614" s="17">
        <v>44925</v>
      </c>
      <c r="POP614" s="5" t="s">
        <v>3728</v>
      </c>
      <c r="POQ614" s="17">
        <v>44925</v>
      </c>
      <c r="POR614" s="5" t="s">
        <v>3728</v>
      </c>
      <c r="POS614" s="17">
        <v>44925</v>
      </c>
      <c r="POT614" s="5" t="s">
        <v>3728</v>
      </c>
      <c r="POU614" s="17">
        <v>44925</v>
      </c>
      <c r="POV614" s="5" t="s">
        <v>3728</v>
      </c>
      <c r="POW614" s="17">
        <v>44925</v>
      </c>
      <c r="POX614" s="5" t="s">
        <v>3728</v>
      </c>
      <c r="POY614" s="17">
        <v>44925</v>
      </c>
      <c r="POZ614" s="5" t="s">
        <v>3728</v>
      </c>
      <c r="PPA614" s="17">
        <v>44925</v>
      </c>
      <c r="PPB614" s="5" t="s">
        <v>3728</v>
      </c>
      <c r="PPC614" s="17">
        <v>44925</v>
      </c>
      <c r="PPD614" s="5" t="s">
        <v>3728</v>
      </c>
      <c r="PPE614" s="17">
        <v>44925</v>
      </c>
      <c r="PPF614" s="5" t="s">
        <v>3728</v>
      </c>
      <c r="PPG614" s="17">
        <v>44925</v>
      </c>
      <c r="PPH614" s="5" t="s">
        <v>3728</v>
      </c>
      <c r="PPI614" s="17">
        <v>44925</v>
      </c>
      <c r="PPJ614" s="5" t="s">
        <v>3728</v>
      </c>
      <c r="PPK614" s="17">
        <v>44925</v>
      </c>
      <c r="PPL614" s="5" t="s">
        <v>3728</v>
      </c>
      <c r="PPM614" s="17">
        <v>44925</v>
      </c>
      <c r="PPN614" s="5" t="s">
        <v>3728</v>
      </c>
      <c r="PPO614" s="17">
        <v>44925</v>
      </c>
      <c r="PPP614" s="5" t="s">
        <v>3728</v>
      </c>
      <c r="PPQ614" s="17">
        <v>44925</v>
      </c>
      <c r="PPR614" s="5" t="s">
        <v>3728</v>
      </c>
      <c r="PPS614" s="17">
        <v>44925</v>
      </c>
      <c r="PPT614" s="5" t="s">
        <v>3728</v>
      </c>
      <c r="PPU614" s="17">
        <v>44925</v>
      </c>
      <c r="PPV614" s="5" t="s">
        <v>3728</v>
      </c>
      <c r="PPW614" s="17">
        <v>44925</v>
      </c>
      <c r="PPX614" s="5" t="s">
        <v>3728</v>
      </c>
      <c r="PPY614" s="17">
        <v>44925</v>
      </c>
      <c r="PPZ614" s="5" t="s">
        <v>3728</v>
      </c>
      <c r="PQA614" s="17">
        <v>44925</v>
      </c>
      <c r="PQB614" s="5" t="s">
        <v>3728</v>
      </c>
      <c r="PQC614" s="17">
        <v>44925</v>
      </c>
      <c r="PQD614" s="5" t="s">
        <v>3728</v>
      </c>
      <c r="PQE614" s="17">
        <v>44925</v>
      </c>
      <c r="PQF614" s="5" t="s">
        <v>3728</v>
      </c>
      <c r="PQG614" s="17">
        <v>44925</v>
      </c>
      <c r="PQH614" s="5" t="s">
        <v>3728</v>
      </c>
      <c r="PQI614" s="17">
        <v>44925</v>
      </c>
      <c r="PQJ614" s="5" t="s">
        <v>3728</v>
      </c>
      <c r="PQK614" s="17">
        <v>44925</v>
      </c>
      <c r="PQL614" s="5" t="s">
        <v>3728</v>
      </c>
      <c r="PQM614" s="17">
        <v>44925</v>
      </c>
      <c r="PQN614" s="5" t="s">
        <v>3728</v>
      </c>
      <c r="PQO614" s="17">
        <v>44925</v>
      </c>
      <c r="PQP614" s="5" t="s">
        <v>3728</v>
      </c>
      <c r="PQQ614" s="17">
        <v>44925</v>
      </c>
      <c r="PQR614" s="5" t="s">
        <v>3728</v>
      </c>
      <c r="PQS614" s="17">
        <v>44925</v>
      </c>
      <c r="PQT614" s="5" t="s">
        <v>3728</v>
      </c>
      <c r="PQU614" s="17">
        <v>44925</v>
      </c>
      <c r="PQV614" s="5" t="s">
        <v>3728</v>
      </c>
      <c r="PQW614" s="17">
        <v>44925</v>
      </c>
      <c r="PQX614" s="5" t="s">
        <v>3728</v>
      </c>
      <c r="PQY614" s="17">
        <v>44925</v>
      </c>
      <c r="PQZ614" s="5" t="s">
        <v>3728</v>
      </c>
      <c r="PRA614" s="17">
        <v>44925</v>
      </c>
      <c r="PRB614" s="5" t="s">
        <v>3728</v>
      </c>
      <c r="PRC614" s="17">
        <v>44925</v>
      </c>
      <c r="PRD614" s="5" t="s">
        <v>3728</v>
      </c>
      <c r="PRE614" s="17">
        <v>44925</v>
      </c>
      <c r="PRF614" s="5" t="s">
        <v>3728</v>
      </c>
      <c r="PRG614" s="17">
        <v>44925</v>
      </c>
      <c r="PRH614" s="5" t="s">
        <v>3728</v>
      </c>
      <c r="PRI614" s="17">
        <v>44925</v>
      </c>
      <c r="PRJ614" s="5" t="s">
        <v>3728</v>
      </c>
      <c r="PRK614" s="17">
        <v>44925</v>
      </c>
      <c r="PRL614" s="5" t="s">
        <v>3728</v>
      </c>
      <c r="PRM614" s="17">
        <v>44925</v>
      </c>
      <c r="PRN614" s="5" t="s">
        <v>3728</v>
      </c>
      <c r="PRO614" s="17">
        <v>44925</v>
      </c>
      <c r="PRP614" s="5" t="s">
        <v>3728</v>
      </c>
      <c r="PRQ614" s="17">
        <v>44925</v>
      </c>
      <c r="PRR614" s="5" t="s">
        <v>3728</v>
      </c>
      <c r="PRS614" s="17">
        <v>44925</v>
      </c>
      <c r="PRT614" s="5" t="s">
        <v>3728</v>
      </c>
      <c r="PRU614" s="17">
        <v>44925</v>
      </c>
      <c r="PRV614" s="5" t="s">
        <v>3728</v>
      </c>
      <c r="PRW614" s="17">
        <v>44925</v>
      </c>
      <c r="PRX614" s="5" t="s">
        <v>3728</v>
      </c>
      <c r="PRY614" s="17">
        <v>44925</v>
      </c>
      <c r="PRZ614" s="5" t="s">
        <v>3728</v>
      </c>
      <c r="PSA614" s="17">
        <v>44925</v>
      </c>
      <c r="PSB614" s="5" t="s">
        <v>3728</v>
      </c>
      <c r="PSC614" s="17">
        <v>44925</v>
      </c>
      <c r="PSD614" s="5" t="s">
        <v>3728</v>
      </c>
      <c r="PSE614" s="17">
        <v>44925</v>
      </c>
      <c r="PSF614" s="5" t="s">
        <v>3728</v>
      </c>
      <c r="PSG614" s="17">
        <v>44925</v>
      </c>
      <c r="PSH614" s="5" t="s">
        <v>3728</v>
      </c>
      <c r="PSI614" s="17">
        <v>44925</v>
      </c>
      <c r="PSJ614" s="5" t="s">
        <v>3728</v>
      </c>
      <c r="PSK614" s="17">
        <v>44925</v>
      </c>
      <c r="PSL614" s="5" t="s">
        <v>3728</v>
      </c>
      <c r="PSM614" s="17">
        <v>44925</v>
      </c>
      <c r="PSN614" s="5" t="s">
        <v>3728</v>
      </c>
      <c r="PSO614" s="17">
        <v>44925</v>
      </c>
      <c r="PSP614" s="5" t="s">
        <v>3728</v>
      </c>
      <c r="PSQ614" s="17">
        <v>44925</v>
      </c>
      <c r="PSR614" s="5" t="s">
        <v>3728</v>
      </c>
      <c r="PSS614" s="17">
        <v>44925</v>
      </c>
      <c r="PST614" s="5" t="s">
        <v>3728</v>
      </c>
      <c r="PSU614" s="17">
        <v>44925</v>
      </c>
      <c r="PSV614" s="5" t="s">
        <v>3728</v>
      </c>
      <c r="PSW614" s="17">
        <v>44925</v>
      </c>
      <c r="PSX614" s="5" t="s">
        <v>3728</v>
      </c>
      <c r="PSY614" s="17">
        <v>44925</v>
      </c>
      <c r="PSZ614" s="5" t="s">
        <v>3728</v>
      </c>
      <c r="PTA614" s="17">
        <v>44925</v>
      </c>
      <c r="PTB614" s="5" t="s">
        <v>3728</v>
      </c>
      <c r="PTC614" s="17">
        <v>44925</v>
      </c>
      <c r="PTD614" s="5" t="s">
        <v>3728</v>
      </c>
      <c r="PTE614" s="17">
        <v>44925</v>
      </c>
      <c r="PTF614" s="5" t="s">
        <v>3728</v>
      </c>
      <c r="PTG614" s="17">
        <v>44925</v>
      </c>
      <c r="PTH614" s="5" t="s">
        <v>3728</v>
      </c>
      <c r="PTI614" s="17">
        <v>44925</v>
      </c>
      <c r="PTJ614" s="5" t="s">
        <v>3728</v>
      </c>
      <c r="PTK614" s="17">
        <v>44925</v>
      </c>
      <c r="PTL614" s="5" t="s">
        <v>3728</v>
      </c>
      <c r="PTM614" s="17">
        <v>44925</v>
      </c>
      <c r="PTN614" s="5" t="s">
        <v>3728</v>
      </c>
      <c r="PTO614" s="17">
        <v>44925</v>
      </c>
      <c r="PTP614" s="5" t="s">
        <v>3728</v>
      </c>
      <c r="PTQ614" s="17">
        <v>44925</v>
      </c>
      <c r="PTR614" s="5" t="s">
        <v>3728</v>
      </c>
      <c r="PTS614" s="17">
        <v>44925</v>
      </c>
      <c r="PTT614" s="5" t="s">
        <v>3728</v>
      </c>
      <c r="PTU614" s="17">
        <v>44925</v>
      </c>
      <c r="PTV614" s="5" t="s">
        <v>3728</v>
      </c>
      <c r="PTW614" s="17">
        <v>44925</v>
      </c>
      <c r="PTX614" s="5" t="s">
        <v>3728</v>
      </c>
      <c r="PTY614" s="17">
        <v>44925</v>
      </c>
      <c r="PTZ614" s="5" t="s">
        <v>3728</v>
      </c>
      <c r="PUA614" s="17">
        <v>44925</v>
      </c>
      <c r="PUB614" s="5" t="s">
        <v>3728</v>
      </c>
      <c r="PUC614" s="17">
        <v>44925</v>
      </c>
      <c r="PUD614" s="5" t="s">
        <v>3728</v>
      </c>
      <c r="PUE614" s="17">
        <v>44925</v>
      </c>
      <c r="PUF614" s="5" t="s">
        <v>3728</v>
      </c>
      <c r="PUG614" s="17">
        <v>44925</v>
      </c>
      <c r="PUH614" s="5" t="s">
        <v>3728</v>
      </c>
      <c r="PUI614" s="17">
        <v>44925</v>
      </c>
      <c r="PUJ614" s="5" t="s">
        <v>3728</v>
      </c>
      <c r="PUK614" s="17">
        <v>44925</v>
      </c>
      <c r="PUL614" s="5" t="s">
        <v>3728</v>
      </c>
      <c r="PUM614" s="17">
        <v>44925</v>
      </c>
      <c r="PUN614" s="5" t="s">
        <v>3728</v>
      </c>
      <c r="PUO614" s="17">
        <v>44925</v>
      </c>
      <c r="PUP614" s="5" t="s">
        <v>3728</v>
      </c>
      <c r="PUQ614" s="17">
        <v>44925</v>
      </c>
      <c r="PUR614" s="5" t="s">
        <v>3728</v>
      </c>
      <c r="PUS614" s="17">
        <v>44925</v>
      </c>
      <c r="PUT614" s="5" t="s">
        <v>3728</v>
      </c>
      <c r="PUU614" s="17">
        <v>44925</v>
      </c>
      <c r="PUV614" s="5" t="s">
        <v>3728</v>
      </c>
      <c r="PUW614" s="17">
        <v>44925</v>
      </c>
      <c r="PUX614" s="5" t="s">
        <v>3728</v>
      </c>
      <c r="PUY614" s="17">
        <v>44925</v>
      </c>
      <c r="PUZ614" s="5" t="s">
        <v>3728</v>
      </c>
      <c r="PVA614" s="17">
        <v>44925</v>
      </c>
      <c r="PVB614" s="5" t="s">
        <v>3728</v>
      </c>
      <c r="PVC614" s="17">
        <v>44925</v>
      </c>
      <c r="PVD614" s="5" t="s">
        <v>3728</v>
      </c>
      <c r="PVE614" s="17">
        <v>44925</v>
      </c>
      <c r="PVF614" s="5" t="s">
        <v>3728</v>
      </c>
      <c r="PVG614" s="17">
        <v>44925</v>
      </c>
      <c r="PVH614" s="5" t="s">
        <v>3728</v>
      </c>
      <c r="PVI614" s="17">
        <v>44925</v>
      </c>
      <c r="PVJ614" s="5" t="s">
        <v>3728</v>
      </c>
      <c r="PVK614" s="17">
        <v>44925</v>
      </c>
      <c r="PVL614" s="5" t="s">
        <v>3728</v>
      </c>
      <c r="PVM614" s="17">
        <v>44925</v>
      </c>
      <c r="PVN614" s="5" t="s">
        <v>3728</v>
      </c>
      <c r="PVO614" s="17">
        <v>44925</v>
      </c>
      <c r="PVP614" s="5" t="s">
        <v>3728</v>
      </c>
      <c r="PVQ614" s="17">
        <v>44925</v>
      </c>
      <c r="PVR614" s="5" t="s">
        <v>3728</v>
      </c>
      <c r="PVS614" s="17">
        <v>44925</v>
      </c>
      <c r="PVT614" s="5" t="s">
        <v>3728</v>
      </c>
      <c r="PVU614" s="17">
        <v>44925</v>
      </c>
      <c r="PVV614" s="5" t="s">
        <v>3728</v>
      </c>
      <c r="PVW614" s="17">
        <v>44925</v>
      </c>
      <c r="PVX614" s="5" t="s">
        <v>3728</v>
      </c>
      <c r="PVY614" s="17">
        <v>44925</v>
      </c>
      <c r="PVZ614" s="5" t="s">
        <v>3728</v>
      </c>
      <c r="PWA614" s="17">
        <v>44925</v>
      </c>
      <c r="PWB614" s="5" t="s">
        <v>3728</v>
      </c>
      <c r="PWC614" s="17">
        <v>44925</v>
      </c>
      <c r="PWD614" s="5" t="s">
        <v>3728</v>
      </c>
      <c r="PWE614" s="17">
        <v>44925</v>
      </c>
      <c r="PWF614" s="5" t="s">
        <v>3728</v>
      </c>
      <c r="PWG614" s="17">
        <v>44925</v>
      </c>
      <c r="PWH614" s="5" t="s">
        <v>3728</v>
      </c>
      <c r="PWI614" s="17">
        <v>44925</v>
      </c>
      <c r="PWJ614" s="5" t="s">
        <v>3728</v>
      </c>
      <c r="PWK614" s="17">
        <v>44925</v>
      </c>
      <c r="PWL614" s="5" t="s">
        <v>3728</v>
      </c>
      <c r="PWM614" s="17">
        <v>44925</v>
      </c>
      <c r="PWN614" s="5" t="s">
        <v>3728</v>
      </c>
      <c r="PWO614" s="17">
        <v>44925</v>
      </c>
      <c r="PWP614" s="5" t="s">
        <v>3728</v>
      </c>
      <c r="PWQ614" s="17">
        <v>44925</v>
      </c>
      <c r="PWR614" s="5" t="s">
        <v>3728</v>
      </c>
      <c r="PWS614" s="17">
        <v>44925</v>
      </c>
      <c r="PWT614" s="5" t="s">
        <v>3728</v>
      </c>
      <c r="PWU614" s="17">
        <v>44925</v>
      </c>
      <c r="PWV614" s="5" t="s">
        <v>3728</v>
      </c>
      <c r="PWW614" s="17">
        <v>44925</v>
      </c>
      <c r="PWX614" s="5" t="s">
        <v>3728</v>
      </c>
      <c r="PWY614" s="17">
        <v>44925</v>
      </c>
      <c r="PWZ614" s="5" t="s">
        <v>3728</v>
      </c>
      <c r="PXA614" s="17">
        <v>44925</v>
      </c>
      <c r="PXB614" s="5" t="s">
        <v>3728</v>
      </c>
      <c r="PXC614" s="17">
        <v>44925</v>
      </c>
      <c r="PXD614" s="5" t="s">
        <v>3728</v>
      </c>
      <c r="PXE614" s="17">
        <v>44925</v>
      </c>
      <c r="PXF614" s="5" t="s">
        <v>3728</v>
      </c>
      <c r="PXG614" s="17">
        <v>44925</v>
      </c>
      <c r="PXH614" s="5" t="s">
        <v>3728</v>
      </c>
      <c r="PXI614" s="17">
        <v>44925</v>
      </c>
      <c r="PXJ614" s="5" t="s">
        <v>3728</v>
      </c>
      <c r="PXK614" s="17">
        <v>44925</v>
      </c>
      <c r="PXL614" s="5" t="s">
        <v>3728</v>
      </c>
      <c r="PXM614" s="17">
        <v>44925</v>
      </c>
      <c r="PXN614" s="5" t="s">
        <v>3728</v>
      </c>
      <c r="PXO614" s="17">
        <v>44925</v>
      </c>
      <c r="PXP614" s="5" t="s">
        <v>3728</v>
      </c>
      <c r="PXQ614" s="17">
        <v>44925</v>
      </c>
      <c r="PXR614" s="5" t="s">
        <v>3728</v>
      </c>
      <c r="PXS614" s="17">
        <v>44925</v>
      </c>
      <c r="PXT614" s="5" t="s">
        <v>3728</v>
      </c>
      <c r="PXU614" s="17">
        <v>44925</v>
      </c>
      <c r="PXV614" s="5" t="s">
        <v>3728</v>
      </c>
      <c r="PXW614" s="17">
        <v>44925</v>
      </c>
      <c r="PXX614" s="5" t="s">
        <v>3728</v>
      </c>
      <c r="PXY614" s="17">
        <v>44925</v>
      </c>
      <c r="PXZ614" s="5" t="s">
        <v>3728</v>
      </c>
      <c r="PYA614" s="17">
        <v>44925</v>
      </c>
      <c r="PYB614" s="5" t="s">
        <v>3728</v>
      </c>
      <c r="PYC614" s="17">
        <v>44925</v>
      </c>
      <c r="PYD614" s="5" t="s">
        <v>3728</v>
      </c>
      <c r="PYE614" s="17">
        <v>44925</v>
      </c>
      <c r="PYF614" s="5" t="s">
        <v>3728</v>
      </c>
      <c r="PYG614" s="17">
        <v>44925</v>
      </c>
      <c r="PYH614" s="5" t="s">
        <v>3728</v>
      </c>
      <c r="PYI614" s="17">
        <v>44925</v>
      </c>
      <c r="PYJ614" s="5" t="s">
        <v>3728</v>
      </c>
      <c r="PYK614" s="17">
        <v>44925</v>
      </c>
      <c r="PYL614" s="5" t="s">
        <v>3728</v>
      </c>
      <c r="PYM614" s="17">
        <v>44925</v>
      </c>
      <c r="PYN614" s="5" t="s">
        <v>3728</v>
      </c>
      <c r="PYO614" s="17">
        <v>44925</v>
      </c>
      <c r="PYP614" s="5" t="s">
        <v>3728</v>
      </c>
      <c r="PYQ614" s="17">
        <v>44925</v>
      </c>
      <c r="PYR614" s="5" t="s">
        <v>3728</v>
      </c>
      <c r="PYS614" s="17">
        <v>44925</v>
      </c>
      <c r="PYT614" s="5" t="s">
        <v>3728</v>
      </c>
      <c r="PYU614" s="17">
        <v>44925</v>
      </c>
      <c r="PYV614" s="5" t="s">
        <v>3728</v>
      </c>
      <c r="PYW614" s="17">
        <v>44925</v>
      </c>
      <c r="PYX614" s="5" t="s">
        <v>3728</v>
      </c>
      <c r="PYY614" s="17">
        <v>44925</v>
      </c>
      <c r="PYZ614" s="5" t="s">
        <v>3728</v>
      </c>
      <c r="PZA614" s="17">
        <v>44925</v>
      </c>
      <c r="PZB614" s="5" t="s">
        <v>3728</v>
      </c>
      <c r="PZC614" s="17">
        <v>44925</v>
      </c>
      <c r="PZD614" s="5" t="s">
        <v>3728</v>
      </c>
      <c r="PZE614" s="17">
        <v>44925</v>
      </c>
      <c r="PZF614" s="5" t="s">
        <v>3728</v>
      </c>
      <c r="PZG614" s="17">
        <v>44925</v>
      </c>
      <c r="PZH614" s="5" t="s">
        <v>3728</v>
      </c>
      <c r="PZI614" s="17">
        <v>44925</v>
      </c>
      <c r="PZJ614" s="5" t="s">
        <v>3728</v>
      </c>
      <c r="PZK614" s="17">
        <v>44925</v>
      </c>
      <c r="PZL614" s="5" t="s">
        <v>3728</v>
      </c>
      <c r="PZM614" s="17">
        <v>44925</v>
      </c>
      <c r="PZN614" s="5" t="s">
        <v>3728</v>
      </c>
      <c r="PZO614" s="17">
        <v>44925</v>
      </c>
      <c r="PZP614" s="5" t="s">
        <v>3728</v>
      </c>
      <c r="PZQ614" s="17">
        <v>44925</v>
      </c>
      <c r="PZR614" s="5" t="s">
        <v>3728</v>
      </c>
      <c r="PZS614" s="17">
        <v>44925</v>
      </c>
      <c r="PZT614" s="5" t="s">
        <v>3728</v>
      </c>
      <c r="PZU614" s="17">
        <v>44925</v>
      </c>
      <c r="PZV614" s="5" t="s">
        <v>3728</v>
      </c>
      <c r="PZW614" s="17">
        <v>44925</v>
      </c>
      <c r="PZX614" s="5" t="s">
        <v>3728</v>
      </c>
      <c r="PZY614" s="17">
        <v>44925</v>
      </c>
      <c r="PZZ614" s="5" t="s">
        <v>3728</v>
      </c>
      <c r="QAA614" s="17">
        <v>44925</v>
      </c>
      <c r="QAB614" s="5" t="s">
        <v>3728</v>
      </c>
      <c r="QAC614" s="17">
        <v>44925</v>
      </c>
      <c r="QAD614" s="5" t="s">
        <v>3728</v>
      </c>
      <c r="QAE614" s="17">
        <v>44925</v>
      </c>
      <c r="QAF614" s="5" t="s">
        <v>3728</v>
      </c>
      <c r="QAG614" s="17">
        <v>44925</v>
      </c>
      <c r="QAH614" s="5" t="s">
        <v>3728</v>
      </c>
      <c r="QAI614" s="17">
        <v>44925</v>
      </c>
      <c r="QAJ614" s="5" t="s">
        <v>3728</v>
      </c>
      <c r="QAK614" s="17">
        <v>44925</v>
      </c>
      <c r="QAL614" s="5" t="s">
        <v>3728</v>
      </c>
      <c r="QAM614" s="17">
        <v>44925</v>
      </c>
      <c r="QAN614" s="5" t="s">
        <v>3728</v>
      </c>
      <c r="QAO614" s="17">
        <v>44925</v>
      </c>
      <c r="QAP614" s="5" t="s">
        <v>3728</v>
      </c>
      <c r="QAQ614" s="17">
        <v>44925</v>
      </c>
      <c r="QAR614" s="5" t="s">
        <v>3728</v>
      </c>
      <c r="QAS614" s="17">
        <v>44925</v>
      </c>
      <c r="QAT614" s="5" t="s">
        <v>3728</v>
      </c>
      <c r="QAU614" s="17">
        <v>44925</v>
      </c>
      <c r="QAV614" s="5" t="s">
        <v>3728</v>
      </c>
      <c r="QAW614" s="17">
        <v>44925</v>
      </c>
      <c r="QAX614" s="5" t="s">
        <v>3728</v>
      </c>
      <c r="QAY614" s="17">
        <v>44925</v>
      </c>
      <c r="QAZ614" s="5" t="s">
        <v>3728</v>
      </c>
      <c r="QBA614" s="17">
        <v>44925</v>
      </c>
      <c r="QBB614" s="5" t="s">
        <v>3728</v>
      </c>
      <c r="QBC614" s="17">
        <v>44925</v>
      </c>
      <c r="QBD614" s="5" t="s">
        <v>3728</v>
      </c>
      <c r="QBE614" s="17">
        <v>44925</v>
      </c>
      <c r="QBF614" s="5" t="s">
        <v>3728</v>
      </c>
      <c r="QBG614" s="17">
        <v>44925</v>
      </c>
      <c r="QBH614" s="5" t="s">
        <v>3728</v>
      </c>
      <c r="QBI614" s="17">
        <v>44925</v>
      </c>
      <c r="QBJ614" s="5" t="s">
        <v>3728</v>
      </c>
      <c r="QBK614" s="17">
        <v>44925</v>
      </c>
      <c r="QBL614" s="5" t="s">
        <v>3728</v>
      </c>
      <c r="QBM614" s="17">
        <v>44925</v>
      </c>
      <c r="QBN614" s="5" t="s">
        <v>3728</v>
      </c>
      <c r="QBO614" s="17">
        <v>44925</v>
      </c>
      <c r="QBP614" s="5" t="s">
        <v>3728</v>
      </c>
      <c r="QBQ614" s="17">
        <v>44925</v>
      </c>
      <c r="QBR614" s="5" t="s">
        <v>3728</v>
      </c>
      <c r="QBS614" s="17">
        <v>44925</v>
      </c>
      <c r="QBT614" s="5" t="s">
        <v>3728</v>
      </c>
      <c r="QBU614" s="17">
        <v>44925</v>
      </c>
      <c r="QBV614" s="5" t="s">
        <v>3728</v>
      </c>
      <c r="QBW614" s="17">
        <v>44925</v>
      </c>
      <c r="QBX614" s="5" t="s">
        <v>3728</v>
      </c>
      <c r="QBY614" s="17">
        <v>44925</v>
      </c>
      <c r="QBZ614" s="5" t="s">
        <v>3728</v>
      </c>
      <c r="QCA614" s="17">
        <v>44925</v>
      </c>
      <c r="QCB614" s="5" t="s">
        <v>3728</v>
      </c>
      <c r="QCC614" s="17">
        <v>44925</v>
      </c>
      <c r="QCD614" s="5" t="s">
        <v>3728</v>
      </c>
      <c r="QCE614" s="17">
        <v>44925</v>
      </c>
      <c r="QCF614" s="5" t="s">
        <v>3728</v>
      </c>
      <c r="QCG614" s="17">
        <v>44925</v>
      </c>
      <c r="QCH614" s="5" t="s">
        <v>3728</v>
      </c>
      <c r="QCI614" s="17">
        <v>44925</v>
      </c>
      <c r="QCJ614" s="5" t="s">
        <v>3728</v>
      </c>
      <c r="QCK614" s="17">
        <v>44925</v>
      </c>
      <c r="QCL614" s="5" t="s">
        <v>3728</v>
      </c>
      <c r="QCM614" s="17">
        <v>44925</v>
      </c>
      <c r="QCN614" s="5" t="s">
        <v>3728</v>
      </c>
      <c r="QCO614" s="17">
        <v>44925</v>
      </c>
      <c r="QCP614" s="5" t="s">
        <v>3728</v>
      </c>
      <c r="QCQ614" s="17">
        <v>44925</v>
      </c>
      <c r="QCR614" s="5" t="s">
        <v>3728</v>
      </c>
      <c r="QCS614" s="17">
        <v>44925</v>
      </c>
      <c r="QCT614" s="5" t="s">
        <v>3728</v>
      </c>
      <c r="QCU614" s="17">
        <v>44925</v>
      </c>
      <c r="QCV614" s="5" t="s">
        <v>3728</v>
      </c>
      <c r="QCW614" s="17">
        <v>44925</v>
      </c>
      <c r="QCX614" s="5" t="s">
        <v>3728</v>
      </c>
      <c r="QCY614" s="17">
        <v>44925</v>
      </c>
      <c r="QCZ614" s="5" t="s">
        <v>3728</v>
      </c>
      <c r="QDA614" s="17">
        <v>44925</v>
      </c>
      <c r="QDB614" s="5" t="s">
        <v>3728</v>
      </c>
      <c r="QDC614" s="17">
        <v>44925</v>
      </c>
      <c r="QDD614" s="5" t="s">
        <v>3728</v>
      </c>
      <c r="QDE614" s="17">
        <v>44925</v>
      </c>
      <c r="QDF614" s="5" t="s">
        <v>3728</v>
      </c>
      <c r="QDG614" s="17">
        <v>44925</v>
      </c>
      <c r="QDH614" s="5" t="s">
        <v>3728</v>
      </c>
      <c r="QDI614" s="17">
        <v>44925</v>
      </c>
      <c r="QDJ614" s="5" t="s">
        <v>3728</v>
      </c>
      <c r="QDK614" s="17">
        <v>44925</v>
      </c>
      <c r="QDL614" s="5" t="s">
        <v>3728</v>
      </c>
      <c r="QDM614" s="17">
        <v>44925</v>
      </c>
      <c r="QDN614" s="5" t="s">
        <v>3728</v>
      </c>
      <c r="QDO614" s="17">
        <v>44925</v>
      </c>
      <c r="QDP614" s="5" t="s">
        <v>3728</v>
      </c>
      <c r="QDQ614" s="17">
        <v>44925</v>
      </c>
      <c r="QDR614" s="5" t="s">
        <v>3728</v>
      </c>
      <c r="QDS614" s="17">
        <v>44925</v>
      </c>
      <c r="QDT614" s="5" t="s">
        <v>3728</v>
      </c>
      <c r="QDU614" s="17">
        <v>44925</v>
      </c>
      <c r="QDV614" s="5" t="s">
        <v>3728</v>
      </c>
      <c r="QDW614" s="17">
        <v>44925</v>
      </c>
      <c r="QDX614" s="5" t="s">
        <v>3728</v>
      </c>
      <c r="QDY614" s="17">
        <v>44925</v>
      </c>
      <c r="QDZ614" s="5" t="s">
        <v>3728</v>
      </c>
      <c r="QEA614" s="17">
        <v>44925</v>
      </c>
      <c r="QEB614" s="5" t="s">
        <v>3728</v>
      </c>
      <c r="QEC614" s="17">
        <v>44925</v>
      </c>
      <c r="QED614" s="5" t="s">
        <v>3728</v>
      </c>
      <c r="QEE614" s="17">
        <v>44925</v>
      </c>
      <c r="QEF614" s="5" t="s">
        <v>3728</v>
      </c>
      <c r="QEG614" s="17">
        <v>44925</v>
      </c>
      <c r="QEH614" s="5" t="s">
        <v>3728</v>
      </c>
      <c r="QEI614" s="17">
        <v>44925</v>
      </c>
      <c r="QEJ614" s="5" t="s">
        <v>3728</v>
      </c>
      <c r="QEK614" s="17">
        <v>44925</v>
      </c>
      <c r="QEL614" s="5" t="s">
        <v>3728</v>
      </c>
      <c r="QEM614" s="17">
        <v>44925</v>
      </c>
      <c r="QEN614" s="5" t="s">
        <v>3728</v>
      </c>
      <c r="QEO614" s="17">
        <v>44925</v>
      </c>
      <c r="QEP614" s="5" t="s">
        <v>3728</v>
      </c>
      <c r="QEQ614" s="17">
        <v>44925</v>
      </c>
      <c r="QER614" s="5" t="s">
        <v>3728</v>
      </c>
      <c r="QES614" s="17">
        <v>44925</v>
      </c>
      <c r="QET614" s="5" t="s">
        <v>3728</v>
      </c>
      <c r="QEU614" s="17">
        <v>44925</v>
      </c>
      <c r="QEV614" s="5" t="s">
        <v>3728</v>
      </c>
      <c r="QEW614" s="17">
        <v>44925</v>
      </c>
      <c r="QEX614" s="5" t="s">
        <v>3728</v>
      </c>
      <c r="QEY614" s="17">
        <v>44925</v>
      </c>
      <c r="QEZ614" s="5" t="s">
        <v>3728</v>
      </c>
      <c r="QFA614" s="17">
        <v>44925</v>
      </c>
      <c r="QFB614" s="5" t="s">
        <v>3728</v>
      </c>
      <c r="QFC614" s="17">
        <v>44925</v>
      </c>
      <c r="QFD614" s="5" t="s">
        <v>3728</v>
      </c>
      <c r="QFE614" s="17">
        <v>44925</v>
      </c>
      <c r="QFF614" s="5" t="s">
        <v>3728</v>
      </c>
      <c r="QFG614" s="17">
        <v>44925</v>
      </c>
      <c r="QFH614" s="5" t="s">
        <v>3728</v>
      </c>
      <c r="QFI614" s="17">
        <v>44925</v>
      </c>
      <c r="QFJ614" s="5" t="s">
        <v>3728</v>
      </c>
      <c r="QFK614" s="17">
        <v>44925</v>
      </c>
      <c r="QFL614" s="5" t="s">
        <v>3728</v>
      </c>
      <c r="QFM614" s="17">
        <v>44925</v>
      </c>
      <c r="QFN614" s="5" t="s">
        <v>3728</v>
      </c>
      <c r="QFO614" s="17">
        <v>44925</v>
      </c>
      <c r="QFP614" s="5" t="s">
        <v>3728</v>
      </c>
      <c r="QFQ614" s="17">
        <v>44925</v>
      </c>
      <c r="QFR614" s="5" t="s">
        <v>3728</v>
      </c>
      <c r="QFS614" s="17">
        <v>44925</v>
      </c>
      <c r="QFT614" s="5" t="s">
        <v>3728</v>
      </c>
      <c r="QFU614" s="17">
        <v>44925</v>
      </c>
      <c r="QFV614" s="5" t="s">
        <v>3728</v>
      </c>
      <c r="QFW614" s="17">
        <v>44925</v>
      </c>
      <c r="QFX614" s="5" t="s">
        <v>3728</v>
      </c>
      <c r="QFY614" s="17">
        <v>44925</v>
      </c>
      <c r="QFZ614" s="5" t="s">
        <v>3728</v>
      </c>
      <c r="QGA614" s="17">
        <v>44925</v>
      </c>
      <c r="QGB614" s="5" t="s">
        <v>3728</v>
      </c>
      <c r="QGC614" s="17">
        <v>44925</v>
      </c>
      <c r="QGD614" s="5" t="s">
        <v>3728</v>
      </c>
      <c r="QGE614" s="17">
        <v>44925</v>
      </c>
      <c r="QGF614" s="5" t="s">
        <v>3728</v>
      </c>
      <c r="QGG614" s="17">
        <v>44925</v>
      </c>
      <c r="QGH614" s="5" t="s">
        <v>3728</v>
      </c>
      <c r="QGI614" s="17">
        <v>44925</v>
      </c>
      <c r="QGJ614" s="5" t="s">
        <v>3728</v>
      </c>
      <c r="QGK614" s="17">
        <v>44925</v>
      </c>
      <c r="QGL614" s="5" t="s">
        <v>3728</v>
      </c>
      <c r="QGM614" s="17">
        <v>44925</v>
      </c>
      <c r="QGN614" s="5" t="s">
        <v>3728</v>
      </c>
      <c r="QGO614" s="17">
        <v>44925</v>
      </c>
      <c r="QGP614" s="5" t="s">
        <v>3728</v>
      </c>
      <c r="QGQ614" s="17">
        <v>44925</v>
      </c>
      <c r="QGR614" s="5" t="s">
        <v>3728</v>
      </c>
      <c r="QGS614" s="17">
        <v>44925</v>
      </c>
      <c r="QGT614" s="5" t="s">
        <v>3728</v>
      </c>
      <c r="QGU614" s="17">
        <v>44925</v>
      </c>
      <c r="QGV614" s="5" t="s">
        <v>3728</v>
      </c>
      <c r="QGW614" s="17">
        <v>44925</v>
      </c>
      <c r="QGX614" s="5" t="s">
        <v>3728</v>
      </c>
      <c r="QGY614" s="17">
        <v>44925</v>
      </c>
      <c r="QGZ614" s="5" t="s">
        <v>3728</v>
      </c>
      <c r="QHA614" s="17">
        <v>44925</v>
      </c>
      <c r="QHB614" s="5" t="s">
        <v>3728</v>
      </c>
      <c r="QHC614" s="17">
        <v>44925</v>
      </c>
      <c r="QHD614" s="5" t="s">
        <v>3728</v>
      </c>
      <c r="QHE614" s="17">
        <v>44925</v>
      </c>
      <c r="QHF614" s="5" t="s">
        <v>3728</v>
      </c>
      <c r="QHG614" s="17">
        <v>44925</v>
      </c>
      <c r="QHH614" s="5" t="s">
        <v>3728</v>
      </c>
      <c r="QHI614" s="17">
        <v>44925</v>
      </c>
      <c r="QHJ614" s="5" t="s">
        <v>3728</v>
      </c>
      <c r="QHK614" s="17">
        <v>44925</v>
      </c>
      <c r="QHL614" s="5" t="s">
        <v>3728</v>
      </c>
      <c r="QHM614" s="17">
        <v>44925</v>
      </c>
      <c r="QHN614" s="5" t="s">
        <v>3728</v>
      </c>
      <c r="QHO614" s="17">
        <v>44925</v>
      </c>
      <c r="QHP614" s="5" t="s">
        <v>3728</v>
      </c>
      <c r="QHQ614" s="17">
        <v>44925</v>
      </c>
      <c r="QHR614" s="5" t="s">
        <v>3728</v>
      </c>
      <c r="QHS614" s="17">
        <v>44925</v>
      </c>
      <c r="QHT614" s="5" t="s">
        <v>3728</v>
      </c>
      <c r="QHU614" s="17">
        <v>44925</v>
      </c>
      <c r="QHV614" s="5" t="s">
        <v>3728</v>
      </c>
      <c r="QHW614" s="17">
        <v>44925</v>
      </c>
      <c r="QHX614" s="5" t="s">
        <v>3728</v>
      </c>
      <c r="QHY614" s="17">
        <v>44925</v>
      </c>
      <c r="QHZ614" s="5" t="s">
        <v>3728</v>
      </c>
      <c r="QIA614" s="17">
        <v>44925</v>
      </c>
      <c r="QIB614" s="5" t="s">
        <v>3728</v>
      </c>
      <c r="QIC614" s="17">
        <v>44925</v>
      </c>
      <c r="QID614" s="5" t="s">
        <v>3728</v>
      </c>
      <c r="QIE614" s="17">
        <v>44925</v>
      </c>
      <c r="QIF614" s="5" t="s">
        <v>3728</v>
      </c>
      <c r="QIG614" s="17">
        <v>44925</v>
      </c>
      <c r="QIH614" s="5" t="s">
        <v>3728</v>
      </c>
      <c r="QII614" s="17">
        <v>44925</v>
      </c>
      <c r="QIJ614" s="5" t="s">
        <v>3728</v>
      </c>
      <c r="QIK614" s="17">
        <v>44925</v>
      </c>
      <c r="QIL614" s="5" t="s">
        <v>3728</v>
      </c>
      <c r="QIM614" s="17">
        <v>44925</v>
      </c>
      <c r="QIN614" s="5" t="s">
        <v>3728</v>
      </c>
      <c r="QIO614" s="17">
        <v>44925</v>
      </c>
      <c r="QIP614" s="5" t="s">
        <v>3728</v>
      </c>
      <c r="QIQ614" s="17">
        <v>44925</v>
      </c>
      <c r="QIR614" s="5" t="s">
        <v>3728</v>
      </c>
      <c r="QIS614" s="17">
        <v>44925</v>
      </c>
      <c r="QIT614" s="5" t="s">
        <v>3728</v>
      </c>
      <c r="QIU614" s="17">
        <v>44925</v>
      </c>
      <c r="QIV614" s="5" t="s">
        <v>3728</v>
      </c>
      <c r="QIW614" s="17">
        <v>44925</v>
      </c>
      <c r="QIX614" s="5" t="s">
        <v>3728</v>
      </c>
      <c r="QIY614" s="17">
        <v>44925</v>
      </c>
      <c r="QIZ614" s="5" t="s">
        <v>3728</v>
      </c>
      <c r="QJA614" s="17">
        <v>44925</v>
      </c>
      <c r="QJB614" s="5" t="s">
        <v>3728</v>
      </c>
      <c r="QJC614" s="17">
        <v>44925</v>
      </c>
      <c r="QJD614" s="5" t="s">
        <v>3728</v>
      </c>
      <c r="QJE614" s="17">
        <v>44925</v>
      </c>
      <c r="QJF614" s="5" t="s">
        <v>3728</v>
      </c>
      <c r="QJG614" s="17">
        <v>44925</v>
      </c>
      <c r="QJH614" s="5" t="s">
        <v>3728</v>
      </c>
      <c r="QJI614" s="17">
        <v>44925</v>
      </c>
      <c r="QJJ614" s="5" t="s">
        <v>3728</v>
      </c>
      <c r="QJK614" s="17">
        <v>44925</v>
      </c>
      <c r="QJL614" s="5" t="s">
        <v>3728</v>
      </c>
      <c r="QJM614" s="17">
        <v>44925</v>
      </c>
      <c r="QJN614" s="5" t="s">
        <v>3728</v>
      </c>
      <c r="QJO614" s="17">
        <v>44925</v>
      </c>
      <c r="QJP614" s="5" t="s">
        <v>3728</v>
      </c>
      <c r="QJQ614" s="17">
        <v>44925</v>
      </c>
      <c r="QJR614" s="5" t="s">
        <v>3728</v>
      </c>
      <c r="QJS614" s="17">
        <v>44925</v>
      </c>
      <c r="QJT614" s="5" t="s">
        <v>3728</v>
      </c>
      <c r="QJU614" s="17">
        <v>44925</v>
      </c>
      <c r="QJV614" s="5" t="s">
        <v>3728</v>
      </c>
      <c r="QJW614" s="17">
        <v>44925</v>
      </c>
      <c r="QJX614" s="5" t="s">
        <v>3728</v>
      </c>
      <c r="QJY614" s="17">
        <v>44925</v>
      </c>
      <c r="QJZ614" s="5" t="s">
        <v>3728</v>
      </c>
      <c r="QKA614" s="17">
        <v>44925</v>
      </c>
      <c r="QKB614" s="5" t="s">
        <v>3728</v>
      </c>
      <c r="QKC614" s="17">
        <v>44925</v>
      </c>
      <c r="QKD614" s="5" t="s">
        <v>3728</v>
      </c>
      <c r="QKE614" s="17">
        <v>44925</v>
      </c>
      <c r="QKF614" s="5" t="s">
        <v>3728</v>
      </c>
      <c r="QKG614" s="17">
        <v>44925</v>
      </c>
      <c r="QKH614" s="5" t="s">
        <v>3728</v>
      </c>
      <c r="QKI614" s="17">
        <v>44925</v>
      </c>
      <c r="QKJ614" s="5" t="s">
        <v>3728</v>
      </c>
      <c r="QKK614" s="17">
        <v>44925</v>
      </c>
      <c r="QKL614" s="5" t="s">
        <v>3728</v>
      </c>
      <c r="QKM614" s="17">
        <v>44925</v>
      </c>
      <c r="QKN614" s="5" t="s">
        <v>3728</v>
      </c>
      <c r="QKO614" s="17">
        <v>44925</v>
      </c>
      <c r="QKP614" s="5" t="s">
        <v>3728</v>
      </c>
      <c r="QKQ614" s="17">
        <v>44925</v>
      </c>
      <c r="QKR614" s="5" t="s">
        <v>3728</v>
      </c>
      <c r="QKS614" s="17">
        <v>44925</v>
      </c>
      <c r="QKT614" s="5" t="s">
        <v>3728</v>
      </c>
      <c r="QKU614" s="17">
        <v>44925</v>
      </c>
      <c r="QKV614" s="5" t="s">
        <v>3728</v>
      </c>
      <c r="QKW614" s="17">
        <v>44925</v>
      </c>
      <c r="QKX614" s="5" t="s">
        <v>3728</v>
      </c>
      <c r="QKY614" s="17">
        <v>44925</v>
      </c>
      <c r="QKZ614" s="5" t="s">
        <v>3728</v>
      </c>
      <c r="QLA614" s="17">
        <v>44925</v>
      </c>
      <c r="QLB614" s="5" t="s">
        <v>3728</v>
      </c>
      <c r="QLC614" s="17">
        <v>44925</v>
      </c>
      <c r="QLD614" s="5" t="s">
        <v>3728</v>
      </c>
      <c r="QLE614" s="17">
        <v>44925</v>
      </c>
      <c r="QLF614" s="5" t="s">
        <v>3728</v>
      </c>
      <c r="QLG614" s="17">
        <v>44925</v>
      </c>
      <c r="QLH614" s="5" t="s">
        <v>3728</v>
      </c>
      <c r="QLI614" s="17">
        <v>44925</v>
      </c>
      <c r="QLJ614" s="5" t="s">
        <v>3728</v>
      </c>
      <c r="QLK614" s="17">
        <v>44925</v>
      </c>
      <c r="QLL614" s="5" t="s">
        <v>3728</v>
      </c>
      <c r="QLM614" s="17">
        <v>44925</v>
      </c>
      <c r="QLN614" s="5" t="s">
        <v>3728</v>
      </c>
      <c r="QLO614" s="17">
        <v>44925</v>
      </c>
      <c r="QLP614" s="5" t="s">
        <v>3728</v>
      </c>
      <c r="QLQ614" s="17">
        <v>44925</v>
      </c>
      <c r="QLR614" s="5" t="s">
        <v>3728</v>
      </c>
      <c r="QLS614" s="17">
        <v>44925</v>
      </c>
      <c r="QLT614" s="5" t="s">
        <v>3728</v>
      </c>
      <c r="QLU614" s="17">
        <v>44925</v>
      </c>
      <c r="QLV614" s="5" t="s">
        <v>3728</v>
      </c>
      <c r="QLW614" s="17">
        <v>44925</v>
      </c>
      <c r="QLX614" s="5" t="s">
        <v>3728</v>
      </c>
      <c r="QLY614" s="17">
        <v>44925</v>
      </c>
      <c r="QLZ614" s="5" t="s">
        <v>3728</v>
      </c>
      <c r="QMA614" s="17">
        <v>44925</v>
      </c>
      <c r="QMB614" s="5" t="s">
        <v>3728</v>
      </c>
      <c r="QMC614" s="17">
        <v>44925</v>
      </c>
      <c r="QMD614" s="5" t="s">
        <v>3728</v>
      </c>
      <c r="QME614" s="17">
        <v>44925</v>
      </c>
      <c r="QMF614" s="5" t="s">
        <v>3728</v>
      </c>
      <c r="QMG614" s="17">
        <v>44925</v>
      </c>
      <c r="QMH614" s="5" t="s">
        <v>3728</v>
      </c>
      <c r="QMI614" s="17">
        <v>44925</v>
      </c>
      <c r="QMJ614" s="5" t="s">
        <v>3728</v>
      </c>
      <c r="QMK614" s="17">
        <v>44925</v>
      </c>
      <c r="QML614" s="5" t="s">
        <v>3728</v>
      </c>
      <c r="QMM614" s="17">
        <v>44925</v>
      </c>
      <c r="QMN614" s="5" t="s">
        <v>3728</v>
      </c>
      <c r="QMO614" s="17">
        <v>44925</v>
      </c>
      <c r="QMP614" s="5" t="s">
        <v>3728</v>
      </c>
      <c r="QMQ614" s="17">
        <v>44925</v>
      </c>
      <c r="QMR614" s="5" t="s">
        <v>3728</v>
      </c>
      <c r="QMS614" s="17">
        <v>44925</v>
      </c>
      <c r="QMT614" s="5" t="s">
        <v>3728</v>
      </c>
      <c r="QMU614" s="17">
        <v>44925</v>
      </c>
      <c r="QMV614" s="5" t="s">
        <v>3728</v>
      </c>
      <c r="QMW614" s="17">
        <v>44925</v>
      </c>
      <c r="QMX614" s="5" t="s">
        <v>3728</v>
      </c>
      <c r="QMY614" s="17">
        <v>44925</v>
      </c>
      <c r="QMZ614" s="5" t="s">
        <v>3728</v>
      </c>
      <c r="QNA614" s="17">
        <v>44925</v>
      </c>
      <c r="QNB614" s="5" t="s">
        <v>3728</v>
      </c>
      <c r="QNC614" s="17">
        <v>44925</v>
      </c>
      <c r="QND614" s="5" t="s">
        <v>3728</v>
      </c>
      <c r="QNE614" s="17">
        <v>44925</v>
      </c>
      <c r="QNF614" s="5" t="s">
        <v>3728</v>
      </c>
      <c r="QNG614" s="17">
        <v>44925</v>
      </c>
      <c r="QNH614" s="5" t="s">
        <v>3728</v>
      </c>
      <c r="QNI614" s="17">
        <v>44925</v>
      </c>
      <c r="QNJ614" s="5" t="s">
        <v>3728</v>
      </c>
      <c r="QNK614" s="17">
        <v>44925</v>
      </c>
      <c r="QNL614" s="5" t="s">
        <v>3728</v>
      </c>
      <c r="QNM614" s="17">
        <v>44925</v>
      </c>
      <c r="QNN614" s="5" t="s">
        <v>3728</v>
      </c>
      <c r="QNO614" s="17">
        <v>44925</v>
      </c>
      <c r="QNP614" s="5" t="s">
        <v>3728</v>
      </c>
      <c r="QNQ614" s="17">
        <v>44925</v>
      </c>
      <c r="QNR614" s="5" t="s">
        <v>3728</v>
      </c>
      <c r="QNS614" s="17">
        <v>44925</v>
      </c>
      <c r="QNT614" s="5" t="s">
        <v>3728</v>
      </c>
      <c r="QNU614" s="17">
        <v>44925</v>
      </c>
      <c r="QNV614" s="5" t="s">
        <v>3728</v>
      </c>
      <c r="QNW614" s="17">
        <v>44925</v>
      </c>
      <c r="QNX614" s="5" t="s">
        <v>3728</v>
      </c>
      <c r="QNY614" s="17">
        <v>44925</v>
      </c>
      <c r="QNZ614" s="5" t="s">
        <v>3728</v>
      </c>
      <c r="QOA614" s="17">
        <v>44925</v>
      </c>
      <c r="QOB614" s="5" t="s">
        <v>3728</v>
      </c>
      <c r="QOC614" s="17">
        <v>44925</v>
      </c>
      <c r="QOD614" s="5" t="s">
        <v>3728</v>
      </c>
      <c r="QOE614" s="17">
        <v>44925</v>
      </c>
      <c r="QOF614" s="5" t="s">
        <v>3728</v>
      </c>
      <c r="QOG614" s="17">
        <v>44925</v>
      </c>
      <c r="QOH614" s="5" t="s">
        <v>3728</v>
      </c>
      <c r="QOI614" s="17">
        <v>44925</v>
      </c>
      <c r="QOJ614" s="5" t="s">
        <v>3728</v>
      </c>
      <c r="QOK614" s="17">
        <v>44925</v>
      </c>
      <c r="QOL614" s="5" t="s">
        <v>3728</v>
      </c>
      <c r="QOM614" s="17">
        <v>44925</v>
      </c>
      <c r="QON614" s="5" t="s">
        <v>3728</v>
      </c>
      <c r="QOO614" s="17">
        <v>44925</v>
      </c>
      <c r="QOP614" s="5" t="s">
        <v>3728</v>
      </c>
      <c r="QOQ614" s="17">
        <v>44925</v>
      </c>
      <c r="QOR614" s="5" t="s">
        <v>3728</v>
      </c>
      <c r="QOS614" s="17">
        <v>44925</v>
      </c>
      <c r="QOT614" s="5" t="s">
        <v>3728</v>
      </c>
      <c r="QOU614" s="17">
        <v>44925</v>
      </c>
      <c r="QOV614" s="5" t="s">
        <v>3728</v>
      </c>
      <c r="QOW614" s="17">
        <v>44925</v>
      </c>
      <c r="QOX614" s="5" t="s">
        <v>3728</v>
      </c>
      <c r="QOY614" s="17">
        <v>44925</v>
      </c>
      <c r="QOZ614" s="5" t="s">
        <v>3728</v>
      </c>
      <c r="QPA614" s="17">
        <v>44925</v>
      </c>
      <c r="QPB614" s="5" t="s">
        <v>3728</v>
      </c>
      <c r="QPC614" s="17">
        <v>44925</v>
      </c>
      <c r="QPD614" s="5" t="s">
        <v>3728</v>
      </c>
      <c r="QPE614" s="17">
        <v>44925</v>
      </c>
      <c r="QPF614" s="5" t="s">
        <v>3728</v>
      </c>
      <c r="QPG614" s="17">
        <v>44925</v>
      </c>
      <c r="QPH614" s="5" t="s">
        <v>3728</v>
      </c>
      <c r="QPI614" s="17">
        <v>44925</v>
      </c>
      <c r="QPJ614" s="5" t="s">
        <v>3728</v>
      </c>
      <c r="QPK614" s="17">
        <v>44925</v>
      </c>
      <c r="QPL614" s="5" t="s">
        <v>3728</v>
      </c>
      <c r="QPM614" s="17">
        <v>44925</v>
      </c>
      <c r="QPN614" s="5" t="s">
        <v>3728</v>
      </c>
      <c r="QPO614" s="17">
        <v>44925</v>
      </c>
      <c r="QPP614" s="5" t="s">
        <v>3728</v>
      </c>
      <c r="QPQ614" s="17">
        <v>44925</v>
      </c>
      <c r="QPR614" s="5" t="s">
        <v>3728</v>
      </c>
      <c r="QPS614" s="17">
        <v>44925</v>
      </c>
      <c r="QPT614" s="5" t="s">
        <v>3728</v>
      </c>
      <c r="QPU614" s="17">
        <v>44925</v>
      </c>
      <c r="QPV614" s="5" t="s">
        <v>3728</v>
      </c>
      <c r="QPW614" s="17">
        <v>44925</v>
      </c>
      <c r="QPX614" s="5" t="s">
        <v>3728</v>
      </c>
      <c r="QPY614" s="17">
        <v>44925</v>
      </c>
      <c r="QPZ614" s="5" t="s">
        <v>3728</v>
      </c>
      <c r="QQA614" s="17">
        <v>44925</v>
      </c>
      <c r="QQB614" s="5" t="s">
        <v>3728</v>
      </c>
      <c r="QQC614" s="17">
        <v>44925</v>
      </c>
      <c r="QQD614" s="5" t="s">
        <v>3728</v>
      </c>
      <c r="QQE614" s="17">
        <v>44925</v>
      </c>
      <c r="QQF614" s="5" t="s">
        <v>3728</v>
      </c>
      <c r="QQG614" s="17">
        <v>44925</v>
      </c>
      <c r="QQH614" s="5" t="s">
        <v>3728</v>
      </c>
      <c r="QQI614" s="17">
        <v>44925</v>
      </c>
      <c r="QQJ614" s="5" t="s">
        <v>3728</v>
      </c>
      <c r="QQK614" s="17">
        <v>44925</v>
      </c>
      <c r="QQL614" s="5" t="s">
        <v>3728</v>
      </c>
      <c r="QQM614" s="17">
        <v>44925</v>
      </c>
      <c r="QQN614" s="5" t="s">
        <v>3728</v>
      </c>
      <c r="QQO614" s="17">
        <v>44925</v>
      </c>
      <c r="QQP614" s="5" t="s">
        <v>3728</v>
      </c>
      <c r="QQQ614" s="17">
        <v>44925</v>
      </c>
      <c r="QQR614" s="5" t="s">
        <v>3728</v>
      </c>
      <c r="QQS614" s="17">
        <v>44925</v>
      </c>
      <c r="QQT614" s="5" t="s">
        <v>3728</v>
      </c>
      <c r="QQU614" s="17">
        <v>44925</v>
      </c>
      <c r="QQV614" s="5" t="s">
        <v>3728</v>
      </c>
      <c r="QQW614" s="17">
        <v>44925</v>
      </c>
      <c r="QQX614" s="5" t="s">
        <v>3728</v>
      </c>
      <c r="QQY614" s="17">
        <v>44925</v>
      </c>
      <c r="QQZ614" s="5" t="s">
        <v>3728</v>
      </c>
      <c r="QRA614" s="17">
        <v>44925</v>
      </c>
      <c r="QRB614" s="5" t="s">
        <v>3728</v>
      </c>
      <c r="QRC614" s="17">
        <v>44925</v>
      </c>
      <c r="QRD614" s="5" t="s">
        <v>3728</v>
      </c>
      <c r="QRE614" s="17">
        <v>44925</v>
      </c>
      <c r="QRF614" s="5" t="s">
        <v>3728</v>
      </c>
      <c r="QRG614" s="17">
        <v>44925</v>
      </c>
      <c r="QRH614" s="5" t="s">
        <v>3728</v>
      </c>
      <c r="QRI614" s="17">
        <v>44925</v>
      </c>
      <c r="QRJ614" s="5" t="s">
        <v>3728</v>
      </c>
      <c r="QRK614" s="17">
        <v>44925</v>
      </c>
      <c r="QRL614" s="5" t="s">
        <v>3728</v>
      </c>
      <c r="QRM614" s="17">
        <v>44925</v>
      </c>
      <c r="QRN614" s="5" t="s">
        <v>3728</v>
      </c>
      <c r="QRO614" s="17">
        <v>44925</v>
      </c>
      <c r="QRP614" s="5" t="s">
        <v>3728</v>
      </c>
      <c r="QRQ614" s="17">
        <v>44925</v>
      </c>
      <c r="QRR614" s="5" t="s">
        <v>3728</v>
      </c>
      <c r="QRS614" s="17">
        <v>44925</v>
      </c>
      <c r="QRT614" s="5" t="s">
        <v>3728</v>
      </c>
      <c r="QRU614" s="17">
        <v>44925</v>
      </c>
      <c r="QRV614" s="5" t="s">
        <v>3728</v>
      </c>
      <c r="QRW614" s="17">
        <v>44925</v>
      </c>
      <c r="QRX614" s="5" t="s">
        <v>3728</v>
      </c>
      <c r="QRY614" s="17">
        <v>44925</v>
      </c>
      <c r="QRZ614" s="5" t="s">
        <v>3728</v>
      </c>
      <c r="QSA614" s="17">
        <v>44925</v>
      </c>
      <c r="QSB614" s="5" t="s">
        <v>3728</v>
      </c>
      <c r="QSC614" s="17">
        <v>44925</v>
      </c>
      <c r="QSD614" s="5" t="s">
        <v>3728</v>
      </c>
      <c r="QSE614" s="17">
        <v>44925</v>
      </c>
      <c r="QSF614" s="5" t="s">
        <v>3728</v>
      </c>
      <c r="QSG614" s="17">
        <v>44925</v>
      </c>
      <c r="QSH614" s="5" t="s">
        <v>3728</v>
      </c>
      <c r="QSI614" s="17">
        <v>44925</v>
      </c>
      <c r="QSJ614" s="5" t="s">
        <v>3728</v>
      </c>
      <c r="QSK614" s="17">
        <v>44925</v>
      </c>
      <c r="QSL614" s="5" t="s">
        <v>3728</v>
      </c>
      <c r="QSM614" s="17">
        <v>44925</v>
      </c>
      <c r="QSN614" s="5" t="s">
        <v>3728</v>
      </c>
      <c r="QSO614" s="17">
        <v>44925</v>
      </c>
      <c r="QSP614" s="5" t="s">
        <v>3728</v>
      </c>
      <c r="QSQ614" s="17">
        <v>44925</v>
      </c>
      <c r="QSR614" s="5" t="s">
        <v>3728</v>
      </c>
      <c r="QSS614" s="17">
        <v>44925</v>
      </c>
      <c r="QST614" s="5" t="s">
        <v>3728</v>
      </c>
      <c r="QSU614" s="17">
        <v>44925</v>
      </c>
      <c r="QSV614" s="5" t="s">
        <v>3728</v>
      </c>
      <c r="QSW614" s="17">
        <v>44925</v>
      </c>
      <c r="QSX614" s="5" t="s">
        <v>3728</v>
      </c>
      <c r="QSY614" s="17">
        <v>44925</v>
      </c>
      <c r="QSZ614" s="5" t="s">
        <v>3728</v>
      </c>
      <c r="QTA614" s="17">
        <v>44925</v>
      </c>
      <c r="QTB614" s="5" t="s">
        <v>3728</v>
      </c>
      <c r="QTC614" s="17">
        <v>44925</v>
      </c>
      <c r="QTD614" s="5" t="s">
        <v>3728</v>
      </c>
      <c r="QTE614" s="17">
        <v>44925</v>
      </c>
      <c r="QTF614" s="5" t="s">
        <v>3728</v>
      </c>
      <c r="QTG614" s="17">
        <v>44925</v>
      </c>
      <c r="QTH614" s="5" t="s">
        <v>3728</v>
      </c>
      <c r="QTI614" s="17">
        <v>44925</v>
      </c>
      <c r="QTJ614" s="5" t="s">
        <v>3728</v>
      </c>
      <c r="QTK614" s="17">
        <v>44925</v>
      </c>
      <c r="QTL614" s="5" t="s">
        <v>3728</v>
      </c>
      <c r="QTM614" s="17">
        <v>44925</v>
      </c>
      <c r="QTN614" s="5" t="s">
        <v>3728</v>
      </c>
      <c r="QTO614" s="17">
        <v>44925</v>
      </c>
      <c r="QTP614" s="5" t="s">
        <v>3728</v>
      </c>
      <c r="QTQ614" s="17">
        <v>44925</v>
      </c>
      <c r="QTR614" s="5" t="s">
        <v>3728</v>
      </c>
      <c r="QTS614" s="17">
        <v>44925</v>
      </c>
      <c r="QTT614" s="5" t="s">
        <v>3728</v>
      </c>
      <c r="QTU614" s="17">
        <v>44925</v>
      </c>
      <c r="QTV614" s="5" t="s">
        <v>3728</v>
      </c>
      <c r="QTW614" s="17">
        <v>44925</v>
      </c>
      <c r="QTX614" s="5" t="s">
        <v>3728</v>
      </c>
      <c r="QTY614" s="17">
        <v>44925</v>
      </c>
      <c r="QTZ614" s="5" t="s">
        <v>3728</v>
      </c>
      <c r="QUA614" s="17">
        <v>44925</v>
      </c>
      <c r="QUB614" s="5" t="s">
        <v>3728</v>
      </c>
      <c r="QUC614" s="17">
        <v>44925</v>
      </c>
      <c r="QUD614" s="5" t="s">
        <v>3728</v>
      </c>
      <c r="QUE614" s="17">
        <v>44925</v>
      </c>
      <c r="QUF614" s="5" t="s">
        <v>3728</v>
      </c>
      <c r="QUG614" s="17">
        <v>44925</v>
      </c>
      <c r="QUH614" s="5" t="s">
        <v>3728</v>
      </c>
      <c r="QUI614" s="17">
        <v>44925</v>
      </c>
      <c r="QUJ614" s="5" t="s">
        <v>3728</v>
      </c>
      <c r="QUK614" s="17">
        <v>44925</v>
      </c>
      <c r="QUL614" s="5" t="s">
        <v>3728</v>
      </c>
      <c r="QUM614" s="17">
        <v>44925</v>
      </c>
      <c r="QUN614" s="5" t="s">
        <v>3728</v>
      </c>
      <c r="QUO614" s="17">
        <v>44925</v>
      </c>
      <c r="QUP614" s="5" t="s">
        <v>3728</v>
      </c>
      <c r="QUQ614" s="17">
        <v>44925</v>
      </c>
      <c r="QUR614" s="5" t="s">
        <v>3728</v>
      </c>
      <c r="QUS614" s="17">
        <v>44925</v>
      </c>
      <c r="QUT614" s="5" t="s">
        <v>3728</v>
      </c>
      <c r="QUU614" s="17">
        <v>44925</v>
      </c>
      <c r="QUV614" s="5" t="s">
        <v>3728</v>
      </c>
      <c r="QUW614" s="17">
        <v>44925</v>
      </c>
      <c r="QUX614" s="5" t="s">
        <v>3728</v>
      </c>
      <c r="QUY614" s="17">
        <v>44925</v>
      </c>
      <c r="QUZ614" s="5" t="s">
        <v>3728</v>
      </c>
      <c r="QVA614" s="17">
        <v>44925</v>
      </c>
      <c r="QVB614" s="5" t="s">
        <v>3728</v>
      </c>
      <c r="QVC614" s="17">
        <v>44925</v>
      </c>
      <c r="QVD614" s="5" t="s">
        <v>3728</v>
      </c>
      <c r="QVE614" s="17">
        <v>44925</v>
      </c>
      <c r="QVF614" s="5" t="s">
        <v>3728</v>
      </c>
      <c r="QVG614" s="17">
        <v>44925</v>
      </c>
      <c r="QVH614" s="5" t="s">
        <v>3728</v>
      </c>
      <c r="QVI614" s="17">
        <v>44925</v>
      </c>
      <c r="QVJ614" s="5" t="s">
        <v>3728</v>
      </c>
      <c r="QVK614" s="17">
        <v>44925</v>
      </c>
      <c r="QVL614" s="5" t="s">
        <v>3728</v>
      </c>
      <c r="QVM614" s="17">
        <v>44925</v>
      </c>
      <c r="QVN614" s="5" t="s">
        <v>3728</v>
      </c>
      <c r="QVO614" s="17">
        <v>44925</v>
      </c>
      <c r="QVP614" s="5" t="s">
        <v>3728</v>
      </c>
      <c r="QVQ614" s="17">
        <v>44925</v>
      </c>
      <c r="QVR614" s="5" t="s">
        <v>3728</v>
      </c>
      <c r="QVS614" s="17">
        <v>44925</v>
      </c>
      <c r="QVT614" s="5" t="s">
        <v>3728</v>
      </c>
      <c r="QVU614" s="17">
        <v>44925</v>
      </c>
      <c r="QVV614" s="5" t="s">
        <v>3728</v>
      </c>
      <c r="QVW614" s="17">
        <v>44925</v>
      </c>
      <c r="QVX614" s="5" t="s">
        <v>3728</v>
      </c>
      <c r="QVY614" s="17">
        <v>44925</v>
      </c>
      <c r="QVZ614" s="5" t="s">
        <v>3728</v>
      </c>
      <c r="QWA614" s="17">
        <v>44925</v>
      </c>
      <c r="QWB614" s="5" t="s">
        <v>3728</v>
      </c>
      <c r="QWC614" s="17">
        <v>44925</v>
      </c>
      <c r="QWD614" s="5" t="s">
        <v>3728</v>
      </c>
      <c r="QWE614" s="17">
        <v>44925</v>
      </c>
      <c r="QWF614" s="5" t="s">
        <v>3728</v>
      </c>
      <c r="QWG614" s="17">
        <v>44925</v>
      </c>
      <c r="QWH614" s="5" t="s">
        <v>3728</v>
      </c>
      <c r="QWI614" s="17">
        <v>44925</v>
      </c>
      <c r="QWJ614" s="5" t="s">
        <v>3728</v>
      </c>
      <c r="QWK614" s="17">
        <v>44925</v>
      </c>
      <c r="QWL614" s="5" t="s">
        <v>3728</v>
      </c>
      <c r="QWM614" s="17">
        <v>44925</v>
      </c>
      <c r="QWN614" s="5" t="s">
        <v>3728</v>
      </c>
      <c r="QWO614" s="17">
        <v>44925</v>
      </c>
      <c r="QWP614" s="5" t="s">
        <v>3728</v>
      </c>
      <c r="QWQ614" s="17">
        <v>44925</v>
      </c>
      <c r="QWR614" s="5" t="s">
        <v>3728</v>
      </c>
      <c r="QWS614" s="17">
        <v>44925</v>
      </c>
      <c r="QWT614" s="5" t="s">
        <v>3728</v>
      </c>
      <c r="QWU614" s="17">
        <v>44925</v>
      </c>
      <c r="QWV614" s="5" t="s">
        <v>3728</v>
      </c>
      <c r="QWW614" s="17">
        <v>44925</v>
      </c>
      <c r="QWX614" s="5" t="s">
        <v>3728</v>
      </c>
      <c r="QWY614" s="17">
        <v>44925</v>
      </c>
      <c r="QWZ614" s="5" t="s">
        <v>3728</v>
      </c>
      <c r="QXA614" s="17">
        <v>44925</v>
      </c>
      <c r="QXB614" s="5" t="s">
        <v>3728</v>
      </c>
      <c r="QXC614" s="17">
        <v>44925</v>
      </c>
      <c r="QXD614" s="5" t="s">
        <v>3728</v>
      </c>
      <c r="QXE614" s="17">
        <v>44925</v>
      </c>
      <c r="QXF614" s="5" t="s">
        <v>3728</v>
      </c>
      <c r="QXG614" s="17">
        <v>44925</v>
      </c>
      <c r="QXH614" s="5" t="s">
        <v>3728</v>
      </c>
      <c r="QXI614" s="17">
        <v>44925</v>
      </c>
      <c r="QXJ614" s="5" t="s">
        <v>3728</v>
      </c>
      <c r="QXK614" s="17">
        <v>44925</v>
      </c>
      <c r="QXL614" s="5" t="s">
        <v>3728</v>
      </c>
      <c r="QXM614" s="17">
        <v>44925</v>
      </c>
      <c r="QXN614" s="5" t="s">
        <v>3728</v>
      </c>
      <c r="QXO614" s="17">
        <v>44925</v>
      </c>
      <c r="QXP614" s="5" t="s">
        <v>3728</v>
      </c>
      <c r="QXQ614" s="17">
        <v>44925</v>
      </c>
      <c r="QXR614" s="5" t="s">
        <v>3728</v>
      </c>
      <c r="QXS614" s="17">
        <v>44925</v>
      </c>
      <c r="QXT614" s="5" t="s">
        <v>3728</v>
      </c>
      <c r="QXU614" s="17">
        <v>44925</v>
      </c>
      <c r="QXV614" s="5" t="s">
        <v>3728</v>
      </c>
      <c r="QXW614" s="17">
        <v>44925</v>
      </c>
      <c r="QXX614" s="5" t="s">
        <v>3728</v>
      </c>
      <c r="QXY614" s="17">
        <v>44925</v>
      </c>
      <c r="QXZ614" s="5" t="s">
        <v>3728</v>
      </c>
      <c r="QYA614" s="17">
        <v>44925</v>
      </c>
      <c r="QYB614" s="5" t="s">
        <v>3728</v>
      </c>
      <c r="QYC614" s="17">
        <v>44925</v>
      </c>
      <c r="QYD614" s="5" t="s">
        <v>3728</v>
      </c>
      <c r="QYE614" s="17">
        <v>44925</v>
      </c>
      <c r="QYF614" s="5" t="s">
        <v>3728</v>
      </c>
      <c r="QYG614" s="17">
        <v>44925</v>
      </c>
      <c r="QYH614" s="5" t="s">
        <v>3728</v>
      </c>
      <c r="QYI614" s="17">
        <v>44925</v>
      </c>
      <c r="QYJ614" s="5" t="s">
        <v>3728</v>
      </c>
      <c r="QYK614" s="17">
        <v>44925</v>
      </c>
      <c r="QYL614" s="5" t="s">
        <v>3728</v>
      </c>
      <c r="QYM614" s="17">
        <v>44925</v>
      </c>
      <c r="QYN614" s="5" t="s">
        <v>3728</v>
      </c>
      <c r="QYO614" s="17">
        <v>44925</v>
      </c>
      <c r="QYP614" s="5" t="s">
        <v>3728</v>
      </c>
      <c r="QYQ614" s="17">
        <v>44925</v>
      </c>
      <c r="QYR614" s="5" t="s">
        <v>3728</v>
      </c>
      <c r="QYS614" s="17">
        <v>44925</v>
      </c>
      <c r="QYT614" s="5" t="s">
        <v>3728</v>
      </c>
      <c r="QYU614" s="17">
        <v>44925</v>
      </c>
      <c r="QYV614" s="5" t="s">
        <v>3728</v>
      </c>
      <c r="QYW614" s="17">
        <v>44925</v>
      </c>
      <c r="QYX614" s="5" t="s">
        <v>3728</v>
      </c>
      <c r="QYY614" s="17">
        <v>44925</v>
      </c>
      <c r="QYZ614" s="5" t="s">
        <v>3728</v>
      </c>
      <c r="QZA614" s="17">
        <v>44925</v>
      </c>
      <c r="QZB614" s="5" t="s">
        <v>3728</v>
      </c>
      <c r="QZC614" s="17">
        <v>44925</v>
      </c>
      <c r="QZD614" s="5" t="s">
        <v>3728</v>
      </c>
      <c r="QZE614" s="17">
        <v>44925</v>
      </c>
      <c r="QZF614" s="5" t="s">
        <v>3728</v>
      </c>
      <c r="QZG614" s="17">
        <v>44925</v>
      </c>
      <c r="QZH614" s="5" t="s">
        <v>3728</v>
      </c>
      <c r="QZI614" s="17">
        <v>44925</v>
      </c>
      <c r="QZJ614" s="5" t="s">
        <v>3728</v>
      </c>
      <c r="QZK614" s="17">
        <v>44925</v>
      </c>
      <c r="QZL614" s="5" t="s">
        <v>3728</v>
      </c>
      <c r="QZM614" s="17">
        <v>44925</v>
      </c>
      <c r="QZN614" s="5" t="s">
        <v>3728</v>
      </c>
      <c r="QZO614" s="17">
        <v>44925</v>
      </c>
      <c r="QZP614" s="5" t="s">
        <v>3728</v>
      </c>
      <c r="QZQ614" s="17">
        <v>44925</v>
      </c>
      <c r="QZR614" s="5" t="s">
        <v>3728</v>
      </c>
      <c r="QZS614" s="17">
        <v>44925</v>
      </c>
      <c r="QZT614" s="5" t="s">
        <v>3728</v>
      </c>
      <c r="QZU614" s="17">
        <v>44925</v>
      </c>
      <c r="QZV614" s="5" t="s">
        <v>3728</v>
      </c>
      <c r="QZW614" s="17">
        <v>44925</v>
      </c>
      <c r="QZX614" s="5" t="s">
        <v>3728</v>
      </c>
      <c r="QZY614" s="17">
        <v>44925</v>
      </c>
      <c r="QZZ614" s="5" t="s">
        <v>3728</v>
      </c>
      <c r="RAA614" s="17">
        <v>44925</v>
      </c>
      <c r="RAB614" s="5" t="s">
        <v>3728</v>
      </c>
      <c r="RAC614" s="17">
        <v>44925</v>
      </c>
      <c r="RAD614" s="5" t="s">
        <v>3728</v>
      </c>
      <c r="RAE614" s="17">
        <v>44925</v>
      </c>
      <c r="RAF614" s="5" t="s">
        <v>3728</v>
      </c>
      <c r="RAG614" s="17">
        <v>44925</v>
      </c>
      <c r="RAH614" s="5" t="s">
        <v>3728</v>
      </c>
      <c r="RAI614" s="17">
        <v>44925</v>
      </c>
      <c r="RAJ614" s="5" t="s">
        <v>3728</v>
      </c>
      <c r="RAK614" s="17">
        <v>44925</v>
      </c>
      <c r="RAL614" s="5" t="s">
        <v>3728</v>
      </c>
      <c r="RAM614" s="17">
        <v>44925</v>
      </c>
      <c r="RAN614" s="5" t="s">
        <v>3728</v>
      </c>
      <c r="RAO614" s="17">
        <v>44925</v>
      </c>
      <c r="RAP614" s="5" t="s">
        <v>3728</v>
      </c>
      <c r="RAQ614" s="17">
        <v>44925</v>
      </c>
      <c r="RAR614" s="5" t="s">
        <v>3728</v>
      </c>
      <c r="RAS614" s="17">
        <v>44925</v>
      </c>
      <c r="RAT614" s="5" t="s">
        <v>3728</v>
      </c>
      <c r="RAU614" s="17">
        <v>44925</v>
      </c>
      <c r="RAV614" s="5" t="s">
        <v>3728</v>
      </c>
      <c r="RAW614" s="17">
        <v>44925</v>
      </c>
      <c r="RAX614" s="5" t="s">
        <v>3728</v>
      </c>
      <c r="RAY614" s="17">
        <v>44925</v>
      </c>
      <c r="RAZ614" s="5" t="s">
        <v>3728</v>
      </c>
      <c r="RBA614" s="17">
        <v>44925</v>
      </c>
      <c r="RBB614" s="5" t="s">
        <v>3728</v>
      </c>
      <c r="RBC614" s="17">
        <v>44925</v>
      </c>
      <c r="RBD614" s="5" t="s">
        <v>3728</v>
      </c>
      <c r="RBE614" s="17">
        <v>44925</v>
      </c>
      <c r="RBF614" s="5" t="s">
        <v>3728</v>
      </c>
      <c r="RBG614" s="17">
        <v>44925</v>
      </c>
      <c r="RBH614" s="5" t="s">
        <v>3728</v>
      </c>
      <c r="RBI614" s="17">
        <v>44925</v>
      </c>
      <c r="RBJ614" s="5" t="s">
        <v>3728</v>
      </c>
      <c r="RBK614" s="17">
        <v>44925</v>
      </c>
      <c r="RBL614" s="5" t="s">
        <v>3728</v>
      </c>
      <c r="RBM614" s="17">
        <v>44925</v>
      </c>
      <c r="RBN614" s="5" t="s">
        <v>3728</v>
      </c>
      <c r="RBO614" s="17">
        <v>44925</v>
      </c>
      <c r="RBP614" s="5" t="s">
        <v>3728</v>
      </c>
      <c r="RBQ614" s="17">
        <v>44925</v>
      </c>
      <c r="RBR614" s="5" t="s">
        <v>3728</v>
      </c>
      <c r="RBS614" s="17">
        <v>44925</v>
      </c>
      <c r="RBT614" s="5" t="s">
        <v>3728</v>
      </c>
      <c r="RBU614" s="17">
        <v>44925</v>
      </c>
      <c r="RBV614" s="5" t="s">
        <v>3728</v>
      </c>
      <c r="RBW614" s="17">
        <v>44925</v>
      </c>
      <c r="RBX614" s="5" t="s">
        <v>3728</v>
      </c>
      <c r="RBY614" s="17">
        <v>44925</v>
      </c>
      <c r="RBZ614" s="5" t="s">
        <v>3728</v>
      </c>
      <c r="RCA614" s="17">
        <v>44925</v>
      </c>
      <c r="RCB614" s="5" t="s">
        <v>3728</v>
      </c>
      <c r="RCC614" s="17">
        <v>44925</v>
      </c>
      <c r="RCD614" s="5" t="s">
        <v>3728</v>
      </c>
      <c r="RCE614" s="17">
        <v>44925</v>
      </c>
      <c r="RCF614" s="5" t="s">
        <v>3728</v>
      </c>
      <c r="RCG614" s="17">
        <v>44925</v>
      </c>
      <c r="RCH614" s="5" t="s">
        <v>3728</v>
      </c>
      <c r="RCI614" s="17">
        <v>44925</v>
      </c>
      <c r="RCJ614" s="5" t="s">
        <v>3728</v>
      </c>
      <c r="RCK614" s="17">
        <v>44925</v>
      </c>
      <c r="RCL614" s="5" t="s">
        <v>3728</v>
      </c>
      <c r="RCM614" s="17">
        <v>44925</v>
      </c>
      <c r="RCN614" s="5" t="s">
        <v>3728</v>
      </c>
      <c r="RCO614" s="17">
        <v>44925</v>
      </c>
      <c r="RCP614" s="5" t="s">
        <v>3728</v>
      </c>
      <c r="RCQ614" s="17">
        <v>44925</v>
      </c>
      <c r="RCR614" s="5" t="s">
        <v>3728</v>
      </c>
      <c r="RCS614" s="17">
        <v>44925</v>
      </c>
      <c r="RCT614" s="5" t="s">
        <v>3728</v>
      </c>
      <c r="RCU614" s="17">
        <v>44925</v>
      </c>
      <c r="RCV614" s="5" t="s">
        <v>3728</v>
      </c>
      <c r="RCW614" s="17">
        <v>44925</v>
      </c>
      <c r="RCX614" s="5" t="s">
        <v>3728</v>
      </c>
      <c r="RCY614" s="17">
        <v>44925</v>
      </c>
      <c r="RCZ614" s="5" t="s">
        <v>3728</v>
      </c>
      <c r="RDA614" s="17">
        <v>44925</v>
      </c>
      <c r="RDB614" s="5" t="s">
        <v>3728</v>
      </c>
      <c r="RDC614" s="17">
        <v>44925</v>
      </c>
      <c r="RDD614" s="5" t="s">
        <v>3728</v>
      </c>
      <c r="RDE614" s="17">
        <v>44925</v>
      </c>
      <c r="RDF614" s="5" t="s">
        <v>3728</v>
      </c>
      <c r="RDG614" s="17">
        <v>44925</v>
      </c>
      <c r="RDH614" s="5" t="s">
        <v>3728</v>
      </c>
      <c r="RDI614" s="17">
        <v>44925</v>
      </c>
      <c r="RDJ614" s="5" t="s">
        <v>3728</v>
      </c>
      <c r="RDK614" s="17">
        <v>44925</v>
      </c>
      <c r="RDL614" s="5" t="s">
        <v>3728</v>
      </c>
      <c r="RDM614" s="17">
        <v>44925</v>
      </c>
      <c r="RDN614" s="5" t="s">
        <v>3728</v>
      </c>
      <c r="RDO614" s="17">
        <v>44925</v>
      </c>
      <c r="RDP614" s="5" t="s">
        <v>3728</v>
      </c>
      <c r="RDQ614" s="17">
        <v>44925</v>
      </c>
      <c r="RDR614" s="5" t="s">
        <v>3728</v>
      </c>
      <c r="RDS614" s="17">
        <v>44925</v>
      </c>
      <c r="RDT614" s="5" t="s">
        <v>3728</v>
      </c>
      <c r="RDU614" s="17">
        <v>44925</v>
      </c>
      <c r="RDV614" s="5" t="s">
        <v>3728</v>
      </c>
      <c r="RDW614" s="17">
        <v>44925</v>
      </c>
      <c r="RDX614" s="5" t="s">
        <v>3728</v>
      </c>
      <c r="RDY614" s="17">
        <v>44925</v>
      </c>
      <c r="RDZ614" s="5" t="s">
        <v>3728</v>
      </c>
      <c r="REA614" s="17">
        <v>44925</v>
      </c>
      <c r="REB614" s="5" t="s">
        <v>3728</v>
      </c>
      <c r="REC614" s="17">
        <v>44925</v>
      </c>
      <c r="RED614" s="5" t="s">
        <v>3728</v>
      </c>
      <c r="REE614" s="17">
        <v>44925</v>
      </c>
      <c r="REF614" s="5" t="s">
        <v>3728</v>
      </c>
      <c r="REG614" s="17">
        <v>44925</v>
      </c>
      <c r="REH614" s="5" t="s">
        <v>3728</v>
      </c>
      <c r="REI614" s="17">
        <v>44925</v>
      </c>
      <c r="REJ614" s="5" t="s">
        <v>3728</v>
      </c>
      <c r="REK614" s="17">
        <v>44925</v>
      </c>
      <c r="REL614" s="5" t="s">
        <v>3728</v>
      </c>
      <c r="REM614" s="17">
        <v>44925</v>
      </c>
      <c r="REN614" s="5" t="s">
        <v>3728</v>
      </c>
      <c r="REO614" s="17">
        <v>44925</v>
      </c>
      <c r="REP614" s="5" t="s">
        <v>3728</v>
      </c>
      <c r="REQ614" s="17">
        <v>44925</v>
      </c>
      <c r="RER614" s="5" t="s">
        <v>3728</v>
      </c>
      <c r="RES614" s="17">
        <v>44925</v>
      </c>
      <c r="RET614" s="5" t="s">
        <v>3728</v>
      </c>
      <c r="REU614" s="17">
        <v>44925</v>
      </c>
      <c r="REV614" s="5" t="s">
        <v>3728</v>
      </c>
      <c r="REW614" s="17">
        <v>44925</v>
      </c>
      <c r="REX614" s="5" t="s">
        <v>3728</v>
      </c>
      <c r="REY614" s="17">
        <v>44925</v>
      </c>
      <c r="REZ614" s="5" t="s">
        <v>3728</v>
      </c>
      <c r="RFA614" s="17">
        <v>44925</v>
      </c>
      <c r="RFB614" s="5" t="s">
        <v>3728</v>
      </c>
      <c r="RFC614" s="17">
        <v>44925</v>
      </c>
      <c r="RFD614" s="5" t="s">
        <v>3728</v>
      </c>
      <c r="RFE614" s="17">
        <v>44925</v>
      </c>
      <c r="RFF614" s="5" t="s">
        <v>3728</v>
      </c>
      <c r="RFG614" s="17">
        <v>44925</v>
      </c>
      <c r="RFH614" s="5" t="s">
        <v>3728</v>
      </c>
      <c r="RFI614" s="17">
        <v>44925</v>
      </c>
      <c r="RFJ614" s="5" t="s">
        <v>3728</v>
      </c>
      <c r="RFK614" s="17">
        <v>44925</v>
      </c>
      <c r="RFL614" s="5" t="s">
        <v>3728</v>
      </c>
      <c r="RFM614" s="17">
        <v>44925</v>
      </c>
      <c r="RFN614" s="5" t="s">
        <v>3728</v>
      </c>
      <c r="RFO614" s="17">
        <v>44925</v>
      </c>
      <c r="RFP614" s="5" t="s">
        <v>3728</v>
      </c>
      <c r="RFQ614" s="17">
        <v>44925</v>
      </c>
      <c r="RFR614" s="5" t="s">
        <v>3728</v>
      </c>
      <c r="RFS614" s="17">
        <v>44925</v>
      </c>
      <c r="RFT614" s="5" t="s">
        <v>3728</v>
      </c>
      <c r="RFU614" s="17">
        <v>44925</v>
      </c>
      <c r="RFV614" s="5" t="s">
        <v>3728</v>
      </c>
      <c r="RFW614" s="17">
        <v>44925</v>
      </c>
      <c r="RFX614" s="5" t="s">
        <v>3728</v>
      </c>
      <c r="RFY614" s="17">
        <v>44925</v>
      </c>
      <c r="RFZ614" s="5" t="s">
        <v>3728</v>
      </c>
      <c r="RGA614" s="17">
        <v>44925</v>
      </c>
      <c r="RGB614" s="5" t="s">
        <v>3728</v>
      </c>
      <c r="RGC614" s="17">
        <v>44925</v>
      </c>
      <c r="RGD614" s="5" t="s">
        <v>3728</v>
      </c>
      <c r="RGE614" s="17">
        <v>44925</v>
      </c>
      <c r="RGF614" s="5" t="s">
        <v>3728</v>
      </c>
      <c r="RGG614" s="17">
        <v>44925</v>
      </c>
      <c r="RGH614" s="5" t="s">
        <v>3728</v>
      </c>
      <c r="RGI614" s="17">
        <v>44925</v>
      </c>
      <c r="RGJ614" s="5" t="s">
        <v>3728</v>
      </c>
      <c r="RGK614" s="17">
        <v>44925</v>
      </c>
      <c r="RGL614" s="5" t="s">
        <v>3728</v>
      </c>
      <c r="RGM614" s="17">
        <v>44925</v>
      </c>
      <c r="RGN614" s="5" t="s">
        <v>3728</v>
      </c>
      <c r="RGO614" s="17">
        <v>44925</v>
      </c>
      <c r="RGP614" s="5" t="s">
        <v>3728</v>
      </c>
      <c r="RGQ614" s="17">
        <v>44925</v>
      </c>
      <c r="RGR614" s="5" t="s">
        <v>3728</v>
      </c>
      <c r="RGS614" s="17">
        <v>44925</v>
      </c>
      <c r="RGT614" s="5" t="s">
        <v>3728</v>
      </c>
      <c r="RGU614" s="17">
        <v>44925</v>
      </c>
      <c r="RGV614" s="5" t="s">
        <v>3728</v>
      </c>
      <c r="RGW614" s="17">
        <v>44925</v>
      </c>
      <c r="RGX614" s="5" t="s">
        <v>3728</v>
      </c>
      <c r="RGY614" s="17">
        <v>44925</v>
      </c>
      <c r="RGZ614" s="5" t="s">
        <v>3728</v>
      </c>
      <c r="RHA614" s="17">
        <v>44925</v>
      </c>
      <c r="RHB614" s="5" t="s">
        <v>3728</v>
      </c>
      <c r="RHC614" s="17">
        <v>44925</v>
      </c>
      <c r="RHD614" s="5" t="s">
        <v>3728</v>
      </c>
      <c r="RHE614" s="17">
        <v>44925</v>
      </c>
      <c r="RHF614" s="5" t="s">
        <v>3728</v>
      </c>
      <c r="RHG614" s="17">
        <v>44925</v>
      </c>
      <c r="RHH614" s="5" t="s">
        <v>3728</v>
      </c>
      <c r="RHI614" s="17">
        <v>44925</v>
      </c>
      <c r="RHJ614" s="5" t="s">
        <v>3728</v>
      </c>
      <c r="RHK614" s="17">
        <v>44925</v>
      </c>
      <c r="RHL614" s="5" t="s">
        <v>3728</v>
      </c>
      <c r="RHM614" s="17">
        <v>44925</v>
      </c>
      <c r="RHN614" s="5" t="s">
        <v>3728</v>
      </c>
      <c r="RHO614" s="17">
        <v>44925</v>
      </c>
      <c r="RHP614" s="5" t="s">
        <v>3728</v>
      </c>
      <c r="RHQ614" s="17">
        <v>44925</v>
      </c>
      <c r="RHR614" s="5" t="s">
        <v>3728</v>
      </c>
      <c r="RHS614" s="17">
        <v>44925</v>
      </c>
      <c r="RHT614" s="5" t="s">
        <v>3728</v>
      </c>
      <c r="RHU614" s="17">
        <v>44925</v>
      </c>
      <c r="RHV614" s="5" t="s">
        <v>3728</v>
      </c>
      <c r="RHW614" s="17">
        <v>44925</v>
      </c>
      <c r="RHX614" s="5" t="s">
        <v>3728</v>
      </c>
      <c r="RHY614" s="17">
        <v>44925</v>
      </c>
      <c r="RHZ614" s="5" t="s">
        <v>3728</v>
      </c>
      <c r="RIA614" s="17">
        <v>44925</v>
      </c>
      <c r="RIB614" s="5" t="s">
        <v>3728</v>
      </c>
      <c r="RIC614" s="17">
        <v>44925</v>
      </c>
      <c r="RID614" s="5" t="s">
        <v>3728</v>
      </c>
      <c r="RIE614" s="17">
        <v>44925</v>
      </c>
      <c r="RIF614" s="5" t="s">
        <v>3728</v>
      </c>
      <c r="RIG614" s="17">
        <v>44925</v>
      </c>
      <c r="RIH614" s="5" t="s">
        <v>3728</v>
      </c>
      <c r="RII614" s="17">
        <v>44925</v>
      </c>
      <c r="RIJ614" s="5" t="s">
        <v>3728</v>
      </c>
      <c r="RIK614" s="17">
        <v>44925</v>
      </c>
      <c r="RIL614" s="5" t="s">
        <v>3728</v>
      </c>
      <c r="RIM614" s="17">
        <v>44925</v>
      </c>
      <c r="RIN614" s="5" t="s">
        <v>3728</v>
      </c>
      <c r="RIO614" s="17">
        <v>44925</v>
      </c>
      <c r="RIP614" s="5" t="s">
        <v>3728</v>
      </c>
      <c r="RIQ614" s="17">
        <v>44925</v>
      </c>
      <c r="RIR614" s="5" t="s">
        <v>3728</v>
      </c>
      <c r="RIS614" s="17">
        <v>44925</v>
      </c>
      <c r="RIT614" s="5" t="s">
        <v>3728</v>
      </c>
      <c r="RIU614" s="17">
        <v>44925</v>
      </c>
      <c r="RIV614" s="5" t="s">
        <v>3728</v>
      </c>
      <c r="RIW614" s="17">
        <v>44925</v>
      </c>
      <c r="RIX614" s="5" t="s">
        <v>3728</v>
      </c>
      <c r="RIY614" s="17">
        <v>44925</v>
      </c>
      <c r="RIZ614" s="5" t="s">
        <v>3728</v>
      </c>
      <c r="RJA614" s="17">
        <v>44925</v>
      </c>
      <c r="RJB614" s="5" t="s">
        <v>3728</v>
      </c>
      <c r="RJC614" s="17">
        <v>44925</v>
      </c>
      <c r="RJD614" s="5" t="s">
        <v>3728</v>
      </c>
      <c r="RJE614" s="17">
        <v>44925</v>
      </c>
      <c r="RJF614" s="5" t="s">
        <v>3728</v>
      </c>
      <c r="RJG614" s="17">
        <v>44925</v>
      </c>
      <c r="RJH614" s="5" t="s">
        <v>3728</v>
      </c>
      <c r="RJI614" s="17">
        <v>44925</v>
      </c>
      <c r="RJJ614" s="5" t="s">
        <v>3728</v>
      </c>
      <c r="RJK614" s="17">
        <v>44925</v>
      </c>
      <c r="RJL614" s="5" t="s">
        <v>3728</v>
      </c>
      <c r="RJM614" s="17">
        <v>44925</v>
      </c>
      <c r="RJN614" s="5" t="s">
        <v>3728</v>
      </c>
      <c r="RJO614" s="17">
        <v>44925</v>
      </c>
      <c r="RJP614" s="5" t="s">
        <v>3728</v>
      </c>
      <c r="RJQ614" s="17">
        <v>44925</v>
      </c>
      <c r="RJR614" s="5" t="s">
        <v>3728</v>
      </c>
      <c r="RJS614" s="17">
        <v>44925</v>
      </c>
      <c r="RJT614" s="5" t="s">
        <v>3728</v>
      </c>
      <c r="RJU614" s="17">
        <v>44925</v>
      </c>
      <c r="RJV614" s="5" t="s">
        <v>3728</v>
      </c>
      <c r="RJW614" s="17">
        <v>44925</v>
      </c>
      <c r="RJX614" s="5" t="s">
        <v>3728</v>
      </c>
      <c r="RJY614" s="17">
        <v>44925</v>
      </c>
      <c r="RJZ614" s="5" t="s">
        <v>3728</v>
      </c>
      <c r="RKA614" s="17">
        <v>44925</v>
      </c>
      <c r="RKB614" s="5" t="s">
        <v>3728</v>
      </c>
      <c r="RKC614" s="17">
        <v>44925</v>
      </c>
      <c r="RKD614" s="5" t="s">
        <v>3728</v>
      </c>
      <c r="RKE614" s="17">
        <v>44925</v>
      </c>
      <c r="RKF614" s="5" t="s">
        <v>3728</v>
      </c>
      <c r="RKG614" s="17">
        <v>44925</v>
      </c>
      <c r="RKH614" s="5" t="s">
        <v>3728</v>
      </c>
      <c r="RKI614" s="17">
        <v>44925</v>
      </c>
      <c r="RKJ614" s="5" t="s">
        <v>3728</v>
      </c>
      <c r="RKK614" s="17">
        <v>44925</v>
      </c>
      <c r="RKL614" s="5" t="s">
        <v>3728</v>
      </c>
      <c r="RKM614" s="17">
        <v>44925</v>
      </c>
      <c r="RKN614" s="5" t="s">
        <v>3728</v>
      </c>
      <c r="RKO614" s="17">
        <v>44925</v>
      </c>
      <c r="RKP614" s="5" t="s">
        <v>3728</v>
      </c>
      <c r="RKQ614" s="17">
        <v>44925</v>
      </c>
      <c r="RKR614" s="5" t="s">
        <v>3728</v>
      </c>
      <c r="RKS614" s="17">
        <v>44925</v>
      </c>
      <c r="RKT614" s="5" t="s">
        <v>3728</v>
      </c>
      <c r="RKU614" s="17">
        <v>44925</v>
      </c>
      <c r="RKV614" s="5" t="s">
        <v>3728</v>
      </c>
      <c r="RKW614" s="17">
        <v>44925</v>
      </c>
      <c r="RKX614" s="5" t="s">
        <v>3728</v>
      </c>
      <c r="RKY614" s="17">
        <v>44925</v>
      </c>
      <c r="RKZ614" s="5" t="s">
        <v>3728</v>
      </c>
      <c r="RLA614" s="17">
        <v>44925</v>
      </c>
      <c r="RLB614" s="5" t="s">
        <v>3728</v>
      </c>
      <c r="RLC614" s="17">
        <v>44925</v>
      </c>
      <c r="RLD614" s="5" t="s">
        <v>3728</v>
      </c>
      <c r="RLE614" s="17">
        <v>44925</v>
      </c>
      <c r="RLF614" s="5" t="s">
        <v>3728</v>
      </c>
      <c r="RLG614" s="17">
        <v>44925</v>
      </c>
      <c r="RLH614" s="5" t="s">
        <v>3728</v>
      </c>
      <c r="RLI614" s="17">
        <v>44925</v>
      </c>
      <c r="RLJ614" s="5" t="s">
        <v>3728</v>
      </c>
      <c r="RLK614" s="17">
        <v>44925</v>
      </c>
      <c r="RLL614" s="5" t="s">
        <v>3728</v>
      </c>
      <c r="RLM614" s="17">
        <v>44925</v>
      </c>
      <c r="RLN614" s="5" t="s">
        <v>3728</v>
      </c>
      <c r="RLO614" s="17">
        <v>44925</v>
      </c>
      <c r="RLP614" s="5" t="s">
        <v>3728</v>
      </c>
      <c r="RLQ614" s="17">
        <v>44925</v>
      </c>
      <c r="RLR614" s="5" t="s">
        <v>3728</v>
      </c>
      <c r="RLS614" s="17">
        <v>44925</v>
      </c>
      <c r="RLT614" s="5" t="s">
        <v>3728</v>
      </c>
      <c r="RLU614" s="17">
        <v>44925</v>
      </c>
      <c r="RLV614" s="5" t="s">
        <v>3728</v>
      </c>
      <c r="RLW614" s="17">
        <v>44925</v>
      </c>
      <c r="RLX614" s="5" t="s">
        <v>3728</v>
      </c>
      <c r="RLY614" s="17">
        <v>44925</v>
      </c>
      <c r="RLZ614" s="5" t="s">
        <v>3728</v>
      </c>
      <c r="RMA614" s="17">
        <v>44925</v>
      </c>
      <c r="RMB614" s="5" t="s">
        <v>3728</v>
      </c>
      <c r="RMC614" s="17">
        <v>44925</v>
      </c>
      <c r="RMD614" s="5" t="s">
        <v>3728</v>
      </c>
      <c r="RME614" s="17">
        <v>44925</v>
      </c>
      <c r="RMF614" s="5" t="s">
        <v>3728</v>
      </c>
      <c r="RMG614" s="17">
        <v>44925</v>
      </c>
      <c r="RMH614" s="5" t="s">
        <v>3728</v>
      </c>
      <c r="RMI614" s="17">
        <v>44925</v>
      </c>
      <c r="RMJ614" s="5" t="s">
        <v>3728</v>
      </c>
      <c r="RMK614" s="17">
        <v>44925</v>
      </c>
      <c r="RML614" s="5" t="s">
        <v>3728</v>
      </c>
      <c r="RMM614" s="17">
        <v>44925</v>
      </c>
      <c r="RMN614" s="5" t="s">
        <v>3728</v>
      </c>
      <c r="RMO614" s="17">
        <v>44925</v>
      </c>
      <c r="RMP614" s="5" t="s">
        <v>3728</v>
      </c>
      <c r="RMQ614" s="17">
        <v>44925</v>
      </c>
      <c r="RMR614" s="5" t="s">
        <v>3728</v>
      </c>
      <c r="RMS614" s="17">
        <v>44925</v>
      </c>
      <c r="RMT614" s="5" t="s">
        <v>3728</v>
      </c>
      <c r="RMU614" s="17">
        <v>44925</v>
      </c>
      <c r="RMV614" s="5" t="s">
        <v>3728</v>
      </c>
      <c r="RMW614" s="17">
        <v>44925</v>
      </c>
      <c r="RMX614" s="5" t="s">
        <v>3728</v>
      </c>
      <c r="RMY614" s="17">
        <v>44925</v>
      </c>
      <c r="RMZ614" s="5" t="s">
        <v>3728</v>
      </c>
      <c r="RNA614" s="17">
        <v>44925</v>
      </c>
      <c r="RNB614" s="5" t="s">
        <v>3728</v>
      </c>
      <c r="RNC614" s="17">
        <v>44925</v>
      </c>
      <c r="RND614" s="5" t="s">
        <v>3728</v>
      </c>
      <c r="RNE614" s="17">
        <v>44925</v>
      </c>
      <c r="RNF614" s="5" t="s">
        <v>3728</v>
      </c>
      <c r="RNG614" s="17">
        <v>44925</v>
      </c>
      <c r="RNH614" s="5" t="s">
        <v>3728</v>
      </c>
      <c r="RNI614" s="17">
        <v>44925</v>
      </c>
      <c r="RNJ614" s="5" t="s">
        <v>3728</v>
      </c>
      <c r="RNK614" s="17">
        <v>44925</v>
      </c>
      <c r="RNL614" s="5" t="s">
        <v>3728</v>
      </c>
      <c r="RNM614" s="17">
        <v>44925</v>
      </c>
      <c r="RNN614" s="5" t="s">
        <v>3728</v>
      </c>
      <c r="RNO614" s="17">
        <v>44925</v>
      </c>
      <c r="RNP614" s="5" t="s">
        <v>3728</v>
      </c>
      <c r="RNQ614" s="17">
        <v>44925</v>
      </c>
      <c r="RNR614" s="5" t="s">
        <v>3728</v>
      </c>
      <c r="RNS614" s="17">
        <v>44925</v>
      </c>
      <c r="RNT614" s="5" t="s">
        <v>3728</v>
      </c>
      <c r="RNU614" s="17">
        <v>44925</v>
      </c>
      <c r="RNV614" s="5" t="s">
        <v>3728</v>
      </c>
      <c r="RNW614" s="17">
        <v>44925</v>
      </c>
      <c r="RNX614" s="5" t="s">
        <v>3728</v>
      </c>
      <c r="RNY614" s="17">
        <v>44925</v>
      </c>
      <c r="RNZ614" s="5" t="s">
        <v>3728</v>
      </c>
      <c r="ROA614" s="17">
        <v>44925</v>
      </c>
      <c r="ROB614" s="5" t="s">
        <v>3728</v>
      </c>
      <c r="ROC614" s="17">
        <v>44925</v>
      </c>
      <c r="ROD614" s="5" t="s">
        <v>3728</v>
      </c>
      <c r="ROE614" s="17">
        <v>44925</v>
      </c>
      <c r="ROF614" s="5" t="s">
        <v>3728</v>
      </c>
      <c r="ROG614" s="17">
        <v>44925</v>
      </c>
      <c r="ROH614" s="5" t="s">
        <v>3728</v>
      </c>
      <c r="ROI614" s="17">
        <v>44925</v>
      </c>
      <c r="ROJ614" s="5" t="s">
        <v>3728</v>
      </c>
      <c r="ROK614" s="17">
        <v>44925</v>
      </c>
      <c r="ROL614" s="5" t="s">
        <v>3728</v>
      </c>
      <c r="ROM614" s="17">
        <v>44925</v>
      </c>
      <c r="RON614" s="5" t="s">
        <v>3728</v>
      </c>
      <c r="ROO614" s="17">
        <v>44925</v>
      </c>
      <c r="ROP614" s="5" t="s">
        <v>3728</v>
      </c>
      <c r="ROQ614" s="17">
        <v>44925</v>
      </c>
      <c r="ROR614" s="5" t="s">
        <v>3728</v>
      </c>
      <c r="ROS614" s="17">
        <v>44925</v>
      </c>
      <c r="ROT614" s="5" t="s">
        <v>3728</v>
      </c>
      <c r="ROU614" s="17">
        <v>44925</v>
      </c>
      <c r="ROV614" s="5" t="s">
        <v>3728</v>
      </c>
      <c r="ROW614" s="17">
        <v>44925</v>
      </c>
      <c r="ROX614" s="5" t="s">
        <v>3728</v>
      </c>
      <c r="ROY614" s="17">
        <v>44925</v>
      </c>
      <c r="ROZ614" s="5" t="s">
        <v>3728</v>
      </c>
      <c r="RPA614" s="17">
        <v>44925</v>
      </c>
      <c r="RPB614" s="5" t="s">
        <v>3728</v>
      </c>
      <c r="RPC614" s="17">
        <v>44925</v>
      </c>
      <c r="RPD614" s="5" t="s">
        <v>3728</v>
      </c>
      <c r="RPE614" s="17">
        <v>44925</v>
      </c>
      <c r="RPF614" s="5" t="s">
        <v>3728</v>
      </c>
      <c r="RPG614" s="17">
        <v>44925</v>
      </c>
      <c r="RPH614" s="5" t="s">
        <v>3728</v>
      </c>
      <c r="RPI614" s="17">
        <v>44925</v>
      </c>
      <c r="RPJ614" s="5" t="s">
        <v>3728</v>
      </c>
      <c r="RPK614" s="17">
        <v>44925</v>
      </c>
      <c r="RPL614" s="5" t="s">
        <v>3728</v>
      </c>
      <c r="RPM614" s="17">
        <v>44925</v>
      </c>
      <c r="RPN614" s="5" t="s">
        <v>3728</v>
      </c>
      <c r="RPO614" s="17">
        <v>44925</v>
      </c>
      <c r="RPP614" s="5" t="s">
        <v>3728</v>
      </c>
      <c r="RPQ614" s="17">
        <v>44925</v>
      </c>
      <c r="RPR614" s="5" t="s">
        <v>3728</v>
      </c>
      <c r="RPS614" s="17">
        <v>44925</v>
      </c>
      <c r="RPT614" s="5" t="s">
        <v>3728</v>
      </c>
      <c r="RPU614" s="17">
        <v>44925</v>
      </c>
      <c r="RPV614" s="5" t="s">
        <v>3728</v>
      </c>
      <c r="RPW614" s="17">
        <v>44925</v>
      </c>
      <c r="RPX614" s="5" t="s">
        <v>3728</v>
      </c>
      <c r="RPY614" s="17">
        <v>44925</v>
      </c>
      <c r="RPZ614" s="5" t="s">
        <v>3728</v>
      </c>
      <c r="RQA614" s="17">
        <v>44925</v>
      </c>
      <c r="RQB614" s="5" t="s">
        <v>3728</v>
      </c>
      <c r="RQC614" s="17">
        <v>44925</v>
      </c>
      <c r="RQD614" s="5" t="s">
        <v>3728</v>
      </c>
      <c r="RQE614" s="17">
        <v>44925</v>
      </c>
      <c r="RQF614" s="5" t="s">
        <v>3728</v>
      </c>
      <c r="RQG614" s="17">
        <v>44925</v>
      </c>
      <c r="RQH614" s="5" t="s">
        <v>3728</v>
      </c>
      <c r="RQI614" s="17">
        <v>44925</v>
      </c>
      <c r="RQJ614" s="5" t="s">
        <v>3728</v>
      </c>
      <c r="RQK614" s="17">
        <v>44925</v>
      </c>
      <c r="RQL614" s="5" t="s">
        <v>3728</v>
      </c>
      <c r="RQM614" s="17">
        <v>44925</v>
      </c>
      <c r="RQN614" s="5" t="s">
        <v>3728</v>
      </c>
      <c r="RQO614" s="17">
        <v>44925</v>
      </c>
      <c r="RQP614" s="5" t="s">
        <v>3728</v>
      </c>
      <c r="RQQ614" s="17">
        <v>44925</v>
      </c>
      <c r="RQR614" s="5" t="s">
        <v>3728</v>
      </c>
      <c r="RQS614" s="17">
        <v>44925</v>
      </c>
      <c r="RQT614" s="5" t="s">
        <v>3728</v>
      </c>
      <c r="RQU614" s="17">
        <v>44925</v>
      </c>
      <c r="RQV614" s="5" t="s">
        <v>3728</v>
      </c>
      <c r="RQW614" s="17">
        <v>44925</v>
      </c>
      <c r="RQX614" s="5" t="s">
        <v>3728</v>
      </c>
      <c r="RQY614" s="17">
        <v>44925</v>
      </c>
      <c r="RQZ614" s="5" t="s">
        <v>3728</v>
      </c>
      <c r="RRA614" s="17">
        <v>44925</v>
      </c>
      <c r="RRB614" s="5" t="s">
        <v>3728</v>
      </c>
      <c r="RRC614" s="17">
        <v>44925</v>
      </c>
      <c r="RRD614" s="5" t="s">
        <v>3728</v>
      </c>
      <c r="RRE614" s="17">
        <v>44925</v>
      </c>
      <c r="RRF614" s="5" t="s">
        <v>3728</v>
      </c>
      <c r="RRG614" s="17">
        <v>44925</v>
      </c>
      <c r="RRH614" s="5" t="s">
        <v>3728</v>
      </c>
      <c r="RRI614" s="17">
        <v>44925</v>
      </c>
      <c r="RRJ614" s="5" t="s">
        <v>3728</v>
      </c>
      <c r="RRK614" s="17">
        <v>44925</v>
      </c>
      <c r="RRL614" s="5" t="s">
        <v>3728</v>
      </c>
      <c r="RRM614" s="17">
        <v>44925</v>
      </c>
      <c r="RRN614" s="5" t="s">
        <v>3728</v>
      </c>
      <c r="RRO614" s="17">
        <v>44925</v>
      </c>
      <c r="RRP614" s="5" t="s">
        <v>3728</v>
      </c>
      <c r="RRQ614" s="17">
        <v>44925</v>
      </c>
      <c r="RRR614" s="5" t="s">
        <v>3728</v>
      </c>
      <c r="RRS614" s="17">
        <v>44925</v>
      </c>
      <c r="RRT614" s="5" t="s">
        <v>3728</v>
      </c>
      <c r="RRU614" s="17">
        <v>44925</v>
      </c>
      <c r="RRV614" s="5" t="s">
        <v>3728</v>
      </c>
      <c r="RRW614" s="17">
        <v>44925</v>
      </c>
      <c r="RRX614" s="5" t="s">
        <v>3728</v>
      </c>
      <c r="RRY614" s="17">
        <v>44925</v>
      </c>
      <c r="RRZ614" s="5" t="s">
        <v>3728</v>
      </c>
      <c r="RSA614" s="17">
        <v>44925</v>
      </c>
      <c r="RSB614" s="5" t="s">
        <v>3728</v>
      </c>
      <c r="RSC614" s="17">
        <v>44925</v>
      </c>
      <c r="RSD614" s="5" t="s">
        <v>3728</v>
      </c>
      <c r="RSE614" s="17">
        <v>44925</v>
      </c>
      <c r="RSF614" s="5" t="s">
        <v>3728</v>
      </c>
      <c r="RSG614" s="17">
        <v>44925</v>
      </c>
      <c r="RSH614" s="5" t="s">
        <v>3728</v>
      </c>
      <c r="RSI614" s="17">
        <v>44925</v>
      </c>
      <c r="RSJ614" s="5" t="s">
        <v>3728</v>
      </c>
      <c r="RSK614" s="17">
        <v>44925</v>
      </c>
      <c r="RSL614" s="5" t="s">
        <v>3728</v>
      </c>
      <c r="RSM614" s="17">
        <v>44925</v>
      </c>
      <c r="RSN614" s="5" t="s">
        <v>3728</v>
      </c>
      <c r="RSO614" s="17">
        <v>44925</v>
      </c>
      <c r="RSP614" s="5" t="s">
        <v>3728</v>
      </c>
      <c r="RSQ614" s="17">
        <v>44925</v>
      </c>
      <c r="RSR614" s="5" t="s">
        <v>3728</v>
      </c>
      <c r="RSS614" s="17">
        <v>44925</v>
      </c>
      <c r="RST614" s="5" t="s">
        <v>3728</v>
      </c>
      <c r="RSU614" s="17">
        <v>44925</v>
      </c>
      <c r="RSV614" s="5" t="s">
        <v>3728</v>
      </c>
      <c r="RSW614" s="17">
        <v>44925</v>
      </c>
      <c r="RSX614" s="5" t="s">
        <v>3728</v>
      </c>
      <c r="RSY614" s="17">
        <v>44925</v>
      </c>
      <c r="RSZ614" s="5" t="s">
        <v>3728</v>
      </c>
      <c r="RTA614" s="17">
        <v>44925</v>
      </c>
      <c r="RTB614" s="5" t="s">
        <v>3728</v>
      </c>
      <c r="RTC614" s="17">
        <v>44925</v>
      </c>
      <c r="RTD614" s="5" t="s">
        <v>3728</v>
      </c>
      <c r="RTE614" s="17">
        <v>44925</v>
      </c>
      <c r="RTF614" s="5" t="s">
        <v>3728</v>
      </c>
      <c r="RTG614" s="17">
        <v>44925</v>
      </c>
      <c r="RTH614" s="5" t="s">
        <v>3728</v>
      </c>
      <c r="RTI614" s="17">
        <v>44925</v>
      </c>
      <c r="RTJ614" s="5" t="s">
        <v>3728</v>
      </c>
      <c r="RTK614" s="17">
        <v>44925</v>
      </c>
      <c r="RTL614" s="5" t="s">
        <v>3728</v>
      </c>
      <c r="RTM614" s="17">
        <v>44925</v>
      </c>
      <c r="RTN614" s="5" t="s">
        <v>3728</v>
      </c>
      <c r="RTO614" s="17">
        <v>44925</v>
      </c>
      <c r="RTP614" s="5" t="s">
        <v>3728</v>
      </c>
      <c r="RTQ614" s="17">
        <v>44925</v>
      </c>
      <c r="RTR614" s="5" t="s">
        <v>3728</v>
      </c>
      <c r="RTS614" s="17">
        <v>44925</v>
      </c>
      <c r="RTT614" s="5" t="s">
        <v>3728</v>
      </c>
      <c r="RTU614" s="17">
        <v>44925</v>
      </c>
      <c r="RTV614" s="5" t="s">
        <v>3728</v>
      </c>
      <c r="RTW614" s="17">
        <v>44925</v>
      </c>
      <c r="RTX614" s="5" t="s">
        <v>3728</v>
      </c>
      <c r="RTY614" s="17">
        <v>44925</v>
      </c>
      <c r="RTZ614" s="5" t="s">
        <v>3728</v>
      </c>
      <c r="RUA614" s="17">
        <v>44925</v>
      </c>
      <c r="RUB614" s="5" t="s">
        <v>3728</v>
      </c>
      <c r="RUC614" s="17">
        <v>44925</v>
      </c>
      <c r="RUD614" s="5" t="s">
        <v>3728</v>
      </c>
      <c r="RUE614" s="17">
        <v>44925</v>
      </c>
      <c r="RUF614" s="5" t="s">
        <v>3728</v>
      </c>
      <c r="RUG614" s="17">
        <v>44925</v>
      </c>
      <c r="RUH614" s="5" t="s">
        <v>3728</v>
      </c>
      <c r="RUI614" s="17">
        <v>44925</v>
      </c>
      <c r="RUJ614" s="5" t="s">
        <v>3728</v>
      </c>
      <c r="RUK614" s="17">
        <v>44925</v>
      </c>
      <c r="RUL614" s="5" t="s">
        <v>3728</v>
      </c>
      <c r="RUM614" s="17">
        <v>44925</v>
      </c>
      <c r="RUN614" s="5" t="s">
        <v>3728</v>
      </c>
      <c r="RUO614" s="17">
        <v>44925</v>
      </c>
      <c r="RUP614" s="5" t="s">
        <v>3728</v>
      </c>
      <c r="RUQ614" s="17">
        <v>44925</v>
      </c>
      <c r="RUR614" s="5" t="s">
        <v>3728</v>
      </c>
      <c r="RUS614" s="17">
        <v>44925</v>
      </c>
      <c r="RUT614" s="5" t="s">
        <v>3728</v>
      </c>
      <c r="RUU614" s="17">
        <v>44925</v>
      </c>
      <c r="RUV614" s="5" t="s">
        <v>3728</v>
      </c>
      <c r="RUW614" s="17">
        <v>44925</v>
      </c>
      <c r="RUX614" s="5" t="s">
        <v>3728</v>
      </c>
      <c r="RUY614" s="17">
        <v>44925</v>
      </c>
      <c r="RUZ614" s="5" t="s">
        <v>3728</v>
      </c>
      <c r="RVA614" s="17">
        <v>44925</v>
      </c>
      <c r="RVB614" s="5" t="s">
        <v>3728</v>
      </c>
      <c r="RVC614" s="17">
        <v>44925</v>
      </c>
      <c r="RVD614" s="5" t="s">
        <v>3728</v>
      </c>
      <c r="RVE614" s="17">
        <v>44925</v>
      </c>
      <c r="RVF614" s="5" t="s">
        <v>3728</v>
      </c>
      <c r="RVG614" s="17">
        <v>44925</v>
      </c>
      <c r="RVH614" s="5" t="s">
        <v>3728</v>
      </c>
      <c r="RVI614" s="17">
        <v>44925</v>
      </c>
      <c r="RVJ614" s="5" t="s">
        <v>3728</v>
      </c>
      <c r="RVK614" s="17">
        <v>44925</v>
      </c>
      <c r="RVL614" s="5" t="s">
        <v>3728</v>
      </c>
      <c r="RVM614" s="17">
        <v>44925</v>
      </c>
      <c r="RVN614" s="5" t="s">
        <v>3728</v>
      </c>
      <c r="RVO614" s="17">
        <v>44925</v>
      </c>
      <c r="RVP614" s="5" t="s">
        <v>3728</v>
      </c>
      <c r="RVQ614" s="17">
        <v>44925</v>
      </c>
      <c r="RVR614" s="5" t="s">
        <v>3728</v>
      </c>
      <c r="RVS614" s="17">
        <v>44925</v>
      </c>
      <c r="RVT614" s="5" t="s">
        <v>3728</v>
      </c>
      <c r="RVU614" s="17">
        <v>44925</v>
      </c>
      <c r="RVV614" s="5" t="s">
        <v>3728</v>
      </c>
      <c r="RVW614" s="17">
        <v>44925</v>
      </c>
      <c r="RVX614" s="5" t="s">
        <v>3728</v>
      </c>
      <c r="RVY614" s="17">
        <v>44925</v>
      </c>
      <c r="RVZ614" s="5" t="s">
        <v>3728</v>
      </c>
      <c r="RWA614" s="17">
        <v>44925</v>
      </c>
      <c r="RWB614" s="5" t="s">
        <v>3728</v>
      </c>
      <c r="RWC614" s="17">
        <v>44925</v>
      </c>
      <c r="RWD614" s="5" t="s">
        <v>3728</v>
      </c>
      <c r="RWE614" s="17">
        <v>44925</v>
      </c>
      <c r="RWF614" s="5" t="s">
        <v>3728</v>
      </c>
      <c r="RWG614" s="17">
        <v>44925</v>
      </c>
      <c r="RWH614" s="5" t="s">
        <v>3728</v>
      </c>
      <c r="RWI614" s="17">
        <v>44925</v>
      </c>
      <c r="RWJ614" s="5" t="s">
        <v>3728</v>
      </c>
      <c r="RWK614" s="17">
        <v>44925</v>
      </c>
      <c r="RWL614" s="5" t="s">
        <v>3728</v>
      </c>
      <c r="RWM614" s="17">
        <v>44925</v>
      </c>
      <c r="RWN614" s="5" t="s">
        <v>3728</v>
      </c>
      <c r="RWO614" s="17">
        <v>44925</v>
      </c>
      <c r="RWP614" s="5" t="s">
        <v>3728</v>
      </c>
      <c r="RWQ614" s="17">
        <v>44925</v>
      </c>
      <c r="RWR614" s="5" t="s">
        <v>3728</v>
      </c>
      <c r="RWS614" s="17">
        <v>44925</v>
      </c>
      <c r="RWT614" s="5" t="s">
        <v>3728</v>
      </c>
      <c r="RWU614" s="17">
        <v>44925</v>
      </c>
      <c r="RWV614" s="5" t="s">
        <v>3728</v>
      </c>
      <c r="RWW614" s="17">
        <v>44925</v>
      </c>
      <c r="RWX614" s="5" t="s">
        <v>3728</v>
      </c>
      <c r="RWY614" s="17">
        <v>44925</v>
      </c>
      <c r="RWZ614" s="5" t="s">
        <v>3728</v>
      </c>
      <c r="RXA614" s="17">
        <v>44925</v>
      </c>
      <c r="RXB614" s="5" t="s">
        <v>3728</v>
      </c>
      <c r="RXC614" s="17">
        <v>44925</v>
      </c>
      <c r="RXD614" s="5" t="s">
        <v>3728</v>
      </c>
      <c r="RXE614" s="17">
        <v>44925</v>
      </c>
      <c r="RXF614" s="5" t="s">
        <v>3728</v>
      </c>
      <c r="RXG614" s="17">
        <v>44925</v>
      </c>
      <c r="RXH614" s="5" t="s">
        <v>3728</v>
      </c>
      <c r="RXI614" s="17">
        <v>44925</v>
      </c>
      <c r="RXJ614" s="5" t="s">
        <v>3728</v>
      </c>
      <c r="RXK614" s="17">
        <v>44925</v>
      </c>
      <c r="RXL614" s="5" t="s">
        <v>3728</v>
      </c>
      <c r="RXM614" s="17">
        <v>44925</v>
      </c>
      <c r="RXN614" s="5" t="s">
        <v>3728</v>
      </c>
      <c r="RXO614" s="17">
        <v>44925</v>
      </c>
      <c r="RXP614" s="5" t="s">
        <v>3728</v>
      </c>
      <c r="RXQ614" s="17">
        <v>44925</v>
      </c>
      <c r="RXR614" s="5" t="s">
        <v>3728</v>
      </c>
      <c r="RXS614" s="17">
        <v>44925</v>
      </c>
      <c r="RXT614" s="5" t="s">
        <v>3728</v>
      </c>
      <c r="RXU614" s="17">
        <v>44925</v>
      </c>
      <c r="RXV614" s="5" t="s">
        <v>3728</v>
      </c>
      <c r="RXW614" s="17">
        <v>44925</v>
      </c>
      <c r="RXX614" s="5" t="s">
        <v>3728</v>
      </c>
      <c r="RXY614" s="17">
        <v>44925</v>
      </c>
      <c r="RXZ614" s="5" t="s">
        <v>3728</v>
      </c>
      <c r="RYA614" s="17">
        <v>44925</v>
      </c>
      <c r="RYB614" s="5" t="s">
        <v>3728</v>
      </c>
      <c r="RYC614" s="17">
        <v>44925</v>
      </c>
      <c r="RYD614" s="5" t="s">
        <v>3728</v>
      </c>
      <c r="RYE614" s="17">
        <v>44925</v>
      </c>
      <c r="RYF614" s="5" t="s">
        <v>3728</v>
      </c>
      <c r="RYG614" s="17">
        <v>44925</v>
      </c>
      <c r="RYH614" s="5" t="s">
        <v>3728</v>
      </c>
      <c r="RYI614" s="17">
        <v>44925</v>
      </c>
      <c r="RYJ614" s="5" t="s">
        <v>3728</v>
      </c>
      <c r="RYK614" s="17">
        <v>44925</v>
      </c>
      <c r="RYL614" s="5" t="s">
        <v>3728</v>
      </c>
      <c r="RYM614" s="17">
        <v>44925</v>
      </c>
      <c r="RYN614" s="5" t="s">
        <v>3728</v>
      </c>
      <c r="RYO614" s="17">
        <v>44925</v>
      </c>
      <c r="RYP614" s="5" t="s">
        <v>3728</v>
      </c>
      <c r="RYQ614" s="17">
        <v>44925</v>
      </c>
      <c r="RYR614" s="5" t="s">
        <v>3728</v>
      </c>
      <c r="RYS614" s="17">
        <v>44925</v>
      </c>
      <c r="RYT614" s="5" t="s">
        <v>3728</v>
      </c>
      <c r="RYU614" s="17">
        <v>44925</v>
      </c>
      <c r="RYV614" s="5" t="s">
        <v>3728</v>
      </c>
      <c r="RYW614" s="17">
        <v>44925</v>
      </c>
      <c r="RYX614" s="5" t="s">
        <v>3728</v>
      </c>
      <c r="RYY614" s="17">
        <v>44925</v>
      </c>
      <c r="RYZ614" s="5" t="s">
        <v>3728</v>
      </c>
      <c r="RZA614" s="17">
        <v>44925</v>
      </c>
      <c r="RZB614" s="5" t="s">
        <v>3728</v>
      </c>
      <c r="RZC614" s="17">
        <v>44925</v>
      </c>
      <c r="RZD614" s="5" t="s">
        <v>3728</v>
      </c>
      <c r="RZE614" s="17">
        <v>44925</v>
      </c>
      <c r="RZF614" s="5" t="s">
        <v>3728</v>
      </c>
      <c r="RZG614" s="17">
        <v>44925</v>
      </c>
      <c r="RZH614" s="5" t="s">
        <v>3728</v>
      </c>
      <c r="RZI614" s="17">
        <v>44925</v>
      </c>
      <c r="RZJ614" s="5" t="s">
        <v>3728</v>
      </c>
      <c r="RZK614" s="17">
        <v>44925</v>
      </c>
      <c r="RZL614" s="5" t="s">
        <v>3728</v>
      </c>
      <c r="RZM614" s="17">
        <v>44925</v>
      </c>
      <c r="RZN614" s="5" t="s">
        <v>3728</v>
      </c>
      <c r="RZO614" s="17">
        <v>44925</v>
      </c>
      <c r="RZP614" s="5" t="s">
        <v>3728</v>
      </c>
      <c r="RZQ614" s="17">
        <v>44925</v>
      </c>
      <c r="RZR614" s="5" t="s">
        <v>3728</v>
      </c>
      <c r="RZS614" s="17">
        <v>44925</v>
      </c>
      <c r="RZT614" s="5" t="s">
        <v>3728</v>
      </c>
      <c r="RZU614" s="17">
        <v>44925</v>
      </c>
      <c r="RZV614" s="5" t="s">
        <v>3728</v>
      </c>
      <c r="RZW614" s="17">
        <v>44925</v>
      </c>
      <c r="RZX614" s="5" t="s">
        <v>3728</v>
      </c>
      <c r="RZY614" s="17">
        <v>44925</v>
      </c>
      <c r="RZZ614" s="5" t="s">
        <v>3728</v>
      </c>
      <c r="SAA614" s="17">
        <v>44925</v>
      </c>
      <c r="SAB614" s="5" t="s">
        <v>3728</v>
      </c>
      <c r="SAC614" s="17">
        <v>44925</v>
      </c>
      <c r="SAD614" s="5" t="s">
        <v>3728</v>
      </c>
      <c r="SAE614" s="17">
        <v>44925</v>
      </c>
      <c r="SAF614" s="5" t="s">
        <v>3728</v>
      </c>
      <c r="SAG614" s="17">
        <v>44925</v>
      </c>
      <c r="SAH614" s="5" t="s">
        <v>3728</v>
      </c>
      <c r="SAI614" s="17">
        <v>44925</v>
      </c>
      <c r="SAJ614" s="5" t="s">
        <v>3728</v>
      </c>
      <c r="SAK614" s="17">
        <v>44925</v>
      </c>
      <c r="SAL614" s="5" t="s">
        <v>3728</v>
      </c>
      <c r="SAM614" s="17">
        <v>44925</v>
      </c>
      <c r="SAN614" s="5" t="s">
        <v>3728</v>
      </c>
      <c r="SAO614" s="17">
        <v>44925</v>
      </c>
      <c r="SAP614" s="5" t="s">
        <v>3728</v>
      </c>
      <c r="SAQ614" s="17">
        <v>44925</v>
      </c>
      <c r="SAR614" s="5" t="s">
        <v>3728</v>
      </c>
      <c r="SAS614" s="17">
        <v>44925</v>
      </c>
      <c r="SAT614" s="5" t="s">
        <v>3728</v>
      </c>
      <c r="SAU614" s="17">
        <v>44925</v>
      </c>
      <c r="SAV614" s="5" t="s">
        <v>3728</v>
      </c>
      <c r="SAW614" s="17">
        <v>44925</v>
      </c>
      <c r="SAX614" s="5" t="s">
        <v>3728</v>
      </c>
      <c r="SAY614" s="17">
        <v>44925</v>
      </c>
      <c r="SAZ614" s="5" t="s">
        <v>3728</v>
      </c>
      <c r="SBA614" s="17">
        <v>44925</v>
      </c>
      <c r="SBB614" s="5" t="s">
        <v>3728</v>
      </c>
      <c r="SBC614" s="17">
        <v>44925</v>
      </c>
      <c r="SBD614" s="5" t="s">
        <v>3728</v>
      </c>
      <c r="SBE614" s="17">
        <v>44925</v>
      </c>
      <c r="SBF614" s="5" t="s">
        <v>3728</v>
      </c>
      <c r="SBG614" s="17">
        <v>44925</v>
      </c>
      <c r="SBH614" s="5" t="s">
        <v>3728</v>
      </c>
      <c r="SBI614" s="17">
        <v>44925</v>
      </c>
      <c r="SBJ614" s="5" t="s">
        <v>3728</v>
      </c>
      <c r="SBK614" s="17">
        <v>44925</v>
      </c>
      <c r="SBL614" s="5" t="s">
        <v>3728</v>
      </c>
      <c r="SBM614" s="17">
        <v>44925</v>
      </c>
      <c r="SBN614" s="5" t="s">
        <v>3728</v>
      </c>
      <c r="SBO614" s="17">
        <v>44925</v>
      </c>
      <c r="SBP614" s="5" t="s">
        <v>3728</v>
      </c>
      <c r="SBQ614" s="17">
        <v>44925</v>
      </c>
      <c r="SBR614" s="5" t="s">
        <v>3728</v>
      </c>
      <c r="SBS614" s="17">
        <v>44925</v>
      </c>
      <c r="SBT614" s="5" t="s">
        <v>3728</v>
      </c>
      <c r="SBU614" s="17">
        <v>44925</v>
      </c>
      <c r="SBV614" s="5" t="s">
        <v>3728</v>
      </c>
      <c r="SBW614" s="17">
        <v>44925</v>
      </c>
      <c r="SBX614" s="5" t="s">
        <v>3728</v>
      </c>
      <c r="SBY614" s="17">
        <v>44925</v>
      </c>
      <c r="SBZ614" s="5" t="s">
        <v>3728</v>
      </c>
      <c r="SCA614" s="17">
        <v>44925</v>
      </c>
      <c r="SCB614" s="5" t="s">
        <v>3728</v>
      </c>
      <c r="SCC614" s="17">
        <v>44925</v>
      </c>
      <c r="SCD614" s="5" t="s">
        <v>3728</v>
      </c>
      <c r="SCE614" s="17">
        <v>44925</v>
      </c>
      <c r="SCF614" s="5" t="s">
        <v>3728</v>
      </c>
      <c r="SCG614" s="17">
        <v>44925</v>
      </c>
      <c r="SCH614" s="5" t="s">
        <v>3728</v>
      </c>
      <c r="SCI614" s="17">
        <v>44925</v>
      </c>
      <c r="SCJ614" s="5" t="s">
        <v>3728</v>
      </c>
      <c r="SCK614" s="17">
        <v>44925</v>
      </c>
      <c r="SCL614" s="5" t="s">
        <v>3728</v>
      </c>
      <c r="SCM614" s="17">
        <v>44925</v>
      </c>
      <c r="SCN614" s="5" t="s">
        <v>3728</v>
      </c>
      <c r="SCO614" s="17">
        <v>44925</v>
      </c>
      <c r="SCP614" s="5" t="s">
        <v>3728</v>
      </c>
      <c r="SCQ614" s="17">
        <v>44925</v>
      </c>
      <c r="SCR614" s="5" t="s">
        <v>3728</v>
      </c>
      <c r="SCS614" s="17">
        <v>44925</v>
      </c>
      <c r="SCT614" s="5" t="s">
        <v>3728</v>
      </c>
      <c r="SCU614" s="17">
        <v>44925</v>
      </c>
      <c r="SCV614" s="5" t="s">
        <v>3728</v>
      </c>
      <c r="SCW614" s="17">
        <v>44925</v>
      </c>
      <c r="SCX614" s="5" t="s">
        <v>3728</v>
      </c>
      <c r="SCY614" s="17">
        <v>44925</v>
      </c>
      <c r="SCZ614" s="5" t="s">
        <v>3728</v>
      </c>
      <c r="SDA614" s="17">
        <v>44925</v>
      </c>
      <c r="SDB614" s="5" t="s">
        <v>3728</v>
      </c>
      <c r="SDC614" s="17">
        <v>44925</v>
      </c>
      <c r="SDD614" s="5" t="s">
        <v>3728</v>
      </c>
      <c r="SDE614" s="17">
        <v>44925</v>
      </c>
      <c r="SDF614" s="5" t="s">
        <v>3728</v>
      </c>
      <c r="SDG614" s="17">
        <v>44925</v>
      </c>
      <c r="SDH614" s="5" t="s">
        <v>3728</v>
      </c>
      <c r="SDI614" s="17">
        <v>44925</v>
      </c>
      <c r="SDJ614" s="5" t="s">
        <v>3728</v>
      </c>
      <c r="SDK614" s="17">
        <v>44925</v>
      </c>
      <c r="SDL614" s="5" t="s">
        <v>3728</v>
      </c>
      <c r="SDM614" s="17">
        <v>44925</v>
      </c>
      <c r="SDN614" s="5" t="s">
        <v>3728</v>
      </c>
      <c r="SDO614" s="17">
        <v>44925</v>
      </c>
      <c r="SDP614" s="5" t="s">
        <v>3728</v>
      </c>
      <c r="SDQ614" s="17">
        <v>44925</v>
      </c>
      <c r="SDR614" s="5" t="s">
        <v>3728</v>
      </c>
      <c r="SDS614" s="17">
        <v>44925</v>
      </c>
      <c r="SDT614" s="5" t="s">
        <v>3728</v>
      </c>
      <c r="SDU614" s="17">
        <v>44925</v>
      </c>
      <c r="SDV614" s="5" t="s">
        <v>3728</v>
      </c>
      <c r="SDW614" s="17">
        <v>44925</v>
      </c>
      <c r="SDX614" s="5" t="s">
        <v>3728</v>
      </c>
      <c r="SDY614" s="17">
        <v>44925</v>
      </c>
      <c r="SDZ614" s="5" t="s">
        <v>3728</v>
      </c>
      <c r="SEA614" s="17">
        <v>44925</v>
      </c>
      <c r="SEB614" s="5" t="s">
        <v>3728</v>
      </c>
      <c r="SEC614" s="17">
        <v>44925</v>
      </c>
      <c r="SED614" s="5" t="s">
        <v>3728</v>
      </c>
      <c r="SEE614" s="17">
        <v>44925</v>
      </c>
      <c r="SEF614" s="5" t="s">
        <v>3728</v>
      </c>
      <c r="SEG614" s="17">
        <v>44925</v>
      </c>
      <c r="SEH614" s="5" t="s">
        <v>3728</v>
      </c>
      <c r="SEI614" s="17">
        <v>44925</v>
      </c>
      <c r="SEJ614" s="5" t="s">
        <v>3728</v>
      </c>
      <c r="SEK614" s="17">
        <v>44925</v>
      </c>
      <c r="SEL614" s="5" t="s">
        <v>3728</v>
      </c>
      <c r="SEM614" s="17">
        <v>44925</v>
      </c>
      <c r="SEN614" s="5" t="s">
        <v>3728</v>
      </c>
      <c r="SEO614" s="17">
        <v>44925</v>
      </c>
      <c r="SEP614" s="5" t="s">
        <v>3728</v>
      </c>
      <c r="SEQ614" s="17">
        <v>44925</v>
      </c>
      <c r="SER614" s="5" t="s">
        <v>3728</v>
      </c>
      <c r="SES614" s="17">
        <v>44925</v>
      </c>
      <c r="SET614" s="5" t="s">
        <v>3728</v>
      </c>
      <c r="SEU614" s="17">
        <v>44925</v>
      </c>
      <c r="SEV614" s="5" t="s">
        <v>3728</v>
      </c>
      <c r="SEW614" s="17">
        <v>44925</v>
      </c>
      <c r="SEX614" s="5" t="s">
        <v>3728</v>
      </c>
      <c r="SEY614" s="17">
        <v>44925</v>
      </c>
      <c r="SEZ614" s="5" t="s">
        <v>3728</v>
      </c>
      <c r="SFA614" s="17">
        <v>44925</v>
      </c>
      <c r="SFB614" s="5" t="s">
        <v>3728</v>
      </c>
      <c r="SFC614" s="17">
        <v>44925</v>
      </c>
      <c r="SFD614" s="5" t="s">
        <v>3728</v>
      </c>
      <c r="SFE614" s="17">
        <v>44925</v>
      </c>
      <c r="SFF614" s="5" t="s">
        <v>3728</v>
      </c>
      <c r="SFG614" s="17">
        <v>44925</v>
      </c>
      <c r="SFH614" s="5" t="s">
        <v>3728</v>
      </c>
      <c r="SFI614" s="17">
        <v>44925</v>
      </c>
      <c r="SFJ614" s="5" t="s">
        <v>3728</v>
      </c>
      <c r="SFK614" s="17">
        <v>44925</v>
      </c>
      <c r="SFL614" s="5" t="s">
        <v>3728</v>
      </c>
      <c r="SFM614" s="17">
        <v>44925</v>
      </c>
      <c r="SFN614" s="5" t="s">
        <v>3728</v>
      </c>
      <c r="SFO614" s="17">
        <v>44925</v>
      </c>
      <c r="SFP614" s="5" t="s">
        <v>3728</v>
      </c>
      <c r="SFQ614" s="17">
        <v>44925</v>
      </c>
      <c r="SFR614" s="5" t="s">
        <v>3728</v>
      </c>
      <c r="SFS614" s="17">
        <v>44925</v>
      </c>
      <c r="SFT614" s="5" t="s">
        <v>3728</v>
      </c>
      <c r="SFU614" s="17">
        <v>44925</v>
      </c>
      <c r="SFV614" s="5" t="s">
        <v>3728</v>
      </c>
      <c r="SFW614" s="17">
        <v>44925</v>
      </c>
      <c r="SFX614" s="5" t="s">
        <v>3728</v>
      </c>
      <c r="SFY614" s="17">
        <v>44925</v>
      </c>
      <c r="SFZ614" s="5" t="s">
        <v>3728</v>
      </c>
      <c r="SGA614" s="17">
        <v>44925</v>
      </c>
      <c r="SGB614" s="5" t="s">
        <v>3728</v>
      </c>
      <c r="SGC614" s="17">
        <v>44925</v>
      </c>
      <c r="SGD614" s="5" t="s">
        <v>3728</v>
      </c>
      <c r="SGE614" s="17">
        <v>44925</v>
      </c>
      <c r="SGF614" s="5" t="s">
        <v>3728</v>
      </c>
      <c r="SGG614" s="17">
        <v>44925</v>
      </c>
      <c r="SGH614" s="5" t="s">
        <v>3728</v>
      </c>
      <c r="SGI614" s="17">
        <v>44925</v>
      </c>
      <c r="SGJ614" s="5" t="s">
        <v>3728</v>
      </c>
      <c r="SGK614" s="17">
        <v>44925</v>
      </c>
      <c r="SGL614" s="5" t="s">
        <v>3728</v>
      </c>
      <c r="SGM614" s="17">
        <v>44925</v>
      </c>
      <c r="SGN614" s="5" t="s">
        <v>3728</v>
      </c>
      <c r="SGO614" s="17">
        <v>44925</v>
      </c>
      <c r="SGP614" s="5" t="s">
        <v>3728</v>
      </c>
      <c r="SGQ614" s="17">
        <v>44925</v>
      </c>
      <c r="SGR614" s="5" t="s">
        <v>3728</v>
      </c>
      <c r="SGS614" s="17">
        <v>44925</v>
      </c>
      <c r="SGT614" s="5" t="s">
        <v>3728</v>
      </c>
      <c r="SGU614" s="17">
        <v>44925</v>
      </c>
      <c r="SGV614" s="5" t="s">
        <v>3728</v>
      </c>
      <c r="SGW614" s="17">
        <v>44925</v>
      </c>
      <c r="SGX614" s="5" t="s">
        <v>3728</v>
      </c>
      <c r="SGY614" s="17">
        <v>44925</v>
      </c>
      <c r="SGZ614" s="5" t="s">
        <v>3728</v>
      </c>
      <c r="SHA614" s="17">
        <v>44925</v>
      </c>
      <c r="SHB614" s="5" t="s">
        <v>3728</v>
      </c>
      <c r="SHC614" s="17">
        <v>44925</v>
      </c>
      <c r="SHD614" s="5" t="s">
        <v>3728</v>
      </c>
      <c r="SHE614" s="17">
        <v>44925</v>
      </c>
      <c r="SHF614" s="5" t="s">
        <v>3728</v>
      </c>
      <c r="SHG614" s="17">
        <v>44925</v>
      </c>
      <c r="SHH614" s="5" t="s">
        <v>3728</v>
      </c>
      <c r="SHI614" s="17">
        <v>44925</v>
      </c>
      <c r="SHJ614" s="5" t="s">
        <v>3728</v>
      </c>
      <c r="SHK614" s="17">
        <v>44925</v>
      </c>
      <c r="SHL614" s="5" t="s">
        <v>3728</v>
      </c>
      <c r="SHM614" s="17">
        <v>44925</v>
      </c>
      <c r="SHN614" s="5" t="s">
        <v>3728</v>
      </c>
      <c r="SHO614" s="17">
        <v>44925</v>
      </c>
      <c r="SHP614" s="5" t="s">
        <v>3728</v>
      </c>
      <c r="SHQ614" s="17">
        <v>44925</v>
      </c>
      <c r="SHR614" s="5" t="s">
        <v>3728</v>
      </c>
      <c r="SHS614" s="17">
        <v>44925</v>
      </c>
      <c r="SHT614" s="5" t="s">
        <v>3728</v>
      </c>
      <c r="SHU614" s="17">
        <v>44925</v>
      </c>
      <c r="SHV614" s="5" t="s">
        <v>3728</v>
      </c>
      <c r="SHW614" s="17">
        <v>44925</v>
      </c>
      <c r="SHX614" s="5" t="s">
        <v>3728</v>
      </c>
      <c r="SHY614" s="17">
        <v>44925</v>
      </c>
      <c r="SHZ614" s="5" t="s">
        <v>3728</v>
      </c>
      <c r="SIA614" s="17">
        <v>44925</v>
      </c>
      <c r="SIB614" s="5" t="s">
        <v>3728</v>
      </c>
      <c r="SIC614" s="17">
        <v>44925</v>
      </c>
      <c r="SID614" s="5" t="s">
        <v>3728</v>
      </c>
      <c r="SIE614" s="17">
        <v>44925</v>
      </c>
      <c r="SIF614" s="5" t="s">
        <v>3728</v>
      </c>
      <c r="SIG614" s="17">
        <v>44925</v>
      </c>
      <c r="SIH614" s="5" t="s">
        <v>3728</v>
      </c>
      <c r="SII614" s="17">
        <v>44925</v>
      </c>
      <c r="SIJ614" s="5" t="s">
        <v>3728</v>
      </c>
      <c r="SIK614" s="17">
        <v>44925</v>
      </c>
      <c r="SIL614" s="5" t="s">
        <v>3728</v>
      </c>
      <c r="SIM614" s="17">
        <v>44925</v>
      </c>
      <c r="SIN614" s="5" t="s">
        <v>3728</v>
      </c>
      <c r="SIO614" s="17">
        <v>44925</v>
      </c>
      <c r="SIP614" s="5" t="s">
        <v>3728</v>
      </c>
      <c r="SIQ614" s="17">
        <v>44925</v>
      </c>
      <c r="SIR614" s="5" t="s">
        <v>3728</v>
      </c>
      <c r="SIS614" s="17">
        <v>44925</v>
      </c>
      <c r="SIT614" s="5" t="s">
        <v>3728</v>
      </c>
      <c r="SIU614" s="17">
        <v>44925</v>
      </c>
      <c r="SIV614" s="5" t="s">
        <v>3728</v>
      </c>
      <c r="SIW614" s="17">
        <v>44925</v>
      </c>
      <c r="SIX614" s="5" t="s">
        <v>3728</v>
      </c>
      <c r="SIY614" s="17">
        <v>44925</v>
      </c>
      <c r="SIZ614" s="5" t="s">
        <v>3728</v>
      </c>
      <c r="SJA614" s="17">
        <v>44925</v>
      </c>
      <c r="SJB614" s="5" t="s">
        <v>3728</v>
      </c>
      <c r="SJC614" s="17">
        <v>44925</v>
      </c>
      <c r="SJD614" s="5" t="s">
        <v>3728</v>
      </c>
      <c r="SJE614" s="17">
        <v>44925</v>
      </c>
      <c r="SJF614" s="5" t="s">
        <v>3728</v>
      </c>
      <c r="SJG614" s="17">
        <v>44925</v>
      </c>
      <c r="SJH614" s="5" t="s">
        <v>3728</v>
      </c>
      <c r="SJI614" s="17">
        <v>44925</v>
      </c>
      <c r="SJJ614" s="5" t="s">
        <v>3728</v>
      </c>
      <c r="SJK614" s="17">
        <v>44925</v>
      </c>
      <c r="SJL614" s="5" t="s">
        <v>3728</v>
      </c>
      <c r="SJM614" s="17">
        <v>44925</v>
      </c>
      <c r="SJN614" s="5" t="s">
        <v>3728</v>
      </c>
      <c r="SJO614" s="17">
        <v>44925</v>
      </c>
      <c r="SJP614" s="5" t="s">
        <v>3728</v>
      </c>
      <c r="SJQ614" s="17">
        <v>44925</v>
      </c>
      <c r="SJR614" s="5" t="s">
        <v>3728</v>
      </c>
      <c r="SJS614" s="17">
        <v>44925</v>
      </c>
      <c r="SJT614" s="5" t="s">
        <v>3728</v>
      </c>
      <c r="SJU614" s="17">
        <v>44925</v>
      </c>
      <c r="SJV614" s="5" t="s">
        <v>3728</v>
      </c>
      <c r="SJW614" s="17">
        <v>44925</v>
      </c>
      <c r="SJX614" s="5" t="s">
        <v>3728</v>
      </c>
      <c r="SJY614" s="17">
        <v>44925</v>
      </c>
      <c r="SJZ614" s="5" t="s">
        <v>3728</v>
      </c>
      <c r="SKA614" s="17">
        <v>44925</v>
      </c>
      <c r="SKB614" s="5" t="s">
        <v>3728</v>
      </c>
      <c r="SKC614" s="17">
        <v>44925</v>
      </c>
      <c r="SKD614" s="5" t="s">
        <v>3728</v>
      </c>
      <c r="SKE614" s="17">
        <v>44925</v>
      </c>
      <c r="SKF614" s="5" t="s">
        <v>3728</v>
      </c>
      <c r="SKG614" s="17">
        <v>44925</v>
      </c>
      <c r="SKH614" s="5" t="s">
        <v>3728</v>
      </c>
      <c r="SKI614" s="17">
        <v>44925</v>
      </c>
      <c r="SKJ614" s="5" t="s">
        <v>3728</v>
      </c>
      <c r="SKK614" s="17">
        <v>44925</v>
      </c>
      <c r="SKL614" s="5" t="s">
        <v>3728</v>
      </c>
      <c r="SKM614" s="17">
        <v>44925</v>
      </c>
      <c r="SKN614" s="5" t="s">
        <v>3728</v>
      </c>
      <c r="SKO614" s="17">
        <v>44925</v>
      </c>
      <c r="SKP614" s="5" t="s">
        <v>3728</v>
      </c>
      <c r="SKQ614" s="17">
        <v>44925</v>
      </c>
      <c r="SKR614" s="5" t="s">
        <v>3728</v>
      </c>
      <c r="SKS614" s="17">
        <v>44925</v>
      </c>
      <c r="SKT614" s="5" t="s">
        <v>3728</v>
      </c>
      <c r="SKU614" s="17">
        <v>44925</v>
      </c>
      <c r="SKV614" s="5" t="s">
        <v>3728</v>
      </c>
      <c r="SKW614" s="17">
        <v>44925</v>
      </c>
      <c r="SKX614" s="5" t="s">
        <v>3728</v>
      </c>
      <c r="SKY614" s="17">
        <v>44925</v>
      </c>
      <c r="SKZ614" s="5" t="s">
        <v>3728</v>
      </c>
      <c r="SLA614" s="17">
        <v>44925</v>
      </c>
      <c r="SLB614" s="5" t="s">
        <v>3728</v>
      </c>
      <c r="SLC614" s="17">
        <v>44925</v>
      </c>
      <c r="SLD614" s="5" t="s">
        <v>3728</v>
      </c>
      <c r="SLE614" s="17">
        <v>44925</v>
      </c>
      <c r="SLF614" s="5" t="s">
        <v>3728</v>
      </c>
      <c r="SLG614" s="17">
        <v>44925</v>
      </c>
      <c r="SLH614" s="5" t="s">
        <v>3728</v>
      </c>
      <c r="SLI614" s="17">
        <v>44925</v>
      </c>
      <c r="SLJ614" s="5" t="s">
        <v>3728</v>
      </c>
      <c r="SLK614" s="17">
        <v>44925</v>
      </c>
      <c r="SLL614" s="5" t="s">
        <v>3728</v>
      </c>
      <c r="SLM614" s="17">
        <v>44925</v>
      </c>
      <c r="SLN614" s="5" t="s">
        <v>3728</v>
      </c>
      <c r="SLO614" s="17">
        <v>44925</v>
      </c>
      <c r="SLP614" s="5" t="s">
        <v>3728</v>
      </c>
      <c r="SLQ614" s="17">
        <v>44925</v>
      </c>
      <c r="SLR614" s="5" t="s">
        <v>3728</v>
      </c>
      <c r="SLS614" s="17">
        <v>44925</v>
      </c>
      <c r="SLT614" s="5" t="s">
        <v>3728</v>
      </c>
      <c r="SLU614" s="17">
        <v>44925</v>
      </c>
      <c r="SLV614" s="5" t="s">
        <v>3728</v>
      </c>
      <c r="SLW614" s="17">
        <v>44925</v>
      </c>
      <c r="SLX614" s="5" t="s">
        <v>3728</v>
      </c>
      <c r="SLY614" s="17">
        <v>44925</v>
      </c>
      <c r="SLZ614" s="5" t="s">
        <v>3728</v>
      </c>
      <c r="SMA614" s="17">
        <v>44925</v>
      </c>
      <c r="SMB614" s="5" t="s">
        <v>3728</v>
      </c>
      <c r="SMC614" s="17">
        <v>44925</v>
      </c>
      <c r="SMD614" s="5" t="s">
        <v>3728</v>
      </c>
      <c r="SME614" s="17">
        <v>44925</v>
      </c>
      <c r="SMF614" s="5" t="s">
        <v>3728</v>
      </c>
      <c r="SMG614" s="17">
        <v>44925</v>
      </c>
      <c r="SMH614" s="5" t="s">
        <v>3728</v>
      </c>
      <c r="SMI614" s="17">
        <v>44925</v>
      </c>
      <c r="SMJ614" s="5" t="s">
        <v>3728</v>
      </c>
      <c r="SMK614" s="17">
        <v>44925</v>
      </c>
      <c r="SML614" s="5" t="s">
        <v>3728</v>
      </c>
      <c r="SMM614" s="17">
        <v>44925</v>
      </c>
      <c r="SMN614" s="5" t="s">
        <v>3728</v>
      </c>
      <c r="SMO614" s="17">
        <v>44925</v>
      </c>
      <c r="SMP614" s="5" t="s">
        <v>3728</v>
      </c>
      <c r="SMQ614" s="17">
        <v>44925</v>
      </c>
      <c r="SMR614" s="5" t="s">
        <v>3728</v>
      </c>
      <c r="SMS614" s="17">
        <v>44925</v>
      </c>
      <c r="SMT614" s="5" t="s">
        <v>3728</v>
      </c>
      <c r="SMU614" s="17">
        <v>44925</v>
      </c>
      <c r="SMV614" s="5" t="s">
        <v>3728</v>
      </c>
      <c r="SMW614" s="17">
        <v>44925</v>
      </c>
      <c r="SMX614" s="5" t="s">
        <v>3728</v>
      </c>
      <c r="SMY614" s="17">
        <v>44925</v>
      </c>
      <c r="SMZ614" s="5" t="s">
        <v>3728</v>
      </c>
      <c r="SNA614" s="17">
        <v>44925</v>
      </c>
      <c r="SNB614" s="5" t="s">
        <v>3728</v>
      </c>
      <c r="SNC614" s="17">
        <v>44925</v>
      </c>
      <c r="SND614" s="5" t="s">
        <v>3728</v>
      </c>
      <c r="SNE614" s="17">
        <v>44925</v>
      </c>
      <c r="SNF614" s="5" t="s">
        <v>3728</v>
      </c>
      <c r="SNG614" s="17">
        <v>44925</v>
      </c>
      <c r="SNH614" s="5" t="s">
        <v>3728</v>
      </c>
      <c r="SNI614" s="17">
        <v>44925</v>
      </c>
      <c r="SNJ614" s="5" t="s">
        <v>3728</v>
      </c>
      <c r="SNK614" s="17">
        <v>44925</v>
      </c>
      <c r="SNL614" s="5" t="s">
        <v>3728</v>
      </c>
      <c r="SNM614" s="17">
        <v>44925</v>
      </c>
      <c r="SNN614" s="5" t="s">
        <v>3728</v>
      </c>
      <c r="SNO614" s="17">
        <v>44925</v>
      </c>
      <c r="SNP614" s="5" t="s">
        <v>3728</v>
      </c>
      <c r="SNQ614" s="17">
        <v>44925</v>
      </c>
      <c r="SNR614" s="5" t="s">
        <v>3728</v>
      </c>
      <c r="SNS614" s="17">
        <v>44925</v>
      </c>
      <c r="SNT614" s="5" t="s">
        <v>3728</v>
      </c>
      <c r="SNU614" s="17">
        <v>44925</v>
      </c>
      <c r="SNV614" s="5" t="s">
        <v>3728</v>
      </c>
      <c r="SNW614" s="17">
        <v>44925</v>
      </c>
      <c r="SNX614" s="5" t="s">
        <v>3728</v>
      </c>
      <c r="SNY614" s="17">
        <v>44925</v>
      </c>
      <c r="SNZ614" s="5" t="s">
        <v>3728</v>
      </c>
      <c r="SOA614" s="17">
        <v>44925</v>
      </c>
      <c r="SOB614" s="5" t="s">
        <v>3728</v>
      </c>
      <c r="SOC614" s="17">
        <v>44925</v>
      </c>
      <c r="SOD614" s="5" t="s">
        <v>3728</v>
      </c>
      <c r="SOE614" s="17">
        <v>44925</v>
      </c>
      <c r="SOF614" s="5" t="s">
        <v>3728</v>
      </c>
      <c r="SOG614" s="17">
        <v>44925</v>
      </c>
      <c r="SOH614" s="5" t="s">
        <v>3728</v>
      </c>
      <c r="SOI614" s="17">
        <v>44925</v>
      </c>
      <c r="SOJ614" s="5" t="s">
        <v>3728</v>
      </c>
      <c r="SOK614" s="17">
        <v>44925</v>
      </c>
      <c r="SOL614" s="5" t="s">
        <v>3728</v>
      </c>
      <c r="SOM614" s="17">
        <v>44925</v>
      </c>
      <c r="SON614" s="5" t="s">
        <v>3728</v>
      </c>
      <c r="SOO614" s="17">
        <v>44925</v>
      </c>
      <c r="SOP614" s="5" t="s">
        <v>3728</v>
      </c>
      <c r="SOQ614" s="17">
        <v>44925</v>
      </c>
      <c r="SOR614" s="5" t="s">
        <v>3728</v>
      </c>
      <c r="SOS614" s="17">
        <v>44925</v>
      </c>
      <c r="SOT614" s="5" t="s">
        <v>3728</v>
      </c>
      <c r="SOU614" s="17">
        <v>44925</v>
      </c>
      <c r="SOV614" s="5" t="s">
        <v>3728</v>
      </c>
      <c r="SOW614" s="17">
        <v>44925</v>
      </c>
      <c r="SOX614" s="5" t="s">
        <v>3728</v>
      </c>
      <c r="SOY614" s="17">
        <v>44925</v>
      </c>
      <c r="SOZ614" s="5" t="s">
        <v>3728</v>
      </c>
      <c r="SPA614" s="17">
        <v>44925</v>
      </c>
      <c r="SPB614" s="5" t="s">
        <v>3728</v>
      </c>
      <c r="SPC614" s="17">
        <v>44925</v>
      </c>
      <c r="SPD614" s="5" t="s">
        <v>3728</v>
      </c>
      <c r="SPE614" s="17">
        <v>44925</v>
      </c>
      <c r="SPF614" s="5" t="s">
        <v>3728</v>
      </c>
      <c r="SPG614" s="17">
        <v>44925</v>
      </c>
      <c r="SPH614" s="5" t="s">
        <v>3728</v>
      </c>
      <c r="SPI614" s="17">
        <v>44925</v>
      </c>
      <c r="SPJ614" s="5" t="s">
        <v>3728</v>
      </c>
      <c r="SPK614" s="17">
        <v>44925</v>
      </c>
      <c r="SPL614" s="5" t="s">
        <v>3728</v>
      </c>
      <c r="SPM614" s="17">
        <v>44925</v>
      </c>
      <c r="SPN614" s="5" t="s">
        <v>3728</v>
      </c>
      <c r="SPO614" s="17">
        <v>44925</v>
      </c>
      <c r="SPP614" s="5" t="s">
        <v>3728</v>
      </c>
      <c r="SPQ614" s="17">
        <v>44925</v>
      </c>
      <c r="SPR614" s="5" t="s">
        <v>3728</v>
      </c>
      <c r="SPS614" s="17">
        <v>44925</v>
      </c>
      <c r="SPT614" s="5" t="s">
        <v>3728</v>
      </c>
      <c r="SPU614" s="17">
        <v>44925</v>
      </c>
      <c r="SPV614" s="5" t="s">
        <v>3728</v>
      </c>
      <c r="SPW614" s="17">
        <v>44925</v>
      </c>
      <c r="SPX614" s="5" t="s">
        <v>3728</v>
      </c>
      <c r="SPY614" s="17">
        <v>44925</v>
      </c>
      <c r="SPZ614" s="5" t="s">
        <v>3728</v>
      </c>
      <c r="SQA614" s="17">
        <v>44925</v>
      </c>
      <c r="SQB614" s="5" t="s">
        <v>3728</v>
      </c>
      <c r="SQC614" s="17">
        <v>44925</v>
      </c>
      <c r="SQD614" s="5" t="s">
        <v>3728</v>
      </c>
      <c r="SQE614" s="17">
        <v>44925</v>
      </c>
      <c r="SQF614" s="5" t="s">
        <v>3728</v>
      </c>
      <c r="SQG614" s="17">
        <v>44925</v>
      </c>
      <c r="SQH614" s="5" t="s">
        <v>3728</v>
      </c>
      <c r="SQI614" s="17">
        <v>44925</v>
      </c>
      <c r="SQJ614" s="5" t="s">
        <v>3728</v>
      </c>
      <c r="SQK614" s="17">
        <v>44925</v>
      </c>
      <c r="SQL614" s="5" t="s">
        <v>3728</v>
      </c>
      <c r="SQM614" s="17">
        <v>44925</v>
      </c>
      <c r="SQN614" s="5" t="s">
        <v>3728</v>
      </c>
      <c r="SQO614" s="17">
        <v>44925</v>
      </c>
      <c r="SQP614" s="5" t="s">
        <v>3728</v>
      </c>
      <c r="SQQ614" s="17">
        <v>44925</v>
      </c>
      <c r="SQR614" s="5" t="s">
        <v>3728</v>
      </c>
      <c r="SQS614" s="17">
        <v>44925</v>
      </c>
      <c r="SQT614" s="5" t="s">
        <v>3728</v>
      </c>
      <c r="SQU614" s="17">
        <v>44925</v>
      </c>
      <c r="SQV614" s="5" t="s">
        <v>3728</v>
      </c>
      <c r="SQW614" s="17">
        <v>44925</v>
      </c>
      <c r="SQX614" s="5" t="s">
        <v>3728</v>
      </c>
      <c r="SQY614" s="17">
        <v>44925</v>
      </c>
      <c r="SQZ614" s="5" t="s">
        <v>3728</v>
      </c>
      <c r="SRA614" s="17">
        <v>44925</v>
      </c>
      <c r="SRB614" s="5" t="s">
        <v>3728</v>
      </c>
      <c r="SRC614" s="17">
        <v>44925</v>
      </c>
      <c r="SRD614" s="5" t="s">
        <v>3728</v>
      </c>
      <c r="SRE614" s="17">
        <v>44925</v>
      </c>
      <c r="SRF614" s="5" t="s">
        <v>3728</v>
      </c>
      <c r="SRG614" s="17">
        <v>44925</v>
      </c>
      <c r="SRH614" s="5" t="s">
        <v>3728</v>
      </c>
      <c r="SRI614" s="17">
        <v>44925</v>
      </c>
      <c r="SRJ614" s="5" t="s">
        <v>3728</v>
      </c>
      <c r="SRK614" s="17">
        <v>44925</v>
      </c>
      <c r="SRL614" s="5" t="s">
        <v>3728</v>
      </c>
      <c r="SRM614" s="17">
        <v>44925</v>
      </c>
      <c r="SRN614" s="5" t="s">
        <v>3728</v>
      </c>
      <c r="SRO614" s="17">
        <v>44925</v>
      </c>
      <c r="SRP614" s="5" t="s">
        <v>3728</v>
      </c>
      <c r="SRQ614" s="17">
        <v>44925</v>
      </c>
      <c r="SRR614" s="5" t="s">
        <v>3728</v>
      </c>
      <c r="SRS614" s="17">
        <v>44925</v>
      </c>
      <c r="SRT614" s="5" t="s">
        <v>3728</v>
      </c>
      <c r="SRU614" s="17">
        <v>44925</v>
      </c>
      <c r="SRV614" s="5" t="s">
        <v>3728</v>
      </c>
      <c r="SRW614" s="17">
        <v>44925</v>
      </c>
      <c r="SRX614" s="5" t="s">
        <v>3728</v>
      </c>
      <c r="SRY614" s="17">
        <v>44925</v>
      </c>
      <c r="SRZ614" s="5" t="s">
        <v>3728</v>
      </c>
      <c r="SSA614" s="17">
        <v>44925</v>
      </c>
      <c r="SSB614" s="5" t="s">
        <v>3728</v>
      </c>
      <c r="SSC614" s="17">
        <v>44925</v>
      </c>
      <c r="SSD614" s="5" t="s">
        <v>3728</v>
      </c>
      <c r="SSE614" s="17">
        <v>44925</v>
      </c>
      <c r="SSF614" s="5" t="s">
        <v>3728</v>
      </c>
      <c r="SSG614" s="17">
        <v>44925</v>
      </c>
      <c r="SSH614" s="5" t="s">
        <v>3728</v>
      </c>
      <c r="SSI614" s="17">
        <v>44925</v>
      </c>
      <c r="SSJ614" s="5" t="s">
        <v>3728</v>
      </c>
      <c r="SSK614" s="17">
        <v>44925</v>
      </c>
      <c r="SSL614" s="5" t="s">
        <v>3728</v>
      </c>
      <c r="SSM614" s="17">
        <v>44925</v>
      </c>
      <c r="SSN614" s="5" t="s">
        <v>3728</v>
      </c>
      <c r="SSO614" s="17">
        <v>44925</v>
      </c>
      <c r="SSP614" s="5" t="s">
        <v>3728</v>
      </c>
      <c r="SSQ614" s="17">
        <v>44925</v>
      </c>
      <c r="SSR614" s="5" t="s">
        <v>3728</v>
      </c>
      <c r="SSS614" s="17">
        <v>44925</v>
      </c>
      <c r="SST614" s="5" t="s">
        <v>3728</v>
      </c>
      <c r="SSU614" s="17">
        <v>44925</v>
      </c>
      <c r="SSV614" s="5" t="s">
        <v>3728</v>
      </c>
      <c r="SSW614" s="17">
        <v>44925</v>
      </c>
      <c r="SSX614" s="5" t="s">
        <v>3728</v>
      </c>
      <c r="SSY614" s="17">
        <v>44925</v>
      </c>
      <c r="SSZ614" s="5" t="s">
        <v>3728</v>
      </c>
      <c r="STA614" s="17">
        <v>44925</v>
      </c>
      <c r="STB614" s="5" t="s">
        <v>3728</v>
      </c>
      <c r="STC614" s="17">
        <v>44925</v>
      </c>
      <c r="STD614" s="5" t="s">
        <v>3728</v>
      </c>
      <c r="STE614" s="17">
        <v>44925</v>
      </c>
      <c r="STF614" s="5" t="s">
        <v>3728</v>
      </c>
      <c r="STG614" s="17">
        <v>44925</v>
      </c>
      <c r="STH614" s="5" t="s">
        <v>3728</v>
      </c>
      <c r="STI614" s="17">
        <v>44925</v>
      </c>
      <c r="STJ614" s="5" t="s">
        <v>3728</v>
      </c>
      <c r="STK614" s="17">
        <v>44925</v>
      </c>
      <c r="STL614" s="5" t="s">
        <v>3728</v>
      </c>
      <c r="STM614" s="17">
        <v>44925</v>
      </c>
      <c r="STN614" s="5" t="s">
        <v>3728</v>
      </c>
      <c r="STO614" s="17">
        <v>44925</v>
      </c>
      <c r="STP614" s="5" t="s">
        <v>3728</v>
      </c>
      <c r="STQ614" s="17">
        <v>44925</v>
      </c>
      <c r="STR614" s="5" t="s">
        <v>3728</v>
      </c>
      <c r="STS614" s="17">
        <v>44925</v>
      </c>
      <c r="STT614" s="5" t="s">
        <v>3728</v>
      </c>
      <c r="STU614" s="17">
        <v>44925</v>
      </c>
      <c r="STV614" s="5" t="s">
        <v>3728</v>
      </c>
      <c r="STW614" s="17">
        <v>44925</v>
      </c>
      <c r="STX614" s="5" t="s">
        <v>3728</v>
      </c>
      <c r="STY614" s="17">
        <v>44925</v>
      </c>
      <c r="STZ614" s="5" t="s">
        <v>3728</v>
      </c>
      <c r="SUA614" s="17">
        <v>44925</v>
      </c>
      <c r="SUB614" s="5" t="s">
        <v>3728</v>
      </c>
      <c r="SUC614" s="17">
        <v>44925</v>
      </c>
      <c r="SUD614" s="5" t="s">
        <v>3728</v>
      </c>
      <c r="SUE614" s="17">
        <v>44925</v>
      </c>
      <c r="SUF614" s="5" t="s">
        <v>3728</v>
      </c>
      <c r="SUG614" s="17">
        <v>44925</v>
      </c>
      <c r="SUH614" s="5" t="s">
        <v>3728</v>
      </c>
      <c r="SUI614" s="17">
        <v>44925</v>
      </c>
      <c r="SUJ614" s="5" t="s">
        <v>3728</v>
      </c>
      <c r="SUK614" s="17">
        <v>44925</v>
      </c>
      <c r="SUL614" s="5" t="s">
        <v>3728</v>
      </c>
      <c r="SUM614" s="17">
        <v>44925</v>
      </c>
      <c r="SUN614" s="5" t="s">
        <v>3728</v>
      </c>
      <c r="SUO614" s="17">
        <v>44925</v>
      </c>
      <c r="SUP614" s="5" t="s">
        <v>3728</v>
      </c>
      <c r="SUQ614" s="17">
        <v>44925</v>
      </c>
      <c r="SUR614" s="5" t="s">
        <v>3728</v>
      </c>
      <c r="SUS614" s="17">
        <v>44925</v>
      </c>
      <c r="SUT614" s="5" t="s">
        <v>3728</v>
      </c>
      <c r="SUU614" s="17">
        <v>44925</v>
      </c>
      <c r="SUV614" s="5" t="s">
        <v>3728</v>
      </c>
      <c r="SUW614" s="17">
        <v>44925</v>
      </c>
      <c r="SUX614" s="5" t="s">
        <v>3728</v>
      </c>
      <c r="SUY614" s="17">
        <v>44925</v>
      </c>
      <c r="SUZ614" s="5" t="s">
        <v>3728</v>
      </c>
      <c r="SVA614" s="17">
        <v>44925</v>
      </c>
      <c r="SVB614" s="5" t="s">
        <v>3728</v>
      </c>
      <c r="SVC614" s="17">
        <v>44925</v>
      </c>
      <c r="SVD614" s="5" t="s">
        <v>3728</v>
      </c>
      <c r="SVE614" s="17">
        <v>44925</v>
      </c>
      <c r="SVF614" s="5" t="s">
        <v>3728</v>
      </c>
      <c r="SVG614" s="17">
        <v>44925</v>
      </c>
      <c r="SVH614" s="5" t="s">
        <v>3728</v>
      </c>
      <c r="SVI614" s="17">
        <v>44925</v>
      </c>
      <c r="SVJ614" s="5" t="s">
        <v>3728</v>
      </c>
      <c r="SVK614" s="17">
        <v>44925</v>
      </c>
      <c r="SVL614" s="5" t="s">
        <v>3728</v>
      </c>
      <c r="SVM614" s="17">
        <v>44925</v>
      </c>
      <c r="SVN614" s="5" t="s">
        <v>3728</v>
      </c>
      <c r="SVO614" s="17">
        <v>44925</v>
      </c>
      <c r="SVP614" s="5" t="s">
        <v>3728</v>
      </c>
      <c r="SVQ614" s="17">
        <v>44925</v>
      </c>
      <c r="SVR614" s="5" t="s">
        <v>3728</v>
      </c>
      <c r="SVS614" s="17">
        <v>44925</v>
      </c>
      <c r="SVT614" s="5" t="s">
        <v>3728</v>
      </c>
      <c r="SVU614" s="17">
        <v>44925</v>
      </c>
      <c r="SVV614" s="5" t="s">
        <v>3728</v>
      </c>
      <c r="SVW614" s="17">
        <v>44925</v>
      </c>
      <c r="SVX614" s="5" t="s">
        <v>3728</v>
      </c>
      <c r="SVY614" s="17">
        <v>44925</v>
      </c>
      <c r="SVZ614" s="5" t="s">
        <v>3728</v>
      </c>
      <c r="SWA614" s="17">
        <v>44925</v>
      </c>
      <c r="SWB614" s="5" t="s">
        <v>3728</v>
      </c>
      <c r="SWC614" s="17">
        <v>44925</v>
      </c>
      <c r="SWD614" s="5" t="s">
        <v>3728</v>
      </c>
      <c r="SWE614" s="17">
        <v>44925</v>
      </c>
      <c r="SWF614" s="5" t="s">
        <v>3728</v>
      </c>
      <c r="SWG614" s="17">
        <v>44925</v>
      </c>
      <c r="SWH614" s="5" t="s">
        <v>3728</v>
      </c>
      <c r="SWI614" s="17">
        <v>44925</v>
      </c>
      <c r="SWJ614" s="5" t="s">
        <v>3728</v>
      </c>
      <c r="SWK614" s="17">
        <v>44925</v>
      </c>
      <c r="SWL614" s="5" t="s">
        <v>3728</v>
      </c>
      <c r="SWM614" s="17">
        <v>44925</v>
      </c>
      <c r="SWN614" s="5" t="s">
        <v>3728</v>
      </c>
      <c r="SWO614" s="17">
        <v>44925</v>
      </c>
      <c r="SWP614" s="5" t="s">
        <v>3728</v>
      </c>
      <c r="SWQ614" s="17">
        <v>44925</v>
      </c>
      <c r="SWR614" s="5" t="s">
        <v>3728</v>
      </c>
      <c r="SWS614" s="17">
        <v>44925</v>
      </c>
      <c r="SWT614" s="5" t="s">
        <v>3728</v>
      </c>
      <c r="SWU614" s="17">
        <v>44925</v>
      </c>
      <c r="SWV614" s="5" t="s">
        <v>3728</v>
      </c>
      <c r="SWW614" s="17">
        <v>44925</v>
      </c>
      <c r="SWX614" s="5" t="s">
        <v>3728</v>
      </c>
      <c r="SWY614" s="17">
        <v>44925</v>
      </c>
      <c r="SWZ614" s="5" t="s">
        <v>3728</v>
      </c>
      <c r="SXA614" s="17">
        <v>44925</v>
      </c>
      <c r="SXB614" s="5" t="s">
        <v>3728</v>
      </c>
      <c r="SXC614" s="17">
        <v>44925</v>
      </c>
      <c r="SXD614" s="5" t="s">
        <v>3728</v>
      </c>
      <c r="SXE614" s="17">
        <v>44925</v>
      </c>
      <c r="SXF614" s="5" t="s">
        <v>3728</v>
      </c>
      <c r="SXG614" s="17">
        <v>44925</v>
      </c>
      <c r="SXH614" s="5" t="s">
        <v>3728</v>
      </c>
      <c r="SXI614" s="17">
        <v>44925</v>
      </c>
      <c r="SXJ614" s="5" t="s">
        <v>3728</v>
      </c>
      <c r="SXK614" s="17">
        <v>44925</v>
      </c>
      <c r="SXL614" s="5" t="s">
        <v>3728</v>
      </c>
      <c r="SXM614" s="17">
        <v>44925</v>
      </c>
      <c r="SXN614" s="5" t="s">
        <v>3728</v>
      </c>
      <c r="SXO614" s="17">
        <v>44925</v>
      </c>
      <c r="SXP614" s="5" t="s">
        <v>3728</v>
      </c>
      <c r="SXQ614" s="17">
        <v>44925</v>
      </c>
      <c r="SXR614" s="5" t="s">
        <v>3728</v>
      </c>
      <c r="SXS614" s="17">
        <v>44925</v>
      </c>
      <c r="SXT614" s="5" t="s">
        <v>3728</v>
      </c>
      <c r="SXU614" s="17">
        <v>44925</v>
      </c>
      <c r="SXV614" s="5" t="s">
        <v>3728</v>
      </c>
      <c r="SXW614" s="17">
        <v>44925</v>
      </c>
      <c r="SXX614" s="5" t="s">
        <v>3728</v>
      </c>
      <c r="SXY614" s="17">
        <v>44925</v>
      </c>
      <c r="SXZ614" s="5" t="s">
        <v>3728</v>
      </c>
      <c r="SYA614" s="17">
        <v>44925</v>
      </c>
      <c r="SYB614" s="5" t="s">
        <v>3728</v>
      </c>
      <c r="SYC614" s="17">
        <v>44925</v>
      </c>
      <c r="SYD614" s="5" t="s">
        <v>3728</v>
      </c>
      <c r="SYE614" s="17">
        <v>44925</v>
      </c>
      <c r="SYF614" s="5" t="s">
        <v>3728</v>
      </c>
      <c r="SYG614" s="17">
        <v>44925</v>
      </c>
      <c r="SYH614" s="5" t="s">
        <v>3728</v>
      </c>
      <c r="SYI614" s="17">
        <v>44925</v>
      </c>
      <c r="SYJ614" s="5" t="s">
        <v>3728</v>
      </c>
      <c r="SYK614" s="17">
        <v>44925</v>
      </c>
      <c r="SYL614" s="5" t="s">
        <v>3728</v>
      </c>
      <c r="SYM614" s="17">
        <v>44925</v>
      </c>
      <c r="SYN614" s="5" t="s">
        <v>3728</v>
      </c>
      <c r="SYO614" s="17">
        <v>44925</v>
      </c>
      <c r="SYP614" s="5" t="s">
        <v>3728</v>
      </c>
      <c r="SYQ614" s="17">
        <v>44925</v>
      </c>
      <c r="SYR614" s="5" t="s">
        <v>3728</v>
      </c>
      <c r="SYS614" s="17">
        <v>44925</v>
      </c>
      <c r="SYT614" s="5" t="s">
        <v>3728</v>
      </c>
      <c r="SYU614" s="17">
        <v>44925</v>
      </c>
      <c r="SYV614" s="5" t="s">
        <v>3728</v>
      </c>
      <c r="SYW614" s="17">
        <v>44925</v>
      </c>
      <c r="SYX614" s="5" t="s">
        <v>3728</v>
      </c>
      <c r="SYY614" s="17">
        <v>44925</v>
      </c>
      <c r="SYZ614" s="5" t="s">
        <v>3728</v>
      </c>
      <c r="SZA614" s="17">
        <v>44925</v>
      </c>
      <c r="SZB614" s="5" t="s">
        <v>3728</v>
      </c>
      <c r="SZC614" s="17">
        <v>44925</v>
      </c>
      <c r="SZD614" s="5" t="s">
        <v>3728</v>
      </c>
      <c r="SZE614" s="17">
        <v>44925</v>
      </c>
      <c r="SZF614" s="5" t="s">
        <v>3728</v>
      </c>
      <c r="SZG614" s="17">
        <v>44925</v>
      </c>
      <c r="SZH614" s="5" t="s">
        <v>3728</v>
      </c>
      <c r="SZI614" s="17">
        <v>44925</v>
      </c>
      <c r="SZJ614" s="5" t="s">
        <v>3728</v>
      </c>
      <c r="SZK614" s="17">
        <v>44925</v>
      </c>
      <c r="SZL614" s="5" t="s">
        <v>3728</v>
      </c>
      <c r="SZM614" s="17">
        <v>44925</v>
      </c>
      <c r="SZN614" s="5" t="s">
        <v>3728</v>
      </c>
      <c r="SZO614" s="17">
        <v>44925</v>
      </c>
      <c r="SZP614" s="5" t="s">
        <v>3728</v>
      </c>
      <c r="SZQ614" s="17">
        <v>44925</v>
      </c>
      <c r="SZR614" s="5" t="s">
        <v>3728</v>
      </c>
      <c r="SZS614" s="17">
        <v>44925</v>
      </c>
      <c r="SZT614" s="5" t="s">
        <v>3728</v>
      </c>
      <c r="SZU614" s="17">
        <v>44925</v>
      </c>
      <c r="SZV614" s="5" t="s">
        <v>3728</v>
      </c>
      <c r="SZW614" s="17">
        <v>44925</v>
      </c>
      <c r="SZX614" s="5" t="s">
        <v>3728</v>
      </c>
      <c r="SZY614" s="17">
        <v>44925</v>
      </c>
      <c r="SZZ614" s="5" t="s">
        <v>3728</v>
      </c>
      <c r="TAA614" s="17">
        <v>44925</v>
      </c>
      <c r="TAB614" s="5" t="s">
        <v>3728</v>
      </c>
      <c r="TAC614" s="17">
        <v>44925</v>
      </c>
      <c r="TAD614" s="5" t="s">
        <v>3728</v>
      </c>
      <c r="TAE614" s="17">
        <v>44925</v>
      </c>
      <c r="TAF614" s="5" t="s">
        <v>3728</v>
      </c>
      <c r="TAG614" s="17">
        <v>44925</v>
      </c>
      <c r="TAH614" s="5" t="s">
        <v>3728</v>
      </c>
      <c r="TAI614" s="17">
        <v>44925</v>
      </c>
      <c r="TAJ614" s="5" t="s">
        <v>3728</v>
      </c>
      <c r="TAK614" s="17">
        <v>44925</v>
      </c>
      <c r="TAL614" s="5" t="s">
        <v>3728</v>
      </c>
      <c r="TAM614" s="17">
        <v>44925</v>
      </c>
      <c r="TAN614" s="5" t="s">
        <v>3728</v>
      </c>
      <c r="TAO614" s="17">
        <v>44925</v>
      </c>
      <c r="TAP614" s="5" t="s">
        <v>3728</v>
      </c>
      <c r="TAQ614" s="17">
        <v>44925</v>
      </c>
      <c r="TAR614" s="5" t="s">
        <v>3728</v>
      </c>
      <c r="TAS614" s="17">
        <v>44925</v>
      </c>
      <c r="TAT614" s="5" t="s">
        <v>3728</v>
      </c>
      <c r="TAU614" s="17">
        <v>44925</v>
      </c>
      <c r="TAV614" s="5" t="s">
        <v>3728</v>
      </c>
      <c r="TAW614" s="17">
        <v>44925</v>
      </c>
      <c r="TAX614" s="5" t="s">
        <v>3728</v>
      </c>
      <c r="TAY614" s="17">
        <v>44925</v>
      </c>
      <c r="TAZ614" s="5" t="s">
        <v>3728</v>
      </c>
      <c r="TBA614" s="17">
        <v>44925</v>
      </c>
      <c r="TBB614" s="5" t="s">
        <v>3728</v>
      </c>
      <c r="TBC614" s="17">
        <v>44925</v>
      </c>
      <c r="TBD614" s="5" t="s">
        <v>3728</v>
      </c>
      <c r="TBE614" s="17">
        <v>44925</v>
      </c>
      <c r="TBF614" s="5" t="s">
        <v>3728</v>
      </c>
      <c r="TBG614" s="17">
        <v>44925</v>
      </c>
      <c r="TBH614" s="5" t="s">
        <v>3728</v>
      </c>
      <c r="TBI614" s="17">
        <v>44925</v>
      </c>
      <c r="TBJ614" s="5" t="s">
        <v>3728</v>
      </c>
      <c r="TBK614" s="17">
        <v>44925</v>
      </c>
      <c r="TBL614" s="5" t="s">
        <v>3728</v>
      </c>
      <c r="TBM614" s="17">
        <v>44925</v>
      </c>
      <c r="TBN614" s="5" t="s">
        <v>3728</v>
      </c>
      <c r="TBO614" s="17">
        <v>44925</v>
      </c>
      <c r="TBP614" s="5" t="s">
        <v>3728</v>
      </c>
      <c r="TBQ614" s="17">
        <v>44925</v>
      </c>
      <c r="TBR614" s="5" t="s">
        <v>3728</v>
      </c>
      <c r="TBS614" s="17">
        <v>44925</v>
      </c>
      <c r="TBT614" s="5" t="s">
        <v>3728</v>
      </c>
      <c r="TBU614" s="17">
        <v>44925</v>
      </c>
      <c r="TBV614" s="5" t="s">
        <v>3728</v>
      </c>
      <c r="TBW614" s="17">
        <v>44925</v>
      </c>
      <c r="TBX614" s="5" t="s">
        <v>3728</v>
      </c>
      <c r="TBY614" s="17">
        <v>44925</v>
      </c>
      <c r="TBZ614" s="5" t="s">
        <v>3728</v>
      </c>
      <c r="TCA614" s="17">
        <v>44925</v>
      </c>
      <c r="TCB614" s="5" t="s">
        <v>3728</v>
      </c>
      <c r="TCC614" s="17">
        <v>44925</v>
      </c>
      <c r="TCD614" s="5" t="s">
        <v>3728</v>
      </c>
      <c r="TCE614" s="17">
        <v>44925</v>
      </c>
      <c r="TCF614" s="5" t="s">
        <v>3728</v>
      </c>
      <c r="TCG614" s="17">
        <v>44925</v>
      </c>
      <c r="TCH614" s="5" t="s">
        <v>3728</v>
      </c>
      <c r="TCI614" s="17">
        <v>44925</v>
      </c>
      <c r="TCJ614" s="5" t="s">
        <v>3728</v>
      </c>
      <c r="TCK614" s="17">
        <v>44925</v>
      </c>
      <c r="TCL614" s="5" t="s">
        <v>3728</v>
      </c>
      <c r="TCM614" s="17">
        <v>44925</v>
      </c>
      <c r="TCN614" s="5" t="s">
        <v>3728</v>
      </c>
      <c r="TCO614" s="17">
        <v>44925</v>
      </c>
      <c r="TCP614" s="5" t="s">
        <v>3728</v>
      </c>
      <c r="TCQ614" s="17">
        <v>44925</v>
      </c>
      <c r="TCR614" s="5" t="s">
        <v>3728</v>
      </c>
      <c r="TCS614" s="17">
        <v>44925</v>
      </c>
      <c r="TCT614" s="5" t="s">
        <v>3728</v>
      </c>
      <c r="TCU614" s="17">
        <v>44925</v>
      </c>
      <c r="TCV614" s="5" t="s">
        <v>3728</v>
      </c>
      <c r="TCW614" s="17">
        <v>44925</v>
      </c>
      <c r="TCX614" s="5" t="s">
        <v>3728</v>
      </c>
      <c r="TCY614" s="17">
        <v>44925</v>
      </c>
      <c r="TCZ614" s="5" t="s">
        <v>3728</v>
      </c>
      <c r="TDA614" s="17">
        <v>44925</v>
      </c>
      <c r="TDB614" s="5" t="s">
        <v>3728</v>
      </c>
      <c r="TDC614" s="17">
        <v>44925</v>
      </c>
      <c r="TDD614" s="5" t="s">
        <v>3728</v>
      </c>
      <c r="TDE614" s="17">
        <v>44925</v>
      </c>
      <c r="TDF614" s="5" t="s">
        <v>3728</v>
      </c>
      <c r="TDG614" s="17">
        <v>44925</v>
      </c>
      <c r="TDH614" s="5" t="s">
        <v>3728</v>
      </c>
      <c r="TDI614" s="17">
        <v>44925</v>
      </c>
      <c r="TDJ614" s="5" t="s">
        <v>3728</v>
      </c>
      <c r="TDK614" s="17">
        <v>44925</v>
      </c>
      <c r="TDL614" s="5" t="s">
        <v>3728</v>
      </c>
      <c r="TDM614" s="17">
        <v>44925</v>
      </c>
      <c r="TDN614" s="5" t="s">
        <v>3728</v>
      </c>
      <c r="TDO614" s="17">
        <v>44925</v>
      </c>
      <c r="TDP614" s="5" t="s">
        <v>3728</v>
      </c>
      <c r="TDQ614" s="17">
        <v>44925</v>
      </c>
      <c r="TDR614" s="5" t="s">
        <v>3728</v>
      </c>
      <c r="TDS614" s="17">
        <v>44925</v>
      </c>
      <c r="TDT614" s="5" t="s">
        <v>3728</v>
      </c>
      <c r="TDU614" s="17">
        <v>44925</v>
      </c>
      <c r="TDV614" s="5" t="s">
        <v>3728</v>
      </c>
      <c r="TDW614" s="17">
        <v>44925</v>
      </c>
      <c r="TDX614" s="5" t="s">
        <v>3728</v>
      </c>
      <c r="TDY614" s="17">
        <v>44925</v>
      </c>
      <c r="TDZ614" s="5" t="s">
        <v>3728</v>
      </c>
      <c r="TEA614" s="17">
        <v>44925</v>
      </c>
      <c r="TEB614" s="5" t="s">
        <v>3728</v>
      </c>
      <c r="TEC614" s="17">
        <v>44925</v>
      </c>
      <c r="TED614" s="5" t="s">
        <v>3728</v>
      </c>
      <c r="TEE614" s="17">
        <v>44925</v>
      </c>
      <c r="TEF614" s="5" t="s">
        <v>3728</v>
      </c>
      <c r="TEG614" s="17">
        <v>44925</v>
      </c>
      <c r="TEH614" s="5" t="s">
        <v>3728</v>
      </c>
      <c r="TEI614" s="17">
        <v>44925</v>
      </c>
      <c r="TEJ614" s="5" t="s">
        <v>3728</v>
      </c>
      <c r="TEK614" s="17">
        <v>44925</v>
      </c>
      <c r="TEL614" s="5" t="s">
        <v>3728</v>
      </c>
      <c r="TEM614" s="17">
        <v>44925</v>
      </c>
      <c r="TEN614" s="5" t="s">
        <v>3728</v>
      </c>
      <c r="TEO614" s="17">
        <v>44925</v>
      </c>
      <c r="TEP614" s="5" t="s">
        <v>3728</v>
      </c>
      <c r="TEQ614" s="17">
        <v>44925</v>
      </c>
      <c r="TER614" s="5" t="s">
        <v>3728</v>
      </c>
      <c r="TES614" s="17">
        <v>44925</v>
      </c>
      <c r="TET614" s="5" t="s">
        <v>3728</v>
      </c>
      <c r="TEU614" s="17">
        <v>44925</v>
      </c>
      <c r="TEV614" s="5" t="s">
        <v>3728</v>
      </c>
      <c r="TEW614" s="17">
        <v>44925</v>
      </c>
      <c r="TEX614" s="5" t="s">
        <v>3728</v>
      </c>
      <c r="TEY614" s="17">
        <v>44925</v>
      </c>
      <c r="TEZ614" s="5" t="s">
        <v>3728</v>
      </c>
      <c r="TFA614" s="17">
        <v>44925</v>
      </c>
      <c r="TFB614" s="5" t="s">
        <v>3728</v>
      </c>
      <c r="TFC614" s="17">
        <v>44925</v>
      </c>
      <c r="TFD614" s="5" t="s">
        <v>3728</v>
      </c>
      <c r="TFE614" s="17">
        <v>44925</v>
      </c>
      <c r="TFF614" s="5" t="s">
        <v>3728</v>
      </c>
      <c r="TFG614" s="17">
        <v>44925</v>
      </c>
      <c r="TFH614" s="5" t="s">
        <v>3728</v>
      </c>
      <c r="TFI614" s="17">
        <v>44925</v>
      </c>
      <c r="TFJ614" s="5" t="s">
        <v>3728</v>
      </c>
      <c r="TFK614" s="17">
        <v>44925</v>
      </c>
      <c r="TFL614" s="5" t="s">
        <v>3728</v>
      </c>
      <c r="TFM614" s="17">
        <v>44925</v>
      </c>
      <c r="TFN614" s="5" t="s">
        <v>3728</v>
      </c>
      <c r="TFO614" s="17">
        <v>44925</v>
      </c>
      <c r="TFP614" s="5" t="s">
        <v>3728</v>
      </c>
      <c r="TFQ614" s="17">
        <v>44925</v>
      </c>
      <c r="TFR614" s="5" t="s">
        <v>3728</v>
      </c>
      <c r="TFS614" s="17">
        <v>44925</v>
      </c>
      <c r="TFT614" s="5" t="s">
        <v>3728</v>
      </c>
      <c r="TFU614" s="17">
        <v>44925</v>
      </c>
      <c r="TFV614" s="5" t="s">
        <v>3728</v>
      </c>
      <c r="TFW614" s="17">
        <v>44925</v>
      </c>
      <c r="TFX614" s="5" t="s">
        <v>3728</v>
      </c>
      <c r="TFY614" s="17">
        <v>44925</v>
      </c>
      <c r="TFZ614" s="5" t="s">
        <v>3728</v>
      </c>
      <c r="TGA614" s="17">
        <v>44925</v>
      </c>
      <c r="TGB614" s="5" t="s">
        <v>3728</v>
      </c>
      <c r="TGC614" s="17">
        <v>44925</v>
      </c>
      <c r="TGD614" s="5" t="s">
        <v>3728</v>
      </c>
      <c r="TGE614" s="17">
        <v>44925</v>
      </c>
      <c r="TGF614" s="5" t="s">
        <v>3728</v>
      </c>
      <c r="TGG614" s="17">
        <v>44925</v>
      </c>
      <c r="TGH614" s="5" t="s">
        <v>3728</v>
      </c>
      <c r="TGI614" s="17">
        <v>44925</v>
      </c>
      <c r="TGJ614" s="5" t="s">
        <v>3728</v>
      </c>
      <c r="TGK614" s="17">
        <v>44925</v>
      </c>
      <c r="TGL614" s="5" t="s">
        <v>3728</v>
      </c>
      <c r="TGM614" s="17">
        <v>44925</v>
      </c>
      <c r="TGN614" s="5" t="s">
        <v>3728</v>
      </c>
      <c r="TGO614" s="17">
        <v>44925</v>
      </c>
      <c r="TGP614" s="5" t="s">
        <v>3728</v>
      </c>
      <c r="TGQ614" s="17">
        <v>44925</v>
      </c>
      <c r="TGR614" s="5" t="s">
        <v>3728</v>
      </c>
      <c r="TGS614" s="17">
        <v>44925</v>
      </c>
      <c r="TGT614" s="5" t="s">
        <v>3728</v>
      </c>
      <c r="TGU614" s="17">
        <v>44925</v>
      </c>
      <c r="TGV614" s="5" t="s">
        <v>3728</v>
      </c>
      <c r="TGW614" s="17">
        <v>44925</v>
      </c>
      <c r="TGX614" s="5" t="s">
        <v>3728</v>
      </c>
      <c r="TGY614" s="17">
        <v>44925</v>
      </c>
      <c r="TGZ614" s="5" t="s">
        <v>3728</v>
      </c>
      <c r="THA614" s="17">
        <v>44925</v>
      </c>
      <c r="THB614" s="5" t="s">
        <v>3728</v>
      </c>
      <c r="THC614" s="17">
        <v>44925</v>
      </c>
      <c r="THD614" s="5" t="s">
        <v>3728</v>
      </c>
      <c r="THE614" s="17">
        <v>44925</v>
      </c>
      <c r="THF614" s="5" t="s">
        <v>3728</v>
      </c>
      <c r="THG614" s="17">
        <v>44925</v>
      </c>
      <c r="THH614" s="5" t="s">
        <v>3728</v>
      </c>
      <c r="THI614" s="17">
        <v>44925</v>
      </c>
      <c r="THJ614" s="5" t="s">
        <v>3728</v>
      </c>
      <c r="THK614" s="17">
        <v>44925</v>
      </c>
      <c r="THL614" s="5" t="s">
        <v>3728</v>
      </c>
      <c r="THM614" s="17">
        <v>44925</v>
      </c>
      <c r="THN614" s="5" t="s">
        <v>3728</v>
      </c>
      <c r="THO614" s="17">
        <v>44925</v>
      </c>
      <c r="THP614" s="5" t="s">
        <v>3728</v>
      </c>
      <c r="THQ614" s="17">
        <v>44925</v>
      </c>
      <c r="THR614" s="5" t="s">
        <v>3728</v>
      </c>
      <c r="THS614" s="17">
        <v>44925</v>
      </c>
      <c r="THT614" s="5" t="s">
        <v>3728</v>
      </c>
      <c r="THU614" s="17">
        <v>44925</v>
      </c>
      <c r="THV614" s="5" t="s">
        <v>3728</v>
      </c>
      <c r="THW614" s="17">
        <v>44925</v>
      </c>
      <c r="THX614" s="5" t="s">
        <v>3728</v>
      </c>
      <c r="THY614" s="17">
        <v>44925</v>
      </c>
      <c r="THZ614" s="5" t="s">
        <v>3728</v>
      </c>
      <c r="TIA614" s="17">
        <v>44925</v>
      </c>
      <c r="TIB614" s="5" t="s">
        <v>3728</v>
      </c>
      <c r="TIC614" s="17">
        <v>44925</v>
      </c>
      <c r="TID614" s="5" t="s">
        <v>3728</v>
      </c>
      <c r="TIE614" s="17">
        <v>44925</v>
      </c>
      <c r="TIF614" s="5" t="s">
        <v>3728</v>
      </c>
      <c r="TIG614" s="17">
        <v>44925</v>
      </c>
      <c r="TIH614" s="5" t="s">
        <v>3728</v>
      </c>
      <c r="TII614" s="17">
        <v>44925</v>
      </c>
      <c r="TIJ614" s="5" t="s">
        <v>3728</v>
      </c>
      <c r="TIK614" s="17">
        <v>44925</v>
      </c>
      <c r="TIL614" s="5" t="s">
        <v>3728</v>
      </c>
      <c r="TIM614" s="17">
        <v>44925</v>
      </c>
      <c r="TIN614" s="5" t="s">
        <v>3728</v>
      </c>
      <c r="TIO614" s="17">
        <v>44925</v>
      </c>
      <c r="TIP614" s="5" t="s">
        <v>3728</v>
      </c>
      <c r="TIQ614" s="17">
        <v>44925</v>
      </c>
      <c r="TIR614" s="5" t="s">
        <v>3728</v>
      </c>
      <c r="TIS614" s="17">
        <v>44925</v>
      </c>
      <c r="TIT614" s="5" t="s">
        <v>3728</v>
      </c>
      <c r="TIU614" s="17">
        <v>44925</v>
      </c>
      <c r="TIV614" s="5" t="s">
        <v>3728</v>
      </c>
      <c r="TIW614" s="17">
        <v>44925</v>
      </c>
      <c r="TIX614" s="5" t="s">
        <v>3728</v>
      </c>
      <c r="TIY614" s="17">
        <v>44925</v>
      </c>
      <c r="TIZ614" s="5" t="s">
        <v>3728</v>
      </c>
      <c r="TJA614" s="17">
        <v>44925</v>
      </c>
      <c r="TJB614" s="5" t="s">
        <v>3728</v>
      </c>
      <c r="TJC614" s="17">
        <v>44925</v>
      </c>
      <c r="TJD614" s="5" t="s">
        <v>3728</v>
      </c>
      <c r="TJE614" s="17">
        <v>44925</v>
      </c>
      <c r="TJF614" s="5" t="s">
        <v>3728</v>
      </c>
      <c r="TJG614" s="17">
        <v>44925</v>
      </c>
      <c r="TJH614" s="5" t="s">
        <v>3728</v>
      </c>
      <c r="TJI614" s="17">
        <v>44925</v>
      </c>
      <c r="TJJ614" s="5" t="s">
        <v>3728</v>
      </c>
      <c r="TJK614" s="17">
        <v>44925</v>
      </c>
      <c r="TJL614" s="5" t="s">
        <v>3728</v>
      </c>
      <c r="TJM614" s="17">
        <v>44925</v>
      </c>
      <c r="TJN614" s="5" t="s">
        <v>3728</v>
      </c>
      <c r="TJO614" s="17">
        <v>44925</v>
      </c>
      <c r="TJP614" s="5" t="s">
        <v>3728</v>
      </c>
      <c r="TJQ614" s="17">
        <v>44925</v>
      </c>
      <c r="TJR614" s="5" t="s">
        <v>3728</v>
      </c>
      <c r="TJS614" s="17">
        <v>44925</v>
      </c>
      <c r="TJT614" s="5" t="s">
        <v>3728</v>
      </c>
      <c r="TJU614" s="17">
        <v>44925</v>
      </c>
      <c r="TJV614" s="5" t="s">
        <v>3728</v>
      </c>
      <c r="TJW614" s="17">
        <v>44925</v>
      </c>
      <c r="TJX614" s="5" t="s">
        <v>3728</v>
      </c>
      <c r="TJY614" s="17">
        <v>44925</v>
      </c>
      <c r="TJZ614" s="5" t="s">
        <v>3728</v>
      </c>
      <c r="TKA614" s="17">
        <v>44925</v>
      </c>
      <c r="TKB614" s="5" t="s">
        <v>3728</v>
      </c>
      <c r="TKC614" s="17">
        <v>44925</v>
      </c>
      <c r="TKD614" s="5" t="s">
        <v>3728</v>
      </c>
      <c r="TKE614" s="17">
        <v>44925</v>
      </c>
      <c r="TKF614" s="5" t="s">
        <v>3728</v>
      </c>
      <c r="TKG614" s="17">
        <v>44925</v>
      </c>
      <c r="TKH614" s="5" t="s">
        <v>3728</v>
      </c>
      <c r="TKI614" s="17">
        <v>44925</v>
      </c>
      <c r="TKJ614" s="5" t="s">
        <v>3728</v>
      </c>
      <c r="TKK614" s="17">
        <v>44925</v>
      </c>
      <c r="TKL614" s="5" t="s">
        <v>3728</v>
      </c>
      <c r="TKM614" s="17">
        <v>44925</v>
      </c>
      <c r="TKN614" s="5" t="s">
        <v>3728</v>
      </c>
      <c r="TKO614" s="17">
        <v>44925</v>
      </c>
      <c r="TKP614" s="5" t="s">
        <v>3728</v>
      </c>
      <c r="TKQ614" s="17">
        <v>44925</v>
      </c>
      <c r="TKR614" s="5" t="s">
        <v>3728</v>
      </c>
      <c r="TKS614" s="17">
        <v>44925</v>
      </c>
      <c r="TKT614" s="5" t="s">
        <v>3728</v>
      </c>
      <c r="TKU614" s="17">
        <v>44925</v>
      </c>
      <c r="TKV614" s="5" t="s">
        <v>3728</v>
      </c>
      <c r="TKW614" s="17">
        <v>44925</v>
      </c>
      <c r="TKX614" s="5" t="s">
        <v>3728</v>
      </c>
      <c r="TKY614" s="17">
        <v>44925</v>
      </c>
      <c r="TKZ614" s="5" t="s">
        <v>3728</v>
      </c>
      <c r="TLA614" s="17">
        <v>44925</v>
      </c>
      <c r="TLB614" s="5" t="s">
        <v>3728</v>
      </c>
      <c r="TLC614" s="17">
        <v>44925</v>
      </c>
      <c r="TLD614" s="5" t="s">
        <v>3728</v>
      </c>
      <c r="TLE614" s="17">
        <v>44925</v>
      </c>
      <c r="TLF614" s="5" t="s">
        <v>3728</v>
      </c>
      <c r="TLG614" s="17">
        <v>44925</v>
      </c>
      <c r="TLH614" s="5" t="s">
        <v>3728</v>
      </c>
      <c r="TLI614" s="17">
        <v>44925</v>
      </c>
      <c r="TLJ614" s="5" t="s">
        <v>3728</v>
      </c>
      <c r="TLK614" s="17">
        <v>44925</v>
      </c>
      <c r="TLL614" s="5" t="s">
        <v>3728</v>
      </c>
      <c r="TLM614" s="17">
        <v>44925</v>
      </c>
      <c r="TLN614" s="5" t="s">
        <v>3728</v>
      </c>
      <c r="TLO614" s="17">
        <v>44925</v>
      </c>
      <c r="TLP614" s="5" t="s">
        <v>3728</v>
      </c>
      <c r="TLQ614" s="17">
        <v>44925</v>
      </c>
      <c r="TLR614" s="5" t="s">
        <v>3728</v>
      </c>
      <c r="TLS614" s="17">
        <v>44925</v>
      </c>
      <c r="TLT614" s="5" t="s">
        <v>3728</v>
      </c>
      <c r="TLU614" s="17">
        <v>44925</v>
      </c>
      <c r="TLV614" s="5" t="s">
        <v>3728</v>
      </c>
      <c r="TLW614" s="17">
        <v>44925</v>
      </c>
      <c r="TLX614" s="5" t="s">
        <v>3728</v>
      </c>
      <c r="TLY614" s="17">
        <v>44925</v>
      </c>
      <c r="TLZ614" s="5" t="s">
        <v>3728</v>
      </c>
      <c r="TMA614" s="17">
        <v>44925</v>
      </c>
      <c r="TMB614" s="5" t="s">
        <v>3728</v>
      </c>
      <c r="TMC614" s="17">
        <v>44925</v>
      </c>
      <c r="TMD614" s="5" t="s">
        <v>3728</v>
      </c>
      <c r="TME614" s="17">
        <v>44925</v>
      </c>
      <c r="TMF614" s="5" t="s">
        <v>3728</v>
      </c>
      <c r="TMG614" s="17">
        <v>44925</v>
      </c>
      <c r="TMH614" s="5" t="s">
        <v>3728</v>
      </c>
      <c r="TMI614" s="17">
        <v>44925</v>
      </c>
      <c r="TMJ614" s="5" t="s">
        <v>3728</v>
      </c>
      <c r="TMK614" s="17">
        <v>44925</v>
      </c>
      <c r="TML614" s="5" t="s">
        <v>3728</v>
      </c>
      <c r="TMM614" s="17">
        <v>44925</v>
      </c>
      <c r="TMN614" s="5" t="s">
        <v>3728</v>
      </c>
      <c r="TMO614" s="17">
        <v>44925</v>
      </c>
      <c r="TMP614" s="5" t="s">
        <v>3728</v>
      </c>
      <c r="TMQ614" s="17">
        <v>44925</v>
      </c>
      <c r="TMR614" s="5" t="s">
        <v>3728</v>
      </c>
      <c r="TMS614" s="17">
        <v>44925</v>
      </c>
      <c r="TMT614" s="5" t="s">
        <v>3728</v>
      </c>
      <c r="TMU614" s="17">
        <v>44925</v>
      </c>
      <c r="TMV614" s="5" t="s">
        <v>3728</v>
      </c>
      <c r="TMW614" s="17">
        <v>44925</v>
      </c>
      <c r="TMX614" s="5" t="s">
        <v>3728</v>
      </c>
      <c r="TMY614" s="17">
        <v>44925</v>
      </c>
      <c r="TMZ614" s="5" t="s">
        <v>3728</v>
      </c>
      <c r="TNA614" s="17">
        <v>44925</v>
      </c>
      <c r="TNB614" s="5" t="s">
        <v>3728</v>
      </c>
      <c r="TNC614" s="17">
        <v>44925</v>
      </c>
      <c r="TND614" s="5" t="s">
        <v>3728</v>
      </c>
      <c r="TNE614" s="17">
        <v>44925</v>
      </c>
      <c r="TNF614" s="5" t="s">
        <v>3728</v>
      </c>
      <c r="TNG614" s="17">
        <v>44925</v>
      </c>
      <c r="TNH614" s="5" t="s">
        <v>3728</v>
      </c>
      <c r="TNI614" s="17">
        <v>44925</v>
      </c>
      <c r="TNJ614" s="5" t="s">
        <v>3728</v>
      </c>
      <c r="TNK614" s="17">
        <v>44925</v>
      </c>
      <c r="TNL614" s="5" t="s">
        <v>3728</v>
      </c>
      <c r="TNM614" s="17">
        <v>44925</v>
      </c>
      <c r="TNN614" s="5" t="s">
        <v>3728</v>
      </c>
      <c r="TNO614" s="17">
        <v>44925</v>
      </c>
      <c r="TNP614" s="5" t="s">
        <v>3728</v>
      </c>
      <c r="TNQ614" s="17">
        <v>44925</v>
      </c>
      <c r="TNR614" s="5" t="s">
        <v>3728</v>
      </c>
      <c r="TNS614" s="17">
        <v>44925</v>
      </c>
      <c r="TNT614" s="5" t="s">
        <v>3728</v>
      </c>
      <c r="TNU614" s="17">
        <v>44925</v>
      </c>
      <c r="TNV614" s="5" t="s">
        <v>3728</v>
      </c>
      <c r="TNW614" s="17">
        <v>44925</v>
      </c>
      <c r="TNX614" s="5" t="s">
        <v>3728</v>
      </c>
      <c r="TNY614" s="17">
        <v>44925</v>
      </c>
      <c r="TNZ614" s="5" t="s">
        <v>3728</v>
      </c>
      <c r="TOA614" s="17">
        <v>44925</v>
      </c>
      <c r="TOB614" s="5" t="s">
        <v>3728</v>
      </c>
      <c r="TOC614" s="17">
        <v>44925</v>
      </c>
      <c r="TOD614" s="5" t="s">
        <v>3728</v>
      </c>
      <c r="TOE614" s="17">
        <v>44925</v>
      </c>
      <c r="TOF614" s="5" t="s">
        <v>3728</v>
      </c>
      <c r="TOG614" s="17">
        <v>44925</v>
      </c>
      <c r="TOH614" s="5" t="s">
        <v>3728</v>
      </c>
      <c r="TOI614" s="17">
        <v>44925</v>
      </c>
      <c r="TOJ614" s="5" t="s">
        <v>3728</v>
      </c>
      <c r="TOK614" s="17">
        <v>44925</v>
      </c>
      <c r="TOL614" s="5" t="s">
        <v>3728</v>
      </c>
      <c r="TOM614" s="17">
        <v>44925</v>
      </c>
      <c r="TON614" s="5" t="s">
        <v>3728</v>
      </c>
      <c r="TOO614" s="17">
        <v>44925</v>
      </c>
      <c r="TOP614" s="5" t="s">
        <v>3728</v>
      </c>
      <c r="TOQ614" s="17">
        <v>44925</v>
      </c>
      <c r="TOR614" s="5" t="s">
        <v>3728</v>
      </c>
      <c r="TOS614" s="17">
        <v>44925</v>
      </c>
      <c r="TOT614" s="5" t="s">
        <v>3728</v>
      </c>
      <c r="TOU614" s="17">
        <v>44925</v>
      </c>
      <c r="TOV614" s="5" t="s">
        <v>3728</v>
      </c>
      <c r="TOW614" s="17">
        <v>44925</v>
      </c>
      <c r="TOX614" s="5" t="s">
        <v>3728</v>
      </c>
      <c r="TOY614" s="17">
        <v>44925</v>
      </c>
      <c r="TOZ614" s="5" t="s">
        <v>3728</v>
      </c>
      <c r="TPA614" s="17">
        <v>44925</v>
      </c>
      <c r="TPB614" s="5" t="s">
        <v>3728</v>
      </c>
      <c r="TPC614" s="17">
        <v>44925</v>
      </c>
      <c r="TPD614" s="5" t="s">
        <v>3728</v>
      </c>
      <c r="TPE614" s="17">
        <v>44925</v>
      </c>
      <c r="TPF614" s="5" t="s">
        <v>3728</v>
      </c>
      <c r="TPG614" s="17">
        <v>44925</v>
      </c>
      <c r="TPH614" s="5" t="s">
        <v>3728</v>
      </c>
      <c r="TPI614" s="17">
        <v>44925</v>
      </c>
      <c r="TPJ614" s="5" t="s">
        <v>3728</v>
      </c>
      <c r="TPK614" s="17">
        <v>44925</v>
      </c>
      <c r="TPL614" s="5" t="s">
        <v>3728</v>
      </c>
      <c r="TPM614" s="17">
        <v>44925</v>
      </c>
      <c r="TPN614" s="5" t="s">
        <v>3728</v>
      </c>
      <c r="TPO614" s="17">
        <v>44925</v>
      </c>
      <c r="TPP614" s="5" t="s">
        <v>3728</v>
      </c>
      <c r="TPQ614" s="17">
        <v>44925</v>
      </c>
      <c r="TPR614" s="5" t="s">
        <v>3728</v>
      </c>
      <c r="TPS614" s="17">
        <v>44925</v>
      </c>
      <c r="TPT614" s="5" t="s">
        <v>3728</v>
      </c>
      <c r="TPU614" s="17">
        <v>44925</v>
      </c>
      <c r="TPV614" s="5" t="s">
        <v>3728</v>
      </c>
      <c r="TPW614" s="17">
        <v>44925</v>
      </c>
      <c r="TPX614" s="5" t="s">
        <v>3728</v>
      </c>
      <c r="TPY614" s="17">
        <v>44925</v>
      </c>
      <c r="TPZ614" s="5" t="s">
        <v>3728</v>
      </c>
      <c r="TQA614" s="17">
        <v>44925</v>
      </c>
      <c r="TQB614" s="5" t="s">
        <v>3728</v>
      </c>
      <c r="TQC614" s="17">
        <v>44925</v>
      </c>
      <c r="TQD614" s="5" t="s">
        <v>3728</v>
      </c>
      <c r="TQE614" s="17">
        <v>44925</v>
      </c>
      <c r="TQF614" s="5" t="s">
        <v>3728</v>
      </c>
      <c r="TQG614" s="17">
        <v>44925</v>
      </c>
      <c r="TQH614" s="5" t="s">
        <v>3728</v>
      </c>
      <c r="TQI614" s="17">
        <v>44925</v>
      </c>
      <c r="TQJ614" s="5" t="s">
        <v>3728</v>
      </c>
      <c r="TQK614" s="17">
        <v>44925</v>
      </c>
      <c r="TQL614" s="5" t="s">
        <v>3728</v>
      </c>
      <c r="TQM614" s="17">
        <v>44925</v>
      </c>
      <c r="TQN614" s="5" t="s">
        <v>3728</v>
      </c>
      <c r="TQO614" s="17">
        <v>44925</v>
      </c>
      <c r="TQP614" s="5" t="s">
        <v>3728</v>
      </c>
      <c r="TQQ614" s="17">
        <v>44925</v>
      </c>
      <c r="TQR614" s="5" t="s">
        <v>3728</v>
      </c>
      <c r="TQS614" s="17">
        <v>44925</v>
      </c>
      <c r="TQT614" s="5" t="s">
        <v>3728</v>
      </c>
      <c r="TQU614" s="17">
        <v>44925</v>
      </c>
      <c r="TQV614" s="5" t="s">
        <v>3728</v>
      </c>
      <c r="TQW614" s="17">
        <v>44925</v>
      </c>
      <c r="TQX614" s="5" t="s">
        <v>3728</v>
      </c>
      <c r="TQY614" s="17">
        <v>44925</v>
      </c>
      <c r="TQZ614" s="5" t="s">
        <v>3728</v>
      </c>
      <c r="TRA614" s="17">
        <v>44925</v>
      </c>
      <c r="TRB614" s="5" t="s">
        <v>3728</v>
      </c>
      <c r="TRC614" s="17">
        <v>44925</v>
      </c>
      <c r="TRD614" s="5" t="s">
        <v>3728</v>
      </c>
      <c r="TRE614" s="17">
        <v>44925</v>
      </c>
      <c r="TRF614" s="5" t="s">
        <v>3728</v>
      </c>
      <c r="TRG614" s="17">
        <v>44925</v>
      </c>
      <c r="TRH614" s="5" t="s">
        <v>3728</v>
      </c>
      <c r="TRI614" s="17">
        <v>44925</v>
      </c>
      <c r="TRJ614" s="5" t="s">
        <v>3728</v>
      </c>
      <c r="TRK614" s="17">
        <v>44925</v>
      </c>
      <c r="TRL614" s="5" t="s">
        <v>3728</v>
      </c>
      <c r="TRM614" s="17">
        <v>44925</v>
      </c>
      <c r="TRN614" s="5" t="s">
        <v>3728</v>
      </c>
      <c r="TRO614" s="17">
        <v>44925</v>
      </c>
      <c r="TRP614" s="5" t="s">
        <v>3728</v>
      </c>
      <c r="TRQ614" s="17">
        <v>44925</v>
      </c>
      <c r="TRR614" s="5" t="s">
        <v>3728</v>
      </c>
      <c r="TRS614" s="17">
        <v>44925</v>
      </c>
      <c r="TRT614" s="5" t="s">
        <v>3728</v>
      </c>
      <c r="TRU614" s="17">
        <v>44925</v>
      </c>
      <c r="TRV614" s="5" t="s">
        <v>3728</v>
      </c>
      <c r="TRW614" s="17">
        <v>44925</v>
      </c>
      <c r="TRX614" s="5" t="s">
        <v>3728</v>
      </c>
      <c r="TRY614" s="17">
        <v>44925</v>
      </c>
      <c r="TRZ614" s="5" t="s">
        <v>3728</v>
      </c>
      <c r="TSA614" s="17">
        <v>44925</v>
      </c>
      <c r="TSB614" s="5" t="s">
        <v>3728</v>
      </c>
      <c r="TSC614" s="17">
        <v>44925</v>
      </c>
      <c r="TSD614" s="5" t="s">
        <v>3728</v>
      </c>
      <c r="TSE614" s="17">
        <v>44925</v>
      </c>
      <c r="TSF614" s="5" t="s">
        <v>3728</v>
      </c>
      <c r="TSG614" s="17">
        <v>44925</v>
      </c>
      <c r="TSH614" s="5" t="s">
        <v>3728</v>
      </c>
      <c r="TSI614" s="17">
        <v>44925</v>
      </c>
      <c r="TSJ614" s="5" t="s">
        <v>3728</v>
      </c>
      <c r="TSK614" s="17">
        <v>44925</v>
      </c>
      <c r="TSL614" s="5" t="s">
        <v>3728</v>
      </c>
      <c r="TSM614" s="17">
        <v>44925</v>
      </c>
      <c r="TSN614" s="5" t="s">
        <v>3728</v>
      </c>
      <c r="TSO614" s="17">
        <v>44925</v>
      </c>
      <c r="TSP614" s="5" t="s">
        <v>3728</v>
      </c>
      <c r="TSQ614" s="17">
        <v>44925</v>
      </c>
      <c r="TSR614" s="5" t="s">
        <v>3728</v>
      </c>
      <c r="TSS614" s="17">
        <v>44925</v>
      </c>
      <c r="TST614" s="5" t="s">
        <v>3728</v>
      </c>
      <c r="TSU614" s="17">
        <v>44925</v>
      </c>
      <c r="TSV614" s="5" t="s">
        <v>3728</v>
      </c>
      <c r="TSW614" s="17">
        <v>44925</v>
      </c>
      <c r="TSX614" s="5" t="s">
        <v>3728</v>
      </c>
      <c r="TSY614" s="17">
        <v>44925</v>
      </c>
      <c r="TSZ614" s="5" t="s">
        <v>3728</v>
      </c>
      <c r="TTA614" s="17">
        <v>44925</v>
      </c>
      <c r="TTB614" s="5" t="s">
        <v>3728</v>
      </c>
      <c r="TTC614" s="17">
        <v>44925</v>
      </c>
      <c r="TTD614" s="5" t="s">
        <v>3728</v>
      </c>
      <c r="TTE614" s="17">
        <v>44925</v>
      </c>
      <c r="TTF614" s="5" t="s">
        <v>3728</v>
      </c>
      <c r="TTG614" s="17">
        <v>44925</v>
      </c>
      <c r="TTH614" s="5" t="s">
        <v>3728</v>
      </c>
      <c r="TTI614" s="17">
        <v>44925</v>
      </c>
      <c r="TTJ614" s="5" t="s">
        <v>3728</v>
      </c>
      <c r="TTK614" s="17">
        <v>44925</v>
      </c>
      <c r="TTL614" s="5" t="s">
        <v>3728</v>
      </c>
      <c r="TTM614" s="17">
        <v>44925</v>
      </c>
      <c r="TTN614" s="5" t="s">
        <v>3728</v>
      </c>
      <c r="TTO614" s="17">
        <v>44925</v>
      </c>
      <c r="TTP614" s="5" t="s">
        <v>3728</v>
      </c>
      <c r="TTQ614" s="17">
        <v>44925</v>
      </c>
      <c r="TTR614" s="5" t="s">
        <v>3728</v>
      </c>
      <c r="TTS614" s="17">
        <v>44925</v>
      </c>
      <c r="TTT614" s="5" t="s">
        <v>3728</v>
      </c>
      <c r="TTU614" s="17">
        <v>44925</v>
      </c>
      <c r="TTV614" s="5" t="s">
        <v>3728</v>
      </c>
      <c r="TTW614" s="17">
        <v>44925</v>
      </c>
      <c r="TTX614" s="5" t="s">
        <v>3728</v>
      </c>
      <c r="TTY614" s="17">
        <v>44925</v>
      </c>
      <c r="TTZ614" s="5" t="s">
        <v>3728</v>
      </c>
      <c r="TUA614" s="17">
        <v>44925</v>
      </c>
      <c r="TUB614" s="5" t="s">
        <v>3728</v>
      </c>
      <c r="TUC614" s="17">
        <v>44925</v>
      </c>
      <c r="TUD614" s="5" t="s">
        <v>3728</v>
      </c>
      <c r="TUE614" s="17">
        <v>44925</v>
      </c>
      <c r="TUF614" s="5" t="s">
        <v>3728</v>
      </c>
      <c r="TUG614" s="17">
        <v>44925</v>
      </c>
      <c r="TUH614" s="5" t="s">
        <v>3728</v>
      </c>
      <c r="TUI614" s="17">
        <v>44925</v>
      </c>
      <c r="TUJ614" s="5" t="s">
        <v>3728</v>
      </c>
      <c r="TUK614" s="17">
        <v>44925</v>
      </c>
      <c r="TUL614" s="5" t="s">
        <v>3728</v>
      </c>
      <c r="TUM614" s="17">
        <v>44925</v>
      </c>
      <c r="TUN614" s="5" t="s">
        <v>3728</v>
      </c>
      <c r="TUO614" s="17">
        <v>44925</v>
      </c>
      <c r="TUP614" s="5" t="s">
        <v>3728</v>
      </c>
      <c r="TUQ614" s="17">
        <v>44925</v>
      </c>
      <c r="TUR614" s="5" t="s">
        <v>3728</v>
      </c>
      <c r="TUS614" s="17">
        <v>44925</v>
      </c>
      <c r="TUT614" s="5" t="s">
        <v>3728</v>
      </c>
      <c r="TUU614" s="17">
        <v>44925</v>
      </c>
      <c r="TUV614" s="5" t="s">
        <v>3728</v>
      </c>
      <c r="TUW614" s="17">
        <v>44925</v>
      </c>
      <c r="TUX614" s="5" t="s">
        <v>3728</v>
      </c>
      <c r="TUY614" s="17">
        <v>44925</v>
      </c>
      <c r="TUZ614" s="5" t="s">
        <v>3728</v>
      </c>
      <c r="TVA614" s="17">
        <v>44925</v>
      </c>
      <c r="TVB614" s="5" t="s">
        <v>3728</v>
      </c>
      <c r="TVC614" s="17">
        <v>44925</v>
      </c>
      <c r="TVD614" s="5" t="s">
        <v>3728</v>
      </c>
      <c r="TVE614" s="17">
        <v>44925</v>
      </c>
      <c r="TVF614" s="5" t="s">
        <v>3728</v>
      </c>
      <c r="TVG614" s="17">
        <v>44925</v>
      </c>
      <c r="TVH614" s="5" t="s">
        <v>3728</v>
      </c>
      <c r="TVI614" s="17">
        <v>44925</v>
      </c>
      <c r="TVJ614" s="5" t="s">
        <v>3728</v>
      </c>
      <c r="TVK614" s="17">
        <v>44925</v>
      </c>
      <c r="TVL614" s="5" t="s">
        <v>3728</v>
      </c>
      <c r="TVM614" s="17">
        <v>44925</v>
      </c>
      <c r="TVN614" s="5" t="s">
        <v>3728</v>
      </c>
      <c r="TVO614" s="17">
        <v>44925</v>
      </c>
      <c r="TVP614" s="5" t="s">
        <v>3728</v>
      </c>
      <c r="TVQ614" s="17">
        <v>44925</v>
      </c>
      <c r="TVR614" s="5" t="s">
        <v>3728</v>
      </c>
      <c r="TVS614" s="17">
        <v>44925</v>
      </c>
      <c r="TVT614" s="5" t="s">
        <v>3728</v>
      </c>
      <c r="TVU614" s="17">
        <v>44925</v>
      </c>
      <c r="TVV614" s="5" t="s">
        <v>3728</v>
      </c>
      <c r="TVW614" s="17">
        <v>44925</v>
      </c>
      <c r="TVX614" s="5" t="s">
        <v>3728</v>
      </c>
      <c r="TVY614" s="17">
        <v>44925</v>
      </c>
      <c r="TVZ614" s="5" t="s">
        <v>3728</v>
      </c>
      <c r="TWA614" s="17">
        <v>44925</v>
      </c>
      <c r="TWB614" s="5" t="s">
        <v>3728</v>
      </c>
      <c r="TWC614" s="17">
        <v>44925</v>
      </c>
      <c r="TWD614" s="5" t="s">
        <v>3728</v>
      </c>
      <c r="TWE614" s="17">
        <v>44925</v>
      </c>
      <c r="TWF614" s="5" t="s">
        <v>3728</v>
      </c>
      <c r="TWG614" s="17">
        <v>44925</v>
      </c>
      <c r="TWH614" s="5" t="s">
        <v>3728</v>
      </c>
      <c r="TWI614" s="17">
        <v>44925</v>
      </c>
      <c r="TWJ614" s="5" t="s">
        <v>3728</v>
      </c>
      <c r="TWK614" s="17">
        <v>44925</v>
      </c>
      <c r="TWL614" s="5" t="s">
        <v>3728</v>
      </c>
      <c r="TWM614" s="17">
        <v>44925</v>
      </c>
      <c r="TWN614" s="5" t="s">
        <v>3728</v>
      </c>
      <c r="TWO614" s="17">
        <v>44925</v>
      </c>
      <c r="TWP614" s="5" t="s">
        <v>3728</v>
      </c>
      <c r="TWQ614" s="17">
        <v>44925</v>
      </c>
      <c r="TWR614" s="5" t="s">
        <v>3728</v>
      </c>
      <c r="TWS614" s="17">
        <v>44925</v>
      </c>
      <c r="TWT614" s="5" t="s">
        <v>3728</v>
      </c>
      <c r="TWU614" s="17">
        <v>44925</v>
      </c>
      <c r="TWV614" s="5" t="s">
        <v>3728</v>
      </c>
      <c r="TWW614" s="17">
        <v>44925</v>
      </c>
      <c r="TWX614" s="5" t="s">
        <v>3728</v>
      </c>
      <c r="TWY614" s="17">
        <v>44925</v>
      </c>
      <c r="TWZ614" s="5" t="s">
        <v>3728</v>
      </c>
      <c r="TXA614" s="17">
        <v>44925</v>
      </c>
      <c r="TXB614" s="5" t="s">
        <v>3728</v>
      </c>
      <c r="TXC614" s="17">
        <v>44925</v>
      </c>
      <c r="TXD614" s="5" t="s">
        <v>3728</v>
      </c>
      <c r="TXE614" s="17">
        <v>44925</v>
      </c>
      <c r="TXF614" s="5" t="s">
        <v>3728</v>
      </c>
      <c r="TXG614" s="17">
        <v>44925</v>
      </c>
      <c r="TXH614" s="5" t="s">
        <v>3728</v>
      </c>
      <c r="TXI614" s="17">
        <v>44925</v>
      </c>
      <c r="TXJ614" s="5" t="s">
        <v>3728</v>
      </c>
      <c r="TXK614" s="17">
        <v>44925</v>
      </c>
      <c r="TXL614" s="5" t="s">
        <v>3728</v>
      </c>
      <c r="TXM614" s="17">
        <v>44925</v>
      </c>
      <c r="TXN614" s="5" t="s">
        <v>3728</v>
      </c>
      <c r="TXO614" s="17">
        <v>44925</v>
      </c>
      <c r="TXP614" s="5" t="s">
        <v>3728</v>
      </c>
      <c r="TXQ614" s="17">
        <v>44925</v>
      </c>
      <c r="TXR614" s="5" t="s">
        <v>3728</v>
      </c>
      <c r="TXS614" s="17">
        <v>44925</v>
      </c>
      <c r="TXT614" s="5" t="s">
        <v>3728</v>
      </c>
      <c r="TXU614" s="17">
        <v>44925</v>
      </c>
      <c r="TXV614" s="5" t="s">
        <v>3728</v>
      </c>
      <c r="TXW614" s="17">
        <v>44925</v>
      </c>
      <c r="TXX614" s="5" t="s">
        <v>3728</v>
      </c>
      <c r="TXY614" s="17">
        <v>44925</v>
      </c>
      <c r="TXZ614" s="5" t="s">
        <v>3728</v>
      </c>
      <c r="TYA614" s="17">
        <v>44925</v>
      </c>
      <c r="TYB614" s="5" t="s">
        <v>3728</v>
      </c>
      <c r="TYC614" s="17">
        <v>44925</v>
      </c>
      <c r="TYD614" s="5" t="s">
        <v>3728</v>
      </c>
      <c r="TYE614" s="17">
        <v>44925</v>
      </c>
      <c r="TYF614" s="5" t="s">
        <v>3728</v>
      </c>
      <c r="TYG614" s="17">
        <v>44925</v>
      </c>
      <c r="TYH614" s="5" t="s">
        <v>3728</v>
      </c>
      <c r="TYI614" s="17">
        <v>44925</v>
      </c>
      <c r="TYJ614" s="5" t="s">
        <v>3728</v>
      </c>
      <c r="TYK614" s="17">
        <v>44925</v>
      </c>
      <c r="TYL614" s="5" t="s">
        <v>3728</v>
      </c>
      <c r="TYM614" s="17">
        <v>44925</v>
      </c>
      <c r="TYN614" s="5" t="s">
        <v>3728</v>
      </c>
      <c r="TYO614" s="17">
        <v>44925</v>
      </c>
      <c r="TYP614" s="5" t="s">
        <v>3728</v>
      </c>
      <c r="TYQ614" s="17">
        <v>44925</v>
      </c>
      <c r="TYR614" s="5" t="s">
        <v>3728</v>
      </c>
      <c r="TYS614" s="17">
        <v>44925</v>
      </c>
      <c r="TYT614" s="5" t="s">
        <v>3728</v>
      </c>
      <c r="TYU614" s="17">
        <v>44925</v>
      </c>
      <c r="TYV614" s="5" t="s">
        <v>3728</v>
      </c>
      <c r="TYW614" s="17">
        <v>44925</v>
      </c>
      <c r="TYX614" s="5" t="s">
        <v>3728</v>
      </c>
      <c r="TYY614" s="17">
        <v>44925</v>
      </c>
      <c r="TYZ614" s="5" t="s">
        <v>3728</v>
      </c>
      <c r="TZA614" s="17">
        <v>44925</v>
      </c>
      <c r="TZB614" s="5" t="s">
        <v>3728</v>
      </c>
      <c r="TZC614" s="17">
        <v>44925</v>
      </c>
      <c r="TZD614" s="5" t="s">
        <v>3728</v>
      </c>
      <c r="TZE614" s="17">
        <v>44925</v>
      </c>
      <c r="TZF614" s="5" t="s">
        <v>3728</v>
      </c>
      <c r="TZG614" s="17">
        <v>44925</v>
      </c>
      <c r="TZH614" s="5" t="s">
        <v>3728</v>
      </c>
      <c r="TZI614" s="17">
        <v>44925</v>
      </c>
      <c r="TZJ614" s="5" t="s">
        <v>3728</v>
      </c>
      <c r="TZK614" s="17">
        <v>44925</v>
      </c>
      <c r="TZL614" s="5" t="s">
        <v>3728</v>
      </c>
      <c r="TZM614" s="17">
        <v>44925</v>
      </c>
      <c r="TZN614" s="5" t="s">
        <v>3728</v>
      </c>
      <c r="TZO614" s="17">
        <v>44925</v>
      </c>
      <c r="TZP614" s="5" t="s">
        <v>3728</v>
      </c>
      <c r="TZQ614" s="17">
        <v>44925</v>
      </c>
      <c r="TZR614" s="5" t="s">
        <v>3728</v>
      </c>
      <c r="TZS614" s="17">
        <v>44925</v>
      </c>
      <c r="TZT614" s="5" t="s">
        <v>3728</v>
      </c>
      <c r="TZU614" s="17">
        <v>44925</v>
      </c>
      <c r="TZV614" s="5" t="s">
        <v>3728</v>
      </c>
      <c r="TZW614" s="17">
        <v>44925</v>
      </c>
      <c r="TZX614" s="5" t="s">
        <v>3728</v>
      </c>
      <c r="TZY614" s="17">
        <v>44925</v>
      </c>
      <c r="TZZ614" s="5" t="s">
        <v>3728</v>
      </c>
      <c r="UAA614" s="17">
        <v>44925</v>
      </c>
      <c r="UAB614" s="5" t="s">
        <v>3728</v>
      </c>
      <c r="UAC614" s="17">
        <v>44925</v>
      </c>
      <c r="UAD614" s="5" t="s">
        <v>3728</v>
      </c>
      <c r="UAE614" s="17">
        <v>44925</v>
      </c>
      <c r="UAF614" s="5" t="s">
        <v>3728</v>
      </c>
      <c r="UAG614" s="17">
        <v>44925</v>
      </c>
      <c r="UAH614" s="5" t="s">
        <v>3728</v>
      </c>
      <c r="UAI614" s="17">
        <v>44925</v>
      </c>
      <c r="UAJ614" s="5" t="s">
        <v>3728</v>
      </c>
      <c r="UAK614" s="17">
        <v>44925</v>
      </c>
      <c r="UAL614" s="5" t="s">
        <v>3728</v>
      </c>
      <c r="UAM614" s="17">
        <v>44925</v>
      </c>
      <c r="UAN614" s="5" t="s">
        <v>3728</v>
      </c>
      <c r="UAO614" s="17">
        <v>44925</v>
      </c>
      <c r="UAP614" s="5" t="s">
        <v>3728</v>
      </c>
      <c r="UAQ614" s="17">
        <v>44925</v>
      </c>
      <c r="UAR614" s="5" t="s">
        <v>3728</v>
      </c>
      <c r="UAS614" s="17">
        <v>44925</v>
      </c>
      <c r="UAT614" s="5" t="s">
        <v>3728</v>
      </c>
      <c r="UAU614" s="17">
        <v>44925</v>
      </c>
      <c r="UAV614" s="5" t="s">
        <v>3728</v>
      </c>
      <c r="UAW614" s="17">
        <v>44925</v>
      </c>
      <c r="UAX614" s="5" t="s">
        <v>3728</v>
      </c>
      <c r="UAY614" s="17">
        <v>44925</v>
      </c>
      <c r="UAZ614" s="5" t="s">
        <v>3728</v>
      </c>
      <c r="UBA614" s="17">
        <v>44925</v>
      </c>
      <c r="UBB614" s="5" t="s">
        <v>3728</v>
      </c>
      <c r="UBC614" s="17">
        <v>44925</v>
      </c>
      <c r="UBD614" s="5" t="s">
        <v>3728</v>
      </c>
      <c r="UBE614" s="17">
        <v>44925</v>
      </c>
      <c r="UBF614" s="5" t="s">
        <v>3728</v>
      </c>
      <c r="UBG614" s="17">
        <v>44925</v>
      </c>
      <c r="UBH614" s="5" t="s">
        <v>3728</v>
      </c>
      <c r="UBI614" s="17">
        <v>44925</v>
      </c>
      <c r="UBJ614" s="5" t="s">
        <v>3728</v>
      </c>
      <c r="UBK614" s="17">
        <v>44925</v>
      </c>
      <c r="UBL614" s="5" t="s">
        <v>3728</v>
      </c>
      <c r="UBM614" s="17">
        <v>44925</v>
      </c>
      <c r="UBN614" s="5" t="s">
        <v>3728</v>
      </c>
      <c r="UBO614" s="17">
        <v>44925</v>
      </c>
      <c r="UBP614" s="5" t="s">
        <v>3728</v>
      </c>
      <c r="UBQ614" s="17">
        <v>44925</v>
      </c>
      <c r="UBR614" s="5" t="s">
        <v>3728</v>
      </c>
      <c r="UBS614" s="17">
        <v>44925</v>
      </c>
      <c r="UBT614" s="5" t="s">
        <v>3728</v>
      </c>
      <c r="UBU614" s="17">
        <v>44925</v>
      </c>
      <c r="UBV614" s="5" t="s">
        <v>3728</v>
      </c>
      <c r="UBW614" s="17">
        <v>44925</v>
      </c>
      <c r="UBX614" s="5" t="s">
        <v>3728</v>
      </c>
      <c r="UBY614" s="17">
        <v>44925</v>
      </c>
      <c r="UBZ614" s="5" t="s">
        <v>3728</v>
      </c>
      <c r="UCA614" s="17">
        <v>44925</v>
      </c>
      <c r="UCB614" s="5" t="s">
        <v>3728</v>
      </c>
      <c r="UCC614" s="17">
        <v>44925</v>
      </c>
      <c r="UCD614" s="5" t="s">
        <v>3728</v>
      </c>
      <c r="UCE614" s="17">
        <v>44925</v>
      </c>
      <c r="UCF614" s="5" t="s">
        <v>3728</v>
      </c>
      <c r="UCG614" s="17">
        <v>44925</v>
      </c>
      <c r="UCH614" s="5" t="s">
        <v>3728</v>
      </c>
      <c r="UCI614" s="17">
        <v>44925</v>
      </c>
      <c r="UCJ614" s="5" t="s">
        <v>3728</v>
      </c>
      <c r="UCK614" s="17">
        <v>44925</v>
      </c>
      <c r="UCL614" s="5" t="s">
        <v>3728</v>
      </c>
      <c r="UCM614" s="17">
        <v>44925</v>
      </c>
      <c r="UCN614" s="5" t="s">
        <v>3728</v>
      </c>
      <c r="UCO614" s="17">
        <v>44925</v>
      </c>
      <c r="UCP614" s="5" t="s">
        <v>3728</v>
      </c>
      <c r="UCQ614" s="17">
        <v>44925</v>
      </c>
      <c r="UCR614" s="5" t="s">
        <v>3728</v>
      </c>
      <c r="UCS614" s="17">
        <v>44925</v>
      </c>
      <c r="UCT614" s="5" t="s">
        <v>3728</v>
      </c>
      <c r="UCU614" s="17">
        <v>44925</v>
      </c>
      <c r="UCV614" s="5" t="s">
        <v>3728</v>
      </c>
      <c r="UCW614" s="17">
        <v>44925</v>
      </c>
      <c r="UCX614" s="5" t="s">
        <v>3728</v>
      </c>
      <c r="UCY614" s="17">
        <v>44925</v>
      </c>
      <c r="UCZ614" s="5" t="s">
        <v>3728</v>
      </c>
      <c r="UDA614" s="17">
        <v>44925</v>
      </c>
      <c r="UDB614" s="5" t="s">
        <v>3728</v>
      </c>
      <c r="UDC614" s="17">
        <v>44925</v>
      </c>
      <c r="UDD614" s="5" t="s">
        <v>3728</v>
      </c>
      <c r="UDE614" s="17">
        <v>44925</v>
      </c>
      <c r="UDF614" s="5" t="s">
        <v>3728</v>
      </c>
      <c r="UDG614" s="17">
        <v>44925</v>
      </c>
      <c r="UDH614" s="5" t="s">
        <v>3728</v>
      </c>
      <c r="UDI614" s="17">
        <v>44925</v>
      </c>
      <c r="UDJ614" s="5" t="s">
        <v>3728</v>
      </c>
      <c r="UDK614" s="17">
        <v>44925</v>
      </c>
      <c r="UDL614" s="5" t="s">
        <v>3728</v>
      </c>
      <c r="UDM614" s="17">
        <v>44925</v>
      </c>
      <c r="UDN614" s="5" t="s">
        <v>3728</v>
      </c>
      <c r="UDO614" s="17">
        <v>44925</v>
      </c>
      <c r="UDP614" s="5" t="s">
        <v>3728</v>
      </c>
      <c r="UDQ614" s="17">
        <v>44925</v>
      </c>
      <c r="UDR614" s="5" t="s">
        <v>3728</v>
      </c>
      <c r="UDS614" s="17">
        <v>44925</v>
      </c>
      <c r="UDT614" s="5" t="s">
        <v>3728</v>
      </c>
      <c r="UDU614" s="17">
        <v>44925</v>
      </c>
      <c r="UDV614" s="5" t="s">
        <v>3728</v>
      </c>
      <c r="UDW614" s="17">
        <v>44925</v>
      </c>
      <c r="UDX614" s="5" t="s">
        <v>3728</v>
      </c>
      <c r="UDY614" s="17">
        <v>44925</v>
      </c>
      <c r="UDZ614" s="5" t="s">
        <v>3728</v>
      </c>
      <c r="UEA614" s="17">
        <v>44925</v>
      </c>
      <c r="UEB614" s="5" t="s">
        <v>3728</v>
      </c>
      <c r="UEC614" s="17">
        <v>44925</v>
      </c>
      <c r="UED614" s="5" t="s">
        <v>3728</v>
      </c>
      <c r="UEE614" s="17">
        <v>44925</v>
      </c>
      <c r="UEF614" s="5" t="s">
        <v>3728</v>
      </c>
      <c r="UEG614" s="17">
        <v>44925</v>
      </c>
      <c r="UEH614" s="5" t="s">
        <v>3728</v>
      </c>
      <c r="UEI614" s="17">
        <v>44925</v>
      </c>
      <c r="UEJ614" s="5" t="s">
        <v>3728</v>
      </c>
      <c r="UEK614" s="17">
        <v>44925</v>
      </c>
      <c r="UEL614" s="5" t="s">
        <v>3728</v>
      </c>
      <c r="UEM614" s="17">
        <v>44925</v>
      </c>
      <c r="UEN614" s="5" t="s">
        <v>3728</v>
      </c>
      <c r="UEO614" s="17">
        <v>44925</v>
      </c>
      <c r="UEP614" s="5" t="s">
        <v>3728</v>
      </c>
      <c r="UEQ614" s="17">
        <v>44925</v>
      </c>
      <c r="UER614" s="5" t="s">
        <v>3728</v>
      </c>
      <c r="UES614" s="17">
        <v>44925</v>
      </c>
      <c r="UET614" s="5" t="s">
        <v>3728</v>
      </c>
      <c r="UEU614" s="17">
        <v>44925</v>
      </c>
      <c r="UEV614" s="5" t="s">
        <v>3728</v>
      </c>
      <c r="UEW614" s="17">
        <v>44925</v>
      </c>
      <c r="UEX614" s="5" t="s">
        <v>3728</v>
      </c>
      <c r="UEY614" s="17">
        <v>44925</v>
      </c>
      <c r="UEZ614" s="5" t="s">
        <v>3728</v>
      </c>
      <c r="UFA614" s="17">
        <v>44925</v>
      </c>
      <c r="UFB614" s="5" t="s">
        <v>3728</v>
      </c>
      <c r="UFC614" s="17">
        <v>44925</v>
      </c>
      <c r="UFD614" s="5" t="s">
        <v>3728</v>
      </c>
      <c r="UFE614" s="17">
        <v>44925</v>
      </c>
      <c r="UFF614" s="5" t="s">
        <v>3728</v>
      </c>
      <c r="UFG614" s="17">
        <v>44925</v>
      </c>
      <c r="UFH614" s="5" t="s">
        <v>3728</v>
      </c>
      <c r="UFI614" s="17">
        <v>44925</v>
      </c>
      <c r="UFJ614" s="5" t="s">
        <v>3728</v>
      </c>
      <c r="UFK614" s="17">
        <v>44925</v>
      </c>
      <c r="UFL614" s="5" t="s">
        <v>3728</v>
      </c>
      <c r="UFM614" s="17">
        <v>44925</v>
      </c>
      <c r="UFN614" s="5" t="s">
        <v>3728</v>
      </c>
      <c r="UFO614" s="17">
        <v>44925</v>
      </c>
      <c r="UFP614" s="5" t="s">
        <v>3728</v>
      </c>
      <c r="UFQ614" s="17">
        <v>44925</v>
      </c>
      <c r="UFR614" s="5" t="s">
        <v>3728</v>
      </c>
      <c r="UFS614" s="17">
        <v>44925</v>
      </c>
      <c r="UFT614" s="5" t="s">
        <v>3728</v>
      </c>
      <c r="UFU614" s="17">
        <v>44925</v>
      </c>
      <c r="UFV614" s="5" t="s">
        <v>3728</v>
      </c>
      <c r="UFW614" s="17">
        <v>44925</v>
      </c>
      <c r="UFX614" s="5" t="s">
        <v>3728</v>
      </c>
      <c r="UFY614" s="17">
        <v>44925</v>
      </c>
      <c r="UFZ614" s="5" t="s">
        <v>3728</v>
      </c>
      <c r="UGA614" s="17">
        <v>44925</v>
      </c>
      <c r="UGB614" s="5" t="s">
        <v>3728</v>
      </c>
      <c r="UGC614" s="17">
        <v>44925</v>
      </c>
      <c r="UGD614" s="5" t="s">
        <v>3728</v>
      </c>
      <c r="UGE614" s="17">
        <v>44925</v>
      </c>
      <c r="UGF614" s="5" t="s">
        <v>3728</v>
      </c>
      <c r="UGG614" s="17">
        <v>44925</v>
      </c>
      <c r="UGH614" s="5" t="s">
        <v>3728</v>
      </c>
      <c r="UGI614" s="17">
        <v>44925</v>
      </c>
      <c r="UGJ614" s="5" t="s">
        <v>3728</v>
      </c>
      <c r="UGK614" s="17">
        <v>44925</v>
      </c>
      <c r="UGL614" s="5" t="s">
        <v>3728</v>
      </c>
      <c r="UGM614" s="17">
        <v>44925</v>
      </c>
      <c r="UGN614" s="5" t="s">
        <v>3728</v>
      </c>
      <c r="UGO614" s="17">
        <v>44925</v>
      </c>
      <c r="UGP614" s="5" t="s">
        <v>3728</v>
      </c>
      <c r="UGQ614" s="17">
        <v>44925</v>
      </c>
      <c r="UGR614" s="5" t="s">
        <v>3728</v>
      </c>
      <c r="UGS614" s="17">
        <v>44925</v>
      </c>
      <c r="UGT614" s="5" t="s">
        <v>3728</v>
      </c>
      <c r="UGU614" s="17">
        <v>44925</v>
      </c>
      <c r="UGV614" s="5" t="s">
        <v>3728</v>
      </c>
      <c r="UGW614" s="17">
        <v>44925</v>
      </c>
      <c r="UGX614" s="5" t="s">
        <v>3728</v>
      </c>
      <c r="UGY614" s="17">
        <v>44925</v>
      </c>
      <c r="UGZ614" s="5" t="s">
        <v>3728</v>
      </c>
      <c r="UHA614" s="17">
        <v>44925</v>
      </c>
      <c r="UHB614" s="5" t="s">
        <v>3728</v>
      </c>
      <c r="UHC614" s="17">
        <v>44925</v>
      </c>
      <c r="UHD614" s="5" t="s">
        <v>3728</v>
      </c>
      <c r="UHE614" s="17">
        <v>44925</v>
      </c>
      <c r="UHF614" s="5" t="s">
        <v>3728</v>
      </c>
      <c r="UHG614" s="17">
        <v>44925</v>
      </c>
      <c r="UHH614" s="5" t="s">
        <v>3728</v>
      </c>
      <c r="UHI614" s="17">
        <v>44925</v>
      </c>
      <c r="UHJ614" s="5" t="s">
        <v>3728</v>
      </c>
      <c r="UHK614" s="17">
        <v>44925</v>
      </c>
      <c r="UHL614" s="5" t="s">
        <v>3728</v>
      </c>
      <c r="UHM614" s="17">
        <v>44925</v>
      </c>
      <c r="UHN614" s="5" t="s">
        <v>3728</v>
      </c>
      <c r="UHO614" s="17">
        <v>44925</v>
      </c>
      <c r="UHP614" s="5" t="s">
        <v>3728</v>
      </c>
      <c r="UHQ614" s="17">
        <v>44925</v>
      </c>
      <c r="UHR614" s="5" t="s">
        <v>3728</v>
      </c>
      <c r="UHS614" s="17">
        <v>44925</v>
      </c>
      <c r="UHT614" s="5" t="s">
        <v>3728</v>
      </c>
      <c r="UHU614" s="17">
        <v>44925</v>
      </c>
      <c r="UHV614" s="5" t="s">
        <v>3728</v>
      </c>
      <c r="UHW614" s="17">
        <v>44925</v>
      </c>
      <c r="UHX614" s="5" t="s">
        <v>3728</v>
      </c>
      <c r="UHY614" s="17">
        <v>44925</v>
      </c>
      <c r="UHZ614" s="5" t="s">
        <v>3728</v>
      </c>
      <c r="UIA614" s="17">
        <v>44925</v>
      </c>
      <c r="UIB614" s="5" t="s">
        <v>3728</v>
      </c>
      <c r="UIC614" s="17">
        <v>44925</v>
      </c>
      <c r="UID614" s="5" t="s">
        <v>3728</v>
      </c>
      <c r="UIE614" s="17">
        <v>44925</v>
      </c>
      <c r="UIF614" s="5" t="s">
        <v>3728</v>
      </c>
      <c r="UIG614" s="17">
        <v>44925</v>
      </c>
      <c r="UIH614" s="5" t="s">
        <v>3728</v>
      </c>
      <c r="UII614" s="17">
        <v>44925</v>
      </c>
      <c r="UIJ614" s="5" t="s">
        <v>3728</v>
      </c>
      <c r="UIK614" s="17">
        <v>44925</v>
      </c>
      <c r="UIL614" s="5" t="s">
        <v>3728</v>
      </c>
      <c r="UIM614" s="17">
        <v>44925</v>
      </c>
      <c r="UIN614" s="5" t="s">
        <v>3728</v>
      </c>
      <c r="UIO614" s="17">
        <v>44925</v>
      </c>
      <c r="UIP614" s="5" t="s">
        <v>3728</v>
      </c>
      <c r="UIQ614" s="17">
        <v>44925</v>
      </c>
      <c r="UIR614" s="5" t="s">
        <v>3728</v>
      </c>
      <c r="UIS614" s="17">
        <v>44925</v>
      </c>
      <c r="UIT614" s="5" t="s">
        <v>3728</v>
      </c>
      <c r="UIU614" s="17">
        <v>44925</v>
      </c>
      <c r="UIV614" s="5" t="s">
        <v>3728</v>
      </c>
      <c r="UIW614" s="17">
        <v>44925</v>
      </c>
      <c r="UIX614" s="5" t="s">
        <v>3728</v>
      </c>
      <c r="UIY614" s="17">
        <v>44925</v>
      </c>
      <c r="UIZ614" s="5" t="s">
        <v>3728</v>
      </c>
      <c r="UJA614" s="17">
        <v>44925</v>
      </c>
      <c r="UJB614" s="5" t="s">
        <v>3728</v>
      </c>
      <c r="UJC614" s="17">
        <v>44925</v>
      </c>
      <c r="UJD614" s="5" t="s">
        <v>3728</v>
      </c>
      <c r="UJE614" s="17">
        <v>44925</v>
      </c>
      <c r="UJF614" s="5" t="s">
        <v>3728</v>
      </c>
      <c r="UJG614" s="17">
        <v>44925</v>
      </c>
      <c r="UJH614" s="5" t="s">
        <v>3728</v>
      </c>
      <c r="UJI614" s="17">
        <v>44925</v>
      </c>
      <c r="UJJ614" s="5" t="s">
        <v>3728</v>
      </c>
      <c r="UJK614" s="17">
        <v>44925</v>
      </c>
      <c r="UJL614" s="5" t="s">
        <v>3728</v>
      </c>
      <c r="UJM614" s="17">
        <v>44925</v>
      </c>
      <c r="UJN614" s="5" t="s">
        <v>3728</v>
      </c>
      <c r="UJO614" s="17">
        <v>44925</v>
      </c>
      <c r="UJP614" s="5" t="s">
        <v>3728</v>
      </c>
      <c r="UJQ614" s="17">
        <v>44925</v>
      </c>
      <c r="UJR614" s="5" t="s">
        <v>3728</v>
      </c>
      <c r="UJS614" s="17">
        <v>44925</v>
      </c>
      <c r="UJT614" s="5" t="s">
        <v>3728</v>
      </c>
      <c r="UJU614" s="17">
        <v>44925</v>
      </c>
      <c r="UJV614" s="5" t="s">
        <v>3728</v>
      </c>
      <c r="UJW614" s="17">
        <v>44925</v>
      </c>
      <c r="UJX614" s="5" t="s">
        <v>3728</v>
      </c>
      <c r="UJY614" s="17">
        <v>44925</v>
      </c>
      <c r="UJZ614" s="5" t="s">
        <v>3728</v>
      </c>
      <c r="UKA614" s="17">
        <v>44925</v>
      </c>
      <c r="UKB614" s="5" t="s">
        <v>3728</v>
      </c>
      <c r="UKC614" s="17">
        <v>44925</v>
      </c>
      <c r="UKD614" s="5" t="s">
        <v>3728</v>
      </c>
      <c r="UKE614" s="17">
        <v>44925</v>
      </c>
      <c r="UKF614" s="5" t="s">
        <v>3728</v>
      </c>
      <c r="UKG614" s="17">
        <v>44925</v>
      </c>
      <c r="UKH614" s="5" t="s">
        <v>3728</v>
      </c>
      <c r="UKI614" s="17">
        <v>44925</v>
      </c>
      <c r="UKJ614" s="5" t="s">
        <v>3728</v>
      </c>
      <c r="UKK614" s="17">
        <v>44925</v>
      </c>
      <c r="UKL614" s="5" t="s">
        <v>3728</v>
      </c>
      <c r="UKM614" s="17">
        <v>44925</v>
      </c>
      <c r="UKN614" s="5" t="s">
        <v>3728</v>
      </c>
      <c r="UKO614" s="17">
        <v>44925</v>
      </c>
      <c r="UKP614" s="5" t="s">
        <v>3728</v>
      </c>
      <c r="UKQ614" s="17">
        <v>44925</v>
      </c>
      <c r="UKR614" s="5" t="s">
        <v>3728</v>
      </c>
      <c r="UKS614" s="17">
        <v>44925</v>
      </c>
      <c r="UKT614" s="5" t="s">
        <v>3728</v>
      </c>
      <c r="UKU614" s="17">
        <v>44925</v>
      </c>
      <c r="UKV614" s="5" t="s">
        <v>3728</v>
      </c>
      <c r="UKW614" s="17">
        <v>44925</v>
      </c>
      <c r="UKX614" s="5" t="s">
        <v>3728</v>
      </c>
      <c r="UKY614" s="17">
        <v>44925</v>
      </c>
      <c r="UKZ614" s="5" t="s">
        <v>3728</v>
      </c>
      <c r="ULA614" s="17">
        <v>44925</v>
      </c>
      <c r="ULB614" s="5" t="s">
        <v>3728</v>
      </c>
      <c r="ULC614" s="17">
        <v>44925</v>
      </c>
      <c r="ULD614" s="5" t="s">
        <v>3728</v>
      </c>
      <c r="ULE614" s="17">
        <v>44925</v>
      </c>
      <c r="ULF614" s="5" t="s">
        <v>3728</v>
      </c>
      <c r="ULG614" s="17">
        <v>44925</v>
      </c>
      <c r="ULH614" s="5" t="s">
        <v>3728</v>
      </c>
      <c r="ULI614" s="17">
        <v>44925</v>
      </c>
      <c r="ULJ614" s="5" t="s">
        <v>3728</v>
      </c>
      <c r="ULK614" s="17">
        <v>44925</v>
      </c>
      <c r="ULL614" s="5" t="s">
        <v>3728</v>
      </c>
      <c r="ULM614" s="17">
        <v>44925</v>
      </c>
      <c r="ULN614" s="5" t="s">
        <v>3728</v>
      </c>
      <c r="ULO614" s="17">
        <v>44925</v>
      </c>
      <c r="ULP614" s="5" t="s">
        <v>3728</v>
      </c>
      <c r="ULQ614" s="17">
        <v>44925</v>
      </c>
      <c r="ULR614" s="5" t="s">
        <v>3728</v>
      </c>
      <c r="ULS614" s="17">
        <v>44925</v>
      </c>
      <c r="ULT614" s="5" t="s">
        <v>3728</v>
      </c>
      <c r="ULU614" s="17">
        <v>44925</v>
      </c>
      <c r="ULV614" s="5" t="s">
        <v>3728</v>
      </c>
      <c r="ULW614" s="17">
        <v>44925</v>
      </c>
      <c r="ULX614" s="5" t="s">
        <v>3728</v>
      </c>
      <c r="ULY614" s="17">
        <v>44925</v>
      </c>
      <c r="ULZ614" s="5" t="s">
        <v>3728</v>
      </c>
      <c r="UMA614" s="17">
        <v>44925</v>
      </c>
      <c r="UMB614" s="5" t="s">
        <v>3728</v>
      </c>
      <c r="UMC614" s="17">
        <v>44925</v>
      </c>
      <c r="UMD614" s="5" t="s">
        <v>3728</v>
      </c>
      <c r="UME614" s="17">
        <v>44925</v>
      </c>
      <c r="UMF614" s="5" t="s">
        <v>3728</v>
      </c>
      <c r="UMG614" s="17">
        <v>44925</v>
      </c>
      <c r="UMH614" s="5" t="s">
        <v>3728</v>
      </c>
      <c r="UMI614" s="17">
        <v>44925</v>
      </c>
      <c r="UMJ614" s="5" t="s">
        <v>3728</v>
      </c>
      <c r="UMK614" s="17">
        <v>44925</v>
      </c>
      <c r="UML614" s="5" t="s">
        <v>3728</v>
      </c>
      <c r="UMM614" s="17">
        <v>44925</v>
      </c>
      <c r="UMN614" s="5" t="s">
        <v>3728</v>
      </c>
      <c r="UMO614" s="17">
        <v>44925</v>
      </c>
      <c r="UMP614" s="5" t="s">
        <v>3728</v>
      </c>
      <c r="UMQ614" s="17">
        <v>44925</v>
      </c>
      <c r="UMR614" s="5" t="s">
        <v>3728</v>
      </c>
      <c r="UMS614" s="17">
        <v>44925</v>
      </c>
      <c r="UMT614" s="5" t="s">
        <v>3728</v>
      </c>
      <c r="UMU614" s="17">
        <v>44925</v>
      </c>
      <c r="UMV614" s="5" t="s">
        <v>3728</v>
      </c>
      <c r="UMW614" s="17">
        <v>44925</v>
      </c>
      <c r="UMX614" s="5" t="s">
        <v>3728</v>
      </c>
      <c r="UMY614" s="17">
        <v>44925</v>
      </c>
      <c r="UMZ614" s="5" t="s">
        <v>3728</v>
      </c>
      <c r="UNA614" s="17">
        <v>44925</v>
      </c>
      <c r="UNB614" s="5" t="s">
        <v>3728</v>
      </c>
      <c r="UNC614" s="17">
        <v>44925</v>
      </c>
      <c r="UND614" s="5" t="s">
        <v>3728</v>
      </c>
      <c r="UNE614" s="17">
        <v>44925</v>
      </c>
      <c r="UNF614" s="5" t="s">
        <v>3728</v>
      </c>
      <c r="UNG614" s="17">
        <v>44925</v>
      </c>
      <c r="UNH614" s="5" t="s">
        <v>3728</v>
      </c>
      <c r="UNI614" s="17">
        <v>44925</v>
      </c>
      <c r="UNJ614" s="5" t="s">
        <v>3728</v>
      </c>
      <c r="UNK614" s="17">
        <v>44925</v>
      </c>
      <c r="UNL614" s="5" t="s">
        <v>3728</v>
      </c>
      <c r="UNM614" s="17">
        <v>44925</v>
      </c>
      <c r="UNN614" s="5" t="s">
        <v>3728</v>
      </c>
      <c r="UNO614" s="17">
        <v>44925</v>
      </c>
      <c r="UNP614" s="5" t="s">
        <v>3728</v>
      </c>
      <c r="UNQ614" s="17">
        <v>44925</v>
      </c>
      <c r="UNR614" s="5" t="s">
        <v>3728</v>
      </c>
      <c r="UNS614" s="17">
        <v>44925</v>
      </c>
      <c r="UNT614" s="5" t="s">
        <v>3728</v>
      </c>
      <c r="UNU614" s="17">
        <v>44925</v>
      </c>
      <c r="UNV614" s="5" t="s">
        <v>3728</v>
      </c>
      <c r="UNW614" s="17">
        <v>44925</v>
      </c>
      <c r="UNX614" s="5" t="s">
        <v>3728</v>
      </c>
      <c r="UNY614" s="17">
        <v>44925</v>
      </c>
      <c r="UNZ614" s="5" t="s">
        <v>3728</v>
      </c>
      <c r="UOA614" s="17">
        <v>44925</v>
      </c>
      <c r="UOB614" s="5" t="s">
        <v>3728</v>
      </c>
      <c r="UOC614" s="17">
        <v>44925</v>
      </c>
      <c r="UOD614" s="5" t="s">
        <v>3728</v>
      </c>
      <c r="UOE614" s="17">
        <v>44925</v>
      </c>
      <c r="UOF614" s="5" t="s">
        <v>3728</v>
      </c>
      <c r="UOG614" s="17">
        <v>44925</v>
      </c>
      <c r="UOH614" s="5" t="s">
        <v>3728</v>
      </c>
      <c r="UOI614" s="17">
        <v>44925</v>
      </c>
      <c r="UOJ614" s="5" t="s">
        <v>3728</v>
      </c>
      <c r="UOK614" s="17">
        <v>44925</v>
      </c>
      <c r="UOL614" s="5" t="s">
        <v>3728</v>
      </c>
      <c r="UOM614" s="17">
        <v>44925</v>
      </c>
      <c r="UON614" s="5" t="s">
        <v>3728</v>
      </c>
      <c r="UOO614" s="17">
        <v>44925</v>
      </c>
      <c r="UOP614" s="5" t="s">
        <v>3728</v>
      </c>
      <c r="UOQ614" s="17">
        <v>44925</v>
      </c>
      <c r="UOR614" s="5" t="s">
        <v>3728</v>
      </c>
      <c r="UOS614" s="17">
        <v>44925</v>
      </c>
      <c r="UOT614" s="5" t="s">
        <v>3728</v>
      </c>
      <c r="UOU614" s="17">
        <v>44925</v>
      </c>
      <c r="UOV614" s="5" t="s">
        <v>3728</v>
      </c>
      <c r="UOW614" s="17">
        <v>44925</v>
      </c>
      <c r="UOX614" s="5" t="s">
        <v>3728</v>
      </c>
      <c r="UOY614" s="17">
        <v>44925</v>
      </c>
      <c r="UOZ614" s="5" t="s">
        <v>3728</v>
      </c>
      <c r="UPA614" s="17">
        <v>44925</v>
      </c>
      <c r="UPB614" s="5" t="s">
        <v>3728</v>
      </c>
      <c r="UPC614" s="17">
        <v>44925</v>
      </c>
      <c r="UPD614" s="5" t="s">
        <v>3728</v>
      </c>
      <c r="UPE614" s="17">
        <v>44925</v>
      </c>
      <c r="UPF614" s="5" t="s">
        <v>3728</v>
      </c>
      <c r="UPG614" s="17">
        <v>44925</v>
      </c>
      <c r="UPH614" s="5" t="s">
        <v>3728</v>
      </c>
      <c r="UPI614" s="17">
        <v>44925</v>
      </c>
      <c r="UPJ614" s="5" t="s">
        <v>3728</v>
      </c>
      <c r="UPK614" s="17">
        <v>44925</v>
      </c>
      <c r="UPL614" s="5" t="s">
        <v>3728</v>
      </c>
      <c r="UPM614" s="17">
        <v>44925</v>
      </c>
      <c r="UPN614" s="5" t="s">
        <v>3728</v>
      </c>
      <c r="UPO614" s="17">
        <v>44925</v>
      </c>
      <c r="UPP614" s="5" t="s">
        <v>3728</v>
      </c>
      <c r="UPQ614" s="17">
        <v>44925</v>
      </c>
      <c r="UPR614" s="5" t="s">
        <v>3728</v>
      </c>
      <c r="UPS614" s="17">
        <v>44925</v>
      </c>
      <c r="UPT614" s="5" t="s">
        <v>3728</v>
      </c>
      <c r="UPU614" s="17">
        <v>44925</v>
      </c>
      <c r="UPV614" s="5" t="s">
        <v>3728</v>
      </c>
      <c r="UPW614" s="17">
        <v>44925</v>
      </c>
      <c r="UPX614" s="5" t="s">
        <v>3728</v>
      </c>
      <c r="UPY614" s="17">
        <v>44925</v>
      </c>
      <c r="UPZ614" s="5" t="s">
        <v>3728</v>
      </c>
      <c r="UQA614" s="17">
        <v>44925</v>
      </c>
      <c r="UQB614" s="5" t="s">
        <v>3728</v>
      </c>
      <c r="UQC614" s="17">
        <v>44925</v>
      </c>
      <c r="UQD614" s="5" t="s">
        <v>3728</v>
      </c>
      <c r="UQE614" s="17">
        <v>44925</v>
      </c>
      <c r="UQF614" s="5" t="s">
        <v>3728</v>
      </c>
      <c r="UQG614" s="17">
        <v>44925</v>
      </c>
      <c r="UQH614" s="5" t="s">
        <v>3728</v>
      </c>
      <c r="UQI614" s="17">
        <v>44925</v>
      </c>
      <c r="UQJ614" s="5" t="s">
        <v>3728</v>
      </c>
      <c r="UQK614" s="17">
        <v>44925</v>
      </c>
      <c r="UQL614" s="5" t="s">
        <v>3728</v>
      </c>
      <c r="UQM614" s="17">
        <v>44925</v>
      </c>
      <c r="UQN614" s="5" t="s">
        <v>3728</v>
      </c>
      <c r="UQO614" s="17">
        <v>44925</v>
      </c>
      <c r="UQP614" s="5" t="s">
        <v>3728</v>
      </c>
      <c r="UQQ614" s="17">
        <v>44925</v>
      </c>
      <c r="UQR614" s="5" t="s">
        <v>3728</v>
      </c>
      <c r="UQS614" s="17">
        <v>44925</v>
      </c>
      <c r="UQT614" s="5" t="s">
        <v>3728</v>
      </c>
      <c r="UQU614" s="17">
        <v>44925</v>
      </c>
      <c r="UQV614" s="5" t="s">
        <v>3728</v>
      </c>
      <c r="UQW614" s="17">
        <v>44925</v>
      </c>
      <c r="UQX614" s="5" t="s">
        <v>3728</v>
      </c>
      <c r="UQY614" s="17">
        <v>44925</v>
      </c>
      <c r="UQZ614" s="5" t="s">
        <v>3728</v>
      </c>
      <c r="URA614" s="17">
        <v>44925</v>
      </c>
      <c r="URB614" s="5" t="s">
        <v>3728</v>
      </c>
      <c r="URC614" s="17">
        <v>44925</v>
      </c>
      <c r="URD614" s="5" t="s">
        <v>3728</v>
      </c>
      <c r="URE614" s="17">
        <v>44925</v>
      </c>
      <c r="URF614" s="5" t="s">
        <v>3728</v>
      </c>
      <c r="URG614" s="17">
        <v>44925</v>
      </c>
      <c r="URH614" s="5" t="s">
        <v>3728</v>
      </c>
      <c r="URI614" s="17">
        <v>44925</v>
      </c>
      <c r="URJ614" s="5" t="s">
        <v>3728</v>
      </c>
      <c r="URK614" s="17">
        <v>44925</v>
      </c>
      <c r="URL614" s="5" t="s">
        <v>3728</v>
      </c>
      <c r="URM614" s="17">
        <v>44925</v>
      </c>
      <c r="URN614" s="5" t="s">
        <v>3728</v>
      </c>
      <c r="URO614" s="17">
        <v>44925</v>
      </c>
      <c r="URP614" s="5" t="s">
        <v>3728</v>
      </c>
      <c r="URQ614" s="17">
        <v>44925</v>
      </c>
      <c r="URR614" s="5" t="s">
        <v>3728</v>
      </c>
      <c r="URS614" s="17">
        <v>44925</v>
      </c>
      <c r="URT614" s="5" t="s">
        <v>3728</v>
      </c>
      <c r="URU614" s="17">
        <v>44925</v>
      </c>
      <c r="URV614" s="5" t="s">
        <v>3728</v>
      </c>
      <c r="URW614" s="17">
        <v>44925</v>
      </c>
      <c r="URX614" s="5" t="s">
        <v>3728</v>
      </c>
      <c r="URY614" s="17">
        <v>44925</v>
      </c>
      <c r="URZ614" s="5" t="s">
        <v>3728</v>
      </c>
      <c r="USA614" s="17">
        <v>44925</v>
      </c>
      <c r="USB614" s="5" t="s">
        <v>3728</v>
      </c>
      <c r="USC614" s="17">
        <v>44925</v>
      </c>
      <c r="USD614" s="5" t="s">
        <v>3728</v>
      </c>
      <c r="USE614" s="17">
        <v>44925</v>
      </c>
      <c r="USF614" s="5" t="s">
        <v>3728</v>
      </c>
      <c r="USG614" s="17">
        <v>44925</v>
      </c>
      <c r="USH614" s="5" t="s">
        <v>3728</v>
      </c>
      <c r="USI614" s="17">
        <v>44925</v>
      </c>
      <c r="USJ614" s="5" t="s">
        <v>3728</v>
      </c>
      <c r="USK614" s="17">
        <v>44925</v>
      </c>
      <c r="USL614" s="5" t="s">
        <v>3728</v>
      </c>
      <c r="USM614" s="17">
        <v>44925</v>
      </c>
      <c r="USN614" s="5" t="s">
        <v>3728</v>
      </c>
      <c r="USO614" s="17">
        <v>44925</v>
      </c>
      <c r="USP614" s="5" t="s">
        <v>3728</v>
      </c>
      <c r="USQ614" s="17">
        <v>44925</v>
      </c>
      <c r="USR614" s="5" t="s">
        <v>3728</v>
      </c>
      <c r="USS614" s="17">
        <v>44925</v>
      </c>
      <c r="UST614" s="5" t="s">
        <v>3728</v>
      </c>
      <c r="USU614" s="17">
        <v>44925</v>
      </c>
      <c r="USV614" s="5" t="s">
        <v>3728</v>
      </c>
      <c r="USW614" s="17">
        <v>44925</v>
      </c>
      <c r="USX614" s="5" t="s">
        <v>3728</v>
      </c>
      <c r="USY614" s="17">
        <v>44925</v>
      </c>
      <c r="USZ614" s="5" t="s">
        <v>3728</v>
      </c>
      <c r="UTA614" s="17">
        <v>44925</v>
      </c>
      <c r="UTB614" s="5" t="s">
        <v>3728</v>
      </c>
      <c r="UTC614" s="17">
        <v>44925</v>
      </c>
      <c r="UTD614" s="5" t="s">
        <v>3728</v>
      </c>
      <c r="UTE614" s="17">
        <v>44925</v>
      </c>
      <c r="UTF614" s="5" t="s">
        <v>3728</v>
      </c>
      <c r="UTG614" s="17">
        <v>44925</v>
      </c>
      <c r="UTH614" s="5" t="s">
        <v>3728</v>
      </c>
      <c r="UTI614" s="17">
        <v>44925</v>
      </c>
      <c r="UTJ614" s="5" t="s">
        <v>3728</v>
      </c>
      <c r="UTK614" s="17">
        <v>44925</v>
      </c>
      <c r="UTL614" s="5" t="s">
        <v>3728</v>
      </c>
      <c r="UTM614" s="17">
        <v>44925</v>
      </c>
      <c r="UTN614" s="5" t="s">
        <v>3728</v>
      </c>
      <c r="UTO614" s="17">
        <v>44925</v>
      </c>
      <c r="UTP614" s="5" t="s">
        <v>3728</v>
      </c>
      <c r="UTQ614" s="17">
        <v>44925</v>
      </c>
      <c r="UTR614" s="5" t="s">
        <v>3728</v>
      </c>
      <c r="UTS614" s="17">
        <v>44925</v>
      </c>
      <c r="UTT614" s="5" t="s">
        <v>3728</v>
      </c>
      <c r="UTU614" s="17">
        <v>44925</v>
      </c>
      <c r="UTV614" s="5" t="s">
        <v>3728</v>
      </c>
      <c r="UTW614" s="17">
        <v>44925</v>
      </c>
      <c r="UTX614" s="5" t="s">
        <v>3728</v>
      </c>
      <c r="UTY614" s="17">
        <v>44925</v>
      </c>
      <c r="UTZ614" s="5" t="s">
        <v>3728</v>
      </c>
      <c r="UUA614" s="17">
        <v>44925</v>
      </c>
      <c r="UUB614" s="5" t="s">
        <v>3728</v>
      </c>
      <c r="UUC614" s="17">
        <v>44925</v>
      </c>
      <c r="UUD614" s="5" t="s">
        <v>3728</v>
      </c>
      <c r="UUE614" s="17">
        <v>44925</v>
      </c>
      <c r="UUF614" s="5" t="s">
        <v>3728</v>
      </c>
      <c r="UUG614" s="17">
        <v>44925</v>
      </c>
      <c r="UUH614" s="5" t="s">
        <v>3728</v>
      </c>
      <c r="UUI614" s="17">
        <v>44925</v>
      </c>
      <c r="UUJ614" s="5" t="s">
        <v>3728</v>
      </c>
      <c r="UUK614" s="17">
        <v>44925</v>
      </c>
      <c r="UUL614" s="5" t="s">
        <v>3728</v>
      </c>
      <c r="UUM614" s="17">
        <v>44925</v>
      </c>
      <c r="UUN614" s="5" t="s">
        <v>3728</v>
      </c>
      <c r="UUO614" s="17">
        <v>44925</v>
      </c>
      <c r="UUP614" s="5" t="s">
        <v>3728</v>
      </c>
      <c r="UUQ614" s="17">
        <v>44925</v>
      </c>
      <c r="UUR614" s="5" t="s">
        <v>3728</v>
      </c>
      <c r="UUS614" s="17">
        <v>44925</v>
      </c>
      <c r="UUT614" s="5" t="s">
        <v>3728</v>
      </c>
      <c r="UUU614" s="17">
        <v>44925</v>
      </c>
      <c r="UUV614" s="5" t="s">
        <v>3728</v>
      </c>
      <c r="UUW614" s="17">
        <v>44925</v>
      </c>
      <c r="UUX614" s="5" t="s">
        <v>3728</v>
      </c>
      <c r="UUY614" s="17">
        <v>44925</v>
      </c>
      <c r="UUZ614" s="5" t="s">
        <v>3728</v>
      </c>
      <c r="UVA614" s="17">
        <v>44925</v>
      </c>
      <c r="UVB614" s="5" t="s">
        <v>3728</v>
      </c>
      <c r="UVC614" s="17">
        <v>44925</v>
      </c>
      <c r="UVD614" s="5" t="s">
        <v>3728</v>
      </c>
      <c r="UVE614" s="17">
        <v>44925</v>
      </c>
      <c r="UVF614" s="5" t="s">
        <v>3728</v>
      </c>
      <c r="UVG614" s="17">
        <v>44925</v>
      </c>
      <c r="UVH614" s="5" t="s">
        <v>3728</v>
      </c>
      <c r="UVI614" s="17">
        <v>44925</v>
      </c>
      <c r="UVJ614" s="5" t="s">
        <v>3728</v>
      </c>
      <c r="UVK614" s="17">
        <v>44925</v>
      </c>
      <c r="UVL614" s="5" t="s">
        <v>3728</v>
      </c>
      <c r="UVM614" s="17">
        <v>44925</v>
      </c>
      <c r="UVN614" s="5" t="s">
        <v>3728</v>
      </c>
      <c r="UVO614" s="17">
        <v>44925</v>
      </c>
      <c r="UVP614" s="5" t="s">
        <v>3728</v>
      </c>
      <c r="UVQ614" s="17">
        <v>44925</v>
      </c>
      <c r="UVR614" s="5" t="s">
        <v>3728</v>
      </c>
      <c r="UVS614" s="17">
        <v>44925</v>
      </c>
      <c r="UVT614" s="5" t="s">
        <v>3728</v>
      </c>
      <c r="UVU614" s="17">
        <v>44925</v>
      </c>
      <c r="UVV614" s="5" t="s">
        <v>3728</v>
      </c>
      <c r="UVW614" s="17">
        <v>44925</v>
      </c>
      <c r="UVX614" s="5" t="s">
        <v>3728</v>
      </c>
      <c r="UVY614" s="17">
        <v>44925</v>
      </c>
      <c r="UVZ614" s="5" t="s">
        <v>3728</v>
      </c>
      <c r="UWA614" s="17">
        <v>44925</v>
      </c>
      <c r="UWB614" s="5" t="s">
        <v>3728</v>
      </c>
      <c r="UWC614" s="17">
        <v>44925</v>
      </c>
      <c r="UWD614" s="5" t="s">
        <v>3728</v>
      </c>
      <c r="UWE614" s="17">
        <v>44925</v>
      </c>
      <c r="UWF614" s="5" t="s">
        <v>3728</v>
      </c>
      <c r="UWG614" s="17">
        <v>44925</v>
      </c>
      <c r="UWH614" s="5" t="s">
        <v>3728</v>
      </c>
      <c r="UWI614" s="17">
        <v>44925</v>
      </c>
      <c r="UWJ614" s="5" t="s">
        <v>3728</v>
      </c>
      <c r="UWK614" s="17">
        <v>44925</v>
      </c>
      <c r="UWL614" s="5" t="s">
        <v>3728</v>
      </c>
      <c r="UWM614" s="17">
        <v>44925</v>
      </c>
      <c r="UWN614" s="5" t="s">
        <v>3728</v>
      </c>
      <c r="UWO614" s="17">
        <v>44925</v>
      </c>
      <c r="UWP614" s="5" t="s">
        <v>3728</v>
      </c>
      <c r="UWQ614" s="17">
        <v>44925</v>
      </c>
      <c r="UWR614" s="5" t="s">
        <v>3728</v>
      </c>
      <c r="UWS614" s="17">
        <v>44925</v>
      </c>
      <c r="UWT614" s="5" t="s">
        <v>3728</v>
      </c>
      <c r="UWU614" s="17">
        <v>44925</v>
      </c>
      <c r="UWV614" s="5" t="s">
        <v>3728</v>
      </c>
      <c r="UWW614" s="17">
        <v>44925</v>
      </c>
      <c r="UWX614" s="5" t="s">
        <v>3728</v>
      </c>
      <c r="UWY614" s="17">
        <v>44925</v>
      </c>
      <c r="UWZ614" s="5" t="s">
        <v>3728</v>
      </c>
      <c r="UXA614" s="17">
        <v>44925</v>
      </c>
      <c r="UXB614" s="5" t="s">
        <v>3728</v>
      </c>
      <c r="UXC614" s="17">
        <v>44925</v>
      </c>
      <c r="UXD614" s="5" t="s">
        <v>3728</v>
      </c>
      <c r="UXE614" s="17">
        <v>44925</v>
      </c>
      <c r="UXF614" s="5" t="s">
        <v>3728</v>
      </c>
      <c r="UXG614" s="17">
        <v>44925</v>
      </c>
      <c r="UXH614" s="5" t="s">
        <v>3728</v>
      </c>
      <c r="UXI614" s="17">
        <v>44925</v>
      </c>
      <c r="UXJ614" s="5" t="s">
        <v>3728</v>
      </c>
      <c r="UXK614" s="17">
        <v>44925</v>
      </c>
      <c r="UXL614" s="5" t="s">
        <v>3728</v>
      </c>
      <c r="UXM614" s="17">
        <v>44925</v>
      </c>
      <c r="UXN614" s="5" t="s">
        <v>3728</v>
      </c>
      <c r="UXO614" s="17">
        <v>44925</v>
      </c>
      <c r="UXP614" s="5" t="s">
        <v>3728</v>
      </c>
      <c r="UXQ614" s="17">
        <v>44925</v>
      </c>
      <c r="UXR614" s="5" t="s">
        <v>3728</v>
      </c>
      <c r="UXS614" s="17">
        <v>44925</v>
      </c>
      <c r="UXT614" s="5" t="s">
        <v>3728</v>
      </c>
      <c r="UXU614" s="17">
        <v>44925</v>
      </c>
      <c r="UXV614" s="5" t="s">
        <v>3728</v>
      </c>
      <c r="UXW614" s="17">
        <v>44925</v>
      </c>
      <c r="UXX614" s="5" t="s">
        <v>3728</v>
      </c>
      <c r="UXY614" s="17">
        <v>44925</v>
      </c>
      <c r="UXZ614" s="5" t="s">
        <v>3728</v>
      </c>
      <c r="UYA614" s="17">
        <v>44925</v>
      </c>
      <c r="UYB614" s="5" t="s">
        <v>3728</v>
      </c>
      <c r="UYC614" s="17">
        <v>44925</v>
      </c>
      <c r="UYD614" s="5" t="s">
        <v>3728</v>
      </c>
      <c r="UYE614" s="17">
        <v>44925</v>
      </c>
      <c r="UYF614" s="5" t="s">
        <v>3728</v>
      </c>
      <c r="UYG614" s="17">
        <v>44925</v>
      </c>
      <c r="UYH614" s="5" t="s">
        <v>3728</v>
      </c>
      <c r="UYI614" s="17">
        <v>44925</v>
      </c>
      <c r="UYJ614" s="5" t="s">
        <v>3728</v>
      </c>
      <c r="UYK614" s="17">
        <v>44925</v>
      </c>
      <c r="UYL614" s="5" t="s">
        <v>3728</v>
      </c>
      <c r="UYM614" s="17">
        <v>44925</v>
      </c>
      <c r="UYN614" s="5" t="s">
        <v>3728</v>
      </c>
      <c r="UYO614" s="17">
        <v>44925</v>
      </c>
      <c r="UYP614" s="5" t="s">
        <v>3728</v>
      </c>
      <c r="UYQ614" s="17">
        <v>44925</v>
      </c>
      <c r="UYR614" s="5" t="s">
        <v>3728</v>
      </c>
      <c r="UYS614" s="17">
        <v>44925</v>
      </c>
      <c r="UYT614" s="5" t="s">
        <v>3728</v>
      </c>
      <c r="UYU614" s="17">
        <v>44925</v>
      </c>
      <c r="UYV614" s="5" t="s">
        <v>3728</v>
      </c>
      <c r="UYW614" s="17">
        <v>44925</v>
      </c>
      <c r="UYX614" s="5" t="s">
        <v>3728</v>
      </c>
      <c r="UYY614" s="17">
        <v>44925</v>
      </c>
      <c r="UYZ614" s="5" t="s">
        <v>3728</v>
      </c>
      <c r="UZA614" s="17">
        <v>44925</v>
      </c>
      <c r="UZB614" s="5" t="s">
        <v>3728</v>
      </c>
      <c r="UZC614" s="17">
        <v>44925</v>
      </c>
      <c r="UZD614" s="5" t="s">
        <v>3728</v>
      </c>
      <c r="UZE614" s="17">
        <v>44925</v>
      </c>
      <c r="UZF614" s="5" t="s">
        <v>3728</v>
      </c>
      <c r="UZG614" s="17">
        <v>44925</v>
      </c>
      <c r="UZH614" s="5" t="s">
        <v>3728</v>
      </c>
      <c r="UZI614" s="17">
        <v>44925</v>
      </c>
      <c r="UZJ614" s="5" t="s">
        <v>3728</v>
      </c>
      <c r="UZK614" s="17">
        <v>44925</v>
      </c>
      <c r="UZL614" s="5" t="s">
        <v>3728</v>
      </c>
      <c r="UZM614" s="17">
        <v>44925</v>
      </c>
      <c r="UZN614" s="5" t="s">
        <v>3728</v>
      </c>
      <c r="UZO614" s="17">
        <v>44925</v>
      </c>
      <c r="UZP614" s="5" t="s">
        <v>3728</v>
      </c>
      <c r="UZQ614" s="17">
        <v>44925</v>
      </c>
      <c r="UZR614" s="5" t="s">
        <v>3728</v>
      </c>
      <c r="UZS614" s="17">
        <v>44925</v>
      </c>
      <c r="UZT614" s="5" t="s">
        <v>3728</v>
      </c>
      <c r="UZU614" s="17">
        <v>44925</v>
      </c>
      <c r="UZV614" s="5" t="s">
        <v>3728</v>
      </c>
      <c r="UZW614" s="17">
        <v>44925</v>
      </c>
      <c r="UZX614" s="5" t="s">
        <v>3728</v>
      </c>
      <c r="UZY614" s="17">
        <v>44925</v>
      </c>
      <c r="UZZ614" s="5" t="s">
        <v>3728</v>
      </c>
      <c r="VAA614" s="17">
        <v>44925</v>
      </c>
      <c r="VAB614" s="5" t="s">
        <v>3728</v>
      </c>
      <c r="VAC614" s="17">
        <v>44925</v>
      </c>
      <c r="VAD614" s="5" t="s">
        <v>3728</v>
      </c>
      <c r="VAE614" s="17">
        <v>44925</v>
      </c>
      <c r="VAF614" s="5" t="s">
        <v>3728</v>
      </c>
      <c r="VAG614" s="17">
        <v>44925</v>
      </c>
      <c r="VAH614" s="5" t="s">
        <v>3728</v>
      </c>
      <c r="VAI614" s="17">
        <v>44925</v>
      </c>
      <c r="VAJ614" s="5" t="s">
        <v>3728</v>
      </c>
      <c r="VAK614" s="17">
        <v>44925</v>
      </c>
      <c r="VAL614" s="5" t="s">
        <v>3728</v>
      </c>
      <c r="VAM614" s="17">
        <v>44925</v>
      </c>
      <c r="VAN614" s="5" t="s">
        <v>3728</v>
      </c>
      <c r="VAO614" s="17">
        <v>44925</v>
      </c>
      <c r="VAP614" s="5" t="s">
        <v>3728</v>
      </c>
      <c r="VAQ614" s="17">
        <v>44925</v>
      </c>
      <c r="VAR614" s="5" t="s">
        <v>3728</v>
      </c>
      <c r="VAS614" s="17">
        <v>44925</v>
      </c>
      <c r="VAT614" s="5" t="s">
        <v>3728</v>
      </c>
      <c r="VAU614" s="17">
        <v>44925</v>
      </c>
      <c r="VAV614" s="5" t="s">
        <v>3728</v>
      </c>
      <c r="VAW614" s="17">
        <v>44925</v>
      </c>
      <c r="VAX614" s="5" t="s">
        <v>3728</v>
      </c>
      <c r="VAY614" s="17">
        <v>44925</v>
      </c>
      <c r="VAZ614" s="5" t="s">
        <v>3728</v>
      </c>
      <c r="VBA614" s="17">
        <v>44925</v>
      </c>
      <c r="VBB614" s="5" t="s">
        <v>3728</v>
      </c>
      <c r="VBC614" s="17">
        <v>44925</v>
      </c>
      <c r="VBD614" s="5" t="s">
        <v>3728</v>
      </c>
      <c r="VBE614" s="17">
        <v>44925</v>
      </c>
      <c r="VBF614" s="5" t="s">
        <v>3728</v>
      </c>
      <c r="VBG614" s="17">
        <v>44925</v>
      </c>
      <c r="VBH614" s="5" t="s">
        <v>3728</v>
      </c>
      <c r="VBI614" s="17">
        <v>44925</v>
      </c>
      <c r="VBJ614" s="5" t="s">
        <v>3728</v>
      </c>
      <c r="VBK614" s="17">
        <v>44925</v>
      </c>
      <c r="VBL614" s="5" t="s">
        <v>3728</v>
      </c>
      <c r="VBM614" s="17">
        <v>44925</v>
      </c>
      <c r="VBN614" s="5" t="s">
        <v>3728</v>
      </c>
      <c r="VBO614" s="17">
        <v>44925</v>
      </c>
      <c r="VBP614" s="5" t="s">
        <v>3728</v>
      </c>
      <c r="VBQ614" s="17">
        <v>44925</v>
      </c>
      <c r="VBR614" s="5" t="s">
        <v>3728</v>
      </c>
      <c r="VBS614" s="17">
        <v>44925</v>
      </c>
      <c r="VBT614" s="5" t="s">
        <v>3728</v>
      </c>
      <c r="VBU614" s="17">
        <v>44925</v>
      </c>
      <c r="VBV614" s="5" t="s">
        <v>3728</v>
      </c>
      <c r="VBW614" s="17">
        <v>44925</v>
      </c>
      <c r="VBX614" s="5" t="s">
        <v>3728</v>
      </c>
      <c r="VBY614" s="17">
        <v>44925</v>
      </c>
      <c r="VBZ614" s="5" t="s">
        <v>3728</v>
      </c>
      <c r="VCA614" s="17">
        <v>44925</v>
      </c>
      <c r="VCB614" s="5" t="s">
        <v>3728</v>
      </c>
      <c r="VCC614" s="17">
        <v>44925</v>
      </c>
      <c r="VCD614" s="5" t="s">
        <v>3728</v>
      </c>
      <c r="VCE614" s="17">
        <v>44925</v>
      </c>
      <c r="VCF614" s="5" t="s">
        <v>3728</v>
      </c>
      <c r="VCG614" s="17">
        <v>44925</v>
      </c>
      <c r="VCH614" s="5" t="s">
        <v>3728</v>
      </c>
      <c r="VCI614" s="17">
        <v>44925</v>
      </c>
      <c r="VCJ614" s="5" t="s">
        <v>3728</v>
      </c>
      <c r="VCK614" s="17">
        <v>44925</v>
      </c>
      <c r="VCL614" s="5" t="s">
        <v>3728</v>
      </c>
      <c r="VCM614" s="17">
        <v>44925</v>
      </c>
      <c r="VCN614" s="5" t="s">
        <v>3728</v>
      </c>
      <c r="VCO614" s="17">
        <v>44925</v>
      </c>
      <c r="VCP614" s="5" t="s">
        <v>3728</v>
      </c>
      <c r="VCQ614" s="17">
        <v>44925</v>
      </c>
      <c r="VCR614" s="5" t="s">
        <v>3728</v>
      </c>
      <c r="VCS614" s="17">
        <v>44925</v>
      </c>
      <c r="VCT614" s="5" t="s">
        <v>3728</v>
      </c>
      <c r="VCU614" s="17">
        <v>44925</v>
      </c>
      <c r="VCV614" s="5" t="s">
        <v>3728</v>
      </c>
      <c r="VCW614" s="17">
        <v>44925</v>
      </c>
      <c r="VCX614" s="5" t="s">
        <v>3728</v>
      </c>
      <c r="VCY614" s="17">
        <v>44925</v>
      </c>
      <c r="VCZ614" s="5" t="s">
        <v>3728</v>
      </c>
      <c r="VDA614" s="17">
        <v>44925</v>
      </c>
      <c r="VDB614" s="5" t="s">
        <v>3728</v>
      </c>
      <c r="VDC614" s="17">
        <v>44925</v>
      </c>
      <c r="VDD614" s="5" t="s">
        <v>3728</v>
      </c>
      <c r="VDE614" s="17">
        <v>44925</v>
      </c>
      <c r="VDF614" s="5" t="s">
        <v>3728</v>
      </c>
      <c r="VDG614" s="17">
        <v>44925</v>
      </c>
      <c r="VDH614" s="5" t="s">
        <v>3728</v>
      </c>
      <c r="VDI614" s="17">
        <v>44925</v>
      </c>
      <c r="VDJ614" s="5" t="s">
        <v>3728</v>
      </c>
      <c r="VDK614" s="17">
        <v>44925</v>
      </c>
      <c r="VDL614" s="5" t="s">
        <v>3728</v>
      </c>
      <c r="VDM614" s="17">
        <v>44925</v>
      </c>
      <c r="VDN614" s="5" t="s">
        <v>3728</v>
      </c>
      <c r="VDO614" s="17">
        <v>44925</v>
      </c>
      <c r="VDP614" s="5" t="s">
        <v>3728</v>
      </c>
      <c r="VDQ614" s="17">
        <v>44925</v>
      </c>
      <c r="VDR614" s="5" t="s">
        <v>3728</v>
      </c>
      <c r="VDS614" s="17">
        <v>44925</v>
      </c>
      <c r="VDT614" s="5" t="s">
        <v>3728</v>
      </c>
      <c r="VDU614" s="17">
        <v>44925</v>
      </c>
      <c r="VDV614" s="5" t="s">
        <v>3728</v>
      </c>
      <c r="VDW614" s="17">
        <v>44925</v>
      </c>
      <c r="VDX614" s="5" t="s">
        <v>3728</v>
      </c>
      <c r="VDY614" s="17">
        <v>44925</v>
      </c>
      <c r="VDZ614" s="5" t="s">
        <v>3728</v>
      </c>
      <c r="VEA614" s="17">
        <v>44925</v>
      </c>
      <c r="VEB614" s="5" t="s">
        <v>3728</v>
      </c>
      <c r="VEC614" s="17">
        <v>44925</v>
      </c>
      <c r="VED614" s="5" t="s">
        <v>3728</v>
      </c>
      <c r="VEE614" s="17">
        <v>44925</v>
      </c>
      <c r="VEF614" s="5" t="s">
        <v>3728</v>
      </c>
      <c r="VEG614" s="17">
        <v>44925</v>
      </c>
      <c r="VEH614" s="5" t="s">
        <v>3728</v>
      </c>
      <c r="VEI614" s="17">
        <v>44925</v>
      </c>
      <c r="VEJ614" s="5" t="s">
        <v>3728</v>
      </c>
      <c r="VEK614" s="17">
        <v>44925</v>
      </c>
      <c r="VEL614" s="5" t="s">
        <v>3728</v>
      </c>
      <c r="VEM614" s="17">
        <v>44925</v>
      </c>
      <c r="VEN614" s="5" t="s">
        <v>3728</v>
      </c>
      <c r="VEO614" s="17">
        <v>44925</v>
      </c>
      <c r="VEP614" s="5" t="s">
        <v>3728</v>
      </c>
      <c r="VEQ614" s="17">
        <v>44925</v>
      </c>
      <c r="VER614" s="5" t="s">
        <v>3728</v>
      </c>
      <c r="VES614" s="17">
        <v>44925</v>
      </c>
      <c r="VET614" s="5" t="s">
        <v>3728</v>
      </c>
      <c r="VEU614" s="17">
        <v>44925</v>
      </c>
      <c r="VEV614" s="5" t="s">
        <v>3728</v>
      </c>
      <c r="VEW614" s="17">
        <v>44925</v>
      </c>
      <c r="VEX614" s="5" t="s">
        <v>3728</v>
      </c>
      <c r="VEY614" s="17">
        <v>44925</v>
      </c>
      <c r="VEZ614" s="5" t="s">
        <v>3728</v>
      </c>
      <c r="VFA614" s="17">
        <v>44925</v>
      </c>
      <c r="VFB614" s="5" t="s">
        <v>3728</v>
      </c>
      <c r="VFC614" s="17">
        <v>44925</v>
      </c>
      <c r="VFD614" s="5" t="s">
        <v>3728</v>
      </c>
      <c r="VFE614" s="17">
        <v>44925</v>
      </c>
      <c r="VFF614" s="5" t="s">
        <v>3728</v>
      </c>
      <c r="VFG614" s="17">
        <v>44925</v>
      </c>
      <c r="VFH614" s="5" t="s">
        <v>3728</v>
      </c>
      <c r="VFI614" s="17">
        <v>44925</v>
      </c>
      <c r="VFJ614" s="5" t="s">
        <v>3728</v>
      </c>
      <c r="VFK614" s="17">
        <v>44925</v>
      </c>
      <c r="VFL614" s="5" t="s">
        <v>3728</v>
      </c>
      <c r="VFM614" s="17">
        <v>44925</v>
      </c>
      <c r="VFN614" s="5" t="s">
        <v>3728</v>
      </c>
      <c r="VFO614" s="17">
        <v>44925</v>
      </c>
      <c r="VFP614" s="5" t="s">
        <v>3728</v>
      </c>
      <c r="VFQ614" s="17">
        <v>44925</v>
      </c>
      <c r="VFR614" s="5" t="s">
        <v>3728</v>
      </c>
      <c r="VFS614" s="17">
        <v>44925</v>
      </c>
      <c r="VFT614" s="5" t="s">
        <v>3728</v>
      </c>
      <c r="VFU614" s="17">
        <v>44925</v>
      </c>
      <c r="VFV614" s="5" t="s">
        <v>3728</v>
      </c>
      <c r="VFW614" s="17">
        <v>44925</v>
      </c>
      <c r="VFX614" s="5" t="s">
        <v>3728</v>
      </c>
      <c r="VFY614" s="17">
        <v>44925</v>
      </c>
      <c r="VFZ614" s="5" t="s">
        <v>3728</v>
      </c>
      <c r="VGA614" s="17">
        <v>44925</v>
      </c>
      <c r="VGB614" s="5" t="s">
        <v>3728</v>
      </c>
      <c r="VGC614" s="17">
        <v>44925</v>
      </c>
      <c r="VGD614" s="5" t="s">
        <v>3728</v>
      </c>
      <c r="VGE614" s="17">
        <v>44925</v>
      </c>
      <c r="VGF614" s="5" t="s">
        <v>3728</v>
      </c>
      <c r="VGG614" s="17">
        <v>44925</v>
      </c>
      <c r="VGH614" s="5" t="s">
        <v>3728</v>
      </c>
      <c r="VGI614" s="17">
        <v>44925</v>
      </c>
      <c r="VGJ614" s="5" t="s">
        <v>3728</v>
      </c>
      <c r="VGK614" s="17">
        <v>44925</v>
      </c>
      <c r="VGL614" s="5" t="s">
        <v>3728</v>
      </c>
      <c r="VGM614" s="17">
        <v>44925</v>
      </c>
      <c r="VGN614" s="5" t="s">
        <v>3728</v>
      </c>
      <c r="VGO614" s="17">
        <v>44925</v>
      </c>
      <c r="VGP614" s="5" t="s">
        <v>3728</v>
      </c>
      <c r="VGQ614" s="17">
        <v>44925</v>
      </c>
      <c r="VGR614" s="5" t="s">
        <v>3728</v>
      </c>
      <c r="VGS614" s="17">
        <v>44925</v>
      </c>
      <c r="VGT614" s="5" t="s">
        <v>3728</v>
      </c>
      <c r="VGU614" s="17">
        <v>44925</v>
      </c>
      <c r="VGV614" s="5" t="s">
        <v>3728</v>
      </c>
      <c r="VGW614" s="17">
        <v>44925</v>
      </c>
      <c r="VGX614" s="5" t="s">
        <v>3728</v>
      </c>
      <c r="VGY614" s="17">
        <v>44925</v>
      </c>
      <c r="VGZ614" s="5" t="s">
        <v>3728</v>
      </c>
      <c r="VHA614" s="17">
        <v>44925</v>
      </c>
      <c r="VHB614" s="5" t="s">
        <v>3728</v>
      </c>
      <c r="VHC614" s="17">
        <v>44925</v>
      </c>
      <c r="VHD614" s="5" t="s">
        <v>3728</v>
      </c>
      <c r="VHE614" s="17">
        <v>44925</v>
      </c>
      <c r="VHF614" s="5" t="s">
        <v>3728</v>
      </c>
      <c r="VHG614" s="17">
        <v>44925</v>
      </c>
      <c r="VHH614" s="5" t="s">
        <v>3728</v>
      </c>
      <c r="VHI614" s="17">
        <v>44925</v>
      </c>
      <c r="VHJ614" s="5" t="s">
        <v>3728</v>
      </c>
      <c r="VHK614" s="17">
        <v>44925</v>
      </c>
      <c r="VHL614" s="5" t="s">
        <v>3728</v>
      </c>
      <c r="VHM614" s="17">
        <v>44925</v>
      </c>
      <c r="VHN614" s="5" t="s">
        <v>3728</v>
      </c>
      <c r="VHO614" s="17">
        <v>44925</v>
      </c>
      <c r="VHP614" s="5" t="s">
        <v>3728</v>
      </c>
      <c r="VHQ614" s="17">
        <v>44925</v>
      </c>
      <c r="VHR614" s="5" t="s">
        <v>3728</v>
      </c>
      <c r="VHS614" s="17">
        <v>44925</v>
      </c>
      <c r="VHT614" s="5" t="s">
        <v>3728</v>
      </c>
      <c r="VHU614" s="17">
        <v>44925</v>
      </c>
      <c r="VHV614" s="5" t="s">
        <v>3728</v>
      </c>
      <c r="VHW614" s="17">
        <v>44925</v>
      </c>
      <c r="VHX614" s="5" t="s">
        <v>3728</v>
      </c>
      <c r="VHY614" s="17">
        <v>44925</v>
      </c>
      <c r="VHZ614" s="5" t="s">
        <v>3728</v>
      </c>
      <c r="VIA614" s="17">
        <v>44925</v>
      </c>
      <c r="VIB614" s="5" t="s">
        <v>3728</v>
      </c>
      <c r="VIC614" s="17">
        <v>44925</v>
      </c>
      <c r="VID614" s="5" t="s">
        <v>3728</v>
      </c>
      <c r="VIE614" s="17">
        <v>44925</v>
      </c>
      <c r="VIF614" s="5" t="s">
        <v>3728</v>
      </c>
      <c r="VIG614" s="17">
        <v>44925</v>
      </c>
      <c r="VIH614" s="5" t="s">
        <v>3728</v>
      </c>
      <c r="VII614" s="17">
        <v>44925</v>
      </c>
      <c r="VIJ614" s="5" t="s">
        <v>3728</v>
      </c>
      <c r="VIK614" s="17">
        <v>44925</v>
      </c>
      <c r="VIL614" s="5" t="s">
        <v>3728</v>
      </c>
      <c r="VIM614" s="17">
        <v>44925</v>
      </c>
      <c r="VIN614" s="5" t="s">
        <v>3728</v>
      </c>
      <c r="VIO614" s="17">
        <v>44925</v>
      </c>
      <c r="VIP614" s="5" t="s">
        <v>3728</v>
      </c>
      <c r="VIQ614" s="17">
        <v>44925</v>
      </c>
      <c r="VIR614" s="5" t="s">
        <v>3728</v>
      </c>
      <c r="VIS614" s="17">
        <v>44925</v>
      </c>
      <c r="VIT614" s="5" t="s">
        <v>3728</v>
      </c>
      <c r="VIU614" s="17">
        <v>44925</v>
      </c>
      <c r="VIV614" s="5" t="s">
        <v>3728</v>
      </c>
      <c r="VIW614" s="17">
        <v>44925</v>
      </c>
      <c r="VIX614" s="5" t="s">
        <v>3728</v>
      </c>
      <c r="VIY614" s="17">
        <v>44925</v>
      </c>
      <c r="VIZ614" s="5" t="s">
        <v>3728</v>
      </c>
      <c r="VJA614" s="17">
        <v>44925</v>
      </c>
      <c r="VJB614" s="5" t="s">
        <v>3728</v>
      </c>
      <c r="VJC614" s="17">
        <v>44925</v>
      </c>
      <c r="VJD614" s="5" t="s">
        <v>3728</v>
      </c>
      <c r="VJE614" s="17">
        <v>44925</v>
      </c>
      <c r="VJF614" s="5" t="s">
        <v>3728</v>
      </c>
      <c r="VJG614" s="17">
        <v>44925</v>
      </c>
      <c r="VJH614" s="5" t="s">
        <v>3728</v>
      </c>
      <c r="VJI614" s="17">
        <v>44925</v>
      </c>
      <c r="VJJ614" s="5" t="s">
        <v>3728</v>
      </c>
      <c r="VJK614" s="17">
        <v>44925</v>
      </c>
      <c r="VJL614" s="5" t="s">
        <v>3728</v>
      </c>
      <c r="VJM614" s="17">
        <v>44925</v>
      </c>
      <c r="VJN614" s="5" t="s">
        <v>3728</v>
      </c>
      <c r="VJO614" s="17">
        <v>44925</v>
      </c>
      <c r="VJP614" s="5" t="s">
        <v>3728</v>
      </c>
      <c r="VJQ614" s="17">
        <v>44925</v>
      </c>
      <c r="VJR614" s="5" t="s">
        <v>3728</v>
      </c>
      <c r="VJS614" s="17">
        <v>44925</v>
      </c>
      <c r="VJT614" s="5" t="s">
        <v>3728</v>
      </c>
      <c r="VJU614" s="17">
        <v>44925</v>
      </c>
      <c r="VJV614" s="5" t="s">
        <v>3728</v>
      </c>
      <c r="VJW614" s="17">
        <v>44925</v>
      </c>
      <c r="VJX614" s="5" t="s">
        <v>3728</v>
      </c>
      <c r="VJY614" s="17">
        <v>44925</v>
      </c>
      <c r="VJZ614" s="5" t="s">
        <v>3728</v>
      </c>
      <c r="VKA614" s="17">
        <v>44925</v>
      </c>
      <c r="VKB614" s="5" t="s">
        <v>3728</v>
      </c>
      <c r="VKC614" s="17">
        <v>44925</v>
      </c>
      <c r="VKD614" s="5" t="s">
        <v>3728</v>
      </c>
      <c r="VKE614" s="17">
        <v>44925</v>
      </c>
      <c r="VKF614" s="5" t="s">
        <v>3728</v>
      </c>
      <c r="VKG614" s="17">
        <v>44925</v>
      </c>
      <c r="VKH614" s="5" t="s">
        <v>3728</v>
      </c>
      <c r="VKI614" s="17">
        <v>44925</v>
      </c>
      <c r="VKJ614" s="5" t="s">
        <v>3728</v>
      </c>
      <c r="VKK614" s="17">
        <v>44925</v>
      </c>
      <c r="VKL614" s="5" t="s">
        <v>3728</v>
      </c>
      <c r="VKM614" s="17">
        <v>44925</v>
      </c>
      <c r="VKN614" s="5" t="s">
        <v>3728</v>
      </c>
      <c r="VKO614" s="17">
        <v>44925</v>
      </c>
      <c r="VKP614" s="5" t="s">
        <v>3728</v>
      </c>
      <c r="VKQ614" s="17">
        <v>44925</v>
      </c>
      <c r="VKR614" s="5" t="s">
        <v>3728</v>
      </c>
      <c r="VKS614" s="17">
        <v>44925</v>
      </c>
      <c r="VKT614" s="5" t="s">
        <v>3728</v>
      </c>
      <c r="VKU614" s="17">
        <v>44925</v>
      </c>
      <c r="VKV614" s="5" t="s">
        <v>3728</v>
      </c>
      <c r="VKW614" s="17">
        <v>44925</v>
      </c>
      <c r="VKX614" s="5" t="s">
        <v>3728</v>
      </c>
      <c r="VKY614" s="17">
        <v>44925</v>
      </c>
      <c r="VKZ614" s="5" t="s">
        <v>3728</v>
      </c>
      <c r="VLA614" s="17">
        <v>44925</v>
      </c>
      <c r="VLB614" s="5" t="s">
        <v>3728</v>
      </c>
      <c r="VLC614" s="17">
        <v>44925</v>
      </c>
      <c r="VLD614" s="5" t="s">
        <v>3728</v>
      </c>
      <c r="VLE614" s="17">
        <v>44925</v>
      </c>
      <c r="VLF614" s="5" t="s">
        <v>3728</v>
      </c>
      <c r="VLG614" s="17">
        <v>44925</v>
      </c>
      <c r="VLH614" s="5" t="s">
        <v>3728</v>
      </c>
      <c r="VLI614" s="17">
        <v>44925</v>
      </c>
      <c r="VLJ614" s="5" t="s">
        <v>3728</v>
      </c>
      <c r="VLK614" s="17">
        <v>44925</v>
      </c>
      <c r="VLL614" s="5" t="s">
        <v>3728</v>
      </c>
      <c r="VLM614" s="17">
        <v>44925</v>
      </c>
      <c r="VLN614" s="5" t="s">
        <v>3728</v>
      </c>
      <c r="VLO614" s="17">
        <v>44925</v>
      </c>
      <c r="VLP614" s="5" t="s">
        <v>3728</v>
      </c>
      <c r="VLQ614" s="17">
        <v>44925</v>
      </c>
      <c r="VLR614" s="5" t="s">
        <v>3728</v>
      </c>
      <c r="VLS614" s="17">
        <v>44925</v>
      </c>
      <c r="VLT614" s="5" t="s">
        <v>3728</v>
      </c>
      <c r="VLU614" s="17">
        <v>44925</v>
      </c>
      <c r="VLV614" s="5" t="s">
        <v>3728</v>
      </c>
      <c r="VLW614" s="17">
        <v>44925</v>
      </c>
      <c r="VLX614" s="5" t="s">
        <v>3728</v>
      </c>
      <c r="VLY614" s="17">
        <v>44925</v>
      </c>
      <c r="VLZ614" s="5" t="s">
        <v>3728</v>
      </c>
      <c r="VMA614" s="17">
        <v>44925</v>
      </c>
      <c r="VMB614" s="5" t="s">
        <v>3728</v>
      </c>
      <c r="VMC614" s="17">
        <v>44925</v>
      </c>
      <c r="VMD614" s="5" t="s">
        <v>3728</v>
      </c>
      <c r="VME614" s="17">
        <v>44925</v>
      </c>
      <c r="VMF614" s="5" t="s">
        <v>3728</v>
      </c>
      <c r="VMG614" s="17">
        <v>44925</v>
      </c>
      <c r="VMH614" s="5" t="s">
        <v>3728</v>
      </c>
      <c r="VMI614" s="17">
        <v>44925</v>
      </c>
      <c r="VMJ614" s="5" t="s">
        <v>3728</v>
      </c>
      <c r="VMK614" s="17">
        <v>44925</v>
      </c>
      <c r="VML614" s="5" t="s">
        <v>3728</v>
      </c>
      <c r="VMM614" s="17">
        <v>44925</v>
      </c>
      <c r="VMN614" s="5" t="s">
        <v>3728</v>
      </c>
      <c r="VMO614" s="17">
        <v>44925</v>
      </c>
      <c r="VMP614" s="5" t="s">
        <v>3728</v>
      </c>
      <c r="VMQ614" s="17">
        <v>44925</v>
      </c>
      <c r="VMR614" s="5" t="s">
        <v>3728</v>
      </c>
      <c r="VMS614" s="17">
        <v>44925</v>
      </c>
      <c r="VMT614" s="5" t="s">
        <v>3728</v>
      </c>
      <c r="VMU614" s="17">
        <v>44925</v>
      </c>
      <c r="VMV614" s="5" t="s">
        <v>3728</v>
      </c>
      <c r="VMW614" s="17">
        <v>44925</v>
      </c>
      <c r="VMX614" s="5" t="s">
        <v>3728</v>
      </c>
      <c r="VMY614" s="17">
        <v>44925</v>
      </c>
      <c r="VMZ614" s="5" t="s">
        <v>3728</v>
      </c>
      <c r="VNA614" s="17">
        <v>44925</v>
      </c>
      <c r="VNB614" s="5" t="s">
        <v>3728</v>
      </c>
      <c r="VNC614" s="17">
        <v>44925</v>
      </c>
      <c r="VND614" s="5" t="s">
        <v>3728</v>
      </c>
      <c r="VNE614" s="17">
        <v>44925</v>
      </c>
      <c r="VNF614" s="5" t="s">
        <v>3728</v>
      </c>
      <c r="VNG614" s="17">
        <v>44925</v>
      </c>
      <c r="VNH614" s="5" t="s">
        <v>3728</v>
      </c>
      <c r="VNI614" s="17">
        <v>44925</v>
      </c>
      <c r="VNJ614" s="5" t="s">
        <v>3728</v>
      </c>
      <c r="VNK614" s="17">
        <v>44925</v>
      </c>
      <c r="VNL614" s="5" t="s">
        <v>3728</v>
      </c>
      <c r="VNM614" s="17">
        <v>44925</v>
      </c>
      <c r="VNN614" s="5" t="s">
        <v>3728</v>
      </c>
      <c r="VNO614" s="17">
        <v>44925</v>
      </c>
      <c r="VNP614" s="5" t="s">
        <v>3728</v>
      </c>
      <c r="VNQ614" s="17">
        <v>44925</v>
      </c>
      <c r="VNR614" s="5" t="s">
        <v>3728</v>
      </c>
      <c r="VNS614" s="17">
        <v>44925</v>
      </c>
      <c r="VNT614" s="5" t="s">
        <v>3728</v>
      </c>
      <c r="VNU614" s="17">
        <v>44925</v>
      </c>
      <c r="VNV614" s="5" t="s">
        <v>3728</v>
      </c>
      <c r="VNW614" s="17">
        <v>44925</v>
      </c>
      <c r="VNX614" s="5" t="s">
        <v>3728</v>
      </c>
      <c r="VNY614" s="17">
        <v>44925</v>
      </c>
      <c r="VNZ614" s="5" t="s">
        <v>3728</v>
      </c>
      <c r="VOA614" s="17">
        <v>44925</v>
      </c>
      <c r="VOB614" s="5" t="s">
        <v>3728</v>
      </c>
      <c r="VOC614" s="17">
        <v>44925</v>
      </c>
      <c r="VOD614" s="5" t="s">
        <v>3728</v>
      </c>
      <c r="VOE614" s="17">
        <v>44925</v>
      </c>
      <c r="VOF614" s="5" t="s">
        <v>3728</v>
      </c>
      <c r="VOG614" s="17">
        <v>44925</v>
      </c>
      <c r="VOH614" s="5" t="s">
        <v>3728</v>
      </c>
      <c r="VOI614" s="17">
        <v>44925</v>
      </c>
      <c r="VOJ614" s="5" t="s">
        <v>3728</v>
      </c>
      <c r="VOK614" s="17">
        <v>44925</v>
      </c>
      <c r="VOL614" s="5" t="s">
        <v>3728</v>
      </c>
      <c r="VOM614" s="17">
        <v>44925</v>
      </c>
      <c r="VON614" s="5" t="s">
        <v>3728</v>
      </c>
      <c r="VOO614" s="17">
        <v>44925</v>
      </c>
      <c r="VOP614" s="5" t="s">
        <v>3728</v>
      </c>
      <c r="VOQ614" s="17">
        <v>44925</v>
      </c>
      <c r="VOR614" s="5" t="s">
        <v>3728</v>
      </c>
      <c r="VOS614" s="17">
        <v>44925</v>
      </c>
      <c r="VOT614" s="5" t="s">
        <v>3728</v>
      </c>
      <c r="VOU614" s="17">
        <v>44925</v>
      </c>
      <c r="VOV614" s="5" t="s">
        <v>3728</v>
      </c>
      <c r="VOW614" s="17">
        <v>44925</v>
      </c>
      <c r="VOX614" s="5" t="s">
        <v>3728</v>
      </c>
      <c r="VOY614" s="17">
        <v>44925</v>
      </c>
      <c r="VOZ614" s="5" t="s">
        <v>3728</v>
      </c>
      <c r="VPA614" s="17">
        <v>44925</v>
      </c>
      <c r="VPB614" s="5" t="s">
        <v>3728</v>
      </c>
      <c r="VPC614" s="17">
        <v>44925</v>
      </c>
      <c r="VPD614" s="5" t="s">
        <v>3728</v>
      </c>
      <c r="VPE614" s="17">
        <v>44925</v>
      </c>
      <c r="VPF614" s="5" t="s">
        <v>3728</v>
      </c>
      <c r="VPG614" s="17">
        <v>44925</v>
      </c>
      <c r="VPH614" s="5" t="s">
        <v>3728</v>
      </c>
      <c r="VPI614" s="17">
        <v>44925</v>
      </c>
      <c r="VPJ614" s="5" t="s">
        <v>3728</v>
      </c>
      <c r="VPK614" s="17">
        <v>44925</v>
      </c>
      <c r="VPL614" s="5" t="s">
        <v>3728</v>
      </c>
      <c r="VPM614" s="17">
        <v>44925</v>
      </c>
      <c r="VPN614" s="5" t="s">
        <v>3728</v>
      </c>
      <c r="VPO614" s="17">
        <v>44925</v>
      </c>
      <c r="VPP614" s="5" t="s">
        <v>3728</v>
      </c>
      <c r="VPQ614" s="17">
        <v>44925</v>
      </c>
      <c r="VPR614" s="5" t="s">
        <v>3728</v>
      </c>
      <c r="VPS614" s="17">
        <v>44925</v>
      </c>
      <c r="VPT614" s="5" t="s">
        <v>3728</v>
      </c>
      <c r="VPU614" s="17">
        <v>44925</v>
      </c>
      <c r="VPV614" s="5" t="s">
        <v>3728</v>
      </c>
      <c r="VPW614" s="17">
        <v>44925</v>
      </c>
      <c r="VPX614" s="5" t="s">
        <v>3728</v>
      </c>
      <c r="VPY614" s="17">
        <v>44925</v>
      </c>
      <c r="VPZ614" s="5" t="s">
        <v>3728</v>
      </c>
      <c r="VQA614" s="17">
        <v>44925</v>
      </c>
      <c r="VQB614" s="5" t="s">
        <v>3728</v>
      </c>
      <c r="VQC614" s="17">
        <v>44925</v>
      </c>
      <c r="VQD614" s="5" t="s">
        <v>3728</v>
      </c>
      <c r="VQE614" s="17">
        <v>44925</v>
      </c>
      <c r="VQF614" s="5" t="s">
        <v>3728</v>
      </c>
      <c r="VQG614" s="17">
        <v>44925</v>
      </c>
      <c r="VQH614" s="5" t="s">
        <v>3728</v>
      </c>
      <c r="VQI614" s="17">
        <v>44925</v>
      </c>
      <c r="VQJ614" s="5" t="s">
        <v>3728</v>
      </c>
      <c r="VQK614" s="17">
        <v>44925</v>
      </c>
      <c r="VQL614" s="5" t="s">
        <v>3728</v>
      </c>
      <c r="VQM614" s="17">
        <v>44925</v>
      </c>
      <c r="VQN614" s="5" t="s">
        <v>3728</v>
      </c>
      <c r="VQO614" s="17">
        <v>44925</v>
      </c>
      <c r="VQP614" s="5" t="s">
        <v>3728</v>
      </c>
      <c r="VQQ614" s="17">
        <v>44925</v>
      </c>
      <c r="VQR614" s="5" t="s">
        <v>3728</v>
      </c>
      <c r="VQS614" s="17">
        <v>44925</v>
      </c>
      <c r="VQT614" s="5" t="s">
        <v>3728</v>
      </c>
      <c r="VQU614" s="17">
        <v>44925</v>
      </c>
      <c r="VQV614" s="5" t="s">
        <v>3728</v>
      </c>
      <c r="VQW614" s="17">
        <v>44925</v>
      </c>
      <c r="VQX614" s="5" t="s">
        <v>3728</v>
      </c>
      <c r="VQY614" s="17">
        <v>44925</v>
      </c>
      <c r="VQZ614" s="5" t="s">
        <v>3728</v>
      </c>
      <c r="VRA614" s="17">
        <v>44925</v>
      </c>
      <c r="VRB614" s="5" t="s">
        <v>3728</v>
      </c>
      <c r="VRC614" s="17">
        <v>44925</v>
      </c>
      <c r="VRD614" s="5" t="s">
        <v>3728</v>
      </c>
      <c r="VRE614" s="17">
        <v>44925</v>
      </c>
      <c r="VRF614" s="5" t="s">
        <v>3728</v>
      </c>
      <c r="VRG614" s="17">
        <v>44925</v>
      </c>
      <c r="VRH614" s="5" t="s">
        <v>3728</v>
      </c>
      <c r="VRI614" s="17">
        <v>44925</v>
      </c>
      <c r="VRJ614" s="5" t="s">
        <v>3728</v>
      </c>
      <c r="VRK614" s="17">
        <v>44925</v>
      </c>
      <c r="VRL614" s="5" t="s">
        <v>3728</v>
      </c>
      <c r="VRM614" s="17">
        <v>44925</v>
      </c>
      <c r="VRN614" s="5" t="s">
        <v>3728</v>
      </c>
      <c r="VRO614" s="17">
        <v>44925</v>
      </c>
      <c r="VRP614" s="5" t="s">
        <v>3728</v>
      </c>
      <c r="VRQ614" s="17">
        <v>44925</v>
      </c>
      <c r="VRR614" s="5" t="s">
        <v>3728</v>
      </c>
      <c r="VRS614" s="17">
        <v>44925</v>
      </c>
      <c r="VRT614" s="5" t="s">
        <v>3728</v>
      </c>
      <c r="VRU614" s="17">
        <v>44925</v>
      </c>
      <c r="VRV614" s="5" t="s">
        <v>3728</v>
      </c>
      <c r="VRW614" s="17">
        <v>44925</v>
      </c>
      <c r="VRX614" s="5" t="s">
        <v>3728</v>
      </c>
      <c r="VRY614" s="17">
        <v>44925</v>
      </c>
      <c r="VRZ614" s="5" t="s">
        <v>3728</v>
      </c>
      <c r="VSA614" s="17">
        <v>44925</v>
      </c>
      <c r="VSB614" s="5" t="s">
        <v>3728</v>
      </c>
      <c r="VSC614" s="17">
        <v>44925</v>
      </c>
      <c r="VSD614" s="5" t="s">
        <v>3728</v>
      </c>
      <c r="VSE614" s="17">
        <v>44925</v>
      </c>
      <c r="VSF614" s="5" t="s">
        <v>3728</v>
      </c>
      <c r="VSG614" s="17">
        <v>44925</v>
      </c>
      <c r="VSH614" s="5" t="s">
        <v>3728</v>
      </c>
      <c r="VSI614" s="17">
        <v>44925</v>
      </c>
      <c r="VSJ614" s="5" t="s">
        <v>3728</v>
      </c>
      <c r="VSK614" s="17">
        <v>44925</v>
      </c>
      <c r="VSL614" s="5" t="s">
        <v>3728</v>
      </c>
      <c r="VSM614" s="17">
        <v>44925</v>
      </c>
      <c r="VSN614" s="5" t="s">
        <v>3728</v>
      </c>
      <c r="VSO614" s="17">
        <v>44925</v>
      </c>
      <c r="VSP614" s="5" t="s">
        <v>3728</v>
      </c>
      <c r="VSQ614" s="17">
        <v>44925</v>
      </c>
      <c r="VSR614" s="5" t="s">
        <v>3728</v>
      </c>
      <c r="VSS614" s="17">
        <v>44925</v>
      </c>
      <c r="VST614" s="5" t="s">
        <v>3728</v>
      </c>
      <c r="VSU614" s="17">
        <v>44925</v>
      </c>
      <c r="VSV614" s="5" t="s">
        <v>3728</v>
      </c>
      <c r="VSW614" s="17">
        <v>44925</v>
      </c>
      <c r="VSX614" s="5" t="s">
        <v>3728</v>
      </c>
      <c r="VSY614" s="17">
        <v>44925</v>
      </c>
      <c r="VSZ614" s="5" t="s">
        <v>3728</v>
      </c>
      <c r="VTA614" s="17">
        <v>44925</v>
      </c>
      <c r="VTB614" s="5" t="s">
        <v>3728</v>
      </c>
      <c r="VTC614" s="17">
        <v>44925</v>
      </c>
      <c r="VTD614" s="5" t="s">
        <v>3728</v>
      </c>
      <c r="VTE614" s="17">
        <v>44925</v>
      </c>
      <c r="VTF614" s="5" t="s">
        <v>3728</v>
      </c>
      <c r="VTG614" s="17">
        <v>44925</v>
      </c>
      <c r="VTH614" s="5" t="s">
        <v>3728</v>
      </c>
      <c r="VTI614" s="17">
        <v>44925</v>
      </c>
      <c r="VTJ614" s="5" t="s">
        <v>3728</v>
      </c>
      <c r="VTK614" s="17">
        <v>44925</v>
      </c>
      <c r="VTL614" s="5" t="s">
        <v>3728</v>
      </c>
      <c r="VTM614" s="17">
        <v>44925</v>
      </c>
      <c r="VTN614" s="5" t="s">
        <v>3728</v>
      </c>
      <c r="VTO614" s="17">
        <v>44925</v>
      </c>
      <c r="VTP614" s="5" t="s">
        <v>3728</v>
      </c>
      <c r="VTQ614" s="17">
        <v>44925</v>
      </c>
      <c r="VTR614" s="5" t="s">
        <v>3728</v>
      </c>
      <c r="VTS614" s="17">
        <v>44925</v>
      </c>
      <c r="VTT614" s="5" t="s">
        <v>3728</v>
      </c>
      <c r="VTU614" s="17">
        <v>44925</v>
      </c>
      <c r="VTV614" s="5" t="s">
        <v>3728</v>
      </c>
      <c r="VTW614" s="17">
        <v>44925</v>
      </c>
      <c r="VTX614" s="5" t="s">
        <v>3728</v>
      </c>
      <c r="VTY614" s="17">
        <v>44925</v>
      </c>
      <c r="VTZ614" s="5" t="s">
        <v>3728</v>
      </c>
      <c r="VUA614" s="17">
        <v>44925</v>
      </c>
      <c r="VUB614" s="5" t="s">
        <v>3728</v>
      </c>
      <c r="VUC614" s="17">
        <v>44925</v>
      </c>
      <c r="VUD614" s="5" t="s">
        <v>3728</v>
      </c>
      <c r="VUE614" s="17">
        <v>44925</v>
      </c>
      <c r="VUF614" s="5" t="s">
        <v>3728</v>
      </c>
      <c r="VUG614" s="17">
        <v>44925</v>
      </c>
      <c r="VUH614" s="5" t="s">
        <v>3728</v>
      </c>
      <c r="VUI614" s="17">
        <v>44925</v>
      </c>
      <c r="VUJ614" s="5" t="s">
        <v>3728</v>
      </c>
      <c r="VUK614" s="17">
        <v>44925</v>
      </c>
      <c r="VUL614" s="5" t="s">
        <v>3728</v>
      </c>
      <c r="VUM614" s="17">
        <v>44925</v>
      </c>
      <c r="VUN614" s="5" t="s">
        <v>3728</v>
      </c>
      <c r="VUO614" s="17">
        <v>44925</v>
      </c>
      <c r="VUP614" s="5" t="s">
        <v>3728</v>
      </c>
      <c r="VUQ614" s="17">
        <v>44925</v>
      </c>
      <c r="VUR614" s="5" t="s">
        <v>3728</v>
      </c>
      <c r="VUS614" s="17">
        <v>44925</v>
      </c>
      <c r="VUT614" s="5" t="s">
        <v>3728</v>
      </c>
      <c r="VUU614" s="17">
        <v>44925</v>
      </c>
      <c r="VUV614" s="5" t="s">
        <v>3728</v>
      </c>
      <c r="VUW614" s="17">
        <v>44925</v>
      </c>
      <c r="VUX614" s="5" t="s">
        <v>3728</v>
      </c>
      <c r="VUY614" s="17">
        <v>44925</v>
      </c>
      <c r="VUZ614" s="5" t="s">
        <v>3728</v>
      </c>
      <c r="VVA614" s="17">
        <v>44925</v>
      </c>
      <c r="VVB614" s="5" t="s">
        <v>3728</v>
      </c>
      <c r="VVC614" s="17">
        <v>44925</v>
      </c>
      <c r="VVD614" s="5" t="s">
        <v>3728</v>
      </c>
      <c r="VVE614" s="17">
        <v>44925</v>
      </c>
      <c r="VVF614" s="5" t="s">
        <v>3728</v>
      </c>
      <c r="VVG614" s="17">
        <v>44925</v>
      </c>
      <c r="VVH614" s="5" t="s">
        <v>3728</v>
      </c>
      <c r="VVI614" s="17">
        <v>44925</v>
      </c>
      <c r="VVJ614" s="5" t="s">
        <v>3728</v>
      </c>
      <c r="VVK614" s="17">
        <v>44925</v>
      </c>
      <c r="VVL614" s="5" t="s">
        <v>3728</v>
      </c>
      <c r="VVM614" s="17">
        <v>44925</v>
      </c>
      <c r="VVN614" s="5" t="s">
        <v>3728</v>
      </c>
      <c r="VVO614" s="17">
        <v>44925</v>
      </c>
      <c r="VVP614" s="5" t="s">
        <v>3728</v>
      </c>
      <c r="VVQ614" s="17">
        <v>44925</v>
      </c>
      <c r="VVR614" s="5" t="s">
        <v>3728</v>
      </c>
      <c r="VVS614" s="17">
        <v>44925</v>
      </c>
      <c r="VVT614" s="5" t="s">
        <v>3728</v>
      </c>
      <c r="VVU614" s="17">
        <v>44925</v>
      </c>
      <c r="VVV614" s="5" t="s">
        <v>3728</v>
      </c>
      <c r="VVW614" s="17">
        <v>44925</v>
      </c>
      <c r="VVX614" s="5" t="s">
        <v>3728</v>
      </c>
      <c r="VVY614" s="17">
        <v>44925</v>
      </c>
      <c r="VVZ614" s="5" t="s">
        <v>3728</v>
      </c>
      <c r="VWA614" s="17">
        <v>44925</v>
      </c>
      <c r="VWB614" s="5" t="s">
        <v>3728</v>
      </c>
      <c r="VWC614" s="17">
        <v>44925</v>
      </c>
      <c r="VWD614" s="5" t="s">
        <v>3728</v>
      </c>
      <c r="VWE614" s="17">
        <v>44925</v>
      </c>
      <c r="VWF614" s="5" t="s">
        <v>3728</v>
      </c>
      <c r="VWG614" s="17">
        <v>44925</v>
      </c>
      <c r="VWH614" s="5" t="s">
        <v>3728</v>
      </c>
      <c r="VWI614" s="17">
        <v>44925</v>
      </c>
      <c r="VWJ614" s="5" t="s">
        <v>3728</v>
      </c>
      <c r="VWK614" s="17">
        <v>44925</v>
      </c>
      <c r="VWL614" s="5" t="s">
        <v>3728</v>
      </c>
      <c r="VWM614" s="17">
        <v>44925</v>
      </c>
      <c r="VWN614" s="5" t="s">
        <v>3728</v>
      </c>
      <c r="VWO614" s="17">
        <v>44925</v>
      </c>
      <c r="VWP614" s="5" t="s">
        <v>3728</v>
      </c>
      <c r="VWQ614" s="17">
        <v>44925</v>
      </c>
      <c r="VWR614" s="5" t="s">
        <v>3728</v>
      </c>
      <c r="VWS614" s="17">
        <v>44925</v>
      </c>
      <c r="VWT614" s="5" t="s">
        <v>3728</v>
      </c>
      <c r="VWU614" s="17">
        <v>44925</v>
      </c>
      <c r="VWV614" s="5" t="s">
        <v>3728</v>
      </c>
      <c r="VWW614" s="17">
        <v>44925</v>
      </c>
      <c r="VWX614" s="5" t="s">
        <v>3728</v>
      </c>
      <c r="VWY614" s="17">
        <v>44925</v>
      </c>
      <c r="VWZ614" s="5" t="s">
        <v>3728</v>
      </c>
      <c r="VXA614" s="17">
        <v>44925</v>
      </c>
      <c r="VXB614" s="5" t="s">
        <v>3728</v>
      </c>
      <c r="VXC614" s="17">
        <v>44925</v>
      </c>
      <c r="VXD614" s="5" t="s">
        <v>3728</v>
      </c>
      <c r="VXE614" s="17">
        <v>44925</v>
      </c>
      <c r="VXF614" s="5" t="s">
        <v>3728</v>
      </c>
      <c r="VXG614" s="17">
        <v>44925</v>
      </c>
      <c r="VXH614" s="5" t="s">
        <v>3728</v>
      </c>
      <c r="VXI614" s="17">
        <v>44925</v>
      </c>
      <c r="VXJ614" s="5" t="s">
        <v>3728</v>
      </c>
      <c r="VXK614" s="17">
        <v>44925</v>
      </c>
      <c r="VXL614" s="5" t="s">
        <v>3728</v>
      </c>
      <c r="VXM614" s="17">
        <v>44925</v>
      </c>
      <c r="VXN614" s="5" t="s">
        <v>3728</v>
      </c>
      <c r="VXO614" s="17">
        <v>44925</v>
      </c>
      <c r="VXP614" s="5" t="s">
        <v>3728</v>
      </c>
      <c r="VXQ614" s="17">
        <v>44925</v>
      </c>
      <c r="VXR614" s="5" t="s">
        <v>3728</v>
      </c>
      <c r="VXS614" s="17">
        <v>44925</v>
      </c>
      <c r="VXT614" s="5" t="s">
        <v>3728</v>
      </c>
      <c r="VXU614" s="17">
        <v>44925</v>
      </c>
      <c r="VXV614" s="5" t="s">
        <v>3728</v>
      </c>
      <c r="VXW614" s="17">
        <v>44925</v>
      </c>
      <c r="VXX614" s="5" t="s">
        <v>3728</v>
      </c>
      <c r="VXY614" s="17">
        <v>44925</v>
      </c>
      <c r="VXZ614" s="5" t="s">
        <v>3728</v>
      </c>
      <c r="VYA614" s="17">
        <v>44925</v>
      </c>
      <c r="VYB614" s="5" t="s">
        <v>3728</v>
      </c>
      <c r="VYC614" s="17">
        <v>44925</v>
      </c>
      <c r="VYD614" s="5" t="s">
        <v>3728</v>
      </c>
      <c r="VYE614" s="17">
        <v>44925</v>
      </c>
      <c r="VYF614" s="5" t="s">
        <v>3728</v>
      </c>
      <c r="VYG614" s="17">
        <v>44925</v>
      </c>
      <c r="VYH614" s="5" t="s">
        <v>3728</v>
      </c>
      <c r="VYI614" s="17">
        <v>44925</v>
      </c>
      <c r="VYJ614" s="5" t="s">
        <v>3728</v>
      </c>
      <c r="VYK614" s="17">
        <v>44925</v>
      </c>
      <c r="VYL614" s="5" t="s">
        <v>3728</v>
      </c>
      <c r="VYM614" s="17">
        <v>44925</v>
      </c>
      <c r="VYN614" s="5" t="s">
        <v>3728</v>
      </c>
      <c r="VYO614" s="17">
        <v>44925</v>
      </c>
      <c r="VYP614" s="5" t="s">
        <v>3728</v>
      </c>
      <c r="VYQ614" s="17">
        <v>44925</v>
      </c>
      <c r="VYR614" s="5" t="s">
        <v>3728</v>
      </c>
      <c r="VYS614" s="17">
        <v>44925</v>
      </c>
      <c r="VYT614" s="5" t="s">
        <v>3728</v>
      </c>
      <c r="VYU614" s="17">
        <v>44925</v>
      </c>
      <c r="VYV614" s="5" t="s">
        <v>3728</v>
      </c>
      <c r="VYW614" s="17">
        <v>44925</v>
      </c>
      <c r="VYX614" s="5" t="s">
        <v>3728</v>
      </c>
      <c r="VYY614" s="17">
        <v>44925</v>
      </c>
      <c r="VYZ614" s="5" t="s">
        <v>3728</v>
      </c>
      <c r="VZA614" s="17">
        <v>44925</v>
      </c>
      <c r="VZB614" s="5" t="s">
        <v>3728</v>
      </c>
      <c r="VZC614" s="17">
        <v>44925</v>
      </c>
      <c r="VZD614" s="5" t="s">
        <v>3728</v>
      </c>
      <c r="VZE614" s="17">
        <v>44925</v>
      </c>
      <c r="VZF614" s="5" t="s">
        <v>3728</v>
      </c>
      <c r="VZG614" s="17">
        <v>44925</v>
      </c>
      <c r="VZH614" s="5" t="s">
        <v>3728</v>
      </c>
      <c r="VZI614" s="17">
        <v>44925</v>
      </c>
      <c r="VZJ614" s="5" t="s">
        <v>3728</v>
      </c>
      <c r="VZK614" s="17">
        <v>44925</v>
      </c>
      <c r="VZL614" s="5" t="s">
        <v>3728</v>
      </c>
      <c r="VZM614" s="17">
        <v>44925</v>
      </c>
      <c r="VZN614" s="5" t="s">
        <v>3728</v>
      </c>
      <c r="VZO614" s="17">
        <v>44925</v>
      </c>
      <c r="VZP614" s="5" t="s">
        <v>3728</v>
      </c>
      <c r="VZQ614" s="17">
        <v>44925</v>
      </c>
      <c r="VZR614" s="5" t="s">
        <v>3728</v>
      </c>
      <c r="VZS614" s="17">
        <v>44925</v>
      </c>
      <c r="VZT614" s="5" t="s">
        <v>3728</v>
      </c>
      <c r="VZU614" s="17">
        <v>44925</v>
      </c>
      <c r="VZV614" s="5" t="s">
        <v>3728</v>
      </c>
      <c r="VZW614" s="17">
        <v>44925</v>
      </c>
      <c r="VZX614" s="5" t="s">
        <v>3728</v>
      </c>
      <c r="VZY614" s="17">
        <v>44925</v>
      </c>
      <c r="VZZ614" s="5" t="s">
        <v>3728</v>
      </c>
      <c r="WAA614" s="17">
        <v>44925</v>
      </c>
      <c r="WAB614" s="5" t="s">
        <v>3728</v>
      </c>
      <c r="WAC614" s="17">
        <v>44925</v>
      </c>
      <c r="WAD614" s="5" t="s">
        <v>3728</v>
      </c>
      <c r="WAE614" s="17">
        <v>44925</v>
      </c>
      <c r="WAF614" s="5" t="s">
        <v>3728</v>
      </c>
      <c r="WAG614" s="17">
        <v>44925</v>
      </c>
      <c r="WAH614" s="5" t="s">
        <v>3728</v>
      </c>
      <c r="WAI614" s="17">
        <v>44925</v>
      </c>
      <c r="WAJ614" s="5" t="s">
        <v>3728</v>
      </c>
      <c r="WAK614" s="17">
        <v>44925</v>
      </c>
      <c r="WAL614" s="5" t="s">
        <v>3728</v>
      </c>
      <c r="WAM614" s="17">
        <v>44925</v>
      </c>
      <c r="WAN614" s="5" t="s">
        <v>3728</v>
      </c>
      <c r="WAO614" s="17">
        <v>44925</v>
      </c>
      <c r="WAP614" s="5" t="s">
        <v>3728</v>
      </c>
      <c r="WAQ614" s="17">
        <v>44925</v>
      </c>
      <c r="WAR614" s="5" t="s">
        <v>3728</v>
      </c>
      <c r="WAS614" s="17">
        <v>44925</v>
      </c>
      <c r="WAT614" s="5" t="s">
        <v>3728</v>
      </c>
      <c r="WAU614" s="17">
        <v>44925</v>
      </c>
      <c r="WAV614" s="5" t="s">
        <v>3728</v>
      </c>
      <c r="WAW614" s="17">
        <v>44925</v>
      </c>
      <c r="WAX614" s="5" t="s">
        <v>3728</v>
      </c>
      <c r="WAY614" s="17">
        <v>44925</v>
      </c>
      <c r="WAZ614" s="5" t="s">
        <v>3728</v>
      </c>
      <c r="WBA614" s="17">
        <v>44925</v>
      </c>
      <c r="WBB614" s="5" t="s">
        <v>3728</v>
      </c>
      <c r="WBC614" s="17">
        <v>44925</v>
      </c>
      <c r="WBD614" s="5" t="s">
        <v>3728</v>
      </c>
      <c r="WBE614" s="17">
        <v>44925</v>
      </c>
      <c r="WBF614" s="5" t="s">
        <v>3728</v>
      </c>
      <c r="WBG614" s="17">
        <v>44925</v>
      </c>
      <c r="WBH614" s="5" t="s">
        <v>3728</v>
      </c>
      <c r="WBI614" s="17">
        <v>44925</v>
      </c>
      <c r="WBJ614" s="5" t="s">
        <v>3728</v>
      </c>
      <c r="WBK614" s="17">
        <v>44925</v>
      </c>
      <c r="WBL614" s="5" t="s">
        <v>3728</v>
      </c>
      <c r="WBM614" s="17">
        <v>44925</v>
      </c>
      <c r="WBN614" s="5" t="s">
        <v>3728</v>
      </c>
      <c r="WBO614" s="17">
        <v>44925</v>
      </c>
      <c r="WBP614" s="5" t="s">
        <v>3728</v>
      </c>
      <c r="WBQ614" s="17">
        <v>44925</v>
      </c>
      <c r="WBR614" s="5" t="s">
        <v>3728</v>
      </c>
      <c r="WBS614" s="17">
        <v>44925</v>
      </c>
      <c r="WBT614" s="5" t="s">
        <v>3728</v>
      </c>
      <c r="WBU614" s="17">
        <v>44925</v>
      </c>
      <c r="WBV614" s="5" t="s">
        <v>3728</v>
      </c>
      <c r="WBW614" s="17">
        <v>44925</v>
      </c>
      <c r="WBX614" s="5" t="s">
        <v>3728</v>
      </c>
      <c r="WBY614" s="17">
        <v>44925</v>
      </c>
      <c r="WBZ614" s="5" t="s">
        <v>3728</v>
      </c>
      <c r="WCA614" s="17">
        <v>44925</v>
      </c>
      <c r="WCB614" s="5" t="s">
        <v>3728</v>
      </c>
      <c r="WCC614" s="17">
        <v>44925</v>
      </c>
      <c r="WCD614" s="5" t="s">
        <v>3728</v>
      </c>
      <c r="WCE614" s="17">
        <v>44925</v>
      </c>
      <c r="WCF614" s="5" t="s">
        <v>3728</v>
      </c>
      <c r="WCG614" s="17">
        <v>44925</v>
      </c>
      <c r="WCH614" s="5" t="s">
        <v>3728</v>
      </c>
      <c r="WCI614" s="17">
        <v>44925</v>
      </c>
      <c r="WCJ614" s="5" t="s">
        <v>3728</v>
      </c>
      <c r="WCK614" s="17">
        <v>44925</v>
      </c>
      <c r="WCL614" s="5" t="s">
        <v>3728</v>
      </c>
      <c r="WCM614" s="17">
        <v>44925</v>
      </c>
      <c r="WCN614" s="5" t="s">
        <v>3728</v>
      </c>
      <c r="WCO614" s="17">
        <v>44925</v>
      </c>
      <c r="WCP614" s="5" t="s">
        <v>3728</v>
      </c>
      <c r="WCQ614" s="17">
        <v>44925</v>
      </c>
      <c r="WCR614" s="5" t="s">
        <v>3728</v>
      </c>
      <c r="WCS614" s="17">
        <v>44925</v>
      </c>
      <c r="WCT614" s="5" t="s">
        <v>3728</v>
      </c>
      <c r="WCU614" s="17">
        <v>44925</v>
      </c>
      <c r="WCV614" s="5" t="s">
        <v>3728</v>
      </c>
      <c r="WCW614" s="17">
        <v>44925</v>
      </c>
      <c r="WCX614" s="5" t="s">
        <v>3728</v>
      </c>
      <c r="WCY614" s="17">
        <v>44925</v>
      </c>
      <c r="WCZ614" s="5" t="s">
        <v>3728</v>
      </c>
      <c r="WDA614" s="17">
        <v>44925</v>
      </c>
      <c r="WDB614" s="5" t="s">
        <v>3728</v>
      </c>
      <c r="WDC614" s="17">
        <v>44925</v>
      </c>
      <c r="WDD614" s="5" t="s">
        <v>3728</v>
      </c>
      <c r="WDE614" s="17">
        <v>44925</v>
      </c>
      <c r="WDF614" s="5" t="s">
        <v>3728</v>
      </c>
      <c r="WDG614" s="17">
        <v>44925</v>
      </c>
      <c r="WDH614" s="5" t="s">
        <v>3728</v>
      </c>
      <c r="WDI614" s="17">
        <v>44925</v>
      </c>
      <c r="WDJ614" s="5" t="s">
        <v>3728</v>
      </c>
      <c r="WDK614" s="17">
        <v>44925</v>
      </c>
      <c r="WDL614" s="5" t="s">
        <v>3728</v>
      </c>
      <c r="WDM614" s="17">
        <v>44925</v>
      </c>
      <c r="WDN614" s="5" t="s">
        <v>3728</v>
      </c>
      <c r="WDO614" s="17">
        <v>44925</v>
      </c>
      <c r="WDP614" s="5" t="s">
        <v>3728</v>
      </c>
      <c r="WDQ614" s="17">
        <v>44925</v>
      </c>
      <c r="WDR614" s="5" t="s">
        <v>3728</v>
      </c>
      <c r="WDS614" s="17">
        <v>44925</v>
      </c>
      <c r="WDT614" s="5" t="s">
        <v>3728</v>
      </c>
      <c r="WDU614" s="17">
        <v>44925</v>
      </c>
      <c r="WDV614" s="5" t="s">
        <v>3728</v>
      </c>
      <c r="WDW614" s="17">
        <v>44925</v>
      </c>
      <c r="WDX614" s="5" t="s">
        <v>3728</v>
      </c>
      <c r="WDY614" s="17">
        <v>44925</v>
      </c>
      <c r="WDZ614" s="5" t="s">
        <v>3728</v>
      </c>
      <c r="WEA614" s="17">
        <v>44925</v>
      </c>
      <c r="WEB614" s="5" t="s">
        <v>3728</v>
      </c>
      <c r="WEC614" s="17">
        <v>44925</v>
      </c>
      <c r="WED614" s="5" t="s">
        <v>3728</v>
      </c>
      <c r="WEE614" s="17">
        <v>44925</v>
      </c>
      <c r="WEF614" s="5" t="s">
        <v>3728</v>
      </c>
      <c r="WEG614" s="17">
        <v>44925</v>
      </c>
      <c r="WEH614" s="5" t="s">
        <v>3728</v>
      </c>
      <c r="WEI614" s="17">
        <v>44925</v>
      </c>
      <c r="WEJ614" s="5" t="s">
        <v>3728</v>
      </c>
      <c r="WEK614" s="17">
        <v>44925</v>
      </c>
      <c r="WEL614" s="5" t="s">
        <v>3728</v>
      </c>
      <c r="WEM614" s="17">
        <v>44925</v>
      </c>
      <c r="WEN614" s="5" t="s">
        <v>3728</v>
      </c>
      <c r="WEO614" s="17">
        <v>44925</v>
      </c>
      <c r="WEP614" s="5" t="s">
        <v>3728</v>
      </c>
      <c r="WEQ614" s="17">
        <v>44925</v>
      </c>
      <c r="WER614" s="5" t="s">
        <v>3728</v>
      </c>
      <c r="WES614" s="17">
        <v>44925</v>
      </c>
      <c r="WET614" s="5" t="s">
        <v>3728</v>
      </c>
      <c r="WEU614" s="17">
        <v>44925</v>
      </c>
      <c r="WEV614" s="5" t="s">
        <v>3728</v>
      </c>
      <c r="WEW614" s="17">
        <v>44925</v>
      </c>
      <c r="WEX614" s="5" t="s">
        <v>3728</v>
      </c>
      <c r="WEY614" s="17">
        <v>44925</v>
      </c>
      <c r="WEZ614" s="5" t="s">
        <v>3728</v>
      </c>
      <c r="WFA614" s="17">
        <v>44925</v>
      </c>
      <c r="WFB614" s="5" t="s">
        <v>3728</v>
      </c>
      <c r="WFC614" s="17">
        <v>44925</v>
      </c>
      <c r="WFD614" s="5" t="s">
        <v>3728</v>
      </c>
      <c r="WFE614" s="17">
        <v>44925</v>
      </c>
      <c r="WFF614" s="5" t="s">
        <v>3728</v>
      </c>
      <c r="WFG614" s="17">
        <v>44925</v>
      </c>
      <c r="WFH614" s="5" t="s">
        <v>3728</v>
      </c>
      <c r="WFI614" s="17">
        <v>44925</v>
      </c>
      <c r="WFJ614" s="5" t="s">
        <v>3728</v>
      </c>
      <c r="WFK614" s="17">
        <v>44925</v>
      </c>
      <c r="WFL614" s="5" t="s">
        <v>3728</v>
      </c>
      <c r="WFM614" s="17">
        <v>44925</v>
      </c>
      <c r="WFN614" s="5" t="s">
        <v>3728</v>
      </c>
      <c r="WFO614" s="17">
        <v>44925</v>
      </c>
      <c r="WFP614" s="5" t="s">
        <v>3728</v>
      </c>
      <c r="WFQ614" s="17">
        <v>44925</v>
      </c>
      <c r="WFR614" s="5" t="s">
        <v>3728</v>
      </c>
      <c r="WFS614" s="17">
        <v>44925</v>
      </c>
      <c r="WFT614" s="5" t="s">
        <v>3728</v>
      </c>
      <c r="WFU614" s="17">
        <v>44925</v>
      </c>
      <c r="WFV614" s="5" t="s">
        <v>3728</v>
      </c>
      <c r="WFW614" s="17">
        <v>44925</v>
      </c>
      <c r="WFX614" s="5" t="s">
        <v>3728</v>
      </c>
      <c r="WFY614" s="17">
        <v>44925</v>
      </c>
      <c r="WFZ614" s="5" t="s">
        <v>3728</v>
      </c>
      <c r="WGA614" s="17">
        <v>44925</v>
      </c>
      <c r="WGB614" s="5" t="s">
        <v>3728</v>
      </c>
      <c r="WGC614" s="17">
        <v>44925</v>
      </c>
      <c r="WGD614" s="5" t="s">
        <v>3728</v>
      </c>
      <c r="WGE614" s="17">
        <v>44925</v>
      </c>
      <c r="WGF614" s="5" t="s">
        <v>3728</v>
      </c>
      <c r="WGG614" s="17">
        <v>44925</v>
      </c>
      <c r="WGH614" s="5" t="s">
        <v>3728</v>
      </c>
      <c r="WGI614" s="17">
        <v>44925</v>
      </c>
      <c r="WGJ614" s="5" t="s">
        <v>3728</v>
      </c>
      <c r="WGK614" s="17">
        <v>44925</v>
      </c>
      <c r="WGL614" s="5" t="s">
        <v>3728</v>
      </c>
      <c r="WGM614" s="17">
        <v>44925</v>
      </c>
      <c r="WGN614" s="5" t="s">
        <v>3728</v>
      </c>
      <c r="WGO614" s="17">
        <v>44925</v>
      </c>
      <c r="WGP614" s="5" t="s">
        <v>3728</v>
      </c>
      <c r="WGQ614" s="17">
        <v>44925</v>
      </c>
      <c r="WGR614" s="5" t="s">
        <v>3728</v>
      </c>
      <c r="WGS614" s="17">
        <v>44925</v>
      </c>
      <c r="WGT614" s="5" t="s">
        <v>3728</v>
      </c>
      <c r="WGU614" s="17">
        <v>44925</v>
      </c>
      <c r="WGV614" s="5" t="s">
        <v>3728</v>
      </c>
      <c r="WGW614" s="17">
        <v>44925</v>
      </c>
      <c r="WGX614" s="5" t="s">
        <v>3728</v>
      </c>
      <c r="WGY614" s="17">
        <v>44925</v>
      </c>
      <c r="WGZ614" s="5" t="s">
        <v>3728</v>
      </c>
      <c r="WHA614" s="17">
        <v>44925</v>
      </c>
      <c r="WHB614" s="5" t="s">
        <v>3728</v>
      </c>
      <c r="WHC614" s="17">
        <v>44925</v>
      </c>
      <c r="WHD614" s="5" t="s">
        <v>3728</v>
      </c>
      <c r="WHE614" s="17">
        <v>44925</v>
      </c>
      <c r="WHF614" s="5" t="s">
        <v>3728</v>
      </c>
      <c r="WHG614" s="17">
        <v>44925</v>
      </c>
      <c r="WHH614" s="5" t="s">
        <v>3728</v>
      </c>
      <c r="WHI614" s="17">
        <v>44925</v>
      </c>
      <c r="WHJ614" s="5" t="s">
        <v>3728</v>
      </c>
      <c r="WHK614" s="17">
        <v>44925</v>
      </c>
      <c r="WHL614" s="5" t="s">
        <v>3728</v>
      </c>
      <c r="WHM614" s="17">
        <v>44925</v>
      </c>
      <c r="WHN614" s="5" t="s">
        <v>3728</v>
      </c>
      <c r="WHO614" s="17">
        <v>44925</v>
      </c>
      <c r="WHP614" s="5" t="s">
        <v>3728</v>
      </c>
      <c r="WHQ614" s="17">
        <v>44925</v>
      </c>
      <c r="WHR614" s="5" t="s">
        <v>3728</v>
      </c>
      <c r="WHS614" s="17">
        <v>44925</v>
      </c>
      <c r="WHT614" s="5" t="s">
        <v>3728</v>
      </c>
      <c r="WHU614" s="17">
        <v>44925</v>
      </c>
      <c r="WHV614" s="5" t="s">
        <v>3728</v>
      </c>
      <c r="WHW614" s="17">
        <v>44925</v>
      </c>
      <c r="WHX614" s="5" t="s">
        <v>3728</v>
      </c>
      <c r="WHY614" s="17">
        <v>44925</v>
      </c>
      <c r="WHZ614" s="5" t="s">
        <v>3728</v>
      </c>
      <c r="WIA614" s="17">
        <v>44925</v>
      </c>
      <c r="WIB614" s="5" t="s">
        <v>3728</v>
      </c>
      <c r="WIC614" s="17">
        <v>44925</v>
      </c>
      <c r="WID614" s="5" t="s">
        <v>3728</v>
      </c>
      <c r="WIE614" s="17">
        <v>44925</v>
      </c>
      <c r="WIF614" s="5" t="s">
        <v>3728</v>
      </c>
      <c r="WIG614" s="17">
        <v>44925</v>
      </c>
      <c r="WIH614" s="5" t="s">
        <v>3728</v>
      </c>
      <c r="WII614" s="17">
        <v>44925</v>
      </c>
      <c r="WIJ614" s="5" t="s">
        <v>3728</v>
      </c>
      <c r="WIK614" s="17">
        <v>44925</v>
      </c>
      <c r="WIL614" s="5" t="s">
        <v>3728</v>
      </c>
      <c r="WIM614" s="17">
        <v>44925</v>
      </c>
      <c r="WIN614" s="5" t="s">
        <v>3728</v>
      </c>
      <c r="WIO614" s="17">
        <v>44925</v>
      </c>
      <c r="WIP614" s="5" t="s">
        <v>3728</v>
      </c>
      <c r="WIQ614" s="17">
        <v>44925</v>
      </c>
      <c r="WIR614" s="5" t="s">
        <v>3728</v>
      </c>
      <c r="WIS614" s="17">
        <v>44925</v>
      </c>
      <c r="WIT614" s="5" t="s">
        <v>3728</v>
      </c>
      <c r="WIU614" s="17">
        <v>44925</v>
      </c>
      <c r="WIV614" s="5" t="s">
        <v>3728</v>
      </c>
      <c r="WIW614" s="17">
        <v>44925</v>
      </c>
      <c r="WIX614" s="5" t="s">
        <v>3728</v>
      </c>
      <c r="WIY614" s="17">
        <v>44925</v>
      </c>
      <c r="WIZ614" s="5" t="s">
        <v>3728</v>
      </c>
      <c r="WJA614" s="17">
        <v>44925</v>
      </c>
      <c r="WJB614" s="5" t="s">
        <v>3728</v>
      </c>
      <c r="WJC614" s="17">
        <v>44925</v>
      </c>
      <c r="WJD614" s="5" t="s">
        <v>3728</v>
      </c>
      <c r="WJE614" s="17">
        <v>44925</v>
      </c>
      <c r="WJF614" s="5" t="s">
        <v>3728</v>
      </c>
      <c r="WJG614" s="17">
        <v>44925</v>
      </c>
      <c r="WJH614" s="5" t="s">
        <v>3728</v>
      </c>
      <c r="WJI614" s="17">
        <v>44925</v>
      </c>
      <c r="WJJ614" s="5" t="s">
        <v>3728</v>
      </c>
      <c r="WJK614" s="17">
        <v>44925</v>
      </c>
      <c r="WJL614" s="5" t="s">
        <v>3728</v>
      </c>
      <c r="WJM614" s="17">
        <v>44925</v>
      </c>
      <c r="WJN614" s="5" t="s">
        <v>3728</v>
      </c>
      <c r="WJO614" s="17">
        <v>44925</v>
      </c>
      <c r="WJP614" s="5" t="s">
        <v>3728</v>
      </c>
      <c r="WJQ614" s="17">
        <v>44925</v>
      </c>
      <c r="WJR614" s="5" t="s">
        <v>3728</v>
      </c>
      <c r="WJS614" s="17">
        <v>44925</v>
      </c>
      <c r="WJT614" s="5" t="s">
        <v>3728</v>
      </c>
      <c r="WJU614" s="17">
        <v>44925</v>
      </c>
      <c r="WJV614" s="5" t="s">
        <v>3728</v>
      </c>
      <c r="WJW614" s="17">
        <v>44925</v>
      </c>
      <c r="WJX614" s="5" t="s">
        <v>3728</v>
      </c>
      <c r="WJY614" s="17">
        <v>44925</v>
      </c>
      <c r="WJZ614" s="5" t="s">
        <v>3728</v>
      </c>
      <c r="WKA614" s="17">
        <v>44925</v>
      </c>
      <c r="WKB614" s="5" t="s">
        <v>3728</v>
      </c>
      <c r="WKC614" s="17">
        <v>44925</v>
      </c>
      <c r="WKD614" s="5" t="s">
        <v>3728</v>
      </c>
      <c r="WKE614" s="17">
        <v>44925</v>
      </c>
      <c r="WKF614" s="5" t="s">
        <v>3728</v>
      </c>
      <c r="WKG614" s="17">
        <v>44925</v>
      </c>
      <c r="WKH614" s="5" t="s">
        <v>3728</v>
      </c>
      <c r="WKI614" s="17">
        <v>44925</v>
      </c>
      <c r="WKJ614" s="5" t="s">
        <v>3728</v>
      </c>
      <c r="WKK614" s="17">
        <v>44925</v>
      </c>
      <c r="WKL614" s="5" t="s">
        <v>3728</v>
      </c>
      <c r="WKM614" s="17">
        <v>44925</v>
      </c>
      <c r="WKN614" s="5" t="s">
        <v>3728</v>
      </c>
      <c r="WKO614" s="17">
        <v>44925</v>
      </c>
      <c r="WKP614" s="5" t="s">
        <v>3728</v>
      </c>
      <c r="WKQ614" s="17">
        <v>44925</v>
      </c>
      <c r="WKR614" s="5" t="s">
        <v>3728</v>
      </c>
      <c r="WKS614" s="17">
        <v>44925</v>
      </c>
      <c r="WKT614" s="5" t="s">
        <v>3728</v>
      </c>
      <c r="WKU614" s="17">
        <v>44925</v>
      </c>
      <c r="WKV614" s="5" t="s">
        <v>3728</v>
      </c>
      <c r="WKW614" s="17">
        <v>44925</v>
      </c>
      <c r="WKX614" s="5" t="s">
        <v>3728</v>
      </c>
      <c r="WKY614" s="17">
        <v>44925</v>
      </c>
      <c r="WKZ614" s="5" t="s">
        <v>3728</v>
      </c>
      <c r="WLA614" s="17">
        <v>44925</v>
      </c>
      <c r="WLB614" s="5" t="s">
        <v>3728</v>
      </c>
      <c r="WLC614" s="17">
        <v>44925</v>
      </c>
      <c r="WLD614" s="5" t="s">
        <v>3728</v>
      </c>
      <c r="WLE614" s="17">
        <v>44925</v>
      </c>
      <c r="WLF614" s="5" t="s">
        <v>3728</v>
      </c>
      <c r="WLG614" s="17">
        <v>44925</v>
      </c>
      <c r="WLH614" s="5" t="s">
        <v>3728</v>
      </c>
      <c r="WLI614" s="17">
        <v>44925</v>
      </c>
      <c r="WLJ614" s="5" t="s">
        <v>3728</v>
      </c>
      <c r="WLK614" s="17">
        <v>44925</v>
      </c>
      <c r="WLL614" s="5" t="s">
        <v>3728</v>
      </c>
      <c r="WLM614" s="17">
        <v>44925</v>
      </c>
      <c r="WLN614" s="5" t="s">
        <v>3728</v>
      </c>
      <c r="WLO614" s="17">
        <v>44925</v>
      </c>
      <c r="WLP614" s="5" t="s">
        <v>3728</v>
      </c>
      <c r="WLQ614" s="17">
        <v>44925</v>
      </c>
      <c r="WLR614" s="5" t="s">
        <v>3728</v>
      </c>
      <c r="WLS614" s="17">
        <v>44925</v>
      </c>
      <c r="WLT614" s="5" t="s">
        <v>3728</v>
      </c>
      <c r="WLU614" s="17">
        <v>44925</v>
      </c>
      <c r="WLV614" s="5" t="s">
        <v>3728</v>
      </c>
      <c r="WLW614" s="17">
        <v>44925</v>
      </c>
      <c r="WLX614" s="5" t="s">
        <v>3728</v>
      </c>
      <c r="WLY614" s="17">
        <v>44925</v>
      </c>
      <c r="WLZ614" s="5" t="s">
        <v>3728</v>
      </c>
      <c r="WMA614" s="17">
        <v>44925</v>
      </c>
      <c r="WMB614" s="5" t="s">
        <v>3728</v>
      </c>
      <c r="WMC614" s="17">
        <v>44925</v>
      </c>
      <c r="WMD614" s="5" t="s">
        <v>3728</v>
      </c>
      <c r="WME614" s="17">
        <v>44925</v>
      </c>
      <c r="WMF614" s="5" t="s">
        <v>3728</v>
      </c>
      <c r="WMG614" s="17">
        <v>44925</v>
      </c>
      <c r="WMH614" s="5" t="s">
        <v>3728</v>
      </c>
      <c r="WMI614" s="17">
        <v>44925</v>
      </c>
      <c r="WMJ614" s="5" t="s">
        <v>3728</v>
      </c>
      <c r="WMK614" s="17">
        <v>44925</v>
      </c>
      <c r="WML614" s="5" t="s">
        <v>3728</v>
      </c>
      <c r="WMM614" s="17">
        <v>44925</v>
      </c>
      <c r="WMN614" s="5" t="s">
        <v>3728</v>
      </c>
      <c r="WMO614" s="17">
        <v>44925</v>
      </c>
      <c r="WMP614" s="5" t="s">
        <v>3728</v>
      </c>
      <c r="WMQ614" s="17">
        <v>44925</v>
      </c>
      <c r="WMR614" s="5" t="s">
        <v>3728</v>
      </c>
      <c r="WMS614" s="17">
        <v>44925</v>
      </c>
      <c r="WMT614" s="5" t="s">
        <v>3728</v>
      </c>
      <c r="WMU614" s="17">
        <v>44925</v>
      </c>
      <c r="WMV614" s="5" t="s">
        <v>3728</v>
      </c>
      <c r="WMW614" s="17">
        <v>44925</v>
      </c>
      <c r="WMX614" s="5" t="s">
        <v>3728</v>
      </c>
      <c r="WMY614" s="17">
        <v>44925</v>
      </c>
      <c r="WMZ614" s="5" t="s">
        <v>3728</v>
      </c>
      <c r="WNA614" s="17">
        <v>44925</v>
      </c>
      <c r="WNB614" s="5" t="s">
        <v>3728</v>
      </c>
      <c r="WNC614" s="17">
        <v>44925</v>
      </c>
      <c r="WND614" s="5" t="s">
        <v>3728</v>
      </c>
      <c r="WNE614" s="17">
        <v>44925</v>
      </c>
      <c r="WNF614" s="5" t="s">
        <v>3728</v>
      </c>
      <c r="WNG614" s="17">
        <v>44925</v>
      </c>
      <c r="WNH614" s="5" t="s">
        <v>3728</v>
      </c>
      <c r="WNI614" s="17">
        <v>44925</v>
      </c>
      <c r="WNJ614" s="5" t="s">
        <v>3728</v>
      </c>
      <c r="WNK614" s="17">
        <v>44925</v>
      </c>
      <c r="WNL614" s="5" t="s">
        <v>3728</v>
      </c>
      <c r="WNM614" s="17">
        <v>44925</v>
      </c>
      <c r="WNN614" s="5" t="s">
        <v>3728</v>
      </c>
      <c r="WNO614" s="17">
        <v>44925</v>
      </c>
      <c r="WNP614" s="5" t="s">
        <v>3728</v>
      </c>
      <c r="WNQ614" s="17">
        <v>44925</v>
      </c>
      <c r="WNR614" s="5" t="s">
        <v>3728</v>
      </c>
      <c r="WNS614" s="17">
        <v>44925</v>
      </c>
      <c r="WNT614" s="5" t="s">
        <v>3728</v>
      </c>
      <c r="WNU614" s="17">
        <v>44925</v>
      </c>
      <c r="WNV614" s="5" t="s">
        <v>3728</v>
      </c>
      <c r="WNW614" s="17">
        <v>44925</v>
      </c>
      <c r="WNX614" s="5" t="s">
        <v>3728</v>
      </c>
      <c r="WNY614" s="17">
        <v>44925</v>
      </c>
      <c r="WNZ614" s="5" t="s">
        <v>3728</v>
      </c>
      <c r="WOA614" s="17">
        <v>44925</v>
      </c>
      <c r="WOB614" s="5" t="s">
        <v>3728</v>
      </c>
      <c r="WOC614" s="17">
        <v>44925</v>
      </c>
      <c r="WOD614" s="5" t="s">
        <v>3728</v>
      </c>
      <c r="WOE614" s="17">
        <v>44925</v>
      </c>
      <c r="WOF614" s="5" t="s">
        <v>3728</v>
      </c>
      <c r="WOG614" s="17">
        <v>44925</v>
      </c>
      <c r="WOH614" s="5" t="s">
        <v>3728</v>
      </c>
      <c r="WOI614" s="17">
        <v>44925</v>
      </c>
      <c r="WOJ614" s="5" t="s">
        <v>3728</v>
      </c>
      <c r="WOK614" s="17">
        <v>44925</v>
      </c>
      <c r="WOL614" s="5" t="s">
        <v>3728</v>
      </c>
      <c r="WOM614" s="17">
        <v>44925</v>
      </c>
      <c r="WON614" s="5" t="s">
        <v>3728</v>
      </c>
      <c r="WOO614" s="17">
        <v>44925</v>
      </c>
      <c r="WOP614" s="5" t="s">
        <v>3728</v>
      </c>
      <c r="WOQ614" s="17">
        <v>44925</v>
      </c>
      <c r="WOR614" s="5" t="s">
        <v>3728</v>
      </c>
      <c r="WOS614" s="17">
        <v>44925</v>
      </c>
      <c r="WOT614" s="5" t="s">
        <v>3728</v>
      </c>
      <c r="WOU614" s="17">
        <v>44925</v>
      </c>
      <c r="WOV614" s="5" t="s">
        <v>3728</v>
      </c>
      <c r="WOW614" s="17">
        <v>44925</v>
      </c>
      <c r="WOX614" s="5" t="s">
        <v>3728</v>
      </c>
      <c r="WOY614" s="17">
        <v>44925</v>
      </c>
      <c r="WOZ614" s="5" t="s">
        <v>3728</v>
      </c>
      <c r="WPA614" s="17">
        <v>44925</v>
      </c>
      <c r="WPB614" s="5" t="s">
        <v>3728</v>
      </c>
      <c r="WPC614" s="17">
        <v>44925</v>
      </c>
      <c r="WPD614" s="5" t="s">
        <v>3728</v>
      </c>
      <c r="WPE614" s="17">
        <v>44925</v>
      </c>
      <c r="WPF614" s="5" t="s">
        <v>3728</v>
      </c>
      <c r="WPG614" s="17">
        <v>44925</v>
      </c>
      <c r="WPH614" s="5" t="s">
        <v>3728</v>
      </c>
      <c r="WPI614" s="17">
        <v>44925</v>
      </c>
      <c r="WPJ614" s="5" t="s">
        <v>3728</v>
      </c>
      <c r="WPK614" s="17">
        <v>44925</v>
      </c>
      <c r="WPL614" s="5" t="s">
        <v>3728</v>
      </c>
      <c r="WPM614" s="17">
        <v>44925</v>
      </c>
      <c r="WPN614" s="5" t="s">
        <v>3728</v>
      </c>
      <c r="WPO614" s="17">
        <v>44925</v>
      </c>
      <c r="WPP614" s="5" t="s">
        <v>3728</v>
      </c>
      <c r="WPQ614" s="17">
        <v>44925</v>
      </c>
      <c r="WPR614" s="5" t="s">
        <v>3728</v>
      </c>
      <c r="WPS614" s="17">
        <v>44925</v>
      </c>
      <c r="WPT614" s="5" t="s">
        <v>3728</v>
      </c>
      <c r="WPU614" s="17">
        <v>44925</v>
      </c>
      <c r="WPV614" s="5" t="s">
        <v>3728</v>
      </c>
      <c r="WPW614" s="17">
        <v>44925</v>
      </c>
      <c r="WPX614" s="5" t="s">
        <v>3728</v>
      </c>
      <c r="WPY614" s="17">
        <v>44925</v>
      </c>
      <c r="WPZ614" s="5" t="s">
        <v>3728</v>
      </c>
      <c r="WQA614" s="17">
        <v>44925</v>
      </c>
      <c r="WQB614" s="5" t="s">
        <v>3728</v>
      </c>
      <c r="WQC614" s="17">
        <v>44925</v>
      </c>
      <c r="WQD614" s="5" t="s">
        <v>3728</v>
      </c>
      <c r="WQE614" s="17">
        <v>44925</v>
      </c>
      <c r="WQF614" s="5" t="s">
        <v>3728</v>
      </c>
      <c r="WQG614" s="17">
        <v>44925</v>
      </c>
      <c r="WQH614" s="5" t="s">
        <v>3728</v>
      </c>
      <c r="WQI614" s="17">
        <v>44925</v>
      </c>
      <c r="WQJ614" s="5" t="s">
        <v>3728</v>
      </c>
      <c r="WQK614" s="17">
        <v>44925</v>
      </c>
      <c r="WQL614" s="5" t="s">
        <v>3728</v>
      </c>
      <c r="WQM614" s="17">
        <v>44925</v>
      </c>
      <c r="WQN614" s="5" t="s">
        <v>3728</v>
      </c>
      <c r="WQO614" s="17">
        <v>44925</v>
      </c>
      <c r="WQP614" s="5" t="s">
        <v>3728</v>
      </c>
      <c r="WQQ614" s="17">
        <v>44925</v>
      </c>
      <c r="WQR614" s="5" t="s">
        <v>3728</v>
      </c>
      <c r="WQS614" s="17">
        <v>44925</v>
      </c>
      <c r="WQT614" s="5" t="s">
        <v>3728</v>
      </c>
      <c r="WQU614" s="17">
        <v>44925</v>
      </c>
      <c r="WQV614" s="5" t="s">
        <v>3728</v>
      </c>
      <c r="WQW614" s="17">
        <v>44925</v>
      </c>
      <c r="WQX614" s="5" t="s">
        <v>3728</v>
      </c>
      <c r="WQY614" s="17">
        <v>44925</v>
      </c>
      <c r="WQZ614" s="5" t="s">
        <v>3728</v>
      </c>
      <c r="WRA614" s="17">
        <v>44925</v>
      </c>
      <c r="WRB614" s="5" t="s">
        <v>3728</v>
      </c>
      <c r="WRC614" s="17">
        <v>44925</v>
      </c>
      <c r="WRD614" s="5" t="s">
        <v>3728</v>
      </c>
      <c r="WRE614" s="17">
        <v>44925</v>
      </c>
      <c r="WRF614" s="5" t="s">
        <v>3728</v>
      </c>
      <c r="WRG614" s="17">
        <v>44925</v>
      </c>
      <c r="WRH614" s="5" t="s">
        <v>3728</v>
      </c>
      <c r="WRI614" s="17">
        <v>44925</v>
      </c>
      <c r="WRJ614" s="5" t="s">
        <v>3728</v>
      </c>
      <c r="WRK614" s="17">
        <v>44925</v>
      </c>
      <c r="WRL614" s="5" t="s">
        <v>3728</v>
      </c>
      <c r="WRM614" s="17">
        <v>44925</v>
      </c>
      <c r="WRN614" s="5" t="s">
        <v>3728</v>
      </c>
      <c r="WRO614" s="17">
        <v>44925</v>
      </c>
      <c r="WRP614" s="5" t="s">
        <v>3728</v>
      </c>
      <c r="WRQ614" s="17">
        <v>44925</v>
      </c>
      <c r="WRR614" s="5" t="s">
        <v>3728</v>
      </c>
      <c r="WRS614" s="17">
        <v>44925</v>
      </c>
      <c r="WRT614" s="5" t="s">
        <v>3728</v>
      </c>
      <c r="WRU614" s="17">
        <v>44925</v>
      </c>
      <c r="WRV614" s="5" t="s">
        <v>3728</v>
      </c>
      <c r="WRW614" s="17">
        <v>44925</v>
      </c>
      <c r="WRX614" s="5" t="s">
        <v>3728</v>
      </c>
      <c r="WRY614" s="17">
        <v>44925</v>
      </c>
      <c r="WRZ614" s="5" t="s">
        <v>3728</v>
      </c>
      <c r="WSA614" s="17">
        <v>44925</v>
      </c>
      <c r="WSB614" s="5" t="s">
        <v>3728</v>
      </c>
      <c r="WSC614" s="17">
        <v>44925</v>
      </c>
      <c r="WSD614" s="5" t="s">
        <v>3728</v>
      </c>
      <c r="WSE614" s="17">
        <v>44925</v>
      </c>
      <c r="WSF614" s="5" t="s">
        <v>3728</v>
      </c>
      <c r="WSG614" s="17">
        <v>44925</v>
      </c>
      <c r="WSH614" s="5" t="s">
        <v>3728</v>
      </c>
      <c r="WSI614" s="17">
        <v>44925</v>
      </c>
      <c r="WSJ614" s="5" t="s">
        <v>3728</v>
      </c>
      <c r="WSK614" s="17">
        <v>44925</v>
      </c>
      <c r="WSL614" s="5" t="s">
        <v>3728</v>
      </c>
      <c r="WSM614" s="17">
        <v>44925</v>
      </c>
      <c r="WSN614" s="5" t="s">
        <v>3728</v>
      </c>
      <c r="WSO614" s="17">
        <v>44925</v>
      </c>
      <c r="WSP614" s="5" t="s">
        <v>3728</v>
      </c>
      <c r="WSQ614" s="17">
        <v>44925</v>
      </c>
      <c r="WSR614" s="5" t="s">
        <v>3728</v>
      </c>
      <c r="WSS614" s="17">
        <v>44925</v>
      </c>
      <c r="WST614" s="5" t="s">
        <v>3728</v>
      </c>
      <c r="WSU614" s="17">
        <v>44925</v>
      </c>
      <c r="WSV614" s="5" t="s">
        <v>3728</v>
      </c>
      <c r="WSW614" s="17">
        <v>44925</v>
      </c>
      <c r="WSX614" s="5" t="s">
        <v>3728</v>
      </c>
      <c r="WSY614" s="17">
        <v>44925</v>
      </c>
      <c r="WSZ614" s="5" t="s">
        <v>3728</v>
      </c>
      <c r="WTA614" s="17">
        <v>44925</v>
      </c>
      <c r="WTB614" s="5" t="s">
        <v>3728</v>
      </c>
      <c r="WTC614" s="17">
        <v>44925</v>
      </c>
      <c r="WTD614" s="5" t="s">
        <v>3728</v>
      </c>
      <c r="WTE614" s="17">
        <v>44925</v>
      </c>
      <c r="WTF614" s="5" t="s">
        <v>3728</v>
      </c>
      <c r="WTG614" s="17">
        <v>44925</v>
      </c>
      <c r="WTH614" s="5" t="s">
        <v>3728</v>
      </c>
      <c r="WTI614" s="17">
        <v>44925</v>
      </c>
      <c r="WTJ614" s="5" t="s">
        <v>3728</v>
      </c>
      <c r="WTK614" s="17">
        <v>44925</v>
      </c>
      <c r="WTL614" s="5" t="s">
        <v>3728</v>
      </c>
      <c r="WTM614" s="17">
        <v>44925</v>
      </c>
      <c r="WTN614" s="5" t="s">
        <v>3728</v>
      </c>
      <c r="WTO614" s="17">
        <v>44925</v>
      </c>
      <c r="WTP614" s="5" t="s">
        <v>3728</v>
      </c>
      <c r="WTQ614" s="17">
        <v>44925</v>
      </c>
      <c r="WTR614" s="5" t="s">
        <v>3728</v>
      </c>
      <c r="WTS614" s="17">
        <v>44925</v>
      </c>
      <c r="WTT614" s="5" t="s">
        <v>3728</v>
      </c>
      <c r="WTU614" s="17">
        <v>44925</v>
      </c>
      <c r="WTV614" s="5" t="s">
        <v>3728</v>
      </c>
      <c r="WTW614" s="17">
        <v>44925</v>
      </c>
      <c r="WTX614" s="5" t="s">
        <v>3728</v>
      </c>
      <c r="WTY614" s="17">
        <v>44925</v>
      </c>
      <c r="WTZ614" s="5" t="s">
        <v>3728</v>
      </c>
      <c r="WUA614" s="17">
        <v>44925</v>
      </c>
      <c r="WUB614" s="5" t="s">
        <v>3728</v>
      </c>
      <c r="WUC614" s="17">
        <v>44925</v>
      </c>
      <c r="WUD614" s="5" t="s">
        <v>3728</v>
      </c>
      <c r="WUE614" s="17">
        <v>44925</v>
      </c>
      <c r="WUF614" s="5" t="s">
        <v>3728</v>
      </c>
      <c r="WUG614" s="17">
        <v>44925</v>
      </c>
      <c r="WUH614" s="5" t="s">
        <v>3728</v>
      </c>
      <c r="WUI614" s="17">
        <v>44925</v>
      </c>
      <c r="WUJ614" s="5" t="s">
        <v>3728</v>
      </c>
      <c r="WUK614" s="17">
        <v>44925</v>
      </c>
      <c r="WUL614" s="5" t="s">
        <v>3728</v>
      </c>
      <c r="WUM614" s="17">
        <v>44925</v>
      </c>
      <c r="WUN614" s="5" t="s">
        <v>3728</v>
      </c>
      <c r="WUO614" s="17">
        <v>44925</v>
      </c>
      <c r="WUP614" s="5" t="s">
        <v>3728</v>
      </c>
      <c r="WUQ614" s="17">
        <v>44925</v>
      </c>
      <c r="WUR614" s="5" t="s">
        <v>3728</v>
      </c>
      <c r="WUS614" s="17">
        <v>44925</v>
      </c>
      <c r="WUT614" s="5" t="s">
        <v>3728</v>
      </c>
      <c r="WUU614" s="17">
        <v>44925</v>
      </c>
      <c r="WUV614" s="5" t="s">
        <v>3728</v>
      </c>
      <c r="WUW614" s="17">
        <v>44925</v>
      </c>
      <c r="WUX614" s="5" t="s">
        <v>3728</v>
      </c>
      <c r="WUY614" s="17">
        <v>44925</v>
      </c>
      <c r="WUZ614" s="5" t="s">
        <v>3728</v>
      </c>
      <c r="WVA614" s="17">
        <v>44925</v>
      </c>
      <c r="WVB614" s="5" t="s">
        <v>3728</v>
      </c>
      <c r="WVC614" s="17">
        <v>44925</v>
      </c>
      <c r="WVD614" s="5" t="s">
        <v>3728</v>
      </c>
      <c r="WVE614" s="17">
        <v>44925</v>
      </c>
      <c r="WVF614" s="5" t="s">
        <v>3728</v>
      </c>
      <c r="WVG614" s="17">
        <v>44925</v>
      </c>
      <c r="WVH614" s="5" t="s">
        <v>3728</v>
      </c>
      <c r="WVI614" s="17">
        <v>44925</v>
      </c>
      <c r="WVJ614" s="5" t="s">
        <v>3728</v>
      </c>
      <c r="WVK614" s="17">
        <v>44925</v>
      </c>
      <c r="WVL614" s="5" t="s">
        <v>3728</v>
      </c>
      <c r="WVM614" s="17">
        <v>44925</v>
      </c>
      <c r="WVN614" s="5" t="s">
        <v>3728</v>
      </c>
      <c r="WVO614" s="17">
        <v>44925</v>
      </c>
      <c r="WVP614" s="5" t="s">
        <v>3728</v>
      </c>
      <c r="WVQ614" s="17">
        <v>44925</v>
      </c>
      <c r="WVR614" s="5" t="s">
        <v>3728</v>
      </c>
      <c r="WVS614" s="17">
        <v>44925</v>
      </c>
      <c r="WVT614" s="5" t="s">
        <v>3728</v>
      </c>
      <c r="WVU614" s="17">
        <v>44925</v>
      </c>
      <c r="WVV614" s="5" t="s">
        <v>3728</v>
      </c>
      <c r="WVW614" s="17">
        <v>44925</v>
      </c>
      <c r="WVX614" s="5" t="s">
        <v>3728</v>
      </c>
      <c r="WVY614" s="17">
        <v>44925</v>
      </c>
      <c r="WVZ614" s="5" t="s">
        <v>3728</v>
      </c>
      <c r="WWA614" s="17">
        <v>44925</v>
      </c>
      <c r="WWB614" s="5" t="s">
        <v>3728</v>
      </c>
      <c r="WWC614" s="17">
        <v>44925</v>
      </c>
      <c r="WWD614" s="5" t="s">
        <v>3728</v>
      </c>
      <c r="WWE614" s="17">
        <v>44925</v>
      </c>
      <c r="WWF614" s="5" t="s">
        <v>3728</v>
      </c>
      <c r="WWG614" s="17">
        <v>44925</v>
      </c>
      <c r="WWH614" s="5" t="s">
        <v>3728</v>
      </c>
      <c r="WWI614" s="17">
        <v>44925</v>
      </c>
      <c r="WWJ614" s="5" t="s">
        <v>3728</v>
      </c>
      <c r="WWK614" s="17">
        <v>44925</v>
      </c>
      <c r="WWL614" s="5" t="s">
        <v>3728</v>
      </c>
      <c r="WWM614" s="17">
        <v>44925</v>
      </c>
      <c r="WWN614" s="5" t="s">
        <v>3728</v>
      </c>
      <c r="WWO614" s="17">
        <v>44925</v>
      </c>
      <c r="WWP614" s="5" t="s">
        <v>3728</v>
      </c>
      <c r="WWQ614" s="17">
        <v>44925</v>
      </c>
      <c r="WWR614" s="5" t="s">
        <v>3728</v>
      </c>
      <c r="WWS614" s="17">
        <v>44925</v>
      </c>
      <c r="WWT614" s="5" t="s">
        <v>3728</v>
      </c>
      <c r="WWU614" s="17">
        <v>44925</v>
      </c>
      <c r="WWV614" s="5" t="s">
        <v>3728</v>
      </c>
      <c r="WWW614" s="17">
        <v>44925</v>
      </c>
      <c r="WWX614" s="5" t="s">
        <v>3728</v>
      </c>
      <c r="WWY614" s="17">
        <v>44925</v>
      </c>
      <c r="WWZ614" s="5" t="s">
        <v>3728</v>
      </c>
      <c r="WXA614" s="17">
        <v>44925</v>
      </c>
      <c r="WXB614" s="5" t="s">
        <v>3728</v>
      </c>
      <c r="WXC614" s="17">
        <v>44925</v>
      </c>
      <c r="WXD614" s="5" t="s">
        <v>3728</v>
      </c>
      <c r="WXE614" s="17">
        <v>44925</v>
      </c>
      <c r="WXF614" s="5" t="s">
        <v>3728</v>
      </c>
      <c r="WXG614" s="17">
        <v>44925</v>
      </c>
      <c r="WXH614" s="5" t="s">
        <v>3728</v>
      </c>
      <c r="WXI614" s="17">
        <v>44925</v>
      </c>
      <c r="WXJ614" s="5" t="s">
        <v>3728</v>
      </c>
      <c r="WXK614" s="17">
        <v>44925</v>
      </c>
      <c r="WXL614" s="5" t="s">
        <v>3728</v>
      </c>
      <c r="WXM614" s="17">
        <v>44925</v>
      </c>
      <c r="WXN614" s="5" t="s">
        <v>3728</v>
      </c>
      <c r="WXO614" s="17">
        <v>44925</v>
      </c>
      <c r="WXP614" s="5" t="s">
        <v>3728</v>
      </c>
      <c r="WXQ614" s="17">
        <v>44925</v>
      </c>
      <c r="WXR614" s="5" t="s">
        <v>3728</v>
      </c>
      <c r="WXS614" s="17">
        <v>44925</v>
      </c>
      <c r="WXT614" s="5" t="s">
        <v>3728</v>
      </c>
      <c r="WXU614" s="17">
        <v>44925</v>
      </c>
      <c r="WXV614" s="5" t="s">
        <v>3728</v>
      </c>
      <c r="WXW614" s="17">
        <v>44925</v>
      </c>
      <c r="WXX614" s="5" t="s">
        <v>3728</v>
      </c>
      <c r="WXY614" s="17">
        <v>44925</v>
      </c>
      <c r="WXZ614" s="5" t="s">
        <v>3728</v>
      </c>
      <c r="WYA614" s="17">
        <v>44925</v>
      </c>
      <c r="WYB614" s="5" t="s">
        <v>3728</v>
      </c>
      <c r="WYC614" s="17">
        <v>44925</v>
      </c>
      <c r="WYD614" s="5" t="s">
        <v>3728</v>
      </c>
      <c r="WYE614" s="17">
        <v>44925</v>
      </c>
      <c r="WYF614" s="5" t="s">
        <v>3728</v>
      </c>
      <c r="WYG614" s="17">
        <v>44925</v>
      </c>
      <c r="WYH614" s="5" t="s">
        <v>3728</v>
      </c>
      <c r="WYI614" s="17">
        <v>44925</v>
      </c>
      <c r="WYJ614" s="5" t="s">
        <v>3728</v>
      </c>
      <c r="WYK614" s="17">
        <v>44925</v>
      </c>
      <c r="WYL614" s="5" t="s">
        <v>3728</v>
      </c>
      <c r="WYM614" s="17">
        <v>44925</v>
      </c>
      <c r="WYN614" s="5" t="s">
        <v>3728</v>
      </c>
      <c r="WYO614" s="17">
        <v>44925</v>
      </c>
      <c r="WYP614" s="5" t="s">
        <v>3728</v>
      </c>
      <c r="WYQ614" s="17">
        <v>44925</v>
      </c>
      <c r="WYR614" s="5" t="s">
        <v>3728</v>
      </c>
      <c r="WYS614" s="17">
        <v>44925</v>
      </c>
      <c r="WYT614" s="5" t="s">
        <v>3728</v>
      </c>
      <c r="WYU614" s="17">
        <v>44925</v>
      </c>
      <c r="WYV614" s="5" t="s">
        <v>3728</v>
      </c>
      <c r="WYW614" s="17">
        <v>44925</v>
      </c>
      <c r="WYX614" s="5" t="s">
        <v>3728</v>
      </c>
      <c r="WYY614" s="17">
        <v>44925</v>
      </c>
      <c r="WYZ614" s="5" t="s">
        <v>3728</v>
      </c>
      <c r="WZA614" s="17">
        <v>44925</v>
      </c>
      <c r="WZB614" s="5" t="s">
        <v>3728</v>
      </c>
      <c r="WZC614" s="17">
        <v>44925</v>
      </c>
      <c r="WZD614" s="5" t="s">
        <v>3728</v>
      </c>
      <c r="WZE614" s="17">
        <v>44925</v>
      </c>
      <c r="WZF614" s="5" t="s">
        <v>3728</v>
      </c>
      <c r="WZG614" s="17">
        <v>44925</v>
      </c>
      <c r="WZH614" s="5" t="s">
        <v>3728</v>
      </c>
      <c r="WZI614" s="17">
        <v>44925</v>
      </c>
      <c r="WZJ614" s="5" t="s">
        <v>3728</v>
      </c>
      <c r="WZK614" s="17">
        <v>44925</v>
      </c>
      <c r="WZL614" s="5" t="s">
        <v>3728</v>
      </c>
      <c r="WZM614" s="17">
        <v>44925</v>
      </c>
      <c r="WZN614" s="5" t="s">
        <v>3728</v>
      </c>
      <c r="WZO614" s="17">
        <v>44925</v>
      </c>
      <c r="WZP614" s="5" t="s">
        <v>3728</v>
      </c>
      <c r="WZQ614" s="17">
        <v>44925</v>
      </c>
      <c r="WZR614" s="5" t="s">
        <v>3728</v>
      </c>
      <c r="WZS614" s="17">
        <v>44925</v>
      </c>
      <c r="WZT614" s="5" t="s">
        <v>3728</v>
      </c>
      <c r="WZU614" s="17">
        <v>44925</v>
      </c>
      <c r="WZV614" s="5" t="s">
        <v>3728</v>
      </c>
      <c r="WZW614" s="17">
        <v>44925</v>
      </c>
      <c r="WZX614" s="5" t="s">
        <v>3728</v>
      </c>
      <c r="WZY614" s="17">
        <v>44925</v>
      </c>
      <c r="WZZ614" s="5" t="s">
        <v>3728</v>
      </c>
      <c r="XAA614" s="17">
        <v>44925</v>
      </c>
      <c r="XAB614" s="5" t="s">
        <v>3728</v>
      </c>
      <c r="XAC614" s="17">
        <v>44925</v>
      </c>
      <c r="XAD614" s="5" t="s">
        <v>3728</v>
      </c>
      <c r="XAE614" s="17">
        <v>44925</v>
      </c>
      <c r="XAF614" s="5" t="s">
        <v>3728</v>
      </c>
      <c r="XAG614" s="17">
        <v>44925</v>
      </c>
      <c r="XAH614" s="5" t="s">
        <v>3728</v>
      </c>
      <c r="XAI614" s="17">
        <v>44925</v>
      </c>
      <c r="XAJ614" s="5" t="s">
        <v>3728</v>
      </c>
      <c r="XAK614" s="17">
        <v>44925</v>
      </c>
      <c r="XAL614" s="5" t="s">
        <v>3728</v>
      </c>
      <c r="XAM614" s="17">
        <v>44925</v>
      </c>
      <c r="XAN614" s="5" t="s">
        <v>3728</v>
      </c>
      <c r="XAO614" s="17">
        <v>44925</v>
      </c>
      <c r="XAP614" s="5" t="s">
        <v>3728</v>
      </c>
      <c r="XAQ614" s="17">
        <v>44925</v>
      </c>
      <c r="XAR614" s="5" t="s">
        <v>3728</v>
      </c>
      <c r="XAS614" s="17">
        <v>44925</v>
      </c>
      <c r="XAT614" s="5" t="s">
        <v>3728</v>
      </c>
      <c r="XAU614" s="17">
        <v>44925</v>
      </c>
      <c r="XAV614" s="5" t="s">
        <v>3728</v>
      </c>
      <c r="XAW614" s="17">
        <v>44925</v>
      </c>
      <c r="XAX614" s="5" t="s">
        <v>3728</v>
      </c>
      <c r="XAY614" s="17">
        <v>44925</v>
      </c>
      <c r="XAZ614" s="5" t="s">
        <v>3728</v>
      </c>
      <c r="XBA614" s="17">
        <v>44925</v>
      </c>
      <c r="XBB614" s="5" t="s">
        <v>3728</v>
      </c>
      <c r="XBC614" s="17">
        <v>44925</v>
      </c>
      <c r="XBD614" s="5" t="s">
        <v>3728</v>
      </c>
      <c r="XBE614" s="17">
        <v>44925</v>
      </c>
      <c r="XBF614" s="5" t="s">
        <v>3728</v>
      </c>
      <c r="XBG614" s="17">
        <v>44925</v>
      </c>
      <c r="XBH614" s="5" t="s">
        <v>3728</v>
      </c>
      <c r="XBI614" s="17">
        <v>44925</v>
      </c>
      <c r="XBJ614" s="5" t="s">
        <v>3728</v>
      </c>
      <c r="XBK614" s="17">
        <v>44925</v>
      </c>
      <c r="XBL614" s="5" t="s">
        <v>3728</v>
      </c>
      <c r="XBM614" s="17">
        <v>44925</v>
      </c>
      <c r="XBN614" s="5" t="s">
        <v>3728</v>
      </c>
      <c r="XBO614" s="17">
        <v>44925</v>
      </c>
      <c r="XBP614" s="5" t="s">
        <v>3728</v>
      </c>
      <c r="XBQ614" s="17">
        <v>44925</v>
      </c>
      <c r="XBR614" s="5" t="s">
        <v>3728</v>
      </c>
      <c r="XBS614" s="17">
        <v>44925</v>
      </c>
      <c r="XBT614" s="5" t="s">
        <v>3728</v>
      </c>
      <c r="XBU614" s="17">
        <v>44925</v>
      </c>
      <c r="XBV614" s="5" t="s">
        <v>3728</v>
      </c>
      <c r="XBW614" s="17">
        <v>44925</v>
      </c>
      <c r="XBX614" s="5" t="s">
        <v>3728</v>
      </c>
      <c r="XBY614" s="17">
        <v>44925</v>
      </c>
      <c r="XBZ614" s="5" t="s">
        <v>3728</v>
      </c>
      <c r="XCA614" s="17">
        <v>44925</v>
      </c>
      <c r="XCB614" s="5" t="s">
        <v>3728</v>
      </c>
      <c r="XCC614" s="17">
        <v>44925</v>
      </c>
      <c r="XCD614" s="5" t="s">
        <v>3728</v>
      </c>
      <c r="XCE614" s="17">
        <v>44925</v>
      </c>
      <c r="XCF614" s="5" t="s">
        <v>3728</v>
      </c>
      <c r="XCG614" s="17">
        <v>44925</v>
      </c>
      <c r="XCH614" s="5" t="s">
        <v>3728</v>
      </c>
      <c r="XCI614" s="17">
        <v>44925</v>
      </c>
      <c r="XCJ614" s="5" t="s">
        <v>3728</v>
      </c>
      <c r="XCK614" s="17">
        <v>44925</v>
      </c>
      <c r="XCL614" s="5" t="s">
        <v>3728</v>
      </c>
      <c r="XCM614" s="17">
        <v>44925</v>
      </c>
      <c r="XCN614" s="5" t="s">
        <v>3728</v>
      </c>
      <c r="XCO614" s="17">
        <v>44925</v>
      </c>
      <c r="XCP614" s="5" t="s">
        <v>3728</v>
      </c>
      <c r="XCQ614" s="17">
        <v>44925</v>
      </c>
      <c r="XCR614" s="5" t="s">
        <v>3728</v>
      </c>
      <c r="XCS614" s="17">
        <v>44925</v>
      </c>
      <c r="XCT614" s="5" t="s">
        <v>3728</v>
      </c>
      <c r="XCU614" s="17">
        <v>44925</v>
      </c>
      <c r="XCV614" s="5" t="s">
        <v>3728</v>
      </c>
      <c r="XCW614" s="17">
        <v>44925</v>
      </c>
      <c r="XCX614" s="5" t="s">
        <v>3728</v>
      </c>
      <c r="XCY614" s="17">
        <v>44925</v>
      </c>
      <c r="XCZ614" s="5" t="s">
        <v>3728</v>
      </c>
      <c r="XDA614" s="17">
        <v>44925</v>
      </c>
      <c r="XDB614" s="5" t="s">
        <v>3728</v>
      </c>
      <c r="XDC614" s="17">
        <v>44925</v>
      </c>
      <c r="XDD614" s="5" t="s">
        <v>3728</v>
      </c>
      <c r="XDE614" s="17">
        <v>44925</v>
      </c>
      <c r="XDF614" s="5" t="s">
        <v>3728</v>
      </c>
      <c r="XDG614" s="17">
        <v>44925</v>
      </c>
      <c r="XDH614" s="5" t="s">
        <v>3728</v>
      </c>
      <c r="XDI614" s="17">
        <v>44925</v>
      </c>
      <c r="XDJ614" s="5" t="s">
        <v>3728</v>
      </c>
      <c r="XDK614" s="17">
        <v>44925</v>
      </c>
      <c r="XDL614" s="5" t="s">
        <v>3728</v>
      </c>
      <c r="XDM614" s="17">
        <v>44925</v>
      </c>
      <c r="XDN614" s="5" t="s">
        <v>3728</v>
      </c>
      <c r="XDO614" s="17">
        <v>44925</v>
      </c>
      <c r="XDP614" s="5" t="s">
        <v>3728</v>
      </c>
      <c r="XDQ614" s="17">
        <v>44925</v>
      </c>
      <c r="XDR614" s="5" t="s">
        <v>3728</v>
      </c>
      <c r="XDS614" s="17">
        <v>44925</v>
      </c>
      <c r="XDT614" s="5" t="s">
        <v>3728</v>
      </c>
      <c r="XDU614" s="17">
        <v>44925</v>
      </c>
      <c r="XDV614" s="5" t="s">
        <v>3728</v>
      </c>
      <c r="XDW614" s="17">
        <v>44925</v>
      </c>
      <c r="XDX614" s="5" t="s">
        <v>3728</v>
      </c>
      <c r="XDY614" s="17">
        <v>44925</v>
      </c>
      <c r="XDZ614" s="5" t="s">
        <v>3728</v>
      </c>
      <c r="XEA614" s="17">
        <v>44925</v>
      </c>
      <c r="XEB614" s="5" t="s">
        <v>3728</v>
      </c>
      <c r="XEC614" s="17">
        <v>44925</v>
      </c>
      <c r="XED614" s="5" t="s">
        <v>3728</v>
      </c>
      <c r="XEE614" s="17">
        <v>44925</v>
      </c>
      <c r="XEF614" s="5" t="s">
        <v>3728</v>
      </c>
      <c r="XEG614" s="17">
        <v>44925</v>
      </c>
      <c r="XEH614" s="5" t="s">
        <v>3728</v>
      </c>
      <c r="XEI614" s="17">
        <v>44925</v>
      </c>
      <c r="XEJ614" s="5" t="s">
        <v>3728</v>
      </c>
      <c r="XEK614" s="17">
        <v>44925</v>
      </c>
      <c r="XEL614" s="5" t="s">
        <v>3728</v>
      </c>
      <c r="XEM614" s="17">
        <v>44925</v>
      </c>
      <c r="XEN614" s="5" t="s">
        <v>3728</v>
      </c>
      <c r="XEO614" s="17">
        <v>44925</v>
      </c>
      <c r="XEP614" s="5" t="s">
        <v>3728</v>
      </c>
      <c r="XEQ614" s="17">
        <v>44925</v>
      </c>
      <c r="XER614" s="5" t="s">
        <v>3728</v>
      </c>
      <c r="XES614" s="17">
        <v>44925</v>
      </c>
      <c r="XET614" s="5" t="s">
        <v>3728</v>
      </c>
      <c r="XEU614" s="17">
        <v>44925</v>
      </c>
      <c r="XEV614" s="5" t="s">
        <v>3728</v>
      </c>
      <c r="XEW614" s="17">
        <v>44925</v>
      </c>
      <c r="XEX614" s="5" t="s">
        <v>3728</v>
      </c>
      <c r="XEY614" s="17">
        <v>44925</v>
      </c>
      <c r="XEZ614" s="5" t="s">
        <v>3728</v>
      </c>
      <c r="XFA614" s="17">
        <v>44925</v>
      </c>
      <c r="XFB614" s="5" t="s">
        <v>3728</v>
      </c>
    </row>
    <row r="615" spans="1:16382" ht="17.25" customHeight="1" x14ac:dyDescent="0.3">
      <c r="A615" s="169">
        <f t="shared" si="66"/>
        <v>529</v>
      </c>
      <c r="B615" s="21" t="s">
        <v>615</v>
      </c>
      <c r="C615" s="5">
        <v>1956</v>
      </c>
      <c r="D615" s="3"/>
      <c r="E615" s="15" t="s">
        <v>3645</v>
      </c>
      <c r="F615" s="15">
        <v>2</v>
      </c>
      <c r="G615" s="100"/>
      <c r="H615" s="15">
        <v>1490.2</v>
      </c>
      <c r="I615" s="15">
        <v>57</v>
      </c>
      <c r="J615" s="19">
        <f t="shared" si="70"/>
        <v>119148.73</v>
      </c>
      <c r="K615" s="105"/>
      <c r="L615" s="105"/>
      <c r="M615" s="105"/>
      <c r="N615" s="19">
        <f>SUMIF('2020'!B:B,B615,'2020'!C:C)+SUMIF('2021'!B:B,B615,'2021'!C:C)+SUMIF('2022'!B:B,B615,'2022'!C:C)</f>
        <v>119148.73</v>
      </c>
      <c r="O615" s="17">
        <v>44925</v>
      </c>
      <c r="P615" s="5" t="s">
        <v>3728</v>
      </c>
      <c r="Q615" s="17">
        <v>44925</v>
      </c>
      <c r="R615" s="5" t="s">
        <v>3728</v>
      </c>
      <c r="S615" s="17">
        <v>44925</v>
      </c>
      <c r="T615" s="5" t="s">
        <v>3728</v>
      </c>
      <c r="U615" s="17">
        <v>44925</v>
      </c>
      <c r="V615" s="5" t="s">
        <v>3728</v>
      </c>
      <c r="W615" s="17">
        <v>44925</v>
      </c>
      <c r="X615" s="5" t="s">
        <v>3728</v>
      </c>
      <c r="Y615" s="17">
        <v>44925</v>
      </c>
      <c r="Z615" s="5" t="s">
        <v>3728</v>
      </c>
      <c r="AA615" s="17">
        <v>44925</v>
      </c>
      <c r="AB615" s="5" t="s">
        <v>3728</v>
      </c>
      <c r="AC615" s="17">
        <v>44925</v>
      </c>
      <c r="AD615" s="5" t="s">
        <v>3728</v>
      </c>
      <c r="AE615" s="17">
        <v>44925</v>
      </c>
      <c r="AF615" s="5" t="s">
        <v>3728</v>
      </c>
      <c r="AG615" s="17">
        <v>44925</v>
      </c>
      <c r="AH615" s="5" t="s">
        <v>3728</v>
      </c>
      <c r="AI615" s="17">
        <v>44925</v>
      </c>
      <c r="AJ615" s="5" t="s">
        <v>3728</v>
      </c>
      <c r="AK615" s="17">
        <v>44925</v>
      </c>
      <c r="AL615" s="5" t="s">
        <v>3728</v>
      </c>
      <c r="AM615" s="17">
        <v>44925</v>
      </c>
      <c r="AN615" s="5" t="s">
        <v>3728</v>
      </c>
      <c r="AO615" s="17">
        <v>44925</v>
      </c>
      <c r="AP615" s="5" t="s">
        <v>3728</v>
      </c>
      <c r="AQ615" s="17">
        <v>44925</v>
      </c>
      <c r="AR615" s="5" t="s">
        <v>3728</v>
      </c>
      <c r="AS615" s="17">
        <v>44925</v>
      </c>
      <c r="AT615" s="5" t="s">
        <v>3728</v>
      </c>
      <c r="AU615" s="17">
        <v>44925</v>
      </c>
      <c r="AV615" s="5" t="s">
        <v>3728</v>
      </c>
      <c r="AW615" s="17">
        <v>44925</v>
      </c>
      <c r="AX615" s="5" t="s">
        <v>3728</v>
      </c>
      <c r="AY615" s="17">
        <v>44925</v>
      </c>
      <c r="AZ615" s="5" t="s">
        <v>3728</v>
      </c>
      <c r="BA615" s="17">
        <v>44925</v>
      </c>
      <c r="BB615" s="5" t="s">
        <v>3728</v>
      </c>
      <c r="BC615" s="17">
        <v>44925</v>
      </c>
      <c r="BD615" s="5" t="s">
        <v>3728</v>
      </c>
      <c r="BE615" s="17">
        <v>44925</v>
      </c>
      <c r="BF615" s="5" t="s">
        <v>3728</v>
      </c>
      <c r="BG615" s="17">
        <v>44925</v>
      </c>
      <c r="BH615" s="5" t="s">
        <v>3728</v>
      </c>
      <c r="BI615" s="17">
        <v>44925</v>
      </c>
      <c r="BJ615" s="5" t="s">
        <v>3728</v>
      </c>
      <c r="BK615" s="17">
        <v>44925</v>
      </c>
      <c r="BL615" s="5" t="s">
        <v>3728</v>
      </c>
      <c r="BM615" s="17">
        <v>44925</v>
      </c>
      <c r="BN615" s="5" t="s">
        <v>3728</v>
      </c>
      <c r="BO615" s="17">
        <v>44925</v>
      </c>
      <c r="BP615" s="5" t="s">
        <v>3728</v>
      </c>
      <c r="BQ615" s="17">
        <v>44925</v>
      </c>
      <c r="BR615" s="5" t="s">
        <v>3728</v>
      </c>
      <c r="BS615" s="17">
        <v>44925</v>
      </c>
      <c r="BT615" s="5" t="s">
        <v>3728</v>
      </c>
      <c r="BU615" s="17">
        <v>44925</v>
      </c>
      <c r="BV615" s="5" t="s">
        <v>3728</v>
      </c>
      <c r="BW615" s="17">
        <v>44925</v>
      </c>
      <c r="BX615" s="5" t="s">
        <v>3728</v>
      </c>
      <c r="BY615" s="17">
        <v>44925</v>
      </c>
      <c r="BZ615" s="5" t="s">
        <v>3728</v>
      </c>
      <c r="CA615" s="17">
        <v>44925</v>
      </c>
      <c r="CB615" s="5" t="s">
        <v>3728</v>
      </c>
      <c r="CC615" s="17">
        <v>44925</v>
      </c>
      <c r="CD615" s="5" t="s">
        <v>3728</v>
      </c>
      <c r="CE615" s="17">
        <v>44925</v>
      </c>
      <c r="CF615" s="5" t="s">
        <v>3728</v>
      </c>
      <c r="CG615" s="17">
        <v>44925</v>
      </c>
      <c r="CH615" s="5" t="s">
        <v>3728</v>
      </c>
      <c r="CI615" s="17">
        <v>44925</v>
      </c>
      <c r="CJ615" s="5" t="s">
        <v>3728</v>
      </c>
      <c r="CK615" s="17">
        <v>44925</v>
      </c>
      <c r="CL615" s="5" t="s">
        <v>3728</v>
      </c>
      <c r="CM615" s="17">
        <v>44925</v>
      </c>
      <c r="CN615" s="5" t="s">
        <v>3728</v>
      </c>
      <c r="CO615" s="17">
        <v>44925</v>
      </c>
      <c r="CP615" s="5" t="s">
        <v>3728</v>
      </c>
      <c r="CQ615" s="17">
        <v>44925</v>
      </c>
      <c r="CR615" s="5" t="s">
        <v>3728</v>
      </c>
      <c r="CS615" s="17">
        <v>44925</v>
      </c>
      <c r="CT615" s="5" t="s">
        <v>3728</v>
      </c>
      <c r="CU615" s="17">
        <v>44925</v>
      </c>
      <c r="CV615" s="5" t="s">
        <v>3728</v>
      </c>
      <c r="CW615" s="17">
        <v>44925</v>
      </c>
      <c r="CX615" s="5" t="s">
        <v>3728</v>
      </c>
      <c r="CY615" s="17">
        <v>44925</v>
      </c>
      <c r="CZ615" s="5" t="s">
        <v>3728</v>
      </c>
      <c r="DA615" s="17">
        <v>44925</v>
      </c>
      <c r="DB615" s="5" t="s">
        <v>3728</v>
      </c>
      <c r="DC615" s="17">
        <v>44925</v>
      </c>
      <c r="DD615" s="5" t="s">
        <v>3728</v>
      </c>
      <c r="DE615" s="17">
        <v>44925</v>
      </c>
      <c r="DF615" s="5" t="s">
        <v>3728</v>
      </c>
      <c r="DG615" s="17">
        <v>44925</v>
      </c>
      <c r="DH615" s="5" t="s">
        <v>3728</v>
      </c>
      <c r="DI615" s="17">
        <v>44925</v>
      </c>
      <c r="DJ615" s="5" t="s">
        <v>3728</v>
      </c>
      <c r="DK615" s="17">
        <v>44925</v>
      </c>
      <c r="DL615" s="5" t="s">
        <v>3728</v>
      </c>
      <c r="DM615" s="17">
        <v>44925</v>
      </c>
      <c r="DN615" s="5" t="s">
        <v>3728</v>
      </c>
      <c r="DO615" s="17">
        <v>44925</v>
      </c>
      <c r="DP615" s="5" t="s">
        <v>3728</v>
      </c>
      <c r="DQ615" s="17">
        <v>44925</v>
      </c>
      <c r="DR615" s="5" t="s">
        <v>3728</v>
      </c>
      <c r="DS615" s="17">
        <v>44925</v>
      </c>
      <c r="DT615" s="5" t="s">
        <v>3728</v>
      </c>
      <c r="DU615" s="17">
        <v>44925</v>
      </c>
      <c r="DV615" s="5" t="s">
        <v>3728</v>
      </c>
      <c r="DW615" s="17">
        <v>44925</v>
      </c>
      <c r="DX615" s="5" t="s">
        <v>3728</v>
      </c>
      <c r="DY615" s="17">
        <v>44925</v>
      </c>
      <c r="DZ615" s="5" t="s">
        <v>3728</v>
      </c>
      <c r="EA615" s="17">
        <v>44925</v>
      </c>
      <c r="EB615" s="5" t="s">
        <v>3728</v>
      </c>
      <c r="EC615" s="17">
        <v>44925</v>
      </c>
      <c r="ED615" s="5" t="s">
        <v>3728</v>
      </c>
      <c r="EE615" s="17">
        <v>44925</v>
      </c>
      <c r="EF615" s="5" t="s">
        <v>3728</v>
      </c>
      <c r="EG615" s="17">
        <v>44925</v>
      </c>
      <c r="EH615" s="5" t="s">
        <v>3728</v>
      </c>
      <c r="EI615" s="17">
        <v>44925</v>
      </c>
      <c r="EJ615" s="5" t="s">
        <v>3728</v>
      </c>
      <c r="EK615" s="17">
        <v>44925</v>
      </c>
      <c r="EL615" s="5" t="s">
        <v>3728</v>
      </c>
      <c r="EM615" s="17">
        <v>44925</v>
      </c>
      <c r="EN615" s="5" t="s">
        <v>3728</v>
      </c>
      <c r="EO615" s="17">
        <v>44925</v>
      </c>
      <c r="EP615" s="5" t="s">
        <v>3728</v>
      </c>
      <c r="EQ615" s="17">
        <v>44925</v>
      </c>
      <c r="ER615" s="5" t="s">
        <v>3728</v>
      </c>
      <c r="ES615" s="17">
        <v>44925</v>
      </c>
      <c r="ET615" s="5" t="s">
        <v>3728</v>
      </c>
      <c r="EU615" s="17">
        <v>44925</v>
      </c>
      <c r="EV615" s="5" t="s">
        <v>3728</v>
      </c>
      <c r="EW615" s="17">
        <v>44925</v>
      </c>
      <c r="EX615" s="5" t="s">
        <v>3728</v>
      </c>
      <c r="EY615" s="17">
        <v>44925</v>
      </c>
      <c r="EZ615" s="5" t="s">
        <v>3728</v>
      </c>
      <c r="FA615" s="17">
        <v>44925</v>
      </c>
      <c r="FB615" s="5" t="s">
        <v>3728</v>
      </c>
      <c r="FC615" s="17">
        <v>44925</v>
      </c>
      <c r="FD615" s="5" t="s">
        <v>3728</v>
      </c>
      <c r="FE615" s="17">
        <v>44925</v>
      </c>
      <c r="FF615" s="5" t="s">
        <v>3728</v>
      </c>
      <c r="FG615" s="17">
        <v>44925</v>
      </c>
      <c r="FH615" s="5" t="s">
        <v>3728</v>
      </c>
      <c r="FI615" s="17">
        <v>44925</v>
      </c>
      <c r="FJ615" s="5" t="s">
        <v>3728</v>
      </c>
      <c r="FK615" s="17">
        <v>44925</v>
      </c>
      <c r="FL615" s="5" t="s">
        <v>3728</v>
      </c>
      <c r="FM615" s="17">
        <v>44925</v>
      </c>
      <c r="FN615" s="5" t="s">
        <v>3728</v>
      </c>
      <c r="FO615" s="17">
        <v>44925</v>
      </c>
      <c r="FP615" s="5" t="s">
        <v>3728</v>
      </c>
      <c r="FQ615" s="17">
        <v>44925</v>
      </c>
      <c r="FR615" s="5" t="s">
        <v>3728</v>
      </c>
      <c r="FS615" s="17">
        <v>44925</v>
      </c>
      <c r="FT615" s="5" t="s">
        <v>3728</v>
      </c>
      <c r="FU615" s="17">
        <v>44925</v>
      </c>
      <c r="FV615" s="5" t="s">
        <v>3728</v>
      </c>
      <c r="FW615" s="17">
        <v>44925</v>
      </c>
      <c r="FX615" s="5" t="s">
        <v>3728</v>
      </c>
      <c r="FY615" s="17">
        <v>44925</v>
      </c>
      <c r="FZ615" s="5" t="s">
        <v>3728</v>
      </c>
      <c r="GA615" s="17">
        <v>44925</v>
      </c>
      <c r="GB615" s="5" t="s">
        <v>3728</v>
      </c>
      <c r="GC615" s="17">
        <v>44925</v>
      </c>
      <c r="GD615" s="5" t="s">
        <v>3728</v>
      </c>
      <c r="GE615" s="17">
        <v>44925</v>
      </c>
      <c r="GF615" s="5" t="s">
        <v>3728</v>
      </c>
      <c r="GG615" s="17">
        <v>44925</v>
      </c>
      <c r="GH615" s="5" t="s">
        <v>3728</v>
      </c>
      <c r="GI615" s="17">
        <v>44925</v>
      </c>
      <c r="GJ615" s="5" t="s">
        <v>3728</v>
      </c>
      <c r="GK615" s="17">
        <v>44925</v>
      </c>
      <c r="GL615" s="5" t="s">
        <v>3728</v>
      </c>
      <c r="GM615" s="17">
        <v>44925</v>
      </c>
      <c r="GN615" s="5" t="s">
        <v>3728</v>
      </c>
      <c r="GO615" s="17">
        <v>44925</v>
      </c>
      <c r="GP615" s="5" t="s">
        <v>3728</v>
      </c>
      <c r="GQ615" s="17">
        <v>44925</v>
      </c>
      <c r="GR615" s="5" t="s">
        <v>3728</v>
      </c>
      <c r="GS615" s="17">
        <v>44925</v>
      </c>
      <c r="GT615" s="5" t="s">
        <v>3728</v>
      </c>
      <c r="GU615" s="17">
        <v>44925</v>
      </c>
      <c r="GV615" s="5" t="s">
        <v>3728</v>
      </c>
      <c r="GW615" s="17">
        <v>44925</v>
      </c>
      <c r="GX615" s="5" t="s">
        <v>3728</v>
      </c>
      <c r="GY615" s="17">
        <v>44925</v>
      </c>
      <c r="GZ615" s="5" t="s">
        <v>3728</v>
      </c>
      <c r="HA615" s="17">
        <v>44925</v>
      </c>
      <c r="HB615" s="5" t="s">
        <v>3728</v>
      </c>
      <c r="HC615" s="17">
        <v>44925</v>
      </c>
      <c r="HD615" s="5" t="s">
        <v>3728</v>
      </c>
      <c r="HE615" s="17">
        <v>44925</v>
      </c>
      <c r="HF615" s="5" t="s">
        <v>3728</v>
      </c>
      <c r="HG615" s="17">
        <v>44925</v>
      </c>
      <c r="HH615" s="5" t="s">
        <v>3728</v>
      </c>
      <c r="HI615" s="17">
        <v>44925</v>
      </c>
      <c r="HJ615" s="5" t="s">
        <v>3728</v>
      </c>
      <c r="HK615" s="17">
        <v>44925</v>
      </c>
      <c r="HL615" s="5" t="s">
        <v>3728</v>
      </c>
      <c r="HM615" s="17">
        <v>44925</v>
      </c>
      <c r="HN615" s="5" t="s">
        <v>3728</v>
      </c>
      <c r="HO615" s="17">
        <v>44925</v>
      </c>
      <c r="HP615" s="5" t="s">
        <v>3728</v>
      </c>
      <c r="HQ615" s="17">
        <v>44925</v>
      </c>
      <c r="HR615" s="5" t="s">
        <v>3728</v>
      </c>
      <c r="HS615" s="17">
        <v>44925</v>
      </c>
      <c r="HT615" s="5" t="s">
        <v>3728</v>
      </c>
      <c r="HU615" s="17">
        <v>44925</v>
      </c>
      <c r="HV615" s="5" t="s">
        <v>3728</v>
      </c>
      <c r="HW615" s="17">
        <v>44925</v>
      </c>
      <c r="HX615" s="5" t="s">
        <v>3728</v>
      </c>
      <c r="HY615" s="17">
        <v>44925</v>
      </c>
      <c r="HZ615" s="5" t="s">
        <v>3728</v>
      </c>
      <c r="IA615" s="17">
        <v>44925</v>
      </c>
      <c r="IB615" s="5" t="s">
        <v>3728</v>
      </c>
      <c r="IC615" s="17">
        <v>44925</v>
      </c>
      <c r="ID615" s="5" t="s">
        <v>3728</v>
      </c>
      <c r="IE615" s="17">
        <v>44925</v>
      </c>
      <c r="IF615" s="5" t="s">
        <v>3728</v>
      </c>
      <c r="IG615" s="17">
        <v>44925</v>
      </c>
      <c r="IH615" s="5" t="s">
        <v>3728</v>
      </c>
      <c r="II615" s="17">
        <v>44925</v>
      </c>
      <c r="IJ615" s="5" t="s">
        <v>3728</v>
      </c>
      <c r="IK615" s="17">
        <v>44925</v>
      </c>
      <c r="IL615" s="5" t="s">
        <v>3728</v>
      </c>
      <c r="IM615" s="17">
        <v>44925</v>
      </c>
      <c r="IN615" s="5" t="s">
        <v>3728</v>
      </c>
      <c r="IO615" s="17">
        <v>44925</v>
      </c>
      <c r="IP615" s="5" t="s">
        <v>3728</v>
      </c>
      <c r="IQ615" s="17">
        <v>44925</v>
      </c>
      <c r="IR615" s="5" t="s">
        <v>3728</v>
      </c>
      <c r="IS615" s="17">
        <v>44925</v>
      </c>
      <c r="IT615" s="5" t="s">
        <v>3728</v>
      </c>
      <c r="IU615" s="17">
        <v>44925</v>
      </c>
      <c r="IV615" s="5" t="s">
        <v>3728</v>
      </c>
      <c r="IW615" s="17">
        <v>44925</v>
      </c>
      <c r="IX615" s="5" t="s">
        <v>3728</v>
      </c>
      <c r="IY615" s="17">
        <v>44925</v>
      </c>
      <c r="IZ615" s="5" t="s">
        <v>3728</v>
      </c>
      <c r="JA615" s="17">
        <v>44925</v>
      </c>
      <c r="JB615" s="5" t="s">
        <v>3728</v>
      </c>
      <c r="JC615" s="17">
        <v>44925</v>
      </c>
      <c r="JD615" s="5" t="s">
        <v>3728</v>
      </c>
      <c r="JE615" s="17">
        <v>44925</v>
      </c>
      <c r="JF615" s="5" t="s">
        <v>3728</v>
      </c>
      <c r="JG615" s="17">
        <v>44925</v>
      </c>
      <c r="JH615" s="5" t="s">
        <v>3728</v>
      </c>
      <c r="JI615" s="17">
        <v>44925</v>
      </c>
      <c r="JJ615" s="5" t="s">
        <v>3728</v>
      </c>
      <c r="JK615" s="17">
        <v>44925</v>
      </c>
      <c r="JL615" s="5" t="s">
        <v>3728</v>
      </c>
      <c r="JM615" s="17">
        <v>44925</v>
      </c>
      <c r="JN615" s="5" t="s">
        <v>3728</v>
      </c>
      <c r="JO615" s="17">
        <v>44925</v>
      </c>
      <c r="JP615" s="5" t="s">
        <v>3728</v>
      </c>
      <c r="JQ615" s="17">
        <v>44925</v>
      </c>
      <c r="JR615" s="5" t="s">
        <v>3728</v>
      </c>
      <c r="JS615" s="17">
        <v>44925</v>
      </c>
      <c r="JT615" s="5" t="s">
        <v>3728</v>
      </c>
      <c r="JU615" s="17">
        <v>44925</v>
      </c>
      <c r="JV615" s="5" t="s">
        <v>3728</v>
      </c>
      <c r="JW615" s="17">
        <v>44925</v>
      </c>
      <c r="JX615" s="5" t="s">
        <v>3728</v>
      </c>
      <c r="JY615" s="17">
        <v>44925</v>
      </c>
      <c r="JZ615" s="5" t="s">
        <v>3728</v>
      </c>
      <c r="KA615" s="17">
        <v>44925</v>
      </c>
      <c r="KB615" s="5" t="s">
        <v>3728</v>
      </c>
      <c r="KC615" s="17">
        <v>44925</v>
      </c>
      <c r="KD615" s="5" t="s">
        <v>3728</v>
      </c>
      <c r="KE615" s="17">
        <v>44925</v>
      </c>
      <c r="KF615" s="5" t="s">
        <v>3728</v>
      </c>
      <c r="KG615" s="17">
        <v>44925</v>
      </c>
      <c r="KH615" s="5" t="s">
        <v>3728</v>
      </c>
      <c r="KI615" s="17">
        <v>44925</v>
      </c>
      <c r="KJ615" s="5" t="s">
        <v>3728</v>
      </c>
      <c r="KK615" s="17">
        <v>44925</v>
      </c>
      <c r="KL615" s="5" t="s">
        <v>3728</v>
      </c>
      <c r="KM615" s="17">
        <v>44925</v>
      </c>
      <c r="KN615" s="5" t="s">
        <v>3728</v>
      </c>
      <c r="KO615" s="17">
        <v>44925</v>
      </c>
      <c r="KP615" s="5" t="s">
        <v>3728</v>
      </c>
      <c r="KQ615" s="17">
        <v>44925</v>
      </c>
      <c r="KR615" s="5" t="s">
        <v>3728</v>
      </c>
      <c r="KS615" s="17">
        <v>44925</v>
      </c>
      <c r="KT615" s="5" t="s">
        <v>3728</v>
      </c>
      <c r="KU615" s="17">
        <v>44925</v>
      </c>
      <c r="KV615" s="5" t="s">
        <v>3728</v>
      </c>
      <c r="KW615" s="17">
        <v>44925</v>
      </c>
      <c r="KX615" s="5" t="s">
        <v>3728</v>
      </c>
      <c r="KY615" s="17">
        <v>44925</v>
      </c>
      <c r="KZ615" s="5" t="s">
        <v>3728</v>
      </c>
      <c r="LA615" s="17">
        <v>44925</v>
      </c>
      <c r="LB615" s="5" t="s">
        <v>3728</v>
      </c>
      <c r="LC615" s="17">
        <v>44925</v>
      </c>
      <c r="LD615" s="5" t="s">
        <v>3728</v>
      </c>
      <c r="LE615" s="17">
        <v>44925</v>
      </c>
      <c r="LF615" s="5" t="s">
        <v>3728</v>
      </c>
      <c r="LG615" s="17">
        <v>44925</v>
      </c>
      <c r="LH615" s="5" t="s">
        <v>3728</v>
      </c>
      <c r="LI615" s="17">
        <v>44925</v>
      </c>
      <c r="LJ615" s="5" t="s">
        <v>3728</v>
      </c>
      <c r="LK615" s="17">
        <v>44925</v>
      </c>
      <c r="LL615" s="5" t="s">
        <v>3728</v>
      </c>
      <c r="LM615" s="17">
        <v>44925</v>
      </c>
      <c r="LN615" s="5" t="s">
        <v>3728</v>
      </c>
      <c r="LO615" s="17">
        <v>44925</v>
      </c>
      <c r="LP615" s="5" t="s">
        <v>3728</v>
      </c>
      <c r="LQ615" s="17">
        <v>44925</v>
      </c>
      <c r="LR615" s="5" t="s">
        <v>3728</v>
      </c>
      <c r="LS615" s="17">
        <v>44925</v>
      </c>
      <c r="LT615" s="5" t="s">
        <v>3728</v>
      </c>
      <c r="LU615" s="17">
        <v>44925</v>
      </c>
      <c r="LV615" s="5" t="s">
        <v>3728</v>
      </c>
      <c r="LW615" s="17">
        <v>44925</v>
      </c>
      <c r="LX615" s="5" t="s">
        <v>3728</v>
      </c>
      <c r="LY615" s="17">
        <v>44925</v>
      </c>
      <c r="LZ615" s="5" t="s">
        <v>3728</v>
      </c>
      <c r="MA615" s="17">
        <v>44925</v>
      </c>
      <c r="MB615" s="5" t="s">
        <v>3728</v>
      </c>
      <c r="MC615" s="17">
        <v>44925</v>
      </c>
      <c r="MD615" s="5" t="s">
        <v>3728</v>
      </c>
      <c r="ME615" s="17">
        <v>44925</v>
      </c>
      <c r="MF615" s="5" t="s">
        <v>3728</v>
      </c>
      <c r="MG615" s="17">
        <v>44925</v>
      </c>
      <c r="MH615" s="5" t="s">
        <v>3728</v>
      </c>
      <c r="MI615" s="17">
        <v>44925</v>
      </c>
      <c r="MJ615" s="5" t="s">
        <v>3728</v>
      </c>
      <c r="MK615" s="17">
        <v>44925</v>
      </c>
      <c r="ML615" s="5" t="s">
        <v>3728</v>
      </c>
      <c r="MM615" s="17">
        <v>44925</v>
      </c>
      <c r="MN615" s="5" t="s">
        <v>3728</v>
      </c>
      <c r="MO615" s="17">
        <v>44925</v>
      </c>
      <c r="MP615" s="5" t="s">
        <v>3728</v>
      </c>
      <c r="MQ615" s="17">
        <v>44925</v>
      </c>
      <c r="MR615" s="5" t="s">
        <v>3728</v>
      </c>
      <c r="MS615" s="17">
        <v>44925</v>
      </c>
      <c r="MT615" s="5" t="s">
        <v>3728</v>
      </c>
      <c r="MU615" s="17">
        <v>44925</v>
      </c>
      <c r="MV615" s="5" t="s">
        <v>3728</v>
      </c>
      <c r="MW615" s="17">
        <v>44925</v>
      </c>
      <c r="MX615" s="5" t="s">
        <v>3728</v>
      </c>
      <c r="MY615" s="17">
        <v>44925</v>
      </c>
      <c r="MZ615" s="5" t="s">
        <v>3728</v>
      </c>
      <c r="NA615" s="17">
        <v>44925</v>
      </c>
      <c r="NB615" s="5" t="s">
        <v>3728</v>
      </c>
      <c r="NC615" s="17">
        <v>44925</v>
      </c>
      <c r="ND615" s="5" t="s">
        <v>3728</v>
      </c>
      <c r="NE615" s="17">
        <v>44925</v>
      </c>
      <c r="NF615" s="5" t="s">
        <v>3728</v>
      </c>
      <c r="NG615" s="17">
        <v>44925</v>
      </c>
      <c r="NH615" s="5" t="s">
        <v>3728</v>
      </c>
      <c r="NI615" s="17">
        <v>44925</v>
      </c>
      <c r="NJ615" s="5" t="s">
        <v>3728</v>
      </c>
      <c r="NK615" s="17">
        <v>44925</v>
      </c>
      <c r="NL615" s="5" t="s">
        <v>3728</v>
      </c>
      <c r="NM615" s="17">
        <v>44925</v>
      </c>
      <c r="NN615" s="5" t="s">
        <v>3728</v>
      </c>
      <c r="NO615" s="17">
        <v>44925</v>
      </c>
      <c r="NP615" s="5" t="s">
        <v>3728</v>
      </c>
      <c r="NQ615" s="17">
        <v>44925</v>
      </c>
      <c r="NR615" s="5" t="s">
        <v>3728</v>
      </c>
      <c r="NS615" s="17">
        <v>44925</v>
      </c>
      <c r="NT615" s="5" t="s">
        <v>3728</v>
      </c>
      <c r="NU615" s="17">
        <v>44925</v>
      </c>
      <c r="NV615" s="5" t="s">
        <v>3728</v>
      </c>
      <c r="NW615" s="17">
        <v>44925</v>
      </c>
      <c r="NX615" s="5" t="s">
        <v>3728</v>
      </c>
      <c r="NY615" s="17">
        <v>44925</v>
      </c>
      <c r="NZ615" s="5" t="s">
        <v>3728</v>
      </c>
      <c r="OA615" s="17">
        <v>44925</v>
      </c>
      <c r="OB615" s="5" t="s">
        <v>3728</v>
      </c>
      <c r="OC615" s="17">
        <v>44925</v>
      </c>
      <c r="OD615" s="5" t="s">
        <v>3728</v>
      </c>
      <c r="OE615" s="17">
        <v>44925</v>
      </c>
      <c r="OF615" s="5" t="s">
        <v>3728</v>
      </c>
      <c r="OG615" s="17">
        <v>44925</v>
      </c>
      <c r="OH615" s="5" t="s">
        <v>3728</v>
      </c>
      <c r="OI615" s="17">
        <v>44925</v>
      </c>
      <c r="OJ615" s="5" t="s">
        <v>3728</v>
      </c>
      <c r="OK615" s="17">
        <v>44925</v>
      </c>
      <c r="OL615" s="5" t="s">
        <v>3728</v>
      </c>
      <c r="OM615" s="17">
        <v>44925</v>
      </c>
      <c r="ON615" s="5" t="s">
        <v>3728</v>
      </c>
      <c r="OO615" s="17">
        <v>44925</v>
      </c>
      <c r="OP615" s="5" t="s">
        <v>3728</v>
      </c>
      <c r="OQ615" s="17">
        <v>44925</v>
      </c>
      <c r="OR615" s="5" t="s">
        <v>3728</v>
      </c>
      <c r="OS615" s="17">
        <v>44925</v>
      </c>
      <c r="OT615" s="5" t="s">
        <v>3728</v>
      </c>
      <c r="OU615" s="17">
        <v>44925</v>
      </c>
      <c r="OV615" s="5" t="s">
        <v>3728</v>
      </c>
      <c r="OW615" s="17">
        <v>44925</v>
      </c>
      <c r="OX615" s="5" t="s">
        <v>3728</v>
      </c>
      <c r="OY615" s="17">
        <v>44925</v>
      </c>
      <c r="OZ615" s="5" t="s">
        <v>3728</v>
      </c>
      <c r="PA615" s="17">
        <v>44925</v>
      </c>
      <c r="PB615" s="5" t="s">
        <v>3728</v>
      </c>
      <c r="PC615" s="17">
        <v>44925</v>
      </c>
      <c r="PD615" s="5" t="s">
        <v>3728</v>
      </c>
      <c r="PE615" s="17">
        <v>44925</v>
      </c>
      <c r="PF615" s="5" t="s">
        <v>3728</v>
      </c>
      <c r="PG615" s="17">
        <v>44925</v>
      </c>
      <c r="PH615" s="5" t="s">
        <v>3728</v>
      </c>
      <c r="PI615" s="17">
        <v>44925</v>
      </c>
      <c r="PJ615" s="5" t="s">
        <v>3728</v>
      </c>
      <c r="PK615" s="17">
        <v>44925</v>
      </c>
      <c r="PL615" s="5" t="s">
        <v>3728</v>
      </c>
      <c r="PM615" s="17">
        <v>44925</v>
      </c>
      <c r="PN615" s="5" t="s">
        <v>3728</v>
      </c>
      <c r="PO615" s="17">
        <v>44925</v>
      </c>
      <c r="PP615" s="5" t="s">
        <v>3728</v>
      </c>
      <c r="PQ615" s="17">
        <v>44925</v>
      </c>
      <c r="PR615" s="5" t="s">
        <v>3728</v>
      </c>
      <c r="PS615" s="17">
        <v>44925</v>
      </c>
      <c r="PT615" s="5" t="s">
        <v>3728</v>
      </c>
      <c r="PU615" s="17">
        <v>44925</v>
      </c>
      <c r="PV615" s="5" t="s">
        <v>3728</v>
      </c>
      <c r="PW615" s="17">
        <v>44925</v>
      </c>
      <c r="PX615" s="5" t="s">
        <v>3728</v>
      </c>
      <c r="PY615" s="17">
        <v>44925</v>
      </c>
      <c r="PZ615" s="5" t="s">
        <v>3728</v>
      </c>
      <c r="QA615" s="17">
        <v>44925</v>
      </c>
      <c r="QB615" s="5" t="s">
        <v>3728</v>
      </c>
      <c r="QC615" s="17">
        <v>44925</v>
      </c>
      <c r="QD615" s="5" t="s">
        <v>3728</v>
      </c>
      <c r="QE615" s="17">
        <v>44925</v>
      </c>
      <c r="QF615" s="5" t="s">
        <v>3728</v>
      </c>
      <c r="QG615" s="17">
        <v>44925</v>
      </c>
      <c r="QH615" s="5" t="s">
        <v>3728</v>
      </c>
      <c r="QI615" s="17">
        <v>44925</v>
      </c>
      <c r="QJ615" s="5" t="s">
        <v>3728</v>
      </c>
      <c r="QK615" s="17">
        <v>44925</v>
      </c>
      <c r="QL615" s="5" t="s">
        <v>3728</v>
      </c>
      <c r="QM615" s="17">
        <v>44925</v>
      </c>
      <c r="QN615" s="5" t="s">
        <v>3728</v>
      </c>
      <c r="QO615" s="17">
        <v>44925</v>
      </c>
      <c r="QP615" s="5" t="s">
        <v>3728</v>
      </c>
      <c r="QQ615" s="17">
        <v>44925</v>
      </c>
      <c r="QR615" s="5" t="s">
        <v>3728</v>
      </c>
      <c r="QS615" s="17">
        <v>44925</v>
      </c>
      <c r="QT615" s="5" t="s">
        <v>3728</v>
      </c>
      <c r="QU615" s="17">
        <v>44925</v>
      </c>
      <c r="QV615" s="5" t="s">
        <v>3728</v>
      </c>
      <c r="QW615" s="17">
        <v>44925</v>
      </c>
      <c r="QX615" s="5" t="s">
        <v>3728</v>
      </c>
      <c r="QY615" s="17">
        <v>44925</v>
      </c>
      <c r="QZ615" s="5" t="s">
        <v>3728</v>
      </c>
      <c r="RA615" s="17">
        <v>44925</v>
      </c>
      <c r="RB615" s="5" t="s">
        <v>3728</v>
      </c>
      <c r="RC615" s="17">
        <v>44925</v>
      </c>
      <c r="RD615" s="5" t="s">
        <v>3728</v>
      </c>
      <c r="RE615" s="17">
        <v>44925</v>
      </c>
      <c r="RF615" s="5" t="s">
        <v>3728</v>
      </c>
      <c r="RG615" s="17">
        <v>44925</v>
      </c>
      <c r="RH615" s="5" t="s">
        <v>3728</v>
      </c>
      <c r="RI615" s="17">
        <v>44925</v>
      </c>
      <c r="RJ615" s="5" t="s">
        <v>3728</v>
      </c>
      <c r="RK615" s="17">
        <v>44925</v>
      </c>
      <c r="RL615" s="5" t="s">
        <v>3728</v>
      </c>
      <c r="RM615" s="17">
        <v>44925</v>
      </c>
      <c r="RN615" s="5" t="s">
        <v>3728</v>
      </c>
      <c r="RO615" s="17">
        <v>44925</v>
      </c>
      <c r="RP615" s="5" t="s">
        <v>3728</v>
      </c>
      <c r="RQ615" s="17">
        <v>44925</v>
      </c>
      <c r="RR615" s="5" t="s">
        <v>3728</v>
      </c>
      <c r="RS615" s="17">
        <v>44925</v>
      </c>
      <c r="RT615" s="5" t="s">
        <v>3728</v>
      </c>
      <c r="RU615" s="17">
        <v>44925</v>
      </c>
      <c r="RV615" s="5" t="s">
        <v>3728</v>
      </c>
      <c r="RW615" s="17">
        <v>44925</v>
      </c>
      <c r="RX615" s="5" t="s">
        <v>3728</v>
      </c>
      <c r="RY615" s="17">
        <v>44925</v>
      </c>
      <c r="RZ615" s="5" t="s">
        <v>3728</v>
      </c>
      <c r="SA615" s="17">
        <v>44925</v>
      </c>
      <c r="SB615" s="5" t="s">
        <v>3728</v>
      </c>
      <c r="SC615" s="17">
        <v>44925</v>
      </c>
      <c r="SD615" s="5" t="s">
        <v>3728</v>
      </c>
      <c r="SE615" s="17">
        <v>44925</v>
      </c>
      <c r="SF615" s="5" t="s">
        <v>3728</v>
      </c>
      <c r="SG615" s="17">
        <v>44925</v>
      </c>
      <c r="SH615" s="5" t="s">
        <v>3728</v>
      </c>
      <c r="SI615" s="17">
        <v>44925</v>
      </c>
      <c r="SJ615" s="5" t="s">
        <v>3728</v>
      </c>
      <c r="SK615" s="17">
        <v>44925</v>
      </c>
      <c r="SL615" s="5" t="s">
        <v>3728</v>
      </c>
      <c r="SM615" s="17">
        <v>44925</v>
      </c>
      <c r="SN615" s="5" t="s">
        <v>3728</v>
      </c>
      <c r="SO615" s="17">
        <v>44925</v>
      </c>
      <c r="SP615" s="5" t="s">
        <v>3728</v>
      </c>
      <c r="SQ615" s="17">
        <v>44925</v>
      </c>
      <c r="SR615" s="5" t="s">
        <v>3728</v>
      </c>
      <c r="SS615" s="17">
        <v>44925</v>
      </c>
      <c r="ST615" s="5" t="s">
        <v>3728</v>
      </c>
      <c r="SU615" s="17">
        <v>44925</v>
      </c>
      <c r="SV615" s="5" t="s">
        <v>3728</v>
      </c>
      <c r="SW615" s="17">
        <v>44925</v>
      </c>
      <c r="SX615" s="5" t="s">
        <v>3728</v>
      </c>
      <c r="SY615" s="17">
        <v>44925</v>
      </c>
      <c r="SZ615" s="5" t="s">
        <v>3728</v>
      </c>
      <c r="TA615" s="17">
        <v>44925</v>
      </c>
      <c r="TB615" s="5" t="s">
        <v>3728</v>
      </c>
      <c r="TC615" s="17">
        <v>44925</v>
      </c>
      <c r="TD615" s="5" t="s">
        <v>3728</v>
      </c>
      <c r="TE615" s="17">
        <v>44925</v>
      </c>
      <c r="TF615" s="5" t="s">
        <v>3728</v>
      </c>
      <c r="TG615" s="17">
        <v>44925</v>
      </c>
      <c r="TH615" s="5" t="s">
        <v>3728</v>
      </c>
      <c r="TI615" s="17">
        <v>44925</v>
      </c>
      <c r="TJ615" s="5" t="s">
        <v>3728</v>
      </c>
      <c r="TK615" s="17">
        <v>44925</v>
      </c>
      <c r="TL615" s="5" t="s">
        <v>3728</v>
      </c>
      <c r="TM615" s="17">
        <v>44925</v>
      </c>
      <c r="TN615" s="5" t="s">
        <v>3728</v>
      </c>
      <c r="TO615" s="17">
        <v>44925</v>
      </c>
      <c r="TP615" s="5" t="s">
        <v>3728</v>
      </c>
      <c r="TQ615" s="17">
        <v>44925</v>
      </c>
      <c r="TR615" s="5" t="s">
        <v>3728</v>
      </c>
      <c r="TS615" s="17">
        <v>44925</v>
      </c>
      <c r="TT615" s="5" t="s">
        <v>3728</v>
      </c>
      <c r="TU615" s="17">
        <v>44925</v>
      </c>
      <c r="TV615" s="5" t="s">
        <v>3728</v>
      </c>
      <c r="TW615" s="17">
        <v>44925</v>
      </c>
      <c r="TX615" s="5" t="s">
        <v>3728</v>
      </c>
      <c r="TY615" s="17">
        <v>44925</v>
      </c>
      <c r="TZ615" s="5" t="s">
        <v>3728</v>
      </c>
      <c r="UA615" s="17">
        <v>44925</v>
      </c>
      <c r="UB615" s="5" t="s">
        <v>3728</v>
      </c>
      <c r="UC615" s="17">
        <v>44925</v>
      </c>
      <c r="UD615" s="5" t="s">
        <v>3728</v>
      </c>
      <c r="UE615" s="17">
        <v>44925</v>
      </c>
      <c r="UF615" s="5" t="s">
        <v>3728</v>
      </c>
      <c r="UG615" s="17">
        <v>44925</v>
      </c>
      <c r="UH615" s="5" t="s">
        <v>3728</v>
      </c>
      <c r="UI615" s="17">
        <v>44925</v>
      </c>
      <c r="UJ615" s="5" t="s">
        <v>3728</v>
      </c>
      <c r="UK615" s="17">
        <v>44925</v>
      </c>
      <c r="UL615" s="5" t="s">
        <v>3728</v>
      </c>
      <c r="UM615" s="17">
        <v>44925</v>
      </c>
      <c r="UN615" s="5" t="s">
        <v>3728</v>
      </c>
      <c r="UO615" s="17">
        <v>44925</v>
      </c>
      <c r="UP615" s="5" t="s">
        <v>3728</v>
      </c>
      <c r="UQ615" s="17">
        <v>44925</v>
      </c>
      <c r="UR615" s="5" t="s">
        <v>3728</v>
      </c>
      <c r="US615" s="17">
        <v>44925</v>
      </c>
      <c r="UT615" s="5" t="s">
        <v>3728</v>
      </c>
      <c r="UU615" s="17">
        <v>44925</v>
      </c>
      <c r="UV615" s="5" t="s">
        <v>3728</v>
      </c>
      <c r="UW615" s="17">
        <v>44925</v>
      </c>
      <c r="UX615" s="5" t="s">
        <v>3728</v>
      </c>
      <c r="UY615" s="17">
        <v>44925</v>
      </c>
      <c r="UZ615" s="5" t="s">
        <v>3728</v>
      </c>
      <c r="VA615" s="17">
        <v>44925</v>
      </c>
      <c r="VB615" s="5" t="s">
        <v>3728</v>
      </c>
      <c r="VC615" s="17">
        <v>44925</v>
      </c>
      <c r="VD615" s="5" t="s">
        <v>3728</v>
      </c>
      <c r="VE615" s="17">
        <v>44925</v>
      </c>
      <c r="VF615" s="5" t="s">
        <v>3728</v>
      </c>
      <c r="VG615" s="17">
        <v>44925</v>
      </c>
      <c r="VH615" s="5" t="s">
        <v>3728</v>
      </c>
      <c r="VI615" s="17">
        <v>44925</v>
      </c>
      <c r="VJ615" s="5" t="s">
        <v>3728</v>
      </c>
      <c r="VK615" s="17">
        <v>44925</v>
      </c>
      <c r="VL615" s="5" t="s">
        <v>3728</v>
      </c>
      <c r="VM615" s="17">
        <v>44925</v>
      </c>
      <c r="VN615" s="5" t="s">
        <v>3728</v>
      </c>
      <c r="VO615" s="17">
        <v>44925</v>
      </c>
      <c r="VP615" s="5" t="s">
        <v>3728</v>
      </c>
      <c r="VQ615" s="17">
        <v>44925</v>
      </c>
      <c r="VR615" s="5" t="s">
        <v>3728</v>
      </c>
      <c r="VS615" s="17">
        <v>44925</v>
      </c>
      <c r="VT615" s="5" t="s">
        <v>3728</v>
      </c>
      <c r="VU615" s="17">
        <v>44925</v>
      </c>
      <c r="VV615" s="5" t="s">
        <v>3728</v>
      </c>
      <c r="VW615" s="17">
        <v>44925</v>
      </c>
      <c r="VX615" s="5" t="s">
        <v>3728</v>
      </c>
      <c r="VY615" s="17">
        <v>44925</v>
      </c>
      <c r="VZ615" s="5" t="s">
        <v>3728</v>
      </c>
      <c r="WA615" s="17">
        <v>44925</v>
      </c>
      <c r="WB615" s="5" t="s">
        <v>3728</v>
      </c>
      <c r="WC615" s="17">
        <v>44925</v>
      </c>
      <c r="WD615" s="5" t="s">
        <v>3728</v>
      </c>
      <c r="WE615" s="17">
        <v>44925</v>
      </c>
      <c r="WF615" s="5" t="s">
        <v>3728</v>
      </c>
      <c r="WG615" s="17">
        <v>44925</v>
      </c>
      <c r="WH615" s="5" t="s">
        <v>3728</v>
      </c>
      <c r="WI615" s="17">
        <v>44925</v>
      </c>
      <c r="WJ615" s="5" t="s">
        <v>3728</v>
      </c>
      <c r="WK615" s="17">
        <v>44925</v>
      </c>
      <c r="WL615" s="5" t="s">
        <v>3728</v>
      </c>
      <c r="WM615" s="17">
        <v>44925</v>
      </c>
      <c r="WN615" s="5" t="s">
        <v>3728</v>
      </c>
      <c r="WO615" s="17">
        <v>44925</v>
      </c>
      <c r="WP615" s="5" t="s">
        <v>3728</v>
      </c>
      <c r="WQ615" s="17">
        <v>44925</v>
      </c>
      <c r="WR615" s="5" t="s">
        <v>3728</v>
      </c>
      <c r="WS615" s="17">
        <v>44925</v>
      </c>
      <c r="WT615" s="5" t="s">
        <v>3728</v>
      </c>
      <c r="WU615" s="17">
        <v>44925</v>
      </c>
      <c r="WV615" s="5" t="s">
        <v>3728</v>
      </c>
      <c r="WW615" s="17">
        <v>44925</v>
      </c>
      <c r="WX615" s="5" t="s">
        <v>3728</v>
      </c>
      <c r="WY615" s="17">
        <v>44925</v>
      </c>
      <c r="WZ615" s="5" t="s">
        <v>3728</v>
      </c>
      <c r="XA615" s="17">
        <v>44925</v>
      </c>
      <c r="XB615" s="5" t="s">
        <v>3728</v>
      </c>
      <c r="XC615" s="17">
        <v>44925</v>
      </c>
      <c r="XD615" s="5" t="s">
        <v>3728</v>
      </c>
      <c r="XE615" s="17">
        <v>44925</v>
      </c>
      <c r="XF615" s="5" t="s">
        <v>3728</v>
      </c>
      <c r="XG615" s="17">
        <v>44925</v>
      </c>
      <c r="XH615" s="5" t="s">
        <v>3728</v>
      </c>
      <c r="XI615" s="17">
        <v>44925</v>
      </c>
      <c r="XJ615" s="5" t="s">
        <v>3728</v>
      </c>
      <c r="XK615" s="17">
        <v>44925</v>
      </c>
      <c r="XL615" s="5" t="s">
        <v>3728</v>
      </c>
      <c r="XM615" s="17">
        <v>44925</v>
      </c>
      <c r="XN615" s="5" t="s">
        <v>3728</v>
      </c>
      <c r="XO615" s="17">
        <v>44925</v>
      </c>
      <c r="XP615" s="5" t="s">
        <v>3728</v>
      </c>
      <c r="XQ615" s="17">
        <v>44925</v>
      </c>
      <c r="XR615" s="5" t="s">
        <v>3728</v>
      </c>
      <c r="XS615" s="17">
        <v>44925</v>
      </c>
      <c r="XT615" s="5" t="s">
        <v>3728</v>
      </c>
      <c r="XU615" s="17">
        <v>44925</v>
      </c>
      <c r="XV615" s="5" t="s">
        <v>3728</v>
      </c>
      <c r="XW615" s="17">
        <v>44925</v>
      </c>
      <c r="XX615" s="5" t="s">
        <v>3728</v>
      </c>
      <c r="XY615" s="17">
        <v>44925</v>
      </c>
      <c r="XZ615" s="5" t="s">
        <v>3728</v>
      </c>
      <c r="YA615" s="17">
        <v>44925</v>
      </c>
      <c r="YB615" s="5" t="s">
        <v>3728</v>
      </c>
      <c r="YC615" s="17">
        <v>44925</v>
      </c>
      <c r="YD615" s="5" t="s">
        <v>3728</v>
      </c>
      <c r="YE615" s="17">
        <v>44925</v>
      </c>
      <c r="YF615" s="5" t="s">
        <v>3728</v>
      </c>
      <c r="YG615" s="17">
        <v>44925</v>
      </c>
      <c r="YH615" s="5" t="s">
        <v>3728</v>
      </c>
      <c r="YI615" s="17">
        <v>44925</v>
      </c>
      <c r="YJ615" s="5" t="s">
        <v>3728</v>
      </c>
      <c r="YK615" s="17">
        <v>44925</v>
      </c>
      <c r="YL615" s="5" t="s">
        <v>3728</v>
      </c>
      <c r="YM615" s="17">
        <v>44925</v>
      </c>
      <c r="YN615" s="5" t="s">
        <v>3728</v>
      </c>
      <c r="YO615" s="17">
        <v>44925</v>
      </c>
      <c r="YP615" s="5" t="s">
        <v>3728</v>
      </c>
      <c r="YQ615" s="17">
        <v>44925</v>
      </c>
      <c r="YR615" s="5" t="s">
        <v>3728</v>
      </c>
      <c r="YS615" s="17">
        <v>44925</v>
      </c>
      <c r="YT615" s="5" t="s">
        <v>3728</v>
      </c>
      <c r="YU615" s="17">
        <v>44925</v>
      </c>
      <c r="YV615" s="5" t="s">
        <v>3728</v>
      </c>
      <c r="YW615" s="17">
        <v>44925</v>
      </c>
      <c r="YX615" s="5" t="s">
        <v>3728</v>
      </c>
      <c r="YY615" s="17">
        <v>44925</v>
      </c>
      <c r="YZ615" s="5" t="s">
        <v>3728</v>
      </c>
      <c r="ZA615" s="17">
        <v>44925</v>
      </c>
      <c r="ZB615" s="5" t="s">
        <v>3728</v>
      </c>
      <c r="ZC615" s="17">
        <v>44925</v>
      </c>
      <c r="ZD615" s="5" t="s">
        <v>3728</v>
      </c>
      <c r="ZE615" s="17">
        <v>44925</v>
      </c>
      <c r="ZF615" s="5" t="s">
        <v>3728</v>
      </c>
      <c r="ZG615" s="17">
        <v>44925</v>
      </c>
      <c r="ZH615" s="5" t="s">
        <v>3728</v>
      </c>
      <c r="ZI615" s="17">
        <v>44925</v>
      </c>
      <c r="ZJ615" s="5" t="s">
        <v>3728</v>
      </c>
      <c r="ZK615" s="17">
        <v>44925</v>
      </c>
      <c r="ZL615" s="5" t="s">
        <v>3728</v>
      </c>
      <c r="ZM615" s="17">
        <v>44925</v>
      </c>
      <c r="ZN615" s="5" t="s">
        <v>3728</v>
      </c>
      <c r="ZO615" s="17">
        <v>44925</v>
      </c>
      <c r="ZP615" s="5" t="s">
        <v>3728</v>
      </c>
      <c r="ZQ615" s="17">
        <v>44925</v>
      </c>
      <c r="ZR615" s="5" t="s">
        <v>3728</v>
      </c>
      <c r="ZS615" s="17">
        <v>44925</v>
      </c>
      <c r="ZT615" s="5" t="s">
        <v>3728</v>
      </c>
      <c r="ZU615" s="17">
        <v>44925</v>
      </c>
      <c r="ZV615" s="5" t="s">
        <v>3728</v>
      </c>
      <c r="ZW615" s="17">
        <v>44925</v>
      </c>
      <c r="ZX615" s="5" t="s">
        <v>3728</v>
      </c>
      <c r="ZY615" s="17">
        <v>44925</v>
      </c>
      <c r="ZZ615" s="5" t="s">
        <v>3728</v>
      </c>
      <c r="AAA615" s="17">
        <v>44925</v>
      </c>
      <c r="AAB615" s="5" t="s">
        <v>3728</v>
      </c>
      <c r="AAC615" s="17">
        <v>44925</v>
      </c>
      <c r="AAD615" s="5" t="s">
        <v>3728</v>
      </c>
      <c r="AAE615" s="17">
        <v>44925</v>
      </c>
      <c r="AAF615" s="5" t="s">
        <v>3728</v>
      </c>
      <c r="AAG615" s="17">
        <v>44925</v>
      </c>
      <c r="AAH615" s="5" t="s">
        <v>3728</v>
      </c>
      <c r="AAI615" s="17">
        <v>44925</v>
      </c>
      <c r="AAJ615" s="5" t="s">
        <v>3728</v>
      </c>
      <c r="AAK615" s="17">
        <v>44925</v>
      </c>
      <c r="AAL615" s="5" t="s">
        <v>3728</v>
      </c>
      <c r="AAM615" s="17">
        <v>44925</v>
      </c>
      <c r="AAN615" s="5" t="s">
        <v>3728</v>
      </c>
      <c r="AAO615" s="17">
        <v>44925</v>
      </c>
      <c r="AAP615" s="5" t="s">
        <v>3728</v>
      </c>
      <c r="AAQ615" s="17">
        <v>44925</v>
      </c>
      <c r="AAR615" s="5" t="s">
        <v>3728</v>
      </c>
      <c r="AAS615" s="17">
        <v>44925</v>
      </c>
      <c r="AAT615" s="5" t="s">
        <v>3728</v>
      </c>
      <c r="AAU615" s="17">
        <v>44925</v>
      </c>
      <c r="AAV615" s="5" t="s">
        <v>3728</v>
      </c>
      <c r="AAW615" s="17">
        <v>44925</v>
      </c>
      <c r="AAX615" s="5" t="s">
        <v>3728</v>
      </c>
      <c r="AAY615" s="17">
        <v>44925</v>
      </c>
      <c r="AAZ615" s="5" t="s">
        <v>3728</v>
      </c>
      <c r="ABA615" s="17">
        <v>44925</v>
      </c>
      <c r="ABB615" s="5" t="s">
        <v>3728</v>
      </c>
      <c r="ABC615" s="17">
        <v>44925</v>
      </c>
      <c r="ABD615" s="5" t="s">
        <v>3728</v>
      </c>
      <c r="ABE615" s="17">
        <v>44925</v>
      </c>
      <c r="ABF615" s="5" t="s">
        <v>3728</v>
      </c>
      <c r="ABG615" s="17">
        <v>44925</v>
      </c>
      <c r="ABH615" s="5" t="s">
        <v>3728</v>
      </c>
      <c r="ABI615" s="17">
        <v>44925</v>
      </c>
      <c r="ABJ615" s="5" t="s">
        <v>3728</v>
      </c>
      <c r="ABK615" s="17">
        <v>44925</v>
      </c>
      <c r="ABL615" s="5" t="s">
        <v>3728</v>
      </c>
      <c r="ABM615" s="17">
        <v>44925</v>
      </c>
      <c r="ABN615" s="5" t="s">
        <v>3728</v>
      </c>
      <c r="ABO615" s="17">
        <v>44925</v>
      </c>
      <c r="ABP615" s="5" t="s">
        <v>3728</v>
      </c>
      <c r="ABQ615" s="17">
        <v>44925</v>
      </c>
      <c r="ABR615" s="5" t="s">
        <v>3728</v>
      </c>
      <c r="ABS615" s="17">
        <v>44925</v>
      </c>
      <c r="ABT615" s="5" t="s">
        <v>3728</v>
      </c>
      <c r="ABU615" s="17">
        <v>44925</v>
      </c>
      <c r="ABV615" s="5" t="s">
        <v>3728</v>
      </c>
      <c r="ABW615" s="17">
        <v>44925</v>
      </c>
      <c r="ABX615" s="5" t="s">
        <v>3728</v>
      </c>
      <c r="ABY615" s="17">
        <v>44925</v>
      </c>
      <c r="ABZ615" s="5" t="s">
        <v>3728</v>
      </c>
      <c r="ACA615" s="17">
        <v>44925</v>
      </c>
      <c r="ACB615" s="5" t="s">
        <v>3728</v>
      </c>
      <c r="ACC615" s="17">
        <v>44925</v>
      </c>
      <c r="ACD615" s="5" t="s">
        <v>3728</v>
      </c>
      <c r="ACE615" s="17">
        <v>44925</v>
      </c>
      <c r="ACF615" s="5" t="s">
        <v>3728</v>
      </c>
      <c r="ACG615" s="17">
        <v>44925</v>
      </c>
      <c r="ACH615" s="5" t="s">
        <v>3728</v>
      </c>
      <c r="ACI615" s="17">
        <v>44925</v>
      </c>
      <c r="ACJ615" s="5" t="s">
        <v>3728</v>
      </c>
      <c r="ACK615" s="17">
        <v>44925</v>
      </c>
      <c r="ACL615" s="5" t="s">
        <v>3728</v>
      </c>
      <c r="ACM615" s="17">
        <v>44925</v>
      </c>
      <c r="ACN615" s="5" t="s">
        <v>3728</v>
      </c>
      <c r="ACO615" s="17">
        <v>44925</v>
      </c>
      <c r="ACP615" s="5" t="s">
        <v>3728</v>
      </c>
      <c r="ACQ615" s="17">
        <v>44925</v>
      </c>
      <c r="ACR615" s="5" t="s">
        <v>3728</v>
      </c>
      <c r="ACS615" s="17">
        <v>44925</v>
      </c>
      <c r="ACT615" s="5" t="s">
        <v>3728</v>
      </c>
      <c r="ACU615" s="17">
        <v>44925</v>
      </c>
      <c r="ACV615" s="5" t="s">
        <v>3728</v>
      </c>
      <c r="ACW615" s="17">
        <v>44925</v>
      </c>
      <c r="ACX615" s="5" t="s">
        <v>3728</v>
      </c>
      <c r="ACY615" s="17">
        <v>44925</v>
      </c>
      <c r="ACZ615" s="5" t="s">
        <v>3728</v>
      </c>
      <c r="ADA615" s="17">
        <v>44925</v>
      </c>
      <c r="ADB615" s="5" t="s">
        <v>3728</v>
      </c>
      <c r="ADC615" s="17">
        <v>44925</v>
      </c>
      <c r="ADD615" s="5" t="s">
        <v>3728</v>
      </c>
      <c r="ADE615" s="17">
        <v>44925</v>
      </c>
      <c r="ADF615" s="5" t="s">
        <v>3728</v>
      </c>
      <c r="ADG615" s="17">
        <v>44925</v>
      </c>
      <c r="ADH615" s="5" t="s">
        <v>3728</v>
      </c>
      <c r="ADI615" s="17">
        <v>44925</v>
      </c>
      <c r="ADJ615" s="5" t="s">
        <v>3728</v>
      </c>
      <c r="ADK615" s="17">
        <v>44925</v>
      </c>
      <c r="ADL615" s="5" t="s">
        <v>3728</v>
      </c>
      <c r="ADM615" s="17">
        <v>44925</v>
      </c>
      <c r="ADN615" s="5" t="s">
        <v>3728</v>
      </c>
      <c r="ADO615" s="17">
        <v>44925</v>
      </c>
      <c r="ADP615" s="5" t="s">
        <v>3728</v>
      </c>
      <c r="ADQ615" s="17">
        <v>44925</v>
      </c>
      <c r="ADR615" s="5" t="s">
        <v>3728</v>
      </c>
      <c r="ADS615" s="17">
        <v>44925</v>
      </c>
      <c r="ADT615" s="5" t="s">
        <v>3728</v>
      </c>
      <c r="ADU615" s="17">
        <v>44925</v>
      </c>
      <c r="ADV615" s="5" t="s">
        <v>3728</v>
      </c>
      <c r="ADW615" s="17">
        <v>44925</v>
      </c>
      <c r="ADX615" s="5" t="s">
        <v>3728</v>
      </c>
      <c r="ADY615" s="17">
        <v>44925</v>
      </c>
      <c r="ADZ615" s="5" t="s">
        <v>3728</v>
      </c>
      <c r="AEA615" s="17">
        <v>44925</v>
      </c>
      <c r="AEB615" s="5" t="s">
        <v>3728</v>
      </c>
      <c r="AEC615" s="17">
        <v>44925</v>
      </c>
      <c r="AED615" s="5" t="s">
        <v>3728</v>
      </c>
      <c r="AEE615" s="17">
        <v>44925</v>
      </c>
      <c r="AEF615" s="5" t="s">
        <v>3728</v>
      </c>
      <c r="AEG615" s="17">
        <v>44925</v>
      </c>
      <c r="AEH615" s="5" t="s">
        <v>3728</v>
      </c>
      <c r="AEI615" s="17">
        <v>44925</v>
      </c>
      <c r="AEJ615" s="5" t="s">
        <v>3728</v>
      </c>
      <c r="AEK615" s="17">
        <v>44925</v>
      </c>
      <c r="AEL615" s="5" t="s">
        <v>3728</v>
      </c>
      <c r="AEM615" s="17">
        <v>44925</v>
      </c>
      <c r="AEN615" s="5" t="s">
        <v>3728</v>
      </c>
      <c r="AEO615" s="17">
        <v>44925</v>
      </c>
      <c r="AEP615" s="5" t="s">
        <v>3728</v>
      </c>
      <c r="AEQ615" s="17">
        <v>44925</v>
      </c>
      <c r="AER615" s="5" t="s">
        <v>3728</v>
      </c>
      <c r="AES615" s="17">
        <v>44925</v>
      </c>
      <c r="AET615" s="5" t="s">
        <v>3728</v>
      </c>
      <c r="AEU615" s="17">
        <v>44925</v>
      </c>
      <c r="AEV615" s="5" t="s">
        <v>3728</v>
      </c>
      <c r="AEW615" s="17">
        <v>44925</v>
      </c>
      <c r="AEX615" s="5" t="s">
        <v>3728</v>
      </c>
      <c r="AEY615" s="17">
        <v>44925</v>
      </c>
      <c r="AEZ615" s="5" t="s">
        <v>3728</v>
      </c>
      <c r="AFA615" s="17">
        <v>44925</v>
      </c>
      <c r="AFB615" s="5" t="s">
        <v>3728</v>
      </c>
      <c r="AFC615" s="17">
        <v>44925</v>
      </c>
      <c r="AFD615" s="5" t="s">
        <v>3728</v>
      </c>
      <c r="AFE615" s="17">
        <v>44925</v>
      </c>
      <c r="AFF615" s="5" t="s">
        <v>3728</v>
      </c>
      <c r="AFG615" s="17">
        <v>44925</v>
      </c>
      <c r="AFH615" s="5" t="s">
        <v>3728</v>
      </c>
      <c r="AFI615" s="17">
        <v>44925</v>
      </c>
      <c r="AFJ615" s="5" t="s">
        <v>3728</v>
      </c>
      <c r="AFK615" s="17">
        <v>44925</v>
      </c>
      <c r="AFL615" s="5" t="s">
        <v>3728</v>
      </c>
      <c r="AFM615" s="17">
        <v>44925</v>
      </c>
      <c r="AFN615" s="5" t="s">
        <v>3728</v>
      </c>
      <c r="AFO615" s="17">
        <v>44925</v>
      </c>
      <c r="AFP615" s="5" t="s">
        <v>3728</v>
      </c>
      <c r="AFQ615" s="17">
        <v>44925</v>
      </c>
      <c r="AFR615" s="5" t="s">
        <v>3728</v>
      </c>
      <c r="AFS615" s="17">
        <v>44925</v>
      </c>
      <c r="AFT615" s="5" t="s">
        <v>3728</v>
      </c>
      <c r="AFU615" s="17">
        <v>44925</v>
      </c>
      <c r="AFV615" s="5" t="s">
        <v>3728</v>
      </c>
      <c r="AFW615" s="17">
        <v>44925</v>
      </c>
      <c r="AFX615" s="5" t="s">
        <v>3728</v>
      </c>
      <c r="AFY615" s="17">
        <v>44925</v>
      </c>
      <c r="AFZ615" s="5" t="s">
        <v>3728</v>
      </c>
      <c r="AGA615" s="17">
        <v>44925</v>
      </c>
      <c r="AGB615" s="5" t="s">
        <v>3728</v>
      </c>
      <c r="AGC615" s="17">
        <v>44925</v>
      </c>
      <c r="AGD615" s="5" t="s">
        <v>3728</v>
      </c>
      <c r="AGE615" s="17">
        <v>44925</v>
      </c>
      <c r="AGF615" s="5" t="s">
        <v>3728</v>
      </c>
      <c r="AGG615" s="17">
        <v>44925</v>
      </c>
      <c r="AGH615" s="5" t="s">
        <v>3728</v>
      </c>
      <c r="AGI615" s="17">
        <v>44925</v>
      </c>
      <c r="AGJ615" s="5" t="s">
        <v>3728</v>
      </c>
      <c r="AGK615" s="17">
        <v>44925</v>
      </c>
      <c r="AGL615" s="5" t="s">
        <v>3728</v>
      </c>
      <c r="AGM615" s="17">
        <v>44925</v>
      </c>
      <c r="AGN615" s="5" t="s">
        <v>3728</v>
      </c>
      <c r="AGO615" s="17">
        <v>44925</v>
      </c>
      <c r="AGP615" s="5" t="s">
        <v>3728</v>
      </c>
      <c r="AGQ615" s="17">
        <v>44925</v>
      </c>
      <c r="AGR615" s="5" t="s">
        <v>3728</v>
      </c>
      <c r="AGS615" s="17">
        <v>44925</v>
      </c>
      <c r="AGT615" s="5" t="s">
        <v>3728</v>
      </c>
      <c r="AGU615" s="17">
        <v>44925</v>
      </c>
      <c r="AGV615" s="5" t="s">
        <v>3728</v>
      </c>
      <c r="AGW615" s="17">
        <v>44925</v>
      </c>
      <c r="AGX615" s="5" t="s">
        <v>3728</v>
      </c>
      <c r="AGY615" s="17">
        <v>44925</v>
      </c>
      <c r="AGZ615" s="5" t="s">
        <v>3728</v>
      </c>
      <c r="AHA615" s="17">
        <v>44925</v>
      </c>
      <c r="AHB615" s="5" t="s">
        <v>3728</v>
      </c>
      <c r="AHC615" s="17">
        <v>44925</v>
      </c>
      <c r="AHD615" s="5" t="s">
        <v>3728</v>
      </c>
      <c r="AHE615" s="17">
        <v>44925</v>
      </c>
      <c r="AHF615" s="5" t="s">
        <v>3728</v>
      </c>
      <c r="AHG615" s="17">
        <v>44925</v>
      </c>
      <c r="AHH615" s="5" t="s">
        <v>3728</v>
      </c>
      <c r="AHI615" s="17">
        <v>44925</v>
      </c>
      <c r="AHJ615" s="5" t="s">
        <v>3728</v>
      </c>
      <c r="AHK615" s="17">
        <v>44925</v>
      </c>
      <c r="AHL615" s="5" t="s">
        <v>3728</v>
      </c>
      <c r="AHM615" s="17">
        <v>44925</v>
      </c>
      <c r="AHN615" s="5" t="s">
        <v>3728</v>
      </c>
      <c r="AHO615" s="17">
        <v>44925</v>
      </c>
      <c r="AHP615" s="5" t="s">
        <v>3728</v>
      </c>
      <c r="AHQ615" s="17">
        <v>44925</v>
      </c>
      <c r="AHR615" s="5" t="s">
        <v>3728</v>
      </c>
      <c r="AHS615" s="17">
        <v>44925</v>
      </c>
      <c r="AHT615" s="5" t="s">
        <v>3728</v>
      </c>
      <c r="AHU615" s="17">
        <v>44925</v>
      </c>
      <c r="AHV615" s="5" t="s">
        <v>3728</v>
      </c>
      <c r="AHW615" s="17">
        <v>44925</v>
      </c>
      <c r="AHX615" s="5" t="s">
        <v>3728</v>
      </c>
      <c r="AHY615" s="17">
        <v>44925</v>
      </c>
      <c r="AHZ615" s="5" t="s">
        <v>3728</v>
      </c>
      <c r="AIA615" s="17">
        <v>44925</v>
      </c>
      <c r="AIB615" s="5" t="s">
        <v>3728</v>
      </c>
      <c r="AIC615" s="17">
        <v>44925</v>
      </c>
      <c r="AID615" s="5" t="s">
        <v>3728</v>
      </c>
      <c r="AIE615" s="17">
        <v>44925</v>
      </c>
      <c r="AIF615" s="5" t="s">
        <v>3728</v>
      </c>
      <c r="AIG615" s="17">
        <v>44925</v>
      </c>
      <c r="AIH615" s="5" t="s">
        <v>3728</v>
      </c>
      <c r="AII615" s="17">
        <v>44925</v>
      </c>
      <c r="AIJ615" s="5" t="s">
        <v>3728</v>
      </c>
      <c r="AIK615" s="17">
        <v>44925</v>
      </c>
      <c r="AIL615" s="5" t="s">
        <v>3728</v>
      </c>
      <c r="AIM615" s="17">
        <v>44925</v>
      </c>
      <c r="AIN615" s="5" t="s">
        <v>3728</v>
      </c>
      <c r="AIO615" s="17">
        <v>44925</v>
      </c>
      <c r="AIP615" s="5" t="s">
        <v>3728</v>
      </c>
      <c r="AIQ615" s="17">
        <v>44925</v>
      </c>
      <c r="AIR615" s="5" t="s">
        <v>3728</v>
      </c>
      <c r="AIS615" s="17">
        <v>44925</v>
      </c>
      <c r="AIT615" s="5" t="s">
        <v>3728</v>
      </c>
      <c r="AIU615" s="17">
        <v>44925</v>
      </c>
      <c r="AIV615" s="5" t="s">
        <v>3728</v>
      </c>
      <c r="AIW615" s="17">
        <v>44925</v>
      </c>
      <c r="AIX615" s="5" t="s">
        <v>3728</v>
      </c>
      <c r="AIY615" s="17">
        <v>44925</v>
      </c>
      <c r="AIZ615" s="5" t="s">
        <v>3728</v>
      </c>
      <c r="AJA615" s="17">
        <v>44925</v>
      </c>
      <c r="AJB615" s="5" t="s">
        <v>3728</v>
      </c>
      <c r="AJC615" s="17">
        <v>44925</v>
      </c>
      <c r="AJD615" s="5" t="s">
        <v>3728</v>
      </c>
      <c r="AJE615" s="17">
        <v>44925</v>
      </c>
      <c r="AJF615" s="5" t="s">
        <v>3728</v>
      </c>
      <c r="AJG615" s="17">
        <v>44925</v>
      </c>
      <c r="AJH615" s="5" t="s">
        <v>3728</v>
      </c>
      <c r="AJI615" s="17">
        <v>44925</v>
      </c>
      <c r="AJJ615" s="5" t="s">
        <v>3728</v>
      </c>
      <c r="AJK615" s="17">
        <v>44925</v>
      </c>
      <c r="AJL615" s="5" t="s">
        <v>3728</v>
      </c>
      <c r="AJM615" s="17">
        <v>44925</v>
      </c>
      <c r="AJN615" s="5" t="s">
        <v>3728</v>
      </c>
      <c r="AJO615" s="17">
        <v>44925</v>
      </c>
      <c r="AJP615" s="5" t="s">
        <v>3728</v>
      </c>
      <c r="AJQ615" s="17">
        <v>44925</v>
      </c>
      <c r="AJR615" s="5" t="s">
        <v>3728</v>
      </c>
      <c r="AJS615" s="17">
        <v>44925</v>
      </c>
      <c r="AJT615" s="5" t="s">
        <v>3728</v>
      </c>
      <c r="AJU615" s="17">
        <v>44925</v>
      </c>
      <c r="AJV615" s="5" t="s">
        <v>3728</v>
      </c>
      <c r="AJW615" s="17">
        <v>44925</v>
      </c>
      <c r="AJX615" s="5" t="s">
        <v>3728</v>
      </c>
      <c r="AJY615" s="17">
        <v>44925</v>
      </c>
      <c r="AJZ615" s="5" t="s">
        <v>3728</v>
      </c>
      <c r="AKA615" s="17">
        <v>44925</v>
      </c>
      <c r="AKB615" s="5" t="s">
        <v>3728</v>
      </c>
      <c r="AKC615" s="17">
        <v>44925</v>
      </c>
      <c r="AKD615" s="5" t="s">
        <v>3728</v>
      </c>
      <c r="AKE615" s="17">
        <v>44925</v>
      </c>
      <c r="AKF615" s="5" t="s">
        <v>3728</v>
      </c>
      <c r="AKG615" s="17">
        <v>44925</v>
      </c>
      <c r="AKH615" s="5" t="s">
        <v>3728</v>
      </c>
      <c r="AKI615" s="17">
        <v>44925</v>
      </c>
      <c r="AKJ615" s="5" t="s">
        <v>3728</v>
      </c>
      <c r="AKK615" s="17">
        <v>44925</v>
      </c>
      <c r="AKL615" s="5" t="s">
        <v>3728</v>
      </c>
      <c r="AKM615" s="17">
        <v>44925</v>
      </c>
      <c r="AKN615" s="5" t="s">
        <v>3728</v>
      </c>
      <c r="AKO615" s="17">
        <v>44925</v>
      </c>
      <c r="AKP615" s="5" t="s">
        <v>3728</v>
      </c>
      <c r="AKQ615" s="17">
        <v>44925</v>
      </c>
      <c r="AKR615" s="5" t="s">
        <v>3728</v>
      </c>
      <c r="AKS615" s="17">
        <v>44925</v>
      </c>
      <c r="AKT615" s="5" t="s">
        <v>3728</v>
      </c>
      <c r="AKU615" s="17">
        <v>44925</v>
      </c>
      <c r="AKV615" s="5" t="s">
        <v>3728</v>
      </c>
      <c r="AKW615" s="17">
        <v>44925</v>
      </c>
      <c r="AKX615" s="5" t="s">
        <v>3728</v>
      </c>
      <c r="AKY615" s="17">
        <v>44925</v>
      </c>
      <c r="AKZ615" s="5" t="s">
        <v>3728</v>
      </c>
      <c r="ALA615" s="17">
        <v>44925</v>
      </c>
      <c r="ALB615" s="5" t="s">
        <v>3728</v>
      </c>
      <c r="ALC615" s="17">
        <v>44925</v>
      </c>
      <c r="ALD615" s="5" t="s">
        <v>3728</v>
      </c>
      <c r="ALE615" s="17">
        <v>44925</v>
      </c>
      <c r="ALF615" s="5" t="s">
        <v>3728</v>
      </c>
      <c r="ALG615" s="17">
        <v>44925</v>
      </c>
      <c r="ALH615" s="5" t="s">
        <v>3728</v>
      </c>
      <c r="ALI615" s="17">
        <v>44925</v>
      </c>
      <c r="ALJ615" s="5" t="s">
        <v>3728</v>
      </c>
      <c r="ALK615" s="17">
        <v>44925</v>
      </c>
      <c r="ALL615" s="5" t="s">
        <v>3728</v>
      </c>
      <c r="ALM615" s="17">
        <v>44925</v>
      </c>
      <c r="ALN615" s="5" t="s">
        <v>3728</v>
      </c>
      <c r="ALO615" s="17">
        <v>44925</v>
      </c>
      <c r="ALP615" s="5" t="s">
        <v>3728</v>
      </c>
      <c r="ALQ615" s="17">
        <v>44925</v>
      </c>
      <c r="ALR615" s="5" t="s">
        <v>3728</v>
      </c>
      <c r="ALS615" s="17">
        <v>44925</v>
      </c>
      <c r="ALT615" s="5" t="s">
        <v>3728</v>
      </c>
      <c r="ALU615" s="17">
        <v>44925</v>
      </c>
      <c r="ALV615" s="5" t="s">
        <v>3728</v>
      </c>
      <c r="ALW615" s="17">
        <v>44925</v>
      </c>
      <c r="ALX615" s="5" t="s">
        <v>3728</v>
      </c>
      <c r="ALY615" s="17">
        <v>44925</v>
      </c>
      <c r="ALZ615" s="5" t="s">
        <v>3728</v>
      </c>
      <c r="AMA615" s="17">
        <v>44925</v>
      </c>
      <c r="AMB615" s="5" t="s">
        <v>3728</v>
      </c>
      <c r="AMC615" s="17">
        <v>44925</v>
      </c>
      <c r="AMD615" s="5" t="s">
        <v>3728</v>
      </c>
      <c r="AME615" s="17">
        <v>44925</v>
      </c>
      <c r="AMF615" s="5" t="s">
        <v>3728</v>
      </c>
      <c r="AMG615" s="17">
        <v>44925</v>
      </c>
      <c r="AMH615" s="5" t="s">
        <v>3728</v>
      </c>
      <c r="AMI615" s="17">
        <v>44925</v>
      </c>
      <c r="AMJ615" s="5" t="s">
        <v>3728</v>
      </c>
      <c r="AMK615" s="17">
        <v>44925</v>
      </c>
      <c r="AML615" s="5" t="s">
        <v>3728</v>
      </c>
      <c r="AMM615" s="17">
        <v>44925</v>
      </c>
      <c r="AMN615" s="5" t="s">
        <v>3728</v>
      </c>
      <c r="AMO615" s="17">
        <v>44925</v>
      </c>
      <c r="AMP615" s="5" t="s">
        <v>3728</v>
      </c>
      <c r="AMQ615" s="17">
        <v>44925</v>
      </c>
      <c r="AMR615" s="5" t="s">
        <v>3728</v>
      </c>
      <c r="AMS615" s="17">
        <v>44925</v>
      </c>
      <c r="AMT615" s="5" t="s">
        <v>3728</v>
      </c>
      <c r="AMU615" s="17">
        <v>44925</v>
      </c>
      <c r="AMV615" s="5" t="s">
        <v>3728</v>
      </c>
      <c r="AMW615" s="17">
        <v>44925</v>
      </c>
      <c r="AMX615" s="5" t="s">
        <v>3728</v>
      </c>
      <c r="AMY615" s="17">
        <v>44925</v>
      </c>
      <c r="AMZ615" s="5" t="s">
        <v>3728</v>
      </c>
      <c r="ANA615" s="17">
        <v>44925</v>
      </c>
      <c r="ANB615" s="5" t="s">
        <v>3728</v>
      </c>
      <c r="ANC615" s="17">
        <v>44925</v>
      </c>
      <c r="AND615" s="5" t="s">
        <v>3728</v>
      </c>
      <c r="ANE615" s="17">
        <v>44925</v>
      </c>
      <c r="ANF615" s="5" t="s">
        <v>3728</v>
      </c>
      <c r="ANG615" s="17">
        <v>44925</v>
      </c>
      <c r="ANH615" s="5" t="s">
        <v>3728</v>
      </c>
      <c r="ANI615" s="17">
        <v>44925</v>
      </c>
      <c r="ANJ615" s="5" t="s">
        <v>3728</v>
      </c>
      <c r="ANK615" s="17">
        <v>44925</v>
      </c>
      <c r="ANL615" s="5" t="s">
        <v>3728</v>
      </c>
      <c r="ANM615" s="17">
        <v>44925</v>
      </c>
      <c r="ANN615" s="5" t="s">
        <v>3728</v>
      </c>
      <c r="ANO615" s="17">
        <v>44925</v>
      </c>
      <c r="ANP615" s="5" t="s">
        <v>3728</v>
      </c>
      <c r="ANQ615" s="17">
        <v>44925</v>
      </c>
      <c r="ANR615" s="5" t="s">
        <v>3728</v>
      </c>
      <c r="ANS615" s="17">
        <v>44925</v>
      </c>
      <c r="ANT615" s="5" t="s">
        <v>3728</v>
      </c>
      <c r="ANU615" s="17">
        <v>44925</v>
      </c>
      <c r="ANV615" s="5" t="s">
        <v>3728</v>
      </c>
      <c r="ANW615" s="17">
        <v>44925</v>
      </c>
      <c r="ANX615" s="5" t="s">
        <v>3728</v>
      </c>
      <c r="ANY615" s="17">
        <v>44925</v>
      </c>
      <c r="ANZ615" s="5" t="s">
        <v>3728</v>
      </c>
      <c r="AOA615" s="17">
        <v>44925</v>
      </c>
      <c r="AOB615" s="5" t="s">
        <v>3728</v>
      </c>
      <c r="AOC615" s="17">
        <v>44925</v>
      </c>
      <c r="AOD615" s="5" t="s">
        <v>3728</v>
      </c>
      <c r="AOE615" s="17">
        <v>44925</v>
      </c>
      <c r="AOF615" s="5" t="s">
        <v>3728</v>
      </c>
      <c r="AOG615" s="17">
        <v>44925</v>
      </c>
      <c r="AOH615" s="5" t="s">
        <v>3728</v>
      </c>
      <c r="AOI615" s="17">
        <v>44925</v>
      </c>
      <c r="AOJ615" s="5" t="s">
        <v>3728</v>
      </c>
      <c r="AOK615" s="17">
        <v>44925</v>
      </c>
      <c r="AOL615" s="5" t="s">
        <v>3728</v>
      </c>
      <c r="AOM615" s="17">
        <v>44925</v>
      </c>
      <c r="AON615" s="5" t="s">
        <v>3728</v>
      </c>
      <c r="AOO615" s="17">
        <v>44925</v>
      </c>
      <c r="AOP615" s="5" t="s">
        <v>3728</v>
      </c>
      <c r="AOQ615" s="17">
        <v>44925</v>
      </c>
      <c r="AOR615" s="5" t="s">
        <v>3728</v>
      </c>
      <c r="AOS615" s="17">
        <v>44925</v>
      </c>
      <c r="AOT615" s="5" t="s">
        <v>3728</v>
      </c>
      <c r="AOU615" s="17">
        <v>44925</v>
      </c>
      <c r="AOV615" s="5" t="s">
        <v>3728</v>
      </c>
      <c r="AOW615" s="17">
        <v>44925</v>
      </c>
      <c r="AOX615" s="5" t="s">
        <v>3728</v>
      </c>
      <c r="AOY615" s="17">
        <v>44925</v>
      </c>
      <c r="AOZ615" s="5" t="s">
        <v>3728</v>
      </c>
      <c r="APA615" s="17">
        <v>44925</v>
      </c>
      <c r="APB615" s="5" t="s">
        <v>3728</v>
      </c>
      <c r="APC615" s="17">
        <v>44925</v>
      </c>
      <c r="APD615" s="5" t="s">
        <v>3728</v>
      </c>
      <c r="APE615" s="17">
        <v>44925</v>
      </c>
      <c r="APF615" s="5" t="s">
        <v>3728</v>
      </c>
      <c r="APG615" s="17">
        <v>44925</v>
      </c>
      <c r="APH615" s="5" t="s">
        <v>3728</v>
      </c>
      <c r="API615" s="17">
        <v>44925</v>
      </c>
      <c r="APJ615" s="5" t="s">
        <v>3728</v>
      </c>
      <c r="APK615" s="17">
        <v>44925</v>
      </c>
      <c r="APL615" s="5" t="s">
        <v>3728</v>
      </c>
      <c r="APM615" s="17">
        <v>44925</v>
      </c>
      <c r="APN615" s="5" t="s">
        <v>3728</v>
      </c>
      <c r="APO615" s="17">
        <v>44925</v>
      </c>
      <c r="APP615" s="5" t="s">
        <v>3728</v>
      </c>
      <c r="APQ615" s="17">
        <v>44925</v>
      </c>
      <c r="APR615" s="5" t="s">
        <v>3728</v>
      </c>
      <c r="APS615" s="17">
        <v>44925</v>
      </c>
      <c r="APT615" s="5" t="s">
        <v>3728</v>
      </c>
      <c r="APU615" s="17">
        <v>44925</v>
      </c>
      <c r="APV615" s="5" t="s">
        <v>3728</v>
      </c>
      <c r="APW615" s="17">
        <v>44925</v>
      </c>
      <c r="APX615" s="5" t="s">
        <v>3728</v>
      </c>
      <c r="APY615" s="17">
        <v>44925</v>
      </c>
      <c r="APZ615" s="5" t="s">
        <v>3728</v>
      </c>
      <c r="AQA615" s="17">
        <v>44925</v>
      </c>
      <c r="AQB615" s="5" t="s">
        <v>3728</v>
      </c>
      <c r="AQC615" s="17">
        <v>44925</v>
      </c>
      <c r="AQD615" s="5" t="s">
        <v>3728</v>
      </c>
      <c r="AQE615" s="17">
        <v>44925</v>
      </c>
      <c r="AQF615" s="5" t="s">
        <v>3728</v>
      </c>
      <c r="AQG615" s="17">
        <v>44925</v>
      </c>
      <c r="AQH615" s="5" t="s">
        <v>3728</v>
      </c>
      <c r="AQI615" s="17">
        <v>44925</v>
      </c>
      <c r="AQJ615" s="5" t="s">
        <v>3728</v>
      </c>
      <c r="AQK615" s="17">
        <v>44925</v>
      </c>
      <c r="AQL615" s="5" t="s">
        <v>3728</v>
      </c>
      <c r="AQM615" s="17">
        <v>44925</v>
      </c>
      <c r="AQN615" s="5" t="s">
        <v>3728</v>
      </c>
      <c r="AQO615" s="17">
        <v>44925</v>
      </c>
      <c r="AQP615" s="5" t="s">
        <v>3728</v>
      </c>
      <c r="AQQ615" s="17">
        <v>44925</v>
      </c>
      <c r="AQR615" s="5" t="s">
        <v>3728</v>
      </c>
      <c r="AQS615" s="17">
        <v>44925</v>
      </c>
      <c r="AQT615" s="5" t="s">
        <v>3728</v>
      </c>
      <c r="AQU615" s="17">
        <v>44925</v>
      </c>
      <c r="AQV615" s="5" t="s">
        <v>3728</v>
      </c>
      <c r="AQW615" s="17">
        <v>44925</v>
      </c>
      <c r="AQX615" s="5" t="s">
        <v>3728</v>
      </c>
      <c r="AQY615" s="17">
        <v>44925</v>
      </c>
      <c r="AQZ615" s="5" t="s">
        <v>3728</v>
      </c>
      <c r="ARA615" s="17">
        <v>44925</v>
      </c>
      <c r="ARB615" s="5" t="s">
        <v>3728</v>
      </c>
      <c r="ARC615" s="17">
        <v>44925</v>
      </c>
      <c r="ARD615" s="5" t="s">
        <v>3728</v>
      </c>
      <c r="ARE615" s="17">
        <v>44925</v>
      </c>
      <c r="ARF615" s="5" t="s">
        <v>3728</v>
      </c>
      <c r="ARG615" s="17">
        <v>44925</v>
      </c>
      <c r="ARH615" s="5" t="s">
        <v>3728</v>
      </c>
      <c r="ARI615" s="17">
        <v>44925</v>
      </c>
      <c r="ARJ615" s="5" t="s">
        <v>3728</v>
      </c>
      <c r="ARK615" s="17">
        <v>44925</v>
      </c>
      <c r="ARL615" s="5" t="s">
        <v>3728</v>
      </c>
      <c r="ARM615" s="17">
        <v>44925</v>
      </c>
      <c r="ARN615" s="5" t="s">
        <v>3728</v>
      </c>
      <c r="ARO615" s="17">
        <v>44925</v>
      </c>
      <c r="ARP615" s="5" t="s">
        <v>3728</v>
      </c>
      <c r="ARQ615" s="17">
        <v>44925</v>
      </c>
      <c r="ARR615" s="5" t="s">
        <v>3728</v>
      </c>
      <c r="ARS615" s="17">
        <v>44925</v>
      </c>
      <c r="ART615" s="5" t="s">
        <v>3728</v>
      </c>
      <c r="ARU615" s="17">
        <v>44925</v>
      </c>
      <c r="ARV615" s="5" t="s">
        <v>3728</v>
      </c>
      <c r="ARW615" s="17">
        <v>44925</v>
      </c>
      <c r="ARX615" s="5" t="s">
        <v>3728</v>
      </c>
      <c r="ARY615" s="17">
        <v>44925</v>
      </c>
      <c r="ARZ615" s="5" t="s">
        <v>3728</v>
      </c>
      <c r="ASA615" s="17">
        <v>44925</v>
      </c>
      <c r="ASB615" s="5" t="s">
        <v>3728</v>
      </c>
      <c r="ASC615" s="17">
        <v>44925</v>
      </c>
      <c r="ASD615" s="5" t="s">
        <v>3728</v>
      </c>
      <c r="ASE615" s="17">
        <v>44925</v>
      </c>
      <c r="ASF615" s="5" t="s">
        <v>3728</v>
      </c>
      <c r="ASG615" s="17">
        <v>44925</v>
      </c>
      <c r="ASH615" s="5" t="s">
        <v>3728</v>
      </c>
      <c r="ASI615" s="17">
        <v>44925</v>
      </c>
      <c r="ASJ615" s="5" t="s">
        <v>3728</v>
      </c>
      <c r="ASK615" s="17">
        <v>44925</v>
      </c>
      <c r="ASL615" s="5" t="s">
        <v>3728</v>
      </c>
      <c r="ASM615" s="17">
        <v>44925</v>
      </c>
      <c r="ASN615" s="5" t="s">
        <v>3728</v>
      </c>
      <c r="ASO615" s="17">
        <v>44925</v>
      </c>
      <c r="ASP615" s="5" t="s">
        <v>3728</v>
      </c>
      <c r="ASQ615" s="17">
        <v>44925</v>
      </c>
      <c r="ASR615" s="5" t="s">
        <v>3728</v>
      </c>
      <c r="ASS615" s="17">
        <v>44925</v>
      </c>
      <c r="AST615" s="5" t="s">
        <v>3728</v>
      </c>
      <c r="ASU615" s="17">
        <v>44925</v>
      </c>
      <c r="ASV615" s="5" t="s">
        <v>3728</v>
      </c>
      <c r="ASW615" s="17">
        <v>44925</v>
      </c>
      <c r="ASX615" s="5" t="s">
        <v>3728</v>
      </c>
      <c r="ASY615" s="17">
        <v>44925</v>
      </c>
      <c r="ASZ615" s="5" t="s">
        <v>3728</v>
      </c>
      <c r="ATA615" s="17">
        <v>44925</v>
      </c>
      <c r="ATB615" s="5" t="s">
        <v>3728</v>
      </c>
      <c r="ATC615" s="17">
        <v>44925</v>
      </c>
      <c r="ATD615" s="5" t="s">
        <v>3728</v>
      </c>
      <c r="ATE615" s="17">
        <v>44925</v>
      </c>
      <c r="ATF615" s="5" t="s">
        <v>3728</v>
      </c>
      <c r="ATG615" s="17">
        <v>44925</v>
      </c>
      <c r="ATH615" s="5" t="s">
        <v>3728</v>
      </c>
      <c r="ATI615" s="17">
        <v>44925</v>
      </c>
      <c r="ATJ615" s="5" t="s">
        <v>3728</v>
      </c>
      <c r="ATK615" s="17">
        <v>44925</v>
      </c>
      <c r="ATL615" s="5" t="s">
        <v>3728</v>
      </c>
      <c r="ATM615" s="17">
        <v>44925</v>
      </c>
      <c r="ATN615" s="5" t="s">
        <v>3728</v>
      </c>
      <c r="ATO615" s="17">
        <v>44925</v>
      </c>
      <c r="ATP615" s="5" t="s">
        <v>3728</v>
      </c>
      <c r="ATQ615" s="17">
        <v>44925</v>
      </c>
      <c r="ATR615" s="5" t="s">
        <v>3728</v>
      </c>
      <c r="ATS615" s="17">
        <v>44925</v>
      </c>
      <c r="ATT615" s="5" t="s">
        <v>3728</v>
      </c>
      <c r="ATU615" s="17">
        <v>44925</v>
      </c>
      <c r="ATV615" s="5" t="s">
        <v>3728</v>
      </c>
      <c r="ATW615" s="17">
        <v>44925</v>
      </c>
      <c r="ATX615" s="5" t="s">
        <v>3728</v>
      </c>
      <c r="ATY615" s="17">
        <v>44925</v>
      </c>
      <c r="ATZ615" s="5" t="s">
        <v>3728</v>
      </c>
      <c r="AUA615" s="17">
        <v>44925</v>
      </c>
      <c r="AUB615" s="5" t="s">
        <v>3728</v>
      </c>
      <c r="AUC615" s="17">
        <v>44925</v>
      </c>
      <c r="AUD615" s="5" t="s">
        <v>3728</v>
      </c>
      <c r="AUE615" s="17">
        <v>44925</v>
      </c>
      <c r="AUF615" s="5" t="s">
        <v>3728</v>
      </c>
      <c r="AUG615" s="17">
        <v>44925</v>
      </c>
      <c r="AUH615" s="5" t="s">
        <v>3728</v>
      </c>
      <c r="AUI615" s="17">
        <v>44925</v>
      </c>
      <c r="AUJ615" s="5" t="s">
        <v>3728</v>
      </c>
      <c r="AUK615" s="17">
        <v>44925</v>
      </c>
      <c r="AUL615" s="5" t="s">
        <v>3728</v>
      </c>
      <c r="AUM615" s="17">
        <v>44925</v>
      </c>
      <c r="AUN615" s="5" t="s">
        <v>3728</v>
      </c>
      <c r="AUO615" s="17">
        <v>44925</v>
      </c>
      <c r="AUP615" s="5" t="s">
        <v>3728</v>
      </c>
      <c r="AUQ615" s="17">
        <v>44925</v>
      </c>
      <c r="AUR615" s="5" t="s">
        <v>3728</v>
      </c>
      <c r="AUS615" s="17">
        <v>44925</v>
      </c>
      <c r="AUT615" s="5" t="s">
        <v>3728</v>
      </c>
      <c r="AUU615" s="17">
        <v>44925</v>
      </c>
      <c r="AUV615" s="5" t="s">
        <v>3728</v>
      </c>
      <c r="AUW615" s="17">
        <v>44925</v>
      </c>
      <c r="AUX615" s="5" t="s">
        <v>3728</v>
      </c>
      <c r="AUY615" s="17">
        <v>44925</v>
      </c>
      <c r="AUZ615" s="5" t="s">
        <v>3728</v>
      </c>
      <c r="AVA615" s="17">
        <v>44925</v>
      </c>
      <c r="AVB615" s="5" t="s">
        <v>3728</v>
      </c>
      <c r="AVC615" s="17">
        <v>44925</v>
      </c>
      <c r="AVD615" s="5" t="s">
        <v>3728</v>
      </c>
      <c r="AVE615" s="17">
        <v>44925</v>
      </c>
      <c r="AVF615" s="5" t="s">
        <v>3728</v>
      </c>
      <c r="AVG615" s="17">
        <v>44925</v>
      </c>
      <c r="AVH615" s="5" t="s">
        <v>3728</v>
      </c>
      <c r="AVI615" s="17">
        <v>44925</v>
      </c>
      <c r="AVJ615" s="5" t="s">
        <v>3728</v>
      </c>
      <c r="AVK615" s="17">
        <v>44925</v>
      </c>
      <c r="AVL615" s="5" t="s">
        <v>3728</v>
      </c>
      <c r="AVM615" s="17">
        <v>44925</v>
      </c>
      <c r="AVN615" s="5" t="s">
        <v>3728</v>
      </c>
      <c r="AVO615" s="17">
        <v>44925</v>
      </c>
      <c r="AVP615" s="5" t="s">
        <v>3728</v>
      </c>
      <c r="AVQ615" s="17">
        <v>44925</v>
      </c>
      <c r="AVR615" s="5" t="s">
        <v>3728</v>
      </c>
      <c r="AVS615" s="17">
        <v>44925</v>
      </c>
      <c r="AVT615" s="5" t="s">
        <v>3728</v>
      </c>
      <c r="AVU615" s="17">
        <v>44925</v>
      </c>
      <c r="AVV615" s="5" t="s">
        <v>3728</v>
      </c>
      <c r="AVW615" s="17">
        <v>44925</v>
      </c>
      <c r="AVX615" s="5" t="s">
        <v>3728</v>
      </c>
      <c r="AVY615" s="17">
        <v>44925</v>
      </c>
      <c r="AVZ615" s="5" t="s">
        <v>3728</v>
      </c>
      <c r="AWA615" s="17">
        <v>44925</v>
      </c>
      <c r="AWB615" s="5" t="s">
        <v>3728</v>
      </c>
      <c r="AWC615" s="17">
        <v>44925</v>
      </c>
      <c r="AWD615" s="5" t="s">
        <v>3728</v>
      </c>
      <c r="AWE615" s="17">
        <v>44925</v>
      </c>
      <c r="AWF615" s="5" t="s">
        <v>3728</v>
      </c>
      <c r="AWG615" s="17">
        <v>44925</v>
      </c>
      <c r="AWH615" s="5" t="s">
        <v>3728</v>
      </c>
      <c r="AWI615" s="17">
        <v>44925</v>
      </c>
      <c r="AWJ615" s="5" t="s">
        <v>3728</v>
      </c>
      <c r="AWK615" s="17">
        <v>44925</v>
      </c>
      <c r="AWL615" s="5" t="s">
        <v>3728</v>
      </c>
      <c r="AWM615" s="17">
        <v>44925</v>
      </c>
      <c r="AWN615" s="5" t="s">
        <v>3728</v>
      </c>
      <c r="AWO615" s="17">
        <v>44925</v>
      </c>
      <c r="AWP615" s="5" t="s">
        <v>3728</v>
      </c>
      <c r="AWQ615" s="17">
        <v>44925</v>
      </c>
      <c r="AWR615" s="5" t="s">
        <v>3728</v>
      </c>
      <c r="AWS615" s="17">
        <v>44925</v>
      </c>
      <c r="AWT615" s="5" t="s">
        <v>3728</v>
      </c>
      <c r="AWU615" s="17">
        <v>44925</v>
      </c>
      <c r="AWV615" s="5" t="s">
        <v>3728</v>
      </c>
      <c r="AWW615" s="17">
        <v>44925</v>
      </c>
      <c r="AWX615" s="5" t="s">
        <v>3728</v>
      </c>
      <c r="AWY615" s="17">
        <v>44925</v>
      </c>
      <c r="AWZ615" s="5" t="s">
        <v>3728</v>
      </c>
      <c r="AXA615" s="17">
        <v>44925</v>
      </c>
      <c r="AXB615" s="5" t="s">
        <v>3728</v>
      </c>
      <c r="AXC615" s="17">
        <v>44925</v>
      </c>
      <c r="AXD615" s="5" t="s">
        <v>3728</v>
      </c>
      <c r="AXE615" s="17">
        <v>44925</v>
      </c>
      <c r="AXF615" s="5" t="s">
        <v>3728</v>
      </c>
      <c r="AXG615" s="17">
        <v>44925</v>
      </c>
      <c r="AXH615" s="5" t="s">
        <v>3728</v>
      </c>
      <c r="AXI615" s="17">
        <v>44925</v>
      </c>
      <c r="AXJ615" s="5" t="s">
        <v>3728</v>
      </c>
      <c r="AXK615" s="17">
        <v>44925</v>
      </c>
      <c r="AXL615" s="5" t="s">
        <v>3728</v>
      </c>
      <c r="AXM615" s="17">
        <v>44925</v>
      </c>
      <c r="AXN615" s="5" t="s">
        <v>3728</v>
      </c>
      <c r="AXO615" s="17">
        <v>44925</v>
      </c>
      <c r="AXP615" s="5" t="s">
        <v>3728</v>
      </c>
      <c r="AXQ615" s="17">
        <v>44925</v>
      </c>
      <c r="AXR615" s="5" t="s">
        <v>3728</v>
      </c>
      <c r="AXS615" s="17">
        <v>44925</v>
      </c>
      <c r="AXT615" s="5" t="s">
        <v>3728</v>
      </c>
      <c r="AXU615" s="17">
        <v>44925</v>
      </c>
      <c r="AXV615" s="5" t="s">
        <v>3728</v>
      </c>
      <c r="AXW615" s="17">
        <v>44925</v>
      </c>
      <c r="AXX615" s="5" t="s">
        <v>3728</v>
      </c>
      <c r="AXY615" s="17">
        <v>44925</v>
      </c>
      <c r="AXZ615" s="5" t="s">
        <v>3728</v>
      </c>
      <c r="AYA615" s="17">
        <v>44925</v>
      </c>
      <c r="AYB615" s="5" t="s">
        <v>3728</v>
      </c>
      <c r="AYC615" s="17">
        <v>44925</v>
      </c>
      <c r="AYD615" s="5" t="s">
        <v>3728</v>
      </c>
      <c r="AYE615" s="17">
        <v>44925</v>
      </c>
      <c r="AYF615" s="5" t="s">
        <v>3728</v>
      </c>
      <c r="AYG615" s="17">
        <v>44925</v>
      </c>
      <c r="AYH615" s="5" t="s">
        <v>3728</v>
      </c>
      <c r="AYI615" s="17">
        <v>44925</v>
      </c>
      <c r="AYJ615" s="5" t="s">
        <v>3728</v>
      </c>
      <c r="AYK615" s="17">
        <v>44925</v>
      </c>
      <c r="AYL615" s="5" t="s">
        <v>3728</v>
      </c>
      <c r="AYM615" s="17">
        <v>44925</v>
      </c>
      <c r="AYN615" s="5" t="s">
        <v>3728</v>
      </c>
      <c r="AYO615" s="17">
        <v>44925</v>
      </c>
      <c r="AYP615" s="5" t="s">
        <v>3728</v>
      </c>
      <c r="AYQ615" s="17">
        <v>44925</v>
      </c>
      <c r="AYR615" s="5" t="s">
        <v>3728</v>
      </c>
      <c r="AYS615" s="17">
        <v>44925</v>
      </c>
      <c r="AYT615" s="5" t="s">
        <v>3728</v>
      </c>
      <c r="AYU615" s="17">
        <v>44925</v>
      </c>
      <c r="AYV615" s="5" t="s">
        <v>3728</v>
      </c>
      <c r="AYW615" s="17">
        <v>44925</v>
      </c>
      <c r="AYX615" s="5" t="s">
        <v>3728</v>
      </c>
      <c r="AYY615" s="17">
        <v>44925</v>
      </c>
      <c r="AYZ615" s="5" t="s">
        <v>3728</v>
      </c>
      <c r="AZA615" s="17">
        <v>44925</v>
      </c>
      <c r="AZB615" s="5" t="s">
        <v>3728</v>
      </c>
      <c r="AZC615" s="17">
        <v>44925</v>
      </c>
      <c r="AZD615" s="5" t="s">
        <v>3728</v>
      </c>
      <c r="AZE615" s="17">
        <v>44925</v>
      </c>
      <c r="AZF615" s="5" t="s">
        <v>3728</v>
      </c>
      <c r="AZG615" s="17">
        <v>44925</v>
      </c>
      <c r="AZH615" s="5" t="s">
        <v>3728</v>
      </c>
      <c r="AZI615" s="17">
        <v>44925</v>
      </c>
      <c r="AZJ615" s="5" t="s">
        <v>3728</v>
      </c>
      <c r="AZK615" s="17">
        <v>44925</v>
      </c>
      <c r="AZL615" s="5" t="s">
        <v>3728</v>
      </c>
      <c r="AZM615" s="17">
        <v>44925</v>
      </c>
      <c r="AZN615" s="5" t="s">
        <v>3728</v>
      </c>
      <c r="AZO615" s="17">
        <v>44925</v>
      </c>
      <c r="AZP615" s="5" t="s">
        <v>3728</v>
      </c>
      <c r="AZQ615" s="17">
        <v>44925</v>
      </c>
      <c r="AZR615" s="5" t="s">
        <v>3728</v>
      </c>
      <c r="AZS615" s="17">
        <v>44925</v>
      </c>
      <c r="AZT615" s="5" t="s">
        <v>3728</v>
      </c>
      <c r="AZU615" s="17">
        <v>44925</v>
      </c>
      <c r="AZV615" s="5" t="s">
        <v>3728</v>
      </c>
      <c r="AZW615" s="17">
        <v>44925</v>
      </c>
      <c r="AZX615" s="5" t="s">
        <v>3728</v>
      </c>
      <c r="AZY615" s="17">
        <v>44925</v>
      </c>
      <c r="AZZ615" s="5" t="s">
        <v>3728</v>
      </c>
      <c r="BAA615" s="17">
        <v>44925</v>
      </c>
      <c r="BAB615" s="5" t="s">
        <v>3728</v>
      </c>
      <c r="BAC615" s="17">
        <v>44925</v>
      </c>
      <c r="BAD615" s="5" t="s">
        <v>3728</v>
      </c>
      <c r="BAE615" s="17">
        <v>44925</v>
      </c>
      <c r="BAF615" s="5" t="s">
        <v>3728</v>
      </c>
      <c r="BAG615" s="17">
        <v>44925</v>
      </c>
      <c r="BAH615" s="5" t="s">
        <v>3728</v>
      </c>
      <c r="BAI615" s="17">
        <v>44925</v>
      </c>
      <c r="BAJ615" s="5" t="s">
        <v>3728</v>
      </c>
      <c r="BAK615" s="17">
        <v>44925</v>
      </c>
      <c r="BAL615" s="5" t="s">
        <v>3728</v>
      </c>
      <c r="BAM615" s="17">
        <v>44925</v>
      </c>
      <c r="BAN615" s="5" t="s">
        <v>3728</v>
      </c>
      <c r="BAO615" s="17">
        <v>44925</v>
      </c>
      <c r="BAP615" s="5" t="s">
        <v>3728</v>
      </c>
      <c r="BAQ615" s="17">
        <v>44925</v>
      </c>
      <c r="BAR615" s="5" t="s">
        <v>3728</v>
      </c>
      <c r="BAS615" s="17">
        <v>44925</v>
      </c>
      <c r="BAT615" s="5" t="s">
        <v>3728</v>
      </c>
      <c r="BAU615" s="17">
        <v>44925</v>
      </c>
      <c r="BAV615" s="5" t="s">
        <v>3728</v>
      </c>
      <c r="BAW615" s="17">
        <v>44925</v>
      </c>
      <c r="BAX615" s="5" t="s">
        <v>3728</v>
      </c>
      <c r="BAY615" s="17">
        <v>44925</v>
      </c>
      <c r="BAZ615" s="5" t="s">
        <v>3728</v>
      </c>
      <c r="BBA615" s="17">
        <v>44925</v>
      </c>
      <c r="BBB615" s="5" t="s">
        <v>3728</v>
      </c>
      <c r="BBC615" s="17">
        <v>44925</v>
      </c>
      <c r="BBD615" s="5" t="s">
        <v>3728</v>
      </c>
      <c r="BBE615" s="17">
        <v>44925</v>
      </c>
      <c r="BBF615" s="5" t="s">
        <v>3728</v>
      </c>
      <c r="BBG615" s="17">
        <v>44925</v>
      </c>
      <c r="BBH615" s="5" t="s">
        <v>3728</v>
      </c>
      <c r="BBI615" s="17">
        <v>44925</v>
      </c>
      <c r="BBJ615" s="5" t="s">
        <v>3728</v>
      </c>
      <c r="BBK615" s="17">
        <v>44925</v>
      </c>
      <c r="BBL615" s="5" t="s">
        <v>3728</v>
      </c>
      <c r="BBM615" s="17">
        <v>44925</v>
      </c>
      <c r="BBN615" s="5" t="s">
        <v>3728</v>
      </c>
      <c r="BBO615" s="17">
        <v>44925</v>
      </c>
      <c r="BBP615" s="5" t="s">
        <v>3728</v>
      </c>
      <c r="BBQ615" s="17">
        <v>44925</v>
      </c>
      <c r="BBR615" s="5" t="s">
        <v>3728</v>
      </c>
      <c r="BBS615" s="17">
        <v>44925</v>
      </c>
      <c r="BBT615" s="5" t="s">
        <v>3728</v>
      </c>
      <c r="BBU615" s="17">
        <v>44925</v>
      </c>
      <c r="BBV615" s="5" t="s">
        <v>3728</v>
      </c>
      <c r="BBW615" s="17">
        <v>44925</v>
      </c>
      <c r="BBX615" s="5" t="s">
        <v>3728</v>
      </c>
      <c r="BBY615" s="17">
        <v>44925</v>
      </c>
      <c r="BBZ615" s="5" t="s">
        <v>3728</v>
      </c>
      <c r="BCA615" s="17">
        <v>44925</v>
      </c>
      <c r="BCB615" s="5" t="s">
        <v>3728</v>
      </c>
      <c r="BCC615" s="17">
        <v>44925</v>
      </c>
      <c r="BCD615" s="5" t="s">
        <v>3728</v>
      </c>
      <c r="BCE615" s="17">
        <v>44925</v>
      </c>
      <c r="BCF615" s="5" t="s">
        <v>3728</v>
      </c>
      <c r="BCG615" s="17">
        <v>44925</v>
      </c>
      <c r="BCH615" s="5" t="s">
        <v>3728</v>
      </c>
      <c r="BCI615" s="17">
        <v>44925</v>
      </c>
      <c r="BCJ615" s="5" t="s">
        <v>3728</v>
      </c>
      <c r="BCK615" s="17">
        <v>44925</v>
      </c>
      <c r="BCL615" s="5" t="s">
        <v>3728</v>
      </c>
      <c r="BCM615" s="17">
        <v>44925</v>
      </c>
      <c r="BCN615" s="5" t="s">
        <v>3728</v>
      </c>
      <c r="BCO615" s="17">
        <v>44925</v>
      </c>
      <c r="BCP615" s="5" t="s">
        <v>3728</v>
      </c>
      <c r="BCQ615" s="17">
        <v>44925</v>
      </c>
      <c r="BCR615" s="5" t="s">
        <v>3728</v>
      </c>
      <c r="BCS615" s="17">
        <v>44925</v>
      </c>
      <c r="BCT615" s="5" t="s">
        <v>3728</v>
      </c>
      <c r="BCU615" s="17">
        <v>44925</v>
      </c>
      <c r="BCV615" s="5" t="s">
        <v>3728</v>
      </c>
      <c r="BCW615" s="17">
        <v>44925</v>
      </c>
      <c r="BCX615" s="5" t="s">
        <v>3728</v>
      </c>
      <c r="BCY615" s="17">
        <v>44925</v>
      </c>
      <c r="BCZ615" s="5" t="s">
        <v>3728</v>
      </c>
      <c r="BDA615" s="17">
        <v>44925</v>
      </c>
      <c r="BDB615" s="5" t="s">
        <v>3728</v>
      </c>
      <c r="BDC615" s="17">
        <v>44925</v>
      </c>
      <c r="BDD615" s="5" t="s">
        <v>3728</v>
      </c>
      <c r="BDE615" s="17">
        <v>44925</v>
      </c>
      <c r="BDF615" s="5" t="s">
        <v>3728</v>
      </c>
      <c r="BDG615" s="17">
        <v>44925</v>
      </c>
      <c r="BDH615" s="5" t="s">
        <v>3728</v>
      </c>
      <c r="BDI615" s="17">
        <v>44925</v>
      </c>
      <c r="BDJ615" s="5" t="s">
        <v>3728</v>
      </c>
      <c r="BDK615" s="17">
        <v>44925</v>
      </c>
      <c r="BDL615" s="5" t="s">
        <v>3728</v>
      </c>
      <c r="BDM615" s="17">
        <v>44925</v>
      </c>
      <c r="BDN615" s="5" t="s">
        <v>3728</v>
      </c>
      <c r="BDO615" s="17">
        <v>44925</v>
      </c>
      <c r="BDP615" s="5" t="s">
        <v>3728</v>
      </c>
      <c r="BDQ615" s="17">
        <v>44925</v>
      </c>
      <c r="BDR615" s="5" t="s">
        <v>3728</v>
      </c>
      <c r="BDS615" s="17">
        <v>44925</v>
      </c>
      <c r="BDT615" s="5" t="s">
        <v>3728</v>
      </c>
      <c r="BDU615" s="17">
        <v>44925</v>
      </c>
      <c r="BDV615" s="5" t="s">
        <v>3728</v>
      </c>
      <c r="BDW615" s="17">
        <v>44925</v>
      </c>
      <c r="BDX615" s="5" t="s">
        <v>3728</v>
      </c>
      <c r="BDY615" s="17">
        <v>44925</v>
      </c>
      <c r="BDZ615" s="5" t="s">
        <v>3728</v>
      </c>
      <c r="BEA615" s="17">
        <v>44925</v>
      </c>
      <c r="BEB615" s="5" t="s">
        <v>3728</v>
      </c>
      <c r="BEC615" s="17">
        <v>44925</v>
      </c>
      <c r="BED615" s="5" t="s">
        <v>3728</v>
      </c>
      <c r="BEE615" s="17">
        <v>44925</v>
      </c>
      <c r="BEF615" s="5" t="s">
        <v>3728</v>
      </c>
      <c r="BEG615" s="17">
        <v>44925</v>
      </c>
      <c r="BEH615" s="5" t="s">
        <v>3728</v>
      </c>
      <c r="BEI615" s="17">
        <v>44925</v>
      </c>
      <c r="BEJ615" s="5" t="s">
        <v>3728</v>
      </c>
      <c r="BEK615" s="17">
        <v>44925</v>
      </c>
      <c r="BEL615" s="5" t="s">
        <v>3728</v>
      </c>
      <c r="BEM615" s="17">
        <v>44925</v>
      </c>
      <c r="BEN615" s="5" t="s">
        <v>3728</v>
      </c>
      <c r="BEO615" s="17">
        <v>44925</v>
      </c>
      <c r="BEP615" s="5" t="s">
        <v>3728</v>
      </c>
      <c r="BEQ615" s="17">
        <v>44925</v>
      </c>
      <c r="BER615" s="5" t="s">
        <v>3728</v>
      </c>
      <c r="BES615" s="17">
        <v>44925</v>
      </c>
      <c r="BET615" s="5" t="s">
        <v>3728</v>
      </c>
      <c r="BEU615" s="17">
        <v>44925</v>
      </c>
      <c r="BEV615" s="5" t="s">
        <v>3728</v>
      </c>
      <c r="BEW615" s="17">
        <v>44925</v>
      </c>
      <c r="BEX615" s="5" t="s">
        <v>3728</v>
      </c>
      <c r="BEY615" s="17">
        <v>44925</v>
      </c>
      <c r="BEZ615" s="5" t="s">
        <v>3728</v>
      </c>
      <c r="BFA615" s="17">
        <v>44925</v>
      </c>
      <c r="BFB615" s="5" t="s">
        <v>3728</v>
      </c>
      <c r="BFC615" s="17">
        <v>44925</v>
      </c>
      <c r="BFD615" s="5" t="s">
        <v>3728</v>
      </c>
      <c r="BFE615" s="17">
        <v>44925</v>
      </c>
      <c r="BFF615" s="5" t="s">
        <v>3728</v>
      </c>
      <c r="BFG615" s="17">
        <v>44925</v>
      </c>
      <c r="BFH615" s="5" t="s">
        <v>3728</v>
      </c>
      <c r="BFI615" s="17">
        <v>44925</v>
      </c>
      <c r="BFJ615" s="5" t="s">
        <v>3728</v>
      </c>
      <c r="BFK615" s="17">
        <v>44925</v>
      </c>
      <c r="BFL615" s="5" t="s">
        <v>3728</v>
      </c>
      <c r="BFM615" s="17">
        <v>44925</v>
      </c>
      <c r="BFN615" s="5" t="s">
        <v>3728</v>
      </c>
      <c r="BFO615" s="17">
        <v>44925</v>
      </c>
      <c r="BFP615" s="5" t="s">
        <v>3728</v>
      </c>
      <c r="BFQ615" s="17">
        <v>44925</v>
      </c>
      <c r="BFR615" s="5" t="s">
        <v>3728</v>
      </c>
      <c r="BFS615" s="17">
        <v>44925</v>
      </c>
      <c r="BFT615" s="5" t="s">
        <v>3728</v>
      </c>
      <c r="BFU615" s="17">
        <v>44925</v>
      </c>
      <c r="BFV615" s="5" t="s">
        <v>3728</v>
      </c>
      <c r="BFW615" s="17">
        <v>44925</v>
      </c>
      <c r="BFX615" s="5" t="s">
        <v>3728</v>
      </c>
      <c r="BFY615" s="17">
        <v>44925</v>
      </c>
      <c r="BFZ615" s="5" t="s">
        <v>3728</v>
      </c>
      <c r="BGA615" s="17">
        <v>44925</v>
      </c>
      <c r="BGB615" s="5" t="s">
        <v>3728</v>
      </c>
      <c r="BGC615" s="17">
        <v>44925</v>
      </c>
      <c r="BGD615" s="5" t="s">
        <v>3728</v>
      </c>
      <c r="BGE615" s="17">
        <v>44925</v>
      </c>
      <c r="BGF615" s="5" t="s">
        <v>3728</v>
      </c>
      <c r="BGG615" s="17">
        <v>44925</v>
      </c>
      <c r="BGH615" s="5" t="s">
        <v>3728</v>
      </c>
      <c r="BGI615" s="17">
        <v>44925</v>
      </c>
      <c r="BGJ615" s="5" t="s">
        <v>3728</v>
      </c>
      <c r="BGK615" s="17">
        <v>44925</v>
      </c>
      <c r="BGL615" s="5" t="s">
        <v>3728</v>
      </c>
      <c r="BGM615" s="17">
        <v>44925</v>
      </c>
      <c r="BGN615" s="5" t="s">
        <v>3728</v>
      </c>
      <c r="BGO615" s="17">
        <v>44925</v>
      </c>
      <c r="BGP615" s="5" t="s">
        <v>3728</v>
      </c>
      <c r="BGQ615" s="17">
        <v>44925</v>
      </c>
      <c r="BGR615" s="5" t="s">
        <v>3728</v>
      </c>
      <c r="BGS615" s="17">
        <v>44925</v>
      </c>
      <c r="BGT615" s="5" t="s">
        <v>3728</v>
      </c>
      <c r="BGU615" s="17">
        <v>44925</v>
      </c>
      <c r="BGV615" s="5" t="s">
        <v>3728</v>
      </c>
      <c r="BGW615" s="17">
        <v>44925</v>
      </c>
      <c r="BGX615" s="5" t="s">
        <v>3728</v>
      </c>
      <c r="BGY615" s="17">
        <v>44925</v>
      </c>
      <c r="BGZ615" s="5" t="s">
        <v>3728</v>
      </c>
      <c r="BHA615" s="17">
        <v>44925</v>
      </c>
      <c r="BHB615" s="5" t="s">
        <v>3728</v>
      </c>
      <c r="BHC615" s="17">
        <v>44925</v>
      </c>
      <c r="BHD615" s="5" t="s">
        <v>3728</v>
      </c>
      <c r="BHE615" s="17">
        <v>44925</v>
      </c>
      <c r="BHF615" s="5" t="s">
        <v>3728</v>
      </c>
      <c r="BHG615" s="17">
        <v>44925</v>
      </c>
      <c r="BHH615" s="5" t="s">
        <v>3728</v>
      </c>
      <c r="BHI615" s="17">
        <v>44925</v>
      </c>
      <c r="BHJ615" s="5" t="s">
        <v>3728</v>
      </c>
      <c r="BHK615" s="17">
        <v>44925</v>
      </c>
      <c r="BHL615" s="5" t="s">
        <v>3728</v>
      </c>
      <c r="BHM615" s="17">
        <v>44925</v>
      </c>
      <c r="BHN615" s="5" t="s">
        <v>3728</v>
      </c>
      <c r="BHO615" s="17">
        <v>44925</v>
      </c>
      <c r="BHP615" s="5" t="s">
        <v>3728</v>
      </c>
      <c r="BHQ615" s="17">
        <v>44925</v>
      </c>
      <c r="BHR615" s="5" t="s">
        <v>3728</v>
      </c>
      <c r="BHS615" s="17">
        <v>44925</v>
      </c>
      <c r="BHT615" s="5" t="s">
        <v>3728</v>
      </c>
      <c r="BHU615" s="17">
        <v>44925</v>
      </c>
      <c r="BHV615" s="5" t="s">
        <v>3728</v>
      </c>
      <c r="BHW615" s="17">
        <v>44925</v>
      </c>
      <c r="BHX615" s="5" t="s">
        <v>3728</v>
      </c>
      <c r="BHY615" s="17">
        <v>44925</v>
      </c>
      <c r="BHZ615" s="5" t="s">
        <v>3728</v>
      </c>
      <c r="BIA615" s="17">
        <v>44925</v>
      </c>
      <c r="BIB615" s="5" t="s">
        <v>3728</v>
      </c>
      <c r="BIC615" s="17">
        <v>44925</v>
      </c>
      <c r="BID615" s="5" t="s">
        <v>3728</v>
      </c>
      <c r="BIE615" s="17">
        <v>44925</v>
      </c>
      <c r="BIF615" s="5" t="s">
        <v>3728</v>
      </c>
      <c r="BIG615" s="17">
        <v>44925</v>
      </c>
      <c r="BIH615" s="5" t="s">
        <v>3728</v>
      </c>
      <c r="BII615" s="17">
        <v>44925</v>
      </c>
      <c r="BIJ615" s="5" t="s">
        <v>3728</v>
      </c>
      <c r="BIK615" s="17">
        <v>44925</v>
      </c>
      <c r="BIL615" s="5" t="s">
        <v>3728</v>
      </c>
      <c r="BIM615" s="17">
        <v>44925</v>
      </c>
      <c r="BIN615" s="5" t="s">
        <v>3728</v>
      </c>
      <c r="BIO615" s="17">
        <v>44925</v>
      </c>
      <c r="BIP615" s="5" t="s">
        <v>3728</v>
      </c>
      <c r="BIQ615" s="17">
        <v>44925</v>
      </c>
      <c r="BIR615" s="5" t="s">
        <v>3728</v>
      </c>
      <c r="BIS615" s="17">
        <v>44925</v>
      </c>
      <c r="BIT615" s="5" t="s">
        <v>3728</v>
      </c>
      <c r="BIU615" s="17">
        <v>44925</v>
      </c>
      <c r="BIV615" s="5" t="s">
        <v>3728</v>
      </c>
      <c r="BIW615" s="17">
        <v>44925</v>
      </c>
      <c r="BIX615" s="5" t="s">
        <v>3728</v>
      </c>
      <c r="BIY615" s="17">
        <v>44925</v>
      </c>
      <c r="BIZ615" s="5" t="s">
        <v>3728</v>
      </c>
      <c r="BJA615" s="17">
        <v>44925</v>
      </c>
      <c r="BJB615" s="5" t="s">
        <v>3728</v>
      </c>
      <c r="BJC615" s="17">
        <v>44925</v>
      </c>
      <c r="BJD615" s="5" t="s">
        <v>3728</v>
      </c>
      <c r="BJE615" s="17">
        <v>44925</v>
      </c>
      <c r="BJF615" s="5" t="s">
        <v>3728</v>
      </c>
      <c r="BJG615" s="17">
        <v>44925</v>
      </c>
      <c r="BJH615" s="5" t="s">
        <v>3728</v>
      </c>
      <c r="BJI615" s="17">
        <v>44925</v>
      </c>
      <c r="BJJ615" s="5" t="s">
        <v>3728</v>
      </c>
      <c r="BJK615" s="17">
        <v>44925</v>
      </c>
      <c r="BJL615" s="5" t="s">
        <v>3728</v>
      </c>
      <c r="BJM615" s="17">
        <v>44925</v>
      </c>
      <c r="BJN615" s="5" t="s">
        <v>3728</v>
      </c>
      <c r="BJO615" s="17">
        <v>44925</v>
      </c>
      <c r="BJP615" s="5" t="s">
        <v>3728</v>
      </c>
      <c r="BJQ615" s="17">
        <v>44925</v>
      </c>
      <c r="BJR615" s="5" t="s">
        <v>3728</v>
      </c>
      <c r="BJS615" s="17">
        <v>44925</v>
      </c>
      <c r="BJT615" s="5" t="s">
        <v>3728</v>
      </c>
      <c r="BJU615" s="17">
        <v>44925</v>
      </c>
      <c r="BJV615" s="5" t="s">
        <v>3728</v>
      </c>
      <c r="BJW615" s="17">
        <v>44925</v>
      </c>
      <c r="BJX615" s="5" t="s">
        <v>3728</v>
      </c>
      <c r="BJY615" s="17">
        <v>44925</v>
      </c>
      <c r="BJZ615" s="5" t="s">
        <v>3728</v>
      </c>
      <c r="BKA615" s="17">
        <v>44925</v>
      </c>
      <c r="BKB615" s="5" t="s">
        <v>3728</v>
      </c>
      <c r="BKC615" s="17">
        <v>44925</v>
      </c>
      <c r="BKD615" s="5" t="s">
        <v>3728</v>
      </c>
      <c r="BKE615" s="17">
        <v>44925</v>
      </c>
      <c r="BKF615" s="5" t="s">
        <v>3728</v>
      </c>
      <c r="BKG615" s="17">
        <v>44925</v>
      </c>
      <c r="BKH615" s="5" t="s">
        <v>3728</v>
      </c>
      <c r="BKI615" s="17">
        <v>44925</v>
      </c>
      <c r="BKJ615" s="5" t="s">
        <v>3728</v>
      </c>
      <c r="BKK615" s="17">
        <v>44925</v>
      </c>
      <c r="BKL615" s="5" t="s">
        <v>3728</v>
      </c>
      <c r="BKM615" s="17">
        <v>44925</v>
      </c>
      <c r="BKN615" s="5" t="s">
        <v>3728</v>
      </c>
      <c r="BKO615" s="17">
        <v>44925</v>
      </c>
      <c r="BKP615" s="5" t="s">
        <v>3728</v>
      </c>
      <c r="BKQ615" s="17">
        <v>44925</v>
      </c>
      <c r="BKR615" s="5" t="s">
        <v>3728</v>
      </c>
      <c r="BKS615" s="17">
        <v>44925</v>
      </c>
      <c r="BKT615" s="5" t="s">
        <v>3728</v>
      </c>
      <c r="BKU615" s="17">
        <v>44925</v>
      </c>
      <c r="BKV615" s="5" t="s">
        <v>3728</v>
      </c>
      <c r="BKW615" s="17">
        <v>44925</v>
      </c>
      <c r="BKX615" s="5" t="s">
        <v>3728</v>
      </c>
      <c r="BKY615" s="17">
        <v>44925</v>
      </c>
      <c r="BKZ615" s="5" t="s">
        <v>3728</v>
      </c>
      <c r="BLA615" s="17">
        <v>44925</v>
      </c>
      <c r="BLB615" s="5" t="s">
        <v>3728</v>
      </c>
      <c r="BLC615" s="17">
        <v>44925</v>
      </c>
      <c r="BLD615" s="5" t="s">
        <v>3728</v>
      </c>
      <c r="BLE615" s="17">
        <v>44925</v>
      </c>
      <c r="BLF615" s="5" t="s">
        <v>3728</v>
      </c>
      <c r="BLG615" s="17">
        <v>44925</v>
      </c>
      <c r="BLH615" s="5" t="s">
        <v>3728</v>
      </c>
      <c r="BLI615" s="17">
        <v>44925</v>
      </c>
      <c r="BLJ615" s="5" t="s">
        <v>3728</v>
      </c>
      <c r="BLK615" s="17">
        <v>44925</v>
      </c>
      <c r="BLL615" s="5" t="s">
        <v>3728</v>
      </c>
      <c r="BLM615" s="17">
        <v>44925</v>
      </c>
      <c r="BLN615" s="5" t="s">
        <v>3728</v>
      </c>
      <c r="BLO615" s="17">
        <v>44925</v>
      </c>
      <c r="BLP615" s="5" t="s">
        <v>3728</v>
      </c>
      <c r="BLQ615" s="17">
        <v>44925</v>
      </c>
      <c r="BLR615" s="5" t="s">
        <v>3728</v>
      </c>
      <c r="BLS615" s="17">
        <v>44925</v>
      </c>
      <c r="BLT615" s="5" t="s">
        <v>3728</v>
      </c>
      <c r="BLU615" s="17">
        <v>44925</v>
      </c>
      <c r="BLV615" s="5" t="s">
        <v>3728</v>
      </c>
      <c r="BLW615" s="17">
        <v>44925</v>
      </c>
      <c r="BLX615" s="5" t="s">
        <v>3728</v>
      </c>
      <c r="BLY615" s="17">
        <v>44925</v>
      </c>
      <c r="BLZ615" s="5" t="s">
        <v>3728</v>
      </c>
      <c r="BMA615" s="17">
        <v>44925</v>
      </c>
      <c r="BMB615" s="5" t="s">
        <v>3728</v>
      </c>
      <c r="BMC615" s="17">
        <v>44925</v>
      </c>
      <c r="BMD615" s="5" t="s">
        <v>3728</v>
      </c>
      <c r="BME615" s="17">
        <v>44925</v>
      </c>
      <c r="BMF615" s="5" t="s">
        <v>3728</v>
      </c>
      <c r="BMG615" s="17">
        <v>44925</v>
      </c>
      <c r="BMH615" s="5" t="s">
        <v>3728</v>
      </c>
      <c r="BMI615" s="17">
        <v>44925</v>
      </c>
      <c r="BMJ615" s="5" t="s">
        <v>3728</v>
      </c>
      <c r="BMK615" s="17">
        <v>44925</v>
      </c>
      <c r="BML615" s="5" t="s">
        <v>3728</v>
      </c>
      <c r="BMM615" s="17">
        <v>44925</v>
      </c>
      <c r="BMN615" s="5" t="s">
        <v>3728</v>
      </c>
      <c r="BMO615" s="17">
        <v>44925</v>
      </c>
      <c r="BMP615" s="5" t="s">
        <v>3728</v>
      </c>
      <c r="BMQ615" s="17">
        <v>44925</v>
      </c>
      <c r="BMR615" s="5" t="s">
        <v>3728</v>
      </c>
      <c r="BMS615" s="17">
        <v>44925</v>
      </c>
      <c r="BMT615" s="5" t="s">
        <v>3728</v>
      </c>
      <c r="BMU615" s="17">
        <v>44925</v>
      </c>
      <c r="BMV615" s="5" t="s">
        <v>3728</v>
      </c>
      <c r="BMW615" s="17">
        <v>44925</v>
      </c>
      <c r="BMX615" s="5" t="s">
        <v>3728</v>
      </c>
      <c r="BMY615" s="17">
        <v>44925</v>
      </c>
      <c r="BMZ615" s="5" t="s">
        <v>3728</v>
      </c>
      <c r="BNA615" s="17">
        <v>44925</v>
      </c>
      <c r="BNB615" s="5" t="s">
        <v>3728</v>
      </c>
      <c r="BNC615" s="17">
        <v>44925</v>
      </c>
      <c r="BND615" s="5" t="s">
        <v>3728</v>
      </c>
      <c r="BNE615" s="17">
        <v>44925</v>
      </c>
      <c r="BNF615" s="5" t="s">
        <v>3728</v>
      </c>
      <c r="BNG615" s="17">
        <v>44925</v>
      </c>
      <c r="BNH615" s="5" t="s">
        <v>3728</v>
      </c>
      <c r="BNI615" s="17">
        <v>44925</v>
      </c>
      <c r="BNJ615" s="5" t="s">
        <v>3728</v>
      </c>
      <c r="BNK615" s="17">
        <v>44925</v>
      </c>
      <c r="BNL615" s="5" t="s">
        <v>3728</v>
      </c>
      <c r="BNM615" s="17">
        <v>44925</v>
      </c>
      <c r="BNN615" s="5" t="s">
        <v>3728</v>
      </c>
      <c r="BNO615" s="17">
        <v>44925</v>
      </c>
      <c r="BNP615" s="5" t="s">
        <v>3728</v>
      </c>
      <c r="BNQ615" s="17">
        <v>44925</v>
      </c>
      <c r="BNR615" s="5" t="s">
        <v>3728</v>
      </c>
      <c r="BNS615" s="17">
        <v>44925</v>
      </c>
      <c r="BNT615" s="5" t="s">
        <v>3728</v>
      </c>
      <c r="BNU615" s="17">
        <v>44925</v>
      </c>
      <c r="BNV615" s="5" t="s">
        <v>3728</v>
      </c>
      <c r="BNW615" s="17">
        <v>44925</v>
      </c>
      <c r="BNX615" s="5" t="s">
        <v>3728</v>
      </c>
      <c r="BNY615" s="17">
        <v>44925</v>
      </c>
      <c r="BNZ615" s="5" t="s">
        <v>3728</v>
      </c>
      <c r="BOA615" s="17">
        <v>44925</v>
      </c>
      <c r="BOB615" s="5" t="s">
        <v>3728</v>
      </c>
      <c r="BOC615" s="17">
        <v>44925</v>
      </c>
      <c r="BOD615" s="5" t="s">
        <v>3728</v>
      </c>
      <c r="BOE615" s="17">
        <v>44925</v>
      </c>
      <c r="BOF615" s="5" t="s">
        <v>3728</v>
      </c>
      <c r="BOG615" s="17">
        <v>44925</v>
      </c>
      <c r="BOH615" s="5" t="s">
        <v>3728</v>
      </c>
      <c r="BOI615" s="17">
        <v>44925</v>
      </c>
      <c r="BOJ615" s="5" t="s">
        <v>3728</v>
      </c>
      <c r="BOK615" s="17">
        <v>44925</v>
      </c>
      <c r="BOL615" s="5" t="s">
        <v>3728</v>
      </c>
      <c r="BOM615" s="17">
        <v>44925</v>
      </c>
      <c r="BON615" s="5" t="s">
        <v>3728</v>
      </c>
      <c r="BOO615" s="17">
        <v>44925</v>
      </c>
      <c r="BOP615" s="5" t="s">
        <v>3728</v>
      </c>
      <c r="BOQ615" s="17">
        <v>44925</v>
      </c>
      <c r="BOR615" s="5" t="s">
        <v>3728</v>
      </c>
      <c r="BOS615" s="17">
        <v>44925</v>
      </c>
      <c r="BOT615" s="5" t="s">
        <v>3728</v>
      </c>
      <c r="BOU615" s="17">
        <v>44925</v>
      </c>
      <c r="BOV615" s="5" t="s">
        <v>3728</v>
      </c>
      <c r="BOW615" s="17">
        <v>44925</v>
      </c>
      <c r="BOX615" s="5" t="s">
        <v>3728</v>
      </c>
      <c r="BOY615" s="17">
        <v>44925</v>
      </c>
      <c r="BOZ615" s="5" t="s">
        <v>3728</v>
      </c>
      <c r="BPA615" s="17">
        <v>44925</v>
      </c>
      <c r="BPB615" s="5" t="s">
        <v>3728</v>
      </c>
      <c r="BPC615" s="17">
        <v>44925</v>
      </c>
      <c r="BPD615" s="5" t="s">
        <v>3728</v>
      </c>
      <c r="BPE615" s="17">
        <v>44925</v>
      </c>
      <c r="BPF615" s="5" t="s">
        <v>3728</v>
      </c>
      <c r="BPG615" s="17">
        <v>44925</v>
      </c>
      <c r="BPH615" s="5" t="s">
        <v>3728</v>
      </c>
      <c r="BPI615" s="17">
        <v>44925</v>
      </c>
      <c r="BPJ615" s="5" t="s">
        <v>3728</v>
      </c>
      <c r="BPK615" s="17">
        <v>44925</v>
      </c>
      <c r="BPL615" s="5" t="s">
        <v>3728</v>
      </c>
      <c r="BPM615" s="17">
        <v>44925</v>
      </c>
      <c r="BPN615" s="5" t="s">
        <v>3728</v>
      </c>
      <c r="BPO615" s="17">
        <v>44925</v>
      </c>
      <c r="BPP615" s="5" t="s">
        <v>3728</v>
      </c>
      <c r="BPQ615" s="17">
        <v>44925</v>
      </c>
      <c r="BPR615" s="5" t="s">
        <v>3728</v>
      </c>
      <c r="BPS615" s="17">
        <v>44925</v>
      </c>
      <c r="BPT615" s="5" t="s">
        <v>3728</v>
      </c>
      <c r="BPU615" s="17">
        <v>44925</v>
      </c>
      <c r="BPV615" s="5" t="s">
        <v>3728</v>
      </c>
      <c r="BPW615" s="17">
        <v>44925</v>
      </c>
      <c r="BPX615" s="5" t="s">
        <v>3728</v>
      </c>
      <c r="BPY615" s="17">
        <v>44925</v>
      </c>
      <c r="BPZ615" s="5" t="s">
        <v>3728</v>
      </c>
      <c r="BQA615" s="17">
        <v>44925</v>
      </c>
      <c r="BQB615" s="5" t="s">
        <v>3728</v>
      </c>
      <c r="BQC615" s="17">
        <v>44925</v>
      </c>
      <c r="BQD615" s="5" t="s">
        <v>3728</v>
      </c>
      <c r="BQE615" s="17">
        <v>44925</v>
      </c>
      <c r="BQF615" s="5" t="s">
        <v>3728</v>
      </c>
      <c r="BQG615" s="17">
        <v>44925</v>
      </c>
      <c r="BQH615" s="5" t="s">
        <v>3728</v>
      </c>
      <c r="BQI615" s="17">
        <v>44925</v>
      </c>
      <c r="BQJ615" s="5" t="s">
        <v>3728</v>
      </c>
      <c r="BQK615" s="17">
        <v>44925</v>
      </c>
      <c r="BQL615" s="5" t="s">
        <v>3728</v>
      </c>
      <c r="BQM615" s="17">
        <v>44925</v>
      </c>
      <c r="BQN615" s="5" t="s">
        <v>3728</v>
      </c>
      <c r="BQO615" s="17">
        <v>44925</v>
      </c>
      <c r="BQP615" s="5" t="s">
        <v>3728</v>
      </c>
      <c r="BQQ615" s="17">
        <v>44925</v>
      </c>
      <c r="BQR615" s="5" t="s">
        <v>3728</v>
      </c>
      <c r="BQS615" s="17">
        <v>44925</v>
      </c>
      <c r="BQT615" s="5" t="s">
        <v>3728</v>
      </c>
      <c r="BQU615" s="17">
        <v>44925</v>
      </c>
      <c r="BQV615" s="5" t="s">
        <v>3728</v>
      </c>
      <c r="BQW615" s="17">
        <v>44925</v>
      </c>
      <c r="BQX615" s="5" t="s">
        <v>3728</v>
      </c>
      <c r="BQY615" s="17">
        <v>44925</v>
      </c>
      <c r="BQZ615" s="5" t="s">
        <v>3728</v>
      </c>
      <c r="BRA615" s="17">
        <v>44925</v>
      </c>
      <c r="BRB615" s="5" t="s">
        <v>3728</v>
      </c>
      <c r="BRC615" s="17">
        <v>44925</v>
      </c>
      <c r="BRD615" s="5" t="s">
        <v>3728</v>
      </c>
      <c r="BRE615" s="17">
        <v>44925</v>
      </c>
      <c r="BRF615" s="5" t="s">
        <v>3728</v>
      </c>
      <c r="BRG615" s="17">
        <v>44925</v>
      </c>
      <c r="BRH615" s="5" t="s">
        <v>3728</v>
      </c>
      <c r="BRI615" s="17">
        <v>44925</v>
      </c>
      <c r="BRJ615" s="5" t="s">
        <v>3728</v>
      </c>
      <c r="BRK615" s="17">
        <v>44925</v>
      </c>
      <c r="BRL615" s="5" t="s">
        <v>3728</v>
      </c>
      <c r="BRM615" s="17">
        <v>44925</v>
      </c>
      <c r="BRN615" s="5" t="s">
        <v>3728</v>
      </c>
      <c r="BRO615" s="17">
        <v>44925</v>
      </c>
      <c r="BRP615" s="5" t="s">
        <v>3728</v>
      </c>
      <c r="BRQ615" s="17">
        <v>44925</v>
      </c>
      <c r="BRR615" s="5" t="s">
        <v>3728</v>
      </c>
      <c r="BRS615" s="17">
        <v>44925</v>
      </c>
      <c r="BRT615" s="5" t="s">
        <v>3728</v>
      </c>
      <c r="BRU615" s="17">
        <v>44925</v>
      </c>
      <c r="BRV615" s="5" t="s">
        <v>3728</v>
      </c>
      <c r="BRW615" s="17">
        <v>44925</v>
      </c>
      <c r="BRX615" s="5" t="s">
        <v>3728</v>
      </c>
      <c r="BRY615" s="17">
        <v>44925</v>
      </c>
      <c r="BRZ615" s="5" t="s">
        <v>3728</v>
      </c>
      <c r="BSA615" s="17">
        <v>44925</v>
      </c>
      <c r="BSB615" s="5" t="s">
        <v>3728</v>
      </c>
      <c r="BSC615" s="17">
        <v>44925</v>
      </c>
      <c r="BSD615" s="5" t="s">
        <v>3728</v>
      </c>
      <c r="BSE615" s="17">
        <v>44925</v>
      </c>
      <c r="BSF615" s="5" t="s">
        <v>3728</v>
      </c>
      <c r="BSG615" s="17">
        <v>44925</v>
      </c>
      <c r="BSH615" s="5" t="s">
        <v>3728</v>
      </c>
      <c r="BSI615" s="17">
        <v>44925</v>
      </c>
      <c r="BSJ615" s="5" t="s">
        <v>3728</v>
      </c>
      <c r="BSK615" s="17">
        <v>44925</v>
      </c>
      <c r="BSL615" s="5" t="s">
        <v>3728</v>
      </c>
      <c r="BSM615" s="17">
        <v>44925</v>
      </c>
      <c r="BSN615" s="5" t="s">
        <v>3728</v>
      </c>
      <c r="BSO615" s="17">
        <v>44925</v>
      </c>
      <c r="BSP615" s="5" t="s">
        <v>3728</v>
      </c>
      <c r="BSQ615" s="17">
        <v>44925</v>
      </c>
      <c r="BSR615" s="5" t="s">
        <v>3728</v>
      </c>
      <c r="BSS615" s="17">
        <v>44925</v>
      </c>
      <c r="BST615" s="5" t="s">
        <v>3728</v>
      </c>
      <c r="BSU615" s="17">
        <v>44925</v>
      </c>
      <c r="BSV615" s="5" t="s">
        <v>3728</v>
      </c>
      <c r="BSW615" s="17">
        <v>44925</v>
      </c>
      <c r="BSX615" s="5" t="s">
        <v>3728</v>
      </c>
      <c r="BSY615" s="17">
        <v>44925</v>
      </c>
      <c r="BSZ615" s="5" t="s">
        <v>3728</v>
      </c>
      <c r="BTA615" s="17">
        <v>44925</v>
      </c>
      <c r="BTB615" s="5" t="s">
        <v>3728</v>
      </c>
      <c r="BTC615" s="17">
        <v>44925</v>
      </c>
      <c r="BTD615" s="5" t="s">
        <v>3728</v>
      </c>
      <c r="BTE615" s="17">
        <v>44925</v>
      </c>
      <c r="BTF615" s="5" t="s">
        <v>3728</v>
      </c>
      <c r="BTG615" s="17">
        <v>44925</v>
      </c>
      <c r="BTH615" s="5" t="s">
        <v>3728</v>
      </c>
      <c r="BTI615" s="17">
        <v>44925</v>
      </c>
      <c r="BTJ615" s="5" t="s">
        <v>3728</v>
      </c>
      <c r="BTK615" s="17">
        <v>44925</v>
      </c>
      <c r="BTL615" s="5" t="s">
        <v>3728</v>
      </c>
      <c r="BTM615" s="17">
        <v>44925</v>
      </c>
      <c r="BTN615" s="5" t="s">
        <v>3728</v>
      </c>
      <c r="BTO615" s="17">
        <v>44925</v>
      </c>
      <c r="BTP615" s="5" t="s">
        <v>3728</v>
      </c>
      <c r="BTQ615" s="17">
        <v>44925</v>
      </c>
      <c r="BTR615" s="5" t="s">
        <v>3728</v>
      </c>
      <c r="BTS615" s="17">
        <v>44925</v>
      </c>
      <c r="BTT615" s="5" t="s">
        <v>3728</v>
      </c>
      <c r="BTU615" s="17">
        <v>44925</v>
      </c>
      <c r="BTV615" s="5" t="s">
        <v>3728</v>
      </c>
      <c r="BTW615" s="17">
        <v>44925</v>
      </c>
      <c r="BTX615" s="5" t="s">
        <v>3728</v>
      </c>
      <c r="BTY615" s="17">
        <v>44925</v>
      </c>
      <c r="BTZ615" s="5" t="s">
        <v>3728</v>
      </c>
      <c r="BUA615" s="17">
        <v>44925</v>
      </c>
      <c r="BUB615" s="5" t="s">
        <v>3728</v>
      </c>
      <c r="BUC615" s="17">
        <v>44925</v>
      </c>
      <c r="BUD615" s="5" t="s">
        <v>3728</v>
      </c>
      <c r="BUE615" s="17">
        <v>44925</v>
      </c>
      <c r="BUF615" s="5" t="s">
        <v>3728</v>
      </c>
      <c r="BUG615" s="17">
        <v>44925</v>
      </c>
      <c r="BUH615" s="5" t="s">
        <v>3728</v>
      </c>
      <c r="BUI615" s="17">
        <v>44925</v>
      </c>
      <c r="BUJ615" s="5" t="s">
        <v>3728</v>
      </c>
      <c r="BUK615" s="17">
        <v>44925</v>
      </c>
      <c r="BUL615" s="5" t="s">
        <v>3728</v>
      </c>
      <c r="BUM615" s="17">
        <v>44925</v>
      </c>
      <c r="BUN615" s="5" t="s">
        <v>3728</v>
      </c>
      <c r="BUO615" s="17">
        <v>44925</v>
      </c>
      <c r="BUP615" s="5" t="s">
        <v>3728</v>
      </c>
      <c r="BUQ615" s="17">
        <v>44925</v>
      </c>
      <c r="BUR615" s="5" t="s">
        <v>3728</v>
      </c>
      <c r="BUS615" s="17">
        <v>44925</v>
      </c>
      <c r="BUT615" s="5" t="s">
        <v>3728</v>
      </c>
      <c r="BUU615" s="17">
        <v>44925</v>
      </c>
      <c r="BUV615" s="5" t="s">
        <v>3728</v>
      </c>
      <c r="BUW615" s="17">
        <v>44925</v>
      </c>
      <c r="BUX615" s="5" t="s">
        <v>3728</v>
      </c>
      <c r="BUY615" s="17">
        <v>44925</v>
      </c>
      <c r="BUZ615" s="5" t="s">
        <v>3728</v>
      </c>
      <c r="BVA615" s="17">
        <v>44925</v>
      </c>
      <c r="BVB615" s="5" t="s">
        <v>3728</v>
      </c>
      <c r="BVC615" s="17">
        <v>44925</v>
      </c>
      <c r="BVD615" s="5" t="s">
        <v>3728</v>
      </c>
      <c r="BVE615" s="17">
        <v>44925</v>
      </c>
      <c r="BVF615" s="5" t="s">
        <v>3728</v>
      </c>
      <c r="BVG615" s="17">
        <v>44925</v>
      </c>
      <c r="BVH615" s="5" t="s">
        <v>3728</v>
      </c>
      <c r="BVI615" s="17">
        <v>44925</v>
      </c>
      <c r="BVJ615" s="5" t="s">
        <v>3728</v>
      </c>
      <c r="BVK615" s="17">
        <v>44925</v>
      </c>
      <c r="BVL615" s="5" t="s">
        <v>3728</v>
      </c>
      <c r="BVM615" s="17">
        <v>44925</v>
      </c>
      <c r="BVN615" s="5" t="s">
        <v>3728</v>
      </c>
      <c r="BVO615" s="17">
        <v>44925</v>
      </c>
      <c r="BVP615" s="5" t="s">
        <v>3728</v>
      </c>
      <c r="BVQ615" s="17">
        <v>44925</v>
      </c>
      <c r="BVR615" s="5" t="s">
        <v>3728</v>
      </c>
      <c r="BVS615" s="17">
        <v>44925</v>
      </c>
      <c r="BVT615" s="5" t="s">
        <v>3728</v>
      </c>
      <c r="BVU615" s="17">
        <v>44925</v>
      </c>
      <c r="BVV615" s="5" t="s">
        <v>3728</v>
      </c>
      <c r="BVW615" s="17">
        <v>44925</v>
      </c>
      <c r="BVX615" s="5" t="s">
        <v>3728</v>
      </c>
      <c r="BVY615" s="17">
        <v>44925</v>
      </c>
      <c r="BVZ615" s="5" t="s">
        <v>3728</v>
      </c>
      <c r="BWA615" s="17">
        <v>44925</v>
      </c>
      <c r="BWB615" s="5" t="s">
        <v>3728</v>
      </c>
      <c r="BWC615" s="17">
        <v>44925</v>
      </c>
      <c r="BWD615" s="5" t="s">
        <v>3728</v>
      </c>
      <c r="BWE615" s="17">
        <v>44925</v>
      </c>
      <c r="BWF615" s="5" t="s">
        <v>3728</v>
      </c>
      <c r="BWG615" s="17">
        <v>44925</v>
      </c>
      <c r="BWH615" s="5" t="s">
        <v>3728</v>
      </c>
      <c r="BWI615" s="17">
        <v>44925</v>
      </c>
      <c r="BWJ615" s="5" t="s">
        <v>3728</v>
      </c>
      <c r="BWK615" s="17">
        <v>44925</v>
      </c>
      <c r="BWL615" s="5" t="s">
        <v>3728</v>
      </c>
      <c r="BWM615" s="17">
        <v>44925</v>
      </c>
      <c r="BWN615" s="5" t="s">
        <v>3728</v>
      </c>
      <c r="BWO615" s="17">
        <v>44925</v>
      </c>
      <c r="BWP615" s="5" t="s">
        <v>3728</v>
      </c>
      <c r="BWQ615" s="17">
        <v>44925</v>
      </c>
      <c r="BWR615" s="5" t="s">
        <v>3728</v>
      </c>
      <c r="BWS615" s="17">
        <v>44925</v>
      </c>
      <c r="BWT615" s="5" t="s">
        <v>3728</v>
      </c>
      <c r="BWU615" s="17">
        <v>44925</v>
      </c>
      <c r="BWV615" s="5" t="s">
        <v>3728</v>
      </c>
      <c r="BWW615" s="17">
        <v>44925</v>
      </c>
      <c r="BWX615" s="5" t="s">
        <v>3728</v>
      </c>
      <c r="BWY615" s="17">
        <v>44925</v>
      </c>
      <c r="BWZ615" s="5" t="s">
        <v>3728</v>
      </c>
      <c r="BXA615" s="17">
        <v>44925</v>
      </c>
      <c r="BXB615" s="5" t="s">
        <v>3728</v>
      </c>
      <c r="BXC615" s="17">
        <v>44925</v>
      </c>
      <c r="BXD615" s="5" t="s">
        <v>3728</v>
      </c>
      <c r="BXE615" s="17">
        <v>44925</v>
      </c>
      <c r="BXF615" s="5" t="s">
        <v>3728</v>
      </c>
      <c r="BXG615" s="17">
        <v>44925</v>
      </c>
      <c r="BXH615" s="5" t="s">
        <v>3728</v>
      </c>
      <c r="BXI615" s="17">
        <v>44925</v>
      </c>
      <c r="BXJ615" s="5" t="s">
        <v>3728</v>
      </c>
      <c r="BXK615" s="17">
        <v>44925</v>
      </c>
      <c r="BXL615" s="5" t="s">
        <v>3728</v>
      </c>
      <c r="BXM615" s="17">
        <v>44925</v>
      </c>
      <c r="BXN615" s="5" t="s">
        <v>3728</v>
      </c>
      <c r="BXO615" s="17">
        <v>44925</v>
      </c>
      <c r="BXP615" s="5" t="s">
        <v>3728</v>
      </c>
      <c r="BXQ615" s="17">
        <v>44925</v>
      </c>
      <c r="BXR615" s="5" t="s">
        <v>3728</v>
      </c>
      <c r="BXS615" s="17">
        <v>44925</v>
      </c>
      <c r="BXT615" s="5" t="s">
        <v>3728</v>
      </c>
      <c r="BXU615" s="17">
        <v>44925</v>
      </c>
      <c r="BXV615" s="5" t="s">
        <v>3728</v>
      </c>
      <c r="BXW615" s="17">
        <v>44925</v>
      </c>
      <c r="BXX615" s="5" t="s">
        <v>3728</v>
      </c>
      <c r="BXY615" s="17">
        <v>44925</v>
      </c>
      <c r="BXZ615" s="5" t="s">
        <v>3728</v>
      </c>
      <c r="BYA615" s="17">
        <v>44925</v>
      </c>
      <c r="BYB615" s="5" t="s">
        <v>3728</v>
      </c>
      <c r="BYC615" s="17">
        <v>44925</v>
      </c>
      <c r="BYD615" s="5" t="s">
        <v>3728</v>
      </c>
      <c r="BYE615" s="17">
        <v>44925</v>
      </c>
      <c r="BYF615" s="5" t="s">
        <v>3728</v>
      </c>
      <c r="BYG615" s="17">
        <v>44925</v>
      </c>
      <c r="BYH615" s="5" t="s">
        <v>3728</v>
      </c>
      <c r="BYI615" s="17">
        <v>44925</v>
      </c>
      <c r="BYJ615" s="5" t="s">
        <v>3728</v>
      </c>
      <c r="BYK615" s="17">
        <v>44925</v>
      </c>
      <c r="BYL615" s="5" t="s">
        <v>3728</v>
      </c>
      <c r="BYM615" s="17">
        <v>44925</v>
      </c>
      <c r="BYN615" s="5" t="s">
        <v>3728</v>
      </c>
      <c r="BYO615" s="17">
        <v>44925</v>
      </c>
      <c r="BYP615" s="5" t="s">
        <v>3728</v>
      </c>
      <c r="BYQ615" s="17">
        <v>44925</v>
      </c>
      <c r="BYR615" s="5" t="s">
        <v>3728</v>
      </c>
      <c r="BYS615" s="17">
        <v>44925</v>
      </c>
      <c r="BYT615" s="5" t="s">
        <v>3728</v>
      </c>
      <c r="BYU615" s="17">
        <v>44925</v>
      </c>
      <c r="BYV615" s="5" t="s">
        <v>3728</v>
      </c>
      <c r="BYW615" s="17">
        <v>44925</v>
      </c>
      <c r="BYX615" s="5" t="s">
        <v>3728</v>
      </c>
      <c r="BYY615" s="17">
        <v>44925</v>
      </c>
      <c r="BYZ615" s="5" t="s">
        <v>3728</v>
      </c>
      <c r="BZA615" s="17">
        <v>44925</v>
      </c>
      <c r="BZB615" s="5" t="s">
        <v>3728</v>
      </c>
      <c r="BZC615" s="17">
        <v>44925</v>
      </c>
      <c r="BZD615" s="5" t="s">
        <v>3728</v>
      </c>
      <c r="BZE615" s="17">
        <v>44925</v>
      </c>
      <c r="BZF615" s="5" t="s">
        <v>3728</v>
      </c>
      <c r="BZG615" s="17">
        <v>44925</v>
      </c>
      <c r="BZH615" s="5" t="s">
        <v>3728</v>
      </c>
      <c r="BZI615" s="17">
        <v>44925</v>
      </c>
      <c r="BZJ615" s="5" t="s">
        <v>3728</v>
      </c>
      <c r="BZK615" s="17">
        <v>44925</v>
      </c>
      <c r="BZL615" s="5" t="s">
        <v>3728</v>
      </c>
      <c r="BZM615" s="17">
        <v>44925</v>
      </c>
      <c r="BZN615" s="5" t="s">
        <v>3728</v>
      </c>
      <c r="BZO615" s="17">
        <v>44925</v>
      </c>
      <c r="BZP615" s="5" t="s">
        <v>3728</v>
      </c>
      <c r="BZQ615" s="17">
        <v>44925</v>
      </c>
      <c r="BZR615" s="5" t="s">
        <v>3728</v>
      </c>
      <c r="BZS615" s="17">
        <v>44925</v>
      </c>
      <c r="BZT615" s="5" t="s">
        <v>3728</v>
      </c>
      <c r="BZU615" s="17">
        <v>44925</v>
      </c>
      <c r="BZV615" s="5" t="s">
        <v>3728</v>
      </c>
      <c r="BZW615" s="17">
        <v>44925</v>
      </c>
      <c r="BZX615" s="5" t="s">
        <v>3728</v>
      </c>
      <c r="BZY615" s="17">
        <v>44925</v>
      </c>
      <c r="BZZ615" s="5" t="s">
        <v>3728</v>
      </c>
      <c r="CAA615" s="17">
        <v>44925</v>
      </c>
      <c r="CAB615" s="5" t="s">
        <v>3728</v>
      </c>
      <c r="CAC615" s="17">
        <v>44925</v>
      </c>
      <c r="CAD615" s="5" t="s">
        <v>3728</v>
      </c>
      <c r="CAE615" s="17">
        <v>44925</v>
      </c>
      <c r="CAF615" s="5" t="s">
        <v>3728</v>
      </c>
      <c r="CAG615" s="17">
        <v>44925</v>
      </c>
      <c r="CAH615" s="5" t="s">
        <v>3728</v>
      </c>
      <c r="CAI615" s="17">
        <v>44925</v>
      </c>
      <c r="CAJ615" s="5" t="s">
        <v>3728</v>
      </c>
      <c r="CAK615" s="17">
        <v>44925</v>
      </c>
      <c r="CAL615" s="5" t="s">
        <v>3728</v>
      </c>
      <c r="CAM615" s="17">
        <v>44925</v>
      </c>
      <c r="CAN615" s="5" t="s">
        <v>3728</v>
      </c>
      <c r="CAO615" s="17">
        <v>44925</v>
      </c>
      <c r="CAP615" s="5" t="s">
        <v>3728</v>
      </c>
      <c r="CAQ615" s="17">
        <v>44925</v>
      </c>
      <c r="CAR615" s="5" t="s">
        <v>3728</v>
      </c>
      <c r="CAS615" s="17">
        <v>44925</v>
      </c>
      <c r="CAT615" s="5" t="s">
        <v>3728</v>
      </c>
      <c r="CAU615" s="17">
        <v>44925</v>
      </c>
      <c r="CAV615" s="5" t="s">
        <v>3728</v>
      </c>
      <c r="CAW615" s="17">
        <v>44925</v>
      </c>
      <c r="CAX615" s="5" t="s">
        <v>3728</v>
      </c>
      <c r="CAY615" s="17">
        <v>44925</v>
      </c>
      <c r="CAZ615" s="5" t="s">
        <v>3728</v>
      </c>
      <c r="CBA615" s="17">
        <v>44925</v>
      </c>
      <c r="CBB615" s="5" t="s">
        <v>3728</v>
      </c>
      <c r="CBC615" s="17">
        <v>44925</v>
      </c>
      <c r="CBD615" s="5" t="s">
        <v>3728</v>
      </c>
      <c r="CBE615" s="17">
        <v>44925</v>
      </c>
      <c r="CBF615" s="5" t="s">
        <v>3728</v>
      </c>
      <c r="CBG615" s="17">
        <v>44925</v>
      </c>
      <c r="CBH615" s="5" t="s">
        <v>3728</v>
      </c>
      <c r="CBI615" s="17">
        <v>44925</v>
      </c>
      <c r="CBJ615" s="5" t="s">
        <v>3728</v>
      </c>
      <c r="CBK615" s="17">
        <v>44925</v>
      </c>
      <c r="CBL615" s="5" t="s">
        <v>3728</v>
      </c>
      <c r="CBM615" s="17">
        <v>44925</v>
      </c>
      <c r="CBN615" s="5" t="s">
        <v>3728</v>
      </c>
      <c r="CBO615" s="17">
        <v>44925</v>
      </c>
      <c r="CBP615" s="5" t="s">
        <v>3728</v>
      </c>
      <c r="CBQ615" s="17">
        <v>44925</v>
      </c>
      <c r="CBR615" s="5" t="s">
        <v>3728</v>
      </c>
      <c r="CBS615" s="17">
        <v>44925</v>
      </c>
      <c r="CBT615" s="5" t="s">
        <v>3728</v>
      </c>
      <c r="CBU615" s="17">
        <v>44925</v>
      </c>
      <c r="CBV615" s="5" t="s">
        <v>3728</v>
      </c>
      <c r="CBW615" s="17">
        <v>44925</v>
      </c>
      <c r="CBX615" s="5" t="s">
        <v>3728</v>
      </c>
      <c r="CBY615" s="17">
        <v>44925</v>
      </c>
      <c r="CBZ615" s="5" t="s">
        <v>3728</v>
      </c>
      <c r="CCA615" s="17">
        <v>44925</v>
      </c>
      <c r="CCB615" s="5" t="s">
        <v>3728</v>
      </c>
      <c r="CCC615" s="17">
        <v>44925</v>
      </c>
      <c r="CCD615" s="5" t="s">
        <v>3728</v>
      </c>
      <c r="CCE615" s="17">
        <v>44925</v>
      </c>
      <c r="CCF615" s="5" t="s">
        <v>3728</v>
      </c>
      <c r="CCG615" s="17">
        <v>44925</v>
      </c>
      <c r="CCH615" s="5" t="s">
        <v>3728</v>
      </c>
      <c r="CCI615" s="17">
        <v>44925</v>
      </c>
      <c r="CCJ615" s="5" t="s">
        <v>3728</v>
      </c>
      <c r="CCK615" s="17">
        <v>44925</v>
      </c>
      <c r="CCL615" s="5" t="s">
        <v>3728</v>
      </c>
      <c r="CCM615" s="17">
        <v>44925</v>
      </c>
      <c r="CCN615" s="5" t="s">
        <v>3728</v>
      </c>
      <c r="CCO615" s="17">
        <v>44925</v>
      </c>
      <c r="CCP615" s="5" t="s">
        <v>3728</v>
      </c>
      <c r="CCQ615" s="17">
        <v>44925</v>
      </c>
      <c r="CCR615" s="5" t="s">
        <v>3728</v>
      </c>
      <c r="CCS615" s="17">
        <v>44925</v>
      </c>
      <c r="CCT615" s="5" t="s">
        <v>3728</v>
      </c>
      <c r="CCU615" s="17">
        <v>44925</v>
      </c>
      <c r="CCV615" s="5" t="s">
        <v>3728</v>
      </c>
      <c r="CCW615" s="17">
        <v>44925</v>
      </c>
      <c r="CCX615" s="5" t="s">
        <v>3728</v>
      </c>
      <c r="CCY615" s="17">
        <v>44925</v>
      </c>
      <c r="CCZ615" s="5" t="s">
        <v>3728</v>
      </c>
      <c r="CDA615" s="17">
        <v>44925</v>
      </c>
      <c r="CDB615" s="5" t="s">
        <v>3728</v>
      </c>
      <c r="CDC615" s="17">
        <v>44925</v>
      </c>
      <c r="CDD615" s="5" t="s">
        <v>3728</v>
      </c>
      <c r="CDE615" s="17">
        <v>44925</v>
      </c>
      <c r="CDF615" s="5" t="s">
        <v>3728</v>
      </c>
      <c r="CDG615" s="17">
        <v>44925</v>
      </c>
      <c r="CDH615" s="5" t="s">
        <v>3728</v>
      </c>
      <c r="CDI615" s="17">
        <v>44925</v>
      </c>
      <c r="CDJ615" s="5" t="s">
        <v>3728</v>
      </c>
      <c r="CDK615" s="17">
        <v>44925</v>
      </c>
      <c r="CDL615" s="5" t="s">
        <v>3728</v>
      </c>
      <c r="CDM615" s="17">
        <v>44925</v>
      </c>
      <c r="CDN615" s="5" t="s">
        <v>3728</v>
      </c>
      <c r="CDO615" s="17">
        <v>44925</v>
      </c>
      <c r="CDP615" s="5" t="s">
        <v>3728</v>
      </c>
      <c r="CDQ615" s="17">
        <v>44925</v>
      </c>
      <c r="CDR615" s="5" t="s">
        <v>3728</v>
      </c>
      <c r="CDS615" s="17">
        <v>44925</v>
      </c>
      <c r="CDT615" s="5" t="s">
        <v>3728</v>
      </c>
      <c r="CDU615" s="17">
        <v>44925</v>
      </c>
      <c r="CDV615" s="5" t="s">
        <v>3728</v>
      </c>
      <c r="CDW615" s="17">
        <v>44925</v>
      </c>
      <c r="CDX615" s="5" t="s">
        <v>3728</v>
      </c>
      <c r="CDY615" s="17">
        <v>44925</v>
      </c>
      <c r="CDZ615" s="5" t="s">
        <v>3728</v>
      </c>
      <c r="CEA615" s="17">
        <v>44925</v>
      </c>
      <c r="CEB615" s="5" t="s">
        <v>3728</v>
      </c>
      <c r="CEC615" s="17">
        <v>44925</v>
      </c>
      <c r="CED615" s="5" t="s">
        <v>3728</v>
      </c>
      <c r="CEE615" s="17">
        <v>44925</v>
      </c>
      <c r="CEF615" s="5" t="s">
        <v>3728</v>
      </c>
      <c r="CEG615" s="17">
        <v>44925</v>
      </c>
      <c r="CEH615" s="5" t="s">
        <v>3728</v>
      </c>
      <c r="CEI615" s="17">
        <v>44925</v>
      </c>
      <c r="CEJ615" s="5" t="s">
        <v>3728</v>
      </c>
      <c r="CEK615" s="17">
        <v>44925</v>
      </c>
      <c r="CEL615" s="5" t="s">
        <v>3728</v>
      </c>
      <c r="CEM615" s="17">
        <v>44925</v>
      </c>
      <c r="CEN615" s="5" t="s">
        <v>3728</v>
      </c>
      <c r="CEO615" s="17">
        <v>44925</v>
      </c>
      <c r="CEP615" s="5" t="s">
        <v>3728</v>
      </c>
      <c r="CEQ615" s="17">
        <v>44925</v>
      </c>
      <c r="CER615" s="5" t="s">
        <v>3728</v>
      </c>
      <c r="CES615" s="17">
        <v>44925</v>
      </c>
      <c r="CET615" s="5" t="s">
        <v>3728</v>
      </c>
      <c r="CEU615" s="17">
        <v>44925</v>
      </c>
      <c r="CEV615" s="5" t="s">
        <v>3728</v>
      </c>
      <c r="CEW615" s="17">
        <v>44925</v>
      </c>
      <c r="CEX615" s="5" t="s">
        <v>3728</v>
      </c>
      <c r="CEY615" s="17">
        <v>44925</v>
      </c>
      <c r="CEZ615" s="5" t="s">
        <v>3728</v>
      </c>
      <c r="CFA615" s="17">
        <v>44925</v>
      </c>
      <c r="CFB615" s="5" t="s">
        <v>3728</v>
      </c>
      <c r="CFC615" s="17">
        <v>44925</v>
      </c>
      <c r="CFD615" s="5" t="s">
        <v>3728</v>
      </c>
      <c r="CFE615" s="17">
        <v>44925</v>
      </c>
      <c r="CFF615" s="5" t="s">
        <v>3728</v>
      </c>
      <c r="CFG615" s="17">
        <v>44925</v>
      </c>
      <c r="CFH615" s="5" t="s">
        <v>3728</v>
      </c>
      <c r="CFI615" s="17">
        <v>44925</v>
      </c>
      <c r="CFJ615" s="5" t="s">
        <v>3728</v>
      </c>
      <c r="CFK615" s="17">
        <v>44925</v>
      </c>
      <c r="CFL615" s="5" t="s">
        <v>3728</v>
      </c>
      <c r="CFM615" s="17">
        <v>44925</v>
      </c>
      <c r="CFN615" s="5" t="s">
        <v>3728</v>
      </c>
      <c r="CFO615" s="17">
        <v>44925</v>
      </c>
      <c r="CFP615" s="5" t="s">
        <v>3728</v>
      </c>
      <c r="CFQ615" s="17">
        <v>44925</v>
      </c>
      <c r="CFR615" s="5" t="s">
        <v>3728</v>
      </c>
      <c r="CFS615" s="17">
        <v>44925</v>
      </c>
      <c r="CFT615" s="5" t="s">
        <v>3728</v>
      </c>
      <c r="CFU615" s="17">
        <v>44925</v>
      </c>
      <c r="CFV615" s="5" t="s">
        <v>3728</v>
      </c>
      <c r="CFW615" s="17">
        <v>44925</v>
      </c>
      <c r="CFX615" s="5" t="s">
        <v>3728</v>
      </c>
      <c r="CFY615" s="17">
        <v>44925</v>
      </c>
      <c r="CFZ615" s="5" t="s">
        <v>3728</v>
      </c>
      <c r="CGA615" s="17">
        <v>44925</v>
      </c>
      <c r="CGB615" s="5" t="s">
        <v>3728</v>
      </c>
      <c r="CGC615" s="17">
        <v>44925</v>
      </c>
      <c r="CGD615" s="5" t="s">
        <v>3728</v>
      </c>
      <c r="CGE615" s="17">
        <v>44925</v>
      </c>
      <c r="CGF615" s="5" t="s">
        <v>3728</v>
      </c>
      <c r="CGG615" s="17">
        <v>44925</v>
      </c>
      <c r="CGH615" s="5" t="s">
        <v>3728</v>
      </c>
      <c r="CGI615" s="17">
        <v>44925</v>
      </c>
      <c r="CGJ615" s="5" t="s">
        <v>3728</v>
      </c>
      <c r="CGK615" s="17">
        <v>44925</v>
      </c>
      <c r="CGL615" s="5" t="s">
        <v>3728</v>
      </c>
      <c r="CGM615" s="17">
        <v>44925</v>
      </c>
      <c r="CGN615" s="5" t="s">
        <v>3728</v>
      </c>
      <c r="CGO615" s="17">
        <v>44925</v>
      </c>
      <c r="CGP615" s="5" t="s">
        <v>3728</v>
      </c>
      <c r="CGQ615" s="17">
        <v>44925</v>
      </c>
      <c r="CGR615" s="5" t="s">
        <v>3728</v>
      </c>
      <c r="CGS615" s="17">
        <v>44925</v>
      </c>
      <c r="CGT615" s="5" t="s">
        <v>3728</v>
      </c>
      <c r="CGU615" s="17">
        <v>44925</v>
      </c>
      <c r="CGV615" s="5" t="s">
        <v>3728</v>
      </c>
      <c r="CGW615" s="17">
        <v>44925</v>
      </c>
      <c r="CGX615" s="5" t="s">
        <v>3728</v>
      </c>
      <c r="CGY615" s="17">
        <v>44925</v>
      </c>
      <c r="CGZ615" s="5" t="s">
        <v>3728</v>
      </c>
      <c r="CHA615" s="17">
        <v>44925</v>
      </c>
      <c r="CHB615" s="5" t="s">
        <v>3728</v>
      </c>
      <c r="CHC615" s="17">
        <v>44925</v>
      </c>
      <c r="CHD615" s="5" t="s">
        <v>3728</v>
      </c>
      <c r="CHE615" s="17">
        <v>44925</v>
      </c>
      <c r="CHF615" s="5" t="s">
        <v>3728</v>
      </c>
      <c r="CHG615" s="17">
        <v>44925</v>
      </c>
      <c r="CHH615" s="5" t="s">
        <v>3728</v>
      </c>
      <c r="CHI615" s="17">
        <v>44925</v>
      </c>
      <c r="CHJ615" s="5" t="s">
        <v>3728</v>
      </c>
      <c r="CHK615" s="17">
        <v>44925</v>
      </c>
      <c r="CHL615" s="5" t="s">
        <v>3728</v>
      </c>
      <c r="CHM615" s="17">
        <v>44925</v>
      </c>
      <c r="CHN615" s="5" t="s">
        <v>3728</v>
      </c>
      <c r="CHO615" s="17">
        <v>44925</v>
      </c>
      <c r="CHP615" s="5" t="s">
        <v>3728</v>
      </c>
      <c r="CHQ615" s="17">
        <v>44925</v>
      </c>
      <c r="CHR615" s="5" t="s">
        <v>3728</v>
      </c>
      <c r="CHS615" s="17">
        <v>44925</v>
      </c>
      <c r="CHT615" s="5" t="s">
        <v>3728</v>
      </c>
      <c r="CHU615" s="17">
        <v>44925</v>
      </c>
      <c r="CHV615" s="5" t="s">
        <v>3728</v>
      </c>
      <c r="CHW615" s="17">
        <v>44925</v>
      </c>
      <c r="CHX615" s="5" t="s">
        <v>3728</v>
      </c>
      <c r="CHY615" s="17">
        <v>44925</v>
      </c>
      <c r="CHZ615" s="5" t="s">
        <v>3728</v>
      </c>
      <c r="CIA615" s="17">
        <v>44925</v>
      </c>
      <c r="CIB615" s="5" t="s">
        <v>3728</v>
      </c>
      <c r="CIC615" s="17">
        <v>44925</v>
      </c>
      <c r="CID615" s="5" t="s">
        <v>3728</v>
      </c>
      <c r="CIE615" s="17">
        <v>44925</v>
      </c>
      <c r="CIF615" s="5" t="s">
        <v>3728</v>
      </c>
      <c r="CIG615" s="17">
        <v>44925</v>
      </c>
      <c r="CIH615" s="5" t="s">
        <v>3728</v>
      </c>
      <c r="CII615" s="17">
        <v>44925</v>
      </c>
      <c r="CIJ615" s="5" t="s">
        <v>3728</v>
      </c>
      <c r="CIK615" s="17">
        <v>44925</v>
      </c>
      <c r="CIL615" s="5" t="s">
        <v>3728</v>
      </c>
      <c r="CIM615" s="17">
        <v>44925</v>
      </c>
      <c r="CIN615" s="5" t="s">
        <v>3728</v>
      </c>
      <c r="CIO615" s="17">
        <v>44925</v>
      </c>
      <c r="CIP615" s="5" t="s">
        <v>3728</v>
      </c>
      <c r="CIQ615" s="17">
        <v>44925</v>
      </c>
      <c r="CIR615" s="5" t="s">
        <v>3728</v>
      </c>
      <c r="CIS615" s="17">
        <v>44925</v>
      </c>
      <c r="CIT615" s="5" t="s">
        <v>3728</v>
      </c>
      <c r="CIU615" s="17">
        <v>44925</v>
      </c>
      <c r="CIV615" s="5" t="s">
        <v>3728</v>
      </c>
      <c r="CIW615" s="17">
        <v>44925</v>
      </c>
      <c r="CIX615" s="5" t="s">
        <v>3728</v>
      </c>
      <c r="CIY615" s="17">
        <v>44925</v>
      </c>
      <c r="CIZ615" s="5" t="s">
        <v>3728</v>
      </c>
      <c r="CJA615" s="17">
        <v>44925</v>
      </c>
      <c r="CJB615" s="5" t="s">
        <v>3728</v>
      </c>
      <c r="CJC615" s="17">
        <v>44925</v>
      </c>
      <c r="CJD615" s="5" t="s">
        <v>3728</v>
      </c>
      <c r="CJE615" s="17">
        <v>44925</v>
      </c>
      <c r="CJF615" s="5" t="s">
        <v>3728</v>
      </c>
      <c r="CJG615" s="17">
        <v>44925</v>
      </c>
      <c r="CJH615" s="5" t="s">
        <v>3728</v>
      </c>
      <c r="CJI615" s="17">
        <v>44925</v>
      </c>
      <c r="CJJ615" s="5" t="s">
        <v>3728</v>
      </c>
      <c r="CJK615" s="17">
        <v>44925</v>
      </c>
      <c r="CJL615" s="5" t="s">
        <v>3728</v>
      </c>
      <c r="CJM615" s="17">
        <v>44925</v>
      </c>
      <c r="CJN615" s="5" t="s">
        <v>3728</v>
      </c>
      <c r="CJO615" s="17">
        <v>44925</v>
      </c>
      <c r="CJP615" s="5" t="s">
        <v>3728</v>
      </c>
      <c r="CJQ615" s="17">
        <v>44925</v>
      </c>
      <c r="CJR615" s="5" t="s">
        <v>3728</v>
      </c>
      <c r="CJS615" s="17">
        <v>44925</v>
      </c>
      <c r="CJT615" s="5" t="s">
        <v>3728</v>
      </c>
      <c r="CJU615" s="17">
        <v>44925</v>
      </c>
      <c r="CJV615" s="5" t="s">
        <v>3728</v>
      </c>
      <c r="CJW615" s="17">
        <v>44925</v>
      </c>
      <c r="CJX615" s="5" t="s">
        <v>3728</v>
      </c>
      <c r="CJY615" s="17">
        <v>44925</v>
      </c>
      <c r="CJZ615" s="5" t="s">
        <v>3728</v>
      </c>
      <c r="CKA615" s="17">
        <v>44925</v>
      </c>
      <c r="CKB615" s="5" t="s">
        <v>3728</v>
      </c>
      <c r="CKC615" s="17">
        <v>44925</v>
      </c>
      <c r="CKD615" s="5" t="s">
        <v>3728</v>
      </c>
      <c r="CKE615" s="17">
        <v>44925</v>
      </c>
      <c r="CKF615" s="5" t="s">
        <v>3728</v>
      </c>
      <c r="CKG615" s="17">
        <v>44925</v>
      </c>
      <c r="CKH615" s="5" t="s">
        <v>3728</v>
      </c>
      <c r="CKI615" s="17">
        <v>44925</v>
      </c>
      <c r="CKJ615" s="5" t="s">
        <v>3728</v>
      </c>
      <c r="CKK615" s="17">
        <v>44925</v>
      </c>
      <c r="CKL615" s="5" t="s">
        <v>3728</v>
      </c>
      <c r="CKM615" s="17">
        <v>44925</v>
      </c>
      <c r="CKN615" s="5" t="s">
        <v>3728</v>
      </c>
      <c r="CKO615" s="17">
        <v>44925</v>
      </c>
      <c r="CKP615" s="5" t="s">
        <v>3728</v>
      </c>
      <c r="CKQ615" s="17">
        <v>44925</v>
      </c>
      <c r="CKR615" s="5" t="s">
        <v>3728</v>
      </c>
      <c r="CKS615" s="17">
        <v>44925</v>
      </c>
      <c r="CKT615" s="5" t="s">
        <v>3728</v>
      </c>
      <c r="CKU615" s="17">
        <v>44925</v>
      </c>
      <c r="CKV615" s="5" t="s">
        <v>3728</v>
      </c>
      <c r="CKW615" s="17">
        <v>44925</v>
      </c>
      <c r="CKX615" s="5" t="s">
        <v>3728</v>
      </c>
      <c r="CKY615" s="17">
        <v>44925</v>
      </c>
      <c r="CKZ615" s="5" t="s">
        <v>3728</v>
      </c>
      <c r="CLA615" s="17">
        <v>44925</v>
      </c>
      <c r="CLB615" s="5" t="s">
        <v>3728</v>
      </c>
      <c r="CLC615" s="17">
        <v>44925</v>
      </c>
      <c r="CLD615" s="5" t="s">
        <v>3728</v>
      </c>
      <c r="CLE615" s="17">
        <v>44925</v>
      </c>
      <c r="CLF615" s="5" t="s">
        <v>3728</v>
      </c>
      <c r="CLG615" s="17">
        <v>44925</v>
      </c>
      <c r="CLH615" s="5" t="s">
        <v>3728</v>
      </c>
      <c r="CLI615" s="17">
        <v>44925</v>
      </c>
      <c r="CLJ615" s="5" t="s">
        <v>3728</v>
      </c>
      <c r="CLK615" s="17">
        <v>44925</v>
      </c>
      <c r="CLL615" s="5" t="s">
        <v>3728</v>
      </c>
      <c r="CLM615" s="17">
        <v>44925</v>
      </c>
      <c r="CLN615" s="5" t="s">
        <v>3728</v>
      </c>
      <c r="CLO615" s="17">
        <v>44925</v>
      </c>
      <c r="CLP615" s="5" t="s">
        <v>3728</v>
      </c>
      <c r="CLQ615" s="17">
        <v>44925</v>
      </c>
      <c r="CLR615" s="5" t="s">
        <v>3728</v>
      </c>
      <c r="CLS615" s="17">
        <v>44925</v>
      </c>
      <c r="CLT615" s="5" t="s">
        <v>3728</v>
      </c>
      <c r="CLU615" s="17">
        <v>44925</v>
      </c>
      <c r="CLV615" s="5" t="s">
        <v>3728</v>
      </c>
      <c r="CLW615" s="17">
        <v>44925</v>
      </c>
      <c r="CLX615" s="5" t="s">
        <v>3728</v>
      </c>
      <c r="CLY615" s="17">
        <v>44925</v>
      </c>
      <c r="CLZ615" s="5" t="s">
        <v>3728</v>
      </c>
      <c r="CMA615" s="17">
        <v>44925</v>
      </c>
      <c r="CMB615" s="5" t="s">
        <v>3728</v>
      </c>
      <c r="CMC615" s="17">
        <v>44925</v>
      </c>
      <c r="CMD615" s="5" t="s">
        <v>3728</v>
      </c>
      <c r="CME615" s="17">
        <v>44925</v>
      </c>
      <c r="CMF615" s="5" t="s">
        <v>3728</v>
      </c>
      <c r="CMG615" s="17">
        <v>44925</v>
      </c>
      <c r="CMH615" s="5" t="s">
        <v>3728</v>
      </c>
      <c r="CMI615" s="17">
        <v>44925</v>
      </c>
      <c r="CMJ615" s="5" t="s">
        <v>3728</v>
      </c>
      <c r="CMK615" s="17">
        <v>44925</v>
      </c>
      <c r="CML615" s="5" t="s">
        <v>3728</v>
      </c>
      <c r="CMM615" s="17">
        <v>44925</v>
      </c>
      <c r="CMN615" s="5" t="s">
        <v>3728</v>
      </c>
      <c r="CMO615" s="17">
        <v>44925</v>
      </c>
      <c r="CMP615" s="5" t="s">
        <v>3728</v>
      </c>
      <c r="CMQ615" s="17">
        <v>44925</v>
      </c>
      <c r="CMR615" s="5" t="s">
        <v>3728</v>
      </c>
      <c r="CMS615" s="17">
        <v>44925</v>
      </c>
      <c r="CMT615" s="5" t="s">
        <v>3728</v>
      </c>
      <c r="CMU615" s="17">
        <v>44925</v>
      </c>
      <c r="CMV615" s="5" t="s">
        <v>3728</v>
      </c>
      <c r="CMW615" s="17">
        <v>44925</v>
      </c>
      <c r="CMX615" s="5" t="s">
        <v>3728</v>
      </c>
      <c r="CMY615" s="17">
        <v>44925</v>
      </c>
      <c r="CMZ615" s="5" t="s">
        <v>3728</v>
      </c>
      <c r="CNA615" s="17">
        <v>44925</v>
      </c>
      <c r="CNB615" s="5" t="s">
        <v>3728</v>
      </c>
      <c r="CNC615" s="17">
        <v>44925</v>
      </c>
      <c r="CND615" s="5" t="s">
        <v>3728</v>
      </c>
      <c r="CNE615" s="17">
        <v>44925</v>
      </c>
      <c r="CNF615" s="5" t="s">
        <v>3728</v>
      </c>
      <c r="CNG615" s="17">
        <v>44925</v>
      </c>
      <c r="CNH615" s="5" t="s">
        <v>3728</v>
      </c>
      <c r="CNI615" s="17">
        <v>44925</v>
      </c>
      <c r="CNJ615" s="5" t="s">
        <v>3728</v>
      </c>
      <c r="CNK615" s="17">
        <v>44925</v>
      </c>
      <c r="CNL615" s="5" t="s">
        <v>3728</v>
      </c>
      <c r="CNM615" s="17">
        <v>44925</v>
      </c>
      <c r="CNN615" s="5" t="s">
        <v>3728</v>
      </c>
      <c r="CNO615" s="17">
        <v>44925</v>
      </c>
      <c r="CNP615" s="5" t="s">
        <v>3728</v>
      </c>
      <c r="CNQ615" s="17">
        <v>44925</v>
      </c>
      <c r="CNR615" s="5" t="s">
        <v>3728</v>
      </c>
      <c r="CNS615" s="17">
        <v>44925</v>
      </c>
      <c r="CNT615" s="5" t="s">
        <v>3728</v>
      </c>
      <c r="CNU615" s="17">
        <v>44925</v>
      </c>
      <c r="CNV615" s="5" t="s">
        <v>3728</v>
      </c>
      <c r="CNW615" s="17">
        <v>44925</v>
      </c>
      <c r="CNX615" s="5" t="s">
        <v>3728</v>
      </c>
      <c r="CNY615" s="17">
        <v>44925</v>
      </c>
      <c r="CNZ615" s="5" t="s">
        <v>3728</v>
      </c>
      <c r="COA615" s="17">
        <v>44925</v>
      </c>
      <c r="COB615" s="5" t="s">
        <v>3728</v>
      </c>
      <c r="COC615" s="17">
        <v>44925</v>
      </c>
      <c r="COD615" s="5" t="s">
        <v>3728</v>
      </c>
      <c r="COE615" s="17">
        <v>44925</v>
      </c>
      <c r="COF615" s="5" t="s">
        <v>3728</v>
      </c>
      <c r="COG615" s="17">
        <v>44925</v>
      </c>
      <c r="COH615" s="5" t="s">
        <v>3728</v>
      </c>
      <c r="COI615" s="17">
        <v>44925</v>
      </c>
      <c r="COJ615" s="5" t="s">
        <v>3728</v>
      </c>
      <c r="COK615" s="17">
        <v>44925</v>
      </c>
      <c r="COL615" s="5" t="s">
        <v>3728</v>
      </c>
      <c r="COM615" s="17">
        <v>44925</v>
      </c>
      <c r="CON615" s="5" t="s">
        <v>3728</v>
      </c>
      <c r="COO615" s="17">
        <v>44925</v>
      </c>
      <c r="COP615" s="5" t="s">
        <v>3728</v>
      </c>
      <c r="COQ615" s="17">
        <v>44925</v>
      </c>
      <c r="COR615" s="5" t="s">
        <v>3728</v>
      </c>
      <c r="COS615" s="17">
        <v>44925</v>
      </c>
      <c r="COT615" s="5" t="s">
        <v>3728</v>
      </c>
      <c r="COU615" s="17">
        <v>44925</v>
      </c>
      <c r="COV615" s="5" t="s">
        <v>3728</v>
      </c>
      <c r="COW615" s="17">
        <v>44925</v>
      </c>
      <c r="COX615" s="5" t="s">
        <v>3728</v>
      </c>
      <c r="COY615" s="17">
        <v>44925</v>
      </c>
      <c r="COZ615" s="5" t="s">
        <v>3728</v>
      </c>
      <c r="CPA615" s="17">
        <v>44925</v>
      </c>
      <c r="CPB615" s="5" t="s">
        <v>3728</v>
      </c>
      <c r="CPC615" s="17">
        <v>44925</v>
      </c>
      <c r="CPD615" s="5" t="s">
        <v>3728</v>
      </c>
      <c r="CPE615" s="17">
        <v>44925</v>
      </c>
      <c r="CPF615" s="5" t="s">
        <v>3728</v>
      </c>
      <c r="CPG615" s="17">
        <v>44925</v>
      </c>
      <c r="CPH615" s="5" t="s">
        <v>3728</v>
      </c>
      <c r="CPI615" s="17">
        <v>44925</v>
      </c>
      <c r="CPJ615" s="5" t="s">
        <v>3728</v>
      </c>
      <c r="CPK615" s="17">
        <v>44925</v>
      </c>
      <c r="CPL615" s="5" t="s">
        <v>3728</v>
      </c>
      <c r="CPM615" s="17">
        <v>44925</v>
      </c>
      <c r="CPN615" s="5" t="s">
        <v>3728</v>
      </c>
      <c r="CPO615" s="17">
        <v>44925</v>
      </c>
      <c r="CPP615" s="5" t="s">
        <v>3728</v>
      </c>
      <c r="CPQ615" s="17">
        <v>44925</v>
      </c>
      <c r="CPR615" s="5" t="s">
        <v>3728</v>
      </c>
      <c r="CPS615" s="17">
        <v>44925</v>
      </c>
      <c r="CPT615" s="5" t="s">
        <v>3728</v>
      </c>
      <c r="CPU615" s="17">
        <v>44925</v>
      </c>
      <c r="CPV615" s="5" t="s">
        <v>3728</v>
      </c>
      <c r="CPW615" s="17">
        <v>44925</v>
      </c>
      <c r="CPX615" s="5" t="s">
        <v>3728</v>
      </c>
      <c r="CPY615" s="17">
        <v>44925</v>
      </c>
      <c r="CPZ615" s="5" t="s">
        <v>3728</v>
      </c>
      <c r="CQA615" s="17">
        <v>44925</v>
      </c>
      <c r="CQB615" s="5" t="s">
        <v>3728</v>
      </c>
      <c r="CQC615" s="17">
        <v>44925</v>
      </c>
      <c r="CQD615" s="5" t="s">
        <v>3728</v>
      </c>
      <c r="CQE615" s="17">
        <v>44925</v>
      </c>
      <c r="CQF615" s="5" t="s">
        <v>3728</v>
      </c>
      <c r="CQG615" s="17">
        <v>44925</v>
      </c>
      <c r="CQH615" s="5" t="s">
        <v>3728</v>
      </c>
      <c r="CQI615" s="17">
        <v>44925</v>
      </c>
      <c r="CQJ615" s="5" t="s">
        <v>3728</v>
      </c>
      <c r="CQK615" s="17">
        <v>44925</v>
      </c>
      <c r="CQL615" s="5" t="s">
        <v>3728</v>
      </c>
      <c r="CQM615" s="17">
        <v>44925</v>
      </c>
      <c r="CQN615" s="5" t="s">
        <v>3728</v>
      </c>
      <c r="CQO615" s="17">
        <v>44925</v>
      </c>
      <c r="CQP615" s="5" t="s">
        <v>3728</v>
      </c>
      <c r="CQQ615" s="17">
        <v>44925</v>
      </c>
      <c r="CQR615" s="5" t="s">
        <v>3728</v>
      </c>
      <c r="CQS615" s="17">
        <v>44925</v>
      </c>
      <c r="CQT615" s="5" t="s">
        <v>3728</v>
      </c>
      <c r="CQU615" s="17">
        <v>44925</v>
      </c>
      <c r="CQV615" s="5" t="s">
        <v>3728</v>
      </c>
      <c r="CQW615" s="17">
        <v>44925</v>
      </c>
      <c r="CQX615" s="5" t="s">
        <v>3728</v>
      </c>
      <c r="CQY615" s="17">
        <v>44925</v>
      </c>
      <c r="CQZ615" s="5" t="s">
        <v>3728</v>
      </c>
      <c r="CRA615" s="17">
        <v>44925</v>
      </c>
      <c r="CRB615" s="5" t="s">
        <v>3728</v>
      </c>
      <c r="CRC615" s="17">
        <v>44925</v>
      </c>
      <c r="CRD615" s="5" t="s">
        <v>3728</v>
      </c>
      <c r="CRE615" s="17">
        <v>44925</v>
      </c>
      <c r="CRF615" s="5" t="s">
        <v>3728</v>
      </c>
      <c r="CRG615" s="17">
        <v>44925</v>
      </c>
      <c r="CRH615" s="5" t="s">
        <v>3728</v>
      </c>
      <c r="CRI615" s="17">
        <v>44925</v>
      </c>
      <c r="CRJ615" s="5" t="s">
        <v>3728</v>
      </c>
      <c r="CRK615" s="17">
        <v>44925</v>
      </c>
      <c r="CRL615" s="5" t="s">
        <v>3728</v>
      </c>
      <c r="CRM615" s="17">
        <v>44925</v>
      </c>
      <c r="CRN615" s="5" t="s">
        <v>3728</v>
      </c>
      <c r="CRO615" s="17">
        <v>44925</v>
      </c>
      <c r="CRP615" s="5" t="s">
        <v>3728</v>
      </c>
      <c r="CRQ615" s="17">
        <v>44925</v>
      </c>
      <c r="CRR615" s="5" t="s">
        <v>3728</v>
      </c>
      <c r="CRS615" s="17">
        <v>44925</v>
      </c>
      <c r="CRT615" s="5" t="s">
        <v>3728</v>
      </c>
      <c r="CRU615" s="17">
        <v>44925</v>
      </c>
      <c r="CRV615" s="5" t="s">
        <v>3728</v>
      </c>
      <c r="CRW615" s="17">
        <v>44925</v>
      </c>
      <c r="CRX615" s="5" t="s">
        <v>3728</v>
      </c>
      <c r="CRY615" s="17">
        <v>44925</v>
      </c>
      <c r="CRZ615" s="5" t="s">
        <v>3728</v>
      </c>
      <c r="CSA615" s="17">
        <v>44925</v>
      </c>
      <c r="CSB615" s="5" t="s">
        <v>3728</v>
      </c>
      <c r="CSC615" s="17">
        <v>44925</v>
      </c>
      <c r="CSD615" s="5" t="s">
        <v>3728</v>
      </c>
      <c r="CSE615" s="17">
        <v>44925</v>
      </c>
      <c r="CSF615" s="5" t="s">
        <v>3728</v>
      </c>
      <c r="CSG615" s="17">
        <v>44925</v>
      </c>
      <c r="CSH615" s="5" t="s">
        <v>3728</v>
      </c>
      <c r="CSI615" s="17">
        <v>44925</v>
      </c>
      <c r="CSJ615" s="5" t="s">
        <v>3728</v>
      </c>
      <c r="CSK615" s="17">
        <v>44925</v>
      </c>
      <c r="CSL615" s="5" t="s">
        <v>3728</v>
      </c>
      <c r="CSM615" s="17">
        <v>44925</v>
      </c>
      <c r="CSN615" s="5" t="s">
        <v>3728</v>
      </c>
      <c r="CSO615" s="17">
        <v>44925</v>
      </c>
      <c r="CSP615" s="5" t="s">
        <v>3728</v>
      </c>
      <c r="CSQ615" s="17">
        <v>44925</v>
      </c>
      <c r="CSR615" s="5" t="s">
        <v>3728</v>
      </c>
      <c r="CSS615" s="17">
        <v>44925</v>
      </c>
      <c r="CST615" s="5" t="s">
        <v>3728</v>
      </c>
      <c r="CSU615" s="17">
        <v>44925</v>
      </c>
      <c r="CSV615" s="5" t="s">
        <v>3728</v>
      </c>
      <c r="CSW615" s="17">
        <v>44925</v>
      </c>
      <c r="CSX615" s="5" t="s">
        <v>3728</v>
      </c>
      <c r="CSY615" s="17">
        <v>44925</v>
      </c>
      <c r="CSZ615" s="5" t="s">
        <v>3728</v>
      </c>
      <c r="CTA615" s="17">
        <v>44925</v>
      </c>
      <c r="CTB615" s="5" t="s">
        <v>3728</v>
      </c>
      <c r="CTC615" s="17">
        <v>44925</v>
      </c>
      <c r="CTD615" s="5" t="s">
        <v>3728</v>
      </c>
      <c r="CTE615" s="17">
        <v>44925</v>
      </c>
      <c r="CTF615" s="5" t="s">
        <v>3728</v>
      </c>
      <c r="CTG615" s="17">
        <v>44925</v>
      </c>
      <c r="CTH615" s="5" t="s">
        <v>3728</v>
      </c>
      <c r="CTI615" s="17">
        <v>44925</v>
      </c>
      <c r="CTJ615" s="5" t="s">
        <v>3728</v>
      </c>
      <c r="CTK615" s="17">
        <v>44925</v>
      </c>
      <c r="CTL615" s="5" t="s">
        <v>3728</v>
      </c>
      <c r="CTM615" s="17">
        <v>44925</v>
      </c>
      <c r="CTN615" s="5" t="s">
        <v>3728</v>
      </c>
      <c r="CTO615" s="17">
        <v>44925</v>
      </c>
      <c r="CTP615" s="5" t="s">
        <v>3728</v>
      </c>
      <c r="CTQ615" s="17">
        <v>44925</v>
      </c>
      <c r="CTR615" s="5" t="s">
        <v>3728</v>
      </c>
      <c r="CTS615" s="17">
        <v>44925</v>
      </c>
      <c r="CTT615" s="5" t="s">
        <v>3728</v>
      </c>
      <c r="CTU615" s="17">
        <v>44925</v>
      </c>
      <c r="CTV615" s="5" t="s">
        <v>3728</v>
      </c>
      <c r="CTW615" s="17">
        <v>44925</v>
      </c>
      <c r="CTX615" s="5" t="s">
        <v>3728</v>
      </c>
      <c r="CTY615" s="17">
        <v>44925</v>
      </c>
      <c r="CTZ615" s="5" t="s">
        <v>3728</v>
      </c>
      <c r="CUA615" s="17">
        <v>44925</v>
      </c>
      <c r="CUB615" s="5" t="s">
        <v>3728</v>
      </c>
      <c r="CUC615" s="17">
        <v>44925</v>
      </c>
      <c r="CUD615" s="5" t="s">
        <v>3728</v>
      </c>
      <c r="CUE615" s="17">
        <v>44925</v>
      </c>
      <c r="CUF615" s="5" t="s">
        <v>3728</v>
      </c>
      <c r="CUG615" s="17">
        <v>44925</v>
      </c>
      <c r="CUH615" s="5" t="s">
        <v>3728</v>
      </c>
      <c r="CUI615" s="17">
        <v>44925</v>
      </c>
      <c r="CUJ615" s="5" t="s">
        <v>3728</v>
      </c>
      <c r="CUK615" s="17">
        <v>44925</v>
      </c>
      <c r="CUL615" s="5" t="s">
        <v>3728</v>
      </c>
      <c r="CUM615" s="17">
        <v>44925</v>
      </c>
      <c r="CUN615" s="5" t="s">
        <v>3728</v>
      </c>
      <c r="CUO615" s="17">
        <v>44925</v>
      </c>
      <c r="CUP615" s="5" t="s">
        <v>3728</v>
      </c>
      <c r="CUQ615" s="17">
        <v>44925</v>
      </c>
      <c r="CUR615" s="5" t="s">
        <v>3728</v>
      </c>
      <c r="CUS615" s="17">
        <v>44925</v>
      </c>
      <c r="CUT615" s="5" t="s">
        <v>3728</v>
      </c>
      <c r="CUU615" s="17">
        <v>44925</v>
      </c>
      <c r="CUV615" s="5" t="s">
        <v>3728</v>
      </c>
      <c r="CUW615" s="17">
        <v>44925</v>
      </c>
      <c r="CUX615" s="5" t="s">
        <v>3728</v>
      </c>
      <c r="CUY615" s="17">
        <v>44925</v>
      </c>
      <c r="CUZ615" s="5" t="s">
        <v>3728</v>
      </c>
      <c r="CVA615" s="17">
        <v>44925</v>
      </c>
      <c r="CVB615" s="5" t="s">
        <v>3728</v>
      </c>
      <c r="CVC615" s="17">
        <v>44925</v>
      </c>
      <c r="CVD615" s="5" t="s">
        <v>3728</v>
      </c>
      <c r="CVE615" s="17">
        <v>44925</v>
      </c>
      <c r="CVF615" s="5" t="s">
        <v>3728</v>
      </c>
      <c r="CVG615" s="17">
        <v>44925</v>
      </c>
      <c r="CVH615" s="5" t="s">
        <v>3728</v>
      </c>
      <c r="CVI615" s="17">
        <v>44925</v>
      </c>
      <c r="CVJ615" s="5" t="s">
        <v>3728</v>
      </c>
      <c r="CVK615" s="17">
        <v>44925</v>
      </c>
      <c r="CVL615" s="5" t="s">
        <v>3728</v>
      </c>
      <c r="CVM615" s="17">
        <v>44925</v>
      </c>
      <c r="CVN615" s="5" t="s">
        <v>3728</v>
      </c>
      <c r="CVO615" s="17">
        <v>44925</v>
      </c>
      <c r="CVP615" s="5" t="s">
        <v>3728</v>
      </c>
      <c r="CVQ615" s="17">
        <v>44925</v>
      </c>
      <c r="CVR615" s="5" t="s">
        <v>3728</v>
      </c>
      <c r="CVS615" s="17">
        <v>44925</v>
      </c>
      <c r="CVT615" s="5" t="s">
        <v>3728</v>
      </c>
      <c r="CVU615" s="17">
        <v>44925</v>
      </c>
      <c r="CVV615" s="5" t="s">
        <v>3728</v>
      </c>
      <c r="CVW615" s="17">
        <v>44925</v>
      </c>
      <c r="CVX615" s="5" t="s">
        <v>3728</v>
      </c>
      <c r="CVY615" s="17">
        <v>44925</v>
      </c>
      <c r="CVZ615" s="5" t="s">
        <v>3728</v>
      </c>
      <c r="CWA615" s="17">
        <v>44925</v>
      </c>
      <c r="CWB615" s="5" t="s">
        <v>3728</v>
      </c>
      <c r="CWC615" s="17">
        <v>44925</v>
      </c>
      <c r="CWD615" s="5" t="s">
        <v>3728</v>
      </c>
      <c r="CWE615" s="17">
        <v>44925</v>
      </c>
      <c r="CWF615" s="5" t="s">
        <v>3728</v>
      </c>
      <c r="CWG615" s="17">
        <v>44925</v>
      </c>
      <c r="CWH615" s="5" t="s">
        <v>3728</v>
      </c>
      <c r="CWI615" s="17">
        <v>44925</v>
      </c>
      <c r="CWJ615" s="5" t="s">
        <v>3728</v>
      </c>
      <c r="CWK615" s="17">
        <v>44925</v>
      </c>
      <c r="CWL615" s="5" t="s">
        <v>3728</v>
      </c>
      <c r="CWM615" s="17">
        <v>44925</v>
      </c>
      <c r="CWN615" s="5" t="s">
        <v>3728</v>
      </c>
      <c r="CWO615" s="17">
        <v>44925</v>
      </c>
      <c r="CWP615" s="5" t="s">
        <v>3728</v>
      </c>
      <c r="CWQ615" s="17">
        <v>44925</v>
      </c>
      <c r="CWR615" s="5" t="s">
        <v>3728</v>
      </c>
      <c r="CWS615" s="17">
        <v>44925</v>
      </c>
      <c r="CWT615" s="5" t="s">
        <v>3728</v>
      </c>
      <c r="CWU615" s="17">
        <v>44925</v>
      </c>
      <c r="CWV615" s="5" t="s">
        <v>3728</v>
      </c>
      <c r="CWW615" s="17">
        <v>44925</v>
      </c>
      <c r="CWX615" s="5" t="s">
        <v>3728</v>
      </c>
      <c r="CWY615" s="17">
        <v>44925</v>
      </c>
      <c r="CWZ615" s="5" t="s">
        <v>3728</v>
      </c>
      <c r="CXA615" s="17">
        <v>44925</v>
      </c>
      <c r="CXB615" s="5" t="s">
        <v>3728</v>
      </c>
      <c r="CXC615" s="17">
        <v>44925</v>
      </c>
      <c r="CXD615" s="5" t="s">
        <v>3728</v>
      </c>
      <c r="CXE615" s="17">
        <v>44925</v>
      </c>
      <c r="CXF615" s="5" t="s">
        <v>3728</v>
      </c>
      <c r="CXG615" s="17">
        <v>44925</v>
      </c>
      <c r="CXH615" s="5" t="s">
        <v>3728</v>
      </c>
      <c r="CXI615" s="17">
        <v>44925</v>
      </c>
      <c r="CXJ615" s="5" t="s">
        <v>3728</v>
      </c>
      <c r="CXK615" s="17">
        <v>44925</v>
      </c>
      <c r="CXL615" s="5" t="s">
        <v>3728</v>
      </c>
      <c r="CXM615" s="17">
        <v>44925</v>
      </c>
      <c r="CXN615" s="5" t="s">
        <v>3728</v>
      </c>
      <c r="CXO615" s="17">
        <v>44925</v>
      </c>
      <c r="CXP615" s="5" t="s">
        <v>3728</v>
      </c>
      <c r="CXQ615" s="17">
        <v>44925</v>
      </c>
      <c r="CXR615" s="5" t="s">
        <v>3728</v>
      </c>
      <c r="CXS615" s="17">
        <v>44925</v>
      </c>
      <c r="CXT615" s="5" t="s">
        <v>3728</v>
      </c>
      <c r="CXU615" s="17">
        <v>44925</v>
      </c>
      <c r="CXV615" s="5" t="s">
        <v>3728</v>
      </c>
      <c r="CXW615" s="17">
        <v>44925</v>
      </c>
      <c r="CXX615" s="5" t="s">
        <v>3728</v>
      </c>
      <c r="CXY615" s="17">
        <v>44925</v>
      </c>
      <c r="CXZ615" s="5" t="s">
        <v>3728</v>
      </c>
      <c r="CYA615" s="17">
        <v>44925</v>
      </c>
      <c r="CYB615" s="5" t="s">
        <v>3728</v>
      </c>
      <c r="CYC615" s="17">
        <v>44925</v>
      </c>
      <c r="CYD615" s="5" t="s">
        <v>3728</v>
      </c>
      <c r="CYE615" s="17">
        <v>44925</v>
      </c>
      <c r="CYF615" s="5" t="s">
        <v>3728</v>
      </c>
      <c r="CYG615" s="17">
        <v>44925</v>
      </c>
      <c r="CYH615" s="5" t="s">
        <v>3728</v>
      </c>
      <c r="CYI615" s="17">
        <v>44925</v>
      </c>
      <c r="CYJ615" s="5" t="s">
        <v>3728</v>
      </c>
      <c r="CYK615" s="17">
        <v>44925</v>
      </c>
      <c r="CYL615" s="5" t="s">
        <v>3728</v>
      </c>
      <c r="CYM615" s="17">
        <v>44925</v>
      </c>
      <c r="CYN615" s="5" t="s">
        <v>3728</v>
      </c>
      <c r="CYO615" s="17">
        <v>44925</v>
      </c>
      <c r="CYP615" s="5" t="s">
        <v>3728</v>
      </c>
      <c r="CYQ615" s="17">
        <v>44925</v>
      </c>
      <c r="CYR615" s="5" t="s">
        <v>3728</v>
      </c>
      <c r="CYS615" s="17">
        <v>44925</v>
      </c>
      <c r="CYT615" s="5" t="s">
        <v>3728</v>
      </c>
      <c r="CYU615" s="17">
        <v>44925</v>
      </c>
      <c r="CYV615" s="5" t="s">
        <v>3728</v>
      </c>
      <c r="CYW615" s="17">
        <v>44925</v>
      </c>
      <c r="CYX615" s="5" t="s">
        <v>3728</v>
      </c>
      <c r="CYY615" s="17">
        <v>44925</v>
      </c>
      <c r="CYZ615" s="5" t="s">
        <v>3728</v>
      </c>
      <c r="CZA615" s="17">
        <v>44925</v>
      </c>
      <c r="CZB615" s="5" t="s">
        <v>3728</v>
      </c>
      <c r="CZC615" s="17">
        <v>44925</v>
      </c>
      <c r="CZD615" s="5" t="s">
        <v>3728</v>
      </c>
      <c r="CZE615" s="17">
        <v>44925</v>
      </c>
      <c r="CZF615" s="5" t="s">
        <v>3728</v>
      </c>
      <c r="CZG615" s="17">
        <v>44925</v>
      </c>
      <c r="CZH615" s="5" t="s">
        <v>3728</v>
      </c>
      <c r="CZI615" s="17">
        <v>44925</v>
      </c>
      <c r="CZJ615" s="5" t="s">
        <v>3728</v>
      </c>
      <c r="CZK615" s="17">
        <v>44925</v>
      </c>
      <c r="CZL615" s="5" t="s">
        <v>3728</v>
      </c>
      <c r="CZM615" s="17">
        <v>44925</v>
      </c>
      <c r="CZN615" s="5" t="s">
        <v>3728</v>
      </c>
      <c r="CZO615" s="17">
        <v>44925</v>
      </c>
      <c r="CZP615" s="5" t="s">
        <v>3728</v>
      </c>
      <c r="CZQ615" s="17">
        <v>44925</v>
      </c>
      <c r="CZR615" s="5" t="s">
        <v>3728</v>
      </c>
      <c r="CZS615" s="17">
        <v>44925</v>
      </c>
      <c r="CZT615" s="5" t="s">
        <v>3728</v>
      </c>
      <c r="CZU615" s="17">
        <v>44925</v>
      </c>
      <c r="CZV615" s="5" t="s">
        <v>3728</v>
      </c>
      <c r="CZW615" s="17">
        <v>44925</v>
      </c>
      <c r="CZX615" s="5" t="s">
        <v>3728</v>
      </c>
      <c r="CZY615" s="17">
        <v>44925</v>
      </c>
      <c r="CZZ615" s="5" t="s">
        <v>3728</v>
      </c>
      <c r="DAA615" s="17">
        <v>44925</v>
      </c>
      <c r="DAB615" s="5" t="s">
        <v>3728</v>
      </c>
      <c r="DAC615" s="17">
        <v>44925</v>
      </c>
      <c r="DAD615" s="5" t="s">
        <v>3728</v>
      </c>
      <c r="DAE615" s="17">
        <v>44925</v>
      </c>
      <c r="DAF615" s="5" t="s">
        <v>3728</v>
      </c>
      <c r="DAG615" s="17">
        <v>44925</v>
      </c>
      <c r="DAH615" s="5" t="s">
        <v>3728</v>
      </c>
      <c r="DAI615" s="17">
        <v>44925</v>
      </c>
      <c r="DAJ615" s="5" t="s">
        <v>3728</v>
      </c>
      <c r="DAK615" s="17">
        <v>44925</v>
      </c>
      <c r="DAL615" s="5" t="s">
        <v>3728</v>
      </c>
      <c r="DAM615" s="17">
        <v>44925</v>
      </c>
      <c r="DAN615" s="5" t="s">
        <v>3728</v>
      </c>
      <c r="DAO615" s="17">
        <v>44925</v>
      </c>
      <c r="DAP615" s="5" t="s">
        <v>3728</v>
      </c>
      <c r="DAQ615" s="17">
        <v>44925</v>
      </c>
      <c r="DAR615" s="5" t="s">
        <v>3728</v>
      </c>
      <c r="DAS615" s="17">
        <v>44925</v>
      </c>
      <c r="DAT615" s="5" t="s">
        <v>3728</v>
      </c>
      <c r="DAU615" s="17">
        <v>44925</v>
      </c>
      <c r="DAV615" s="5" t="s">
        <v>3728</v>
      </c>
      <c r="DAW615" s="17">
        <v>44925</v>
      </c>
      <c r="DAX615" s="5" t="s">
        <v>3728</v>
      </c>
      <c r="DAY615" s="17">
        <v>44925</v>
      </c>
      <c r="DAZ615" s="5" t="s">
        <v>3728</v>
      </c>
      <c r="DBA615" s="17">
        <v>44925</v>
      </c>
      <c r="DBB615" s="5" t="s">
        <v>3728</v>
      </c>
      <c r="DBC615" s="17">
        <v>44925</v>
      </c>
      <c r="DBD615" s="5" t="s">
        <v>3728</v>
      </c>
      <c r="DBE615" s="17">
        <v>44925</v>
      </c>
      <c r="DBF615" s="5" t="s">
        <v>3728</v>
      </c>
      <c r="DBG615" s="17">
        <v>44925</v>
      </c>
      <c r="DBH615" s="5" t="s">
        <v>3728</v>
      </c>
      <c r="DBI615" s="17">
        <v>44925</v>
      </c>
      <c r="DBJ615" s="5" t="s">
        <v>3728</v>
      </c>
      <c r="DBK615" s="17">
        <v>44925</v>
      </c>
      <c r="DBL615" s="5" t="s">
        <v>3728</v>
      </c>
      <c r="DBM615" s="17">
        <v>44925</v>
      </c>
      <c r="DBN615" s="5" t="s">
        <v>3728</v>
      </c>
      <c r="DBO615" s="17">
        <v>44925</v>
      </c>
      <c r="DBP615" s="5" t="s">
        <v>3728</v>
      </c>
      <c r="DBQ615" s="17">
        <v>44925</v>
      </c>
      <c r="DBR615" s="5" t="s">
        <v>3728</v>
      </c>
      <c r="DBS615" s="17">
        <v>44925</v>
      </c>
      <c r="DBT615" s="5" t="s">
        <v>3728</v>
      </c>
      <c r="DBU615" s="17">
        <v>44925</v>
      </c>
      <c r="DBV615" s="5" t="s">
        <v>3728</v>
      </c>
      <c r="DBW615" s="17">
        <v>44925</v>
      </c>
      <c r="DBX615" s="5" t="s">
        <v>3728</v>
      </c>
      <c r="DBY615" s="17">
        <v>44925</v>
      </c>
      <c r="DBZ615" s="5" t="s">
        <v>3728</v>
      </c>
      <c r="DCA615" s="17">
        <v>44925</v>
      </c>
      <c r="DCB615" s="5" t="s">
        <v>3728</v>
      </c>
      <c r="DCC615" s="17">
        <v>44925</v>
      </c>
      <c r="DCD615" s="5" t="s">
        <v>3728</v>
      </c>
      <c r="DCE615" s="17">
        <v>44925</v>
      </c>
      <c r="DCF615" s="5" t="s">
        <v>3728</v>
      </c>
      <c r="DCG615" s="17">
        <v>44925</v>
      </c>
      <c r="DCH615" s="5" t="s">
        <v>3728</v>
      </c>
      <c r="DCI615" s="17">
        <v>44925</v>
      </c>
      <c r="DCJ615" s="5" t="s">
        <v>3728</v>
      </c>
      <c r="DCK615" s="17">
        <v>44925</v>
      </c>
      <c r="DCL615" s="5" t="s">
        <v>3728</v>
      </c>
      <c r="DCM615" s="17">
        <v>44925</v>
      </c>
      <c r="DCN615" s="5" t="s">
        <v>3728</v>
      </c>
      <c r="DCO615" s="17">
        <v>44925</v>
      </c>
      <c r="DCP615" s="5" t="s">
        <v>3728</v>
      </c>
      <c r="DCQ615" s="17">
        <v>44925</v>
      </c>
      <c r="DCR615" s="5" t="s">
        <v>3728</v>
      </c>
      <c r="DCS615" s="17">
        <v>44925</v>
      </c>
      <c r="DCT615" s="5" t="s">
        <v>3728</v>
      </c>
      <c r="DCU615" s="17">
        <v>44925</v>
      </c>
      <c r="DCV615" s="5" t="s">
        <v>3728</v>
      </c>
      <c r="DCW615" s="17">
        <v>44925</v>
      </c>
      <c r="DCX615" s="5" t="s">
        <v>3728</v>
      </c>
      <c r="DCY615" s="17">
        <v>44925</v>
      </c>
      <c r="DCZ615" s="5" t="s">
        <v>3728</v>
      </c>
      <c r="DDA615" s="17">
        <v>44925</v>
      </c>
      <c r="DDB615" s="5" t="s">
        <v>3728</v>
      </c>
      <c r="DDC615" s="17">
        <v>44925</v>
      </c>
      <c r="DDD615" s="5" t="s">
        <v>3728</v>
      </c>
      <c r="DDE615" s="17">
        <v>44925</v>
      </c>
      <c r="DDF615" s="5" t="s">
        <v>3728</v>
      </c>
      <c r="DDG615" s="17">
        <v>44925</v>
      </c>
      <c r="DDH615" s="5" t="s">
        <v>3728</v>
      </c>
      <c r="DDI615" s="17">
        <v>44925</v>
      </c>
      <c r="DDJ615" s="5" t="s">
        <v>3728</v>
      </c>
      <c r="DDK615" s="17">
        <v>44925</v>
      </c>
      <c r="DDL615" s="5" t="s">
        <v>3728</v>
      </c>
      <c r="DDM615" s="17">
        <v>44925</v>
      </c>
      <c r="DDN615" s="5" t="s">
        <v>3728</v>
      </c>
      <c r="DDO615" s="17">
        <v>44925</v>
      </c>
      <c r="DDP615" s="5" t="s">
        <v>3728</v>
      </c>
      <c r="DDQ615" s="17">
        <v>44925</v>
      </c>
      <c r="DDR615" s="5" t="s">
        <v>3728</v>
      </c>
      <c r="DDS615" s="17">
        <v>44925</v>
      </c>
      <c r="DDT615" s="5" t="s">
        <v>3728</v>
      </c>
      <c r="DDU615" s="17">
        <v>44925</v>
      </c>
      <c r="DDV615" s="5" t="s">
        <v>3728</v>
      </c>
      <c r="DDW615" s="17">
        <v>44925</v>
      </c>
      <c r="DDX615" s="5" t="s">
        <v>3728</v>
      </c>
      <c r="DDY615" s="17">
        <v>44925</v>
      </c>
      <c r="DDZ615" s="5" t="s">
        <v>3728</v>
      </c>
      <c r="DEA615" s="17">
        <v>44925</v>
      </c>
      <c r="DEB615" s="5" t="s">
        <v>3728</v>
      </c>
      <c r="DEC615" s="17">
        <v>44925</v>
      </c>
      <c r="DED615" s="5" t="s">
        <v>3728</v>
      </c>
      <c r="DEE615" s="17">
        <v>44925</v>
      </c>
      <c r="DEF615" s="5" t="s">
        <v>3728</v>
      </c>
      <c r="DEG615" s="17">
        <v>44925</v>
      </c>
      <c r="DEH615" s="5" t="s">
        <v>3728</v>
      </c>
      <c r="DEI615" s="17">
        <v>44925</v>
      </c>
      <c r="DEJ615" s="5" t="s">
        <v>3728</v>
      </c>
      <c r="DEK615" s="17">
        <v>44925</v>
      </c>
      <c r="DEL615" s="5" t="s">
        <v>3728</v>
      </c>
      <c r="DEM615" s="17">
        <v>44925</v>
      </c>
      <c r="DEN615" s="5" t="s">
        <v>3728</v>
      </c>
      <c r="DEO615" s="17">
        <v>44925</v>
      </c>
      <c r="DEP615" s="5" t="s">
        <v>3728</v>
      </c>
      <c r="DEQ615" s="17">
        <v>44925</v>
      </c>
      <c r="DER615" s="5" t="s">
        <v>3728</v>
      </c>
      <c r="DES615" s="17">
        <v>44925</v>
      </c>
      <c r="DET615" s="5" t="s">
        <v>3728</v>
      </c>
      <c r="DEU615" s="17">
        <v>44925</v>
      </c>
      <c r="DEV615" s="5" t="s">
        <v>3728</v>
      </c>
      <c r="DEW615" s="17">
        <v>44925</v>
      </c>
      <c r="DEX615" s="5" t="s">
        <v>3728</v>
      </c>
      <c r="DEY615" s="17">
        <v>44925</v>
      </c>
      <c r="DEZ615" s="5" t="s">
        <v>3728</v>
      </c>
      <c r="DFA615" s="17">
        <v>44925</v>
      </c>
      <c r="DFB615" s="5" t="s">
        <v>3728</v>
      </c>
      <c r="DFC615" s="17">
        <v>44925</v>
      </c>
      <c r="DFD615" s="5" t="s">
        <v>3728</v>
      </c>
      <c r="DFE615" s="17">
        <v>44925</v>
      </c>
      <c r="DFF615" s="5" t="s">
        <v>3728</v>
      </c>
      <c r="DFG615" s="17">
        <v>44925</v>
      </c>
      <c r="DFH615" s="5" t="s">
        <v>3728</v>
      </c>
      <c r="DFI615" s="17">
        <v>44925</v>
      </c>
      <c r="DFJ615" s="5" t="s">
        <v>3728</v>
      </c>
      <c r="DFK615" s="17">
        <v>44925</v>
      </c>
      <c r="DFL615" s="5" t="s">
        <v>3728</v>
      </c>
      <c r="DFM615" s="17">
        <v>44925</v>
      </c>
      <c r="DFN615" s="5" t="s">
        <v>3728</v>
      </c>
      <c r="DFO615" s="17">
        <v>44925</v>
      </c>
      <c r="DFP615" s="5" t="s">
        <v>3728</v>
      </c>
      <c r="DFQ615" s="17">
        <v>44925</v>
      </c>
      <c r="DFR615" s="5" t="s">
        <v>3728</v>
      </c>
      <c r="DFS615" s="17">
        <v>44925</v>
      </c>
      <c r="DFT615" s="5" t="s">
        <v>3728</v>
      </c>
      <c r="DFU615" s="17">
        <v>44925</v>
      </c>
      <c r="DFV615" s="5" t="s">
        <v>3728</v>
      </c>
      <c r="DFW615" s="17">
        <v>44925</v>
      </c>
      <c r="DFX615" s="5" t="s">
        <v>3728</v>
      </c>
      <c r="DFY615" s="17">
        <v>44925</v>
      </c>
      <c r="DFZ615" s="5" t="s">
        <v>3728</v>
      </c>
      <c r="DGA615" s="17">
        <v>44925</v>
      </c>
      <c r="DGB615" s="5" t="s">
        <v>3728</v>
      </c>
      <c r="DGC615" s="17">
        <v>44925</v>
      </c>
      <c r="DGD615" s="5" t="s">
        <v>3728</v>
      </c>
      <c r="DGE615" s="17">
        <v>44925</v>
      </c>
      <c r="DGF615" s="5" t="s">
        <v>3728</v>
      </c>
      <c r="DGG615" s="17">
        <v>44925</v>
      </c>
      <c r="DGH615" s="5" t="s">
        <v>3728</v>
      </c>
      <c r="DGI615" s="17">
        <v>44925</v>
      </c>
      <c r="DGJ615" s="5" t="s">
        <v>3728</v>
      </c>
      <c r="DGK615" s="17">
        <v>44925</v>
      </c>
      <c r="DGL615" s="5" t="s">
        <v>3728</v>
      </c>
      <c r="DGM615" s="17">
        <v>44925</v>
      </c>
      <c r="DGN615" s="5" t="s">
        <v>3728</v>
      </c>
      <c r="DGO615" s="17">
        <v>44925</v>
      </c>
      <c r="DGP615" s="5" t="s">
        <v>3728</v>
      </c>
      <c r="DGQ615" s="17">
        <v>44925</v>
      </c>
      <c r="DGR615" s="5" t="s">
        <v>3728</v>
      </c>
      <c r="DGS615" s="17">
        <v>44925</v>
      </c>
      <c r="DGT615" s="5" t="s">
        <v>3728</v>
      </c>
      <c r="DGU615" s="17">
        <v>44925</v>
      </c>
      <c r="DGV615" s="5" t="s">
        <v>3728</v>
      </c>
      <c r="DGW615" s="17">
        <v>44925</v>
      </c>
      <c r="DGX615" s="5" t="s">
        <v>3728</v>
      </c>
      <c r="DGY615" s="17">
        <v>44925</v>
      </c>
      <c r="DGZ615" s="5" t="s">
        <v>3728</v>
      </c>
      <c r="DHA615" s="17">
        <v>44925</v>
      </c>
      <c r="DHB615" s="5" t="s">
        <v>3728</v>
      </c>
      <c r="DHC615" s="17">
        <v>44925</v>
      </c>
      <c r="DHD615" s="5" t="s">
        <v>3728</v>
      </c>
      <c r="DHE615" s="17">
        <v>44925</v>
      </c>
      <c r="DHF615" s="5" t="s">
        <v>3728</v>
      </c>
      <c r="DHG615" s="17">
        <v>44925</v>
      </c>
      <c r="DHH615" s="5" t="s">
        <v>3728</v>
      </c>
      <c r="DHI615" s="17">
        <v>44925</v>
      </c>
      <c r="DHJ615" s="5" t="s">
        <v>3728</v>
      </c>
      <c r="DHK615" s="17">
        <v>44925</v>
      </c>
      <c r="DHL615" s="5" t="s">
        <v>3728</v>
      </c>
      <c r="DHM615" s="17">
        <v>44925</v>
      </c>
      <c r="DHN615" s="5" t="s">
        <v>3728</v>
      </c>
      <c r="DHO615" s="17">
        <v>44925</v>
      </c>
      <c r="DHP615" s="5" t="s">
        <v>3728</v>
      </c>
      <c r="DHQ615" s="17">
        <v>44925</v>
      </c>
      <c r="DHR615" s="5" t="s">
        <v>3728</v>
      </c>
      <c r="DHS615" s="17">
        <v>44925</v>
      </c>
      <c r="DHT615" s="5" t="s">
        <v>3728</v>
      </c>
      <c r="DHU615" s="17">
        <v>44925</v>
      </c>
      <c r="DHV615" s="5" t="s">
        <v>3728</v>
      </c>
      <c r="DHW615" s="17">
        <v>44925</v>
      </c>
      <c r="DHX615" s="5" t="s">
        <v>3728</v>
      </c>
      <c r="DHY615" s="17">
        <v>44925</v>
      </c>
      <c r="DHZ615" s="5" t="s">
        <v>3728</v>
      </c>
      <c r="DIA615" s="17">
        <v>44925</v>
      </c>
      <c r="DIB615" s="5" t="s">
        <v>3728</v>
      </c>
      <c r="DIC615" s="17">
        <v>44925</v>
      </c>
      <c r="DID615" s="5" t="s">
        <v>3728</v>
      </c>
      <c r="DIE615" s="17">
        <v>44925</v>
      </c>
      <c r="DIF615" s="5" t="s">
        <v>3728</v>
      </c>
      <c r="DIG615" s="17">
        <v>44925</v>
      </c>
      <c r="DIH615" s="5" t="s">
        <v>3728</v>
      </c>
      <c r="DII615" s="17">
        <v>44925</v>
      </c>
      <c r="DIJ615" s="5" t="s">
        <v>3728</v>
      </c>
      <c r="DIK615" s="17">
        <v>44925</v>
      </c>
      <c r="DIL615" s="5" t="s">
        <v>3728</v>
      </c>
      <c r="DIM615" s="17">
        <v>44925</v>
      </c>
      <c r="DIN615" s="5" t="s">
        <v>3728</v>
      </c>
      <c r="DIO615" s="17">
        <v>44925</v>
      </c>
      <c r="DIP615" s="5" t="s">
        <v>3728</v>
      </c>
      <c r="DIQ615" s="17">
        <v>44925</v>
      </c>
      <c r="DIR615" s="5" t="s">
        <v>3728</v>
      </c>
      <c r="DIS615" s="17">
        <v>44925</v>
      </c>
      <c r="DIT615" s="5" t="s">
        <v>3728</v>
      </c>
      <c r="DIU615" s="17">
        <v>44925</v>
      </c>
      <c r="DIV615" s="5" t="s">
        <v>3728</v>
      </c>
      <c r="DIW615" s="17">
        <v>44925</v>
      </c>
      <c r="DIX615" s="5" t="s">
        <v>3728</v>
      </c>
      <c r="DIY615" s="17">
        <v>44925</v>
      </c>
      <c r="DIZ615" s="5" t="s">
        <v>3728</v>
      </c>
      <c r="DJA615" s="17">
        <v>44925</v>
      </c>
      <c r="DJB615" s="5" t="s">
        <v>3728</v>
      </c>
      <c r="DJC615" s="17">
        <v>44925</v>
      </c>
      <c r="DJD615" s="5" t="s">
        <v>3728</v>
      </c>
      <c r="DJE615" s="17">
        <v>44925</v>
      </c>
      <c r="DJF615" s="5" t="s">
        <v>3728</v>
      </c>
      <c r="DJG615" s="17">
        <v>44925</v>
      </c>
      <c r="DJH615" s="5" t="s">
        <v>3728</v>
      </c>
      <c r="DJI615" s="17">
        <v>44925</v>
      </c>
      <c r="DJJ615" s="5" t="s">
        <v>3728</v>
      </c>
      <c r="DJK615" s="17">
        <v>44925</v>
      </c>
      <c r="DJL615" s="5" t="s">
        <v>3728</v>
      </c>
      <c r="DJM615" s="17">
        <v>44925</v>
      </c>
      <c r="DJN615" s="5" t="s">
        <v>3728</v>
      </c>
      <c r="DJO615" s="17">
        <v>44925</v>
      </c>
      <c r="DJP615" s="5" t="s">
        <v>3728</v>
      </c>
      <c r="DJQ615" s="17">
        <v>44925</v>
      </c>
      <c r="DJR615" s="5" t="s">
        <v>3728</v>
      </c>
      <c r="DJS615" s="17">
        <v>44925</v>
      </c>
      <c r="DJT615" s="5" t="s">
        <v>3728</v>
      </c>
      <c r="DJU615" s="17">
        <v>44925</v>
      </c>
      <c r="DJV615" s="5" t="s">
        <v>3728</v>
      </c>
      <c r="DJW615" s="17">
        <v>44925</v>
      </c>
      <c r="DJX615" s="5" t="s">
        <v>3728</v>
      </c>
      <c r="DJY615" s="17">
        <v>44925</v>
      </c>
      <c r="DJZ615" s="5" t="s">
        <v>3728</v>
      </c>
      <c r="DKA615" s="17">
        <v>44925</v>
      </c>
      <c r="DKB615" s="5" t="s">
        <v>3728</v>
      </c>
      <c r="DKC615" s="17">
        <v>44925</v>
      </c>
      <c r="DKD615" s="5" t="s">
        <v>3728</v>
      </c>
      <c r="DKE615" s="17">
        <v>44925</v>
      </c>
      <c r="DKF615" s="5" t="s">
        <v>3728</v>
      </c>
      <c r="DKG615" s="17">
        <v>44925</v>
      </c>
      <c r="DKH615" s="5" t="s">
        <v>3728</v>
      </c>
      <c r="DKI615" s="17">
        <v>44925</v>
      </c>
      <c r="DKJ615" s="5" t="s">
        <v>3728</v>
      </c>
      <c r="DKK615" s="17">
        <v>44925</v>
      </c>
      <c r="DKL615" s="5" t="s">
        <v>3728</v>
      </c>
      <c r="DKM615" s="17">
        <v>44925</v>
      </c>
      <c r="DKN615" s="5" t="s">
        <v>3728</v>
      </c>
      <c r="DKO615" s="17">
        <v>44925</v>
      </c>
      <c r="DKP615" s="5" t="s">
        <v>3728</v>
      </c>
      <c r="DKQ615" s="17">
        <v>44925</v>
      </c>
      <c r="DKR615" s="5" t="s">
        <v>3728</v>
      </c>
      <c r="DKS615" s="17">
        <v>44925</v>
      </c>
      <c r="DKT615" s="5" t="s">
        <v>3728</v>
      </c>
      <c r="DKU615" s="17">
        <v>44925</v>
      </c>
      <c r="DKV615" s="5" t="s">
        <v>3728</v>
      </c>
      <c r="DKW615" s="17">
        <v>44925</v>
      </c>
      <c r="DKX615" s="5" t="s">
        <v>3728</v>
      </c>
      <c r="DKY615" s="17">
        <v>44925</v>
      </c>
      <c r="DKZ615" s="5" t="s">
        <v>3728</v>
      </c>
      <c r="DLA615" s="17">
        <v>44925</v>
      </c>
      <c r="DLB615" s="5" t="s">
        <v>3728</v>
      </c>
      <c r="DLC615" s="17">
        <v>44925</v>
      </c>
      <c r="DLD615" s="5" t="s">
        <v>3728</v>
      </c>
      <c r="DLE615" s="17">
        <v>44925</v>
      </c>
      <c r="DLF615" s="5" t="s">
        <v>3728</v>
      </c>
      <c r="DLG615" s="17">
        <v>44925</v>
      </c>
      <c r="DLH615" s="5" t="s">
        <v>3728</v>
      </c>
      <c r="DLI615" s="17">
        <v>44925</v>
      </c>
      <c r="DLJ615" s="5" t="s">
        <v>3728</v>
      </c>
      <c r="DLK615" s="17">
        <v>44925</v>
      </c>
      <c r="DLL615" s="5" t="s">
        <v>3728</v>
      </c>
      <c r="DLM615" s="17">
        <v>44925</v>
      </c>
      <c r="DLN615" s="5" t="s">
        <v>3728</v>
      </c>
      <c r="DLO615" s="17">
        <v>44925</v>
      </c>
      <c r="DLP615" s="5" t="s">
        <v>3728</v>
      </c>
      <c r="DLQ615" s="17">
        <v>44925</v>
      </c>
      <c r="DLR615" s="5" t="s">
        <v>3728</v>
      </c>
      <c r="DLS615" s="17">
        <v>44925</v>
      </c>
      <c r="DLT615" s="5" t="s">
        <v>3728</v>
      </c>
      <c r="DLU615" s="17">
        <v>44925</v>
      </c>
      <c r="DLV615" s="5" t="s">
        <v>3728</v>
      </c>
      <c r="DLW615" s="17">
        <v>44925</v>
      </c>
      <c r="DLX615" s="5" t="s">
        <v>3728</v>
      </c>
      <c r="DLY615" s="17">
        <v>44925</v>
      </c>
      <c r="DLZ615" s="5" t="s">
        <v>3728</v>
      </c>
      <c r="DMA615" s="17">
        <v>44925</v>
      </c>
      <c r="DMB615" s="5" t="s">
        <v>3728</v>
      </c>
      <c r="DMC615" s="17">
        <v>44925</v>
      </c>
      <c r="DMD615" s="5" t="s">
        <v>3728</v>
      </c>
      <c r="DME615" s="17">
        <v>44925</v>
      </c>
      <c r="DMF615" s="5" t="s">
        <v>3728</v>
      </c>
      <c r="DMG615" s="17">
        <v>44925</v>
      </c>
      <c r="DMH615" s="5" t="s">
        <v>3728</v>
      </c>
      <c r="DMI615" s="17">
        <v>44925</v>
      </c>
      <c r="DMJ615" s="5" t="s">
        <v>3728</v>
      </c>
      <c r="DMK615" s="17">
        <v>44925</v>
      </c>
      <c r="DML615" s="5" t="s">
        <v>3728</v>
      </c>
      <c r="DMM615" s="17">
        <v>44925</v>
      </c>
      <c r="DMN615" s="5" t="s">
        <v>3728</v>
      </c>
      <c r="DMO615" s="17">
        <v>44925</v>
      </c>
      <c r="DMP615" s="5" t="s">
        <v>3728</v>
      </c>
      <c r="DMQ615" s="17">
        <v>44925</v>
      </c>
      <c r="DMR615" s="5" t="s">
        <v>3728</v>
      </c>
      <c r="DMS615" s="17">
        <v>44925</v>
      </c>
      <c r="DMT615" s="5" t="s">
        <v>3728</v>
      </c>
      <c r="DMU615" s="17">
        <v>44925</v>
      </c>
      <c r="DMV615" s="5" t="s">
        <v>3728</v>
      </c>
      <c r="DMW615" s="17">
        <v>44925</v>
      </c>
      <c r="DMX615" s="5" t="s">
        <v>3728</v>
      </c>
      <c r="DMY615" s="17">
        <v>44925</v>
      </c>
      <c r="DMZ615" s="5" t="s">
        <v>3728</v>
      </c>
      <c r="DNA615" s="17">
        <v>44925</v>
      </c>
      <c r="DNB615" s="5" t="s">
        <v>3728</v>
      </c>
      <c r="DNC615" s="17">
        <v>44925</v>
      </c>
      <c r="DND615" s="5" t="s">
        <v>3728</v>
      </c>
      <c r="DNE615" s="17">
        <v>44925</v>
      </c>
      <c r="DNF615" s="5" t="s">
        <v>3728</v>
      </c>
      <c r="DNG615" s="17">
        <v>44925</v>
      </c>
      <c r="DNH615" s="5" t="s">
        <v>3728</v>
      </c>
      <c r="DNI615" s="17">
        <v>44925</v>
      </c>
      <c r="DNJ615" s="5" t="s">
        <v>3728</v>
      </c>
      <c r="DNK615" s="17">
        <v>44925</v>
      </c>
      <c r="DNL615" s="5" t="s">
        <v>3728</v>
      </c>
      <c r="DNM615" s="17">
        <v>44925</v>
      </c>
      <c r="DNN615" s="5" t="s">
        <v>3728</v>
      </c>
      <c r="DNO615" s="17">
        <v>44925</v>
      </c>
      <c r="DNP615" s="5" t="s">
        <v>3728</v>
      </c>
      <c r="DNQ615" s="17">
        <v>44925</v>
      </c>
      <c r="DNR615" s="5" t="s">
        <v>3728</v>
      </c>
      <c r="DNS615" s="17">
        <v>44925</v>
      </c>
      <c r="DNT615" s="5" t="s">
        <v>3728</v>
      </c>
      <c r="DNU615" s="17">
        <v>44925</v>
      </c>
      <c r="DNV615" s="5" t="s">
        <v>3728</v>
      </c>
      <c r="DNW615" s="17">
        <v>44925</v>
      </c>
      <c r="DNX615" s="5" t="s">
        <v>3728</v>
      </c>
      <c r="DNY615" s="17">
        <v>44925</v>
      </c>
      <c r="DNZ615" s="5" t="s">
        <v>3728</v>
      </c>
      <c r="DOA615" s="17">
        <v>44925</v>
      </c>
      <c r="DOB615" s="5" t="s">
        <v>3728</v>
      </c>
      <c r="DOC615" s="17">
        <v>44925</v>
      </c>
      <c r="DOD615" s="5" t="s">
        <v>3728</v>
      </c>
      <c r="DOE615" s="17">
        <v>44925</v>
      </c>
      <c r="DOF615" s="5" t="s">
        <v>3728</v>
      </c>
      <c r="DOG615" s="17">
        <v>44925</v>
      </c>
      <c r="DOH615" s="5" t="s">
        <v>3728</v>
      </c>
      <c r="DOI615" s="17">
        <v>44925</v>
      </c>
      <c r="DOJ615" s="5" t="s">
        <v>3728</v>
      </c>
      <c r="DOK615" s="17">
        <v>44925</v>
      </c>
      <c r="DOL615" s="5" t="s">
        <v>3728</v>
      </c>
      <c r="DOM615" s="17">
        <v>44925</v>
      </c>
      <c r="DON615" s="5" t="s">
        <v>3728</v>
      </c>
      <c r="DOO615" s="17">
        <v>44925</v>
      </c>
      <c r="DOP615" s="5" t="s">
        <v>3728</v>
      </c>
      <c r="DOQ615" s="17">
        <v>44925</v>
      </c>
      <c r="DOR615" s="5" t="s">
        <v>3728</v>
      </c>
      <c r="DOS615" s="17">
        <v>44925</v>
      </c>
      <c r="DOT615" s="5" t="s">
        <v>3728</v>
      </c>
      <c r="DOU615" s="17">
        <v>44925</v>
      </c>
      <c r="DOV615" s="5" t="s">
        <v>3728</v>
      </c>
      <c r="DOW615" s="17">
        <v>44925</v>
      </c>
      <c r="DOX615" s="5" t="s">
        <v>3728</v>
      </c>
      <c r="DOY615" s="17">
        <v>44925</v>
      </c>
      <c r="DOZ615" s="5" t="s">
        <v>3728</v>
      </c>
      <c r="DPA615" s="17">
        <v>44925</v>
      </c>
      <c r="DPB615" s="5" t="s">
        <v>3728</v>
      </c>
      <c r="DPC615" s="17">
        <v>44925</v>
      </c>
      <c r="DPD615" s="5" t="s">
        <v>3728</v>
      </c>
      <c r="DPE615" s="17">
        <v>44925</v>
      </c>
      <c r="DPF615" s="5" t="s">
        <v>3728</v>
      </c>
      <c r="DPG615" s="17">
        <v>44925</v>
      </c>
      <c r="DPH615" s="5" t="s">
        <v>3728</v>
      </c>
      <c r="DPI615" s="17">
        <v>44925</v>
      </c>
      <c r="DPJ615" s="5" t="s">
        <v>3728</v>
      </c>
      <c r="DPK615" s="17">
        <v>44925</v>
      </c>
      <c r="DPL615" s="5" t="s">
        <v>3728</v>
      </c>
      <c r="DPM615" s="17">
        <v>44925</v>
      </c>
      <c r="DPN615" s="5" t="s">
        <v>3728</v>
      </c>
      <c r="DPO615" s="17">
        <v>44925</v>
      </c>
      <c r="DPP615" s="5" t="s">
        <v>3728</v>
      </c>
      <c r="DPQ615" s="17">
        <v>44925</v>
      </c>
      <c r="DPR615" s="5" t="s">
        <v>3728</v>
      </c>
      <c r="DPS615" s="17">
        <v>44925</v>
      </c>
      <c r="DPT615" s="5" t="s">
        <v>3728</v>
      </c>
      <c r="DPU615" s="17">
        <v>44925</v>
      </c>
      <c r="DPV615" s="5" t="s">
        <v>3728</v>
      </c>
      <c r="DPW615" s="17">
        <v>44925</v>
      </c>
      <c r="DPX615" s="5" t="s">
        <v>3728</v>
      </c>
      <c r="DPY615" s="17">
        <v>44925</v>
      </c>
      <c r="DPZ615" s="5" t="s">
        <v>3728</v>
      </c>
      <c r="DQA615" s="17">
        <v>44925</v>
      </c>
      <c r="DQB615" s="5" t="s">
        <v>3728</v>
      </c>
      <c r="DQC615" s="17">
        <v>44925</v>
      </c>
      <c r="DQD615" s="5" t="s">
        <v>3728</v>
      </c>
      <c r="DQE615" s="17">
        <v>44925</v>
      </c>
      <c r="DQF615" s="5" t="s">
        <v>3728</v>
      </c>
      <c r="DQG615" s="17">
        <v>44925</v>
      </c>
      <c r="DQH615" s="5" t="s">
        <v>3728</v>
      </c>
      <c r="DQI615" s="17">
        <v>44925</v>
      </c>
      <c r="DQJ615" s="5" t="s">
        <v>3728</v>
      </c>
      <c r="DQK615" s="17">
        <v>44925</v>
      </c>
      <c r="DQL615" s="5" t="s">
        <v>3728</v>
      </c>
      <c r="DQM615" s="17">
        <v>44925</v>
      </c>
      <c r="DQN615" s="5" t="s">
        <v>3728</v>
      </c>
      <c r="DQO615" s="17">
        <v>44925</v>
      </c>
      <c r="DQP615" s="5" t="s">
        <v>3728</v>
      </c>
      <c r="DQQ615" s="17">
        <v>44925</v>
      </c>
      <c r="DQR615" s="5" t="s">
        <v>3728</v>
      </c>
      <c r="DQS615" s="17">
        <v>44925</v>
      </c>
      <c r="DQT615" s="5" t="s">
        <v>3728</v>
      </c>
      <c r="DQU615" s="17">
        <v>44925</v>
      </c>
      <c r="DQV615" s="5" t="s">
        <v>3728</v>
      </c>
      <c r="DQW615" s="17">
        <v>44925</v>
      </c>
      <c r="DQX615" s="5" t="s">
        <v>3728</v>
      </c>
      <c r="DQY615" s="17">
        <v>44925</v>
      </c>
      <c r="DQZ615" s="5" t="s">
        <v>3728</v>
      </c>
      <c r="DRA615" s="17">
        <v>44925</v>
      </c>
      <c r="DRB615" s="5" t="s">
        <v>3728</v>
      </c>
      <c r="DRC615" s="17">
        <v>44925</v>
      </c>
      <c r="DRD615" s="5" t="s">
        <v>3728</v>
      </c>
      <c r="DRE615" s="17">
        <v>44925</v>
      </c>
      <c r="DRF615" s="5" t="s">
        <v>3728</v>
      </c>
      <c r="DRG615" s="17">
        <v>44925</v>
      </c>
      <c r="DRH615" s="5" t="s">
        <v>3728</v>
      </c>
      <c r="DRI615" s="17">
        <v>44925</v>
      </c>
      <c r="DRJ615" s="5" t="s">
        <v>3728</v>
      </c>
      <c r="DRK615" s="17">
        <v>44925</v>
      </c>
      <c r="DRL615" s="5" t="s">
        <v>3728</v>
      </c>
      <c r="DRM615" s="17">
        <v>44925</v>
      </c>
      <c r="DRN615" s="5" t="s">
        <v>3728</v>
      </c>
      <c r="DRO615" s="17">
        <v>44925</v>
      </c>
      <c r="DRP615" s="5" t="s">
        <v>3728</v>
      </c>
      <c r="DRQ615" s="17">
        <v>44925</v>
      </c>
      <c r="DRR615" s="5" t="s">
        <v>3728</v>
      </c>
      <c r="DRS615" s="17">
        <v>44925</v>
      </c>
      <c r="DRT615" s="5" t="s">
        <v>3728</v>
      </c>
      <c r="DRU615" s="17">
        <v>44925</v>
      </c>
      <c r="DRV615" s="5" t="s">
        <v>3728</v>
      </c>
      <c r="DRW615" s="17">
        <v>44925</v>
      </c>
      <c r="DRX615" s="5" t="s">
        <v>3728</v>
      </c>
      <c r="DRY615" s="17">
        <v>44925</v>
      </c>
      <c r="DRZ615" s="5" t="s">
        <v>3728</v>
      </c>
      <c r="DSA615" s="17">
        <v>44925</v>
      </c>
      <c r="DSB615" s="5" t="s">
        <v>3728</v>
      </c>
      <c r="DSC615" s="17">
        <v>44925</v>
      </c>
      <c r="DSD615" s="5" t="s">
        <v>3728</v>
      </c>
      <c r="DSE615" s="17">
        <v>44925</v>
      </c>
      <c r="DSF615" s="5" t="s">
        <v>3728</v>
      </c>
      <c r="DSG615" s="17">
        <v>44925</v>
      </c>
      <c r="DSH615" s="5" t="s">
        <v>3728</v>
      </c>
      <c r="DSI615" s="17">
        <v>44925</v>
      </c>
      <c r="DSJ615" s="5" t="s">
        <v>3728</v>
      </c>
      <c r="DSK615" s="17">
        <v>44925</v>
      </c>
      <c r="DSL615" s="5" t="s">
        <v>3728</v>
      </c>
      <c r="DSM615" s="17">
        <v>44925</v>
      </c>
      <c r="DSN615" s="5" t="s">
        <v>3728</v>
      </c>
      <c r="DSO615" s="17">
        <v>44925</v>
      </c>
      <c r="DSP615" s="5" t="s">
        <v>3728</v>
      </c>
      <c r="DSQ615" s="17">
        <v>44925</v>
      </c>
      <c r="DSR615" s="5" t="s">
        <v>3728</v>
      </c>
      <c r="DSS615" s="17">
        <v>44925</v>
      </c>
      <c r="DST615" s="5" t="s">
        <v>3728</v>
      </c>
      <c r="DSU615" s="17">
        <v>44925</v>
      </c>
      <c r="DSV615" s="5" t="s">
        <v>3728</v>
      </c>
      <c r="DSW615" s="17">
        <v>44925</v>
      </c>
      <c r="DSX615" s="5" t="s">
        <v>3728</v>
      </c>
      <c r="DSY615" s="17">
        <v>44925</v>
      </c>
      <c r="DSZ615" s="5" t="s">
        <v>3728</v>
      </c>
      <c r="DTA615" s="17">
        <v>44925</v>
      </c>
      <c r="DTB615" s="5" t="s">
        <v>3728</v>
      </c>
      <c r="DTC615" s="17">
        <v>44925</v>
      </c>
      <c r="DTD615" s="5" t="s">
        <v>3728</v>
      </c>
      <c r="DTE615" s="17">
        <v>44925</v>
      </c>
      <c r="DTF615" s="5" t="s">
        <v>3728</v>
      </c>
      <c r="DTG615" s="17">
        <v>44925</v>
      </c>
      <c r="DTH615" s="5" t="s">
        <v>3728</v>
      </c>
      <c r="DTI615" s="17">
        <v>44925</v>
      </c>
      <c r="DTJ615" s="5" t="s">
        <v>3728</v>
      </c>
      <c r="DTK615" s="17">
        <v>44925</v>
      </c>
      <c r="DTL615" s="5" t="s">
        <v>3728</v>
      </c>
      <c r="DTM615" s="17">
        <v>44925</v>
      </c>
      <c r="DTN615" s="5" t="s">
        <v>3728</v>
      </c>
      <c r="DTO615" s="17">
        <v>44925</v>
      </c>
      <c r="DTP615" s="5" t="s">
        <v>3728</v>
      </c>
      <c r="DTQ615" s="17">
        <v>44925</v>
      </c>
      <c r="DTR615" s="5" t="s">
        <v>3728</v>
      </c>
      <c r="DTS615" s="17">
        <v>44925</v>
      </c>
      <c r="DTT615" s="5" t="s">
        <v>3728</v>
      </c>
      <c r="DTU615" s="17">
        <v>44925</v>
      </c>
      <c r="DTV615" s="5" t="s">
        <v>3728</v>
      </c>
      <c r="DTW615" s="17">
        <v>44925</v>
      </c>
      <c r="DTX615" s="5" t="s">
        <v>3728</v>
      </c>
      <c r="DTY615" s="17">
        <v>44925</v>
      </c>
      <c r="DTZ615" s="5" t="s">
        <v>3728</v>
      </c>
      <c r="DUA615" s="17">
        <v>44925</v>
      </c>
      <c r="DUB615" s="5" t="s">
        <v>3728</v>
      </c>
      <c r="DUC615" s="17">
        <v>44925</v>
      </c>
      <c r="DUD615" s="5" t="s">
        <v>3728</v>
      </c>
      <c r="DUE615" s="17">
        <v>44925</v>
      </c>
      <c r="DUF615" s="5" t="s">
        <v>3728</v>
      </c>
      <c r="DUG615" s="17">
        <v>44925</v>
      </c>
      <c r="DUH615" s="5" t="s">
        <v>3728</v>
      </c>
      <c r="DUI615" s="17">
        <v>44925</v>
      </c>
      <c r="DUJ615" s="5" t="s">
        <v>3728</v>
      </c>
      <c r="DUK615" s="17">
        <v>44925</v>
      </c>
      <c r="DUL615" s="5" t="s">
        <v>3728</v>
      </c>
      <c r="DUM615" s="17">
        <v>44925</v>
      </c>
      <c r="DUN615" s="5" t="s">
        <v>3728</v>
      </c>
      <c r="DUO615" s="17">
        <v>44925</v>
      </c>
      <c r="DUP615" s="5" t="s">
        <v>3728</v>
      </c>
      <c r="DUQ615" s="17">
        <v>44925</v>
      </c>
      <c r="DUR615" s="5" t="s">
        <v>3728</v>
      </c>
      <c r="DUS615" s="17">
        <v>44925</v>
      </c>
      <c r="DUT615" s="5" t="s">
        <v>3728</v>
      </c>
      <c r="DUU615" s="17">
        <v>44925</v>
      </c>
      <c r="DUV615" s="5" t="s">
        <v>3728</v>
      </c>
      <c r="DUW615" s="17">
        <v>44925</v>
      </c>
      <c r="DUX615" s="5" t="s">
        <v>3728</v>
      </c>
      <c r="DUY615" s="17">
        <v>44925</v>
      </c>
      <c r="DUZ615" s="5" t="s">
        <v>3728</v>
      </c>
      <c r="DVA615" s="17">
        <v>44925</v>
      </c>
      <c r="DVB615" s="5" t="s">
        <v>3728</v>
      </c>
      <c r="DVC615" s="17">
        <v>44925</v>
      </c>
      <c r="DVD615" s="5" t="s">
        <v>3728</v>
      </c>
      <c r="DVE615" s="17">
        <v>44925</v>
      </c>
      <c r="DVF615" s="5" t="s">
        <v>3728</v>
      </c>
      <c r="DVG615" s="17">
        <v>44925</v>
      </c>
      <c r="DVH615" s="5" t="s">
        <v>3728</v>
      </c>
      <c r="DVI615" s="17">
        <v>44925</v>
      </c>
      <c r="DVJ615" s="5" t="s">
        <v>3728</v>
      </c>
      <c r="DVK615" s="17">
        <v>44925</v>
      </c>
      <c r="DVL615" s="5" t="s">
        <v>3728</v>
      </c>
      <c r="DVM615" s="17">
        <v>44925</v>
      </c>
      <c r="DVN615" s="5" t="s">
        <v>3728</v>
      </c>
      <c r="DVO615" s="17">
        <v>44925</v>
      </c>
      <c r="DVP615" s="5" t="s">
        <v>3728</v>
      </c>
      <c r="DVQ615" s="17">
        <v>44925</v>
      </c>
      <c r="DVR615" s="5" t="s">
        <v>3728</v>
      </c>
      <c r="DVS615" s="17">
        <v>44925</v>
      </c>
      <c r="DVT615" s="5" t="s">
        <v>3728</v>
      </c>
      <c r="DVU615" s="17">
        <v>44925</v>
      </c>
      <c r="DVV615" s="5" t="s">
        <v>3728</v>
      </c>
      <c r="DVW615" s="17">
        <v>44925</v>
      </c>
      <c r="DVX615" s="5" t="s">
        <v>3728</v>
      </c>
      <c r="DVY615" s="17">
        <v>44925</v>
      </c>
      <c r="DVZ615" s="5" t="s">
        <v>3728</v>
      </c>
      <c r="DWA615" s="17">
        <v>44925</v>
      </c>
      <c r="DWB615" s="5" t="s">
        <v>3728</v>
      </c>
      <c r="DWC615" s="17">
        <v>44925</v>
      </c>
      <c r="DWD615" s="5" t="s">
        <v>3728</v>
      </c>
      <c r="DWE615" s="17">
        <v>44925</v>
      </c>
      <c r="DWF615" s="5" t="s">
        <v>3728</v>
      </c>
      <c r="DWG615" s="17">
        <v>44925</v>
      </c>
      <c r="DWH615" s="5" t="s">
        <v>3728</v>
      </c>
      <c r="DWI615" s="17">
        <v>44925</v>
      </c>
      <c r="DWJ615" s="5" t="s">
        <v>3728</v>
      </c>
      <c r="DWK615" s="17">
        <v>44925</v>
      </c>
      <c r="DWL615" s="5" t="s">
        <v>3728</v>
      </c>
      <c r="DWM615" s="17">
        <v>44925</v>
      </c>
      <c r="DWN615" s="5" t="s">
        <v>3728</v>
      </c>
      <c r="DWO615" s="17">
        <v>44925</v>
      </c>
      <c r="DWP615" s="5" t="s">
        <v>3728</v>
      </c>
      <c r="DWQ615" s="17">
        <v>44925</v>
      </c>
      <c r="DWR615" s="5" t="s">
        <v>3728</v>
      </c>
      <c r="DWS615" s="17">
        <v>44925</v>
      </c>
      <c r="DWT615" s="5" t="s">
        <v>3728</v>
      </c>
      <c r="DWU615" s="17">
        <v>44925</v>
      </c>
      <c r="DWV615" s="5" t="s">
        <v>3728</v>
      </c>
      <c r="DWW615" s="17">
        <v>44925</v>
      </c>
      <c r="DWX615" s="5" t="s">
        <v>3728</v>
      </c>
      <c r="DWY615" s="17">
        <v>44925</v>
      </c>
      <c r="DWZ615" s="5" t="s">
        <v>3728</v>
      </c>
      <c r="DXA615" s="17">
        <v>44925</v>
      </c>
      <c r="DXB615" s="5" t="s">
        <v>3728</v>
      </c>
      <c r="DXC615" s="17">
        <v>44925</v>
      </c>
      <c r="DXD615" s="5" t="s">
        <v>3728</v>
      </c>
      <c r="DXE615" s="17">
        <v>44925</v>
      </c>
      <c r="DXF615" s="5" t="s">
        <v>3728</v>
      </c>
      <c r="DXG615" s="17">
        <v>44925</v>
      </c>
      <c r="DXH615" s="5" t="s">
        <v>3728</v>
      </c>
      <c r="DXI615" s="17">
        <v>44925</v>
      </c>
      <c r="DXJ615" s="5" t="s">
        <v>3728</v>
      </c>
      <c r="DXK615" s="17">
        <v>44925</v>
      </c>
      <c r="DXL615" s="5" t="s">
        <v>3728</v>
      </c>
      <c r="DXM615" s="17">
        <v>44925</v>
      </c>
      <c r="DXN615" s="5" t="s">
        <v>3728</v>
      </c>
      <c r="DXO615" s="17">
        <v>44925</v>
      </c>
      <c r="DXP615" s="5" t="s">
        <v>3728</v>
      </c>
      <c r="DXQ615" s="17">
        <v>44925</v>
      </c>
      <c r="DXR615" s="5" t="s">
        <v>3728</v>
      </c>
      <c r="DXS615" s="17">
        <v>44925</v>
      </c>
      <c r="DXT615" s="5" t="s">
        <v>3728</v>
      </c>
      <c r="DXU615" s="17">
        <v>44925</v>
      </c>
      <c r="DXV615" s="5" t="s">
        <v>3728</v>
      </c>
      <c r="DXW615" s="17">
        <v>44925</v>
      </c>
      <c r="DXX615" s="5" t="s">
        <v>3728</v>
      </c>
      <c r="DXY615" s="17">
        <v>44925</v>
      </c>
      <c r="DXZ615" s="5" t="s">
        <v>3728</v>
      </c>
      <c r="DYA615" s="17">
        <v>44925</v>
      </c>
      <c r="DYB615" s="5" t="s">
        <v>3728</v>
      </c>
      <c r="DYC615" s="17">
        <v>44925</v>
      </c>
      <c r="DYD615" s="5" t="s">
        <v>3728</v>
      </c>
      <c r="DYE615" s="17">
        <v>44925</v>
      </c>
      <c r="DYF615" s="5" t="s">
        <v>3728</v>
      </c>
      <c r="DYG615" s="17">
        <v>44925</v>
      </c>
      <c r="DYH615" s="5" t="s">
        <v>3728</v>
      </c>
      <c r="DYI615" s="17">
        <v>44925</v>
      </c>
      <c r="DYJ615" s="5" t="s">
        <v>3728</v>
      </c>
      <c r="DYK615" s="17">
        <v>44925</v>
      </c>
      <c r="DYL615" s="5" t="s">
        <v>3728</v>
      </c>
      <c r="DYM615" s="17">
        <v>44925</v>
      </c>
      <c r="DYN615" s="5" t="s">
        <v>3728</v>
      </c>
      <c r="DYO615" s="17">
        <v>44925</v>
      </c>
      <c r="DYP615" s="5" t="s">
        <v>3728</v>
      </c>
      <c r="DYQ615" s="17">
        <v>44925</v>
      </c>
      <c r="DYR615" s="5" t="s">
        <v>3728</v>
      </c>
      <c r="DYS615" s="17">
        <v>44925</v>
      </c>
      <c r="DYT615" s="5" t="s">
        <v>3728</v>
      </c>
      <c r="DYU615" s="17">
        <v>44925</v>
      </c>
      <c r="DYV615" s="5" t="s">
        <v>3728</v>
      </c>
      <c r="DYW615" s="17">
        <v>44925</v>
      </c>
      <c r="DYX615" s="5" t="s">
        <v>3728</v>
      </c>
      <c r="DYY615" s="17">
        <v>44925</v>
      </c>
      <c r="DYZ615" s="5" t="s">
        <v>3728</v>
      </c>
      <c r="DZA615" s="17">
        <v>44925</v>
      </c>
      <c r="DZB615" s="5" t="s">
        <v>3728</v>
      </c>
      <c r="DZC615" s="17">
        <v>44925</v>
      </c>
      <c r="DZD615" s="5" t="s">
        <v>3728</v>
      </c>
      <c r="DZE615" s="17">
        <v>44925</v>
      </c>
      <c r="DZF615" s="5" t="s">
        <v>3728</v>
      </c>
      <c r="DZG615" s="17">
        <v>44925</v>
      </c>
      <c r="DZH615" s="5" t="s">
        <v>3728</v>
      </c>
      <c r="DZI615" s="17">
        <v>44925</v>
      </c>
      <c r="DZJ615" s="5" t="s">
        <v>3728</v>
      </c>
      <c r="DZK615" s="17">
        <v>44925</v>
      </c>
      <c r="DZL615" s="5" t="s">
        <v>3728</v>
      </c>
      <c r="DZM615" s="17">
        <v>44925</v>
      </c>
      <c r="DZN615" s="5" t="s">
        <v>3728</v>
      </c>
      <c r="DZO615" s="17">
        <v>44925</v>
      </c>
      <c r="DZP615" s="5" t="s">
        <v>3728</v>
      </c>
      <c r="DZQ615" s="17">
        <v>44925</v>
      </c>
      <c r="DZR615" s="5" t="s">
        <v>3728</v>
      </c>
      <c r="DZS615" s="17">
        <v>44925</v>
      </c>
      <c r="DZT615" s="5" t="s">
        <v>3728</v>
      </c>
      <c r="DZU615" s="17">
        <v>44925</v>
      </c>
      <c r="DZV615" s="5" t="s">
        <v>3728</v>
      </c>
      <c r="DZW615" s="17">
        <v>44925</v>
      </c>
      <c r="DZX615" s="5" t="s">
        <v>3728</v>
      </c>
      <c r="DZY615" s="17">
        <v>44925</v>
      </c>
      <c r="DZZ615" s="5" t="s">
        <v>3728</v>
      </c>
      <c r="EAA615" s="17">
        <v>44925</v>
      </c>
      <c r="EAB615" s="5" t="s">
        <v>3728</v>
      </c>
      <c r="EAC615" s="17">
        <v>44925</v>
      </c>
      <c r="EAD615" s="5" t="s">
        <v>3728</v>
      </c>
      <c r="EAE615" s="17">
        <v>44925</v>
      </c>
      <c r="EAF615" s="5" t="s">
        <v>3728</v>
      </c>
      <c r="EAG615" s="17">
        <v>44925</v>
      </c>
      <c r="EAH615" s="5" t="s">
        <v>3728</v>
      </c>
      <c r="EAI615" s="17">
        <v>44925</v>
      </c>
      <c r="EAJ615" s="5" t="s">
        <v>3728</v>
      </c>
      <c r="EAK615" s="17">
        <v>44925</v>
      </c>
      <c r="EAL615" s="5" t="s">
        <v>3728</v>
      </c>
      <c r="EAM615" s="17">
        <v>44925</v>
      </c>
      <c r="EAN615" s="5" t="s">
        <v>3728</v>
      </c>
      <c r="EAO615" s="17">
        <v>44925</v>
      </c>
      <c r="EAP615" s="5" t="s">
        <v>3728</v>
      </c>
      <c r="EAQ615" s="17">
        <v>44925</v>
      </c>
      <c r="EAR615" s="5" t="s">
        <v>3728</v>
      </c>
      <c r="EAS615" s="17">
        <v>44925</v>
      </c>
      <c r="EAT615" s="5" t="s">
        <v>3728</v>
      </c>
      <c r="EAU615" s="17">
        <v>44925</v>
      </c>
      <c r="EAV615" s="5" t="s">
        <v>3728</v>
      </c>
      <c r="EAW615" s="17">
        <v>44925</v>
      </c>
      <c r="EAX615" s="5" t="s">
        <v>3728</v>
      </c>
      <c r="EAY615" s="17">
        <v>44925</v>
      </c>
      <c r="EAZ615" s="5" t="s">
        <v>3728</v>
      </c>
      <c r="EBA615" s="17">
        <v>44925</v>
      </c>
      <c r="EBB615" s="5" t="s">
        <v>3728</v>
      </c>
      <c r="EBC615" s="17">
        <v>44925</v>
      </c>
      <c r="EBD615" s="5" t="s">
        <v>3728</v>
      </c>
      <c r="EBE615" s="17">
        <v>44925</v>
      </c>
      <c r="EBF615" s="5" t="s">
        <v>3728</v>
      </c>
      <c r="EBG615" s="17">
        <v>44925</v>
      </c>
      <c r="EBH615" s="5" t="s">
        <v>3728</v>
      </c>
      <c r="EBI615" s="17">
        <v>44925</v>
      </c>
      <c r="EBJ615" s="5" t="s">
        <v>3728</v>
      </c>
      <c r="EBK615" s="17">
        <v>44925</v>
      </c>
      <c r="EBL615" s="5" t="s">
        <v>3728</v>
      </c>
      <c r="EBM615" s="17">
        <v>44925</v>
      </c>
      <c r="EBN615" s="5" t="s">
        <v>3728</v>
      </c>
      <c r="EBO615" s="17">
        <v>44925</v>
      </c>
      <c r="EBP615" s="5" t="s">
        <v>3728</v>
      </c>
      <c r="EBQ615" s="17">
        <v>44925</v>
      </c>
      <c r="EBR615" s="5" t="s">
        <v>3728</v>
      </c>
      <c r="EBS615" s="17">
        <v>44925</v>
      </c>
      <c r="EBT615" s="5" t="s">
        <v>3728</v>
      </c>
      <c r="EBU615" s="17">
        <v>44925</v>
      </c>
      <c r="EBV615" s="5" t="s">
        <v>3728</v>
      </c>
      <c r="EBW615" s="17">
        <v>44925</v>
      </c>
      <c r="EBX615" s="5" t="s">
        <v>3728</v>
      </c>
      <c r="EBY615" s="17">
        <v>44925</v>
      </c>
      <c r="EBZ615" s="5" t="s">
        <v>3728</v>
      </c>
      <c r="ECA615" s="17">
        <v>44925</v>
      </c>
      <c r="ECB615" s="5" t="s">
        <v>3728</v>
      </c>
      <c r="ECC615" s="17">
        <v>44925</v>
      </c>
      <c r="ECD615" s="5" t="s">
        <v>3728</v>
      </c>
      <c r="ECE615" s="17">
        <v>44925</v>
      </c>
      <c r="ECF615" s="5" t="s">
        <v>3728</v>
      </c>
      <c r="ECG615" s="17">
        <v>44925</v>
      </c>
      <c r="ECH615" s="5" t="s">
        <v>3728</v>
      </c>
      <c r="ECI615" s="17">
        <v>44925</v>
      </c>
      <c r="ECJ615" s="5" t="s">
        <v>3728</v>
      </c>
      <c r="ECK615" s="17">
        <v>44925</v>
      </c>
      <c r="ECL615" s="5" t="s">
        <v>3728</v>
      </c>
      <c r="ECM615" s="17">
        <v>44925</v>
      </c>
      <c r="ECN615" s="5" t="s">
        <v>3728</v>
      </c>
      <c r="ECO615" s="17">
        <v>44925</v>
      </c>
      <c r="ECP615" s="5" t="s">
        <v>3728</v>
      </c>
      <c r="ECQ615" s="17">
        <v>44925</v>
      </c>
      <c r="ECR615" s="5" t="s">
        <v>3728</v>
      </c>
      <c r="ECS615" s="17">
        <v>44925</v>
      </c>
      <c r="ECT615" s="5" t="s">
        <v>3728</v>
      </c>
      <c r="ECU615" s="17">
        <v>44925</v>
      </c>
      <c r="ECV615" s="5" t="s">
        <v>3728</v>
      </c>
      <c r="ECW615" s="17">
        <v>44925</v>
      </c>
      <c r="ECX615" s="5" t="s">
        <v>3728</v>
      </c>
      <c r="ECY615" s="17">
        <v>44925</v>
      </c>
      <c r="ECZ615" s="5" t="s">
        <v>3728</v>
      </c>
      <c r="EDA615" s="17">
        <v>44925</v>
      </c>
      <c r="EDB615" s="5" t="s">
        <v>3728</v>
      </c>
      <c r="EDC615" s="17">
        <v>44925</v>
      </c>
      <c r="EDD615" s="5" t="s">
        <v>3728</v>
      </c>
      <c r="EDE615" s="17">
        <v>44925</v>
      </c>
      <c r="EDF615" s="5" t="s">
        <v>3728</v>
      </c>
      <c r="EDG615" s="17">
        <v>44925</v>
      </c>
      <c r="EDH615" s="5" t="s">
        <v>3728</v>
      </c>
      <c r="EDI615" s="17">
        <v>44925</v>
      </c>
      <c r="EDJ615" s="5" t="s">
        <v>3728</v>
      </c>
      <c r="EDK615" s="17">
        <v>44925</v>
      </c>
      <c r="EDL615" s="5" t="s">
        <v>3728</v>
      </c>
      <c r="EDM615" s="17">
        <v>44925</v>
      </c>
      <c r="EDN615" s="5" t="s">
        <v>3728</v>
      </c>
      <c r="EDO615" s="17">
        <v>44925</v>
      </c>
      <c r="EDP615" s="5" t="s">
        <v>3728</v>
      </c>
      <c r="EDQ615" s="17">
        <v>44925</v>
      </c>
      <c r="EDR615" s="5" t="s">
        <v>3728</v>
      </c>
      <c r="EDS615" s="17">
        <v>44925</v>
      </c>
      <c r="EDT615" s="5" t="s">
        <v>3728</v>
      </c>
      <c r="EDU615" s="17">
        <v>44925</v>
      </c>
      <c r="EDV615" s="5" t="s">
        <v>3728</v>
      </c>
      <c r="EDW615" s="17">
        <v>44925</v>
      </c>
      <c r="EDX615" s="5" t="s">
        <v>3728</v>
      </c>
      <c r="EDY615" s="17">
        <v>44925</v>
      </c>
      <c r="EDZ615" s="5" t="s">
        <v>3728</v>
      </c>
      <c r="EEA615" s="17">
        <v>44925</v>
      </c>
      <c r="EEB615" s="5" t="s">
        <v>3728</v>
      </c>
      <c r="EEC615" s="17">
        <v>44925</v>
      </c>
      <c r="EED615" s="5" t="s">
        <v>3728</v>
      </c>
      <c r="EEE615" s="17">
        <v>44925</v>
      </c>
      <c r="EEF615" s="5" t="s">
        <v>3728</v>
      </c>
      <c r="EEG615" s="17">
        <v>44925</v>
      </c>
      <c r="EEH615" s="5" t="s">
        <v>3728</v>
      </c>
      <c r="EEI615" s="17">
        <v>44925</v>
      </c>
      <c r="EEJ615" s="5" t="s">
        <v>3728</v>
      </c>
      <c r="EEK615" s="17">
        <v>44925</v>
      </c>
      <c r="EEL615" s="5" t="s">
        <v>3728</v>
      </c>
      <c r="EEM615" s="17">
        <v>44925</v>
      </c>
      <c r="EEN615" s="5" t="s">
        <v>3728</v>
      </c>
      <c r="EEO615" s="17">
        <v>44925</v>
      </c>
      <c r="EEP615" s="5" t="s">
        <v>3728</v>
      </c>
      <c r="EEQ615" s="17">
        <v>44925</v>
      </c>
      <c r="EER615" s="5" t="s">
        <v>3728</v>
      </c>
      <c r="EES615" s="17">
        <v>44925</v>
      </c>
      <c r="EET615" s="5" t="s">
        <v>3728</v>
      </c>
      <c r="EEU615" s="17">
        <v>44925</v>
      </c>
      <c r="EEV615" s="5" t="s">
        <v>3728</v>
      </c>
      <c r="EEW615" s="17">
        <v>44925</v>
      </c>
      <c r="EEX615" s="5" t="s">
        <v>3728</v>
      </c>
      <c r="EEY615" s="17">
        <v>44925</v>
      </c>
      <c r="EEZ615" s="5" t="s">
        <v>3728</v>
      </c>
      <c r="EFA615" s="17">
        <v>44925</v>
      </c>
      <c r="EFB615" s="5" t="s">
        <v>3728</v>
      </c>
      <c r="EFC615" s="17">
        <v>44925</v>
      </c>
      <c r="EFD615" s="5" t="s">
        <v>3728</v>
      </c>
      <c r="EFE615" s="17">
        <v>44925</v>
      </c>
      <c r="EFF615" s="5" t="s">
        <v>3728</v>
      </c>
      <c r="EFG615" s="17">
        <v>44925</v>
      </c>
      <c r="EFH615" s="5" t="s">
        <v>3728</v>
      </c>
      <c r="EFI615" s="17">
        <v>44925</v>
      </c>
      <c r="EFJ615" s="5" t="s">
        <v>3728</v>
      </c>
      <c r="EFK615" s="17">
        <v>44925</v>
      </c>
      <c r="EFL615" s="5" t="s">
        <v>3728</v>
      </c>
      <c r="EFM615" s="17">
        <v>44925</v>
      </c>
      <c r="EFN615" s="5" t="s">
        <v>3728</v>
      </c>
      <c r="EFO615" s="17">
        <v>44925</v>
      </c>
      <c r="EFP615" s="5" t="s">
        <v>3728</v>
      </c>
      <c r="EFQ615" s="17">
        <v>44925</v>
      </c>
      <c r="EFR615" s="5" t="s">
        <v>3728</v>
      </c>
      <c r="EFS615" s="17">
        <v>44925</v>
      </c>
      <c r="EFT615" s="5" t="s">
        <v>3728</v>
      </c>
      <c r="EFU615" s="17">
        <v>44925</v>
      </c>
      <c r="EFV615" s="5" t="s">
        <v>3728</v>
      </c>
      <c r="EFW615" s="17">
        <v>44925</v>
      </c>
      <c r="EFX615" s="5" t="s">
        <v>3728</v>
      </c>
      <c r="EFY615" s="17">
        <v>44925</v>
      </c>
      <c r="EFZ615" s="5" t="s">
        <v>3728</v>
      </c>
      <c r="EGA615" s="17">
        <v>44925</v>
      </c>
      <c r="EGB615" s="5" t="s">
        <v>3728</v>
      </c>
      <c r="EGC615" s="17">
        <v>44925</v>
      </c>
      <c r="EGD615" s="5" t="s">
        <v>3728</v>
      </c>
      <c r="EGE615" s="17">
        <v>44925</v>
      </c>
      <c r="EGF615" s="5" t="s">
        <v>3728</v>
      </c>
      <c r="EGG615" s="17">
        <v>44925</v>
      </c>
      <c r="EGH615" s="5" t="s">
        <v>3728</v>
      </c>
      <c r="EGI615" s="17">
        <v>44925</v>
      </c>
      <c r="EGJ615" s="5" t="s">
        <v>3728</v>
      </c>
      <c r="EGK615" s="17">
        <v>44925</v>
      </c>
      <c r="EGL615" s="5" t="s">
        <v>3728</v>
      </c>
      <c r="EGM615" s="17">
        <v>44925</v>
      </c>
      <c r="EGN615" s="5" t="s">
        <v>3728</v>
      </c>
      <c r="EGO615" s="17">
        <v>44925</v>
      </c>
      <c r="EGP615" s="5" t="s">
        <v>3728</v>
      </c>
      <c r="EGQ615" s="17">
        <v>44925</v>
      </c>
      <c r="EGR615" s="5" t="s">
        <v>3728</v>
      </c>
      <c r="EGS615" s="17">
        <v>44925</v>
      </c>
      <c r="EGT615" s="5" t="s">
        <v>3728</v>
      </c>
      <c r="EGU615" s="17">
        <v>44925</v>
      </c>
      <c r="EGV615" s="5" t="s">
        <v>3728</v>
      </c>
      <c r="EGW615" s="17">
        <v>44925</v>
      </c>
      <c r="EGX615" s="5" t="s">
        <v>3728</v>
      </c>
      <c r="EGY615" s="17">
        <v>44925</v>
      </c>
      <c r="EGZ615" s="5" t="s">
        <v>3728</v>
      </c>
      <c r="EHA615" s="17">
        <v>44925</v>
      </c>
      <c r="EHB615" s="5" t="s">
        <v>3728</v>
      </c>
      <c r="EHC615" s="17">
        <v>44925</v>
      </c>
      <c r="EHD615" s="5" t="s">
        <v>3728</v>
      </c>
      <c r="EHE615" s="17">
        <v>44925</v>
      </c>
      <c r="EHF615" s="5" t="s">
        <v>3728</v>
      </c>
      <c r="EHG615" s="17">
        <v>44925</v>
      </c>
      <c r="EHH615" s="5" t="s">
        <v>3728</v>
      </c>
      <c r="EHI615" s="17">
        <v>44925</v>
      </c>
      <c r="EHJ615" s="5" t="s">
        <v>3728</v>
      </c>
      <c r="EHK615" s="17">
        <v>44925</v>
      </c>
      <c r="EHL615" s="5" t="s">
        <v>3728</v>
      </c>
      <c r="EHM615" s="17">
        <v>44925</v>
      </c>
      <c r="EHN615" s="5" t="s">
        <v>3728</v>
      </c>
      <c r="EHO615" s="17">
        <v>44925</v>
      </c>
      <c r="EHP615" s="5" t="s">
        <v>3728</v>
      </c>
      <c r="EHQ615" s="17">
        <v>44925</v>
      </c>
      <c r="EHR615" s="5" t="s">
        <v>3728</v>
      </c>
      <c r="EHS615" s="17">
        <v>44925</v>
      </c>
      <c r="EHT615" s="5" t="s">
        <v>3728</v>
      </c>
      <c r="EHU615" s="17">
        <v>44925</v>
      </c>
      <c r="EHV615" s="5" t="s">
        <v>3728</v>
      </c>
      <c r="EHW615" s="17">
        <v>44925</v>
      </c>
      <c r="EHX615" s="5" t="s">
        <v>3728</v>
      </c>
      <c r="EHY615" s="17">
        <v>44925</v>
      </c>
      <c r="EHZ615" s="5" t="s">
        <v>3728</v>
      </c>
      <c r="EIA615" s="17">
        <v>44925</v>
      </c>
      <c r="EIB615" s="5" t="s">
        <v>3728</v>
      </c>
      <c r="EIC615" s="17">
        <v>44925</v>
      </c>
      <c r="EID615" s="5" t="s">
        <v>3728</v>
      </c>
      <c r="EIE615" s="17">
        <v>44925</v>
      </c>
      <c r="EIF615" s="5" t="s">
        <v>3728</v>
      </c>
      <c r="EIG615" s="17">
        <v>44925</v>
      </c>
      <c r="EIH615" s="5" t="s">
        <v>3728</v>
      </c>
      <c r="EII615" s="17">
        <v>44925</v>
      </c>
      <c r="EIJ615" s="5" t="s">
        <v>3728</v>
      </c>
      <c r="EIK615" s="17">
        <v>44925</v>
      </c>
      <c r="EIL615" s="5" t="s">
        <v>3728</v>
      </c>
      <c r="EIM615" s="17">
        <v>44925</v>
      </c>
      <c r="EIN615" s="5" t="s">
        <v>3728</v>
      </c>
      <c r="EIO615" s="17">
        <v>44925</v>
      </c>
      <c r="EIP615" s="5" t="s">
        <v>3728</v>
      </c>
      <c r="EIQ615" s="17">
        <v>44925</v>
      </c>
      <c r="EIR615" s="5" t="s">
        <v>3728</v>
      </c>
      <c r="EIS615" s="17">
        <v>44925</v>
      </c>
      <c r="EIT615" s="5" t="s">
        <v>3728</v>
      </c>
      <c r="EIU615" s="17">
        <v>44925</v>
      </c>
      <c r="EIV615" s="5" t="s">
        <v>3728</v>
      </c>
      <c r="EIW615" s="17">
        <v>44925</v>
      </c>
      <c r="EIX615" s="5" t="s">
        <v>3728</v>
      </c>
      <c r="EIY615" s="17">
        <v>44925</v>
      </c>
      <c r="EIZ615" s="5" t="s">
        <v>3728</v>
      </c>
      <c r="EJA615" s="17">
        <v>44925</v>
      </c>
      <c r="EJB615" s="5" t="s">
        <v>3728</v>
      </c>
      <c r="EJC615" s="17">
        <v>44925</v>
      </c>
      <c r="EJD615" s="5" t="s">
        <v>3728</v>
      </c>
      <c r="EJE615" s="17">
        <v>44925</v>
      </c>
      <c r="EJF615" s="5" t="s">
        <v>3728</v>
      </c>
      <c r="EJG615" s="17">
        <v>44925</v>
      </c>
      <c r="EJH615" s="5" t="s">
        <v>3728</v>
      </c>
      <c r="EJI615" s="17">
        <v>44925</v>
      </c>
      <c r="EJJ615" s="5" t="s">
        <v>3728</v>
      </c>
      <c r="EJK615" s="17">
        <v>44925</v>
      </c>
      <c r="EJL615" s="5" t="s">
        <v>3728</v>
      </c>
      <c r="EJM615" s="17">
        <v>44925</v>
      </c>
      <c r="EJN615" s="5" t="s">
        <v>3728</v>
      </c>
      <c r="EJO615" s="17">
        <v>44925</v>
      </c>
      <c r="EJP615" s="5" t="s">
        <v>3728</v>
      </c>
      <c r="EJQ615" s="17">
        <v>44925</v>
      </c>
      <c r="EJR615" s="5" t="s">
        <v>3728</v>
      </c>
      <c r="EJS615" s="17">
        <v>44925</v>
      </c>
      <c r="EJT615" s="5" t="s">
        <v>3728</v>
      </c>
      <c r="EJU615" s="17">
        <v>44925</v>
      </c>
      <c r="EJV615" s="5" t="s">
        <v>3728</v>
      </c>
      <c r="EJW615" s="17">
        <v>44925</v>
      </c>
      <c r="EJX615" s="5" t="s">
        <v>3728</v>
      </c>
      <c r="EJY615" s="17">
        <v>44925</v>
      </c>
      <c r="EJZ615" s="5" t="s">
        <v>3728</v>
      </c>
      <c r="EKA615" s="17">
        <v>44925</v>
      </c>
      <c r="EKB615" s="5" t="s">
        <v>3728</v>
      </c>
      <c r="EKC615" s="17">
        <v>44925</v>
      </c>
      <c r="EKD615" s="5" t="s">
        <v>3728</v>
      </c>
      <c r="EKE615" s="17">
        <v>44925</v>
      </c>
      <c r="EKF615" s="5" t="s">
        <v>3728</v>
      </c>
      <c r="EKG615" s="17">
        <v>44925</v>
      </c>
      <c r="EKH615" s="5" t="s">
        <v>3728</v>
      </c>
      <c r="EKI615" s="17">
        <v>44925</v>
      </c>
      <c r="EKJ615" s="5" t="s">
        <v>3728</v>
      </c>
      <c r="EKK615" s="17">
        <v>44925</v>
      </c>
      <c r="EKL615" s="5" t="s">
        <v>3728</v>
      </c>
      <c r="EKM615" s="17">
        <v>44925</v>
      </c>
      <c r="EKN615" s="5" t="s">
        <v>3728</v>
      </c>
      <c r="EKO615" s="17">
        <v>44925</v>
      </c>
      <c r="EKP615" s="5" t="s">
        <v>3728</v>
      </c>
      <c r="EKQ615" s="17">
        <v>44925</v>
      </c>
      <c r="EKR615" s="5" t="s">
        <v>3728</v>
      </c>
      <c r="EKS615" s="17">
        <v>44925</v>
      </c>
      <c r="EKT615" s="5" t="s">
        <v>3728</v>
      </c>
      <c r="EKU615" s="17">
        <v>44925</v>
      </c>
      <c r="EKV615" s="5" t="s">
        <v>3728</v>
      </c>
      <c r="EKW615" s="17">
        <v>44925</v>
      </c>
      <c r="EKX615" s="5" t="s">
        <v>3728</v>
      </c>
      <c r="EKY615" s="17">
        <v>44925</v>
      </c>
      <c r="EKZ615" s="5" t="s">
        <v>3728</v>
      </c>
      <c r="ELA615" s="17">
        <v>44925</v>
      </c>
      <c r="ELB615" s="5" t="s">
        <v>3728</v>
      </c>
      <c r="ELC615" s="17">
        <v>44925</v>
      </c>
      <c r="ELD615" s="5" t="s">
        <v>3728</v>
      </c>
      <c r="ELE615" s="17">
        <v>44925</v>
      </c>
      <c r="ELF615" s="5" t="s">
        <v>3728</v>
      </c>
      <c r="ELG615" s="17">
        <v>44925</v>
      </c>
      <c r="ELH615" s="5" t="s">
        <v>3728</v>
      </c>
      <c r="ELI615" s="17">
        <v>44925</v>
      </c>
      <c r="ELJ615" s="5" t="s">
        <v>3728</v>
      </c>
      <c r="ELK615" s="17">
        <v>44925</v>
      </c>
      <c r="ELL615" s="5" t="s">
        <v>3728</v>
      </c>
      <c r="ELM615" s="17">
        <v>44925</v>
      </c>
      <c r="ELN615" s="5" t="s">
        <v>3728</v>
      </c>
      <c r="ELO615" s="17">
        <v>44925</v>
      </c>
      <c r="ELP615" s="5" t="s">
        <v>3728</v>
      </c>
      <c r="ELQ615" s="17">
        <v>44925</v>
      </c>
      <c r="ELR615" s="5" t="s">
        <v>3728</v>
      </c>
      <c r="ELS615" s="17">
        <v>44925</v>
      </c>
      <c r="ELT615" s="5" t="s">
        <v>3728</v>
      </c>
      <c r="ELU615" s="17">
        <v>44925</v>
      </c>
      <c r="ELV615" s="5" t="s">
        <v>3728</v>
      </c>
      <c r="ELW615" s="17">
        <v>44925</v>
      </c>
      <c r="ELX615" s="5" t="s">
        <v>3728</v>
      </c>
      <c r="ELY615" s="17">
        <v>44925</v>
      </c>
      <c r="ELZ615" s="5" t="s">
        <v>3728</v>
      </c>
      <c r="EMA615" s="17">
        <v>44925</v>
      </c>
      <c r="EMB615" s="5" t="s">
        <v>3728</v>
      </c>
      <c r="EMC615" s="17">
        <v>44925</v>
      </c>
      <c r="EMD615" s="5" t="s">
        <v>3728</v>
      </c>
      <c r="EME615" s="17">
        <v>44925</v>
      </c>
      <c r="EMF615" s="5" t="s">
        <v>3728</v>
      </c>
      <c r="EMG615" s="17">
        <v>44925</v>
      </c>
      <c r="EMH615" s="5" t="s">
        <v>3728</v>
      </c>
      <c r="EMI615" s="17">
        <v>44925</v>
      </c>
      <c r="EMJ615" s="5" t="s">
        <v>3728</v>
      </c>
      <c r="EMK615" s="17">
        <v>44925</v>
      </c>
      <c r="EML615" s="5" t="s">
        <v>3728</v>
      </c>
      <c r="EMM615" s="17">
        <v>44925</v>
      </c>
      <c r="EMN615" s="5" t="s">
        <v>3728</v>
      </c>
      <c r="EMO615" s="17">
        <v>44925</v>
      </c>
      <c r="EMP615" s="5" t="s">
        <v>3728</v>
      </c>
      <c r="EMQ615" s="17">
        <v>44925</v>
      </c>
      <c r="EMR615" s="5" t="s">
        <v>3728</v>
      </c>
      <c r="EMS615" s="17">
        <v>44925</v>
      </c>
      <c r="EMT615" s="5" t="s">
        <v>3728</v>
      </c>
      <c r="EMU615" s="17">
        <v>44925</v>
      </c>
      <c r="EMV615" s="5" t="s">
        <v>3728</v>
      </c>
      <c r="EMW615" s="17">
        <v>44925</v>
      </c>
      <c r="EMX615" s="5" t="s">
        <v>3728</v>
      </c>
      <c r="EMY615" s="17">
        <v>44925</v>
      </c>
      <c r="EMZ615" s="5" t="s">
        <v>3728</v>
      </c>
      <c r="ENA615" s="17">
        <v>44925</v>
      </c>
      <c r="ENB615" s="5" t="s">
        <v>3728</v>
      </c>
      <c r="ENC615" s="17">
        <v>44925</v>
      </c>
      <c r="END615" s="5" t="s">
        <v>3728</v>
      </c>
      <c r="ENE615" s="17">
        <v>44925</v>
      </c>
      <c r="ENF615" s="5" t="s">
        <v>3728</v>
      </c>
      <c r="ENG615" s="17">
        <v>44925</v>
      </c>
      <c r="ENH615" s="5" t="s">
        <v>3728</v>
      </c>
      <c r="ENI615" s="17">
        <v>44925</v>
      </c>
      <c r="ENJ615" s="5" t="s">
        <v>3728</v>
      </c>
      <c r="ENK615" s="17">
        <v>44925</v>
      </c>
      <c r="ENL615" s="5" t="s">
        <v>3728</v>
      </c>
      <c r="ENM615" s="17">
        <v>44925</v>
      </c>
      <c r="ENN615" s="5" t="s">
        <v>3728</v>
      </c>
      <c r="ENO615" s="17">
        <v>44925</v>
      </c>
      <c r="ENP615" s="5" t="s">
        <v>3728</v>
      </c>
      <c r="ENQ615" s="17">
        <v>44925</v>
      </c>
      <c r="ENR615" s="5" t="s">
        <v>3728</v>
      </c>
      <c r="ENS615" s="17">
        <v>44925</v>
      </c>
      <c r="ENT615" s="5" t="s">
        <v>3728</v>
      </c>
      <c r="ENU615" s="17">
        <v>44925</v>
      </c>
      <c r="ENV615" s="5" t="s">
        <v>3728</v>
      </c>
      <c r="ENW615" s="17">
        <v>44925</v>
      </c>
      <c r="ENX615" s="5" t="s">
        <v>3728</v>
      </c>
      <c r="ENY615" s="17">
        <v>44925</v>
      </c>
      <c r="ENZ615" s="5" t="s">
        <v>3728</v>
      </c>
      <c r="EOA615" s="17">
        <v>44925</v>
      </c>
      <c r="EOB615" s="5" t="s">
        <v>3728</v>
      </c>
      <c r="EOC615" s="17">
        <v>44925</v>
      </c>
      <c r="EOD615" s="5" t="s">
        <v>3728</v>
      </c>
      <c r="EOE615" s="17">
        <v>44925</v>
      </c>
      <c r="EOF615" s="5" t="s">
        <v>3728</v>
      </c>
      <c r="EOG615" s="17">
        <v>44925</v>
      </c>
      <c r="EOH615" s="5" t="s">
        <v>3728</v>
      </c>
      <c r="EOI615" s="17">
        <v>44925</v>
      </c>
      <c r="EOJ615" s="5" t="s">
        <v>3728</v>
      </c>
      <c r="EOK615" s="17">
        <v>44925</v>
      </c>
      <c r="EOL615" s="5" t="s">
        <v>3728</v>
      </c>
      <c r="EOM615" s="17">
        <v>44925</v>
      </c>
      <c r="EON615" s="5" t="s">
        <v>3728</v>
      </c>
      <c r="EOO615" s="17">
        <v>44925</v>
      </c>
      <c r="EOP615" s="5" t="s">
        <v>3728</v>
      </c>
      <c r="EOQ615" s="17">
        <v>44925</v>
      </c>
      <c r="EOR615" s="5" t="s">
        <v>3728</v>
      </c>
      <c r="EOS615" s="17">
        <v>44925</v>
      </c>
      <c r="EOT615" s="5" t="s">
        <v>3728</v>
      </c>
      <c r="EOU615" s="17">
        <v>44925</v>
      </c>
      <c r="EOV615" s="5" t="s">
        <v>3728</v>
      </c>
      <c r="EOW615" s="17">
        <v>44925</v>
      </c>
      <c r="EOX615" s="5" t="s">
        <v>3728</v>
      </c>
      <c r="EOY615" s="17">
        <v>44925</v>
      </c>
      <c r="EOZ615" s="5" t="s">
        <v>3728</v>
      </c>
      <c r="EPA615" s="17">
        <v>44925</v>
      </c>
      <c r="EPB615" s="5" t="s">
        <v>3728</v>
      </c>
      <c r="EPC615" s="17">
        <v>44925</v>
      </c>
      <c r="EPD615" s="5" t="s">
        <v>3728</v>
      </c>
      <c r="EPE615" s="17">
        <v>44925</v>
      </c>
      <c r="EPF615" s="5" t="s">
        <v>3728</v>
      </c>
      <c r="EPG615" s="17">
        <v>44925</v>
      </c>
      <c r="EPH615" s="5" t="s">
        <v>3728</v>
      </c>
      <c r="EPI615" s="17">
        <v>44925</v>
      </c>
      <c r="EPJ615" s="5" t="s">
        <v>3728</v>
      </c>
      <c r="EPK615" s="17">
        <v>44925</v>
      </c>
      <c r="EPL615" s="5" t="s">
        <v>3728</v>
      </c>
      <c r="EPM615" s="17">
        <v>44925</v>
      </c>
      <c r="EPN615" s="5" t="s">
        <v>3728</v>
      </c>
      <c r="EPO615" s="17">
        <v>44925</v>
      </c>
      <c r="EPP615" s="5" t="s">
        <v>3728</v>
      </c>
      <c r="EPQ615" s="17">
        <v>44925</v>
      </c>
      <c r="EPR615" s="5" t="s">
        <v>3728</v>
      </c>
      <c r="EPS615" s="17">
        <v>44925</v>
      </c>
      <c r="EPT615" s="5" t="s">
        <v>3728</v>
      </c>
      <c r="EPU615" s="17">
        <v>44925</v>
      </c>
      <c r="EPV615" s="5" t="s">
        <v>3728</v>
      </c>
      <c r="EPW615" s="17">
        <v>44925</v>
      </c>
      <c r="EPX615" s="5" t="s">
        <v>3728</v>
      </c>
      <c r="EPY615" s="17">
        <v>44925</v>
      </c>
      <c r="EPZ615" s="5" t="s">
        <v>3728</v>
      </c>
      <c r="EQA615" s="17">
        <v>44925</v>
      </c>
      <c r="EQB615" s="5" t="s">
        <v>3728</v>
      </c>
      <c r="EQC615" s="17">
        <v>44925</v>
      </c>
      <c r="EQD615" s="5" t="s">
        <v>3728</v>
      </c>
      <c r="EQE615" s="17">
        <v>44925</v>
      </c>
      <c r="EQF615" s="5" t="s">
        <v>3728</v>
      </c>
      <c r="EQG615" s="17">
        <v>44925</v>
      </c>
      <c r="EQH615" s="5" t="s">
        <v>3728</v>
      </c>
      <c r="EQI615" s="17">
        <v>44925</v>
      </c>
      <c r="EQJ615" s="5" t="s">
        <v>3728</v>
      </c>
      <c r="EQK615" s="17">
        <v>44925</v>
      </c>
      <c r="EQL615" s="5" t="s">
        <v>3728</v>
      </c>
      <c r="EQM615" s="17">
        <v>44925</v>
      </c>
      <c r="EQN615" s="5" t="s">
        <v>3728</v>
      </c>
      <c r="EQO615" s="17">
        <v>44925</v>
      </c>
      <c r="EQP615" s="5" t="s">
        <v>3728</v>
      </c>
      <c r="EQQ615" s="17">
        <v>44925</v>
      </c>
      <c r="EQR615" s="5" t="s">
        <v>3728</v>
      </c>
      <c r="EQS615" s="17">
        <v>44925</v>
      </c>
      <c r="EQT615" s="5" t="s">
        <v>3728</v>
      </c>
      <c r="EQU615" s="17">
        <v>44925</v>
      </c>
      <c r="EQV615" s="5" t="s">
        <v>3728</v>
      </c>
      <c r="EQW615" s="17">
        <v>44925</v>
      </c>
      <c r="EQX615" s="5" t="s">
        <v>3728</v>
      </c>
      <c r="EQY615" s="17">
        <v>44925</v>
      </c>
      <c r="EQZ615" s="5" t="s">
        <v>3728</v>
      </c>
      <c r="ERA615" s="17">
        <v>44925</v>
      </c>
      <c r="ERB615" s="5" t="s">
        <v>3728</v>
      </c>
      <c r="ERC615" s="17">
        <v>44925</v>
      </c>
      <c r="ERD615" s="5" t="s">
        <v>3728</v>
      </c>
      <c r="ERE615" s="17">
        <v>44925</v>
      </c>
      <c r="ERF615" s="5" t="s">
        <v>3728</v>
      </c>
      <c r="ERG615" s="17">
        <v>44925</v>
      </c>
      <c r="ERH615" s="5" t="s">
        <v>3728</v>
      </c>
      <c r="ERI615" s="17">
        <v>44925</v>
      </c>
      <c r="ERJ615" s="5" t="s">
        <v>3728</v>
      </c>
      <c r="ERK615" s="17">
        <v>44925</v>
      </c>
      <c r="ERL615" s="5" t="s">
        <v>3728</v>
      </c>
      <c r="ERM615" s="17">
        <v>44925</v>
      </c>
      <c r="ERN615" s="5" t="s">
        <v>3728</v>
      </c>
      <c r="ERO615" s="17">
        <v>44925</v>
      </c>
      <c r="ERP615" s="5" t="s">
        <v>3728</v>
      </c>
      <c r="ERQ615" s="17">
        <v>44925</v>
      </c>
      <c r="ERR615" s="5" t="s">
        <v>3728</v>
      </c>
      <c r="ERS615" s="17">
        <v>44925</v>
      </c>
      <c r="ERT615" s="5" t="s">
        <v>3728</v>
      </c>
      <c r="ERU615" s="17">
        <v>44925</v>
      </c>
      <c r="ERV615" s="5" t="s">
        <v>3728</v>
      </c>
      <c r="ERW615" s="17">
        <v>44925</v>
      </c>
      <c r="ERX615" s="5" t="s">
        <v>3728</v>
      </c>
      <c r="ERY615" s="17">
        <v>44925</v>
      </c>
      <c r="ERZ615" s="5" t="s">
        <v>3728</v>
      </c>
      <c r="ESA615" s="17">
        <v>44925</v>
      </c>
      <c r="ESB615" s="5" t="s">
        <v>3728</v>
      </c>
      <c r="ESC615" s="17">
        <v>44925</v>
      </c>
      <c r="ESD615" s="5" t="s">
        <v>3728</v>
      </c>
      <c r="ESE615" s="17">
        <v>44925</v>
      </c>
      <c r="ESF615" s="5" t="s">
        <v>3728</v>
      </c>
      <c r="ESG615" s="17">
        <v>44925</v>
      </c>
      <c r="ESH615" s="5" t="s">
        <v>3728</v>
      </c>
      <c r="ESI615" s="17">
        <v>44925</v>
      </c>
      <c r="ESJ615" s="5" t="s">
        <v>3728</v>
      </c>
      <c r="ESK615" s="17">
        <v>44925</v>
      </c>
      <c r="ESL615" s="5" t="s">
        <v>3728</v>
      </c>
      <c r="ESM615" s="17">
        <v>44925</v>
      </c>
      <c r="ESN615" s="5" t="s">
        <v>3728</v>
      </c>
      <c r="ESO615" s="17">
        <v>44925</v>
      </c>
      <c r="ESP615" s="5" t="s">
        <v>3728</v>
      </c>
      <c r="ESQ615" s="17">
        <v>44925</v>
      </c>
      <c r="ESR615" s="5" t="s">
        <v>3728</v>
      </c>
      <c r="ESS615" s="17">
        <v>44925</v>
      </c>
      <c r="EST615" s="5" t="s">
        <v>3728</v>
      </c>
      <c r="ESU615" s="17">
        <v>44925</v>
      </c>
      <c r="ESV615" s="5" t="s">
        <v>3728</v>
      </c>
      <c r="ESW615" s="17">
        <v>44925</v>
      </c>
      <c r="ESX615" s="5" t="s">
        <v>3728</v>
      </c>
      <c r="ESY615" s="17">
        <v>44925</v>
      </c>
      <c r="ESZ615" s="5" t="s">
        <v>3728</v>
      </c>
      <c r="ETA615" s="17">
        <v>44925</v>
      </c>
      <c r="ETB615" s="5" t="s">
        <v>3728</v>
      </c>
      <c r="ETC615" s="17">
        <v>44925</v>
      </c>
      <c r="ETD615" s="5" t="s">
        <v>3728</v>
      </c>
      <c r="ETE615" s="17">
        <v>44925</v>
      </c>
      <c r="ETF615" s="5" t="s">
        <v>3728</v>
      </c>
      <c r="ETG615" s="17">
        <v>44925</v>
      </c>
      <c r="ETH615" s="5" t="s">
        <v>3728</v>
      </c>
      <c r="ETI615" s="17">
        <v>44925</v>
      </c>
      <c r="ETJ615" s="5" t="s">
        <v>3728</v>
      </c>
      <c r="ETK615" s="17">
        <v>44925</v>
      </c>
      <c r="ETL615" s="5" t="s">
        <v>3728</v>
      </c>
      <c r="ETM615" s="17">
        <v>44925</v>
      </c>
      <c r="ETN615" s="5" t="s">
        <v>3728</v>
      </c>
      <c r="ETO615" s="17">
        <v>44925</v>
      </c>
      <c r="ETP615" s="5" t="s">
        <v>3728</v>
      </c>
      <c r="ETQ615" s="17">
        <v>44925</v>
      </c>
      <c r="ETR615" s="5" t="s">
        <v>3728</v>
      </c>
      <c r="ETS615" s="17">
        <v>44925</v>
      </c>
      <c r="ETT615" s="5" t="s">
        <v>3728</v>
      </c>
      <c r="ETU615" s="17">
        <v>44925</v>
      </c>
      <c r="ETV615" s="5" t="s">
        <v>3728</v>
      </c>
      <c r="ETW615" s="17">
        <v>44925</v>
      </c>
      <c r="ETX615" s="5" t="s">
        <v>3728</v>
      </c>
      <c r="ETY615" s="17">
        <v>44925</v>
      </c>
      <c r="ETZ615" s="5" t="s">
        <v>3728</v>
      </c>
      <c r="EUA615" s="17">
        <v>44925</v>
      </c>
      <c r="EUB615" s="5" t="s">
        <v>3728</v>
      </c>
      <c r="EUC615" s="17">
        <v>44925</v>
      </c>
      <c r="EUD615" s="5" t="s">
        <v>3728</v>
      </c>
      <c r="EUE615" s="17">
        <v>44925</v>
      </c>
      <c r="EUF615" s="5" t="s">
        <v>3728</v>
      </c>
      <c r="EUG615" s="17">
        <v>44925</v>
      </c>
      <c r="EUH615" s="5" t="s">
        <v>3728</v>
      </c>
      <c r="EUI615" s="17">
        <v>44925</v>
      </c>
      <c r="EUJ615" s="5" t="s">
        <v>3728</v>
      </c>
      <c r="EUK615" s="17">
        <v>44925</v>
      </c>
      <c r="EUL615" s="5" t="s">
        <v>3728</v>
      </c>
      <c r="EUM615" s="17">
        <v>44925</v>
      </c>
      <c r="EUN615" s="5" t="s">
        <v>3728</v>
      </c>
      <c r="EUO615" s="17">
        <v>44925</v>
      </c>
      <c r="EUP615" s="5" t="s">
        <v>3728</v>
      </c>
      <c r="EUQ615" s="17">
        <v>44925</v>
      </c>
      <c r="EUR615" s="5" t="s">
        <v>3728</v>
      </c>
      <c r="EUS615" s="17">
        <v>44925</v>
      </c>
      <c r="EUT615" s="5" t="s">
        <v>3728</v>
      </c>
      <c r="EUU615" s="17">
        <v>44925</v>
      </c>
      <c r="EUV615" s="5" t="s">
        <v>3728</v>
      </c>
      <c r="EUW615" s="17">
        <v>44925</v>
      </c>
      <c r="EUX615" s="5" t="s">
        <v>3728</v>
      </c>
      <c r="EUY615" s="17">
        <v>44925</v>
      </c>
      <c r="EUZ615" s="5" t="s">
        <v>3728</v>
      </c>
      <c r="EVA615" s="17">
        <v>44925</v>
      </c>
      <c r="EVB615" s="5" t="s">
        <v>3728</v>
      </c>
      <c r="EVC615" s="17">
        <v>44925</v>
      </c>
      <c r="EVD615" s="5" t="s">
        <v>3728</v>
      </c>
      <c r="EVE615" s="17">
        <v>44925</v>
      </c>
      <c r="EVF615" s="5" t="s">
        <v>3728</v>
      </c>
      <c r="EVG615" s="17">
        <v>44925</v>
      </c>
      <c r="EVH615" s="5" t="s">
        <v>3728</v>
      </c>
      <c r="EVI615" s="17">
        <v>44925</v>
      </c>
      <c r="EVJ615" s="5" t="s">
        <v>3728</v>
      </c>
      <c r="EVK615" s="17">
        <v>44925</v>
      </c>
      <c r="EVL615" s="5" t="s">
        <v>3728</v>
      </c>
      <c r="EVM615" s="17">
        <v>44925</v>
      </c>
      <c r="EVN615" s="5" t="s">
        <v>3728</v>
      </c>
      <c r="EVO615" s="17">
        <v>44925</v>
      </c>
      <c r="EVP615" s="5" t="s">
        <v>3728</v>
      </c>
      <c r="EVQ615" s="17">
        <v>44925</v>
      </c>
      <c r="EVR615" s="5" t="s">
        <v>3728</v>
      </c>
      <c r="EVS615" s="17">
        <v>44925</v>
      </c>
      <c r="EVT615" s="5" t="s">
        <v>3728</v>
      </c>
      <c r="EVU615" s="17">
        <v>44925</v>
      </c>
      <c r="EVV615" s="5" t="s">
        <v>3728</v>
      </c>
      <c r="EVW615" s="17">
        <v>44925</v>
      </c>
      <c r="EVX615" s="5" t="s">
        <v>3728</v>
      </c>
      <c r="EVY615" s="17">
        <v>44925</v>
      </c>
      <c r="EVZ615" s="5" t="s">
        <v>3728</v>
      </c>
      <c r="EWA615" s="17">
        <v>44925</v>
      </c>
      <c r="EWB615" s="5" t="s">
        <v>3728</v>
      </c>
      <c r="EWC615" s="17">
        <v>44925</v>
      </c>
      <c r="EWD615" s="5" t="s">
        <v>3728</v>
      </c>
      <c r="EWE615" s="17">
        <v>44925</v>
      </c>
      <c r="EWF615" s="5" t="s">
        <v>3728</v>
      </c>
      <c r="EWG615" s="17">
        <v>44925</v>
      </c>
      <c r="EWH615" s="5" t="s">
        <v>3728</v>
      </c>
      <c r="EWI615" s="17">
        <v>44925</v>
      </c>
      <c r="EWJ615" s="5" t="s">
        <v>3728</v>
      </c>
      <c r="EWK615" s="17">
        <v>44925</v>
      </c>
      <c r="EWL615" s="5" t="s">
        <v>3728</v>
      </c>
      <c r="EWM615" s="17">
        <v>44925</v>
      </c>
      <c r="EWN615" s="5" t="s">
        <v>3728</v>
      </c>
      <c r="EWO615" s="17">
        <v>44925</v>
      </c>
      <c r="EWP615" s="5" t="s">
        <v>3728</v>
      </c>
      <c r="EWQ615" s="17">
        <v>44925</v>
      </c>
      <c r="EWR615" s="5" t="s">
        <v>3728</v>
      </c>
      <c r="EWS615" s="17">
        <v>44925</v>
      </c>
      <c r="EWT615" s="5" t="s">
        <v>3728</v>
      </c>
      <c r="EWU615" s="17">
        <v>44925</v>
      </c>
      <c r="EWV615" s="5" t="s">
        <v>3728</v>
      </c>
      <c r="EWW615" s="17">
        <v>44925</v>
      </c>
      <c r="EWX615" s="5" t="s">
        <v>3728</v>
      </c>
      <c r="EWY615" s="17">
        <v>44925</v>
      </c>
      <c r="EWZ615" s="5" t="s">
        <v>3728</v>
      </c>
      <c r="EXA615" s="17">
        <v>44925</v>
      </c>
      <c r="EXB615" s="5" t="s">
        <v>3728</v>
      </c>
      <c r="EXC615" s="17">
        <v>44925</v>
      </c>
      <c r="EXD615" s="5" t="s">
        <v>3728</v>
      </c>
      <c r="EXE615" s="17">
        <v>44925</v>
      </c>
      <c r="EXF615" s="5" t="s">
        <v>3728</v>
      </c>
      <c r="EXG615" s="17">
        <v>44925</v>
      </c>
      <c r="EXH615" s="5" t="s">
        <v>3728</v>
      </c>
      <c r="EXI615" s="17">
        <v>44925</v>
      </c>
      <c r="EXJ615" s="5" t="s">
        <v>3728</v>
      </c>
      <c r="EXK615" s="17">
        <v>44925</v>
      </c>
      <c r="EXL615" s="5" t="s">
        <v>3728</v>
      </c>
      <c r="EXM615" s="17">
        <v>44925</v>
      </c>
      <c r="EXN615" s="5" t="s">
        <v>3728</v>
      </c>
      <c r="EXO615" s="17">
        <v>44925</v>
      </c>
      <c r="EXP615" s="5" t="s">
        <v>3728</v>
      </c>
      <c r="EXQ615" s="17">
        <v>44925</v>
      </c>
      <c r="EXR615" s="5" t="s">
        <v>3728</v>
      </c>
      <c r="EXS615" s="17">
        <v>44925</v>
      </c>
      <c r="EXT615" s="5" t="s">
        <v>3728</v>
      </c>
      <c r="EXU615" s="17">
        <v>44925</v>
      </c>
      <c r="EXV615" s="5" t="s">
        <v>3728</v>
      </c>
      <c r="EXW615" s="17">
        <v>44925</v>
      </c>
      <c r="EXX615" s="5" t="s">
        <v>3728</v>
      </c>
      <c r="EXY615" s="17">
        <v>44925</v>
      </c>
      <c r="EXZ615" s="5" t="s">
        <v>3728</v>
      </c>
      <c r="EYA615" s="17">
        <v>44925</v>
      </c>
      <c r="EYB615" s="5" t="s">
        <v>3728</v>
      </c>
      <c r="EYC615" s="17">
        <v>44925</v>
      </c>
      <c r="EYD615" s="5" t="s">
        <v>3728</v>
      </c>
      <c r="EYE615" s="17">
        <v>44925</v>
      </c>
      <c r="EYF615" s="5" t="s">
        <v>3728</v>
      </c>
      <c r="EYG615" s="17">
        <v>44925</v>
      </c>
      <c r="EYH615" s="5" t="s">
        <v>3728</v>
      </c>
      <c r="EYI615" s="17">
        <v>44925</v>
      </c>
      <c r="EYJ615" s="5" t="s">
        <v>3728</v>
      </c>
      <c r="EYK615" s="17">
        <v>44925</v>
      </c>
      <c r="EYL615" s="5" t="s">
        <v>3728</v>
      </c>
      <c r="EYM615" s="17">
        <v>44925</v>
      </c>
      <c r="EYN615" s="5" t="s">
        <v>3728</v>
      </c>
      <c r="EYO615" s="17">
        <v>44925</v>
      </c>
      <c r="EYP615" s="5" t="s">
        <v>3728</v>
      </c>
      <c r="EYQ615" s="17">
        <v>44925</v>
      </c>
      <c r="EYR615" s="5" t="s">
        <v>3728</v>
      </c>
      <c r="EYS615" s="17">
        <v>44925</v>
      </c>
      <c r="EYT615" s="5" t="s">
        <v>3728</v>
      </c>
      <c r="EYU615" s="17">
        <v>44925</v>
      </c>
      <c r="EYV615" s="5" t="s">
        <v>3728</v>
      </c>
      <c r="EYW615" s="17">
        <v>44925</v>
      </c>
      <c r="EYX615" s="5" t="s">
        <v>3728</v>
      </c>
      <c r="EYY615" s="17">
        <v>44925</v>
      </c>
      <c r="EYZ615" s="5" t="s">
        <v>3728</v>
      </c>
      <c r="EZA615" s="17">
        <v>44925</v>
      </c>
      <c r="EZB615" s="5" t="s">
        <v>3728</v>
      </c>
      <c r="EZC615" s="17">
        <v>44925</v>
      </c>
      <c r="EZD615" s="5" t="s">
        <v>3728</v>
      </c>
      <c r="EZE615" s="17">
        <v>44925</v>
      </c>
      <c r="EZF615" s="5" t="s">
        <v>3728</v>
      </c>
      <c r="EZG615" s="17">
        <v>44925</v>
      </c>
      <c r="EZH615" s="5" t="s">
        <v>3728</v>
      </c>
      <c r="EZI615" s="17">
        <v>44925</v>
      </c>
      <c r="EZJ615" s="5" t="s">
        <v>3728</v>
      </c>
      <c r="EZK615" s="17">
        <v>44925</v>
      </c>
      <c r="EZL615" s="5" t="s">
        <v>3728</v>
      </c>
      <c r="EZM615" s="17">
        <v>44925</v>
      </c>
      <c r="EZN615" s="5" t="s">
        <v>3728</v>
      </c>
      <c r="EZO615" s="17">
        <v>44925</v>
      </c>
      <c r="EZP615" s="5" t="s">
        <v>3728</v>
      </c>
      <c r="EZQ615" s="17">
        <v>44925</v>
      </c>
      <c r="EZR615" s="5" t="s">
        <v>3728</v>
      </c>
      <c r="EZS615" s="17">
        <v>44925</v>
      </c>
      <c r="EZT615" s="5" t="s">
        <v>3728</v>
      </c>
      <c r="EZU615" s="17">
        <v>44925</v>
      </c>
      <c r="EZV615" s="5" t="s">
        <v>3728</v>
      </c>
      <c r="EZW615" s="17">
        <v>44925</v>
      </c>
      <c r="EZX615" s="5" t="s">
        <v>3728</v>
      </c>
      <c r="EZY615" s="17">
        <v>44925</v>
      </c>
      <c r="EZZ615" s="5" t="s">
        <v>3728</v>
      </c>
      <c r="FAA615" s="17">
        <v>44925</v>
      </c>
      <c r="FAB615" s="5" t="s">
        <v>3728</v>
      </c>
      <c r="FAC615" s="17">
        <v>44925</v>
      </c>
      <c r="FAD615" s="5" t="s">
        <v>3728</v>
      </c>
      <c r="FAE615" s="17">
        <v>44925</v>
      </c>
      <c r="FAF615" s="5" t="s">
        <v>3728</v>
      </c>
      <c r="FAG615" s="17">
        <v>44925</v>
      </c>
      <c r="FAH615" s="5" t="s">
        <v>3728</v>
      </c>
      <c r="FAI615" s="17">
        <v>44925</v>
      </c>
      <c r="FAJ615" s="5" t="s">
        <v>3728</v>
      </c>
      <c r="FAK615" s="17">
        <v>44925</v>
      </c>
      <c r="FAL615" s="5" t="s">
        <v>3728</v>
      </c>
      <c r="FAM615" s="17">
        <v>44925</v>
      </c>
      <c r="FAN615" s="5" t="s">
        <v>3728</v>
      </c>
      <c r="FAO615" s="17">
        <v>44925</v>
      </c>
      <c r="FAP615" s="5" t="s">
        <v>3728</v>
      </c>
      <c r="FAQ615" s="17">
        <v>44925</v>
      </c>
      <c r="FAR615" s="5" t="s">
        <v>3728</v>
      </c>
      <c r="FAS615" s="17">
        <v>44925</v>
      </c>
      <c r="FAT615" s="5" t="s">
        <v>3728</v>
      </c>
      <c r="FAU615" s="17">
        <v>44925</v>
      </c>
      <c r="FAV615" s="5" t="s">
        <v>3728</v>
      </c>
      <c r="FAW615" s="17">
        <v>44925</v>
      </c>
      <c r="FAX615" s="5" t="s">
        <v>3728</v>
      </c>
      <c r="FAY615" s="17">
        <v>44925</v>
      </c>
      <c r="FAZ615" s="5" t="s">
        <v>3728</v>
      </c>
      <c r="FBA615" s="17">
        <v>44925</v>
      </c>
      <c r="FBB615" s="5" t="s">
        <v>3728</v>
      </c>
      <c r="FBC615" s="17">
        <v>44925</v>
      </c>
      <c r="FBD615" s="5" t="s">
        <v>3728</v>
      </c>
      <c r="FBE615" s="17">
        <v>44925</v>
      </c>
      <c r="FBF615" s="5" t="s">
        <v>3728</v>
      </c>
      <c r="FBG615" s="17">
        <v>44925</v>
      </c>
      <c r="FBH615" s="5" t="s">
        <v>3728</v>
      </c>
      <c r="FBI615" s="17">
        <v>44925</v>
      </c>
      <c r="FBJ615" s="5" t="s">
        <v>3728</v>
      </c>
      <c r="FBK615" s="17">
        <v>44925</v>
      </c>
      <c r="FBL615" s="5" t="s">
        <v>3728</v>
      </c>
      <c r="FBM615" s="17">
        <v>44925</v>
      </c>
      <c r="FBN615" s="5" t="s">
        <v>3728</v>
      </c>
      <c r="FBO615" s="17">
        <v>44925</v>
      </c>
      <c r="FBP615" s="5" t="s">
        <v>3728</v>
      </c>
      <c r="FBQ615" s="17">
        <v>44925</v>
      </c>
      <c r="FBR615" s="5" t="s">
        <v>3728</v>
      </c>
      <c r="FBS615" s="17">
        <v>44925</v>
      </c>
      <c r="FBT615" s="5" t="s">
        <v>3728</v>
      </c>
      <c r="FBU615" s="17">
        <v>44925</v>
      </c>
      <c r="FBV615" s="5" t="s">
        <v>3728</v>
      </c>
      <c r="FBW615" s="17">
        <v>44925</v>
      </c>
      <c r="FBX615" s="5" t="s">
        <v>3728</v>
      </c>
      <c r="FBY615" s="17">
        <v>44925</v>
      </c>
      <c r="FBZ615" s="5" t="s">
        <v>3728</v>
      </c>
      <c r="FCA615" s="17">
        <v>44925</v>
      </c>
      <c r="FCB615" s="5" t="s">
        <v>3728</v>
      </c>
      <c r="FCC615" s="17">
        <v>44925</v>
      </c>
      <c r="FCD615" s="5" t="s">
        <v>3728</v>
      </c>
      <c r="FCE615" s="17">
        <v>44925</v>
      </c>
      <c r="FCF615" s="5" t="s">
        <v>3728</v>
      </c>
      <c r="FCG615" s="17">
        <v>44925</v>
      </c>
      <c r="FCH615" s="5" t="s">
        <v>3728</v>
      </c>
      <c r="FCI615" s="17">
        <v>44925</v>
      </c>
      <c r="FCJ615" s="5" t="s">
        <v>3728</v>
      </c>
      <c r="FCK615" s="17">
        <v>44925</v>
      </c>
      <c r="FCL615" s="5" t="s">
        <v>3728</v>
      </c>
      <c r="FCM615" s="17">
        <v>44925</v>
      </c>
      <c r="FCN615" s="5" t="s">
        <v>3728</v>
      </c>
      <c r="FCO615" s="17">
        <v>44925</v>
      </c>
      <c r="FCP615" s="5" t="s">
        <v>3728</v>
      </c>
      <c r="FCQ615" s="17">
        <v>44925</v>
      </c>
      <c r="FCR615" s="5" t="s">
        <v>3728</v>
      </c>
      <c r="FCS615" s="17">
        <v>44925</v>
      </c>
      <c r="FCT615" s="5" t="s">
        <v>3728</v>
      </c>
      <c r="FCU615" s="17">
        <v>44925</v>
      </c>
      <c r="FCV615" s="5" t="s">
        <v>3728</v>
      </c>
      <c r="FCW615" s="17">
        <v>44925</v>
      </c>
      <c r="FCX615" s="5" t="s">
        <v>3728</v>
      </c>
      <c r="FCY615" s="17">
        <v>44925</v>
      </c>
      <c r="FCZ615" s="5" t="s">
        <v>3728</v>
      </c>
      <c r="FDA615" s="17">
        <v>44925</v>
      </c>
      <c r="FDB615" s="5" t="s">
        <v>3728</v>
      </c>
      <c r="FDC615" s="17">
        <v>44925</v>
      </c>
      <c r="FDD615" s="5" t="s">
        <v>3728</v>
      </c>
      <c r="FDE615" s="17">
        <v>44925</v>
      </c>
      <c r="FDF615" s="5" t="s">
        <v>3728</v>
      </c>
      <c r="FDG615" s="17">
        <v>44925</v>
      </c>
      <c r="FDH615" s="5" t="s">
        <v>3728</v>
      </c>
      <c r="FDI615" s="17">
        <v>44925</v>
      </c>
      <c r="FDJ615" s="5" t="s">
        <v>3728</v>
      </c>
      <c r="FDK615" s="17">
        <v>44925</v>
      </c>
      <c r="FDL615" s="5" t="s">
        <v>3728</v>
      </c>
      <c r="FDM615" s="17">
        <v>44925</v>
      </c>
      <c r="FDN615" s="5" t="s">
        <v>3728</v>
      </c>
      <c r="FDO615" s="17">
        <v>44925</v>
      </c>
      <c r="FDP615" s="5" t="s">
        <v>3728</v>
      </c>
      <c r="FDQ615" s="17">
        <v>44925</v>
      </c>
      <c r="FDR615" s="5" t="s">
        <v>3728</v>
      </c>
      <c r="FDS615" s="17">
        <v>44925</v>
      </c>
      <c r="FDT615" s="5" t="s">
        <v>3728</v>
      </c>
      <c r="FDU615" s="17">
        <v>44925</v>
      </c>
      <c r="FDV615" s="5" t="s">
        <v>3728</v>
      </c>
      <c r="FDW615" s="17">
        <v>44925</v>
      </c>
      <c r="FDX615" s="5" t="s">
        <v>3728</v>
      </c>
      <c r="FDY615" s="17">
        <v>44925</v>
      </c>
      <c r="FDZ615" s="5" t="s">
        <v>3728</v>
      </c>
      <c r="FEA615" s="17">
        <v>44925</v>
      </c>
      <c r="FEB615" s="5" t="s">
        <v>3728</v>
      </c>
      <c r="FEC615" s="17">
        <v>44925</v>
      </c>
      <c r="FED615" s="5" t="s">
        <v>3728</v>
      </c>
      <c r="FEE615" s="17">
        <v>44925</v>
      </c>
      <c r="FEF615" s="5" t="s">
        <v>3728</v>
      </c>
      <c r="FEG615" s="17">
        <v>44925</v>
      </c>
      <c r="FEH615" s="5" t="s">
        <v>3728</v>
      </c>
      <c r="FEI615" s="17">
        <v>44925</v>
      </c>
      <c r="FEJ615" s="5" t="s">
        <v>3728</v>
      </c>
      <c r="FEK615" s="17">
        <v>44925</v>
      </c>
      <c r="FEL615" s="5" t="s">
        <v>3728</v>
      </c>
      <c r="FEM615" s="17">
        <v>44925</v>
      </c>
      <c r="FEN615" s="5" t="s">
        <v>3728</v>
      </c>
      <c r="FEO615" s="17">
        <v>44925</v>
      </c>
      <c r="FEP615" s="5" t="s">
        <v>3728</v>
      </c>
      <c r="FEQ615" s="17">
        <v>44925</v>
      </c>
      <c r="FER615" s="5" t="s">
        <v>3728</v>
      </c>
      <c r="FES615" s="17">
        <v>44925</v>
      </c>
      <c r="FET615" s="5" t="s">
        <v>3728</v>
      </c>
      <c r="FEU615" s="17">
        <v>44925</v>
      </c>
      <c r="FEV615" s="5" t="s">
        <v>3728</v>
      </c>
      <c r="FEW615" s="17">
        <v>44925</v>
      </c>
      <c r="FEX615" s="5" t="s">
        <v>3728</v>
      </c>
      <c r="FEY615" s="17">
        <v>44925</v>
      </c>
      <c r="FEZ615" s="5" t="s">
        <v>3728</v>
      </c>
      <c r="FFA615" s="17">
        <v>44925</v>
      </c>
      <c r="FFB615" s="5" t="s">
        <v>3728</v>
      </c>
      <c r="FFC615" s="17">
        <v>44925</v>
      </c>
      <c r="FFD615" s="5" t="s">
        <v>3728</v>
      </c>
      <c r="FFE615" s="17">
        <v>44925</v>
      </c>
      <c r="FFF615" s="5" t="s">
        <v>3728</v>
      </c>
      <c r="FFG615" s="17">
        <v>44925</v>
      </c>
      <c r="FFH615" s="5" t="s">
        <v>3728</v>
      </c>
      <c r="FFI615" s="17">
        <v>44925</v>
      </c>
      <c r="FFJ615" s="5" t="s">
        <v>3728</v>
      </c>
      <c r="FFK615" s="17">
        <v>44925</v>
      </c>
      <c r="FFL615" s="5" t="s">
        <v>3728</v>
      </c>
      <c r="FFM615" s="17">
        <v>44925</v>
      </c>
      <c r="FFN615" s="5" t="s">
        <v>3728</v>
      </c>
      <c r="FFO615" s="17">
        <v>44925</v>
      </c>
      <c r="FFP615" s="5" t="s">
        <v>3728</v>
      </c>
      <c r="FFQ615" s="17">
        <v>44925</v>
      </c>
      <c r="FFR615" s="5" t="s">
        <v>3728</v>
      </c>
      <c r="FFS615" s="17">
        <v>44925</v>
      </c>
      <c r="FFT615" s="5" t="s">
        <v>3728</v>
      </c>
      <c r="FFU615" s="17">
        <v>44925</v>
      </c>
      <c r="FFV615" s="5" t="s">
        <v>3728</v>
      </c>
      <c r="FFW615" s="17">
        <v>44925</v>
      </c>
      <c r="FFX615" s="5" t="s">
        <v>3728</v>
      </c>
      <c r="FFY615" s="17">
        <v>44925</v>
      </c>
      <c r="FFZ615" s="5" t="s">
        <v>3728</v>
      </c>
      <c r="FGA615" s="17">
        <v>44925</v>
      </c>
      <c r="FGB615" s="5" t="s">
        <v>3728</v>
      </c>
      <c r="FGC615" s="17">
        <v>44925</v>
      </c>
      <c r="FGD615" s="5" t="s">
        <v>3728</v>
      </c>
      <c r="FGE615" s="17">
        <v>44925</v>
      </c>
      <c r="FGF615" s="5" t="s">
        <v>3728</v>
      </c>
      <c r="FGG615" s="17">
        <v>44925</v>
      </c>
      <c r="FGH615" s="5" t="s">
        <v>3728</v>
      </c>
      <c r="FGI615" s="17">
        <v>44925</v>
      </c>
      <c r="FGJ615" s="5" t="s">
        <v>3728</v>
      </c>
      <c r="FGK615" s="17">
        <v>44925</v>
      </c>
      <c r="FGL615" s="5" t="s">
        <v>3728</v>
      </c>
      <c r="FGM615" s="17">
        <v>44925</v>
      </c>
      <c r="FGN615" s="5" t="s">
        <v>3728</v>
      </c>
      <c r="FGO615" s="17">
        <v>44925</v>
      </c>
      <c r="FGP615" s="5" t="s">
        <v>3728</v>
      </c>
      <c r="FGQ615" s="17">
        <v>44925</v>
      </c>
      <c r="FGR615" s="5" t="s">
        <v>3728</v>
      </c>
      <c r="FGS615" s="17">
        <v>44925</v>
      </c>
      <c r="FGT615" s="5" t="s">
        <v>3728</v>
      </c>
      <c r="FGU615" s="17">
        <v>44925</v>
      </c>
      <c r="FGV615" s="5" t="s">
        <v>3728</v>
      </c>
      <c r="FGW615" s="17">
        <v>44925</v>
      </c>
      <c r="FGX615" s="5" t="s">
        <v>3728</v>
      </c>
      <c r="FGY615" s="17">
        <v>44925</v>
      </c>
      <c r="FGZ615" s="5" t="s">
        <v>3728</v>
      </c>
      <c r="FHA615" s="17">
        <v>44925</v>
      </c>
      <c r="FHB615" s="5" t="s">
        <v>3728</v>
      </c>
      <c r="FHC615" s="17">
        <v>44925</v>
      </c>
      <c r="FHD615" s="5" t="s">
        <v>3728</v>
      </c>
      <c r="FHE615" s="17">
        <v>44925</v>
      </c>
      <c r="FHF615" s="5" t="s">
        <v>3728</v>
      </c>
      <c r="FHG615" s="17">
        <v>44925</v>
      </c>
      <c r="FHH615" s="5" t="s">
        <v>3728</v>
      </c>
      <c r="FHI615" s="17">
        <v>44925</v>
      </c>
      <c r="FHJ615" s="5" t="s">
        <v>3728</v>
      </c>
      <c r="FHK615" s="17">
        <v>44925</v>
      </c>
      <c r="FHL615" s="5" t="s">
        <v>3728</v>
      </c>
      <c r="FHM615" s="17">
        <v>44925</v>
      </c>
      <c r="FHN615" s="5" t="s">
        <v>3728</v>
      </c>
      <c r="FHO615" s="17">
        <v>44925</v>
      </c>
      <c r="FHP615" s="5" t="s">
        <v>3728</v>
      </c>
      <c r="FHQ615" s="17">
        <v>44925</v>
      </c>
      <c r="FHR615" s="5" t="s">
        <v>3728</v>
      </c>
      <c r="FHS615" s="17">
        <v>44925</v>
      </c>
      <c r="FHT615" s="5" t="s">
        <v>3728</v>
      </c>
      <c r="FHU615" s="17">
        <v>44925</v>
      </c>
      <c r="FHV615" s="5" t="s">
        <v>3728</v>
      </c>
      <c r="FHW615" s="17">
        <v>44925</v>
      </c>
      <c r="FHX615" s="5" t="s">
        <v>3728</v>
      </c>
      <c r="FHY615" s="17">
        <v>44925</v>
      </c>
      <c r="FHZ615" s="5" t="s">
        <v>3728</v>
      </c>
      <c r="FIA615" s="17">
        <v>44925</v>
      </c>
      <c r="FIB615" s="5" t="s">
        <v>3728</v>
      </c>
      <c r="FIC615" s="17">
        <v>44925</v>
      </c>
      <c r="FID615" s="5" t="s">
        <v>3728</v>
      </c>
      <c r="FIE615" s="17">
        <v>44925</v>
      </c>
      <c r="FIF615" s="5" t="s">
        <v>3728</v>
      </c>
      <c r="FIG615" s="17">
        <v>44925</v>
      </c>
      <c r="FIH615" s="5" t="s">
        <v>3728</v>
      </c>
      <c r="FII615" s="17">
        <v>44925</v>
      </c>
      <c r="FIJ615" s="5" t="s">
        <v>3728</v>
      </c>
      <c r="FIK615" s="17">
        <v>44925</v>
      </c>
      <c r="FIL615" s="5" t="s">
        <v>3728</v>
      </c>
      <c r="FIM615" s="17">
        <v>44925</v>
      </c>
      <c r="FIN615" s="5" t="s">
        <v>3728</v>
      </c>
      <c r="FIO615" s="17">
        <v>44925</v>
      </c>
      <c r="FIP615" s="5" t="s">
        <v>3728</v>
      </c>
      <c r="FIQ615" s="17">
        <v>44925</v>
      </c>
      <c r="FIR615" s="5" t="s">
        <v>3728</v>
      </c>
      <c r="FIS615" s="17">
        <v>44925</v>
      </c>
      <c r="FIT615" s="5" t="s">
        <v>3728</v>
      </c>
      <c r="FIU615" s="17">
        <v>44925</v>
      </c>
      <c r="FIV615" s="5" t="s">
        <v>3728</v>
      </c>
      <c r="FIW615" s="17">
        <v>44925</v>
      </c>
      <c r="FIX615" s="5" t="s">
        <v>3728</v>
      </c>
      <c r="FIY615" s="17">
        <v>44925</v>
      </c>
      <c r="FIZ615" s="5" t="s">
        <v>3728</v>
      </c>
      <c r="FJA615" s="17">
        <v>44925</v>
      </c>
      <c r="FJB615" s="5" t="s">
        <v>3728</v>
      </c>
      <c r="FJC615" s="17">
        <v>44925</v>
      </c>
      <c r="FJD615" s="5" t="s">
        <v>3728</v>
      </c>
      <c r="FJE615" s="17">
        <v>44925</v>
      </c>
      <c r="FJF615" s="5" t="s">
        <v>3728</v>
      </c>
      <c r="FJG615" s="17">
        <v>44925</v>
      </c>
      <c r="FJH615" s="5" t="s">
        <v>3728</v>
      </c>
      <c r="FJI615" s="17">
        <v>44925</v>
      </c>
      <c r="FJJ615" s="5" t="s">
        <v>3728</v>
      </c>
      <c r="FJK615" s="17">
        <v>44925</v>
      </c>
      <c r="FJL615" s="5" t="s">
        <v>3728</v>
      </c>
      <c r="FJM615" s="17">
        <v>44925</v>
      </c>
      <c r="FJN615" s="5" t="s">
        <v>3728</v>
      </c>
      <c r="FJO615" s="17">
        <v>44925</v>
      </c>
      <c r="FJP615" s="5" t="s">
        <v>3728</v>
      </c>
      <c r="FJQ615" s="17">
        <v>44925</v>
      </c>
      <c r="FJR615" s="5" t="s">
        <v>3728</v>
      </c>
      <c r="FJS615" s="17">
        <v>44925</v>
      </c>
      <c r="FJT615" s="5" t="s">
        <v>3728</v>
      </c>
      <c r="FJU615" s="17">
        <v>44925</v>
      </c>
      <c r="FJV615" s="5" t="s">
        <v>3728</v>
      </c>
      <c r="FJW615" s="17">
        <v>44925</v>
      </c>
      <c r="FJX615" s="5" t="s">
        <v>3728</v>
      </c>
      <c r="FJY615" s="17">
        <v>44925</v>
      </c>
      <c r="FJZ615" s="5" t="s">
        <v>3728</v>
      </c>
      <c r="FKA615" s="17">
        <v>44925</v>
      </c>
      <c r="FKB615" s="5" t="s">
        <v>3728</v>
      </c>
      <c r="FKC615" s="17">
        <v>44925</v>
      </c>
      <c r="FKD615" s="5" t="s">
        <v>3728</v>
      </c>
      <c r="FKE615" s="17">
        <v>44925</v>
      </c>
      <c r="FKF615" s="5" t="s">
        <v>3728</v>
      </c>
      <c r="FKG615" s="17">
        <v>44925</v>
      </c>
      <c r="FKH615" s="5" t="s">
        <v>3728</v>
      </c>
      <c r="FKI615" s="17">
        <v>44925</v>
      </c>
      <c r="FKJ615" s="5" t="s">
        <v>3728</v>
      </c>
      <c r="FKK615" s="17">
        <v>44925</v>
      </c>
      <c r="FKL615" s="5" t="s">
        <v>3728</v>
      </c>
      <c r="FKM615" s="17">
        <v>44925</v>
      </c>
      <c r="FKN615" s="5" t="s">
        <v>3728</v>
      </c>
      <c r="FKO615" s="17">
        <v>44925</v>
      </c>
      <c r="FKP615" s="5" t="s">
        <v>3728</v>
      </c>
      <c r="FKQ615" s="17">
        <v>44925</v>
      </c>
      <c r="FKR615" s="5" t="s">
        <v>3728</v>
      </c>
      <c r="FKS615" s="17">
        <v>44925</v>
      </c>
      <c r="FKT615" s="5" t="s">
        <v>3728</v>
      </c>
      <c r="FKU615" s="17">
        <v>44925</v>
      </c>
      <c r="FKV615" s="5" t="s">
        <v>3728</v>
      </c>
      <c r="FKW615" s="17">
        <v>44925</v>
      </c>
      <c r="FKX615" s="5" t="s">
        <v>3728</v>
      </c>
      <c r="FKY615" s="17">
        <v>44925</v>
      </c>
      <c r="FKZ615" s="5" t="s">
        <v>3728</v>
      </c>
      <c r="FLA615" s="17">
        <v>44925</v>
      </c>
      <c r="FLB615" s="5" t="s">
        <v>3728</v>
      </c>
      <c r="FLC615" s="17">
        <v>44925</v>
      </c>
      <c r="FLD615" s="5" t="s">
        <v>3728</v>
      </c>
      <c r="FLE615" s="17">
        <v>44925</v>
      </c>
      <c r="FLF615" s="5" t="s">
        <v>3728</v>
      </c>
      <c r="FLG615" s="17">
        <v>44925</v>
      </c>
      <c r="FLH615" s="5" t="s">
        <v>3728</v>
      </c>
      <c r="FLI615" s="17">
        <v>44925</v>
      </c>
      <c r="FLJ615" s="5" t="s">
        <v>3728</v>
      </c>
      <c r="FLK615" s="17">
        <v>44925</v>
      </c>
      <c r="FLL615" s="5" t="s">
        <v>3728</v>
      </c>
      <c r="FLM615" s="17">
        <v>44925</v>
      </c>
      <c r="FLN615" s="5" t="s">
        <v>3728</v>
      </c>
      <c r="FLO615" s="17">
        <v>44925</v>
      </c>
      <c r="FLP615" s="5" t="s">
        <v>3728</v>
      </c>
      <c r="FLQ615" s="17">
        <v>44925</v>
      </c>
      <c r="FLR615" s="5" t="s">
        <v>3728</v>
      </c>
      <c r="FLS615" s="17">
        <v>44925</v>
      </c>
      <c r="FLT615" s="5" t="s">
        <v>3728</v>
      </c>
      <c r="FLU615" s="17">
        <v>44925</v>
      </c>
      <c r="FLV615" s="5" t="s">
        <v>3728</v>
      </c>
      <c r="FLW615" s="17">
        <v>44925</v>
      </c>
      <c r="FLX615" s="5" t="s">
        <v>3728</v>
      </c>
      <c r="FLY615" s="17">
        <v>44925</v>
      </c>
      <c r="FLZ615" s="5" t="s">
        <v>3728</v>
      </c>
      <c r="FMA615" s="17">
        <v>44925</v>
      </c>
      <c r="FMB615" s="5" t="s">
        <v>3728</v>
      </c>
      <c r="FMC615" s="17">
        <v>44925</v>
      </c>
      <c r="FMD615" s="5" t="s">
        <v>3728</v>
      </c>
      <c r="FME615" s="17">
        <v>44925</v>
      </c>
      <c r="FMF615" s="5" t="s">
        <v>3728</v>
      </c>
      <c r="FMG615" s="17">
        <v>44925</v>
      </c>
      <c r="FMH615" s="5" t="s">
        <v>3728</v>
      </c>
      <c r="FMI615" s="17">
        <v>44925</v>
      </c>
      <c r="FMJ615" s="5" t="s">
        <v>3728</v>
      </c>
      <c r="FMK615" s="17">
        <v>44925</v>
      </c>
      <c r="FML615" s="5" t="s">
        <v>3728</v>
      </c>
      <c r="FMM615" s="17">
        <v>44925</v>
      </c>
      <c r="FMN615" s="5" t="s">
        <v>3728</v>
      </c>
      <c r="FMO615" s="17">
        <v>44925</v>
      </c>
      <c r="FMP615" s="5" t="s">
        <v>3728</v>
      </c>
      <c r="FMQ615" s="17">
        <v>44925</v>
      </c>
      <c r="FMR615" s="5" t="s">
        <v>3728</v>
      </c>
      <c r="FMS615" s="17">
        <v>44925</v>
      </c>
      <c r="FMT615" s="5" t="s">
        <v>3728</v>
      </c>
      <c r="FMU615" s="17">
        <v>44925</v>
      </c>
      <c r="FMV615" s="5" t="s">
        <v>3728</v>
      </c>
      <c r="FMW615" s="17">
        <v>44925</v>
      </c>
      <c r="FMX615" s="5" t="s">
        <v>3728</v>
      </c>
      <c r="FMY615" s="17">
        <v>44925</v>
      </c>
      <c r="FMZ615" s="5" t="s">
        <v>3728</v>
      </c>
      <c r="FNA615" s="17">
        <v>44925</v>
      </c>
      <c r="FNB615" s="5" t="s">
        <v>3728</v>
      </c>
      <c r="FNC615" s="17">
        <v>44925</v>
      </c>
      <c r="FND615" s="5" t="s">
        <v>3728</v>
      </c>
      <c r="FNE615" s="17">
        <v>44925</v>
      </c>
      <c r="FNF615" s="5" t="s">
        <v>3728</v>
      </c>
      <c r="FNG615" s="17">
        <v>44925</v>
      </c>
      <c r="FNH615" s="5" t="s">
        <v>3728</v>
      </c>
      <c r="FNI615" s="17">
        <v>44925</v>
      </c>
      <c r="FNJ615" s="5" t="s">
        <v>3728</v>
      </c>
      <c r="FNK615" s="17">
        <v>44925</v>
      </c>
      <c r="FNL615" s="5" t="s">
        <v>3728</v>
      </c>
      <c r="FNM615" s="17">
        <v>44925</v>
      </c>
      <c r="FNN615" s="5" t="s">
        <v>3728</v>
      </c>
      <c r="FNO615" s="17">
        <v>44925</v>
      </c>
      <c r="FNP615" s="5" t="s">
        <v>3728</v>
      </c>
      <c r="FNQ615" s="17">
        <v>44925</v>
      </c>
      <c r="FNR615" s="5" t="s">
        <v>3728</v>
      </c>
      <c r="FNS615" s="17">
        <v>44925</v>
      </c>
      <c r="FNT615" s="5" t="s">
        <v>3728</v>
      </c>
      <c r="FNU615" s="17">
        <v>44925</v>
      </c>
      <c r="FNV615" s="5" t="s">
        <v>3728</v>
      </c>
      <c r="FNW615" s="17">
        <v>44925</v>
      </c>
      <c r="FNX615" s="5" t="s">
        <v>3728</v>
      </c>
      <c r="FNY615" s="17">
        <v>44925</v>
      </c>
      <c r="FNZ615" s="5" t="s">
        <v>3728</v>
      </c>
      <c r="FOA615" s="17">
        <v>44925</v>
      </c>
      <c r="FOB615" s="5" t="s">
        <v>3728</v>
      </c>
      <c r="FOC615" s="17">
        <v>44925</v>
      </c>
      <c r="FOD615" s="5" t="s">
        <v>3728</v>
      </c>
      <c r="FOE615" s="17">
        <v>44925</v>
      </c>
      <c r="FOF615" s="5" t="s">
        <v>3728</v>
      </c>
      <c r="FOG615" s="17">
        <v>44925</v>
      </c>
      <c r="FOH615" s="5" t="s">
        <v>3728</v>
      </c>
      <c r="FOI615" s="17">
        <v>44925</v>
      </c>
      <c r="FOJ615" s="5" t="s">
        <v>3728</v>
      </c>
      <c r="FOK615" s="17">
        <v>44925</v>
      </c>
      <c r="FOL615" s="5" t="s">
        <v>3728</v>
      </c>
      <c r="FOM615" s="17">
        <v>44925</v>
      </c>
      <c r="FON615" s="5" t="s">
        <v>3728</v>
      </c>
      <c r="FOO615" s="17">
        <v>44925</v>
      </c>
      <c r="FOP615" s="5" t="s">
        <v>3728</v>
      </c>
      <c r="FOQ615" s="17">
        <v>44925</v>
      </c>
      <c r="FOR615" s="5" t="s">
        <v>3728</v>
      </c>
      <c r="FOS615" s="17">
        <v>44925</v>
      </c>
      <c r="FOT615" s="5" t="s">
        <v>3728</v>
      </c>
      <c r="FOU615" s="17">
        <v>44925</v>
      </c>
      <c r="FOV615" s="5" t="s">
        <v>3728</v>
      </c>
      <c r="FOW615" s="17">
        <v>44925</v>
      </c>
      <c r="FOX615" s="5" t="s">
        <v>3728</v>
      </c>
      <c r="FOY615" s="17">
        <v>44925</v>
      </c>
      <c r="FOZ615" s="5" t="s">
        <v>3728</v>
      </c>
      <c r="FPA615" s="17">
        <v>44925</v>
      </c>
      <c r="FPB615" s="5" t="s">
        <v>3728</v>
      </c>
      <c r="FPC615" s="17">
        <v>44925</v>
      </c>
      <c r="FPD615" s="5" t="s">
        <v>3728</v>
      </c>
      <c r="FPE615" s="17">
        <v>44925</v>
      </c>
      <c r="FPF615" s="5" t="s">
        <v>3728</v>
      </c>
      <c r="FPG615" s="17">
        <v>44925</v>
      </c>
      <c r="FPH615" s="5" t="s">
        <v>3728</v>
      </c>
      <c r="FPI615" s="17">
        <v>44925</v>
      </c>
      <c r="FPJ615" s="5" t="s">
        <v>3728</v>
      </c>
      <c r="FPK615" s="17">
        <v>44925</v>
      </c>
      <c r="FPL615" s="5" t="s">
        <v>3728</v>
      </c>
      <c r="FPM615" s="17">
        <v>44925</v>
      </c>
      <c r="FPN615" s="5" t="s">
        <v>3728</v>
      </c>
      <c r="FPO615" s="17">
        <v>44925</v>
      </c>
      <c r="FPP615" s="5" t="s">
        <v>3728</v>
      </c>
      <c r="FPQ615" s="17">
        <v>44925</v>
      </c>
      <c r="FPR615" s="5" t="s">
        <v>3728</v>
      </c>
      <c r="FPS615" s="17">
        <v>44925</v>
      </c>
      <c r="FPT615" s="5" t="s">
        <v>3728</v>
      </c>
      <c r="FPU615" s="17">
        <v>44925</v>
      </c>
      <c r="FPV615" s="5" t="s">
        <v>3728</v>
      </c>
      <c r="FPW615" s="17">
        <v>44925</v>
      </c>
      <c r="FPX615" s="5" t="s">
        <v>3728</v>
      </c>
      <c r="FPY615" s="17">
        <v>44925</v>
      </c>
      <c r="FPZ615" s="5" t="s">
        <v>3728</v>
      </c>
      <c r="FQA615" s="17">
        <v>44925</v>
      </c>
      <c r="FQB615" s="5" t="s">
        <v>3728</v>
      </c>
      <c r="FQC615" s="17">
        <v>44925</v>
      </c>
      <c r="FQD615" s="5" t="s">
        <v>3728</v>
      </c>
      <c r="FQE615" s="17">
        <v>44925</v>
      </c>
      <c r="FQF615" s="5" t="s">
        <v>3728</v>
      </c>
      <c r="FQG615" s="17">
        <v>44925</v>
      </c>
      <c r="FQH615" s="5" t="s">
        <v>3728</v>
      </c>
      <c r="FQI615" s="17">
        <v>44925</v>
      </c>
      <c r="FQJ615" s="5" t="s">
        <v>3728</v>
      </c>
      <c r="FQK615" s="17">
        <v>44925</v>
      </c>
      <c r="FQL615" s="5" t="s">
        <v>3728</v>
      </c>
      <c r="FQM615" s="17">
        <v>44925</v>
      </c>
      <c r="FQN615" s="5" t="s">
        <v>3728</v>
      </c>
      <c r="FQO615" s="17">
        <v>44925</v>
      </c>
      <c r="FQP615" s="5" t="s">
        <v>3728</v>
      </c>
      <c r="FQQ615" s="17">
        <v>44925</v>
      </c>
      <c r="FQR615" s="5" t="s">
        <v>3728</v>
      </c>
      <c r="FQS615" s="17">
        <v>44925</v>
      </c>
      <c r="FQT615" s="5" t="s">
        <v>3728</v>
      </c>
      <c r="FQU615" s="17">
        <v>44925</v>
      </c>
      <c r="FQV615" s="5" t="s">
        <v>3728</v>
      </c>
      <c r="FQW615" s="17">
        <v>44925</v>
      </c>
      <c r="FQX615" s="5" t="s">
        <v>3728</v>
      </c>
      <c r="FQY615" s="17">
        <v>44925</v>
      </c>
      <c r="FQZ615" s="5" t="s">
        <v>3728</v>
      </c>
      <c r="FRA615" s="17">
        <v>44925</v>
      </c>
      <c r="FRB615" s="5" t="s">
        <v>3728</v>
      </c>
      <c r="FRC615" s="17">
        <v>44925</v>
      </c>
      <c r="FRD615" s="5" t="s">
        <v>3728</v>
      </c>
      <c r="FRE615" s="17">
        <v>44925</v>
      </c>
      <c r="FRF615" s="5" t="s">
        <v>3728</v>
      </c>
      <c r="FRG615" s="17">
        <v>44925</v>
      </c>
      <c r="FRH615" s="5" t="s">
        <v>3728</v>
      </c>
      <c r="FRI615" s="17">
        <v>44925</v>
      </c>
      <c r="FRJ615" s="5" t="s">
        <v>3728</v>
      </c>
      <c r="FRK615" s="17">
        <v>44925</v>
      </c>
      <c r="FRL615" s="5" t="s">
        <v>3728</v>
      </c>
      <c r="FRM615" s="17">
        <v>44925</v>
      </c>
      <c r="FRN615" s="5" t="s">
        <v>3728</v>
      </c>
      <c r="FRO615" s="17">
        <v>44925</v>
      </c>
      <c r="FRP615" s="5" t="s">
        <v>3728</v>
      </c>
      <c r="FRQ615" s="17">
        <v>44925</v>
      </c>
      <c r="FRR615" s="5" t="s">
        <v>3728</v>
      </c>
      <c r="FRS615" s="17">
        <v>44925</v>
      </c>
      <c r="FRT615" s="5" t="s">
        <v>3728</v>
      </c>
      <c r="FRU615" s="17">
        <v>44925</v>
      </c>
      <c r="FRV615" s="5" t="s">
        <v>3728</v>
      </c>
      <c r="FRW615" s="17">
        <v>44925</v>
      </c>
      <c r="FRX615" s="5" t="s">
        <v>3728</v>
      </c>
      <c r="FRY615" s="17">
        <v>44925</v>
      </c>
      <c r="FRZ615" s="5" t="s">
        <v>3728</v>
      </c>
      <c r="FSA615" s="17">
        <v>44925</v>
      </c>
      <c r="FSB615" s="5" t="s">
        <v>3728</v>
      </c>
      <c r="FSC615" s="17">
        <v>44925</v>
      </c>
      <c r="FSD615" s="5" t="s">
        <v>3728</v>
      </c>
      <c r="FSE615" s="17">
        <v>44925</v>
      </c>
      <c r="FSF615" s="5" t="s">
        <v>3728</v>
      </c>
      <c r="FSG615" s="17">
        <v>44925</v>
      </c>
      <c r="FSH615" s="5" t="s">
        <v>3728</v>
      </c>
      <c r="FSI615" s="17">
        <v>44925</v>
      </c>
      <c r="FSJ615" s="5" t="s">
        <v>3728</v>
      </c>
      <c r="FSK615" s="17">
        <v>44925</v>
      </c>
      <c r="FSL615" s="5" t="s">
        <v>3728</v>
      </c>
      <c r="FSM615" s="17">
        <v>44925</v>
      </c>
      <c r="FSN615" s="5" t="s">
        <v>3728</v>
      </c>
      <c r="FSO615" s="17">
        <v>44925</v>
      </c>
      <c r="FSP615" s="5" t="s">
        <v>3728</v>
      </c>
      <c r="FSQ615" s="17">
        <v>44925</v>
      </c>
      <c r="FSR615" s="5" t="s">
        <v>3728</v>
      </c>
      <c r="FSS615" s="17">
        <v>44925</v>
      </c>
      <c r="FST615" s="5" t="s">
        <v>3728</v>
      </c>
      <c r="FSU615" s="17">
        <v>44925</v>
      </c>
      <c r="FSV615" s="5" t="s">
        <v>3728</v>
      </c>
      <c r="FSW615" s="17">
        <v>44925</v>
      </c>
      <c r="FSX615" s="5" t="s">
        <v>3728</v>
      </c>
      <c r="FSY615" s="17">
        <v>44925</v>
      </c>
      <c r="FSZ615" s="5" t="s">
        <v>3728</v>
      </c>
      <c r="FTA615" s="17">
        <v>44925</v>
      </c>
      <c r="FTB615" s="5" t="s">
        <v>3728</v>
      </c>
      <c r="FTC615" s="17">
        <v>44925</v>
      </c>
      <c r="FTD615" s="5" t="s">
        <v>3728</v>
      </c>
      <c r="FTE615" s="17">
        <v>44925</v>
      </c>
      <c r="FTF615" s="5" t="s">
        <v>3728</v>
      </c>
      <c r="FTG615" s="17">
        <v>44925</v>
      </c>
      <c r="FTH615" s="5" t="s">
        <v>3728</v>
      </c>
      <c r="FTI615" s="17">
        <v>44925</v>
      </c>
      <c r="FTJ615" s="5" t="s">
        <v>3728</v>
      </c>
      <c r="FTK615" s="17">
        <v>44925</v>
      </c>
      <c r="FTL615" s="5" t="s">
        <v>3728</v>
      </c>
      <c r="FTM615" s="17">
        <v>44925</v>
      </c>
      <c r="FTN615" s="5" t="s">
        <v>3728</v>
      </c>
      <c r="FTO615" s="17">
        <v>44925</v>
      </c>
      <c r="FTP615" s="5" t="s">
        <v>3728</v>
      </c>
      <c r="FTQ615" s="17">
        <v>44925</v>
      </c>
      <c r="FTR615" s="5" t="s">
        <v>3728</v>
      </c>
      <c r="FTS615" s="17">
        <v>44925</v>
      </c>
      <c r="FTT615" s="5" t="s">
        <v>3728</v>
      </c>
      <c r="FTU615" s="17">
        <v>44925</v>
      </c>
      <c r="FTV615" s="5" t="s">
        <v>3728</v>
      </c>
      <c r="FTW615" s="17">
        <v>44925</v>
      </c>
      <c r="FTX615" s="5" t="s">
        <v>3728</v>
      </c>
      <c r="FTY615" s="17">
        <v>44925</v>
      </c>
      <c r="FTZ615" s="5" t="s">
        <v>3728</v>
      </c>
      <c r="FUA615" s="17">
        <v>44925</v>
      </c>
      <c r="FUB615" s="5" t="s">
        <v>3728</v>
      </c>
      <c r="FUC615" s="17">
        <v>44925</v>
      </c>
      <c r="FUD615" s="5" t="s">
        <v>3728</v>
      </c>
      <c r="FUE615" s="17">
        <v>44925</v>
      </c>
      <c r="FUF615" s="5" t="s">
        <v>3728</v>
      </c>
      <c r="FUG615" s="17">
        <v>44925</v>
      </c>
      <c r="FUH615" s="5" t="s">
        <v>3728</v>
      </c>
      <c r="FUI615" s="17">
        <v>44925</v>
      </c>
      <c r="FUJ615" s="5" t="s">
        <v>3728</v>
      </c>
      <c r="FUK615" s="17">
        <v>44925</v>
      </c>
      <c r="FUL615" s="5" t="s">
        <v>3728</v>
      </c>
      <c r="FUM615" s="17">
        <v>44925</v>
      </c>
      <c r="FUN615" s="5" t="s">
        <v>3728</v>
      </c>
      <c r="FUO615" s="17">
        <v>44925</v>
      </c>
      <c r="FUP615" s="5" t="s">
        <v>3728</v>
      </c>
      <c r="FUQ615" s="17">
        <v>44925</v>
      </c>
      <c r="FUR615" s="5" t="s">
        <v>3728</v>
      </c>
      <c r="FUS615" s="17">
        <v>44925</v>
      </c>
      <c r="FUT615" s="5" t="s">
        <v>3728</v>
      </c>
      <c r="FUU615" s="17">
        <v>44925</v>
      </c>
      <c r="FUV615" s="5" t="s">
        <v>3728</v>
      </c>
      <c r="FUW615" s="17">
        <v>44925</v>
      </c>
      <c r="FUX615" s="5" t="s">
        <v>3728</v>
      </c>
      <c r="FUY615" s="17">
        <v>44925</v>
      </c>
      <c r="FUZ615" s="5" t="s">
        <v>3728</v>
      </c>
      <c r="FVA615" s="17">
        <v>44925</v>
      </c>
      <c r="FVB615" s="5" t="s">
        <v>3728</v>
      </c>
      <c r="FVC615" s="17">
        <v>44925</v>
      </c>
      <c r="FVD615" s="5" t="s">
        <v>3728</v>
      </c>
      <c r="FVE615" s="17">
        <v>44925</v>
      </c>
      <c r="FVF615" s="5" t="s">
        <v>3728</v>
      </c>
      <c r="FVG615" s="17">
        <v>44925</v>
      </c>
      <c r="FVH615" s="5" t="s">
        <v>3728</v>
      </c>
      <c r="FVI615" s="17">
        <v>44925</v>
      </c>
      <c r="FVJ615" s="5" t="s">
        <v>3728</v>
      </c>
      <c r="FVK615" s="17">
        <v>44925</v>
      </c>
      <c r="FVL615" s="5" t="s">
        <v>3728</v>
      </c>
      <c r="FVM615" s="17">
        <v>44925</v>
      </c>
      <c r="FVN615" s="5" t="s">
        <v>3728</v>
      </c>
      <c r="FVO615" s="17">
        <v>44925</v>
      </c>
      <c r="FVP615" s="5" t="s">
        <v>3728</v>
      </c>
      <c r="FVQ615" s="17">
        <v>44925</v>
      </c>
      <c r="FVR615" s="5" t="s">
        <v>3728</v>
      </c>
      <c r="FVS615" s="17">
        <v>44925</v>
      </c>
      <c r="FVT615" s="5" t="s">
        <v>3728</v>
      </c>
      <c r="FVU615" s="17">
        <v>44925</v>
      </c>
      <c r="FVV615" s="5" t="s">
        <v>3728</v>
      </c>
      <c r="FVW615" s="17">
        <v>44925</v>
      </c>
      <c r="FVX615" s="5" t="s">
        <v>3728</v>
      </c>
      <c r="FVY615" s="17">
        <v>44925</v>
      </c>
      <c r="FVZ615" s="5" t="s">
        <v>3728</v>
      </c>
      <c r="FWA615" s="17">
        <v>44925</v>
      </c>
      <c r="FWB615" s="5" t="s">
        <v>3728</v>
      </c>
      <c r="FWC615" s="17">
        <v>44925</v>
      </c>
      <c r="FWD615" s="5" t="s">
        <v>3728</v>
      </c>
      <c r="FWE615" s="17">
        <v>44925</v>
      </c>
      <c r="FWF615" s="5" t="s">
        <v>3728</v>
      </c>
      <c r="FWG615" s="17">
        <v>44925</v>
      </c>
      <c r="FWH615" s="5" t="s">
        <v>3728</v>
      </c>
      <c r="FWI615" s="17">
        <v>44925</v>
      </c>
      <c r="FWJ615" s="5" t="s">
        <v>3728</v>
      </c>
      <c r="FWK615" s="17">
        <v>44925</v>
      </c>
      <c r="FWL615" s="5" t="s">
        <v>3728</v>
      </c>
      <c r="FWM615" s="17">
        <v>44925</v>
      </c>
      <c r="FWN615" s="5" t="s">
        <v>3728</v>
      </c>
      <c r="FWO615" s="17">
        <v>44925</v>
      </c>
      <c r="FWP615" s="5" t="s">
        <v>3728</v>
      </c>
      <c r="FWQ615" s="17">
        <v>44925</v>
      </c>
      <c r="FWR615" s="5" t="s">
        <v>3728</v>
      </c>
      <c r="FWS615" s="17">
        <v>44925</v>
      </c>
      <c r="FWT615" s="5" t="s">
        <v>3728</v>
      </c>
      <c r="FWU615" s="17">
        <v>44925</v>
      </c>
      <c r="FWV615" s="5" t="s">
        <v>3728</v>
      </c>
      <c r="FWW615" s="17">
        <v>44925</v>
      </c>
      <c r="FWX615" s="5" t="s">
        <v>3728</v>
      </c>
      <c r="FWY615" s="17">
        <v>44925</v>
      </c>
      <c r="FWZ615" s="5" t="s">
        <v>3728</v>
      </c>
      <c r="FXA615" s="17">
        <v>44925</v>
      </c>
      <c r="FXB615" s="5" t="s">
        <v>3728</v>
      </c>
      <c r="FXC615" s="17">
        <v>44925</v>
      </c>
      <c r="FXD615" s="5" t="s">
        <v>3728</v>
      </c>
      <c r="FXE615" s="17">
        <v>44925</v>
      </c>
      <c r="FXF615" s="5" t="s">
        <v>3728</v>
      </c>
      <c r="FXG615" s="17">
        <v>44925</v>
      </c>
      <c r="FXH615" s="5" t="s">
        <v>3728</v>
      </c>
      <c r="FXI615" s="17">
        <v>44925</v>
      </c>
      <c r="FXJ615" s="5" t="s">
        <v>3728</v>
      </c>
      <c r="FXK615" s="17">
        <v>44925</v>
      </c>
      <c r="FXL615" s="5" t="s">
        <v>3728</v>
      </c>
      <c r="FXM615" s="17">
        <v>44925</v>
      </c>
      <c r="FXN615" s="5" t="s">
        <v>3728</v>
      </c>
      <c r="FXO615" s="17">
        <v>44925</v>
      </c>
      <c r="FXP615" s="5" t="s">
        <v>3728</v>
      </c>
      <c r="FXQ615" s="17">
        <v>44925</v>
      </c>
      <c r="FXR615" s="5" t="s">
        <v>3728</v>
      </c>
      <c r="FXS615" s="17">
        <v>44925</v>
      </c>
      <c r="FXT615" s="5" t="s">
        <v>3728</v>
      </c>
      <c r="FXU615" s="17">
        <v>44925</v>
      </c>
      <c r="FXV615" s="5" t="s">
        <v>3728</v>
      </c>
      <c r="FXW615" s="17">
        <v>44925</v>
      </c>
      <c r="FXX615" s="5" t="s">
        <v>3728</v>
      </c>
      <c r="FXY615" s="17">
        <v>44925</v>
      </c>
      <c r="FXZ615" s="5" t="s">
        <v>3728</v>
      </c>
      <c r="FYA615" s="17">
        <v>44925</v>
      </c>
      <c r="FYB615" s="5" t="s">
        <v>3728</v>
      </c>
      <c r="FYC615" s="17">
        <v>44925</v>
      </c>
      <c r="FYD615" s="5" t="s">
        <v>3728</v>
      </c>
      <c r="FYE615" s="17">
        <v>44925</v>
      </c>
      <c r="FYF615" s="5" t="s">
        <v>3728</v>
      </c>
      <c r="FYG615" s="17">
        <v>44925</v>
      </c>
      <c r="FYH615" s="5" t="s">
        <v>3728</v>
      </c>
      <c r="FYI615" s="17">
        <v>44925</v>
      </c>
      <c r="FYJ615" s="5" t="s">
        <v>3728</v>
      </c>
      <c r="FYK615" s="17">
        <v>44925</v>
      </c>
      <c r="FYL615" s="5" t="s">
        <v>3728</v>
      </c>
      <c r="FYM615" s="17">
        <v>44925</v>
      </c>
      <c r="FYN615" s="5" t="s">
        <v>3728</v>
      </c>
      <c r="FYO615" s="17">
        <v>44925</v>
      </c>
      <c r="FYP615" s="5" t="s">
        <v>3728</v>
      </c>
      <c r="FYQ615" s="17">
        <v>44925</v>
      </c>
      <c r="FYR615" s="5" t="s">
        <v>3728</v>
      </c>
      <c r="FYS615" s="17">
        <v>44925</v>
      </c>
      <c r="FYT615" s="5" t="s">
        <v>3728</v>
      </c>
      <c r="FYU615" s="17">
        <v>44925</v>
      </c>
      <c r="FYV615" s="5" t="s">
        <v>3728</v>
      </c>
      <c r="FYW615" s="17">
        <v>44925</v>
      </c>
      <c r="FYX615" s="5" t="s">
        <v>3728</v>
      </c>
      <c r="FYY615" s="17">
        <v>44925</v>
      </c>
      <c r="FYZ615" s="5" t="s">
        <v>3728</v>
      </c>
      <c r="FZA615" s="17">
        <v>44925</v>
      </c>
      <c r="FZB615" s="5" t="s">
        <v>3728</v>
      </c>
      <c r="FZC615" s="17">
        <v>44925</v>
      </c>
      <c r="FZD615" s="5" t="s">
        <v>3728</v>
      </c>
      <c r="FZE615" s="17">
        <v>44925</v>
      </c>
      <c r="FZF615" s="5" t="s">
        <v>3728</v>
      </c>
      <c r="FZG615" s="17">
        <v>44925</v>
      </c>
      <c r="FZH615" s="5" t="s">
        <v>3728</v>
      </c>
      <c r="FZI615" s="17">
        <v>44925</v>
      </c>
      <c r="FZJ615" s="5" t="s">
        <v>3728</v>
      </c>
      <c r="FZK615" s="17">
        <v>44925</v>
      </c>
      <c r="FZL615" s="5" t="s">
        <v>3728</v>
      </c>
      <c r="FZM615" s="17">
        <v>44925</v>
      </c>
      <c r="FZN615" s="5" t="s">
        <v>3728</v>
      </c>
      <c r="FZO615" s="17">
        <v>44925</v>
      </c>
      <c r="FZP615" s="5" t="s">
        <v>3728</v>
      </c>
      <c r="FZQ615" s="17">
        <v>44925</v>
      </c>
      <c r="FZR615" s="5" t="s">
        <v>3728</v>
      </c>
      <c r="FZS615" s="17">
        <v>44925</v>
      </c>
      <c r="FZT615" s="5" t="s">
        <v>3728</v>
      </c>
      <c r="FZU615" s="17">
        <v>44925</v>
      </c>
      <c r="FZV615" s="5" t="s">
        <v>3728</v>
      </c>
      <c r="FZW615" s="17">
        <v>44925</v>
      </c>
      <c r="FZX615" s="5" t="s">
        <v>3728</v>
      </c>
      <c r="FZY615" s="17">
        <v>44925</v>
      </c>
      <c r="FZZ615" s="5" t="s">
        <v>3728</v>
      </c>
      <c r="GAA615" s="17">
        <v>44925</v>
      </c>
      <c r="GAB615" s="5" t="s">
        <v>3728</v>
      </c>
      <c r="GAC615" s="17">
        <v>44925</v>
      </c>
      <c r="GAD615" s="5" t="s">
        <v>3728</v>
      </c>
      <c r="GAE615" s="17">
        <v>44925</v>
      </c>
      <c r="GAF615" s="5" t="s">
        <v>3728</v>
      </c>
      <c r="GAG615" s="17">
        <v>44925</v>
      </c>
      <c r="GAH615" s="5" t="s">
        <v>3728</v>
      </c>
      <c r="GAI615" s="17">
        <v>44925</v>
      </c>
      <c r="GAJ615" s="5" t="s">
        <v>3728</v>
      </c>
      <c r="GAK615" s="17">
        <v>44925</v>
      </c>
      <c r="GAL615" s="5" t="s">
        <v>3728</v>
      </c>
      <c r="GAM615" s="17">
        <v>44925</v>
      </c>
      <c r="GAN615" s="5" t="s">
        <v>3728</v>
      </c>
      <c r="GAO615" s="17">
        <v>44925</v>
      </c>
      <c r="GAP615" s="5" t="s">
        <v>3728</v>
      </c>
      <c r="GAQ615" s="17">
        <v>44925</v>
      </c>
      <c r="GAR615" s="5" t="s">
        <v>3728</v>
      </c>
      <c r="GAS615" s="17">
        <v>44925</v>
      </c>
      <c r="GAT615" s="5" t="s">
        <v>3728</v>
      </c>
      <c r="GAU615" s="17">
        <v>44925</v>
      </c>
      <c r="GAV615" s="5" t="s">
        <v>3728</v>
      </c>
      <c r="GAW615" s="17">
        <v>44925</v>
      </c>
      <c r="GAX615" s="5" t="s">
        <v>3728</v>
      </c>
      <c r="GAY615" s="17">
        <v>44925</v>
      </c>
      <c r="GAZ615" s="5" t="s">
        <v>3728</v>
      </c>
      <c r="GBA615" s="17">
        <v>44925</v>
      </c>
      <c r="GBB615" s="5" t="s">
        <v>3728</v>
      </c>
      <c r="GBC615" s="17">
        <v>44925</v>
      </c>
      <c r="GBD615" s="5" t="s">
        <v>3728</v>
      </c>
      <c r="GBE615" s="17">
        <v>44925</v>
      </c>
      <c r="GBF615" s="5" t="s">
        <v>3728</v>
      </c>
      <c r="GBG615" s="17">
        <v>44925</v>
      </c>
      <c r="GBH615" s="5" t="s">
        <v>3728</v>
      </c>
      <c r="GBI615" s="17">
        <v>44925</v>
      </c>
      <c r="GBJ615" s="5" t="s">
        <v>3728</v>
      </c>
      <c r="GBK615" s="17">
        <v>44925</v>
      </c>
      <c r="GBL615" s="5" t="s">
        <v>3728</v>
      </c>
      <c r="GBM615" s="17">
        <v>44925</v>
      </c>
      <c r="GBN615" s="5" t="s">
        <v>3728</v>
      </c>
      <c r="GBO615" s="17">
        <v>44925</v>
      </c>
      <c r="GBP615" s="5" t="s">
        <v>3728</v>
      </c>
      <c r="GBQ615" s="17">
        <v>44925</v>
      </c>
      <c r="GBR615" s="5" t="s">
        <v>3728</v>
      </c>
      <c r="GBS615" s="17">
        <v>44925</v>
      </c>
      <c r="GBT615" s="5" t="s">
        <v>3728</v>
      </c>
      <c r="GBU615" s="17">
        <v>44925</v>
      </c>
      <c r="GBV615" s="5" t="s">
        <v>3728</v>
      </c>
      <c r="GBW615" s="17">
        <v>44925</v>
      </c>
      <c r="GBX615" s="5" t="s">
        <v>3728</v>
      </c>
      <c r="GBY615" s="17">
        <v>44925</v>
      </c>
      <c r="GBZ615" s="5" t="s">
        <v>3728</v>
      </c>
      <c r="GCA615" s="17">
        <v>44925</v>
      </c>
      <c r="GCB615" s="5" t="s">
        <v>3728</v>
      </c>
      <c r="GCC615" s="17">
        <v>44925</v>
      </c>
      <c r="GCD615" s="5" t="s">
        <v>3728</v>
      </c>
      <c r="GCE615" s="17">
        <v>44925</v>
      </c>
      <c r="GCF615" s="5" t="s">
        <v>3728</v>
      </c>
      <c r="GCG615" s="17">
        <v>44925</v>
      </c>
      <c r="GCH615" s="5" t="s">
        <v>3728</v>
      </c>
      <c r="GCI615" s="17">
        <v>44925</v>
      </c>
      <c r="GCJ615" s="5" t="s">
        <v>3728</v>
      </c>
      <c r="GCK615" s="17">
        <v>44925</v>
      </c>
      <c r="GCL615" s="5" t="s">
        <v>3728</v>
      </c>
      <c r="GCM615" s="17">
        <v>44925</v>
      </c>
      <c r="GCN615" s="5" t="s">
        <v>3728</v>
      </c>
      <c r="GCO615" s="17">
        <v>44925</v>
      </c>
      <c r="GCP615" s="5" t="s">
        <v>3728</v>
      </c>
      <c r="GCQ615" s="17">
        <v>44925</v>
      </c>
      <c r="GCR615" s="5" t="s">
        <v>3728</v>
      </c>
      <c r="GCS615" s="17">
        <v>44925</v>
      </c>
      <c r="GCT615" s="5" t="s">
        <v>3728</v>
      </c>
      <c r="GCU615" s="17">
        <v>44925</v>
      </c>
      <c r="GCV615" s="5" t="s">
        <v>3728</v>
      </c>
      <c r="GCW615" s="17">
        <v>44925</v>
      </c>
      <c r="GCX615" s="5" t="s">
        <v>3728</v>
      </c>
      <c r="GCY615" s="17">
        <v>44925</v>
      </c>
      <c r="GCZ615" s="5" t="s">
        <v>3728</v>
      </c>
      <c r="GDA615" s="17">
        <v>44925</v>
      </c>
      <c r="GDB615" s="5" t="s">
        <v>3728</v>
      </c>
      <c r="GDC615" s="17">
        <v>44925</v>
      </c>
      <c r="GDD615" s="5" t="s">
        <v>3728</v>
      </c>
      <c r="GDE615" s="17">
        <v>44925</v>
      </c>
      <c r="GDF615" s="5" t="s">
        <v>3728</v>
      </c>
      <c r="GDG615" s="17">
        <v>44925</v>
      </c>
      <c r="GDH615" s="5" t="s">
        <v>3728</v>
      </c>
      <c r="GDI615" s="17">
        <v>44925</v>
      </c>
      <c r="GDJ615" s="5" t="s">
        <v>3728</v>
      </c>
      <c r="GDK615" s="17">
        <v>44925</v>
      </c>
      <c r="GDL615" s="5" t="s">
        <v>3728</v>
      </c>
      <c r="GDM615" s="17">
        <v>44925</v>
      </c>
      <c r="GDN615" s="5" t="s">
        <v>3728</v>
      </c>
      <c r="GDO615" s="17">
        <v>44925</v>
      </c>
      <c r="GDP615" s="5" t="s">
        <v>3728</v>
      </c>
      <c r="GDQ615" s="17">
        <v>44925</v>
      </c>
      <c r="GDR615" s="5" t="s">
        <v>3728</v>
      </c>
      <c r="GDS615" s="17">
        <v>44925</v>
      </c>
      <c r="GDT615" s="5" t="s">
        <v>3728</v>
      </c>
      <c r="GDU615" s="17">
        <v>44925</v>
      </c>
      <c r="GDV615" s="5" t="s">
        <v>3728</v>
      </c>
      <c r="GDW615" s="17">
        <v>44925</v>
      </c>
      <c r="GDX615" s="5" t="s">
        <v>3728</v>
      </c>
      <c r="GDY615" s="17">
        <v>44925</v>
      </c>
      <c r="GDZ615" s="5" t="s">
        <v>3728</v>
      </c>
      <c r="GEA615" s="17">
        <v>44925</v>
      </c>
      <c r="GEB615" s="5" t="s">
        <v>3728</v>
      </c>
      <c r="GEC615" s="17">
        <v>44925</v>
      </c>
      <c r="GED615" s="5" t="s">
        <v>3728</v>
      </c>
      <c r="GEE615" s="17">
        <v>44925</v>
      </c>
      <c r="GEF615" s="5" t="s">
        <v>3728</v>
      </c>
      <c r="GEG615" s="17">
        <v>44925</v>
      </c>
      <c r="GEH615" s="5" t="s">
        <v>3728</v>
      </c>
      <c r="GEI615" s="17">
        <v>44925</v>
      </c>
      <c r="GEJ615" s="5" t="s">
        <v>3728</v>
      </c>
      <c r="GEK615" s="17">
        <v>44925</v>
      </c>
      <c r="GEL615" s="5" t="s">
        <v>3728</v>
      </c>
      <c r="GEM615" s="17">
        <v>44925</v>
      </c>
      <c r="GEN615" s="5" t="s">
        <v>3728</v>
      </c>
      <c r="GEO615" s="17">
        <v>44925</v>
      </c>
      <c r="GEP615" s="5" t="s">
        <v>3728</v>
      </c>
      <c r="GEQ615" s="17">
        <v>44925</v>
      </c>
      <c r="GER615" s="5" t="s">
        <v>3728</v>
      </c>
      <c r="GES615" s="17">
        <v>44925</v>
      </c>
      <c r="GET615" s="5" t="s">
        <v>3728</v>
      </c>
      <c r="GEU615" s="17">
        <v>44925</v>
      </c>
      <c r="GEV615" s="5" t="s">
        <v>3728</v>
      </c>
      <c r="GEW615" s="17">
        <v>44925</v>
      </c>
      <c r="GEX615" s="5" t="s">
        <v>3728</v>
      </c>
      <c r="GEY615" s="17">
        <v>44925</v>
      </c>
      <c r="GEZ615" s="5" t="s">
        <v>3728</v>
      </c>
      <c r="GFA615" s="17">
        <v>44925</v>
      </c>
      <c r="GFB615" s="5" t="s">
        <v>3728</v>
      </c>
      <c r="GFC615" s="17">
        <v>44925</v>
      </c>
      <c r="GFD615" s="5" t="s">
        <v>3728</v>
      </c>
      <c r="GFE615" s="17">
        <v>44925</v>
      </c>
      <c r="GFF615" s="5" t="s">
        <v>3728</v>
      </c>
      <c r="GFG615" s="17">
        <v>44925</v>
      </c>
      <c r="GFH615" s="5" t="s">
        <v>3728</v>
      </c>
      <c r="GFI615" s="17">
        <v>44925</v>
      </c>
      <c r="GFJ615" s="5" t="s">
        <v>3728</v>
      </c>
      <c r="GFK615" s="17">
        <v>44925</v>
      </c>
      <c r="GFL615" s="5" t="s">
        <v>3728</v>
      </c>
      <c r="GFM615" s="17">
        <v>44925</v>
      </c>
      <c r="GFN615" s="5" t="s">
        <v>3728</v>
      </c>
      <c r="GFO615" s="17">
        <v>44925</v>
      </c>
      <c r="GFP615" s="5" t="s">
        <v>3728</v>
      </c>
      <c r="GFQ615" s="17">
        <v>44925</v>
      </c>
      <c r="GFR615" s="5" t="s">
        <v>3728</v>
      </c>
      <c r="GFS615" s="17">
        <v>44925</v>
      </c>
      <c r="GFT615" s="5" t="s">
        <v>3728</v>
      </c>
      <c r="GFU615" s="17">
        <v>44925</v>
      </c>
      <c r="GFV615" s="5" t="s">
        <v>3728</v>
      </c>
      <c r="GFW615" s="17">
        <v>44925</v>
      </c>
      <c r="GFX615" s="5" t="s">
        <v>3728</v>
      </c>
      <c r="GFY615" s="17">
        <v>44925</v>
      </c>
      <c r="GFZ615" s="5" t="s">
        <v>3728</v>
      </c>
      <c r="GGA615" s="17">
        <v>44925</v>
      </c>
      <c r="GGB615" s="5" t="s">
        <v>3728</v>
      </c>
      <c r="GGC615" s="17">
        <v>44925</v>
      </c>
      <c r="GGD615" s="5" t="s">
        <v>3728</v>
      </c>
      <c r="GGE615" s="17">
        <v>44925</v>
      </c>
      <c r="GGF615" s="5" t="s">
        <v>3728</v>
      </c>
      <c r="GGG615" s="17">
        <v>44925</v>
      </c>
      <c r="GGH615" s="5" t="s">
        <v>3728</v>
      </c>
      <c r="GGI615" s="17">
        <v>44925</v>
      </c>
      <c r="GGJ615" s="5" t="s">
        <v>3728</v>
      </c>
      <c r="GGK615" s="17">
        <v>44925</v>
      </c>
      <c r="GGL615" s="5" t="s">
        <v>3728</v>
      </c>
      <c r="GGM615" s="17">
        <v>44925</v>
      </c>
      <c r="GGN615" s="5" t="s">
        <v>3728</v>
      </c>
      <c r="GGO615" s="17">
        <v>44925</v>
      </c>
      <c r="GGP615" s="5" t="s">
        <v>3728</v>
      </c>
      <c r="GGQ615" s="17">
        <v>44925</v>
      </c>
      <c r="GGR615" s="5" t="s">
        <v>3728</v>
      </c>
      <c r="GGS615" s="17">
        <v>44925</v>
      </c>
      <c r="GGT615" s="5" t="s">
        <v>3728</v>
      </c>
      <c r="GGU615" s="17">
        <v>44925</v>
      </c>
      <c r="GGV615" s="5" t="s">
        <v>3728</v>
      </c>
      <c r="GGW615" s="17">
        <v>44925</v>
      </c>
      <c r="GGX615" s="5" t="s">
        <v>3728</v>
      </c>
      <c r="GGY615" s="17">
        <v>44925</v>
      </c>
      <c r="GGZ615" s="5" t="s">
        <v>3728</v>
      </c>
      <c r="GHA615" s="17">
        <v>44925</v>
      </c>
      <c r="GHB615" s="5" t="s">
        <v>3728</v>
      </c>
      <c r="GHC615" s="17">
        <v>44925</v>
      </c>
      <c r="GHD615" s="5" t="s">
        <v>3728</v>
      </c>
      <c r="GHE615" s="17">
        <v>44925</v>
      </c>
      <c r="GHF615" s="5" t="s">
        <v>3728</v>
      </c>
      <c r="GHG615" s="17">
        <v>44925</v>
      </c>
      <c r="GHH615" s="5" t="s">
        <v>3728</v>
      </c>
      <c r="GHI615" s="17">
        <v>44925</v>
      </c>
      <c r="GHJ615" s="5" t="s">
        <v>3728</v>
      </c>
      <c r="GHK615" s="17">
        <v>44925</v>
      </c>
      <c r="GHL615" s="5" t="s">
        <v>3728</v>
      </c>
      <c r="GHM615" s="17">
        <v>44925</v>
      </c>
      <c r="GHN615" s="5" t="s">
        <v>3728</v>
      </c>
      <c r="GHO615" s="17">
        <v>44925</v>
      </c>
      <c r="GHP615" s="5" t="s">
        <v>3728</v>
      </c>
      <c r="GHQ615" s="17">
        <v>44925</v>
      </c>
      <c r="GHR615" s="5" t="s">
        <v>3728</v>
      </c>
      <c r="GHS615" s="17">
        <v>44925</v>
      </c>
      <c r="GHT615" s="5" t="s">
        <v>3728</v>
      </c>
      <c r="GHU615" s="17">
        <v>44925</v>
      </c>
      <c r="GHV615" s="5" t="s">
        <v>3728</v>
      </c>
      <c r="GHW615" s="17">
        <v>44925</v>
      </c>
      <c r="GHX615" s="5" t="s">
        <v>3728</v>
      </c>
      <c r="GHY615" s="17">
        <v>44925</v>
      </c>
      <c r="GHZ615" s="5" t="s">
        <v>3728</v>
      </c>
      <c r="GIA615" s="17">
        <v>44925</v>
      </c>
      <c r="GIB615" s="5" t="s">
        <v>3728</v>
      </c>
      <c r="GIC615" s="17">
        <v>44925</v>
      </c>
      <c r="GID615" s="5" t="s">
        <v>3728</v>
      </c>
      <c r="GIE615" s="17">
        <v>44925</v>
      </c>
      <c r="GIF615" s="5" t="s">
        <v>3728</v>
      </c>
      <c r="GIG615" s="17">
        <v>44925</v>
      </c>
      <c r="GIH615" s="5" t="s">
        <v>3728</v>
      </c>
      <c r="GII615" s="17">
        <v>44925</v>
      </c>
      <c r="GIJ615" s="5" t="s">
        <v>3728</v>
      </c>
      <c r="GIK615" s="17">
        <v>44925</v>
      </c>
      <c r="GIL615" s="5" t="s">
        <v>3728</v>
      </c>
      <c r="GIM615" s="17">
        <v>44925</v>
      </c>
      <c r="GIN615" s="5" t="s">
        <v>3728</v>
      </c>
      <c r="GIO615" s="17">
        <v>44925</v>
      </c>
      <c r="GIP615" s="5" t="s">
        <v>3728</v>
      </c>
      <c r="GIQ615" s="17">
        <v>44925</v>
      </c>
      <c r="GIR615" s="5" t="s">
        <v>3728</v>
      </c>
      <c r="GIS615" s="17">
        <v>44925</v>
      </c>
      <c r="GIT615" s="5" t="s">
        <v>3728</v>
      </c>
      <c r="GIU615" s="17">
        <v>44925</v>
      </c>
      <c r="GIV615" s="5" t="s">
        <v>3728</v>
      </c>
      <c r="GIW615" s="17">
        <v>44925</v>
      </c>
      <c r="GIX615" s="5" t="s">
        <v>3728</v>
      </c>
      <c r="GIY615" s="17">
        <v>44925</v>
      </c>
      <c r="GIZ615" s="5" t="s">
        <v>3728</v>
      </c>
      <c r="GJA615" s="17">
        <v>44925</v>
      </c>
      <c r="GJB615" s="5" t="s">
        <v>3728</v>
      </c>
      <c r="GJC615" s="17">
        <v>44925</v>
      </c>
      <c r="GJD615" s="5" t="s">
        <v>3728</v>
      </c>
      <c r="GJE615" s="17">
        <v>44925</v>
      </c>
      <c r="GJF615" s="5" t="s">
        <v>3728</v>
      </c>
      <c r="GJG615" s="17">
        <v>44925</v>
      </c>
      <c r="GJH615" s="5" t="s">
        <v>3728</v>
      </c>
      <c r="GJI615" s="17">
        <v>44925</v>
      </c>
      <c r="GJJ615" s="5" t="s">
        <v>3728</v>
      </c>
      <c r="GJK615" s="17">
        <v>44925</v>
      </c>
      <c r="GJL615" s="5" t="s">
        <v>3728</v>
      </c>
      <c r="GJM615" s="17">
        <v>44925</v>
      </c>
      <c r="GJN615" s="5" t="s">
        <v>3728</v>
      </c>
      <c r="GJO615" s="17">
        <v>44925</v>
      </c>
      <c r="GJP615" s="5" t="s">
        <v>3728</v>
      </c>
      <c r="GJQ615" s="17">
        <v>44925</v>
      </c>
      <c r="GJR615" s="5" t="s">
        <v>3728</v>
      </c>
      <c r="GJS615" s="17">
        <v>44925</v>
      </c>
      <c r="GJT615" s="5" t="s">
        <v>3728</v>
      </c>
      <c r="GJU615" s="17">
        <v>44925</v>
      </c>
      <c r="GJV615" s="5" t="s">
        <v>3728</v>
      </c>
      <c r="GJW615" s="17">
        <v>44925</v>
      </c>
      <c r="GJX615" s="5" t="s">
        <v>3728</v>
      </c>
      <c r="GJY615" s="17">
        <v>44925</v>
      </c>
      <c r="GJZ615" s="5" t="s">
        <v>3728</v>
      </c>
      <c r="GKA615" s="17">
        <v>44925</v>
      </c>
      <c r="GKB615" s="5" t="s">
        <v>3728</v>
      </c>
      <c r="GKC615" s="17">
        <v>44925</v>
      </c>
      <c r="GKD615" s="5" t="s">
        <v>3728</v>
      </c>
      <c r="GKE615" s="17">
        <v>44925</v>
      </c>
      <c r="GKF615" s="5" t="s">
        <v>3728</v>
      </c>
      <c r="GKG615" s="17">
        <v>44925</v>
      </c>
      <c r="GKH615" s="5" t="s">
        <v>3728</v>
      </c>
      <c r="GKI615" s="17">
        <v>44925</v>
      </c>
      <c r="GKJ615" s="5" t="s">
        <v>3728</v>
      </c>
      <c r="GKK615" s="17">
        <v>44925</v>
      </c>
      <c r="GKL615" s="5" t="s">
        <v>3728</v>
      </c>
      <c r="GKM615" s="17">
        <v>44925</v>
      </c>
      <c r="GKN615" s="5" t="s">
        <v>3728</v>
      </c>
      <c r="GKO615" s="17">
        <v>44925</v>
      </c>
      <c r="GKP615" s="5" t="s">
        <v>3728</v>
      </c>
      <c r="GKQ615" s="17">
        <v>44925</v>
      </c>
      <c r="GKR615" s="5" t="s">
        <v>3728</v>
      </c>
      <c r="GKS615" s="17">
        <v>44925</v>
      </c>
      <c r="GKT615" s="5" t="s">
        <v>3728</v>
      </c>
      <c r="GKU615" s="17">
        <v>44925</v>
      </c>
      <c r="GKV615" s="5" t="s">
        <v>3728</v>
      </c>
      <c r="GKW615" s="17">
        <v>44925</v>
      </c>
      <c r="GKX615" s="5" t="s">
        <v>3728</v>
      </c>
      <c r="GKY615" s="17">
        <v>44925</v>
      </c>
      <c r="GKZ615" s="5" t="s">
        <v>3728</v>
      </c>
      <c r="GLA615" s="17">
        <v>44925</v>
      </c>
      <c r="GLB615" s="5" t="s">
        <v>3728</v>
      </c>
      <c r="GLC615" s="17">
        <v>44925</v>
      </c>
      <c r="GLD615" s="5" t="s">
        <v>3728</v>
      </c>
      <c r="GLE615" s="17">
        <v>44925</v>
      </c>
      <c r="GLF615" s="5" t="s">
        <v>3728</v>
      </c>
      <c r="GLG615" s="17">
        <v>44925</v>
      </c>
      <c r="GLH615" s="5" t="s">
        <v>3728</v>
      </c>
      <c r="GLI615" s="17">
        <v>44925</v>
      </c>
      <c r="GLJ615" s="5" t="s">
        <v>3728</v>
      </c>
      <c r="GLK615" s="17">
        <v>44925</v>
      </c>
      <c r="GLL615" s="5" t="s">
        <v>3728</v>
      </c>
      <c r="GLM615" s="17">
        <v>44925</v>
      </c>
      <c r="GLN615" s="5" t="s">
        <v>3728</v>
      </c>
      <c r="GLO615" s="17">
        <v>44925</v>
      </c>
      <c r="GLP615" s="5" t="s">
        <v>3728</v>
      </c>
      <c r="GLQ615" s="17">
        <v>44925</v>
      </c>
      <c r="GLR615" s="5" t="s">
        <v>3728</v>
      </c>
      <c r="GLS615" s="17">
        <v>44925</v>
      </c>
      <c r="GLT615" s="5" t="s">
        <v>3728</v>
      </c>
      <c r="GLU615" s="17">
        <v>44925</v>
      </c>
      <c r="GLV615" s="5" t="s">
        <v>3728</v>
      </c>
      <c r="GLW615" s="17">
        <v>44925</v>
      </c>
      <c r="GLX615" s="5" t="s">
        <v>3728</v>
      </c>
      <c r="GLY615" s="17">
        <v>44925</v>
      </c>
      <c r="GLZ615" s="5" t="s">
        <v>3728</v>
      </c>
      <c r="GMA615" s="17">
        <v>44925</v>
      </c>
      <c r="GMB615" s="5" t="s">
        <v>3728</v>
      </c>
      <c r="GMC615" s="17">
        <v>44925</v>
      </c>
      <c r="GMD615" s="5" t="s">
        <v>3728</v>
      </c>
      <c r="GME615" s="17">
        <v>44925</v>
      </c>
      <c r="GMF615" s="5" t="s">
        <v>3728</v>
      </c>
      <c r="GMG615" s="17">
        <v>44925</v>
      </c>
      <c r="GMH615" s="5" t="s">
        <v>3728</v>
      </c>
      <c r="GMI615" s="17">
        <v>44925</v>
      </c>
      <c r="GMJ615" s="5" t="s">
        <v>3728</v>
      </c>
      <c r="GMK615" s="17">
        <v>44925</v>
      </c>
      <c r="GML615" s="5" t="s">
        <v>3728</v>
      </c>
      <c r="GMM615" s="17">
        <v>44925</v>
      </c>
      <c r="GMN615" s="5" t="s">
        <v>3728</v>
      </c>
      <c r="GMO615" s="17">
        <v>44925</v>
      </c>
      <c r="GMP615" s="5" t="s">
        <v>3728</v>
      </c>
      <c r="GMQ615" s="17">
        <v>44925</v>
      </c>
      <c r="GMR615" s="5" t="s">
        <v>3728</v>
      </c>
      <c r="GMS615" s="17">
        <v>44925</v>
      </c>
      <c r="GMT615" s="5" t="s">
        <v>3728</v>
      </c>
      <c r="GMU615" s="17">
        <v>44925</v>
      </c>
      <c r="GMV615" s="5" t="s">
        <v>3728</v>
      </c>
      <c r="GMW615" s="17">
        <v>44925</v>
      </c>
      <c r="GMX615" s="5" t="s">
        <v>3728</v>
      </c>
      <c r="GMY615" s="17">
        <v>44925</v>
      </c>
      <c r="GMZ615" s="5" t="s">
        <v>3728</v>
      </c>
      <c r="GNA615" s="17">
        <v>44925</v>
      </c>
      <c r="GNB615" s="5" t="s">
        <v>3728</v>
      </c>
      <c r="GNC615" s="17">
        <v>44925</v>
      </c>
      <c r="GND615" s="5" t="s">
        <v>3728</v>
      </c>
      <c r="GNE615" s="17">
        <v>44925</v>
      </c>
      <c r="GNF615" s="5" t="s">
        <v>3728</v>
      </c>
      <c r="GNG615" s="17">
        <v>44925</v>
      </c>
      <c r="GNH615" s="5" t="s">
        <v>3728</v>
      </c>
      <c r="GNI615" s="17">
        <v>44925</v>
      </c>
      <c r="GNJ615" s="5" t="s">
        <v>3728</v>
      </c>
      <c r="GNK615" s="17">
        <v>44925</v>
      </c>
      <c r="GNL615" s="5" t="s">
        <v>3728</v>
      </c>
      <c r="GNM615" s="17">
        <v>44925</v>
      </c>
      <c r="GNN615" s="5" t="s">
        <v>3728</v>
      </c>
      <c r="GNO615" s="17">
        <v>44925</v>
      </c>
      <c r="GNP615" s="5" t="s">
        <v>3728</v>
      </c>
      <c r="GNQ615" s="17">
        <v>44925</v>
      </c>
      <c r="GNR615" s="5" t="s">
        <v>3728</v>
      </c>
      <c r="GNS615" s="17">
        <v>44925</v>
      </c>
      <c r="GNT615" s="5" t="s">
        <v>3728</v>
      </c>
      <c r="GNU615" s="17">
        <v>44925</v>
      </c>
      <c r="GNV615" s="5" t="s">
        <v>3728</v>
      </c>
      <c r="GNW615" s="17">
        <v>44925</v>
      </c>
      <c r="GNX615" s="5" t="s">
        <v>3728</v>
      </c>
      <c r="GNY615" s="17">
        <v>44925</v>
      </c>
      <c r="GNZ615" s="5" t="s">
        <v>3728</v>
      </c>
      <c r="GOA615" s="17">
        <v>44925</v>
      </c>
      <c r="GOB615" s="5" t="s">
        <v>3728</v>
      </c>
      <c r="GOC615" s="17">
        <v>44925</v>
      </c>
      <c r="GOD615" s="5" t="s">
        <v>3728</v>
      </c>
      <c r="GOE615" s="17">
        <v>44925</v>
      </c>
      <c r="GOF615" s="5" t="s">
        <v>3728</v>
      </c>
      <c r="GOG615" s="17">
        <v>44925</v>
      </c>
      <c r="GOH615" s="5" t="s">
        <v>3728</v>
      </c>
      <c r="GOI615" s="17">
        <v>44925</v>
      </c>
      <c r="GOJ615" s="5" t="s">
        <v>3728</v>
      </c>
      <c r="GOK615" s="17">
        <v>44925</v>
      </c>
      <c r="GOL615" s="5" t="s">
        <v>3728</v>
      </c>
      <c r="GOM615" s="17">
        <v>44925</v>
      </c>
      <c r="GON615" s="5" t="s">
        <v>3728</v>
      </c>
      <c r="GOO615" s="17">
        <v>44925</v>
      </c>
      <c r="GOP615" s="5" t="s">
        <v>3728</v>
      </c>
      <c r="GOQ615" s="17">
        <v>44925</v>
      </c>
      <c r="GOR615" s="5" t="s">
        <v>3728</v>
      </c>
      <c r="GOS615" s="17">
        <v>44925</v>
      </c>
      <c r="GOT615" s="5" t="s">
        <v>3728</v>
      </c>
      <c r="GOU615" s="17">
        <v>44925</v>
      </c>
      <c r="GOV615" s="5" t="s">
        <v>3728</v>
      </c>
      <c r="GOW615" s="17">
        <v>44925</v>
      </c>
      <c r="GOX615" s="5" t="s">
        <v>3728</v>
      </c>
      <c r="GOY615" s="17">
        <v>44925</v>
      </c>
      <c r="GOZ615" s="5" t="s">
        <v>3728</v>
      </c>
      <c r="GPA615" s="17">
        <v>44925</v>
      </c>
      <c r="GPB615" s="5" t="s">
        <v>3728</v>
      </c>
      <c r="GPC615" s="17">
        <v>44925</v>
      </c>
      <c r="GPD615" s="5" t="s">
        <v>3728</v>
      </c>
      <c r="GPE615" s="17">
        <v>44925</v>
      </c>
      <c r="GPF615" s="5" t="s">
        <v>3728</v>
      </c>
      <c r="GPG615" s="17">
        <v>44925</v>
      </c>
      <c r="GPH615" s="5" t="s">
        <v>3728</v>
      </c>
      <c r="GPI615" s="17">
        <v>44925</v>
      </c>
      <c r="GPJ615" s="5" t="s">
        <v>3728</v>
      </c>
      <c r="GPK615" s="17">
        <v>44925</v>
      </c>
      <c r="GPL615" s="5" t="s">
        <v>3728</v>
      </c>
      <c r="GPM615" s="17">
        <v>44925</v>
      </c>
      <c r="GPN615" s="5" t="s">
        <v>3728</v>
      </c>
      <c r="GPO615" s="17">
        <v>44925</v>
      </c>
      <c r="GPP615" s="5" t="s">
        <v>3728</v>
      </c>
      <c r="GPQ615" s="17">
        <v>44925</v>
      </c>
      <c r="GPR615" s="5" t="s">
        <v>3728</v>
      </c>
      <c r="GPS615" s="17">
        <v>44925</v>
      </c>
      <c r="GPT615" s="5" t="s">
        <v>3728</v>
      </c>
      <c r="GPU615" s="17">
        <v>44925</v>
      </c>
      <c r="GPV615" s="5" t="s">
        <v>3728</v>
      </c>
      <c r="GPW615" s="17">
        <v>44925</v>
      </c>
      <c r="GPX615" s="5" t="s">
        <v>3728</v>
      </c>
      <c r="GPY615" s="17">
        <v>44925</v>
      </c>
      <c r="GPZ615" s="5" t="s">
        <v>3728</v>
      </c>
      <c r="GQA615" s="17">
        <v>44925</v>
      </c>
      <c r="GQB615" s="5" t="s">
        <v>3728</v>
      </c>
      <c r="GQC615" s="17">
        <v>44925</v>
      </c>
      <c r="GQD615" s="5" t="s">
        <v>3728</v>
      </c>
      <c r="GQE615" s="17">
        <v>44925</v>
      </c>
      <c r="GQF615" s="5" t="s">
        <v>3728</v>
      </c>
      <c r="GQG615" s="17">
        <v>44925</v>
      </c>
      <c r="GQH615" s="5" t="s">
        <v>3728</v>
      </c>
      <c r="GQI615" s="17">
        <v>44925</v>
      </c>
      <c r="GQJ615" s="5" t="s">
        <v>3728</v>
      </c>
      <c r="GQK615" s="17">
        <v>44925</v>
      </c>
      <c r="GQL615" s="5" t="s">
        <v>3728</v>
      </c>
      <c r="GQM615" s="17">
        <v>44925</v>
      </c>
      <c r="GQN615" s="5" t="s">
        <v>3728</v>
      </c>
      <c r="GQO615" s="17">
        <v>44925</v>
      </c>
      <c r="GQP615" s="5" t="s">
        <v>3728</v>
      </c>
      <c r="GQQ615" s="17">
        <v>44925</v>
      </c>
      <c r="GQR615" s="5" t="s">
        <v>3728</v>
      </c>
      <c r="GQS615" s="17">
        <v>44925</v>
      </c>
      <c r="GQT615" s="5" t="s">
        <v>3728</v>
      </c>
      <c r="GQU615" s="17">
        <v>44925</v>
      </c>
      <c r="GQV615" s="5" t="s">
        <v>3728</v>
      </c>
      <c r="GQW615" s="17">
        <v>44925</v>
      </c>
      <c r="GQX615" s="5" t="s">
        <v>3728</v>
      </c>
      <c r="GQY615" s="17">
        <v>44925</v>
      </c>
      <c r="GQZ615" s="5" t="s">
        <v>3728</v>
      </c>
      <c r="GRA615" s="17">
        <v>44925</v>
      </c>
      <c r="GRB615" s="5" t="s">
        <v>3728</v>
      </c>
      <c r="GRC615" s="17">
        <v>44925</v>
      </c>
      <c r="GRD615" s="5" t="s">
        <v>3728</v>
      </c>
      <c r="GRE615" s="17">
        <v>44925</v>
      </c>
      <c r="GRF615" s="5" t="s">
        <v>3728</v>
      </c>
      <c r="GRG615" s="17">
        <v>44925</v>
      </c>
      <c r="GRH615" s="5" t="s">
        <v>3728</v>
      </c>
      <c r="GRI615" s="17">
        <v>44925</v>
      </c>
      <c r="GRJ615" s="5" t="s">
        <v>3728</v>
      </c>
      <c r="GRK615" s="17">
        <v>44925</v>
      </c>
      <c r="GRL615" s="5" t="s">
        <v>3728</v>
      </c>
      <c r="GRM615" s="17">
        <v>44925</v>
      </c>
      <c r="GRN615" s="5" t="s">
        <v>3728</v>
      </c>
      <c r="GRO615" s="17">
        <v>44925</v>
      </c>
      <c r="GRP615" s="5" t="s">
        <v>3728</v>
      </c>
      <c r="GRQ615" s="17">
        <v>44925</v>
      </c>
      <c r="GRR615" s="5" t="s">
        <v>3728</v>
      </c>
      <c r="GRS615" s="17">
        <v>44925</v>
      </c>
      <c r="GRT615" s="5" t="s">
        <v>3728</v>
      </c>
      <c r="GRU615" s="17">
        <v>44925</v>
      </c>
      <c r="GRV615" s="5" t="s">
        <v>3728</v>
      </c>
      <c r="GRW615" s="17">
        <v>44925</v>
      </c>
      <c r="GRX615" s="5" t="s">
        <v>3728</v>
      </c>
      <c r="GRY615" s="17">
        <v>44925</v>
      </c>
      <c r="GRZ615" s="5" t="s">
        <v>3728</v>
      </c>
      <c r="GSA615" s="17">
        <v>44925</v>
      </c>
      <c r="GSB615" s="5" t="s">
        <v>3728</v>
      </c>
      <c r="GSC615" s="17">
        <v>44925</v>
      </c>
      <c r="GSD615" s="5" t="s">
        <v>3728</v>
      </c>
      <c r="GSE615" s="17">
        <v>44925</v>
      </c>
      <c r="GSF615" s="5" t="s">
        <v>3728</v>
      </c>
      <c r="GSG615" s="17">
        <v>44925</v>
      </c>
      <c r="GSH615" s="5" t="s">
        <v>3728</v>
      </c>
      <c r="GSI615" s="17">
        <v>44925</v>
      </c>
      <c r="GSJ615" s="5" t="s">
        <v>3728</v>
      </c>
      <c r="GSK615" s="17">
        <v>44925</v>
      </c>
      <c r="GSL615" s="5" t="s">
        <v>3728</v>
      </c>
      <c r="GSM615" s="17">
        <v>44925</v>
      </c>
      <c r="GSN615" s="5" t="s">
        <v>3728</v>
      </c>
      <c r="GSO615" s="17">
        <v>44925</v>
      </c>
      <c r="GSP615" s="5" t="s">
        <v>3728</v>
      </c>
      <c r="GSQ615" s="17">
        <v>44925</v>
      </c>
      <c r="GSR615" s="5" t="s">
        <v>3728</v>
      </c>
      <c r="GSS615" s="17">
        <v>44925</v>
      </c>
      <c r="GST615" s="5" t="s">
        <v>3728</v>
      </c>
      <c r="GSU615" s="17">
        <v>44925</v>
      </c>
      <c r="GSV615" s="5" t="s">
        <v>3728</v>
      </c>
      <c r="GSW615" s="17">
        <v>44925</v>
      </c>
      <c r="GSX615" s="5" t="s">
        <v>3728</v>
      </c>
      <c r="GSY615" s="17">
        <v>44925</v>
      </c>
      <c r="GSZ615" s="5" t="s">
        <v>3728</v>
      </c>
      <c r="GTA615" s="17">
        <v>44925</v>
      </c>
      <c r="GTB615" s="5" t="s">
        <v>3728</v>
      </c>
      <c r="GTC615" s="17">
        <v>44925</v>
      </c>
      <c r="GTD615" s="5" t="s">
        <v>3728</v>
      </c>
      <c r="GTE615" s="17">
        <v>44925</v>
      </c>
      <c r="GTF615" s="5" t="s">
        <v>3728</v>
      </c>
      <c r="GTG615" s="17">
        <v>44925</v>
      </c>
      <c r="GTH615" s="5" t="s">
        <v>3728</v>
      </c>
      <c r="GTI615" s="17">
        <v>44925</v>
      </c>
      <c r="GTJ615" s="5" t="s">
        <v>3728</v>
      </c>
      <c r="GTK615" s="17">
        <v>44925</v>
      </c>
      <c r="GTL615" s="5" t="s">
        <v>3728</v>
      </c>
      <c r="GTM615" s="17">
        <v>44925</v>
      </c>
      <c r="GTN615" s="5" t="s">
        <v>3728</v>
      </c>
      <c r="GTO615" s="17">
        <v>44925</v>
      </c>
      <c r="GTP615" s="5" t="s">
        <v>3728</v>
      </c>
      <c r="GTQ615" s="17">
        <v>44925</v>
      </c>
      <c r="GTR615" s="5" t="s">
        <v>3728</v>
      </c>
      <c r="GTS615" s="17">
        <v>44925</v>
      </c>
      <c r="GTT615" s="5" t="s">
        <v>3728</v>
      </c>
      <c r="GTU615" s="17">
        <v>44925</v>
      </c>
      <c r="GTV615" s="5" t="s">
        <v>3728</v>
      </c>
      <c r="GTW615" s="17">
        <v>44925</v>
      </c>
      <c r="GTX615" s="5" t="s">
        <v>3728</v>
      </c>
      <c r="GTY615" s="17">
        <v>44925</v>
      </c>
      <c r="GTZ615" s="5" t="s">
        <v>3728</v>
      </c>
      <c r="GUA615" s="17">
        <v>44925</v>
      </c>
      <c r="GUB615" s="5" t="s">
        <v>3728</v>
      </c>
      <c r="GUC615" s="17">
        <v>44925</v>
      </c>
      <c r="GUD615" s="5" t="s">
        <v>3728</v>
      </c>
      <c r="GUE615" s="17">
        <v>44925</v>
      </c>
      <c r="GUF615" s="5" t="s">
        <v>3728</v>
      </c>
      <c r="GUG615" s="17">
        <v>44925</v>
      </c>
      <c r="GUH615" s="5" t="s">
        <v>3728</v>
      </c>
      <c r="GUI615" s="17">
        <v>44925</v>
      </c>
      <c r="GUJ615" s="5" t="s">
        <v>3728</v>
      </c>
      <c r="GUK615" s="17">
        <v>44925</v>
      </c>
      <c r="GUL615" s="5" t="s">
        <v>3728</v>
      </c>
      <c r="GUM615" s="17">
        <v>44925</v>
      </c>
      <c r="GUN615" s="5" t="s">
        <v>3728</v>
      </c>
      <c r="GUO615" s="17">
        <v>44925</v>
      </c>
      <c r="GUP615" s="5" t="s">
        <v>3728</v>
      </c>
      <c r="GUQ615" s="17">
        <v>44925</v>
      </c>
      <c r="GUR615" s="5" t="s">
        <v>3728</v>
      </c>
      <c r="GUS615" s="17">
        <v>44925</v>
      </c>
      <c r="GUT615" s="5" t="s">
        <v>3728</v>
      </c>
      <c r="GUU615" s="17">
        <v>44925</v>
      </c>
      <c r="GUV615" s="5" t="s">
        <v>3728</v>
      </c>
      <c r="GUW615" s="17">
        <v>44925</v>
      </c>
      <c r="GUX615" s="5" t="s">
        <v>3728</v>
      </c>
      <c r="GUY615" s="17">
        <v>44925</v>
      </c>
      <c r="GUZ615" s="5" t="s">
        <v>3728</v>
      </c>
      <c r="GVA615" s="17">
        <v>44925</v>
      </c>
      <c r="GVB615" s="5" t="s">
        <v>3728</v>
      </c>
      <c r="GVC615" s="17">
        <v>44925</v>
      </c>
      <c r="GVD615" s="5" t="s">
        <v>3728</v>
      </c>
      <c r="GVE615" s="17">
        <v>44925</v>
      </c>
      <c r="GVF615" s="5" t="s">
        <v>3728</v>
      </c>
      <c r="GVG615" s="17">
        <v>44925</v>
      </c>
      <c r="GVH615" s="5" t="s">
        <v>3728</v>
      </c>
      <c r="GVI615" s="17">
        <v>44925</v>
      </c>
      <c r="GVJ615" s="5" t="s">
        <v>3728</v>
      </c>
      <c r="GVK615" s="17">
        <v>44925</v>
      </c>
      <c r="GVL615" s="5" t="s">
        <v>3728</v>
      </c>
      <c r="GVM615" s="17">
        <v>44925</v>
      </c>
      <c r="GVN615" s="5" t="s">
        <v>3728</v>
      </c>
      <c r="GVO615" s="17">
        <v>44925</v>
      </c>
      <c r="GVP615" s="5" t="s">
        <v>3728</v>
      </c>
      <c r="GVQ615" s="17">
        <v>44925</v>
      </c>
      <c r="GVR615" s="5" t="s">
        <v>3728</v>
      </c>
      <c r="GVS615" s="17">
        <v>44925</v>
      </c>
      <c r="GVT615" s="5" t="s">
        <v>3728</v>
      </c>
      <c r="GVU615" s="17">
        <v>44925</v>
      </c>
      <c r="GVV615" s="5" t="s">
        <v>3728</v>
      </c>
      <c r="GVW615" s="17">
        <v>44925</v>
      </c>
      <c r="GVX615" s="5" t="s">
        <v>3728</v>
      </c>
      <c r="GVY615" s="17">
        <v>44925</v>
      </c>
      <c r="GVZ615" s="5" t="s">
        <v>3728</v>
      </c>
      <c r="GWA615" s="17">
        <v>44925</v>
      </c>
      <c r="GWB615" s="5" t="s">
        <v>3728</v>
      </c>
      <c r="GWC615" s="17">
        <v>44925</v>
      </c>
      <c r="GWD615" s="5" t="s">
        <v>3728</v>
      </c>
      <c r="GWE615" s="17">
        <v>44925</v>
      </c>
      <c r="GWF615" s="5" t="s">
        <v>3728</v>
      </c>
      <c r="GWG615" s="17">
        <v>44925</v>
      </c>
      <c r="GWH615" s="5" t="s">
        <v>3728</v>
      </c>
      <c r="GWI615" s="17">
        <v>44925</v>
      </c>
      <c r="GWJ615" s="5" t="s">
        <v>3728</v>
      </c>
      <c r="GWK615" s="17">
        <v>44925</v>
      </c>
      <c r="GWL615" s="5" t="s">
        <v>3728</v>
      </c>
      <c r="GWM615" s="17">
        <v>44925</v>
      </c>
      <c r="GWN615" s="5" t="s">
        <v>3728</v>
      </c>
      <c r="GWO615" s="17">
        <v>44925</v>
      </c>
      <c r="GWP615" s="5" t="s">
        <v>3728</v>
      </c>
      <c r="GWQ615" s="17">
        <v>44925</v>
      </c>
      <c r="GWR615" s="5" t="s">
        <v>3728</v>
      </c>
      <c r="GWS615" s="17">
        <v>44925</v>
      </c>
      <c r="GWT615" s="5" t="s">
        <v>3728</v>
      </c>
      <c r="GWU615" s="17">
        <v>44925</v>
      </c>
      <c r="GWV615" s="5" t="s">
        <v>3728</v>
      </c>
      <c r="GWW615" s="17">
        <v>44925</v>
      </c>
      <c r="GWX615" s="5" t="s">
        <v>3728</v>
      </c>
      <c r="GWY615" s="17">
        <v>44925</v>
      </c>
      <c r="GWZ615" s="5" t="s">
        <v>3728</v>
      </c>
      <c r="GXA615" s="17">
        <v>44925</v>
      </c>
      <c r="GXB615" s="5" t="s">
        <v>3728</v>
      </c>
      <c r="GXC615" s="17">
        <v>44925</v>
      </c>
      <c r="GXD615" s="5" t="s">
        <v>3728</v>
      </c>
      <c r="GXE615" s="17">
        <v>44925</v>
      </c>
      <c r="GXF615" s="5" t="s">
        <v>3728</v>
      </c>
      <c r="GXG615" s="17">
        <v>44925</v>
      </c>
      <c r="GXH615" s="5" t="s">
        <v>3728</v>
      </c>
      <c r="GXI615" s="17">
        <v>44925</v>
      </c>
      <c r="GXJ615" s="5" t="s">
        <v>3728</v>
      </c>
      <c r="GXK615" s="17">
        <v>44925</v>
      </c>
      <c r="GXL615" s="5" t="s">
        <v>3728</v>
      </c>
      <c r="GXM615" s="17">
        <v>44925</v>
      </c>
      <c r="GXN615" s="5" t="s">
        <v>3728</v>
      </c>
      <c r="GXO615" s="17">
        <v>44925</v>
      </c>
      <c r="GXP615" s="5" t="s">
        <v>3728</v>
      </c>
      <c r="GXQ615" s="17">
        <v>44925</v>
      </c>
      <c r="GXR615" s="5" t="s">
        <v>3728</v>
      </c>
      <c r="GXS615" s="17">
        <v>44925</v>
      </c>
      <c r="GXT615" s="5" t="s">
        <v>3728</v>
      </c>
      <c r="GXU615" s="17">
        <v>44925</v>
      </c>
      <c r="GXV615" s="5" t="s">
        <v>3728</v>
      </c>
      <c r="GXW615" s="17">
        <v>44925</v>
      </c>
      <c r="GXX615" s="5" t="s">
        <v>3728</v>
      </c>
      <c r="GXY615" s="17">
        <v>44925</v>
      </c>
      <c r="GXZ615" s="5" t="s">
        <v>3728</v>
      </c>
      <c r="GYA615" s="17">
        <v>44925</v>
      </c>
      <c r="GYB615" s="5" t="s">
        <v>3728</v>
      </c>
      <c r="GYC615" s="17">
        <v>44925</v>
      </c>
      <c r="GYD615" s="5" t="s">
        <v>3728</v>
      </c>
      <c r="GYE615" s="17">
        <v>44925</v>
      </c>
      <c r="GYF615" s="5" t="s">
        <v>3728</v>
      </c>
      <c r="GYG615" s="17">
        <v>44925</v>
      </c>
      <c r="GYH615" s="5" t="s">
        <v>3728</v>
      </c>
      <c r="GYI615" s="17">
        <v>44925</v>
      </c>
      <c r="GYJ615" s="5" t="s">
        <v>3728</v>
      </c>
      <c r="GYK615" s="17">
        <v>44925</v>
      </c>
      <c r="GYL615" s="5" t="s">
        <v>3728</v>
      </c>
      <c r="GYM615" s="17">
        <v>44925</v>
      </c>
      <c r="GYN615" s="5" t="s">
        <v>3728</v>
      </c>
      <c r="GYO615" s="17">
        <v>44925</v>
      </c>
      <c r="GYP615" s="5" t="s">
        <v>3728</v>
      </c>
      <c r="GYQ615" s="17">
        <v>44925</v>
      </c>
      <c r="GYR615" s="5" t="s">
        <v>3728</v>
      </c>
      <c r="GYS615" s="17">
        <v>44925</v>
      </c>
      <c r="GYT615" s="5" t="s">
        <v>3728</v>
      </c>
      <c r="GYU615" s="17">
        <v>44925</v>
      </c>
      <c r="GYV615" s="5" t="s">
        <v>3728</v>
      </c>
      <c r="GYW615" s="17">
        <v>44925</v>
      </c>
      <c r="GYX615" s="5" t="s">
        <v>3728</v>
      </c>
      <c r="GYY615" s="17">
        <v>44925</v>
      </c>
      <c r="GYZ615" s="5" t="s">
        <v>3728</v>
      </c>
      <c r="GZA615" s="17">
        <v>44925</v>
      </c>
      <c r="GZB615" s="5" t="s">
        <v>3728</v>
      </c>
      <c r="GZC615" s="17">
        <v>44925</v>
      </c>
      <c r="GZD615" s="5" t="s">
        <v>3728</v>
      </c>
      <c r="GZE615" s="17">
        <v>44925</v>
      </c>
      <c r="GZF615" s="5" t="s">
        <v>3728</v>
      </c>
      <c r="GZG615" s="17">
        <v>44925</v>
      </c>
      <c r="GZH615" s="5" t="s">
        <v>3728</v>
      </c>
      <c r="GZI615" s="17">
        <v>44925</v>
      </c>
      <c r="GZJ615" s="5" t="s">
        <v>3728</v>
      </c>
      <c r="GZK615" s="17">
        <v>44925</v>
      </c>
      <c r="GZL615" s="5" t="s">
        <v>3728</v>
      </c>
      <c r="GZM615" s="17">
        <v>44925</v>
      </c>
      <c r="GZN615" s="5" t="s">
        <v>3728</v>
      </c>
      <c r="GZO615" s="17">
        <v>44925</v>
      </c>
      <c r="GZP615" s="5" t="s">
        <v>3728</v>
      </c>
      <c r="GZQ615" s="17">
        <v>44925</v>
      </c>
      <c r="GZR615" s="5" t="s">
        <v>3728</v>
      </c>
      <c r="GZS615" s="17">
        <v>44925</v>
      </c>
      <c r="GZT615" s="5" t="s">
        <v>3728</v>
      </c>
      <c r="GZU615" s="17">
        <v>44925</v>
      </c>
      <c r="GZV615" s="5" t="s">
        <v>3728</v>
      </c>
      <c r="GZW615" s="17">
        <v>44925</v>
      </c>
      <c r="GZX615" s="5" t="s">
        <v>3728</v>
      </c>
      <c r="GZY615" s="17">
        <v>44925</v>
      </c>
      <c r="GZZ615" s="5" t="s">
        <v>3728</v>
      </c>
      <c r="HAA615" s="17">
        <v>44925</v>
      </c>
      <c r="HAB615" s="5" t="s">
        <v>3728</v>
      </c>
      <c r="HAC615" s="17">
        <v>44925</v>
      </c>
      <c r="HAD615" s="5" t="s">
        <v>3728</v>
      </c>
      <c r="HAE615" s="17">
        <v>44925</v>
      </c>
      <c r="HAF615" s="5" t="s">
        <v>3728</v>
      </c>
      <c r="HAG615" s="17">
        <v>44925</v>
      </c>
      <c r="HAH615" s="5" t="s">
        <v>3728</v>
      </c>
      <c r="HAI615" s="17">
        <v>44925</v>
      </c>
      <c r="HAJ615" s="5" t="s">
        <v>3728</v>
      </c>
      <c r="HAK615" s="17">
        <v>44925</v>
      </c>
      <c r="HAL615" s="5" t="s">
        <v>3728</v>
      </c>
      <c r="HAM615" s="17">
        <v>44925</v>
      </c>
      <c r="HAN615" s="5" t="s">
        <v>3728</v>
      </c>
      <c r="HAO615" s="17">
        <v>44925</v>
      </c>
      <c r="HAP615" s="5" t="s">
        <v>3728</v>
      </c>
      <c r="HAQ615" s="17">
        <v>44925</v>
      </c>
      <c r="HAR615" s="5" t="s">
        <v>3728</v>
      </c>
      <c r="HAS615" s="17">
        <v>44925</v>
      </c>
      <c r="HAT615" s="5" t="s">
        <v>3728</v>
      </c>
      <c r="HAU615" s="17">
        <v>44925</v>
      </c>
      <c r="HAV615" s="5" t="s">
        <v>3728</v>
      </c>
      <c r="HAW615" s="17">
        <v>44925</v>
      </c>
      <c r="HAX615" s="5" t="s">
        <v>3728</v>
      </c>
      <c r="HAY615" s="17">
        <v>44925</v>
      </c>
      <c r="HAZ615" s="5" t="s">
        <v>3728</v>
      </c>
      <c r="HBA615" s="17">
        <v>44925</v>
      </c>
      <c r="HBB615" s="5" t="s">
        <v>3728</v>
      </c>
      <c r="HBC615" s="17">
        <v>44925</v>
      </c>
      <c r="HBD615" s="5" t="s">
        <v>3728</v>
      </c>
      <c r="HBE615" s="17">
        <v>44925</v>
      </c>
      <c r="HBF615" s="5" t="s">
        <v>3728</v>
      </c>
      <c r="HBG615" s="17">
        <v>44925</v>
      </c>
      <c r="HBH615" s="5" t="s">
        <v>3728</v>
      </c>
      <c r="HBI615" s="17">
        <v>44925</v>
      </c>
      <c r="HBJ615" s="5" t="s">
        <v>3728</v>
      </c>
      <c r="HBK615" s="17">
        <v>44925</v>
      </c>
      <c r="HBL615" s="5" t="s">
        <v>3728</v>
      </c>
      <c r="HBM615" s="17">
        <v>44925</v>
      </c>
      <c r="HBN615" s="5" t="s">
        <v>3728</v>
      </c>
      <c r="HBO615" s="17">
        <v>44925</v>
      </c>
      <c r="HBP615" s="5" t="s">
        <v>3728</v>
      </c>
      <c r="HBQ615" s="17">
        <v>44925</v>
      </c>
      <c r="HBR615" s="5" t="s">
        <v>3728</v>
      </c>
      <c r="HBS615" s="17">
        <v>44925</v>
      </c>
      <c r="HBT615" s="5" t="s">
        <v>3728</v>
      </c>
      <c r="HBU615" s="17">
        <v>44925</v>
      </c>
      <c r="HBV615" s="5" t="s">
        <v>3728</v>
      </c>
      <c r="HBW615" s="17">
        <v>44925</v>
      </c>
      <c r="HBX615" s="5" t="s">
        <v>3728</v>
      </c>
      <c r="HBY615" s="17">
        <v>44925</v>
      </c>
      <c r="HBZ615" s="5" t="s">
        <v>3728</v>
      </c>
      <c r="HCA615" s="17">
        <v>44925</v>
      </c>
      <c r="HCB615" s="5" t="s">
        <v>3728</v>
      </c>
      <c r="HCC615" s="17">
        <v>44925</v>
      </c>
      <c r="HCD615" s="5" t="s">
        <v>3728</v>
      </c>
      <c r="HCE615" s="17">
        <v>44925</v>
      </c>
      <c r="HCF615" s="5" t="s">
        <v>3728</v>
      </c>
      <c r="HCG615" s="17">
        <v>44925</v>
      </c>
      <c r="HCH615" s="5" t="s">
        <v>3728</v>
      </c>
      <c r="HCI615" s="17">
        <v>44925</v>
      </c>
      <c r="HCJ615" s="5" t="s">
        <v>3728</v>
      </c>
      <c r="HCK615" s="17">
        <v>44925</v>
      </c>
      <c r="HCL615" s="5" t="s">
        <v>3728</v>
      </c>
      <c r="HCM615" s="17">
        <v>44925</v>
      </c>
      <c r="HCN615" s="5" t="s">
        <v>3728</v>
      </c>
      <c r="HCO615" s="17">
        <v>44925</v>
      </c>
      <c r="HCP615" s="5" t="s">
        <v>3728</v>
      </c>
      <c r="HCQ615" s="17">
        <v>44925</v>
      </c>
      <c r="HCR615" s="5" t="s">
        <v>3728</v>
      </c>
      <c r="HCS615" s="17">
        <v>44925</v>
      </c>
      <c r="HCT615" s="5" t="s">
        <v>3728</v>
      </c>
      <c r="HCU615" s="17">
        <v>44925</v>
      </c>
      <c r="HCV615" s="5" t="s">
        <v>3728</v>
      </c>
      <c r="HCW615" s="17">
        <v>44925</v>
      </c>
      <c r="HCX615" s="5" t="s">
        <v>3728</v>
      </c>
      <c r="HCY615" s="17">
        <v>44925</v>
      </c>
      <c r="HCZ615" s="5" t="s">
        <v>3728</v>
      </c>
      <c r="HDA615" s="17">
        <v>44925</v>
      </c>
      <c r="HDB615" s="5" t="s">
        <v>3728</v>
      </c>
      <c r="HDC615" s="17">
        <v>44925</v>
      </c>
      <c r="HDD615" s="5" t="s">
        <v>3728</v>
      </c>
      <c r="HDE615" s="17">
        <v>44925</v>
      </c>
      <c r="HDF615" s="5" t="s">
        <v>3728</v>
      </c>
      <c r="HDG615" s="17">
        <v>44925</v>
      </c>
      <c r="HDH615" s="5" t="s">
        <v>3728</v>
      </c>
      <c r="HDI615" s="17">
        <v>44925</v>
      </c>
      <c r="HDJ615" s="5" t="s">
        <v>3728</v>
      </c>
      <c r="HDK615" s="17">
        <v>44925</v>
      </c>
      <c r="HDL615" s="5" t="s">
        <v>3728</v>
      </c>
      <c r="HDM615" s="17">
        <v>44925</v>
      </c>
      <c r="HDN615" s="5" t="s">
        <v>3728</v>
      </c>
      <c r="HDO615" s="17">
        <v>44925</v>
      </c>
      <c r="HDP615" s="5" t="s">
        <v>3728</v>
      </c>
      <c r="HDQ615" s="17">
        <v>44925</v>
      </c>
      <c r="HDR615" s="5" t="s">
        <v>3728</v>
      </c>
      <c r="HDS615" s="17">
        <v>44925</v>
      </c>
      <c r="HDT615" s="5" t="s">
        <v>3728</v>
      </c>
      <c r="HDU615" s="17">
        <v>44925</v>
      </c>
      <c r="HDV615" s="5" t="s">
        <v>3728</v>
      </c>
      <c r="HDW615" s="17">
        <v>44925</v>
      </c>
      <c r="HDX615" s="5" t="s">
        <v>3728</v>
      </c>
      <c r="HDY615" s="17">
        <v>44925</v>
      </c>
      <c r="HDZ615" s="5" t="s">
        <v>3728</v>
      </c>
      <c r="HEA615" s="17">
        <v>44925</v>
      </c>
      <c r="HEB615" s="5" t="s">
        <v>3728</v>
      </c>
      <c r="HEC615" s="17">
        <v>44925</v>
      </c>
      <c r="HED615" s="5" t="s">
        <v>3728</v>
      </c>
      <c r="HEE615" s="17">
        <v>44925</v>
      </c>
      <c r="HEF615" s="5" t="s">
        <v>3728</v>
      </c>
      <c r="HEG615" s="17">
        <v>44925</v>
      </c>
      <c r="HEH615" s="5" t="s">
        <v>3728</v>
      </c>
      <c r="HEI615" s="17">
        <v>44925</v>
      </c>
      <c r="HEJ615" s="5" t="s">
        <v>3728</v>
      </c>
      <c r="HEK615" s="17">
        <v>44925</v>
      </c>
      <c r="HEL615" s="5" t="s">
        <v>3728</v>
      </c>
      <c r="HEM615" s="17">
        <v>44925</v>
      </c>
      <c r="HEN615" s="5" t="s">
        <v>3728</v>
      </c>
      <c r="HEO615" s="17">
        <v>44925</v>
      </c>
      <c r="HEP615" s="5" t="s">
        <v>3728</v>
      </c>
      <c r="HEQ615" s="17">
        <v>44925</v>
      </c>
      <c r="HER615" s="5" t="s">
        <v>3728</v>
      </c>
      <c r="HES615" s="17">
        <v>44925</v>
      </c>
      <c r="HET615" s="5" t="s">
        <v>3728</v>
      </c>
      <c r="HEU615" s="17">
        <v>44925</v>
      </c>
      <c r="HEV615" s="5" t="s">
        <v>3728</v>
      </c>
      <c r="HEW615" s="17">
        <v>44925</v>
      </c>
      <c r="HEX615" s="5" t="s">
        <v>3728</v>
      </c>
      <c r="HEY615" s="17">
        <v>44925</v>
      </c>
      <c r="HEZ615" s="5" t="s">
        <v>3728</v>
      </c>
      <c r="HFA615" s="17">
        <v>44925</v>
      </c>
      <c r="HFB615" s="5" t="s">
        <v>3728</v>
      </c>
      <c r="HFC615" s="17">
        <v>44925</v>
      </c>
      <c r="HFD615" s="5" t="s">
        <v>3728</v>
      </c>
      <c r="HFE615" s="17">
        <v>44925</v>
      </c>
      <c r="HFF615" s="5" t="s">
        <v>3728</v>
      </c>
      <c r="HFG615" s="17">
        <v>44925</v>
      </c>
      <c r="HFH615" s="5" t="s">
        <v>3728</v>
      </c>
      <c r="HFI615" s="17">
        <v>44925</v>
      </c>
      <c r="HFJ615" s="5" t="s">
        <v>3728</v>
      </c>
      <c r="HFK615" s="17">
        <v>44925</v>
      </c>
      <c r="HFL615" s="5" t="s">
        <v>3728</v>
      </c>
      <c r="HFM615" s="17">
        <v>44925</v>
      </c>
      <c r="HFN615" s="5" t="s">
        <v>3728</v>
      </c>
      <c r="HFO615" s="17">
        <v>44925</v>
      </c>
      <c r="HFP615" s="5" t="s">
        <v>3728</v>
      </c>
      <c r="HFQ615" s="17">
        <v>44925</v>
      </c>
      <c r="HFR615" s="5" t="s">
        <v>3728</v>
      </c>
      <c r="HFS615" s="17">
        <v>44925</v>
      </c>
      <c r="HFT615" s="5" t="s">
        <v>3728</v>
      </c>
      <c r="HFU615" s="17">
        <v>44925</v>
      </c>
      <c r="HFV615" s="5" t="s">
        <v>3728</v>
      </c>
      <c r="HFW615" s="17">
        <v>44925</v>
      </c>
      <c r="HFX615" s="5" t="s">
        <v>3728</v>
      </c>
      <c r="HFY615" s="17">
        <v>44925</v>
      </c>
      <c r="HFZ615" s="5" t="s">
        <v>3728</v>
      </c>
      <c r="HGA615" s="17">
        <v>44925</v>
      </c>
      <c r="HGB615" s="5" t="s">
        <v>3728</v>
      </c>
      <c r="HGC615" s="17">
        <v>44925</v>
      </c>
      <c r="HGD615" s="5" t="s">
        <v>3728</v>
      </c>
      <c r="HGE615" s="17">
        <v>44925</v>
      </c>
      <c r="HGF615" s="5" t="s">
        <v>3728</v>
      </c>
      <c r="HGG615" s="17">
        <v>44925</v>
      </c>
      <c r="HGH615" s="5" t="s">
        <v>3728</v>
      </c>
      <c r="HGI615" s="17">
        <v>44925</v>
      </c>
      <c r="HGJ615" s="5" t="s">
        <v>3728</v>
      </c>
      <c r="HGK615" s="17">
        <v>44925</v>
      </c>
      <c r="HGL615" s="5" t="s">
        <v>3728</v>
      </c>
      <c r="HGM615" s="17">
        <v>44925</v>
      </c>
      <c r="HGN615" s="5" t="s">
        <v>3728</v>
      </c>
      <c r="HGO615" s="17">
        <v>44925</v>
      </c>
      <c r="HGP615" s="5" t="s">
        <v>3728</v>
      </c>
      <c r="HGQ615" s="17">
        <v>44925</v>
      </c>
      <c r="HGR615" s="5" t="s">
        <v>3728</v>
      </c>
      <c r="HGS615" s="17">
        <v>44925</v>
      </c>
      <c r="HGT615" s="5" t="s">
        <v>3728</v>
      </c>
      <c r="HGU615" s="17">
        <v>44925</v>
      </c>
      <c r="HGV615" s="5" t="s">
        <v>3728</v>
      </c>
      <c r="HGW615" s="17">
        <v>44925</v>
      </c>
      <c r="HGX615" s="5" t="s">
        <v>3728</v>
      </c>
      <c r="HGY615" s="17">
        <v>44925</v>
      </c>
      <c r="HGZ615" s="5" t="s">
        <v>3728</v>
      </c>
      <c r="HHA615" s="17">
        <v>44925</v>
      </c>
      <c r="HHB615" s="5" t="s">
        <v>3728</v>
      </c>
      <c r="HHC615" s="17">
        <v>44925</v>
      </c>
      <c r="HHD615" s="5" t="s">
        <v>3728</v>
      </c>
      <c r="HHE615" s="17">
        <v>44925</v>
      </c>
      <c r="HHF615" s="5" t="s">
        <v>3728</v>
      </c>
      <c r="HHG615" s="17">
        <v>44925</v>
      </c>
      <c r="HHH615" s="5" t="s">
        <v>3728</v>
      </c>
      <c r="HHI615" s="17">
        <v>44925</v>
      </c>
      <c r="HHJ615" s="5" t="s">
        <v>3728</v>
      </c>
      <c r="HHK615" s="17">
        <v>44925</v>
      </c>
      <c r="HHL615" s="5" t="s">
        <v>3728</v>
      </c>
      <c r="HHM615" s="17">
        <v>44925</v>
      </c>
      <c r="HHN615" s="5" t="s">
        <v>3728</v>
      </c>
      <c r="HHO615" s="17">
        <v>44925</v>
      </c>
      <c r="HHP615" s="5" t="s">
        <v>3728</v>
      </c>
      <c r="HHQ615" s="17">
        <v>44925</v>
      </c>
      <c r="HHR615" s="5" t="s">
        <v>3728</v>
      </c>
      <c r="HHS615" s="17">
        <v>44925</v>
      </c>
      <c r="HHT615" s="5" t="s">
        <v>3728</v>
      </c>
      <c r="HHU615" s="17">
        <v>44925</v>
      </c>
      <c r="HHV615" s="5" t="s">
        <v>3728</v>
      </c>
      <c r="HHW615" s="17">
        <v>44925</v>
      </c>
      <c r="HHX615" s="5" t="s">
        <v>3728</v>
      </c>
      <c r="HHY615" s="17">
        <v>44925</v>
      </c>
      <c r="HHZ615" s="5" t="s">
        <v>3728</v>
      </c>
      <c r="HIA615" s="17">
        <v>44925</v>
      </c>
      <c r="HIB615" s="5" t="s">
        <v>3728</v>
      </c>
      <c r="HIC615" s="17">
        <v>44925</v>
      </c>
      <c r="HID615" s="5" t="s">
        <v>3728</v>
      </c>
      <c r="HIE615" s="17">
        <v>44925</v>
      </c>
      <c r="HIF615" s="5" t="s">
        <v>3728</v>
      </c>
      <c r="HIG615" s="17">
        <v>44925</v>
      </c>
      <c r="HIH615" s="5" t="s">
        <v>3728</v>
      </c>
      <c r="HII615" s="17">
        <v>44925</v>
      </c>
      <c r="HIJ615" s="5" t="s">
        <v>3728</v>
      </c>
      <c r="HIK615" s="17">
        <v>44925</v>
      </c>
      <c r="HIL615" s="5" t="s">
        <v>3728</v>
      </c>
      <c r="HIM615" s="17">
        <v>44925</v>
      </c>
      <c r="HIN615" s="5" t="s">
        <v>3728</v>
      </c>
      <c r="HIO615" s="17">
        <v>44925</v>
      </c>
      <c r="HIP615" s="5" t="s">
        <v>3728</v>
      </c>
      <c r="HIQ615" s="17">
        <v>44925</v>
      </c>
      <c r="HIR615" s="5" t="s">
        <v>3728</v>
      </c>
      <c r="HIS615" s="17">
        <v>44925</v>
      </c>
      <c r="HIT615" s="5" t="s">
        <v>3728</v>
      </c>
      <c r="HIU615" s="17">
        <v>44925</v>
      </c>
      <c r="HIV615" s="5" t="s">
        <v>3728</v>
      </c>
      <c r="HIW615" s="17">
        <v>44925</v>
      </c>
      <c r="HIX615" s="5" t="s">
        <v>3728</v>
      </c>
      <c r="HIY615" s="17">
        <v>44925</v>
      </c>
      <c r="HIZ615" s="5" t="s">
        <v>3728</v>
      </c>
      <c r="HJA615" s="17">
        <v>44925</v>
      </c>
      <c r="HJB615" s="5" t="s">
        <v>3728</v>
      </c>
      <c r="HJC615" s="17">
        <v>44925</v>
      </c>
      <c r="HJD615" s="5" t="s">
        <v>3728</v>
      </c>
      <c r="HJE615" s="17">
        <v>44925</v>
      </c>
      <c r="HJF615" s="5" t="s">
        <v>3728</v>
      </c>
      <c r="HJG615" s="17">
        <v>44925</v>
      </c>
      <c r="HJH615" s="5" t="s">
        <v>3728</v>
      </c>
      <c r="HJI615" s="17">
        <v>44925</v>
      </c>
      <c r="HJJ615" s="5" t="s">
        <v>3728</v>
      </c>
      <c r="HJK615" s="17">
        <v>44925</v>
      </c>
      <c r="HJL615" s="5" t="s">
        <v>3728</v>
      </c>
      <c r="HJM615" s="17">
        <v>44925</v>
      </c>
      <c r="HJN615" s="5" t="s">
        <v>3728</v>
      </c>
      <c r="HJO615" s="17">
        <v>44925</v>
      </c>
      <c r="HJP615" s="5" t="s">
        <v>3728</v>
      </c>
      <c r="HJQ615" s="17">
        <v>44925</v>
      </c>
      <c r="HJR615" s="5" t="s">
        <v>3728</v>
      </c>
      <c r="HJS615" s="17">
        <v>44925</v>
      </c>
      <c r="HJT615" s="5" t="s">
        <v>3728</v>
      </c>
      <c r="HJU615" s="17">
        <v>44925</v>
      </c>
      <c r="HJV615" s="5" t="s">
        <v>3728</v>
      </c>
      <c r="HJW615" s="17">
        <v>44925</v>
      </c>
      <c r="HJX615" s="5" t="s">
        <v>3728</v>
      </c>
      <c r="HJY615" s="17">
        <v>44925</v>
      </c>
      <c r="HJZ615" s="5" t="s">
        <v>3728</v>
      </c>
      <c r="HKA615" s="17">
        <v>44925</v>
      </c>
      <c r="HKB615" s="5" t="s">
        <v>3728</v>
      </c>
      <c r="HKC615" s="17">
        <v>44925</v>
      </c>
      <c r="HKD615" s="5" t="s">
        <v>3728</v>
      </c>
      <c r="HKE615" s="17">
        <v>44925</v>
      </c>
      <c r="HKF615" s="5" t="s">
        <v>3728</v>
      </c>
      <c r="HKG615" s="17">
        <v>44925</v>
      </c>
      <c r="HKH615" s="5" t="s">
        <v>3728</v>
      </c>
      <c r="HKI615" s="17">
        <v>44925</v>
      </c>
      <c r="HKJ615" s="5" t="s">
        <v>3728</v>
      </c>
      <c r="HKK615" s="17">
        <v>44925</v>
      </c>
      <c r="HKL615" s="5" t="s">
        <v>3728</v>
      </c>
      <c r="HKM615" s="17">
        <v>44925</v>
      </c>
      <c r="HKN615" s="5" t="s">
        <v>3728</v>
      </c>
      <c r="HKO615" s="17">
        <v>44925</v>
      </c>
      <c r="HKP615" s="5" t="s">
        <v>3728</v>
      </c>
      <c r="HKQ615" s="17">
        <v>44925</v>
      </c>
      <c r="HKR615" s="5" t="s">
        <v>3728</v>
      </c>
      <c r="HKS615" s="17">
        <v>44925</v>
      </c>
      <c r="HKT615" s="5" t="s">
        <v>3728</v>
      </c>
      <c r="HKU615" s="17">
        <v>44925</v>
      </c>
      <c r="HKV615" s="5" t="s">
        <v>3728</v>
      </c>
      <c r="HKW615" s="17">
        <v>44925</v>
      </c>
      <c r="HKX615" s="5" t="s">
        <v>3728</v>
      </c>
      <c r="HKY615" s="17">
        <v>44925</v>
      </c>
      <c r="HKZ615" s="5" t="s">
        <v>3728</v>
      </c>
      <c r="HLA615" s="17">
        <v>44925</v>
      </c>
      <c r="HLB615" s="5" t="s">
        <v>3728</v>
      </c>
      <c r="HLC615" s="17">
        <v>44925</v>
      </c>
      <c r="HLD615" s="5" t="s">
        <v>3728</v>
      </c>
      <c r="HLE615" s="17">
        <v>44925</v>
      </c>
      <c r="HLF615" s="5" t="s">
        <v>3728</v>
      </c>
      <c r="HLG615" s="17">
        <v>44925</v>
      </c>
      <c r="HLH615" s="5" t="s">
        <v>3728</v>
      </c>
      <c r="HLI615" s="17">
        <v>44925</v>
      </c>
      <c r="HLJ615" s="5" t="s">
        <v>3728</v>
      </c>
      <c r="HLK615" s="17">
        <v>44925</v>
      </c>
      <c r="HLL615" s="5" t="s">
        <v>3728</v>
      </c>
      <c r="HLM615" s="17">
        <v>44925</v>
      </c>
      <c r="HLN615" s="5" t="s">
        <v>3728</v>
      </c>
      <c r="HLO615" s="17">
        <v>44925</v>
      </c>
      <c r="HLP615" s="5" t="s">
        <v>3728</v>
      </c>
      <c r="HLQ615" s="17">
        <v>44925</v>
      </c>
      <c r="HLR615" s="5" t="s">
        <v>3728</v>
      </c>
      <c r="HLS615" s="17">
        <v>44925</v>
      </c>
      <c r="HLT615" s="5" t="s">
        <v>3728</v>
      </c>
      <c r="HLU615" s="17">
        <v>44925</v>
      </c>
      <c r="HLV615" s="5" t="s">
        <v>3728</v>
      </c>
      <c r="HLW615" s="17">
        <v>44925</v>
      </c>
      <c r="HLX615" s="5" t="s">
        <v>3728</v>
      </c>
      <c r="HLY615" s="17">
        <v>44925</v>
      </c>
      <c r="HLZ615" s="5" t="s">
        <v>3728</v>
      </c>
      <c r="HMA615" s="17">
        <v>44925</v>
      </c>
      <c r="HMB615" s="5" t="s">
        <v>3728</v>
      </c>
      <c r="HMC615" s="17">
        <v>44925</v>
      </c>
      <c r="HMD615" s="5" t="s">
        <v>3728</v>
      </c>
      <c r="HME615" s="17">
        <v>44925</v>
      </c>
      <c r="HMF615" s="5" t="s">
        <v>3728</v>
      </c>
      <c r="HMG615" s="17">
        <v>44925</v>
      </c>
      <c r="HMH615" s="5" t="s">
        <v>3728</v>
      </c>
      <c r="HMI615" s="17">
        <v>44925</v>
      </c>
      <c r="HMJ615" s="5" t="s">
        <v>3728</v>
      </c>
      <c r="HMK615" s="17">
        <v>44925</v>
      </c>
      <c r="HML615" s="5" t="s">
        <v>3728</v>
      </c>
      <c r="HMM615" s="17">
        <v>44925</v>
      </c>
      <c r="HMN615" s="5" t="s">
        <v>3728</v>
      </c>
      <c r="HMO615" s="17">
        <v>44925</v>
      </c>
      <c r="HMP615" s="5" t="s">
        <v>3728</v>
      </c>
      <c r="HMQ615" s="17">
        <v>44925</v>
      </c>
      <c r="HMR615" s="5" t="s">
        <v>3728</v>
      </c>
      <c r="HMS615" s="17">
        <v>44925</v>
      </c>
      <c r="HMT615" s="5" t="s">
        <v>3728</v>
      </c>
      <c r="HMU615" s="17">
        <v>44925</v>
      </c>
      <c r="HMV615" s="5" t="s">
        <v>3728</v>
      </c>
      <c r="HMW615" s="17">
        <v>44925</v>
      </c>
      <c r="HMX615" s="5" t="s">
        <v>3728</v>
      </c>
      <c r="HMY615" s="17">
        <v>44925</v>
      </c>
      <c r="HMZ615" s="5" t="s">
        <v>3728</v>
      </c>
      <c r="HNA615" s="17">
        <v>44925</v>
      </c>
      <c r="HNB615" s="5" t="s">
        <v>3728</v>
      </c>
      <c r="HNC615" s="17">
        <v>44925</v>
      </c>
      <c r="HND615" s="5" t="s">
        <v>3728</v>
      </c>
      <c r="HNE615" s="17">
        <v>44925</v>
      </c>
      <c r="HNF615" s="5" t="s">
        <v>3728</v>
      </c>
      <c r="HNG615" s="17">
        <v>44925</v>
      </c>
      <c r="HNH615" s="5" t="s">
        <v>3728</v>
      </c>
      <c r="HNI615" s="17">
        <v>44925</v>
      </c>
      <c r="HNJ615" s="5" t="s">
        <v>3728</v>
      </c>
      <c r="HNK615" s="17">
        <v>44925</v>
      </c>
      <c r="HNL615" s="5" t="s">
        <v>3728</v>
      </c>
      <c r="HNM615" s="17">
        <v>44925</v>
      </c>
      <c r="HNN615" s="5" t="s">
        <v>3728</v>
      </c>
      <c r="HNO615" s="17">
        <v>44925</v>
      </c>
      <c r="HNP615" s="5" t="s">
        <v>3728</v>
      </c>
      <c r="HNQ615" s="17">
        <v>44925</v>
      </c>
      <c r="HNR615" s="5" t="s">
        <v>3728</v>
      </c>
      <c r="HNS615" s="17">
        <v>44925</v>
      </c>
      <c r="HNT615" s="5" t="s">
        <v>3728</v>
      </c>
      <c r="HNU615" s="17">
        <v>44925</v>
      </c>
      <c r="HNV615" s="5" t="s">
        <v>3728</v>
      </c>
      <c r="HNW615" s="17">
        <v>44925</v>
      </c>
      <c r="HNX615" s="5" t="s">
        <v>3728</v>
      </c>
      <c r="HNY615" s="17">
        <v>44925</v>
      </c>
      <c r="HNZ615" s="5" t="s">
        <v>3728</v>
      </c>
      <c r="HOA615" s="17">
        <v>44925</v>
      </c>
      <c r="HOB615" s="5" t="s">
        <v>3728</v>
      </c>
      <c r="HOC615" s="17">
        <v>44925</v>
      </c>
      <c r="HOD615" s="5" t="s">
        <v>3728</v>
      </c>
      <c r="HOE615" s="17">
        <v>44925</v>
      </c>
      <c r="HOF615" s="5" t="s">
        <v>3728</v>
      </c>
      <c r="HOG615" s="17">
        <v>44925</v>
      </c>
      <c r="HOH615" s="5" t="s">
        <v>3728</v>
      </c>
      <c r="HOI615" s="17">
        <v>44925</v>
      </c>
      <c r="HOJ615" s="5" t="s">
        <v>3728</v>
      </c>
      <c r="HOK615" s="17">
        <v>44925</v>
      </c>
      <c r="HOL615" s="5" t="s">
        <v>3728</v>
      </c>
      <c r="HOM615" s="17">
        <v>44925</v>
      </c>
      <c r="HON615" s="5" t="s">
        <v>3728</v>
      </c>
      <c r="HOO615" s="17">
        <v>44925</v>
      </c>
      <c r="HOP615" s="5" t="s">
        <v>3728</v>
      </c>
      <c r="HOQ615" s="17">
        <v>44925</v>
      </c>
      <c r="HOR615" s="5" t="s">
        <v>3728</v>
      </c>
      <c r="HOS615" s="17">
        <v>44925</v>
      </c>
      <c r="HOT615" s="5" t="s">
        <v>3728</v>
      </c>
      <c r="HOU615" s="17">
        <v>44925</v>
      </c>
      <c r="HOV615" s="5" t="s">
        <v>3728</v>
      </c>
      <c r="HOW615" s="17">
        <v>44925</v>
      </c>
      <c r="HOX615" s="5" t="s">
        <v>3728</v>
      </c>
      <c r="HOY615" s="17">
        <v>44925</v>
      </c>
      <c r="HOZ615" s="5" t="s">
        <v>3728</v>
      </c>
      <c r="HPA615" s="17">
        <v>44925</v>
      </c>
      <c r="HPB615" s="5" t="s">
        <v>3728</v>
      </c>
      <c r="HPC615" s="17">
        <v>44925</v>
      </c>
      <c r="HPD615" s="5" t="s">
        <v>3728</v>
      </c>
      <c r="HPE615" s="17">
        <v>44925</v>
      </c>
      <c r="HPF615" s="5" t="s">
        <v>3728</v>
      </c>
      <c r="HPG615" s="17">
        <v>44925</v>
      </c>
      <c r="HPH615" s="5" t="s">
        <v>3728</v>
      </c>
      <c r="HPI615" s="17">
        <v>44925</v>
      </c>
      <c r="HPJ615" s="5" t="s">
        <v>3728</v>
      </c>
      <c r="HPK615" s="17">
        <v>44925</v>
      </c>
      <c r="HPL615" s="5" t="s">
        <v>3728</v>
      </c>
      <c r="HPM615" s="17">
        <v>44925</v>
      </c>
      <c r="HPN615" s="5" t="s">
        <v>3728</v>
      </c>
      <c r="HPO615" s="17">
        <v>44925</v>
      </c>
      <c r="HPP615" s="5" t="s">
        <v>3728</v>
      </c>
      <c r="HPQ615" s="17">
        <v>44925</v>
      </c>
      <c r="HPR615" s="5" t="s">
        <v>3728</v>
      </c>
      <c r="HPS615" s="17">
        <v>44925</v>
      </c>
      <c r="HPT615" s="5" t="s">
        <v>3728</v>
      </c>
      <c r="HPU615" s="17">
        <v>44925</v>
      </c>
      <c r="HPV615" s="5" t="s">
        <v>3728</v>
      </c>
      <c r="HPW615" s="17">
        <v>44925</v>
      </c>
      <c r="HPX615" s="5" t="s">
        <v>3728</v>
      </c>
      <c r="HPY615" s="17">
        <v>44925</v>
      </c>
      <c r="HPZ615" s="5" t="s">
        <v>3728</v>
      </c>
      <c r="HQA615" s="17">
        <v>44925</v>
      </c>
      <c r="HQB615" s="5" t="s">
        <v>3728</v>
      </c>
      <c r="HQC615" s="17">
        <v>44925</v>
      </c>
      <c r="HQD615" s="5" t="s">
        <v>3728</v>
      </c>
      <c r="HQE615" s="17">
        <v>44925</v>
      </c>
      <c r="HQF615" s="5" t="s">
        <v>3728</v>
      </c>
      <c r="HQG615" s="17">
        <v>44925</v>
      </c>
      <c r="HQH615" s="5" t="s">
        <v>3728</v>
      </c>
      <c r="HQI615" s="17">
        <v>44925</v>
      </c>
      <c r="HQJ615" s="5" t="s">
        <v>3728</v>
      </c>
      <c r="HQK615" s="17">
        <v>44925</v>
      </c>
      <c r="HQL615" s="5" t="s">
        <v>3728</v>
      </c>
      <c r="HQM615" s="17">
        <v>44925</v>
      </c>
      <c r="HQN615" s="5" t="s">
        <v>3728</v>
      </c>
      <c r="HQO615" s="17">
        <v>44925</v>
      </c>
      <c r="HQP615" s="5" t="s">
        <v>3728</v>
      </c>
      <c r="HQQ615" s="17">
        <v>44925</v>
      </c>
      <c r="HQR615" s="5" t="s">
        <v>3728</v>
      </c>
      <c r="HQS615" s="17">
        <v>44925</v>
      </c>
      <c r="HQT615" s="5" t="s">
        <v>3728</v>
      </c>
      <c r="HQU615" s="17">
        <v>44925</v>
      </c>
      <c r="HQV615" s="5" t="s">
        <v>3728</v>
      </c>
      <c r="HQW615" s="17">
        <v>44925</v>
      </c>
      <c r="HQX615" s="5" t="s">
        <v>3728</v>
      </c>
      <c r="HQY615" s="17">
        <v>44925</v>
      </c>
      <c r="HQZ615" s="5" t="s">
        <v>3728</v>
      </c>
      <c r="HRA615" s="17">
        <v>44925</v>
      </c>
      <c r="HRB615" s="5" t="s">
        <v>3728</v>
      </c>
      <c r="HRC615" s="17">
        <v>44925</v>
      </c>
      <c r="HRD615" s="5" t="s">
        <v>3728</v>
      </c>
      <c r="HRE615" s="17">
        <v>44925</v>
      </c>
      <c r="HRF615" s="5" t="s">
        <v>3728</v>
      </c>
      <c r="HRG615" s="17">
        <v>44925</v>
      </c>
      <c r="HRH615" s="5" t="s">
        <v>3728</v>
      </c>
      <c r="HRI615" s="17">
        <v>44925</v>
      </c>
      <c r="HRJ615" s="5" t="s">
        <v>3728</v>
      </c>
      <c r="HRK615" s="17">
        <v>44925</v>
      </c>
      <c r="HRL615" s="5" t="s">
        <v>3728</v>
      </c>
      <c r="HRM615" s="17">
        <v>44925</v>
      </c>
      <c r="HRN615" s="5" t="s">
        <v>3728</v>
      </c>
      <c r="HRO615" s="17">
        <v>44925</v>
      </c>
      <c r="HRP615" s="5" t="s">
        <v>3728</v>
      </c>
      <c r="HRQ615" s="17">
        <v>44925</v>
      </c>
      <c r="HRR615" s="5" t="s">
        <v>3728</v>
      </c>
      <c r="HRS615" s="17">
        <v>44925</v>
      </c>
      <c r="HRT615" s="5" t="s">
        <v>3728</v>
      </c>
      <c r="HRU615" s="17">
        <v>44925</v>
      </c>
      <c r="HRV615" s="5" t="s">
        <v>3728</v>
      </c>
      <c r="HRW615" s="17">
        <v>44925</v>
      </c>
      <c r="HRX615" s="5" t="s">
        <v>3728</v>
      </c>
      <c r="HRY615" s="17">
        <v>44925</v>
      </c>
      <c r="HRZ615" s="5" t="s">
        <v>3728</v>
      </c>
      <c r="HSA615" s="17">
        <v>44925</v>
      </c>
      <c r="HSB615" s="5" t="s">
        <v>3728</v>
      </c>
      <c r="HSC615" s="17">
        <v>44925</v>
      </c>
      <c r="HSD615" s="5" t="s">
        <v>3728</v>
      </c>
      <c r="HSE615" s="17">
        <v>44925</v>
      </c>
      <c r="HSF615" s="5" t="s">
        <v>3728</v>
      </c>
      <c r="HSG615" s="17">
        <v>44925</v>
      </c>
      <c r="HSH615" s="5" t="s">
        <v>3728</v>
      </c>
      <c r="HSI615" s="17">
        <v>44925</v>
      </c>
      <c r="HSJ615" s="5" t="s">
        <v>3728</v>
      </c>
      <c r="HSK615" s="17">
        <v>44925</v>
      </c>
      <c r="HSL615" s="5" t="s">
        <v>3728</v>
      </c>
      <c r="HSM615" s="17">
        <v>44925</v>
      </c>
      <c r="HSN615" s="5" t="s">
        <v>3728</v>
      </c>
      <c r="HSO615" s="17">
        <v>44925</v>
      </c>
      <c r="HSP615" s="5" t="s">
        <v>3728</v>
      </c>
      <c r="HSQ615" s="17">
        <v>44925</v>
      </c>
      <c r="HSR615" s="5" t="s">
        <v>3728</v>
      </c>
      <c r="HSS615" s="17">
        <v>44925</v>
      </c>
      <c r="HST615" s="5" t="s">
        <v>3728</v>
      </c>
      <c r="HSU615" s="17">
        <v>44925</v>
      </c>
      <c r="HSV615" s="5" t="s">
        <v>3728</v>
      </c>
      <c r="HSW615" s="17">
        <v>44925</v>
      </c>
      <c r="HSX615" s="5" t="s">
        <v>3728</v>
      </c>
      <c r="HSY615" s="17">
        <v>44925</v>
      </c>
      <c r="HSZ615" s="5" t="s">
        <v>3728</v>
      </c>
      <c r="HTA615" s="17">
        <v>44925</v>
      </c>
      <c r="HTB615" s="5" t="s">
        <v>3728</v>
      </c>
      <c r="HTC615" s="17">
        <v>44925</v>
      </c>
      <c r="HTD615" s="5" t="s">
        <v>3728</v>
      </c>
      <c r="HTE615" s="17">
        <v>44925</v>
      </c>
      <c r="HTF615" s="5" t="s">
        <v>3728</v>
      </c>
      <c r="HTG615" s="17">
        <v>44925</v>
      </c>
      <c r="HTH615" s="5" t="s">
        <v>3728</v>
      </c>
      <c r="HTI615" s="17">
        <v>44925</v>
      </c>
      <c r="HTJ615" s="5" t="s">
        <v>3728</v>
      </c>
      <c r="HTK615" s="17">
        <v>44925</v>
      </c>
      <c r="HTL615" s="5" t="s">
        <v>3728</v>
      </c>
      <c r="HTM615" s="17">
        <v>44925</v>
      </c>
      <c r="HTN615" s="5" t="s">
        <v>3728</v>
      </c>
      <c r="HTO615" s="17">
        <v>44925</v>
      </c>
      <c r="HTP615" s="5" t="s">
        <v>3728</v>
      </c>
      <c r="HTQ615" s="17">
        <v>44925</v>
      </c>
      <c r="HTR615" s="5" t="s">
        <v>3728</v>
      </c>
      <c r="HTS615" s="17">
        <v>44925</v>
      </c>
      <c r="HTT615" s="5" t="s">
        <v>3728</v>
      </c>
      <c r="HTU615" s="17">
        <v>44925</v>
      </c>
      <c r="HTV615" s="5" t="s">
        <v>3728</v>
      </c>
      <c r="HTW615" s="17">
        <v>44925</v>
      </c>
      <c r="HTX615" s="5" t="s">
        <v>3728</v>
      </c>
      <c r="HTY615" s="17">
        <v>44925</v>
      </c>
      <c r="HTZ615" s="5" t="s">
        <v>3728</v>
      </c>
      <c r="HUA615" s="17">
        <v>44925</v>
      </c>
      <c r="HUB615" s="5" t="s">
        <v>3728</v>
      </c>
      <c r="HUC615" s="17">
        <v>44925</v>
      </c>
      <c r="HUD615" s="5" t="s">
        <v>3728</v>
      </c>
      <c r="HUE615" s="17">
        <v>44925</v>
      </c>
      <c r="HUF615" s="5" t="s">
        <v>3728</v>
      </c>
      <c r="HUG615" s="17">
        <v>44925</v>
      </c>
      <c r="HUH615" s="5" t="s">
        <v>3728</v>
      </c>
      <c r="HUI615" s="17">
        <v>44925</v>
      </c>
      <c r="HUJ615" s="5" t="s">
        <v>3728</v>
      </c>
      <c r="HUK615" s="17">
        <v>44925</v>
      </c>
      <c r="HUL615" s="5" t="s">
        <v>3728</v>
      </c>
      <c r="HUM615" s="17">
        <v>44925</v>
      </c>
      <c r="HUN615" s="5" t="s">
        <v>3728</v>
      </c>
      <c r="HUO615" s="17">
        <v>44925</v>
      </c>
      <c r="HUP615" s="5" t="s">
        <v>3728</v>
      </c>
      <c r="HUQ615" s="17">
        <v>44925</v>
      </c>
      <c r="HUR615" s="5" t="s">
        <v>3728</v>
      </c>
      <c r="HUS615" s="17">
        <v>44925</v>
      </c>
      <c r="HUT615" s="5" t="s">
        <v>3728</v>
      </c>
      <c r="HUU615" s="17">
        <v>44925</v>
      </c>
      <c r="HUV615" s="5" t="s">
        <v>3728</v>
      </c>
      <c r="HUW615" s="17">
        <v>44925</v>
      </c>
      <c r="HUX615" s="5" t="s">
        <v>3728</v>
      </c>
      <c r="HUY615" s="17">
        <v>44925</v>
      </c>
      <c r="HUZ615" s="5" t="s">
        <v>3728</v>
      </c>
      <c r="HVA615" s="17">
        <v>44925</v>
      </c>
      <c r="HVB615" s="5" t="s">
        <v>3728</v>
      </c>
      <c r="HVC615" s="17">
        <v>44925</v>
      </c>
      <c r="HVD615" s="5" t="s">
        <v>3728</v>
      </c>
      <c r="HVE615" s="17">
        <v>44925</v>
      </c>
      <c r="HVF615" s="5" t="s">
        <v>3728</v>
      </c>
      <c r="HVG615" s="17">
        <v>44925</v>
      </c>
      <c r="HVH615" s="5" t="s">
        <v>3728</v>
      </c>
      <c r="HVI615" s="17">
        <v>44925</v>
      </c>
      <c r="HVJ615" s="5" t="s">
        <v>3728</v>
      </c>
      <c r="HVK615" s="17">
        <v>44925</v>
      </c>
      <c r="HVL615" s="5" t="s">
        <v>3728</v>
      </c>
      <c r="HVM615" s="17">
        <v>44925</v>
      </c>
      <c r="HVN615" s="5" t="s">
        <v>3728</v>
      </c>
      <c r="HVO615" s="17">
        <v>44925</v>
      </c>
      <c r="HVP615" s="5" t="s">
        <v>3728</v>
      </c>
      <c r="HVQ615" s="17">
        <v>44925</v>
      </c>
      <c r="HVR615" s="5" t="s">
        <v>3728</v>
      </c>
      <c r="HVS615" s="17">
        <v>44925</v>
      </c>
      <c r="HVT615" s="5" t="s">
        <v>3728</v>
      </c>
      <c r="HVU615" s="17">
        <v>44925</v>
      </c>
      <c r="HVV615" s="5" t="s">
        <v>3728</v>
      </c>
      <c r="HVW615" s="17">
        <v>44925</v>
      </c>
      <c r="HVX615" s="5" t="s">
        <v>3728</v>
      </c>
      <c r="HVY615" s="17">
        <v>44925</v>
      </c>
      <c r="HVZ615" s="5" t="s">
        <v>3728</v>
      </c>
      <c r="HWA615" s="17">
        <v>44925</v>
      </c>
      <c r="HWB615" s="5" t="s">
        <v>3728</v>
      </c>
      <c r="HWC615" s="17">
        <v>44925</v>
      </c>
      <c r="HWD615" s="5" t="s">
        <v>3728</v>
      </c>
      <c r="HWE615" s="17">
        <v>44925</v>
      </c>
      <c r="HWF615" s="5" t="s">
        <v>3728</v>
      </c>
      <c r="HWG615" s="17">
        <v>44925</v>
      </c>
      <c r="HWH615" s="5" t="s">
        <v>3728</v>
      </c>
      <c r="HWI615" s="17">
        <v>44925</v>
      </c>
      <c r="HWJ615" s="5" t="s">
        <v>3728</v>
      </c>
      <c r="HWK615" s="17">
        <v>44925</v>
      </c>
      <c r="HWL615" s="5" t="s">
        <v>3728</v>
      </c>
      <c r="HWM615" s="17">
        <v>44925</v>
      </c>
      <c r="HWN615" s="5" t="s">
        <v>3728</v>
      </c>
      <c r="HWO615" s="17">
        <v>44925</v>
      </c>
      <c r="HWP615" s="5" t="s">
        <v>3728</v>
      </c>
      <c r="HWQ615" s="17">
        <v>44925</v>
      </c>
      <c r="HWR615" s="5" t="s">
        <v>3728</v>
      </c>
      <c r="HWS615" s="17">
        <v>44925</v>
      </c>
      <c r="HWT615" s="5" t="s">
        <v>3728</v>
      </c>
      <c r="HWU615" s="17">
        <v>44925</v>
      </c>
      <c r="HWV615" s="5" t="s">
        <v>3728</v>
      </c>
      <c r="HWW615" s="17">
        <v>44925</v>
      </c>
      <c r="HWX615" s="5" t="s">
        <v>3728</v>
      </c>
      <c r="HWY615" s="17">
        <v>44925</v>
      </c>
      <c r="HWZ615" s="5" t="s">
        <v>3728</v>
      </c>
      <c r="HXA615" s="17">
        <v>44925</v>
      </c>
      <c r="HXB615" s="5" t="s">
        <v>3728</v>
      </c>
      <c r="HXC615" s="17">
        <v>44925</v>
      </c>
      <c r="HXD615" s="5" t="s">
        <v>3728</v>
      </c>
      <c r="HXE615" s="17">
        <v>44925</v>
      </c>
      <c r="HXF615" s="5" t="s">
        <v>3728</v>
      </c>
      <c r="HXG615" s="17">
        <v>44925</v>
      </c>
      <c r="HXH615" s="5" t="s">
        <v>3728</v>
      </c>
      <c r="HXI615" s="17">
        <v>44925</v>
      </c>
      <c r="HXJ615" s="5" t="s">
        <v>3728</v>
      </c>
      <c r="HXK615" s="17">
        <v>44925</v>
      </c>
      <c r="HXL615" s="5" t="s">
        <v>3728</v>
      </c>
      <c r="HXM615" s="17">
        <v>44925</v>
      </c>
      <c r="HXN615" s="5" t="s">
        <v>3728</v>
      </c>
      <c r="HXO615" s="17">
        <v>44925</v>
      </c>
      <c r="HXP615" s="5" t="s">
        <v>3728</v>
      </c>
      <c r="HXQ615" s="17">
        <v>44925</v>
      </c>
      <c r="HXR615" s="5" t="s">
        <v>3728</v>
      </c>
      <c r="HXS615" s="17">
        <v>44925</v>
      </c>
      <c r="HXT615" s="5" t="s">
        <v>3728</v>
      </c>
      <c r="HXU615" s="17">
        <v>44925</v>
      </c>
      <c r="HXV615" s="5" t="s">
        <v>3728</v>
      </c>
      <c r="HXW615" s="17">
        <v>44925</v>
      </c>
      <c r="HXX615" s="5" t="s">
        <v>3728</v>
      </c>
      <c r="HXY615" s="17">
        <v>44925</v>
      </c>
      <c r="HXZ615" s="5" t="s">
        <v>3728</v>
      </c>
      <c r="HYA615" s="17">
        <v>44925</v>
      </c>
      <c r="HYB615" s="5" t="s">
        <v>3728</v>
      </c>
      <c r="HYC615" s="17">
        <v>44925</v>
      </c>
      <c r="HYD615" s="5" t="s">
        <v>3728</v>
      </c>
      <c r="HYE615" s="17">
        <v>44925</v>
      </c>
      <c r="HYF615" s="5" t="s">
        <v>3728</v>
      </c>
      <c r="HYG615" s="17">
        <v>44925</v>
      </c>
      <c r="HYH615" s="5" t="s">
        <v>3728</v>
      </c>
      <c r="HYI615" s="17">
        <v>44925</v>
      </c>
      <c r="HYJ615" s="5" t="s">
        <v>3728</v>
      </c>
      <c r="HYK615" s="17">
        <v>44925</v>
      </c>
      <c r="HYL615" s="5" t="s">
        <v>3728</v>
      </c>
      <c r="HYM615" s="17">
        <v>44925</v>
      </c>
      <c r="HYN615" s="5" t="s">
        <v>3728</v>
      </c>
      <c r="HYO615" s="17">
        <v>44925</v>
      </c>
      <c r="HYP615" s="5" t="s">
        <v>3728</v>
      </c>
      <c r="HYQ615" s="17">
        <v>44925</v>
      </c>
      <c r="HYR615" s="5" t="s">
        <v>3728</v>
      </c>
      <c r="HYS615" s="17">
        <v>44925</v>
      </c>
      <c r="HYT615" s="5" t="s">
        <v>3728</v>
      </c>
      <c r="HYU615" s="17">
        <v>44925</v>
      </c>
      <c r="HYV615" s="5" t="s">
        <v>3728</v>
      </c>
      <c r="HYW615" s="17">
        <v>44925</v>
      </c>
      <c r="HYX615" s="5" t="s">
        <v>3728</v>
      </c>
      <c r="HYY615" s="17">
        <v>44925</v>
      </c>
      <c r="HYZ615" s="5" t="s">
        <v>3728</v>
      </c>
      <c r="HZA615" s="17">
        <v>44925</v>
      </c>
      <c r="HZB615" s="5" t="s">
        <v>3728</v>
      </c>
      <c r="HZC615" s="17">
        <v>44925</v>
      </c>
      <c r="HZD615" s="5" t="s">
        <v>3728</v>
      </c>
      <c r="HZE615" s="17">
        <v>44925</v>
      </c>
      <c r="HZF615" s="5" t="s">
        <v>3728</v>
      </c>
      <c r="HZG615" s="17">
        <v>44925</v>
      </c>
      <c r="HZH615" s="5" t="s">
        <v>3728</v>
      </c>
      <c r="HZI615" s="17">
        <v>44925</v>
      </c>
      <c r="HZJ615" s="5" t="s">
        <v>3728</v>
      </c>
      <c r="HZK615" s="17">
        <v>44925</v>
      </c>
      <c r="HZL615" s="5" t="s">
        <v>3728</v>
      </c>
      <c r="HZM615" s="17">
        <v>44925</v>
      </c>
      <c r="HZN615" s="5" t="s">
        <v>3728</v>
      </c>
      <c r="HZO615" s="17">
        <v>44925</v>
      </c>
      <c r="HZP615" s="5" t="s">
        <v>3728</v>
      </c>
      <c r="HZQ615" s="17">
        <v>44925</v>
      </c>
      <c r="HZR615" s="5" t="s">
        <v>3728</v>
      </c>
      <c r="HZS615" s="17">
        <v>44925</v>
      </c>
      <c r="HZT615" s="5" t="s">
        <v>3728</v>
      </c>
      <c r="HZU615" s="17">
        <v>44925</v>
      </c>
      <c r="HZV615" s="5" t="s">
        <v>3728</v>
      </c>
      <c r="HZW615" s="17">
        <v>44925</v>
      </c>
      <c r="HZX615" s="5" t="s">
        <v>3728</v>
      </c>
      <c r="HZY615" s="17">
        <v>44925</v>
      </c>
      <c r="HZZ615" s="5" t="s">
        <v>3728</v>
      </c>
      <c r="IAA615" s="17">
        <v>44925</v>
      </c>
      <c r="IAB615" s="5" t="s">
        <v>3728</v>
      </c>
      <c r="IAC615" s="17">
        <v>44925</v>
      </c>
      <c r="IAD615" s="5" t="s">
        <v>3728</v>
      </c>
      <c r="IAE615" s="17">
        <v>44925</v>
      </c>
      <c r="IAF615" s="5" t="s">
        <v>3728</v>
      </c>
      <c r="IAG615" s="17">
        <v>44925</v>
      </c>
      <c r="IAH615" s="5" t="s">
        <v>3728</v>
      </c>
      <c r="IAI615" s="17">
        <v>44925</v>
      </c>
      <c r="IAJ615" s="5" t="s">
        <v>3728</v>
      </c>
      <c r="IAK615" s="17">
        <v>44925</v>
      </c>
      <c r="IAL615" s="5" t="s">
        <v>3728</v>
      </c>
      <c r="IAM615" s="17">
        <v>44925</v>
      </c>
      <c r="IAN615" s="5" t="s">
        <v>3728</v>
      </c>
      <c r="IAO615" s="17">
        <v>44925</v>
      </c>
      <c r="IAP615" s="5" t="s">
        <v>3728</v>
      </c>
      <c r="IAQ615" s="17">
        <v>44925</v>
      </c>
      <c r="IAR615" s="5" t="s">
        <v>3728</v>
      </c>
      <c r="IAS615" s="17">
        <v>44925</v>
      </c>
      <c r="IAT615" s="5" t="s">
        <v>3728</v>
      </c>
      <c r="IAU615" s="17">
        <v>44925</v>
      </c>
      <c r="IAV615" s="5" t="s">
        <v>3728</v>
      </c>
      <c r="IAW615" s="17">
        <v>44925</v>
      </c>
      <c r="IAX615" s="5" t="s">
        <v>3728</v>
      </c>
      <c r="IAY615" s="17">
        <v>44925</v>
      </c>
      <c r="IAZ615" s="5" t="s">
        <v>3728</v>
      </c>
      <c r="IBA615" s="17">
        <v>44925</v>
      </c>
      <c r="IBB615" s="5" t="s">
        <v>3728</v>
      </c>
      <c r="IBC615" s="17">
        <v>44925</v>
      </c>
      <c r="IBD615" s="5" t="s">
        <v>3728</v>
      </c>
      <c r="IBE615" s="17">
        <v>44925</v>
      </c>
      <c r="IBF615" s="5" t="s">
        <v>3728</v>
      </c>
      <c r="IBG615" s="17">
        <v>44925</v>
      </c>
      <c r="IBH615" s="5" t="s">
        <v>3728</v>
      </c>
      <c r="IBI615" s="17">
        <v>44925</v>
      </c>
      <c r="IBJ615" s="5" t="s">
        <v>3728</v>
      </c>
      <c r="IBK615" s="17">
        <v>44925</v>
      </c>
      <c r="IBL615" s="5" t="s">
        <v>3728</v>
      </c>
      <c r="IBM615" s="17">
        <v>44925</v>
      </c>
      <c r="IBN615" s="5" t="s">
        <v>3728</v>
      </c>
      <c r="IBO615" s="17">
        <v>44925</v>
      </c>
      <c r="IBP615" s="5" t="s">
        <v>3728</v>
      </c>
      <c r="IBQ615" s="17">
        <v>44925</v>
      </c>
      <c r="IBR615" s="5" t="s">
        <v>3728</v>
      </c>
      <c r="IBS615" s="17">
        <v>44925</v>
      </c>
      <c r="IBT615" s="5" t="s">
        <v>3728</v>
      </c>
      <c r="IBU615" s="17">
        <v>44925</v>
      </c>
      <c r="IBV615" s="5" t="s">
        <v>3728</v>
      </c>
      <c r="IBW615" s="17">
        <v>44925</v>
      </c>
      <c r="IBX615" s="5" t="s">
        <v>3728</v>
      </c>
      <c r="IBY615" s="17">
        <v>44925</v>
      </c>
      <c r="IBZ615" s="5" t="s">
        <v>3728</v>
      </c>
      <c r="ICA615" s="17">
        <v>44925</v>
      </c>
      <c r="ICB615" s="5" t="s">
        <v>3728</v>
      </c>
      <c r="ICC615" s="17">
        <v>44925</v>
      </c>
      <c r="ICD615" s="5" t="s">
        <v>3728</v>
      </c>
      <c r="ICE615" s="17">
        <v>44925</v>
      </c>
      <c r="ICF615" s="5" t="s">
        <v>3728</v>
      </c>
      <c r="ICG615" s="17">
        <v>44925</v>
      </c>
      <c r="ICH615" s="5" t="s">
        <v>3728</v>
      </c>
      <c r="ICI615" s="17">
        <v>44925</v>
      </c>
      <c r="ICJ615" s="5" t="s">
        <v>3728</v>
      </c>
      <c r="ICK615" s="17">
        <v>44925</v>
      </c>
      <c r="ICL615" s="5" t="s">
        <v>3728</v>
      </c>
      <c r="ICM615" s="17">
        <v>44925</v>
      </c>
      <c r="ICN615" s="5" t="s">
        <v>3728</v>
      </c>
      <c r="ICO615" s="17">
        <v>44925</v>
      </c>
      <c r="ICP615" s="5" t="s">
        <v>3728</v>
      </c>
      <c r="ICQ615" s="17">
        <v>44925</v>
      </c>
      <c r="ICR615" s="5" t="s">
        <v>3728</v>
      </c>
      <c r="ICS615" s="17">
        <v>44925</v>
      </c>
      <c r="ICT615" s="5" t="s">
        <v>3728</v>
      </c>
      <c r="ICU615" s="17">
        <v>44925</v>
      </c>
      <c r="ICV615" s="5" t="s">
        <v>3728</v>
      </c>
      <c r="ICW615" s="17">
        <v>44925</v>
      </c>
      <c r="ICX615" s="5" t="s">
        <v>3728</v>
      </c>
      <c r="ICY615" s="17">
        <v>44925</v>
      </c>
      <c r="ICZ615" s="5" t="s">
        <v>3728</v>
      </c>
      <c r="IDA615" s="17">
        <v>44925</v>
      </c>
      <c r="IDB615" s="5" t="s">
        <v>3728</v>
      </c>
      <c r="IDC615" s="17">
        <v>44925</v>
      </c>
      <c r="IDD615" s="5" t="s">
        <v>3728</v>
      </c>
      <c r="IDE615" s="17">
        <v>44925</v>
      </c>
      <c r="IDF615" s="5" t="s">
        <v>3728</v>
      </c>
      <c r="IDG615" s="17">
        <v>44925</v>
      </c>
      <c r="IDH615" s="5" t="s">
        <v>3728</v>
      </c>
      <c r="IDI615" s="17">
        <v>44925</v>
      </c>
      <c r="IDJ615" s="5" t="s">
        <v>3728</v>
      </c>
      <c r="IDK615" s="17">
        <v>44925</v>
      </c>
      <c r="IDL615" s="5" t="s">
        <v>3728</v>
      </c>
      <c r="IDM615" s="17">
        <v>44925</v>
      </c>
      <c r="IDN615" s="5" t="s">
        <v>3728</v>
      </c>
      <c r="IDO615" s="17">
        <v>44925</v>
      </c>
      <c r="IDP615" s="5" t="s">
        <v>3728</v>
      </c>
      <c r="IDQ615" s="17">
        <v>44925</v>
      </c>
      <c r="IDR615" s="5" t="s">
        <v>3728</v>
      </c>
      <c r="IDS615" s="17">
        <v>44925</v>
      </c>
      <c r="IDT615" s="5" t="s">
        <v>3728</v>
      </c>
      <c r="IDU615" s="17">
        <v>44925</v>
      </c>
      <c r="IDV615" s="5" t="s">
        <v>3728</v>
      </c>
      <c r="IDW615" s="17">
        <v>44925</v>
      </c>
      <c r="IDX615" s="5" t="s">
        <v>3728</v>
      </c>
      <c r="IDY615" s="17">
        <v>44925</v>
      </c>
      <c r="IDZ615" s="5" t="s">
        <v>3728</v>
      </c>
      <c r="IEA615" s="17">
        <v>44925</v>
      </c>
      <c r="IEB615" s="5" t="s">
        <v>3728</v>
      </c>
      <c r="IEC615" s="17">
        <v>44925</v>
      </c>
      <c r="IED615" s="5" t="s">
        <v>3728</v>
      </c>
      <c r="IEE615" s="17">
        <v>44925</v>
      </c>
      <c r="IEF615" s="5" t="s">
        <v>3728</v>
      </c>
      <c r="IEG615" s="17">
        <v>44925</v>
      </c>
      <c r="IEH615" s="5" t="s">
        <v>3728</v>
      </c>
      <c r="IEI615" s="17">
        <v>44925</v>
      </c>
      <c r="IEJ615" s="5" t="s">
        <v>3728</v>
      </c>
      <c r="IEK615" s="17">
        <v>44925</v>
      </c>
      <c r="IEL615" s="5" t="s">
        <v>3728</v>
      </c>
      <c r="IEM615" s="17">
        <v>44925</v>
      </c>
      <c r="IEN615" s="5" t="s">
        <v>3728</v>
      </c>
      <c r="IEO615" s="17">
        <v>44925</v>
      </c>
      <c r="IEP615" s="5" t="s">
        <v>3728</v>
      </c>
      <c r="IEQ615" s="17">
        <v>44925</v>
      </c>
      <c r="IER615" s="5" t="s">
        <v>3728</v>
      </c>
      <c r="IES615" s="17">
        <v>44925</v>
      </c>
      <c r="IET615" s="5" t="s">
        <v>3728</v>
      </c>
      <c r="IEU615" s="17">
        <v>44925</v>
      </c>
      <c r="IEV615" s="5" t="s">
        <v>3728</v>
      </c>
      <c r="IEW615" s="17">
        <v>44925</v>
      </c>
      <c r="IEX615" s="5" t="s">
        <v>3728</v>
      </c>
      <c r="IEY615" s="17">
        <v>44925</v>
      </c>
      <c r="IEZ615" s="5" t="s">
        <v>3728</v>
      </c>
      <c r="IFA615" s="17">
        <v>44925</v>
      </c>
      <c r="IFB615" s="5" t="s">
        <v>3728</v>
      </c>
      <c r="IFC615" s="17">
        <v>44925</v>
      </c>
      <c r="IFD615" s="5" t="s">
        <v>3728</v>
      </c>
      <c r="IFE615" s="17">
        <v>44925</v>
      </c>
      <c r="IFF615" s="5" t="s">
        <v>3728</v>
      </c>
      <c r="IFG615" s="17">
        <v>44925</v>
      </c>
      <c r="IFH615" s="5" t="s">
        <v>3728</v>
      </c>
      <c r="IFI615" s="17">
        <v>44925</v>
      </c>
      <c r="IFJ615" s="5" t="s">
        <v>3728</v>
      </c>
      <c r="IFK615" s="17">
        <v>44925</v>
      </c>
      <c r="IFL615" s="5" t="s">
        <v>3728</v>
      </c>
      <c r="IFM615" s="17">
        <v>44925</v>
      </c>
      <c r="IFN615" s="5" t="s">
        <v>3728</v>
      </c>
      <c r="IFO615" s="17">
        <v>44925</v>
      </c>
      <c r="IFP615" s="5" t="s">
        <v>3728</v>
      </c>
      <c r="IFQ615" s="17">
        <v>44925</v>
      </c>
      <c r="IFR615" s="5" t="s">
        <v>3728</v>
      </c>
      <c r="IFS615" s="17">
        <v>44925</v>
      </c>
      <c r="IFT615" s="5" t="s">
        <v>3728</v>
      </c>
      <c r="IFU615" s="17">
        <v>44925</v>
      </c>
      <c r="IFV615" s="5" t="s">
        <v>3728</v>
      </c>
      <c r="IFW615" s="17">
        <v>44925</v>
      </c>
      <c r="IFX615" s="5" t="s">
        <v>3728</v>
      </c>
      <c r="IFY615" s="17">
        <v>44925</v>
      </c>
      <c r="IFZ615" s="5" t="s">
        <v>3728</v>
      </c>
      <c r="IGA615" s="17">
        <v>44925</v>
      </c>
      <c r="IGB615" s="5" t="s">
        <v>3728</v>
      </c>
      <c r="IGC615" s="17">
        <v>44925</v>
      </c>
      <c r="IGD615" s="5" t="s">
        <v>3728</v>
      </c>
      <c r="IGE615" s="17">
        <v>44925</v>
      </c>
      <c r="IGF615" s="5" t="s">
        <v>3728</v>
      </c>
      <c r="IGG615" s="17">
        <v>44925</v>
      </c>
      <c r="IGH615" s="5" t="s">
        <v>3728</v>
      </c>
      <c r="IGI615" s="17">
        <v>44925</v>
      </c>
      <c r="IGJ615" s="5" t="s">
        <v>3728</v>
      </c>
      <c r="IGK615" s="17">
        <v>44925</v>
      </c>
      <c r="IGL615" s="5" t="s">
        <v>3728</v>
      </c>
      <c r="IGM615" s="17">
        <v>44925</v>
      </c>
      <c r="IGN615" s="5" t="s">
        <v>3728</v>
      </c>
      <c r="IGO615" s="17">
        <v>44925</v>
      </c>
      <c r="IGP615" s="5" t="s">
        <v>3728</v>
      </c>
      <c r="IGQ615" s="17">
        <v>44925</v>
      </c>
      <c r="IGR615" s="5" t="s">
        <v>3728</v>
      </c>
      <c r="IGS615" s="17">
        <v>44925</v>
      </c>
      <c r="IGT615" s="5" t="s">
        <v>3728</v>
      </c>
      <c r="IGU615" s="17">
        <v>44925</v>
      </c>
      <c r="IGV615" s="5" t="s">
        <v>3728</v>
      </c>
      <c r="IGW615" s="17">
        <v>44925</v>
      </c>
      <c r="IGX615" s="5" t="s">
        <v>3728</v>
      </c>
      <c r="IGY615" s="17">
        <v>44925</v>
      </c>
      <c r="IGZ615" s="5" t="s">
        <v>3728</v>
      </c>
      <c r="IHA615" s="17">
        <v>44925</v>
      </c>
      <c r="IHB615" s="5" t="s">
        <v>3728</v>
      </c>
      <c r="IHC615" s="17">
        <v>44925</v>
      </c>
      <c r="IHD615" s="5" t="s">
        <v>3728</v>
      </c>
      <c r="IHE615" s="17">
        <v>44925</v>
      </c>
      <c r="IHF615" s="5" t="s">
        <v>3728</v>
      </c>
      <c r="IHG615" s="17">
        <v>44925</v>
      </c>
      <c r="IHH615" s="5" t="s">
        <v>3728</v>
      </c>
      <c r="IHI615" s="17">
        <v>44925</v>
      </c>
      <c r="IHJ615" s="5" t="s">
        <v>3728</v>
      </c>
      <c r="IHK615" s="17">
        <v>44925</v>
      </c>
      <c r="IHL615" s="5" t="s">
        <v>3728</v>
      </c>
      <c r="IHM615" s="17">
        <v>44925</v>
      </c>
      <c r="IHN615" s="5" t="s">
        <v>3728</v>
      </c>
      <c r="IHO615" s="17">
        <v>44925</v>
      </c>
      <c r="IHP615" s="5" t="s">
        <v>3728</v>
      </c>
      <c r="IHQ615" s="17">
        <v>44925</v>
      </c>
      <c r="IHR615" s="5" t="s">
        <v>3728</v>
      </c>
      <c r="IHS615" s="17">
        <v>44925</v>
      </c>
      <c r="IHT615" s="5" t="s">
        <v>3728</v>
      </c>
      <c r="IHU615" s="17">
        <v>44925</v>
      </c>
      <c r="IHV615" s="5" t="s">
        <v>3728</v>
      </c>
      <c r="IHW615" s="17">
        <v>44925</v>
      </c>
      <c r="IHX615" s="5" t="s">
        <v>3728</v>
      </c>
      <c r="IHY615" s="17">
        <v>44925</v>
      </c>
      <c r="IHZ615" s="5" t="s">
        <v>3728</v>
      </c>
      <c r="IIA615" s="17">
        <v>44925</v>
      </c>
      <c r="IIB615" s="5" t="s">
        <v>3728</v>
      </c>
      <c r="IIC615" s="17">
        <v>44925</v>
      </c>
      <c r="IID615" s="5" t="s">
        <v>3728</v>
      </c>
      <c r="IIE615" s="17">
        <v>44925</v>
      </c>
      <c r="IIF615" s="5" t="s">
        <v>3728</v>
      </c>
      <c r="IIG615" s="17">
        <v>44925</v>
      </c>
      <c r="IIH615" s="5" t="s">
        <v>3728</v>
      </c>
      <c r="III615" s="17">
        <v>44925</v>
      </c>
      <c r="IIJ615" s="5" t="s">
        <v>3728</v>
      </c>
      <c r="IIK615" s="17">
        <v>44925</v>
      </c>
      <c r="IIL615" s="5" t="s">
        <v>3728</v>
      </c>
      <c r="IIM615" s="17">
        <v>44925</v>
      </c>
      <c r="IIN615" s="5" t="s">
        <v>3728</v>
      </c>
      <c r="IIO615" s="17">
        <v>44925</v>
      </c>
      <c r="IIP615" s="5" t="s">
        <v>3728</v>
      </c>
      <c r="IIQ615" s="17">
        <v>44925</v>
      </c>
      <c r="IIR615" s="5" t="s">
        <v>3728</v>
      </c>
      <c r="IIS615" s="17">
        <v>44925</v>
      </c>
      <c r="IIT615" s="5" t="s">
        <v>3728</v>
      </c>
      <c r="IIU615" s="17">
        <v>44925</v>
      </c>
      <c r="IIV615" s="5" t="s">
        <v>3728</v>
      </c>
      <c r="IIW615" s="17">
        <v>44925</v>
      </c>
      <c r="IIX615" s="5" t="s">
        <v>3728</v>
      </c>
      <c r="IIY615" s="17">
        <v>44925</v>
      </c>
      <c r="IIZ615" s="5" t="s">
        <v>3728</v>
      </c>
      <c r="IJA615" s="17">
        <v>44925</v>
      </c>
      <c r="IJB615" s="5" t="s">
        <v>3728</v>
      </c>
      <c r="IJC615" s="17">
        <v>44925</v>
      </c>
      <c r="IJD615" s="5" t="s">
        <v>3728</v>
      </c>
      <c r="IJE615" s="17">
        <v>44925</v>
      </c>
      <c r="IJF615" s="5" t="s">
        <v>3728</v>
      </c>
      <c r="IJG615" s="17">
        <v>44925</v>
      </c>
      <c r="IJH615" s="5" t="s">
        <v>3728</v>
      </c>
      <c r="IJI615" s="17">
        <v>44925</v>
      </c>
      <c r="IJJ615" s="5" t="s">
        <v>3728</v>
      </c>
      <c r="IJK615" s="17">
        <v>44925</v>
      </c>
      <c r="IJL615" s="5" t="s">
        <v>3728</v>
      </c>
      <c r="IJM615" s="17">
        <v>44925</v>
      </c>
      <c r="IJN615" s="5" t="s">
        <v>3728</v>
      </c>
      <c r="IJO615" s="17">
        <v>44925</v>
      </c>
      <c r="IJP615" s="5" t="s">
        <v>3728</v>
      </c>
      <c r="IJQ615" s="17">
        <v>44925</v>
      </c>
      <c r="IJR615" s="5" t="s">
        <v>3728</v>
      </c>
      <c r="IJS615" s="17">
        <v>44925</v>
      </c>
      <c r="IJT615" s="5" t="s">
        <v>3728</v>
      </c>
      <c r="IJU615" s="17">
        <v>44925</v>
      </c>
      <c r="IJV615" s="5" t="s">
        <v>3728</v>
      </c>
      <c r="IJW615" s="17">
        <v>44925</v>
      </c>
      <c r="IJX615" s="5" t="s">
        <v>3728</v>
      </c>
      <c r="IJY615" s="17">
        <v>44925</v>
      </c>
      <c r="IJZ615" s="5" t="s">
        <v>3728</v>
      </c>
      <c r="IKA615" s="17">
        <v>44925</v>
      </c>
      <c r="IKB615" s="5" t="s">
        <v>3728</v>
      </c>
      <c r="IKC615" s="17">
        <v>44925</v>
      </c>
      <c r="IKD615" s="5" t="s">
        <v>3728</v>
      </c>
      <c r="IKE615" s="17">
        <v>44925</v>
      </c>
      <c r="IKF615" s="5" t="s">
        <v>3728</v>
      </c>
      <c r="IKG615" s="17">
        <v>44925</v>
      </c>
      <c r="IKH615" s="5" t="s">
        <v>3728</v>
      </c>
      <c r="IKI615" s="17">
        <v>44925</v>
      </c>
      <c r="IKJ615" s="5" t="s">
        <v>3728</v>
      </c>
      <c r="IKK615" s="17">
        <v>44925</v>
      </c>
      <c r="IKL615" s="5" t="s">
        <v>3728</v>
      </c>
      <c r="IKM615" s="17">
        <v>44925</v>
      </c>
      <c r="IKN615" s="5" t="s">
        <v>3728</v>
      </c>
      <c r="IKO615" s="17">
        <v>44925</v>
      </c>
      <c r="IKP615" s="5" t="s">
        <v>3728</v>
      </c>
      <c r="IKQ615" s="17">
        <v>44925</v>
      </c>
      <c r="IKR615" s="5" t="s">
        <v>3728</v>
      </c>
      <c r="IKS615" s="17">
        <v>44925</v>
      </c>
      <c r="IKT615" s="5" t="s">
        <v>3728</v>
      </c>
      <c r="IKU615" s="17">
        <v>44925</v>
      </c>
      <c r="IKV615" s="5" t="s">
        <v>3728</v>
      </c>
      <c r="IKW615" s="17">
        <v>44925</v>
      </c>
      <c r="IKX615" s="5" t="s">
        <v>3728</v>
      </c>
      <c r="IKY615" s="17">
        <v>44925</v>
      </c>
      <c r="IKZ615" s="5" t="s">
        <v>3728</v>
      </c>
      <c r="ILA615" s="17">
        <v>44925</v>
      </c>
      <c r="ILB615" s="5" t="s">
        <v>3728</v>
      </c>
      <c r="ILC615" s="17">
        <v>44925</v>
      </c>
      <c r="ILD615" s="5" t="s">
        <v>3728</v>
      </c>
      <c r="ILE615" s="17">
        <v>44925</v>
      </c>
      <c r="ILF615" s="5" t="s">
        <v>3728</v>
      </c>
      <c r="ILG615" s="17">
        <v>44925</v>
      </c>
      <c r="ILH615" s="5" t="s">
        <v>3728</v>
      </c>
      <c r="ILI615" s="17">
        <v>44925</v>
      </c>
      <c r="ILJ615" s="5" t="s">
        <v>3728</v>
      </c>
      <c r="ILK615" s="17">
        <v>44925</v>
      </c>
      <c r="ILL615" s="5" t="s">
        <v>3728</v>
      </c>
      <c r="ILM615" s="17">
        <v>44925</v>
      </c>
      <c r="ILN615" s="5" t="s">
        <v>3728</v>
      </c>
      <c r="ILO615" s="17">
        <v>44925</v>
      </c>
      <c r="ILP615" s="5" t="s">
        <v>3728</v>
      </c>
      <c r="ILQ615" s="17">
        <v>44925</v>
      </c>
      <c r="ILR615" s="5" t="s">
        <v>3728</v>
      </c>
      <c r="ILS615" s="17">
        <v>44925</v>
      </c>
      <c r="ILT615" s="5" t="s">
        <v>3728</v>
      </c>
      <c r="ILU615" s="17">
        <v>44925</v>
      </c>
      <c r="ILV615" s="5" t="s">
        <v>3728</v>
      </c>
      <c r="ILW615" s="17">
        <v>44925</v>
      </c>
      <c r="ILX615" s="5" t="s">
        <v>3728</v>
      </c>
      <c r="ILY615" s="17">
        <v>44925</v>
      </c>
      <c r="ILZ615" s="5" t="s">
        <v>3728</v>
      </c>
      <c r="IMA615" s="17">
        <v>44925</v>
      </c>
      <c r="IMB615" s="5" t="s">
        <v>3728</v>
      </c>
      <c r="IMC615" s="17">
        <v>44925</v>
      </c>
      <c r="IMD615" s="5" t="s">
        <v>3728</v>
      </c>
      <c r="IME615" s="17">
        <v>44925</v>
      </c>
      <c r="IMF615" s="5" t="s">
        <v>3728</v>
      </c>
      <c r="IMG615" s="17">
        <v>44925</v>
      </c>
      <c r="IMH615" s="5" t="s">
        <v>3728</v>
      </c>
      <c r="IMI615" s="17">
        <v>44925</v>
      </c>
      <c r="IMJ615" s="5" t="s">
        <v>3728</v>
      </c>
      <c r="IMK615" s="17">
        <v>44925</v>
      </c>
      <c r="IML615" s="5" t="s">
        <v>3728</v>
      </c>
      <c r="IMM615" s="17">
        <v>44925</v>
      </c>
      <c r="IMN615" s="5" t="s">
        <v>3728</v>
      </c>
      <c r="IMO615" s="17">
        <v>44925</v>
      </c>
      <c r="IMP615" s="5" t="s">
        <v>3728</v>
      </c>
      <c r="IMQ615" s="17">
        <v>44925</v>
      </c>
      <c r="IMR615" s="5" t="s">
        <v>3728</v>
      </c>
      <c r="IMS615" s="17">
        <v>44925</v>
      </c>
      <c r="IMT615" s="5" t="s">
        <v>3728</v>
      </c>
      <c r="IMU615" s="17">
        <v>44925</v>
      </c>
      <c r="IMV615" s="5" t="s">
        <v>3728</v>
      </c>
      <c r="IMW615" s="17">
        <v>44925</v>
      </c>
      <c r="IMX615" s="5" t="s">
        <v>3728</v>
      </c>
      <c r="IMY615" s="17">
        <v>44925</v>
      </c>
      <c r="IMZ615" s="5" t="s">
        <v>3728</v>
      </c>
      <c r="INA615" s="17">
        <v>44925</v>
      </c>
      <c r="INB615" s="5" t="s">
        <v>3728</v>
      </c>
      <c r="INC615" s="17">
        <v>44925</v>
      </c>
      <c r="IND615" s="5" t="s">
        <v>3728</v>
      </c>
      <c r="INE615" s="17">
        <v>44925</v>
      </c>
      <c r="INF615" s="5" t="s">
        <v>3728</v>
      </c>
      <c r="ING615" s="17">
        <v>44925</v>
      </c>
      <c r="INH615" s="5" t="s">
        <v>3728</v>
      </c>
      <c r="INI615" s="17">
        <v>44925</v>
      </c>
      <c r="INJ615" s="5" t="s">
        <v>3728</v>
      </c>
      <c r="INK615" s="17">
        <v>44925</v>
      </c>
      <c r="INL615" s="5" t="s">
        <v>3728</v>
      </c>
      <c r="INM615" s="17">
        <v>44925</v>
      </c>
      <c r="INN615" s="5" t="s">
        <v>3728</v>
      </c>
      <c r="INO615" s="17">
        <v>44925</v>
      </c>
      <c r="INP615" s="5" t="s">
        <v>3728</v>
      </c>
      <c r="INQ615" s="17">
        <v>44925</v>
      </c>
      <c r="INR615" s="5" t="s">
        <v>3728</v>
      </c>
      <c r="INS615" s="17">
        <v>44925</v>
      </c>
      <c r="INT615" s="5" t="s">
        <v>3728</v>
      </c>
      <c r="INU615" s="17">
        <v>44925</v>
      </c>
      <c r="INV615" s="5" t="s">
        <v>3728</v>
      </c>
      <c r="INW615" s="17">
        <v>44925</v>
      </c>
      <c r="INX615" s="5" t="s">
        <v>3728</v>
      </c>
      <c r="INY615" s="17">
        <v>44925</v>
      </c>
      <c r="INZ615" s="5" t="s">
        <v>3728</v>
      </c>
      <c r="IOA615" s="17">
        <v>44925</v>
      </c>
      <c r="IOB615" s="5" t="s">
        <v>3728</v>
      </c>
      <c r="IOC615" s="17">
        <v>44925</v>
      </c>
      <c r="IOD615" s="5" t="s">
        <v>3728</v>
      </c>
      <c r="IOE615" s="17">
        <v>44925</v>
      </c>
      <c r="IOF615" s="5" t="s">
        <v>3728</v>
      </c>
      <c r="IOG615" s="17">
        <v>44925</v>
      </c>
      <c r="IOH615" s="5" t="s">
        <v>3728</v>
      </c>
      <c r="IOI615" s="17">
        <v>44925</v>
      </c>
      <c r="IOJ615" s="5" t="s">
        <v>3728</v>
      </c>
      <c r="IOK615" s="17">
        <v>44925</v>
      </c>
      <c r="IOL615" s="5" t="s">
        <v>3728</v>
      </c>
      <c r="IOM615" s="17">
        <v>44925</v>
      </c>
      <c r="ION615" s="5" t="s">
        <v>3728</v>
      </c>
      <c r="IOO615" s="17">
        <v>44925</v>
      </c>
      <c r="IOP615" s="5" t="s">
        <v>3728</v>
      </c>
      <c r="IOQ615" s="17">
        <v>44925</v>
      </c>
      <c r="IOR615" s="5" t="s">
        <v>3728</v>
      </c>
      <c r="IOS615" s="17">
        <v>44925</v>
      </c>
      <c r="IOT615" s="5" t="s">
        <v>3728</v>
      </c>
      <c r="IOU615" s="17">
        <v>44925</v>
      </c>
      <c r="IOV615" s="5" t="s">
        <v>3728</v>
      </c>
      <c r="IOW615" s="17">
        <v>44925</v>
      </c>
      <c r="IOX615" s="5" t="s">
        <v>3728</v>
      </c>
      <c r="IOY615" s="17">
        <v>44925</v>
      </c>
      <c r="IOZ615" s="5" t="s">
        <v>3728</v>
      </c>
      <c r="IPA615" s="17">
        <v>44925</v>
      </c>
      <c r="IPB615" s="5" t="s">
        <v>3728</v>
      </c>
      <c r="IPC615" s="17">
        <v>44925</v>
      </c>
      <c r="IPD615" s="5" t="s">
        <v>3728</v>
      </c>
      <c r="IPE615" s="17">
        <v>44925</v>
      </c>
      <c r="IPF615" s="5" t="s">
        <v>3728</v>
      </c>
      <c r="IPG615" s="17">
        <v>44925</v>
      </c>
      <c r="IPH615" s="5" t="s">
        <v>3728</v>
      </c>
      <c r="IPI615" s="17">
        <v>44925</v>
      </c>
      <c r="IPJ615" s="5" t="s">
        <v>3728</v>
      </c>
      <c r="IPK615" s="17">
        <v>44925</v>
      </c>
      <c r="IPL615" s="5" t="s">
        <v>3728</v>
      </c>
      <c r="IPM615" s="17">
        <v>44925</v>
      </c>
      <c r="IPN615" s="5" t="s">
        <v>3728</v>
      </c>
      <c r="IPO615" s="17">
        <v>44925</v>
      </c>
      <c r="IPP615" s="5" t="s">
        <v>3728</v>
      </c>
      <c r="IPQ615" s="17">
        <v>44925</v>
      </c>
      <c r="IPR615" s="5" t="s">
        <v>3728</v>
      </c>
      <c r="IPS615" s="17">
        <v>44925</v>
      </c>
      <c r="IPT615" s="5" t="s">
        <v>3728</v>
      </c>
      <c r="IPU615" s="17">
        <v>44925</v>
      </c>
      <c r="IPV615" s="5" t="s">
        <v>3728</v>
      </c>
      <c r="IPW615" s="17">
        <v>44925</v>
      </c>
      <c r="IPX615" s="5" t="s">
        <v>3728</v>
      </c>
      <c r="IPY615" s="17">
        <v>44925</v>
      </c>
      <c r="IPZ615" s="5" t="s">
        <v>3728</v>
      </c>
      <c r="IQA615" s="17">
        <v>44925</v>
      </c>
      <c r="IQB615" s="5" t="s">
        <v>3728</v>
      </c>
      <c r="IQC615" s="17">
        <v>44925</v>
      </c>
      <c r="IQD615" s="5" t="s">
        <v>3728</v>
      </c>
      <c r="IQE615" s="17">
        <v>44925</v>
      </c>
      <c r="IQF615" s="5" t="s">
        <v>3728</v>
      </c>
      <c r="IQG615" s="17">
        <v>44925</v>
      </c>
      <c r="IQH615" s="5" t="s">
        <v>3728</v>
      </c>
      <c r="IQI615" s="17">
        <v>44925</v>
      </c>
      <c r="IQJ615" s="5" t="s">
        <v>3728</v>
      </c>
      <c r="IQK615" s="17">
        <v>44925</v>
      </c>
      <c r="IQL615" s="5" t="s">
        <v>3728</v>
      </c>
      <c r="IQM615" s="17">
        <v>44925</v>
      </c>
      <c r="IQN615" s="5" t="s">
        <v>3728</v>
      </c>
      <c r="IQO615" s="17">
        <v>44925</v>
      </c>
      <c r="IQP615" s="5" t="s">
        <v>3728</v>
      </c>
      <c r="IQQ615" s="17">
        <v>44925</v>
      </c>
      <c r="IQR615" s="5" t="s">
        <v>3728</v>
      </c>
      <c r="IQS615" s="17">
        <v>44925</v>
      </c>
      <c r="IQT615" s="5" t="s">
        <v>3728</v>
      </c>
      <c r="IQU615" s="17">
        <v>44925</v>
      </c>
      <c r="IQV615" s="5" t="s">
        <v>3728</v>
      </c>
      <c r="IQW615" s="17">
        <v>44925</v>
      </c>
      <c r="IQX615" s="5" t="s">
        <v>3728</v>
      </c>
      <c r="IQY615" s="17">
        <v>44925</v>
      </c>
      <c r="IQZ615" s="5" t="s">
        <v>3728</v>
      </c>
      <c r="IRA615" s="17">
        <v>44925</v>
      </c>
      <c r="IRB615" s="5" t="s">
        <v>3728</v>
      </c>
      <c r="IRC615" s="17">
        <v>44925</v>
      </c>
      <c r="IRD615" s="5" t="s">
        <v>3728</v>
      </c>
      <c r="IRE615" s="17">
        <v>44925</v>
      </c>
      <c r="IRF615" s="5" t="s">
        <v>3728</v>
      </c>
      <c r="IRG615" s="17">
        <v>44925</v>
      </c>
      <c r="IRH615" s="5" t="s">
        <v>3728</v>
      </c>
      <c r="IRI615" s="17">
        <v>44925</v>
      </c>
      <c r="IRJ615" s="5" t="s">
        <v>3728</v>
      </c>
      <c r="IRK615" s="17">
        <v>44925</v>
      </c>
      <c r="IRL615" s="5" t="s">
        <v>3728</v>
      </c>
      <c r="IRM615" s="17">
        <v>44925</v>
      </c>
      <c r="IRN615" s="5" t="s">
        <v>3728</v>
      </c>
      <c r="IRO615" s="17">
        <v>44925</v>
      </c>
      <c r="IRP615" s="5" t="s">
        <v>3728</v>
      </c>
      <c r="IRQ615" s="17">
        <v>44925</v>
      </c>
      <c r="IRR615" s="5" t="s">
        <v>3728</v>
      </c>
      <c r="IRS615" s="17">
        <v>44925</v>
      </c>
      <c r="IRT615" s="5" t="s">
        <v>3728</v>
      </c>
      <c r="IRU615" s="17">
        <v>44925</v>
      </c>
      <c r="IRV615" s="5" t="s">
        <v>3728</v>
      </c>
      <c r="IRW615" s="17">
        <v>44925</v>
      </c>
      <c r="IRX615" s="5" t="s">
        <v>3728</v>
      </c>
      <c r="IRY615" s="17">
        <v>44925</v>
      </c>
      <c r="IRZ615" s="5" t="s">
        <v>3728</v>
      </c>
      <c r="ISA615" s="17">
        <v>44925</v>
      </c>
      <c r="ISB615" s="5" t="s">
        <v>3728</v>
      </c>
      <c r="ISC615" s="17">
        <v>44925</v>
      </c>
      <c r="ISD615" s="5" t="s">
        <v>3728</v>
      </c>
      <c r="ISE615" s="17">
        <v>44925</v>
      </c>
      <c r="ISF615" s="5" t="s">
        <v>3728</v>
      </c>
      <c r="ISG615" s="17">
        <v>44925</v>
      </c>
      <c r="ISH615" s="5" t="s">
        <v>3728</v>
      </c>
      <c r="ISI615" s="17">
        <v>44925</v>
      </c>
      <c r="ISJ615" s="5" t="s">
        <v>3728</v>
      </c>
      <c r="ISK615" s="17">
        <v>44925</v>
      </c>
      <c r="ISL615" s="5" t="s">
        <v>3728</v>
      </c>
      <c r="ISM615" s="17">
        <v>44925</v>
      </c>
      <c r="ISN615" s="5" t="s">
        <v>3728</v>
      </c>
      <c r="ISO615" s="17">
        <v>44925</v>
      </c>
      <c r="ISP615" s="5" t="s">
        <v>3728</v>
      </c>
      <c r="ISQ615" s="17">
        <v>44925</v>
      </c>
      <c r="ISR615" s="5" t="s">
        <v>3728</v>
      </c>
      <c r="ISS615" s="17">
        <v>44925</v>
      </c>
      <c r="IST615" s="5" t="s">
        <v>3728</v>
      </c>
      <c r="ISU615" s="17">
        <v>44925</v>
      </c>
      <c r="ISV615" s="5" t="s">
        <v>3728</v>
      </c>
      <c r="ISW615" s="17">
        <v>44925</v>
      </c>
      <c r="ISX615" s="5" t="s">
        <v>3728</v>
      </c>
      <c r="ISY615" s="17">
        <v>44925</v>
      </c>
      <c r="ISZ615" s="5" t="s">
        <v>3728</v>
      </c>
      <c r="ITA615" s="17">
        <v>44925</v>
      </c>
      <c r="ITB615" s="5" t="s">
        <v>3728</v>
      </c>
      <c r="ITC615" s="17">
        <v>44925</v>
      </c>
      <c r="ITD615" s="5" t="s">
        <v>3728</v>
      </c>
      <c r="ITE615" s="17">
        <v>44925</v>
      </c>
      <c r="ITF615" s="5" t="s">
        <v>3728</v>
      </c>
      <c r="ITG615" s="17">
        <v>44925</v>
      </c>
      <c r="ITH615" s="5" t="s">
        <v>3728</v>
      </c>
      <c r="ITI615" s="17">
        <v>44925</v>
      </c>
      <c r="ITJ615" s="5" t="s">
        <v>3728</v>
      </c>
      <c r="ITK615" s="17">
        <v>44925</v>
      </c>
      <c r="ITL615" s="5" t="s">
        <v>3728</v>
      </c>
      <c r="ITM615" s="17">
        <v>44925</v>
      </c>
      <c r="ITN615" s="5" t="s">
        <v>3728</v>
      </c>
      <c r="ITO615" s="17">
        <v>44925</v>
      </c>
      <c r="ITP615" s="5" t="s">
        <v>3728</v>
      </c>
      <c r="ITQ615" s="17">
        <v>44925</v>
      </c>
      <c r="ITR615" s="5" t="s">
        <v>3728</v>
      </c>
      <c r="ITS615" s="17">
        <v>44925</v>
      </c>
      <c r="ITT615" s="5" t="s">
        <v>3728</v>
      </c>
      <c r="ITU615" s="17">
        <v>44925</v>
      </c>
      <c r="ITV615" s="5" t="s">
        <v>3728</v>
      </c>
      <c r="ITW615" s="17">
        <v>44925</v>
      </c>
      <c r="ITX615" s="5" t="s">
        <v>3728</v>
      </c>
      <c r="ITY615" s="17">
        <v>44925</v>
      </c>
      <c r="ITZ615" s="5" t="s">
        <v>3728</v>
      </c>
      <c r="IUA615" s="17">
        <v>44925</v>
      </c>
      <c r="IUB615" s="5" t="s">
        <v>3728</v>
      </c>
      <c r="IUC615" s="17">
        <v>44925</v>
      </c>
      <c r="IUD615" s="5" t="s">
        <v>3728</v>
      </c>
      <c r="IUE615" s="17">
        <v>44925</v>
      </c>
      <c r="IUF615" s="5" t="s">
        <v>3728</v>
      </c>
      <c r="IUG615" s="17">
        <v>44925</v>
      </c>
      <c r="IUH615" s="5" t="s">
        <v>3728</v>
      </c>
      <c r="IUI615" s="17">
        <v>44925</v>
      </c>
      <c r="IUJ615" s="5" t="s">
        <v>3728</v>
      </c>
      <c r="IUK615" s="17">
        <v>44925</v>
      </c>
      <c r="IUL615" s="5" t="s">
        <v>3728</v>
      </c>
      <c r="IUM615" s="17">
        <v>44925</v>
      </c>
      <c r="IUN615" s="5" t="s">
        <v>3728</v>
      </c>
      <c r="IUO615" s="17">
        <v>44925</v>
      </c>
      <c r="IUP615" s="5" t="s">
        <v>3728</v>
      </c>
      <c r="IUQ615" s="17">
        <v>44925</v>
      </c>
      <c r="IUR615" s="5" t="s">
        <v>3728</v>
      </c>
      <c r="IUS615" s="17">
        <v>44925</v>
      </c>
      <c r="IUT615" s="5" t="s">
        <v>3728</v>
      </c>
      <c r="IUU615" s="17">
        <v>44925</v>
      </c>
      <c r="IUV615" s="5" t="s">
        <v>3728</v>
      </c>
      <c r="IUW615" s="17">
        <v>44925</v>
      </c>
      <c r="IUX615" s="5" t="s">
        <v>3728</v>
      </c>
      <c r="IUY615" s="17">
        <v>44925</v>
      </c>
      <c r="IUZ615" s="5" t="s">
        <v>3728</v>
      </c>
      <c r="IVA615" s="17">
        <v>44925</v>
      </c>
      <c r="IVB615" s="5" t="s">
        <v>3728</v>
      </c>
      <c r="IVC615" s="17">
        <v>44925</v>
      </c>
      <c r="IVD615" s="5" t="s">
        <v>3728</v>
      </c>
      <c r="IVE615" s="17">
        <v>44925</v>
      </c>
      <c r="IVF615" s="5" t="s">
        <v>3728</v>
      </c>
      <c r="IVG615" s="17">
        <v>44925</v>
      </c>
      <c r="IVH615" s="5" t="s">
        <v>3728</v>
      </c>
      <c r="IVI615" s="17">
        <v>44925</v>
      </c>
      <c r="IVJ615" s="5" t="s">
        <v>3728</v>
      </c>
      <c r="IVK615" s="17">
        <v>44925</v>
      </c>
      <c r="IVL615" s="5" t="s">
        <v>3728</v>
      </c>
      <c r="IVM615" s="17">
        <v>44925</v>
      </c>
      <c r="IVN615" s="5" t="s">
        <v>3728</v>
      </c>
      <c r="IVO615" s="17">
        <v>44925</v>
      </c>
      <c r="IVP615" s="5" t="s">
        <v>3728</v>
      </c>
      <c r="IVQ615" s="17">
        <v>44925</v>
      </c>
      <c r="IVR615" s="5" t="s">
        <v>3728</v>
      </c>
      <c r="IVS615" s="17">
        <v>44925</v>
      </c>
      <c r="IVT615" s="5" t="s">
        <v>3728</v>
      </c>
      <c r="IVU615" s="17">
        <v>44925</v>
      </c>
      <c r="IVV615" s="5" t="s">
        <v>3728</v>
      </c>
      <c r="IVW615" s="17">
        <v>44925</v>
      </c>
      <c r="IVX615" s="5" t="s">
        <v>3728</v>
      </c>
      <c r="IVY615" s="17">
        <v>44925</v>
      </c>
      <c r="IVZ615" s="5" t="s">
        <v>3728</v>
      </c>
      <c r="IWA615" s="17">
        <v>44925</v>
      </c>
      <c r="IWB615" s="5" t="s">
        <v>3728</v>
      </c>
      <c r="IWC615" s="17">
        <v>44925</v>
      </c>
      <c r="IWD615" s="5" t="s">
        <v>3728</v>
      </c>
      <c r="IWE615" s="17">
        <v>44925</v>
      </c>
      <c r="IWF615" s="5" t="s">
        <v>3728</v>
      </c>
      <c r="IWG615" s="17">
        <v>44925</v>
      </c>
      <c r="IWH615" s="5" t="s">
        <v>3728</v>
      </c>
      <c r="IWI615" s="17">
        <v>44925</v>
      </c>
      <c r="IWJ615" s="5" t="s">
        <v>3728</v>
      </c>
      <c r="IWK615" s="17">
        <v>44925</v>
      </c>
      <c r="IWL615" s="5" t="s">
        <v>3728</v>
      </c>
      <c r="IWM615" s="17">
        <v>44925</v>
      </c>
      <c r="IWN615" s="5" t="s">
        <v>3728</v>
      </c>
      <c r="IWO615" s="17">
        <v>44925</v>
      </c>
      <c r="IWP615" s="5" t="s">
        <v>3728</v>
      </c>
      <c r="IWQ615" s="17">
        <v>44925</v>
      </c>
      <c r="IWR615" s="5" t="s">
        <v>3728</v>
      </c>
      <c r="IWS615" s="17">
        <v>44925</v>
      </c>
      <c r="IWT615" s="5" t="s">
        <v>3728</v>
      </c>
      <c r="IWU615" s="17">
        <v>44925</v>
      </c>
      <c r="IWV615" s="5" t="s">
        <v>3728</v>
      </c>
      <c r="IWW615" s="17">
        <v>44925</v>
      </c>
      <c r="IWX615" s="5" t="s">
        <v>3728</v>
      </c>
      <c r="IWY615" s="17">
        <v>44925</v>
      </c>
      <c r="IWZ615" s="5" t="s">
        <v>3728</v>
      </c>
      <c r="IXA615" s="17">
        <v>44925</v>
      </c>
      <c r="IXB615" s="5" t="s">
        <v>3728</v>
      </c>
      <c r="IXC615" s="17">
        <v>44925</v>
      </c>
      <c r="IXD615" s="5" t="s">
        <v>3728</v>
      </c>
      <c r="IXE615" s="17">
        <v>44925</v>
      </c>
      <c r="IXF615" s="5" t="s">
        <v>3728</v>
      </c>
      <c r="IXG615" s="17">
        <v>44925</v>
      </c>
      <c r="IXH615" s="5" t="s">
        <v>3728</v>
      </c>
      <c r="IXI615" s="17">
        <v>44925</v>
      </c>
      <c r="IXJ615" s="5" t="s">
        <v>3728</v>
      </c>
      <c r="IXK615" s="17">
        <v>44925</v>
      </c>
      <c r="IXL615" s="5" t="s">
        <v>3728</v>
      </c>
      <c r="IXM615" s="17">
        <v>44925</v>
      </c>
      <c r="IXN615" s="5" t="s">
        <v>3728</v>
      </c>
      <c r="IXO615" s="17">
        <v>44925</v>
      </c>
      <c r="IXP615" s="5" t="s">
        <v>3728</v>
      </c>
      <c r="IXQ615" s="17">
        <v>44925</v>
      </c>
      <c r="IXR615" s="5" t="s">
        <v>3728</v>
      </c>
      <c r="IXS615" s="17">
        <v>44925</v>
      </c>
      <c r="IXT615" s="5" t="s">
        <v>3728</v>
      </c>
      <c r="IXU615" s="17">
        <v>44925</v>
      </c>
      <c r="IXV615" s="5" t="s">
        <v>3728</v>
      </c>
      <c r="IXW615" s="17">
        <v>44925</v>
      </c>
      <c r="IXX615" s="5" t="s">
        <v>3728</v>
      </c>
      <c r="IXY615" s="17">
        <v>44925</v>
      </c>
      <c r="IXZ615" s="5" t="s">
        <v>3728</v>
      </c>
      <c r="IYA615" s="17">
        <v>44925</v>
      </c>
      <c r="IYB615" s="5" t="s">
        <v>3728</v>
      </c>
      <c r="IYC615" s="17">
        <v>44925</v>
      </c>
      <c r="IYD615" s="5" t="s">
        <v>3728</v>
      </c>
      <c r="IYE615" s="17">
        <v>44925</v>
      </c>
      <c r="IYF615" s="5" t="s">
        <v>3728</v>
      </c>
      <c r="IYG615" s="17">
        <v>44925</v>
      </c>
      <c r="IYH615" s="5" t="s">
        <v>3728</v>
      </c>
      <c r="IYI615" s="17">
        <v>44925</v>
      </c>
      <c r="IYJ615" s="5" t="s">
        <v>3728</v>
      </c>
      <c r="IYK615" s="17">
        <v>44925</v>
      </c>
      <c r="IYL615" s="5" t="s">
        <v>3728</v>
      </c>
      <c r="IYM615" s="17">
        <v>44925</v>
      </c>
      <c r="IYN615" s="5" t="s">
        <v>3728</v>
      </c>
      <c r="IYO615" s="17">
        <v>44925</v>
      </c>
      <c r="IYP615" s="5" t="s">
        <v>3728</v>
      </c>
      <c r="IYQ615" s="17">
        <v>44925</v>
      </c>
      <c r="IYR615" s="5" t="s">
        <v>3728</v>
      </c>
      <c r="IYS615" s="17">
        <v>44925</v>
      </c>
      <c r="IYT615" s="5" t="s">
        <v>3728</v>
      </c>
      <c r="IYU615" s="17">
        <v>44925</v>
      </c>
      <c r="IYV615" s="5" t="s">
        <v>3728</v>
      </c>
      <c r="IYW615" s="17">
        <v>44925</v>
      </c>
      <c r="IYX615" s="5" t="s">
        <v>3728</v>
      </c>
      <c r="IYY615" s="17">
        <v>44925</v>
      </c>
      <c r="IYZ615" s="5" t="s">
        <v>3728</v>
      </c>
      <c r="IZA615" s="17">
        <v>44925</v>
      </c>
      <c r="IZB615" s="5" t="s">
        <v>3728</v>
      </c>
      <c r="IZC615" s="17">
        <v>44925</v>
      </c>
      <c r="IZD615" s="5" t="s">
        <v>3728</v>
      </c>
      <c r="IZE615" s="17">
        <v>44925</v>
      </c>
      <c r="IZF615" s="5" t="s">
        <v>3728</v>
      </c>
      <c r="IZG615" s="17">
        <v>44925</v>
      </c>
      <c r="IZH615" s="5" t="s">
        <v>3728</v>
      </c>
      <c r="IZI615" s="17">
        <v>44925</v>
      </c>
      <c r="IZJ615" s="5" t="s">
        <v>3728</v>
      </c>
      <c r="IZK615" s="17">
        <v>44925</v>
      </c>
      <c r="IZL615" s="5" t="s">
        <v>3728</v>
      </c>
      <c r="IZM615" s="17">
        <v>44925</v>
      </c>
      <c r="IZN615" s="5" t="s">
        <v>3728</v>
      </c>
      <c r="IZO615" s="17">
        <v>44925</v>
      </c>
      <c r="IZP615" s="5" t="s">
        <v>3728</v>
      </c>
      <c r="IZQ615" s="17">
        <v>44925</v>
      </c>
      <c r="IZR615" s="5" t="s">
        <v>3728</v>
      </c>
      <c r="IZS615" s="17">
        <v>44925</v>
      </c>
      <c r="IZT615" s="5" t="s">
        <v>3728</v>
      </c>
      <c r="IZU615" s="17">
        <v>44925</v>
      </c>
      <c r="IZV615" s="5" t="s">
        <v>3728</v>
      </c>
      <c r="IZW615" s="17">
        <v>44925</v>
      </c>
      <c r="IZX615" s="5" t="s">
        <v>3728</v>
      </c>
      <c r="IZY615" s="17">
        <v>44925</v>
      </c>
      <c r="IZZ615" s="5" t="s">
        <v>3728</v>
      </c>
      <c r="JAA615" s="17">
        <v>44925</v>
      </c>
      <c r="JAB615" s="5" t="s">
        <v>3728</v>
      </c>
      <c r="JAC615" s="17">
        <v>44925</v>
      </c>
      <c r="JAD615" s="5" t="s">
        <v>3728</v>
      </c>
      <c r="JAE615" s="17">
        <v>44925</v>
      </c>
      <c r="JAF615" s="5" t="s">
        <v>3728</v>
      </c>
      <c r="JAG615" s="17">
        <v>44925</v>
      </c>
      <c r="JAH615" s="5" t="s">
        <v>3728</v>
      </c>
      <c r="JAI615" s="17">
        <v>44925</v>
      </c>
      <c r="JAJ615" s="5" t="s">
        <v>3728</v>
      </c>
      <c r="JAK615" s="17">
        <v>44925</v>
      </c>
      <c r="JAL615" s="5" t="s">
        <v>3728</v>
      </c>
      <c r="JAM615" s="17">
        <v>44925</v>
      </c>
      <c r="JAN615" s="5" t="s">
        <v>3728</v>
      </c>
      <c r="JAO615" s="17">
        <v>44925</v>
      </c>
      <c r="JAP615" s="5" t="s">
        <v>3728</v>
      </c>
      <c r="JAQ615" s="17">
        <v>44925</v>
      </c>
      <c r="JAR615" s="5" t="s">
        <v>3728</v>
      </c>
      <c r="JAS615" s="17">
        <v>44925</v>
      </c>
      <c r="JAT615" s="5" t="s">
        <v>3728</v>
      </c>
      <c r="JAU615" s="17">
        <v>44925</v>
      </c>
      <c r="JAV615" s="5" t="s">
        <v>3728</v>
      </c>
      <c r="JAW615" s="17">
        <v>44925</v>
      </c>
      <c r="JAX615" s="5" t="s">
        <v>3728</v>
      </c>
      <c r="JAY615" s="17">
        <v>44925</v>
      </c>
      <c r="JAZ615" s="5" t="s">
        <v>3728</v>
      </c>
      <c r="JBA615" s="17">
        <v>44925</v>
      </c>
      <c r="JBB615" s="5" t="s">
        <v>3728</v>
      </c>
      <c r="JBC615" s="17">
        <v>44925</v>
      </c>
      <c r="JBD615" s="5" t="s">
        <v>3728</v>
      </c>
      <c r="JBE615" s="17">
        <v>44925</v>
      </c>
      <c r="JBF615" s="5" t="s">
        <v>3728</v>
      </c>
      <c r="JBG615" s="17">
        <v>44925</v>
      </c>
      <c r="JBH615" s="5" t="s">
        <v>3728</v>
      </c>
      <c r="JBI615" s="17">
        <v>44925</v>
      </c>
      <c r="JBJ615" s="5" t="s">
        <v>3728</v>
      </c>
      <c r="JBK615" s="17">
        <v>44925</v>
      </c>
      <c r="JBL615" s="5" t="s">
        <v>3728</v>
      </c>
      <c r="JBM615" s="17">
        <v>44925</v>
      </c>
      <c r="JBN615" s="5" t="s">
        <v>3728</v>
      </c>
      <c r="JBO615" s="17">
        <v>44925</v>
      </c>
      <c r="JBP615" s="5" t="s">
        <v>3728</v>
      </c>
      <c r="JBQ615" s="17">
        <v>44925</v>
      </c>
      <c r="JBR615" s="5" t="s">
        <v>3728</v>
      </c>
      <c r="JBS615" s="17">
        <v>44925</v>
      </c>
      <c r="JBT615" s="5" t="s">
        <v>3728</v>
      </c>
      <c r="JBU615" s="17">
        <v>44925</v>
      </c>
      <c r="JBV615" s="5" t="s">
        <v>3728</v>
      </c>
      <c r="JBW615" s="17">
        <v>44925</v>
      </c>
      <c r="JBX615" s="5" t="s">
        <v>3728</v>
      </c>
      <c r="JBY615" s="17">
        <v>44925</v>
      </c>
      <c r="JBZ615" s="5" t="s">
        <v>3728</v>
      </c>
      <c r="JCA615" s="17">
        <v>44925</v>
      </c>
      <c r="JCB615" s="5" t="s">
        <v>3728</v>
      </c>
      <c r="JCC615" s="17">
        <v>44925</v>
      </c>
      <c r="JCD615" s="5" t="s">
        <v>3728</v>
      </c>
      <c r="JCE615" s="17">
        <v>44925</v>
      </c>
      <c r="JCF615" s="5" t="s">
        <v>3728</v>
      </c>
      <c r="JCG615" s="17">
        <v>44925</v>
      </c>
      <c r="JCH615" s="5" t="s">
        <v>3728</v>
      </c>
      <c r="JCI615" s="17">
        <v>44925</v>
      </c>
      <c r="JCJ615" s="5" t="s">
        <v>3728</v>
      </c>
      <c r="JCK615" s="17">
        <v>44925</v>
      </c>
      <c r="JCL615" s="5" t="s">
        <v>3728</v>
      </c>
      <c r="JCM615" s="17">
        <v>44925</v>
      </c>
      <c r="JCN615" s="5" t="s">
        <v>3728</v>
      </c>
      <c r="JCO615" s="17">
        <v>44925</v>
      </c>
      <c r="JCP615" s="5" t="s">
        <v>3728</v>
      </c>
      <c r="JCQ615" s="17">
        <v>44925</v>
      </c>
      <c r="JCR615" s="5" t="s">
        <v>3728</v>
      </c>
      <c r="JCS615" s="17">
        <v>44925</v>
      </c>
      <c r="JCT615" s="5" t="s">
        <v>3728</v>
      </c>
      <c r="JCU615" s="17">
        <v>44925</v>
      </c>
      <c r="JCV615" s="5" t="s">
        <v>3728</v>
      </c>
      <c r="JCW615" s="17">
        <v>44925</v>
      </c>
      <c r="JCX615" s="5" t="s">
        <v>3728</v>
      </c>
      <c r="JCY615" s="17">
        <v>44925</v>
      </c>
      <c r="JCZ615" s="5" t="s">
        <v>3728</v>
      </c>
      <c r="JDA615" s="17">
        <v>44925</v>
      </c>
      <c r="JDB615" s="5" t="s">
        <v>3728</v>
      </c>
      <c r="JDC615" s="17">
        <v>44925</v>
      </c>
      <c r="JDD615" s="5" t="s">
        <v>3728</v>
      </c>
      <c r="JDE615" s="17">
        <v>44925</v>
      </c>
      <c r="JDF615" s="5" t="s">
        <v>3728</v>
      </c>
      <c r="JDG615" s="17">
        <v>44925</v>
      </c>
      <c r="JDH615" s="5" t="s">
        <v>3728</v>
      </c>
      <c r="JDI615" s="17">
        <v>44925</v>
      </c>
      <c r="JDJ615" s="5" t="s">
        <v>3728</v>
      </c>
      <c r="JDK615" s="17">
        <v>44925</v>
      </c>
      <c r="JDL615" s="5" t="s">
        <v>3728</v>
      </c>
      <c r="JDM615" s="17">
        <v>44925</v>
      </c>
      <c r="JDN615" s="5" t="s">
        <v>3728</v>
      </c>
      <c r="JDO615" s="17">
        <v>44925</v>
      </c>
      <c r="JDP615" s="5" t="s">
        <v>3728</v>
      </c>
      <c r="JDQ615" s="17">
        <v>44925</v>
      </c>
      <c r="JDR615" s="5" t="s">
        <v>3728</v>
      </c>
      <c r="JDS615" s="17">
        <v>44925</v>
      </c>
      <c r="JDT615" s="5" t="s">
        <v>3728</v>
      </c>
      <c r="JDU615" s="17">
        <v>44925</v>
      </c>
      <c r="JDV615" s="5" t="s">
        <v>3728</v>
      </c>
      <c r="JDW615" s="17">
        <v>44925</v>
      </c>
      <c r="JDX615" s="5" t="s">
        <v>3728</v>
      </c>
      <c r="JDY615" s="17">
        <v>44925</v>
      </c>
      <c r="JDZ615" s="5" t="s">
        <v>3728</v>
      </c>
      <c r="JEA615" s="17">
        <v>44925</v>
      </c>
      <c r="JEB615" s="5" t="s">
        <v>3728</v>
      </c>
      <c r="JEC615" s="17">
        <v>44925</v>
      </c>
      <c r="JED615" s="5" t="s">
        <v>3728</v>
      </c>
      <c r="JEE615" s="17">
        <v>44925</v>
      </c>
      <c r="JEF615" s="5" t="s">
        <v>3728</v>
      </c>
      <c r="JEG615" s="17">
        <v>44925</v>
      </c>
      <c r="JEH615" s="5" t="s">
        <v>3728</v>
      </c>
      <c r="JEI615" s="17">
        <v>44925</v>
      </c>
      <c r="JEJ615" s="5" t="s">
        <v>3728</v>
      </c>
      <c r="JEK615" s="17">
        <v>44925</v>
      </c>
      <c r="JEL615" s="5" t="s">
        <v>3728</v>
      </c>
      <c r="JEM615" s="17">
        <v>44925</v>
      </c>
      <c r="JEN615" s="5" t="s">
        <v>3728</v>
      </c>
      <c r="JEO615" s="17">
        <v>44925</v>
      </c>
      <c r="JEP615" s="5" t="s">
        <v>3728</v>
      </c>
      <c r="JEQ615" s="17">
        <v>44925</v>
      </c>
      <c r="JER615" s="5" t="s">
        <v>3728</v>
      </c>
      <c r="JES615" s="17">
        <v>44925</v>
      </c>
      <c r="JET615" s="5" t="s">
        <v>3728</v>
      </c>
      <c r="JEU615" s="17">
        <v>44925</v>
      </c>
      <c r="JEV615" s="5" t="s">
        <v>3728</v>
      </c>
      <c r="JEW615" s="17">
        <v>44925</v>
      </c>
      <c r="JEX615" s="5" t="s">
        <v>3728</v>
      </c>
      <c r="JEY615" s="17">
        <v>44925</v>
      </c>
      <c r="JEZ615" s="5" t="s">
        <v>3728</v>
      </c>
      <c r="JFA615" s="17">
        <v>44925</v>
      </c>
      <c r="JFB615" s="5" t="s">
        <v>3728</v>
      </c>
      <c r="JFC615" s="17">
        <v>44925</v>
      </c>
      <c r="JFD615" s="5" t="s">
        <v>3728</v>
      </c>
      <c r="JFE615" s="17">
        <v>44925</v>
      </c>
      <c r="JFF615" s="5" t="s">
        <v>3728</v>
      </c>
      <c r="JFG615" s="17">
        <v>44925</v>
      </c>
      <c r="JFH615" s="5" t="s">
        <v>3728</v>
      </c>
      <c r="JFI615" s="17">
        <v>44925</v>
      </c>
      <c r="JFJ615" s="5" t="s">
        <v>3728</v>
      </c>
      <c r="JFK615" s="17">
        <v>44925</v>
      </c>
      <c r="JFL615" s="5" t="s">
        <v>3728</v>
      </c>
      <c r="JFM615" s="17">
        <v>44925</v>
      </c>
      <c r="JFN615" s="5" t="s">
        <v>3728</v>
      </c>
      <c r="JFO615" s="17">
        <v>44925</v>
      </c>
      <c r="JFP615" s="5" t="s">
        <v>3728</v>
      </c>
      <c r="JFQ615" s="17">
        <v>44925</v>
      </c>
      <c r="JFR615" s="5" t="s">
        <v>3728</v>
      </c>
      <c r="JFS615" s="17">
        <v>44925</v>
      </c>
      <c r="JFT615" s="5" t="s">
        <v>3728</v>
      </c>
      <c r="JFU615" s="17">
        <v>44925</v>
      </c>
      <c r="JFV615" s="5" t="s">
        <v>3728</v>
      </c>
      <c r="JFW615" s="17">
        <v>44925</v>
      </c>
      <c r="JFX615" s="5" t="s">
        <v>3728</v>
      </c>
      <c r="JFY615" s="17">
        <v>44925</v>
      </c>
      <c r="JFZ615" s="5" t="s">
        <v>3728</v>
      </c>
      <c r="JGA615" s="17">
        <v>44925</v>
      </c>
      <c r="JGB615" s="5" t="s">
        <v>3728</v>
      </c>
      <c r="JGC615" s="17">
        <v>44925</v>
      </c>
      <c r="JGD615" s="5" t="s">
        <v>3728</v>
      </c>
      <c r="JGE615" s="17">
        <v>44925</v>
      </c>
      <c r="JGF615" s="5" t="s">
        <v>3728</v>
      </c>
      <c r="JGG615" s="17">
        <v>44925</v>
      </c>
      <c r="JGH615" s="5" t="s">
        <v>3728</v>
      </c>
      <c r="JGI615" s="17">
        <v>44925</v>
      </c>
      <c r="JGJ615" s="5" t="s">
        <v>3728</v>
      </c>
      <c r="JGK615" s="17">
        <v>44925</v>
      </c>
      <c r="JGL615" s="5" t="s">
        <v>3728</v>
      </c>
      <c r="JGM615" s="17">
        <v>44925</v>
      </c>
      <c r="JGN615" s="5" t="s">
        <v>3728</v>
      </c>
      <c r="JGO615" s="17">
        <v>44925</v>
      </c>
      <c r="JGP615" s="5" t="s">
        <v>3728</v>
      </c>
      <c r="JGQ615" s="17">
        <v>44925</v>
      </c>
      <c r="JGR615" s="5" t="s">
        <v>3728</v>
      </c>
      <c r="JGS615" s="17">
        <v>44925</v>
      </c>
      <c r="JGT615" s="5" t="s">
        <v>3728</v>
      </c>
      <c r="JGU615" s="17">
        <v>44925</v>
      </c>
      <c r="JGV615" s="5" t="s">
        <v>3728</v>
      </c>
      <c r="JGW615" s="17">
        <v>44925</v>
      </c>
      <c r="JGX615" s="5" t="s">
        <v>3728</v>
      </c>
      <c r="JGY615" s="17">
        <v>44925</v>
      </c>
      <c r="JGZ615" s="5" t="s">
        <v>3728</v>
      </c>
      <c r="JHA615" s="17">
        <v>44925</v>
      </c>
      <c r="JHB615" s="5" t="s">
        <v>3728</v>
      </c>
      <c r="JHC615" s="17">
        <v>44925</v>
      </c>
      <c r="JHD615" s="5" t="s">
        <v>3728</v>
      </c>
      <c r="JHE615" s="17">
        <v>44925</v>
      </c>
      <c r="JHF615" s="5" t="s">
        <v>3728</v>
      </c>
      <c r="JHG615" s="17">
        <v>44925</v>
      </c>
      <c r="JHH615" s="5" t="s">
        <v>3728</v>
      </c>
      <c r="JHI615" s="17">
        <v>44925</v>
      </c>
      <c r="JHJ615" s="5" t="s">
        <v>3728</v>
      </c>
      <c r="JHK615" s="17">
        <v>44925</v>
      </c>
      <c r="JHL615" s="5" t="s">
        <v>3728</v>
      </c>
      <c r="JHM615" s="17">
        <v>44925</v>
      </c>
      <c r="JHN615" s="5" t="s">
        <v>3728</v>
      </c>
      <c r="JHO615" s="17">
        <v>44925</v>
      </c>
      <c r="JHP615" s="5" t="s">
        <v>3728</v>
      </c>
      <c r="JHQ615" s="17">
        <v>44925</v>
      </c>
      <c r="JHR615" s="5" t="s">
        <v>3728</v>
      </c>
      <c r="JHS615" s="17">
        <v>44925</v>
      </c>
      <c r="JHT615" s="5" t="s">
        <v>3728</v>
      </c>
      <c r="JHU615" s="17">
        <v>44925</v>
      </c>
      <c r="JHV615" s="5" t="s">
        <v>3728</v>
      </c>
      <c r="JHW615" s="17">
        <v>44925</v>
      </c>
      <c r="JHX615" s="5" t="s">
        <v>3728</v>
      </c>
      <c r="JHY615" s="17">
        <v>44925</v>
      </c>
      <c r="JHZ615" s="5" t="s">
        <v>3728</v>
      </c>
      <c r="JIA615" s="17">
        <v>44925</v>
      </c>
      <c r="JIB615" s="5" t="s">
        <v>3728</v>
      </c>
      <c r="JIC615" s="17">
        <v>44925</v>
      </c>
      <c r="JID615" s="5" t="s">
        <v>3728</v>
      </c>
      <c r="JIE615" s="17">
        <v>44925</v>
      </c>
      <c r="JIF615" s="5" t="s">
        <v>3728</v>
      </c>
      <c r="JIG615" s="17">
        <v>44925</v>
      </c>
      <c r="JIH615" s="5" t="s">
        <v>3728</v>
      </c>
      <c r="JII615" s="17">
        <v>44925</v>
      </c>
      <c r="JIJ615" s="5" t="s">
        <v>3728</v>
      </c>
      <c r="JIK615" s="17">
        <v>44925</v>
      </c>
      <c r="JIL615" s="5" t="s">
        <v>3728</v>
      </c>
      <c r="JIM615" s="17">
        <v>44925</v>
      </c>
      <c r="JIN615" s="5" t="s">
        <v>3728</v>
      </c>
      <c r="JIO615" s="17">
        <v>44925</v>
      </c>
      <c r="JIP615" s="5" t="s">
        <v>3728</v>
      </c>
      <c r="JIQ615" s="17">
        <v>44925</v>
      </c>
      <c r="JIR615" s="5" t="s">
        <v>3728</v>
      </c>
      <c r="JIS615" s="17">
        <v>44925</v>
      </c>
      <c r="JIT615" s="5" t="s">
        <v>3728</v>
      </c>
      <c r="JIU615" s="17">
        <v>44925</v>
      </c>
      <c r="JIV615" s="5" t="s">
        <v>3728</v>
      </c>
      <c r="JIW615" s="17">
        <v>44925</v>
      </c>
      <c r="JIX615" s="5" t="s">
        <v>3728</v>
      </c>
      <c r="JIY615" s="17">
        <v>44925</v>
      </c>
      <c r="JIZ615" s="5" t="s">
        <v>3728</v>
      </c>
      <c r="JJA615" s="17">
        <v>44925</v>
      </c>
      <c r="JJB615" s="5" t="s">
        <v>3728</v>
      </c>
      <c r="JJC615" s="17">
        <v>44925</v>
      </c>
      <c r="JJD615" s="5" t="s">
        <v>3728</v>
      </c>
      <c r="JJE615" s="17">
        <v>44925</v>
      </c>
      <c r="JJF615" s="5" t="s">
        <v>3728</v>
      </c>
      <c r="JJG615" s="17">
        <v>44925</v>
      </c>
      <c r="JJH615" s="5" t="s">
        <v>3728</v>
      </c>
      <c r="JJI615" s="17">
        <v>44925</v>
      </c>
      <c r="JJJ615" s="5" t="s">
        <v>3728</v>
      </c>
      <c r="JJK615" s="17">
        <v>44925</v>
      </c>
      <c r="JJL615" s="5" t="s">
        <v>3728</v>
      </c>
      <c r="JJM615" s="17">
        <v>44925</v>
      </c>
      <c r="JJN615" s="5" t="s">
        <v>3728</v>
      </c>
      <c r="JJO615" s="17">
        <v>44925</v>
      </c>
      <c r="JJP615" s="5" t="s">
        <v>3728</v>
      </c>
      <c r="JJQ615" s="17">
        <v>44925</v>
      </c>
      <c r="JJR615" s="5" t="s">
        <v>3728</v>
      </c>
      <c r="JJS615" s="17">
        <v>44925</v>
      </c>
      <c r="JJT615" s="5" t="s">
        <v>3728</v>
      </c>
      <c r="JJU615" s="17">
        <v>44925</v>
      </c>
      <c r="JJV615" s="5" t="s">
        <v>3728</v>
      </c>
      <c r="JJW615" s="17">
        <v>44925</v>
      </c>
      <c r="JJX615" s="5" t="s">
        <v>3728</v>
      </c>
      <c r="JJY615" s="17">
        <v>44925</v>
      </c>
      <c r="JJZ615" s="5" t="s">
        <v>3728</v>
      </c>
      <c r="JKA615" s="17">
        <v>44925</v>
      </c>
      <c r="JKB615" s="5" t="s">
        <v>3728</v>
      </c>
      <c r="JKC615" s="17">
        <v>44925</v>
      </c>
      <c r="JKD615" s="5" t="s">
        <v>3728</v>
      </c>
      <c r="JKE615" s="17">
        <v>44925</v>
      </c>
      <c r="JKF615" s="5" t="s">
        <v>3728</v>
      </c>
      <c r="JKG615" s="17">
        <v>44925</v>
      </c>
      <c r="JKH615" s="5" t="s">
        <v>3728</v>
      </c>
      <c r="JKI615" s="17">
        <v>44925</v>
      </c>
      <c r="JKJ615" s="5" t="s">
        <v>3728</v>
      </c>
      <c r="JKK615" s="17">
        <v>44925</v>
      </c>
      <c r="JKL615" s="5" t="s">
        <v>3728</v>
      </c>
      <c r="JKM615" s="17">
        <v>44925</v>
      </c>
      <c r="JKN615" s="5" t="s">
        <v>3728</v>
      </c>
      <c r="JKO615" s="17">
        <v>44925</v>
      </c>
      <c r="JKP615" s="5" t="s">
        <v>3728</v>
      </c>
      <c r="JKQ615" s="17">
        <v>44925</v>
      </c>
      <c r="JKR615" s="5" t="s">
        <v>3728</v>
      </c>
      <c r="JKS615" s="17">
        <v>44925</v>
      </c>
      <c r="JKT615" s="5" t="s">
        <v>3728</v>
      </c>
      <c r="JKU615" s="17">
        <v>44925</v>
      </c>
      <c r="JKV615" s="5" t="s">
        <v>3728</v>
      </c>
      <c r="JKW615" s="17">
        <v>44925</v>
      </c>
      <c r="JKX615" s="5" t="s">
        <v>3728</v>
      </c>
      <c r="JKY615" s="17">
        <v>44925</v>
      </c>
      <c r="JKZ615" s="5" t="s">
        <v>3728</v>
      </c>
      <c r="JLA615" s="17">
        <v>44925</v>
      </c>
      <c r="JLB615" s="5" t="s">
        <v>3728</v>
      </c>
      <c r="JLC615" s="17">
        <v>44925</v>
      </c>
      <c r="JLD615" s="5" t="s">
        <v>3728</v>
      </c>
      <c r="JLE615" s="17">
        <v>44925</v>
      </c>
      <c r="JLF615" s="5" t="s">
        <v>3728</v>
      </c>
      <c r="JLG615" s="17">
        <v>44925</v>
      </c>
      <c r="JLH615" s="5" t="s">
        <v>3728</v>
      </c>
      <c r="JLI615" s="17">
        <v>44925</v>
      </c>
      <c r="JLJ615" s="5" t="s">
        <v>3728</v>
      </c>
      <c r="JLK615" s="17">
        <v>44925</v>
      </c>
      <c r="JLL615" s="5" t="s">
        <v>3728</v>
      </c>
      <c r="JLM615" s="17">
        <v>44925</v>
      </c>
      <c r="JLN615" s="5" t="s">
        <v>3728</v>
      </c>
      <c r="JLO615" s="17">
        <v>44925</v>
      </c>
      <c r="JLP615" s="5" t="s">
        <v>3728</v>
      </c>
      <c r="JLQ615" s="17">
        <v>44925</v>
      </c>
      <c r="JLR615" s="5" t="s">
        <v>3728</v>
      </c>
      <c r="JLS615" s="17">
        <v>44925</v>
      </c>
      <c r="JLT615" s="5" t="s">
        <v>3728</v>
      </c>
      <c r="JLU615" s="17">
        <v>44925</v>
      </c>
      <c r="JLV615" s="5" t="s">
        <v>3728</v>
      </c>
      <c r="JLW615" s="17">
        <v>44925</v>
      </c>
      <c r="JLX615" s="5" t="s">
        <v>3728</v>
      </c>
      <c r="JLY615" s="17">
        <v>44925</v>
      </c>
      <c r="JLZ615" s="5" t="s">
        <v>3728</v>
      </c>
      <c r="JMA615" s="17">
        <v>44925</v>
      </c>
      <c r="JMB615" s="5" t="s">
        <v>3728</v>
      </c>
      <c r="JMC615" s="17">
        <v>44925</v>
      </c>
      <c r="JMD615" s="5" t="s">
        <v>3728</v>
      </c>
      <c r="JME615" s="17">
        <v>44925</v>
      </c>
      <c r="JMF615" s="5" t="s">
        <v>3728</v>
      </c>
      <c r="JMG615" s="17">
        <v>44925</v>
      </c>
      <c r="JMH615" s="5" t="s">
        <v>3728</v>
      </c>
      <c r="JMI615" s="17">
        <v>44925</v>
      </c>
      <c r="JMJ615" s="5" t="s">
        <v>3728</v>
      </c>
      <c r="JMK615" s="17">
        <v>44925</v>
      </c>
      <c r="JML615" s="5" t="s">
        <v>3728</v>
      </c>
      <c r="JMM615" s="17">
        <v>44925</v>
      </c>
      <c r="JMN615" s="5" t="s">
        <v>3728</v>
      </c>
      <c r="JMO615" s="17">
        <v>44925</v>
      </c>
      <c r="JMP615" s="5" t="s">
        <v>3728</v>
      </c>
      <c r="JMQ615" s="17">
        <v>44925</v>
      </c>
      <c r="JMR615" s="5" t="s">
        <v>3728</v>
      </c>
      <c r="JMS615" s="17">
        <v>44925</v>
      </c>
      <c r="JMT615" s="5" t="s">
        <v>3728</v>
      </c>
      <c r="JMU615" s="17">
        <v>44925</v>
      </c>
      <c r="JMV615" s="5" t="s">
        <v>3728</v>
      </c>
      <c r="JMW615" s="17">
        <v>44925</v>
      </c>
      <c r="JMX615" s="5" t="s">
        <v>3728</v>
      </c>
      <c r="JMY615" s="17">
        <v>44925</v>
      </c>
      <c r="JMZ615" s="5" t="s">
        <v>3728</v>
      </c>
      <c r="JNA615" s="17">
        <v>44925</v>
      </c>
      <c r="JNB615" s="5" t="s">
        <v>3728</v>
      </c>
      <c r="JNC615" s="17">
        <v>44925</v>
      </c>
      <c r="JND615" s="5" t="s">
        <v>3728</v>
      </c>
      <c r="JNE615" s="17">
        <v>44925</v>
      </c>
      <c r="JNF615" s="5" t="s">
        <v>3728</v>
      </c>
      <c r="JNG615" s="17">
        <v>44925</v>
      </c>
      <c r="JNH615" s="5" t="s">
        <v>3728</v>
      </c>
      <c r="JNI615" s="17">
        <v>44925</v>
      </c>
      <c r="JNJ615" s="5" t="s">
        <v>3728</v>
      </c>
      <c r="JNK615" s="17">
        <v>44925</v>
      </c>
      <c r="JNL615" s="5" t="s">
        <v>3728</v>
      </c>
      <c r="JNM615" s="17">
        <v>44925</v>
      </c>
      <c r="JNN615" s="5" t="s">
        <v>3728</v>
      </c>
      <c r="JNO615" s="17">
        <v>44925</v>
      </c>
      <c r="JNP615" s="5" t="s">
        <v>3728</v>
      </c>
      <c r="JNQ615" s="17">
        <v>44925</v>
      </c>
      <c r="JNR615" s="5" t="s">
        <v>3728</v>
      </c>
      <c r="JNS615" s="17">
        <v>44925</v>
      </c>
      <c r="JNT615" s="5" t="s">
        <v>3728</v>
      </c>
      <c r="JNU615" s="17">
        <v>44925</v>
      </c>
      <c r="JNV615" s="5" t="s">
        <v>3728</v>
      </c>
      <c r="JNW615" s="17">
        <v>44925</v>
      </c>
      <c r="JNX615" s="5" t="s">
        <v>3728</v>
      </c>
      <c r="JNY615" s="17">
        <v>44925</v>
      </c>
      <c r="JNZ615" s="5" t="s">
        <v>3728</v>
      </c>
      <c r="JOA615" s="17">
        <v>44925</v>
      </c>
      <c r="JOB615" s="5" t="s">
        <v>3728</v>
      </c>
      <c r="JOC615" s="17">
        <v>44925</v>
      </c>
      <c r="JOD615" s="5" t="s">
        <v>3728</v>
      </c>
      <c r="JOE615" s="17">
        <v>44925</v>
      </c>
      <c r="JOF615" s="5" t="s">
        <v>3728</v>
      </c>
      <c r="JOG615" s="17">
        <v>44925</v>
      </c>
      <c r="JOH615" s="5" t="s">
        <v>3728</v>
      </c>
      <c r="JOI615" s="17">
        <v>44925</v>
      </c>
      <c r="JOJ615" s="5" t="s">
        <v>3728</v>
      </c>
      <c r="JOK615" s="17">
        <v>44925</v>
      </c>
      <c r="JOL615" s="5" t="s">
        <v>3728</v>
      </c>
      <c r="JOM615" s="17">
        <v>44925</v>
      </c>
      <c r="JON615" s="5" t="s">
        <v>3728</v>
      </c>
      <c r="JOO615" s="17">
        <v>44925</v>
      </c>
      <c r="JOP615" s="5" t="s">
        <v>3728</v>
      </c>
      <c r="JOQ615" s="17">
        <v>44925</v>
      </c>
      <c r="JOR615" s="5" t="s">
        <v>3728</v>
      </c>
      <c r="JOS615" s="17">
        <v>44925</v>
      </c>
      <c r="JOT615" s="5" t="s">
        <v>3728</v>
      </c>
      <c r="JOU615" s="17">
        <v>44925</v>
      </c>
      <c r="JOV615" s="5" t="s">
        <v>3728</v>
      </c>
      <c r="JOW615" s="17">
        <v>44925</v>
      </c>
      <c r="JOX615" s="5" t="s">
        <v>3728</v>
      </c>
      <c r="JOY615" s="17">
        <v>44925</v>
      </c>
      <c r="JOZ615" s="5" t="s">
        <v>3728</v>
      </c>
      <c r="JPA615" s="17">
        <v>44925</v>
      </c>
      <c r="JPB615" s="5" t="s">
        <v>3728</v>
      </c>
      <c r="JPC615" s="17">
        <v>44925</v>
      </c>
      <c r="JPD615" s="5" t="s">
        <v>3728</v>
      </c>
      <c r="JPE615" s="17">
        <v>44925</v>
      </c>
      <c r="JPF615" s="5" t="s">
        <v>3728</v>
      </c>
      <c r="JPG615" s="17">
        <v>44925</v>
      </c>
      <c r="JPH615" s="5" t="s">
        <v>3728</v>
      </c>
      <c r="JPI615" s="17">
        <v>44925</v>
      </c>
      <c r="JPJ615" s="5" t="s">
        <v>3728</v>
      </c>
      <c r="JPK615" s="17">
        <v>44925</v>
      </c>
      <c r="JPL615" s="5" t="s">
        <v>3728</v>
      </c>
      <c r="JPM615" s="17">
        <v>44925</v>
      </c>
      <c r="JPN615" s="5" t="s">
        <v>3728</v>
      </c>
      <c r="JPO615" s="17">
        <v>44925</v>
      </c>
      <c r="JPP615" s="5" t="s">
        <v>3728</v>
      </c>
      <c r="JPQ615" s="17">
        <v>44925</v>
      </c>
      <c r="JPR615" s="5" t="s">
        <v>3728</v>
      </c>
      <c r="JPS615" s="17">
        <v>44925</v>
      </c>
      <c r="JPT615" s="5" t="s">
        <v>3728</v>
      </c>
      <c r="JPU615" s="17">
        <v>44925</v>
      </c>
      <c r="JPV615" s="5" t="s">
        <v>3728</v>
      </c>
      <c r="JPW615" s="17">
        <v>44925</v>
      </c>
      <c r="JPX615" s="5" t="s">
        <v>3728</v>
      </c>
      <c r="JPY615" s="17">
        <v>44925</v>
      </c>
      <c r="JPZ615" s="5" t="s">
        <v>3728</v>
      </c>
      <c r="JQA615" s="17">
        <v>44925</v>
      </c>
      <c r="JQB615" s="5" t="s">
        <v>3728</v>
      </c>
      <c r="JQC615" s="17">
        <v>44925</v>
      </c>
      <c r="JQD615" s="5" t="s">
        <v>3728</v>
      </c>
      <c r="JQE615" s="17">
        <v>44925</v>
      </c>
      <c r="JQF615" s="5" t="s">
        <v>3728</v>
      </c>
      <c r="JQG615" s="17">
        <v>44925</v>
      </c>
      <c r="JQH615" s="5" t="s">
        <v>3728</v>
      </c>
      <c r="JQI615" s="17">
        <v>44925</v>
      </c>
      <c r="JQJ615" s="5" t="s">
        <v>3728</v>
      </c>
      <c r="JQK615" s="17">
        <v>44925</v>
      </c>
      <c r="JQL615" s="5" t="s">
        <v>3728</v>
      </c>
      <c r="JQM615" s="17">
        <v>44925</v>
      </c>
      <c r="JQN615" s="5" t="s">
        <v>3728</v>
      </c>
      <c r="JQO615" s="17">
        <v>44925</v>
      </c>
      <c r="JQP615" s="5" t="s">
        <v>3728</v>
      </c>
      <c r="JQQ615" s="17">
        <v>44925</v>
      </c>
      <c r="JQR615" s="5" t="s">
        <v>3728</v>
      </c>
      <c r="JQS615" s="17">
        <v>44925</v>
      </c>
      <c r="JQT615" s="5" t="s">
        <v>3728</v>
      </c>
      <c r="JQU615" s="17">
        <v>44925</v>
      </c>
      <c r="JQV615" s="5" t="s">
        <v>3728</v>
      </c>
      <c r="JQW615" s="17">
        <v>44925</v>
      </c>
      <c r="JQX615" s="5" t="s">
        <v>3728</v>
      </c>
      <c r="JQY615" s="17">
        <v>44925</v>
      </c>
      <c r="JQZ615" s="5" t="s">
        <v>3728</v>
      </c>
      <c r="JRA615" s="17">
        <v>44925</v>
      </c>
      <c r="JRB615" s="5" t="s">
        <v>3728</v>
      </c>
      <c r="JRC615" s="17">
        <v>44925</v>
      </c>
      <c r="JRD615" s="5" t="s">
        <v>3728</v>
      </c>
      <c r="JRE615" s="17">
        <v>44925</v>
      </c>
      <c r="JRF615" s="5" t="s">
        <v>3728</v>
      </c>
      <c r="JRG615" s="17">
        <v>44925</v>
      </c>
      <c r="JRH615" s="5" t="s">
        <v>3728</v>
      </c>
      <c r="JRI615" s="17">
        <v>44925</v>
      </c>
      <c r="JRJ615" s="5" t="s">
        <v>3728</v>
      </c>
      <c r="JRK615" s="17">
        <v>44925</v>
      </c>
      <c r="JRL615" s="5" t="s">
        <v>3728</v>
      </c>
      <c r="JRM615" s="17">
        <v>44925</v>
      </c>
      <c r="JRN615" s="5" t="s">
        <v>3728</v>
      </c>
      <c r="JRO615" s="17">
        <v>44925</v>
      </c>
      <c r="JRP615" s="5" t="s">
        <v>3728</v>
      </c>
      <c r="JRQ615" s="17">
        <v>44925</v>
      </c>
      <c r="JRR615" s="5" t="s">
        <v>3728</v>
      </c>
      <c r="JRS615" s="17">
        <v>44925</v>
      </c>
      <c r="JRT615" s="5" t="s">
        <v>3728</v>
      </c>
      <c r="JRU615" s="17">
        <v>44925</v>
      </c>
      <c r="JRV615" s="5" t="s">
        <v>3728</v>
      </c>
      <c r="JRW615" s="17">
        <v>44925</v>
      </c>
      <c r="JRX615" s="5" t="s">
        <v>3728</v>
      </c>
      <c r="JRY615" s="17">
        <v>44925</v>
      </c>
      <c r="JRZ615" s="5" t="s">
        <v>3728</v>
      </c>
      <c r="JSA615" s="17">
        <v>44925</v>
      </c>
      <c r="JSB615" s="5" t="s">
        <v>3728</v>
      </c>
      <c r="JSC615" s="17">
        <v>44925</v>
      </c>
      <c r="JSD615" s="5" t="s">
        <v>3728</v>
      </c>
      <c r="JSE615" s="17">
        <v>44925</v>
      </c>
      <c r="JSF615" s="5" t="s">
        <v>3728</v>
      </c>
      <c r="JSG615" s="17">
        <v>44925</v>
      </c>
      <c r="JSH615" s="5" t="s">
        <v>3728</v>
      </c>
      <c r="JSI615" s="17">
        <v>44925</v>
      </c>
      <c r="JSJ615" s="5" t="s">
        <v>3728</v>
      </c>
      <c r="JSK615" s="17">
        <v>44925</v>
      </c>
      <c r="JSL615" s="5" t="s">
        <v>3728</v>
      </c>
      <c r="JSM615" s="17">
        <v>44925</v>
      </c>
      <c r="JSN615" s="5" t="s">
        <v>3728</v>
      </c>
      <c r="JSO615" s="17">
        <v>44925</v>
      </c>
      <c r="JSP615" s="5" t="s">
        <v>3728</v>
      </c>
      <c r="JSQ615" s="17">
        <v>44925</v>
      </c>
      <c r="JSR615" s="5" t="s">
        <v>3728</v>
      </c>
      <c r="JSS615" s="17">
        <v>44925</v>
      </c>
      <c r="JST615" s="5" t="s">
        <v>3728</v>
      </c>
      <c r="JSU615" s="17">
        <v>44925</v>
      </c>
      <c r="JSV615" s="5" t="s">
        <v>3728</v>
      </c>
      <c r="JSW615" s="17">
        <v>44925</v>
      </c>
      <c r="JSX615" s="5" t="s">
        <v>3728</v>
      </c>
      <c r="JSY615" s="17">
        <v>44925</v>
      </c>
      <c r="JSZ615" s="5" t="s">
        <v>3728</v>
      </c>
      <c r="JTA615" s="17">
        <v>44925</v>
      </c>
      <c r="JTB615" s="5" t="s">
        <v>3728</v>
      </c>
      <c r="JTC615" s="17">
        <v>44925</v>
      </c>
      <c r="JTD615" s="5" t="s">
        <v>3728</v>
      </c>
      <c r="JTE615" s="17">
        <v>44925</v>
      </c>
      <c r="JTF615" s="5" t="s">
        <v>3728</v>
      </c>
      <c r="JTG615" s="17">
        <v>44925</v>
      </c>
      <c r="JTH615" s="5" t="s">
        <v>3728</v>
      </c>
      <c r="JTI615" s="17">
        <v>44925</v>
      </c>
      <c r="JTJ615" s="5" t="s">
        <v>3728</v>
      </c>
      <c r="JTK615" s="17">
        <v>44925</v>
      </c>
      <c r="JTL615" s="5" t="s">
        <v>3728</v>
      </c>
      <c r="JTM615" s="17">
        <v>44925</v>
      </c>
      <c r="JTN615" s="5" t="s">
        <v>3728</v>
      </c>
      <c r="JTO615" s="17">
        <v>44925</v>
      </c>
      <c r="JTP615" s="5" t="s">
        <v>3728</v>
      </c>
      <c r="JTQ615" s="17">
        <v>44925</v>
      </c>
      <c r="JTR615" s="5" t="s">
        <v>3728</v>
      </c>
      <c r="JTS615" s="17">
        <v>44925</v>
      </c>
      <c r="JTT615" s="5" t="s">
        <v>3728</v>
      </c>
      <c r="JTU615" s="17">
        <v>44925</v>
      </c>
      <c r="JTV615" s="5" t="s">
        <v>3728</v>
      </c>
      <c r="JTW615" s="17">
        <v>44925</v>
      </c>
      <c r="JTX615" s="5" t="s">
        <v>3728</v>
      </c>
      <c r="JTY615" s="17">
        <v>44925</v>
      </c>
      <c r="JTZ615" s="5" t="s">
        <v>3728</v>
      </c>
      <c r="JUA615" s="17">
        <v>44925</v>
      </c>
      <c r="JUB615" s="5" t="s">
        <v>3728</v>
      </c>
      <c r="JUC615" s="17">
        <v>44925</v>
      </c>
      <c r="JUD615" s="5" t="s">
        <v>3728</v>
      </c>
      <c r="JUE615" s="17">
        <v>44925</v>
      </c>
      <c r="JUF615" s="5" t="s">
        <v>3728</v>
      </c>
      <c r="JUG615" s="17">
        <v>44925</v>
      </c>
      <c r="JUH615" s="5" t="s">
        <v>3728</v>
      </c>
      <c r="JUI615" s="17">
        <v>44925</v>
      </c>
      <c r="JUJ615" s="5" t="s">
        <v>3728</v>
      </c>
      <c r="JUK615" s="17">
        <v>44925</v>
      </c>
      <c r="JUL615" s="5" t="s">
        <v>3728</v>
      </c>
      <c r="JUM615" s="17">
        <v>44925</v>
      </c>
      <c r="JUN615" s="5" t="s">
        <v>3728</v>
      </c>
      <c r="JUO615" s="17">
        <v>44925</v>
      </c>
      <c r="JUP615" s="5" t="s">
        <v>3728</v>
      </c>
      <c r="JUQ615" s="17">
        <v>44925</v>
      </c>
      <c r="JUR615" s="5" t="s">
        <v>3728</v>
      </c>
      <c r="JUS615" s="17">
        <v>44925</v>
      </c>
      <c r="JUT615" s="5" t="s">
        <v>3728</v>
      </c>
      <c r="JUU615" s="17">
        <v>44925</v>
      </c>
      <c r="JUV615" s="5" t="s">
        <v>3728</v>
      </c>
      <c r="JUW615" s="17">
        <v>44925</v>
      </c>
      <c r="JUX615" s="5" t="s">
        <v>3728</v>
      </c>
      <c r="JUY615" s="17">
        <v>44925</v>
      </c>
      <c r="JUZ615" s="5" t="s">
        <v>3728</v>
      </c>
      <c r="JVA615" s="17">
        <v>44925</v>
      </c>
      <c r="JVB615" s="5" t="s">
        <v>3728</v>
      </c>
      <c r="JVC615" s="17">
        <v>44925</v>
      </c>
      <c r="JVD615" s="5" t="s">
        <v>3728</v>
      </c>
      <c r="JVE615" s="17">
        <v>44925</v>
      </c>
      <c r="JVF615" s="5" t="s">
        <v>3728</v>
      </c>
      <c r="JVG615" s="17">
        <v>44925</v>
      </c>
      <c r="JVH615" s="5" t="s">
        <v>3728</v>
      </c>
      <c r="JVI615" s="17">
        <v>44925</v>
      </c>
      <c r="JVJ615" s="5" t="s">
        <v>3728</v>
      </c>
      <c r="JVK615" s="17">
        <v>44925</v>
      </c>
      <c r="JVL615" s="5" t="s">
        <v>3728</v>
      </c>
      <c r="JVM615" s="17">
        <v>44925</v>
      </c>
      <c r="JVN615" s="5" t="s">
        <v>3728</v>
      </c>
      <c r="JVO615" s="17">
        <v>44925</v>
      </c>
      <c r="JVP615" s="5" t="s">
        <v>3728</v>
      </c>
      <c r="JVQ615" s="17">
        <v>44925</v>
      </c>
      <c r="JVR615" s="5" t="s">
        <v>3728</v>
      </c>
      <c r="JVS615" s="17">
        <v>44925</v>
      </c>
      <c r="JVT615" s="5" t="s">
        <v>3728</v>
      </c>
      <c r="JVU615" s="17">
        <v>44925</v>
      </c>
      <c r="JVV615" s="5" t="s">
        <v>3728</v>
      </c>
      <c r="JVW615" s="17">
        <v>44925</v>
      </c>
      <c r="JVX615" s="5" t="s">
        <v>3728</v>
      </c>
      <c r="JVY615" s="17">
        <v>44925</v>
      </c>
      <c r="JVZ615" s="5" t="s">
        <v>3728</v>
      </c>
      <c r="JWA615" s="17">
        <v>44925</v>
      </c>
      <c r="JWB615" s="5" t="s">
        <v>3728</v>
      </c>
      <c r="JWC615" s="17">
        <v>44925</v>
      </c>
      <c r="JWD615" s="5" t="s">
        <v>3728</v>
      </c>
      <c r="JWE615" s="17">
        <v>44925</v>
      </c>
      <c r="JWF615" s="5" t="s">
        <v>3728</v>
      </c>
      <c r="JWG615" s="17">
        <v>44925</v>
      </c>
      <c r="JWH615" s="5" t="s">
        <v>3728</v>
      </c>
      <c r="JWI615" s="17">
        <v>44925</v>
      </c>
      <c r="JWJ615" s="5" t="s">
        <v>3728</v>
      </c>
      <c r="JWK615" s="17">
        <v>44925</v>
      </c>
      <c r="JWL615" s="5" t="s">
        <v>3728</v>
      </c>
      <c r="JWM615" s="17">
        <v>44925</v>
      </c>
      <c r="JWN615" s="5" t="s">
        <v>3728</v>
      </c>
      <c r="JWO615" s="17">
        <v>44925</v>
      </c>
      <c r="JWP615" s="5" t="s">
        <v>3728</v>
      </c>
      <c r="JWQ615" s="17">
        <v>44925</v>
      </c>
      <c r="JWR615" s="5" t="s">
        <v>3728</v>
      </c>
      <c r="JWS615" s="17">
        <v>44925</v>
      </c>
      <c r="JWT615" s="5" t="s">
        <v>3728</v>
      </c>
      <c r="JWU615" s="17">
        <v>44925</v>
      </c>
      <c r="JWV615" s="5" t="s">
        <v>3728</v>
      </c>
      <c r="JWW615" s="17">
        <v>44925</v>
      </c>
      <c r="JWX615" s="5" t="s">
        <v>3728</v>
      </c>
      <c r="JWY615" s="17">
        <v>44925</v>
      </c>
      <c r="JWZ615" s="5" t="s">
        <v>3728</v>
      </c>
      <c r="JXA615" s="17">
        <v>44925</v>
      </c>
      <c r="JXB615" s="5" t="s">
        <v>3728</v>
      </c>
      <c r="JXC615" s="17">
        <v>44925</v>
      </c>
      <c r="JXD615" s="5" t="s">
        <v>3728</v>
      </c>
      <c r="JXE615" s="17">
        <v>44925</v>
      </c>
      <c r="JXF615" s="5" t="s">
        <v>3728</v>
      </c>
      <c r="JXG615" s="17">
        <v>44925</v>
      </c>
      <c r="JXH615" s="5" t="s">
        <v>3728</v>
      </c>
      <c r="JXI615" s="17">
        <v>44925</v>
      </c>
      <c r="JXJ615" s="5" t="s">
        <v>3728</v>
      </c>
      <c r="JXK615" s="17">
        <v>44925</v>
      </c>
      <c r="JXL615" s="5" t="s">
        <v>3728</v>
      </c>
      <c r="JXM615" s="17">
        <v>44925</v>
      </c>
      <c r="JXN615" s="5" t="s">
        <v>3728</v>
      </c>
      <c r="JXO615" s="17">
        <v>44925</v>
      </c>
      <c r="JXP615" s="5" t="s">
        <v>3728</v>
      </c>
      <c r="JXQ615" s="17">
        <v>44925</v>
      </c>
      <c r="JXR615" s="5" t="s">
        <v>3728</v>
      </c>
      <c r="JXS615" s="17">
        <v>44925</v>
      </c>
      <c r="JXT615" s="5" t="s">
        <v>3728</v>
      </c>
      <c r="JXU615" s="17">
        <v>44925</v>
      </c>
      <c r="JXV615" s="5" t="s">
        <v>3728</v>
      </c>
      <c r="JXW615" s="17">
        <v>44925</v>
      </c>
      <c r="JXX615" s="5" t="s">
        <v>3728</v>
      </c>
      <c r="JXY615" s="17">
        <v>44925</v>
      </c>
      <c r="JXZ615" s="5" t="s">
        <v>3728</v>
      </c>
      <c r="JYA615" s="17">
        <v>44925</v>
      </c>
      <c r="JYB615" s="5" t="s">
        <v>3728</v>
      </c>
      <c r="JYC615" s="17">
        <v>44925</v>
      </c>
      <c r="JYD615" s="5" t="s">
        <v>3728</v>
      </c>
      <c r="JYE615" s="17">
        <v>44925</v>
      </c>
      <c r="JYF615" s="5" t="s">
        <v>3728</v>
      </c>
      <c r="JYG615" s="17">
        <v>44925</v>
      </c>
      <c r="JYH615" s="5" t="s">
        <v>3728</v>
      </c>
      <c r="JYI615" s="17">
        <v>44925</v>
      </c>
      <c r="JYJ615" s="5" t="s">
        <v>3728</v>
      </c>
      <c r="JYK615" s="17">
        <v>44925</v>
      </c>
      <c r="JYL615" s="5" t="s">
        <v>3728</v>
      </c>
      <c r="JYM615" s="17">
        <v>44925</v>
      </c>
      <c r="JYN615" s="5" t="s">
        <v>3728</v>
      </c>
      <c r="JYO615" s="17">
        <v>44925</v>
      </c>
      <c r="JYP615" s="5" t="s">
        <v>3728</v>
      </c>
      <c r="JYQ615" s="17">
        <v>44925</v>
      </c>
      <c r="JYR615" s="5" t="s">
        <v>3728</v>
      </c>
      <c r="JYS615" s="17">
        <v>44925</v>
      </c>
      <c r="JYT615" s="5" t="s">
        <v>3728</v>
      </c>
      <c r="JYU615" s="17">
        <v>44925</v>
      </c>
      <c r="JYV615" s="5" t="s">
        <v>3728</v>
      </c>
      <c r="JYW615" s="17">
        <v>44925</v>
      </c>
      <c r="JYX615" s="5" t="s">
        <v>3728</v>
      </c>
      <c r="JYY615" s="17">
        <v>44925</v>
      </c>
      <c r="JYZ615" s="5" t="s">
        <v>3728</v>
      </c>
      <c r="JZA615" s="17">
        <v>44925</v>
      </c>
      <c r="JZB615" s="5" t="s">
        <v>3728</v>
      </c>
      <c r="JZC615" s="17">
        <v>44925</v>
      </c>
      <c r="JZD615" s="5" t="s">
        <v>3728</v>
      </c>
      <c r="JZE615" s="17">
        <v>44925</v>
      </c>
      <c r="JZF615" s="5" t="s">
        <v>3728</v>
      </c>
      <c r="JZG615" s="17">
        <v>44925</v>
      </c>
      <c r="JZH615" s="5" t="s">
        <v>3728</v>
      </c>
      <c r="JZI615" s="17">
        <v>44925</v>
      </c>
      <c r="JZJ615" s="5" t="s">
        <v>3728</v>
      </c>
      <c r="JZK615" s="17">
        <v>44925</v>
      </c>
      <c r="JZL615" s="5" t="s">
        <v>3728</v>
      </c>
      <c r="JZM615" s="17">
        <v>44925</v>
      </c>
      <c r="JZN615" s="5" t="s">
        <v>3728</v>
      </c>
      <c r="JZO615" s="17">
        <v>44925</v>
      </c>
      <c r="JZP615" s="5" t="s">
        <v>3728</v>
      </c>
      <c r="JZQ615" s="17">
        <v>44925</v>
      </c>
      <c r="JZR615" s="5" t="s">
        <v>3728</v>
      </c>
      <c r="JZS615" s="17">
        <v>44925</v>
      </c>
      <c r="JZT615" s="5" t="s">
        <v>3728</v>
      </c>
      <c r="JZU615" s="17">
        <v>44925</v>
      </c>
      <c r="JZV615" s="5" t="s">
        <v>3728</v>
      </c>
      <c r="JZW615" s="17">
        <v>44925</v>
      </c>
      <c r="JZX615" s="5" t="s">
        <v>3728</v>
      </c>
      <c r="JZY615" s="17">
        <v>44925</v>
      </c>
      <c r="JZZ615" s="5" t="s">
        <v>3728</v>
      </c>
      <c r="KAA615" s="17">
        <v>44925</v>
      </c>
      <c r="KAB615" s="5" t="s">
        <v>3728</v>
      </c>
      <c r="KAC615" s="17">
        <v>44925</v>
      </c>
      <c r="KAD615" s="5" t="s">
        <v>3728</v>
      </c>
      <c r="KAE615" s="17">
        <v>44925</v>
      </c>
      <c r="KAF615" s="5" t="s">
        <v>3728</v>
      </c>
      <c r="KAG615" s="17">
        <v>44925</v>
      </c>
      <c r="KAH615" s="5" t="s">
        <v>3728</v>
      </c>
      <c r="KAI615" s="17">
        <v>44925</v>
      </c>
      <c r="KAJ615" s="5" t="s">
        <v>3728</v>
      </c>
      <c r="KAK615" s="17">
        <v>44925</v>
      </c>
      <c r="KAL615" s="5" t="s">
        <v>3728</v>
      </c>
      <c r="KAM615" s="17">
        <v>44925</v>
      </c>
      <c r="KAN615" s="5" t="s">
        <v>3728</v>
      </c>
      <c r="KAO615" s="17">
        <v>44925</v>
      </c>
      <c r="KAP615" s="5" t="s">
        <v>3728</v>
      </c>
      <c r="KAQ615" s="17">
        <v>44925</v>
      </c>
      <c r="KAR615" s="5" t="s">
        <v>3728</v>
      </c>
      <c r="KAS615" s="17">
        <v>44925</v>
      </c>
      <c r="KAT615" s="5" t="s">
        <v>3728</v>
      </c>
      <c r="KAU615" s="17">
        <v>44925</v>
      </c>
      <c r="KAV615" s="5" t="s">
        <v>3728</v>
      </c>
      <c r="KAW615" s="17">
        <v>44925</v>
      </c>
      <c r="KAX615" s="5" t="s">
        <v>3728</v>
      </c>
      <c r="KAY615" s="17">
        <v>44925</v>
      </c>
      <c r="KAZ615" s="5" t="s">
        <v>3728</v>
      </c>
      <c r="KBA615" s="17">
        <v>44925</v>
      </c>
      <c r="KBB615" s="5" t="s">
        <v>3728</v>
      </c>
      <c r="KBC615" s="17">
        <v>44925</v>
      </c>
      <c r="KBD615" s="5" t="s">
        <v>3728</v>
      </c>
      <c r="KBE615" s="17">
        <v>44925</v>
      </c>
      <c r="KBF615" s="5" t="s">
        <v>3728</v>
      </c>
      <c r="KBG615" s="17">
        <v>44925</v>
      </c>
      <c r="KBH615" s="5" t="s">
        <v>3728</v>
      </c>
      <c r="KBI615" s="17">
        <v>44925</v>
      </c>
      <c r="KBJ615" s="5" t="s">
        <v>3728</v>
      </c>
      <c r="KBK615" s="17">
        <v>44925</v>
      </c>
      <c r="KBL615" s="5" t="s">
        <v>3728</v>
      </c>
      <c r="KBM615" s="17">
        <v>44925</v>
      </c>
      <c r="KBN615" s="5" t="s">
        <v>3728</v>
      </c>
      <c r="KBO615" s="17">
        <v>44925</v>
      </c>
      <c r="KBP615" s="5" t="s">
        <v>3728</v>
      </c>
      <c r="KBQ615" s="17">
        <v>44925</v>
      </c>
      <c r="KBR615" s="5" t="s">
        <v>3728</v>
      </c>
      <c r="KBS615" s="17">
        <v>44925</v>
      </c>
      <c r="KBT615" s="5" t="s">
        <v>3728</v>
      </c>
      <c r="KBU615" s="17">
        <v>44925</v>
      </c>
      <c r="KBV615" s="5" t="s">
        <v>3728</v>
      </c>
      <c r="KBW615" s="17">
        <v>44925</v>
      </c>
      <c r="KBX615" s="5" t="s">
        <v>3728</v>
      </c>
      <c r="KBY615" s="17">
        <v>44925</v>
      </c>
      <c r="KBZ615" s="5" t="s">
        <v>3728</v>
      </c>
      <c r="KCA615" s="17">
        <v>44925</v>
      </c>
      <c r="KCB615" s="5" t="s">
        <v>3728</v>
      </c>
      <c r="KCC615" s="17">
        <v>44925</v>
      </c>
      <c r="KCD615" s="5" t="s">
        <v>3728</v>
      </c>
      <c r="KCE615" s="17">
        <v>44925</v>
      </c>
      <c r="KCF615" s="5" t="s">
        <v>3728</v>
      </c>
      <c r="KCG615" s="17">
        <v>44925</v>
      </c>
      <c r="KCH615" s="5" t="s">
        <v>3728</v>
      </c>
      <c r="KCI615" s="17">
        <v>44925</v>
      </c>
      <c r="KCJ615" s="5" t="s">
        <v>3728</v>
      </c>
      <c r="KCK615" s="17">
        <v>44925</v>
      </c>
      <c r="KCL615" s="5" t="s">
        <v>3728</v>
      </c>
      <c r="KCM615" s="17">
        <v>44925</v>
      </c>
      <c r="KCN615" s="5" t="s">
        <v>3728</v>
      </c>
      <c r="KCO615" s="17">
        <v>44925</v>
      </c>
      <c r="KCP615" s="5" t="s">
        <v>3728</v>
      </c>
      <c r="KCQ615" s="17">
        <v>44925</v>
      </c>
      <c r="KCR615" s="5" t="s">
        <v>3728</v>
      </c>
      <c r="KCS615" s="17">
        <v>44925</v>
      </c>
      <c r="KCT615" s="5" t="s">
        <v>3728</v>
      </c>
      <c r="KCU615" s="17">
        <v>44925</v>
      </c>
      <c r="KCV615" s="5" t="s">
        <v>3728</v>
      </c>
      <c r="KCW615" s="17">
        <v>44925</v>
      </c>
      <c r="KCX615" s="5" t="s">
        <v>3728</v>
      </c>
      <c r="KCY615" s="17">
        <v>44925</v>
      </c>
      <c r="KCZ615" s="5" t="s">
        <v>3728</v>
      </c>
      <c r="KDA615" s="17">
        <v>44925</v>
      </c>
      <c r="KDB615" s="5" t="s">
        <v>3728</v>
      </c>
      <c r="KDC615" s="17">
        <v>44925</v>
      </c>
      <c r="KDD615" s="5" t="s">
        <v>3728</v>
      </c>
      <c r="KDE615" s="17">
        <v>44925</v>
      </c>
      <c r="KDF615" s="5" t="s">
        <v>3728</v>
      </c>
      <c r="KDG615" s="17">
        <v>44925</v>
      </c>
      <c r="KDH615" s="5" t="s">
        <v>3728</v>
      </c>
      <c r="KDI615" s="17">
        <v>44925</v>
      </c>
      <c r="KDJ615" s="5" t="s">
        <v>3728</v>
      </c>
      <c r="KDK615" s="17">
        <v>44925</v>
      </c>
      <c r="KDL615" s="5" t="s">
        <v>3728</v>
      </c>
      <c r="KDM615" s="17">
        <v>44925</v>
      </c>
      <c r="KDN615" s="5" t="s">
        <v>3728</v>
      </c>
      <c r="KDO615" s="17">
        <v>44925</v>
      </c>
      <c r="KDP615" s="5" t="s">
        <v>3728</v>
      </c>
      <c r="KDQ615" s="17">
        <v>44925</v>
      </c>
      <c r="KDR615" s="5" t="s">
        <v>3728</v>
      </c>
      <c r="KDS615" s="17">
        <v>44925</v>
      </c>
      <c r="KDT615" s="5" t="s">
        <v>3728</v>
      </c>
      <c r="KDU615" s="17">
        <v>44925</v>
      </c>
      <c r="KDV615" s="5" t="s">
        <v>3728</v>
      </c>
      <c r="KDW615" s="17">
        <v>44925</v>
      </c>
      <c r="KDX615" s="5" t="s">
        <v>3728</v>
      </c>
      <c r="KDY615" s="17">
        <v>44925</v>
      </c>
      <c r="KDZ615" s="5" t="s">
        <v>3728</v>
      </c>
      <c r="KEA615" s="17">
        <v>44925</v>
      </c>
      <c r="KEB615" s="5" t="s">
        <v>3728</v>
      </c>
      <c r="KEC615" s="17">
        <v>44925</v>
      </c>
      <c r="KED615" s="5" t="s">
        <v>3728</v>
      </c>
      <c r="KEE615" s="17">
        <v>44925</v>
      </c>
      <c r="KEF615" s="5" t="s">
        <v>3728</v>
      </c>
      <c r="KEG615" s="17">
        <v>44925</v>
      </c>
      <c r="KEH615" s="5" t="s">
        <v>3728</v>
      </c>
      <c r="KEI615" s="17">
        <v>44925</v>
      </c>
      <c r="KEJ615" s="5" t="s">
        <v>3728</v>
      </c>
      <c r="KEK615" s="17">
        <v>44925</v>
      </c>
      <c r="KEL615" s="5" t="s">
        <v>3728</v>
      </c>
      <c r="KEM615" s="17">
        <v>44925</v>
      </c>
      <c r="KEN615" s="5" t="s">
        <v>3728</v>
      </c>
      <c r="KEO615" s="17">
        <v>44925</v>
      </c>
      <c r="KEP615" s="5" t="s">
        <v>3728</v>
      </c>
      <c r="KEQ615" s="17">
        <v>44925</v>
      </c>
      <c r="KER615" s="5" t="s">
        <v>3728</v>
      </c>
      <c r="KES615" s="17">
        <v>44925</v>
      </c>
      <c r="KET615" s="5" t="s">
        <v>3728</v>
      </c>
      <c r="KEU615" s="17">
        <v>44925</v>
      </c>
      <c r="KEV615" s="5" t="s">
        <v>3728</v>
      </c>
      <c r="KEW615" s="17">
        <v>44925</v>
      </c>
      <c r="KEX615" s="5" t="s">
        <v>3728</v>
      </c>
      <c r="KEY615" s="17">
        <v>44925</v>
      </c>
      <c r="KEZ615" s="5" t="s">
        <v>3728</v>
      </c>
      <c r="KFA615" s="17">
        <v>44925</v>
      </c>
      <c r="KFB615" s="5" t="s">
        <v>3728</v>
      </c>
      <c r="KFC615" s="17">
        <v>44925</v>
      </c>
      <c r="KFD615" s="5" t="s">
        <v>3728</v>
      </c>
      <c r="KFE615" s="17">
        <v>44925</v>
      </c>
      <c r="KFF615" s="5" t="s">
        <v>3728</v>
      </c>
      <c r="KFG615" s="17">
        <v>44925</v>
      </c>
      <c r="KFH615" s="5" t="s">
        <v>3728</v>
      </c>
      <c r="KFI615" s="17">
        <v>44925</v>
      </c>
      <c r="KFJ615" s="5" t="s">
        <v>3728</v>
      </c>
      <c r="KFK615" s="17">
        <v>44925</v>
      </c>
      <c r="KFL615" s="5" t="s">
        <v>3728</v>
      </c>
      <c r="KFM615" s="17">
        <v>44925</v>
      </c>
      <c r="KFN615" s="5" t="s">
        <v>3728</v>
      </c>
      <c r="KFO615" s="17">
        <v>44925</v>
      </c>
      <c r="KFP615" s="5" t="s">
        <v>3728</v>
      </c>
      <c r="KFQ615" s="17">
        <v>44925</v>
      </c>
      <c r="KFR615" s="5" t="s">
        <v>3728</v>
      </c>
      <c r="KFS615" s="17">
        <v>44925</v>
      </c>
      <c r="KFT615" s="5" t="s">
        <v>3728</v>
      </c>
      <c r="KFU615" s="17">
        <v>44925</v>
      </c>
      <c r="KFV615" s="5" t="s">
        <v>3728</v>
      </c>
      <c r="KFW615" s="17">
        <v>44925</v>
      </c>
      <c r="KFX615" s="5" t="s">
        <v>3728</v>
      </c>
      <c r="KFY615" s="17">
        <v>44925</v>
      </c>
      <c r="KFZ615" s="5" t="s">
        <v>3728</v>
      </c>
      <c r="KGA615" s="17">
        <v>44925</v>
      </c>
      <c r="KGB615" s="5" t="s">
        <v>3728</v>
      </c>
      <c r="KGC615" s="17">
        <v>44925</v>
      </c>
      <c r="KGD615" s="5" t="s">
        <v>3728</v>
      </c>
      <c r="KGE615" s="17">
        <v>44925</v>
      </c>
      <c r="KGF615" s="5" t="s">
        <v>3728</v>
      </c>
      <c r="KGG615" s="17">
        <v>44925</v>
      </c>
      <c r="KGH615" s="5" t="s">
        <v>3728</v>
      </c>
      <c r="KGI615" s="17">
        <v>44925</v>
      </c>
      <c r="KGJ615" s="5" t="s">
        <v>3728</v>
      </c>
      <c r="KGK615" s="17">
        <v>44925</v>
      </c>
      <c r="KGL615" s="5" t="s">
        <v>3728</v>
      </c>
      <c r="KGM615" s="17">
        <v>44925</v>
      </c>
      <c r="KGN615" s="5" t="s">
        <v>3728</v>
      </c>
      <c r="KGO615" s="17">
        <v>44925</v>
      </c>
      <c r="KGP615" s="5" t="s">
        <v>3728</v>
      </c>
      <c r="KGQ615" s="17">
        <v>44925</v>
      </c>
      <c r="KGR615" s="5" t="s">
        <v>3728</v>
      </c>
      <c r="KGS615" s="17">
        <v>44925</v>
      </c>
      <c r="KGT615" s="5" t="s">
        <v>3728</v>
      </c>
      <c r="KGU615" s="17">
        <v>44925</v>
      </c>
      <c r="KGV615" s="5" t="s">
        <v>3728</v>
      </c>
      <c r="KGW615" s="17">
        <v>44925</v>
      </c>
      <c r="KGX615" s="5" t="s">
        <v>3728</v>
      </c>
      <c r="KGY615" s="17">
        <v>44925</v>
      </c>
      <c r="KGZ615" s="5" t="s">
        <v>3728</v>
      </c>
      <c r="KHA615" s="17">
        <v>44925</v>
      </c>
      <c r="KHB615" s="5" t="s">
        <v>3728</v>
      </c>
      <c r="KHC615" s="17">
        <v>44925</v>
      </c>
      <c r="KHD615" s="5" t="s">
        <v>3728</v>
      </c>
      <c r="KHE615" s="17">
        <v>44925</v>
      </c>
      <c r="KHF615" s="5" t="s">
        <v>3728</v>
      </c>
      <c r="KHG615" s="17">
        <v>44925</v>
      </c>
      <c r="KHH615" s="5" t="s">
        <v>3728</v>
      </c>
      <c r="KHI615" s="17">
        <v>44925</v>
      </c>
      <c r="KHJ615" s="5" t="s">
        <v>3728</v>
      </c>
      <c r="KHK615" s="17">
        <v>44925</v>
      </c>
      <c r="KHL615" s="5" t="s">
        <v>3728</v>
      </c>
      <c r="KHM615" s="17">
        <v>44925</v>
      </c>
      <c r="KHN615" s="5" t="s">
        <v>3728</v>
      </c>
      <c r="KHO615" s="17">
        <v>44925</v>
      </c>
      <c r="KHP615" s="5" t="s">
        <v>3728</v>
      </c>
      <c r="KHQ615" s="17">
        <v>44925</v>
      </c>
      <c r="KHR615" s="5" t="s">
        <v>3728</v>
      </c>
      <c r="KHS615" s="17">
        <v>44925</v>
      </c>
      <c r="KHT615" s="5" t="s">
        <v>3728</v>
      </c>
      <c r="KHU615" s="17">
        <v>44925</v>
      </c>
      <c r="KHV615" s="5" t="s">
        <v>3728</v>
      </c>
      <c r="KHW615" s="17">
        <v>44925</v>
      </c>
      <c r="KHX615" s="5" t="s">
        <v>3728</v>
      </c>
      <c r="KHY615" s="17">
        <v>44925</v>
      </c>
      <c r="KHZ615" s="5" t="s">
        <v>3728</v>
      </c>
      <c r="KIA615" s="17">
        <v>44925</v>
      </c>
      <c r="KIB615" s="5" t="s">
        <v>3728</v>
      </c>
      <c r="KIC615" s="17">
        <v>44925</v>
      </c>
      <c r="KID615" s="5" t="s">
        <v>3728</v>
      </c>
      <c r="KIE615" s="17">
        <v>44925</v>
      </c>
      <c r="KIF615" s="5" t="s">
        <v>3728</v>
      </c>
      <c r="KIG615" s="17">
        <v>44925</v>
      </c>
      <c r="KIH615" s="5" t="s">
        <v>3728</v>
      </c>
      <c r="KII615" s="17">
        <v>44925</v>
      </c>
      <c r="KIJ615" s="5" t="s">
        <v>3728</v>
      </c>
      <c r="KIK615" s="17">
        <v>44925</v>
      </c>
      <c r="KIL615" s="5" t="s">
        <v>3728</v>
      </c>
      <c r="KIM615" s="17">
        <v>44925</v>
      </c>
      <c r="KIN615" s="5" t="s">
        <v>3728</v>
      </c>
      <c r="KIO615" s="17">
        <v>44925</v>
      </c>
      <c r="KIP615" s="5" t="s">
        <v>3728</v>
      </c>
      <c r="KIQ615" s="17">
        <v>44925</v>
      </c>
      <c r="KIR615" s="5" t="s">
        <v>3728</v>
      </c>
      <c r="KIS615" s="17">
        <v>44925</v>
      </c>
      <c r="KIT615" s="5" t="s">
        <v>3728</v>
      </c>
      <c r="KIU615" s="17">
        <v>44925</v>
      </c>
      <c r="KIV615" s="5" t="s">
        <v>3728</v>
      </c>
      <c r="KIW615" s="17">
        <v>44925</v>
      </c>
      <c r="KIX615" s="5" t="s">
        <v>3728</v>
      </c>
      <c r="KIY615" s="17">
        <v>44925</v>
      </c>
      <c r="KIZ615" s="5" t="s">
        <v>3728</v>
      </c>
      <c r="KJA615" s="17">
        <v>44925</v>
      </c>
      <c r="KJB615" s="5" t="s">
        <v>3728</v>
      </c>
      <c r="KJC615" s="17">
        <v>44925</v>
      </c>
      <c r="KJD615" s="5" t="s">
        <v>3728</v>
      </c>
      <c r="KJE615" s="17">
        <v>44925</v>
      </c>
      <c r="KJF615" s="5" t="s">
        <v>3728</v>
      </c>
      <c r="KJG615" s="17">
        <v>44925</v>
      </c>
      <c r="KJH615" s="5" t="s">
        <v>3728</v>
      </c>
      <c r="KJI615" s="17">
        <v>44925</v>
      </c>
      <c r="KJJ615" s="5" t="s">
        <v>3728</v>
      </c>
      <c r="KJK615" s="17">
        <v>44925</v>
      </c>
      <c r="KJL615" s="5" t="s">
        <v>3728</v>
      </c>
      <c r="KJM615" s="17">
        <v>44925</v>
      </c>
      <c r="KJN615" s="5" t="s">
        <v>3728</v>
      </c>
      <c r="KJO615" s="17">
        <v>44925</v>
      </c>
      <c r="KJP615" s="5" t="s">
        <v>3728</v>
      </c>
      <c r="KJQ615" s="17">
        <v>44925</v>
      </c>
      <c r="KJR615" s="5" t="s">
        <v>3728</v>
      </c>
      <c r="KJS615" s="17">
        <v>44925</v>
      </c>
      <c r="KJT615" s="5" t="s">
        <v>3728</v>
      </c>
      <c r="KJU615" s="17">
        <v>44925</v>
      </c>
      <c r="KJV615" s="5" t="s">
        <v>3728</v>
      </c>
      <c r="KJW615" s="17">
        <v>44925</v>
      </c>
      <c r="KJX615" s="5" t="s">
        <v>3728</v>
      </c>
      <c r="KJY615" s="17">
        <v>44925</v>
      </c>
      <c r="KJZ615" s="5" t="s">
        <v>3728</v>
      </c>
      <c r="KKA615" s="17">
        <v>44925</v>
      </c>
      <c r="KKB615" s="5" t="s">
        <v>3728</v>
      </c>
      <c r="KKC615" s="17">
        <v>44925</v>
      </c>
      <c r="KKD615" s="5" t="s">
        <v>3728</v>
      </c>
      <c r="KKE615" s="17">
        <v>44925</v>
      </c>
      <c r="KKF615" s="5" t="s">
        <v>3728</v>
      </c>
      <c r="KKG615" s="17">
        <v>44925</v>
      </c>
      <c r="KKH615" s="5" t="s">
        <v>3728</v>
      </c>
      <c r="KKI615" s="17">
        <v>44925</v>
      </c>
      <c r="KKJ615" s="5" t="s">
        <v>3728</v>
      </c>
      <c r="KKK615" s="17">
        <v>44925</v>
      </c>
      <c r="KKL615" s="5" t="s">
        <v>3728</v>
      </c>
      <c r="KKM615" s="17">
        <v>44925</v>
      </c>
      <c r="KKN615" s="5" t="s">
        <v>3728</v>
      </c>
      <c r="KKO615" s="17">
        <v>44925</v>
      </c>
      <c r="KKP615" s="5" t="s">
        <v>3728</v>
      </c>
      <c r="KKQ615" s="17">
        <v>44925</v>
      </c>
      <c r="KKR615" s="5" t="s">
        <v>3728</v>
      </c>
      <c r="KKS615" s="17">
        <v>44925</v>
      </c>
      <c r="KKT615" s="5" t="s">
        <v>3728</v>
      </c>
      <c r="KKU615" s="17">
        <v>44925</v>
      </c>
      <c r="KKV615" s="5" t="s">
        <v>3728</v>
      </c>
      <c r="KKW615" s="17">
        <v>44925</v>
      </c>
      <c r="KKX615" s="5" t="s">
        <v>3728</v>
      </c>
      <c r="KKY615" s="17">
        <v>44925</v>
      </c>
      <c r="KKZ615" s="5" t="s">
        <v>3728</v>
      </c>
      <c r="KLA615" s="17">
        <v>44925</v>
      </c>
      <c r="KLB615" s="5" t="s">
        <v>3728</v>
      </c>
      <c r="KLC615" s="17">
        <v>44925</v>
      </c>
      <c r="KLD615" s="5" t="s">
        <v>3728</v>
      </c>
      <c r="KLE615" s="17">
        <v>44925</v>
      </c>
      <c r="KLF615" s="5" t="s">
        <v>3728</v>
      </c>
      <c r="KLG615" s="17">
        <v>44925</v>
      </c>
      <c r="KLH615" s="5" t="s">
        <v>3728</v>
      </c>
      <c r="KLI615" s="17">
        <v>44925</v>
      </c>
      <c r="KLJ615" s="5" t="s">
        <v>3728</v>
      </c>
      <c r="KLK615" s="17">
        <v>44925</v>
      </c>
      <c r="KLL615" s="5" t="s">
        <v>3728</v>
      </c>
      <c r="KLM615" s="17">
        <v>44925</v>
      </c>
      <c r="KLN615" s="5" t="s">
        <v>3728</v>
      </c>
      <c r="KLO615" s="17">
        <v>44925</v>
      </c>
      <c r="KLP615" s="5" t="s">
        <v>3728</v>
      </c>
      <c r="KLQ615" s="17">
        <v>44925</v>
      </c>
      <c r="KLR615" s="5" t="s">
        <v>3728</v>
      </c>
      <c r="KLS615" s="17">
        <v>44925</v>
      </c>
      <c r="KLT615" s="5" t="s">
        <v>3728</v>
      </c>
      <c r="KLU615" s="17">
        <v>44925</v>
      </c>
      <c r="KLV615" s="5" t="s">
        <v>3728</v>
      </c>
      <c r="KLW615" s="17">
        <v>44925</v>
      </c>
      <c r="KLX615" s="5" t="s">
        <v>3728</v>
      </c>
      <c r="KLY615" s="17">
        <v>44925</v>
      </c>
      <c r="KLZ615" s="5" t="s">
        <v>3728</v>
      </c>
      <c r="KMA615" s="17">
        <v>44925</v>
      </c>
      <c r="KMB615" s="5" t="s">
        <v>3728</v>
      </c>
      <c r="KMC615" s="17">
        <v>44925</v>
      </c>
      <c r="KMD615" s="5" t="s">
        <v>3728</v>
      </c>
      <c r="KME615" s="17">
        <v>44925</v>
      </c>
      <c r="KMF615" s="5" t="s">
        <v>3728</v>
      </c>
      <c r="KMG615" s="17">
        <v>44925</v>
      </c>
      <c r="KMH615" s="5" t="s">
        <v>3728</v>
      </c>
      <c r="KMI615" s="17">
        <v>44925</v>
      </c>
      <c r="KMJ615" s="5" t="s">
        <v>3728</v>
      </c>
      <c r="KMK615" s="17">
        <v>44925</v>
      </c>
      <c r="KML615" s="5" t="s">
        <v>3728</v>
      </c>
      <c r="KMM615" s="17">
        <v>44925</v>
      </c>
      <c r="KMN615" s="5" t="s">
        <v>3728</v>
      </c>
      <c r="KMO615" s="17">
        <v>44925</v>
      </c>
      <c r="KMP615" s="5" t="s">
        <v>3728</v>
      </c>
      <c r="KMQ615" s="17">
        <v>44925</v>
      </c>
      <c r="KMR615" s="5" t="s">
        <v>3728</v>
      </c>
      <c r="KMS615" s="17">
        <v>44925</v>
      </c>
      <c r="KMT615" s="5" t="s">
        <v>3728</v>
      </c>
      <c r="KMU615" s="17">
        <v>44925</v>
      </c>
      <c r="KMV615" s="5" t="s">
        <v>3728</v>
      </c>
      <c r="KMW615" s="17">
        <v>44925</v>
      </c>
      <c r="KMX615" s="5" t="s">
        <v>3728</v>
      </c>
      <c r="KMY615" s="17">
        <v>44925</v>
      </c>
      <c r="KMZ615" s="5" t="s">
        <v>3728</v>
      </c>
      <c r="KNA615" s="17">
        <v>44925</v>
      </c>
      <c r="KNB615" s="5" t="s">
        <v>3728</v>
      </c>
      <c r="KNC615" s="17">
        <v>44925</v>
      </c>
      <c r="KND615" s="5" t="s">
        <v>3728</v>
      </c>
      <c r="KNE615" s="17">
        <v>44925</v>
      </c>
      <c r="KNF615" s="5" t="s">
        <v>3728</v>
      </c>
      <c r="KNG615" s="17">
        <v>44925</v>
      </c>
      <c r="KNH615" s="5" t="s">
        <v>3728</v>
      </c>
      <c r="KNI615" s="17">
        <v>44925</v>
      </c>
      <c r="KNJ615" s="5" t="s">
        <v>3728</v>
      </c>
      <c r="KNK615" s="17">
        <v>44925</v>
      </c>
      <c r="KNL615" s="5" t="s">
        <v>3728</v>
      </c>
      <c r="KNM615" s="17">
        <v>44925</v>
      </c>
      <c r="KNN615" s="5" t="s">
        <v>3728</v>
      </c>
      <c r="KNO615" s="17">
        <v>44925</v>
      </c>
      <c r="KNP615" s="5" t="s">
        <v>3728</v>
      </c>
      <c r="KNQ615" s="17">
        <v>44925</v>
      </c>
      <c r="KNR615" s="5" t="s">
        <v>3728</v>
      </c>
      <c r="KNS615" s="17">
        <v>44925</v>
      </c>
      <c r="KNT615" s="5" t="s">
        <v>3728</v>
      </c>
      <c r="KNU615" s="17">
        <v>44925</v>
      </c>
      <c r="KNV615" s="5" t="s">
        <v>3728</v>
      </c>
      <c r="KNW615" s="17">
        <v>44925</v>
      </c>
      <c r="KNX615" s="5" t="s">
        <v>3728</v>
      </c>
      <c r="KNY615" s="17">
        <v>44925</v>
      </c>
      <c r="KNZ615" s="5" t="s">
        <v>3728</v>
      </c>
      <c r="KOA615" s="17">
        <v>44925</v>
      </c>
      <c r="KOB615" s="5" t="s">
        <v>3728</v>
      </c>
      <c r="KOC615" s="17">
        <v>44925</v>
      </c>
      <c r="KOD615" s="5" t="s">
        <v>3728</v>
      </c>
      <c r="KOE615" s="17">
        <v>44925</v>
      </c>
      <c r="KOF615" s="5" t="s">
        <v>3728</v>
      </c>
      <c r="KOG615" s="17">
        <v>44925</v>
      </c>
      <c r="KOH615" s="5" t="s">
        <v>3728</v>
      </c>
      <c r="KOI615" s="17">
        <v>44925</v>
      </c>
      <c r="KOJ615" s="5" t="s">
        <v>3728</v>
      </c>
      <c r="KOK615" s="17">
        <v>44925</v>
      </c>
      <c r="KOL615" s="5" t="s">
        <v>3728</v>
      </c>
      <c r="KOM615" s="17">
        <v>44925</v>
      </c>
      <c r="KON615" s="5" t="s">
        <v>3728</v>
      </c>
      <c r="KOO615" s="17">
        <v>44925</v>
      </c>
      <c r="KOP615" s="5" t="s">
        <v>3728</v>
      </c>
      <c r="KOQ615" s="17">
        <v>44925</v>
      </c>
      <c r="KOR615" s="5" t="s">
        <v>3728</v>
      </c>
      <c r="KOS615" s="17">
        <v>44925</v>
      </c>
      <c r="KOT615" s="5" t="s">
        <v>3728</v>
      </c>
      <c r="KOU615" s="17">
        <v>44925</v>
      </c>
      <c r="KOV615" s="5" t="s">
        <v>3728</v>
      </c>
      <c r="KOW615" s="17">
        <v>44925</v>
      </c>
      <c r="KOX615" s="5" t="s">
        <v>3728</v>
      </c>
      <c r="KOY615" s="17">
        <v>44925</v>
      </c>
      <c r="KOZ615" s="5" t="s">
        <v>3728</v>
      </c>
      <c r="KPA615" s="17">
        <v>44925</v>
      </c>
      <c r="KPB615" s="5" t="s">
        <v>3728</v>
      </c>
      <c r="KPC615" s="17">
        <v>44925</v>
      </c>
      <c r="KPD615" s="5" t="s">
        <v>3728</v>
      </c>
      <c r="KPE615" s="17">
        <v>44925</v>
      </c>
      <c r="KPF615" s="5" t="s">
        <v>3728</v>
      </c>
      <c r="KPG615" s="17">
        <v>44925</v>
      </c>
      <c r="KPH615" s="5" t="s">
        <v>3728</v>
      </c>
      <c r="KPI615" s="17">
        <v>44925</v>
      </c>
      <c r="KPJ615" s="5" t="s">
        <v>3728</v>
      </c>
      <c r="KPK615" s="17">
        <v>44925</v>
      </c>
      <c r="KPL615" s="5" t="s">
        <v>3728</v>
      </c>
      <c r="KPM615" s="17">
        <v>44925</v>
      </c>
      <c r="KPN615" s="5" t="s">
        <v>3728</v>
      </c>
      <c r="KPO615" s="17">
        <v>44925</v>
      </c>
      <c r="KPP615" s="5" t="s">
        <v>3728</v>
      </c>
      <c r="KPQ615" s="17">
        <v>44925</v>
      </c>
      <c r="KPR615" s="5" t="s">
        <v>3728</v>
      </c>
      <c r="KPS615" s="17">
        <v>44925</v>
      </c>
      <c r="KPT615" s="5" t="s">
        <v>3728</v>
      </c>
      <c r="KPU615" s="17">
        <v>44925</v>
      </c>
      <c r="KPV615" s="5" t="s">
        <v>3728</v>
      </c>
      <c r="KPW615" s="17">
        <v>44925</v>
      </c>
      <c r="KPX615" s="5" t="s">
        <v>3728</v>
      </c>
      <c r="KPY615" s="17">
        <v>44925</v>
      </c>
      <c r="KPZ615" s="5" t="s">
        <v>3728</v>
      </c>
      <c r="KQA615" s="17">
        <v>44925</v>
      </c>
      <c r="KQB615" s="5" t="s">
        <v>3728</v>
      </c>
      <c r="KQC615" s="17">
        <v>44925</v>
      </c>
      <c r="KQD615" s="5" t="s">
        <v>3728</v>
      </c>
      <c r="KQE615" s="17">
        <v>44925</v>
      </c>
      <c r="KQF615" s="5" t="s">
        <v>3728</v>
      </c>
      <c r="KQG615" s="17">
        <v>44925</v>
      </c>
      <c r="KQH615" s="5" t="s">
        <v>3728</v>
      </c>
      <c r="KQI615" s="17">
        <v>44925</v>
      </c>
      <c r="KQJ615" s="5" t="s">
        <v>3728</v>
      </c>
      <c r="KQK615" s="17">
        <v>44925</v>
      </c>
      <c r="KQL615" s="5" t="s">
        <v>3728</v>
      </c>
      <c r="KQM615" s="17">
        <v>44925</v>
      </c>
      <c r="KQN615" s="5" t="s">
        <v>3728</v>
      </c>
      <c r="KQO615" s="17">
        <v>44925</v>
      </c>
      <c r="KQP615" s="5" t="s">
        <v>3728</v>
      </c>
      <c r="KQQ615" s="17">
        <v>44925</v>
      </c>
      <c r="KQR615" s="5" t="s">
        <v>3728</v>
      </c>
      <c r="KQS615" s="17">
        <v>44925</v>
      </c>
      <c r="KQT615" s="5" t="s">
        <v>3728</v>
      </c>
      <c r="KQU615" s="17">
        <v>44925</v>
      </c>
      <c r="KQV615" s="5" t="s">
        <v>3728</v>
      </c>
      <c r="KQW615" s="17">
        <v>44925</v>
      </c>
      <c r="KQX615" s="5" t="s">
        <v>3728</v>
      </c>
      <c r="KQY615" s="17">
        <v>44925</v>
      </c>
      <c r="KQZ615" s="5" t="s">
        <v>3728</v>
      </c>
      <c r="KRA615" s="17">
        <v>44925</v>
      </c>
      <c r="KRB615" s="5" t="s">
        <v>3728</v>
      </c>
      <c r="KRC615" s="17">
        <v>44925</v>
      </c>
      <c r="KRD615" s="5" t="s">
        <v>3728</v>
      </c>
      <c r="KRE615" s="17">
        <v>44925</v>
      </c>
      <c r="KRF615" s="5" t="s">
        <v>3728</v>
      </c>
      <c r="KRG615" s="17">
        <v>44925</v>
      </c>
      <c r="KRH615" s="5" t="s">
        <v>3728</v>
      </c>
      <c r="KRI615" s="17">
        <v>44925</v>
      </c>
      <c r="KRJ615" s="5" t="s">
        <v>3728</v>
      </c>
      <c r="KRK615" s="17">
        <v>44925</v>
      </c>
      <c r="KRL615" s="5" t="s">
        <v>3728</v>
      </c>
      <c r="KRM615" s="17">
        <v>44925</v>
      </c>
      <c r="KRN615" s="5" t="s">
        <v>3728</v>
      </c>
      <c r="KRO615" s="17">
        <v>44925</v>
      </c>
      <c r="KRP615" s="5" t="s">
        <v>3728</v>
      </c>
      <c r="KRQ615" s="17">
        <v>44925</v>
      </c>
      <c r="KRR615" s="5" t="s">
        <v>3728</v>
      </c>
      <c r="KRS615" s="17">
        <v>44925</v>
      </c>
      <c r="KRT615" s="5" t="s">
        <v>3728</v>
      </c>
      <c r="KRU615" s="17">
        <v>44925</v>
      </c>
      <c r="KRV615" s="5" t="s">
        <v>3728</v>
      </c>
      <c r="KRW615" s="17">
        <v>44925</v>
      </c>
      <c r="KRX615" s="5" t="s">
        <v>3728</v>
      </c>
      <c r="KRY615" s="17">
        <v>44925</v>
      </c>
      <c r="KRZ615" s="5" t="s">
        <v>3728</v>
      </c>
      <c r="KSA615" s="17">
        <v>44925</v>
      </c>
      <c r="KSB615" s="5" t="s">
        <v>3728</v>
      </c>
      <c r="KSC615" s="17">
        <v>44925</v>
      </c>
      <c r="KSD615" s="5" t="s">
        <v>3728</v>
      </c>
      <c r="KSE615" s="17">
        <v>44925</v>
      </c>
      <c r="KSF615" s="5" t="s">
        <v>3728</v>
      </c>
      <c r="KSG615" s="17">
        <v>44925</v>
      </c>
      <c r="KSH615" s="5" t="s">
        <v>3728</v>
      </c>
      <c r="KSI615" s="17">
        <v>44925</v>
      </c>
      <c r="KSJ615" s="5" t="s">
        <v>3728</v>
      </c>
      <c r="KSK615" s="17">
        <v>44925</v>
      </c>
      <c r="KSL615" s="5" t="s">
        <v>3728</v>
      </c>
      <c r="KSM615" s="17">
        <v>44925</v>
      </c>
      <c r="KSN615" s="5" t="s">
        <v>3728</v>
      </c>
      <c r="KSO615" s="17">
        <v>44925</v>
      </c>
      <c r="KSP615" s="5" t="s">
        <v>3728</v>
      </c>
      <c r="KSQ615" s="17">
        <v>44925</v>
      </c>
      <c r="KSR615" s="5" t="s">
        <v>3728</v>
      </c>
      <c r="KSS615" s="17">
        <v>44925</v>
      </c>
      <c r="KST615" s="5" t="s">
        <v>3728</v>
      </c>
      <c r="KSU615" s="17">
        <v>44925</v>
      </c>
      <c r="KSV615" s="5" t="s">
        <v>3728</v>
      </c>
      <c r="KSW615" s="17">
        <v>44925</v>
      </c>
      <c r="KSX615" s="5" t="s">
        <v>3728</v>
      </c>
      <c r="KSY615" s="17">
        <v>44925</v>
      </c>
      <c r="KSZ615" s="5" t="s">
        <v>3728</v>
      </c>
      <c r="KTA615" s="17">
        <v>44925</v>
      </c>
      <c r="KTB615" s="5" t="s">
        <v>3728</v>
      </c>
      <c r="KTC615" s="17">
        <v>44925</v>
      </c>
      <c r="KTD615" s="5" t="s">
        <v>3728</v>
      </c>
      <c r="KTE615" s="17">
        <v>44925</v>
      </c>
      <c r="KTF615" s="5" t="s">
        <v>3728</v>
      </c>
      <c r="KTG615" s="17">
        <v>44925</v>
      </c>
      <c r="KTH615" s="5" t="s">
        <v>3728</v>
      </c>
      <c r="KTI615" s="17">
        <v>44925</v>
      </c>
      <c r="KTJ615" s="5" t="s">
        <v>3728</v>
      </c>
      <c r="KTK615" s="17">
        <v>44925</v>
      </c>
      <c r="KTL615" s="5" t="s">
        <v>3728</v>
      </c>
      <c r="KTM615" s="17">
        <v>44925</v>
      </c>
      <c r="KTN615" s="5" t="s">
        <v>3728</v>
      </c>
      <c r="KTO615" s="17">
        <v>44925</v>
      </c>
      <c r="KTP615" s="5" t="s">
        <v>3728</v>
      </c>
      <c r="KTQ615" s="17">
        <v>44925</v>
      </c>
      <c r="KTR615" s="5" t="s">
        <v>3728</v>
      </c>
      <c r="KTS615" s="17">
        <v>44925</v>
      </c>
      <c r="KTT615" s="5" t="s">
        <v>3728</v>
      </c>
      <c r="KTU615" s="17">
        <v>44925</v>
      </c>
      <c r="KTV615" s="5" t="s">
        <v>3728</v>
      </c>
      <c r="KTW615" s="17">
        <v>44925</v>
      </c>
      <c r="KTX615" s="5" t="s">
        <v>3728</v>
      </c>
      <c r="KTY615" s="17">
        <v>44925</v>
      </c>
      <c r="KTZ615" s="5" t="s">
        <v>3728</v>
      </c>
      <c r="KUA615" s="17">
        <v>44925</v>
      </c>
      <c r="KUB615" s="5" t="s">
        <v>3728</v>
      </c>
      <c r="KUC615" s="17">
        <v>44925</v>
      </c>
      <c r="KUD615" s="5" t="s">
        <v>3728</v>
      </c>
      <c r="KUE615" s="17">
        <v>44925</v>
      </c>
      <c r="KUF615" s="5" t="s">
        <v>3728</v>
      </c>
      <c r="KUG615" s="17">
        <v>44925</v>
      </c>
      <c r="KUH615" s="5" t="s">
        <v>3728</v>
      </c>
      <c r="KUI615" s="17">
        <v>44925</v>
      </c>
      <c r="KUJ615" s="5" t="s">
        <v>3728</v>
      </c>
      <c r="KUK615" s="17">
        <v>44925</v>
      </c>
      <c r="KUL615" s="5" t="s">
        <v>3728</v>
      </c>
      <c r="KUM615" s="17">
        <v>44925</v>
      </c>
      <c r="KUN615" s="5" t="s">
        <v>3728</v>
      </c>
      <c r="KUO615" s="17">
        <v>44925</v>
      </c>
      <c r="KUP615" s="5" t="s">
        <v>3728</v>
      </c>
      <c r="KUQ615" s="17">
        <v>44925</v>
      </c>
      <c r="KUR615" s="5" t="s">
        <v>3728</v>
      </c>
      <c r="KUS615" s="17">
        <v>44925</v>
      </c>
      <c r="KUT615" s="5" t="s">
        <v>3728</v>
      </c>
      <c r="KUU615" s="17">
        <v>44925</v>
      </c>
      <c r="KUV615" s="5" t="s">
        <v>3728</v>
      </c>
      <c r="KUW615" s="17">
        <v>44925</v>
      </c>
      <c r="KUX615" s="5" t="s">
        <v>3728</v>
      </c>
      <c r="KUY615" s="17">
        <v>44925</v>
      </c>
      <c r="KUZ615" s="5" t="s">
        <v>3728</v>
      </c>
      <c r="KVA615" s="17">
        <v>44925</v>
      </c>
      <c r="KVB615" s="5" t="s">
        <v>3728</v>
      </c>
      <c r="KVC615" s="17">
        <v>44925</v>
      </c>
      <c r="KVD615" s="5" t="s">
        <v>3728</v>
      </c>
      <c r="KVE615" s="17">
        <v>44925</v>
      </c>
      <c r="KVF615" s="5" t="s">
        <v>3728</v>
      </c>
      <c r="KVG615" s="17">
        <v>44925</v>
      </c>
      <c r="KVH615" s="5" t="s">
        <v>3728</v>
      </c>
      <c r="KVI615" s="17">
        <v>44925</v>
      </c>
      <c r="KVJ615" s="5" t="s">
        <v>3728</v>
      </c>
      <c r="KVK615" s="17">
        <v>44925</v>
      </c>
      <c r="KVL615" s="5" t="s">
        <v>3728</v>
      </c>
      <c r="KVM615" s="17">
        <v>44925</v>
      </c>
      <c r="KVN615" s="5" t="s">
        <v>3728</v>
      </c>
      <c r="KVO615" s="17">
        <v>44925</v>
      </c>
      <c r="KVP615" s="5" t="s">
        <v>3728</v>
      </c>
      <c r="KVQ615" s="17">
        <v>44925</v>
      </c>
      <c r="KVR615" s="5" t="s">
        <v>3728</v>
      </c>
      <c r="KVS615" s="17">
        <v>44925</v>
      </c>
      <c r="KVT615" s="5" t="s">
        <v>3728</v>
      </c>
      <c r="KVU615" s="17">
        <v>44925</v>
      </c>
      <c r="KVV615" s="5" t="s">
        <v>3728</v>
      </c>
      <c r="KVW615" s="17">
        <v>44925</v>
      </c>
      <c r="KVX615" s="5" t="s">
        <v>3728</v>
      </c>
      <c r="KVY615" s="17">
        <v>44925</v>
      </c>
      <c r="KVZ615" s="5" t="s">
        <v>3728</v>
      </c>
      <c r="KWA615" s="17">
        <v>44925</v>
      </c>
      <c r="KWB615" s="5" t="s">
        <v>3728</v>
      </c>
      <c r="KWC615" s="17">
        <v>44925</v>
      </c>
      <c r="KWD615" s="5" t="s">
        <v>3728</v>
      </c>
      <c r="KWE615" s="17">
        <v>44925</v>
      </c>
      <c r="KWF615" s="5" t="s">
        <v>3728</v>
      </c>
      <c r="KWG615" s="17">
        <v>44925</v>
      </c>
      <c r="KWH615" s="5" t="s">
        <v>3728</v>
      </c>
      <c r="KWI615" s="17">
        <v>44925</v>
      </c>
      <c r="KWJ615" s="5" t="s">
        <v>3728</v>
      </c>
      <c r="KWK615" s="17">
        <v>44925</v>
      </c>
      <c r="KWL615" s="5" t="s">
        <v>3728</v>
      </c>
      <c r="KWM615" s="17">
        <v>44925</v>
      </c>
      <c r="KWN615" s="5" t="s">
        <v>3728</v>
      </c>
      <c r="KWO615" s="17">
        <v>44925</v>
      </c>
      <c r="KWP615" s="5" t="s">
        <v>3728</v>
      </c>
      <c r="KWQ615" s="17">
        <v>44925</v>
      </c>
      <c r="KWR615" s="5" t="s">
        <v>3728</v>
      </c>
      <c r="KWS615" s="17">
        <v>44925</v>
      </c>
      <c r="KWT615" s="5" t="s">
        <v>3728</v>
      </c>
      <c r="KWU615" s="17">
        <v>44925</v>
      </c>
      <c r="KWV615" s="5" t="s">
        <v>3728</v>
      </c>
      <c r="KWW615" s="17">
        <v>44925</v>
      </c>
      <c r="KWX615" s="5" t="s">
        <v>3728</v>
      </c>
      <c r="KWY615" s="17">
        <v>44925</v>
      </c>
      <c r="KWZ615" s="5" t="s">
        <v>3728</v>
      </c>
      <c r="KXA615" s="17">
        <v>44925</v>
      </c>
      <c r="KXB615" s="5" t="s">
        <v>3728</v>
      </c>
      <c r="KXC615" s="17">
        <v>44925</v>
      </c>
      <c r="KXD615" s="5" t="s">
        <v>3728</v>
      </c>
      <c r="KXE615" s="17">
        <v>44925</v>
      </c>
      <c r="KXF615" s="5" t="s">
        <v>3728</v>
      </c>
      <c r="KXG615" s="17">
        <v>44925</v>
      </c>
      <c r="KXH615" s="5" t="s">
        <v>3728</v>
      </c>
      <c r="KXI615" s="17">
        <v>44925</v>
      </c>
      <c r="KXJ615" s="5" t="s">
        <v>3728</v>
      </c>
      <c r="KXK615" s="17">
        <v>44925</v>
      </c>
      <c r="KXL615" s="5" t="s">
        <v>3728</v>
      </c>
      <c r="KXM615" s="17">
        <v>44925</v>
      </c>
      <c r="KXN615" s="5" t="s">
        <v>3728</v>
      </c>
      <c r="KXO615" s="17">
        <v>44925</v>
      </c>
      <c r="KXP615" s="5" t="s">
        <v>3728</v>
      </c>
      <c r="KXQ615" s="17">
        <v>44925</v>
      </c>
      <c r="KXR615" s="5" t="s">
        <v>3728</v>
      </c>
      <c r="KXS615" s="17">
        <v>44925</v>
      </c>
      <c r="KXT615" s="5" t="s">
        <v>3728</v>
      </c>
      <c r="KXU615" s="17">
        <v>44925</v>
      </c>
      <c r="KXV615" s="5" t="s">
        <v>3728</v>
      </c>
      <c r="KXW615" s="17">
        <v>44925</v>
      </c>
      <c r="KXX615" s="5" t="s">
        <v>3728</v>
      </c>
      <c r="KXY615" s="17">
        <v>44925</v>
      </c>
      <c r="KXZ615" s="5" t="s">
        <v>3728</v>
      </c>
      <c r="KYA615" s="17">
        <v>44925</v>
      </c>
      <c r="KYB615" s="5" t="s">
        <v>3728</v>
      </c>
      <c r="KYC615" s="17">
        <v>44925</v>
      </c>
      <c r="KYD615" s="5" t="s">
        <v>3728</v>
      </c>
      <c r="KYE615" s="17">
        <v>44925</v>
      </c>
      <c r="KYF615" s="5" t="s">
        <v>3728</v>
      </c>
      <c r="KYG615" s="17">
        <v>44925</v>
      </c>
      <c r="KYH615" s="5" t="s">
        <v>3728</v>
      </c>
      <c r="KYI615" s="17">
        <v>44925</v>
      </c>
      <c r="KYJ615" s="5" t="s">
        <v>3728</v>
      </c>
      <c r="KYK615" s="17">
        <v>44925</v>
      </c>
      <c r="KYL615" s="5" t="s">
        <v>3728</v>
      </c>
      <c r="KYM615" s="17">
        <v>44925</v>
      </c>
      <c r="KYN615" s="5" t="s">
        <v>3728</v>
      </c>
      <c r="KYO615" s="17">
        <v>44925</v>
      </c>
      <c r="KYP615" s="5" t="s">
        <v>3728</v>
      </c>
      <c r="KYQ615" s="17">
        <v>44925</v>
      </c>
      <c r="KYR615" s="5" t="s">
        <v>3728</v>
      </c>
      <c r="KYS615" s="17">
        <v>44925</v>
      </c>
      <c r="KYT615" s="5" t="s">
        <v>3728</v>
      </c>
      <c r="KYU615" s="17">
        <v>44925</v>
      </c>
      <c r="KYV615" s="5" t="s">
        <v>3728</v>
      </c>
      <c r="KYW615" s="17">
        <v>44925</v>
      </c>
      <c r="KYX615" s="5" t="s">
        <v>3728</v>
      </c>
      <c r="KYY615" s="17">
        <v>44925</v>
      </c>
      <c r="KYZ615" s="5" t="s">
        <v>3728</v>
      </c>
      <c r="KZA615" s="17">
        <v>44925</v>
      </c>
      <c r="KZB615" s="5" t="s">
        <v>3728</v>
      </c>
      <c r="KZC615" s="17">
        <v>44925</v>
      </c>
      <c r="KZD615" s="5" t="s">
        <v>3728</v>
      </c>
      <c r="KZE615" s="17">
        <v>44925</v>
      </c>
      <c r="KZF615" s="5" t="s">
        <v>3728</v>
      </c>
      <c r="KZG615" s="17">
        <v>44925</v>
      </c>
      <c r="KZH615" s="5" t="s">
        <v>3728</v>
      </c>
      <c r="KZI615" s="17">
        <v>44925</v>
      </c>
      <c r="KZJ615" s="5" t="s">
        <v>3728</v>
      </c>
      <c r="KZK615" s="17">
        <v>44925</v>
      </c>
      <c r="KZL615" s="5" t="s">
        <v>3728</v>
      </c>
      <c r="KZM615" s="17">
        <v>44925</v>
      </c>
      <c r="KZN615" s="5" t="s">
        <v>3728</v>
      </c>
      <c r="KZO615" s="17">
        <v>44925</v>
      </c>
      <c r="KZP615" s="5" t="s">
        <v>3728</v>
      </c>
      <c r="KZQ615" s="17">
        <v>44925</v>
      </c>
      <c r="KZR615" s="5" t="s">
        <v>3728</v>
      </c>
      <c r="KZS615" s="17">
        <v>44925</v>
      </c>
      <c r="KZT615" s="5" t="s">
        <v>3728</v>
      </c>
      <c r="KZU615" s="17">
        <v>44925</v>
      </c>
      <c r="KZV615" s="5" t="s">
        <v>3728</v>
      </c>
      <c r="KZW615" s="17">
        <v>44925</v>
      </c>
      <c r="KZX615" s="5" t="s">
        <v>3728</v>
      </c>
      <c r="KZY615" s="17">
        <v>44925</v>
      </c>
      <c r="KZZ615" s="5" t="s">
        <v>3728</v>
      </c>
      <c r="LAA615" s="17">
        <v>44925</v>
      </c>
      <c r="LAB615" s="5" t="s">
        <v>3728</v>
      </c>
      <c r="LAC615" s="17">
        <v>44925</v>
      </c>
      <c r="LAD615" s="5" t="s">
        <v>3728</v>
      </c>
      <c r="LAE615" s="17">
        <v>44925</v>
      </c>
      <c r="LAF615" s="5" t="s">
        <v>3728</v>
      </c>
      <c r="LAG615" s="17">
        <v>44925</v>
      </c>
      <c r="LAH615" s="5" t="s">
        <v>3728</v>
      </c>
      <c r="LAI615" s="17">
        <v>44925</v>
      </c>
      <c r="LAJ615" s="5" t="s">
        <v>3728</v>
      </c>
      <c r="LAK615" s="17">
        <v>44925</v>
      </c>
      <c r="LAL615" s="5" t="s">
        <v>3728</v>
      </c>
      <c r="LAM615" s="17">
        <v>44925</v>
      </c>
      <c r="LAN615" s="5" t="s">
        <v>3728</v>
      </c>
      <c r="LAO615" s="17">
        <v>44925</v>
      </c>
      <c r="LAP615" s="5" t="s">
        <v>3728</v>
      </c>
      <c r="LAQ615" s="17">
        <v>44925</v>
      </c>
      <c r="LAR615" s="5" t="s">
        <v>3728</v>
      </c>
      <c r="LAS615" s="17">
        <v>44925</v>
      </c>
      <c r="LAT615" s="5" t="s">
        <v>3728</v>
      </c>
      <c r="LAU615" s="17">
        <v>44925</v>
      </c>
      <c r="LAV615" s="5" t="s">
        <v>3728</v>
      </c>
      <c r="LAW615" s="17">
        <v>44925</v>
      </c>
      <c r="LAX615" s="5" t="s">
        <v>3728</v>
      </c>
      <c r="LAY615" s="17">
        <v>44925</v>
      </c>
      <c r="LAZ615" s="5" t="s">
        <v>3728</v>
      </c>
      <c r="LBA615" s="17">
        <v>44925</v>
      </c>
      <c r="LBB615" s="5" t="s">
        <v>3728</v>
      </c>
      <c r="LBC615" s="17">
        <v>44925</v>
      </c>
      <c r="LBD615" s="5" t="s">
        <v>3728</v>
      </c>
      <c r="LBE615" s="17">
        <v>44925</v>
      </c>
      <c r="LBF615" s="5" t="s">
        <v>3728</v>
      </c>
      <c r="LBG615" s="17">
        <v>44925</v>
      </c>
      <c r="LBH615" s="5" t="s">
        <v>3728</v>
      </c>
      <c r="LBI615" s="17">
        <v>44925</v>
      </c>
      <c r="LBJ615" s="5" t="s">
        <v>3728</v>
      </c>
      <c r="LBK615" s="17">
        <v>44925</v>
      </c>
      <c r="LBL615" s="5" t="s">
        <v>3728</v>
      </c>
      <c r="LBM615" s="17">
        <v>44925</v>
      </c>
      <c r="LBN615" s="5" t="s">
        <v>3728</v>
      </c>
      <c r="LBO615" s="17">
        <v>44925</v>
      </c>
      <c r="LBP615" s="5" t="s">
        <v>3728</v>
      </c>
      <c r="LBQ615" s="17">
        <v>44925</v>
      </c>
      <c r="LBR615" s="5" t="s">
        <v>3728</v>
      </c>
      <c r="LBS615" s="17">
        <v>44925</v>
      </c>
      <c r="LBT615" s="5" t="s">
        <v>3728</v>
      </c>
      <c r="LBU615" s="17">
        <v>44925</v>
      </c>
      <c r="LBV615" s="5" t="s">
        <v>3728</v>
      </c>
      <c r="LBW615" s="17">
        <v>44925</v>
      </c>
      <c r="LBX615" s="5" t="s">
        <v>3728</v>
      </c>
      <c r="LBY615" s="17">
        <v>44925</v>
      </c>
      <c r="LBZ615" s="5" t="s">
        <v>3728</v>
      </c>
      <c r="LCA615" s="17">
        <v>44925</v>
      </c>
      <c r="LCB615" s="5" t="s">
        <v>3728</v>
      </c>
      <c r="LCC615" s="17">
        <v>44925</v>
      </c>
      <c r="LCD615" s="5" t="s">
        <v>3728</v>
      </c>
      <c r="LCE615" s="17">
        <v>44925</v>
      </c>
      <c r="LCF615" s="5" t="s">
        <v>3728</v>
      </c>
      <c r="LCG615" s="17">
        <v>44925</v>
      </c>
      <c r="LCH615" s="5" t="s">
        <v>3728</v>
      </c>
      <c r="LCI615" s="17">
        <v>44925</v>
      </c>
      <c r="LCJ615" s="5" t="s">
        <v>3728</v>
      </c>
      <c r="LCK615" s="17">
        <v>44925</v>
      </c>
      <c r="LCL615" s="5" t="s">
        <v>3728</v>
      </c>
      <c r="LCM615" s="17">
        <v>44925</v>
      </c>
      <c r="LCN615" s="5" t="s">
        <v>3728</v>
      </c>
      <c r="LCO615" s="17">
        <v>44925</v>
      </c>
      <c r="LCP615" s="5" t="s">
        <v>3728</v>
      </c>
      <c r="LCQ615" s="17">
        <v>44925</v>
      </c>
      <c r="LCR615" s="5" t="s">
        <v>3728</v>
      </c>
      <c r="LCS615" s="17">
        <v>44925</v>
      </c>
      <c r="LCT615" s="5" t="s">
        <v>3728</v>
      </c>
      <c r="LCU615" s="17">
        <v>44925</v>
      </c>
      <c r="LCV615" s="5" t="s">
        <v>3728</v>
      </c>
      <c r="LCW615" s="17">
        <v>44925</v>
      </c>
      <c r="LCX615" s="5" t="s">
        <v>3728</v>
      </c>
      <c r="LCY615" s="17">
        <v>44925</v>
      </c>
      <c r="LCZ615" s="5" t="s">
        <v>3728</v>
      </c>
      <c r="LDA615" s="17">
        <v>44925</v>
      </c>
      <c r="LDB615" s="5" t="s">
        <v>3728</v>
      </c>
      <c r="LDC615" s="17">
        <v>44925</v>
      </c>
      <c r="LDD615" s="5" t="s">
        <v>3728</v>
      </c>
      <c r="LDE615" s="17">
        <v>44925</v>
      </c>
      <c r="LDF615" s="5" t="s">
        <v>3728</v>
      </c>
      <c r="LDG615" s="17">
        <v>44925</v>
      </c>
      <c r="LDH615" s="5" t="s">
        <v>3728</v>
      </c>
      <c r="LDI615" s="17">
        <v>44925</v>
      </c>
      <c r="LDJ615" s="5" t="s">
        <v>3728</v>
      </c>
      <c r="LDK615" s="17">
        <v>44925</v>
      </c>
      <c r="LDL615" s="5" t="s">
        <v>3728</v>
      </c>
      <c r="LDM615" s="17">
        <v>44925</v>
      </c>
      <c r="LDN615" s="5" t="s">
        <v>3728</v>
      </c>
      <c r="LDO615" s="17">
        <v>44925</v>
      </c>
      <c r="LDP615" s="5" t="s">
        <v>3728</v>
      </c>
      <c r="LDQ615" s="17">
        <v>44925</v>
      </c>
      <c r="LDR615" s="5" t="s">
        <v>3728</v>
      </c>
      <c r="LDS615" s="17">
        <v>44925</v>
      </c>
      <c r="LDT615" s="5" t="s">
        <v>3728</v>
      </c>
      <c r="LDU615" s="17">
        <v>44925</v>
      </c>
      <c r="LDV615" s="5" t="s">
        <v>3728</v>
      </c>
      <c r="LDW615" s="17">
        <v>44925</v>
      </c>
      <c r="LDX615" s="5" t="s">
        <v>3728</v>
      </c>
      <c r="LDY615" s="17">
        <v>44925</v>
      </c>
      <c r="LDZ615" s="5" t="s">
        <v>3728</v>
      </c>
      <c r="LEA615" s="17">
        <v>44925</v>
      </c>
      <c r="LEB615" s="5" t="s">
        <v>3728</v>
      </c>
      <c r="LEC615" s="17">
        <v>44925</v>
      </c>
      <c r="LED615" s="5" t="s">
        <v>3728</v>
      </c>
      <c r="LEE615" s="17">
        <v>44925</v>
      </c>
      <c r="LEF615" s="5" t="s">
        <v>3728</v>
      </c>
      <c r="LEG615" s="17">
        <v>44925</v>
      </c>
      <c r="LEH615" s="5" t="s">
        <v>3728</v>
      </c>
      <c r="LEI615" s="17">
        <v>44925</v>
      </c>
      <c r="LEJ615" s="5" t="s">
        <v>3728</v>
      </c>
      <c r="LEK615" s="17">
        <v>44925</v>
      </c>
      <c r="LEL615" s="5" t="s">
        <v>3728</v>
      </c>
      <c r="LEM615" s="17">
        <v>44925</v>
      </c>
      <c r="LEN615" s="5" t="s">
        <v>3728</v>
      </c>
      <c r="LEO615" s="17">
        <v>44925</v>
      </c>
      <c r="LEP615" s="5" t="s">
        <v>3728</v>
      </c>
      <c r="LEQ615" s="17">
        <v>44925</v>
      </c>
      <c r="LER615" s="5" t="s">
        <v>3728</v>
      </c>
      <c r="LES615" s="17">
        <v>44925</v>
      </c>
      <c r="LET615" s="5" t="s">
        <v>3728</v>
      </c>
      <c r="LEU615" s="17">
        <v>44925</v>
      </c>
      <c r="LEV615" s="5" t="s">
        <v>3728</v>
      </c>
      <c r="LEW615" s="17">
        <v>44925</v>
      </c>
      <c r="LEX615" s="5" t="s">
        <v>3728</v>
      </c>
      <c r="LEY615" s="17">
        <v>44925</v>
      </c>
      <c r="LEZ615" s="5" t="s">
        <v>3728</v>
      </c>
      <c r="LFA615" s="17">
        <v>44925</v>
      </c>
      <c r="LFB615" s="5" t="s">
        <v>3728</v>
      </c>
      <c r="LFC615" s="17">
        <v>44925</v>
      </c>
      <c r="LFD615" s="5" t="s">
        <v>3728</v>
      </c>
      <c r="LFE615" s="17">
        <v>44925</v>
      </c>
      <c r="LFF615" s="5" t="s">
        <v>3728</v>
      </c>
      <c r="LFG615" s="17">
        <v>44925</v>
      </c>
      <c r="LFH615" s="5" t="s">
        <v>3728</v>
      </c>
      <c r="LFI615" s="17">
        <v>44925</v>
      </c>
      <c r="LFJ615" s="5" t="s">
        <v>3728</v>
      </c>
      <c r="LFK615" s="17">
        <v>44925</v>
      </c>
      <c r="LFL615" s="5" t="s">
        <v>3728</v>
      </c>
      <c r="LFM615" s="17">
        <v>44925</v>
      </c>
      <c r="LFN615" s="5" t="s">
        <v>3728</v>
      </c>
      <c r="LFO615" s="17">
        <v>44925</v>
      </c>
      <c r="LFP615" s="5" t="s">
        <v>3728</v>
      </c>
      <c r="LFQ615" s="17">
        <v>44925</v>
      </c>
      <c r="LFR615" s="5" t="s">
        <v>3728</v>
      </c>
      <c r="LFS615" s="17">
        <v>44925</v>
      </c>
      <c r="LFT615" s="5" t="s">
        <v>3728</v>
      </c>
      <c r="LFU615" s="17">
        <v>44925</v>
      </c>
      <c r="LFV615" s="5" t="s">
        <v>3728</v>
      </c>
      <c r="LFW615" s="17">
        <v>44925</v>
      </c>
      <c r="LFX615" s="5" t="s">
        <v>3728</v>
      </c>
      <c r="LFY615" s="17">
        <v>44925</v>
      </c>
      <c r="LFZ615" s="5" t="s">
        <v>3728</v>
      </c>
      <c r="LGA615" s="17">
        <v>44925</v>
      </c>
      <c r="LGB615" s="5" t="s">
        <v>3728</v>
      </c>
      <c r="LGC615" s="17">
        <v>44925</v>
      </c>
      <c r="LGD615" s="5" t="s">
        <v>3728</v>
      </c>
      <c r="LGE615" s="17">
        <v>44925</v>
      </c>
      <c r="LGF615" s="5" t="s">
        <v>3728</v>
      </c>
      <c r="LGG615" s="17">
        <v>44925</v>
      </c>
      <c r="LGH615" s="5" t="s">
        <v>3728</v>
      </c>
      <c r="LGI615" s="17">
        <v>44925</v>
      </c>
      <c r="LGJ615" s="5" t="s">
        <v>3728</v>
      </c>
      <c r="LGK615" s="17">
        <v>44925</v>
      </c>
      <c r="LGL615" s="5" t="s">
        <v>3728</v>
      </c>
      <c r="LGM615" s="17">
        <v>44925</v>
      </c>
      <c r="LGN615" s="5" t="s">
        <v>3728</v>
      </c>
      <c r="LGO615" s="17">
        <v>44925</v>
      </c>
      <c r="LGP615" s="5" t="s">
        <v>3728</v>
      </c>
      <c r="LGQ615" s="17">
        <v>44925</v>
      </c>
      <c r="LGR615" s="5" t="s">
        <v>3728</v>
      </c>
      <c r="LGS615" s="17">
        <v>44925</v>
      </c>
      <c r="LGT615" s="5" t="s">
        <v>3728</v>
      </c>
      <c r="LGU615" s="17">
        <v>44925</v>
      </c>
      <c r="LGV615" s="5" t="s">
        <v>3728</v>
      </c>
      <c r="LGW615" s="17">
        <v>44925</v>
      </c>
      <c r="LGX615" s="5" t="s">
        <v>3728</v>
      </c>
      <c r="LGY615" s="17">
        <v>44925</v>
      </c>
      <c r="LGZ615" s="5" t="s">
        <v>3728</v>
      </c>
      <c r="LHA615" s="17">
        <v>44925</v>
      </c>
      <c r="LHB615" s="5" t="s">
        <v>3728</v>
      </c>
      <c r="LHC615" s="17">
        <v>44925</v>
      </c>
      <c r="LHD615" s="5" t="s">
        <v>3728</v>
      </c>
      <c r="LHE615" s="17">
        <v>44925</v>
      </c>
      <c r="LHF615" s="5" t="s">
        <v>3728</v>
      </c>
      <c r="LHG615" s="17">
        <v>44925</v>
      </c>
      <c r="LHH615" s="5" t="s">
        <v>3728</v>
      </c>
      <c r="LHI615" s="17">
        <v>44925</v>
      </c>
      <c r="LHJ615" s="5" t="s">
        <v>3728</v>
      </c>
      <c r="LHK615" s="17">
        <v>44925</v>
      </c>
      <c r="LHL615" s="5" t="s">
        <v>3728</v>
      </c>
      <c r="LHM615" s="17">
        <v>44925</v>
      </c>
      <c r="LHN615" s="5" t="s">
        <v>3728</v>
      </c>
      <c r="LHO615" s="17">
        <v>44925</v>
      </c>
      <c r="LHP615" s="5" t="s">
        <v>3728</v>
      </c>
      <c r="LHQ615" s="17">
        <v>44925</v>
      </c>
      <c r="LHR615" s="5" t="s">
        <v>3728</v>
      </c>
      <c r="LHS615" s="17">
        <v>44925</v>
      </c>
      <c r="LHT615" s="5" t="s">
        <v>3728</v>
      </c>
      <c r="LHU615" s="17">
        <v>44925</v>
      </c>
      <c r="LHV615" s="5" t="s">
        <v>3728</v>
      </c>
      <c r="LHW615" s="17">
        <v>44925</v>
      </c>
      <c r="LHX615" s="5" t="s">
        <v>3728</v>
      </c>
      <c r="LHY615" s="17">
        <v>44925</v>
      </c>
      <c r="LHZ615" s="5" t="s">
        <v>3728</v>
      </c>
      <c r="LIA615" s="17">
        <v>44925</v>
      </c>
      <c r="LIB615" s="5" t="s">
        <v>3728</v>
      </c>
      <c r="LIC615" s="17">
        <v>44925</v>
      </c>
      <c r="LID615" s="5" t="s">
        <v>3728</v>
      </c>
      <c r="LIE615" s="17">
        <v>44925</v>
      </c>
      <c r="LIF615" s="5" t="s">
        <v>3728</v>
      </c>
      <c r="LIG615" s="17">
        <v>44925</v>
      </c>
      <c r="LIH615" s="5" t="s">
        <v>3728</v>
      </c>
      <c r="LII615" s="17">
        <v>44925</v>
      </c>
      <c r="LIJ615" s="5" t="s">
        <v>3728</v>
      </c>
      <c r="LIK615" s="17">
        <v>44925</v>
      </c>
      <c r="LIL615" s="5" t="s">
        <v>3728</v>
      </c>
      <c r="LIM615" s="17">
        <v>44925</v>
      </c>
      <c r="LIN615" s="5" t="s">
        <v>3728</v>
      </c>
      <c r="LIO615" s="17">
        <v>44925</v>
      </c>
      <c r="LIP615" s="5" t="s">
        <v>3728</v>
      </c>
      <c r="LIQ615" s="17">
        <v>44925</v>
      </c>
      <c r="LIR615" s="5" t="s">
        <v>3728</v>
      </c>
      <c r="LIS615" s="17">
        <v>44925</v>
      </c>
      <c r="LIT615" s="5" t="s">
        <v>3728</v>
      </c>
      <c r="LIU615" s="17">
        <v>44925</v>
      </c>
      <c r="LIV615" s="5" t="s">
        <v>3728</v>
      </c>
      <c r="LIW615" s="17">
        <v>44925</v>
      </c>
      <c r="LIX615" s="5" t="s">
        <v>3728</v>
      </c>
      <c r="LIY615" s="17">
        <v>44925</v>
      </c>
      <c r="LIZ615" s="5" t="s">
        <v>3728</v>
      </c>
      <c r="LJA615" s="17">
        <v>44925</v>
      </c>
      <c r="LJB615" s="5" t="s">
        <v>3728</v>
      </c>
      <c r="LJC615" s="17">
        <v>44925</v>
      </c>
      <c r="LJD615" s="5" t="s">
        <v>3728</v>
      </c>
      <c r="LJE615" s="17">
        <v>44925</v>
      </c>
      <c r="LJF615" s="5" t="s">
        <v>3728</v>
      </c>
      <c r="LJG615" s="17">
        <v>44925</v>
      </c>
      <c r="LJH615" s="5" t="s">
        <v>3728</v>
      </c>
      <c r="LJI615" s="17">
        <v>44925</v>
      </c>
      <c r="LJJ615" s="5" t="s">
        <v>3728</v>
      </c>
      <c r="LJK615" s="17">
        <v>44925</v>
      </c>
      <c r="LJL615" s="5" t="s">
        <v>3728</v>
      </c>
      <c r="LJM615" s="17">
        <v>44925</v>
      </c>
      <c r="LJN615" s="5" t="s">
        <v>3728</v>
      </c>
      <c r="LJO615" s="17">
        <v>44925</v>
      </c>
      <c r="LJP615" s="5" t="s">
        <v>3728</v>
      </c>
      <c r="LJQ615" s="17">
        <v>44925</v>
      </c>
      <c r="LJR615" s="5" t="s">
        <v>3728</v>
      </c>
      <c r="LJS615" s="17">
        <v>44925</v>
      </c>
      <c r="LJT615" s="5" t="s">
        <v>3728</v>
      </c>
      <c r="LJU615" s="17">
        <v>44925</v>
      </c>
      <c r="LJV615" s="5" t="s">
        <v>3728</v>
      </c>
      <c r="LJW615" s="17">
        <v>44925</v>
      </c>
      <c r="LJX615" s="5" t="s">
        <v>3728</v>
      </c>
      <c r="LJY615" s="17">
        <v>44925</v>
      </c>
      <c r="LJZ615" s="5" t="s">
        <v>3728</v>
      </c>
      <c r="LKA615" s="17">
        <v>44925</v>
      </c>
      <c r="LKB615" s="5" t="s">
        <v>3728</v>
      </c>
      <c r="LKC615" s="17">
        <v>44925</v>
      </c>
      <c r="LKD615" s="5" t="s">
        <v>3728</v>
      </c>
      <c r="LKE615" s="17">
        <v>44925</v>
      </c>
      <c r="LKF615" s="5" t="s">
        <v>3728</v>
      </c>
      <c r="LKG615" s="17">
        <v>44925</v>
      </c>
      <c r="LKH615" s="5" t="s">
        <v>3728</v>
      </c>
      <c r="LKI615" s="17">
        <v>44925</v>
      </c>
      <c r="LKJ615" s="5" t="s">
        <v>3728</v>
      </c>
      <c r="LKK615" s="17">
        <v>44925</v>
      </c>
      <c r="LKL615" s="5" t="s">
        <v>3728</v>
      </c>
      <c r="LKM615" s="17">
        <v>44925</v>
      </c>
      <c r="LKN615" s="5" t="s">
        <v>3728</v>
      </c>
      <c r="LKO615" s="17">
        <v>44925</v>
      </c>
      <c r="LKP615" s="5" t="s">
        <v>3728</v>
      </c>
      <c r="LKQ615" s="17">
        <v>44925</v>
      </c>
      <c r="LKR615" s="5" t="s">
        <v>3728</v>
      </c>
      <c r="LKS615" s="17">
        <v>44925</v>
      </c>
      <c r="LKT615" s="5" t="s">
        <v>3728</v>
      </c>
      <c r="LKU615" s="17">
        <v>44925</v>
      </c>
      <c r="LKV615" s="5" t="s">
        <v>3728</v>
      </c>
      <c r="LKW615" s="17">
        <v>44925</v>
      </c>
      <c r="LKX615" s="5" t="s">
        <v>3728</v>
      </c>
      <c r="LKY615" s="17">
        <v>44925</v>
      </c>
      <c r="LKZ615" s="5" t="s">
        <v>3728</v>
      </c>
      <c r="LLA615" s="17">
        <v>44925</v>
      </c>
      <c r="LLB615" s="5" t="s">
        <v>3728</v>
      </c>
      <c r="LLC615" s="17">
        <v>44925</v>
      </c>
      <c r="LLD615" s="5" t="s">
        <v>3728</v>
      </c>
      <c r="LLE615" s="17">
        <v>44925</v>
      </c>
      <c r="LLF615" s="5" t="s">
        <v>3728</v>
      </c>
      <c r="LLG615" s="17">
        <v>44925</v>
      </c>
      <c r="LLH615" s="5" t="s">
        <v>3728</v>
      </c>
      <c r="LLI615" s="17">
        <v>44925</v>
      </c>
      <c r="LLJ615" s="5" t="s">
        <v>3728</v>
      </c>
      <c r="LLK615" s="17">
        <v>44925</v>
      </c>
      <c r="LLL615" s="5" t="s">
        <v>3728</v>
      </c>
      <c r="LLM615" s="17">
        <v>44925</v>
      </c>
      <c r="LLN615" s="5" t="s">
        <v>3728</v>
      </c>
      <c r="LLO615" s="17">
        <v>44925</v>
      </c>
      <c r="LLP615" s="5" t="s">
        <v>3728</v>
      </c>
      <c r="LLQ615" s="17">
        <v>44925</v>
      </c>
      <c r="LLR615" s="5" t="s">
        <v>3728</v>
      </c>
      <c r="LLS615" s="17">
        <v>44925</v>
      </c>
      <c r="LLT615" s="5" t="s">
        <v>3728</v>
      </c>
      <c r="LLU615" s="17">
        <v>44925</v>
      </c>
      <c r="LLV615" s="5" t="s">
        <v>3728</v>
      </c>
      <c r="LLW615" s="17">
        <v>44925</v>
      </c>
      <c r="LLX615" s="5" t="s">
        <v>3728</v>
      </c>
      <c r="LLY615" s="17">
        <v>44925</v>
      </c>
      <c r="LLZ615" s="5" t="s">
        <v>3728</v>
      </c>
      <c r="LMA615" s="17">
        <v>44925</v>
      </c>
      <c r="LMB615" s="5" t="s">
        <v>3728</v>
      </c>
      <c r="LMC615" s="17">
        <v>44925</v>
      </c>
      <c r="LMD615" s="5" t="s">
        <v>3728</v>
      </c>
      <c r="LME615" s="17">
        <v>44925</v>
      </c>
      <c r="LMF615" s="5" t="s">
        <v>3728</v>
      </c>
      <c r="LMG615" s="17">
        <v>44925</v>
      </c>
      <c r="LMH615" s="5" t="s">
        <v>3728</v>
      </c>
      <c r="LMI615" s="17">
        <v>44925</v>
      </c>
      <c r="LMJ615" s="5" t="s">
        <v>3728</v>
      </c>
      <c r="LMK615" s="17">
        <v>44925</v>
      </c>
      <c r="LML615" s="5" t="s">
        <v>3728</v>
      </c>
      <c r="LMM615" s="17">
        <v>44925</v>
      </c>
      <c r="LMN615" s="5" t="s">
        <v>3728</v>
      </c>
      <c r="LMO615" s="17">
        <v>44925</v>
      </c>
      <c r="LMP615" s="5" t="s">
        <v>3728</v>
      </c>
      <c r="LMQ615" s="17">
        <v>44925</v>
      </c>
      <c r="LMR615" s="5" t="s">
        <v>3728</v>
      </c>
      <c r="LMS615" s="17">
        <v>44925</v>
      </c>
      <c r="LMT615" s="5" t="s">
        <v>3728</v>
      </c>
      <c r="LMU615" s="17">
        <v>44925</v>
      </c>
      <c r="LMV615" s="5" t="s">
        <v>3728</v>
      </c>
      <c r="LMW615" s="17">
        <v>44925</v>
      </c>
      <c r="LMX615" s="5" t="s">
        <v>3728</v>
      </c>
      <c r="LMY615" s="17">
        <v>44925</v>
      </c>
      <c r="LMZ615" s="5" t="s">
        <v>3728</v>
      </c>
      <c r="LNA615" s="17">
        <v>44925</v>
      </c>
      <c r="LNB615" s="5" t="s">
        <v>3728</v>
      </c>
      <c r="LNC615" s="17">
        <v>44925</v>
      </c>
      <c r="LND615" s="5" t="s">
        <v>3728</v>
      </c>
      <c r="LNE615" s="17">
        <v>44925</v>
      </c>
      <c r="LNF615" s="5" t="s">
        <v>3728</v>
      </c>
      <c r="LNG615" s="17">
        <v>44925</v>
      </c>
      <c r="LNH615" s="5" t="s">
        <v>3728</v>
      </c>
      <c r="LNI615" s="17">
        <v>44925</v>
      </c>
      <c r="LNJ615" s="5" t="s">
        <v>3728</v>
      </c>
      <c r="LNK615" s="17">
        <v>44925</v>
      </c>
      <c r="LNL615" s="5" t="s">
        <v>3728</v>
      </c>
      <c r="LNM615" s="17">
        <v>44925</v>
      </c>
      <c r="LNN615" s="5" t="s">
        <v>3728</v>
      </c>
      <c r="LNO615" s="17">
        <v>44925</v>
      </c>
      <c r="LNP615" s="5" t="s">
        <v>3728</v>
      </c>
      <c r="LNQ615" s="17">
        <v>44925</v>
      </c>
      <c r="LNR615" s="5" t="s">
        <v>3728</v>
      </c>
      <c r="LNS615" s="17">
        <v>44925</v>
      </c>
      <c r="LNT615" s="5" t="s">
        <v>3728</v>
      </c>
      <c r="LNU615" s="17">
        <v>44925</v>
      </c>
      <c r="LNV615" s="5" t="s">
        <v>3728</v>
      </c>
      <c r="LNW615" s="17">
        <v>44925</v>
      </c>
      <c r="LNX615" s="5" t="s">
        <v>3728</v>
      </c>
      <c r="LNY615" s="17">
        <v>44925</v>
      </c>
      <c r="LNZ615" s="5" t="s">
        <v>3728</v>
      </c>
      <c r="LOA615" s="17">
        <v>44925</v>
      </c>
      <c r="LOB615" s="5" t="s">
        <v>3728</v>
      </c>
      <c r="LOC615" s="17">
        <v>44925</v>
      </c>
      <c r="LOD615" s="5" t="s">
        <v>3728</v>
      </c>
      <c r="LOE615" s="17">
        <v>44925</v>
      </c>
      <c r="LOF615" s="5" t="s">
        <v>3728</v>
      </c>
      <c r="LOG615" s="17">
        <v>44925</v>
      </c>
      <c r="LOH615" s="5" t="s">
        <v>3728</v>
      </c>
      <c r="LOI615" s="17">
        <v>44925</v>
      </c>
      <c r="LOJ615" s="5" t="s">
        <v>3728</v>
      </c>
      <c r="LOK615" s="17">
        <v>44925</v>
      </c>
      <c r="LOL615" s="5" t="s">
        <v>3728</v>
      </c>
      <c r="LOM615" s="17">
        <v>44925</v>
      </c>
      <c r="LON615" s="5" t="s">
        <v>3728</v>
      </c>
      <c r="LOO615" s="17">
        <v>44925</v>
      </c>
      <c r="LOP615" s="5" t="s">
        <v>3728</v>
      </c>
      <c r="LOQ615" s="17">
        <v>44925</v>
      </c>
      <c r="LOR615" s="5" t="s">
        <v>3728</v>
      </c>
      <c r="LOS615" s="17">
        <v>44925</v>
      </c>
      <c r="LOT615" s="5" t="s">
        <v>3728</v>
      </c>
      <c r="LOU615" s="17">
        <v>44925</v>
      </c>
      <c r="LOV615" s="5" t="s">
        <v>3728</v>
      </c>
      <c r="LOW615" s="17">
        <v>44925</v>
      </c>
      <c r="LOX615" s="5" t="s">
        <v>3728</v>
      </c>
      <c r="LOY615" s="17">
        <v>44925</v>
      </c>
      <c r="LOZ615" s="5" t="s">
        <v>3728</v>
      </c>
      <c r="LPA615" s="17">
        <v>44925</v>
      </c>
      <c r="LPB615" s="5" t="s">
        <v>3728</v>
      </c>
      <c r="LPC615" s="17">
        <v>44925</v>
      </c>
      <c r="LPD615" s="5" t="s">
        <v>3728</v>
      </c>
      <c r="LPE615" s="17">
        <v>44925</v>
      </c>
      <c r="LPF615" s="5" t="s">
        <v>3728</v>
      </c>
      <c r="LPG615" s="17">
        <v>44925</v>
      </c>
      <c r="LPH615" s="5" t="s">
        <v>3728</v>
      </c>
      <c r="LPI615" s="17">
        <v>44925</v>
      </c>
      <c r="LPJ615" s="5" t="s">
        <v>3728</v>
      </c>
      <c r="LPK615" s="17">
        <v>44925</v>
      </c>
      <c r="LPL615" s="5" t="s">
        <v>3728</v>
      </c>
      <c r="LPM615" s="17">
        <v>44925</v>
      </c>
      <c r="LPN615" s="5" t="s">
        <v>3728</v>
      </c>
      <c r="LPO615" s="17">
        <v>44925</v>
      </c>
      <c r="LPP615" s="5" t="s">
        <v>3728</v>
      </c>
      <c r="LPQ615" s="17">
        <v>44925</v>
      </c>
      <c r="LPR615" s="5" t="s">
        <v>3728</v>
      </c>
      <c r="LPS615" s="17">
        <v>44925</v>
      </c>
      <c r="LPT615" s="5" t="s">
        <v>3728</v>
      </c>
      <c r="LPU615" s="17">
        <v>44925</v>
      </c>
      <c r="LPV615" s="5" t="s">
        <v>3728</v>
      </c>
      <c r="LPW615" s="17">
        <v>44925</v>
      </c>
      <c r="LPX615" s="5" t="s">
        <v>3728</v>
      </c>
      <c r="LPY615" s="17">
        <v>44925</v>
      </c>
      <c r="LPZ615" s="5" t="s">
        <v>3728</v>
      </c>
      <c r="LQA615" s="17">
        <v>44925</v>
      </c>
      <c r="LQB615" s="5" t="s">
        <v>3728</v>
      </c>
      <c r="LQC615" s="17">
        <v>44925</v>
      </c>
      <c r="LQD615" s="5" t="s">
        <v>3728</v>
      </c>
      <c r="LQE615" s="17">
        <v>44925</v>
      </c>
      <c r="LQF615" s="5" t="s">
        <v>3728</v>
      </c>
      <c r="LQG615" s="17">
        <v>44925</v>
      </c>
      <c r="LQH615" s="5" t="s">
        <v>3728</v>
      </c>
      <c r="LQI615" s="17">
        <v>44925</v>
      </c>
      <c r="LQJ615" s="5" t="s">
        <v>3728</v>
      </c>
      <c r="LQK615" s="17">
        <v>44925</v>
      </c>
      <c r="LQL615" s="5" t="s">
        <v>3728</v>
      </c>
      <c r="LQM615" s="17">
        <v>44925</v>
      </c>
      <c r="LQN615" s="5" t="s">
        <v>3728</v>
      </c>
      <c r="LQO615" s="17">
        <v>44925</v>
      </c>
      <c r="LQP615" s="5" t="s">
        <v>3728</v>
      </c>
      <c r="LQQ615" s="17">
        <v>44925</v>
      </c>
      <c r="LQR615" s="5" t="s">
        <v>3728</v>
      </c>
      <c r="LQS615" s="17">
        <v>44925</v>
      </c>
      <c r="LQT615" s="5" t="s">
        <v>3728</v>
      </c>
      <c r="LQU615" s="17">
        <v>44925</v>
      </c>
      <c r="LQV615" s="5" t="s">
        <v>3728</v>
      </c>
      <c r="LQW615" s="17">
        <v>44925</v>
      </c>
      <c r="LQX615" s="5" t="s">
        <v>3728</v>
      </c>
      <c r="LQY615" s="17">
        <v>44925</v>
      </c>
      <c r="LQZ615" s="5" t="s">
        <v>3728</v>
      </c>
      <c r="LRA615" s="17">
        <v>44925</v>
      </c>
      <c r="LRB615" s="5" t="s">
        <v>3728</v>
      </c>
      <c r="LRC615" s="17">
        <v>44925</v>
      </c>
      <c r="LRD615" s="5" t="s">
        <v>3728</v>
      </c>
      <c r="LRE615" s="17">
        <v>44925</v>
      </c>
      <c r="LRF615" s="5" t="s">
        <v>3728</v>
      </c>
      <c r="LRG615" s="17">
        <v>44925</v>
      </c>
      <c r="LRH615" s="5" t="s">
        <v>3728</v>
      </c>
      <c r="LRI615" s="17">
        <v>44925</v>
      </c>
      <c r="LRJ615" s="5" t="s">
        <v>3728</v>
      </c>
      <c r="LRK615" s="17">
        <v>44925</v>
      </c>
      <c r="LRL615" s="5" t="s">
        <v>3728</v>
      </c>
      <c r="LRM615" s="17">
        <v>44925</v>
      </c>
      <c r="LRN615" s="5" t="s">
        <v>3728</v>
      </c>
      <c r="LRO615" s="17">
        <v>44925</v>
      </c>
      <c r="LRP615" s="5" t="s">
        <v>3728</v>
      </c>
      <c r="LRQ615" s="17">
        <v>44925</v>
      </c>
      <c r="LRR615" s="5" t="s">
        <v>3728</v>
      </c>
      <c r="LRS615" s="17">
        <v>44925</v>
      </c>
      <c r="LRT615" s="5" t="s">
        <v>3728</v>
      </c>
      <c r="LRU615" s="17">
        <v>44925</v>
      </c>
      <c r="LRV615" s="5" t="s">
        <v>3728</v>
      </c>
      <c r="LRW615" s="17">
        <v>44925</v>
      </c>
      <c r="LRX615" s="5" t="s">
        <v>3728</v>
      </c>
      <c r="LRY615" s="17">
        <v>44925</v>
      </c>
      <c r="LRZ615" s="5" t="s">
        <v>3728</v>
      </c>
      <c r="LSA615" s="17">
        <v>44925</v>
      </c>
      <c r="LSB615" s="5" t="s">
        <v>3728</v>
      </c>
      <c r="LSC615" s="17">
        <v>44925</v>
      </c>
      <c r="LSD615" s="5" t="s">
        <v>3728</v>
      </c>
      <c r="LSE615" s="17">
        <v>44925</v>
      </c>
      <c r="LSF615" s="5" t="s">
        <v>3728</v>
      </c>
      <c r="LSG615" s="17">
        <v>44925</v>
      </c>
      <c r="LSH615" s="5" t="s">
        <v>3728</v>
      </c>
      <c r="LSI615" s="17">
        <v>44925</v>
      </c>
      <c r="LSJ615" s="5" t="s">
        <v>3728</v>
      </c>
      <c r="LSK615" s="17">
        <v>44925</v>
      </c>
      <c r="LSL615" s="5" t="s">
        <v>3728</v>
      </c>
      <c r="LSM615" s="17">
        <v>44925</v>
      </c>
      <c r="LSN615" s="5" t="s">
        <v>3728</v>
      </c>
      <c r="LSO615" s="17">
        <v>44925</v>
      </c>
      <c r="LSP615" s="5" t="s">
        <v>3728</v>
      </c>
      <c r="LSQ615" s="17">
        <v>44925</v>
      </c>
      <c r="LSR615" s="5" t="s">
        <v>3728</v>
      </c>
      <c r="LSS615" s="17">
        <v>44925</v>
      </c>
      <c r="LST615" s="5" t="s">
        <v>3728</v>
      </c>
      <c r="LSU615" s="17">
        <v>44925</v>
      </c>
      <c r="LSV615" s="5" t="s">
        <v>3728</v>
      </c>
      <c r="LSW615" s="17">
        <v>44925</v>
      </c>
      <c r="LSX615" s="5" t="s">
        <v>3728</v>
      </c>
      <c r="LSY615" s="17">
        <v>44925</v>
      </c>
      <c r="LSZ615" s="5" t="s">
        <v>3728</v>
      </c>
      <c r="LTA615" s="17">
        <v>44925</v>
      </c>
      <c r="LTB615" s="5" t="s">
        <v>3728</v>
      </c>
      <c r="LTC615" s="17">
        <v>44925</v>
      </c>
      <c r="LTD615" s="5" t="s">
        <v>3728</v>
      </c>
      <c r="LTE615" s="17">
        <v>44925</v>
      </c>
      <c r="LTF615" s="5" t="s">
        <v>3728</v>
      </c>
      <c r="LTG615" s="17">
        <v>44925</v>
      </c>
      <c r="LTH615" s="5" t="s">
        <v>3728</v>
      </c>
      <c r="LTI615" s="17">
        <v>44925</v>
      </c>
      <c r="LTJ615" s="5" t="s">
        <v>3728</v>
      </c>
      <c r="LTK615" s="17">
        <v>44925</v>
      </c>
      <c r="LTL615" s="5" t="s">
        <v>3728</v>
      </c>
      <c r="LTM615" s="17">
        <v>44925</v>
      </c>
      <c r="LTN615" s="5" t="s">
        <v>3728</v>
      </c>
      <c r="LTO615" s="17">
        <v>44925</v>
      </c>
      <c r="LTP615" s="5" t="s">
        <v>3728</v>
      </c>
      <c r="LTQ615" s="17">
        <v>44925</v>
      </c>
      <c r="LTR615" s="5" t="s">
        <v>3728</v>
      </c>
      <c r="LTS615" s="17">
        <v>44925</v>
      </c>
      <c r="LTT615" s="5" t="s">
        <v>3728</v>
      </c>
      <c r="LTU615" s="17">
        <v>44925</v>
      </c>
      <c r="LTV615" s="5" t="s">
        <v>3728</v>
      </c>
      <c r="LTW615" s="17">
        <v>44925</v>
      </c>
      <c r="LTX615" s="5" t="s">
        <v>3728</v>
      </c>
      <c r="LTY615" s="17">
        <v>44925</v>
      </c>
      <c r="LTZ615" s="5" t="s">
        <v>3728</v>
      </c>
      <c r="LUA615" s="17">
        <v>44925</v>
      </c>
      <c r="LUB615" s="5" t="s">
        <v>3728</v>
      </c>
      <c r="LUC615" s="17">
        <v>44925</v>
      </c>
      <c r="LUD615" s="5" t="s">
        <v>3728</v>
      </c>
      <c r="LUE615" s="17">
        <v>44925</v>
      </c>
      <c r="LUF615" s="5" t="s">
        <v>3728</v>
      </c>
      <c r="LUG615" s="17">
        <v>44925</v>
      </c>
      <c r="LUH615" s="5" t="s">
        <v>3728</v>
      </c>
      <c r="LUI615" s="17">
        <v>44925</v>
      </c>
      <c r="LUJ615" s="5" t="s">
        <v>3728</v>
      </c>
      <c r="LUK615" s="17">
        <v>44925</v>
      </c>
      <c r="LUL615" s="5" t="s">
        <v>3728</v>
      </c>
      <c r="LUM615" s="17">
        <v>44925</v>
      </c>
      <c r="LUN615" s="5" t="s">
        <v>3728</v>
      </c>
      <c r="LUO615" s="17">
        <v>44925</v>
      </c>
      <c r="LUP615" s="5" t="s">
        <v>3728</v>
      </c>
      <c r="LUQ615" s="17">
        <v>44925</v>
      </c>
      <c r="LUR615" s="5" t="s">
        <v>3728</v>
      </c>
      <c r="LUS615" s="17">
        <v>44925</v>
      </c>
      <c r="LUT615" s="5" t="s">
        <v>3728</v>
      </c>
      <c r="LUU615" s="17">
        <v>44925</v>
      </c>
      <c r="LUV615" s="5" t="s">
        <v>3728</v>
      </c>
      <c r="LUW615" s="17">
        <v>44925</v>
      </c>
      <c r="LUX615" s="5" t="s">
        <v>3728</v>
      </c>
      <c r="LUY615" s="17">
        <v>44925</v>
      </c>
      <c r="LUZ615" s="5" t="s">
        <v>3728</v>
      </c>
      <c r="LVA615" s="17">
        <v>44925</v>
      </c>
      <c r="LVB615" s="5" t="s">
        <v>3728</v>
      </c>
      <c r="LVC615" s="17">
        <v>44925</v>
      </c>
      <c r="LVD615" s="5" t="s">
        <v>3728</v>
      </c>
      <c r="LVE615" s="17">
        <v>44925</v>
      </c>
      <c r="LVF615" s="5" t="s">
        <v>3728</v>
      </c>
      <c r="LVG615" s="17">
        <v>44925</v>
      </c>
      <c r="LVH615" s="5" t="s">
        <v>3728</v>
      </c>
      <c r="LVI615" s="17">
        <v>44925</v>
      </c>
      <c r="LVJ615" s="5" t="s">
        <v>3728</v>
      </c>
      <c r="LVK615" s="17">
        <v>44925</v>
      </c>
      <c r="LVL615" s="5" t="s">
        <v>3728</v>
      </c>
      <c r="LVM615" s="17">
        <v>44925</v>
      </c>
      <c r="LVN615" s="5" t="s">
        <v>3728</v>
      </c>
      <c r="LVO615" s="17">
        <v>44925</v>
      </c>
      <c r="LVP615" s="5" t="s">
        <v>3728</v>
      </c>
      <c r="LVQ615" s="17">
        <v>44925</v>
      </c>
      <c r="LVR615" s="5" t="s">
        <v>3728</v>
      </c>
      <c r="LVS615" s="17">
        <v>44925</v>
      </c>
      <c r="LVT615" s="5" t="s">
        <v>3728</v>
      </c>
      <c r="LVU615" s="17">
        <v>44925</v>
      </c>
      <c r="LVV615" s="5" t="s">
        <v>3728</v>
      </c>
      <c r="LVW615" s="17">
        <v>44925</v>
      </c>
      <c r="LVX615" s="5" t="s">
        <v>3728</v>
      </c>
      <c r="LVY615" s="17">
        <v>44925</v>
      </c>
      <c r="LVZ615" s="5" t="s">
        <v>3728</v>
      </c>
      <c r="LWA615" s="17">
        <v>44925</v>
      </c>
      <c r="LWB615" s="5" t="s">
        <v>3728</v>
      </c>
      <c r="LWC615" s="17">
        <v>44925</v>
      </c>
      <c r="LWD615" s="5" t="s">
        <v>3728</v>
      </c>
      <c r="LWE615" s="17">
        <v>44925</v>
      </c>
      <c r="LWF615" s="5" t="s">
        <v>3728</v>
      </c>
      <c r="LWG615" s="17">
        <v>44925</v>
      </c>
      <c r="LWH615" s="5" t="s">
        <v>3728</v>
      </c>
      <c r="LWI615" s="17">
        <v>44925</v>
      </c>
      <c r="LWJ615" s="5" t="s">
        <v>3728</v>
      </c>
      <c r="LWK615" s="17">
        <v>44925</v>
      </c>
      <c r="LWL615" s="5" t="s">
        <v>3728</v>
      </c>
      <c r="LWM615" s="17">
        <v>44925</v>
      </c>
      <c r="LWN615" s="5" t="s">
        <v>3728</v>
      </c>
      <c r="LWO615" s="17">
        <v>44925</v>
      </c>
      <c r="LWP615" s="5" t="s">
        <v>3728</v>
      </c>
      <c r="LWQ615" s="17">
        <v>44925</v>
      </c>
      <c r="LWR615" s="5" t="s">
        <v>3728</v>
      </c>
      <c r="LWS615" s="17">
        <v>44925</v>
      </c>
      <c r="LWT615" s="5" t="s">
        <v>3728</v>
      </c>
      <c r="LWU615" s="17">
        <v>44925</v>
      </c>
      <c r="LWV615" s="5" t="s">
        <v>3728</v>
      </c>
      <c r="LWW615" s="17">
        <v>44925</v>
      </c>
      <c r="LWX615" s="5" t="s">
        <v>3728</v>
      </c>
      <c r="LWY615" s="17">
        <v>44925</v>
      </c>
      <c r="LWZ615" s="5" t="s">
        <v>3728</v>
      </c>
      <c r="LXA615" s="17">
        <v>44925</v>
      </c>
      <c r="LXB615" s="5" t="s">
        <v>3728</v>
      </c>
      <c r="LXC615" s="17">
        <v>44925</v>
      </c>
      <c r="LXD615" s="5" t="s">
        <v>3728</v>
      </c>
      <c r="LXE615" s="17">
        <v>44925</v>
      </c>
      <c r="LXF615" s="5" t="s">
        <v>3728</v>
      </c>
      <c r="LXG615" s="17">
        <v>44925</v>
      </c>
      <c r="LXH615" s="5" t="s">
        <v>3728</v>
      </c>
      <c r="LXI615" s="17">
        <v>44925</v>
      </c>
      <c r="LXJ615" s="5" t="s">
        <v>3728</v>
      </c>
      <c r="LXK615" s="17">
        <v>44925</v>
      </c>
      <c r="LXL615" s="5" t="s">
        <v>3728</v>
      </c>
      <c r="LXM615" s="17">
        <v>44925</v>
      </c>
      <c r="LXN615" s="5" t="s">
        <v>3728</v>
      </c>
      <c r="LXO615" s="17">
        <v>44925</v>
      </c>
      <c r="LXP615" s="5" t="s">
        <v>3728</v>
      </c>
      <c r="LXQ615" s="17">
        <v>44925</v>
      </c>
      <c r="LXR615" s="5" t="s">
        <v>3728</v>
      </c>
      <c r="LXS615" s="17">
        <v>44925</v>
      </c>
      <c r="LXT615" s="5" t="s">
        <v>3728</v>
      </c>
      <c r="LXU615" s="17">
        <v>44925</v>
      </c>
      <c r="LXV615" s="5" t="s">
        <v>3728</v>
      </c>
      <c r="LXW615" s="17">
        <v>44925</v>
      </c>
      <c r="LXX615" s="5" t="s">
        <v>3728</v>
      </c>
      <c r="LXY615" s="17">
        <v>44925</v>
      </c>
      <c r="LXZ615" s="5" t="s">
        <v>3728</v>
      </c>
      <c r="LYA615" s="17">
        <v>44925</v>
      </c>
      <c r="LYB615" s="5" t="s">
        <v>3728</v>
      </c>
      <c r="LYC615" s="17">
        <v>44925</v>
      </c>
      <c r="LYD615" s="5" t="s">
        <v>3728</v>
      </c>
      <c r="LYE615" s="17">
        <v>44925</v>
      </c>
      <c r="LYF615" s="5" t="s">
        <v>3728</v>
      </c>
      <c r="LYG615" s="17">
        <v>44925</v>
      </c>
      <c r="LYH615" s="5" t="s">
        <v>3728</v>
      </c>
      <c r="LYI615" s="17">
        <v>44925</v>
      </c>
      <c r="LYJ615" s="5" t="s">
        <v>3728</v>
      </c>
      <c r="LYK615" s="17">
        <v>44925</v>
      </c>
      <c r="LYL615" s="5" t="s">
        <v>3728</v>
      </c>
      <c r="LYM615" s="17">
        <v>44925</v>
      </c>
      <c r="LYN615" s="5" t="s">
        <v>3728</v>
      </c>
      <c r="LYO615" s="17">
        <v>44925</v>
      </c>
      <c r="LYP615" s="5" t="s">
        <v>3728</v>
      </c>
      <c r="LYQ615" s="17">
        <v>44925</v>
      </c>
      <c r="LYR615" s="5" t="s">
        <v>3728</v>
      </c>
      <c r="LYS615" s="17">
        <v>44925</v>
      </c>
      <c r="LYT615" s="5" t="s">
        <v>3728</v>
      </c>
      <c r="LYU615" s="17">
        <v>44925</v>
      </c>
      <c r="LYV615" s="5" t="s">
        <v>3728</v>
      </c>
      <c r="LYW615" s="17">
        <v>44925</v>
      </c>
      <c r="LYX615" s="5" t="s">
        <v>3728</v>
      </c>
      <c r="LYY615" s="17">
        <v>44925</v>
      </c>
      <c r="LYZ615" s="5" t="s">
        <v>3728</v>
      </c>
      <c r="LZA615" s="17">
        <v>44925</v>
      </c>
      <c r="LZB615" s="5" t="s">
        <v>3728</v>
      </c>
      <c r="LZC615" s="17">
        <v>44925</v>
      </c>
      <c r="LZD615" s="5" t="s">
        <v>3728</v>
      </c>
      <c r="LZE615" s="17">
        <v>44925</v>
      </c>
      <c r="LZF615" s="5" t="s">
        <v>3728</v>
      </c>
      <c r="LZG615" s="17">
        <v>44925</v>
      </c>
      <c r="LZH615" s="5" t="s">
        <v>3728</v>
      </c>
      <c r="LZI615" s="17">
        <v>44925</v>
      </c>
      <c r="LZJ615" s="5" t="s">
        <v>3728</v>
      </c>
      <c r="LZK615" s="17">
        <v>44925</v>
      </c>
      <c r="LZL615" s="5" t="s">
        <v>3728</v>
      </c>
      <c r="LZM615" s="17">
        <v>44925</v>
      </c>
      <c r="LZN615" s="5" t="s">
        <v>3728</v>
      </c>
      <c r="LZO615" s="17">
        <v>44925</v>
      </c>
      <c r="LZP615" s="5" t="s">
        <v>3728</v>
      </c>
      <c r="LZQ615" s="17">
        <v>44925</v>
      </c>
      <c r="LZR615" s="5" t="s">
        <v>3728</v>
      </c>
      <c r="LZS615" s="17">
        <v>44925</v>
      </c>
      <c r="LZT615" s="5" t="s">
        <v>3728</v>
      </c>
      <c r="LZU615" s="17">
        <v>44925</v>
      </c>
      <c r="LZV615" s="5" t="s">
        <v>3728</v>
      </c>
      <c r="LZW615" s="17">
        <v>44925</v>
      </c>
      <c r="LZX615" s="5" t="s">
        <v>3728</v>
      </c>
      <c r="LZY615" s="17">
        <v>44925</v>
      </c>
      <c r="LZZ615" s="5" t="s">
        <v>3728</v>
      </c>
      <c r="MAA615" s="17">
        <v>44925</v>
      </c>
      <c r="MAB615" s="5" t="s">
        <v>3728</v>
      </c>
      <c r="MAC615" s="17">
        <v>44925</v>
      </c>
      <c r="MAD615" s="5" t="s">
        <v>3728</v>
      </c>
      <c r="MAE615" s="17">
        <v>44925</v>
      </c>
      <c r="MAF615" s="5" t="s">
        <v>3728</v>
      </c>
      <c r="MAG615" s="17">
        <v>44925</v>
      </c>
      <c r="MAH615" s="5" t="s">
        <v>3728</v>
      </c>
      <c r="MAI615" s="17">
        <v>44925</v>
      </c>
      <c r="MAJ615" s="5" t="s">
        <v>3728</v>
      </c>
      <c r="MAK615" s="17">
        <v>44925</v>
      </c>
      <c r="MAL615" s="5" t="s">
        <v>3728</v>
      </c>
      <c r="MAM615" s="17">
        <v>44925</v>
      </c>
      <c r="MAN615" s="5" t="s">
        <v>3728</v>
      </c>
      <c r="MAO615" s="17">
        <v>44925</v>
      </c>
      <c r="MAP615" s="5" t="s">
        <v>3728</v>
      </c>
      <c r="MAQ615" s="17">
        <v>44925</v>
      </c>
      <c r="MAR615" s="5" t="s">
        <v>3728</v>
      </c>
      <c r="MAS615" s="17">
        <v>44925</v>
      </c>
      <c r="MAT615" s="5" t="s">
        <v>3728</v>
      </c>
      <c r="MAU615" s="17">
        <v>44925</v>
      </c>
      <c r="MAV615" s="5" t="s">
        <v>3728</v>
      </c>
      <c r="MAW615" s="17">
        <v>44925</v>
      </c>
      <c r="MAX615" s="5" t="s">
        <v>3728</v>
      </c>
      <c r="MAY615" s="17">
        <v>44925</v>
      </c>
      <c r="MAZ615" s="5" t="s">
        <v>3728</v>
      </c>
      <c r="MBA615" s="17">
        <v>44925</v>
      </c>
      <c r="MBB615" s="5" t="s">
        <v>3728</v>
      </c>
      <c r="MBC615" s="17">
        <v>44925</v>
      </c>
      <c r="MBD615" s="5" t="s">
        <v>3728</v>
      </c>
      <c r="MBE615" s="17">
        <v>44925</v>
      </c>
      <c r="MBF615" s="5" t="s">
        <v>3728</v>
      </c>
      <c r="MBG615" s="17">
        <v>44925</v>
      </c>
      <c r="MBH615" s="5" t="s">
        <v>3728</v>
      </c>
      <c r="MBI615" s="17">
        <v>44925</v>
      </c>
      <c r="MBJ615" s="5" t="s">
        <v>3728</v>
      </c>
      <c r="MBK615" s="17">
        <v>44925</v>
      </c>
      <c r="MBL615" s="5" t="s">
        <v>3728</v>
      </c>
      <c r="MBM615" s="17">
        <v>44925</v>
      </c>
      <c r="MBN615" s="5" t="s">
        <v>3728</v>
      </c>
      <c r="MBO615" s="17">
        <v>44925</v>
      </c>
      <c r="MBP615" s="5" t="s">
        <v>3728</v>
      </c>
      <c r="MBQ615" s="17">
        <v>44925</v>
      </c>
      <c r="MBR615" s="5" t="s">
        <v>3728</v>
      </c>
      <c r="MBS615" s="17">
        <v>44925</v>
      </c>
      <c r="MBT615" s="5" t="s">
        <v>3728</v>
      </c>
      <c r="MBU615" s="17">
        <v>44925</v>
      </c>
      <c r="MBV615" s="5" t="s">
        <v>3728</v>
      </c>
      <c r="MBW615" s="17">
        <v>44925</v>
      </c>
      <c r="MBX615" s="5" t="s">
        <v>3728</v>
      </c>
      <c r="MBY615" s="17">
        <v>44925</v>
      </c>
      <c r="MBZ615" s="5" t="s">
        <v>3728</v>
      </c>
      <c r="MCA615" s="17">
        <v>44925</v>
      </c>
      <c r="MCB615" s="5" t="s">
        <v>3728</v>
      </c>
      <c r="MCC615" s="17">
        <v>44925</v>
      </c>
      <c r="MCD615" s="5" t="s">
        <v>3728</v>
      </c>
      <c r="MCE615" s="17">
        <v>44925</v>
      </c>
      <c r="MCF615" s="5" t="s">
        <v>3728</v>
      </c>
      <c r="MCG615" s="17">
        <v>44925</v>
      </c>
      <c r="MCH615" s="5" t="s">
        <v>3728</v>
      </c>
      <c r="MCI615" s="17">
        <v>44925</v>
      </c>
      <c r="MCJ615" s="5" t="s">
        <v>3728</v>
      </c>
      <c r="MCK615" s="17">
        <v>44925</v>
      </c>
      <c r="MCL615" s="5" t="s">
        <v>3728</v>
      </c>
      <c r="MCM615" s="17">
        <v>44925</v>
      </c>
      <c r="MCN615" s="5" t="s">
        <v>3728</v>
      </c>
      <c r="MCO615" s="17">
        <v>44925</v>
      </c>
      <c r="MCP615" s="5" t="s">
        <v>3728</v>
      </c>
      <c r="MCQ615" s="17">
        <v>44925</v>
      </c>
      <c r="MCR615" s="5" t="s">
        <v>3728</v>
      </c>
      <c r="MCS615" s="17">
        <v>44925</v>
      </c>
      <c r="MCT615" s="5" t="s">
        <v>3728</v>
      </c>
      <c r="MCU615" s="17">
        <v>44925</v>
      </c>
      <c r="MCV615" s="5" t="s">
        <v>3728</v>
      </c>
      <c r="MCW615" s="17">
        <v>44925</v>
      </c>
      <c r="MCX615" s="5" t="s">
        <v>3728</v>
      </c>
      <c r="MCY615" s="17">
        <v>44925</v>
      </c>
      <c r="MCZ615" s="5" t="s">
        <v>3728</v>
      </c>
      <c r="MDA615" s="17">
        <v>44925</v>
      </c>
      <c r="MDB615" s="5" t="s">
        <v>3728</v>
      </c>
      <c r="MDC615" s="17">
        <v>44925</v>
      </c>
      <c r="MDD615" s="5" t="s">
        <v>3728</v>
      </c>
      <c r="MDE615" s="17">
        <v>44925</v>
      </c>
      <c r="MDF615" s="5" t="s">
        <v>3728</v>
      </c>
      <c r="MDG615" s="17">
        <v>44925</v>
      </c>
      <c r="MDH615" s="5" t="s">
        <v>3728</v>
      </c>
      <c r="MDI615" s="17">
        <v>44925</v>
      </c>
      <c r="MDJ615" s="5" t="s">
        <v>3728</v>
      </c>
      <c r="MDK615" s="17">
        <v>44925</v>
      </c>
      <c r="MDL615" s="5" t="s">
        <v>3728</v>
      </c>
      <c r="MDM615" s="17">
        <v>44925</v>
      </c>
      <c r="MDN615" s="5" t="s">
        <v>3728</v>
      </c>
      <c r="MDO615" s="17">
        <v>44925</v>
      </c>
      <c r="MDP615" s="5" t="s">
        <v>3728</v>
      </c>
      <c r="MDQ615" s="17">
        <v>44925</v>
      </c>
      <c r="MDR615" s="5" t="s">
        <v>3728</v>
      </c>
      <c r="MDS615" s="17">
        <v>44925</v>
      </c>
      <c r="MDT615" s="5" t="s">
        <v>3728</v>
      </c>
      <c r="MDU615" s="17">
        <v>44925</v>
      </c>
      <c r="MDV615" s="5" t="s">
        <v>3728</v>
      </c>
      <c r="MDW615" s="17">
        <v>44925</v>
      </c>
      <c r="MDX615" s="5" t="s">
        <v>3728</v>
      </c>
      <c r="MDY615" s="17">
        <v>44925</v>
      </c>
      <c r="MDZ615" s="5" t="s">
        <v>3728</v>
      </c>
      <c r="MEA615" s="17">
        <v>44925</v>
      </c>
      <c r="MEB615" s="5" t="s">
        <v>3728</v>
      </c>
      <c r="MEC615" s="17">
        <v>44925</v>
      </c>
      <c r="MED615" s="5" t="s">
        <v>3728</v>
      </c>
      <c r="MEE615" s="17">
        <v>44925</v>
      </c>
      <c r="MEF615" s="5" t="s">
        <v>3728</v>
      </c>
      <c r="MEG615" s="17">
        <v>44925</v>
      </c>
      <c r="MEH615" s="5" t="s">
        <v>3728</v>
      </c>
      <c r="MEI615" s="17">
        <v>44925</v>
      </c>
      <c r="MEJ615" s="5" t="s">
        <v>3728</v>
      </c>
      <c r="MEK615" s="17">
        <v>44925</v>
      </c>
      <c r="MEL615" s="5" t="s">
        <v>3728</v>
      </c>
      <c r="MEM615" s="17">
        <v>44925</v>
      </c>
      <c r="MEN615" s="5" t="s">
        <v>3728</v>
      </c>
      <c r="MEO615" s="17">
        <v>44925</v>
      </c>
      <c r="MEP615" s="5" t="s">
        <v>3728</v>
      </c>
      <c r="MEQ615" s="17">
        <v>44925</v>
      </c>
      <c r="MER615" s="5" t="s">
        <v>3728</v>
      </c>
      <c r="MES615" s="17">
        <v>44925</v>
      </c>
      <c r="MET615" s="5" t="s">
        <v>3728</v>
      </c>
      <c r="MEU615" s="17">
        <v>44925</v>
      </c>
      <c r="MEV615" s="5" t="s">
        <v>3728</v>
      </c>
      <c r="MEW615" s="17">
        <v>44925</v>
      </c>
      <c r="MEX615" s="5" t="s">
        <v>3728</v>
      </c>
      <c r="MEY615" s="17">
        <v>44925</v>
      </c>
      <c r="MEZ615" s="5" t="s">
        <v>3728</v>
      </c>
      <c r="MFA615" s="17">
        <v>44925</v>
      </c>
      <c r="MFB615" s="5" t="s">
        <v>3728</v>
      </c>
      <c r="MFC615" s="17">
        <v>44925</v>
      </c>
      <c r="MFD615" s="5" t="s">
        <v>3728</v>
      </c>
      <c r="MFE615" s="17">
        <v>44925</v>
      </c>
      <c r="MFF615" s="5" t="s">
        <v>3728</v>
      </c>
      <c r="MFG615" s="17">
        <v>44925</v>
      </c>
      <c r="MFH615" s="5" t="s">
        <v>3728</v>
      </c>
      <c r="MFI615" s="17">
        <v>44925</v>
      </c>
      <c r="MFJ615" s="5" t="s">
        <v>3728</v>
      </c>
      <c r="MFK615" s="17">
        <v>44925</v>
      </c>
      <c r="MFL615" s="5" t="s">
        <v>3728</v>
      </c>
      <c r="MFM615" s="17">
        <v>44925</v>
      </c>
      <c r="MFN615" s="5" t="s">
        <v>3728</v>
      </c>
      <c r="MFO615" s="17">
        <v>44925</v>
      </c>
      <c r="MFP615" s="5" t="s">
        <v>3728</v>
      </c>
      <c r="MFQ615" s="17">
        <v>44925</v>
      </c>
      <c r="MFR615" s="5" t="s">
        <v>3728</v>
      </c>
      <c r="MFS615" s="17">
        <v>44925</v>
      </c>
      <c r="MFT615" s="5" t="s">
        <v>3728</v>
      </c>
      <c r="MFU615" s="17">
        <v>44925</v>
      </c>
      <c r="MFV615" s="5" t="s">
        <v>3728</v>
      </c>
      <c r="MFW615" s="17">
        <v>44925</v>
      </c>
      <c r="MFX615" s="5" t="s">
        <v>3728</v>
      </c>
      <c r="MFY615" s="17">
        <v>44925</v>
      </c>
      <c r="MFZ615" s="5" t="s">
        <v>3728</v>
      </c>
      <c r="MGA615" s="17">
        <v>44925</v>
      </c>
      <c r="MGB615" s="5" t="s">
        <v>3728</v>
      </c>
      <c r="MGC615" s="17">
        <v>44925</v>
      </c>
      <c r="MGD615" s="5" t="s">
        <v>3728</v>
      </c>
      <c r="MGE615" s="17">
        <v>44925</v>
      </c>
      <c r="MGF615" s="5" t="s">
        <v>3728</v>
      </c>
      <c r="MGG615" s="17">
        <v>44925</v>
      </c>
      <c r="MGH615" s="5" t="s">
        <v>3728</v>
      </c>
      <c r="MGI615" s="17">
        <v>44925</v>
      </c>
      <c r="MGJ615" s="5" t="s">
        <v>3728</v>
      </c>
      <c r="MGK615" s="17">
        <v>44925</v>
      </c>
      <c r="MGL615" s="5" t="s">
        <v>3728</v>
      </c>
      <c r="MGM615" s="17">
        <v>44925</v>
      </c>
      <c r="MGN615" s="5" t="s">
        <v>3728</v>
      </c>
      <c r="MGO615" s="17">
        <v>44925</v>
      </c>
      <c r="MGP615" s="5" t="s">
        <v>3728</v>
      </c>
      <c r="MGQ615" s="17">
        <v>44925</v>
      </c>
      <c r="MGR615" s="5" t="s">
        <v>3728</v>
      </c>
      <c r="MGS615" s="17">
        <v>44925</v>
      </c>
      <c r="MGT615" s="5" t="s">
        <v>3728</v>
      </c>
      <c r="MGU615" s="17">
        <v>44925</v>
      </c>
      <c r="MGV615" s="5" t="s">
        <v>3728</v>
      </c>
      <c r="MGW615" s="17">
        <v>44925</v>
      </c>
      <c r="MGX615" s="5" t="s">
        <v>3728</v>
      </c>
      <c r="MGY615" s="17">
        <v>44925</v>
      </c>
      <c r="MGZ615" s="5" t="s">
        <v>3728</v>
      </c>
      <c r="MHA615" s="17">
        <v>44925</v>
      </c>
      <c r="MHB615" s="5" t="s">
        <v>3728</v>
      </c>
      <c r="MHC615" s="17">
        <v>44925</v>
      </c>
      <c r="MHD615" s="5" t="s">
        <v>3728</v>
      </c>
      <c r="MHE615" s="17">
        <v>44925</v>
      </c>
      <c r="MHF615" s="5" t="s">
        <v>3728</v>
      </c>
      <c r="MHG615" s="17">
        <v>44925</v>
      </c>
      <c r="MHH615" s="5" t="s">
        <v>3728</v>
      </c>
      <c r="MHI615" s="17">
        <v>44925</v>
      </c>
      <c r="MHJ615" s="5" t="s">
        <v>3728</v>
      </c>
      <c r="MHK615" s="17">
        <v>44925</v>
      </c>
      <c r="MHL615" s="5" t="s">
        <v>3728</v>
      </c>
      <c r="MHM615" s="17">
        <v>44925</v>
      </c>
      <c r="MHN615" s="5" t="s">
        <v>3728</v>
      </c>
      <c r="MHO615" s="17">
        <v>44925</v>
      </c>
      <c r="MHP615" s="5" t="s">
        <v>3728</v>
      </c>
      <c r="MHQ615" s="17">
        <v>44925</v>
      </c>
      <c r="MHR615" s="5" t="s">
        <v>3728</v>
      </c>
      <c r="MHS615" s="17">
        <v>44925</v>
      </c>
      <c r="MHT615" s="5" t="s">
        <v>3728</v>
      </c>
      <c r="MHU615" s="17">
        <v>44925</v>
      </c>
      <c r="MHV615" s="5" t="s">
        <v>3728</v>
      </c>
      <c r="MHW615" s="17">
        <v>44925</v>
      </c>
      <c r="MHX615" s="5" t="s">
        <v>3728</v>
      </c>
      <c r="MHY615" s="17">
        <v>44925</v>
      </c>
      <c r="MHZ615" s="5" t="s">
        <v>3728</v>
      </c>
      <c r="MIA615" s="17">
        <v>44925</v>
      </c>
      <c r="MIB615" s="5" t="s">
        <v>3728</v>
      </c>
      <c r="MIC615" s="17">
        <v>44925</v>
      </c>
      <c r="MID615" s="5" t="s">
        <v>3728</v>
      </c>
      <c r="MIE615" s="17">
        <v>44925</v>
      </c>
      <c r="MIF615" s="5" t="s">
        <v>3728</v>
      </c>
      <c r="MIG615" s="17">
        <v>44925</v>
      </c>
      <c r="MIH615" s="5" t="s">
        <v>3728</v>
      </c>
      <c r="MII615" s="17">
        <v>44925</v>
      </c>
      <c r="MIJ615" s="5" t="s">
        <v>3728</v>
      </c>
      <c r="MIK615" s="17">
        <v>44925</v>
      </c>
      <c r="MIL615" s="5" t="s">
        <v>3728</v>
      </c>
      <c r="MIM615" s="17">
        <v>44925</v>
      </c>
      <c r="MIN615" s="5" t="s">
        <v>3728</v>
      </c>
      <c r="MIO615" s="17">
        <v>44925</v>
      </c>
      <c r="MIP615" s="5" t="s">
        <v>3728</v>
      </c>
      <c r="MIQ615" s="17">
        <v>44925</v>
      </c>
      <c r="MIR615" s="5" t="s">
        <v>3728</v>
      </c>
      <c r="MIS615" s="17">
        <v>44925</v>
      </c>
      <c r="MIT615" s="5" t="s">
        <v>3728</v>
      </c>
      <c r="MIU615" s="17">
        <v>44925</v>
      </c>
      <c r="MIV615" s="5" t="s">
        <v>3728</v>
      </c>
      <c r="MIW615" s="17">
        <v>44925</v>
      </c>
      <c r="MIX615" s="5" t="s">
        <v>3728</v>
      </c>
      <c r="MIY615" s="17">
        <v>44925</v>
      </c>
      <c r="MIZ615" s="5" t="s">
        <v>3728</v>
      </c>
      <c r="MJA615" s="17">
        <v>44925</v>
      </c>
      <c r="MJB615" s="5" t="s">
        <v>3728</v>
      </c>
      <c r="MJC615" s="17">
        <v>44925</v>
      </c>
      <c r="MJD615" s="5" t="s">
        <v>3728</v>
      </c>
      <c r="MJE615" s="17">
        <v>44925</v>
      </c>
      <c r="MJF615" s="5" t="s">
        <v>3728</v>
      </c>
      <c r="MJG615" s="17">
        <v>44925</v>
      </c>
      <c r="MJH615" s="5" t="s">
        <v>3728</v>
      </c>
      <c r="MJI615" s="17">
        <v>44925</v>
      </c>
      <c r="MJJ615" s="5" t="s">
        <v>3728</v>
      </c>
      <c r="MJK615" s="17">
        <v>44925</v>
      </c>
      <c r="MJL615" s="5" t="s">
        <v>3728</v>
      </c>
      <c r="MJM615" s="17">
        <v>44925</v>
      </c>
      <c r="MJN615" s="5" t="s">
        <v>3728</v>
      </c>
      <c r="MJO615" s="17">
        <v>44925</v>
      </c>
      <c r="MJP615" s="5" t="s">
        <v>3728</v>
      </c>
      <c r="MJQ615" s="17">
        <v>44925</v>
      </c>
      <c r="MJR615" s="5" t="s">
        <v>3728</v>
      </c>
      <c r="MJS615" s="17">
        <v>44925</v>
      </c>
      <c r="MJT615" s="5" t="s">
        <v>3728</v>
      </c>
      <c r="MJU615" s="17">
        <v>44925</v>
      </c>
      <c r="MJV615" s="5" t="s">
        <v>3728</v>
      </c>
      <c r="MJW615" s="17">
        <v>44925</v>
      </c>
      <c r="MJX615" s="5" t="s">
        <v>3728</v>
      </c>
      <c r="MJY615" s="17">
        <v>44925</v>
      </c>
      <c r="MJZ615" s="5" t="s">
        <v>3728</v>
      </c>
      <c r="MKA615" s="17">
        <v>44925</v>
      </c>
      <c r="MKB615" s="5" t="s">
        <v>3728</v>
      </c>
      <c r="MKC615" s="17">
        <v>44925</v>
      </c>
      <c r="MKD615" s="5" t="s">
        <v>3728</v>
      </c>
      <c r="MKE615" s="17">
        <v>44925</v>
      </c>
      <c r="MKF615" s="5" t="s">
        <v>3728</v>
      </c>
      <c r="MKG615" s="17">
        <v>44925</v>
      </c>
      <c r="MKH615" s="5" t="s">
        <v>3728</v>
      </c>
      <c r="MKI615" s="17">
        <v>44925</v>
      </c>
      <c r="MKJ615" s="5" t="s">
        <v>3728</v>
      </c>
      <c r="MKK615" s="17">
        <v>44925</v>
      </c>
      <c r="MKL615" s="5" t="s">
        <v>3728</v>
      </c>
      <c r="MKM615" s="17">
        <v>44925</v>
      </c>
      <c r="MKN615" s="5" t="s">
        <v>3728</v>
      </c>
      <c r="MKO615" s="17">
        <v>44925</v>
      </c>
      <c r="MKP615" s="5" t="s">
        <v>3728</v>
      </c>
      <c r="MKQ615" s="17">
        <v>44925</v>
      </c>
      <c r="MKR615" s="5" t="s">
        <v>3728</v>
      </c>
      <c r="MKS615" s="17">
        <v>44925</v>
      </c>
      <c r="MKT615" s="5" t="s">
        <v>3728</v>
      </c>
      <c r="MKU615" s="17">
        <v>44925</v>
      </c>
      <c r="MKV615" s="5" t="s">
        <v>3728</v>
      </c>
      <c r="MKW615" s="17">
        <v>44925</v>
      </c>
      <c r="MKX615" s="5" t="s">
        <v>3728</v>
      </c>
      <c r="MKY615" s="17">
        <v>44925</v>
      </c>
      <c r="MKZ615" s="5" t="s">
        <v>3728</v>
      </c>
      <c r="MLA615" s="17">
        <v>44925</v>
      </c>
      <c r="MLB615" s="5" t="s">
        <v>3728</v>
      </c>
      <c r="MLC615" s="17">
        <v>44925</v>
      </c>
      <c r="MLD615" s="5" t="s">
        <v>3728</v>
      </c>
      <c r="MLE615" s="17">
        <v>44925</v>
      </c>
      <c r="MLF615" s="5" t="s">
        <v>3728</v>
      </c>
      <c r="MLG615" s="17">
        <v>44925</v>
      </c>
      <c r="MLH615" s="5" t="s">
        <v>3728</v>
      </c>
      <c r="MLI615" s="17">
        <v>44925</v>
      </c>
      <c r="MLJ615" s="5" t="s">
        <v>3728</v>
      </c>
      <c r="MLK615" s="17">
        <v>44925</v>
      </c>
      <c r="MLL615" s="5" t="s">
        <v>3728</v>
      </c>
      <c r="MLM615" s="17">
        <v>44925</v>
      </c>
      <c r="MLN615" s="5" t="s">
        <v>3728</v>
      </c>
      <c r="MLO615" s="17">
        <v>44925</v>
      </c>
      <c r="MLP615" s="5" t="s">
        <v>3728</v>
      </c>
      <c r="MLQ615" s="17">
        <v>44925</v>
      </c>
      <c r="MLR615" s="5" t="s">
        <v>3728</v>
      </c>
      <c r="MLS615" s="17">
        <v>44925</v>
      </c>
      <c r="MLT615" s="5" t="s">
        <v>3728</v>
      </c>
      <c r="MLU615" s="17">
        <v>44925</v>
      </c>
      <c r="MLV615" s="5" t="s">
        <v>3728</v>
      </c>
      <c r="MLW615" s="17">
        <v>44925</v>
      </c>
      <c r="MLX615" s="5" t="s">
        <v>3728</v>
      </c>
      <c r="MLY615" s="17">
        <v>44925</v>
      </c>
      <c r="MLZ615" s="5" t="s">
        <v>3728</v>
      </c>
      <c r="MMA615" s="17">
        <v>44925</v>
      </c>
      <c r="MMB615" s="5" t="s">
        <v>3728</v>
      </c>
      <c r="MMC615" s="17">
        <v>44925</v>
      </c>
      <c r="MMD615" s="5" t="s">
        <v>3728</v>
      </c>
      <c r="MME615" s="17">
        <v>44925</v>
      </c>
      <c r="MMF615" s="5" t="s">
        <v>3728</v>
      </c>
      <c r="MMG615" s="17">
        <v>44925</v>
      </c>
      <c r="MMH615" s="5" t="s">
        <v>3728</v>
      </c>
      <c r="MMI615" s="17">
        <v>44925</v>
      </c>
      <c r="MMJ615" s="5" t="s">
        <v>3728</v>
      </c>
      <c r="MMK615" s="17">
        <v>44925</v>
      </c>
      <c r="MML615" s="5" t="s">
        <v>3728</v>
      </c>
      <c r="MMM615" s="17">
        <v>44925</v>
      </c>
      <c r="MMN615" s="5" t="s">
        <v>3728</v>
      </c>
      <c r="MMO615" s="17">
        <v>44925</v>
      </c>
      <c r="MMP615" s="5" t="s">
        <v>3728</v>
      </c>
      <c r="MMQ615" s="17">
        <v>44925</v>
      </c>
      <c r="MMR615" s="5" t="s">
        <v>3728</v>
      </c>
      <c r="MMS615" s="17">
        <v>44925</v>
      </c>
      <c r="MMT615" s="5" t="s">
        <v>3728</v>
      </c>
      <c r="MMU615" s="17">
        <v>44925</v>
      </c>
      <c r="MMV615" s="5" t="s">
        <v>3728</v>
      </c>
      <c r="MMW615" s="17">
        <v>44925</v>
      </c>
      <c r="MMX615" s="5" t="s">
        <v>3728</v>
      </c>
      <c r="MMY615" s="17">
        <v>44925</v>
      </c>
      <c r="MMZ615" s="5" t="s">
        <v>3728</v>
      </c>
      <c r="MNA615" s="17">
        <v>44925</v>
      </c>
      <c r="MNB615" s="5" t="s">
        <v>3728</v>
      </c>
      <c r="MNC615" s="17">
        <v>44925</v>
      </c>
      <c r="MND615" s="5" t="s">
        <v>3728</v>
      </c>
      <c r="MNE615" s="17">
        <v>44925</v>
      </c>
      <c r="MNF615" s="5" t="s">
        <v>3728</v>
      </c>
      <c r="MNG615" s="17">
        <v>44925</v>
      </c>
      <c r="MNH615" s="5" t="s">
        <v>3728</v>
      </c>
      <c r="MNI615" s="17">
        <v>44925</v>
      </c>
      <c r="MNJ615" s="5" t="s">
        <v>3728</v>
      </c>
      <c r="MNK615" s="17">
        <v>44925</v>
      </c>
      <c r="MNL615" s="5" t="s">
        <v>3728</v>
      </c>
      <c r="MNM615" s="17">
        <v>44925</v>
      </c>
      <c r="MNN615" s="5" t="s">
        <v>3728</v>
      </c>
      <c r="MNO615" s="17">
        <v>44925</v>
      </c>
      <c r="MNP615" s="5" t="s">
        <v>3728</v>
      </c>
      <c r="MNQ615" s="17">
        <v>44925</v>
      </c>
      <c r="MNR615" s="5" t="s">
        <v>3728</v>
      </c>
      <c r="MNS615" s="17">
        <v>44925</v>
      </c>
      <c r="MNT615" s="5" t="s">
        <v>3728</v>
      </c>
      <c r="MNU615" s="17">
        <v>44925</v>
      </c>
      <c r="MNV615" s="5" t="s">
        <v>3728</v>
      </c>
      <c r="MNW615" s="17">
        <v>44925</v>
      </c>
      <c r="MNX615" s="5" t="s">
        <v>3728</v>
      </c>
      <c r="MNY615" s="17">
        <v>44925</v>
      </c>
      <c r="MNZ615" s="5" t="s">
        <v>3728</v>
      </c>
      <c r="MOA615" s="17">
        <v>44925</v>
      </c>
      <c r="MOB615" s="5" t="s">
        <v>3728</v>
      </c>
      <c r="MOC615" s="17">
        <v>44925</v>
      </c>
      <c r="MOD615" s="5" t="s">
        <v>3728</v>
      </c>
      <c r="MOE615" s="17">
        <v>44925</v>
      </c>
      <c r="MOF615" s="5" t="s">
        <v>3728</v>
      </c>
      <c r="MOG615" s="17">
        <v>44925</v>
      </c>
      <c r="MOH615" s="5" t="s">
        <v>3728</v>
      </c>
      <c r="MOI615" s="17">
        <v>44925</v>
      </c>
      <c r="MOJ615" s="5" t="s">
        <v>3728</v>
      </c>
      <c r="MOK615" s="17">
        <v>44925</v>
      </c>
      <c r="MOL615" s="5" t="s">
        <v>3728</v>
      </c>
      <c r="MOM615" s="17">
        <v>44925</v>
      </c>
      <c r="MON615" s="5" t="s">
        <v>3728</v>
      </c>
      <c r="MOO615" s="17">
        <v>44925</v>
      </c>
      <c r="MOP615" s="5" t="s">
        <v>3728</v>
      </c>
      <c r="MOQ615" s="17">
        <v>44925</v>
      </c>
      <c r="MOR615" s="5" t="s">
        <v>3728</v>
      </c>
      <c r="MOS615" s="17">
        <v>44925</v>
      </c>
      <c r="MOT615" s="5" t="s">
        <v>3728</v>
      </c>
      <c r="MOU615" s="17">
        <v>44925</v>
      </c>
      <c r="MOV615" s="5" t="s">
        <v>3728</v>
      </c>
      <c r="MOW615" s="17">
        <v>44925</v>
      </c>
      <c r="MOX615" s="5" t="s">
        <v>3728</v>
      </c>
      <c r="MOY615" s="17">
        <v>44925</v>
      </c>
      <c r="MOZ615" s="5" t="s">
        <v>3728</v>
      </c>
      <c r="MPA615" s="17">
        <v>44925</v>
      </c>
      <c r="MPB615" s="5" t="s">
        <v>3728</v>
      </c>
      <c r="MPC615" s="17">
        <v>44925</v>
      </c>
      <c r="MPD615" s="5" t="s">
        <v>3728</v>
      </c>
      <c r="MPE615" s="17">
        <v>44925</v>
      </c>
      <c r="MPF615" s="5" t="s">
        <v>3728</v>
      </c>
      <c r="MPG615" s="17">
        <v>44925</v>
      </c>
      <c r="MPH615" s="5" t="s">
        <v>3728</v>
      </c>
      <c r="MPI615" s="17">
        <v>44925</v>
      </c>
      <c r="MPJ615" s="5" t="s">
        <v>3728</v>
      </c>
      <c r="MPK615" s="17">
        <v>44925</v>
      </c>
      <c r="MPL615" s="5" t="s">
        <v>3728</v>
      </c>
      <c r="MPM615" s="17">
        <v>44925</v>
      </c>
      <c r="MPN615" s="5" t="s">
        <v>3728</v>
      </c>
      <c r="MPO615" s="17">
        <v>44925</v>
      </c>
      <c r="MPP615" s="5" t="s">
        <v>3728</v>
      </c>
      <c r="MPQ615" s="17">
        <v>44925</v>
      </c>
      <c r="MPR615" s="5" t="s">
        <v>3728</v>
      </c>
      <c r="MPS615" s="17">
        <v>44925</v>
      </c>
      <c r="MPT615" s="5" t="s">
        <v>3728</v>
      </c>
      <c r="MPU615" s="17">
        <v>44925</v>
      </c>
      <c r="MPV615" s="5" t="s">
        <v>3728</v>
      </c>
      <c r="MPW615" s="17">
        <v>44925</v>
      </c>
      <c r="MPX615" s="5" t="s">
        <v>3728</v>
      </c>
      <c r="MPY615" s="17">
        <v>44925</v>
      </c>
      <c r="MPZ615" s="5" t="s">
        <v>3728</v>
      </c>
      <c r="MQA615" s="17">
        <v>44925</v>
      </c>
      <c r="MQB615" s="5" t="s">
        <v>3728</v>
      </c>
      <c r="MQC615" s="17">
        <v>44925</v>
      </c>
      <c r="MQD615" s="5" t="s">
        <v>3728</v>
      </c>
      <c r="MQE615" s="17">
        <v>44925</v>
      </c>
      <c r="MQF615" s="5" t="s">
        <v>3728</v>
      </c>
      <c r="MQG615" s="17">
        <v>44925</v>
      </c>
      <c r="MQH615" s="5" t="s">
        <v>3728</v>
      </c>
      <c r="MQI615" s="17">
        <v>44925</v>
      </c>
      <c r="MQJ615" s="5" t="s">
        <v>3728</v>
      </c>
      <c r="MQK615" s="17">
        <v>44925</v>
      </c>
      <c r="MQL615" s="5" t="s">
        <v>3728</v>
      </c>
      <c r="MQM615" s="17">
        <v>44925</v>
      </c>
      <c r="MQN615" s="5" t="s">
        <v>3728</v>
      </c>
      <c r="MQO615" s="17">
        <v>44925</v>
      </c>
      <c r="MQP615" s="5" t="s">
        <v>3728</v>
      </c>
      <c r="MQQ615" s="17">
        <v>44925</v>
      </c>
      <c r="MQR615" s="5" t="s">
        <v>3728</v>
      </c>
      <c r="MQS615" s="17">
        <v>44925</v>
      </c>
      <c r="MQT615" s="5" t="s">
        <v>3728</v>
      </c>
      <c r="MQU615" s="17">
        <v>44925</v>
      </c>
      <c r="MQV615" s="5" t="s">
        <v>3728</v>
      </c>
      <c r="MQW615" s="17">
        <v>44925</v>
      </c>
      <c r="MQX615" s="5" t="s">
        <v>3728</v>
      </c>
      <c r="MQY615" s="17">
        <v>44925</v>
      </c>
      <c r="MQZ615" s="5" t="s">
        <v>3728</v>
      </c>
      <c r="MRA615" s="17">
        <v>44925</v>
      </c>
      <c r="MRB615" s="5" t="s">
        <v>3728</v>
      </c>
      <c r="MRC615" s="17">
        <v>44925</v>
      </c>
      <c r="MRD615" s="5" t="s">
        <v>3728</v>
      </c>
      <c r="MRE615" s="17">
        <v>44925</v>
      </c>
      <c r="MRF615" s="5" t="s">
        <v>3728</v>
      </c>
      <c r="MRG615" s="17">
        <v>44925</v>
      </c>
      <c r="MRH615" s="5" t="s">
        <v>3728</v>
      </c>
      <c r="MRI615" s="17">
        <v>44925</v>
      </c>
      <c r="MRJ615" s="5" t="s">
        <v>3728</v>
      </c>
      <c r="MRK615" s="17">
        <v>44925</v>
      </c>
      <c r="MRL615" s="5" t="s">
        <v>3728</v>
      </c>
      <c r="MRM615" s="17">
        <v>44925</v>
      </c>
      <c r="MRN615" s="5" t="s">
        <v>3728</v>
      </c>
      <c r="MRO615" s="17">
        <v>44925</v>
      </c>
      <c r="MRP615" s="5" t="s">
        <v>3728</v>
      </c>
      <c r="MRQ615" s="17">
        <v>44925</v>
      </c>
      <c r="MRR615" s="5" t="s">
        <v>3728</v>
      </c>
      <c r="MRS615" s="17">
        <v>44925</v>
      </c>
      <c r="MRT615" s="5" t="s">
        <v>3728</v>
      </c>
      <c r="MRU615" s="17">
        <v>44925</v>
      </c>
      <c r="MRV615" s="5" t="s">
        <v>3728</v>
      </c>
      <c r="MRW615" s="17">
        <v>44925</v>
      </c>
      <c r="MRX615" s="5" t="s">
        <v>3728</v>
      </c>
      <c r="MRY615" s="17">
        <v>44925</v>
      </c>
      <c r="MRZ615" s="5" t="s">
        <v>3728</v>
      </c>
      <c r="MSA615" s="17">
        <v>44925</v>
      </c>
      <c r="MSB615" s="5" t="s">
        <v>3728</v>
      </c>
      <c r="MSC615" s="17">
        <v>44925</v>
      </c>
      <c r="MSD615" s="5" t="s">
        <v>3728</v>
      </c>
      <c r="MSE615" s="17">
        <v>44925</v>
      </c>
      <c r="MSF615" s="5" t="s">
        <v>3728</v>
      </c>
      <c r="MSG615" s="17">
        <v>44925</v>
      </c>
      <c r="MSH615" s="5" t="s">
        <v>3728</v>
      </c>
      <c r="MSI615" s="17">
        <v>44925</v>
      </c>
      <c r="MSJ615" s="5" t="s">
        <v>3728</v>
      </c>
      <c r="MSK615" s="17">
        <v>44925</v>
      </c>
      <c r="MSL615" s="5" t="s">
        <v>3728</v>
      </c>
      <c r="MSM615" s="17">
        <v>44925</v>
      </c>
      <c r="MSN615" s="5" t="s">
        <v>3728</v>
      </c>
      <c r="MSO615" s="17">
        <v>44925</v>
      </c>
      <c r="MSP615" s="5" t="s">
        <v>3728</v>
      </c>
      <c r="MSQ615" s="17">
        <v>44925</v>
      </c>
      <c r="MSR615" s="5" t="s">
        <v>3728</v>
      </c>
      <c r="MSS615" s="17">
        <v>44925</v>
      </c>
      <c r="MST615" s="5" t="s">
        <v>3728</v>
      </c>
      <c r="MSU615" s="17">
        <v>44925</v>
      </c>
      <c r="MSV615" s="5" t="s">
        <v>3728</v>
      </c>
      <c r="MSW615" s="17">
        <v>44925</v>
      </c>
      <c r="MSX615" s="5" t="s">
        <v>3728</v>
      </c>
      <c r="MSY615" s="17">
        <v>44925</v>
      </c>
      <c r="MSZ615" s="5" t="s">
        <v>3728</v>
      </c>
      <c r="MTA615" s="17">
        <v>44925</v>
      </c>
      <c r="MTB615" s="5" t="s">
        <v>3728</v>
      </c>
      <c r="MTC615" s="17">
        <v>44925</v>
      </c>
      <c r="MTD615" s="5" t="s">
        <v>3728</v>
      </c>
      <c r="MTE615" s="17">
        <v>44925</v>
      </c>
      <c r="MTF615" s="5" t="s">
        <v>3728</v>
      </c>
      <c r="MTG615" s="17">
        <v>44925</v>
      </c>
      <c r="MTH615" s="5" t="s">
        <v>3728</v>
      </c>
      <c r="MTI615" s="17">
        <v>44925</v>
      </c>
      <c r="MTJ615" s="5" t="s">
        <v>3728</v>
      </c>
      <c r="MTK615" s="17">
        <v>44925</v>
      </c>
      <c r="MTL615" s="5" t="s">
        <v>3728</v>
      </c>
      <c r="MTM615" s="17">
        <v>44925</v>
      </c>
      <c r="MTN615" s="5" t="s">
        <v>3728</v>
      </c>
      <c r="MTO615" s="17">
        <v>44925</v>
      </c>
      <c r="MTP615" s="5" t="s">
        <v>3728</v>
      </c>
      <c r="MTQ615" s="17">
        <v>44925</v>
      </c>
      <c r="MTR615" s="5" t="s">
        <v>3728</v>
      </c>
      <c r="MTS615" s="17">
        <v>44925</v>
      </c>
      <c r="MTT615" s="5" t="s">
        <v>3728</v>
      </c>
      <c r="MTU615" s="17">
        <v>44925</v>
      </c>
      <c r="MTV615" s="5" t="s">
        <v>3728</v>
      </c>
      <c r="MTW615" s="17">
        <v>44925</v>
      </c>
      <c r="MTX615" s="5" t="s">
        <v>3728</v>
      </c>
      <c r="MTY615" s="17">
        <v>44925</v>
      </c>
      <c r="MTZ615" s="5" t="s">
        <v>3728</v>
      </c>
      <c r="MUA615" s="17">
        <v>44925</v>
      </c>
      <c r="MUB615" s="5" t="s">
        <v>3728</v>
      </c>
      <c r="MUC615" s="17">
        <v>44925</v>
      </c>
      <c r="MUD615" s="5" t="s">
        <v>3728</v>
      </c>
      <c r="MUE615" s="17">
        <v>44925</v>
      </c>
      <c r="MUF615" s="5" t="s">
        <v>3728</v>
      </c>
      <c r="MUG615" s="17">
        <v>44925</v>
      </c>
      <c r="MUH615" s="5" t="s">
        <v>3728</v>
      </c>
      <c r="MUI615" s="17">
        <v>44925</v>
      </c>
      <c r="MUJ615" s="5" t="s">
        <v>3728</v>
      </c>
      <c r="MUK615" s="17">
        <v>44925</v>
      </c>
      <c r="MUL615" s="5" t="s">
        <v>3728</v>
      </c>
      <c r="MUM615" s="17">
        <v>44925</v>
      </c>
      <c r="MUN615" s="5" t="s">
        <v>3728</v>
      </c>
      <c r="MUO615" s="17">
        <v>44925</v>
      </c>
      <c r="MUP615" s="5" t="s">
        <v>3728</v>
      </c>
      <c r="MUQ615" s="17">
        <v>44925</v>
      </c>
      <c r="MUR615" s="5" t="s">
        <v>3728</v>
      </c>
      <c r="MUS615" s="17">
        <v>44925</v>
      </c>
      <c r="MUT615" s="5" t="s">
        <v>3728</v>
      </c>
      <c r="MUU615" s="17">
        <v>44925</v>
      </c>
      <c r="MUV615" s="5" t="s">
        <v>3728</v>
      </c>
      <c r="MUW615" s="17">
        <v>44925</v>
      </c>
      <c r="MUX615" s="5" t="s">
        <v>3728</v>
      </c>
      <c r="MUY615" s="17">
        <v>44925</v>
      </c>
      <c r="MUZ615" s="5" t="s">
        <v>3728</v>
      </c>
      <c r="MVA615" s="17">
        <v>44925</v>
      </c>
      <c r="MVB615" s="5" t="s">
        <v>3728</v>
      </c>
      <c r="MVC615" s="17">
        <v>44925</v>
      </c>
      <c r="MVD615" s="5" t="s">
        <v>3728</v>
      </c>
      <c r="MVE615" s="17">
        <v>44925</v>
      </c>
      <c r="MVF615" s="5" t="s">
        <v>3728</v>
      </c>
      <c r="MVG615" s="17">
        <v>44925</v>
      </c>
      <c r="MVH615" s="5" t="s">
        <v>3728</v>
      </c>
      <c r="MVI615" s="17">
        <v>44925</v>
      </c>
      <c r="MVJ615" s="5" t="s">
        <v>3728</v>
      </c>
      <c r="MVK615" s="17">
        <v>44925</v>
      </c>
      <c r="MVL615" s="5" t="s">
        <v>3728</v>
      </c>
      <c r="MVM615" s="17">
        <v>44925</v>
      </c>
      <c r="MVN615" s="5" t="s">
        <v>3728</v>
      </c>
      <c r="MVO615" s="17">
        <v>44925</v>
      </c>
      <c r="MVP615" s="5" t="s">
        <v>3728</v>
      </c>
      <c r="MVQ615" s="17">
        <v>44925</v>
      </c>
      <c r="MVR615" s="5" t="s">
        <v>3728</v>
      </c>
      <c r="MVS615" s="17">
        <v>44925</v>
      </c>
      <c r="MVT615" s="5" t="s">
        <v>3728</v>
      </c>
      <c r="MVU615" s="17">
        <v>44925</v>
      </c>
      <c r="MVV615" s="5" t="s">
        <v>3728</v>
      </c>
      <c r="MVW615" s="17">
        <v>44925</v>
      </c>
      <c r="MVX615" s="5" t="s">
        <v>3728</v>
      </c>
      <c r="MVY615" s="17">
        <v>44925</v>
      </c>
      <c r="MVZ615" s="5" t="s">
        <v>3728</v>
      </c>
      <c r="MWA615" s="17">
        <v>44925</v>
      </c>
      <c r="MWB615" s="5" t="s">
        <v>3728</v>
      </c>
      <c r="MWC615" s="17">
        <v>44925</v>
      </c>
      <c r="MWD615" s="5" t="s">
        <v>3728</v>
      </c>
      <c r="MWE615" s="17">
        <v>44925</v>
      </c>
      <c r="MWF615" s="5" t="s">
        <v>3728</v>
      </c>
      <c r="MWG615" s="17">
        <v>44925</v>
      </c>
      <c r="MWH615" s="5" t="s">
        <v>3728</v>
      </c>
      <c r="MWI615" s="17">
        <v>44925</v>
      </c>
      <c r="MWJ615" s="5" t="s">
        <v>3728</v>
      </c>
      <c r="MWK615" s="17">
        <v>44925</v>
      </c>
      <c r="MWL615" s="5" t="s">
        <v>3728</v>
      </c>
      <c r="MWM615" s="17">
        <v>44925</v>
      </c>
      <c r="MWN615" s="5" t="s">
        <v>3728</v>
      </c>
      <c r="MWO615" s="17">
        <v>44925</v>
      </c>
      <c r="MWP615" s="5" t="s">
        <v>3728</v>
      </c>
      <c r="MWQ615" s="17">
        <v>44925</v>
      </c>
      <c r="MWR615" s="5" t="s">
        <v>3728</v>
      </c>
      <c r="MWS615" s="17">
        <v>44925</v>
      </c>
      <c r="MWT615" s="5" t="s">
        <v>3728</v>
      </c>
      <c r="MWU615" s="17">
        <v>44925</v>
      </c>
      <c r="MWV615" s="5" t="s">
        <v>3728</v>
      </c>
      <c r="MWW615" s="17">
        <v>44925</v>
      </c>
      <c r="MWX615" s="5" t="s">
        <v>3728</v>
      </c>
      <c r="MWY615" s="17">
        <v>44925</v>
      </c>
      <c r="MWZ615" s="5" t="s">
        <v>3728</v>
      </c>
      <c r="MXA615" s="17">
        <v>44925</v>
      </c>
      <c r="MXB615" s="5" t="s">
        <v>3728</v>
      </c>
      <c r="MXC615" s="17">
        <v>44925</v>
      </c>
      <c r="MXD615" s="5" t="s">
        <v>3728</v>
      </c>
      <c r="MXE615" s="17">
        <v>44925</v>
      </c>
      <c r="MXF615" s="5" t="s">
        <v>3728</v>
      </c>
      <c r="MXG615" s="17">
        <v>44925</v>
      </c>
      <c r="MXH615" s="5" t="s">
        <v>3728</v>
      </c>
      <c r="MXI615" s="17">
        <v>44925</v>
      </c>
      <c r="MXJ615" s="5" t="s">
        <v>3728</v>
      </c>
      <c r="MXK615" s="17">
        <v>44925</v>
      </c>
      <c r="MXL615" s="5" t="s">
        <v>3728</v>
      </c>
      <c r="MXM615" s="17">
        <v>44925</v>
      </c>
      <c r="MXN615" s="5" t="s">
        <v>3728</v>
      </c>
      <c r="MXO615" s="17">
        <v>44925</v>
      </c>
      <c r="MXP615" s="5" t="s">
        <v>3728</v>
      </c>
      <c r="MXQ615" s="17">
        <v>44925</v>
      </c>
      <c r="MXR615" s="5" t="s">
        <v>3728</v>
      </c>
      <c r="MXS615" s="17">
        <v>44925</v>
      </c>
      <c r="MXT615" s="5" t="s">
        <v>3728</v>
      </c>
      <c r="MXU615" s="17">
        <v>44925</v>
      </c>
      <c r="MXV615" s="5" t="s">
        <v>3728</v>
      </c>
      <c r="MXW615" s="17">
        <v>44925</v>
      </c>
      <c r="MXX615" s="5" t="s">
        <v>3728</v>
      </c>
      <c r="MXY615" s="17">
        <v>44925</v>
      </c>
      <c r="MXZ615" s="5" t="s">
        <v>3728</v>
      </c>
      <c r="MYA615" s="17">
        <v>44925</v>
      </c>
      <c r="MYB615" s="5" t="s">
        <v>3728</v>
      </c>
      <c r="MYC615" s="17">
        <v>44925</v>
      </c>
      <c r="MYD615" s="5" t="s">
        <v>3728</v>
      </c>
      <c r="MYE615" s="17">
        <v>44925</v>
      </c>
      <c r="MYF615" s="5" t="s">
        <v>3728</v>
      </c>
      <c r="MYG615" s="17">
        <v>44925</v>
      </c>
      <c r="MYH615" s="5" t="s">
        <v>3728</v>
      </c>
      <c r="MYI615" s="17">
        <v>44925</v>
      </c>
      <c r="MYJ615" s="5" t="s">
        <v>3728</v>
      </c>
      <c r="MYK615" s="17">
        <v>44925</v>
      </c>
      <c r="MYL615" s="5" t="s">
        <v>3728</v>
      </c>
      <c r="MYM615" s="17">
        <v>44925</v>
      </c>
      <c r="MYN615" s="5" t="s">
        <v>3728</v>
      </c>
      <c r="MYO615" s="17">
        <v>44925</v>
      </c>
      <c r="MYP615" s="5" t="s">
        <v>3728</v>
      </c>
      <c r="MYQ615" s="17">
        <v>44925</v>
      </c>
      <c r="MYR615" s="5" t="s">
        <v>3728</v>
      </c>
      <c r="MYS615" s="17">
        <v>44925</v>
      </c>
      <c r="MYT615" s="5" t="s">
        <v>3728</v>
      </c>
      <c r="MYU615" s="17">
        <v>44925</v>
      </c>
      <c r="MYV615" s="5" t="s">
        <v>3728</v>
      </c>
      <c r="MYW615" s="17">
        <v>44925</v>
      </c>
      <c r="MYX615" s="5" t="s">
        <v>3728</v>
      </c>
      <c r="MYY615" s="17">
        <v>44925</v>
      </c>
      <c r="MYZ615" s="5" t="s">
        <v>3728</v>
      </c>
      <c r="MZA615" s="17">
        <v>44925</v>
      </c>
      <c r="MZB615" s="5" t="s">
        <v>3728</v>
      </c>
      <c r="MZC615" s="17">
        <v>44925</v>
      </c>
      <c r="MZD615" s="5" t="s">
        <v>3728</v>
      </c>
      <c r="MZE615" s="17">
        <v>44925</v>
      </c>
      <c r="MZF615" s="5" t="s">
        <v>3728</v>
      </c>
      <c r="MZG615" s="17">
        <v>44925</v>
      </c>
      <c r="MZH615" s="5" t="s">
        <v>3728</v>
      </c>
      <c r="MZI615" s="17">
        <v>44925</v>
      </c>
      <c r="MZJ615" s="5" t="s">
        <v>3728</v>
      </c>
      <c r="MZK615" s="17">
        <v>44925</v>
      </c>
      <c r="MZL615" s="5" t="s">
        <v>3728</v>
      </c>
      <c r="MZM615" s="17">
        <v>44925</v>
      </c>
      <c r="MZN615" s="5" t="s">
        <v>3728</v>
      </c>
      <c r="MZO615" s="17">
        <v>44925</v>
      </c>
      <c r="MZP615" s="5" t="s">
        <v>3728</v>
      </c>
      <c r="MZQ615" s="17">
        <v>44925</v>
      </c>
      <c r="MZR615" s="5" t="s">
        <v>3728</v>
      </c>
      <c r="MZS615" s="17">
        <v>44925</v>
      </c>
      <c r="MZT615" s="5" t="s">
        <v>3728</v>
      </c>
      <c r="MZU615" s="17">
        <v>44925</v>
      </c>
      <c r="MZV615" s="5" t="s">
        <v>3728</v>
      </c>
      <c r="MZW615" s="17">
        <v>44925</v>
      </c>
      <c r="MZX615" s="5" t="s">
        <v>3728</v>
      </c>
      <c r="MZY615" s="17">
        <v>44925</v>
      </c>
      <c r="MZZ615" s="5" t="s">
        <v>3728</v>
      </c>
      <c r="NAA615" s="17">
        <v>44925</v>
      </c>
      <c r="NAB615" s="5" t="s">
        <v>3728</v>
      </c>
      <c r="NAC615" s="17">
        <v>44925</v>
      </c>
      <c r="NAD615" s="5" t="s">
        <v>3728</v>
      </c>
      <c r="NAE615" s="17">
        <v>44925</v>
      </c>
      <c r="NAF615" s="5" t="s">
        <v>3728</v>
      </c>
      <c r="NAG615" s="17">
        <v>44925</v>
      </c>
      <c r="NAH615" s="5" t="s">
        <v>3728</v>
      </c>
      <c r="NAI615" s="17">
        <v>44925</v>
      </c>
      <c r="NAJ615" s="5" t="s">
        <v>3728</v>
      </c>
      <c r="NAK615" s="17">
        <v>44925</v>
      </c>
      <c r="NAL615" s="5" t="s">
        <v>3728</v>
      </c>
      <c r="NAM615" s="17">
        <v>44925</v>
      </c>
      <c r="NAN615" s="5" t="s">
        <v>3728</v>
      </c>
      <c r="NAO615" s="17">
        <v>44925</v>
      </c>
      <c r="NAP615" s="5" t="s">
        <v>3728</v>
      </c>
      <c r="NAQ615" s="17">
        <v>44925</v>
      </c>
      <c r="NAR615" s="5" t="s">
        <v>3728</v>
      </c>
      <c r="NAS615" s="17">
        <v>44925</v>
      </c>
      <c r="NAT615" s="5" t="s">
        <v>3728</v>
      </c>
      <c r="NAU615" s="17">
        <v>44925</v>
      </c>
      <c r="NAV615" s="5" t="s">
        <v>3728</v>
      </c>
      <c r="NAW615" s="17">
        <v>44925</v>
      </c>
      <c r="NAX615" s="5" t="s">
        <v>3728</v>
      </c>
      <c r="NAY615" s="17">
        <v>44925</v>
      </c>
      <c r="NAZ615" s="5" t="s">
        <v>3728</v>
      </c>
      <c r="NBA615" s="17">
        <v>44925</v>
      </c>
      <c r="NBB615" s="5" t="s">
        <v>3728</v>
      </c>
      <c r="NBC615" s="17">
        <v>44925</v>
      </c>
      <c r="NBD615" s="5" t="s">
        <v>3728</v>
      </c>
      <c r="NBE615" s="17">
        <v>44925</v>
      </c>
      <c r="NBF615" s="5" t="s">
        <v>3728</v>
      </c>
      <c r="NBG615" s="17">
        <v>44925</v>
      </c>
      <c r="NBH615" s="5" t="s">
        <v>3728</v>
      </c>
      <c r="NBI615" s="17">
        <v>44925</v>
      </c>
      <c r="NBJ615" s="5" t="s">
        <v>3728</v>
      </c>
      <c r="NBK615" s="17">
        <v>44925</v>
      </c>
      <c r="NBL615" s="5" t="s">
        <v>3728</v>
      </c>
      <c r="NBM615" s="17">
        <v>44925</v>
      </c>
      <c r="NBN615" s="5" t="s">
        <v>3728</v>
      </c>
      <c r="NBO615" s="17">
        <v>44925</v>
      </c>
      <c r="NBP615" s="5" t="s">
        <v>3728</v>
      </c>
      <c r="NBQ615" s="17">
        <v>44925</v>
      </c>
      <c r="NBR615" s="5" t="s">
        <v>3728</v>
      </c>
      <c r="NBS615" s="17">
        <v>44925</v>
      </c>
      <c r="NBT615" s="5" t="s">
        <v>3728</v>
      </c>
      <c r="NBU615" s="17">
        <v>44925</v>
      </c>
      <c r="NBV615" s="5" t="s">
        <v>3728</v>
      </c>
      <c r="NBW615" s="17">
        <v>44925</v>
      </c>
      <c r="NBX615" s="5" t="s">
        <v>3728</v>
      </c>
      <c r="NBY615" s="17">
        <v>44925</v>
      </c>
      <c r="NBZ615" s="5" t="s">
        <v>3728</v>
      </c>
      <c r="NCA615" s="17">
        <v>44925</v>
      </c>
      <c r="NCB615" s="5" t="s">
        <v>3728</v>
      </c>
      <c r="NCC615" s="17">
        <v>44925</v>
      </c>
      <c r="NCD615" s="5" t="s">
        <v>3728</v>
      </c>
      <c r="NCE615" s="17">
        <v>44925</v>
      </c>
      <c r="NCF615" s="5" t="s">
        <v>3728</v>
      </c>
      <c r="NCG615" s="17">
        <v>44925</v>
      </c>
      <c r="NCH615" s="5" t="s">
        <v>3728</v>
      </c>
      <c r="NCI615" s="17">
        <v>44925</v>
      </c>
      <c r="NCJ615" s="5" t="s">
        <v>3728</v>
      </c>
      <c r="NCK615" s="17">
        <v>44925</v>
      </c>
      <c r="NCL615" s="5" t="s">
        <v>3728</v>
      </c>
      <c r="NCM615" s="17">
        <v>44925</v>
      </c>
      <c r="NCN615" s="5" t="s">
        <v>3728</v>
      </c>
      <c r="NCO615" s="17">
        <v>44925</v>
      </c>
      <c r="NCP615" s="5" t="s">
        <v>3728</v>
      </c>
      <c r="NCQ615" s="17">
        <v>44925</v>
      </c>
      <c r="NCR615" s="5" t="s">
        <v>3728</v>
      </c>
      <c r="NCS615" s="17">
        <v>44925</v>
      </c>
      <c r="NCT615" s="5" t="s">
        <v>3728</v>
      </c>
      <c r="NCU615" s="17">
        <v>44925</v>
      </c>
      <c r="NCV615" s="5" t="s">
        <v>3728</v>
      </c>
      <c r="NCW615" s="17">
        <v>44925</v>
      </c>
      <c r="NCX615" s="5" t="s">
        <v>3728</v>
      </c>
      <c r="NCY615" s="17">
        <v>44925</v>
      </c>
      <c r="NCZ615" s="5" t="s">
        <v>3728</v>
      </c>
      <c r="NDA615" s="17">
        <v>44925</v>
      </c>
      <c r="NDB615" s="5" t="s">
        <v>3728</v>
      </c>
      <c r="NDC615" s="17">
        <v>44925</v>
      </c>
      <c r="NDD615" s="5" t="s">
        <v>3728</v>
      </c>
      <c r="NDE615" s="17">
        <v>44925</v>
      </c>
      <c r="NDF615" s="5" t="s">
        <v>3728</v>
      </c>
      <c r="NDG615" s="17">
        <v>44925</v>
      </c>
      <c r="NDH615" s="5" t="s">
        <v>3728</v>
      </c>
      <c r="NDI615" s="17">
        <v>44925</v>
      </c>
      <c r="NDJ615" s="5" t="s">
        <v>3728</v>
      </c>
      <c r="NDK615" s="17">
        <v>44925</v>
      </c>
      <c r="NDL615" s="5" t="s">
        <v>3728</v>
      </c>
      <c r="NDM615" s="17">
        <v>44925</v>
      </c>
      <c r="NDN615" s="5" t="s">
        <v>3728</v>
      </c>
      <c r="NDO615" s="17">
        <v>44925</v>
      </c>
      <c r="NDP615" s="5" t="s">
        <v>3728</v>
      </c>
      <c r="NDQ615" s="17">
        <v>44925</v>
      </c>
      <c r="NDR615" s="5" t="s">
        <v>3728</v>
      </c>
      <c r="NDS615" s="17">
        <v>44925</v>
      </c>
      <c r="NDT615" s="5" t="s">
        <v>3728</v>
      </c>
      <c r="NDU615" s="17">
        <v>44925</v>
      </c>
      <c r="NDV615" s="5" t="s">
        <v>3728</v>
      </c>
      <c r="NDW615" s="17">
        <v>44925</v>
      </c>
      <c r="NDX615" s="5" t="s">
        <v>3728</v>
      </c>
      <c r="NDY615" s="17">
        <v>44925</v>
      </c>
      <c r="NDZ615" s="5" t="s">
        <v>3728</v>
      </c>
      <c r="NEA615" s="17">
        <v>44925</v>
      </c>
      <c r="NEB615" s="5" t="s">
        <v>3728</v>
      </c>
      <c r="NEC615" s="17">
        <v>44925</v>
      </c>
      <c r="NED615" s="5" t="s">
        <v>3728</v>
      </c>
      <c r="NEE615" s="17">
        <v>44925</v>
      </c>
      <c r="NEF615" s="5" t="s">
        <v>3728</v>
      </c>
      <c r="NEG615" s="17">
        <v>44925</v>
      </c>
      <c r="NEH615" s="5" t="s">
        <v>3728</v>
      </c>
      <c r="NEI615" s="17">
        <v>44925</v>
      </c>
      <c r="NEJ615" s="5" t="s">
        <v>3728</v>
      </c>
      <c r="NEK615" s="17">
        <v>44925</v>
      </c>
      <c r="NEL615" s="5" t="s">
        <v>3728</v>
      </c>
      <c r="NEM615" s="17">
        <v>44925</v>
      </c>
      <c r="NEN615" s="5" t="s">
        <v>3728</v>
      </c>
      <c r="NEO615" s="17">
        <v>44925</v>
      </c>
      <c r="NEP615" s="5" t="s">
        <v>3728</v>
      </c>
      <c r="NEQ615" s="17">
        <v>44925</v>
      </c>
      <c r="NER615" s="5" t="s">
        <v>3728</v>
      </c>
      <c r="NES615" s="17">
        <v>44925</v>
      </c>
      <c r="NET615" s="5" t="s">
        <v>3728</v>
      </c>
      <c r="NEU615" s="17">
        <v>44925</v>
      </c>
      <c r="NEV615" s="5" t="s">
        <v>3728</v>
      </c>
      <c r="NEW615" s="17">
        <v>44925</v>
      </c>
      <c r="NEX615" s="5" t="s">
        <v>3728</v>
      </c>
      <c r="NEY615" s="17">
        <v>44925</v>
      </c>
      <c r="NEZ615" s="5" t="s">
        <v>3728</v>
      </c>
      <c r="NFA615" s="17">
        <v>44925</v>
      </c>
      <c r="NFB615" s="5" t="s">
        <v>3728</v>
      </c>
      <c r="NFC615" s="17">
        <v>44925</v>
      </c>
      <c r="NFD615" s="5" t="s">
        <v>3728</v>
      </c>
      <c r="NFE615" s="17">
        <v>44925</v>
      </c>
      <c r="NFF615" s="5" t="s">
        <v>3728</v>
      </c>
      <c r="NFG615" s="17">
        <v>44925</v>
      </c>
      <c r="NFH615" s="5" t="s">
        <v>3728</v>
      </c>
      <c r="NFI615" s="17">
        <v>44925</v>
      </c>
      <c r="NFJ615" s="5" t="s">
        <v>3728</v>
      </c>
      <c r="NFK615" s="17">
        <v>44925</v>
      </c>
      <c r="NFL615" s="5" t="s">
        <v>3728</v>
      </c>
      <c r="NFM615" s="17">
        <v>44925</v>
      </c>
      <c r="NFN615" s="5" t="s">
        <v>3728</v>
      </c>
      <c r="NFO615" s="17">
        <v>44925</v>
      </c>
      <c r="NFP615" s="5" t="s">
        <v>3728</v>
      </c>
      <c r="NFQ615" s="17">
        <v>44925</v>
      </c>
      <c r="NFR615" s="5" t="s">
        <v>3728</v>
      </c>
      <c r="NFS615" s="17">
        <v>44925</v>
      </c>
      <c r="NFT615" s="5" t="s">
        <v>3728</v>
      </c>
      <c r="NFU615" s="17">
        <v>44925</v>
      </c>
      <c r="NFV615" s="5" t="s">
        <v>3728</v>
      </c>
      <c r="NFW615" s="17">
        <v>44925</v>
      </c>
      <c r="NFX615" s="5" t="s">
        <v>3728</v>
      </c>
      <c r="NFY615" s="17">
        <v>44925</v>
      </c>
      <c r="NFZ615" s="5" t="s">
        <v>3728</v>
      </c>
      <c r="NGA615" s="17">
        <v>44925</v>
      </c>
      <c r="NGB615" s="5" t="s">
        <v>3728</v>
      </c>
      <c r="NGC615" s="17">
        <v>44925</v>
      </c>
      <c r="NGD615" s="5" t="s">
        <v>3728</v>
      </c>
      <c r="NGE615" s="17">
        <v>44925</v>
      </c>
      <c r="NGF615" s="5" t="s">
        <v>3728</v>
      </c>
      <c r="NGG615" s="17">
        <v>44925</v>
      </c>
      <c r="NGH615" s="5" t="s">
        <v>3728</v>
      </c>
      <c r="NGI615" s="17">
        <v>44925</v>
      </c>
      <c r="NGJ615" s="5" t="s">
        <v>3728</v>
      </c>
      <c r="NGK615" s="17">
        <v>44925</v>
      </c>
      <c r="NGL615" s="5" t="s">
        <v>3728</v>
      </c>
      <c r="NGM615" s="17">
        <v>44925</v>
      </c>
      <c r="NGN615" s="5" t="s">
        <v>3728</v>
      </c>
      <c r="NGO615" s="17">
        <v>44925</v>
      </c>
      <c r="NGP615" s="5" t="s">
        <v>3728</v>
      </c>
      <c r="NGQ615" s="17">
        <v>44925</v>
      </c>
      <c r="NGR615" s="5" t="s">
        <v>3728</v>
      </c>
      <c r="NGS615" s="17">
        <v>44925</v>
      </c>
      <c r="NGT615" s="5" t="s">
        <v>3728</v>
      </c>
      <c r="NGU615" s="17">
        <v>44925</v>
      </c>
      <c r="NGV615" s="5" t="s">
        <v>3728</v>
      </c>
      <c r="NGW615" s="17">
        <v>44925</v>
      </c>
      <c r="NGX615" s="5" t="s">
        <v>3728</v>
      </c>
      <c r="NGY615" s="17">
        <v>44925</v>
      </c>
      <c r="NGZ615" s="5" t="s">
        <v>3728</v>
      </c>
      <c r="NHA615" s="17">
        <v>44925</v>
      </c>
      <c r="NHB615" s="5" t="s">
        <v>3728</v>
      </c>
      <c r="NHC615" s="17">
        <v>44925</v>
      </c>
      <c r="NHD615" s="5" t="s">
        <v>3728</v>
      </c>
      <c r="NHE615" s="17">
        <v>44925</v>
      </c>
      <c r="NHF615" s="5" t="s">
        <v>3728</v>
      </c>
      <c r="NHG615" s="17">
        <v>44925</v>
      </c>
      <c r="NHH615" s="5" t="s">
        <v>3728</v>
      </c>
      <c r="NHI615" s="17">
        <v>44925</v>
      </c>
      <c r="NHJ615" s="5" t="s">
        <v>3728</v>
      </c>
      <c r="NHK615" s="17">
        <v>44925</v>
      </c>
      <c r="NHL615" s="5" t="s">
        <v>3728</v>
      </c>
      <c r="NHM615" s="17">
        <v>44925</v>
      </c>
      <c r="NHN615" s="5" t="s">
        <v>3728</v>
      </c>
      <c r="NHO615" s="17">
        <v>44925</v>
      </c>
      <c r="NHP615" s="5" t="s">
        <v>3728</v>
      </c>
      <c r="NHQ615" s="17">
        <v>44925</v>
      </c>
      <c r="NHR615" s="5" t="s">
        <v>3728</v>
      </c>
      <c r="NHS615" s="17">
        <v>44925</v>
      </c>
      <c r="NHT615" s="5" t="s">
        <v>3728</v>
      </c>
      <c r="NHU615" s="17">
        <v>44925</v>
      </c>
      <c r="NHV615" s="5" t="s">
        <v>3728</v>
      </c>
      <c r="NHW615" s="17">
        <v>44925</v>
      </c>
      <c r="NHX615" s="5" t="s">
        <v>3728</v>
      </c>
      <c r="NHY615" s="17">
        <v>44925</v>
      </c>
      <c r="NHZ615" s="5" t="s">
        <v>3728</v>
      </c>
      <c r="NIA615" s="17">
        <v>44925</v>
      </c>
      <c r="NIB615" s="5" t="s">
        <v>3728</v>
      </c>
      <c r="NIC615" s="17">
        <v>44925</v>
      </c>
      <c r="NID615" s="5" t="s">
        <v>3728</v>
      </c>
      <c r="NIE615" s="17">
        <v>44925</v>
      </c>
      <c r="NIF615" s="5" t="s">
        <v>3728</v>
      </c>
      <c r="NIG615" s="17">
        <v>44925</v>
      </c>
      <c r="NIH615" s="5" t="s">
        <v>3728</v>
      </c>
      <c r="NII615" s="17">
        <v>44925</v>
      </c>
      <c r="NIJ615" s="5" t="s">
        <v>3728</v>
      </c>
      <c r="NIK615" s="17">
        <v>44925</v>
      </c>
      <c r="NIL615" s="5" t="s">
        <v>3728</v>
      </c>
      <c r="NIM615" s="17">
        <v>44925</v>
      </c>
      <c r="NIN615" s="5" t="s">
        <v>3728</v>
      </c>
      <c r="NIO615" s="17">
        <v>44925</v>
      </c>
      <c r="NIP615" s="5" t="s">
        <v>3728</v>
      </c>
      <c r="NIQ615" s="17">
        <v>44925</v>
      </c>
      <c r="NIR615" s="5" t="s">
        <v>3728</v>
      </c>
      <c r="NIS615" s="17">
        <v>44925</v>
      </c>
      <c r="NIT615" s="5" t="s">
        <v>3728</v>
      </c>
      <c r="NIU615" s="17">
        <v>44925</v>
      </c>
      <c r="NIV615" s="5" t="s">
        <v>3728</v>
      </c>
      <c r="NIW615" s="17">
        <v>44925</v>
      </c>
      <c r="NIX615" s="5" t="s">
        <v>3728</v>
      </c>
      <c r="NIY615" s="17">
        <v>44925</v>
      </c>
      <c r="NIZ615" s="5" t="s">
        <v>3728</v>
      </c>
      <c r="NJA615" s="17">
        <v>44925</v>
      </c>
      <c r="NJB615" s="5" t="s">
        <v>3728</v>
      </c>
      <c r="NJC615" s="17">
        <v>44925</v>
      </c>
      <c r="NJD615" s="5" t="s">
        <v>3728</v>
      </c>
      <c r="NJE615" s="17">
        <v>44925</v>
      </c>
      <c r="NJF615" s="5" t="s">
        <v>3728</v>
      </c>
      <c r="NJG615" s="17">
        <v>44925</v>
      </c>
      <c r="NJH615" s="5" t="s">
        <v>3728</v>
      </c>
      <c r="NJI615" s="17">
        <v>44925</v>
      </c>
      <c r="NJJ615" s="5" t="s">
        <v>3728</v>
      </c>
      <c r="NJK615" s="17">
        <v>44925</v>
      </c>
      <c r="NJL615" s="5" t="s">
        <v>3728</v>
      </c>
      <c r="NJM615" s="17">
        <v>44925</v>
      </c>
      <c r="NJN615" s="5" t="s">
        <v>3728</v>
      </c>
      <c r="NJO615" s="17">
        <v>44925</v>
      </c>
      <c r="NJP615" s="5" t="s">
        <v>3728</v>
      </c>
      <c r="NJQ615" s="17">
        <v>44925</v>
      </c>
      <c r="NJR615" s="5" t="s">
        <v>3728</v>
      </c>
      <c r="NJS615" s="17">
        <v>44925</v>
      </c>
      <c r="NJT615" s="5" t="s">
        <v>3728</v>
      </c>
      <c r="NJU615" s="17">
        <v>44925</v>
      </c>
      <c r="NJV615" s="5" t="s">
        <v>3728</v>
      </c>
      <c r="NJW615" s="17">
        <v>44925</v>
      </c>
      <c r="NJX615" s="5" t="s">
        <v>3728</v>
      </c>
      <c r="NJY615" s="17">
        <v>44925</v>
      </c>
      <c r="NJZ615" s="5" t="s">
        <v>3728</v>
      </c>
      <c r="NKA615" s="17">
        <v>44925</v>
      </c>
      <c r="NKB615" s="5" t="s">
        <v>3728</v>
      </c>
      <c r="NKC615" s="17">
        <v>44925</v>
      </c>
      <c r="NKD615" s="5" t="s">
        <v>3728</v>
      </c>
      <c r="NKE615" s="17">
        <v>44925</v>
      </c>
      <c r="NKF615" s="5" t="s">
        <v>3728</v>
      </c>
      <c r="NKG615" s="17">
        <v>44925</v>
      </c>
      <c r="NKH615" s="5" t="s">
        <v>3728</v>
      </c>
      <c r="NKI615" s="17">
        <v>44925</v>
      </c>
      <c r="NKJ615" s="5" t="s">
        <v>3728</v>
      </c>
      <c r="NKK615" s="17">
        <v>44925</v>
      </c>
      <c r="NKL615" s="5" t="s">
        <v>3728</v>
      </c>
      <c r="NKM615" s="17">
        <v>44925</v>
      </c>
      <c r="NKN615" s="5" t="s">
        <v>3728</v>
      </c>
      <c r="NKO615" s="17">
        <v>44925</v>
      </c>
      <c r="NKP615" s="5" t="s">
        <v>3728</v>
      </c>
      <c r="NKQ615" s="17">
        <v>44925</v>
      </c>
      <c r="NKR615" s="5" t="s">
        <v>3728</v>
      </c>
      <c r="NKS615" s="17">
        <v>44925</v>
      </c>
      <c r="NKT615" s="5" t="s">
        <v>3728</v>
      </c>
      <c r="NKU615" s="17">
        <v>44925</v>
      </c>
      <c r="NKV615" s="5" t="s">
        <v>3728</v>
      </c>
      <c r="NKW615" s="17">
        <v>44925</v>
      </c>
      <c r="NKX615" s="5" t="s">
        <v>3728</v>
      </c>
      <c r="NKY615" s="17">
        <v>44925</v>
      </c>
      <c r="NKZ615" s="5" t="s">
        <v>3728</v>
      </c>
      <c r="NLA615" s="17">
        <v>44925</v>
      </c>
      <c r="NLB615" s="5" t="s">
        <v>3728</v>
      </c>
      <c r="NLC615" s="17">
        <v>44925</v>
      </c>
      <c r="NLD615" s="5" t="s">
        <v>3728</v>
      </c>
      <c r="NLE615" s="17">
        <v>44925</v>
      </c>
      <c r="NLF615" s="5" t="s">
        <v>3728</v>
      </c>
      <c r="NLG615" s="17">
        <v>44925</v>
      </c>
      <c r="NLH615" s="5" t="s">
        <v>3728</v>
      </c>
      <c r="NLI615" s="17">
        <v>44925</v>
      </c>
      <c r="NLJ615" s="5" t="s">
        <v>3728</v>
      </c>
      <c r="NLK615" s="17">
        <v>44925</v>
      </c>
      <c r="NLL615" s="5" t="s">
        <v>3728</v>
      </c>
      <c r="NLM615" s="17">
        <v>44925</v>
      </c>
      <c r="NLN615" s="5" t="s">
        <v>3728</v>
      </c>
      <c r="NLO615" s="17">
        <v>44925</v>
      </c>
      <c r="NLP615" s="5" t="s">
        <v>3728</v>
      </c>
      <c r="NLQ615" s="17">
        <v>44925</v>
      </c>
      <c r="NLR615" s="5" t="s">
        <v>3728</v>
      </c>
      <c r="NLS615" s="17">
        <v>44925</v>
      </c>
      <c r="NLT615" s="5" t="s">
        <v>3728</v>
      </c>
      <c r="NLU615" s="17">
        <v>44925</v>
      </c>
      <c r="NLV615" s="5" t="s">
        <v>3728</v>
      </c>
      <c r="NLW615" s="17">
        <v>44925</v>
      </c>
      <c r="NLX615" s="5" t="s">
        <v>3728</v>
      </c>
      <c r="NLY615" s="17">
        <v>44925</v>
      </c>
      <c r="NLZ615" s="5" t="s">
        <v>3728</v>
      </c>
      <c r="NMA615" s="17">
        <v>44925</v>
      </c>
      <c r="NMB615" s="5" t="s">
        <v>3728</v>
      </c>
      <c r="NMC615" s="17">
        <v>44925</v>
      </c>
      <c r="NMD615" s="5" t="s">
        <v>3728</v>
      </c>
      <c r="NME615" s="17">
        <v>44925</v>
      </c>
      <c r="NMF615" s="5" t="s">
        <v>3728</v>
      </c>
      <c r="NMG615" s="17">
        <v>44925</v>
      </c>
      <c r="NMH615" s="5" t="s">
        <v>3728</v>
      </c>
      <c r="NMI615" s="17">
        <v>44925</v>
      </c>
      <c r="NMJ615" s="5" t="s">
        <v>3728</v>
      </c>
      <c r="NMK615" s="17">
        <v>44925</v>
      </c>
      <c r="NML615" s="5" t="s">
        <v>3728</v>
      </c>
      <c r="NMM615" s="17">
        <v>44925</v>
      </c>
      <c r="NMN615" s="5" t="s">
        <v>3728</v>
      </c>
      <c r="NMO615" s="17">
        <v>44925</v>
      </c>
      <c r="NMP615" s="5" t="s">
        <v>3728</v>
      </c>
      <c r="NMQ615" s="17">
        <v>44925</v>
      </c>
      <c r="NMR615" s="5" t="s">
        <v>3728</v>
      </c>
      <c r="NMS615" s="17">
        <v>44925</v>
      </c>
      <c r="NMT615" s="5" t="s">
        <v>3728</v>
      </c>
      <c r="NMU615" s="17">
        <v>44925</v>
      </c>
      <c r="NMV615" s="5" t="s">
        <v>3728</v>
      </c>
      <c r="NMW615" s="17">
        <v>44925</v>
      </c>
      <c r="NMX615" s="5" t="s">
        <v>3728</v>
      </c>
      <c r="NMY615" s="17">
        <v>44925</v>
      </c>
      <c r="NMZ615" s="5" t="s">
        <v>3728</v>
      </c>
      <c r="NNA615" s="17">
        <v>44925</v>
      </c>
      <c r="NNB615" s="5" t="s">
        <v>3728</v>
      </c>
      <c r="NNC615" s="17">
        <v>44925</v>
      </c>
      <c r="NND615" s="5" t="s">
        <v>3728</v>
      </c>
      <c r="NNE615" s="17">
        <v>44925</v>
      </c>
      <c r="NNF615" s="5" t="s">
        <v>3728</v>
      </c>
      <c r="NNG615" s="17">
        <v>44925</v>
      </c>
      <c r="NNH615" s="5" t="s">
        <v>3728</v>
      </c>
      <c r="NNI615" s="17">
        <v>44925</v>
      </c>
      <c r="NNJ615" s="5" t="s">
        <v>3728</v>
      </c>
      <c r="NNK615" s="17">
        <v>44925</v>
      </c>
      <c r="NNL615" s="5" t="s">
        <v>3728</v>
      </c>
      <c r="NNM615" s="17">
        <v>44925</v>
      </c>
      <c r="NNN615" s="5" t="s">
        <v>3728</v>
      </c>
      <c r="NNO615" s="17">
        <v>44925</v>
      </c>
      <c r="NNP615" s="5" t="s">
        <v>3728</v>
      </c>
      <c r="NNQ615" s="17">
        <v>44925</v>
      </c>
      <c r="NNR615" s="5" t="s">
        <v>3728</v>
      </c>
      <c r="NNS615" s="17">
        <v>44925</v>
      </c>
      <c r="NNT615" s="5" t="s">
        <v>3728</v>
      </c>
      <c r="NNU615" s="17">
        <v>44925</v>
      </c>
      <c r="NNV615" s="5" t="s">
        <v>3728</v>
      </c>
      <c r="NNW615" s="17">
        <v>44925</v>
      </c>
      <c r="NNX615" s="5" t="s">
        <v>3728</v>
      </c>
      <c r="NNY615" s="17">
        <v>44925</v>
      </c>
      <c r="NNZ615" s="5" t="s">
        <v>3728</v>
      </c>
      <c r="NOA615" s="17">
        <v>44925</v>
      </c>
      <c r="NOB615" s="5" t="s">
        <v>3728</v>
      </c>
      <c r="NOC615" s="17">
        <v>44925</v>
      </c>
      <c r="NOD615" s="5" t="s">
        <v>3728</v>
      </c>
      <c r="NOE615" s="17">
        <v>44925</v>
      </c>
      <c r="NOF615" s="5" t="s">
        <v>3728</v>
      </c>
      <c r="NOG615" s="17">
        <v>44925</v>
      </c>
      <c r="NOH615" s="5" t="s">
        <v>3728</v>
      </c>
      <c r="NOI615" s="17">
        <v>44925</v>
      </c>
      <c r="NOJ615" s="5" t="s">
        <v>3728</v>
      </c>
      <c r="NOK615" s="17">
        <v>44925</v>
      </c>
      <c r="NOL615" s="5" t="s">
        <v>3728</v>
      </c>
      <c r="NOM615" s="17">
        <v>44925</v>
      </c>
      <c r="NON615" s="5" t="s">
        <v>3728</v>
      </c>
      <c r="NOO615" s="17">
        <v>44925</v>
      </c>
      <c r="NOP615" s="5" t="s">
        <v>3728</v>
      </c>
      <c r="NOQ615" s="17">
        <v>44925</v>
      </c>
      <c r="NOR615" s="5" t="s">
        <v>3728</v>
      </c>
      <c r="NOS615" s="17">
        <v>44925</v>
      </c>
      <c r="NOT615" s="5" t="s">
        <v>3728</v>
      </c>
      <c r="NOU615" s="17">
        <v>44925</v>
      </c>
      <c r="NOV615" s="5" t="s">
        <v>3728</v>
      </c>
      <c r="NOW615" s="17">
        <v>44925</v>
      </c>
      <c r="NOX615" s="5" t="s">
        <v>3728</v>
      </c>
      <c r="NOY615" s="17">
        <v>44925</v>
      </c>
      <c r="NOZ615" s="5" t="s">
        <v>3728</v>
      </c>
      <c r="NPA615" s="17">
        <v>44925</v>
      </c>
      <c r="NPB615" s="5" t="s">
        <v>3728</v>
      </c>
      <c r="NPC615" s="17">
        <v>44925</v>
      </c>
      <c r="NPD615" s="5" t="s">
        <v>3728</v>
      </c>
      <c r="NPE615" s="17">
        <v>44925</v>
      </c>
      <c r="NPF615" s="5" t="s">
        <v>3728</v>
      </c>
      <c r="NPG615" s="17">
        <v>44925</v>
      </c>
      <c r="NPH615" s="5" t="s">
        <v>3728</v>
      </c>
      <c r="NPI615" s="17">
        <v>44925</v>
      </c>
      <c r="NPJ615" s="5" t="s">
        <v>3728</v>
      </c>
      <c r="NPK615" s="17">
        <v>44925</v>
      </c>
      <c r="NPL615" s="5" t="s">
        <v>3728</v>
      </c>
      <c r="NPM615" s="17">
        <v>44925</v>
      </c>
      <c r="NPN615" s="5" t="s">
        <v>3728</v>
      </c>
      <c r="NPO615" s="17">
        <v>44925</v>
      </c>
      <c r="NPP615" s="5" t="s">
        <v>3728</v>
      </c>
      <c r="NPQ615" s="17">
        <v>44925</v>
      </c>
      <c r="NPR615" s="5" t="s">
        <v>3728</v>
      </c>
      <c r="NPS615" s="17">
        <v>44925</v>
      </c>
      <c r="NPT615" s="5" t="s">
        <v>3728</v>
      </c>
      <c r="NPU615" s="17">
        <v>44925</v>
      </c>
      <c r="NPV615" s="5" t="s">
        <v>3728</v>
      </c>
      <c r="NPW615" s="17">
        <v>44925</v>
      </c>
      <c r="NPX615" s="5" t="s">
        <v>3728</v>
      </c>
      <c r="NPY615" s="17">
        <v>44925</v>
      </c>
      <c r="NPZ615" s="5" t="s">
        <v>3728</v>
      </c>
      <c r="NQA615" s="17">
        <v>44925</v>
      </c>
      <c r="NQB615" s="5" t="s">
        <v>3728</v>
      </c>
      <c r="NQC615" s="17">
        <v>44925</v>
      </c>
      <c r="NQD615" s="5" t="s">
        <v>3728</v>
      </c>
      <c r="NQE615" s="17">
        <v>44925</v>
      </c>
      <c r="NQF615" s="5" t="s">
        <v>3728</v>
      </c>
      <c r="NQG615" s="17">
        <v>44925</v>
      </c>
      <c r="NQH615" s="5" t="s">
        <v>3728</v>
      </c>
      <c r="NQI615" s="17">
        <v>44925</v>
      </c>
      <c r="NQJ615" s="5" t="s">
        <v>3728</v>
      </c>
      <c r="NQK615" s="17">
        <v>44925</v>
      </c>
      <c r="NQL615" s="5" t="s">
        <v>3728</v>
      </c>
      <c r="NQM615" s="17">
        <v>44925</v>
      </c>
      <c r="NQN615" s="5" t="s">
        <v>3728</v>
      </c>
      <c r="NQO615" s="17">
        <v>44925</v>
      </c>
      <c r="NQP615" s="5" t="s">
        <v>3728</v>
      </c>
      <c r="NQQ615" s="17">
        <v>44925</v>
      </c>
      <c r="NQR615" s="5" t="s">
        <v>3728</v>
      </c>
      <c r="NQS615" s="17">
        <v>44925</v>
      </c>
      <c r="NQT615" s="5" t="s">
        <v>3728</v>
      </c>
      <c r="NQU615" s="17">
        <v>44925</v>
      </c>
      <c r="NQV615" s="5" t="s">
        <v>3728</v>
      </c>
      <c r="NQW615" s="17">
        <v>44925</v>
      </c>
      <c r="NQX615" s="5" t="s">
        <v>3728</v>
      </c>
      <c r="NQY615" s="17">
        <v>44925</v>
      </c>
      <c r="NQZ615" s="5" t="s">
        <v>3728</v>
      </c>
      <c r="NRA615" s="17">
        <v>44925</v>
      </c>
      <c r="NRB615" s="5" t="s">
        <v>3728</v>
      </c>
      <c r="NRC615" s="17">
        <v>44925</v>
      </c>
      <c r="NRD615" s="5" t="s">
        <v>3728</v>
      </c>
      <c r="NRE615" s="17">
        <v>44925</v>
      </c>
      <c r="NRF615" s="5" t="s">
        <v>3728</v>
      </c>
      <c r="NRG615" s="17">
        <v>44925</v>
      </c>
      <c r="NRH615" s="5" t="s">
        <v>3728</v>
      </c>
      <c r="NRI615" s="17">
        <v>44925</v>
      </c>
      <c r="NRJ615" s="5" t="s">
        <v>3728</v>
      </c>
      <c r="NRK615" s="17">
        <v>44925</v>
      </c>
      <c r="NRL615" s="5" t="s">
        <v>3728</v>
      </c>
      <c r="NRM615" s="17">
        <v>44925</v>
      </c>
      <c r="NRN615" s="5" t="s">
        <v>3728</v>
      </c>
      <c r="NRO615" s="17">
        <v>44925</v>
      </c>
      <c r="NRP615" s="5" t="s">
        <v>3728</v>
      </c>
      <c r="NRQ615" s="17">
        <v>44925</v>
      </c>
      <c r="NRR615" s="5" t="s">
        <v>3728</v>
      </c>
      <c r="NRS615" s="17">
        <v>44925</v>
      </c>
      <c r="NRT615" s="5" t="s">
        <v>3728</v>
      </c>
      <c r="NRU615" s="17">
        <v>44925</v>
      </c>
      <c r="NRV615" s="5" t="s">
        <v>3728</v>
      </c>
      <c r="NRW615" s="17">
        <v>44925</v>
      </c>
      <c r="NRX615" s="5" t="s">
        <v>3728</v>
      </c>
      <c r="NRY615" s="17">
        <v>44925</v>
      </c>
      <c r="NRZ615" s="5" t="s">
        <v>3728</v>
      </c>
      <c r="NSA615" s="17">
        <v>44925</v>
      </c>
      <c r="NSB615" s="5" t="s">
        <v>3728</v>
      </c>
      <c r="NSC615" s="17">
        <v>44925</v>
      </c>
      <c r="NSD615" s="5" t="s">
        <v>3728</v>
      </c>
      <c r="NSE615" s="17">
        <v>44925</v>
      </c>
      <c r="NSF615" s="5" t="s">
        <v>3728</v>
      </c>
      <c r="NSG615" s="17">
        <v>44925</v>
      </c>
      <c r="NSH615" s="5" t="s">
        <v>3728</v>
      </c>
      <c r="NSI615" s="17">
        <v>44925</v>
      </c>
      <c r="NSJ615" s="5" t="s">
        <v>3728</v>
      </c>
      <c r="NSK615" s="17">
        <v>44925</v>
      </c>
      <c r="NSL615" s="5" t="s">
        <v>3728</v>
      </c>
      <c r="NSM615" s="17">
        <v>44925</v>
      </c>
      <c r="NSN615" s="5" t="s">
        <v>3728</v>
      </c>
      <c r="NSO615" s="17">
        <v>44925</v>
      </c>
      <c r="NSP615" s="5" t="s">
        <v>3728</v>
      </c>
      <c r="NSQ615" s="17">
        <v>44925</v>
      </c>
      <c r="NSR615" s="5" t="s">
        <v>3728</v>
      </c>
      <c r="NSS615" s="17">
        <v>44925</v>
      </c>
      <c r="NST615" s="5" t="s">
        <v>3728</v>
      </c>
      <c r="NSU615" s="17">
        <v>44925</v>
      </c>
      <c r="NSV615" s="5" t="s">
        <v>3728</v>
      </c>
      <c r="NSW615" s="17">
        <v>44925</v>
      </c>
      <c r="NSX615" s="5" t="s">
        <v>3728</v>
      </c>
      <c r="NSY615" s="17">
        <v>44925</v>
      </c>
      <c r="NSZ615" s="5" t="s">
        <v>3728</v>
      </c>
      <c r="NTA615" s="17">
        <v>44925</v>
      </c>
      <c r="NTB615" s="5" t="s">
        <v>3728</v>
      </c>
      <c r="NTC615" s="17">
        <v>44925</v>
      </c>
      <c r="NTD615" s="5" t="s">
        <v>3728</v>
      </c>
      <c r="NTE615" s="17">
        <v>44925</v>
      </c>
      <c r="NTF615" s="5" t="s">
        <v>3728</v>
      </c>
      <c r="NTG615" s="17">
        <v>44925</v>
      </c>
      <c r="NTH615" s="5" t="s">
        <v>3728</v>
      </c>
      <c r="NTI615" s="17">
        <v>44925</v>
      </c>
      <c r="NTJ615" s="5" t="s">
        <v>3728</v>
      </c>
      <c r="NTK615" s="17">
        <v>44925</v>
      </c>
      <c r="NTL615" s="5" t="s">
        <v>3728</v>
      </c>
      <c r="NTM615" s="17">
        <v>44925</v>
      </c>
      <c r="NTN615" s="5" t="s">
        <v>3728</v>
      </c>
      <c r="NTO615" s="17">
        <v>44925</v>
      </c>
      <c r="NTP615" s="5" t="s">
        <v>3728</v>
      </c>
      <c r="NTQ615" s="17">
        <v>44925</v>
      </c>
      <c r="NTR615" s="5" t="s">
        <v>3728</v>
      </c>
      <c r="NTS615" s="17">
        <v>44925</v>
      </c>
      <c r="NTT615" s="5" t="s">
        <v>3728</v>
      </c>
      <c r="NTU615" s="17">
        <v>44925</v>
      </c>
      <c r="NTV615" s="5" t="s">
        <v>3728</v>
      </c>
      <c r="NTW615" s="17">
        <v>44925</v>
      </c>
      <c r="NTX615" s="5" t="s">
        <v>3728</v>
      </c>
      <c r="NTY615" s="17">
        <v>44925</v>
      </c>
      <c r="NTZ615" s="5" t="s">
        <v>3728</v>
      </c>
      <c r="NUA615" s="17">
        <v>44925</v>
      </c>
      <c r="NUB615" s="5" t="s">
        <v>3728</v>
      </c>
      <c r="NUC615" s="17">
        <v>44925</v>
      </c>
      <c r="NUD615" s="5" t="s">
        <v>3728</v>
      </c>
      <c r="NUE615" s="17">
        <v>44925</v>
      </c>
      <c r="NUF615" s="5" t="s">
        <v>3728</v>
      </c>
      <c r="NUG615" s="17">
        <v>44925</v>
      </c>
      <c r="NUH615" s="5" t="s">
        <v>3728</v>
      </c>
      <c r="NUI615" s="17">
        <v>44925</v>
      </c>
      <c r="NUJ615" s="5" t="s">
        <v>3728</v>
      </c>
      <c r="NUK615" s="17">
        <v>44925</v>
      </c>
      <c r="NUL615" s="5" t="s">
        <v>3728</v>
      </c>
      <c r="NUM615" s="17">
        <v>44925</v>
      </c>
      <c r="NUN615" s="5" t="s">
        <v>3728</v>
      </c>
      <c r="NUO615" s="17">
        <v>44925</v>
      </c>
      <c r="NUP615" s="5" t="s">
        <v>3728</v>
      </c>
      <c r="NUQ615" s="17">
        <v>44925</v>
      </c>
      <c r="NUR615" s="5" t="s">
        <v>3728</v>
      </c>
      <c r="NUS615" s="17">
        <v>44925</v>
      </c>
      <c r="NUT615" s="5" t="s">
        <v>3728</v>
      </c>
      <c r="NUU615" s="17">
        <v>44925</v>
      </c>
      <c r="NUV615" s="5" t="s">
        <v>3728</v>
      </c>
      <c r="NUW615" s="17">
        <v>44925</v>
      </c>
      <c r="NUX615" s="5" t="s">
        <v>3728</v>
      </c>
      <c r="NUY615" s="17">
        <v>44925</v>
      </c>
      <c r="NUZ615" s="5" t="s">
        <v>3728</v>
      </c>
      <c r="NVA615" s="17">
        <v>44925</v>
      </c>
      <c r="NVB615" s="5" t="s">
        <v>3728</v>
      </c>
      <c r="NVC615" s="17">
        <v>44925</v>
      </c>
      <c r="NVD615" s="5" t="s">
        <v>3728</v>
      </c>
      <c r="NVE615" s="17">
        <v>44925</v>
      </c>
      <c r="NVF615" s="5" t="s">
        <v>3728</v>
      </c>
      <c r="NVG615" s="17">
        <v>44925</v>
      </c>
      <c r="NVH615" s="5" t="s">
        <v>3728</v>
      </c>
      <c r="NVI615" s="17">
        <v>44925</v>
      </c>
      <c r="NVJ615" s="5" t="s">
        <v>3728</v>
      </c>
      <c r="NVK615" s="17">
        <v>44925</v>
      </c>
      <c r="NVL615" s="5" t="s">
        <v>3728</v>
      </c>
      <c r="NVM615" s="17">
        <v>44925</v>
      </c>
      <c r="NVN615" s="5" t="s">
        <v>3728</v>
      </c>
      <c r="NVO615" s="17">
        <v>44925</v>
      </c>
      <c r="NVP615" s="5" t="s">
        <v>3728</v>
      </c>
      <c r="NVQ615" s="17">
        <v>44925</v>
      </c>
      <c r="NVR615" s="5" t="s">
        <v>3728</v>
      </c>
      <c r="NVS615" s="17">
        <v>44925</v>
      </c>
      <c r="NVT615" s="5" t="s">
        <v>3728</v>
      </c>
      <c r="NVU615" s="17">
        <v>44925</v>
      </c>
      <c r="NVV615" s="5" t="s">
        <v>3728</v>
      </c>
      <c r="NVW615" s="17">
        <v>44925</v>
      </c>
      <c r="NVX615" s="5" t="s">
        <v>3728</v>
      </c>
      <c r="NVY615" s="17">
        <v>44925</v>
      </c>
      <c r="NVZ615" s="5" t="s">
        <v>3728</v>
      </c>
      <c r="NWA615" s="17">
        <v>44925</v>
      </c>
      <c r="NWB615" s="5" t="s">
        <v>3728</v>
      </c>
      <c r="NWC615" s="17">
        <v>44925</v>
      </c>
      <c r="NWD615" s="5" t="s">
        <v>3728</v>
      </c>
      <c r="NWE615" s="17">
        <v>44925</v>
      </c>
      <c r="NWF615" s="5" t="s">
        <v>3728</v>
      </c>
      <c r="NWG615" s="17">
        <v>44925</v>
      </c>
      <c r="NWH615" s="5" t="s">
        <v>3728</v>
      </c>
      <c r="NWI615" s="17">
        <v>44925</v>
      </c>
      <c r="NWJ615" s="5" t="s">
        <v>3728</v>
      </c>
      <c r="NWK615" s="17">
        <v>44925</v>
      </c>
      <c r="NWL615" s="5" t="s">
        <v>3728</v>
      </c>
      <c r="NWM615" s="17">
        <v>44925</v>
      </c>
      <c r="NWN615" s="5" t="s">
        <v>3728</v>
      </c>
      <c r="NWO615" s="17">
        <v>44925</v>
      </c>
      <c r="NWP615" s="5" t="s">
        <v>3728</v>
      </c>
      <c r="NWQ615" s="17">
        <v>44925</v>
      </c>
      <c r="NWR615" s="5" t="s">
        <v>3728</v>
      </c>
      <c r="NWS615" s="17">
        <v>44925</v>
      </c>
      <c r="NWT615" s="5" t="s">
        <v>3728</v>
      </c>
      <c r="NWU615" s="17">
        <v>44925</v>
      </c>
      <c r="NWV615" s="5" t="s">
        <v>3728</v>
      </c>
      <c r="NWW615" s="17">
        <v>44925</v>
      </c>
      <c r="NWX615" s="5" t="s">
        <v>3728</v>
      </c>
      <c r="NWY615" s="17">
        <v>44925</v>
      </c>
      <c r="NWZ615" s="5" t="s">
        <v>3728</v>
      </c>
      <c r="NXA615" s="17">
        <v>44925</v>
      </c>
      <c r="NXB615" s="5" t="s">
        <v>3728</v>
      </c>
      <c r="NXC615" s="17">
        <v>44925</v>
      </c>
      <c r="NXD615" s="5" t="s">
        <v>3728</v>
      </c>
      <c r="NXE615" s="17">
        <v>44925</v>
      </c>
      <c r="NXF615" s="5" t="s">
        <v>3728</v>
      </c>
      <c r="NXG615" s="17">
        <v>44925</v>
      </c>
      <c r="NXH615" s="5" t="s">
        <v>3728</v>
      </c>
      <c r="NXI615" s="17">
        <v>44925</v>
      </c>
      <c r="NXJ615" s="5" t="s">
        <v>3728</v>
      </c>
      <c r="NXK615" s="17">
        <v>44925</v>
      </c>
      <c r="NXL615" s="5" t="s">
        <v>3728</v>
      </c>
      <c r="NXM615" s="17">
        <v>44925</v>
      </c>
      <c r="NXN615" s="5" t="s">
        <v>3728</v>
      </c>
      <c r="NXO615" s="17">
        <v>44925</v>
      </c>
      <c r="NXP615" s="5" t="s">
        <v>3728</v>
      </c>
      <c r="NXQ615" s="17">
        <v>44925</v>
      </c>
      <c r="NXR615" s="5" t="s">
        <v>3728</v>
      </c>
      <c r="NXS615" s="17">
        <v>44925</v>
      </c>
      <c r="NXT615" s="5" t="s">
        <v>3728</v>
      </c>
      <c r="NXU615" s="17">
        <v>44925</v>
      </c>
      <c r="NXV615" s="5" t="s">
        <v>3728</v>
      </c>
      <c r="NXW615" s="17">
        <v>44925</v>
      </c>
      <c r="NXX615" s="5" t="s">
        <v>3728</v>
      </c>
      <c r="NXY615" s="17">
        <v>44925</v>
      </c>
      <c r="NXZ615" s="5" t="s">
        <v>3728</v>
      </c>
      <c r="NYA615" s="17">
        <v>44925</v>
      </c>
      <c r="NYB615" s="5" t="s">
        <v>3728</v>
      </c>
      <c r="NYC615" s="17">
        <v>44925</v>
      </c>
      <c r="NYD615" s="5" t="s">
        <v>3728</v>
      </c>
      <c r="NYE615" s="17">
        <v>44925</v>
      </c>
      <c r="NYF615" s="5" t="s">
        <v>3728</v>
      </c>
      <c r="NYG615" s="17">
        <v>44925</v>
      </c>
      <c r="NYH615" s="5" t="s">
        <v>3728</v>
      </c>
      <c r="NYI615" s="17">
        <v>44925</v>
      </c>
      <c r="NYJ615" s="5" t="s">
        <v>3728</v>
      </c>
      <c r="NYK615" s="17">
        <v>44925</v>
      </c>
      <c r="NYL615" s="5" t="s">
        <v>3728</v>
      </c>
      <c r="NYM615" s="17">
        <v>44925</v>
      </c>
      <c r="NYN615" s="5" t="s">
        <v>3728</v>
      </c>
      <c r="NYO615" s="17">
        <v>44925</v>
      </c>
      <c r="NYP615" s="5" t="s">
        <v>3728</v>
      </c>
      <c r="NYQ615" s="17">
        <v>44925</v>
      </c>
      <c r="NYR615" s="5" t="s">
        <v>3728</v>
      </c>
      <c r="NYS615" s="17">
        <v>44925</v>
      </c>
      <c r="NYT615" s="5" t="s">
        <v>3728</v>
      </c>
      <c r="NYU615" s="17">
        <v>44925</v>
      </c>
      <c r="NYV615" s="5" t="s">
        <v>3728</v>
      </c>
      <c r="NYW615" s="17">
        <v>44925</v>
      </c>
      <c r="NYX615" s="5" t="s">
        <v>3728</v>
      </c>
      <c r="NYY615" s="17">
        <v>44925</v>
      </c>
      <c r="NYZ615" s="5" t="s">
        <v>3728</v>
      </c>
      <c r="NZA615" s="17">
        <v>44925</v>
      </c>
      <c r="NZB615" s="5" t="s">
        <v>3728</v>
      </c>
      <c r="NZC615" s="17">
        <v>44925</v>
      </c>
      <c r="NZD615" s="5" t="s">
        <v>3728</v>
      </c>
      <c r="NZE615" s="17">
        <v>44925</v>
      </c>
      <c r="NZF615" s="5" t="s">
        <v>3728</v>
      </c>
      <c r="NZG615" s="17">
        <v>44925</v>
      </c>
      <c r="NZH615" s="5" t="s">
        <v>3728</v>
      </c>
      <c r="NZI615" s="17">
        <v>44925</v>
      </c>
      <c r="NZJ615" s="5" t="s">
        <v>3728</v>
      </c>
      <c r="NZK615" s="17">
        <v>44925</v>
      </c>
      <c r="NZL615" s="5" t="s">
        <v>3728</v>
      </c>
      <c r="NZM615" s="17">
        <v>44925</v>
      </c>
      <c r="NZN615" s="5" t="s">
        <v>3728</v>
      </c>
      <c r="NZO615" s="17">
        <v>44925</v>
      </c>
      <c r="NZP615" s="5" t="s">
        <v>3728</v>
      </c>
      <c r="NZQ615" s="17">
        <v>44925</v>
      </c>
      <c r="NZR615" s="5" t="s">
        <v>3728</v>
      </c>
      <c r="NZS615" s="17">
        <v>44925</v>
      </c>
      <c r="NZT615" s="5" t="s">
        <v>3728</v>
      </c>
      <c r="NZU615" s="17">
        <v>44925</v>
      </c>
      <c r="NZV615" s="5" t="s">
        <v>3728</v>
      </c>
      <c r="NZW615" s="17">
        <v>44925</v>
      </c>
      <c r="NZX615" s="5" t="s">
        <v>3728</v>
      </c>
      <c r="NZY615" s="17">
        <v>44925</v>
      </c>
      <c r="NZZ615" s="5" t="s">
        <v>3728</v>
      </c>
      <c r="OAA615" s="17">
        <v>44925</v>
      </c>
      <c r="OAB615" s="5" t="s">
        <v>3728</v>
      </c>
      <c r="OAC615" s="17">
        <v>44925</v>
      </c>
      <c r="OAD615" s="5" t="s">
        <v>3728</v>
      </c>
      <c r="OAE615" s="17">
        <v>44925</v>
      </c>
      <c r="OAF615" s="5" t="s">
        <v>3728</v>
      </c>
      <c r="OAG615" s="17">
        <v>44925</v>
      </c>
      <c r="OAH615" s="5" t="s">
        <v>3728</v>
      </c>
      <c r="OAI615" s="17">
        <v>44925</v>
      </c>
      <c r="OAJ615" s="5" t="s">
        <v>3728</v>
      </c>
      <c r="OAK615" s="17">
        <v>44925</v>
      </c>
      <c r="OAL615" s="5" t="s">
        <v>3728</v>
      </c>
      <c r="OAM615" s="17">
        <v>44925</v>
      </c>
      <c r="OAN615" s="5" t="s">
        <v>3728</v>
      </c>
      <c r="OAO615" s="17">
        <v>44925</v>
      </c>
      <c r="OAP615" s="5" t="s">
        <v>3728</v>
      </c>
      <c r="OAQ615" s="17">
        <v>44925</v>
      </c>
      <c r="OAR615" s="5" t="s">
        <v>3728</v>
      </c>
      <c r="OAS615" s="17">
        <v>44925</v>
      </c>
      <c r="OAT615" s="5" t="s">
        <v>3728</v>
      </c>
      <c r="OAU615" s="17">
        <v>44925</v>
      </c>
      <c r="OAV615" s="5" t="s">
        <v>3728</v>
      </c>
      <c r="OAW615" s="17">
        <v>44925</v>
      </c>
      <c r="OAX615" s="5" t="s">
        <v>3728</v>
      </c>
      <c r="OAY615" s="17">
        <v>44925</v>
      </c>
      <c r="OAZ615" s="5" t="s">
        <v>3728</v>
      </c>
      <c r="OBA615" s="17">
        <v>44925</v>
      </c>
      <c r="OBB615" s="5" t="s">
        <v>3728</v>
      </c>
      <c r="OBC615" s="17">
        <v>44925</v>
      </c>
      <c r="OBD615" s="5" t="s">
        <v>3728</v>
      </c>
      <c r="OBE615" s="17">
        <v>44925</v>
      </c>
      <c r="OBF615" s="5" t="s">
        <v>3728</v>
      </c>
      <c r="OBG615" s="17">
        <v>44925</v>
      </c>
      <c r="OBH615" s="5" t="s">
        <v>3728</v>
      </c>
      <c r="OBI615" s="17">
        <v>44925</v>
      </c>
      <c r="OBJ615" s="5" t="s">
        <v>3728</v>
      </c>
      <c r="OBK615" s="17">
        <v>44925</v>
      </c>
      <c r="OBL615" s="5" t="s">
        <v>3728</v>
      </c>
      <c r="OBM615" s="17">
        <v>44925</v>
      </c>
      <c r="OBN615" s="5" t="s">
        <v>3728</v>
      </c>
      <c r="OBO615" s="17">
        <v>44925</v>
      </c>
      <c r="OBP615" s="5" t="s">
        <v>3728</v>
      </c>
      <c r="OBQ615" s="17">
        <v>44925</v>
      </c>
      <c r="OBR615" s="5" t="s">
        <v>3728</v>
      </c>
      <c r="OBS615" s="17">
        <v>44925</v>
      </c>
      <c r="OBT615" s="5" t="s">
        <v>3728</v>
      </c>
      <c r="OBU615" s="17">
        <v>44925</v>
      </c>
      <c r="OBV615" s="5" t="s">
        <v>3728</v>
      </c>
      <c r="OBW615" s="17">
        <v>44925</v>
      </c>
      <c r="OBX615" s="5" t="s">
        <v>3728</v>
      </c>
      <c r="OBY615" s="17">
        <v>44925</v>
      </c>
      <c r="OBZ615" s="5" t="s">
        <v>3728</v>
      </c>
      <c r="OCA615" s="17">
        <v>44925</v>
      </c>
      <c r="OCB615" s="5" t="s">
        <v>3728</v>
      </c>
      <c r="OCC615" s="17">
        <v>44925</v>
      </c>
      <c r="OCD615" s="5" t="s">
        <v>3728</v>
      </c>
      <c r="OCE615" s="17">
        <v>44925</v>
      </c>
      <c r="OCF615" s="5" t="s">
        <v>3728</v>
      </c>
      <c r="OCG615" s="17">
        <v>44925</v>
      </c>
      <c r="OCH615" s="5" t="s">
        <v>3728</v>
      </c>
      <c r="OCI615" s="17">
        <v>44925</v>
      </c>
      <c r="OCJ615" s="5" t="s">
        <v>3728</v>
      </c>
      <c r="OCK615" s="17">
        <v>44925</v>
      </c>
      <c r="OCL615" s="5" t="s">
        <v>3728</v>
      </c>
      <c r="OCM615" s="17">
        <v>44925</v>
      </c>
      <c r="OCN615" s="5" t="s">
        <v>3728</v>
      </c>
      <c r="OCO615" s="17">
        <v>44925</v>
      </c>
      <c r="OCP615" s="5" t="s">
        <v>3728</v>
      </c>
      <c r="OCQ615" s="17">
        <v>44925</v>
      </c>
      <c r="OCR615" s="5" t="s">
        <v>3728</v>
      </c>
      <c r="OCS615" s="17">
        <v>44925</v>
      </c>
      <c r="OCT615" s="5" t="s">
        <v>3728</v>
      </c>
      <c r="OCU615" s="17">
        <v>44925</v>
      </c>
      <c r="OCV615" s="5" t="s">
        <v>3728</v>
      </c>
      <c r="OCW615" s="17">
        <v>44925</v>
      </c>
      <c r="OCX615" s="5" t="s">
        <v>3728</v>
      </c>
      <c r="OCY615" s="17">
        <v>44925</v>
      </c>
      <c r="OCZ615" s="5" t="s">
        <v>3728</v>
      </c>
      <c r="ODA615" s="17">
        <v>44925</v>
      </c>
      <c r="ODB615" s="5" t="s">
        <v>3728</v>
      </c>
      <c r="ODC615" s="17">
        <v>44925</v>
      </c>
      <c r="ODD615" s="5" t="s">
        <v>3728</v>
      </c>
      <c r="ODE615" s="17">
        <v>44925</v>
      </c>
      <c r="ODF615" s="5" t="s">
        <v>3728</v>
      </c>
      <c r="ODG615" s="17">
        <v>44925</v>
      </c>
      <c r="ODH615" s="5" t="s">
        <v>3728</v>
      </c>
      <c r="ODI615" s="17">
        <v>44925</v>
      </c>
      <c r="ODJ615" s="5" t="s">
        <v>3728</v>
      </c>
      <c r="ODK615" s="17">
        <v>44925</v>
      </c>
      <c r="ODL615" s="5" t="s">
        <v>3728</v>
      </c>
      <c r="ODM615" s="17">
        <v>44925</v>
      </c>
      <c r="ODN615" s="5" t="s">
        <v>3728</v>
      </c>
      <c r="ODO615" s="17">
        <v>44925</v>
      </c>
      <c r="ODP615" s="5" t="s">
        <v>3728</v>
      </c>
      <c r="ODQ615" s="17">
        <v>44925</v>
      </c>
      <c r="ODR615" s="5" t="s">
        <v>3728</v>
      </c>
      <c r="ODS615" s="17">
        <v>44925</v>
      </c>
      <c r="ODT615" s="5" t="s">
        <v>3728</v>
      </c>
      <c r="ODU615" s="17">
        <v>44925</v>
      </c>
      <c r="ODV615" s="5" t="s">
        <v>3728</v>
      </c>
      <c r="ODW615" s="17">
        <v>44925</v>
      </c>
      <c r="ODX615" s="5" t="s">
        <v>3728</v>
      </c>
      <c r="ODY615" s="17">
        <v>44925</v>
      </c>
      <c r="ODZ615" s="5" t="s">
        <v>3728</v>
      </c>
      <c r="OEA615" s="17">
        <v>44925</v>
      </c>
      <c r="OEB615" s="5" t="s">
        <v>3728</v>
      </c>
      <c r="OEC615" s="17">
        <v>44925</v>
      </c>
      <c r="OED615" s="5" t="s">
        <v>3728</v>
      </c>
      <c r="OEE615" s="17">
        <v>44925</v>
      </c>
      <c r="OEF615" s="5" t="s">
        <v>3728</v>
      </c>
      <c r="OEG615" s="17">
        <v>44925</v>
      </c>
      <c r="OEH615" s="5" t="s">
        <v>3728</v>
      </c>
      <c r="OEI615" s="17">
        <v>44925</v>
      </c>
      <c r="OEJ615" s="5" t="s">
        <v>3728</v>
      </c>
      <c r="OEK615" s="17">
        <v>44925</v>
      </c>
      <c r="OEL615" s="5" t="s">
        <v>3728</v>
      </c>
      <c r="OEM615" s="17">
        <v>44925</v>
      </c>
      <c r="OEN615" s="5" t="s">
        <v>3728</v>
      </c>
      <c r="OEO615" s="17">
        <v>44925</v>
      </c>
      <c r="OEP615" s="5" t="s">
        <v>3728</v>
      </c>
      <c r="OEQ615" s="17">
        <v>44925</v>
      </c>
      <c r="OER615" s="5" t="s">
        <v>3728</v>
      </c>
      <c r="OES615" s="17">
        <v>44925</v>
      </c>
      <c r="OET615" s="5" t="s">
        <v>3728</v>
      </c>
      <c r="OEU615" s="17">
        <v>44925</v>
      </c>
      <c r="OEV615" s="5" t="s">
        <v>3728</v>
      </c>
      <c r="OEW615" s="17">
        <v>44925</v>
      </c>
      <c r="OEX615" s="5" t="s">
        <v>3728</v>
      </c>
      <c r="OEY615" s="17">
        <v>44925</v>
      </c>
      <c r="OEZ615" s="5" t="s">
        <v>3728</v>
      </c>
      <c r="OFA615" s="17">
        <v>44925</v>
      </c>
      <c r="OFB615" s="5" t="s">
        <v>3728</v>
      </c>
      <c r="OFC615" s="17">
        <v>44925</v>
      </c>
      <c r="OFD615" s="5" t="s">
        <v>3728</v>
      </c>
      <c r="OFE615" s="17">
        <v>44925</v>
      </c>
      <c r="OFF615" s="5" t="s">
        <v>3728</v>
      </c>
      <c r="OFG615" s="17">
        <v>44925</v>
      </c>
      <c r="OFH615" s="5" t="s">
        <v>3728</v>
      </c>
      <c r="OFI615" s="17">
        <v>44925</v>
      </c>
      <c r="OFJ615" s="5" t="s">
        <v>3728</v>
      </c>
      <c r="OFK615" s="17">
        <v>44925</v>
      </c>
      <c r="OFL615" s="5" t="s">
        <v>3728</v>
      </c>
      <c r="OFM615" s="17">
        <v>44925</v>
      </c>
      <c r="OFN615" s="5" t="s">
        <v>3728</v>
      </c>
      <c r="OFO615" s="17">
        <v>44925</v>
      </c>
      <c r="OFP615" s="5" t="s">
        <v>3728</v>
      </c>
      <c r="OFQ615" s="17">
        <v>44925</v>
      </c>
      <c r="OFR615" s="5" t="s">
        <v>3728</v>
      </c>
      <c r="OFS615" s="17">
        <v>44925</v>
      </c>
      <c r="OFT615" s="5" t="s">
        <v>3728</v>
      </c>
      <c r="OFU615" s="17">
        <v>44925</v>
      </c>
      <c r="OFV615" s="5" t="s">
        <v>3728</v>
      </c>
      <c r="OFW615" s="17">
        <v>44925</v>
      </c>
      <c r="OFX615" s="5" t="s">
        <v>3728</v>
      </c>
      <c r="OFY615" s="17">
        <v>44925</v>
      </c>
      <c r="OFZ615" s="5" t="s">
        <v>3728</v>
      </c>
      <c r="OGA615" s="17">
        <v>44925</v>
      </c>
      <c r="OGB615" s="5" t="s">
        <v>3728</v>
      </c>
      <c r="OGC615" s="17">
        <v>44925</v>
      </c>
      <c r="OGD615" s="5" t="s">
        <v>3728</v>
      </c>
      <c r="OGE615" s="17">
        <v>44925</v>
      </c>
      <c r="OGF615" s="5" t="s">
        <v>3728</v>
      </c>
      <c r="OGG615" s="17">
        <v>44925</v>
      </c>
      <c r="OGH615" s="5" t="s">
        <v>3728</v>
      </c>
      <c r="OGI615" s="17">
        <v>44925</v>
      </c>
      <c r="OGJ615" s="5" t="s">
        <v>3728</v>
      </c>
      <c r="OGK615" s="17">
        <v>44925</v>
      </c>
      <c r="OGL615" s="5" t="s">
        <v>3728</v>
      </c>
      <c r="OGM615" s="17">
        <v>44925</v>
      </c>
      <c r="OGN615" s="5" t="s">
        <v>3728</v>
      </c>
      <c r="OGO615" s="17">
        <v>44925</v>
      </c>
      <c r="OGP615" s="5" t="s">
        <v>3728</v>
      </c>
      <c r="OGQ615" s="17">
        <v>44925</v>
      </c>
      <c r="OGR615" s="5" t="s">
        <v>3728</v>
      </c>
      <c r="OGS615" s="17">
        <v>44925</v>
      </c>
      <c r="OGT615" s="5" t="s">
        <v>3728</v>
      </c>
      <c r="OGU615" s="17">
        <v>44925</v>
      </c>
      <c r="OGV615" s="5" t="s">
        <v>3728</v>
      </c>
      <c r="OGW615" s="17">
        <v>44925</v>
      </c>
      <c r="OGX615" s="5" t="s">
        <v>3728</v>
      </c>
      <c r="OGY615" s="17">
        <v>44925</v>
      </c>
      <c r="OGZ615" s="5" t="s">
        <v>3728</v>
      </c>
      <c r="OHA615" s="17">
        <v>44925</v>
      </c>
      <c r="OHB615" s="5" t="s">
        <v>3728</v>
      </c>
      <c r="OHC615" s="17">
        <v>44925</v>
      </c>
      <c r="OHD615" s="5" t="s">
        <v>3728</v>
      </c>
      <c r="OHE615" s="17">
        <v>44925</v>
      </c>
      <c r="OHF615" s="5" t="s">
        <v>3728</v>
      </c>
      <c r="OHG615" s="17">
        <v>44925</v>
      </c>
      <c r="OHH615" s="5" t="s">
        <v>3728</v>
      </c>
      <c r="OHI615" s="17">
        <v>44925</v>
      </c>
      <c r="OHJ615" s="5" t="s">
        <v>3728</v>
      </c>
      <c r="OHK615" s="17">
        <v>44925</v>
      </c>
      <c r="OHL615" s="5" t="s">
        <v>3728</v>
      </c>
      <c r="OHM615" s="17">
        <v>44925</v>
      </c>
      <c r="OHN615" s="5" t="s">
        <v>3728</v>
      </c>
      <c r="OHO615" s="17">
        <v>44925</v>
      </c>
      <c r="OHP615" s="5" t="s">
        <v>3728</v>
      </c>
      <c r="OHQ615" s="17">
        <v>44925</v>
      </c>
      <c r="OHR615" s="5" t="s">
        <v>3728</v>
      </c>
      <c r="OHS615" s="17">
        <v>44925</v>
      </c>
      <c r="OHT615" s="5" t="s">
        <v>3728</v>
      </c>
      <c r="OHU615" s="17">
        <v>44925</v>
      </c>
      <c r="OHV615" s="5" t="s">
        <v>3728</v>
      </c>
      <c r="OHW615" s="17">
        <v>44925</v>
      </c>
      <c r="OHX615" s="5" t="s">
        <v>3728</v>
      </c>
      <c r="OHY615" s="17">
        <v>44925</v>
      </c>
      <c r="OHZ615" s="5" t="s">
        <v>3728</v>
      </c>
      <c r="OIA615" s="17">
        <v>44925</v>
      </c>
      <c r="OIB615" s="5" t="s">
        <v>3728</v>
      </c>
      <c r="OIC615" s="17">
        <v>44925</v>
      </c>
      <c r="OID615" s="5" t="s">
        <v>3728</v>
      </c>
      <c r="OIE615" s="17">
        <v>44925</v>
      </c>
      <c r="OIF615" s="5" t="s">
        <v>3728</v>
      </c>
      <c r="OIG615" s="17">
        <v>44925</v>
      </c>
      <c r="OIH615" s="5" t="s">
        <v>3728</v>
      </c>
      <c r="OII615" s="17">
        <v>44925</v>
      </c>
      <c r="OIJ615" s="5" t="s">
        <v>3728</v>
      </c>
      <c r="OIK615" s="17">
        <v>44925</v>
      </c>
      <c r="OIL615" s="5" t="s">
        <v>3728</v>
      </c>
      <c r="OIM615" s="17">
        <v>44925</v>
      </c>
      <c r="OIN615" s="5" t="s">
        <v>3728</v>
      </c>
      <c r="OIO615" s="17">
        <v>44925</v>
      </c>
      <c r="OIP615" s="5" t="s">
        <v>3728</v>
      </c>
      <c r="OIQ615" s="17">
        <v>44925</v>
      </c>
      <c r="OIR615" s="5" t="s">
        <v>3728</v>
      </c>
      <c r="OIS615" s="17">
        <v>44925</v>
      </c>
      <c r="OIT615" s="5" t="s">
        <v>3728</v>
      </c>
      <c r="OIU615" s="17">
        <v>44925</v>
      </c>
      <c r="OIV615" s="5" t="s">
        <v>3728</v>
      </c>
      <c r="OIW615" s="17">
        <v>44925</v>
      </c>
      <c r="OIX615" s="5" t="s">
        <v>3728</v>
      </c>
      <c r="OIY615" s="17">
        <v>44925</v>
      </c>
      <c r="OIZ615" s="5" t="s">
        <v>3728</v>
      </c>
      <c r="OJA615" s="17">
        <v>44925</v>
      </c>
      <c r="OJB615" s="5" t="s">
        <v>3728</v>
      </c>
      <c r="OJC615" s="17">
        <v>44925</v>
      </c>
      <c r="OJD615" s="5" t="s">
        <v>3728</v>
      </c>
      <c r="OJE615" s="17">
        <v>44925</v>
      </c>
      <c r="OJF615" s="5" t="s">
        <v>3728</v>
      </c>
      <c r="OJG615" s="17">
        <v>44925</v>
      </c>
      <c r="OJH615" s="5" t="s">
        <v>3728</v>
      </c>
      <c r="OJI615" s="17">
        <v>44925</v>
      </c>
      <c r="OJJ615" s="5" t="s">
        <v>3728</v>
      </c>
      <c r="OJK615" s="17">
        <v>44925</v>
      </c>
      <c r="OJL615" s="5" t="s">
        <v>3728</v>
      </c>
      <c r="OJM615" s="17">
        <v>44925</v>
      </c>
      <c r="OJN615" s="5" t="s">
        <v>3728</v>
      </c>
      <c r="OJO615" s="17">
        <v>44925</v>
      </c>
      <c r="OJP615" s="5" t="s">
        <v>3728</v>
      </c>
      <c r="OJQ615" s="17">
        <v>44925</v>
      </c>
      <c r="OJR615" s="5" t="s">
        <v>3728</v>
      </c>
      <c r="OJS615" s="17">
        <v>44925</v>
      </c>
      <c r="OJT615" s="5" t="s">
        <v>3728</v>
      </c>
      <c r="OJU615" s="17">
        <v>44925</v>
      </c>
      <c r="OJV615" s="5" t="s">
        <v>3728</v>
      </c>
      <c r="OJW615" s="17">
        <v>44925</v>
      </c>
      <c r="OJX615" s="5" t="s">
        <v>3728</v>
      </c>
      <c r="OJY615" s="17">
        <v>44925</v>
      </c>
      <c r="OJZ615" s="5" t="s">
        <v>3728</v>
      </c>
      <c r="OKA615" s="17">
        <v>44925</v>
      </c>
      <c r="OKB615" s="5" t="s">
        <v>3728</v>
      </c>
      <c r="OKC615" s="17">
        <v>44925</v>
      </c>
      <c r="OKD615" s="5" t="s">
        <v>3728</v>
      </c>
      <c r="OKE615" s="17">
        <v>44925</v>
      </c>
      <c r="OKF615" s="5" t="s">
        <v>3728</v>
      </c>
      <c r="OKG615" s="17">
        <v>44925</v>
      </c>
      <c r="OKH615" s="5" t="s">
        <v>3728</v>
      </c>
      <c r="OKI615" s="17">
        <v>44925</v>
      </c>
      <c r="OKJ615" s="5" t="s">
        <v>3728</v>
      </c>
      <c r="OKK615" s="17">
        <v>44925</v>
      </c>
      <c r="OKL615" s="5" t="s">
        <v>3728</v>
      </c>
      <c r="OKM615" s="17">
        <v>44925</v>
      </c>
      <c r="OKN615" s="5" t="s">
        <v>3728</v>
      </c>
      <c r="OKO615" s="17">
        <v>44925</v>
      </c>
      <c r="OKP615" s="5" t="s">
        <v>3728</v>
      </c>
      <c r="OKQ615" s="17">
        <v>44925</v>
      </c>
      <c r="OKR615" s="5" t="s">
        <v>3728</v>
      </c>
      <c r="OKS615" s="17">
        <v>44925</v>
      </c>
      <c r="OKT615" s="5" t="s">
        <v>3728</v>
      </c>
      <c r="OKU615" s="17">
        <v>44925</v>
      </c>
      <c r="OKV615" s="5" t="s">
        <v>3728</v>
      </c>
      <c r="OKW615" s="17">
        <v>44925</v>
      </c>
      <c r="OKX615" s="5" t="s">
        <v>3728</v>
      </c>
      <c r="OKY615" s="17">
        <v>44925</v>
      </c>
      <c r="OKZ615" s="5" t="s">
        <v>3728</v>
      </c>
      <c r="OLA615" s="17">
        <v>44925</v>
      </c>
      <c r="OLB615" s="5" t="s">
        <v>3728</v>
      </c>
      <c r="OLC615" s="17">
        <v>44925</v>
      </c>
      <c r="OLD615" s="5" t="s">
        <v>3728</v>
      </c>
      <c r="OLE615" s="17">
        <v>44925</v>
      </c>
      <c r="OLF615" s="5" t="s">
        <v>3728</v>
      </c>
      <c r="OLG615" s="17">
        <v>44925</v>
      </c>
      <c r="OLH615" s="5" t="s">
        <v>3728</v>
      </c>
      <c r="OLI615" s="17">
        <v>44925</v>
      </c>
      <c r="OLJ615" s="5" t="s">
        <v>3728</v>
      </c>
      <c r="OLK615" s="17">
        <v>44925</v>
      </c>
      <c r="OLL615" s="5" t="s">
        <v>3728</v>
      </c>
      <c r="OLM615" s="17">
        <v>44925</v>
      </c>
      <c r="OLN615" s="5" t="s">
        <v>3728</v>
      </c>
      <c r="OLO615" s="17">
        <v>44925</v>
      </c>
      <c r="OLP615" s="5" t="s">
        <v>3728</v>
      </c>
      <c r="OLQ615" s="17">
        <v>44925</v>
      </c>
      <c r="OLR615" s="5" t="s">
        <v>3728</v>
      </c>
      <c r="OLS615" s="17">
        <v>44925</v>
      </c>
      <c r="OLT615" s="5" t="s">
        <v>3728</v>
      </c>
      <c r="OLU615" s="17">
        <v>44925</v>
      </c>
      <c r="OLV615" s="5" t="s">
        <v>3728</v>
      </c>
      <c r="OLW615" s="17">
        <v>44925</v>
      </c>
      <c r="OLX615" s="5" t="s">
        <v>3728</v>
      </c>
      <c r="OLY615" s="17">
        <v>44925</v>
      </c>
      <c r="OLZ615" s="5" t="s">
        <v>3728</v>
      </c>
      <c r="OMA615" s="17">
        <v>44925</v>
      </c>
      <c r="OMB615" s="5" t="s">
        <v>3728</v>
      </c>
      <c r="OMC615" s="17">
        <v>44925</v>
      </c>
      <c r="OMD615" s="5" t="s">
        <v>3728</v>
      </c>
      <c r="OME615" s="17">
        <v>44925</v>
      </c>
      <c r="OMF615" s="5" t="s">
        <v>3728</v>
      </c>
      <c r="OMG615" s="17">
        <v>44925</v>
      </c>
      <c r="OMH615" s="5" t="s">
        <v>3728</v>
      </c>
      <c r="OMI615" s="17">
        <v>44925</v>
      </c>
      <c r="OMJ615" s="5" t="s">
        <v>3728</v>
      </c>
      <c r="OMK615" s="17">
        <v>44925</v>
      </c>
      <c r="OML615" s="5" t="s">
        <v>3728</v>
      </c>
      <c r="OMM615" s="17">
        <v>44925</v>
      </c>
      <c r="OMN615" s="5" t="s">
        <v>3728</v>
      </c>
      <c r="OMO615" s="17">
        <v>44925</v>
      </c>
      <c r="OMP615" s="5" t="s">
        <v>3728</v>
      </c>
      <c r="OMQ615" s="17">
        <v>44925</v>
      </c>
      <c r="OMR615" s="5" t="s">
        <v>3728</v>
      </c>
      <c r="OMS615" s="17">
        <v>44925</v>
      </c>
      <c r="OMT615" s="5" t="s">
        <v>3728</v>
      </c>
      <c r="OMU615" s="17">
        <v>44925</v>
      </c>
      <c r="OMV615" s="5" t="s">
        <v>3728</v>
      </c>
      <c r="OMW615" s="17">
        <v>44925</v>
      </c>
      <c r="OMX615" s="5" t="s">
        <v>3728</v>
      </c>
      <c r="OMY615" s="17">
        <v>44925</v>
      </c>
      <c r="OMZ615" s="5" t="s">
        <v>3728</v>
      </c>
      <c r="ONA615" s="17">
        <v>44925</v>
      </c>
      <c r="ONB615" s="5" t="s">
        <v>3728</v>
      </c>
      <c r="ONC615" s="17">
        <v>44925</v>
      </c>
      <c r="OND615" s="5" t="s">
        <v>3728</v>
      </c>
      <c r="ONE615" s="17">
        <v>44925</v>
      </c>
      <c r="ONF615" s="5" t="s">
        <v>3728</v>
      </c>
      <c r="ONG615" s="17">
        <v>44925</v>
      </c>
      <c r="ONH615" s="5" t="s">
        <v>3728</v>
      </c>
      <c r="ONI615" s="17">
        <v>44925</v>
      </c>
      <c r="ONJ615" s="5" t="s">
        <v>3728</v>
      </c>
      <c r="ONK615" s="17">
        <v>44925</v>
      </c>
      <c r="ONL615" s="5" t="s">
        <v>3728</v>
      </c>
      <c r="ONM615" s="17">
        <v>44925</v>
      </c>
      <c r="ONN615" s="5" t="s">
        <v>3728</v>
      </c>
      <c r="ONO615" s="17">
        <v>44925</v>
      </c>
      <c r="ONP615" s="5" t="s">
        <v>3728</v>
      </c>
      <c r="ONQ615" s="17">
        <v>44925</v>
      </c>
      <c r="ONR615" s="5" t="s">
        <v>3728</v>
      </c>
      <c r="ONS615" s="17">
        <v>44925</v>
      </c>
      <c r="ONT615" s="5" t="s">
        <v>3728</v>
      </c>
      <c r="ONU615" s="17">
        <v>44925</v>
      </c>
      <c r="ONV615" s="5" t="s">
        <v>3728</v>
      </c>
      <c r="ONW615" s="17">
        <v>44925</v>
      </c>
      <c r="ONX615" s="5" t="s">
        <v>3728</v>
      </c>
      <c r="ONY615" s="17">
        <v>44925</v>
      </c>
      <c r="ONZ615" s="5" t="s">
        <v>3728</v>
      </c>
      <c r="OOA615" s="17">
        <v>44925</v>
      </c>
      <c r="OOB615" s="5" t="s">
        <v>3728</v>
      </c>
      <c r="OOC615" s="17">
        <v>44925</v>
      </c>
      <c r="OOD615" s="5" t="s">
        <v>3728</v>
      </c>
      <c r="OOE615" s="17">
        <v>44925</v>
      </c>
      <c r="OOF615" s="5" t="s">
        <v>3728</v>
      </c>
      <c r="OOG615" s="17">
        <v>44925</v>
      </c>
      <c r="OOH615" s="5" t="s">
        <v>3728</v>
      </c>
      <c r="OOI615" s="17">
        <v>44925</v>
      </c>
      <c r="OOJ615" s="5" t="s">
        <v>3728</v>
      </c>
      <c r="OOK615" s="17">
        <v>44925</v>
      </c>
      <c r="OOL615" s="5" t="s">
        <v>3728</v>
      </c>
      <c r="OOM615" s="17">
        <v>44925</v>
      </c>
      <c r="OON615" s="5" t="s">
        <v>3728</v>
      </c>
      <c r="OOO615" s="17">
        <v>44925</v>
      </c>
      <c r="OOP615" s="5" t="s">
        <v>3728</v>
      </c>
      <c r="OOQ615" s="17">
        <v>44925</v>
      </c>
      <c r="OOR615" s="5" t="s">
        <v>3728</v>
      </c>
      <c r="OOS615" s="17">
        <v>44925</v>
      </c>
      <c r="OOT615" s="5" t="s">
        <v>3728</v>
      </c>
      <c r="OOU615" s="17">
        <v>44925</v>
      </c>
      <c r="OOV615" s="5" t="s">
        <v>3728</v>
      </c>
      <c r="OOW615" s="17">
        <v>44925</v>
      </c>
      <c r="OOX615" s="5" t="s">
        <v>3728</v>
      </c>
      <c r="OOY615" s="17">
        <v>44925</v>
      </c>
      <c r="OOZ615" s="5" t="s">
        <v>3728</v>
      </c>
      <c r="OPA615" s="17">
        <v>44925</v>
      </c>
      <c r="OPB615" s="5" t="s">
        <v>3728</v>
      </c>
      <c r="OPC615" s="17">
        <v>44925</v>
      </c>
      <c r="OPD615" s="5" t="s">
        <v>3728</v>
      </c>
      <c r="OPE615" s="17">
        <v>44925</v>
      </c>
      <c r="OPF615" s="5" t="s">
        <v>3728</v>
      </c>
      <c r="OPG615" s="17">
        <v>44925</v>
      </c>
      <c r="OPH615" s="5" t="s">
        <v>3728</v>
      </c>
      <c r="OPI615" s="17">
        <v>44925</v>
      </c>
      <c r="OPJ615" s="5" t="s">
        <v>3728</v>
      </c>
      <c r="OPK615" s="17">
        <v>44925</v>
      </c>
      <c r="OPL615" s="5" t="s">
        <v>3728</v>
      </c>
      <c r="OPM615" s="17">
        <v>44925</v>
      </c>
      <c r="OPN615" s="5" t="s">
        <v>3728</v>
      </c>
      <c r="OPO615" s="17">
        <v>44925</v>
      </c>
      <c r="OPP615" s="5" t="s">
        <v>3728</v>
      </c>
      <c r="OPQ615" s="17">
        <v>44925</v>
      </c>
      <c r="OPR615" s="5" t="s">
        <v>3728</v>
      </c>
      <c r="OPS615" s="17">
        <v>44925</v>
      </c>
      <c r="OPT615" s="5" t="s">
        <v>3728</v>
      </c>
      <c r="OPU615" s="17">
        <v>44925</v>
      </c>
      <c r="OPV615" s="5" t="s">
        <v>3728</v>
      </c>
      <c r="OPW615" s="17">
        <v>44925</v>
      </c>
      <c r="OPX615" s="5" t="s">
        <v>3728</v>
      </c>
      <c r="OPY615" s="17">
        <v>44925</v>
      </c>
      <c r="OPZ615" s="5" t="s">
        <v>3728</v>
      </c>
      <c r="OQA615" s="17">
        <v>44925</v>
      </c>
      <c r="OQB615" s="5" t="s">
        <v>3728</v>
      </c>
      <c r="OQC615" s="17">
        <v>44925</v>
      </c>
      <c r="OQD615" s="5" t="s">
        <v>3728</v>
      </c>
      <c r="OQE615" s="17">
        <v>44925</v>
      </c>
      <c r="OQF615" s="5" t="s">
        <v>3728</v>
      </c>
      <c r="OQG615" s="17">
        <v>44925</v>
      </c>
      <c r="OQH615" s="5" t="s">
        <v>3728</v>
      </c>
      <c r="OQI615" s="17">
        <v>44925</v>
      </c>
      <c r="OQJ615" s="5" t="s">
        <v>3728</v>
      </c>
      <c r="OQK615" s="17">
        <v>44925</v>
      </c>
      <c r="OQL615" s="5" t="s">
        <v>3728</v>
      </c>
      <c r="OQM615" s="17">
        <v>44925</v>
      </c>
      <c r="OQN615" s="5" t="s">
        <v>3728</v>
      </c>
      <c r="OQO615" s="17">
        <v>44925</v>
      </c>
      <c r="OQP615" s="5" t="s">
        <v>3728</v>
      </c>
      <c r="OQQ615" s="17">
        <v>44925</v>
      </c>
      <c r="OQR615" s="5" t="s">
        <v>3728</v>
      </c>
      <c r="OQS615" s="17">
        <v>44925</v>
      </c>
      <c r="OQT615" s="5" t="s">
        <v>3728</v>
      </c>
      <c r="OQU615" s="17">
        <v>44925</v>
      </c>
      <c r="OQV615" s="5" t="s">
        <v>3728</v>
      </c>
      <c r="OQW615" s="17">
        <v>44925</v>
      </c>
      <c r="OQX615" s="5" t="s">
        <v>3728</v>
      </c>
      <c r="OQY615" s="17">
        <v>44925</v>
      </c>
      <c r="OQZ615" s="5" t="s">
        <v>3728</v>
      </c>
      <c r="ORA615" s="17">
        <v>44925</v>
      </c>
      <c r="ORB615" s="5" t="s">
        <v>3728</v>
      </c>
      <c r="ORC615" s="17">
        <v>44925</v>
      </c>
      <c r="ORD615" s="5" t="s">
        <v>3728</v>
      </c>
      <c r="ORE615" s="17">
        <v>44925</v>
      </c>
      <c r="ORF615" s="5" t="s">
        <v>3728</v>
      </c>
      <c r="ORG615" s="17">
        <v>44925</v>
      </c>
      <c r="ORH615" s="5" t="s">
        <v>3728</v>
      </c>
      <c r="ORI615" s="17">
        <v>44925</v>
      </c>
      <c r="ORJ615" s="5" t="s">
        <v>3728</v>
      </c>
      <c r="ORK615" s="17">
        <v>44925</v>
      </c>
      <c r="ORL615" s="5" t="s">
        <v>3728</v>
      </c>
      <c r="ORM615" s="17">
        <v>44925</v>
      </c>
      <c r="ORN615" s="5" t="s">
        <v>3728</v>
      </c>
      <c r="ORO615" s="17">
        <v>44925</v>
      </c>
      <c r="ORP615" s="5" t="s">
        <v>3728</v>
      </c>
      <c r="ORQ615" s="17">
        <v>44925</v>
      </c>
      <c r="ORR615" s="5" t="s">
        <v>3728</v>
      </c>
      <c r="ORS615" s="17">
        <v>44925</v>
      </c>
      <c r="ORT615" s="5" t="s">
        <v>3728</v>
      </c>
      <c r="ORU615" s="17">
        <v>44925</v>
      </c>
      <c r="ORV615" s="5" t="s">
        <v>3728</v>
      </c>
      <c r="ORW615" s="17">
        <v>44925</v>
      </c>
      <c r="ORX615" s="5" t="s">
        <v>3728</v>
      </c>
      <c r="ORY615" s="17">
        <v>44925</v>
      </c>
      <c r="ORZ615" s="5" t="s">
        <v>3728</v>
      </c>
      <c r="OSA615" s="17">
        <v>44925</v>
      </c>
      <c r="OSB615" s="5" t="s">
        <v>3728</v>
      </c>
      <c r="OSC615" s="17">
        <v>44925</v>
      </c>
      <c r="OSD615" s="5" t="s">
        <v>3728</v>
      </c>
      <c r="OSE615" s="17">
        <v>44925</v>
      </c>
      <c r="OSF615" s="5" t="s">
        <v>3728</v>
      </c>
      <c r="OSG615" s="17">
        <v>44925</v>
      </c>
      <c r="OSH615" s="5" t="s">
        <v>3728</v>
      </c>
      <c r="OSI615" s="17">
        <v>44925</v>
      </c>
      <c r="OSJ615" s="5" t="s">
        <v>3728</v>
      </c>
      <c r="OSK615" s="17">
        <v>44925</v>
      </c>
      <c r="OSL615" s="5" t="s">
        <v>3728</v>
      </c>
      <c r="OSM615" s="17">
        <v>44925</v>
      </c>
      <c r="OSN615" s="5" t="s">
        <v>3728</v>
      </c>
      <c r="OSO615" s="17">
        <v>44925</v>
      </c>
      <c r="OSP615" s="5" t="s">
        <v>3728</v>
      </c>
      <c r="OSQ615" s="17">
        <v>44925</v>
      </c>
      <c r="OSR615" s="5" t="s">
        <v>3728</v>
      </c>
      <c r="OSS615" s="17">
        <v>44925</v>
      </c>
      <c r="OST615" s="5" t="s">
        <v>3728</v>
      </c>
      <c r="OSU615" s="17">
        <v>44925</v>
      </c>
      <c r="OSV615" s="5" t="s">
        <v>3728</v>
      </c>
      <c r="OSW615" s="17">
        <v>44925</v>
      </c>
      <c r="OSX615" s="5" t="s">
        <v>3728</v>
      </c>
      <c r="OSY615" s="17">
        <v>44925</v>
      </c>
      <c r="OSZ615" s="5" t="s">
        <v>3728</v>
      </c>
      <c r="OTA615" s="17">
        <v>44925</v>
      </c>
      <c r="OTB615" s="5" t="s">
        <v>3728</v>
      </c>
      <c r="OTC615" s="17">
        <v>44925</v>
      </c>
      <c r="OTD615" s="5" t="s">
        <v>3728</v>
      </c>
      <c r="OTE615" s="17">
        <v>44925</v>
      </c>
      <c r="OTF615" s="5" t="s">
        <v>3728</v>
      </c>
      <c r="OTG615" s="17">
        <v>44925</v>
      </c>
      <c r="OTH615" s="5" t="s">
        <v>3728</v>
      </c>
      <c r="OTI615" s="17">
        <v>44925</v>
      </c>
      <c r="OTJ615" s="5" t="s">
        <v>3728</v>
      </c>
      <c r="OTK615" s="17">
        <v>44925</v>
      </c>
      <c r="OTL615" s="5" t="s">
        <v>3728</v>
      </c>
      <c r="OTM615" s="17">
        <v>44925</v>
      </c>
      <c r="OTN615" s="5" t="s">
        <v>3728</v>
      </c>
      <c r="OTO615" s="17">
        <v>44925</v>
      </c>
      <c r="OTP615" s="5" t="s">
        <v>3728</v>
      </c>
      <c r="OTQ615" s="17">
        <v>44925</v>
      </c>
      <c r="OTR615" s="5" t="s">
        <v>3728</v>
      </c>
      <c r="OTS615" s="17">
        <v>44925</v>
      </c>
      <c r="OTT615" s="5" t="s">
        <v>3728</v>
      </c>
      <c r="OTU615" s="17">
        <v>44925</v>
      </c>
      <c r="OTV615" s="5" t="s">
        <v>3728</v>
      </c>
      <c r="OTW615" s="17">
        <v>44925</v>
      </c>
      <c r="OTX615" s="5" t="s">
        <v>3728</v>
      </c>
      <c r="OTY615" s="17">
        <v>44925</v>
      </c>
      <c r="OTZ615" s="5" t="s">
        <v>3728</v>
      </c>
      <c r="OUA615" s="17">
        <v>44925</v>
      </c>
      <c r="OUB615" s="5" t="s">
        <v>3728</v>
      </c>
      <c r="OUC615" s="17">
        <v>44925</v>
      </c>
      <c r="OUD615" s="5" t="s">
        <v>3728</v>
      </c>
      <c r="OUE615" s="17">
        <v>44925</v>
      </c>
      <c r="OUF615" s="5" t="s">
        <v>3728</v>
      </c>
      <c r="OUG615" s="17">
        <v>44925</v>
      </c>
      <c r="OUH615" s="5" t="s">
        <v>3728</v>
      </c>
      <c r="OUI615" s="17">
        <v>44925</v>
      </c>
      <c r="OUJ615" s="5" t="s">
        <v>3728</v>
      </c>
      <c r="OUK615" s="17">
        <v>44925</v>
      </c>
      <c r="OUL615" s="5" t="s">
        <v>3728</v>
      </c>
      <c r="OUM615" s="17">
        <v>44925</v>
      </c>
      <c r="OUN615" s="5" t="s">
        <v>3728</v>
      </c>
      <c r="OUO615" s="17">
        <v>44925</v>
      </c>
      <c r="OUP615" s="5" t="s">
        <v>3728</v>
      </c>
      <c r="OUQ615" s="17">
        <v>44925</v>
      </c>
      <c r="OUR615" s="5" t="s">
        <v>3728</v>
      </c>
      <c r="OUS615" s="17">
        <v>44925</v>
      </c>
      <c r="OUT615" s="5" t="s">
        <v>3728</v>
      </c>
      <c r="OUU615" s="17">
        <v>44925</v>
      </c>
      <c r="OUV615" s="5" t="s">
        <v>3728</v>
      </c>
      <c r="OUW615" s="17">
        <v>44925</v>
      </c>
      <c r="OUX615" s="5" t="s">
        <v>3728</v>
      </c>
      <c r="OUY615" s="17">
        <v>44925</v>
      </c>
      <c r="OUZ615" s="5" t="s">
        <v>3728</v>
      </c>
      <c r="OVA615" s="17">
        <v>44925</v>
      </c>
      <c r="OVB615" s="5" t="s">
        <v>3728</v>
      </c>
      <c r="OVC615" s="17">
        <v>44925</v>
      </c>
      <c r="OVD615" s="5" t="s">
        <v>3728</v>
      </c>
      <c r="OVE615" s="17">
        <v>44925</v>
      </c>
      <c r="OVF615" s="5" t="s">
        <v>3728</v>
      </c>
      <c r="OVG615" s="17">
        <v>44925</v>
      </c>
      <c r="OVH615" s="5" t="s">
        <v>3728</v>
      </c>
      <c r="OVI615" s="17">
        <v>44925</v>
      </c>
      <c r="OVJ615" s="5" t="s">
        <v>3728</v>
      </c>
      <c r="OVK615" s="17">
        <v>44925</v>
      </c>
      <c r="OVL615" s="5" t="s">
        <v>3728</v>
      </c>
      <c r="OVM615" s="17">
        <v>44925</v>
      </c>
      <c r="OVN615" s="5" t="s">
        <v>3728</v>
      </c>
      <c r="OVO615" s="17">
        <v>44925</v>
      </c>
      <c r="OVP615" s="5" t="s">
        <v>3728</v>
      </c>
      <c r="OVQ615" s="17">
        <v>44925</v>
      </c>
      <c r="OVR615" s="5" t="s">
        <v>3728</v>
      </c>
      <c r="OVS615" s="17">
        <v>44925</v>
      </c>
      <c r="OVT615" s="5" t="s">
        <v>3728</v>
      </c>
      <c r="OVU615" s="17">
        <v>44925</v>
      </c>
      <c r="OVV615" s="5" t="s">
        <v>3728</v>
      </c>
      <c r="OVW615" s="17">
        <v>44925</v>
      </c>
      <c r="OVX615" s="5" t="s">
        <v>3728</v>
      </c>
      <c r="OVY615" s="17">
        <v>44925</v>
      </c>
      <c r="OVZ615" s="5" t="s">
        <v>3728</v>
      </c>
      <c r="OWA615" s="17">
        <v>44925</v>
      </c>
      <c r="OWB615" s="5" t="s">
        <v>3728</v>
      </c>
      <c r="OWC615" s="17">
        <v>44925</v>
      </c>
      <c r="OWD615" s="5" t="s">
        <v>3728</v>
      </c>
      <c r="OWE615" s="17">
        <v>44925</v>
      </c>
      <c r="OWF615" s="5" t="s">
        <v>3728</v>
      </c>
      <c r="OWG615" s="17">
        <v>44925</v>
      </c>
      <c r="OWH615" s="5" t="s">
        <v>3728</v>
      </c>
      <c r="OWI615" s="17">
        <v>44925</v>
      </c>
      <c r="OWJ615" s="5" t="s">
        <v>3728</v>
      </c>
      <c r="OWK615" s="17">
        <v>44925</v>
      </c>
      <c r="OWL615" s="5" t="s">
        <v>3728</v>
      </c>
      <c r="OWM615" s="17">
        <v>44925</v>
      </c>
      <c r="OWN615" s="5" t="s">
        <v>3728</v>
      </c>
      <c r="OWO615" s="17">
        <v>44925</v>
      </c>
      <c r="OWP615" s="5" t="s">
        <v>3728</v>
      </c>
      <c r="OWQ615" s="17">
        <v>44925</v>
      </c>
      <c r="OWR615" s="5" t="s">
        <v>3728</v>
      </c>
      <c r="OWS615" s="17">
        <v>44925</v>
      </c>
      <c r="OWT615" s="5" t="s">
        <v>3728</v>
      </c>
      <c r="OWU615" s="17">
        <v>44925</v>
      </c>
      <c r="OWV615" s="5" t="s">
        <v>3728</v>
      </c>
      <c r="OWW615" s="17">
        <v>44925</v>
      </c>
      <c r="OWX615" s="5" t="s">
        <v>3728</v>
      </c>
      <c r="OWY615" s="17">
        <v>44925</v>
      </c>
      <c r="OWZ615" s="5" t="s">
        <v>3728</v>
      </c>
      <c r="OXA615" s="17">
        <v>44925</v>
      </c>
      <c r="OXB615" s="5" t="s">
        <v>3728</v>
      </c>
      <c r="OXC615" s="17">
        <v>44925</v>
      </c>
      <c r="OXD615" s="5" t="s">
        <v>3728</v>
      </c>
      <c r="OXE615" s="17">
        <v>44925</v>
      </c>
      <c r="OXF615" s="5" t="s">
        <v>3728</v>
      </c>
      <c r="OXG615" s="17">
        <v>44925</v>
      </c>
      <c r="OXH615" s="5" t="s">
        <v>3728</v>
      </c>
      <c r="OXI615" s="17">
        <v>44925</v>
      </c>
      <c r="OXJ615" s="5" t="s">
        <v>3728</v>
      </c>
      <c r="OXK615" s="17">
        <v>44925</v>
      </c>
      <c r="OXL615" s="5" t="s">
        <v>3728</v>
      </c>
      <c r="OXM615" s="17">
        <v>44925</v>
      </c>
      <c r="OXN615" s="5" t="s">
        <v>3728</v>
      </c>
      <c r="OXO615" s="17">
        <v>44925</v>
      </c>
      <c r="OXP615" s="5" t="s">
        <v>3728</v>
      </c>
      <c r="OXQ615" s="17">
        <v>44925</v>
      </c>
      <c r="OXR615" s="5" t="s">
        <v>3728</v>
      </c>
      <c r="OXS615" s="17">
        <v>44925</v>
      </c>
      <c r="OXT615" s="5" t="s">
        <v>3728</v>
      </c>
      <c r="OXU615" s="17">
        <v>44925</v>
      </c>
      <c r="OXV615" s="5" t="s">
        <v>3728</v>
      </c>
      <c r="OXW615" s="17">
        <v>44925</v>
      </c>
      <c r="OXX615" s="5" t="s">
        <v>3728</v>
      </c>
      <c r="OXY615" s="17">
        <v>44925</v>
      </c>
      <c r="OXZ615" s="5" t="s">
        <v>3728</v>
      </c>
      <c r="OYA615" s="17">
        <v>44925</v>
      </c>
      <c r="OYB615" s="5" t="s">
        <v>3728</v>
      </c>
      <c r="OYC615" s="17">
        <v>44925</v>
      </c>
      <c r="OYD615" s="5" t="s">
        <v>3728</v>
      </c>
      <c r="OYE615" s="17">
        <v>44925</v>
      </c>
      <c r="OYF615" s="5" t="s">
        <v>3728</v>
      </c>
      <c r="OYG615" s="17">
        <v>44925</v>
      </c>
      <c r="OYH615" s="5" t="s">
        <v>3728</v>
      </c>
      <c r="OYI615" s="17">
        <v>44925</v>
      </c>
      <c r="OYJ615" s="5" t="s">
        <v>3728</v>
      </c>
      <c r="OYK615" s="17">
        <v>44925</v>
      </c>
      <c r="OYL615" s="5" t="s">
        <v>3728</v>
      </c>
      <c r="OYM615" s="17">
        <v>44925</v>
      </c>
      <c r="OYN615" s="5" t="s">
        <v>3728</v>
      </c>
      <c r="OYO615" s="17">
        <v>44925</v>
      </c>
      <c r="OYP615" s="5" t="s">
        <v>3728</v>
      </c>
      <c r="OYQ615" s="17">
        <v>44925</v>
      </c>
      <c r="OYR615" s="5" t="s">
        <v>3728</v>
      </c>
      <c r="OYS615" s="17">
        <v>44925</v>
      </c>
      <c r="OYT615" s="5" t="s">
        <v>3728</v>
      </c>
      <c r="OYU615" s="17">
        <v>44925</v>
      </c>
      <c r="OYV615" s="5" t="s">
        <v>3728</v>
      </c>
      <c r="OYW615" s="17">
        <v>44925</v>
      </c>
      <c r="OYX615" s="5" t="s">
        <v>3728</v>
      </c>
      <c r="OYY615" s="17">
        <v>44925</v>
      </c>
      <c r="OYZ615" s="5" t="s">
        <v>3728</v>
      </c>
      <c r="OZA615" s="17">
        <v>44925</v>
      </c>
      <c r="OZB615" s="5" t="s">
        <v>3728</v>
      </c>
      <c r="OZC615" s="17">
        <v>44925</v>
      </c>
      <c r="OZD615" s="5" t="s">
        <v>3728</v>
      </c>
      <c r="OZE615" s="17">
        <v>44925</v>
      </c>
      <c r="OZF615" s="5" t="s">
        <v>3728</v>
      </c>
      <c r="OZG615" s="17">
        <v>44925</v>
      </c>
      <c r="OZH615" s="5" t="s">
        <v>3728</v>
      </c>
      <c r="OZI615" s="17">
        <v>44925</v>
      </c>
      <c r="OZJ615" s="5" t="s">
        <v>3728</v>
      </c>
      <c r="OZK615" s="17">
        <v>44925</v>
      </c>
      <c r="OZL615" s="5" t="s">
        <v>3728</v>
      </c>
      <c r="OZM615" s="17">
        <v>44925</v>
      </c>
      <c r="OZN615" s="5" t="s">
        <v>3728</v>
      </c>
      <c r="OZO615" s="17">
        <v>44925</v>
      </c>
      <c r="OZP615" s="5" t="s">
        <v>3728</v>
      </c>
      <c r="OZQ615" s="17">
        <v>44925</v>
      </c>
      <c r="OZR615" s="5" t="s">
        <v>3728</v>
      </c>
      <c r="OZS615" s="17">
        <v>44925</v>
      </c>
      <c r="OZT615" s="5" t="s">
        <v>3728</v>
      </c>
      <c r="OZU615" s="17">
        <v>44925</v>
      </c>
      <c r="OZV615" s="5" t="s">
        <v>3728</v>
      </c>
      <c r="OZW615" s="17">
        <v>44925</v>
      </c>
      <c r="OZX615" s="5" t="s">
        <v>3728</v>
      </c>
      <c r="OZY615" s="17">
        <v>44925</v>
      </c>
      <c r="OZZ615" s="5" t="s">
        <v>3728</v>
      </c>
      <c r="PAA615" s="17">
        <v>44925</v>
      </c>
      <c r="PAB615" s="5" t="s">
        <v>3728</v>
      </c>
      <c r="PAC615" s="17">
        <v>44925</v>
      </c>
      <c r="PAD615" s="5" t="s">
        <v>3728</v>
      </c>
      <c r="PAE615" s="17">
        <v>44925</v>
      </c>
      <c r="PAF615" s="5" t="s">
        <v>3728</v>
      </c>
      <c r="PAG615" s="17">
        <v>44925</v>
      </c>
      <c r="PAH615" s="5" t="s">
        <v>3728</v>
      </c>
      <c r="PAI615" s="17">
        <v>44925</v>
      </c>
      <c r="PAJ615" s="5" t="s">
        <v>3728</v>
      </c>
      <c r="PAK615" s="17">
        <v>44925</v>
      </c>
      <c r="PAL615" s="5" t="s">
        <v>3728</v>
      </c>
      <c r="PAM615" s="17">
        <v>44925</v>
      </c>
      <c r="PAN615" s="5" t="s">
        <v>3728</v>
      </c>
      <c r="PAO615" s="17">
        <v>44925</v>
      </c>
      <c r="PAP615" s="5" t="s">
        <v>3728</v>
      </c>
      <c r="PAQ615" s="17">
        <v>44925</v>
      </c>
      <c r="PAR615" s="5" t="s">
        <v>3728</v>
      </c>
      <c r="PAS615" s="17">
        <v>44925</v>
      </c>
      <c r="PAT615" s="5" t="s">
        <v>3728</v>
      </c>
      <c r="PAU615" s="17">
        <v>44925</v>
      </c>
      <c r="PAV615" s="5" t="s">
        <v>3728</v>
      </c>
      <c r="PAW615" s="17">
        <v>44925</v>
      </c>
      <c r="PAX615" s="5" t="s">
        <v>3728</v>
      </c>
      <c r="PAY615" s="17">
        <v>44925</v>
      </c>
      <c r="PAZ615" s="5" t="s">
        <v>3728</v>
      </c>
      <c r="PBA615" s="17">
        <v>44925</v>
      </c>
      <c r="PBB615" s="5" t="s">
        <v>3728</v>
      </c>
      <c r="PBC615" s="17">
        <v>44925</v>
      </c>
      <c r="PBD615" s="5" t="s">
        <v>3728</v>
      </c>
      <c r="PBE615" s="17">
        <v>44925</v>
      </c>
      <c r="PBF615" s="5" t="s">
        <v>3728</v>
      </c>
      <c r="PBG615" s="17">
        <v>44925</v>
      </c>
      <c r="PBH615" s="5" t="s">
        <v>3728</v>
      </c>
      <c r="PBI615" s="17">
        <v>44925</v>
      </c>
      <c r="PBJ615" s="5" t="s">
        <v>3728</v>
      </c>
      <c r="PBK615" s="17">
        <v>44925</v>
      </c>
      <c r="PBL615" s="5" t="s">
        <v>3728</v>
      </c>
      <c r="PBM615" s="17">
        <v>44925</v>
      </c>
      <c r="PBN615" s="5" t="s">
        <v>3728</v>
      </c>
      <c r="PBO615" s="17">
        <v>44925</v>
      </c>
      <c r="PBP615" s="5" t="s">
        <v>3728</v>
      </c>
      <c r="PBQ615" s="17">
        <v>44925</v>
      </c>
      <c r="PBR615" s="5" t="s">
        <v>3728</v>
      </c>
      <c r="PBS615" s="17">
        <v>44925</v>
      </c>
      <c r="PBT615" s="5" t="s">
        <v>3728</v>
      </c>
      <c r="PBU615" s="17">
        <v>44925</v>
      </c>
      <c r="PBV615" s="5" t="s">
        <v>3728</v>
      </c>
      <c r="PBW615" s="17">
        <v>44925</v>
      </c>
      <c r="PBX615" s="5" t="s">
        <v>3728</v>
      </c>
      <c r="PBY615" s="17">
        <v>44925</v>
      </c>
      <c r="PBZ615" s="5" t="s">
        <v>3728</v>
      </c>
      <c r="PCA615" s="17">
        <v>44925</v>
      </c>
      <c r="PCB615" s="5" t="s">
        <v>3728</v>
      </c>
      <c r="PCC615" s="17">
        <v>44925</v>
      </c>
      <c r="PCD615" s="5" t="s">
        <v>3728</v>
      </c>
      <c r="PCE615" s="17">
        <v>44925</v>
      </c>
      <c r="PCF615" s="5" t="s">
        <v>3728</v>
      </c>
      <c r="PCG615" s="17">
        <v>44925</v>
      </c>
      <c r="PCH615" s="5" t="s">
        <v>3728</v>
      </c>
      <c r="PCI615" s="17">
        <v>44925</v>
      </c>
      <c r="PCJ615" s="5" t="s">
        <v>3728</v>
      </c>
      <c r="PCK615" s="17">
        <v>44925</v>
      </c>
      <c r="PCL615" s="5" t="s">
        <v>3728</v>
      </c>
      <c r="PCM615" s="17">
        <v>44925</v>
      </c>
      <c r="PCN615" s="5" t="s">
        <v>3728</v>
      </c>
      <c r="PCO615" s="17">
        <v>44925</v>
      </c>
      <c r="PCP615" s="5" t="s">
        <v>3728</v>
      </c>
      <c r="PCQ615" s="17">
        <v>44925</v>
      </c>
      <c r="PCR615" s="5" t="s">
        <v>3728</v>
      </c>
      <c r="PCS615" s="17">
        <v>44925</v>
      </c>
      <c r="PCT615" s="5" t="s">
        <v>3728</v>
      </c>
      <c r="PCU615" s="17">
        <v>44925</v>
      </c>
      <c r="PCV615" s="5" t="s">
        <v>3728</v>
      </c>
      <c r="PCW615" s="17">
        <v>44925</v>
      </c>
      <c r="PCX615" s="5" t="s">
        <v>3728</v>
      </c>
      <c r="PCY615" s="17">
        <v>44925</v>
      </c>
      <c r="PCZ615" s="5" t="s">
        <v>3728</v>
      </c>
      <c r="PDA615" s="17">
        <v>44925</v>
      </c>
      <c r="PDB615" s="5" t="s">
        <v>3728</v>
      </c>
      <c r="PDC615" s="17">
        <v>44925</v>
      </c>
      <c r="PDD615" s="5" t="s">
        <v>3728</v>
      </c>
      <c r="PDE615" s="17">
        <v>44925</v>
      </c>
      <c r="PDF615" s="5" t="s">
        <v>3728</v>
      </c>
      <c r="PDG615" s="17">
        <v>44925</v>
      </c>
      <c r="PDH615" s="5" t="s">
        <v>3728</v>
      </c>
      <c r="PDI615" s="17">
        <v>44925</v>
      </c>
      <c r="PDJ615" s="5" t="s">
        <v>3728</v>
      </c>
      <c r="PDK615" s="17">
        <v>44925</v>
      </c>
      <c r="PDL615" s="5" t="s">
        <v>3728</v>
      </c>
      <c r="PDM615" s="17">
        <v>44925</v>
      </c>
      <c r="PDN615" s="5" t="s">
        <v>3728</v>
      </c>
      <c r="PDO615" s="17">
        <v>44925</v>
      </c>
      <c r="PDP615" s="5" t="s">
        <v>3728</v>
      </c>
      <c r="PDQ615" s="17">
        <v>44925</v>
      </c>
      <c r="PDR615" s="5" t="s">
        <v>3728</v>
      </c>
      <c r="PDS615" s="17">
        <v>44925</v>
      </c>
      <c r="PDT615" s="5" t="s">
        <v>3728</v>
      </c>
      <c r="PDU615" s="17">
        <v>44925</v>
      </c>
      <c r="PDV615" s="5" t="s">
        <v>3728</v>
      </c>
      <c r="PDW615" s="17">
        <v>44925</v>
      </c>
      <c r="PDX615" s="5" t="s">
        <v>3728</v>
      </c>
      <c r="PDY615" s="17">
        <v>44925</v>
      </c>
      <c r="PDZ615" s="5" t="s">
        <v>3728</v>
      </c>
      <c r="PEA615" s="17">
        <v>44925</v>
      </c>
      <c r="PEB615" s="5" t="s">
        <v>3728</v>
      </c>
      <c r="PEC615" s="17">
        <v>44925</v>
      </c>
      <c r="PED615" s="5" t="s">
        <v>3728</v>
      </c>
      <c r="PEE615" s="17">
        <v>44925</v>
      </c>
      <c r="PEF615" s="5" t="s">
        <v>3728</v>
      </c>
      <c r="PEG615" s="17">
        <v>44925</v>
      </c>
      <c r="PEH615" s="5" t="s">
        <v>3728</v>
      </c>
      <c r="PEI615" s="17">
        <v>44925</v>
      </c>
      <c r="PEJ615" s="5" t="s">
        <v>3728</v>
      </c>
      <c r="PEK615" s="17">
        <v>44925</v>
      </c>
      <c r="PEL615" s="5" t="s">
        <v>3728</v>
      </c>
      <c r="PEM615" s="17">
        <v>44925</v>
      </c>
      <c r="PEN615" s="5" t="s">
        <v>3728</v>
      </c>
      <c r="PEO615" s="17">
        <v>44925</v>
      </c>
      <c r="PEP615" s="5" t="s">
        <v>3728</v>
      </c>
      <c r="PEQ615" s="17">
        <v>44925</v>
      </c>
      <c r="PER615" s="5" t="s">
        <v>3728</v>
      </c>
      <c r="PES615" s="17">
        <v>44925</v>
      </c>
      <c r="PET615" s="5" t="s">
        <v>3728</v>
      </c>
      <c r="PEU615" s="17">
        <v>44925</v>
      </c>
      <c r="PEV615" s="5" t="s">
        <v>3728</v>
      </c>
      <c r="PEW615" s="17">
        <v>44925</v>
      </c>
      <c r="PEX615" s="5" t="s">
        <v>3728</v>
      </c>
      <c r="PEY615" s="17">
        <v>44925</v>
      </c>
      <c r="PEZ615" s="5" t="s">
        <v>3728</v>
      </c>
      <c r="PFA615" s="17">
        <v>44925</v>
      </c>
      <c r="PFB615" s="5" t="s">
        <v>3728</v>
      </c>
      <c r="PFC615" s="17">
        <v>44925</v>
      </c>
      <c r="PFD615" s="5" t="s">
        <v>3728</v>
      </c>
      <c r="PFE615" s="17">
        <v>44925</v>
      </c>
      <c r="PFF615" s="5" t="s">
        <v>3728</v>
      </c>
      <c r="PFG615" s="17">
        <v>44925</v>
      </c>
      <c r="PFH615" s="5" t="s">
        <v>3728</v>
      </c>
      <c r="PFI615" s="17">
        <v>44925</v>
      </c>
      <c r="PFJ615" s="5" t="s">
        <v>3728</v>
      </c>
      <c r="PFK615" s="17">
        <v>44925</v>
      </c>
      <c r="PFL615" s="5" t="s">
        <v>3728</v>
      </c>
      <c r="PFM615" s="17">
        <v>44925</v>
      </c>
      <c r="PFN615" s="5" t="s">
        <v>3728</v>
      </c>
      <c r="PFO615" s="17">
        <v>44925</v>
      </c>
      <c r="PFP615" s="5" t="s">
        <v>3728</v>
      </c>
      <c r="PFQ615" s="17">
        <v>44925</v>
      </c>
      <c r="PFR615" s="5" t="s">
        <v>3728</v>
      </c>
      <c r="PFS615" s="17">
        <v>44925</v>
      </c>
      <c r="PFT615" s="5" t="s">
        <v>3728</v>
      </c>
      <c r="PFU615" s="17">
        <v>44925</v>
      </c>
      <c r="PFV615" s="5" t="s">
        <v>3728</v>
      </c>
      <c r="PFW615" s="17">
        <v>44925</v>
      </c>
      <c r="PFX615" s="5" t="s">
        <v>3728</v>
      </c>
      <c r="PFY615" s="17">
        <v>44925</v>
      </c>
      <c r="PFZ615" s="5" t="s">
        <v>3728</v>
      </c>
      <c r="PGA615" s="17">
        <v>44925</v>
      </c>
      <c r="PGB615" s="5" t="s">
        <v>3728</v>
      </c>
      <c r="PGC615" s="17">
        <v>44925</v>
      </c>
      <c r="PGD615" s="5" t="s">
        <v>3728</v>
      </c>
      <c r="PGE615" s="17">
        <v>44925</v>
      </c>
      <c r="PGF615" s="5" t="s">
        <v>3728</v>
      </c>
      <c r="PGG615" s="17">
        <v>44925</v>
      </c>
      <c r="PGH615" s="5" t="s">
        <v>3728</v>
      </c>
      <c r="PGI615" s="17">
        <v>44925</v>
      </c>
      <c r="PGJ615" s="5" t="s">
        <v>3728</v>
      </c>
      <c r="PGK615" s="17">
        <v>44925</v>
      </c>
      <c r="PGL615" s="5" t="s">
        <v>3728</v>
      </c>
      <c r="PGM615" s="17">
        <v>44925</v>
      </c>
      <c r="PGN615" s="5" t="s">
        <v>3728</v>
      </c>
      <c r="PGO615" s="17">
        <v>44925</v>
      </c>
      <c r="PGP615" s="5" t="s">
        <v>3728</v>
      </c>
      <c r="PGQ615" s="17">
        <v>44925</v>
      </c>
      <c r="PGR615" s="5" t="s">
        <v>3728</v>
      </c>
      <c r="PGS615" s="17">
        <v>44925</v>
      </c>
      <c r="PGT615" s="5" t="s">
        <v>3728</v>
      </c>
      <c r="PGU615" s="17">
        <v>44925</v>
      </c>
      <c r="PGV615" s="5" t="s">
        <v>3728</v>
      </c>
      <c r="PGW615" s="17">
        <v>44925</v>
      </c>
      <c r="PGX615" s="5" t="s">
        <v>3728</v>
      </c>
      <c r="PGY615" s="17">
        <v>44925</v>
      </c>
      <c r="PGZ615" s="5" t="s">
        <v>3728</v>
      </c>
      <c r="PHA615" s="17">
        <v>44925</v>
      </c>
      <c r="PHB615" s="5" t="s">
        <v>3728</v>
      </c>
      <c r="PHC615" s="17">
        <v>44925</v>
      </c>
      <c r="PHD615" s="5" t="s">
        <v>3728</v>
      </c>
      <c r="PHE615" s="17">
        <v>44925</v>
      </c>
      <c r="PHF615" s="5" t="s">
        <v>3728</v>
      </c>
      <c r="PHG615" s="17">
        <v>44925</v>
      </c>
      <c r="PHH615" s="5" t="s">
        <v>3728</v>
      </c>
      <c r="PHI615" s="17">
        <v>44925</v>
      </c>
      <c r="PHJ615" s="5" t="s">
        <v>3728</v>
      </c>
      <c r="PHK615" s="17">
        <v>44925</v>
      </c>
      <c r="PHL615" s="5" t="s">
        <v>3728</v>
      </c>
      <c r="PHM615" s="17">
        <v>44925</v>
      </c>
      <c r="PHN615" s="5" t="s">
        <v>3728</v>
      </c>
      <c r="PHO615" s="17">
        <v>44925</v>
      </c>
      <c r="PHP615" s="5" t="s">
        <v>3728</v>
      </c>
      <c r="PHQ615" s="17">
        <v>44925</v>
      </c>
      <c r="PHR615" s="5" t="s">
        <v>3728</v>
      </c>
      <c r="PHS615" s="17">
        <v>44925</v>
      </c>
      <c r="PHT615" s="5" t="s">
        <v>3728</v>
      </c>
      <c r="PHU615" s="17">
        <v>44925</v>
      </c>
      <c r="PHV615" s="5" t="s">
        <v>3728</v>
      </c>
      <c r="PHW615" s="17">
        <v>44925</v>
      </c>
      <c r="PHX615" s="5" t="s">
        <v>3728</v>
      </c>
      <c r="PHY615" s="17">
        <v>44925</v>
      </c>
      <c r="PHZ615" s="5" t="s">
        <v>3728</v>
      </c>
      <c r="PIA615" s="17">
        <v>44925</v>
      </c>
      <c r="PIB615" s="5" t="s">
        <v>3728</v>
      </c>
      <c r="PIC615" s="17">
        <v>44925</v>
      </c>
      <c r="PID615" s="5" t="s">
        <v>3728</v>
      </c>
      <c r="PIE615" s="17">
        <v>44925</v>
      </c>
      <c r="PIF615" s="5" t="s">
        <v>3728</v>
      </c>
      <c r="PIG615" s="17">
        <v>44925</v>
      </c>
      <c r="PIH615" s="5" t="s">
        <v>3728</v>
      </c>
      <c r="PII615" s="17">
        <v>44925</v>
      </c>
      <c r="PIJ615" s="5" t="s">
        <v>3728</v>
      </c>
      <c r="PIK615" s="17">
        <v>44925</v>
      </c>
      <c r="PIL615" s="5" t="s">
        <v>3728</v>
      </c>
      <c r="PIM615" s="17">
        <v>44925</v>
      </c>
      <c r="PIN615" s="5" t="s">
        <v>3728</v>
      </c>
      <c r="PIO615" s="17">
        <v>44925</v>
      </c>
      <c r="PIP615" s="5" t="s">
        <v>3728</v>
      </c>
      <c r="PIQ615" s="17">
        <v>44925</v>
      </c>
      <c r="PIR615" s="5" t="s">
        <v>3728</v>
      </c>
      <c r="PIS615" s="17">
        <v>44925</v>
      </c>
      <c r="PIT615" s="5" t="s">
        <v>3728</v>
      </c>
      <c r="PIU615" s="17">
        <v>44925</v>
      </c>
      <c r="PIV615" s="5" t="s">
        <v>3728</v>
      </c>
      <c r="PIW615" s="17">
        <v>44925</v>
      </c>
      <c r="PIX615" s="5" t="s">
        <v>3728</v>
      </c>
      <c r="PIY615" s="17">
        <v>44925</v>
      </c>
      <c r="PIZ615" s="5" t="s">
        <v>3728</v>
      </c>
      <c r="PJA615" s="17">
        <v>44925</v>
      </c>
      <c r="PJB615" s="5" t="s">
        <v>3728</v>
      </c>
      <c r="PJC615" s="17">
        <v>44925</v>
      </c>
      <c r="PJD615" s="5" t="s">
        <v>3728</v>
      </c>
      <c r="PJE615" s="17">
        <v>44925</v>
      </c>
      <c r="PJF615" s="5" t="s">
        <v>3728</v>
      </c>
      <c r="PJG615" s="17">
        <v>44925</v>
      </c>
      <c r="PJH615" s="5" t="s">
        <v>3728</v>
      </c>
      <c r="PJI615" s="17">
        <v>44925</v>
      </c>
      <c r="PJJ615" s="5" t="s">
        <v>3728</v>
      </c>
      <c r="PJK615" s="17">
        <v>44925</v>
      </c>
      <c r="PJL615" s="5" t="s">
        <v>3728</v>
      </c>
      <c r="PJM615" s="17">
        <v>44925</v>
      </c>
      <c r="PJN615" s="5" t="s">
        <v>3728</v>
      </c>
      <c r="PJO615" s="17">
        <v>44925</v>
      </c>
      <c r="PJP615" s="5" t="s">
        <v>3728</v>
      </c>
      <c r="PJQ615" s="17">
        <v>44925</v>
      </c>
      <c r="PJR615" s="5" t="s">
        <v>3728</v>
      </c>
      <c r="PJS615" s="17">
        <v>44925</v>
      </c>
      <c r="PJT615" s="5" t="s">
        <v>3728</v>
      </c>
      <c r="PJU615" s="17">
        <v>44925</v>
      </c>
      <c r="PJV615" s="5" t="s">
        <v>3728</v>
      </c>
      <c r="PJW615" s="17">
        <v>44925</v>
      </c>
      <c r="PJX615" s="5" t="s">
        <v>3728</v>
      </c>
      <c r="PJY615" s="17">
        <v>44925</v>
      </c>
      <c r="PJZ615" s="5" t="s">
        <v>3728</v>
      </c>
      <c r="PKA615" s="17">
        <v>44925</v>
      </c>
      <c r="PKB615" s="5" t="s">
        <v>3728</v>
      </c>
      <c r="PKC615" s="17">
        <v>44925</v>
      </c>
      <c r="PKD615" s="5" t="s">
        <v>3728</v>
      </c>
      <c r="PKE615" s="17">
        <v>44925</v>
      </c>
      <c r="PKF615" s="5" t="s">
        <v>3728</v>
      </c>
      <c r="PKG615" s="17">
        <v>44925</v>
      </c>
      <c r="PKH615" s="5" t="s">
        <v>3728</v>
      </c>
      <c r="PKI615" s="17">
        <v>44925</v>
      </c>
      <c r="PKJ615" s="5" t="s">
        <v>3728</v>
      </c>
      <c r="PKK615" s="17">
        <v>44925</v>
      </c>
      <c r="PKL615" s="5" t="s">
        <v>3728</v>
      </c>
      <c r="PKM615" s="17">
        <v>44925</v>
      </c>
      <c r="PKN615" s="5" t="s">
        <v>3728</v>
      </c>
      <c r="PKO615" s="17">
        <v>44925</v>
      </c>
      <c r="PKP615" s="5" t="s">
        <v>3728</v>
      </c>
      <c r="PKQ615" s="17">
        <v>44925</v>
      </c>
      <c r="PKR615" s="5" t="s">
        <v>3728</v>
      </c>
      <c r="PKS615" s="17">
        <v>44925</v>
      </c>
      <c r="PKT615" s="5" t="s">
        <v>3728</v>
      </c>
      <c r="PKU615" s="17">
        <v>44925</v>
      </c>
      <c r="PKV615" s="5" t="s">
        <v>3728</v>
      </c>
      <c r="PKW615" s="17">
        <v>44925</v>
      </c>
      <c r="PKX615" s="5" t="s">
        <v>3728</v>
      </c>
      <c r="PKY615" s="17">
        <v>44925</v>
      </c>
      <c r="PKZ615" s="5" t="s">
        <v>3728</v>
      </c>
      <c r="PLA615" s="17">
        <v>44925</v>
      </c>
      <c r="PLB615" s="5" t="s">
        <v>3728</v>
      </c>
      <c r="PLC615" s="17">
        <v>44925</v>
      </c>
      <c r="PLD615" s="5" t="s">
        <v>3728</v>
      </c>
      <c r="PLE615" s="17">
        <v>44925</v>
      </c>
      <c r="PLF615" s="5" t="s">
        <v>3728</v>
      </c>
      <c r="PLG615" s="17">
        <v>44925</v>
      </c>
      <c r="PLH615" s="5" t="s">
        <v>3728</v>
      </c>
      <c r="PLI615" s="17">
        <v>44925</v>
      </c>
      <c r="PLJ615" s="5" t="s">
        <v>3728</v>
      </c>
      <c r="PLK615" s="17">
        <v>44925</v>
      </c>
      <c r="PLL615" s="5" t="s">
        <v>3728</v>
      </c>
      <c r="PLM615" s="17">
        <v>44925</v>
      </c>
      <c r="PLN615" s="5" t="s">
        <v>3728</v>
      </c>
      <c r="PLO615" s="17">
        <v>44925</v>
      </c>
      <c r="PLP615" s="5" t="s">
        <v>3728</v>
      </c>
      <c r="PLQ615" s="17">
        <v>44925</v>
      </c>
      <c r="PLR615" s="5" t="s">
        <v>3728</v>
      </c>
      <c r="PLS615" s="17">
        <v>44925</v>
      </c>
      <c r="PLT615" s="5" t="s">
        <v>3728</v>
      </c>
      <c r="PLU615" s="17">
        <v>44925</v>
      </c>
      <c r="PLV615" s="5" t="s">
        <v>3728</v>
      </c>
      <c r="PLW615" s="17">
        <v>44925</v>
      </c>
      <c r="PLX615" s="5" t="s">
        <v>3728</v>
      </c>
      <c r="PLY615" s="17">
        <v>44925</v>
      </c>
      <c r="PLZ615" s="5" t="s">
        <v>3728</v>
      </c>
      <c r="PMA615" s="17">
        <v>44925</v>
      </c>
      <c r="PMB615" s="5" t="s">
        <v>3728</v>
      </c>
      <c r="PMC615" s="17">
        <v>44925</v>
      </c>
      <c r="PMD615" s="5" t="s">
        <v>3728</v>
      </c>
      <c r="PME615" s="17">
        <v>44925</v>
      </c>
      <c r="PMF615" s="5" t="s">
        <v>3728</v>
      </c>
      <c r="PMG615" s="17">
        <v>44925</v>
      </c>
      <c r="PMH615" s="5" t="s">
        <v>3728</v>
      </c>
      <c r="PMI615" s="17">
        <v>44925</v>
      </c>
      <c r="PMJ615" s="5" t="s">
        <v>3728</v>
      </c>
      <c r="PMK615" s="17">
        <v>44925</v>
      </c>
      <c r="PML615" s="5" t="s">
        <v>3728</v>
      </c>
      <c r="PMM615" s="17">
        <v>44925</v>
      </c>
      <c r="PMN615" s="5" t="s">
        <v>3728</v>
      </c>
      <c r="PMO615" s="17">
        <v>44925</v>
      </c>
      <c r="PMP615" s="5" t="s">
        <v>3728</v>
      </c>
      <c r="PMQ615" s="17">
        <v>44925</v>
      </c>
      <c r="PMR615" s="5" t="s">
        <v>3728</v>
      </c>
      <c r="PMS615" s="17">
        <v>44925</v>
      </c>
      <c r="PMT615" s="5" t="s">
        <v>3728</v>
      </c>
      <c r="PMU615" s="17">
        <v>44925</v>
      </c>
      <c r="PMV615" s="5" t="s">
        <v>3728</v>
      </c>
      <c r="PMW615" s="17">
        <v>44925</v>
      </c>
      <c r="PMX615" s="5" t="s">
        <v>3728</v>
      </c>
      <c r="PMY615" s="17">
        <v>44925</v>
      </c>
      <c r="PMZ615" s="5" t="s">
        <v>3728</v>
      </c>
      <c r="PNA615" s="17">
        <v>44925</v>
      </c>
      <c r="PNB615" s="5" t="s">
        <v>3728</v>
      </c>
      <c r="PNC615" s="17">
        <v>44925</v>
      </c>
      <c r="PND615" s="5" t="s">
        <v>3728</v>
      </c>
      <c r="PNE615" s="17">
        <v>44925</v>
      </c>
      <c r="PNF615" s="5" t="s">
        <v>3728</v>
      </c>
      <c r="PNG615" s="17">
        <v>44925</v>
      </c>
      <c r="PNH615" s="5" t="s">
        <v>3728</v>
      </c>
      <c r="PNI615" s="17">
        <v>44925</v>
      </c>
      <c r="PNJ615" s="5" t="s">
        <v>3728</v>
      </c>
      <c r="PNK615" s="17">
        <v>44925</v>
      </c>
      <c r="PNL615" s="5" t="s">
        <v>3728</v>
      </c>
      <c r="PNM615" s="17">
        <v>44925</v>
      </c>
      <c r="PNN615" s="5" t="s">
        <v>3728</v>
      </c>
      <c r="PNO615" s="17">
        <v>44925</v>
      </c>
      <c r="PNP615" s="5" t="s">
        <v>3728</v>
      </c>
      <c r="PNQ615" s="17">
        <v>44925</v>
      </c>
      <c r="PNR615" s="5" t="s">
        <v>3728</v>
      </c>
      <c r="PNS615" s="17">
        <v>44925</v>
      </c>
      <c r="PNT615" s="5" t="s">
        <v>3728</v>
      </c>
      <c r="PNU615" s="17">
        <v>44925</v>
      </c>
      <c r="PNV615" s="5" t="s">
        <v>3728</v>
      </c>
      <c r="PNW615" s="17">
        <v>44925</v>
      </c>
      <c r="PNX615" s="5" t="s">
        <v>3728</v>
      </c>
      <c r="PNY615" s="17">
        <v>44925</v>
      </c>
      <c r="PNZ615" s="5" t="s">
        <v>3728</v>
      </c>
      <c r="POA615" s="17">
        <v>44925</v>
      </c>
      <c r="POB615" s="5" t="s">
        <v>3728</v>
      </c>
      <c r="POC615" s="17">
        <v>44925</v>
      </c>
      <c r="POD615" s="5" t="s">
        <v>3728</v>
      </c>
      <c r="POE615" s="17">
        <v>44925</v>
      </c>
      <c r="POF615" s="5" t="s">
        <v>3728</v>
      </c>
      <c r="POG615" s="17">
        <v>44925</v>
      </c>
      <c r="POH615" s="5" t="s">
        <v>3728</v>
      </c>
      <c r="POI615" s="17">
        <v>44925</v>
      </c>
      <c r="POJ615" s="5" t="s">
        <v>3728</v>
      </c>
      <c r="POK615" s="17">
        <v>44925</v>
      </c>
      <c r="POL615" s="5" t="s">
        <v>3728</v>
      </c>
      <c r="POM615" s="17">
        <v>44925</v>
      </c>
      <c r="PON615" s="5" t="s">
        <v>3728</v>
      </c>
      <c r="POO615" s="17">
        <v>44925</v>
      </c>
      <c r="POP615" s="5" t="s">
        <v>3728</v>
      </c>
      <c r="POQ615" s="17">
        <v>44925</v>
      </c>
      <c r="POR615" s="5" t="s">
        <v>3728</v>
      </c>
      <c r="POS615" s="17">
        <v>44925</v>
      </c>
      <c r="POT615" s="5" t="s">
        <v>3728</v>
      </c>
      <c r="POU615" s="17">
        <v>44925</v>
      </c>
      <c r="POV615" s="5" t="s">
        <v>3728</v>
      </c>
      <c r="POW615" s="17">
        <v>44925</v>
      </c>
      <c r="POX615" s="5" t="s">
        <v>3728</v>
      </c>
      <c r="POY615" s="17">
        <v>44925</v>
      </c>
      <c r="POZ615" s="5" t="s">
        <v>3728</v>
      </c>
      <c r="PPA615" s="17">
        <v>44925</v>
      </c>
      <c r="PPB615" s="5" t="s">
        <v>3728</v>
      </c>
      <c r="PPC615" s="17">
        <v>44925</v>
      </c>
      <c r="PPD615" s="5" t="s">
        <v>3728</v>
      </c>
      <c r="PPE615" s="17">
        <v>44925</v>
      </c>
      <c r="PPF615" s="5" t="s">
        <v>3728</v>
      </c>
      <c r="PPG615" s="17">
        <v>44925</v>
      </c>
      <c r="PPH615" s="5" t="s">
        <v>3728</v>
      </c>
      <c r="PPI615" s="17">
        <v>44925</v>
      </c>
      <c r="PPJ615" s="5" t="s">
        <v>3728</v>
      </c>
      <c r="PPK615" s="17">
        <v>44925</v>
      </c>
      <c r="PPL615" s="5" t="s">
        <v>3728</v>
      </c>
      <c r="PPM615" s="17">
        <v>44925</v>
      </c>
      <c r="PPN615" s="5" t="s">
        <v>3728</v>
      </c>
      <c r="PPO615" s="17">
        <v>44925</v>
      </c>
      <c r="PPP615" s="5" t="s">
        <v>3728</v>
      </c>
      <c r="PPQ615" s="17">
        <v>44925</v>
      </c>
      <c r="PPR615" s="5" t="s">
        <v>3728</v>
      </c>
      <c r="PPS615" s="17">
        <v>44925</v>
      </c>
      <c r="PPT615" s="5" t="s">
        <v>3728</v>
      </c>
      <c r="PPU615" s="17">
        <v>44925</v>
      </c>
      <c r="PPV615" s="5" t="s">
        <v>3728</v>
      </c>
      <c r="PPW615" s="17">
        <v>44925</v>
      </c>
      <c r="PPX615" s="5" t="s">
        <v>3728</v>
      </c>
      <c r="PPY615" s="17">
        <v>44925</v>
      </c>
      <c r="PPZ615" s="5" t="s">
        <v>3728</v>
      </c>
      <c r="PQA615" s="17">
        <v>44925</v>
      </c>
      <c r="PQB615" s="5" t="s">
        <v>3728</v>
      </c>
      <c r="PQC615" s="17">
        <v>44925</v>
      </c>
      <c r="PQD615" s="5" t="s">
        <v>3728</v>
      </c>
      <c r="PQE615" s="17">
        <v>44925</v>
      </c>
      <c r="PQF615" s="5" t="s">
        <v>3728</v>
      </c>
      <c r="PQG615" s="17">
        <v>44925</v>
      </c>
      <c r="PQH615" s="5" t="s">
        <v>3728</v>
      </c>
      <c r="PQI615" s="17">
        <v>44925</v>
      </c>
      <c r="PQJ615" s="5" t="s">
        <v>3728</v>
      </c>
      <c r="PQK615" s="17">
        <v>44925</v>
      </c>
      <c r="PQL615" s="5" t="s">
        <v>3728</v>
      </c>
      <c r="PQM615" s="17">
        <v>44925</v>
      </c>
      <c r="PQN615" s="5" t="s">
        <v>3728</v>
      </c>
      <c r="PQO615" s="17">
        <v>44925</v>
      </c>
      <c r="PQP615" s="5" t="s">
        <v>3728</v>
      </c>
      <c r="PQQ615" s="17">
        <v>44925</v>
      </c>
      <c r="PQR615" s="5" t="s">
        <v>3728</v>
      </c>
      <c r="PQS615" s="17">
        <v>44925</v>
      </c>
      <c r="PQT615" s="5" t="s">
        <v>3728</v>
      </c>
      <c r="PQU615" s="17">
        <v>44925</v>
      </c>
      <c r="PQV615" s="5" t="s">
        <v>3728</v>
      </c>
      <c r="PQW615" s="17">
        <v>44925</v>
      </c>
      <c r="PQX615" s="5" t="s">
        <v>3728</v>
      </c>
      <c r="PQY615" s="17">
        <v>44925</v>
      </c>
      <c r="PQZ615" s="5" t="s">
        <v>3728</v>
      </c>
      <c r="PRA615" s="17">
        <v>44925</v>
      </c>
      <c r="PRB615" s="5" t="s">
        <v>3728</v>
      </c>
      <c r="PRC615" s="17">
        <v>44925</v>
      </c>
      <c r="PRD615" s="5" t="s">
        <v>3728</v>
      </c>
      <c r="PRE615" s="17">
        <v>44925</v>
      </c>
      <c r="PRF615" s="5" t="s">
        <v>3728</v>
      </c>
      <c r="PRG615" s="17">
        <v>44925</v>
      </c>
      <c r="PRH615" s="5" t="s">
        <v>3728</v>
      </c>
      <c r="PRI615" s="17">
        <v>44925</v>
      </c>
      <c r="PRJ615" s="5" t="s">
        <v>3728</v>
      </c>
      <c r="PRK615" s="17">
        <v>44925</v>
      </c>
      <c r="PRL615" s="5" t="s">
        <v>3728</v>
      </c>
      <c r="PRM615" s="17">
        <v>44925</v>
      </c>
      <c r="PRN615" s="5" t="s">
        <v>3728</v>
      </c>
      <c r="PRO615" s="17">
        <v>44925</v>
      </c>
      <c r="PRP615" s="5" t="s">
        <v>3728</v>
      </c>
      <c r="PRQ615" s="17">
        <v>44925</v>
      </c>
      <c r="PRR615" s="5" t="s">
        <v>3728</v>
      </c>
      <c r="PRS615" s="17">
        <v>44925</v>
      </c>
      <c r="PRT615" s="5" t="s">
        <v>3728</v>
      </c>
      <c r="PRU615" s="17">
        <v>44925</v>
      </c>
      <c r="PRV615" s="5" t="s">
        <v>3728</v>
      </c>
      <c r="PRW615" s="17">
        <v>44925</v>
      </c>
      <c r="PRX615" s="5" t="s">
        <v>3728</v>
      </c>
      <c r="PRY615" s="17">
        <v>44925</v>
      </c>
      <c r="PRZ615" s="5" t="s">
        <v>3728</v>
      </c>
      <c r="PSA615" s="17">
        <v>44925</v>
      </c>
      <c r="PSB615" s="5" t="s">
        <v>3728</v>
      </c>
      <c r="PSC615" s="17">
        <v>44925</v>
      </c>
      <c r="PSD615" s="5" t="s">
        <v>3728</v>
      </c>
      <c r="PSE615" s="17">
        <v>44925</v>
      </c>
      <c r="PSF615" s="5" t="s">
        <v>3728</v>
      </c>
      <c r="PSG615" s="17">
        <v>44925</v>
      </c>
      <c r="PSH615" s="5" t="s">
        <v>3728</v>
      </c>
      <c r="PSI615" s="17">
        <v>44925</v>
      </c>
      <c r="PSJ615" s="5" t="s">
        <v>3728</v>
      </c>
      <c r="PSK615" s="17">
        <v>44925</v>
      </c>
      <c r="PSL615" s="5" t="s">
        <v>3728</v>
      </c>
      <c r="PSM615" s="17">
        <v>44925</v>
      </c>
      <c r="PSN615" s="5" t="s">
        <v>3728</v>
      </c>
      <c r="PSO615" s="17">
        <v>44925</v>
      </c>
      <c r="PSP615" s="5" t="s">
        <v>3728</v>
      </c>
      <c r="PSQ615" s="17">
        <v>44925</v>
      </c>
      <c r="PSR615" s="5" t="s">
        <v>3728</v>
      </c>
      <c r="PSS615" s="17">
        <v>44925</v>
      </c>
      <c r="PST615" s="5" t="s">
        <v>3728</v>
      </c>
      <c r="PSU615" s="17">
        <v>44925</v>
      </c>
      <c r="PSV615" s="5" t="s">
        <v>3728</v>
      </c>
      <c r="PSW615" s="17">
        <v>44925</v>
      </c>
      <c r="PSX615" s="5" t="s">
        <v>3728</v>
      </c>
      <c r="PSY615" s="17">
        <v>44925</v>
      </c>
      <c r="PSZ615" s="5" t="s">
        <v>3728</v>
      </c>
      <c r="PTA615" s="17">
        <v>44925</v>
      </c>
      <c r="PTB615" s="5" t="s">
        <v>3728</v>
      </c>
      <c r="PTC615" s="17">
        <v>44925</v>
      </c>
      <c r="PTD615" s="5" t="s">
        <v>3728</v>
      </c>
      <c r="PTE615" s="17">
        <v>44925</v>
      </c>
      <c r="PTF615" s="5" t="s">
        <v>3728</v>
      </c>
      <c r="PTG615" s="17">
        <v>44925</v>
      </c>
      <c r="PTH615" s="5" t="s">
        <v>3728</v>
      </c>
      <c r="PTI615" s="17">
        <v>44925</v>
      </c>
      <c r="PTJ615" s="5" t="s">
        <v>3728</v>
      </c>
      <c r="PTK615" s="17">
        <v>44925</v>
      </c>
      <c r="PTL615" s="5" t="s">
        <v>3728</v>
      </c>
      <c r="PTM615" s="17">
        <v>44925</v>
      </c>
      <c r="PTN615" s="5" t="s">
        <v>3728</v>
      </c>
      <c r="PTO615" s="17">
        <v>44925</v>
      </c>
      <c r="PTP615" s="5" t="s">
        <v>3728</v>
      </c>
      <c r="PTQ615" s="17">
        <v>44925</v>
      </c>
      <c r="PTR615" s="5" t="s">
        <v>3728</v>
      </c>
      <c r="PTS615" s="17">
        <v>44925</v>
      </c>
      <c r="PTT615" s="5" t="s">
        <v>3728</v>
      </c>
      <c r="PTU615" s="17">
        <v>44925</v>
      </c>
      <c r="PTV615" s="5" t="s">
        <v>3728</v>
      </c>
      <c r="PTW615" s="17">
        <v>44925</v>
      </c>
      <c r="PTX615" s="5" t="s">
        <v>3728</v>
      </c>
      <c r="PTY615" s="17">
        <v>44925</v>
      </c>
      <c r="PTZ615" s="5" t="s">
        <v>3728</v>
      </c>
      <c r="PUA615" s="17">
        <v>44925</v>
      </c>
      <c r="PUB615" s="5" t="s">
        <v>3728</v>
      </c>
      <c r="PUC615" s="17">
        <v>44925</v>
      </c>
      <c r="PUD615" s="5" t="s">
        <v>3728</v>
      </c>
      <c r="PUE615" s="17">
        <v>44925</v>
      </c>
      <c r="PUF615" s="5" t="s">
        <v>3728</v>
      </c>
      <c r="PUG615" s="17">
        <v>44925</v>
      </c>
      <c r="PUH615" s="5" t="s">
        <v>3728</v>
      </c>
      <c r="PUI615" s="17">
        <v>44925</v>
      </c>
      <c r="PUJ615" s="5" t="s">
        <v>3728</v>
      </c>
      <c r="PUK615" s="17">
        <v>44925</v>
      </c>
      <c r="PUL615" s="5" t="s">
        <v>3728</v>
      </c>
      <c r="PUM615" s="17">
        <v>44925</v>
      </c>
      <c r="PUN615" s="5" t="s">
        <v>3728</v>
      </c>
      <c r="PUO615" s="17">
        <v>44925</v>
      </c>
      <c r="PUP615" s="5" t="s">
        <v>3728</v>
      </c>
      <c r="PUQ615" s="17">
        <v>44925</v>
      </c>
      <c r="PUR615" s="5" t="s">
        <v>3728</v>
      </c>
      <c r="PUS615" s="17">
        <v>44925</v>
      </c>
      <c r="PUT615" s="5" t="s">
        <v>3728</v>
      </c>
      <c r="PUU615" s="17">
        <v>44925</v>
      </c>
      <c r="PUV615" s="5" t="s">
        <v>3728</v>
      </c>
      <c r="PUW615" s="17">
        <v>44925</v>
      </c>
      <c r="PUX615" s="5" t="s">
        <v>3728</v>
      </c>
      <c r="PUY615" s="17">
        <v>44925</v>
      </c>
      <c r="PUZ615" s="5" t="s">
        <v>3728</v>
      </c>
      <c r="PVA615" s="17">
        <v>44925</v>
      </c>
      <c r="PVB615" s="5" t="s">
        <v>3728</v>
      </c>
      <c r="PVC615" s="17">
        <v>44925</v>
      </c>
      <c r="PVD615" s="5" t="s">
        <v>3728</v>
      </c>
      <c r="PVE615" s="17">
        <v>44925</v>
      </c>
      <c r="PVF615" s="5" t="s">
        <v>3728</v>
      </c>
      <c r="PVG615" s="17">
        <v>44925</v>
      </c>
      <c r="PVH615" s="5" t="s">
        <v>3728</v>
      </c>
      <c r="PVI615" s="17">
        <v>44925</v>
      </c>
      <c r="PVJ615" s="5" t="s">
        <v>3728</v>
      </c>
      <c r="PVK615" s="17">
        <v>44925</v>
      </c>
      <c r="PVL615" s="5" t="s">
        <v>3728</v>
      </c>
      <c r="PVM615" s="17">
        <v>44925</v>
      </c>
      <c r="PVN615" s="5" t="s">
        <v>3728</v>
      </c>
      <c r="PVO615" s="17">
        <v>44925</v>
      </c>
      <c r="PVP615" s="5" t="s">
        <v>3728</v>
      </c>
      <c r="PVQ615" s="17">
        <v>44925</v>
      </c>
      <c r="PVR615" s="5" t="s">
        <v>3728</v>
      </c>
      <c r="PVS615" s="17">
        <v>44925</v>
      </c>
      <c r="PVT615" s="5" t="s">
        <v>3728</v>
      </c>
      <c r="PVU615" s="17">
        <v>44925</v>
      </c>
      <c r="PVV615" s="5" t="s">
        <v>3728</v>
      </c>
      <c r="PVW615" s="17">
        <v>44925</v>
      </c>
      <c r="PVX615" s="5" t="s">
        <v>3728</v>
      </c>
      <c r="PVY615" s="17">
        <v>44925</v>
      </c>
      <c r="PVZ615" s="5" t="s">
        <v>3728</v>
      </c>
      <c r="PWA615" s="17">
        <v>44925</v>
      </c>
      <c r="PWB615" s="5" t="s">
        <v>3728</v>
      </c>
      <c r="PWC615" s="17">
        <v>44925</v>
      </c>
      <c r="PWD615" s="5" t="s">
        <v>3728</v>
      </c>
      <c r="PWE615" s="17">
        <v>44925</v>
      </c>
      <c r="PWF615" s="5" t="s">
        <v>3728</v>
      </c>
      <c r="PWG615" s="17">
        <v>44925</v>
      </c>
      <c r="PWH615" s="5" t="s">
        <v>3728</v>
      </c>
      <c r="PWI615" s="17">
        <v>44925</v>
      </c>
      <c r="PWJ615" s="5" t="s">
        <v>3728</v>
      </c>
      <c r="PWK615" s="17">
        <v>44925</v>
      </c>
      <c r="PWL615" s="5" t="s">
        <v>3728</v>
      </c>
      <c r="PWM615" s="17">
        <v>44925</v>
      </c>
      <c r="PWN615" s="5" t="s">
        <v>3728</v>
      </c>
      <c r="PWO615" s="17">
        <v>44925</v>
      </c>
      <c r="PWP615" s="5" t="s">
        <v>3728</v>
      </c>
      <c r="PWQ615" s="17">
        <v>44925</v>
      </c>
      <c r="PWR615" s="5" t="s">
        <v>3728</v>
      </c>
      <c r="PWS615" s="17">
        <v>44925</v>
      </c>
      <c r="PWT615" s="5" t="s">
        <v>3728</v>
      </c>
      <c r="PWU615" s="17">
        <v>44925</v>
      </c>
      <c r="PWV615" s="5" t="s">
        <v>3728</v>
      </c>
      <c r="PWW615" s="17">
        <v>44925</v>
      </c>
      <c r="PWX615" s="5" t="s">
        <v>3728</v>
      </c>
      <c r="PWY615" s="17">
        <v>44925</v>
      </c>
      <c r="PWZ615" s="5" t="s">
        <v>3728</v>
      </c>
      <c r="PXA615" s="17">
        <v>44925</v>
      </c>
      <c r="PXB615" s="5" t="s">
        <v>3728</v>
      </c>
      <c r="PXC615" s="17">
        <v>44925</v>
      </c>
      <c r="PXD615" s="5" t="s">
        <v>3728</v>
      </c>
      <c r="PXE615" s="17">
        <v>44925</v>
      </c>
      <c r="PXF615" s="5" t="s">
        <v>3728</v>
      </c>
      <c r="PXG615" s="17">
        <v>44925</v>
      </c>
      <c r="PXH615" s="5" t="s">
        <v>3728</v>
      </c>
      <c r="PXI615" s="17">
        <v>44925</v>
      </c>
      <c r="PXJ615" s="5" t="s">
        <v>3728</v>
      </c>
      <c r="PXK615" s="17">
        <v>44925</v>
      </c>
      <c r="PXL615" s="5" t="s">
        <v>3728</v>
      </c>
      <c r="PXM615" s="17">
        <v>44925</v>
      </c>
      <c r="PXN615" s="5" t="s">
        <v>3728</v>
      </c>
      <c r="PXO615" s="17">
        <v>44925</v>
      </c>
      <c r="PXP615" s="5" t="s">
        <v>3728</v>
      </c>
      <c r="PXQ615" s="17">
        <v>44925</v>
      </c>
      <c r="PXR615" s="5" t="s">
        <v>3728</v>
      </c>
      <c r="PXS615" s="17">
        <v>44925</v>
      </c>
      <c r="PXT615" s="5" t="s">
        <v>3728</v>
      </c>
      <c r="PXU615" s="17">
        <v>44925</v>
      </c>
      <c r="PXV615" s="5" t="s">
        <v>3728</v>
      </c>
      <c r="PXW615" s="17">
        <v>44925</v>
      </c>
      <c r="PXX615" s="5" t="s">
        <v>3728</v>
      </c>
      <c r="PXY615" s="17">
        <v>44925</v>
      </c>
      <c r="PXZ615" s="5" t="s">
        <v>3728</v>
      </c>
      <c r="PYA615" s="17">
        <v>44925</v>
      </c>
      <c r="PYB615" s="5" t="s">
        <v>3728</v>
      </c>
      <c r="PYC615" s="17">
        <v>44925</v>
      </c>
      <c r="PYD615" s="5" t="s">
        <v>3728</v>
      </c>
      <c r="PYE615" s="17">
        <v>44925</v>
      </c>
      <c r="PYF615" s="5" t="s">
        <v>3728</v>
      </c>
      <c r="PYG615" s="17">
        <v>44925</v>
      </c>
      <c r="PYH615" s="5" t="s">
        <v>3728</v>
      </c>
      <c r="PYI615" s="17">
        <v>44925</v>
      </c>
      <c r="PYJ615" s="5" t="s">
        <v>3728</v>
      </c>
      <c r="PYK615" s="17">
        <v>44925</v>
      </c>
      <c r="PYL615" s="5" t="s">
        <v>3728</v>
      </c>
      <c r="PYM615" s="17">
        <v>44925</v>
      </c>
      <c r="PYN615" s="5" t="s">
        <v>3728</v>
      </c>
      <c r="PYO615" s="17">
        <v>44925</v>
      </c>
      <c r="PYP615" s="5" t="s">
        <v>3728</v>
      </c>
      <c r="PYQ615" s="17">
        <v>44925</v>
      </c>
      <c r="PYR615" s="5" t="s">
        <v>3728</v>
      </c>
      <c r="PYS615" s="17">
        <v>44925</v>
      </c>
      <c r="PYT615" s="5" t="s">
        <v>3728</v>
      </c>
      <c r="PYU615" s="17">
        <v>44925</v>
      </c>
      <c r="PYV615" s="5" t="s">
        <v>3728</v>
      </c>
      <c r="PYW615" s="17">
        <v>44925</v>
      </c>
      <c r="PYX615" s="5" t="s">
        <v>3728</v>
      </c>
      <c r="PYY615" s="17">
        <v>44925</v>
      </c>
      <c r="PYZ615" s="5" t="s">
        <v>3728</v>
      </c>
      <c r="PZA615" s="17">
        <v>44925</v>
      </c>
      <c r="PZB615" s="5" t="s">
        <v>3728</v>
      </c>
      <c r="PZC615" s="17">
        <v>44925</v>
      </c>
      <c r="PZD615" s="5" t="s">
        <v>3728</v>
      </c>
      <c r="PZE615" s="17">
        <v>44925</v>
      </c>
      <c r="PZF615" s="5" t="s">
        <v>3728</v>
      </c>
      <c r="PZG615" s="17">
        <v>44925</v>
      </c>
      <c r="PZH615" s="5" t="s">
        <v>3728</v>
      </c>
      <c r="PZI615" s="17">
        <v>44925</v>
      </c>
      <c r="PZJ615" s="5" t="s">
        <v>3728</v>
      </c>
      <c r="PZK615" s="17">
        <v>44925</v>
      </c>
      <c r="PZL615" s="5" t="s">
        <v>3728</v>
      </c>
      <c r="PZM615" s="17">
        <v>44925</v>
      </c>
      <c r="PZN615" s="5" t="s">
        <v>3728</v>
      </c>
      <c r="PZO615" s="17">
        <v>44925</v>
      </c>
      <c r="PZP615" s="5" t="s">
        <v>3728</v>
      </c>
      <c r="PZQ615" s="17">
        <v>44925</v>
      </c>
      <c r="PZR615" s="5" t="s">
        <v>3728</v>
      </c>
      <c r="PZS615" s="17">
        <v>44925</v>
      </c>
      <c r="PZT615" s="5" t="s">
        <v>3728</v>
      </c>
      <c r="PZU615" s="17">
        <v>44925</v>
      </c>
      <c r="PZV615" s="5" t="s">
        <v>3728</v>
      </c>
      <c r="PZW615" s="17">
        <v>44925</v>
      </c>
      <c r="PZX615" s="5" t="s">
        <v>3728</v>
      </c>
      <c r="PZY615" s="17">
        <v>44925</v>
      </c>
      <c r="PZZ615" s="5" t="s">
        <v>3728</v>
      </c>
      <c r="QAA615" s="17">
        <v>44925</v>
      </c>
      <c r="QAB615" s="5" t="s">
        <v>3728</v>
      </c>
      <c r="QAC615" s="17">
        <v>44925</v>
      </c>
      <c r="QAD615" s="5" t="s">
        <v>3728</v>
      </c>
      <c r="QAE615" s="17">
        <v>44925</v>
      </c>
      <c r="QAF615" s="5" t="s">
        <v>3728</v>
      </c>
      <c r="QAG615" s="17">
        <v>44925</v>
      </c>
      <c r="QAH615" s="5" t="s">
        <v>3728</v>
      </c>
      <c r="QAI615" s="17">
        <v>44925</v>
      </c>
      <c r="QAJ615" s="5" t="s">
        <v>3728</v>
      </c>
      <c r="QAK615" s="17">
        <v>44925</v>
      </c>
      <c r="QAL615" s="5" t="s">
        <v>3728</v>
      </c>
      <c r="QAM615" s="17">
        <v>44925</v>
      </c>
      <c r="QAN615" s="5" t="s">
        <v>3728</v>
      </c>
      <c r="QAO615" s="17">
        <v>44925</v>
      </c>
      <c r="QAP615" s="5" t="s">
        <v>3728</v>
      </c>
      <c r="QAQ615" s="17">
        <v>44925</v>
      </c>
      <c r="QAR615" s="5" t="s">
        <v>3728</v>
      </c>
      <c r="QAS615" s="17">
        <v>44925</v>
      </c>
      <c r="QAT615" s="5" t="s">
        <v>3728</v>
      </c>
      <c r="QAU615" s="17">
        <v>44925</v>
      </c>
      <c r="QAV615" s="5" t="s">
        <v>3728</v>
      </c>
      <c r="QAW615" s="17">
        <v>44925</v>
      </c>
      <c r="QAX615" s="5" t="s">
        <v>3728</v>
      </c>
      <c r="QAY615" s="17">
        <v>44925</v>
      </c>
      <c r="QAZ615" s="5" t="s">
        <v>3728</v>
      </c>
      <c r="QBA615" s="17">
        <v>44925</v>
      </c>
      <c r="QBB615" s="5" t="s">
        <v>3728</v>
      </c>
      <c r="QBC615" s="17">
        <v>44925</v>
      </c>
      <c r="QBD615" s="5" t="s">
        <v>3728</v>
      </c>
      <c r="QBE615" s="17">
        <v>44925</v>
      </c>
      <c r="QBF615" s="5" t="s">
        <v>3728</v>
      </c>
      <c r="QBG615" s="17">
        <v>44925</v>
      </c>
      <c r="QBH615" s="5" t="s">
        <v>3728</v>
      </c>
      <c r="QBI615" s="17">
        <v>44925</v>
      </c>
      <c r="QBJ615" s="5" t="s">
        <v>3728</v>
      </c>
      <c r="QBK615" s="17">
        <v>44925</v>
      </c>
      <c r="QBL615" s="5" t="s">
        <v>3728</v>
      </c>
      <c r="QBM615" s="17">
        <v>44925</v>
      </c>
      <c r="QBN615" s="5" t="s">
        <v>3728</v>
      </c>
      <c r="QBO615" s="17">
        <v>44925</v>
      </c>
      <c r="QBP615" s="5" t="s">
        <v>3728</v>
      </c>
      <c r="QBQ615" s="17">
        <v>44925</v>
      </c>
      <c r="QBR615" s="5" t="s">
        <v>3728</v>
      </c>
      <c r="QBS615" s="17">
        <v>44925</v>
      </c>
      <c r="QBT615" s="5" t="s">
        <v>3728</v>
      </c>
      <c r="QBU615" s="17">
        <v>44925</v>
      </c>
      <c r="QBV615" s="5" t="s">
        <v>3728</v>
      </c>
      <c r="QBW615" s="17">
        <v>44925</v>
      </c>
      <c r="QBX615" s="5" t="s">
        <v>3728</v>
      </c>
      <c r="QBY615" s="17">
        <v>44925</v>
      </c>
      <c r="QBZ615" s="5" t="s">
        <v>3728</v>
      </c>
      <c r="QCA615" s="17">
        <v>44925</v>
      </c>
      <c r="QCB615" s="5" t="s">
        <v>3728</v>
      </c>
      <c r="QCC615" s="17">
        <v>44925</v>
      </c>
      <c r="QCD615" s="5" t="s">
        <v>3728</v>
      </c>
      <c r="QCE615" s="17">
        <v>44925</v>
      </c>
      <c r="QCF615" s="5" t="s">
        <v>3728</v>
      </c>
      <c r="QCG615" s="17">
        <v>44925</v>
      </c>
      <c r="QCH615" s="5" t="s">
        <v>3728</v>
      </c>
      <c r="QCI615" s="17">
        <v>44925</v>
      </c>
      <c r="QCJ615" s="5" t="s">
        <v>3728</v>
      </c>
      <c r="QCK615" s="17">
        <v>44925</v>
      </c>
      <c r="QCL615" s="5" t="s">
        <v>3728</v>
      </c>
      <c r="QCM615" s="17">
        <v>44925</v>
      </c>
      <c r="QCN615" s="5" t="s">
        <v>3728</v>
      </c>
      <c r="QCO615" s="17">
        <v>44925</v>
      </c>
      <c r="QCP615" s="5" t="s">
        <v>3728</v>
      </c>
      <c r="QCQ615" s="17">
        <v>44925</v>
      </c>
      <c r="QCR615" s="5" t="s">
        <v>3728</v>
      </c>
      <c r="QCS615" s="17">
        <v>44925</v>
      </c>
      <c r="QCT615" s="5" t="s">
        <v>3728</v>
      </c>
      <c r="QCU615" s="17">
        <v>44925</v>
      </c>
      <c r="QCV615" s="5" t="s">
        <v>3728</v>
      </c>
      <c r="QCW615" s="17">
        <v>44925</v>
      </c>
      <c r="QCX615" s="5" t="s">
        <v>3728</v>
      </c>
      <c r="QCY615" s="17">
        <v>44925</v>
      </c>
      <c r="QCZ615" s="5" t="s">
        <v>3728</v>
      </c>
      <c r="QDA615" s="17">
        <v>44925</v>
      </c>
      <c r="QDB615" s="5" t="s">
        <v>3728</v>
      </c>
      <c r="QDC615" s="17">
        <v>44925</v>
      </c>
      <c r="QDD615" s="5" t="s">
        <v>3728</v>
      </c>
      <c r="QDE615" s="17">
        <v>44925</v>
      </c>
      <c r="QDF615" s="5" t="s">
        <v>3728</v>
      </c>
      <c r="QDG615" s="17">
        <v>44925</v>
      </c>
      <c r="QDH615" s="5" t="s">
        <v>3728</v>
      </c>
      <c r="QDI615" s="17">
        <v>44925</v>
      </c>
      <c r="QDJ615" s="5" t="s">
        <v>3728</v>
      </c>
      <c r="QDK615" s="17">
        <v>44925</v>
      </c>
      <c r="QDL615" s="5" t="s">
        <v>3728</v>
      </c>
      <c r="QDM615" s="17">
        <v>44925</v>
      </c>
      <c r="QDN615" s="5" t="s">
        <v>3728</v>
      </c>
      <c r="QDO615" s="17">
        <v>44925</v>
      </c>
      <c r="QDP615" s="5" t="s">
        <v>3728</v>
      </c>
      <c r="QDQ615" s="17">
        <v>44925</v>
      </c>
      <c r="QDR615" s="5" t="s">
        <v>3728</v>
      </c>
      <c r="QDS615" s="17">
        <v>44925</v>
      </c>
      <c r="QDT615" s="5" t="s">
        <v>3728</v>
      </c>
      <c r="QDU615" s="17">
        <v>44925</v>
      </c>
      <c r="QDV615" s="5" t="s">
        <v>3728</v>
      </c>
      <c r="QDW615" s="17">
        <v>44925</v>
      </c>
      <c r="QDX615" s="5" t="s">
        <v>3728</v>
      </c>
      <c r="QDY615" s="17">
        <v>44925</v>
      </c>
      <c r="QDZ615" s="5" t="s">
        <v>3728</v>
      </c>
      <c r="QEA615" s="17">
        <v>44925</v>
      </c>
      <c r="QEB615" s="5" t="s">
        <v>3728</v>
      </c>
      <c r="QEC615" s="17">
        <v>44925</v>
      </c>
      <c r="QED615" s="5" t="s">
        <v>3728</v>
      </c>
      <c r="QEE615" s="17">
        <v>44925</v>
      </c>
      <c r="QEF615" s="5" t="s">
        <v>3728</v>
      </c>
      <c r="QEG615" s="17">
        <v>44925</v>
      </c>
      <c r="QEH615" s="5" t="s">
        <v>3728</v>
      </c>
      <c r="QEI615" s="17">
        <v>44925</v>
      </c>
      <c r="QEJ615" s="5" t="s">
        <v>3728</v>
      </c>
      <c r="QEK615" s="17">
        <v>44925</v>
      </c>
      <c r="QEL615" s="5" t="s">
        <v>3728</v>
      </c>
      <c r="QEM615" s="17">
        <v>44925</v>
      </c>
      <c r="QEN615" s="5" t="s">
        <v>3728</v>
      </c>
      <c r="QEO615" s="17">
        <v>44925</v>
      </c>
      <c r="QEP615" s="5" t="s">
        <v>3728</v>
      </c>
      <c r="QEQ615" s="17">
        <v>44925</v>
      </c>
      <c r="QER615" s="5" t="s">
        <v>3728</v>
      </c>
      <c r="QES615" s="17">
        <v>44925</v>
      </c>
      <c r="QET615" s="5" t="s">
        <v>3728</v>
      </c>
      <c r="QEU615" s="17">
        <v>44925</v>
      </c>
      <c r="QEV615" s="5" t="s">
        <v>3728</v>
      </c>
      <c r="QEW615" s="17">
        <v>44925</v>
      </c>
      <c r="QEX615" s="5" t="s">
        <v>3728</v>
      </c>
      <c r="QEY615" s="17">
        <v>44925</v>
      </c>
      <c r="QEZ615" s="5" t="s">
        <v>3728</v>
      </c>
      <c r="QFA615" s="17">
        <v>44925</v>
      </c>
      <c r="QFB615" s="5" t="s">
        <v>3728</v>
      </c>
      <c r="QFC615" s="17">
        <v>44925</v>
      </c>
      <c r="QFD615" s="5" t="s">
        <v>3728</v>
      </c>
      <c r="QFE615" s="17">
        <v>44925</v>
      </c>
      <c r="QFF615" s="5" t="s">
        <v>3728</v>
      </c>
      <c r="QFG615" s="17">
        <v>44925</v>
      </c>
      <c r="QFH615" s="5" t="s">
        <v>3728</v>
      </c>
      <c r="QFI615" s="17">
        <v>44925</v>
      </c>
      <c r="QFJ615" s="5" t="s">
        <v>3728</v>
      </c>
      <c r="QFK615" s="17">
        <v>44925</v>
      </c>
      <c r="QFL615" s="5" t="s">
        <v>3728</v>
      </c>
      <c r="QFM615" s="17">
        <v>44925</v>
      </c>
      <c r="QFN615" s="5" t="s">
        <v>3728</v>
      </c>
      <c r="QFO615" s="17">
        <v>44925</v>
      </c>
      <c r="QFP615" s="5" t="s">
        <v>3728</v>
      </c>
      <c r="QFQ615" s="17">
        <v>44925</v>
      </c>
      <c r="QFR615" s="5" t="s">
        <v>3728</v>
      </c>
      <c r="QFS615" s="17">
        <v>44925</v>
      </c>
      <c r="QFT615" s="5" t="s">
        <v>3728</v>
      </c>
      <c r="QFU615" s="17">
        <v>44925</v>
      </c>
      <c r="QFV615" s="5" t="s">
        <v>3728</v>
      </c>
      <c r="QFW615" s="17">
        <v>44925</v>
      </c>
      <c r="QFX615" s="5" t="s">
        <v>3728</v>
      </c>
      <c r="QFY615" s="17">
        <v>44925</v>
      </c>
      <c r="QFZ615" s="5" t="s">
        <v>3728</v>
      </c>
      <c r="QGA615" s="17">
        <v>44925</v>
      </c>
      <c r="QGB615" s="5" t="s">
        <v>3728</v>
      </c>
      <c r="QGC615" s="17">
        <v>44925</v>
      </c>
      <c r="QGD615" s="5" t="s">
        <v>3728</v>
      </c>
      <c r="QGE615" s="17">
        <v>44925</v>
      </c>
      <c r="QGF615" s="5" t="s">
        <v>3728</v>
      </c>
      <c r="QGG615" s="17">
        <v>44925</v>
      </c>
      <c r="QGH615" s="5" t="s">
        <v>3728</v>
      </c>
      <c r="QGI615" s="17">
        <v>44925</v>
      </c>
      <c r="QGJ615" s="5" t="s">
        <v>3728</v>
      </c>
      <c r="QGK615" s="17">
        <v>44925</v>
      </c>
      <c r="QGL615" s="5" t="s">
        <v>3728</v>
      </c>
      <c r="QGM615" s="17">
        <v>44925</v>
      </c>
      <c r="QGN615" s="5" t="s">
        <v>3728</v>
      </c>
      <c r="QGO615" s="17">
        <v>44925</v>
      </c>
      <c r="QGP615" s="5" t="s">
        <v>3728</v>
      </c>
      <c r="QGQ615" s="17">
        <v>44925</v>
      </c>
      <c r="QGR615" s="5" t="s">
        <v>3728</v>
      </c>
      <c r="QGS615" s="17">
        <v>44925</v>
      </c>
      <c r="QGT615" s="5" t="s">
        <v>3728</v>
      </c>
      <c r="QGU615" s="17">
        <v>44925</v>
      </c>
      <c r="QGV615" s="5" t="s">
        <v>3728</v>
      </c>
      <c r="QGW615" s="17">
        <v>44925</v>
      </c>
      <c r="QGX615" s="5" t="s">
        <v>3728</v>
      </c>
      <c r="QGY615" s="17">
        <v>44925</v>
      </c>
      <c r="QGZ615" s="5" t="s">
        <v>3728</v>
      </c>
      <c r="QHA615" s="17">
        <v>44925</v>
      </c>
      <c r="QHB615" s="5" t="s">
        <v>3728</v>
      </c>
      <c r="QHC615" s="17">
        <v>44925</v>
      </c>
      <c r="QHD615" s="5" t="s">
        <v>3728</v>
      </c>
      <c r="QHE615" s="17">
        <v>44925</v>
      </c>
      <c r="QHF615" s="5" t="s">
        <v>3728</v>
      </c>
      <c r="QHG615" s="17">
        <v>44925</v>
      </c>
      <c r="QHH615" s="5" t="s">
        <v>3728</v>
      </c>
      <c r="QHI615" s="17">
        <v>44925</v>
      </c>
      <c r="QHJ615" s="5" t="s">
        <v>3728</v>
      </c>
      <c r="QHK615" s="17">
        <v>44925</v>
      </c>
      <c r="QHL615" s="5" t="s">
        <v>3728</v>
      </c>
      <c r="QHM615" s="17">
        <v>44925</v>
      </c>
      <c r="QHN615" s="5" t="s">
        <v>3728</v>
      </c>
      <c r="QHO615" s="17">
        <v>44925</v>
      </c>
      <c r="QHP615" s="5" t="s">
        <v>3728</v>
      </c>
      <c r="QHQ615" s="17">
        <v>44925</v>
      </c>
      <c r="QHR615" s="5" t="s">
        <v>3728</v>
      </c>
      <c r="QHS615" s="17">
        <v>44925</v>
      </c>
      <c r="QHT615" s="5" t="s">
        <v>3728</v>
      </c>
      <c r="QHU615" s="17">
        <v>44925</v>
      </c>
      <c r="QHV615" s="5" t="s">
        <v>3728</v>
      </c>
      <c r="QHW615" s="17">
        <v>44925</v>
      </c>
      <c r="QHX615" s="5" t="s">
        <v>3728</v>
      </c>
      <c r="QHY615" s="17">
        <v>44925</v>
      </c>
      <c r="QHZ615" s="5" t="s">
        <v>3728</v>
      </c>
      <c r="QIA615" s="17">
        <v>44925</v>
      </c>
      <c r="QIB615" s="5" t="s">
        <v>3728</v>
      </c>
      <c r="QIC615" s="17">
        <v>44925</v>
      </c>
      <c r="QID615" s="5" t="s">
        <v>3728</v>
      </c>
      <c r="QIE615" s="17">
        <v>44925</v>
      </c>
      <c r="QIF615" s="5" t="s">
        <v>3728</v>
      </c>
      <c r="QIG615" s="17">
        <v>44925</v>
      </c>
      <c r="QIH615" s="5" t="s">
        <v>3728</v>
      </c>
      <c r="QII615" s="17">
        <v>44925</v>
      </c>
      <c r="QIJ615" s="5" t="s">
        <v>3728</v>
      </c>
      <c r="QIK615" s="17">
        <v>44925</v>
      </c>
      <c r="QIL615" s="5" t="s">
        <v>3728</v>
      </c>
      <c r="QIM615" s="17">
        <v>44925</v>
      </c>
      <c r="QIN615" s="5" t="s">
        <v>3728</v>
      </c>
      <c r="QIO615" s="17">
        <v>44925</v>
      </c>
      <c r="QIP615" s="5" t="s">
        <v>3728</v>
      </c>
      <c r="QIQ615" s="17">
        <v>44925</v>
      </c>
      <c r="QIR615" s="5" t="s">
        <v>3728</v>
      </c>
      <c r="QIS615" s="17">
        <v>44925</v>
      </c>
      <c r="QIT615" s="5" t="s">
        <v>3728</v>
      </c>
      <c r="QIU615" s="17">
        <v>44925</v>
      </c>
      <c r="QIV615" s="5" t="s">
        <v>3728</v>
      </c>
      <c r="QIW615" s="17">
        <v>44925</v>
      </c>
      <c r="QIX615" s="5" t="s">
        <v>3728</v>
      </c>
      <c r="QIY615" s="17">
        <v>44925</v>
      </c>
      <c r="QIZ615" s="5" t="s">
        <v>3728</v>
      </c>
      <c r="QJA615" s="17">
        <v>44925</v>
      </c>
      <c r="QJB615" s="5" t="s">
        <v>3728</v>
      </c>
      <c r="QJC615" s="17">
        <v>44925</v>
      </c>
      <c r="QJD615" s="5" t="s">
        <v>3728</v>
      </c>
      <c r="QJE615" s="17">
        <v>44925</v>
      </c>
      <c r="QJF615" s="5" t="s">
        <v>3728</v>
      </c>
      <c r="QJG615" s="17">
        <v>44925</v>
      </c>
      <c r="QJH615" s="5" t="s">
        <v>3728</v>
      </c>
      <c r="QJI615" s="17">
        <v>44925</v>
      </c>
      <c r="QJJ615" s="5" t="s">
        <v>3728</v>
      </c>
      <c r="QJK615" s="17">
        <v>44925</v>
      </c>
      <c r="QJL615" s="5" t="s">
        <v>3728</v>
      </c>
      <c r="QJM615" s="17">
        <v>44925</v>
      </c>
      <c r="QJN615" s="5" t="s">
        <v>3728</v>
      </c>
      <c r="QJO615" s="17">
        <v>44925</v>
      </c>
      <c r="QJP615" s="5" t="s">
        <v>3728</v>
      </c>
      <c r="QJQ615" s="17">
        <v>44925</v>
      </c>
      <c r="QJR615" s="5" t="s">
        <v>3728</v>
      </c>
      <c r="QJS615" s="17">
        <v>44925</v>
      </c>
      <c r="QJT615" s="5" t="s">
        <v>3728</v>
      </c>
      <c r="QJU615" s="17">
        <v>44925</v>
      </c>
      <c r="QJV615" s="5" t="s">
        <v>3728</v>
      </c>
      <c r="QJW615" s="17">
        <v>44925</v>
      </c>
      <c r="QJX615" s="5" t="s">
        <v>3728</v>
      </c>
      <c r="QJY615" s="17">
        <v>44925</v>
      </c>
      <c r="QJZ615" s="5" t="s">
        <v>3728</v>
      </c>
      <c r="QKA615" s="17">
        <v>44925</v>
      </c>
      <c r="QKB615" s="5" t="s">
        <v>3728</v>
      </c>
      <c r="QKC615" s="17">
        <v>44925</v>
      </c>
      <c r="QKD615" s="5" t="s">
        <v>3728</v>
      </c>
      <c r="QKE615" s="17">
        <v>44925</v>
      </c>
      <c r="QKF615" s="5" t="s">
        <v>3728</v>
      </c>
      <c r="QKG615" s="17">
        <v>44925</v>
      </c>
      <c r="QKH615" s="5" t="s">
        <v>3728</v>
      </c>
      <c r="QKI615" s="17">
        <v>44925</v>
      </c>
      <c r="QKJ615" s="5" t="s">
        <v>3728</v>
      </c>
      <c r="QKK615" s="17">
        <v>44925</v>
      </c>
      <c r="QKL615" s="5" t="s">
        <v>3728</v>
      </c>
      <c r="QKM615" s="17">
        <v>44925</v>
      </c>
      <c r="QKN615" s="5" t="s">
        <v>3728</v>
      </c>
      <c r="QKO615" s="17">
        <v>44925</v>
      </c>
      <c r="QKP615" s="5" t="s">
        <v>3728</v>
      </c>
      <c r="QKQ615" s="17">
        <v>44925</v>
      </c>
      <c r="QKR615" s="5" t="s">
        <v>3728</v>
      </c>
      <c r="QKS615" s="17">
        <v>44925</v>
      </c>
      <c r="QKT615" s="5" t="s">
        <v>3728</v>
      </c>
      <c r="QKU615" s="17">
        <v>44925</v>
      </c>
      <c r="QKV615" s="5" t="s">
        <v>3728</v>
      </c>
      <c r="QKW615" s="17">
        <v>44925</v>
      </c>
      <c r="QKX615" s="5" t="s">
        <v>3728</v>
      </c>
      <c r="QKY615" s="17">
        <v>44925</v>
      </c>
      <c r="QKZ615" s="5" t="s">
        <v>3728</v>
      </c>
      <c r="QLA615" s="17">
        <v>44925</v>
      </c>
      <c r="QLB615" s="5" t="s">
        <v>3728</v>
      </c>
      <c r="QLC615" s="17">
        <v>44925</v>
      </c>
      <c r="QLD615" s="5" t="s">
        <v>3728</v>
      </c>
      <c r="QLE615" s="17">
        <v>44925</v>
      </c>
      <c r="QLF615" s="5" t="s">
        <v>3728</v>
      </c>
      <c r="QLG615" s="17">
        <v>44925</v>
      </c>
      <c r="QLH615" s="5" t="s">
        <v>3728</v>
      </c>
      <c r="QLI615" s="17">
        <v>44925</v>
      </c>
      <c r="QLJ615" s="5" t="s">
        <v>3728</v>
      </c>
      <c r="QLK615" s="17">
        <v>44925</v>
      </c>
      <c r="QLL615" s="5" t="s">
        <v>3728</v>
      </c>
      <c r="QLM615" s="17">
        <v>44925</v>
      </c>
      <c r="QLN615" s="5" t="s">
        <v>3728</v>
      </c>
      <c r="QLO615" s="17">
        <v>44925</v>
      </c>
      <c r="QLP615" s="5" t="s">
        <v>3728</v>
      </c>
      <c r="QLQ615" s="17">
        <v>44925</v>
      </c>
      <c r="QLR615" s="5" t="s">
        <v>3728</v>
      </c>
      <c r="QLS615" s="17">
        <v>44925</v>
      </c>
      <c r="QLT615" s="5" t="s">
        <v>3728</v>
      </c>
      <c r="QLU615" s="17">
        <v>44925</v>
      </c>
      <c r="QLV615" s="5" t="s">
        <v>3728</v>
      </c>
      <c r="QLW615" s="17">
        <v>44925</v>
      </c>
      <c r="QLX615" s="5" t="s">
        <v>3728</v>
      </c>
      <c r="QLY615" s="17">
        <v>44925</v>
      </c>
      <c r="QLZ615" s="5" t="s">
        <v>3728</v>
      </c>
      <c r="QMA615" s="17">
        <v>44925</v>
      </c>
      <c r="QMB615" s="5" t="s">
        <v>3728</v>
      </c>
      <c r="QMC615" s="17">
        <v>44925</v>
      </c>
      <c r="QMD615" s="5" t="s">
        <v>3728</v>
      </c>
      <c r="QME615" s="17">
        <v>44925</v>
      </c>
      <c r="QMF615" s="5" t="s">
        <v>3728</v>
      </c>
      <c r="QMG615" s="17">
        <v>44925</v>
      </c>
      <c r="QMH615" s="5" t="s">
        <v>3728</v>
      </c>
      <c r="QMI615" s="17">
        <v>44925</v>
      </c>
      <c r="QMJ615" s="5" t="s">
        <v>3728</v>
      </c>
      <c r="QMK615" s="17">
        <v>44925</v>
      </c>
      <c r="QML615" s="5" t="s">
        <v>3728</v>
      </c>
      <c r="QMM615" s="17">
        <v>44925</v>
      </c>
      <c r="QMN615" s="5" t="s">
        <v>3728</v>
      </c>
      <c r="QMO615" s="17">
        <v>44925</v>
      </c>
      <c r="QMP615" s="5" t="s">
        <v>3728</v>
      </c>
      <c r="QMQ615" s="17">
        <v>44925</v>
      </c>
      <c r="QMR615" s="5" t="s">
        <v>3728</v>
      </c>
      <c r="QMS615" s="17">
        <v>44925</v>
      </c>
      <c r="QMT615" s="5" t="s">
        <v>3728</v>
      </c>
      <c r="QMU615" s="17">
        <v>44925</v>
      </c>
      <c r="QMV615" s="5" t="s">
        <v>3728</v>
      </c>
      <c r="QMW615" s="17">
        <v>44925</v>
      </c>
      <c r="QMX615" s="5" t="s">
        <v>3728</v>
      </c>
      <c r="QMY615" s="17">
        <v>44925</v>
      </c>
      <c r="QMZ615" s="5" t="s">
        <v>3728</v>
      </c>
      <c r="QNA615" s="17">
        <v>44925</v>
      </c>
      <c r="QNB615" s="5" t="s">
        <v>3728</v>
      </c>
      <c r="QNC615" s="17">
        <v>44925</v>
      </c>
      <c r="QND615" s="5" t="s">
        <v>3728</v>
      </c>
      <c r="QNE615" s="17">
        <v>44925</v>
      </c>
      <c r="QNF615" s="5" t="s">
        <v>3728</v>
      </c>
      <c r="QNG615" s="17">
        <v>44925</v>
      </c>
      <c r="QNH615" s="5" t="s">
        <v>3728</v>
      </c>
      <c r="QNI615" s="17">
        <v>44925</v>
      </c>
      <c r="QNJ615" s="5" t="s">
        <v>3728</v>
      </c>
      <c r="QNK615" s="17">
        <v>44925</v>
      </c>
      <c r="QNL615" s="5" t="s">
        <v>3728</v>
      </c>
      <c r="QNM615" s="17">
        <v>44925</v>
      </c>
      <c r="QNN615" s="5" t="s">
        <v>3728</v>
      </c>
      <c r="QNO615" s="17">
        <v>44925</v>
      </c>
      <c r="QNP615" s="5" t="s">
        <v>3728</v>
      </c>
      <c r="QNQ615" s="17">
        <v>44925</v>
      </c>
      <c r="QNR615" s="5" t="s">
        <v>3728</v>
      </c>
      <c r="QNS615" s="17">
        <v>44925</v>
      </c>
      <c r="QNT615" s="5" t="s">
        <v>3728</v>
      </c>
      <c r="QNU615" s="17">
        <v>44925</v>
      </c>
      <c r="QNV615" s="5" t="s">
        <v>3728</v>
      </c>
      <c r="QNW615" s="17">
        <v>44925</v>
      </c>
      <c r="QNX615" s="5" t="s">
        <v>3728</v>
      </c>
      <c r="QNY615" s="17">
        <v>44925</v>
      </c>
      <c r="QNZ615" s="5" t="s">
        <v>3728</v>
      </c>
      <c r="QOA615" s="17">
        <v>44925</v>
      </c>
      <c r="QOB615" s="5" t="s">
        <v>3728</v>
      </c>
      <c r="QOC615" s="17">
        <v>44925</v>
      </c>
      <c r="QOD615" s="5" t="s">
        <v>3728</v>
      </c>
      <c r="QOE615" s="17">
        <v>44925</v>
      </c>
      <c r="QOF615" s="5" t="s">
        <v>3728</v>
      </c>
      <c r="QOG615" s="17">
        <v>44925</v>
      </c>
      <c r="QOH615" s="5" t="s">
        <v>3728</v>
      </c>
      <c r="QOI615" s="17">
        <v>44925</v>
      </c>
      <c r="QOJ615" s="5" t="s">
        <v>3728</v>
      </c>
      <c r="QOK615" s="17">
        <v>44925</v>
      </c>
      <c r="QOL615" s="5" t="s">
        <v>3728</v>
      </c>
      <c r="QOM615" s="17">
        <v>44925</v>
      </c>
      <c r="QON615" s="5" t="s">
        <v>3728</v>
      </c>
      <c r="QOO615" s="17">
        <v>44925</v>
      </c>
      <c r="QOP615" s="5" t="s">
        <v>3728</v>
      </c>
      <c r="QOQ615" s="17">
        <v>44925</v>
      </c>
      <c r="QOR615" s="5" t="s">
        <v>3728</v>
      </c>
      <c r="QOS615" s="17">
        <v>44925</v>
      </c>
      <c r="QOT615" s="5" t="s">
        <v>3728</v>
      </c>
      <c r="QOU615" s="17">
        <v>44925</v>
      </c>
      <c r="QOV615" s="5" t="s">
        <v>3728</v>
      </c>
      <c r="QOW615" s="17">
        <v>44925</v>
      </c>
      <c r="QOX615" s="5" t="s">
        <v>3728</v>
      </c>
      <c r="QOY615" s="17">
        <v>44925</v>
      </c>
      <c r="QOZ615" s="5" t="s">
        <v>3728</v>
      </c>
      <c r="QPA615" s="17">
        <v>44925</v>
      </c>
      <c r="QPB615" s="5" t="s">
        <v>3728</v>
      </c>
      <c r="QPC615" s="17">
        <v>44925</v>
      </c>
      <c r="QPD615" s="5" t="s">
        <v>3728</v>
      </c>
      <c r="QPE615" s="17">
        <v>44925</v>
      </c>
      <c r="QPF615" s="5" t="s">
        <v>3728</v>
      </c>
      <c r="QPG615" s="17">
        <v>44925</v>
      </c>
      <c r="QPH615" s="5" t="s">
        <v>3728</v>
      </c>
      <c r="QPI615" s="17">
        <v>44925</v>
      </c>
      <c r="QPJ615" s="5" t="s">
        <v>3728</v>
      </c>
      <c r="QPK615" s="17">
        <v>44925</v>
      </c>
      <c r="QPL615" s="5" t="s">
        <v>3728</v>
      </c>
      <c r="QPM615" s="17">
        <v>44925</v>
      </c>
      <c r="QPN615" s="5" t="s">
        <v>3728</v>
      </c>
      <c r="QPO615" s="17">
        <v>44925</v>
      </c>
      <c r="QPP615" s="5" t="s">
        <v>3728</v>
      </c>
      <c r="QPQ615" s="17">
        <v>44925</v>
      </c>
      <c r="QPR615" s="5" t="s">
        <v>3728</v>
      </c>
      <c r="QPS615" s="17">
        <v>44925</v>
      </c>
      <c r="QPT615" s="5" t="s">
        <v>3728</v>
      </c>
      <c r="QPU615" s="17">
        <v>44925</v>
      </c>
      <c r="QPV615" s="5" t="s">
        <v>3728</v>
      </c>
      <c r="QPW615" s="17">
        <v>44925</v>
      </c>
      <c r="QPX615" s="5" t="s">
        <v>3728</v>
      </c>
      <c r="QPY615" s="17">
        <v>44925</v>
      </c>
      <c r="QPZ615" s="5" t="s">
        <v>3728</v>
      </c>
      <c r="QQA615" s="17">
        <v>44925</v>
      </c>
      <c r="QQB615" s="5" t="s">
        <v>3728</v>
      </c>
      <c r="QQC615" s="17">
        <v>44925</v>
      </c>
      <c r="QQD615" s="5" t="s">
        <v>3728</v>
      </c>
      <c r="QQE615" s="17">
        <v>44925</v>
      </c>
      <c r="QQF615" s="5" t="s">
        <v>3728</v>
      </c>
      <c r="QQG615" s="17">
        <v>44925</v>
      </c>
      <c r="QQH615" s="5" t="s">
        <v>3728</v>
      </c>
      <c r="QQI615" s="17">
        <v>44925</v>
      </c>
      <c r="QQJ615" s="5" t="s">
        <v>3728</v>
      </c>
      <c r="QQK615" s="17">
        <v>44925</v>
      </c>
      <c r="QQL615" s="5" t="s">
        <v>3728</v>
      </c>
      <c r="QQM615" s="17">
        <v>44925</v>
      </c>
      <c r="QQN615" s="5" t="s">
        <v>3728</v>
      </c>
      <c r="QQO615" s="17">
        <v>44925</v>
      </c>
      <c r="QQP615" s="5" t="s">
        <v>3728</v>
      </c>
      <c r="QQQ615" s="17">
        <v>44925</v>
      </c>
      <c r="QQR615" s="5" t="s">
        <v>3728</v>
      </c>
      <c r="QQS615" s="17">
        <v>44925</v>
      </c>
      <c r="QQT615" s="5" t="s">
        <v>3728</v>
      </c>
      <c r="QQU615" s="17">
        <v>44925</v>
      </c>
      <c r="QQV615" s="5" t="s">
        <v>3728</v>
      </c>
      <c r="QQW615" s="17">
        <v>44925</v>
      </c>
      <c r="QQX615" s="5" t="s">
        <v>3728</v>
      </c>
      <c r="QQY615" s="17">
        <v>44925</v>
      </c>
      <c r="QQZ615" s="5" t="s">
        <v>3728</v>
      </c>
      <c r="QRA615" s="17">
        <v>44925</v>
      </c>
      <c r="QRB615" s="5" t="s">
        <v>3728</v>
      </c>
      <c r="QRC615" s="17">
        <v>44925</v>
      </c>
      <c r="QRD615" s="5" t="s">
        <v>3728</v>
      </c>
      <c r="QRE615" s="17">
        <v>44925</v>
      </c>
      <c r="QRF615" s="5" t="s">
        <v>3728</v>
      </c>
      <c r="QRG615" s="17">
        <v>44925</v>
      </c>
      <c r="QRH615" s="5" t="s">
        <v>3728</v>
      </c>
      <c r="QRI615" s="17">
        <v>44925</v>
      </c>
      <c r="QRJ615" s="5" t="s">
        <v>3728</v>
      </c>
      <c r="QRK615" s="17">
        <v>44925</v>
      </c>
      <c r="QRL615" s="5" t="s">
        <v>3728</v>
      </c>
      <c r="QRM615" s="17">
        <v>44925</v>
      </c>
      <c r="QRN615" s="5" t="s">
        <v>3728</v>
      </c>
      <c r="QRO615" s="17">
        <v>44925</v>
      </c>
      <c r="QRP615" s="5" t="s">
        <v>3728</v>
      </c>
      <c r="QRQ615" s="17">
        <v>44925</v>
      </c>
      <c r="QRR615" s="5" t="s">
        <v>3728</v>
      </c>
      <c r="QRS615" s="17">
        <v>44925</v>
      </c>
      <c r="QRT615" s="5" t="s">
        <v>3728</v>
      </c>
      <c r="QRU615" s="17">
        <v>44925</v>
      </c>
      <c r="QRV615" s="5" t="s">
        <v>3728</v>
      </c>
      <c r="QRW615" s="17">
        <v>44925</v>
      </c>
      <c r="QRX615" s="5" t="s">
        <v>3728</v>
      </c>
      <c r="QRY615" s="17">
        <v>44925</v>
      </c>
      <c r="QRZ615" s="5" t="s">
        <v>3728</v>
      </c>
      <c r="QSA615" s="17">
        <v>44925</v>
      </c>
      <c r="QSB615" s="5" t="s">
        <v>3728</v>
      </c>
      <c r="QSC615" s="17">
        <v>44925</v>
      </c>
      <c r="QSD615" s="5" t="s">
        <v>3728</v>
      </c>
      <c r="QSE615" s="17">
        <v>44925</v>
      </c>
      <c r="QSF615" s="5" t="s">
        <v>3728</v>
      </c>
      <c r="QSG615" s="17">
        <v>44925</v>
      </c>
      <c r="QSH615" s="5" t="s">
        <v>3728</v>
      </c>
      <c r="QSI615" s="17">
        <v>44925</v>
      </c>
      <c r="QSJ615" s="5" t="s">
        <v>3728</v>
      </c>
      <c r="QSK615" s="17">
        <v>44925</v>
      </c>
      <c r="QSL615" s="5" t="s">
        <v>3728</v>
      </c>
      <c r="QSM615" s="17">
        <v>44925</v>
      </c>
      <c r="QSN615" s="5" t="s">
        <v>3728</v>
      </c>
      <c r="QSO615" s="17">
        <v>44925</v>
      </c>
      <c r="QSP615" s="5" t="s">
        <v>3728</v>
      </c>
      <c r="QSQ615" s="17">
        <v>44925</v>
      </c>
      <c r="QSR615" s="5" t="s">
        <v>3728</v>
      </c>
      <c r="QSS615" s="17">
        <v>44925</v>
      </c>
      <c r="QST615" s="5" t="s">
        <v>3728</v>
      </c>
      <c r="QSU615" s="17">
        <v>44925</v>
      </c>
      <c r="QSV615" s="5" t="s">
        <v>3728</v>
      </c>
      <c r="QSW615" s="17">
        <v>44925</v>
      </c>
      <c r="QSX615" s="5" t="s">
        <v>3728</v>
      </c>
      <c r="QSY615" s="17">
        <v>44925</v>
      </c>
      <c r="QSZ615" s="5" t="s">
        <v>3728</v>
      </c>
      <c r="QTA615" s="17">
        <v>44925</v>
      </c>
      <c r="QTB615" s="5" t="s">
        <v>3728</v>
      </c>
      <c r="QTC615" s="17">
        <v>44925</v>
      </c>
      <c r="QTD615" s="5" t="s">
        <v>3728</v>
      </c>
      <c r="QTE615" s="17">
        <v>44925</v>
      </c>
      <c r="QTF615" s="5" t="s">
        <v>3728</v>
      </c>
      <c r="QTG615" s="17">
        <v>44925</v>
      </c>
      <c r="QTH615" s="5" t="s">
        <v>3728</v>
      </c>
      <c r="QTI615" s="17">
        <v>44925</v>
      </c>
      <c r="QTJ615" s="5" t="s">
        <v>3728</v>
      </c>
      <c r="QTK615" s="17">
        <v>44925</v>
      </c>
      <c r="QTL615" s="5" t="s">
        <v>3728</v>
      </c>
      <c r="QTM615" s="17">
        <v>44925</v>
      </c>
      <c r="QTN615" s="5" t="s">
        <v>3728</v>
      </c>
      <c r="QTO615" s="17">
        <v>44925</v>
      </c>
      <c r="QTP615" s="5" t="s">
        <v>3728</v>
      </c>
      <c r="QTQ615" s="17">
        <v>44925</v>
      </c>
      <c r="QTR615" s="5" t="s">
        <v>3728</v>
      </c>
      <c r="QTS615" s="17">
        <v>44925</v>
      </c>
      <c r="QTT615" s="5" t="s">
        <v>3728</v>
      </c>
      <c r="QTU615" s="17">
        <v>44925</v>
      </c>
      <c r="QTV615" s="5" t="s">
        <v>3728</v>
      </c>
      <c r="QTW615" s="17">
        <v>44925</v>
      </c>
      <c r="QTX615" s="5" t="s">
        <v>3728</v>
      </c>
      <c r="QTY615" s="17">
        <v>44925</v>
      </c>
      <c r="QTZ615" s="5" t="s">
        <v>3728</v>
      </c>
      <c r="QUA615" s="17">
        <v>44925</v>
      </c>
      <c r="QUB615" s="5" t="s">
        <v>3728</v>
      </c>
      <c r="QUC615" s="17">
        <v>44925</v>
      </c>
      <c r="QUD615" s="5" t="s">
        <v>3728</v>
      </c>
      <c r="QUE615" s="17">
        <v>44925</v>
      </c>
      <c r="QUF615" s="5" t="s">
        <v>3728</v>
      </c>
      <c r="QUG615" s="17">
        <v>44925</v>
      </c>
      <c r="QUH615" s="5" t="s">
        <v>3728</v>
      </c>
      <c r="QUI615" s="17">
        <v>44925</v>
      </c>
      <c r="QUJ615" s="5" t="s">
        <v>3728</v>
      </c>
      <c r="QUK615" s="17">
        <v>44925</v>
      </c>
      <c r="QUL615" s="5" t="s">
        <v>3728</v>
      </c>
      <c r="QUM615" s="17">
        <v>44925</v>
      </c>
      <c r="QUN615" s="5" t="s">
        <v>3728</v>
      </c>
      <c r="QUO615" s="17">
        <v>44925</v>
      </c>
      <c r="QUP615" s="5" t="s">
        <v>3728</v>
      </c>
      <c r="QUQ615" s="17">
        <v>44925</v>
      </c>
      <c r="QUR615" s="5" t="s">
        <v>3728</v>
      </c>
      <c r="QUS615" s="17">
        <v>44925</v>
      </c>
      <c r="QUT615" s="5" t="s">
        <v>3728</v>
      </c>
      <c r="QUU615" s="17">
        <v>44925</v>
      </c>
      <c r="QUV615" s="5" t="s">
        <v>3728</v>
      </c>
      <c r="QUW615" s="17">
        <v>44925</v>
      </c>
      <c r="QUX615" s="5" t="s">
        <v>3728</v>
      </c>
      <c r="QUY615" s="17">
        <v>44925</v>
      </c>
      <c r="QUZ615" s="5" t="s">
        <v>3728</v>
      </c>
      <c r="QVA615" s="17">
        <v>44925</v>
      </c>
      <c r="QVB615" s="5" t="s">
        <v>3728</v>
      </c>
      <c r="QVC615" s="17">
        <v>44925</v>
      </c>
      <c r="QVD615" s="5" t="s">
        <v>3728</v>
      </c>
      <c r="QVE615" s="17">
        <v>44925</v>
      </c>
      <c r="QVF615" s="5" t="s">
        <v>3728</v>
      </c>
      <c r="QVG615" s="17">
        <v>44925</v>
      </c>
      <c r="QVH615" s="5" t="s">
        <v>3728</v>
      </c>
      <c r="QVI615" s="17">
        <v>44925</v>
      </c>
      <c r="QVJ615" s="5" t="s">
        <v>3728</v>
      </c>
      <c r="QVK615" s="17">
        <v>44925</v>
      </c>
      <c r="QVL615" s="5" t="s">
        <v>3728</v>
      </c>
      <c r="QVM615" s="17">
        <v>44925</v>
      </c>
      <c r="QVN615" s="5" t="s">
        <v>3728</v>
      </c>
      <c r="QVO615" s="17">
        <v>44925</v>
      </c>
      <c r="QVP615" s="5" t="s">
        <v>3728</v>
      </c>
      <c r="QVQ615" s="17">
        <v>44925</v>
      </c>
      <c r="QVR615" s="5" t="s">
        <v>3728</v>
      </c>
      <c r="QVS615" s="17">
        <v>44925</v>
      </c>
      <c r="QVT615" s="5" t="s">
        <v>3728</v>
      </c>
      <c r="QVU615" s="17">
        <v>44925</v>
      </c>
      <c r="QVV615" s="5" t="s">
        <v>3728</v>
      </c>
      <c r="QVW615" s="17">
        <v>44925</v>
      </c>
      <c r="QVX615" s="5" t="s">
        <v>3728</v>
      </c>
      <c r="QVY615" s="17">
        <v>44925</v>
      </c>
      <c r="QVZ615" s="5" t="s">
        <v>3728</v>
      </c>
      <c r="QWA615" s="17">
        <v>44925</v>
      </c>
      <c r="QWB615" s="5" t="s">
        <v>3728</v>
      </c>
      <c r="QWC615" s="17">
        <v>44925</v>
      </c>
      <c r="QWD615" s="5" t="s">
        <v>3728</v>
      </c>
      <c r="QWE615" s="17">
        <v>44925</v>
      </c>
      <c r="QWF615" s="5" t="s">
        <v>3728</v>
      </c>
      <c r="QWG615" s="17">
        <v>44925</v>
      </c>
      <c r="QWH615" s="5" t="s">
        <v>3728</v>
      </c>
      <c r="QWI615" s="17">
        <v>44925</v>
      </c>
      <c r="QWJ615" s="5" t="s">
        <v>3728</v>
      </c>
      <c r="QWK615" s="17">
        <v>44925</v>
      </c>
      <c r="QWL615" s="5" t="s">
        <v>3728</v>
      </c>
      <c r="QWM615" s="17">
        <v>44925</v>
      </c>
      <c r="QWN615" s="5" t="s">
        <v>3728</v>
      </c>
      <c r="QWO615" s="17">
        <v>44925</v>
      </c>
      <c r="QWP615" s="5" t="s">
        <v>3728</v>
      </c>
      <c r="QWQ615" s="17">
        <v>44925</v>
      </c>
      <c r="QWR615" s="5" t="s">
        <v>3728</v>
      </c>
      <c r="QWS615" s="17">
        <v>44925</v>
      </c>
      <c r="QWT615" s="5" t="s">
        <v>3728</v>
      </c>
      <c r="QWU615" s="17">
        <v>44925</v>
      </c>
      <c r="QWV615" s="5" t="s">
        <v>3728</v>
      </c>
      <c r="QWW615" s="17">
        <v>44925</v>
      </c>
      <c r="QWX615" s="5" t="s">
        <v>3728</v>
      </c>
      <c r="QWY615" s="17">
        <v>44925</v>
      </c>
      <c r="QWZ615" s="5" t="s">
        <v>3728</v>
      </c>
      <c r="QXA615" s="17">
        <v>44925</v>
      </c>
      <c r="QXB615" s="5" t="s">
        <v>3728</v>
      </c>
      <c r="QXC615" s="17">
        <v>44925</v>
      </c>
      <c r="QXD615" s="5" t="s">
        <v>3728</v>
      </c>
      <c r="QXE615" s="17">
        <v>44925</v>
      </c>
      <c r="QXF615" s="5" t="s">
        <v>3728</v>
      </c>
      <c r="QXG615" s="17">
        <v>44925</v>
      </c>
      <c r="QXH615" s="5" t="s">
        <v>3728</v>
      </c>
      <c r="QXI615" s="17">
        <v>44925</v>
      </c>
      <c r="QXJ615" s="5" t="s">
        <v>3728</v>
      </c>
      <c r="QXK615" s="17">
        <v>44925</v>
      </c>
      <c r="QXL615" s="5" t="s">
        <v>3728</v>
      </c>
      <c r="QXM615" s="17">
        <v>44925</v>
      </c>
      <c r="QXN615" s="5" t="s">
        <v>3728</v>
      </c>
      <c r="QXO615" s="17">
        <v>44925</v>
      </c>
      <c r="QXP615" s="5" t="s">
        <v>3728</v>
      </c>
      <c r="QXQ615" s="17">
        <v>44925</v>
      </c>
      <c r="QXR615" s="5" t="s">
        <v>3728</v>
      </c>
      <c r="QXS615" s="17">
        <v>44925</v>
      </c>
      <c r="QXT615" s="5" t="s">
        <v>3728</v>
      </c>
      <c r="QXU615" s="17">
        <v>44925</v>
      </c>
      <c r="QXV615" s="5" t="s">
        <v>3728</v>
      </c>
      <c r="QXW615" s="17">
        <v>44925</v>
      </c>
      <c r="QXX615" s="5" t="s">
        <v>3728</v>
      </c>
      <c r="QXY615" s="17">
        <v>44925</v>
      </c>
      <c r="QXZ615" s="5" t="s">
        <v>3728</v>
      </c>
      <c r="QYA615" s="17">
        <v>44925</v>
      </c>
      <c r="QYB615" s="5" t="s">
        <v>3728</v>
      </c>
      <c r="QYC615" s="17">
        <v>44925</v>
      </c>
      <c r="QYD615" s="5" t="s">
        <v>3728</v>
      </c>
      <c r="QYE615" s="17">
        <v>44925</v>
      </c>
      <c r="QYF615" s="5" t="s">
        <v>3728</v>
      </c>
      <c r="QYG615" s="17">
        <v>44925</v>
      </c>
      <c r="QYH615" s="5" t="s">
        <v>3728</v>
      </c>
      <c r="QYI615" s="17">
        <v>44925</v>
      </c>
      <c r="QYJ615" s="5" t="s">
        <v>3728</v>
      </c>
      <c r="QYK615" s="17">
        <v>44925</v>
      </c>
      <c r="QYL615" s="5" t="s">
        <v>3728</v>
      </c>
      <c r="QYM615" s="17">
        <v>44925</v>
      </c>
      <c r="QYN615" s="5" t="s">
        <v>3728</v>
      </c>
      <c r="QYO615" s="17">
        <v>44925</v>
      </c>
      <c r="QYP615" s="5" t="s">
        <v>3728</v>
      </c>
      <c r="QYQ615" s="17">
        <v>44925</v>
      </c>
      <c r="QYR615" s="5" t="s">
        <v>3728</v>
      </c>
      <c r="QYS615" s="17">
        <v>44925</v>
      </c>
      <c r="QYT615" s="5" t="s">
        <v>3728</v>
      </c>
      <c r="QYU615" s="17">
        <v>44925</v>
      </c>
      <c r="QYV615" s="5" t="s">
        <v>3728</v>
      </c>
      <c r="QYW615" s="17">
        <v>44925</v>
      </c>
      <c r="QYX615" s="5" t="s">
        <v>3728</v>
      </c>
      <c r="QYY615" s="17">
        <v>44925</v>
      </c>
      <c r="QYZ615" s="5" t="s">
        <v>3728</v>
      </c>
      <c r="QZA615" s="17">
        <v>44925</v>
      </c>
      <c r="QZB615" s="5" t="s">
        <v>3728</v>
      </c>
      <c r="QZC615" s="17">
        <v>44925</v>
      </c>
      <c r="QZD615" s="5" t="s">
        <v>3728</v>
      </c>
      <c r="QZE615" s="17">
        <v>44925</v>
      </c>
      <c r="QZF615" s="5" t="s">
        <v>3728</v>
      </c>
      <c r="QZG615" s="17">
        <v>44925</v>
      </c>
      <c r="QZH615" s="5" t="s">
        <v>3728</v>
      </c>
      <c r="QZI615" s="17">
        <v>44925</v>
      </c>
      <c r="QZJ615" s="5" t="s">
        <v>3728</v>
      </c>
      <c r="QZK615" s="17">
        <v>44925</v>
      </c>
      <c r="QZL615" s="5" t="s">
        <v>3728</v>
      </c>
      <c r="QZM615" s="17">
        <v>44925</v>
      </c>
      <c r="QZN615" s="5" t="s">
        <v>3728</v>
      </c>
      <c r="QZO615" s="17">
        <v>44925</v>
      </c>
      <c r="QZP615" s="5" t="s">
        <v>3728</v>
      </c>
      <c r="QZQ615" s="17">
        <v>44925</v>
      </c>
      <c r="QZR615" s="5" t="s">
        <v>3728</v>
      </c>
      <c r="QZS615" s="17">
        <v>44925</v>
      </c>
      <c r="QZT615" s="5" t="s">
        <v>3728</v>
      </c>
      <c r="QZU615" s="17">
        <v>44925</v>
      </c>
      <c r="QZV615" s="5" t="s">
        <v>3728</v>
      </c>
      <c r="QZW615" s="17">
        <v>44925</v>
      </c>
      <c r="QZX615" s="5" t="s">
        <v>3728</v>
      </c>
      <c r="QZY615" s="17">
        <v>44925</v>
      </c>
      <c r="QZZ615" s="5" t="s">
        <v>3728</v>
      </c>
      <c r="RAA615" s="17">
        <v>44925</v>
      </c>
      <c r="RAB615" s="5" t="s">
        <v>3728</v>
      </c>
      <c r="RAC615" s="17">
        <v>44925</v>
      </c>
      <c r="RAD615" s="5" t="s">
        <v>3728</v>
      </c>
      <c r="RAE615" s="17">
        <v>44925</v>
      </c>
      <c r="RAF615" s="5" t="s">
        <v>3728</v>
      </c>
      <c r="RAG615" s="17">
        <v>44925</v>
      </c>
      <c r="RAH615" s="5" t="s">
        <v>3728</v>
      </c>
      <c r="RAI615" s="17">
        <v>44925</v>
      </c>
      <c r="RAJ615" s="5" t="s">
        <v>3728</v>
      </c>
      <c r="RAK615" s="17">
        <v>44925</v>
      </c>
      <c r="RAL615" s="5" t="s">
        <v>3728</v>
      </c>
      <c r="RAM615" s="17">
        <v>44925</v>
      </c>
      <c r="RAN615" s="5" t="s">
        <v>3728</v>
      </c>
      <c r="RAO615" s="17">
        <v>44925</v>
      </c>
      <c r="RAP615" s="5" t="s">
        <v>3728</v>
      </c>
      <c r="RAQ615" s="17">
        <v>44925</v>
      </c>
      <c r="RAR615" s="5" t="s">
        <v>3728</v>
      </c>
      <c r="RAS615" s="17">
        <v>44925</v>
      </c>
      <c r="RAT615" s="5" t="s">
        <v>3728</v>
      </c>
      <c r="RAU615" s="17">
        <v>44925</v>
      </c>
      <c r="RAV615" s="5" t="s">
        <v>3728</v>
      </c>
      <c r="RAW615" s="17">
        <v>44925</v>
      </c>
      <c r="RAX615" s="5" t="s">
        <v>3728</v>
      </c>
      <c r="RAY615" s="17">
        <v>44925</v>
      </c>
      <c r="RAZ615" s="5" t="s">
        <v>3728</v>
      </c>
      <c r="RBA615" s="17">
        <v>44925</v>
      </c>
      <c r="RBB615" s="5" t="s">
        <v>3728</v>
      </c>
      <c r="RBC615" s="17">
        <v>44925</v>
      </c>
      <c r="RBD615" s="5" t="s">
        <v>3728</v>
      </c>
      <c r="RBE615" s="17">
        <v>44925</v>
      </c>
      <c r="RBF615" s="5" t="s">
        <v>3728</v>
      </c>
      <c r="RBG615" s="17">
        <v>44925</v>
      </c>
      <c r="RBH615" s="5" t="s">
        <v>3728</v>
      </c>
      <c r="RBI615" s="17">
        <v>44925</v>
      </c>
      <c r="RBJ615" s="5" t="s">
        <v>3728</v>
      </c>
      <c r="RBK615" s="17">
        <v>44925</v>
      </c>
      <c r="RBL615" s="5" t="s">
        <v>3728</v>
      </c>
      <c r="RBM615" s="17">
        <v>44925</v>
      </c>
      <c r="RBN615" s="5" t="s">
        <v>3728</v>
      </c>
      <c r="RBO615" s="17">
        <v>44925</v>
      </c>
      <c r="RBP615" s="5" t="s">
        <v>3728</v>
      </c>
      <c r="RBQ615" s="17">
        <v>44925</v>
      </c>
      <c r="RBR615" s="5" t="s">
        <v>3728</v>
      </c>
      <c r="RBS615" s="17">
        <v>44925</v>
      </c>
      <c r="RBT615" s="5" t="s">
        <v>3728</v>
      </c>
      <c r="RBU615" s="17">
        <v>44925</v>
      </c>
      <c r="RBV615" s="5" t="s">
        <v>3728</v>
      </c>
      <c r="RBW615" s="17">
        <v>44925</v>
      </c>
      <c r="RBX615" s="5" t="s">
        <v>3728</v>
      </c>
      <c r="RBY615" s="17">
        <v>44925</v>
      </c>
      <c r="RBZ615" s="5" t="s">
        <v>3728</v>
      </c>
      <c r="RCA615" s="17">
        <v>44925</v>
      </c>
      <c r="RCB615" s="5" t="s">
        <v>3728</v>
      </c>
      <c r="RCC615" s="17">
        <v>44925</v>
      </c>
      <c r="RCD615" s="5" t="s">
        <v>3728</v>
      </c>
      <c r="RCE615" s="17">
        <v>44925</v>
      </c>
      <c r="RCF615" s="5" t="s">
        <v>3728</v>
      </c>
      <c r="RCG615" s="17">
        <v>44925</v>
      </c>
      <c r="RCH615" s="5" t="s">
        <v>3728</v>
      </c>
      <c r="RCI615" s="17">
        <v>44925</v>
      </c>
      <c r="RCJ615" s="5" t="s">
        <v>3728</v>
      </c>
      <c r="RCK615" s="17">
        <v>44925</v>
      </c>
      <c r="RCL615" s="5" t="s">
        <v>3728</v>
      </c>
      <c r="RCM615" s="17">
        <v>44925</v>
      </c>
      <c r="RCN615" s="5" t="s">
        <v>3728</v>
      </c>
      <c r="RCO615" s="17">
        <v>44925</v>
      </c>
      <c r="RCP615" s="5" t="s">
        <v>3728</v>
      </c>
      <c r="RCQ615" s="17">
        <v>44925</v>
      </c>
      <c r="RCR615" s="5" t="s">
        <v>3728</v>
      </c>
      <c r="RCS615" s="17">
        <v>44925</v>
      </c>
      <c r="RCT615" s="5" t="s">
        <v>3728</v>
      </c>
      <c r="RCU615" s="17">
        <v>44925</v>
      </c>
      <c r="RCV615" s="5" t="s">
        <v>3728</v>
      </c>
      <c r="RCW615" s="17">
        <v>44925</v>
      </c>
      <c r="RCX615" s="5" t="s">
        <v>3728</v>
      </c>
      <c r="RCY615" s="17">
        <v>44925</v>
      </c>
      <c r="RCZ615" s="5" t="s">
        <v>3728</v>
      </c>
      <c r="RDA615" s="17">
        <v>44925</v>
      </c>
      <c r="RDB615" s="5" t="s">
        <v>3728</v>
      </c>
      <c r="RDC615" s="17">
        <v>44925</v>
      </c>
      <c r="RDD615" s="5" t="s">
        <v>3728</v>
      </c>
      <c r="RDE615" s="17">
        <v>44925</v>
      </c>
      <c r="RDF615" s="5" t="s">
        <v>3728</v>
      </c>
      <c r="RDG615" s="17">
        <v>44925</v>
      </c>
      <c r="RDH615" s="5" t="s">
        <v>3728</v>
      </c>
      <c r="RDI615" s="17">
        <v>44925</v>
      </c>
      <c r="RDJ615" s="5" t="s">
        <v>3728</v>
      </c>
      <c r="RDK615" s="17">
        <v>44925</v>
      </c>
      <c r="RDL615" s="5" t="s">
        <v>3728</v>
      </c>
      <c r="RDM615" s="17">
        <v>44925</v>
      </c>
      <c r="RDN615" s="5" t="s">
        <v>3728</v>
      </c>
      <c r="RDO615" s="17">
        <v>44925</v>
      </c>
      <c r="RDP615" s="5" t="s">
        <v>3728</v>
      </c>
      <c r="RDQ615" s="17">
        <v>44925</v>
      </c>
      <c r="RDR615" s="5" t="s">
        <v>3728</v>
      </c>
      <c r="RDS615" s="17">
        <v>44925</v>
      </c>
      <c r="RDT615" s="5" t="s">
        <v>3728</v>
      </c>
      <c r="RDU615" s="17">
        <v>44925</v>
      </c>
      <c r="RDV615" s="5" t="s">
        <v>3728</v>
      </c>
      <c r="RDW615" s="17">
        <v>44925</v>
      </c>
      <c r="RDX615" s="5" t="s">
        <v>3728</v>
      </c>
      <c r="RDY615" s="17">
        <v>44925</v>
      </c>
      <c r="RDZ615" s="5" t="s">
        <v>3728</v>
      </c>
      <c r="REA615" s="17">
        <v>44925</v>
      </c>
      <c r="REB615" s="5" t="s">
        <v>3728</v>
      </c>
      <c r="REC615" s="17">
        <v>44925</v>
      </c>
      <c r="RED615" s="5" t="s">
        <v>3728</v>
      </c>
      <c r="REE615" s="17">
        <v>44925</v>
      </c>
      <c r="REF615" s="5" t="s">
        <v>3728</v>
      </c>
      <c r="REG615" s="17">
        <v>44925</v>
      </c>
      <c r="REH615" s="5" t="s">
        <v>3728</v>
      </c>
      <c r="REI615" s="17">
        <v>44925</v>
      </c>
      <c r="REJ615" s="5" t="s">
        <v>3728</v>
      </c>
      <c r="REK615" s="17">
        <v>44925</v>
      </c>
      <c r="REL615" s="5" t="s">
        <v>3728</v>
      </c>
      <c r="REM615" s="17">
        <v>44925</v>
      </c>
      <c r="REN615" s="5" t="s">
        <v>3728</v>
      </c>
      <c r="REO615" s="17">
        <v>44925</v>
      </c>
      <c r="REP615" s="5" t="s">
        <v>3728</v>
      </c>
      <c r="REQ615" s="17">
        <v>44925</v>
      </c>
      <c r="RER615" s="5" t="s">
        <v>3728</v>
      </c>
      <c r="RES615" s="17">
        <v>44925</v>
      </c>
      <c r="RET615" s="5" t="s">
        <v>3728</v>
      </c>
      <c r="REU615" s="17">
        <v>44925</v>
      </c>
      <c r="REV615" s="5" t="s">
        <v>3728</v>
      </c>
      <c r="REW615" s="17">
        <v>44925</v>
      </c>
      <c r="REX615" s="5" t="s">
        <v>3728</v>
      </c>
      <c r="REY615" s="17">
        <v>44925</v>
      </c>
      <c r="REZ615" s="5" t="s">
        <v>3728</v>
      </c>
      <c r="RFA615" s="17">
        <v>44925</v>
      </c>
      <c r="RFB615" s="5" t="s">
        <v>3728</v>
      </c>
      <c r="RFC615" s="17">
        <v>44925</v>
      </c>
      <c r="RFD615" s="5" t="s">
        <v>3728</v>
      </c>
      <c r="RFE615" s="17">
        <v>44925</v>
      </c>
      <c r="RFF615" s="5" t="s">
        <v>3728</v>
      </c>
      <c r="RFG615" s="17">
        <v>44925</v>
      </c>
      <c r="RFH615" s="5" t="s">
        <v>3728</v>
      </c>
      <c r="RFI615" s="17">
        <v>44925</v>
      </c>
      <c r="RFJ615" s="5" t="s">
        <v>3728</v>
      </c>
      <c r="RFK615" s="17">
        <v>44925</v>
      </c>
      <c r="RFL615" s="5" t="s">
        <v>3728</v>
      </c>
      <c r="RFM615" s="17">
        <v>44925</v>
      </c>
      <c r="RFN615" s="5" t="s">
        <v>3728</v>
      </c>
      <c r="RFO615" s="17">
        <v>44925</v>
      </c>
      <c r="RFP615" s="5" t="s">
        <v>3728</v>
      </c>
      <c r="RFQ615" s="17">
        <v>44925</v>
      </c>
      <c r="RFR615" s="5" t="s">
        <v>3728</v>
      </c>
      <c r="RFS615" s="17">
        <v>44925</v>
      </c>
      <c r="RFT615" s="5" t="s">
        <v>3728</v>
      </c>
      <c r="RFU615" s="17">
        <v>44925</v>
      </c>
      <c r="RFV615" s="5" t="s">
        <v>3728</v>
      </c>
      <c r="RFW615" s="17">
        <v>44925</v>
      </c>
      <c r="RFX615" s="5" t="s">
        <v>3728</v>
      </c>
      <c r="RFY615" s="17">
        <v>44925</v>
      </c>
      <c r="RFZ615" s="5" t="s">
        <v>3728</v>
      </c>
      <c r="RGA615" s="17">
        <v>44925</v>
      </c>
      <c r="RGB615" s="5" t="s">
        <v>3728</v>
      </c>
      <c r="RGC615" s="17">
        <v>44925</v>
      </c>
      <c r="RGD615" s="5" t="s">
        <v>3728</v>
      </c>
      <c r="RGE615" s="17">
        <v>44925</v>
      </c>
      <c r="RGF615" s="5" t="s">
        <v>3728</v>
      </c>
      <c r="RGG615" s="17">
        <v>44925</v>
      </c>
      <c r="RGH615" s="5" t="s">
        <v>3728</v>
      </c>
      <c r="RGI615" s="17">
        <v>44925</v>
      </c>
      <c r="RGJ615" s="5" t="s">
        <v>3728</v>
      </c>
      <c r="RGK615" s="17">
        <v>44925</v>
      </c>
      <c r="RGL615" s="5" t="s">
        <v>3728</v>
      </c>
      <c r="RGM615" s="17">
        <v>44925</v>
      </c>
      <c r="RGN615" s="5" t="s">
        <v>3728</v>
      </c>
      <c r="RGO615" s="17">
        <v>44925</v>
      </c>
      <c r="RGP615" s="5" t="s">
        <v>3728</v>
      </c>
      <c r="RGQ615" s="17">
        <v>44925</v>
      </c>
      <c r="RGR615" s="5" t="s">
        <v>3728</v>
      </c>
      <c r="RGS615" s="17">
        <v>44925</v>
      </c>
      <c r="RGT615" s="5" t="s">
        <v>3728</v>
      </c>
      <c r="RGU615" s="17">
        <v>44925</v>
      </c>
      <c r="RGV615" s="5" t="s">
        <v>3728</v>
      </c>
      <c r="RGW615" s="17">
        <v>44925</v>
      </c>
      <c r="RGX615" s="5" t="s">
        <v>3728</v>
      </c>
      <c r="RGY615" s="17">
        <v>44925</v>
      </c>
      <c r="RGZ615" s="5" t="s">
        <v>3728</v>
      </c>
      <c r="RHA615" s="17">
        <v>44925</v>
      </c>
      <c r="RHB615" s="5" t="s">
        <v>3728</v>
      </c>
      <c r="RHC615" s="17">
        <v>44925</v>
      </c>
      <c r="RHD615" s="5" t="s">
        <v>3728</v>
      </c>
      <c r="RHE615" s="17">
        <v>44925</v>
      </c>
      <c r="RHF615" s="5" t="s">
        <v>3728</v>
      </c>
      <c r="RHG615" s="17">
        <v>44925</v>
      </c>
      <c r="RHH615" s="5" t="s">
        <v>3728</v>
      </c>
      <c r="RHI615" s="17">
        <v>44925</v>
      </c>
      <c r="RHJ615" s="5" t="s">
        <v>3728</v>
      </c>
      <c r="RHK615" s="17">
        <v>44925</v>
      </c>
      <c r="RHL615" s="5" t="s">
        <v>3728</v>
      </c>
      <c r="RHM615" s="17">
        <v>44925</v>
      </c>
      <c r="RHN615" s="5" t="s">
        <v>3728</v>
      </c>
      <c r="RHO615" s="17">
        <v>44925</v>
      </c>
      <c r="RHP615" s="5" t="s">
        <v>3728</v>
      </c>
      <c r="RHQ615" s="17">
        <v>44925</v>
      </c>
      <c r="RHR615" s="5" t="s">
        <v>3728</v>
      </c>
      <c r="RHS615" s="17">
        <v>44925</v>
      </c>
      <c r="RHT615" s="5" t="s">
        <v>3728</v>
      </c>
      <c r="RHU615" s="17">
        <v>44925</v>
      </c>
      <c r="RHV615" s="5" t="s">
        <v>3728</v>
      </c>
      <c r="RHW615" s="17">
        <v>44925</v>
      </c>
      <c r="RHX615" s="5" t="s">
        <v>3728</v>
      </c>
      <c r="RHY615" s="17">
        <v>44925</v>
      </c>
      <c r="RHZ615" s="5" t="s">
        <v>3728</v>
      </c>
      <c r="RIA615" s="17">
        <v>44925</v>
      </c>
      <c r="RIB615" s="5" t="s">
        <v>3728</v>
      </c>
      <c r="RIC615" s="17">
        <v>44925</v>
      </c>
      <c r="RID615" s="5" t="s">
        <v>3728</v>
      </c>
      <c r="RIE615" s="17">
        <v>44925</v>
      </c>
      <c r="RIF615" s="5" t="s">
        <v>3728</v>
      </c>
      <c r="RIG615" s="17">
        <v>44925</v>
      </c>
      <c r="RIH615" s="5" t="s">
        <v>3728</v>
      </c>
      <c r="RII615" s="17">
        <v>44925</v>
      </c>
      <c r="RIJ615" s="5" t="s">
        <v>3728</v>
      </c>
      <c r="RIK615" s="17">
        <v>44925</v>
      </c>
      <c r="RIL615" s="5" t="s">
        <v>3728</v>
      </c>
      <c r="RIM615" s="17">
        <v>44925</v>
      </c>
      <c r="RIN615" s="5" t="s">
        <v>3728</v>
      </c>
      <c r="RIO615" s="17">
        <v>44925</v>
      </c>
      <c r="RIP615" s="5" t="s">
        <v>3728</v>
      </c>
      <c r="RIQ615" s="17">
        <v>44925</v>
      </c>
      <c r="RIR615" s="5" t="s">
        <v>3728</v>
      </c>
      <c r="RIS615" s="17">
        <v>44925</v>
      </c>
      <c r="RIT615" s="5" t="s">
        <v>3728</v>
      </c>
      <c r="RIU615" s="17">
        <v>44925</v>
      </c>
      <c r="RIV615" s="5" t="s">
        <v>3728</v>
      </c>
      <c r="RIW615" s="17">
        <v>44925</v>
      </c>
      <c r="RIX615" s="5" t="s">
        <v>3728</v>
      </c>
      <c r="RIY615" s="17">
        <v>44925</v>
      </c>
      <c r="RIZ615" s="5" t="s">
        <v>3728</v>
      </c>
      <c r="RJA615" s="17">
        <v>44925</v>
      </c>
      <c r="RJB615" s="5" t="s">
        <v>3728</v>
      </c>
      <c r="RJC615" s="17">
        <v>44925</v>
      </c>
      <c r="RJD615" s="5" t="s">
        <v>3728</v>
      </c>
      <c r="RJE615" s="17">
        <v>44925</v>
      </c>
      <c r="RJF615" s="5" t="s">
        <v>3728</v>
      </c>
      <c r="RJG615" s="17">
        <v>44925</v>
      </c>
      <c r="RJH615" s="5" t="s">
        <v>3728</v>
      </c>
      <c r="RJI615" s="17">
        <v>44925</v>
      </c>
      <c r="RJJ615" s="5" t="s">
        <v>3728</v>
      </c>
      <c r="RJK615" s="17">
        <v>44925</v>
      </c>
      <c r="RJL615" s="5" t="s">
        <v>3728</v>
      </c>
      <c r="RJM615" s="17">
        <v>44925</v>
      </c>
      <c r="RJN615" s="5" t="s">
        <v>3728</v>
      </c>
      <c r="RJO615" s="17">
        <v>44925</v>
      </c>
      <c r="RJP615" s="5" t="s">
        <v>3728</v>
      </c>
      <c r="RJQ615" s="17">
        <v>44925</v>
      </c>
      <c r="RJR615" s="5" t="s">
        <v>3728</v>
      </c>
      <c r="RJS615" s="17">
        <v>44925</v>
      </c>
      <c r="RJT615" s="5" t="s">
        <v>3728</v>
      </c>
      <c r="RJU615" s="17">
        <v>44925</v>
      </c>
      <c r="RJV615" s="5" t="s">
        <v>3728</v>
      </c>
      <c r="RJW615" s="17">
        <v>44925</v>
      </c>
      <c r="RJX615" s="5" t="s">
        <v>3728</v>
      </c>
      <c r="RJY615" s="17">
        <v>44925</v>
      </c>
      <c r="RJZ615" s="5" t="s">
        <v>3728</v>
      </c>
      <c r="RKA615" s="17">
        <v>44925</v>
      </c>
      <c r="RKB615" s="5" t="s">
        <v>3728</v>
      </c>
      <c r="RKC615" s="17">
        <v>44925</v>
      </c>
      <c r="RKD615" s="5" t="s">
        <v>3728</v>
      </c>
      <c r="RKE615" s="17">
        <v>44925</v>
      </c>
      <c r="RKF615" s="5" t="s">
        <v>3728</v>
      </c>
      <c r="RKG615" s="17">
        <v>44925</v>
      </c>
      <c r="RKH615" s="5" t="s">
        <v>3728</v>
      </c>
      <c r="RKI615" s="17">
        <v>44925</v>
      </c>
      <c r="RKJ615" s="5" t="s">
        <v>3728</v>
      </c>
      <c r="RKK615" s="17">
        <v>44925</v>
      </c>
      <c r="RKL615" s="5" t="s">
        <v>3728</v>
      </c>
      <c r="RKM615" s="17">
        <v>44925</v>
      </c>
      <c r="RKN615" s="5" t="s">
        <v>3728</v>
      </c>
      <c r="RKO615" s="17">
        <v>44925</v>
      </c>
      <c r="RKP615" s="5" t="s">
        <v>3728</v>
      </c>
      <c r="RKQ615" s="17">
        <v>44925</v>
      </c>
      <c r="RKR615" s="5" t="s">
        <v>3728</v>
      </c>
      <c r="RKS615" s="17">
        <v>44925</v>
      </c>
      <c r="RKT615" s="5" t="s">
        <v>3728</v>
      </c>
      <c r="RKU615" s="17">
        <v>44925</v>
      </c>
      <c r="RKV615" s="5" t="s">
        <v>3728</v>
      </c>
      <c r="RKW615" s="17">
        <v>44925</v>
      </c>
      <c r="RKX615" s="5" t="s">
        <v>3728</v>
      </c>
      <c r="RKY615" s="17">
        <v>44925</v>
      </c>
      <c r="RKZ615" s="5" t="s">
        <v>3728</v>
      </c>
      <c r="RLA615" s="17">
        <v>44925</v>
      </c>
      <c r="RLB615" s="5" t="s">
        <v>3728</v>
      </c>
      <c r="RLC615" s="17">
        <v>44925</v>
      </c>
      <c r="RLD615" s="5" t="s">
        <v>3728</v>
      </c>
      <c r="RLE615" s="17">
        <v>44925</v>
      </c>
      <c r="RLF615" s="5" t="s">
        <v>3728</v>
      </c>
      <c r="RLG615" s="17">
        <v>44925</v>
      </c>
      <c r="RLH615" s="5" t="s">
        <v>3728</v>
      </c>
      <c r="RLI615" s="17">
        <v>44925</v>
      </c>
      <c r="RLJ615" s="5" t="s">
        <v>3728</v>
      </c>
      <c r="RLK615" s="17">
        <v>44925</v>
      </c>
      <c r="RLL615" s="5" t="s">
        <v>3728</v>
      </c>
      <c r="RLM615" s="17">
        <v>44925</v>
      </c>
      <c r="RLN615" s="5" t="s">
        <v>3728</v>
      </c>
      <c r="RLO615" s="17">
        <v>44925</v>
      </c>
      <c r="RLP615" s="5" t="s">
        <v>3728</v>
      </c>
      <c r="RLQ615" s="17">
        <v>44925</v>
      </c>
      <c r="RLR615" s="5" t="s">
        <v>3728</v>
      </c>
      <c r="RLS615" s="17">
        <v>44925</v>
      </c>
      <c r="RLT615" s="5" t="s">
        <v>3728</v>
      </c>
      <c r="RLU615" s="17">
        <v>44925</v>
      </c>
      <c r="RLV615" s="5" t="s">
        <v>3728</v>
      </c>
      <c r="RLW615" s="17">
        <v>44925</v>
      </c>
      <c r="RLX615" s="5" t="s">
        <v>3728</v>
      </c>
      <c r="RLY615" s="17">
        <v>44925</v>
      </c>
      <c r="RLZ615" s="5" t="s">
        <v>3728</v>
      </c>
      <c r="RMA615" s="17">
        <v>44925</v>
      </c>
      <c r="RMB615" s="5" t="s">
        <v>3728</v>
      </c>
      <c r="RMC615" s="17">
        <v>44925</v>
      </c>
      <c r="RMD615" s="5" t="s">
        <v>3728</v>
      </c>
      <c r="RME615" s="17">
        <v>44925</v>
      </c>
      <c r="RMF615" s="5" t="s">
        <v>3728</v>
      </c>
      <c r="RMG615" s="17">
        <v>44925</v>
      </c>
      <c r="RMH615" s="5" t="s">
        <v>3728</v>
      </c>
      <c r="RMI615" s="17">
        <v>44925</v>
      </c>
      <c r="RMJ615" s="5" t="s">
        <v>3728</v>
      </c>
      <c r="RMK615" s="17">
        <v>44925</v>
      </c>
      <c r="RML615" s="5" t="s">
        <v>3728</v>
      </c>
      <c r="RMM615" s="17">
        <v>44925</v>
      </c>
      <c r="RMN615" s="5" t="s">
        <v>3728</v>
      </c>
      <c r="RMO615" s="17">
        <v>44925</v>
      </c>
      <c r="RMP615" s="5" t="s">
        <v>3728</v>
      </c>
      <c r="RMQ615" s="17">
        <v>44925</v>
      </c>
      <c r="RMR615" s="5" t="s">
        <v>3728</v>
      </c>
      <c r="RMS615" s="17">
        <v>44925</v>
      </c>
      <c r="RMT615" s="5" t="s">
        <v>3728</v>
      </c>
      <c r="RMU615" s="17">
        <v>44925</v>
      </c>
      <c r="RMV615" s="5" t="s">
        <v>3728</v>
      </c>
      <c r="RMW615" s="17">
        <v>44925</v>
      </c>
      <c r="RMX615" s="5" t="s">
        <v>3728</v>
      </c>
      <c r="RMY615" s="17">
        <v>44925</v>
      </c>
      <c r="RMZ615" s="5" t="s">
        <v>3728</v>
      </c>
      <c r="RNA615" s="17">
        <v>44925</v>
      </c>
      <c r="RNB615" s="5" t="s">
        <v>3728</v>
      </c>
      <c r="RNC615" s="17">
        <v>44925</v>
      </c>
      <c r="RND615" s="5" t="s">
        <v>3728</v>
      </c>
      <c r="RNE615" s="17">
        <v>44925</v>
      </c>
      <c r="RNF615" s="5" t="s">
        <v>3728</v>
      </c>
      <c r="RNG615" s="17">
        <v>44925</v>
      </c>
      <c r="RNH615" s="5" t="s">
        <v>3728</v>
      </c>
      <c r="RNI615" s="17">
        <v>44925</v>
      </c>
      <c r="RNJ615" s="5" t="s">
        <v>3728</v>
      </c>
      <c r="RNK615" s="17">
        <v>44925</v>
      </c>
      <c r="RNL615" s="5" t="s">
        <v>3728</v>
      </c>
      <c r="RNM615" s="17">
        <v>44925</v>
      </c>
      <c r="RNN615" s="5" t="s">
        <v>3728</v>
      </c>
      <c r="RNO615" s="17">
        <v>44925</v>
      </c>
      <c r="RNP615" s="5" t="s">
        <v>3728</v>
      </c>
      <c r="RNQ615" s="17">
        <v>44925</v>
      </c>
      <c r="RNR615" s="5" t="s">
        <v>3728</v>
      </c>
      <c r="RNS615" s="17">
        <v>44925</v>
      </c>
      <c r="RNT615" s="5" t="s">
        <v>3728</v>
      </c>
      <c r="RNU615" s="17">
        <v>44925</v>
      </c>
      <c r="RNV615" s="5" t="s">
        <v>3728</v>
      </c>
      <c r="RNW615" s="17">
        <v>44925</v>
      </c>
      <c r="RNX615" s="5" t="s">
        <v>3728</v>
      </c>
      <c r="RNY615" s="17">
        <v>44925</v>
      </c>
      <c r="RNZ615" s="5" t="s">
        <v>3728</v>
      </c>
      <c r="ROA615" s="17">
        <v>44925</v>
      </c>
      <c r="ROB615" s="5" t="s">
        <v>3728</v>
      </c>
      <c r="ROC615" s="17">
        <v>44925</v>
      </c>
      <c r="ROD615" s="5" t="s">
        <v>3728</v>
      </c>
      <c r="ROE615" s="17">
        <v>44925</v>
      </c>
      <c r="ROF615" s="5" t="s">
        <v>3728</v>
      </c>
      <c r="ROG615" s="17">
        <v>44925</v>
      </c>
      <c r="ROH615" s="5" t="s">
        <v>3728</v>
      </c>
      <c r="ROI615" s="17">
        <v>44925</v>
      </c>
      <c r="ROJ615" s="5" t="s">
        <v>3728</v>
      </c>
      <c r="ROK615" s="17">
        <v>44925</v>
      </c>
      <c r="ROL615" s="5" t="s">
        <v>3728</v>
      </c>
      <c r="ROM615" s="17">
        <v>44925</v>
      </c>
      <c r="RON615" s="5" t="s">
        <v>3728</v>
      </c>
      <c r="ROO615" s="17">
        <v>44925</v>
      </c>
      <c r="ROP615" s="5" t="s">
        <v>3728</v>
      </c>
      <c r="ROQ615" s="17">
        <v>44925</v>
      </c>
      <c r="ROR615" s="5" t="s">
        <v>3728</v>
      </c>
      <c r="ROS615" s="17">
        <v>44925</v>
      </c>
      <c r="ROT615" s="5" t="s">
        <v>3728</v>
      </c>
      <c r="ROU615" s="17">
        <v>44925</v>
      </c>
      <c r="ROV615" s="5" t="s">
        <v>3728</v>
      </c>
      <c r="ROW615" s="17">
        <v>44925</v>
      </c>
      <c r="ROX615" s="5" t="s">
        <v>3728</v>
      </c>
      <c r="ROY615" s="17">
        <v>44925</v>
      </c>
      <c r="ROZ615" s="5" t="s">
        <v>3728</v>
      </c>
      <c r="RPA615" s="17">
        <v>44925</v>
      </c>
      <c r="RPB615" s="5" t="s">
        <v>3728</v>
      </c>
      <c r="RPC615" s="17">
        <v>44925</v>
      </c>
      <c r="RPD615" s="5" t="s">
        <v>3728</v>
      </c>
      <c r="RPE615" s="17">
        <v>44925</v>
      </c>
      <c r="RPF615" s="5" t="s">
        <v>3728</v>
      </c>
      <c r="RPG615" s="17">
        <v>44925</v>
      </c>
      <c r="RPH615" s="5" t="s">
        <v>3728</v>
      </c>
      <c r="RPI615" s="17">
        <v>44925</v>
      </c>
      <c r="RPJ615" s="5" t="s">
        <v>3728</v>
      </c>
      <c r="RPK615" s="17">
        <v>44925</v>
      </c>
      <c r="RPL615" s="5" t="s">
        <v>3728</v>
      </c>
      <c r="RPM615" s="17">
        <v>44925</v>
      </c>
      <c r="RPN615" s="5" t="s">
        <v>3728</v>
      </c>
      <c r="RPO615" s="17">
        <v>44925</v>
      </c>
      <c r="RPP615" s="5" t="s">
        <v>3728</v>
      </c>
      <c r="RPQ615" s="17">
        <v>44925</v>
      </c>
      <c r="RPR615" s="5" t="s">
        <v>3728</v>
      </c>
      <c r="RPS615" s="17">
        <v>44925</v>
      </c>
      <c r="RPT615" s="5" t="s">
        <v>3728</v>
      </c>
      <c r="RPU615" s="17">
        <v>44925</v>
      </c>
      <c r="RPV615" s="5" t="s">
        <v>3728</v>
      </c>
      <c r="RPW615" s="17">
        <v>44925</v>
      </c>
      <c r="RPX615" s="5" t="s">
        <v>3728</v>
      </c>
      <c r="RPY615" s="17">
        <v>44925</v>
      </c>
      <c r="RPZ615" s="5" t="s">
        <v>3728</v>
      </c>
      <c r="RQA615" s="17">
        <v>44925</v>
      </c>
      <c r="RQB615" s="5" t="s">
        <v>3728</v>
      </c>
      <c r="RQC615" s="17">
        <v>44925</v>
      </c>
      <c r="RQD615" s="5" t="s">
        <v>3728</v>
      </c>
      <c r="RQE615" s="17">
        <v>44925</v>
      </c>
      <c r="RQF615" s="5" t="s">
        <v>3728</v>
      </c>
      <c r="RQG615" s="17">
        <v>44925</v>
      </c>
      <c r="RQH615" s="5" t="s">
        <v>3728</v>
      </c>
      <c r="RQI615" s="17">
        <v>44925</v>
      </c>
      <c r="RQJ615" s="5" t="s">
        <v>3728</v>
      </c>
      <c r="RQK615" s="17">
        <v>44925</v>
      </c>
      <c r="RQL615" s="5" t="s">
        <v>3728</v>
      </c>
      <c r="RQM615" s="17">
        <v>44925</v>
      </c>
      <c r="RQN615" s="5" t="s">
        <v>3728</v>
      </c>
      <c r="RQO615" s="17">
        <v>44925</v>
      </c>
      <c r="RQP615" s="5" t="s">
        <v>3728</v>
      </c>
      <c r="RQQ615" s="17">
        <v>44925</v>
      </c>
      <c r="RQR615" s="5" t="s">
        <v>3728</v>
      </c>
      <c r="RQS615" s="17">
        <v>44925</v>
      </c>
      <c r="RQT615" s="5" t="s">
        <v>3728</v>
      </c>
      <c r="RQU615" s="17">
        <v>44925</v>
      </c>
      <c r="RQV615" s="5" t="s">
        <v>3728</v>
      </c>
      <c r="RQW615" s="17">
        <v>44925</v>
      </c>
      <c r="RQX615" s="5" t="s">
        <v>3728</v>
      </c>
      <c r="RQY615" s="17">
        <v>44925</v>
      </c>
      <c r="RQZ615" s="5" t="s">
        <v>3728</v>
      </c>
      <c r="RRA615" s="17">
        <v>44925</v>
      </c>
      <c r="RRB615" s="5" t="s">
        <v>3728</v>
      </c>
      <c r="RRC615" s="17">
        <v>44925</v>
      </c>
      <c r="RRD615" s="5" t="s">
        <v>3728</v>
      </c>
      <c r="RRE615" s="17">
        <v>44925</v>
      </c>
      <c r="RRF615" s="5" t="s">
        <v>3728</v>
      </c>
      <c r="RRG615" s="17">
        <v>44925</v>
      </c>
      <c r="RRH615" s="5" t="s">
        <v>3728</v>
      </c>
      <c r="RRI615" s="17">
        <v>44925</v>
      </c>
      <c r="RRJ615" s="5" t="s">
        <v>3728</v>
      </c>
      <c r="RRK615" s="17">
        <v>44925</v>
      </c>
      <c r="RRL615" s="5" t="s">
        <v>3728</v>
      </c>
      <c r="RRM615" s="17">
        <v>44925</v>
      </c>
      <c r="RRN615" s="5" t="s">
        <v>3728</v>
      </c>
      <c r="RRO615" s="17">
        <v>44925</v>
      </c>
      <c r="RRP615" s="5" t="s">
        <v>3728</v>
      </c>
      <c r="RRQ615" s="17">
        <v>44925</v>
      </c>
      <c r="RRR615" s="5" t="s">
        <v>3728</v>
      </c>
      <c r="RRS615" s="17">
        <v>44925</v>
      </c>
      <c r="RRT615" s="5" t="s">
        <v>3728</v>
      </c>
      <c r="RRU615" s="17">
        <v>44925</v>
      </c>
      <c r="RRV615" s="5" t="s">
        <v>3728</v>
      </c>
      <c r="RRW615" s="17">
        <v>44925</v>
      </c>
      <c r="RRX615" s="5" t="s">
        <v>3728</v>
      </c>
      <c r="RRY615" s="17">
        <v>44925</v>
      </c>
      <c r="RRZ615" s="5" t="s">
        <v>3728</v>
      </c>
      <c r="RSA615" s="17">
        <v>44925</v>
      </c>
      <c r="RSB615" s="5" t="s">
        <v>3728</v>
      </c>
      <c r="RSC615" s="17">
        <v>44925</v>
      </c>
      <c r="RSD615" s="5" t="s">
        <v>3728</v>
      </c>
      <c r="RSE615" s="17">
        <v>44925</v>
      </c>
      <c r="RSF615" s="5" t="s">
        <v>3728</v>
      </c>
      <c r="RSG615" s="17">
        <v>44925</v>
      </c>
      <c r="RSH615" s="5" t="s">
        <v>3728</v>
      </c>
      <c r="RSI615" s="17">
        <v>44925</v>
      </c>
      <c r="RSJ615" s="5" t="s">
        <v>3728</v>
      </c>
      <c r="RSK615" s="17">
        <v>44925</v>
      </c>
      <c r="RSL615" s="5" t="s">
        <v>3728</v>
      </c>
      <c r="RSM615" s="17">
        <v>44925</v>
      </c>
      <c r="RSN615" s="5" t="s">
        <v>3728</v>
      </c>
      <c r="RSO615" s="17">
        <v>44925</v>
      </c>
      <c r="RSP615" s="5" t="s">
        <v>3728</v>
      </c>
      <c r="RSQ615" s="17">
        <v>44925</v>
      </c>
      <c r="RSR615" s="5" t="s">
        <v>3728</v>
      </c>
      <c r="RSS615" s="17">
        <v>44925</v>
      </c>
      <c r="RST615" s="5" t="s">
        <v>3728</v>
      </c>
      <c r="RSU615" s="17">
        <v>44925</v>
      </c>
      <c r="RSV615" s="5" t="s">
        <v>3728</v>
      </c>
      <c r="RSW615" s="17">
        <v>44925</v>
      </c>
      <c r="RSX615" s="5" t="s">
        <v>3728</v>
      </c>
      <c r="RSY615" s="17">
        <v>44925</v>
      </c>
      <c r="RSZ615" s="5" t="s">
        <v>3728</v>
      </c>
      <c r="RTA615" s="17">
        <v>44925</v>
      </c>
      <c r="RTB615" s="5" t="s">
        <v>3728</v>
      </c>
      <c r="RTC615" s="17">
        <v>44925</v>
      </c>
      <c r="RTD615" s="5" t="s">
        <v>3728</v>
      </c>
      <c r="RTE615" s="17">
        <v>44925</v>
      </c>
      <c r="RTF615" s="5" t="s">
        <v>3728</v>
      </c>
      <c r="RTG615" s="17">
        <v>44925</v>
      </c>
      <c r="RTH615" s="5" t="s">
        <v>3728</v>
      </c>
      <c r="RTI615" s="17">
        <v>44925</v>
      </c>
      <c r="RTJ615" s="5" t="s">
        <v>3728</v>
      </c>
      <c r="RTK615" s="17">
        <v>44925</v>
      </c>
      <c r="RTL615" s="5" t="s">
        <v>3728</v>
      </c>
      <c r="RTM615" s="17">
        <v>44925</v>
      </c>
      <c r="RTN615" s="5" t="s">
        <v>3728</v>
      </c>
      <c r="RTO615" s="17">
        <v>44925</v>
      </c>
      <c r="RTP615" s="5" t="s">
        <v>3728</v>
      </c>
      <c r="RTQ615" s="17">
        <v>44925</v>
      </c>
      <c r="RTR615" s="5" t="s">
        <v>3728</v>
      </c>
      <c r="RTS615" s="17">
        <v>44925</v>
      </c>
      <c r="RTT615" s="5" t="s">
        <v>3728</v>
      </c>
      <c r="RTU615" s="17">
        <v>44925</v>
      </c>
      <c r="RTV615" s="5" t="s">
        <v>3728</v>
      </c>
      <c r="RTW615" s="17">
        <v>44925</v>
      </c>
      <c r="RTX615" s="5" t="s">
        <v>3728</v>
      </c>
      <c r="RTY615" s="17">
        <v>44925</v>
      </c>
      <c r="RTZ615" s="5" t="s">
        <v>3728</v>
      </c>
      <c r="RUA615" s="17">
        <v>44925</v>
      </c>
      <c r="RUB615" s="5" t="s">
        <v>3728</v>
      </c>
      <c r="RUC615" s="17">
        <v>44925</v>
      </c>
      <c r="RUD615" s="5" t="s">
        <v>3728</v>
      </c>
      <c r="RUE615" s="17">
        <v>44925</v>
      </c>
      <c r="RUF615" s="5" t="s">
        <v>3728</v>
      </c>
      <c r="RUG615" s="17">
        <v>44925</v>
      </c>
      <c r="RUH615" s="5" t="s">
        <v>3728</v>
      </c>
      <c r="RUI615" s="17">
        <v>44925</v>
      </c>
      <c r="RUJ615" s="5" t="s">
        <v>3728</v>
      </c>
      <c r="RUK615" s="17">
        <v>44925</v>
      </c>
      <c r="RUL615" s="5" t="s">
        <v>3728</v>
      </c>
      <c r="RUM615" s="17">
        <v>44925</v>
      </c>
      <c r="RUN615" s="5" t="s">
        <v>3728</v>
      </c>
      <c r="RUO615" s="17">
        <v>44925</v>
      </c>
      <c r="RUP615" s="5" t="s">
        <v>3728</v>
      </c>
      <c r="RUQ615" s="17">
        <v>44925</v>
      </c>
      <c r="RUR615" s="5" t="s">
        <v>3728</v>
      </c>
      <c r="RUS615" s="17">
        <v>44925</v>
      </c>
      <c r="RUT615" s="5" t="s">
        <v>3728</v>
      </c>
      <c r="RUU615" s="17">
        <v>44925</v>
      </c>
      <c r="RUV615" s="5" t="s">
        <v>3728</v>
      </c>
      <c r="RUW615" s="17">
        <v>44925</v>
      </c>
      <c r="RUX615" s="5" t="s">
        <v>3728</v>
      </c>
      <c r="RUY615" s="17">
        <v>44925</v>
      </c>
      <c r="RUZ615" s="5" t="s">
        <v>3728</v>
      </c>
      <c r="RVA615" s="17">
        <v>44925</v>
      </c>
      <c r="RVB615" s="5" t="s">
        <v>3728</v>
      </c>
      <c r="RVC615" s="17">
        <v>44925</v>
      </c>
      <c r="RVD615" s="5" t="s">
        <v>3728</v>
      </c>
      <c r="RVE615" s="17">
        <v>44925</v>
      </c>
      <c r="RVF615" s="5" t="s">
        <v>3728</v>
      </c>
      <c r="RVG615" s="17">
        <v>44925</v>
      </c>
      <c r="RVH615" s="5" t="s">
        <v>3728</v>
      </c>
      <c r="RVI615" s="17">
        <v>44925</v>
      </c>
      <c r="RVJ615" s="5" t="s">
        <v>3728</v>
      </c>
      <c r="RVK615" s="17">
        <v>44925</v>
      </c>
      <c r="RVL615" s="5" t="s">
        <v>3728</v>
      </c>
      <c r="RVM615" s="17">
        <v>44925</v>
      </c>
      <c r="RVN615" s="5" t="s">
        <v>3728</v>
      </c>
      <c r="RVO615" s="17">
        <v>44925</v>
      </c>
      <c r="RVP615" s="5" t="s">
        <v>3728</v>
      </c>
      <c r="RVQ615" s="17">
        <v>44925</v>
      </c>
      <c r="RVR615" s="5" t="s">
        <v>3728</v>
      </c>
      <c r="RVS615" s="17">
        <v>44925</v>
      </c>
      <c r="RVT615" s="5" t="s">
        <v>3728</v>
      </c>
      <c r="RVU615" s="17">
        <v>44925</v>
      </c>
      <c r="RVV615" s="5" t="s">
        <v>3728</v>
      </c>
      <c r="RVW615" s="17">
        <v>44925</v>
      </c>
      <c r="RVX615" s="5" t="s">
        <v>3728</v>
      </c>
      <c r="RVY615" s="17">
        <v>44925</v>
      </c>
      <c r="RVZ615" s="5" t="s">
        <v>3728</v>
      </c>
      <c r="RWA615" s="17">
        <v>44925</v>
      </c>
      <c r="RWB615" s="5" t="s">
        <v>3728</v>
      </c>
      <c r="RWC615" s="17">
        <v>44925</v>
      </c>
      <c r="RWD615" s="5" t="s">
        <v>3728</v>
      </c>
      <c r="RWE615" s="17">
        <v>44925</v>
      </c>
      <c r="RWF615" s="5" t="s">
        <v>3728</v>
      </c>
      <c r="RWG615" s="17">
        <v>44925</v>
      </c>
      <c r="RWH615" s="5" t="s">
        <v>3728</v>
      </c>
      <c r="RWI615" s="17">
        <v>44925</v>
      </c>
      <c r="RWJ615" s="5" t="s">
        <v>3728</v>
      </c>
      <c r="RWK615" s="17">
        <v>44925</v>
      </c>
      <c r="RWL615" s="5" t="s">
        <v>3728</v>
      </c>
      <c r="RWM615" s="17">
        <v>44925</v>
      </c>
      <c r="RWN615" s="5" t="s">
        <v>3728</v>
      </c>
      <c r="RWO615" s="17">
        <v>44925</v>
      </c>
      <c r="RWP615" s="5" t="s">
        <v>3728</v>
      </c>
      <c r="RWQ615" s="17">
        <v>44925</v>
      </c>
      <c r="RWR615" s="5" t="s">
        <v>3728</v>
      </c>
      <c r="RWS615" s="17">
        <v>44925</v>
      </c>
      <c r="RWT615" s="5" t="s">
        <v>3728</v>
      </c>
      <c r="RWU615" s="17">
        <v>44925</v>
      </c>
      <c r="RWV615" s="5" t="s">
        <v>3728</v>
      </c>
      <c r="RWW615" s="17">
        <v>44925</v>
      </c>
      <c r="RWX615" s="5" t="s">
        <v>3728</v>
      </c>
      <c r="RWY615" s="17">
        <v>44925</v>
      </c>
      <c r="RWZ615" s="5" t="s">
        <v>3728</v>
      </c>
      <c r="RXA615" s="17">
        <v>44925</v>
      </c>
      <c r="RXB615" s="5" t="s">
        <v>3728</v>
      </c>
      <c r="RXC615" s="17">
        <v>44925</v>
      </c>
      <c r="RXD615" s="5" t="s">
        <v>3728</v>
      </c>
      <c r="RXE615" s="17">
        <v>44925</v>
      </c>
      <c r="RXF615" s="5" t="s">
        <v>3728</v>
      </c>
      <c r="RXG615" s="17">
        <v>44925</v>
      </c>
      <c r="RXH615" s="5" t="s">
        <v>3728</v>
      </c>
      <c r="RXI615" s="17">
        <v>44925</v>
      </c>
      <c r="RXJ615" s="5" t="s">
        <v>3728</v>
      </c>
      <c r="RXK615" s="17">
        <v>44925</v>
      </c>
      <c r="RXL615" s="5" t="s">
        <v>3728</v>
      </c>
      <c r="RXM615" s="17">
        <v>44925</v>
      </c>
      <c r="RXN615" s="5" t="s">
        <v>3728</v>
      </c>
      <c r="RXO615" s="17">
        <v>44925</v>
      </c>
      <c r="RXP615" s="5" t="s">
        <v>3728</v>
      </c>
      <c r="RXQ615" s="17">
        <v>44925</v>
      </c>
      <c r="RXR615" s="5" t="s">
        <v>3728</v>
      </c>
      <c r="RXS615" s="17">
        <v>44925</v>
      </c>
      <c r="RXT615" s="5" t="s">
        <v>3728</v>
      </c>
      <c r="RXU615" s="17">
        <v>44925</v>
      </c>
      <c r="RXV615" s="5" t="s">
        <v>3728</v>
      </c>
      <c r="RXW615" s="17">
        <v>44925</v>
      </c>
      <c r="RXX615" s="5" t="s">
        <v>3728</v>
      </c>
      <c r="RXY615" s="17">
        <v>44925</v>
      </c>
      <c r="RXZ615" s="5" t="s">
        <v>3728</v>
      </c>
      <c r="RYA615" s="17">
        <v>44925</v>
      </c>
      <c r="RYB615" s="5" t="s">
        <v>3728</v>
      </c>
      <c r="RYC615" s="17">
        <v>44925</v>
      </c>
      <c r="RYD615" s="5" t="s">
        <v>3728</v>
      </c>
      <c r="RYE615" s="17">
        <v>44925</v>
      </c>
      <c r="RYF615" s="5" t="s">
        <v>3728</v>
      </c>
      <c r="RYG615" s="17">
        <v>44925</v>
      </c>
      <c r="RYH615" s="5" t="s">
        <v>3728</v>
      </c>
      <c r="RYI615" s="17">
        <v>44925</v>
      </c>
      <c r="RYJ615" s="5" t="s">
        <v>3728</v>
      </c>
      <c r="RYK615" s="17">
        <v>44925</v>
      </c>
      <c r="RYL615" s="5" t="s">
        <v>3728</v>
      </c>
      <c r="RYM615" s="17">
        <v>44925</v>
      </c>
      <c r="RYN615" s="5" t="s">
        <v>3728</v>
      </c>
      <c r="RYO615" s="17">
        <v>44925</v>
      </c>
      <c r="RYP615" s="5" t="s">
        <v>3728</v>
      </c>
      <c r="RYQ615" s="17">
        <v>44925</v>
      </c>
      <c r="RYR615" s="5" t="s">
        <v>3728</v>
      </c>
      <c r="RYS615" s="17">
        <v>44925</v>
      </c>
      <c r="RYT615" s="5" t="s">
        <v>3728</v>
      </c>
      <c r="RYU615" s="17">
        <v>44925</v>
      </c>
      <c r="RYV615" s="5" t="s">
        <v>3728</v>
      </c>
      <c r="RYW615" s="17">
        <v>44925</v>
      </c>
      <c r="RYX615" s="5" t="s">
        <v>3728</v>
      </c>
      <c r="RYY615" s="17">
        <v>44925</v>
      </c>
      <c r="RYZ615" s="5" t="s">
        <v>3728</v>
      </c>
      <c r="RZA615" s="17">
        <v>44925</v>
      </c>
      <c r="RZB615" s="5" t="s">
        <v>3728</v>
      </c>
      <c r="RZC615" s="17">
        <v>44925</v>
      </c>
      <c r="RZD615" s="5" t="s">
        <v>3728</v>
      </c>
      <c r="RZE615" s="17">
        <v>44925</v>
      </c>
      <c r="RZF615" s="5" t="s">
        <v>3728</v>
      </c>
      <c r="RZG615" s="17">
        <v>44925</v>
      </c>
      <c r="RZH615" s="5" t="s">
        <v>3728</v>
      </c>
      <c r="RZI615" s="17">
        <v>44925</v>
      </c>
      <c r="RZJ615" s="5" t="s">
        <v>3728</v>
      </c>
      <c r="RZK615" s="17">
        <v>44925</v>
      </c>
      <c r="RZL615" s="5" t="s">
        <v>3728</v>
      </c>
      <c r="RZM615" s="17">
        <v>44925</v>
      </c>
      <c r="RZN615" s="5" t="s">
        <v>3728</v>
      </c>
      <c r="RZO615" s="17">
        <v>44925</v>
      </c>
      <c r="RZP615" s="5" t="s">
        <v>3728</v>
      </c>
      <c r="RZQ615" s="17">
        <v>44925</v>
      </c>
      <c r="RZR615" s="5" t="s">
        <v>3728</v>
      </c>
      <c r="RZS615" s="17">
        <v>44925</v>
      </c>
      <c r="RZT615" s="5" t="s">
        <v>3728</v>
      </c>
      <c r="RZU615" s="17">
        <v>44925</v>
      </c>
      <c r="RZV615" s="5" t="s">
        <v>3728</v>
      </c>
      <c r="RZW615" s="17">
        <v>44925</v>
      </c>
      <c r="RZX615" s="5" t="s">
        <v>3728</v>
      </c>
      <c r="RZY615" s="17">
        <v>44925</v>
      </c>
      <c r="RZZ615" s="5" t="s">
        <v>3728</v>
      </c>
      <c r="SAA615" s="17">
        <v>44925</v>
      </c>
      <c r="SAB615" s="5" t="s">
        <v>3728</v>
      </c>
      <c r="SAC615" s="17">
        <v>44925</v>
      </c>
      <c r="SAD615" s="5" t="s">
        <v>3728</v>
      </c>
      <c r="SAE615" s="17">
        <v>44925</v>
      </c>
      <c r="SAF615" s="5" t="s">
        <v>3728</v>
      </c>
      <c r="SAG615" s="17">
        <v>44925</v>
      </c>
      <c r="SAH615" s="5" t="s">
        <v>3728</v>
      </c>
      <c r="SAI615" s="17">
        <v>44925</v>
      </c>
      <c r="SAJ615" s="5" t="s">
        <v>3728</v>
      </c>
      <c r="SAK615" s="17">
        <v>44925</v>
      </c>
      <c r="SAL615" s="5" t="s">
        <v>3728</v>
      </c>
      <c r="SAM615" s="17">
        <v>44925</v>
      </c>
      <c r="SAN615" s="5" t="s">
        <v>3728</v>
      </c>
      <c r="SAO615" s="17">
        <v>44925</v>
      </c>
      <c r="SAP615" s="5" t="s">
        <v>3728</v>
      </c>
      <c r="SAQ615" s="17">
        <v>44925</v>
      </c>
      <c r="SAR615" s="5" t="s">
        <v>3728</v>
      </c>
      <c r="SAS615" s="17">
        <v>44925</v>
      </c>
      <c r="SAT615" s="5" t="s">
        <v>3728</v>
      </c>
      <c r="SAU615" s="17">
        <v>44925</v>
      </c>
      <c r="SAV615" s="5" t="s">
        <v>3728</v>
      </c>
      <c r="SAW615" s="17">
        <v>44925</v>
      </c>
      <c r="SAX615" s="5" t="s">
        <v>3728</v>
      </c>
      <c r="SAY615" s="17">
        <v>44925</v>
      </c>
      <c r="SAZ615" s="5" t="s">
        <v>3728</v>
      </c>
      <c r="SBA615" s="17">
        <v>44925</v>
      </c>
      <c r="SBB615" s="5" t="s">
        <v>3728</v>
      </c>
      <c r="SBC615" s="17">
        <v>44925</v>
      </c>
      <c r="SBD615" s="5" t="s">
        <v>3728</v>
      </c>
      <c r="SBE615" s="17">
        <v>44925</v>
      </c>
      <c r="SBF615" s="5" t="s">
        <v>3728</v>
      </c>
      <c r="SBG615" s="17">
        <v>44925</v>
      </c>
      <c r="SBH615" s="5" t="s">
        <v>3728</v>
      </c>
      <c r="SBI615" s="17">
        <v>44925</v>
      </c>
      <c r="SBJ615" s="5" t="s">
        <v>3728</v>
      </c>
      <c r="SBK615" s="17">
        <v>44925</v>
      </c>
      <c r="SBL615" s="5" t="s">
        <v>3728</v>
      </c>
      <c r="SBM615" s="17">
        <v>44925</v>
      </c>
      <c r="SBN615" s="5" t="s">
        <v>3728</v>
      </c>
      <c r="SBO615" s="17">
        <v>44925</v>
      </c>
      <c r="SBP615" s="5" t="s">
        <v>3728</v>
      </c>
      <c r="SBQ615" s="17">
        <v>44925</v>
      </c>
      <c r="SBR615" s="5" t="s">
        <v>3728</v>
      </c>
      <c r="SBS615" s="17">
        <v>44925</v>
      </c>
      <c r="SBT615" s="5" t="s">
        <v>3728</v>
      </c>
      <c r="SBU615" s="17">
        <v>44925</v>
      </c>
      <c r="SBV615" s="5" t="s">
        <v>3728</v>
      </c>
      <c r="SBW615" s="17">
        <v>44925</v>
      </c>
      <c r="SBX615" s="5" t="s">
        <v>3728</v>
      </c>
      <c r="SBY615" s="17">
        <v>44925</v>
      </c>
      <c r="SBZ615" s="5" t="s">
        <v>3728</v>
      </c>
      <c r="SCA615" s="17">
        <v>44925</v>
      </c>
      <c r="SCB615" s="5" t="s">
        <v>3728</v>
      </c>
      <c r="SCC615" s="17">
        <v>44925</v>
      </c>
      <c r="SCD615" s="5" t="s">
        <v>3728</v>
      </c>
      <c r="SCE615" s="17">
        <v>44925</v>
      </c>
      <c r="SCF615" s="5" t="s">
        <v>3728</v>
      </c>
      <c r="SCG615" s="17">
        <v>44925</v>
      </c>
      <c r="SCH615" s="5" t="s">
        <v>3728</v>
      </c>
      <c r="SCI615" s="17">
        <v>44925</v>
      </c>
      <c r="SCJ615" s="5" t="s">
        <v>3728</v>
      </c>
      <c r="SCK615" s="17">
        <v>44925</v>
      </c>
      <c r="SCL615" s="5" t="s">
        <v>3728</v>
      </c>
      <c r="SCM615" s="17">
        <v>44925</v>
      </c>
      <c r="SCN615" s="5" t="s">
        <v>3728</v>
      </c>
      <c r="SCO615" s="17">
        <v>44925</v>
      </c>
      <c r="SCP615" s="5" t="s">
        <v>3728</v>
      </c>
      <c r="SCQ615" s="17">
        <v>44925</v>
      </c>
      <c r="SCR615" s="5" t="s">
        <v>3728</v>
      </c>
      <c r="SCS615" s="17">
        <v>44925</v>
      </c>
      <c r="SCT615" s="5" t="s">
        <v>3728</v>
      </c>
      <c r="SCU615" s="17">
        <v>44925</v>
      </c>
      <c r="SCV615" s="5" t="s">
        <v>3728</v>
      </c>
      <c r="SCW615" s="17">
        <v>44925</v>
      </c>
      <c r="SCX615" s="5" t="s">
        <v>3728</v>
      </c>
      <c r="SCY615" s="17">
        <v>44925</v>
      </c>
      <c r="SCZ615" s="5" t="s">
        <v>3728</v>
      </c>
      <c r="SDA615" s="17">
        <v>44925</v>
      </c>
      <c r="SDB615" s="5" t="s">
        <v>3728</v>
      </c>
      <c r="SDC615" s="17">
        <v>44925</v>
      </c>
      <c r="SDD615" s="5" t="s">
        <v>3728</v>
      </c>
      <c r="SDE615" s="17">
        <v>44925</v>
      </c>
      <c r="SDF615" s="5" t="s">
        <v>3728</v>
      </c>
      <c r="SDG615" s="17">
        <v>44925</v>
      </c>
      <c r="SDH615" s="5" t="s">
        <v>3728</v>
      </c>
      <c r="SDI615" s="17">
        <v>44925</v>
      </c>
      <c r="SDJ615" s="5" t="s">
        <v>3728</v>
      </c>
      <c r="SDK615" s="17">
        <v>44925</v>
      </c>
      <c r="SDL615" s="5" t="s">
        <v>3728</v>
      </c>
      <c r="SDM615" s="17">
        <v>44925</v>
      </c>
      <c r="SDN615" s="5" t="s">
        <v>3728</v>
      </c>
      <c r="SDO615" s="17">
        <v>44925</v>
      </c>
      <c r="SDP615" s="5" t="s">
        <v>3728</v>
      </c>
      <c r="SDQ615" s="17">
        <v>44925</v>
      </c>
      <c r="SDR615" s="5" t="s">
        <v>3728</v>
      </c>
      <c r="SDS615" s="17">
        <v>44925</v>
      </c>
      <c r="SDT615" s="5" t="s">
        <v>3728</v>
      </c>
      <c r="SDU615" s="17">
        <v>44925</v>
      </c>
      <c r="SDV615" s="5" t="s">
        <v>3728</v>
      </c>
      <c r="SDW615" s="17">
        <v>44925</v>
      </c>
      <c r="SDX615" s="5" t="s">
        <v>3728</v>
      </c>
      <c r="SDY615" s="17">
        <v>44925</v>
      </c>
      <c r="SDZ615" s="5" t="s">
        <v>3728</v>
      </c>
      <c r="SEA615" s="17">
        <v>44925</v>
      </c>
      <c r="SEB615" s="5" t="s">
        <v>3728</v>
      </c>
      <c r="SEC615" s="17">
        <v>44925</v>
      </c>
      <c r="SED615" s="5" t="s">
        <v>3728</v>
      </c>
      <c r="SEE615" s="17">
        <v>44925</v>
      </c>
      <c r="SEF615" s="5" t="s">
        <v>3728</v>
      </c>
      <c r="SEG615" s="17">
        <v>44925</v>
      </c>
      <c r="SEH615" s="5" t="s">
        <v>3728</v>
      </c>
      <c r="SEI615" s="17">
        <v>44925</v>
      </c>
      <c r="SEJ615" s="5" t="s">
        <v>3728</v>
      </c>
      <c r="SEK615" s="17">
        <v>44925</v>
      </c>
      <c r="SEL615" s="5" t="s">
        <v>3728</v>
      </c>
      <c r="SEM615" s="17">
        <v>44925</v>
      </c>
      <c r="SEN615" s="5" t="s">
        <v>3728</v>
      </c>
      <c r="SEO615" s="17">
        <v>44925</v>
      </c>
      <c r="SEP615" s="5" t="s">
        <v>3728</v>
      </c>
      <c r="SEQ615" s="17">
        <v>44925</v>
      </c>
      <c r="SER615" s="5" t="s">
        <v>3728</v>
      </c>
      <c r="SES615" s="17">
        <v>44925</v>
      </c>
      <c r="SET615" s="5" t="s">
        <v>3728</v>
      </c>
      <c r="SEU615" s="17">
        <v>44925</v>
      </c>
      <c r="SEV615" s="5" t="s">
        <v>3728</v>
      </c>
      <c r="SEW615" s="17">
        <v>44925</v>
      </c>
      <c r="SEX615" s="5" t="s">
        <v>3728</v>
      </c>
      <c r="SEY615" s="17">
        <v>44925</v>
      </c>
      <c r="SEZ615" s="5" t="s">
        <v>3728</v>
      </c>
      <c r="SFA615" s="17">
        <v>44925</v>
      </c>
      <c r="SFB615" s="5" t="s">
        <v>3728</v>
      </c>
      <c r="SFC615" s="17">
        <v>44925</v>
      </c>
      <c r="SFD615" s="5" t="s">
        <v>3728</v>
      </c>
      <c r="SFE615" s="17">
        <v>44925</v>
      </c>
      <c r="SFF615" s="5" t="s">
        <v>3728</v>
      </c>
      <c r="SFG615" s="17">
        <v>44925</v>
      </c>
      <c r="SFH615" s="5" t="s">
        <v>3728</v>
      </c>
      <c r="SFI615" s="17">
        <v>44925</v>
      </c>
      <c r="SFJ615" s="5" t="s">
        <v>3728</v>
      </c>
      <c r="SFK615" s="17">
        <v>44925</v>
      </c>
      <c r="SFL615" s="5" t="s">
        <v>3728</v>
      </c>
      <c r="SFM615" s="17">
        <v>44925</v>
      </c>
      <c r="SFN615" s="5" t="s">
        <v>3728</v>
      </c>
      <c r="SFO615" s="17">
        <v>44925</v>
      </c>
      <c r="SFP615" s="5" t="s">
        <v>3728</v>
      </c>
      <c r="SFQ615" s="17">
        <v>44925</v>
      </c>
      <c r="SFR615" s="5" t="s">
        <v>3728</v>
      </c>
      <c r="SFS615" s="17">
        <v>44925</v>
      </c>
      <c r="SFT615" s="5" t="s">
        <v>3728</v>
      </c>
      <c r="SFU615" s="17">
        <v>44925</v>
      </c>
      <c r="SFV615" s="5" t="s">
        <v>3728</v>
      </c>
      <c r="SFW615" s="17">
        <v>44925</v>
      </c>
      <c r="SFX615" s="5" t="s">
        <v>3728</v>
      </c>
      <c r="SFY615" s="17">
        <v>44925</v>
      </c>
      <c r="SFZ615" s="5" t="s">
        <v>3728</v>
      </c>
      <c r="SGA615" s="17">
        <v>44925</v>
      </c>
      <c r="SGB615" s="5" t="s">
        <v>3728</v>
      </c>
      <c r="SGC615" s="17">
        <v>44925</v>
      </c>
      <c r="SGD615" s="5" t="s">
        <v>3728</v>
      </c>
      <c r="SGE615" s="17">
        <v>44925</v>
      </c>
      <c r="SGF615" s="5" t="s">
        <v>3728</v>
      </c>
      <c r="SGG615" s="17">
        <v>44925</v>
      </c>
      <c r="SGH615" s="5" t="s">
        <v>3728</v>
      </c>
      <c r="SGI615" s="17">
        <v>44925</v>
      </c>
      <c r="SGJ615" s="5" t="s">
        <v>3728</v>
      </c>
      <c r="SGK615" s="17">
        <v>44925</v>
      </c>
      <c r="SGL615" s="5" t="s">
        <v>3728</v>
      </c>
      <c r="SGM615" s="17">
        <v>44925</v>
      </c>
      <c r="SGN615" s="5" t="s">
        <v>3728</v>
      </c>
      <c r="SGO615" s="17">
        <v>44925</v>
      </c>
      <c r="SGP615" s="5" t="s">
        <v>3728</v>
      </c>
      <c r="SGQ615" s="17">
        <v>44925</v>
      </c>
      <c r="SGR615" s="5" t="s">
        <v>3728</v>
      </c>
      <c r="SGS615" s="17">
        <v>44925</v>
      </c>
      <c r="SGT615" s="5" t="s">
        <v>3728</v>
      </c>
      <c r="SGU615" s="17">
        <v>44925</v>
      </c>
      <c r="SGV615" s="5" t="s">
        <v>3728</v>
      </c>
      <c r="SGW615" s="17">
        <v>44925</v>
      </c>
      <c r="SGX615" s="5" t="s">
        <v>3728</v>
      </c>
      <c r="SGY615" s="17">
        <v>44925</v>
      </c>
      <c r="SGZ615" s="5" t="s">
        <v>3728</v>
      </c>
      <c r="SHA615" s="17">
        <v>44925</v>
      </c>
      <c r="SHB615" s="5" t="s">
        <v>3728</v>
      </c>
      <c r="SHC615" s="17">
        <v>44925</v>
      </c>
      <c r="SHD615" s="5" t="s">
        <v>3728</v>
      </c>
      <c r="SHE615" s="17">
        <v>44925</v>
      </c>
      <c r="SHF615" s="5" t="s">
        <v>3728</v>
      </c>
      <c r="SHG615" s="17">
        <v>44925</v>
      </c>
      <c r="SHH615" s="5" t="s">
        <v>3728</v>
      </c>
      <c r="SHI615" s="17">
        <v>44925</v>
      </c>
      <c r="SHJ615" s="5" t="s">
        <v>3728</v>
      </c>
      <c r="SHK615" s="17">
        <v>44925</v>
      </c>
      <c r="SHL615" s="5" t="s">
        <v>3728</v>
      </c>
      <c r="SHM615" s="17">
        <v>44925</v>
      </c>
      <c r="SHN615" s="5" t="s">
        <v>3728</v>
      </c>
      <c r="SHO615" s="17">
        <v>44925</v>
      </c>
      <c r="SHP615" s="5" t="s">
        <v>3728</v>
      </c>
      <c r="SHQ615" s="17">
        <v>44925</v>
      </c>
      <c r="SHR615" s="5" t="s">
        <v>3728</v>
      </c>
      <c r="SHS615" s="17">
        <v>44925</v>
      </c>
      <c r="SHT615" s="5" t="s">
        <v>3728</v>
      </c>
      <c r="SHU615" s="17">
        <v>44925</v>
      </c>
      <c r="SHV615" s="5" t="s">
        <v>3728</v>
      </c>
      <c r="SHW615" s="17">
        <v>44925</v>
      </c>
      <c r="SHX615" s="5" t="s">
        <v>3728</v>
      </c>
      <c r="SHY615" s="17">
        <v>44925</v>
      </c>
      <c r="SHZ615" s="5" t="s">
        <v>3728</v>
      </c>
      <c r="SIA615" s="17">
        <v>44925</v>
      </c>
      <c r="SIB615" s="5" t="s">
        <v>3728</v>
      </c>
      <c r="SIC615" s="17">
        <v>44925</v>
      </c>
      <c r="SID615" s="5" t="s">
        <v>3728</v>
      </c>
      <c r="SIE615" s="17">
        <v>44925</v>
      </c>
      <c r="SIF615" s="5" t="s">
        <v>3728</v>
      </c>
      <c r="SIG615" s="17">
        <v>44925</v>
      </c>
      <c r="SIH615" s="5" t="s">
        <v>3728</v>
      </c>
      <c r="SII615" s="17">
        <v>44925</v>
      </c>
      <c r="SIJ615" s="5" t="s">
        <v>3728</v>
      </c>
      <c r="SIK615" s="17">
        <v>44925</v>
      </c>
      <c r="SIL615" s="5" t="s">
        <v>3728</v>
      </c>
      <c r="SIM615" s="17">
        <v>44925</v>
      </c>
      <c r="SIN615" s="5" t="s">
        <v>3728</v>
      </c>
      <c r="SIO615" s="17">
        <v>44925</v>
      </c>
      <c r="SIP615" s="5" t="s">
        <v>3728</v>
      </c>
      <c r="SIQ615" s="17">
        <v>44925</v>
      </c>
      <c r="SIR615" s="5" t="s">
        <v>3728</v>
      </c>
      <c r="SIS615" s="17">
        <v>44925</v>
      </c>
      <c r="SIT615" s="5" t="s">
        <v>3728</v>
      </c>
      <c r="SIU615" s="17">
        <v>44925</v>
      </c>
      <c r="SIV615" s="5" t="s">
        <v>3728</v>
      </c>
      <c r="SIW615" s="17">
        <v>44925</v>
      </c>
      <c r="SIX615" s="5" t="s">
        <v>3728</v>
      </c>
      <c r="SIY615" s="17">
        <v>44925</v>
      </c>
      <c r="SIZ615" s="5" t="s">
        <v>3728</v>
      </c>
      <c r="SJA615" s="17">
        <v>44925</v>
      </c>
      <c r="SJB615" s="5" t="s">
        <v>3728</v>
      </c>
      <c r="SJC615" s="17">
        <v>44925</v>
      </c>
      <c r="SJD615" s="5" t="s">
        <v>3728</v>
      </c>
      <c r="SJE615" s="17">
        <v>44925</v>
      </c>
      <c r="SJF615" s="5" t="s">
        <v>3728</v>
      </c>
      <c r="SJG615" s="17">
        <v>44925</v>
      </c>
      <c r="SJH615" s="5" t="s">
        <v>3728</v>
      </c>
      <c r="SJI615" s="17">
        <v>44925</v>
      </c>
      <c r="SJJ615" s="5" t="s">
        <v>3728</v>
      </c>
      <c r="SJK615" s="17">
        <v>44925</v>
      </c>
      <c r="SJL615" s="5" t="s">
        <v>3728</v>
      </c>
      <c r="SJM615" s="17">
        <v>44925</v>
      </c>
      <c r="SJN615" s="5" t="s">
        <v>3728</v>
      </c>
      <c r="SJO615" s="17">
        <v>44925</v>
      </c>
      <c r="SJP615" s="5" t="s">
        <v>3728</v>
      </c>
      <c r="SJQ615" s="17">
        <v>44925</v>
      </c>
      <c r="SJR615" s="5" t="s">
        <v>3728</v>
      </c>
      <c r="SJS615" s="17">
        <v>44925</v>
      </c>
      <c r="SJT615" s="5" t="s">
        <v>3728</v>
      </c>
      <c r="SJU615" s="17">
        <v>44925</v>
      </c>
      <c r="SJV615" s="5" t="s">
        <v>3728</v>
      </c>
      <c r="SJW615" s="17">
        <v>44925</v>
      </c>
      <c r="SJX615" s="5" t="s">
        <v>3728</v>
      </c>
      <c r="SJY615" s="17">
        <v>44925</v>
      </c>
      <c r="SJZ615" s="5" t="s">
        <v>3728</v>
      </c>
      <c r="SKA615" s="17">
        <v>44925</v>
      </c>
      <c r="SKB615" s="5" t="s">
        <v>3728</v>
      </c>
      <c r="SKC615" s="17">
        <v>44925</v>
      </c>
      <c r="SKD615" s="5" t="s">
        <v>3728</v>
      </c>
      <c r="SKE615" s="17">
        <v>44925</v>
      </c>
      <c r="SKF615" s="5" t="s">
        <v>3728</v>
      </c>
      <c r="SKG615" s="17">
        <v>44925</v>
      </c>
      <c r="SKH615" s="5" t="s">
        <v>3728</v>
      </c>
      <c r="SKI615" s="17">
        <v>44925</v>
      </c>
      <c r="SKJ615" s="5" t="s">
        <v>3728</v>
      </c>
      <c r="SKK615" s="17">
        <v>44925</v>
      </c>
      <c r="SKL615" s="5" t="s">
        <v>3728</v>
      </c>
      <c r="SKM615" s="17">
        <v>44925</v>
      </c>
      <c r="SKN615" s="5" t="s">
        <v>3728</v>
      </c>
      <c r="SKO615" s="17">
        <v>44925</v>
      </c>
      <c r="SKP615" s="5" t="s">
        <v>3728</v>
      </c>
      <c r="SKQ615" s="17">
        <v>44925</v>
      </c>
      <c r="SKR615" s="5" t="s">
        <v>3728</v>
      </c>
      <c r="SKS615" s="17">
        <v>44925</v>
      </c>
      <c r="SKT615" s="5" t="s">
        <v>3728</v>
      </c>
      <c r="SKU615" s="17">
        <v>44925</v>
      </c>
      <c r="SKV615" s="5" t="s">
        <v>3728</v>
      </c>
      <c r="SKW615" s="17">
        <v>44925</v>
      </c>
      <c r="SKX615" s="5" t="s">
        <v>3728</v>
      </c>
      <c r="SKY615" s="17">
        <v>44925</v>
      </c>
      <c r="SKZ615" s="5" t="s">
        <v>3728</v>
      </c>
      <c r="SLA615" s="17">
        <v>44925</v>
      </c>
      <c r="SLB615" s="5" t="s">
        <v>3728</v>
      </c>
      <c r="SLC615" s="17">
        <v>44925</v>
      </c>
      <c r="SLD615" s="5" t="s">
        <v>3728</v>
      </c>
      <c r="SLE615" s="17">
        <v>44925</v>
      </c>
      <c r="SLF615" s="5" t="s">
        <v>3728</v>
      </c>
      <c r="SLG615" s="17">
        <v>44925</v>
      </c>
      <c r="SLH615" s="5" t="s">
        <v>3728</v>
      </c>
      <c r="SLI615" s="17">
        <v>44925</v>
      </c>
      <c r="SLJ615" s="5" t="s">
        <v>3728</v>
      </c>
      <c r="SLK615" s="17">
        <v>44925</v>
      </c>
      <c r="SLL615" s="5" t="s">
        <v>3728</v>
      </c>
      <c r="SLM615" s="17">
        <v>44925</v>
      </c>
      <c r="SLN615" s="5" t="s">
        <v>3728</v>
      </c>
      <c r="SLO615" s="17">
        <v>44925</v>
      </c>
      <c r="SLP615" s="5" t="s">
        <v>3728</v>
      </c>
      <c r="SLQ615" s="17">
        <v>44925</v>
      </c>
      <c r="SLR615" s="5" t="s">
        <v>3728</v>
      </c>
      <c r="SLS615" s="17">
        <v>44925</v>
      </c>
      <c r="SLT615" s="5" t="s">
        <v>3728</v>
      </c>
      <c r="SLU615" s="17">
        <v>44925</v>
      </c>
      <c r="SLV615" s="5" t="s">
        <v>3728</v>
      </c>
      <c r="SLW615" s="17">
        <v>44925</v>
      </c>
      <c r="SLX615" s="5" t="s">
        <v>3728</v>
      </c>
      <c r="SLY615" s="17">
        <v>44925</v>
      </c>
      <c r="SLZ615" s="5" t="s">
        <v>3728</v>
      </c>
      <c r="SMA615" s="17">
        <v>44925</v>
      </c>
      <c r="SMB615" s="5" t="s">
        <v>3728</v>
      </c>
      <c r="SMC615" s="17">
        <v>44925</v>
      </c>
      <c r="SMD615" s="5" t="s">
        <v>3728</v>
      </c>
      <c r="SME615" s="17">
        <v>44925</v>
      </c>
      <c r="SMF615" s="5" t="s">
        <v>3728</v>
      </c>
      <c r="SMG615" s="17">
        <v>44925</v>
      </c>
      <c r="SMH615" s="5" t="s">
        <v>3728</v>
      </c>
      <c r="SMI615" s="17">
        <v>44925</v>
      </c>
      <c r="SMJ615" s="5" t="s">
        <v>3728</v>
      </c>
      <c r="SMK615" s="17">
        <v>44925</v>
      </c>
      <c r="SML615" s="5" t="s">
        <v>3728</v>
      </c>
      <c r="SMM615" s="17">
        <v>44925</v>
      </c>
      <c r="SMN615" s="5" t="s">
        <v>3728</v>
      </c>
      <c r="SMO615" s="17">
        <v>44925</v>
      </c>
      <c r="SMP615" s="5" t="s">
        <v>3728</v>
      </c>
      <c r="SMQ615" s="17">
        <v>44925</v>
      </c>
      <c r="SMR615" s="5" t="s">
        <v>3728</v>
      </c>
      <c r="SMS615" s="17">
        <v>44925</v>
      </c>
      <c r="SMT615" s="5" t="s">
        <v>3728</v>
      </c>
      <c r="SMU615" s="17">
        <v>44925</v>
      </c>
      <c r="SMV615" s="5" t="s">
        <v>3728</v>
      </c>
      <c r="SMW615" s="17">
        <v>44925</v>
      </c>
      <c r="SMX615" s="5" t="s">
        <v>3728</v>
      </c>
      <c r="SMY615" s="17">
        <v>44925</v>
      </c>
      <c r="SMZ615" s="5" t="s">
        <v>3728</v>
      </c>
      <c r="SNA615" s="17">
        <v>44925</v>
      </c>
      <c r="SNB615" s="5" t="s">
        <v>3728</v>
      </c>
      <c r="SNC615" s="17">
        <v>44925</v>
      </c>
      <c r="SND615" s="5" t="s">
        <v>3728</v>
      </c>
      <c r="SNE615" s="17">
        <v>44925</v>
      </c>
      <c r="SNF615" s="5" t="s">
        <v>3728</v>
      </c>
      <c r="SNG615" s="17">
        <v>44925</v>
      </c>
      <c r="SNH615" s="5" t="s">
        <v>3728</v>
      </c>
      <c r="SNI615" s="17">
        <v>44925</v>
      </c>
      <c r="SNJ615" s="5" t="s">
        <v>3728</v>
      </c>
      <c r="SNK615" s="17">
        <v>44925</v>
      </c>
      <c r="SNL615" s="5" t="s">
        <v>3728</v>
      </c>
      <c r="SNM615" s="17">
        <v>44925</v>
      </c>
      <c r="SNN615" s="5" t="s">
        <v>3728</v>
      </c>
      <c r="SNO615" s="17">
        <v>44925</v>
      </c>
      <c r="SNP615" s="5" t="s">
        <v>3728</v>
      </c>
      <c r="SNQ615" s="17">
        <v>44925</v>
      </c>
      <c r="SNR615" s="5" t="s">
        <v>3728</v>
      </c>
      <c r="SNS615" s="17">
        <v>44925</v>
      </c>
      <c r="SNT615" s="5" t="s">
        <v>3728</v>
      </c>
      <c r="SNU615" s="17">
        <v>44925</v>
      </c>
      <c r="SNV615" s="5" t="s">
        <v>3728</v>
      </c>
      <c r="SNW615" s="17">
        <v>44925</v>
      </c>
      <c r="SNX615" s="5" t="s">
        <v>3728</v>
      </c>
      <c r="SNY615" s="17">
        <v>44925</v>
      </c>
      <c r="SNZ615" s="5" t="s">
        <v>3728</v>
      </c>
      <c r="SOA615" s="17">
        <v>44925</v>
      </c>
      <c r="SOB615" s="5" t="s">
        <v>3728</v>
      </c>
      <c r="SOC615" s="17">
        <v>44925</v>
      </c>
      <c r="SOD615" s="5" t="s">
        <v>3728</v>
      </c>
      <c r="SOE615" s="17">
        <v>44925</v>
      </c>
      <c r="SOF615" s="5" t="s">
        <v>3728</v>
      </c>
      <c r="SOG615" s="17">
        <v>44925</v>
      </c>
      <c r="SOH615" s="5" t="s">
        <v>3728</v>
      </c>
      <c r="SOI615" s="17">
        <v>44925</v>
      </c>
      <c r="SOJ615" s="5" t="s">
        <v>3728</v>
      </c>
      <c r="SOK615" s="17">
        <v>44925</v>
      </c>
      <c r="SOL615" s="5" t="s">
        <v>3728</v>
      </c>
      <c r="SOM615" s="17">
        <v>44925</v>
      </c>
      <c r="SON615" s="5" t="s">
        <v>3728</v>
      </c>
      <c r="SOO615" s="17">
        <v>44925</v>
      </c>
      <c r="SOP615" s="5" t="s">
        <v>3728</v>
      </c>
      <c r="SOQ615" s="17">
        <v>44925</v>
      </c>
      <c r="SOR615" s="5" t="s">
        <v>3728</v>
      </c>
      <c r="SOS615" s="17">
        <v>44925</v>
      </c>
      <c r="SOT615" s="5" t="s">
        <v>3728</v>
      </c>
      <c r="SOU615" s="17">
        <v>44925</v>
      </c>
      <c r="SOV615" s="5" t="s">
        <v>3728</v>
      </c>
      <c r="SOW615" s="17">
        <v>44925</v>
      </c>
      <c r="SOX615" s="5" t="s">
        <v>3728</v>
      </c>
      <c r="SOY615" s="17">
        <v>44925</v>
      </c>
      <c r="SOZ615" s="5" t="s">
        <v>3728</v>
      </c>
      <c r="SPA615" s="17">
        <v>44925</v>
      </c>
      <c r="SPB615" s="5" t="s">
        <v>3728</v>
      </c>
      <c r="SPC615" s="17">
        <v>44925</v>
      </c>
      <c r="SPD615" s="5" t="s">
        <v>3728</v>
      </c>
      <c r="SPE615" s="17">
        <v>44925</v>
      </c>
      <c r="SPF615" s="5" t="s">
        <v>3728</v>
      </c>
      <c r="SPG615" s="17">
        <v>44925</v>
      </c>
      <c r="SPH615" s="5" t="s">
        <v>3728</v>
      </c>
      <c r="SPI615" s="17">
        <v>44925</v>
      </c>
      <c r="SPJ615" s="5" t="s">
        <v>3728</v>
      </c>
      <c r="SPK615" s="17">
        <v>44925</v>
      </c>
      <c r="SPL615" s="5" t="s">
        <v>3728</v>
      </c>
      <c r="SPM615" s="17">
        <v>44925</v>
      </c>
      <c r="SPN615" s="5" t="s">
        <v>3728</v>
      </c>
      <c r="SPO615" s="17">
        <v>44925</v>
      </c>
      <c r="SPP615" s="5" t="s">
        <v>3728</v>
      </c>
      <c r="SPQ615" s="17">
        <v>44925</v>
      </c>
      <c r="SPR615" s="5" t="s">
        <v>3728</v>
      </c>
      <c r="SPS615" s="17">
        <v>44925</v>
      </c>
      <c r="SPT615" s="5" t="s">
        <v>3728</v>
      </c>
      <c r="SPU615" s="17">
        <v>44925</v>
      </c>
      <c r="SPV615" s="5" t="s">
        <v>3728</v>
      </c>
      <c r="SPW615" s="17">
        <v>44925</v>
      </c>
      <c r="SPX615" s="5" t="s">
        <v>3728</v>
      </c>
      <c r="SPY615" s="17">
        <v>44925</v>
      </c>
      <c r="SPZ615" s="5" t="s">
        <v>3728</v>
      </c>
      <c r="SQA615" s="17">
        <v>44925</v>
      </c>
      <c r="SQB615" s="5" t="s">
        <v>3728</v>
      </c>
      <c r="SQC615" s="17">
        <v>44925</v>
      </c>
      <c r="SQD615" s="5" t="s">
        <v>3728</v>
      </c>
      <c r="SQE615" s="17">
        <v>44925</v>
      </c>
      <c r="SQF615" s="5" t="s">
        <v>3728</v>
      </c>
      <c r="SQG615" s="17">
        <v>44925</v>
      </c>
      <c r="SQH615" s="5" t="s">
        <v>3728</v>
      </c>
      <c r="SQI615" s="17">
        <v>44925</v>
      </c>
      <c r="SQJ615" s="5" t="s">
        <v>3728</v>
      </c>
      <c r="SQK615" s="17">
        <v>44925</v>
      </c>
      <c r="SQL615" s="5" t="s">
        <v>3728</v>
      </c>
      <c r="SQM615" s="17">
        <v>44925</v>
      </c>
      <c r="SQN615" s="5" t="s">
        <v>3728</v>
      </c>
      <c r="SQO615" s="17">
        <v>44925</v>
      </c>
      <c r="SQP615" s="5" t="s">
        <v>3728</v>
      </c>
      <c r="SQQ615" s="17">
        <v>44925</v>
      </c>
      <c r="SQR615" s="5" t="s">
        <v>3728</v>
      </c>
      <c r="SQS615" s="17">
        <v>44925</v>
      </c>
      <c r="SQT615" s="5" t="s">
        <v>3728</v>
      </c>
      <c r="SQU615" s="17">
        <v>44925</v>
      </c>
      <c r="SQV615" s="5" t="s">
        <v>3728</v>
      </c>
      <c r="SQW615" s="17">
        <v>44925</v>
      </c>
      <c r="SQX615" s="5" t="s">
        <v>3728</v>
      </c>
      <c r="SQY615" s="17">
        <v>44925</v>
      </c>
      <c r="SQZ615" s="5" t="s">
        <v>3728</v>
      </c>
      <c r="SRA615" s="17">
        <v>44925</v>
      </c>
      <c r="SRB615" s="5" t="s">
        <v>3728</v>
      </c>
      <c r="SRC615" s="17">
        <v>44925</v>
      </c>
      <c r="SRD615" s="5" t="s">
        <v>3728</v>
      </c>
      <c r="SRE615" s="17">
        <v>44925</v>
      </c>
      <c r="SRF615" s="5" t="s">
        <v>3728</v>
      </c>
      <c r="SRG615" s="17">
        <v>44925</v>
      </c>
      <c r="SRH615" s="5" t="s">
        <v>3728</v>
      </c>
      <c r="SRI615" s="17">
        <v>44925</v>
      </c>
      <c r="SRJ615" s="5" t="s">
        <v>3728</v>
      </c>
      <c r="SRK615" s="17">
        <v>44925</v>
      </c>
      <c r="SRL615" s="5" t="s">
        <v>3728</v>
      </c>
      <c r="SRM615" s="17">
        <v>44925</v>
      </c>
      <c r="SRN615" s="5" t="s">
        <v>3728</v>
      </c>
      <c r="SRO615" s="17">
        <v>44925</v>
      </c>
      <c r="SRP615" s="5" t="s">
        <v>3728</v>
      </c>
      <c r="SRQ615" s="17">
        <v>44925</v>
      </c>
      <c r="SRR615" s="5" t="s">
        <v>3728</v>
      </c>
      <c r="SRS615" s="17">
        <v>44925</v>
      </c>
      <c r="SRT615" s="5" t="s">
        <v>3728</v>
      </c>
      <c r="SRU615" s="17">
        <v>44925</v>
      </c>
      <c r="SRV615" s="5" t="s">
        <v>3728</v>
      </c>
      <c r="SRW615" s="17">
        <v>44925</v>
      </c>
      <c r="SRX615" s="5" t="s">
        <v>3728</v>
      </c>
      <c r="SRY615" s="17">
        <v>44925</v>
      </c>
      <c r="SRZ615" s="5" t="s">
        <v>3728</v>
      </c>
      <c r="SSA615" s="17">
        <v>44925</v>
      </c>
      <c r="SSB615" s="5" t="s">
        <v>3728</v>
      </c>
      <c r="SSC615" s="17">
        <v>44925</v>
      </c>
      <c r="SSD615" s="5" t="s">
        <v>3728</v>
      </c>
      <c r="SSE615" s="17">
        <v>44925</v>
      </c>
      <c r="SSF615" s="5" t="s">
        <v>3728</v>
      </c>
      <c r="SSG615" s="17">
        <v>44925</v>
      </c>
      <c r="SSH615" s="5" t="s">
        <v>3728</v>
      </c>
      <c r="SSI615" s="17">
        <v>44925</v>
      </c>
      <c r="SSJ615" s="5" t="s">
        <v>3728</v>
      </c>
      <c r="SSK615" s="17">
        <v>44925</v>
      </c>
      <c r="SSL615" s="5" t="s">
        <v>3728</v>
      </c>
      <c r="SSM615" s="17">
        <v>44925</v>
      </c>
      <c r="SSN615" s="5" t="s">
        <v>3728</v>
      </c>
      <c r="SSO615" s="17">
        <v>44925</v>
      </c>
      <c r="SSP615" s="5" t="s">
        <v>3728</v>
      </c>
      <c r="SSQ615" s="17">
        <v>44925</v>
      </c>
      <c r="SSR615" s="5" t="s">
        <v>3728</v>
      </c>
      <c r="SSS615" s="17">
        <v>44925</v>
      </c>
      <c r="SST615" s="5" t="s">
        <v>3728</v>
      </c>
      <c r="SSU615" s="17">
        <v>44925</v>
      </c>
      <c r="SSV615" s="5" t="s">
        <v>3728</v>
      </c>
      <c r="SSW615" s="17">
        <v>44925</v>
      </c>
      <c r="SSX615" s="5" t="s">
        <v>3728</v>
      </c>
      <c r="SSY615" s="17">
        <v>44925</v>
      </c>
      <c r="SSZ615" s="5" t="s">
        <v>3728</v>
      </c>
      <c r="STA615" s="17">
        <v>44925</v>
      </c>
      <c r="STB615" s="5" t="s">
        <v>3728</v>
      </c>
      <c r="STC615" s="17">
        <v>44925</v>
      </c>
      <c r="STD615" s="5" t="s">
        <v>3728</v>
      </c>
      <c r="STE615" s="17">
        <v>44925</v>
      </c>
      <c r="STF615" s="5" t="s">
        <v>3728</v>
      </c>
      <c r="STG615" s="17">
        <v>44925</v>
      </c>
      <c r="STH615" s="5" t="s">
        <v>3728</v>
      </c>
      <c r="STI615" s="17">
        <v>44925</v>
      </c>
      <c r="STJ615" s="5" t="s">
        <v>3728</v>
      </c>
      <c r="STK615" s="17">
        <v>44925</v>
      </c>
      <c r="STL615" s="5" t="s">
        <v>3728</v>
      </c>
      <c r="STM615" s="17">
        <v>44925</v>
      </c>
      <c r="STN615" s="5" t="s">
        <v>3728</v>
      </c>
      <c r="STO615" s="17">
        <v>44925</v>
      </c>
      <c r="STP615" s="5" t="s">
        <v>3728</v>
      </c>
      <c r="STQ615" s="17">
        <v>44925</v>
      </c>
      <c r="STR615" s="5" t="s">
        <v>3728</v>
      </c>
      <c r="STS615" s="17">
        <v>44925</v>
      </c>
      <c r="STT615" s="5" t="s">
        <v>3728</v>
      </c>
      <c r="STU615" s="17">
        <v>44925</v>
      </c>
      <c r="STV615" s="5" t="s">
        <v>3728</v>
      </c>
      <c r="STW615" s="17">
        <v>44925</v>
      </c>
      <c r="STX615" s="5" t="s">
        <v>3728</v>
      </c>
      <c r="STY615" s="17">
        <v>44925</v>
      </c>
      <c r="STZ615" s="5" t="s">
        <v>3728</v>
      </c>
      <c r="SUA615" s="17">
        <v>44925</v>
      </c>
      <c r="SUB615" s="5" t="s">
        <v>3728</v>
      </c>
      <c r="SUC615" s="17">
        <v>44925</v>
      </c>
      <c r="SUD615" s="5" t="s">
        <v>3728</v>
      </c>
      <c r="SUE615" s="17">
        <v>44925</v>
      </c>
      <c r="SUF615" s="5" t="s">
        <v>3728</v>
      </c>
      <c r="SUG615" s="17">
        <v>44925</v>
      </c>
      <c r="SUH615" s="5" t="s">
        <v>3728</v>
      </c>
      <c r="SUI615" s="17">
        <v>44925</v>
      </c>
      <c r="SUJ615" s="5" t="s">
        <v>3728</v>
      </c>
      <c r="SUK615" s="17">
        <v>44925</v>
      </c>
      <c r="SUL615" s="5" t="s">
        <v>3728</v>
      </c>
      <c r="SUM615" s="17">
        <v>44925</v>
      </c>
      <c r="SUN615" s="5" t="s">
        <v>3728</v>
      </c>
      <c r="SUO615" s="17">
        <v>44925</v>
      </c>
      <c r="SUP615" s="5" t="s">
        <v>3728</v>
      </c>
      <c r="SUQ615" s="17">
        <v>44925</v>
      </c>
      <c r="SUR615" s="5" t="s">
        <v>3728</v>
      </c>
      <c r="SUS615" s="17">
        <v>44925</v>
      </c>
      <c r="SUT615" s="5" t="s">
        <v>3728</v>
      </c>
      <c r="SUU615" s="17">
        <v>44925</v>
      </c>
      <c r="SUV615" s="5" t="s">
        <v>3728</v>
      </c>
      <c r="SUW615" s="17">
        <v>44925</v>
      </c>
      <c r="SUX615" s="5" t="s">
        <v>3728</v>
      </c>
      <c r="SUY615" s="17">
        <v>44925</v>
      </c>
      <c r="SUZ615" s="5" t="s">
        <v>3728</v>
      </c>
      <c r="SVA615" s="17">
        <v>44925</v>
      </c>
      <c r="SVB615" s="5" t="s">
        <v>3728</v>
      </c>
      <c r="SVC615" s="17">
        <v>44925</v>
      </c>
      <c r="SVD615" s="5" t="s">
        <v>3728</v>
      </c>
      <c r="SVE615" s="17">
        <v>44925</v>
      </c>
      <c r="SVF615" s="5" t="s">
        <v>3728</v>
      </c>
      <c r="SVG615" s="17">
        <v>44925</v>
      </c>
      <c r="SVH615" s="5" t="s">
        <v>3728</v>
      </c>
      <c r="SVI615" s="17">
        <v>44925</v>
      </c>
      <c r="SVJ615" s="5" t="s">
        <v>3728</v>
      </c>
      <c r="SVK615" s="17">
        <v>44925</v>
      </c>
      <c r="SVL615" s="5" t="s">
        <v>3728</v>
      </c>
      <c r="SVM615" s="17">
        <v>44925</v>
      </c>
      <c r="SVN615" s="5" t="s">
        <v>3728</v>
      </c>
      <c r="SVO615" s="17">
        <v>44925</v>
      </c>
      <c r="SVP615" s="5" t="s">
        <v>3728</v>
      </c>
      <c r="SVQ615" s="17">
        <v>44925</v>
      </c>
      <c r="SVR615" s="5" t="s">
        <v>3728</v>
      </c>
      <c r="SVS615" s="17">
        <v>44925</v>
      </c>
      <c r="SVT615" s="5" t="s">
        <v>3728</v>
      </c>
      <c r="SVU615" s="17">
        <v>44925</v>
      </c>
      <c r="SVV615" s="5" t="s">
        <v>3728</v>
      </c>
      <c r="SVW615" s="17">
        <v>44925</v>
      </c>
      <c r="SVX615" s="5" t="s">
        <v>3728</v>
      </c>
      <c r="SVY615" s="17">
        <v>44925</v>
      </c>
      <c r="SVZ615" s="5" t="s">
        <v>3728</v>
      </c>
      <c r="SWA615" s="17">
        <v>44925</v>
      </c>
      <c r="SWB615" s="5" t="s">
        <v>3728</v>
      </c>
      <c r="SWC615" s="17">
        <v>44925</v>
      </c>
      <c r="SWD615" s="5" t="s">
        <v>3728</v>
      </c>
      <c r="SWE615" s="17">
        <v>44925</v>
      </c>
      <c r="SWF615" s="5" t="s">
        <v>3728</v>
      </c>
      <c r="SWG615" s="17">
        <v>44925</v>
      </c>
      <c r="SWH615" s="5" t="s">
        <v>3728</v>
      </c>
      <c r="SWI615" s="17">
        <v>44925</v>
      </c>
      <c r="SWJ615" s="5" t="s">
        <v>3728</v>
      </c>
      <c r="SWK615" s="17">
        <v>44925</v>
      </c>
      <c r="SWL615" s="5" t="s">
        <v>3728</v>
      </c>
      <c r="SWM615" s="17">
        <v>44925</v>
      </c>
      <c r="SWN615" s="5" t="s">
        <v>3728</v>
      </c>
      <c r="SWO615" s="17">
        <v>44925</v>
      </c>
      <c r="SWP615" s="5" t="s">
        <v>3728</v>
      </c>
      <c r="SWQ615" s="17">
        <v>44925</v>
      </c>
      <c r="SWR615" s="5" t="s">
        <v>3728</v>
      </c>
      <c r="SWS615" s="17">
        <v>44925</v>
      </c>
      <c r="SWT615" s="5" t="s">
        <v>3728</v>
      </c>
      <c r="SWU615" s="17">
        <v>44925</v>
      </c>
      <c r="SWV615" s="5" t="s">
        <v>3728</v>
      </c>
      <c r="SWW615" s="17">
        <v>44925</v>
      </c>
      <c r="SWX615" s="5" t="s">
        <v>3728</v>
      </c>
      <c r="SWY615" s="17">
        <v>44925</v>
      </c>
      <c r="SWZ615" s="5" t="s">
        <v>3728</v>
      </c>
      <c r="SXA615" s="17">
        <v>44925</v>
      </c>
      <c r="SXB615" s="5" t="s">
        <v>3728</v>
      </c>
      <c r="SXC615" s="17">
        <v>44925</v>
      </c>
      <c r="SXD615" s="5" t="s">
        <v>3728</v>
      </c>
      <c r="SXE615" s="17">
        <v>44925</v>
      </c>
      <c r="SXF615" s="5" t="s">
        <v>3728</v>
      </c>
      <c r="SXG615" s="17">
        <v>44925</v>
      </c>
      <c r="SXH615" s="5" t="s">
        <v>3728</v>
      </c>
      <c r="SXI615" s="17">
        <v>44925</v>
      </c>
      <c r="SXJ615" s="5" t="s">
        <v>3728</v>
      </c>
      <c r="SXK615" s="17">
        <v>44925</v>
      </c>
      <c r="SXL615" s="5" t="s">
        <v>3728</v>
      </c>
      <c r="SXM615" s="17">
        <v>44925</v>
      </c>
      <c r="SXN615" s="5" t="s">
        <v>3728</v>
      </c>
      <c r="SXO615" s="17">
        <v>44925</v>
      </c>
      <c r="SXP615" s="5" t="s">
        <v>3728</v>
      </c>
      <c r="SXQ615" s="17">
        <v>44925</v>
      </c>
      <c r="SXR615" s="5" t="s">
        <v>3728</v>
      </c>
      <c r="SXS615" s="17">
        <v>44925</v>
      </c>
      <c r="SXT615" s="5" t="s">
        <v>3728</v>
      </c>
      <c r="SXU615" s="17">
        <v>44925</v>
      </c>
      <c r="SXV615" s="5" t="s">
        <v>3728</v>
      </c>
      <c r="SXW615" s="17">
        <v>44925</v>
      </c>
      <c r="SXX615" s="5" t="s">
        <v>3728</v>
      </c>
      <c r="SXY615" s="17">
        <v>44925</v>
      </c>
      <c r="SXZ615" s="5" t="s">
        <v>3728</v>
      </c>
      <c r="SYA615" s="17">
        <v>44925</v>
      </c>
      <c r="SYB615" s="5" t="s">
        <v>3728</v>
      </c>
      <c r="SYC615" s="17">
        <v>44925</v>
      </c>
      <c r="SYD615" s="5" t="s">
        <v>3728</v>
      </c>
      <c r="SYE615" s="17">
        <v>44925</v>
      </c>
      <c r="SYF615" s="5" t="s">
        <v>3728</v>
      </c>
      <c r="SYG615" s="17">
        <v>44925</v>
      </c>
      <c r="SYH615" s="5" t="s">
        <v>3728</v>
      </c>
      <c r="SYI615" s="17">
        <v>44925</v>
      </c>
      <c r="SYJ615" s="5" t="s">
        <v>3728</v>
      </c>
      <c r="SYK615" s="17">
        <v>44925</v>
      </c>
      <c r="SYL615" s="5" t="s">
        <v>3728</v>
      </c>
      <c r="SYM615" s="17">
        <v>44925</v>
      </c>
      <c r="SYN615" s="5" t="s">
        <v>3728</v>
      </c>
      <c r="SYO615" s="17">
        <v>44925</v>
      </c>
      <c r="SYP615" s="5" t="s">
        <v>3728</v>
      </c>
      <c r="SYQ615" s="17">
        <v>44925</v>
      </c>
      <c r="SYR615" s="5" t="s">
        <v>3728</v>
      </c>
      <c r="SYS615" s="17">
        <v>44925</v>
      </c>
      <c r="SYT615" s="5" t="s">
        <v>3728</v>
      </c>
      <c r="SYU615" s="17">
        <v>44925</v>
      </c>
      <c r="SYV615" s="5" t="s">
        <v>3728</v>
      </c>
      <c r="SYW615" s="17">
        <v>44925</v>
      </c>
      <c r="SYX615" s="5" t="s">
        <v>3728</v>
      </c>
      <c r="SYY615" s="17">
        <v>44925</v>
      </c>
      <c r="SYZ615" s="5" t="s">
        <v>3728</v>
      </c>
      <c r="SZA615" s="17">
        <v>44925</v>
      </c>
      <c r="SZB615" s="5" t="s">
        <v>3728</v>
      </c>
      <c r="SZC615" s="17">
        <v>44925</v>
      </c>
      <c r="SZD615" s="5" t="s">
        <v>3728</v>
      </c>
      <c r="SZE615" s="17">
        <v>44925</v>
      </c>
      <c r="SZF615" s="5" t="s">
        <v>3728</v>
      </c>
      <c r="SZG615" s="17">
        <v>44925</v>
      </c>
      <c r="SZH615" s="5" t="s">
        <v>3728</v>
      </c>
      <c r="SZI615" s="17">
        <v>44925</v>
      </c>
      <c r="SZJ615" s="5" t="s">
        <v>3728</v>
      </c>
      <c r="SZK615" s="17">
        <v>44925</v>
      </c>
      <c r="SZL615" s="5" t="s">
        <v>3728</v>
      </c>
      <c r="SZM615" s="17">
        <v>44925</v>
      </c>
      <c r="SZN615" s="5" t="s">
        <v>3728</v>
      </c>
      <c r="SZO615" s="17">
        <v>44925</v>
      </c>
      <c r="SZP615" s="5" t="s">
        <v>3728</v>
      </c>
      <c r="SZQ615" s="17">
        <v>44925</v>
      </c>
      <c r="SZR615" s="5" t="s">
        <v>3728</v>
      </c>
      <c r="SZS615" s="17">
        <v>44925</v>
      </c>
      <c r="SZT615" s="5" t="s">
        <v>3728</v>
      </c>
      <c r="SZU615" s="17">
        <v>44925</v>
      </c>
      <c r="SZV615" s="5" t="s">
        <v>3728</v>
      </c>
      <c r="SZW615" s="17">
        <v>44925</v>
      </c>
      <c r="SZX615" s="5" t="s">
        <v>3728</v>
      </c>
      <c r="SZY615" s="17">
        <v>44925</v>
      </c>
      <c r="SZZ615" s="5" t="s">
        <v>3728</v>
      </c>
      <c r="TAA615" s="17">
        <v>44925</v>
      </c>
      <c r="TAB615" s="5" t="s">
        <v>3728</v>
      </c>
      <c r="TAC615" s="17">
        <v>44925</v>
      </c>
      <c r="TAD615" s="5" t="s">
        <v>3728</v>
      </c>
      <c r="TAE615" s="17">
        <v>44925</v>
      </c>
      <c r="TAF615" s="5" t="s">
        <v>3728</v>
      </c>
      <c r="TAG615" s="17">
        <v>44925</v>
      </c>
      <c r="TAH615" s="5" t="s">
        <v>3728</v>
      </c>
      <c r="TAI615" s="17">
        <v>44925</v>
      </c>
      <c r="TAJ615" s="5" t="s">
        <v>3728</v>
      </c>
      <c r="TAK615" s="17">
        <v>44925</v>
      </c>
      <c r="TAL615" s="5" t="s">
        <v>3728</v>
      </c>
      <c r="TAM615" s="17">
        <v>44925</v>
      </c>
      <c r="TAN615" s="5" t="s">
        <v>3728</v>
      </c>
      <c r="TAO615" s="17">
        <v>44925</v>
      </c>
      <c r="TAP615" s="5" t="s">
        <v>3728</v>
      </c>
      <c r="TAQ615" s="17">
        <v>44925</v>
      </c>
      <c r="TAR615" s="5" t="s">
        <v>3728</v>
      </c>
      <c r="TAS615" s="17">
        <v>44925</v>
      </c>
      <c r="TAT615" s="5" t="s">
        <v>3728</v>
      </c>
      <c r="TAU615" s="17">
        <v>44925</v>
      </c>
      <c r="TAV615" s="5" t="s">
        <v>3728</v>
      </c>
      <c r="TAW615" s="17">
        <v>44925</v>
      </c>
      <c r="TAX615" s="5" t="s">
        <v>3728</v>
      </c>
      <c r="TAY615" s="17">
        <v>44925</v>
      </c>
      <c r="TAZ615" s="5" t="s">
        <v>3728</v>
      </c>
      <c r="TBA615" s="17">
        <v>44925</v>
      </c>
      <c r="TBB615" s="5" t="s">
        <v>3728</v>
      </c>
      <c r="TBC615" s="17">
        <v>44925</v>
      </c>
      <c r="TBD615" s="5" t="s">
        <v>3728</v>
      </c>
      <c r="TBE615" s="17">
        <v>44925</v>
      </c>
      <c r="TBF615" s="5" t="s">
        <v>3728</v>
      </c>
      <c r="TBG615" s="17">
        <v>44925</v>
      </c>
      <c r="TBH615" s="5" t="s">
        <v>3728</v>
      </c>
      <c r="TBI615" s="17">
        <v>44925</v>
      </c>
      <c r="TBJ615" s="5" t="s">
        <v>3728</v>
      </c>
      <c r="TBK615" s="17">
        <v>44925</v>
      </c>
      <c r="TBL615" s="5" t="s">
        <v>3728</v>
      </c>
      <c r="TBM615" s="17">
        <v>44925</v>
      </c>
      <c r="TBN615" s="5" t="s">
        <v>3728</v>
      </c>
      <c r="TBO615" s="17">
        <v>44925</v>
      </c>
      <c r="TBP615" s="5" t="s">
        <v>3728</v>
      </c>
      <c r="TBQ615" s="17">
        <v>44925</v>
      </c>
      <c r="TBR615" s="5" t="s">
        <v>3728</v>
      </c>
      <c r="TBS615" s="17">
        <v>44925</v>
      </c>
      <c r="TBT615" s="5" t="s">
        <v>3728</v>
      </c>
      <c r="TBU615" s="17">
        <v>44925</v>
      </c>
      <c r="TBV615" s="5" t="s">
        <v>3728</v>
      </c>
      <c r="TBW615" s="17">
        <v>44925</v>
      </c>
      <c r="TBX615" s="5" t="s">
        <v>3728</v>
      </c>
      <c r="TBY615" s="17">
        <v>44925</v>
      </c>
      <c r="TBZ615" s="5" t="s">
        <v>3728</v>
      </c>
      <c r="TCA615" s="17">
        <v>44925</v>
      </c>
      <c r="TCB615" s="5" t="s">
        <v>3728</v>
      </c>
      <c r="TCC615" s="17">
        <v>44925</v>
      </c>
      <c r="TCD615" s="5" t="s">
        <v>3728</v>
      </c>
      <c r="TCE615" s="17">
        <v>44925</v>
      </c>
      <c r="TCF615" s="5" t="s">
        <v>3728</v>
      </c>
      <c r="TCG615" s="17">
        <v>44925</v>
      </c>
      <c r="TCH615" s="5" t="s">
        <v>3728</v>
      </c>
      <c r="TCI615" s="17">
        <v>44925</v>
      </c>
      <c r="TCJ615" s="5" t="s">
        <v>3728</v>
      </c>
      <c r="TCK615" s="17">
        <v>44925</v>
      </c>
      <c r="TCL615" s="5" t="s">
        <v>3728</v>
      </c>
      <c r="TCM615" s="17">
        <v>44925</v>
      </c>
      <c r="TCN615" s="5" t="s">
        <v>3728</v>
      </c>
      <c r="TCO615" s="17">
        <v>44925</v>
      </c>
      <c r="TCP615" s="5" t="s">
        <v>3728</v>
      </c>
      <c r="TCQ615" s="17">
        <v>44925</v>
      </c>
      <c r="TCR615" s="5" t="s">
        <v>3728</v>
      </c>
      <c r="TCS615" s="17">
        <v>44925</v>
      </c>
      <c r="TCT615" s="5" t="s">
        <v>3728</v>
      </c>
      <c r="TCU615" s="17">
        <v>44925</v>
      </c>
      <c r="TCV615" s="5" t="s">
        <v>3728</v>
      </c>
      <c r="TCW615" s="17">
        <v>44925</v>
      </c>
      <c r="TCX615" s="5" t="s">
        <v>3728</v>
      </c>
      <c r="TCY615" s="17">
        <v>44925</v>
      </c>
      <c r="TCZ615" s="5" t="s">
        <v>3728</v>
      </c>
      <c r="TDA615" s="17">
        <v>44925</v>
      </c>
      <c r="TDB615" s="5" t="s">
        <v>3728</v>
      </c>
      <c r="TDC615" s="17">
        <v>44925</v>
      </c>
      <c r="TDD615" s="5" t="s">
        <v>3728</v>
      </c>
      <c r="TDE615" s="17">
        <v>44925</v>
      </c>
      <c r="TDF615" s="5" t="s">
        <v>3728</v>
      </c>
      <c r="TDG615" s="17">
        <v>44925</v>
      </c>
      <c r="TDH615" s="5" t="s">
        <v>3728</v>
      </c>
      <c r="TDI615" s="17">
        <v>44925</v>
      </c>
      <c r="TDJ615" s="5" t="s">
        <v>3728</v>
      </c>
      <c r="TDK615" s="17">
        <v>44925</v>
      </c>
      <c r="TDL615" s="5" t="s">
        <v>3728</v>
      </c>
      <c r="TDM615" s="17">
        <v>44925</v>
      </c>
      <c r="TDN615" s="5" t="s">
        <v>3728</v>
      </c>
      <c r="TDO615" s="17">
        <v>44925</v>
      </c>
      <c r="TDP615" s="5" t="s">
        <v>3728</v>
      </c>
      <c r="TDQ615" s="17">
        <v>44925</v>
      </c>
      <c r="TDR615" s="5" t="s">
        <v>3728</v>
      </c>
      <c r="TDS615" s="17">
        <v>44925</v>
      </c>
      <c r="TDT615" s="5" t="s">
        <v>3728</v>
      </c>
      <c r="TDU615" s="17">
        <v>44925</v>
      </c>
      <c r="TDV615" s="5" t="s">
        <v>3728</v>
      </c>
      <c r="TDW615" s="17">
        <v>44925</v>
      </c>
      <c r="TDX615" s="5" t="s">
        <v>3728</v>
      </c>
      <c r="TDY615" s="17">
        <v>44925</v>
      </c>
      <c r="TDZ615" s="5" t="s">
        <v>3728</v>
      </c>
      <c r="TEA615" s="17">
        <v>44925</v>
      </c>
      <c r="TEB615" s="5" t="s">
        <v>3728</v>
      </c>
      <c r="TEC615" s="17">
        <v>44925</v>
      </c>
      <c r="TED615" s="5" t="s">
        <v>3728</v>
      </c>
      <c r="TEE615" s="17">
        <v>44925</v>
      </c>
      <c r="TEF615" s="5" t="s">
        <v>3728</v>
      </c>
      <c r="TEG615" s="17">
        <v>44925</v>
      </c>
      <c r="TEH615" s="5" t="s">
        <v>3728</v>
      </c>
      <c r="TEI615" s="17">
        <v>44925</v>
      </c>
      <c r="TEJ615" s="5" t="s">
        <v>3728</v>
      </c>
      <c r="TEK615" s="17">
        <v>44925</v>
      </c>
      <c r="TEL615" s="5" t="s">
        <v>3728</v>
      </c>
      <c r="TEM615" s="17">
        <v>44925</v>
      </c>
      <c r="TEN615" s="5" t="s">
        <v>3728</v>
      </c>
      <c r="TEO615" s="17">
        <v>44925</v>
      </c>
      <c r="TEP615" s="5" t="s">
        <v>3728</v>
      </c>
      <c r="TEQ615" s="17">
        <v>44925</v>
      </c>
      <c r="TER615" s="5" t="s">
        <v>3728</v>
      </c>
      <c r="TES615" s="17">
        <v>44925</v>
      </c>
      <c r="TET615" s="5" t="s">
        <v>3728</v>
      </c>
      <c r="TEU615" s="17">
        <v>44925</v>
      </c>
      <c r="TEV615" s="5" t="s">
        <v>3728</v>
      </c>
      <c r="TEW615" s="17">
        <v>44925</v>
      </c>
      <c r="TEX615" s="5" t="s">
        <v>3728</v>
      </c>
      <c r="TEY615" s="17">
        <v>44925</v>
      </c>
      <c r="TEZ615" s="5" t="s">
        <v>3728</v>
      </c>
      <c r="TFA615" s="17">
        <v>44925</v>
      </c>
      <c r="TFB615" s="5" t="s">
        <v>3728</v>
      </c>
      <c r="TFC615" s="17">
        <v>44925</v>
      </c>
      <c r="TFD615" s="5" t="s">
        <v>3728</v>
      </c>
      <c r="TFE615" s="17">
        <v>44925</v>
      </c>
      <c r="TFF615" s="5" t="s">
        <v>3728</v>
      </c>
      <c r="TFG615" s="17">
        <v>44925</v>
      </c>
      <c r="TFH615" s="5" t="s">
        <v>3728</v>
      </c>
      <c r="TFI615" s="17">
        <v>44925</v>
      </c>
      <c r="TFJ615" s="5" t="s">
        <v>3728</v>
      </c>
      <c r="TFK615" s="17">
        <v>44925</v>
      </c>
      <c r="TFL615" s="5" t="s">
        <v>3728</v>
      </c>
      <c r="TFM615" s="17">
        <v>44925</v>
      </c>
      <c r="TFN615" s="5" t="s">
        <v>3728</v>
      </c>
      <c r="TFO615" s="17">
        <v>44925</v>
      </c>
      <c r="TFP615" s="5" t="s">
        <v>3728</v>
      </c>
      <c r="TFQ615" s="17">
        <v>44925</v>
      </c>
      <c r="TFR615" s="5" t="s">
        <v>3728</v>
      </c>
      <c r="TFS615" s="17">
        <v>44925</v>
      </c>
      <c r="TFT615" s="5" t="s">
        <v>3728</v>
      </c>
      <c r="TFU615" s="17">
        <v>44925</v>
      </c>
      <c r="TFV615" s="5" t="s">
        <v>3728</v>
      </c>
      <c r="TFW615" s="17">
        <v>44925</v>
      </c>
      <c r="TFX615" s="5" t="s">
        <v>3728</v>
      </c>
      <c r="TFY615" s="17">
        <v>44925</v>
      </c>
      <c r="TFZ615" s="5" t="s">
        <v>3728</v>
      </c>
      <c r="TGA615" s="17">
        <v>44925</v>
      </c>
      <c r="TGB615" s="5" t="s">
        <v>3728</v>
      </c>
      <c r="TGC615" s="17">
        <v>44925</v>
      </c>
      <c r="TGD615" s="5" t="s">
        <v>3728</v>
      </c>
      <c r="TGE615" s="17">
        <v>44925</v>
      </c>
      <c r="TGF615" s="5" t="s">
        <v>3728</v>
      </c>
      <c r="TGG615" s="17">
        <v>44925</v>
      </c>
      <c r="TGH615" s="5" t="s">
        <v>3728</v>
      </c>
      <c r="TGI615" s="17">
        <v>44925</v>
      </c>
      <c r="TGJ615" s="5" t="s">
        <v>3728</v>
      </c>
      <c r="TGK615" s="17">
        <v>44925</v>
      </c>
      <c r="TGL615" s="5" t="s">
        <v>3728</v>
      </c>
      <c r="TGM615" s="17">
        <v>44925</v>
      </c>
      <c r="TGN615" s="5" t="s">
        <v>3728</v>
      </c>
      <c r="TGO615" s="17">
        <v>44925</v>
      </c>
      <c r="TGP615" s="5" t="s">
        <v>3728</v>
      </c>
      <c r="TGQ615" s="17">
        <v>44925</v>
      </c>
      <c r="TGR615" s="5" t="s">
        <v>3728</v>
      </c>
      <c r="TGS615" s="17">
        <v>44925</v>
      </c>
      <c r="TGT615" s="5" t="s">
        <v>3728</v>
      </c>
      <c r="TGU615" s="17">
        <v>44925</v>
      </c>
      <c r="TGV615" s="5" t="s">
        <v>3728</v>
      </c>
      <c r="TGW615" s="17">
        <v>44925</v>
      </c>
      <c r="TGX615" s="5" t="s">
        <v>3728</v>
      </c>
      <c r="TGY615" s="17">
        <v>44925</v>
      </c>
      <c r="TGZ615" s="5" t="s">
        <v>3728</v>
      </c>
      <c r="THA615" s="17">
        <v>44925</v>
      </c>
      <c r="THB615" s="5" t="s">
        <v>3728</v>
      </c>
      <c r="THC615" s="17">
        <v>44925</v>
      </c>
      <c r="THD615" s="5" t="s">
        <v>3728</v>
      </c>
      <c r="THE615" s="17">
        <v>44925</v>
      </c>
      <c r="THF615" s="5" t="s">
        <v>3728</v>
      </c>
      <c r="THG615" s="17">
        <v>44925</v>
      </c>
      <c r="THH615" s="5" t="s">
        <v>3728</v>
      </c>
      <c r="THI615" s="17">
        <v>44925</v>
      </c>
      <c r="THJ615" s="5" t="s">
        <v>3728</v>
      </c>
      <c r="THK615" s="17">
        <v>44925</v>
      </c>
      <c r="THL615" s="5" t="s">
        <v>3728</v>
      </c>
      <c r="THM615" s="17">
        <v>44925</v>
      </c>
      <c r="THN615" s="5" t="s">
        <v>3728</v>
      </c>
      <c r="THO615" s="17">
        <v>44925</v>
      </c>
      <c r="THP615" s="5" t="s">
        <v>3728</v>
      </c>
      <c r="THQ615" s="17">
        <v>44925</v>
      </c>
      <c r="THR615" s="5" t="s">
        <v>3728</v>
      </c>
      <c r="THS615" s="17">
        <v>44925</v>
      </c>
      <c r="THT615" s="5" t="s">
        <v>3728</v>
      </c>
      <c r="THU615" s="17">
        <v>44925</v>
      </c>
      <c r="THV615" s="5" t="s">
        <v>3728</v>
      </c>
      <c r="THW615" s="17">
        <v>44925</v>
      </c>
      <c r="THX615" s="5" t="s">
        <v>3728</v>
      </c>
      <c r="THY615" s="17">
        <v>44925</v>
      </c>
      <c r="THZ615" s="5" t="s">
        <v>3728</v>
      </c>
      <c r="TIA615" s="17">
        <v>44925</v>
      </c>
      <c r="TIB615" s="5" t="s">
        <v>3728</v>
      </c>
      <c r="TIC615" s="17">
        <v>44925</v>
      </c>
      <c r="TID615" s="5" t="s">
        <v>3728</v>
      </c>
      <c r="TIE615" s="17">
        <v>44925</v>
      </c>
      <c r="TIF615" s="5" t="s">
        <v>3728</v>
      </c>
      <c r="TIG615" s="17">
        <v>44925</v>
      </c>
      <c r="TIH615" s="5" t="s">
        <v>3728</v>
      </c>
      <c r="TII615" s="17">
        <v>44925</v>
      </c>
      <c r="TIJ615" s="5" t="s">
        <v>3728</v>
      </c>
      <c r="TIK615" s="17">
        <v>44925</v>
      </c>
      <c r="TIL615" s="5" t="s">
        <v>3728</v>
      </c>
      <c r="TIM615" s="17">
        <v>44925</v>
      </c>
      <c r="TIN615" s="5" t="s">
        <v>3728</v>
      </c>
      <c r="TIO615" s="17">
        <v>44925</v>
      </c>
      <c r="TIP615" s="5" t="s">
        <v>3728</v>
      </c>
      <c r="TIQ615" s="17">
        <v>44925</v>
      </c>
      <c r="TIR615" s="5" t="s">
        <v>3728</v>
      </c>
      <c r="TIS615" s="17">
        <v>44925</v>
      </c>
      <c r="TIT615" s="5" t="s">
        <v>3728</v>
      </c>
      <c r="TIU615" s="17">
        <v>44925</v>
      </c>
      <c r="TIV615" s="5" t="s">
        <v>3728</v>
      </c>
      <c r="TIW615" s="17">
        <v>44925</v>
      </c>
      <c r="TIX615" s="5" t="s">
        <v>3728</v>
      </c>
      <c r="TIY615" s="17">
        <v>44925</v>
      </c>
      <c r="TIZ615" s="5" t="s">
        <v>3728</v>
      </c>
      <c r="TJA615" s="17">
        <v>44925</v>
      </c>
      <c r="TJB615" s="5" t="s">
        <v>3728</v>
      </c>
      <c r="TJC615" s="17">
        <v>44925</v>
      </c>
      <c r="TJD615" s="5" t="s">
        <v>3728</v>
      </c>
      <c r="TJE615" s="17">
        <v>44925</v>
      </c>
      <c r="TJF615" s="5" t="s">
        <v>3728</v>
      </c>
      <c r="TJG615" s="17">
        <v>44925</v>
      </c>
      <c r="TJH615" s="5" t="s">
        <v>3728</v>
      </c>
      <c r="TJI615" s="17">
        <v>44925</v>
      </c>
      <c r="TJJ615" s="5" t="s">
        <v>3728</v>
      </c>
      <c r="TJK615" s="17">
        <v>44925</v>
      </c>
      <c r="TJL615" s="5" t="s">
        <v>3728</v>
      </c>
      <c r="TJM615" s="17">
        <v>44925</v>
      </c>
      <c r="TJN615" s="5" t="s">
        <v>3728</v>
      </c>
      <c r="TJO615" s="17">
        <v>44925</v>
      </c>
      <c r="TJP615" s="5" t="s">
        <v>3728</v>
      </c>
      <c r="TJQ615" s="17">
        <v>44925</v>
      </c>
      <c r="TJR615" s="5" t="s">
        <v>3728</v>
      </c>
      <c r="TJS615" s="17">
        <v>44925</v>
      </c>
      <c r="TJT615" s="5" t="s">
        <v>3728</v>
      </c>
      <c r="TJU615" s="17">
        <v>44925</v>
      </c>
      <c r="TJV615" s="5" t="s">
        <v>3728</v>
      </c>
      <c r="TJW615" s="17">
        <v>44925</v>
      </c>
      <c r="TJX615" s="5" t="s">
        <v>3728</v>
      </c>
      <c r="TJY615" s="17">
        <v>44925</v>
      </c>
      <c r="TJZ615" s="5" t="s">
        <v>3728</v>
      </c>
      <c r="TKA615" s="17">
        <v>44925</v>
      </c>
      <c r="TKB615" s="5" t="s">
        <v>3728</v>
      </c>
      <c r="TKC615" s="17">
        <v>44925</v>
      </c>
      <c r="TKD615" s="5" t="s">
        <v>3728</v>
      </c>
      <c r="TKE615" s="17">
        <v>44925</v>
      </c>
      <c r="TKF615" s="5" t="s">
        <v>3728</v>
      </c>
      <c r="TKG615" s="17">
        <v>44925</v>
      </c>
      <c r="TKH615" s="5" t="s">
        <v>3728</v>
      </c>
      <c r="TKI615" s="17">
        <v>44925</v>
      </c>
      <c r="TKJ615" s="5" t="s">
        <v>3728</v>
      </c>
      <c r="TKK615" s="17">
        <v>44925</v>
      </c>
      <c r="TKL615" s="5" t="s">
        <v>3728</v>
      </c>
      <c r="TKM615" s="17">
        <v>44925</v>
      </c>
      <c r="TKN615" s="5" t="s">
        <v>3728</v>
      </c>
      <c r="TKO615" s="17">
        <v>44925</v>
      </c>
      <c r="TKP615" s="5" t="s">
        <v>3728</v>
      </c>
      <c r="TKQ615" s="17">
        <v>44925</v>
      </c>
      <c r="TKR615" s="5" t="s">
        <v>3728</v>
      </c>
      <c r="TKS615" s="17">
        <v>44925</v>
      </c>
      <c r="TKT615" s="5" t="s">
        <v>3728</v>
      </c>
      <c r="TKU615" s="17">
        <v>44925</v>
      </c>
      <c r="TKV615" s="5" t="s">
        <v>3728</v>
      </c>
      <c r="TKW615" s="17">
        <v>44925</v>
      </c>
      <c r="TKX615" s="5" t="s">
        <v>3728</v>
      </c>
      <c r="TKY615" s="17">
        <v>44925</v>
      </c>
      <c r="TKZ615" s="5" t="s">
        <v>3728</v>
      </c>
      <c r="TLA615" s="17">
        <v>44925</v>
      </c>
      <c r="TLB615" s="5" t="s">
        <v>3728</v>
      </c>
      <c r="TLC615" s="17">
        <v>44925</v>
      </c>
      <c r="TLD615" s="5" t="s">
        <v>3728</v>
      </c>
      <c r="TLE615" s="17">
        <v>44925</v>
      </c>
      <c r="TLF615" s="5" t="s">
        <v>3728</v>
      </c>
      <c r="TLG615" s="17">
        <v>44925</v>
      </c>
      <c r="TLH615" s="5" t="s">
        <v>3728</v>
      </c>
      <c r="TLI615" s="17">
        <v>44925</v>
      </c>
      <c r="TLJ615" s="5" t="s">
        <v>3728</v>
      </c>
      <c r="TLK615" s="17">
        <v>44925</v>
      </c>
      <c r="TLL615" s="5" t="s">
        <v>3728</v>
      </c>
      <c r="TLM615" s="17">
        <v>44925</v>
      </c>
      <c r="TLN615" s="5" t="s">
        <v>3728</v>
      </c>
      <c r="TLO615" s="17">
        <v>44925</v>
      </c>
      <c r="TLP615" s="5" t="s">
        <v>3728</v>
      </c>
      <c r="TLQ615" s="17">
        <v>44925</v>
      </c>
      <c r="TLR615" s="5" t="s">
        <v>3728</v>
      </c>
      <c r="TLS615" s="17">
        <v>44925</v>
      </c>
      <c r="TLT615" s="5" t="s">
        <v>3728</v>
      </c>
      <c r="TLU615" s="17">
        <v>44925</v>
      </c>
      <c r="TLV615" s="5" t="s">
        <v>3728</v>
      </c>
      <c r="TLW615" s="17">
        <v>44925</v>
      </c>
      <c r="TLX615" s="5" t="s">
        <v>3728</v>
      </c>
      <c r="TLY615" s="17">
        <v>44925</v>
      </c>
      <c r="TLZ615" s="5" t="s">
        <v>3728</v>
      </c>
      <c r="TMA615" s="17">
        <v>44925</v>
      </c>
      <c r="TMB615" s="5" t="s">
        <v>3728</v>
      </c>
      <c r="TMC615" s="17">
        <v>44925</v>
      </c>
      <c r="TMD615" s="5" t="s">
        <v>3728</v>
      </c>
      <c r="TME615" s="17">
        <v>44925</v>
      </c>
      <c r="TMF615" s="5" t="s">
        <v>3728</v>
      </c>
      <c r="TMG615" s="17">
        <v>44925</v>
      </c>
      <c r="TMH615" s="5" t="s">
        <v>3728</v>
      </c>
      <c r="TMI615" s="17">
        <v>44925</v>
      </c>
      <c r="TMJ615" s="5" t="s">
        <v>3728</v>
      </c>
      <c r="TMK615" s="17">
        <v>44925</v>
      </c>
      <c r="TML615" s="5" t="s">
        <v>3728</v>
      </c>
      <c r="TMM615" s="17">
        <v>44925</v>
      </c>
      <c r="TMN615" s="5" t="s">
        <v>3728</v>
      </c>
      <c r="TMO615" s="17">
        <v>44925</v>
      </c>
      <c r="TMP615" s="5" t="s">
        <v>3728</v>
      </c>
      <c r="TMQ615" s="17">
        <v>44925</v>
      </c>
      <c r="TMR615" s="5" t="s">
        <v>3728</v>
      </c>
      <c r="TMS615" s="17">
        <v>44925</v>
      </c>
      <c r="TMT615" s="5" t="s">
        <v>3728</v>
      </c>
      <c r="TMU615" s="17">
        <v>44925</v>
      </c>
      <c r="TMV615" s="5" t="s">
        <v>3728</v>
      </c>
      <c r="TMW615" s="17">
        <v>44925</v>
      </c>
      <c r="TMX615" s="5" t="s">
        <v>3728</v>
      </c>
      <c r="TMY615" s="17">
        <v>44925</v>
      </c>
      <c r="TMZ615" s="5" t="s">
        <v>3728</v>
      </c>
      <c r="TNA615" s="17">
        <v>44925</v>
      </c>
      <c r="TNB615" s="5" t="s">
        <v>3728</v>
      </c>
      <c r="TNC615" s="17">
        <v>44925</v>
      </c>
      <c r="TND615" s="5" t="s">
        <v>3728</v>
      </c>
      <c r="TNE615" s="17">
        <v>44925</v>
      </c>
      <c r="TNF615" s="5" t="s">
        <v>3728</v>
      </c>
      <c r="TNG615" s="17">
        <v>44925</v>
      </c>
      <c r="TNH615" s="5" t="s">
        <v>3728</v>
      </c>
      <c r="TNI615" s="17">
        <v>44925</v>
      </c>
      <c r="TNJ615" s="5" t="s">
        <v>3728</v>
      </c>
      <c r="TNK615" s="17">
        <v>44925</v>
      </c>
      <c r="TNL615" s="5" t="s">
        <v>3728</v>
      </c>
      <c r="TNM615" s="17">
        <v>44925</v>
      </c>
      <c r="TNN615" s="5" t="s">
        <v>3728</v>
      </c>
      <c r="TNO615" s="17">
        <v>44925</v>
      </c>
      <c r="TNP615" s="5" t="s">
        <v>3728</v>
      </c>
      <c r="TNQ615" s="17">
        <v>44925</v>
      </c>
      <c r="TNR615" s="5" t="s">
        <v>3728</v>
      </c>
      <c r="TNS615" s="17">
        <v>44925</v>
      </c>
      <c r="TNT615" s="5" t="s">
        <v>3728</v>
      </c>
      <c r="TNU615" s="17">
        <v>44925</v>
      </c>
      <c r="TNV615" s="5" t="s">
        <v>3728</v>
      </c>
      <c r="TNW615" s="17">
        <v>44925</v>
      </c>
      <c r="TNX615" s="5" t="s">
        <v>3728</v>
      </c>
      <c r="TNY615" s="17">
        <v>44925</v>
      </c>
      <c r="TNZ615" s="5" t="s">
        <v>3728</v>
      </c>
      <c r="TOA615" s="17">
        <v>44925</v>
      </c>
      <c r="TOB615" s="5" t="s">
        <v>3728</v>
      </c>
      <c r="TOC615" s="17">
        <v>44925</v>
      </c>
      <c r="TOD615" s="5" t="s">
        <v>3728</v>
      </c>
      <c r="TOE615" s="17">
        <v>44925</v>
      </c>
      <c r="TOF615" s="5" t="s">
        <v>3728</v>
      </c>
      <c r="TOG615" s="17">
        <v>44925</v>
      </c>
      <c r="TOH615" s="5" t="s">
        <v>3728</v>
      </c>
      <c r="TOI615" s="17">
        <v>44925</v>
      </c>
      <c r="TOJ615" s="5" t="s">
        <v>3728</v>
      </c>
      <c r="TOK615" s="17">
        <v>44925</v>
      </c>
      <c r="TOL615" s="5" t="s">
        <v>3728</v>
      </c>
      <c r="TOM615" s="17">
        <v>44925</v>
      </c>
      <c r="TON615" s="5" t="s">
        <v>3728</v>
      </c>
      <c r="TOO615" s="17">
        <v>44925</v>
      </c>
      <c r="TOP615" s="5" t="s">
        <v>3728</v>
      </c>
      <c r="TOQ615" s="17">
        <v>44925</v>
      </c>
      <c r="TOR615" s="5" t="s">
        <v>3728</v>
      </c>
      <c r="TOS615" s="17">
        <v>44925</v>
      </c>
      <c r="TOT615" s="5" t="s">
        <v>3728</v>
      </c>
      <c r="TOU615" s="17">
        <v>44925</v>
      </c>
      <c r="TOV615" s="5" t="s">
        <v>3728</v>
      </c>
      <c r="TOW615" s="17">
        <v>44925</v>
      </c>
      <c r="TOX615" s="5" t="s">
        <v>3728</v>
      </c>
      <c r="TOY615" s="17">
        <v>44925</v>
      </c>
      <c r="TOZ615" s="5" t="s">
        <v>3728</v>
      </c>
      <c r="TPA615" s="17">
        <v>44925</v>
      </c>
      <c r="TPB615" s="5" t="s">
        <v>3728</v>
      </c>
      <c r="TPC615" s="17">
        <v>44925</v>
      </c>
      <c r="TPD615" s="5" t="s">
        <v>3728</v>
      </c>
      <c r="TPE615" s="17">
        <v>44925</v>
      </c>
      <c r="TPF615" s="5" t="s">
        <v>3728</v>
      </c>
      <c r="TPG615" s="17">
        <v>44925</v>
      </c>
      <c r="TPH615" s="5" t="s">
        <v>3728</v>
      </c>
      <c r="TPI615" s="17">
        <v>44925</v>
      </c>
      <c r="TPJ615" s="5" t="s">
        <v>3728</v>
      </c>
      <c r="TPK615" s="17">
        <v>44925</v>
      </c>
      <c r="TPL615" s="5" t="s">
        <v>3728</v>
      </c>
      <c r="TPM615" s="17">
        <v>44925</v>
      </c>
      <c r="TPN615" s="5" t="s">
        <v>3728</v>
      </c>
      <c r="TPO615" s="17">
        <v>44925</v>
      </c>
      <c r="TPP615" s="5" t="s">
        <v>3728</v>
      </c>
      <c r="TPQ615" s="17">
        <v>44925</v>
      </c>
      <c r="TPR615" s="5" t="s">
        <v>3728</v>
      </c>
      <c r="TPS615" s="17">
        <v>44925</v>
      </c>
      <c r="TPT615" s="5" t="s">
        <v>3728</v>
      </c>
      <c r="TPU615" s="17">
        <v>44925</v>
      </c>
      <c r="TPV615" s="5" t="s">
        <v>3728</v>
      </c>
      <c r="TPW615" s="17">
        <v>44925</v>
      </c>
      <c r="TPX615" s="5" t="s">
        <v>3728</v>
      </c>
      <c r="TPY615" s="17">
        <v>44925</v>
      </c>
      <c r="TPZ615" s="5" t="s">
        <v>3728</v>
      </c>
      <c r="TQA615" s="17">
        <v>44925</v>
      </c>
      <c r="TQB615" s="5" t="s">
        <v>3728</v>
      </c>
      <c r="TQC615" s="17">
        <v>44925</v>
      </c>
      <c r="TQD615" s="5" t="s">
        <v>3728</v>
      </c>
      <c r="TQE615" s="17">
        <v>44925</v>
      </c>
      <c r="TQF615" s="5" t="s">
        <v>3728</v>
      </c>
      <c r="TQG615" s="17">
        <v>44925</v>
      </c>
      <c r="TQH615" s="5" t="s">
        <v>3728</v>
      </c>
      <c r="TQI615" s="17">
        <v>44925</v>
      </c>
      <c r="TQJ615" s="5" t="s">
        <v>3728</v>
      </c>
      <c r="TQK615" s="17">
        <v>44925</v>
      </c>
      <c r="TQL615" s="5" t="s">
        <v>3728</v>
      </c>
      <c r="TQM615" s="17">
        <v>44925</v>
      </c>
      <c r="TQN615" s="5" t="s">
        <v>3728</v>
      </c>
      <c r="TQO615" s="17">
        <v>44925</v>
      </c>
      <c r="TQP615" s="5" t="s">
        <v>3728</v>
      </c>
      <c r="TQQ615" s="17">
        <v>44925</v>
      </c>
      <c r="TQR615" s="5" t="s">
        <v>3728</v>
      </c>
      <c r="TQS615" s="17">
        <v>44925</v>
      </c>
      <c r="TQT615" s="5" t="s">
        <v>3728</v>
      </c>
      <c r="TQU615" s="17">
        <v>44925</v>
      </c>
      <c r="TQV615" s="5" t="s">
        <v>3728</v>
      </c>
      <c r="TQW615" s="17">
        <v>44925</v>
      </c>
      <c r="TQX615" s="5" t="s">
        <v>3728</v>
      </c>
      <c r="TQY615" s="17">
        <v>44925</v>
      </c>
      <c r="TQZ615" s="5" t="s">
        <v>3728</v>
      </c>
      <c r="TRA615" s="17">
        <v>44925</v>
      </c>
      <c r="TRB615" s="5" t="s">
        <v>3728</v>
      </c>
      <c r="TRC615" s="17">
        <v>44925</v>
      </c>
      <c r="TRD615" s="5" t="s">
        <v>3728</v>
      </c>
      <c r="TRE615" s="17">
        <v>44925</v>
      </c>
      <c r="TRF615" s="5" t="s">
        <v>3728</v>
      </c>
      <c r="TRG615" s="17">
        <v>44925</v>
      </c>
      <c r="TRH615" s="5" t="s">
        <v>3728</v>
      </c>
      <c r="TRI615" s="17">
        <v>44925</v>
      </c>
      <c r="TRJ615" s="5" t="s">
        <v>3728</v>
      </c>
      <c r="TRK615" s="17">
        <v>44925</v>
      </c>
      <c r="TRL615" s="5" t="s">
        <v>3728</v>
      </c>
      <c r="TRM615" s="17">
        <v>44925</v>
      </c>
      <c r="TRN615" s="5" t="s">
        <v>3728</v>
      </c>
      <c r="TRO615" s="17">
        <v>44925</v>
      </c>
      <c r="TRP615" s="5" t="s">
        <v>3728</v>
      </c>
      <c r="TRQ615" s="17">
        <v>44925</v>
      </c>
      <c r="TRR615" s="5" t="s">
        <v>3728</v>
      </c>
      <c r="TRS615" s="17">
        <v>44925</v>
      </c>
      <c r="TRT615" s="5" t="s">
        <v>3728</v>
      </c>
      <c r="TRU615" s="17">
        <v>44925</v>
      </c>
      <c r="TRV615" s="5" t="s">
        <v>3728</v>
      </c>
      <c r="TRW615" s="17">
        <v>44925</v>
      </c>
      <c r="TRX615" s="5" t="s">
        <v>3728</v>
      </c>
      <c r="TRY615" s="17">
        <v>44925</v>
      </c>
      <c r="TRZ615" s="5" t="s">
        <v>3728</v>
      </c>
      <c r="TSA615" s="17">
        <v>44925</v>
      </c>
      <c r="TSB615" s="5" t="s">
        <v>3728</v>
      </c>
      <c r="TSC615" s="17">
        <v>44925</v>
      </c>
      <c r="TSD615" s="5" t="s">
        <v>3728</v>
      </c>
      <c r="TSE615" s="17">
        <v>44925</v>
      </c>
      <c r="TSF615" s="5" t="s">
        <v>3728</v>
      </c>
      <c r="TSG615" s="17">
        <v>44925</v>
      </c>
      <c r="TSH615" s="5" t="s">
        <v>3728</v>
      </c>
      <c r="TSI615" s="17">
        <v>44925</v>
      </c>
      <c r="TSJ615" s="5" t="s">
        <v>3728</v>
      </c>
      <c r="TSK615" s="17">
        <v>44925</v>
      </c>
      <c r="TSL615" s="5" t="s">
        <v>3728</v>
      </c>
      <c r="TSM615" s="17">
        <v>44925</v>
      </c>
      <c r="TSN615" s="5" t="s">
        <v>3728</v>
      </c>
      <c r="TSO615" s="17">
        <v>44925</v>
      </c>
      <c r="TSP615" s="5" t="s">
        <v>3728</v>
      </c>
      <c r="TSQ615" s="17">
        <v>44925</v>
      </c>
      <c r="TSR615" s="5" t="s">
        <v>3728</v>
      </c>
      <c r="TSS615" s="17">
        <v>44925</v>
      </c>
      <c r="TST615" s="5" t="s">
        <v>3728</v>
      </c>
      <c r="TSU615" s="17">
        <v>44925</v>
      </c>
      <c r="TSV615" s="5" t="s">
        <v>3728</v>
      </c>
      <c r="TSW615" s="17">
        <v>44925</v>
      </c>
      <c r="TSX615" s="5" t="s">
        <v>3728</v>
      </c>
      <c r="TSY615" s="17">
        <v>44925</v>
      </c>
      <c r="TSZ615" s="5" t="s">
        <v>3728</v>
      </c>
      <c r="TTA615" s="17">
        <v>44925</v>
      </c>
      <c r="TTB615" s="5" t="s">
        <v>3728</v>
      </c>
      <c r="TTC615" s="17">
        <v>44925</v>
      </c>
      <c r="TTD615" s="5" t="s">
        <v>3728</v>
      </c>
      <c r="TTE615" s="17">
        <v>44925</v>
      </c>
      <c r="TTF615" s="5" t="s">
        <v>3728</v>
      </c>
      <c r="TTG615" s="17">
        <v>44925</v>
      </c>
      <c r="TTH615" s="5" t="s">
        <v>3728</v>
      </c>
      <c r="TTI615" s="17">
        <v>44925</v>
      </c>
      <c r="TTJ615" s="5" t="s">
        <v>3728</v>
      </c>
      <c r="TTK615" s="17">
        <v>44925</v>
      </c>
      <c r="TTL615" s="5" t="s">
        <v>3728</v>
      </c>
      <c r="TTM615" s="17">
        <v>44925</v>
      </c>
      <c r="TTN615" s="5" t="s">
        <v>3728</v>
      </c>
      <c r="TTO615" s="17">
        <v>44925</v>
      </c>
      <c r="TTP615" s="5" t="s">
        <v>3728</v>
      </c>
      <c r="TTQ615" s="17">
        <v>44925</v>
      </c>
      <c r="TTR615" s="5" t="s">
        <v>3728</v>
      </c>
      <c r="TTS615" s="17">
        <v>44925</v>
      </c>
      <c r="TTT615" s="5" t="s">
        <v>3728</v>
      </c>
      <c r="TTU615" s="17">
        <v>44925</v>
      </c>
      <c r="TTV615" s="5" t="s">
        <v>3728</v>
      </c>
      <c r="TTW615" s="17">
        <v>44925</v>
      </c>
      <c r="TTX615" s="5" t="s">
        <v>3728</v>
      </c>
      <c r="TTY615" s="17">
        <v>44925</v>
      </c>
      <c r="TTZ615" s="5" t="s">
        <v>3728</v>
      </c>
      <c r="TUA615" s="17">
        <v>44925</v>
      </c>
      <c r="TUB615" s="5" t="s">
        <v>3728</v>
      </c>
      <c r="TUC615" s="17">
        <v>44925</v>
      </c>
      <c r="TUD615" s="5" t="s">
        <v>3728</v>
      </c>
      <c r="TUE615" s="17">
        <v>44925</v>
      </c>
      <c r="TUF615" s="5" t="s">
        <v>3728</v>
      </c>
      <c r="TUG615" s="17">
        <v>44925</v>
      </c>
      <c r="TUH615" s="5" t="s">
        <v>3728</v>
      </c>
      <c r="TUI615" s="17">
        <v>44925</v>
      </c>
      <c r="TUJ615" s="5" t="s">
        <v>3728</v>
      </c>
      <c r="TUK615" s="17">
        <v>44925</v>
      </c>
      <c r="TUL615" s="5" t="s">
        <v>3728</v>
      </c>
      <c r="TUM615" s="17">
        <v>44925</v>
      </c>
      <c r="TUN615" s="5" t="s">
        <v>3728</v>
      </c>
      <c r="TUO615" s="17">
        <v>44925</v>
      </c>
      <c r="TUP615" s="5" t="s">
        <v>3728</v>
      </c>
      <c r="TUQ615" s="17">
        <v>44925</v>
      </c>
      <c r="TUR615" s="5" t="s">
        <v>3728</v>
      </c>
      <c r="TUS615" s="17">
        <v>44925</v>
      </c>
      <c r="TUT615" s="5" t="s">
        <v>3728</v>
      </c>
      <c r="TUU615" s="17">
        <v>44925</v>
      </c>
      <c r="TUV615" s="5" t="s">
        <v>3728</v>
      </c>
      <c r="TUW615" s="17">
        <v>44925</v>
      </c>
      <c r="TUX615" s="5" t="s">
        <v>3728</v>
      </c>
      <c r="TUY615" s="17">
        <v>44925</v>
      </c>
      <c r="TUZ615" s="5" t="s">
        <v>3728</v>
      </c>
      <c r="TVA615" s="17">
        <v>44925</v>
      </c>
      <c r="TVB615" s="5" t="s">
        <v>3728</v>
      </c>
      <c r="TVC615" s="17">
        <v>44925</v>
      </c>
      <c r="TVD615" s="5" t="s">
        <v>3728</v>
      </c>
      <c r="TVE615" s="17">
        <v>44925</v>
      </c>
      <c r="TVF615" s="5" t="s">
        <v>3728</v>
      </c>
      <c r="TVG615" s="17">
        <v>44925</v>
      </c>
      <c r="TVH615" s="5" t="s">
        <v>3728</v>
      </c>
      <c r="TVI615" s="17">
        <v>44925</v>
      </c>
      <c r="TVJ615" s="5" t="s">
        <v>3728</v>
      </c>
      <c r="TVK615" s="17">
        <v>44925</v>
      </c>
      <c r="TVL615" s="5" t="s">
        <v>3728</v>
      </c>
      <c r="TVM615" s="17">
        <v>44925</v>
      </c>
      <c r="TVN615" s="5" t="s">
        <v>3728</v>
      </c>
      <c r="TVO615" s="17">
        <v>44925</v>
      </c>
      <c r="TVP615" s="5" t="s">
        <v>3728</v>
      </c>
      <c r="TVQ615" s="17">
        <v>44925</v>
      </c>
      <c r="TVR615" s="5" t="s">
        <v>3728</v>
      </c>
      <c r="TVS615" s="17">
        <v>44925</v>
      </c>
      <c r="TVT615" s="5" t="s">
        <v>3728</v>
      </c>
      <c r="TVU615" s="17">
        <v>44925</v>
      </c>
      <c r="TVV615" s="5" t="s">
        <v>3728</v>
      </c>
      <c r="TVW615" s="17">
        <v>44925</v>
      </c>
      <c r="TVX615" s="5" t="s">
        <v>3728</v>
      </c>
      <c r="TVY615" s="17">
        <v>44925</v>
      </c>
      <c r="TVZ615" s="5" t="s">
        <v>3728</v>
      </c>
      <c r="TWA615" s="17">
        <v>44925</v>
      </c>
      <c r="TWB615" s="5" t="s">
        <v>3728</v>
      </c>
      <c r="TWC615" s="17">
        <v>44925</v>
      </c>
      <c r="TWD615" s="5" t="s">
        <v>3728</v>
      </c>
      <c r="TWE615" s="17">
        <v>44925</v>
      </c>
      <c r="TWF615" s="5" t="s">
        <v>3728</v>
      </c>
      <c r="TWG615" s="17">
        <v>44925</v>
      </c>
      <c r="TWH615" s="5" t="s">
        <v>3728</v>
      </c>
      <c r="TWI615" s="17">
        <v>44925</v>
      </c>
      <c r="TWJ615" s="5" t="s">
        <v>3728</v>
      </c>
      <c r="TWK615" s="17">
        <v>44925</v>
      </c>
      <c r="TWL615" s="5" t="s">
        <v>3728</v>
      </c>
      <c r="TWM615" s="17">
        <v>44925</v>
      </c>
      <c r="TWN615" s="5" t="s">
        <v>3728</v>
      </c>
      <c r="TWO615" s="17">
        <v>44925</v>
      </c>
      <c r="TWP615" s="5" t="s">
        <v>3728</v>
      </c>
      <c r="TWQ615" s="17">
        <v>44925</v>
      </c>
      <c r="TWR615" s="5" t="s">
        <v>3728</v>
      </c>
      <c r="TWS615" s="17">
        <v>44925</v>
      </c>
      <c r="TWT615" s="5" t="s">
        <v>3728</v>
      </c>
      <c r="TWU615" s="17">
        <v>44925</v>
      </c>
      <c r="TWV615" s="5" t="s">
        <v>3728</v>
      </c>
      <c r="TWW615" s="17">
        <v>44925</v>
      </c>
      <c r="TWX615" s="5" t="s">
        <v>3728</v>
      </c>
      <c r="TWY615" s="17">
        <v>44925</v>
      </c>
      <c r="TWZ615" s="5" t="s">
        <v>3728</v>
      </c>
      <c r="TXA615" s="17">
        <v>44925</v>
      </c>
      <c r="TXB615" s="5" t="s">
        <v>3728</v>
      </c>
      <c r="TXC615" s="17">
        <v>44925</v>
      </c>
      <c r="TXD615" s="5" t="s">
        <v>3728</v>
      </c>
      <c r="TXE615" s="17">
        <v>44925</v>
      </c>
      <c r="TXF615" s="5" t="s">
        <v>3728</v>
      </c>
      <c r="TXG615" s="17">
        <v>44925</v>
      </c>
      <c r="TXH615" s="5" t="s">
        <v>3728</v>
      </c>
      <c r="TXI615" s="17">
        <v>44925</v>
      </c>
      <c r="TXJ615" s="5" t="s">
        <v>3728</v>
      </c>
      <c r="TXK615" s="17">
        <v>44925</v>
      </c>
      <c r="TXL615" s="5" t="s">
        <v>3728</v>
      </c>
      <c r="TXM615" s="17">
        <v>44925</v>
      </c>
      <c r="TXN615" s="5" t="s">
        <v>3728</v>
      </c>
      <c r="TXO615" s="17">
        <v>44925</v>
      </c>
      <c r="TXP615" s="5" t="s">
        <v>3728</v>
      </c>
      <c r="TXQ615" s="17">
        <v>44925</v>
      </c>
      <c r="TXR615" s="5" t="s">
        <v>3728</v>
      </c>
      <c r="TXS615" s="17">
        <v>44925</v>
      </c>
      <c r="TXT615" s="5" t="s">
        <v>3728</v>
      </c>
      <c r="TXU615" s="17">
        <v>44925</v>
      </c>
      <c r="TXV615" s="5" t="s">
        <v>3728</v>
      </c>
      <c r="TXW615" s="17">
        <v>44925</v>
      </c>
      <c r="TXX615" s="5" t="s">
        <v>3728</v>
      </c>
      <c r="TXY615" s="17">
        <v>44925</v>
      </c>
      <c r="TXZ615" s="5" t="s">
        <v>3728</v>
      </c>
      <c r="TYA615" s="17">
        <v>44925</v>
      </c>
      <c r="TYB615" s="5" t="s">
        <v>3728</v>
      </c>
      <c r="TYC615" s="17">
        <v>44925</v>
      </c>
      <c r="TYD615" s="5" t="s">
        <v>3728</v>
      </c>
      <c r="TYE615" s="17">
        <v>44925</v>
      </c>
      <c r="TYF615" s="5" t="s">
        <v>3728</v>
      </c>
      <c r="TYG615" s="17">
        <v>44925</v>
      </c>
      <c r="TYH615" s="5" t="s">
        <v>3728</v>
      </c>
      <c r="TYI615" s="17">
        <v>44925</v>
      </c>
      <c r="TYJ615" s="5" t="s">
        <v>3728</v>
      </c>
      <c r="TYK615" s="17">
        <v>44925</v>
      </c>
      <c r="TYL615" s="5" t="s">
        <v>3728</v>
      </c>
      <c r="TYM615" s="17">
        <v>44925</v>
      </c>
      <c r="TYN615" s="5" t="s">
        <v>3728</v>
      </c>
      <c r="TYO615" s="17">
        <v>44925</v>
      </c>
      <c r="TYP615" s="5" t="s">
        <v>3728</v>
      </c>
      <c r="TYQ615" s="17">
        <v>44925</v>
      </c>
      <c r="TYR615" s="5" t="s">
        <v>3728</v>
      </c>
      <c r="TYS615" s="17">
        <v>44925</v>
      </c>
      <c r="TYT615" s="5" t="s">
        <v>3728</v>
      </c>
      <c r="TYU615" s="17">
        <v>44925</v>
      </c>
      <c r="TYV615" s="5" t="s">
        <v>3728</v>
      </c>
      <c r="TYW615" s="17">
        <v>44925</v>
      </c>
      <c r="TYX615" s="5" t="s">
        <v>3728</v>
      </c>
      <c r="TYY615" s="17">
        <v>44925</v>
      </c>
      <c r="TYZ615" s="5" t="s">
        <v>3728</v>
      </c>
      <c r="TZA615" s="17">
        <v>44925</v>
      </c>
      <c r="TZB615" s="5" t="s">
        <v>3728</v>
      </c>
      <c r="TZC615" s="17">
        <v>44925</v>
      </c>
      <c r="TZD615" s="5" t="s">
        <v>3728</v>
      </c>
      <c r="TZE615" s="17">
        <v>44925</v>
      </c>
      <c r="TZF615" s="5" t="s">
        <v>3728</v>
      </c>
      <c r="TZG615" s="17">
        <v>44925</v>
      </c>
      <c r="TZH615" s="5" t="s">
        <v>3728</v>
      </c>
      <c r="TZI615" s="17">
        <v>44925</v>
      </c>
      <c r="TZJ615" s="5" t="s">
        <v>3728</v>
      </c>
      <c r="TZK615" s="17">
        <v>44925</v>
      </c>
      <c r="TZL615" s="5" t="s">
        <v>3728</v>
      </c>
      <c r="TZM615" s="17">
        <v>44925</v>
      </c>
      <c r="TZN615" s="5" t="s">
        <v>3728</v>
      </c>
      <c r="TZO615" s="17">
        <v>44925</v>
      </c>
      <c r="TZP615" s="5" t="s">
        <v>3728</v>
      </c>
      <c r="TZQ615" s="17">
        <v>44925</v>
      </c>
      <c r="TZR615" s="5" t="s">
        <v>3728</v>
      </c>
      <c r="TZS615" s="17">
        <v>44925</v>
      </c>
      <c r="TZT615" s="5" t="s">
        <v>3728</v>
      </c>
      <c r="TZU615" s="17">
        <v>44925</v>
      </c>
      <c r="TZV615" s="5" t="s">
        <v>3728</v>
      </c>
      <c r="TZW615" s="17">
        <v>44925</v>
      </c>
      <c r="TZX615" s="5" t="s">
        <v>3728</v>
      </c>
      <c r="TZY615" s="17">
        <v>44925</v>
      </c>
      <c r="TZZ615" s="5" t="s">
        <v>3728</v>
      </c>
      <c r="UAA615" s="17">
        <v>44925</v>
      </c>
      <c r="UAB615" s="5" t="s">
        <v>3728</v>
      </c>
      <c r="UAC615" s="17">
        <v>44925</v>
      </c>
      <c r="UAD615" s="5" t="s">
        <v>3728</v>
      </c>
      <c r="UAE615" s="17">
        <v>44925</v>
      </c>
      <c r="UAF615" s="5" t="s">
        <v>3728</v>
      </c>
      <c r="UAG615" s="17">
        <v>44925</v>
      </c>
      <c r="UAH615" s="5" t="s">
        <v>3728</v>
      </c>
      <c r="UAI615" s="17">
        <v>44925</v>
      </c>
      <c r="UAJ615" s="5" t="s">
        <v>3728</v>
      </c>
      <c r="UAK615" s="17">
        <v>44925</v>
      </c>
      <c r="UAL615" s="5" t="s">
        <v>3728</v>
      </c>
      <c r="UAM615" s="17">
        <v>44925</v>
      </c>
      <c r="UAN615" s="5" t="s">
        <v>3728</v>
      </c>
      <c r="UAO615" s="17">
        <v>44925</v>
      </c>
      <c r="UAP615" s="5" t="s">
        <v>3728</v>
      </c>
      <c r="UAQ615" s="17">
        <v>44925</v>
      </c>
      <c r="UAR615" s="5" t="s">
        <v>3728</v>
      </c>
      <c r="UAS615" s="17">
        <v>44925</v>
      </c>
      <c r="UAT615" s="5" t="s">
        <v>3728</v>
      </c>
      <c r="UAU615" s="17">
        <v>44925</v>
      </c>
      <c r="UAV615" s="5" t="s">
        <v>3728</v>
      </c>
      <c r="UAW615" s="17">
        <v>44925</v>
      </c>
      <c r="UAX615" s="5" t="s">
        <v>3728</v>
      </c>
      <c r="UAY615" s="17">
        <v>44925</v>
      </c>
      <c r="UAZ615" s="5" t="s">
        <v>3728</v>
      </c>
      <c r="UBA615" s="17">
        <v>44925</v>
      </c>
      <c r="UBB615" s="5" t="s">
        <v>3728</v>
      </c>
      <c r="UBC615" s="17">
        <v>44925</v>
      </c>
      <c r="UBD615" s="5" t="s">
        <v>3728</v>
      </c>
      <c r="UBE615" s="17">
        <v>44925</v>
      </c>
      <c r="UBF615" s="5" t="s">
        <v>3728</v>
      </c>
      <c r="UBG615" s="17">
        <v>44925</v>
      </c>
      <c r="UBH615" s="5" t="s">
        <v>3728</v>
      </c>
      <c r="UBI615" s="17">
        <v>44925</v>
      </c>
      <c r="UBJ615" s="5" t="s">
        <v>3728</v>
      </c>
      <c r="UBK615" s="17">
        <v>44925</v>
      </c>
      <c r="UBL615" s="5" t="s">
        <v>3728</v>
      </c>
      <c r="UBM615" s="17">
        <v>44925</v>
      </c>
      <c r="UBN615" s="5" t="s">
        <v>3728</v>
      </c>
      <c r="UBO615" s="17">
        <v>44925</v>
      </c>
      <c r="UBP615" s="5" t="s">
        <v>3728</v>
      </c>
      <c r="UBQ615" s="17">
        <v>44925</v>
      </c>
      <c r="UBR615" s="5" t="s">
        <v>3728</v>
      </c>
      <c r="UBS615" s="17">
        <v>44925</v>
      </c>
      <c r="UBT615" s="5" t="s">
        <v>3728</v>
      </c>
      <c r="UBU615" s="17">
        <v>44925</v>
      </c>
      <c r="UBV615" s="5" t="s">
        <v>3728</v>
      </c>
      <c r="UBW615" s="17">
        <v>44925</v>
      </c>
      <c r="UBX615" s="5" t="s">
        <v>3728</v>
      </c>
      <c r="UBY615" s="17">
        <v>44925</v>
      </c>
      <c r="UBZ615" s="5" t="s">
        <v>3728</v>
      </c>
      <c r="UCA615" s="17">
        <v>44925</v>
      </c>
      <c r="UCB615" s="5" t="s">
        <v>3728</v>
      </c>
      <c r="UCC615" s="17">
        <v>44925</v>
      </c>
      <c r="UCD615" s="5" t="s">
        <v>3728</v>
      </c>
      <c r="UCE615" s="17">
        <v>44925</v>
      </c>
      <c r="UCF615" s="5" t="s">
        <v>3728</v>
      </c>
      <c r="UCG615" s="17">
        <v>44925</v>
      </c>
      <c r="UCH615" s="5" t="s">
        <v>3728</v>
      </c>
      <c r="UCI615" s="17">
        <v>44925</v>
      </c>
      <c r="UCJ615" s="5" t="s">
        <v>3728</v>
      </c>
      <c r="UCK615" s="17">
        <v>44925</v>
      </c>
      <c r="UCL615" s="5" t="s">
        <v>3728</v>
      </c>
      <c r="UCM615" s="17">
        <v>44925</v>
      </c>
      <c r="UCN615" s="5" t="s">
        <v>3728</v>
      </c>
      <c r="UCO615" s="17">
        <v>44925</v>
      </c>
      <c r="UCP615" s="5" t="s">
        <v>3728</v>
      </c>
      <c r="UCQ615" s="17">
        <v>44925</v>
      </c>
      <c r="UCR615" s="5" t="s">
        <v>3728</v>
      </c>
      <c r="UCS615" s="17">
        <v>44925</v>
      </c>
      <c r="UCT615" s="5" t="s">
        <v>3728</v>
      </c>
      <c r="UCU615" s="17">
        <v>44925</v>
      </c>
      <c r="UCV615" s="5" t="s">
        <v>3728</v>
      </c>
      <c r="UCW615" s="17">
        <v>44925</v>
      </c>
      <c r="UCX615" s="5" t="s">
        <v>3728</v>
      </c>
      <c r="UCY615" s="17">
        <v>44925</v>
      </c>
      <c r="UCZ615" s="5" t="s">
        <v>3728</v>
      </c>
      <c r="UDA615" s="17">
        <v>44925</v>
      </c>
      <c r="UDB615" s="5" t="s">
        <v>3728</v>
      </c>
      <c r="UDC615" s="17">
        <v>44925</v>
      </c>
      <c r="UDD615" s="5" t="s">
        <v>3728</v>
      </c>
      <c r="UDE615" s="17">
        <v>44925</v>
      </c>
      <c r="UDF615" s="5" t="s">
        <v>3728</v>
      </c>
      <c r="UDG615" s="17">
        <v>44925</v>
      </c>
      <c r="UDH615" s="5" t="s">
        <v>3728</v>
      </c>
      <c r="UDI615" s="17">
        <v>44925</v>
      </c>
      <c r="UDJ615" s="5" t="s">
        <v>3728</v>
      </c>
      <c r="UDK615" s="17">
        <v>44925</v>
      </c>
      <c r="UDL615" s="5" t="s">
        <v>3728</v>
      </c>
      <c r="UDM615" s="17">
        <v>44925</v>
      </c>
      <c r="UDN615" s="5" t="s">
        <v>3728</v>
      </c>
      <c r="UDO615" s="17">
        <v>44925</v>
      </c>
      <c r="UDP615" s="5" t="s">
        <v>3728</v>
      </c>
      <c r="UDQ615" s="17">
        <v>44925</v>
      </c>
      <c r="UDR615" s="5" t="s">
        <v>3728</v>
      </c>
      <c r="UDS615" s="17">
        <v>44925</v>
      </c>
      <c r="UDT615" s="5" t="s">
        <v>3728</v>
      </c>
      <c r="UDU615" s="17">
        <v>44925</v>
      </c>
      <c r="UDV615" s="5" t="s">
        <v>3728</v>
      </c>
      <c r="UDW615" s="17">
        <v>44925</v>
      </c>
      <c r="UDX615" s="5" t="s">
        <v>3728</v>
      </c>
      <c r="UDY615" s="17">
        <v>44925</v>
      </c>
      <c r="UDZ615" s="5" t="s">
        <v>3728</v>
      </c>
      <c r="UEA615" s="17">
        <v>44925</v>
      </c>
      <c r="UEB615" s="5" t="s">
        <v>3728</v>
      </c>
      <c r="UEC615" s="17">
        <v>44925</v>
      </c>
      <c r="UED615" s="5" t="s">
        <v>3728</v>
      </c>
      <c r="UEE615" s="17">
        <v>44925</v>
      </c>
      <c r="UEF615" s="5" t="s">
        <v>3728</v>
      </c>
      <c r="UEG615" s="17">
        <v>44925</v>
      </c>
      <c r="UEH615" s="5" t="s">
        <v>3728</v>
      </c>
      <c r="UEI615" s="17">
        <v>44925</v>
      </c>
      <c r="UEJ615" s="5" t="s">
        <v>3728</v>
      </c>
      <c r="UEK615" s="17">
        <v>44925</v>
      </c>
      <c r="UEL615" s="5" t="s">
        <v>3728</v>
      </c>
      <c r="UEM615" s="17">
        <v>44925</v>
      </c>
      <c r="UEN615" s="5" t="s">
        <v>3728</v>
      </c>
      <c r="UEO615" s="17">
        <v>44925</v>
      </c>
      <c r="UEP615" s="5" t="s">
        <v>3728</v>
      </c>
      <c r="UEQ615" s="17">
        <v>44925</v>
      </c>
      <c r="UER615" s="5" t="s">
        <v>3728</v>
      </c>
      <c r="UES615" s="17">
        <v>44925</v>
      </c>
      <c r="UET615" s="5" t="s">
        <v>3728</v>
      </c>
      <c r="UEU615" s="17">
        <v>44925</v>
      </c>
      <c r="UEV615" s="5" t="s">
        <v>3728</v>
      </c>
      <c r="UEW615" s="17">
        <v>44925</v>
      </c>
      <c r="UEX615" s="5" t="s">
        <v>3728</v>
      </c>
      <c r="UEY615" s="17">
        <v>44925</v>
      </c>
      <c r="UEZ615" s="5" t="s">
        <v>3728</v>
      </c>
      <c r="UFA615" s="17">
        <v>44925</v>
      </c>
      <c r="UFB615" s="5" t="s">
        <v>3728</v>
      </c>
      <c r="UFC615" s="17">
        <v>44925</v>
      </c>
      <c r="UFD615" s="5" t="s">
        <v>3728</v>
      </c>
      <c r="UFE615" s="17">
        <v>44925</v>
      </c>
      <c r="UFF615" s="5" t="s">
        <v>3728</v>
      </c>
      <c r="UFG615" s="17">
        <v>44925</v>
      </c>
      <c r="UFH615" s="5" t="s">
        <v>3728</v>
      </c>
      <c r="UFI615" s="17">
        <v>44925</v>
      </c>
      <c r="UFJ615" s="5" t="s">
        <v>3728</v>
      </c>
      <c r="UFK615" s="17">
        <v>44925</v>
      </c>
      <c r="UFL615" s="5" t="s">
        <v>3728</v>
      </c>
      <c r="UFM615" s="17">
        <v>44925</v>
      </c>
      <c r="UFN615" s="5" t="s">
        <v>3728</v>
      </c>
      <c r="UFO615" s="17">
        <v>44925</v>
      </c>
      <c r="UFP615" s="5" t="s">
        <v>3728</v>
      </c>
      <c r="UFQ615" s="17">
        <v>44925</v>
      </c>
      <c r="UFR615" s="5" t="s">
        <v>3728</v>
      </c>
      <c r="UFS615" s="17">
        <v>44925</v>
      </c>
      <c r="UFT615" s="5" t="s">
        <v>3728</v>
      </c>
      <c r="UFU615" s="17">
        <v>44925</v>
      </c>
      <c r="UFV615" s="5" t="s">
        <v>3728</v>
      </c>
      <c r="UFW615" s="17">
        <v>44925</v>
      </c>
      <c r="UFX615" s="5" t="s">
        <v>3728</v>
      </c>
      <c r="UFY615" s="17">
        <v>44925</v>
      </c>
      <c r="UFZ615" s="5" t="s">
        <v>3728</v>
      </c>
      <c r="UGA615" s="17">
        <v>44925</v>
      </c>
      <c r="UGB615" s="5" t="s">
        <v>3728</v>
      </c>
      <c r="UGC615" s="17">
        <v>44925</v>
      </c>
      <c r="UGD615" s="5" t="s">
        <v>3728</v>
      </c>
      <c r="UGE615" s="17">
        <v>44925</v>
      </c>
      <c r="UGF615" s="5" t="s">
        <v>3728</v>
      </c>
      <c r="UGG615" s="17">
        <v>44925</v>
      </c>
      <c r="UGH615" s="5" t="s">
        <v>3728</v>
      </c>
      <c r="UGI615" s="17">
        <v>44925</v>
      </c>
      <c r="UGJ615" s="5" t="s">
        <v>3728</v>
      </c>
      <c r="UGK615" s="17">
        <v>44925</v>
      </c>
      <c r="UGL615" s="5" t="s">
        <v>3728</v>
      </c>
      <c r="UGM615" s="17">
        <v>44925</v>
      </c>
      <c r="UGN615" s="5" t="s">
        <v>3728</v>
      </c>
      <c r="UGO615" s="17">
        <v>44925</v>
      </c>
      <c r="UGP615" s="5" t="s">
        <v>3728</v>
      </c>
      <c r="UGQ615" s="17">
        <v>44925</v>
      </c>
      <c r="UGR615" s="5" t="s">
        <v>3728</v>
      </c>
      <c r="UGS615" s="17">
        <v>44925</v>
      </c>
      <c r="UGT615" s="5" t="s">
        <v>3728</v>
      </c>
      <c r="UGU615" s="17">
        <v>44925</v>
      </c>
      <c r="UGV615" s="5" t="s">
        <v>3728</v>
      </c>
      <c r="UGW615" s="17">
        <v>44925</v>
      </c>
      <c r="UGX615" s="5" t="s">
        <v>3728</v>
      </c>
      <c r="UGY615" s="17">
        <v>44925</v>
      </c>
      <c r="UGZ615" s="5" t="s">
        <v>3728</v>
      </c>
      <c r="UHA615" s="17">
        <v>44925</v>
      </c>
      <c r="UHB615" s="5" t="s">
        <v>3728</v>
      </c>
      <c r="UHC615" s="17">
        <v>44925</v>
      </c>
      <c r="UHD615" s="5" t="s">
        <v>3728</v>
      </c>
      <c r="UHE615" s="17">
        <v>44925</v>
      </c>
      <c r="UHF615" s="5" t="s">
        <v>3728</v>
      </c>
      <c r="UHG615" s="17">
        <v>44925</v>
      </c>
      <c r="UHH615" s="5" t="s">
        <v>3728</v>
      </c>
      <c r="UHI615" s="17">
        <v>44925</v>
      </c>
      <c r="UHJ615" s="5" t="s">
        <v>3728</v>
      </c>
      <c r="UHK615" s="17">
        <v>44925</v>
      </c>
      <c r="UHL615" s="5" t="s">
        <v>3728</v>
      </c>
      <c r="UHM615" s="17">
        <v>44925</v>
      </c>
      <c r="UHN615" s="5" t="s">
        <v>3728</v>
      </c>
      <c r="UHO615" s="17">
        <v>44925</v>
      </c>
      <c r="UHP615" s="5" t="s">
        <v>3728</v>
      </c>
      <c r="UHQ615" s="17">
        <v>44925</v>
      </c>
      <c r="UHR615" s="5" t="s">
        <v>3728</v>
      </c>
      <c r="UHS615" s="17">
        <v>44925</v>
      </c>
      <c r="UHT615" s="5" t="s">
        <v>3728</v>
      </c>
      <c r="UHU615" s="17">
        <v>44925</v>
      </c>
      <c r="UHV615" s="5" t="s">
        <v>3728</v>
      </c>
      <c r="UHW615" s="17">
        <v>44925</v>
      </c>
      <c r="UHX615" s="5" t="s">
        <v>3728</v>
      </c>
      <c r="UHY615" s="17">
        <v>44925</v>
      </c>
      <c r="UHZ615" s="5" t="s">
        <v>3728</v>
      </c>
      <c r="UIA615" s="17">
        <v>44925</v>
      </c>
      <c r="UIB615" s="5" t="s">
        <v>3728</v>
      </c>
      <c r="UIC615" s="17">
        <v>44925</v>
      </c>
      <c r="UID615" s="5" t="s">
        <v>3728</v>
      </c>
      <c r="UIE615" s="17">
        <v>44925</v>
      </c>
      <c r="UIF615" s="5" t="s">
        <v>3728</v>
      </c>
      <c r="UIG615" s="17">
        <v>44925</v>
      </c>
      <c r="UIH615" s="5" t="s">
        <v>3728</v>
      </c>
      <c r="UII615" s="17">
        <v>44925</v>
      </c>
      <c r="UIJ615" s="5" t="s">
        <v>3728</v>
      </c>
      <c r="UIK615" s="17">
        <v>44925</v>
      </c>
      <c r="UIL615" s="5" t="s">
        <v>3728</v>
      </c>
      <c r="UIM615" s="17">
        <v>44925</v>
      </c>
      <c r="UIN615" s="5" t="s">
        <v>3728</v>
      </c>
      <c r="UIO615" s="17">
        <v>44925</v>
      </c>
      <c r="UIP615" s="5" t="s">
        <v>3728</v>
      </c>
      <c r="UIQ615" s="17">
        <v>44925</v>
      </c>
      <c r="UIR615" s="5" t="s">
        <v>3728</v>
      </c>
      <c r="UIS615" s="17">
        <v>44925</v>
      </c>
      <c r="UIT615" s="5" t="s">
        <v>3728</v>
      </c>
      <c r="UIU615" s="17">
        <v>44925</v>
      </c>
      <c r="UIV615" s="5" t="s">
        <v>3728</v>
      </c>
      <c r="UIW615" s="17">
        <v>44925</v>
      </c>
      <c r="UIX615" s="5" t="s">
        <v>3728</v>
      </c>
      <c r="UIY615" s="17">
        <v>44925</v>
      </c>
      <c r="UIZ615" s="5" t="s">
        <v>3728</v>
      </c>
      <c r="UJA615" s="17">
        <v>44925</v>
      </c>
      <c r="UJB615" s="5" t="s">
        <v>3728</v>
      </c>
      <c r="UJC615" s="17">
        <v>44925</v>
      </c>
      <c r="UJD615" s="5" t="s">
        <v>3728</v>
      </c>
      <c r="UJE615" s="17">
        <v>44925</v>
      </c>
      <c r="UJF615" s="5" t="s">
        <v>3728</v>
      </c>
      <c r="UJG615" s="17">
        <v>44925</v>
      </c>
      <c r="UJH615" s="5" t="s">
        <v>3728</v>
      </c>
      <c r="UJI615" s="17">
        <v>44925</v>
      </c>
      <c r="UJJ615" s="5" t="s">
        <v>3728</v>
      </c>
      <c r="UJK615" s="17">
        <v>44925</v>
      </c>
      <c r="UJL615" s="5" t="s">
        <v>3728</v>
      </c>
      <c r="UJM615" s="17">
        <v>44925</v>
      </c>
      <c r="UJN615" s="5" t="s">
        <v>3728</v>
      </c>
      <c r="UJO615" s="17">
        <v>44925</v>
      </c>
      <c r="UJP615" s="5" t="s">
        <v>3728</v>
      </c>
      <c r="UJQ615" s="17">
        <v>44925</v>
      </c>
      <c r="UJR615" s="5" t="s">
        <v>3728</v>
      </c>
      <c r="UJS615" s="17">
        <v>44925</v>
      </c>
      <c r="UJT615" s="5" t="s">
        <v>3728</v>
      </c>
      <c r="UJU615" s="17">
        <v>44925</v>
      </c>
      <c r="UJV615" s="5" t="s">
        <v>3728</v>
      </c>
      <c r="UJW615" s="17">
        <v>44925</v>
      </c>
      <c r="UJX615" s="5" t="s">
        <v>3728</v>
      </c>
      <c r="UJY615" s="17">
        <v>44925</v>
      </c>
      <c r="UJZ615" s="5" t="s">
        <v>3728</v>
      </c>
      <c r="UKA615" s="17">
        <v>44925</v>
      </c>
      <c r="UKB615" s="5" t="s">
        <v>3728</v>
      </c>
      <c r="UKC615" s="17">
        <v>44925</v>
      </c>
      <c r="UKD615" s="5" t="s">
        <v>3728</v>
      </c>
      <c r="UKE615" s="17">
        <v>44925</v>
      </c>
      <c r="UKF615" s="5" t="s">
        <v>3728</v>
      </c>
      <c r="UKG615" s="17">
        <v>44925</v>
      </c>
      <c r="UKH615" s="5" t="s">
        <v>3728</v>
      </c>
      <c r="UKI615" s="17">
        <v>44925</v>
      </c>
      <c r="UKJ615" s="5" t="s">
        <v>3728</v>
      </c>
      <c r="UKK615" s="17">
        <v>44925</v>
      </c>
      <c r="UKL615" s="5" t="s">
        <v>3728</v>
      </c>
      <c r="UKM615" s="17">
        <v>44925</v>
      </c>
      <c r="UKN615" s="5" t="s">
        <v>3728</v>
      </c>
      <c r="UKO615" s="17">
        <v>44925</v>
      </c>
      <c r="UKP615" s="5" t="s">
        <v>3728</v>
      </c>
      <c r="UKQ615" s="17">
        <v>44925</v>
      </c>
      <c r="UKR615" s="5" t="s">
        <v>3728</v>
      </c>
      <c r="UKS615" s="17">
        <v>44925</v>
      </c>
      <c r="UKT615" s="5" t="s">
        <v>3728</v>
      </c>
      <c r="UKU615" s="17">
        <v>44925</v>
      </c>
      <c r="UKV615" s="5" t="s">
        <v>3728</v>
      </c>
      <c r="UKW615" s="17">
        <v>44925</v>
      </c>
      <c r="UKX615" s="5" t="s">
        <v>3728</v>
      </c>
      <c r="UKY615" s="17">
        <v>44925</v>
      </c>
      <c r="UKZ615" s="5" t="s">
        <v>3728</v>
      </c>
      <c r="ULA615" s="17">
        <v>44925</v>
      </c>
      <c r="ULB615" s="5" t="s">
        <v>3728</v>
      </c>
      <c r="ULC615" s="17">
        <v>44925</v>
      </c>
      <c r="ULD615" s="5" t="s">
        <v>3728</v>
      </c>
      <c r="ULE615" s="17">
        <v>44925</v>
      </c>
      <c r="ULF615" s="5" t="s">
        <v>3728</v>
      </c>
      <c r="ULG615" s="17">
        <v>44925</v>
      </c>
      <c r="ULH615" s="5" t="s">
        <v>3728</v>
      </c>
      <c r="ULI615" s="17">
        <v>44925</v>
      </c>
      <c r="ULJ615" s="5" t="s">
        <v>3728</v>
      </c>
      <c r="ULK615" s="17">
        <v>44925</v>
      </c>
      <c r="ULL615" s="5" t="s">
        <v>3728</v>
      </c>
      <c r="ULM615" s="17">
        <v>44925</v>
      </c>
      <c r="ULN615" s="5" t="s">
        <v>3728</v>
      </c>
      <c r="ULO615" s="17">
        <v>44925</v>
      </c>
      <c r="ULP615" s="5" t="s">
        <v>3728</v>
      </c>
      <c r="ULQ615" s="17">
        <v>44925</v>
      </c>
      <c r="ULR615" s="5" t="s">
        <v>3728</v>
      </c>
      <c r="ULS615" s="17">
        <v>44925</v>
      </c>
      <c r="ULT615" s="5" t="s">
        <v>3728</v>
      </c>
      <c r="ULU615" s="17">
        <v>44925</v>
      </c>
      <c r="ULV615" s="5" t="s">
        <v>3728</v>
      </c>
      <c r="ULW615" s="17">
        <v>44925</v>
      </c>
      <c r="ULX615" s="5" t="s">
        <v>3728</v>
      </c>
      <c r="ULY615" s="17">
        <v>44925</v>
      </c>
      <c r="ULZ615" s="5" t="s">
        <v>3728</v>
      </c>
      <c r="UMA615" s="17">
        <v>44925</v>
      </c>
      <c r="UMB615" s="5" t="s">
        <v>3728</v>
      </c>
      <c r="UMC615" s="17">
        <v>44925</v>
      </c>
      <c r="UMD615" s="5" t="s">
        <v>3728</v>
      </c>
      <c r="UME615" s="17">
        <v>44925</v>
      </c>
      <c r="UMF615" s="5" t="s">
        <v>3728</v>
      </c>
      <c r="UMG615" s="17">
        <v>44925</v>
      </c>
      <c r="UMH615" s="5" t="s">
        <v>3728</v>
      </c>
      <c r="UMI615" s="17">
        <v>44925</v>
      </c>
      <c r="UMJ615" s="5" t="s">
        <v>3728</v>
      </c>
      <c r="UMK615" s="17">
        <v>44925</v>
      </c>
      <c r="UML615" s="5" t="s">
        <v>3728</v>
      </c>
      <c r="UMM615" s="17">
        <v>44925</v>
      </c>
      <c r="UMN615" s="5" t="s">
        <v>3728</v>
      </c>
      <c r="UMO615" s="17">
        <v>44925</v>
      </c>
      <c r="UMP615" s="5" t="s">
        <v>3728</v>
      </c>
      <c r="UMQ615" s="17">
        <v>44925</v>
      </c>
      <c r="UMR615" s="5" t="s">
        <v>3728</v>
      </c>
      <c r="UMS615" s="17">
        <v>44925</v>
      </c>
      <c r="UMT615" s="5" t="s">
        <v>3728</v>
      </c>
      <c r="UMU615" s="17">
        <v>44925</v>
      </c>
      <c r="UMV615" s="5" t="s">
        <v>3728</v>
      </c>
      <c r="UMW615" s="17">
        <v>44925</v>
      </c>
      <c r="UMX615" s="5" t="s">
        <v>3728</v>
      </c>
      <c r="UMY615" s="17">
        <v>44925</v>
      </c>
      <c r="UMZ615" s="5" t="s">
        <v>3728</v>
      </c>
      <c r="UNA615" s="17">
        <v>44925</v>
      </c>
      <c r="UNB615" s="5" t="s">
        <v>3728</v>
      </c>
      <c r="UNC615" s="17">
        <v>44925</v>
      </c>
      <c r="UND615" s="5" t="s">
        <v>3728</v>
      </c>
      <c r="UNE615" s="17">
        <v>44925</v>
      </c>
      <c r="UNF615" s="5" t="s">
        <v>3728</v>
      </c>
      <c r="UNG615" s="17">
        <v>44925</v>
      </c>
      <c r="UNH615" s="5" t="s">
        <v>3728</v>
      </c>
      <c r="UNI615" s="17">
        <v>44925</v>
      </c>
      <c r="UNJ615" s="5" t="s">
        <v>3728</v>
      </c>
      <c r="UNK615" s="17">
        <v>44925</v>
      </c>
      <c r="UNL615" s="5" t="s">
        <v>3728</v>
      </c>
      <c r="UNM615" s="17">
        <v>44925</v>
      </c>
      <c r="UNN615" s="5" t="s">
        <v>3728</v>
      </c>
      <c r="UNO615" s="17">
        <v>44925</v>
      </c>
      <c r="UNP615" s="5" t="s">
        <v>3728</v>
      </c>
      <c r="UNQ615" s="17">
        <v>44925</v>
      </c>
      <c r="UNR615" s="5" t="s">
        <v>3728</v>
      </c>
      <c r="UNS615" s="17">
        <v>44925</v>
      </c>
      <c r="UNT615" s="5" t="s">
        <v>3728</v>
      </c>
      <c r="UNU615" s="17">
        <v>44925</v>
      </c>
      <c r="UNV615" s="5" t="s">
        <v>3728</v>
      </c>
      <c r="UNW615" s="17">
        <v>44925</v>
      </c>
      <c r="UNX615" s="5" t="s">
        <v>3728</v>
      </c>
      <c r="UNY615" s="17">
        <v>44925</v>
      </c>
      <c r="UNZ615" s="5" t="s">
        <v>3728</v>
      </c>
      <c r="UOA615" s="17">
        <v>44925</v>
      </c>
      <c r="UOB615" s="5" t="s">
        <v>3728</v>
      </c>
      <c r="UOC615" s="17">
        <v>44925</v>
      </c>
      <c r="UOD615" s="5" t="s">
        <v>3728</v>
      </c>
      <c r="UOE615" s="17">
        <v>44925</v>
      </c>
      <c r="UOF615" s="5" t="s">
        <v>3728</v>
      </c>
      <c r="UOG615" s="17">
        <v>44925</v>
      </c>
      <c r="UOH615" s="5" t="s">
        <v>3728</v>
      </c>
      <c r="UOI615" s="17">
        <v>44925</v>
      </c>
      <c r="UOJ615" s="5" t="s">
        <v>3728</v>
      </c>
      <c r="UOK615" s="17">
        <v>44925</v>
      </c>
      <c r="UOL615" s="5" t="s">
        <v>3728</v>
      </c>
      <c r="UOM615" s="17">
        <v>44925</v>
      </c>
      <c r="UON615" s="5" t="s">
        <v>3728</v>
      </c>
      <c r="UOO615" s="17">
        <v>44925</v>
      </c>
      <c r="UOP615" s="5" t="s">
        <v>3728</v>
      </c>
      <c r="UOQ615" s="17">
        <v>44925</v>
      </c>
      <c r="UOR615" s="5" t="s">
        <v>3728</v>
      </c>
      <c r="UOS615" s="17">
        <v>44925</v>
      </c>
      <c r="UOT615" s="5" t="s">
        <v>3728</v>
      </c>
      <c r="UOU615" s="17">
        <v>44925</v>
      </c>
      <c r="UOV615" s="5" t="s">
        <v>3728</v>
      </c>
      <c r="UOW615" s="17">
        <v>44925</v>
      </c>
      <c r="UOX615" s="5" t="s">
        <v>3728</v>
      </c>
      <c r="UOY615" s="17">
        <v>44925</v>
      </c>
      <c r="UOZ615" s="5" t="s">
        <v>3728</v>
      </c>
      <c r="UPA615" s="17">
        <v>44925</v>
      </c>
      <c r="UPB615" s="5" t="s">
        <v>3728</v>
      </c>
      <c r="UPC615" s="17">
        <v>44925</v>
      </c>
      <c r="UPD615" s="5" t="s">
        <v>3728</v>
      </c>
      <c r="UPE615" s="17">
        <v>44925</v>
      </c>
      <c r="UPF615" s="5" t="s">
        <v>3728</v>
      </c>
      <c r="UPG615" s="17">
        <v>44925</v>
      </c>
      <c r="UPH615" s="5" t="s">
        <v>3728</v>
      </c>
      <c r="UPI615" s="17">
        <v>44925</v>
      </c>
      <c r="UPJ615" s="5" t="s">
        <v>3728</v>
      </c>
      <c r="UPK615" s="17">
        <v>44925</v>
      </c>
      <c r="UPL615" s="5" t="s">
        <v>3728</v>
      </c>
      <c r="UPM615" s="17">
        <v>44925</v>
      </c>
      <c r="UPN615" s="5" t="s">
        <v>3728</v>
      </c>
      <c r="UPO615" s="17">
        <v>44925</v>
      </c>
      <c r="UPP615" s="5" t="s">
        <v>3728</v>
      </c>
      <c r="UPQ615" s="17">
        <v>44925</v>
      </c>
      <c r="UPR615" s="5" t="s">
        <v>3728</v>
      </c>
      <c r="UPS615" s="17">
        <v>44925</v>
      </c>
      <c r="UPT615" s="5" t="s">
        <v>3728</v>
      </c>
      <c r="UPU615" s="17">
        <v>44925</v>
      </c>
      <c r="UPV615" s="5" t="s">
        <v>3728</v>
      </c>
      <c r="UPW615" s="17">
        <v>44925</v>
      </c>
      <c r="UPX615" s="5" t="s">
        <v>3728</v>
      </c>
      <c r="UPY615" s="17">
        <v>44925</v>
      </c>
      <c r="UPZ615" s="5" t="s">
        <v>3728</v>
      </c>
      <c r="UQA615" s="17">
        <v>44925</v>
      </c>
      <c r="UQB615" s="5" t="s">
        <v>3728</v>
      </c>
      <c r="UQC615" s="17">
        <v>44925</v>
      </c>
      <c r="UQD615" s="5" t="s">
        <v>3728</v>
      </c>
      <c r="UQE615" s="17">
        <v>44925</v>
      </c>
      <c r="UQF615" s="5" t="s">
        <v>3728</v>
      </c>
      <c r="UQG615" s="17">
        <v>44925</v>
      </c>
      <c r="UQH615" s="5" t="s">
        <v>3728</v>
      </c>
      <c r="UQI615" s="17">
        <v>44925</v>
      </c>
      <c r="UQJ615" s="5" t="s">
        <v>3728</v>
      </c>
      <c r="UQK615" s="17">
        <v>44925</v>
      </c>
      <c r="UQL615" s="5" t="s">
        <v>3728</v>
      </c>
      <c r="UQM615" s="17">
        <v>44925</v>
      </c>
      <c r="UQN615" s="5" t="s">
        <v>3728</v>
      </c>
      <c r="UQO615" s="17">
        <v>44925</v>
      </c>
      <c r="UQP615" s="5" t="s">
        <v>3728</v>
      </c>
      <c r="UQQ615" s="17">
        <v>44925</v>
      </c>
      <c r="UQR615" s="5" t="s">
        <v>3728</v>
      </c>
      <c r="UQS615" s="17">
        <v>44925</v>
      </c>
      <c r="UQT615" s="5" t="s">
        <v>3728</v>
      </c>
      <c r="UQU615" s="17">
        <v>44925</v>
      </c>
      <c r="UQV615" s="5" t="s">
        <v>3728</v>
      </c>
      <c r="UQW615" s="17">
        <v>44925</v>
      </c>
      <c r="UQX615" s="5" t="s">
        <v>3728</v>
      </c>
      <c r="UQY615" s="17">
        <v>44925</v>
      </c>
      <c r="UQZ615" s="5" t="s">
        <v>3728</v>
      </c>
      <c r="URA615" s="17">
        <v>44925</v>
      </c>
      <c r="URB615" s="5" t="s">
        <v>3728</v>
      </c>
      <c r="URC615" s="17">
        <v>44925</v>
      </c>
      <c r="URD615" s="5" t="s">
        <v>3728</v>
      </c>
      <c r="URE615" s="17">
        <v>44925</v>
      </c>
      <c r="URF615" s="5" t="s">
        <v>3728</v>
      </c>
      <c r="URG615" s="17">
        <v>44925</v>
      </c>
      <c r="URH615" s="5" t="s">
        <v>3728</v>
      </c>
      <c r="URI615" s="17">
        <v>44925</v>
      </c>
      <c r="URJ615" s="5" t="s">
        <v>3728</v>
      </c>
      <c r="URK615" s="17">
        <v>44925</v>
      </c>
      <c r="URL615" s="5" t="s">
        <v>3728</v>
      </c>
      <c r="URM615" s="17">
        <v>44925</v>
      </c>
      <c r="URN615" s="5" t="s">
        <v>3728</v>
      </c>
      <c r="URO615" s="17">
        <v>44925</v>
      </c>
      <c r="URP615" s="5" t="s">
        <v>3728</v>
      </c>
      <c r="URQ615" s="17">
        <v>44925</v>
      </c>
      <c r="URR615" s="5" t="s">
        <v>3728</v>
      </c>
      <c r="URS615" s="17">
        <v>44925</v>
      </c>
      <c r="URT615" s="5" t="s">
        <v>3728</v>
      </c>
      <c r="URU615" s="17">
        <v>44925</v>
      </c>
      <c r="URV615" s="5" t="s">
        <v>3728</v>
      </c>
      <c r="URW615" s="17">
        <v>44925</v>
      </c>
      <c r="URX615" s="5" t="s">
        <v>3728</v>
      </c>
      <c r="URY615" s="17">
        <v>44925</v>
      </c>
      <c r="URZ615" s="5" t="s">
        <v>3728</v>
      </c>
      <c r="USA615" s="17">
        <v>44925</v>
      </c>
      <c r="USB615" s="5" t="s">
        <v>3728</v>
      </c>
      <c r="USC615" s="17">
        <v>44925</v>
      </c>
      <c r="USD615" s="5" t="s">
        <v>3728</v>
      </c>
      <c r="USE615" s="17">
        <v>44925</v>
      </c>
      <c r="USF615" s="5" t="s">
        <v>3728</v>
      </c>
      <c r="USG615" s="17">
        <v>44925</v>
      </c>
      <c r="USH615" s="5" t="s">
        <v>3728</v>
      </c>
      <c r="USI615" s="17">
        <v>44925</v>
      </c>
      <c r="USJ615" s="5" t="s">
        <v>3728</v>
      </c>
      <c r="USK615" s="17">
        <v>44925</v>
      </c>
      <c r="USL615" s="5" t="s">
        <v>3728</v>
      </c>
      <c r="USM615" s="17">
        <v>44925</v>
      </c>
      <c r="USN615" s="5" t="s">
        <v>3728</v>
      </c>
      <c r="USO615" s="17">
        <v>44925</v>
      </c>
      <c r="USP615" s="5" t="s">
        <v>3728</v>
      </c>
      <c r="USQ615" s="17">
        <v>44925</v>
      </c>
      <c r="USR615" s="5" t="s">
        <v>3728</v>
      </c>
      <c r="USS615" s="17">
        <v>44925</v>
      </c>
      <c r="UST615" s="5" t="s">
        <v>3728</v>
      </c>
      <c r="USU615" s="17">
        <v>44925</v>
      </c>
      <c r="USV615" s="5" t="s">
        <v>3728</v>
      </c>
      <c r="USW615" s="17">
        <v>44925</v>
      </c>
      <c r="USX615" s="5" t="s">
        <v>3728</v>
      </c>
      <c r="USY615" s="17">
        <v>44925</v>
      </c>
      <c r="USZ615" s="5" t="s">
        <v>3728</v>
      </c>
      <c r="UTA615" s="17">
        <v>44925</v>
      </c>
      <c r="UTB615" s="5" t="s">
        <v>3728</v>
      </c>
      <c r="UTC615" s="17">
        <v>44925</v>
      </c>
      <c r="UTD615" s="5" t="s">
        <v>3728</v>
      </c>
      <c r="UTE615" s="17">
        <v>44925</v>
      </c>
      <c r="UTF615" s="5" t="s">
        <v>3728</v>
      </c>
      <c r="UTG615" s="17">
        <v>44925</v>
      </c>
      <c r="UTH615" s="5" t="s">
        <v>3728</v>
      </c>
      <c r="UTI615" s="17">
        <v>44925</v>
      </c>
      <c r="UTJ615" s="5" t="s">
        <v>3728</v>
      </c>
      <c r="UTK615" s="17">
        <v>44925</v>
      </c>
      <c r="UTL615" s="5" t="s">
        <v>3728</v>
      </c>
      <c r="UTM615" s="17">
        <v>44925</v>
      </c>
      <c r="UTN615" s="5" t="s">
        <v>3728</v>
      </c>
      <c r="UTO615" s="17">
        <v>44925</v>
      </c>
      <c r="UTP615" s="5" t="s">
        <v>3728</v>
      </c>
      <c r="UTQ615" s="17">
        <v>44925</v>
      </c>
      <c r="UTR615" s="5" t="s">
        <v>3728</v>
      </c>
      <c r="UTS615" s="17">
        <v>44925</v>
      </c>
      <c r="UTT615" s="5" t="s">
        <v>3728</v>
      </c>
      <c r="UTU615" s="17">
        <v>44925</v>
      </c>
      <c r="UTV615" s="5" t="s">
        <v>3728</v>
      </c>
      <c r="UTW615" s="17">
        <v>44925</v>
      </c>
      <c r="UTX615" s="5" t="s">
        <v>3728</v>
      </c>
      <c r="UTY615" s="17">
        <v>44925</v>
      </c>
      <c r="UTZ615" s="5" t="s">
        <v>3728</v>
      </c>
      <c r="UUA615" s="17">
        <v>44925</v>
      </c>
      <c r="UUB615" s="5" t="s">
        <v>3728</v>
      </c>
      <c r="UUC615" s="17">
        <v>44925</v>
      </c>
      <c r="UUD615" s="5" t="s">
        <v>3728</v>
      </c>
      <c r="UUE615" s="17">
        <v>44925</v>
      </c>
      <c r="UUF615" s="5" t="s">
        <v>3728</v>
      </c>
      <c r="UUG615" s="17">
        <v>44925</v>
      </c>
      <c r="UUH615" s="5" t="s">
        <v>3728</v>
      </c>
      <c r="UUI615" s="17">
        <v>44925</v>
      </c>
      <c r="UUJ615" s="5" t="s">
        <v>3728</v>
      </c>
      <c r="UUK615" s="17">
        <v>44925</v>
      </c>
      <c r="UUL615" s="5" t="s">
        <v>3728</v>
      </c>
      <c r="UUM615" s="17">
        <v>44925</v>
      </c>
      <c r="UUN615" s="5" t="s">
        <v>3728</v>
      </c>
      <c r="UUO615" s="17">
        <v>44925</v>
      </c>
      <c r="UUP615" s="5" t="s">
        <v>3728</v>
      </c>
      <c r="UUQ615" s="17">
        <v>44925</v>
      </c>
      <c r="UUR615" s="5" t="s">
        <v>3728</v>
      </c>
      <c r="UUS615" s="17">
        <v>44925</v>
      </c>
      <c r="UUT615" s="5" t="s">
        <v>3728</v>
      </c>
      <c r="UUU615" s="17">
        <v>44925</v>
      </c>
      <c r="UUV615" s="5" t="s">
        <v>3728</v>
      </c>
      <c r="UUW615" s="17">
        <v>44925</v>
      </c>
      <c r="UUX615" s="5" t="s">
        <v>3728</v>
      </c>
      <c r="UUY615" s="17">
        <v>44925</v>
      </c>
      <c r="UUZ615" s="5" t="s">
        <v>3728</v>
      </c>
      <c r="UVA615" s="17">
        <v>44925</v>
      </c>
      <c r="UVB615" s="5" t="s">
        <v>3728</v>
      </c>
      <c r="UVC615" s="17">
        <v>44925</v>
      </c>
      <c r="UVD615" s="5" t="s">
        <v>3728</v>
      </c>
      <c r="UVE615" s="17">
        <v>44925</v>
      </c>
      <c r="UVF615" s="5" t="s">
        <v>3728</v>
      </c>
      <c r="UVG615" s="17">
        <v>44925</v>
      </c>
      <c r="UVH615" s="5" t="s">
        <v>3728</v>
      </c>
      <c r="UVI615" s="17">
        <v>44925</v>
      </c>
      <c r="UVJ615" s="5" t="s">
        <v>3728</v>
      </c>
      <c r="UVK615" s="17">
        <v>44925</v>
      </c>
      <c r="UVL615" s="5" t="s">
        <v>3728</v>
      </c>
      <c r="UVM615" s="17">
        <v>44925</v>
      </c>
      <c r="UVN615" s="5" t="s">
        <v>3728</v>
      </c>
      <c r="UVO615" s="17">
        <v>44925</v>
      </c>
      <c r="UVP615" s="5" t="s">
        <v>3728</v>
      </c>
      <c r="UVQ615" s="17">
        <v>44925</v>
      </c>
      <c r="UVR615" s="5" t="s">
        <v>3728</v>
      </c>
      <c r="UVS615" s="17">
        <v>44925</v>
      </c>
      <c r="UVT615" s="5" t="s">
        <v>3728</v>
      </c>
      <c r="UVU615" s="17">
        <v>44925</v>
      </c>
      <c r="UVV615" s="5" t="s">
        <v>3728</v>
      </c>
      <c r="UVW615" s="17">
        <v>44925</v>
      </c>
      <c r="UVX615" s="5" t="s">
        <v>3728</v>
      </c>
      <c r="UVY615" s="17">
        <v>44925</v>
      </c>
      <c r="UVZ615" s="5" t="s">
        <v>3728</v>
      </c>
      <c r="UWA615" s="17">
        <v>44925</v>
      </c>
      <c r="UWB615" s="5" t="s">
        <v>3728</v>
      </c>
      <c r="UWC615" s="17">
        <v>44925</v>
      </c>
      <c r="UWD615" s="5" t="s">
        <v>3728</v>
      </c>
      <c r="UWE615" s="17">
        <v>44925</v>
      </c>
      <c r="UWF615" s="5" t="s">
        <v>3728</v>
      </c>
      <c r="UWG615" s="17">
        <v>44925</v>
      </c>
      <c r="UWH615" s="5" t="s">
        <v>3728</v>
      </c>
      <c r="UWI615" s="17">
        <v>44925</v>
      </c>
      <c r="UWJ615" s="5" t="s">
        <v>3728</v>
      </c>
      <c r="UWK615" s="17">
        <v>44925</v>
      </c>
      <c r="UWL615" s="5" t="s">
        <v>3728</v>
      </c>
      <c r="UWM615" s="17">
        <v>44925</v>
      </c>
      <c r="UWN615" s="5" t="s">
        <v>3728</v>
      </c>
      <c r="UWO615" s="17">
        <v>44925</v>
      </c>
      <c r="UWP615" s="5" t="s">
        <v>3728</v>
      </c>
      <c r="UWQ615" s="17">
        <v>44925</v>
      </c>
      <c r="UWR615" s="5" t="s">
        <v>3728</v>
      </c>
      <c r="UWS615" s="17">
        <v>44925</v>
      </c>
      <c r="UWT615" s="5" t="s">
        <v>3728</v>
      </c>
      <c r="UWU615" s="17">
        <v>44925</v>
      </c>
      <c r="UWV615" s="5" t="s">
        <v>3728</v>
      </c>
      <c r="UWW615" s="17">
        <v>44925</v>
      </c>
      <c r="UWX615" s="5" t="s">
        <v>3728</v>
      </c>
      <c r="UWY615" s="17">
        <v>44925</v>
      </c>
      <c r="UWZ615" s="5" t="s">
        <v>3728</v>
      </c>
      <c r="UXA615" s="17">
        <v>44925</v>
      </c>
      <c r="UXB615" s="5" t="s">
        <v>3728</v>
      </c>
      <c r="UXC615" s="17">
        <v>44925</v>
      </c>
      <c r="UXD615" s="5" t="s">
        <v>3728</v>
      </c>
      <c r="UXE615" s="17">
        <v>44925</v>
      </c>
      <c r="UXF615" s="5" t="s">
        <v>3728</v>
      </c>
      <c r="UXG615" s="17">
        <v>44925</v>
      </c>
      <c r="UXH615" s="5" t="s">
        <v>3728</v>
      </c>
      <c r="UXI615" s="17">
        <v>44925</v>
      </c>
      <c r="UXJ615" s="5" t="s">
        <v>3728</v>
      </c>
      <c r="UXK615" s="17">
        <v>44925</v>
      </c>
      <c r="UXL615" s="5" t="s">
        <v>3728</v>
      </c>
      <c r="UXM615" s="17">
        <v>44925</v>
      </c>
      <c r="UXN615" s="5" t="s">
        <v>3728</v>
      </c>
      <c r="UXO615" s="17">
        <v>44925</v>
      </c>
      <c r="UXP615" s="5" t="s">
        <v>3728</v>
      </c>
      <c r="UXQ615" s="17">
        <v>44925</v>
      </c>
      <c r="UXR615" s="5" t="s">
        <v>3728</v>
      </c>
      <c r="UXS615" s="17">
        <v>44925</v>
      </c>
      <c r="UXT615" s="5" t="s">
        <v>3728</v>
      </c>
      <c r="UXU615" s="17">
        <v>44925</v>
      </c>
      <c r="UXV615" s="5" t="s">
        <v>3728</v>
      </c>
      <c r="UXW615" s="17">
        <v>44925</v>
      </c>
      <c r="UXX615" s="5" t="s">
        <v>3728</v>
      </c>
      <c r="UXY615" s="17">
        <v>44925</v>
      </c>
      <c r="UXZ615" s="5" t="s">
        <v>3728</v>
      </c>
      <c r="UYA615" s="17">
        <v>44925</v>
      </c>
      <c r="UYB615" s="5" t="s">
        <v>3728</v>
      </c>
      <c r="UYC615" s="17">
        <v>44925</v>
      </c>
      <c r="UYD615" s="5" t="s">
        <v>3728</v>
      </c>
      <c r="UYE615" s="17">
        <v>44925</v>
      </c>
      <c r="UYF615" s="5" t="s">
        <v>3728</v>
      </c>
      <c r="UYG615" s="17">
        <v>44925</v>
      </c>
      <c r="UYH615" s="5" t="s">
        <v>3728</v>
      </c>
      <c r="UYI615" s="17">
        <v>44925</v>
      </c>
      <c r="UYJ615" s="5" t="s">
        <v>3728</v>
      </c>
      <c r="UYK615" s="17">
        <v>44925</v>
      </c>
      <c r="UYL615" s="5" t="s">
        <v>3728</v>
      </c>
      <c r="UYM615" s="17">
        <v>44925</v>
      </c>
      <c r="UYN615" s="5" t="s">
        <v>3728</v>
      </c>
      <c r="UYO615" s="17">
        <v>44925</v>
      </c>
      <c r="UYP615" s="5" t="s">
        <v>3728</v>
      </c>
      <c r="UYQ615" s="17">
        <v>44925</v>
      </c>
      <c r="UYR615" s="5" t="s">
        <v>3728</v>
      </c>
      <c r="UYS615" s="17">
        <v>44925</v>
      </c>
      <c r="UYT615" s="5" t="s">
        <v>3728</v>
      </c>
      <c r="UYU615" s="17">
        <v>44925</v>
      </c>
      <c r="UYV615" s="5" t="s">
        <v>3728</v>
      </c>
      <c r="UYW615" s="17">
        <v>44925</v>
      </c>
      <c r="UYX615" s="5" t="s">
        <v>3728</v>
      </c>
      <c r="UYY615" s="17">
        <v>44925</v>
      </c>
      <c r="UYZ615" s="5" t="s">
        <v>3728</v>
      </c>
      <c r="UZA615" s="17">
        <v>44925</v>
      </c>
      <c r="UZB615" s="5" t="s">
        <v>3728</v>
      </c>
      <c r="UZC615" s="17">
        <v>44925</v>
      </c>
      <c r="UZD615" s="5" t="s">
        <v>3728</v>
      </c>
      <c r="UZE615" s="17">
        <v>44925</v>
      </c>
      <c r="UZF615" s="5" t="s">
        <v>3728</v>
      </c>
      <c r="UZG615" s="17">
        <v>44925</v>
      </c>
      <c r="UZH615" s="5" t="s">
        <v>3728</v>
      </c>
      <c r="UZI615" s="17">
        <v>44925</v>
      </c>
      <c r="UZJ615" s="5" t="s">
        <v>3728</v>
      </c>
      <c r="UZK615" s="17">
        <v>44925</v>
      </c>
      <c r="UZL615" s="5" t="s">
        <v>3728</v>
      </c>
      <c r="UZM615" s="17">
        <v>44925</v>
      </c>
      <c r="UZN615" s="5" t="s">
        <v>3728</v>
      </c>
      <c r="UZO615" s="17">
        <v>44925</v>
      </c>
      <c r="UZP615" s="5" t="s">
        <v>3728</v>
      </c>
      <c r="UZQ615" s="17">
        <v>44925</v>
      </c>
      <c r="UZR615" s="5" t="s">
        <v>3728</v>
      </c>
      <c r="UZS615" s="17">
        <v>44925</v>
      </c>
      <c r="UZT615" s="5" t="s">
        <v>3728</v>
      </c>
      <c r="UZU615" s="17">
        <v>44925</v>
      </c>
      <c r="UZV615" s="5" t="s">
        <v>3728</v>
      </c>
      <c r="UZW615" s="17">
        <v>44925</v>
      </c>
      <c r="UZX615" s="5" t="s">
        <v>3728</v>
      </c>
      <c r="UZY615" s="17">
        <v>44925</v>
      </c>
      <c r="UZZ615" s="5" t="s">
        <v>3728</v>
      </c>
      <c r="VAA615" s="17">
        <v>44925</v>
      </c>
      <c r="VAB615" s="5" t="s">
        <v>3728</v>
      </c>
      <c r="VAC615" s="17">
        <v>44925</v>
      </c>
      <c r="VAD615" s="5" t="s">
        <v>3728</v>
      </c>
      <c r="VAE615" s="17">
        <v>44925</v>
      </c>
      <c r="VAF615" s="5" t="s">
        <v>3728</v>
      </c>
      <c r="VAG615" s="17">
        <v>44925</v>
      </c>
      <c r="VAH615" s="5" t="s">
        <v>3728</v>
      </c>
      <c r="VAI615" s="17">
        <v>44925</v>
      </c>
      <c r="VAJ615" s="5" t="s">
        <v>3728</v>
      </c>
      <c r="VAK615" s="17">
        <v>44925</v>
      </c>
      <c r="VAL615" s="5" t="s">
        <v>3728</v>
      </c>
      <c r="VAM615" s="17">
        <v>44925</v>
      </c>
      <c r="VAN615" s="5" t="s">
        <v>3728</v>
      </c>
      <c r="VAO615" s="17">
        <v>44925</v>
      </c>
      <c r="VAP615" s="5" t="s">
        <v>3728</v>
      </c>
      <c r="VAQ615" s="17">
        <v>44925</v>
      </c>
      <c r="VAR615" s="5" t="s">
        <v>3728</v>
      </c>
      <c r="VAS615" s="17">
        <v>44925</v>
      </c>
      <c r="VAT615" s="5" t="s">
        <v>3728</v>
      </c>
      <c r="VAU615" s="17">
        <v>44925</v>
      </c>
      <c r="VAV615" s="5" t="s">
        <v>3728</v>
      </c>
      <c r="VAW615" s="17">
        <v>44925</v>
      </c>
      <c r="VAX615" s="5" t="s">
        <v>3728</v>
      </c>
      <c r="VAY615" s="17">
        <v>44925</v>
      </c>
      <c r="VAZ615" s="5" t="s">
        <v>3728</v>
      </c>
      <c r="VBA615" s="17">
        <v>44925</v>
      </c>
      <c r="VBB615" s="5" t="s">
        <v>3728</v>
      </c>
      <c r="VBC615" s="17">
        <v>44925</v>
      </c>
      <c r="VBD615" s="5" t="s">
        <v>3728</v>
      </c>
      <c r="VBE615" s="17">
        <v>44925</v>
      </c>
      <c r="VBF615" s="5" t="s">
        <v>3728</v>
      </c>
      <c r="VBG615" s="17">
        <v>44925</v>
      </c>
      <c r="VBH615" s="5" t="s">
        <v>3728</v>
      </c>
      <c r="VBI615" s="17">
        <v>44925</v>
      </c>
      <c r="VBJ615" s="5" t="s">
        <v>3728</v>
      </c>
      <c r="VBK615" s="17">
        <v>44925</v>
      </c>
      <c r="VBL615" s="5" t="s">
        <v>3728</v>
      </c>
      <c r="VBM615" s="17">
        <v>44925</v>
      </c>
      <c r="VBN615" s="5" t="s">
        <v>3728</v>
      </c>
      <c r="VBO615" s="17">
        <v>44925</v>
      </c>
      <c r="VBP615" s="5" t="s">
        <v>3728</v>
      </c>
      <c r="VBQ615" s="17">
        <v>44925</v>
      </c>
      <c r="VBR615" s="5" t="s">
        <v>3728</v>
      </c>
      <c r="VBS615" s="17">
        <v>44925</v>
      </c>
      <c r="VBT615" s="5" t="s">
        <v>3728</v>
      </c>
      <c r="VBU615" s="17">
        <v>44925</v>
      </c>
      <c r="VBV615" s="5" t="s">
        <v>3728</v>
      </c>
      <c r="VBW615" s="17">
        <v>44925</v>
      </c>
      <c r="VBX615" s="5" t="s">
        <v>3728</v>
      </c>
      <c r="VBY615" s="17">
        <v>44925</v>
      </c>
      <c r="VBZ615" s="5" t="s">
        <v>3728</v>
      </c>
      <c r="VCA615" s="17">
        <v>44925</v>
      </c>
      <c r="VCB615" s="5" t="s">
        <v>3728</v>
      </c>
      <c r="VCC615" s="17">
        <v>44925</v>
      </c>
      <c r="VCD615" s="5" t="s">
        <v>3728</v>
      </c>
      <c r="VCE615" s="17">
        <v>44925</v>
      </c>
      <c r="VCF615" s="5" t="s">
        <v>3728</v>
      </c>
      <c r="VCG615" s="17">
        <v>44925</v>
      </c>
      <c r="VCH615" s="5" t="s">
        <v>3728</v>
      </c>
      <c r="VCI615" s="17">
        <v>44925</v>
      </c>
      <c r="VCJ615" s="5" t="s">
        <v>3728</v>
      </c>
      <c r="VCK615" s="17">
        <v>44925</v>
      </c>
      <c r="VCL615" s="5" t="s">
        <v>3728</v>
      </c>
      <c r="VCM615" s="17">
        <v>44925</v>
      </c>
      <c r="VCN615" s="5" t="s">
        <v>3728</v>
      </c>
      <c r="VCO615" s="17">
        <v>44925</v>
      </c>
      <c r="VCP615" s="5" t="s">
        <v>3728</v>
      </c>
      <c r="VCQ615" s="17">
        <v>44925</v>
      </c>
      <c r="VCR615" s="5" t="s">
        <v>3728</v>
      </c>
      <c r="VCS615" s="17">
        <v>44925</v>
      </c>
      <c r="VCT615" s="5" t="s">
        <v>3728</v>
      </c>
      <c r="VCU615" s="17">
        <v>44925</v>
      </c>
      <c r="VCV615" s="5" t="s">
        <v>3728</v>
      </c>
      <c r="VCW615" s="17">
        <v>44925</v>
      </c>
      <c r="VCX615" s="5" t="s">
        <v>3728</v>
      </c>
      <c r="VCY615" s="17">
        <v>44925</v>
      </c>
      <c r="VCZ615" s="5" t="s">
        <v>3728</v>
      </c>
      <c r="VDA615" s="17">
        <v>44925</v>
      </c>
      <c r="VDB615" s="5" t="s">
        <v>3728</v>
      </c>
      <c r="VDC615" s="17">
        <v>44925</v>
      </c>
      <c r="VDD615" s="5" t="s">
        <v>3728</v>
      </c>
      <c r="VDE615" s="17">
        <v>44925</v>
      </c>
      <c r="VDF615" s="5" t="s">
        <v>3728</v>
      </c>
      <c r="VDG615" s="17">
        <v>44925</v>
      </c>
      <c r="VDH615" s="5" t="s">
        <v>3728</v>
      </c>
      <c r="VDI615" s="17">
        <v>44925</v>
      </c>
      <c r="VDJ615" s="5" t="s">
        <v>3728</v>
      </c>
      <c r="VDK615" s="17">
        <v>44925</v>
      </c>
      <c r="VDL615" s="5" t="s">
        <v>3728</v>
      </c>
      <c r="VDM615" s="17">
        <v>44925</v>
      </c>
      <c r="VDN615" s="5" t="s">
        <v>3728</v>
      </c>
      <c r="VDO615" s="17">
        <v>44925</v>
      </c>
      <c r="VDP615" s="5" t="s">
        <v>3728</v>
      </c>
      <c r="VDQ615" s="17">
        <v>44925</v>
      </c>
      <c r="VDR615" s="5" t="s">
        <v>3728</v>
      </c>
      <c r="VDS615" s="17">
        <v>44925</v>
      </c>
      <c r="VDT615" s="5" t="s">
        <v>3728</v>
      </c>
      <c r="VDU615" s="17">
        <v>44925</v>
      </c>
      <c r="VDV615" s="5" t="s">
        <v>3728</v>
      </c>
      <c r="VDW615" s="17">
        <v>44925</v>
      </c>
      <c r="VDX615" s="5" t="s">
        <v>3728</v>
      </c>
      <c r="VDY615" s="17">
        <v>44925</v>
      </c>
      <c r="VDZ615" s="5" t="s">
        <v>3728</v>
      </c>
      <c r="VEA615" s="17">
        <v>44925</v>
      </c>
      <c r="VEB615" s="5" t="s">
        <v>3728</v>
      </c>
      <c r="VEC615" s="17">
        <v>44925</v>
      </c>
      <c r="VED615" s="5" t="s">
        <v>3728</v>
      </c>
      <c r="VEE615" s="17">
        <v>44925</v>
      </c>
      <c r="VEF615" s="5" t="s">
        <v>3728</v>
      </c>
      <c r="VEG615" s="17">
        <v>44925</v>
      </c>
      <c r="VEH615" s="5" t="s">
        <v>3728</v>
      </c>
      <c r="VEI615" s="17">
        <v>44925</v>
      </c>
      <c r="VEJ615" s="5" t="s">
        <v>3728</v>
      </c>
      <c r="VEK615" s="17">
        <v>44925</v>
      </c>
      <c r="VEL615" s="5" t="s">
        <v>3728</v>
      </c>
      <c r="VEM615" s="17">
        <v>44925</v>
      </c>
      <c r="VEN615" s="5" t="s">
        <v>3728</v>
      </c>
      <c r="VEO615" s="17">
        <v>44925</v>
      </c>
      <c r="VEP615" s="5" t="s">
        <v>3728</v>
      </c>
      <c r="VEQ615" s="17">
        <v>44925</v>
      </c>
      <c r="VER615" s="5" t="s">
        <v>3728</v>
      </c>
      <c r="VES615" s="17">
        <v>44925</v>
      </c>
      <c r="VET615" s="5" t="s">
        <v>3728</v>
      </c>
      <c r="VEU615" s="17">
        <v>44925</v>
      </c>
      <c r="VEV615" s="5" t="s">
        <v>3728</v>
      </c>
      <c r="VEW615" s="17">
        <v>44925</v>
      </c>
      <c r="VEX615" s="5" t="s">
        <v>3728</v>
      </c>
      <c r="VEY615" s="17">
        <v>44925</v>
      </c>
      <c r="VEZ615" s="5" t="s">
        <v>3728</v>
      </c>
      <c r="VFA615" s="17">
        <v>44925</v>
      </c>
      <c r="VFB615" s="5" t="s">
        <v>3728</v>
      </c>
      <c r="VFC615" s="17">
        <v>44925</v>
      </c>
      <c r="VFD615" s="5" t="s">
        <v>3728</v>
      </c>
      <c r="VFE615" s="17">
        <v>44925</v>
      </c>
      <c r="VFF615" s="5" t="s">
        <v>3728</v>
      </c>
      <c r="VFG615" s="17">
        <v>44925</v>
      </c>
      <c r="VFH615" s="5" t="s">
        <v>3728</v>
      </c>
      <c r="VFI615" s="17">
        <v>44925</v>
      </c>
      <c r="VFJ615" s="5" t="s">
        <v>3728</v>
      </c>
      <c r="VFK615" s="17">
        <v>44925</v>
      </c>
      <c r="VFL615" s="5" t="s">
        <v>3728</v>
      </c>
      <c r="VFM615" s="17">
        <v>44925</v>
      </c>
      <c r="VFN615" s="5" t="s">
        <v>3728</v>
      </c>
      <c r="VFO615" s="17">
        <v>44925</v>
      </c>
      <c r="VFP615" s="5" t="s">
        <v>3728</v>
      </c>
      <c r="VFQ615" s="17">
        <v>44925</v>
      </c>
      <c r="VFR615" s="5" t="s">
        <v>3728</v>
      </c>
      <c r="VFS615" s="17">
        <v>44925</v>
      </c>
      <c r="VFT615" s="5" t="s">
        <v>3728</v>
      </c>
      <c r="VFU615" s="17">
        <v>44925</v>
      </c>
      <c r="VFV615" s="5" t="s">
        <v>3728</v>
      </c>
      <c r="VFW615" s="17">
        <v>44925</v>
      </c>
      <c r="VFX615" s="5" t="s">
        <v>3728</v>
      </c>
      <c r="VFY615" s="17">
        <v>44925</v>
      </c>
      <c r="VFZ615" s="5" t="s">
        <v>3728</v>
      </c>
      <c r="VGA615" s="17">
        <v>44925</v>
      </c>
      <c r="VGB615" s="5" t="s">
        <v>3728</v>
      </c>
      <c r="VGC615" s="17">
        <v>44925</v>
      </c>
      <c r="VGD615" s="5" t="s">
        <v>3728</v>
      </c>
      <c r="VGE615" s="17">
        <v>44925</v>
      </c>
      <c r="VGF615" s="5" t="s">
        <v>3728</v>
      </c>
      <c r="VGG615" s="17">
        <v>44925</v>
      </c>
      <c r="VGH615" s="5" t="s">
        <v>3728</v>
      </c>
      <c r="VGI615" s="17">
        <v>44925</v>
      </c>
      <c r="VGJ615" s="5" t="s">
        <v>3728</v>
      </c>
      <c r="VGK615" s="17">
        <v>44925</v>
      </c>
      <c r="VGL615" s="5" t="s">
        <v>3728</v>
      </c>
      <c r="VGM615" s="17">
        <v>44925</v>
      </c>
      <c r="VGN615" s="5" t="s">
        <v>3728</v>
      </c>
      <c r="VGO615" s="17">
        <v>44925</v>
      </c>
      <c r="VGP615" s="5" t="s">
        <v>3728</v>
      </c>
      <c r="VGQ615" s="17">
        <v>44925</v>
      </c>
      <c r="VGR615" s="5" t="s">
        <v>3728</v>
      </c>
      <c r="VGS615" s="17">
        <v>44925</v>
      </c>
      <c r="VGT615" s="5" t="s">
        <v>3728</v>
      </c>
      <c r="VGU615" s="17">
        <v>44925</v>
      </c>
      <c r="VGV615" s="5" t="s">
        <v>3728</v>
      </c>
      <c r="VGW615" s="17">
        <v>44925</v>
      </c>
      <c r="VGX615" s="5" t="s">
        <v>3728</v>
      </c>
      <c r="VGY615" s="17">
        <v>44925</v>
      </c>
      <c r="VGZ615" s="5" t="s">
        <v>3728</v>
      </c>
      <c r="VHA615" s="17">
        <v>44925</v>
      </c>
      <c r="VHB615" s="5" t="s">
        <v>3728</v>
      </c>
      <c r="VHC615" s="17">
        <v>44925</v>
      </c>
      <c r="VHD615" s="5" t="s">
        <v>3728</v>
      </c>
      <c r="VHE615" s="17">
        <v>44925</v>
      </c>
      <c r="VHF615" s="5" t="s">
        <v>3728</v>
      </c>
      <c r="VHG615" s="17">
        <v>44925</v>
      </c>
      <c r="VHH615" s="5" t="s">
        <v>3728</v>
      </c>
      <c r="VHI615" s="17">
        <v>44925</v>
      </c>
      <c r="VHJ615" s="5" t="s">
        <v>3728</v>
      </c>
      <c r="VHK615" s="17">
        <v>44925</v>
      </c>
      <c r="VHL615" s="5" t="s">
        <v>3728</v>
      </c>
      <c r="VHM615" s="17">
        <v>44925</v>
      </c>
      <c r="VHN615" s="5" t="s">
        <v>3728</v>
      </c>
      <c r="VHO615" s="17">
        <v>44925</v>
      </c>
      <c r="VHP615" s="5" t="s">
        <v>3728</v>
      </c>
      <c r="VHQ615" s="17">
        <v>44925</v>
      </c>
      <c r="VHR615" s="5" t="s">
        <v>3728</v>
      </c>
      <c r="VHS615" s="17">
        <v>44925</v>
      </c>
      <c r="VHT615" s="5" t="s">
        <v>3728</v>
      </c>
      <c r="VHU615" s="17">
        <v>44925</v>
      </c>
      <c r="VHV615" s="5" t="s">
        <v>3728</v>
      </c>
      <c r="VHW615" s="17">
        <v>44925</v>
      </c>
      <c r="VHX615" s="5" t="s">
        <v>3728</v>
      </c>
      <c r="VHY615" s="17">
        <v>44925</v>
      </c>
      <c r="VHZ615" s="5" t="s">
        <v>3728</v>
      </c>
      <c r="VIA615" s="17">
        <v>44925</v>
      </c>
      <c r="VIB615" s="5" t="s">
        <v>3728</v>
      </c>
      <c r="VIC615" s="17">
        <v>44925</v>
      </c>
      <c r="VID615" s="5" t="s">
        <v>3728</v>
      </c>
      <c r="VIE615" s="17">
        <v>44925</v>
      </c>
      <c r="VIF615" s="5" t="s">
        <v>3728</v>
      </c>
      <c r="VIG615" s="17">
        <v>44925</v>
      </c>
      <c r="VIH615" s="5" t="s">
        <v>3728</v>
      </c>
      <c r="VII615" s="17">
        <v>44925</v>
      </c>
      <c r="VIJ615" s="5" t="s">
        <v>3728</v>
      </c>
      <c r="VIK615" s="17">
        <v>44925</v>
      </c>
      <c r="VIL615" s="5" t="s">
        <v>3728</v>
      </c>
      <c r="VIM615" s="17">
        <v>44925</v>
      </c>
      <c r="VIN615" s="5" t="s">
        <v>3728</v>
      </c>
      <c r="VIO615" s="17">
        <v>44925</v>
      </c>
      <c r="VIP615" s="5" t="s">
        <v>3728</v>
      </c>
      <c r="VIQ615" s="17">
        <v>44925</v>
      </c>
      <c r="VIR615" s="5" t="s">
        <v>3728</v>
      </c>
      <c r="VIS615" s="17">
        <v>44925</v>
      </c>
      <c r="VIT615" s="5" t="s">
        <v>3728</v>
      </c>
      <c r="VIU615" s="17">
        <v>44925</v>
      </c>
      <c r="VIV615" s="5" t="s">
        <v>3728</v>
      </c>
      <c r="VIW615" s="17">
        <v>44925</v>
      </c>
      <c r="VIX615" s="5" t="s">
        <v>3728</v>
      </c>
      <c r="VIY615" s="17">
        <v>44925</v>
      </c>
      <c r="VIZ615" s="5" t="s">
        <v>3728</v>
      </c>
      <c r="VJA615" s="17">
        <v>44925</v>
      </c>
      <c r="VJB615" s="5" t="s">
        <v>3728</v>
      </c>
      <c r="VJC615" s="17">
        <v>44925</v>
      </c>
      <c r="VJD615" s="5" t="s">
        <v>3728</v>
      </c>
      <c r="VJE615" s="17">
        <v>44925</v>
      </c>
      <c r="VJF615" s="5" t="s">
        <v>3728</v>
      </c>
      <c r="VJG615" s="17">
        <v>44925</v>
      </c>
      <c r="VJH615" s="5" t="s">
        <v>3728</v>
      </c>
      <c r="VJI615" s="17">
        <v>44925</v>
      </c>
      <c r="VJJ615" s="5" t="s">
        <v>3728</v>
      </c>
      <c r="VJK615" s="17">
        <v>44925</v>
      </c>
      <c r="VJL615" s="5" t="s">
        <v>3728</v>
      </c>
      <c r="VJM615" s="17">
        <v>44925</v>
      </c>
      <c r="VJN615" s="5" t="s">
        <v>3728</v>
      </c>
      <c r="VJO615" s="17">
        <v>44925</v>
      </c>
      <c r="VJP615" s="5" t="s">
        <v>3728</v>
      </c>
      <c r="VJQ615" s="17">
        <v>44925</v>
      </c>
      <c r="VJR615" s="5" t="s">
        <v>3728</v>
      </c>
      <c r="VJS615" s="17">
        <v>44925</v>
      </c>
      <c r="VJT615" s="5" t="s">
        <v>3728</v>
      </c>
      <c r="VJU615" s="17">
        <v>44925</v>
      </c>
      <c r="VJV615" s="5" t="s">
        <v>3728</v>
      </c>
      <c r="VJW615" s="17">
        <v>44925</v>
      </c>
      <c r="VJX615" s="5" t="s">
        <v>3728</v>
      </c>
      <c r="VJY615" s="17">
        <v>44925</v>
      </c>
      <c r="VJZ615" s="5" t="s">
        <v>3728</v>
      </c>
      <c r="VKA615" s="17">
        <v>44925</v>
      </c>
      <c r="VKB615" s="5" t="s">
        <v>3728</v>
      </c>
      <c r="VKC615" s="17">
        <v>44925</v>
      </c>
      <c r="VKD615" s="5" t="s">
        <v>3728</v>
      </c>
      <c r="VKE615" s="17">
        <v>44925</v>
      </c>
      <c r="VKF615" s="5" t="s">
        <v>3728</v>
      </c>
      <c r="VKG615" s="17">
        <v>44925</v>
      </c>
      <c r="VKH615" s="5" t="s">
        <v>3728</v>
      </c>
      <c r="VKI615" s="17">
        <v>44925</v>
      </c>
      <c r="VKJ615" s="5" t="s">
        <v>3728</v>
      </c>
      <c r="VKK615" s="17">
        <v>44925</v>
      </c>
      <c r="VKL615" s="5" t="s">
        <v>3728</v>
      </c>
      <c r="VKM615" s="17">
        <v>44925</v>
      </c>
      <c r="VKN615" s="5" t="s">
        <v>3728</v>
      </c>
      <c r="VKO615" s="17">
        <v>44925</v>
      </c>
      <c r="VKP615" s="5" t="s">
        <v>3728</v>
      </c>
      <c r="VKQ615" s="17">
        <v>44925</v>
      </c>
      <c r="VKR615" s="5" t="s">
        <v>3728</v>
      </c>
      <c r="VKS615" s="17">
        <v>44925</v>
      </c>
      <c r="VKT615" s="5" t="s">
        <v>3728</v>
      </c>
      <c r="VKU615" s="17">
        <v>44925</v>
      </c>
      <c r="VKV615" s="5" t="s">
        <v>3728</v>
      </c>
      <c r="VKW615" s="17">
        <v>44925</v>
      </c>
      <c r="VKX615" s="5" t="s">
        <v>3728</v>
      </c>
      <c r="VKY615" s="17">
        <v>44925</v>
      </c>
      <c r="VKZ615" s="5" t="s">
        <v>3728</v>
      </c>
      <c r="VLA615" s="17">
        <v>44925</v>
      </c>
      <c r="VLB615" s="5" t="s">
        <v>3728</v>
      </c>
      <c r="VLC615" s="17">
        <v>44925</v>
      </c>
      <c r="VLD615" s="5" t="s">
        <v>3728</v>
      </c>
      <c r="VLE615" s="17">
        <v>44925</v>
      </c>
      <c r="VLF615" s="5" t="s">
        <v>3728</v>
      </c>
      <c r="VLG615" s="17">
        <v>44925</v>
      </c>
      <c r="VLH615" s="5" t="s">
        <v>3728</v>
      </c>
      <c r="VLI615" s="17">
        <v>44925</v>
      </c>
      <c r="VLJ615" s="5" t="s">
        <v>3728</v>
      </c>
      <c r="VLK615" s="17">
        <v>44925</v>
      </c>
      <c r="VLL615" s="5" t="s">
        <v>3728</v>
      </c>
      <c r="VLM615" s="17">
        <v>44925</v>
      </c>
      <c r="VLN615" s="5" t="s">
        <v>3728</v>
      </c>
      <c r="VLO615" s="17">
        <v>44925</v>
      </c>
      <c r="VLP615" s="5" t="s">
        <v>3728</v>
      </c>
      <c r="VLQ615" s="17">
        <v>44925</v>
      </c>
      <c r="VLR615" s="5" t="s">
        <v>3728</v>
      </c>
      <c r="VLS615" s="17">
        <v>44925</v>
      </c>
      <c r="VLT615" s="5" t="s">
        <v>3728</v>
      </c>
      <c r="VLU615" s="17">
        <v>44925</v>
      </c>
      <c r="VLV615" s="5" t="s">
        <v>3728</v>
      </c>
      <c r="VLW615" s="17">
        <v>44925</v>
      </c>
      <c r="VLX615" s="5" t="s">
        <v>3728</v>
      </c>
      <c r="VLY615" s="17">
        <v>44925</v>
      </c>
      <c r="VLZ615" s="5" t="s">
        <v>3728</v>
      </c>
      <c r="VMA615" s="17">
        <v>44925</v>
      </c>
      <c r="VMB615" s="5" t="s">
        <v>3728</v>
      </c>
      <c r="VMC615" s="17">
        <v>44925</v>
      </c>
      <c r="VMD615" s="5" t="s">
        <v>3728</v>
      </c>
      <c r="VME615" s="17">
        <v>44925</v>
      </c>
      <c r="VMF615" s="5" t="s">
        <v>3728</v>
      </c>
      <c r="VMG615" s="17">
        <v>44925</v>
      </c>
      <c r="VMH615" s="5" t="s">
        <v>3728</v>
      </c>
      <c r="VMI615" s="17">
        <v>44925</v>
      </c>
      <c r="VMJ615" s="5" t="s">
        <v>3728</v>
      </c>
      <c r="VMK615" s="17">
        <v>44925</v>
      </c>
      <c r="VML615" s="5" t="s">
        <v>3728</v>
      </c>
      <c r="VMM615" s="17">
        <v>44925</v>
      </c>
      <c r="VMN615" s="5" t="s">
        <v>3728</v>
      </c>
      <c r="VMO615" s="17">
        <v>44925</v>
      </c>
      <c r="VMP615" s="5" t="s">
        <v>3728</v>
      </c>
      <c r="VMQ615" s="17">
        <v>44925</v>
      </c>
      <c r="VMR615" s="5" t="s">
        <v>3728</v>
      </c>
      <c r="VMS615" s="17">
        <v>44925</v>
      </c>
      <c r="VMT615" s="5" t="s">
        <v>3728</v>
      </c>
      <c r="VMU615" s="17">
        <v>44925</v>
      </c>
      <c r="VMV615" s="5" t="s">
        <v>3728</v>
      </c>
      <c r="VMW615" s="17">
        <v>44925</v>
      </c>
      <c r="VMX615" s="5" t="s">
        <v>3728</v>
      </c>
      <c r="VMY615" s="17">
        <v>44925</v>
      </c>
      <c r="VMZ615" s="5" t="s">
        <v>3728</v>
      </c>
      <c r="VNA615" s="17">
        <v>44925</v>
      </c>
      <c r="VNB615" s="5" t="s">
        <v>3728</v>
      </c>
      <c r="VNC615" s="17">
        <v>44925</v>
      </c>
      <c r="VND615" s="5" t="s">
        <v>3728</v>
      </c>
      <c r="VNE615" s="17">
        <v>44925</v>
      </c>
      <c r="VNF615" s="5" t="s">
        <v>3728</v>
      </c>
      <c r="VNG615" s="17">
        <v>44925</v>
      </c>
      <c r="VNH615" s="5" t="s">
        <v>3728</v>
      </c>
      <c r="VNI615" s="17">
        <v>44925</v>
      </c>
      <c r="VNJ615" s="5" t="s">
        <v>3728</v>
      </c>
      <c r="VNK615" s="17">
        <v>44925</v>
      </c>
      <c r="VNL615" s="5" t="s">
        <v>3728</v>
      </c>
      <c r="VNM615" s="17">
        <v>44925</v>
      </c>
      <c r="VNN615" s="5" t="s">
        <v>3728</v>
      </c>
      <c r="VNO615" s="17">
        <v>44925</v>
      </c>
      <c r="VNP615" s="5" t="s">
        <v>3728</v>
      </c>
      <c r="VNQ615" s="17">
        <v>44925</v>
      </c>
      <c r="VNR615" s="5" t="s">
        <v>3728</v>
      </c>
      <c r="VNS615" s="17">
        <v>44925</v>
      </c>
      <c r="VNT615" s="5" t="s">
        <v>3728</v>
      </c>
      <c r="VNU615" s="17">
        <v>44925</v>
      </c>
      <c r="VNV615" s="5" t="s">
        <v>3728</v>
      </c>
      <c r="VNW615" s="17">
        <v>44925</v>
      </c>
      <c r="VNX615" s="5" t="s">
        <v>3728</v>
      </c>
      <c r="VNY615" s="17">
        <v>44925</v>
      </c>
      <c r="VNZ615" s="5" t="s">
        <v>3728</v>
      </c>
      <c r="VOA615" s="17">
        <v>44925</v>
      </c>
      <c r="VOB615" s="5" t="s">
        <v>3728</v>
      </c>
      <c r="VOC615" s="17">
        <v>44925</v>
      </c>
      <c r="VOD615" s="5" t="s">
        <v>3728</v>
      </c>
      <c r="VOE615" s="17">
        <v>44925</v>
      </c>
      <c r="VOF615" s="5" t="s">
        <v>3728</v>
      </c>
      <c r="VOG615" s="17">
        <v>44925</v>
      </c>
      <c r="VOH615" s="5" t="s">
        <v>3728</v>
      </c>
      <c r="VOI615" s="17">
        <v>44925</v>
      </c>
      <c r="VOJ615" s="5" t="s">
        <v>3728</v>
      </c>
      <c r="VOK615" s="17">
        <v>44925</v>
      </c>
      <c r="VOL615" s="5" t="s">
        <v>3728</v>
      </c>
      <c r="VOM615" s="17">
        <v>44925</v>
      </c>
      <c r="VON615" s="5" t="s">
        <v>3728</v>
      </c>
      <c r="VOO615" s="17">
        <v>44925</v>
      </c>
      <c r="VOP615" s="5" t="s">
        <v>3728</v>
      </c>
      <c r="VOQ615" s="17">
        <v>44925</v>
      </c>
      <c r="VOR615" s="5" t="s">
        <v>3728</v>
      </c>
      <c r="VOS615" s="17">
        <v>44925</v>
      </c>
      <c r="VOT615" s="5" t="s">
        <v>3728</v>
      </c>
      <c r="VOU615" s="17">
        <v>44925</v>
      </c>
      <c r="VOV615" s="5" t="s">
        <v>3728</v>
      </c>
      <c r="VOW615" s="17">
        <v>44925</v>
      </c>
      <c r="VOX615" s="5" t="s">
        <v>3728</v>
      </c>
      <c r="VOY615" s="17">
        <v>44925</v>
      </c>
      <c r="VOZ615" s="5" t="s">
        <v>3728</v>
      </c>
      <c r="VPA615" s="17">
        <v>44925</v>
      </c>
      <c r="VPB615" s="5" t="s">
        <v>3728</v>
      </c>
      <c r="VPC615" s="17">
        <v>44925</v>
      </c>
      <c r="VPD615" s="5" t="s">
        <v>3728</v>
      </c>
      <c r="VPE615" s="17">
        <v>44925</v>
      </c>
      <c r="VPF615" s="5" t="s">
        <v>3728</v>
      </c>
      <c r="VPG615" s="17">
        <v>44925</v>
      </c>
      <c r="VPH615" s="5" t="s">
        <v>3728</v>
      </c>
      <c r="VPI615" s="17">
        <v>44925</v>
      </c>
      <c r="VPJ615" s="5" t="s">
        <v>3728</v>
      </c>
      <c r="VPK615" s="17">
        <v>44925</v>
      </c>
      <c r="VPL615" s="5" t="s">
        <v>3728</v>
      </c>
      <c r="VPM615" s="17">
        <v>44925</v>
      </c>
      <c r="VPN615" s="5" t="s">
        <v>3728</v>
      </c>
      <c r="VPO615" s="17">
        <v>44925</v>
      </c>
      <c r="VPP615" s="5" t="s">
        <v>3728</v>
      </c>
      <c r="VPQ615" s="17">
        <v>44925</v>
      </c>
      <c r="VPR615" s="5" t="s">
        <v>3728</v>
      </c>
      <c r="VPS615" s="17">
        <v>44925</v>
      </c>
      <c r="VPT615" s="5" t="s">
        <v>3728</v>
      </c>
      <c r="VPU615" s="17">
        <v>44925</v>
      </c>
      <c r="VPV615" s="5" t="s">
        <v>3728</v>
      </c>
      <c r="VPW615" s="17">
        <v>44925</v>
      </c>
      <c r="VPX615" s="5" t="s">
        <v>3728</v>
      </c>
      <c r="VPY615" s="17">
        <v>44925</v>
      </c>
      <c r="VPZ615" s="5" t="s">
        <v>3728</v>
      </c>
      <c r="VQA615" s="17">
        <v>44925</v>
      </c>
      <c r="VQB615" s="5" t="s">
        <v>3728</v>
      </c>
      <c r="VQC615" s="17">
        <v>44925</v>
      </c>
      <c r="VQD615" s="5" t="s">
        <v>3728</v>
      </c>
      <c r="VQE615" s="17">
        <v>44925</v>
      </c>
      <c r="VQF615" s="5" t="s">
        <v>3728</v>
      </c>
      <c r="VQG615" s="17">
        <v>44925</v>
      </c>
      <c r="VQH615" s="5" t="s">
        <v>3728</v>
      </c>
      <c r="VQI615" s="17">
        <v>44925</v>
      </c>
      <c r="VQJ615" s="5" t="s">
        <v>3728</v>
      </c>
      <c r="VQK615" s="17">
        <v>44925</v>
      </c>
      <c r="VQL615" s="5" t="s">
        <v>3728</v>
      </c>
      <c r="VQM615" s="17">
        <v>44925</v>
      </c>
      <c r="VQN615" s="5" t="s">
        <v>3728</v>
      </c>
      <c r="VQO615" s="17">
        <v>44925</v>
      </c>
      <c r="VQP615" s="5" t="s">
        <v>3728</v>
      </c>
      <c r="VQQ615" s="17">
        <v>44925</v>
      </c>
      <c r="VQR615" s="5" t="s">
        <v>3728</v>
      </c>
      <c r="VQS615" s="17">
        <v>44925</v>
      </c>
      <c r="VQT615" s="5" t="s">
        <v>3728</v>
      </c>
      <c r="VQU615" s="17">
        <v>44925</v>
      </c>
      <c r="VQV615" s="5" t="s">
        <v>3728</v>
      </c>
      <c r="VQW615" s="17">
        <v>44925</v>
      </c>
      <c r="VQX615" s="5" t="s">
        <v>3728</v>
      </c>
      <c r="VQY615" s="17">
        <v>44925</v>
      </c>
      <c r="VQZ615" s="5" t="s">
        <v>3728</v>
      </c>
      <c r="VRA615" s="17">
        <v>44925</v>
      </c>
      <c r="VRB615" s="5" t="s">
        <v>3728</v>
      </c>
      <c r="VRC615" s="17">
        <v>44925</v>
      </c>
      <c r="VRD615" s="5" t="s">
        <v>3728</v>
      </c>
      <c r="VRE615" s="17">
        <v>44925</v>
      </c>
      <c r="VRF615" s="5" t="s">
        <v>3728</v>
      </c>
      <c r="VRG615" s="17">
        <v>44925</v>
      </c>
      <c r="VRH615" s="5" t="s">
        <v>3728</v>
      </c>
      <c r="VRI615" s="17">
        <v>44925</v>
      </c>
      <c r="VRJ615" s="5" t="s">
        <v>3728</v>
      </c>
      <c r="VRK615" s="17">
        <v>44925</v>
      </c>
      <c r="VRL615" s="5" t="s">
        <v>3728</v>
      </c>
      <c r="VRM615" s="17">
        <v>44925</v>
      </c>
      <c r="VRN615" s="5" t="s">
        <v>3728</v>
      </c>
      <c r="VRO615" s="17">
        <v>44925</v>
      </c>
      <c r="VRP615" s="5" t="s">
        <v>3728</v>
      </c>
      <c r="VRQ615" s="17">
        <v>44925</v>
      </c>
      <c r="VRR615" s="5" t="s">
        <v>3728</v>
      </c>
      <c r="VRS615" s="17">
        <v>44925</v>
      </c>
      <c r="VRT615" s="5" t="s">
        <v>3728</v>
      </c>
      <c r="VRU615" s="17">
        <v>44925</v>
      </c>
      <c r="VRV615" s="5" t="s">
        <v>3728</v>
      </c>
      <c r="VRW615" s="17">
        <v>44925</v>
      </c>
      <c r="VRX615" s="5" t="s">
        <v>3728</v>
      </c>
      <c r="VRY615" s="17">
        <v>44925</v>
      </c>
      <c r="VRZ615" s="5" t="s">
        <v>3728</v>
      </c>
      <c r="VSA615" s="17">
        <v>44925</v>
      </c>
      <c r="VSB615" s="5" t="s">
        <v>3728</v>
      </c>
      <c r="VSC615" s="17">
        <v>44925</v>
      </c>
      <c r="VSD615" s="5" t="s">
        <v>3728</v>
      </c>
      <c r="VSE615" s="17">
        <v>44925</v>
      </c>
      <c r="VSF615" s="5" t="s">
        <v>3728</v>
      </c>
      <c r="VSG615" s="17">
        <v>44925</v>
      </c>
      <c r="VSH615" s="5" t="s">
        <v>3728</v>
      </c>
      <c r="VSI615" s="17">
        <v>44925</v>
      </c>
      <c r="VSJ615" s="5" t="s">
        <v>3728</v>
      </c>
      <c r="VSK615" s="17">
        <v>44925</v>
      </c>
      <c r="VSL615" s="5" t="s">
        <v>3728</v>
      </c>
      <c r="VSM615" s="17">
        <v>44925</v>
      </c>
      <c r="VSN615" s="5" t="s">
        <v>3728</v>
      </c>
      <c r="VSO615" s="17">
        <v>44925</v>
      </c>
      <c r="VSP615" s="5" t="s">
        <v>3728</v>
      </c>
      <c r="VSQ615" s="17">
        <v>44925</v>
      </c>
      <c r="VSR615" s="5" t="s">
        <v>3728</v>
      </c>
      <c r="VSS615" s="17">
        <v>44925</v>
      </c>
      <c r="VST615" s="5" t="s">
        <v>3728</v>
      </c>
      <c r="VSU615" s="17">
        <v>44925</v>
      </c>
      <c r="VSV615" s="5" t="s">
        <v>3728</v>
      </c>
      <c r="VSW615" s="17">
        <v>44925</v>
      </c>
      <c r="VSX615" s="5" t="s">
        <v>3728</v>
      </c>
      <c r="VSY615" s="17">
        <v>44925</v>
      </c>
      <c r="VSZ615" s="5" t="s">
        <v>3728</v>
      </c>
      <c r="VTA615" s="17">
        <v>44925</v>
      </c>
      <c r="VTB615" s="5" t="s">
        <v>3728</v>
      </c>
      <c r="VTC615" s="17">
        <v>44925</v>
      </c>
      <c r="VTD615" s="5" t="s">
        <v>3728</v>
      </c>
      <c r="VTE615" s="17">
        <v>44925</v>
      </c>
      <c r="VTF615" s="5" t="s">
        <v>3728</v>
      </c>
      <c r="VTG615" s="17">
        <v>44925</v>
      </c>
      <c r="VTH615" s="5" t="s">
        <v>3728</v>
      </c>
      <c r="VTI615" s="17">
        <v>44925</v>
      </c>
      <c r="VTJ615" s="5" t="s">
        <v>3728</v>
      </c>
      <c r="VTK615" s="17">
        <v>44925</v>
      </c>
      <c r="VTL615" s="5" t="s">
        <v>3728</v>
      </c>
      <c r="VTM615" s="17">
        <v>44925</v>
      </c>
      <c r="VTN615" s="5" t="s">
        <v>3728</v>
      </c>
      <c r="VTO615" s="17">
        <v>44925</v>
      </c>
      <c r="VTP615" s="5" t="s">
        <v>3728</v>
      </c>
      <c r="VTQ615" s="17">
        <v>44925</v>
      </c>
      <c r="VTR615" s="5" t="s">
        <v>3728</v>
      </c>
      <c r="VTS615" s="17">
        <v>44925</v>
      </c>
      <c r="VTT615" s="5" t="s">
        <v>3728</v>
      </c>
      <c r="VTU615" s="17">
        <v>44925</v>
      </c>
      <c r="VTV615" s="5" t="s">
        <v>3728</v>
      </c>
      <c r="VTW615" s="17">
        <v>44925</v>
      </c>
      <c r="VTX615" s="5" t="s">
        <v>3728</v>
      </c>
      <c r="VTY615" s="17">
        <v>44925</v>
      </c>
      <c r="VTZ615" s="5" t="s">
        <v>3728</v>
      </c>
      <c r="VUA615" s="17">
        <v>44925</v>
      </c>
      <c r="VUB615" s="5" t="s">
        <v>3728</v>
      </c>
      <c r="VUC615" s="17">
        <v>44925</v>
      </c>
      <c r="VUD615" s="5" t="s">
        <v>3728</v>
      </c>
      <c r="VUE615" s="17">
        <v>44925</v>
      </c>
      <c r="VUF615" s="5" t="s">
        <v>3728</v>
      </c>
      <c r="VUG615" s="17">
        <v>44925</v>
      </c>
      <c r="VUH615" s="5" t="s">
        <v>3728</v>
      </c>
      <c r="VUI615" s="17">
        <v>44925</v>
      </c>
      <c r="VUJ615" s="5" t="s">
        <v>3728</v>
      </c>
      <c r="VUK615" s="17">
        <v>44925</v>
      </c>
      <c r="VUL615" s="5" t="s">
        <v>3728</v>
      </c>
      <c r="VUM615" s="17">
        <v>44925</v>
      </c>
      <c r="VUN615" s="5" t="s">
        <v>3728</v>
      </c>
      <c r="VUO615" s="17">
        <v>44925</v>
      </c>
      <c r="VUP615" s="5" t="s">
        <v>3728</v>
      </c>
      <c r="VUQ615" s="17">
        <v>44925</v>
      </c>
      <c r="VUR615" s="5" t="s">
        <v>3728</v>
      </c>
      <c r="VUS615" s="17">
        <v>44925</v>
      </c>
      <c r="VUT615" s="5" t="s">
        <v>3728</v>
      </c>
      <c r="VUU615" s="17">
        <v>44925</v>
      </c>
      <c r="VUV615" s="5" t="s">
        <v>3728</v>
      </c>
      <c r="VUW615" s="17">
        <v>44925</v>
      </c>
      <c r="VUX615" s="5" t="s">
        <v>3728</v>
      </c>
      <c r="VUY615" s="17">
        <v>44925</v>
      </c>
      <c r="VUZ615" s="5" t="s">
        <v>3728</v>
      </c>
      <c r="VVA615" s="17">
        <v>44925</v>
      </c>
      <c r="VVB615" s="5" t="s">
        <v>3728</v>
      </c>
      <c r="VVC615" s="17">
        <v>44925</v>
      </c>
      <c r="VVD615" s="5" t="s">
        <v>3728</v>
      </c>
      <c r="VVE615" s="17">
        <v>44925</v>
      </c>
      <c r="VVF615" s="5" t="s">
        <v>3728</v>
      </c>
      <c r="VVG615" s="17">
        <v>44925</v>
      </c>
      <c r="VVH615" s="5" t="s">
        <v>3728</v>
      </c>
      <c r="VVI615" s="17">
        <v>44925</v>
      </c>
      <c r="VVJ615" s="5" t="s">
        <v>3728</v>
      </c>
      <c r="VVK615" s="17">
        <v>44925</v>
      </c>
      <c r="VVL615" s="5" t="s">
        <v>3728</v>
      </c>
      <c r="VVM615" s="17">
        <v>44925</v>
      </c>
      <c r="VVN615" s="5" t="s">
        <v>3728</v>
      </c>
      <c r="VVO615" s="17">
        <v>44925</v>
      </c>
      <c r="VVP615" s="5" t="s">
        <v>3728</v>
      </c>
      <c r="VVQ615" s="17">
        <v>44925</v>
      </c>
      <c r="VVR615" s="5" t="s">
        <v>3728</v>
      </c>
      <c r="VVS615" s="17">
        <v>44925</v>
      </c>
      <c r="VVT615" s="5" t="s">
        <v>3728</v>
      </c>
      <c r="VVU615" s="17">
        <v>44925</v>
      </c>
      <c r="VVV615" s="5" t="s">
        <v>3728</v>
      </c>
      <c r="VVW615" s="17">
        <v>44925</v>
      </c>
      <c r="VVX615" s="5" t="s">
        <v>3728</v>
      </c>
      <c r="VVY615" s="17">
        <v>44925</v>
      </c>
      <c r="VVZ615" s="5" t="s">
        <v>3728</v>
      </c>
      <c r="VWA615" s="17">
        <v>44925</v>
      </c>
      <c r="VWB615" s="5" t="s">
        <v>3728</v>
      </c>
      <c r="VWC615" s="17">
        <v>44925</v>
      </c>
      <c r="VWD615" s="5" t="s">
        <v>3728</v>
      </c>
      <c r="VWE615" s="17">
        <v>44925</v>
      </c>
      <c r="VWF615" s="5" t="s">
        <v>3728</v>
      </c>
      <c r="VWG615" s="17">
        <v>44925</v>
      </c>
      <c r="VWH615" s="5" t="s">
        <v>3728</v>
      </c>
      <c r="VWI615" s="17">
        <v>44925</v>
      </c>
      <c r="VWJ615" s="5" t="s">
        <v>3728</v>
      </c>
      <c r="VWK615" s="17">
        <v>44925</v>
      </c>
      <c r="VWL615" s="5" t="s">
        <v>3728</v>
      </c>
      <c r="VWM615" s="17">
        <v>44925</v>
      </c>
      <c r="VWN615" s="5" t="s">
        <v>3728</v>
      </c>
      <c r="VWO615" s="17">
        <v>44925</v>
      </c>
      <c r="VWP615" s="5" t="s">
        <v>3728</v>
      </c>
      <c r="VWQ615" s="17">
        <v>44925</v>
      </c>
      <c r="VWR615" s="5" t="s">
        <v>3728</v>
      </c>
      <c r="VWS615" s="17">
        <v>44925</v>
      </c>
      <c r="VWT615" s="5" t="s">
        <v>3728</v>
      </c>
      <c r="VWU615" s="17">
        <v>44925</v>
      </c>
      <c r="VWV615" s="5" t="s">
        <v>3728</v>
      </c>
      <c r="VWW615" s="17">
        <v>44925</v>
      </c>
      <c r="VWX615" s="5" t="s">
        <v>3728</v>
      </c>
      <c r="VWY615" s="17">
        <v>44925</v>
      </c>
      <c r="VWZ615" s="5" t="s">
        <v>3728</v>
      </c>
      <c r="VXA615" s="17">
        <v>44925</v>
      </c>
      <c r="VXB615" s="5" t="s">
        <v>3728</v>
      </c>
      <c r="VXC615" s="17">
        <v>44925</v>
      </c>
      <c r="VXD615" s="5" t="s">
        <v>3728</v>
      </c>
      <c r="VXE615" s="17">
        <v>44925</v>
      </c>
      <c r="VXF615" s="5" t="s">
        <v>3728</v>
      </c>
      <c r="VXG615" s="17">
        <v>44925</v>
      </c>
      <c r="VXH615" s="5" t="s">
        <v>3728</v>
      </c>
      <c r="VXI615" s="17">
        <v>44925</v>
      </c>
      <c r="VXJ615" s="5" t="s">
        <v>3728</v>
      </c>
      <c r="VXK615" s="17">
        <v>44925</v>
      </c>
      <c r="VXL615" s="5" t="s">
        <v>3728</v>
      </c>
      <c r="VXM615" s="17">
        <v>44925</v>
      </c>
      <c r="VXN615" s="5" t="s">
        <v>3728</v>
      </c>
      <c r="VXO615" s="17">
        <v>44925</v>
      </c>
      <c r="VXP615" s="5" t="s">
        <v>3728</v>
      </c>
      <c r="VXQ615" s="17">
        <v>44925</v>
      </c>
      <c r="VXR615" s="5" t="s">
        <v>3728</v>
      </c>
      <c r="VXS615" s="17">
        <v>44925</v>
      </c>
      <c r="VXT615" s="5" t="s">
        <v>3728</v>
      </c>
      <c r="VXU615" s="17">
        <v>44925</v>
      </c>
      <c r="VXV615" s="5" t="s">
        <v>3728</v>
      </c>
      <c r="VXW615" s="17">
        <v>44925</v>
      </c>
      <c r="VXX615" s="5" t="s">
        <v>3728</v>
      </c>
      <c r="VXY615" s="17">
        <v>44925</v>
      </c>
      <c r="VXZ615" s="5" t="s">
        <v>3728</v>
      </c>
      <c r="VYA615" s="17">
        <v>44925</v>
      </c>
      <c r="VYB615" s="5" t="s">
        <v>3728</v>
      </c>
      <c r="VYC615" s="17">
        <v>44925</v>
      </c>
      <c r="VYD615" s="5" t="s">
        <v>3728</v>
      </c>
      <c r="VYE615" s="17">
        <v>44925</v>
      </c>
      <c r="VYF615" s="5" t="s">
        <v>3728</v>
      </c>
      <c r="VYG615" s="17">
        <v>44925</v>
      </c>
      <c r="VYH615" s="5" t="s">
        <v>3728</v>
      </c>
      <c r="VYI615" s="17">
        <v>44925</v>
      </c>
      <c r="VYJ615" s="5" t="s">
        <v>3728</v>
      </c>
      <c r="VYK615" s="17">
        <v>44925</v>
      </c>
      <c r="VYL615" s="5" t="s">
        <v>3728</v>
      </c>
      <c r="VYM615" s="17">
        <v>44925</v>
      </c>
      <c r="VYN615" s="5" t="s">
        <v>3728</v>
      </c>
      <c r="VYO615" s="17">
        <v>44925</v>
      </c>
      <c r="VYP615" s="5" t="s">
        <v>3728</v>
      </c>
      <c r="VYQ615" s="17">
        <v>44925</v>
      </c>
      <c r="VYR615" s="5" t="s">
        <v>3728</v>
      </c>
      <c r="VYS615" s="17">
        <v>44925</v>
      </c>
      <c r="VYT615" s="5" t="s">
        <v>3728</v>
      </c>
      <c r="VYU615" s="17">
        <v>44925</v>
      </c>
      <c r="VYV615" s="5" t="s">
        <v>3728</v>
      </c>
      <c r="VYW615" s="17">
        <v>44925</v>
      </c>
      <c r="VYX615" s="5" t="s">
        <v>3728</v>
      </c>
      <c r="VYY615" s="17">
        <v>44925</v>
      </c>
      <c r="VYZ615" s="5" t="s">
        <v>3728</v>
      </c>
      <c r="VZA615" s="17">
        <v>44925</v>
      </c>
      <c r="VZB615" s="5" t="s">
        <v>3728</v>
      </c>
      <c r="VZC615" s="17">
        <v>44925</v>
      </c>
      <c r="VZD615" s="5" t="s">
        <v>3728</v>
      </c>
      <c r="VZE615" s="17">
        <v>44925</v>
      </c>
      <c r="VZF615" s="5" t="s">
        <v>3728</v>
      </c>
      <c r="VZG615" s="17">
        <v>44925</v>
      </c>
      <c r="VZH615" s="5" t="s">
        <v>3728</v>
      </c>
      <c r="VZI615" s="17">
        <v>44925</v>
      </c>
      <c r="VZJ615" s="5" t="s">
        <v>3728</v>
      </c>
      <c r="VZK615" s="17">
        <v>44925</v>
      </c>
      <c r="VZL615" s="5" t="s">
        <v>3728</v>
      </c>
      <c r="VZM615" s="17">
        <v>44925</v>
      </c>
      <c r="VZN615" s="5" t="s">
        <v>3728</v>
      </c>
      <c r="VZO615" s="17">
        <v>44925</v>
      </c>
      <c r="VZP615" s="5" t="s">
        <v>3728</v>
      </c>
      <c r="VZQ615" s="17">
        <v>44925</v>
      </c>
      <c r="VZR615" s="5" t="s">
        <v>3728</v>
      </c>
      <c r="VZS615" s="17">
        <v>44925</v>
      </c>
      <c r="VZT615" s="5" t="s">
        <v>3728</v>
      </c>
      <c r="VZU615" s="17">
        <v>44925</v>
      </c>
      <c r="VZV615" s="5" t="s">
        <v>3728</v>
      </c>
      <c r="VZW615" s="17">
        <v>44925</v>
      </c>
      <c r="VZX615" s="5" t="s">
        <v>3728</v>
      </c>
      <c r="VZY615" s="17">
        <v>44925</v>
      </c>
      <c r="VZZ615" s="5" t="s">
        <v>3728</v>
      </c>
      <c r="WAA615" s="17">
        <v>44925</v>
      </c>
      <c r="WAB615" s="5" t="s">
        <v>3728</v>
      </c>
      <c r="WAC615" s="17">
        <v>44925</v>
      </c>
      <c r="WAD615" s="5" t="s">
        <v>3728</v>
      </c>
      <c r="WAE615" s="17">
        <v>44925</v>
      </c>
      <c r="WAF615" s="5" t="s">
        <v>3728</v>
      </c>
      <c r="WAG615" s="17">
        <v>44925</v>
      </c>
      <c r="WAH615" s="5" t="s">
        <v>3728</v>
      </c>
      <c r="WAI615" s="17">
        <v>44925</v>
      </c>
      <c r="WAJ615" s="5" t="s">
        <v>3728</v>
      </c>
      <c r="WAK615" s="17">
        <v>44925</v>
      </c>
      <c r="WAL615" s="5" t="s">
        <v>3728</v>
      </c>
      <c r="WAM615" s="17">
        <v>44925</v>
      </c>
      <c r="WAN615" s="5" t="s">
        <v>3728</v>
      </c>
      <c r="WAO615" s="17">
        <v>44925</v>
      </c>
      <c r="WAP615" s="5" t="s">
        <v>3728</v>
      </c>
      <c r="WAQ615" s="17">
        <v>44925</v>
      </c>
      <c r="WAR615" s="5" t="s">
        <v>3728</v>
      </c>
      <c r="WAS615" s="17">
        <v>44925</v>
      </c>
      <c r="WAT615" s="5" t="s">
        <v>3728</v>
      </c>
      <c r="WAU615" s="17">
        <v>44925</v>
      </c>
      <c r="WAV615" s="5" t="s">
        <v>3728</v>
      </c>
      <c r="WAW615" s="17">
        <v>44925</v>
      </c>
      <c r="WAX615" s="5" t="s">
        <v>3728</v>
      </c>
      <c r="WAY615" s="17">
        <v>44925</v>
      </c>
      <c r="WAZ615" s="5" t="s">
        <v>3728</v>
      </c>
      <c r="WBA615" s="17">
        <v>44925</v>
      </c>
      <c r="WBB615" s="5" t="s">
        <v>3728</v>
      </c>
      <c r="WBC615" s="17">
        <v>44925</v>
      </c>
      <c r="WBD615" s="5" t="s">
        <v>3728</v>
      </c>
      <c r="WBE615" s="17">
        <v>44925</v>
      </c>
      <c r="WBF615" s="5" t="s">
        <v>3728</v>
      </c>
      <c r="WBG615" s="17">
        <v>44925</v>
      </c>
      <c r="WBH615" s="5" t="s">
        <v>3728</v>
      </c>
      <c r="WBI615" s="17">
        <v>44925</v>
      </c>
      <c r="WBJ615" s="5" t="s">
        <v>3728</v>
      </c>
      <c r="WBK615" s="17">
        <v>44925</v>
      </c>
      <c r="WBL615" s="5" t="s">
        <v>3728</v>
      </c>
      <c r="WBM615" s="17">
        <v>44925</v>
      </c>
      <c r="WBN615" s="5" t="s">
        <v>3728</v>
      </c>
      <c r="WBO615" s="17">
        <v>44925</v>
      </c>
      <c r="WBP615" s="5" t="s">
        <v>3728</v>
      </c>
      <c r="WBQ615" s="17">
        <v>44925</v>
      </c>
      <c r="WBR615" s="5" t="s">
        <v>3728</v>
      </c>
      <c r="WBS615" s="17">
        <v>44925</v>
      </c>
      <c r="WBT615" s="5" t="s">
        <v>3728</v>
      </c>
      <c r="WBU615" s="17">
        <v>44925</v>
      </c>
      <c r="WBV615" s="5" t="s">
        <v>3728</v>
      </c>
      <c r="WBW615" s="17">
        <v>44925</v>
      </c>
      <c r="WBX615" s="5" t="s">
        <v>3728</v>
      </c>
      <c r="WBY615" s="17">
        <v>44925</v>
      </c>
      <c r="WBZ615" s="5" t="s">
        <v>3728</v>
      </c>
      <c r="WCA615" s="17">
        <v>44925</v>
      </c>
      <c r="WCB615" s="5" t="s">
        <v>3728</v>
      </c>
      <c r="WCC615" s="17">
        <v>44925</v>
      </c>
      <c r="WCD615" s="5" t="s">
        <v>3728</v>
      </c>
      <c r="WCE615" s="17">
        <v>44925</v>
      </c>
      <c r="WCF615" s="5" t="s">
        <v>3728</v>
      </c>
      <c r="WCG615" s="17">
        <v>44925</v>
      </c>
      <c r="WCH615" s="5" t="s">
        <v>3728</v>
      </c>
      <c r="WCI615" s="17">
        <v>44925</v>
      </c>
      <c r="WCJ615" s="5" t="s">
        <v>3728</v>
      </c>
      <c r="WCK615" s="17">
        <v>44925</v>
      </c>
      <c r="WCL615" s="5" t="s">
        <v>3728</v>
      </c>
      <c r="WCM615" s="17">
        <v>44925</v>
      </c>
      <c r="WCN615" s="5" t="s">
        <v>3728</v>
      </c>
      <c r="WCO615" s="17">
        <v>44925</v>
      </c>
      <c r="WCP615" s="5" t="s">
        <v>3728</v>
      </c>
      <c r="WCQ615" s="17">
        <v>44925</v>
      </c>
      <c r="WCR615" s="5" t="s">
        <v>3728</v>
      </c>
      <c r="WCS615" s="17">
        <v>44925</v>
      </c>
      <c r="WCT615" s="5" t="s">
        <v>3728</v>
      </c>
      <c r="WCU615" s="17">
        <v>44925</v>
      </c>
      <c r="WCV615" s="5" t="s">
        <v>3728</v>
      </c>
      <c r="WCW615" s="17">
        <v>44925</v>
      </c>
      <c r="WCX615" s="5" t="s">
        <v>3728</v>
      </c>
      <c r="WCY615" s="17">
        <v>44925</v>
      </c>
      <c r="WCZ615" s="5" t="s">
        <v>3728</v>
      </c>
      <c r="WDA615" s="17">
        <v>44925</v>
      </c>
      <c r="WDB615" s="5" t="s">
        <v>3728</v>
      </c>
      <c r="WDC615" s="17">
        <v>44925</v>
      </c>
      <c r="WDD615" s="5" t="s">
        <v>3728</v>
      </c>
      <c r="WDE615" s="17">
        <v>44925</v>
      </c>
      <c r="WDF615" s="5" t="s">
        <v>3728</v>
      </c>
      <c r="WDG615" s="17">
        <v>44925</v>
      </c>
      <c r="WDH615" s="5" t="s">
        <v>3728</v>
      </c>
      <c r="WDI615" s="17">
        <v>44925</v>
      </c>
      <c r="WDJ615" s="5" t="s">
        <v>3728</v>
      </c>
      <c r="WDK615" s="17">
        <v>44925</v>
      </c>
      <c r="WDL615" s="5" t="s">
        <v>3728</v>
      </c>
      <c r="WDM615" s="17">
        <v>44925</v>
      </c>
      <c r="WDN615" s="5" t="s">
        <v>3728</v>
      </c>
      <c r="WDO615" s="17">
        <v>44925</v>
      </c>
      <c r="WDP615" s="5" t="s">
        <v>3728</v>
      </c>
      <c r="WDQ615" s="17">
        <v>44925</v>
      </c>
      <c r="WDR615" s="5" t="s">
        <v>3728</v>
      </c>
      <c r="WDS615" s="17">
        <v>44925</v>
      </c>
      <c r="WDT615" s="5" t="s">
        <v>3728</v>
      </c>
      <c r="WDU615" s="17">
        <v>44925</v>
      </c>
      <c r="WDV615" s="5" t="s">
        <v>3728</v>
      </c>
      <c r="WDW615" s="17">
        <v>44925</v>
      </c>
      <c r="WDX615" s="5" t="s">
        <v>3728</v>
      </c>
      <c r="WDY615" s="17">
        <v>44925</v>
      </c>
      <c r="WDZ615" s="5" t="s">
        <v>3728</v>
      </c>
      <c r="WEA615" s="17">
        <v>44925</v>
      </c>
      <c r="WEB615" s="5" t="s">
        <v>3728</v>
      </c>
      <c r="WEC615" s="17">
        <v>44925</v>
      </c>
      <c r="WED615" s="5" t="s">
        <v>3728</v>
      </c>
      <c r="WEE615" s="17">
        <v>44925</v>
      </c>
      <c r="WEF615" s="5" t="s">
        <v>3728</v>
      </c>
      <c r="WEG615" s="17">
        <v>44925</v>
      </c>
      <c r="WEH615" s="5" t="s">
        <v>3728</v>
      </c>
      <c r="WEI615" s="17">
        <v>44925</v>
      </c>
      <c r="WEJ615" s="5" t="s">
        <v>3728</v>
      </c>
      <c r="WEK615" s="17">
        <v>44925</v>
      </c>
      <c r="WEL615" s="5" t="s">
        <v>3728</v>
      </c>
      <c r="WEM615" s="17">
        <v>44925</v>
      </c>
      <c r="WEN615" s="5" t="s">
        <v>3728</v>
      </c>
      <c r="WEO615" s="17">
        <v>44925</v>
      </c>
      <c r="WEP615" s="5" t="s">
        <v>3728</v>
      </c>
      <c r="WEQ615" s="17">
        <v>44925</v>
      </c>
      <c r="WER615" s="5" t="s">
        <v>3728</v>
      </c>
      <c r="WES615" s="17">
        <v>44925</v>
      </c>
      <c r="WET615" s="5" t="s">
        <v>3728</v>
      </c>
      <c r="WEU615" s="17">
        <v>44925</v>
      </c>
      <c r="WEV615" s="5" t="s">
        <v>3728</v>
      </c>
      <c r="WEW615" s="17">
        <v>44925</v>
      </c>
      <c r="WEX615" s="5" t="s">
        <v>3728</v>
      </c>
      <c r="WEY615" s="17">
        <v>44925</v>
      </c>
      <c r="WEZ615" s="5" t="s">
        <v>3728</v>
      </c>
      <c r="WFA615" s="17">
        <v>44925</v>
      </c>
      <c r="WFB615" s="5" t="s">
        <v>3728</v>
      </c>
      <c r="WFC615" s="17">
        <v>44925</v>
      </c>
      <c r="WFD615" s="5" t="s">
        <v>3728</v>
      </c>
      <c r="WFE615" s="17">
        <v>44925</v>
      </c>
      <c r="WFF615" s="5" t="s">
        <v>3728</v>
      </c>
      <c r="WFG615" s="17">
        <v>44925</v>
      </c>
      <c r="WFH615" s="5" t="s">
        <v>3728</v>
      </c>
      <c r="WFI615" s="17">
        <v>44925</v>
      </c>
      <c r="WFJ615" s="5" t="s">
        <v>3728</v>
      </c>
      <c r="WFK615" s="17">
        <v>44925</v>
      </c>
      <c r="WFL615" s="5" t="s">
        <v>3728</v>
      </c>
      <c r="WFM615" s="17">
        <v>44925</v>
      </c>
      <c r="WFN615" s="5" t="s">
        <v>3728</v>
      </c>
      <c r="WFO615" s="17">
        <v>44925</v>
      </c>
      <c r="WFP615" s="5" t="s">
        <v>3728</v>
      </c>
      <c r="WFQ615" s="17">
        <v>44925</v>
      </c>
      <c r="WFR615" s="5" t="s">
        <v>3728</v>
      </c>
      <c r="WFS615" s="17">
        <v>44925</v>
      </c>
      <c r="WFT615" s="5" t="s">
        <v>3728</v>
      </c>
      <c r="WFU615" s="17">
        <v>44925</v>
      </c>
      <c r="WFV615" s="5" t="s">
        <v>3728</v>
      </c>
      <c r="WFW615" s="17">
        <v>44925</v>
      </c>
      <c r="WFX615" s="5" t="s">
        <v>3728</v>
      </c>
      <c r="WFY615" s="17">
        <v>44925</v>
      </c>
      <c r="WFZ615" s="5" t="s">
        <v>3728</v>
      </c>
      <c r="WGA615" s="17">
        <v>44925</v>
      </c>
      <c r="WGB615" s="5" t="s">
        <v>3728</v>
      </c>
      <c r="WGC615" s="17">
        <v>44925</v>
      </c>
      <c r="WGD615" s="5" t="s">
        <v>3728</v>
      </c>
      <c r="WGE615" s="17">
        <v>44925</v>
      </c>
      <c r="WGF615" s="5" t="s">
        <v>3728</v>
      </c>
      <c r="WGG615" s="17">
        <v>44925</v>
      </c>
      <c r="WGH615" s="5" t="s">
        <v>3728</v>
      </c>
      <c r="WGI615" s="17">
        <v>44925</v>
      </c>
      <c r="WGJ615" s="5" t="s">
        <v>3728</v>
      </c>
      <c r="WGK615" s="17">
        <v>44925</v>
      </c>
      <c r="WGL615" s="5" t="s">
        <v>3728</v>
      </c>
      <c r="WGM615" s="17">
        <v>44925</v>
      </c>
      <c r="WGN615" s="5" t="s">
        <v>3728</v>
      </c>
      <c r="WGO615" s="17">
        <v>44925</v>
      </c>
      <c r="WGP615" s="5" t="s">
        <v>3728</v>
      </c>
      <c r="WGQ615" s="17">
        <v>44925</v>
      </c>
      <c r="WGR615" s="5" t="s">
        <v>3728</v>
      </c>
      <c r="WGS615" s="17">
        <v>44925</v>
      </c>
      <c r="WGT615" s="5" t="s">
        <v>3728</v>
      </c>
      <c r="WGU615" s="17">
        <v>44925</v>
      </c>
      <c r="WGV615" s="5" t="s">
        <v>3728</v>
      </c>
      <c r="WGW615" s="17">
        <v>44925</v>
      </c>
      <c r="WGX615" s="5" t="s">
        <v>3728</v>
      </c>
      <c r="WGY615" s="17">
        <v>44925</v>
      </c>
      <c r="WGZ615" s="5" t="s">
        <v>3728</v>
      </c>
      <c r="WHA615" s="17">
        <v>44925</v>
      </c>
      <c r="WHB615" s="5" t="s">
        <v>3728</v>
      </c>
      <c r="WHC615" s="17">
        <v>44925</v>
      </c>
      <c r="WHD615" s="5" t="s">
        <v>3728</v>
      </c>
      <c r="WHE615" s="17">
        <v>44925</v>
      </c>
      <c r="WHF615" s="5" t="s">
        <v>3728</v>
      </c>
      <c r="WHG615" s="17">
        <v>44925</v>
      </c>
      <c r="WHH615" s="5" t="s">
        <v>3728</v>
      </c>
      <c r="WHI615" s="17">
        <v>44925</v>
      </c>
      <c r="WHJ615" s="5" t="s">
        <v>3728</v>
      </c>
      <c r="WHK615" s="17">
        <v>44925</v>
      </c>
      <c r="WHL615" s="5" t="s">
        <v>3728</v>
      </c>
      <c r="WHM615" s="17">
        <v>44925</v>
      </c>
      <c r="WHN615" s="5" t="s">
        <v>3728</v>
      </c>
      <c r="WHO615" s="17">
        <v>44925</v>
      </c>
      <c r="WHP615" s="5" t="s">
        <v>3728</v>
      </c>
      <c r="WHQ615" s="17">
        <v>44925</v>
      </c>
      <c r="WHR615" s="5" t="s">
        <v>3728</v>
      </c>
      <c r="WHS615" s="17">
        <v>44925</v>
      </c>
      <c r="WHT615" s="5" t="s">
        <v>3728</v>
      </c>
      <c r="WHU615" s="17">
        <v>44925</v>
      </c>
      <c r="WHV615" s="5" t="s">
        <v>3728</v>
      </c>
      <c r="WHW615" s="17">
        <v>44925</v>
      </c>
      <c r="WHX615" s="5" t="s">
        <v>3728</v>
      </c>
      <c r="WHY615" s="17">
        <v>44925</v>
      </c>
      <c r="WHZ615" s="5" t="s">
        <v>3728</v>
      </c>
      <c r="WIA615" s="17">
        <v>44925</v>
      </c>
      <c r="WIB615" s="5" t="s">
        <v>3728</v>
      </c>
      <c r="WIC615" s="17">
        <v>44925</v>
      </c>
      <c r="WID615" s="5" t="s">
        <v>3728</v>
      </c>
      <c r="WIE615" s="17">
        <v>44925</v>
      </c>
      <c r="WIF615" s="5" t="s">
        <v>3728</v>
      </c>
      <c r="WIG615" s="17">
        <v>44925</v>
      </c>
      <c r="WIH615" s="5" t="s">
        <v>3728</v>
      </c>
      <c r="WII615" s="17">
        <v>44925</v>
      </c>
      <c r="WIJ615" s="5" t="s">
        <v>3728</v>
      </c>
      <c r="WIK615" s="17">
        <v>44925</v>
      </c>
      <c r="WIL615" s="5" t="s">
        <v>3728</v>
      </c>
      <c r="WIM615" s="17">
        <v>44925</v>
      </c>
      <c r="WIN615" s="5" t="s">
        <v>3728</v>
      </c>
      <c r="WIO615" s="17">
        <v>44925</v>
      </c>
      <c r="WIP615" s="5" t="s">
        <v>3728</v>
      </c>
      <c r="WIQ615" s="17">
        <v>44925</v>
      </c>
      <c r="WIR615" s="5" t="s">
        <v>3728</v>
      </c>
      <c r="WIS615" s="17">
        <v>44925</v>
      </c>
      <c r="WIT615" s="5" t="s">
        <v>3728</v>
      </c>
      <c r="WIU615" s="17">
        <v>44925</v>
      </c>
      <c r="WIV615" s="5" t="s">
        <v>3728</v>
      </c>
      <c r="WIW615" s="17">
        <v>44925</v>
      </c>
      <c r="WIX615" s="5" t="s">
        <v>3728</v>
      </c>
      <c r="WIY615" s="17">
        <v>44925</v>
      </c>
      <c r="WIZ615" s="5" t="s">
        <v>3728</v>
      </c>
      <c r="WJA615" s="17">
        <v>44925</v>
      </c>
      <c r="WJB615" s="5" t="s">
        <v>3728</v>
      </c>
      <c r="WJC615" s="17">
        <v>44925</v>
      </c>
      <c r="WJD615" s="5" t="s">
        <v>3728</v>
      </c>
      <c r="WJE615" s="17">
        <v>44925</v>
      </c>
      <c r="WJF615" s="5" t="s">
        <v>3728</v>
      </c>
      <c r="WJG615" s="17">
        <v>44925</v>
      </c>
      <c r="WJH615" s="5" t="s">
        <v>3728</v>
      </c>
      <c r="WJI615" s="17">
        <v>44925</v>
      </c>
      <c r="WJJ615" s="5" t="s">
        <v>3728</v>
      </c>
      <c r="WJK615" s="17">
        <v>44925</v>
      </c>
      <c r="WJL615" s="5" t="s">
        <v>3728</v>
      </c>
      <c r="WJM615" s="17">
        <v>44925</v>
      </c>
      <c r="WJN615" s="5" t="s">
        <v>3728</v>
      </c>
      <c r="WJO615" s="17">
        <v>44925</v>
      </c>
      <c r="WJP615" s="5" t="s">
        <v>3728</v>
      </c>
      <c r="WJQ615" s="17">
        <v>44925</v>
      </c>
      <c r="WJR615" s="5" t="s">
        <v>3728</v>
      </c>
      <c r="WJS615" s="17">
        <v>44925</v>
      </c>
      <c r="WJT615" s="5" t="s">
        <v>3728</v>
      </c>
      <c r="WJU615" s="17">
        <v>44925</v>
      </c>
      <c r="WJV615" s="5" t="s">
        <v>3728</v>
      </c>
      <c r="WJW615" s="17">
        <v>44925</v>
      </c>
      <c r="WJX615" s="5" t="s">
        <v>3728</v>
      </c>
      <c r="WJY615" s="17">
        <v>44925</v>
      </c>
      <c r="WJZ615" s="5" t="s">
        <v>3728</v>
      </c>
      <c r="WKA615" s="17">
        <v>44925</v>
      </c>
      <c r="WKB615" s="5" t="s">
        <v>3728</v>
      </c>
      <c r="WKC615" s="17">
        <v>44925</v>
      </c>
      <c r="WKD615" s="5" t="s">
        <v>3728</v>
      </c>
      <c r="WKE615" s="17">
        <v>44925</v>
      </c>
      <c r="WKF615" s="5" t="s">
        <v>3728</v>
      </c>
      <c r="WKG615" s="17">
        <v>44925</v>
      </c>
      <c r="WKH615" s="5" t="s">
        <v>3728</v>
      </c>
      <c r="WKI615" s="17">
        <v>44925</v>
      </c>
      <c r="WKJ615" s="5" t="s">
        <v>3728</v>
      </c>
      <c r="WKK615" s="17">
        <v>44925</v>
      </c>
      <c r="WKL615" s="5" t="s">
        <v>3728</v>
      </c>
      <c r="WKM615" s="17">
        <v>44925</v>
      </c>
      <c r="WKN615" s="5" t="s">
        <v>3728</v>
      </c>
      <c r="WKO615" s="17">
        <v>44925</v>
      </c>
      <c r="WKP615" s="5" t="s">
        <v>3728</v>
      </c>
      <c r="WKQ615" s="17">
        <v>44925</v>
      </c>
      <c r="WKR615" s="5" t="s">
        <v>3728</v>
      </c>
      <c r="WKS615" s="17">
        <v>44925</v>
      </c>
      <c r="WKT615" s="5" t="s">
        <v>3728</v>
      </c>
      <c r="WKU615" s="17">
        <v>44925</v>
      </c>
      <c r="WKV615" s="5" t="s">
        <v>3728</v>
      </c>
      <c r="WKW615" s="17">
        <v>44925</v>
      </c>
      <c r="WKX615" s="5" t="s">
        <v>3728</v>
      </c>
      <c r="WKY615" s="17">
        <v>44925</v>
      </c>
      <c r="WKZ615" s="5" t="s">
        <v>3728</v>
      </c>
      <c r="WLA615" s="17">
        <v>44925</v>
      </c>
      <c r="WLB615" s="5" t="s">
        <v>3728</v>
      </c>
      <c r="WLC615" s="17">
        <v>44925</v>
      </c>
      <c r="WLD615" s="5" t="s">
        <v>3728</v>
      </c>
      <c r="WLE615" s="17">
        <v>44925</v>
      </c>
      <c r="WLF615" s="5" t="s">
        <v>3728</v>
      </c>
      <c r="WLG615" s="17">
        <v>44925</v>
      </c>
      <c r="WLH615" s="5" t="s">
        <v>3728</v>
      </c>
      <c r="WLI615" s="17">
        <v>44925</v>
      </c>
      <c r="WLJ615" s="5" t="s">
        <v>3728</v>
      </c>
      <c r="WLK615" s="17">
        <v>44925</v>
      </c>
      <c r="WLL615" s="5" t="s">
        <v>3728</v>
      </c>
      <c r="WLM615" s="17">
        <v>44925</v>
      </c>
      <c r="WLN615" s="5" t="s">
        <v>3728</v>
      </c>
      <c r="WLO615" s="17">
        <v>44925</v>
      </c>
      <c r="WLP615" s="5" t="s">
        <v>3728</v>
      </c>
      <c r="WLQ615" s="17">
        <v>44925</v>
      </c>
      <c r="WLR615" s="5" t="s">
        <v>3728</v>
      </c>
      <c r="WLS615" s="17">
        <v>44925</v>
      </c>
      <c r="WLT615" s="5" t="s">
        <v>3728</v>
      </c>
      <c r="WLU615" s="17">
        <v>44925</v>
      </c>
      <c r="WLV615" s="5" t="s">
        <v>3728</v>
      </c>
      <c r="WLW615" s="17">
        <v>44925</v>
      </c>
      <c r="WLX615" s="5" t="s">
        <v>3728</v>
      </c>
      <c r="WLY615" s="17">
        <v>44925</v>
      </c>
      <c r="WLZ615" s="5" t="s">
        <v>3728</v>
      </c>
      <c r="WMA615" s="17">
        <v>44925</v>
      </c>
      <c r="WMB615" s="5" t="s">
        <v>3728</v>
      </c>
      <c r="WMC615" s="17">
        <v>44925</v>
      </c>
      <c r="WMD615" s="5" t="s">
        <v>3728</v>
      </c>
      <c r="WME615" s="17">
        <v>44925</v>
      </c>
      <c r="WMF615" s="5" t="s">
        <v>3728</v>
      </c>
      <c r="WMG615" s="17">
        <v>44925</v>
      </c>
      <c r="WMH615" s="5" t="s">
        <v>3728</v>
      </c>
      <c r="WMI615" s="17">
        <v>44925</v>
      </c>
      <c r="WMJ615" s="5" t="s">
        <v>3728</v>
      </c>
      <c r="WMK615" s="17">
        <v>44925</v>
      </c>
      <c r="WML615" s="5" t="s">
        <v>3728</v>
      </c>
      <c r="WMM615" s="17">
        <v>44925</v>
      </c>
      <c r="WMN615" s="5" t="s">
        <v>3728</v>
      </c>
      <c r="WMO615" s="17">
        <v>44925</v>
      </c>
      <c r="WMP615" s="5" t="s">
        <v>3728</v>
      </c>
      <c r="WMQ615" s="17">
        <v>44925</v>
      </c>
      <c r="WMR615" s="5" t="s">
        <v>3728</v>
      </c>
      <c r="WMS615" s="17">
        <v>44925</v>
      </c>
      <c r="WMT615" s="5" t="s">
        <v>3728</v>
      </c>
      <c r="WMU615" s="17">
        <v>44925</v>
      </c>
      <c r="WMV615" s="5" t="s">
        <v>3728</v>
      </c>
      <c r="WMW615" s="17">
        <v>44925</v>
      </c>
      <c r="WMX615" s="5" t="s">
        <v>3728</v>
      </c>
      <c r="WMY615" s="17">
        <v>44925</v>
      </c>
      <c r="WMZ615" s="5" t="s">
        <v>3728</v>
      </c>
      <c r="WNA615" s="17">
        <v>44925</v>
      </c>
      <c r="WNB615" s="5" t="s">
        <v>3728</v>
      </c>
      <c r="WNC615" s="17">
        <v>44925</v>
      </c>
      <c r="WND615" s="5" t="s">
        <v>3728</v>
      </c>
      <c r="WNE615" s="17">
        <v>44925</v>
      </c>
      <c r="WNF615" s="5" t="s">
        <v>3728</v>
      </c>
      <c r="WNG615" s="17">
        <v>44925</v>
      </c>
      <c r="WNH615" s="5" t="s">
        <v>3728</v>
      </c>
      <c r="WNI615" s="17">
        <v>44925</v>
      </c>
      <c r="WNJ615" s="5" t="s">
        <v>3728</v>
      </c>
      <c r="WNK615" s="17">
        <v>44925</v>
      </c>
      <c r="WNL615" s="5" t="s">
        <v>3728</v>
      </c>
      <c r="WNM615" s="17">
        <v>44925</v>
      </c>
      <c r="WNN615" s="5" t="s">
        <v>3728</v>
      </c>
      <c r="WNO615" s="17">
        <v>44925</v>
      </c>
      <c r="WNP615" s="5" t="s">
        <v>3728</v>
      </c>
      <c r="WNQ615" s="17">
        <v>44925</v>
      </c>
      <c r="WNR615" s="5" t="s">
        <v>3728</v>
      </c>
      <c r="WNS615" s="17">
        <v>44925</v>
      </c>
      <c r="WNT615" s="5" t="s">
        <v>3728</v>
      </c>
      <c r="WNU615" s="17">
        <v>44925</v>
      </c>
      <c r="WNV615" s="5" t="s">
        <v>3728</v>
      </c>
      <c r="WNW615" s="17">
        <v>44925</v>
      </c>
      <c r="WNX615" s="5" t="s">
        <v>3728</v>
      </c>
      <c r="WNY615" s="17">
        <v>44925</v>
      </c>
      <c r="WNZ615" s="5" t="s">
        <v>3728</v>
      </c>
      <c r="WOA615" s="17">
        <v>44925</v>
      </c>
      <c r="WOB615" s="5" t="s">
        <v>3728</v>
      </c>
      <c r="WOC615" s="17">
        <v>44925</v>
      </c>
      <c r="WOD615" s="5" t="s">
        <v>3728</v>
      </c>
      <c r="WOE615" s="17">
        <v>44925</v>
      </c>
      <c r="WOF615" s="5" t="s">
        <v>3728</v>
      </c>
      <c r="WOG615" s="17">
        <v>44925</v>
      </c>
      <c r="WOH615" s="5" t="s">
        <v>3728</v>
      </c>
      <c r="WOI615" s="17">
        <v>44925</v>
      </c>
      <c r="WOJ615" s="5" t="s">
        <v>3728</v>
      </c>
      <c r="WOK615" s="17">
        <v>44925</v>
      </c>
      <c r="WOL615" s="5" t="s">
        <v>3728</v>
      </c>
      <c r="WOM615" s="17">
        <v>44925</v>
      </c>
      <c r="WON615" s="5" t="s">
        <v>3728</v>
      </c>
      <c r="WOO615" s="17">
        <v>44925</v>
      </c>
      <c r="WOP615" s="5" t="s">
        <v>3728</v>
      </c>
      <c r="WOQ615" s="17">
        <v>44925</v>
      </c>
      <c r="WOR615" s="5" t="s">
        <v>3728</v>
      </c>
      <c r="WOS615" s="17">
        <v>44925</v>
      </c>
      <c r="WOT615" s="5" t="s">
        <v>3728</v>
      </c>
      <c r="WOU615" s="17">
        <v>44925</v>
      </c>
      <c r="WOV615" s="5" t="s">
        <v>3728</v>
      </c>
      <c r="WOW615" s="17">
        <v>44925</v>
      </c>
      <c r="WOX615" s="5" t="s">
        <v>3728</v>
      </c>
      <c r="WOY615" s="17">
        <v>44925</v>
      </c>
      <c r="WOZ615" s="5" t="s">
        <v>3728</v>
      </c>
      <c r="WPA615" s="17">
        <v>44925</v>
      </c>
      <c r="WPB615" s="5" t="s">
        <v>3728</v>
      </c>
      <c r="WPC615" s="17">
        <v>44925</v>
      </c>
      <c r="WPD615" s="5" t="s">
        <v>3728</v>
      </c>
      <c r="WPE615" s="17">
        <v>44925</v>
      </c>
      <c r="WPF615" s="5" t="s">
        <v>3728</v>
      </c>
      <c r="WPG615" s="17">
        <v>44925</v>
      </c>
      <c r="WPH615" s="5" t="s">
        <v>3728</v>
      </c>
      <c r="WPI615" s="17">
        <v>44925</v>
      </c>
      <c r="WPJ615" s="5" t="s">
        <v>3728</v>
      </c>
      <c r="WPK615" s="17">
        <v>44925</v>
      </c>
      <c r="WPL615" s="5" t="s">
        <v>3728</v>
      </c>
      <c r="WPM615" s="17">
        <v>44925</v>
      </c>
      <c r="WPN615" s="5" t="s">
        <v>3728</v>
      </c>
      <c r="WPO615" s="17">
        <v>44925</v>
      </c>
      <c r="WPP615" s="5" t="s">
        <v>3728</v>
      </c>
      <c r="WPQ615" s="17">
        <v>44925</v>
      </c>
      <c r="WPR615" s="5" t="s">
        <v>3728</v>
      </c>
      <c r="WPS615" s="17">
        <v>44925</v>
      </c>
      <c r="WPT615" s="5" t="s">
        <v>3728</v>
      </c>
      <c r="WPU615" s="17">
        <v>44925</v>
      </c>
      <c r="WPV615" s="5" t="s">
        <v>3728</v>
      </c>
      <c r="WPW615" s="17">
        <v>44925</v>
      </c>
      <c r="WPX615" s="5" t="s">
        <v>3728</v>
      </c>
      <c r="WPY615" s="17">
        <v>44925</v>
      </c>
      <c r="WPZ615" s="5" t="s">
        <v>3728</v>
      </c>
      <c r="WQA615" s="17">
        <v>44925</v>
      </c>
      <c r="WQB615" s="5" t="s">
        <v>3728</v>
      </c>
      <c r="WQC615" s="17">
        <v>44925</v>
      </c>
      <c r="WQD615" s="5" t="s">
        <v>3728</v>
      </c>
      <c r="WQE615" s="17">
        <v>44925</v>
      </c>
      <c r="WQF615" s="5" t="s">
        <v>3728</v>
      </c>
      <c r="WQG615" s="17">
        <v>44925</v>
      </c>
      <c r="WQH615" s="5" t="s">
        <v>3728</v>
      </c>
      <c r="WQI615" s="17">
        <v>44925</v>
      </c>
      <c r="WQJ615" s="5" t="s">
        <v>3728</v>
      </c>
      <c r="WQK615" s="17">
        <v>44925</v>
      </c>
      <c r="WQL615" s="5" t="s">
        <v>3728</v>
      </c>
      <c r="WQM615" s="17">
        <v>44925</v>
      </c>
      <c r="WQN615" s="5" t="s">
        <v>3728</v>
      </c>
      <c r="WQO615" s="17">
        <v>44925</v>
      </c>
      <c r="WQP615" s="5" t="s">
        <v>3728</v>
      </c>
      <c r="WQQ615" s="17">
        <v>44925</v>
      </c>
      <c r="WQR615" s="5" t="s">
        <v>3728</v>
      </c>
      <c r="WQS615" s="17">
        <v>44925</v>
      </c>
      <c r="WQT615" s="5" t="s">
        <v>3728</v>
      </c>
      <c r="WQU615" s="17">
        <v>44925</v>
      </c>
      <c r="WQV615" s="5" t="s">
        <v>3728</v>
      </c>
      <c r="WQW615" s="17">
        <v>44925</v>
      </c>
      <c r="WQX615" s="5" t="s">
        <v>3728</v>
      </c>
      <c r="WQY615" s="17">
        <v>44925</v>
      </c>
      <c r="WQZ615" s="5" t="s">
        <v>3728</v>
      </c>
      <c r="WRA615" s="17">
        <v>44925</v>
      </c>
      <c r="WRB615" s="5" t="s">
        <v>3728</v>
      </c>
      <c r="WRC615" s="17">
        <v>44925</v>
      </c>
      <c r="WRD615" s="5" t="s">
        <v>3728</v>
      </c>
      <c r="WRE615" s="17">
        <v>44925</v>
      </c>
      <c r="WRF615" s="5" t="s">
        <v>3728</v>
      </c>
      <c r="WRG615" s="17">
        <v>44925</v>
      </c>
      <c r="WRH615" s="5" t="s">
        <v>3728</v>
      </c>
      <c r="WRI615" s="17">
        <v>44925</v>
      </c>
      <c r="WRJ615" s="5" t="s">
        <v>3728</v>
      </c>
      <c r="WRK615" s="17">
        <v>44925</v>
      </c>
      <c r="WRL615" s="5" t="s">
        <v>3728</v>
      </c>
      <c r="WRM615" s="17">
        <v>44925</v>
      </c>
      <c r="WRN615" s="5" t="s">
        <v>3728</v>
      </c>
      <c r="WRO615" s="17">
        <v>44925</v>
      </c>
      <c r="WRP615" s="5" t="s">
        <v>3728</v>
      </c>
      <c r="WRQ615" s="17">
        <v>44925</v>
      </c>
      <c r="WRR615" s="5" t="s">
        <v>3728</v>
      </c>
      <c r="WRS615" s="17">
        <v>44925</v>
      </c>
      <c r="WRT615" s="5" t="s">
        <v>3728</v>
      </c>
      <c r="WRU615" s="17">
        <v>44925</v>
      </c>
      <c r="WRV615" s="5" t="s">
        <v>3728</v>
      </c>
      <c r="WRW615" s="17">
        <v>44925</v>
      </c>
      <c r="WRX615" s="5" t="s">
        <v>3728</v>
      </c>
      <c r="WRY615" s="17">
        <v>44925</v>
      </c>
      <c r="WRZ615" s="5" t="s">
        <v>3728</v>
      </c>
      <c r="WSA615" s="17">
        <v>44925</v>
      </c>
      <c r="WSB615" s="5" t="s">
        <v>3728</v>
      </c>
      <c r="WSC615" s="17">
        <v>44925</v>
      </c>
      <c r="WSD615" s="5" t="s">
        <v>3728</v>
      </c>
      <c r="WSE615" s="17">
        <v>44925</v>
      </c>
      <c r="WSF615" s="5" t="s">
        <v>3728</v>
      </c>
      <c r="WSG615" s="17">
        <v>44925</v>
      </c>
      <c r="WSH615" s="5" t="s">
        <v>3728</v>
      </c>
      <c r="WSI615" s="17">
        <v>44925</v>
      </c>
      <c r="WSJ615" s="5" t="s">
        <v>3728</v>
      </c>
      <c r="WSK615" s="17">
        <v>44925</v>
      </c>
      <c r="WSL615" s="5" t="s">
        <v>3728</v>
      </c>
      <c r="WSM615" s="17">
        <v>44925</v>
      </c>
      <c r="WSN615" s="5" t="s">
        <v>3728</v>
      </c>
      <c r="WSO615" s="17">
        <v>44925</v>
      </c>
      <c r="WSP615" s="5" t="s">
        <v>3728</v>
      </c>
      <c r="WSQ615" s="17">
        <v>44925</v>
      </c>
      <c r="WSR615" s="5" t="s">
        <v>3728</v>
      </c>
      <c r="WSS615" s="17">
        <v>44925</v>
      </c>
      <c r="WST615" s="5" t="s">
        <v>3728</v>
      </c>
      <c r="WSU615" s="17">
        <v>44925</v>
      </c>
      <c r="WSV615" s="5" t="s">
        <v>3728</v>
      </c>
      <c r="WSW615" s="17">
        <v>44925</v>
      </c>
      <c r="WSX615" s="5" t="s">
        <v>3728</v>
      </c>
      <c r="WSY615" s="17">
        <v>44925</v>
      </c>
      <c r="WSZ615" s="5" t="s">
        <v>3728</v>
      </c>
      <c r="WTA615" s="17">
        <v>44925</v>
      </c>
      <c r="WTB615" s="5" t="s">
        <v>3728</v>
      </c>
      <c r="WTC615" s="17">
        <v>44925</v>
      </c>
      <c r="WTD615" s="5" t="s">
        <v>3728</v>
      </c>
      <c r="WTE615" s="17">
        <v>44925</v>
      </c>
      <c r="WTF615" s="5" t="s">
        <v>3728</v>
      </c>
      <c r="WTG615" s="17">
        <v>44925</v>
      </c>
      <c r="WTH615" s="5" t="s">
        <v>3728</v>
      </c>
      <c r="WTI615" s="17">
        <v>44925</v>
      </c>
      <c r="WTJ615" s="5" t="s">
        <v>3728</v>
      </c>
      <c r="WTK615" s="17">
        <v>44925</v>
      </c>
      <c r="WTL615" s="5" t="s">
        <v>3728</v>
      </c>
      <c r="WTM615" s="17">
        <v>44925</v>
      </c>
      <c r="WTN615" s="5" t="s">
        <v>3728</v>
      </c>
      <c r="WTO615" s="17">
        <v>44925</v>
      </c>
      <c r="WTP615" s="5" t="s">
        <v>3728</v>
      </c>
      <c r="WTQ615" s="17">
        <v>44925</v>
      </c>
      <c r="WTR615" s="5" t="s">
        <v>3728</v>
      </c>
      <c r="WTS615" s="17">
        <v>44925</v>
      </c>
      <c r="WTT615" s="5" t="s">
        <v>3728</v>
      </c>
      <c r="WTU615" s="17">
        <v>44925</v>
      </c>
      <c r="WTV615" s="5" t="s">
        <v>3728</v>
      </c>
      <c r="WTW615" s="17">
        <v>44925</v>
      </c>
      <c r="WTX615" s="5" t="s">
        <v>3728</v>
      </c>
      <c r="WTY615" s="17">
        <v>44925</v>
      </c>
      <c r="WTZ615" s="5" t="s">
        <v>3728</v>
      </c>
      <c r="WUA615" s="17">
        <v>44925</v>
      </c>
      <c r="WUB615" s="5" t="s">
        <v>3728</v>
      </c>
      <c r="WUC615" s="17">
        <v>44925</v>
      </c>
      <c r="WUD615" s="5" t="s">
        <v>3728</v>
      </c>
      <c r="WUE615" s="17">
        <v>44925</v>
      </c>
      <c r="WUF615" s="5" t="s">
        <v>3728</v>
      </c>
      <c r="WUG615" s="17">
        <v>44925</v>
      </c>
      <c r="WUH615" s="5" t="s">
        <v>3728</v>
      </c>
      <c r="WUI615" s="17">
        <v>44925</v>
      </c>
      <c r="WUJ615" s="5" t="s">
        <v>3728</v>
      </c>
      <c r="WUK615" s="17">
        <v>44925</v>
      </c>
      <c r="WUL615" s="5" t="s">
        <v>3728</v>
      </c>
      <c r="WUM615" s="17">
        <v>44925</v>
      </c>
      <c r="WUN615" s="5" t="s">
        <v>3728</v>
      </c>
      <c r="WUO615" s="17">
        <v>44925</v>
      </c>
      <c r="WUP615" s="5" t="s">
        <v>3728</v>
      </c>
      <c r="WUQ615" s="17">
        <v>44925</v>
      </c>
      <c r="WUR615" s="5" t="s">
        <v>3728</v>
      </c>
      <c r="WUS615" s="17">
        <v>44925</v>
      </c>
      <c r="WUT615" s="5" t="s">
        <v>3728</v>
      </c>
      <c r="WUU615" s="17">
        <v>44925</v>
      </c>
      <c r="WUV615" s="5" t="s">
        <v>3728</v>
      </c>
      <c r="WUW615" s="17">
        <v>44925</v>
      </c>
      <c r="WUX615" s="5" t="s">
        <v>3728</v>
      </c>
      <c r="WUY615" s="17">
        <v>44925</v>
      </c>
      <c r="WUZ615" s="5" t="s">
        <v>3728</v>
      </c>
      <c r="WVA615" s="17">
        <v>44925</v>
      </c>
      <c r="WVB615" s="5" t="s">
        <v>3728</v>
      </c>
      <c r="WVC615" s="17">
        <v>44925</v>
      </c>
      <c r="WVD615" s="5" t="s">
        <v>3728</v>
      </c>
      <c r="WVE615" s="17">
        <v>44925</v>
      </c>
      <c r="WVF615" s="5" t="s">
        <v>3728</v>
      </c>
      <c r="WVG615" s="17">
        <v>44925</v>
      </c>
      <c r="WVH615" s="5" t="s">
        <v>3728</v>
      </c>
      <c r="WVI615" s="17">
        <v>44925</v>
      </c>
      <c r="WVJ615" s="5" t="s">
        <v>3728</v>
      </c>
      <c r="WVK615" s="17">
        <v>44925</v>
      </c>
      <c r="WVL615" s="5" t="s">
        <v>3728</v>
      </c>
      <c r="WVM615" s="17">
        <v>44925</v>
      </c>
      <c r="WVN615" s="5" t="s">
        <v>3728</v>
      </c>
      <c r="WVO615" s="17">
        <v>44925</v>
      </c>
      <c r="WVP615" s="5" t="s">
        <v>3728</v>
      </c>
      <c r="WVQ615" s="17">
        <v>44925</v>
      </c>
      <c r="WVR615" s="5" t="s">
        <v>3728</v>
      </c>
      <c r="WVS615" s="17">
        <v>44925</v>
      </c>
      <c r="WVT615" s="5" t="s">
        <v>3728</v>
      </c>
      <c r="WVU615" s="17">
        <v>44925</v>
      </c>
      <c r="WVV615" s="5" t="s">
        <v>3728</v>
      </c>
      <c r="WVW615" s="17">
        <v>44925</v>
      </c>
      <c r="WVX615" s="5" t="s">
        <v>3728</v>
      </c>
      <c r="WVY615" s="17">
        <v>44925</v>
      </c>
      <c r="WVZ615" s="5" t="s">
        <v>3728</v>
      </c>
      <c r="WWA615" s="17">
        <v>44925</v>
      </c>
      <c r="WWB615" s="5" t="s">
        <v>3728</v>
      </c>
      <c r="WWC615" s="17">
        <v>44925</v>
      </c>
      <c r="WWD615" s="5" t="s">
        <v>3728</v>
      </c>
      <c r="WWE615" s="17">
        <v>44925</v>
      </c>
      <c r="WWF615" s="5" t="s">
        <v>3728</v>
      </c>
      <c r="WWG615" s="17">
        <v>44925</v>
      </c>
      <c r="WWH615" s="5" t="s">
        <v>3728</v>
      </c>
      <c r="WWI615" s="17">
        <v>44925</v>
      </c>
      <c r="WWJ615" s="5" t="s">
        <v>3728</v>
      </c>
      <c r="WWK615" s="17">
        <v>44925</v>
      </c>
      <c r="WWL615" s="5" t="s">
        <v>3728</v>
      </c>
      <c r="WWM615" s="17">
        <v>44925</v>
      </c>
      <c r="WWN615" s="5" t="s">
        <v>3728</v>
      </c>
      <c r="WWO615" s="17">
        <v>44925</v>
      </c>
      <c r="WWP615" s="5" t="s">
        <v>3728</v>
      </c>
      <c r="WWQ615" s="17">
        <v>44925</v>
      </c>
      <c r="WWR615" s="5" t="s">
        <v>3728</v>
      </c>
      <c r="WWS615" s="17">
        <v>44925</v>
      </c>
      <c r="WWT615" s="5" t="s">
        <v>3728</v>
      </c>
      <c r="WWU615" s="17">
        <v>44925</v>
      </c>
      <c r="WWV615" s="5" t="s">
        <v>3728</v>
      </c>
      <c r="WWW615" s="17">
        <v>44925</v>
      </c>
      <c r="WWX615" s="5" t="s">
        <v>3728</v>
      </c>
      <c r="WWY615" s="17">
        <v>44925</v>
      </c>
      <c r="WWZ615" s="5" t="s">
        <v>3728</v>
      </c>
      <c r="WXA615" s="17">
        <v>44925</v>
      </c>
      <c r="WXB615" s="5" t="s">
        <v>3728</v>
      </c>
      <c r="WXC615" s="17">
        <v>44925</v>
      </c>
      <c r="WXD615" s="5" t="s">
        <v>3728</v>
      </c>
      <c r="WXE615" s="17">
        <v>44925</v>
      </c>
      <c r="WXF615" s="5" t="s">
        <v>3728</v>
      </c>
      <c r="WXG615" s="17">
        <v>44925</v>
      </c>
      <c r="WXH615" s="5" t="s">
        <v>3728</v>
      </c>
      <c r="WXI615" s="17">
        <v>44925</v>
      </c>
      <c r="WXJ615" s="5" t="s">
        <v>3728</v>
      </c>
      <c r="WXK615" s="17">
        <v>44925</v>
      </c>
      <c r="WXL615" s="5" t="s">
        <v>3728</v>
      </c>
      <c r="WXM615" s="17">
        <v>44925</v>
      </c>
      <c r="WXN615" s="5" t="s">
        <v>3728</v>
      </c>
      <c r="WXO615" s="17">
        <v>44925</v>
      </c>
      <c r="WXP615" s="5" t="s">
        <v>3728</v>
      </c>
      <c r="WXQ615" s="17">
        <v>44925</v>
      </c>
      <c r="WXR615" s="5" t="s">
        <v>3728</v>
      </c>
      <c r="WXS615" s="17">
        <v>44925</v>
      </c>
      <c r="WXT615" s="5" t="s">
        <v>3728</v>
      </c>
      <c r="WXU615" s="17">
        <v>44925</v>
      </c>
      <c r="WXV615" s="5" t="s">
        <v>3728</v>
      </c>
      <c r="WXW615" s="17">
        <v>44925</v>
      </c>
      <c r="WXX615" s="5" t="s">
        <v>3728</v>
      </c>
      <c r="WXY615" s="17">
        <v>44925</v>
      </c>
      <c r="WXZ615" s="5" t="s">
        <v>3728</v>
      </c>
      <c r="WYA615" s="17">
        <v>44925</v>
      </c>
      <c r="WYB615" s="5" t="s">
        <v>3728</v>
      </c>
      <c r="WYC615" s="17">
        <v>44925</v>
      </c>
      <c r="WYD615" s="5" t="s">
        <v>3728</v>
      </c>
      <c r="WYE615" s="17">
        <v>44925</v>
      </c>
      <c r="WYF615" s="5" t="s">
        <v>3728</v>
      </c>
      <c r="WYG615" s="17">
        <v>44925</v>
      </c>
      <c r="WYH615" s="5" t="s">
        <v>3728</v>
      </c>
      <c r="WYI615" s="17">
        <v>44925</v>
      </c>
      <c r="WYJ615" s="5" t="s">
        <v>3728</v>
      </c>
      <c r="WYK615" s="17">
        <v>44925</v>
      </c>
      <c r="WYL615" s="5" t="s">
        <v>3728</v>
      </c>
      <c r="WYM615" s="17">
        <v>44925</v>
      </c>
      <c r="WYN615" s="5" t="s">
        <v>3728</v>
      </c>
      <c r="WYO615" s="17">
        <v>44925</v>
      </c>
      <c r="WYP615" s="5" t="s">
        <v>3728</v>
      </c>
      <c r="WYQ615" s="17">
        <v>44925</v>
      </c>
      <c r="WYR615" s="5" t="s">
        <v>3728</v>
      </c>
      <c r="WYS615" s="17">
        <v>44925</v>
      </c>
      <c r="WYT615" s="5" t="s">
        <v>3728</v>
      </c>
      <c r="WYU615" s="17">
        <v>44925</v>
      </c>
      <c r="WYV615" s="5" t="s">
        <v>3728</v>
      </c>
      <c r="WYW615" s="17">
        <v>44925</v>
      </c>
      <c r="WYX615" s="5" t="s">
        <v>3728</v>
      </c>
      <c r="WYY615" s="17">
        <v>44925</v>
      </c>
      <c r="WYZ615" s="5" t="s">
        <v>3728</v>
      </c>
      <c r="WZA615" s="17">
        <v>44925</v>
      </c>
      <c r="WZB615" s="5" t="s">
        <v>3728</v>
      </c>
      <c r="WZC615" s="17">
        <v>44925</v>
      </c>
      <c r="WZD615" s="5" t="s">
        <v>3728</v>
      </c>
      <c r="WZE615" s="17">
        <v>44925</v>
      </c>
      <c r="WZF615" s="5" t="s">
        <v>3728</v>
      </c>
      <c r="WZG615" s="17">
        <v>44925</v>
      </c>
      <c r="WZH615" s="5" t="s">
        <v>3728</v>
      </c>
      <c r="WZI615" s="17">
        <v>44925</v>
      </c>
      <c r="WZJ615" s="5" t="s">
        <v>3728</v>
      </c>
      <c r="WZK615" s="17">
        <v>44925</v>
      </c>
      <c r="WZL615" s="5" t="s">
        <v>3728</v>
      </c>
      <c r="WZM615" s="17">
        <v>44925</v>
      </c>
      <c r="WZN615" s="5" t="s">
        <v>3728</v>
      </c>
      <c r="WZO615" s="17">
        <v>44925</v>
      </c>
      <c r="WZP615" s="5" t="s">
        <v>3728</v>
      </c>
      <c r="WZQ615" s="17">
        <v>44925</v>
      </c>
      <c r="WZR615" s="5" t="s">
        <v>3728</v>
      </c>
      <c r="WZS615" s="17">
        <v>44925</v>
      </c>
      <c r="WZT615" s="5" t="s">
        <v>3728</v>
      </c>
      <c r="WZU615" s="17">
        <v>44925</v>
      </c>
      <c r="WZV615" s="5" t="s">
        <v>3728</v>
      </c>
      <c r="WZW615" s="17">
        <v>44925</v>
      </c>
      <c r="WZX615" s="5" t="s">
        <v>3728</v>
      </c>
      <c r="WZY615" s="17">
        <v>44925</v>
      </c>
      <c r="WZZ615" s="5" t="s">
        <v>3728</v>
      </c>
      <c r="XAA615" s="17">
        <v>44925</v>
      </c>
      <c r="XAB615" s="5" t="s">
        <v>3728</v>
      </c>
      <c r="XAC615" s="17">
        <v>44925</v>
      </c>
      <c r="XAD615" s="5" t="s">
        <v>3728</v>
      </c>
      <c r="XAE615" s="17">
        <v>44925</v>
      </c>
      <c r="XAF615" s="5" t="s">
        <v>3728</v>
      </c>
      <c r="XAG615" s="17">
        <v>44925</v>
      </c>
      <c r="XAH615" s="5" t="s">
        <v>3728</v>
      </c>
      <c r="XAI615" s="17">
        <v>44925</v>
      </c>
      <c r="XAJ615" s="5" t="s">
        <v>3728</v>
      </c>
      <c r="XAK615" s="17">
        <v>44925</v>
      </c>
      <c r="XAL615" s="5" t="s">
        <v>3728</v>
      </c>
      <c r="XAM615" s="17">
        <v>44925</v>
      </c>
      <c r="XAN615" s="5" t="s">
        <v>3728</v>
      </c>
      <c r="XAO615" s="17">
        <v>44925</v>
      </c>
      <c r="XAP615" s="5" t="s">
        <v>3728</v>
      </c>
      <c r="XAQ615" s="17">
        <v>44925</v>
      </c>
      <c r="XAR615" s="5" t="s">
        <v>3728</v>
      </c>
      <c r="XAS615" s="17">
        <v>44925</v>
      </c>
      <c r="XAT615" s="5" t="s">
        <v>3728</v>
      </c>
      <c r="XAU615" s="17">
        <v>44925</v>
      </c>
      <c r="XAV615" s="5" t="s">
        <v>3728</v>
      </c>
      <c r="XAW615" s="17">
        <v>44925</v>
      </c>
      <c r="XAX615" s="5" t="s">
        <v>3728</v>
      </c>
      <c r="XAY615" s="17">
        <v>44925</v>
      </c>
      <c r="XAZ615" s="5" t="s">
        <v>3728</v>
      </c>
      <c r="XBA615" s="17">
        <v>44925</v>
      </c>
      <c r="XBB615" s="5" t="s">
        <v>3728</v>
      </c>
      <c r="XBC615" s="17">
        <v>44925</v>
      </c>
      <c r="XBD615" s="5" t="s">
        <v>3728</v>
      </c>
      <c r="XBE615" s="17">
        <v>44925</v>
      </c>
      <c r="XBF615" s="5" t="s">
        <v>3728</v>
      </c>
      <c r="XBG615" s="17">
        <v>44925</v>
      </c>
      <c r="XBH615" s="5" t="s">
        <v>3728</v>
      </c>
      <c r="XBI615" s="17">
        <v>44925</v>
      </c>
      <c r="XBJ615" s="5" t="s">
        <v>3728</v>
      </c>
      <c r="XBK615" s="17">
        <v>44925</v>
      </c>
      <c r="XBL615" s="5" t="s">
        <v>3728</v>
      </c>
      <c r="XBM615" s="17">
        <v>44925</v>
      </c>
      <c r="XBN615" s="5" t="s">
        <v>3728</v>
      </c>
      <c r="XBO615" s="17">
        <v>44925</v>
      </c>
      <c r="XBP615" s="5" t="s">
        <v>3728</v>
      </c>
      <c r="XBQ615" s="17">
        <v>44925</v>
      </c>
      <c r="XBR615" s="5" t="s">
        <v>3728</v>
      </c>
      <c r="XBS615" s="17">
        <v>44925</v>
      </c>
      <c r="XBT615" s="5" t="s">
        <v>3728</v>
      </c>
      <c r="XBU615" s="17">
        <v>44925</v>
      </c>
      <c r="XBV615" s="5" t="s">
        <v>3728</v>
      </c>
      <c r="XBW615" s="17">
        <v>44925</v>
      </c>
      <c r="XBX615" s="5" t="s">
        <v>3728</v>
      </c>
      <c r="XBY615" s="17">
        <v>44925</v>
      </c>
      <c r="XBZ615" s="5" t="s">
        <v>3728</v>
      </c>
      <c r="XCA615" s="17">
        <v>44925</v>
      </c>
      <c r="XCB615" s="5" t="s">
        <v>3728</v>
      </c>
      <c r="XCC615" s="17">
        <v>44925</v>
      </c>
      <c r="XCD615" s="5" t="s">
        <v>3728</v>
      </c>
      <c r="XCE615" s="17">
        <v>44925</v>
      </c>
      <c r="XCF615" s="5" t="s">
        <v>3728</v>
      </c>
      <c r="XCG615" s="17">
        <v>44925</v>
      </c>
      <c r="XCH615" s="5" t="s">
        <v>3728</v>
      </c>
      <c r="XCI615" s="17">
        <v>44925</v>
      </c>
      <c r="XCJ615" s="5" t="s">
        <v>3728</v>
      </c>
      <c r="XCK615" s="17">
        <v>44925</v>
      </c>
      <c r="XCL615" s="5" t="s">
        <v>3728</v>
      </c>
      <c r="XCM615" s="17">
        <v>44925</v>
      </c>
      <c r="XCN615" s="5" t="s">
        <v>3728</v>
      </c>
      <c r="XCO615" s="17">
        <v>44925</v>
      </c>
      <c r="XCP615" s="5" t="s">
        <v>3728</v>
      </c>
      <c r="XCQ615" s="17">
        <v>44925</v>
      </c>
      <c r="XCR615" s="5" t="s">
        <v>3728</v>
      </c>
      <c r="XCS615" s="17">
        <v>44925</v>
      </c>
      <c r="XCT615" s="5" t="s">
        <v>3728</v>
      </c>
      <c r="XCU615" s="17">
        <v>44925</v>
      </c>
      <c r="XCV615" s="5" t="s">
        <v>3728</v>
      </c>
      <c r="XCW615" s="17">
        <v>44925</v>
      </c>
      <c r="XCX615" s="5" t="s">
        <v>3728</v>
      </c>
      <c r="XCY615" s="17">
        <v>44925</v>
      </c>
      <c r="XCZ615" s="5" t="s">
        <v>3728</v>
      </c>
      <c r="XDA615" s="17">
        <v>44925</v>
      </c>
      <c r="XDB615" s="5" t="s">
        <v>3728</v>
      </c>
      <c r="XDC615" s="17">
        <v>44925</v>
      </c>
      <c r="XDD615" s="5" t="s">
        <v>3728</v>
      </c>
      <c r="XDE615" s="17">
        <v>44925</v>
      </c>
      <c r="XDF615" s="5" t="s">
        <v>3728</v>
      </c>
      <c r="XDG615" s="17">
        <v>44925</v>
      </c>
      <c r="XDH615" s="5" t="s">
        <v>3728</v>
      </c>
      <c r="XDI615" s="17">
        <v>44925</v>
      </c>
      <c r="XDJ615" s="5" t="s">
        <v>3728</v>
      </c>
      <c r="XDK615" s="17">
        <v>44925</v>
      </c>
      <c r="XDL615" s="5" t="s">
        <v>3728</v>
      </c>
      <c r="XDM615" s="17">
        <v>44925</v>
      </c>
      <c r="XDN615" s="5" t="s">
        <v>3728</v>
      </c>
      <c r="XDO615" s="17">
        <v>44925</v>
      </c>
      <c r="XDP615" s="5" t="s">
        <v>3728</v>
      </c>
      <c r="XDQ615" s="17">
        <v>44925</v>
      </c>
      <c r="XDR615" s="5" t="s">
        <v>3728</v>
      </c>
      <c r="XDS615" s="17">
        <v>44925</v>
      </c>
      <c r="XDT615" s="5" t="s">
        <v>3728</v>
      </c>
      <c r="XDU615" s="17">
        <v>44925</v>
      </c>
      <c r="XDV615" s="5" t="s">
        <v>3728</v>
      </c>
      <c r="XDW615" s="17">
        <v>44925</v>
      </c>
      <c r="XDX615" s="5" t="s">
        <v>3728</v>
      </c>
      <c r="XDY615" s="17">
        <v>44925</v>
      </c>
      <c r="XDZ615" s="5" t="s">
        <v>3728</v>
      </c>
      <c r="XEA615" s="17">
        <v>44925</v>
      </c>
      <c r="XEB615" s="5" t="s">
        <v>3728</v>
      </c>
      <c r="XEC615" s="17">
        <v>44925</v>
      </c>
      <c r="XED615" s="5" t="s">
        <v>3728</v>
      </c>
      <c r="XEE615" s="17">
        <v>44925</v>
      </c>
      <c r="XEF615" s="5" t="s">
        <v>3728</v>
      </c>
      <c r="XEG615" s="17">
        <v>44925</v>
      </c>
      <c r="XEH615" s="5" t="s">
        <v>3728</v>
      </c>
      <c r="XEI615" s="17">
        <v>44925</v>
      </c>
      <c r="XEJ615" s="5" t="s">
        <v>3728</v>
      </c>
      <c r="XEK615" s="17">
        <v>44925</v>
      </c>
      <c r="XEL615" s="5" t="s">
        <v>3728</v>
      </c>
      <c r="XEM615" s="17">
        <v>44925</v>
      </c>
      <c r="XEN615" s="5" t="s">
        <v>3728</v>
      </c>
      <c r="XEO615" s="17">
        <v>44925</v>
      </c>
      <c r="XEP615" s="5" t="s">
        <v>3728</v>
      </c>
      <c r="XEQ615" s="17">
        <v>44925</v>
      </c>
      <c r="XER615" s="5" t="s">
        <v>3728</v>
      </c>
      <c r="XES615" s="17">
        <v>44925</v>
      </c>
      <c r="XET615" s="5" t="s">
        <v>3728</v>
      </c>
      <c r="XEU615" s="17">
        <v>44925</v>
      </c>
      <c r="XEV615" s="5" t="s">
        <v>3728</v>
      </c>
      <c r="XEW615" s="17">
        <v>44925</v>
      </c>
      <c r="XEX615" s="5" t="s">
        <v>3728</v>
      </c>
      <c r="XEY615" s="17">
        <v>44925</v>
      </c>
      <c r="XEZ615" s="5" t="s">
        <v>3728</v>
      </c>
      <c r="XFA615" s="17">
        <v>44925</v>
      </c>
      <c r="XFB615" s="5" t="s">
        <v>3728</v>
      </c>
    </row>
    <row r="616" spans="1:16382" ht="17.25" customHeight="1" x14ac:dyDescent="0.3">
      <c r="A616" s="169">
        <f t="shared" si="66"/>
        <v>530</v>
      </c>
      <c r="B616" s="21" t="s">
        <v>616</v>
      </c>
      <c r="C616" s="5">
        <v>1967</v>
      </c>
      <c r="D616" s="3"/>
      <c r="E616" s="15" t="s">
        <v>3645</v>
      </c>
      <c r="F616" s="15">
        <v>4</v>
      </c>
      <c r="G616" s="100"/>
      <c r="H616" s="15">
        <v>2065.8000000000002</v>
      </c>
      <c r="I616" s="15">
        <v>82</v>
      </c>
      <c r="J616" s="19">
        <f t="shared" si="70"/>
        <v>803195.9</v>
      </c>
      <c r="K616" s="105"/>
      <c r="L616" s="105"/>
      <c r="M616" s="105"/>
      <c r="N616" s="19">
        <f>SUMIF('2020'!B:B,B616,'2020'!C:C)+SUMIF('2021'!B:B,B616,'2021'!C:C)+SUMIF('2022'!B:B,B616,'2022'!C:C)</f>
        <v>803195.9</v>
      </c>
      <c r="O616" s="17">
        <v>44925</v>
      </c>
      <c r="P616" s="5" t="s">
        <v>3728</v>
      </c>
      <c r="Q616" s="17">
        <v>44925</v>
      </c>
      <c r="R616" s="5" t="s">
        <v>3728</v>
      </c>
      <c r="S616" s="17">
        <v>44925</v>
      </c>
      <c r="T616" s="5" t="s">
        <v>3728</v>
      </c>
      <c r="U616" s="17">
        <v>44925</v>
      </c>
      <c r="V616" s="5" t="s">
        <v>3728</v>
      </c>
      <c r="W616" s="17">
        <v>44925</v>
      </c>
      <c r="X616" s="5" t="s">
        <v>3728</v>
      </c>
      <c r="Y616" s="17">
        <v>44925</v>
      </c>
      <c r="Z616" s="5" t="s">
        <v>3728</v>
      </c>
      <c r="AA616" s="17">
        <v>44925</v>
      </c>
      <c r="AB616" s="5" t="s">
        <v>3728</v>
      </c>
      <c r="AC616" s="17">
        <v>44925</v>
      </c>
      <c r="AD616" s="5" t="s">
        <v>3728</v>
      </c>
      <c r="AE616" s="17">
        <v>44925</v>
      </c>
      <c r="AF616" s="5" t="s">
        <v>3728</v>
      </c>
      <c r="AG616" s="17">
        <v>44925</v>
      </c>
      <c r="AH616" s="5" t="s">
        <v>3728</v>
      </c>
      <c r="AI616" s="17">
        <v>44925</v>
      </c>
      <c r="AJ616" s="5" t="s">
        <v>3728</v>
      </c>
      <c r="AK616" s="17">
        <v>44925</v>
      </c>
      <c r="AL616" s="5" t="s">
        <v>3728</v>
      </c>
      <c r="AM616" s="17">
        <v>44925</v>
      </c>
      <c r="AN616" s="5" t="s">
        <v>3728</v>
      </c>
      <c r="AO616" s="17">
        <v>44925</v>
      </c>
      <c r="AP616" s="5" t="s">
        <v>3728</v>
      </c>
      <c r="AQ616" s="17">
        <v>44925</v>
      </c>
      <c r="AR616" s="5" t="s">
        <v>3728</v>
      </c>
      <c r="AS616" s="17">
        <v>44925</v>
      </c>
      <c r="AT616" s="5" t="s">
        <v>3728</v>
      </c>
      <c r="AU616" s="17">
        <v>44925</v>
      </c>
      <c r="AV616" s="5" t="s">
        <v>3728</v>
      </c>
      <c r="AW616" s="17">
        <v>44925</v>
      </c>
      <c r="AX616" s="5" t="s">
        <v>3728</v>
      </c>
      <c r="AY616" s="17">
        <v>44925</v>
      </c>
      <c r="AZ616" s="5" t="s">
        <v>3728</v>
      </c>
      <c r="BA616" s="17">
        <v>44925</v>
      </c>
      <c r="BB616" s="5" t="s">
        <v>3728</v>
      </c>
      <c r="BC616" s="17">
        <v>44925</v>
      </c>
      <c r="BD616" s="5" t="s">
        <v>3728</v>
      </c>
      <c r="BE616" s="17">
        <v>44925</v>
      </c>
      <c r="BF616" s="5" t="s">
        <v>3728</v>
      </c>
      <c r="BG616" s="17">
        <v>44925</v>
      </c>
      <c r="BH616" s="5" t="s">
        <v>3728</v>
      </c>
      <c r="BI616" s="17">
        <v>44925</v>
      </c>
      <c r="BJ616" s="5" t="s">
        <v>3728</v>
      </c>
      <c r="BK616" s="17">
        <v>44925</v>
      </c>
      <c r="BL616" s="5" t="s">
        <v>3728</v>
      </c>
      <c r="BM616" s="17">
        <v>44925</v>
      </c>
      <c r="BN616" s="5" t="s">
        <v>3728</v>
      </c>
      <c r="BO616" s="17">
        <v>44925</v>
      </c>
      <c r="BP616" s="5" t="s">
        <v>3728</v>
      </c>
      <c r="BQ616" s="17">
        <v>44925</v>
      </c>
      <c r="BR616" s="5" t="s">
        <v>3728</v>
      </c>
      <c r="BS616" s="17">
        <v>44925</v>
      </c>
      <c r="BT616" s="5" t="s">
        <v>3728</v>
      </c>
      <c r="BU616" s="17">
        <v>44925</v>
      </c>
      <c r="BV616" s="5" t="s">
        <v>3728</v>
      </c>
      <c r="BW616" s="17">
        <v>44925</v>
      </c>
      <c r="BX616" s="5" t="s">
        <v>3728</v>
      </c>
      <c r="BY616" s="17">
        <v>44925</v>
      </c>
      <c r="BZ616" s="5" t="s">
        <v>3728</v>
      </c>
      <c r="CA616" s="17">
        <v>44925</v>
      </c>
      <c r="CB616" s="5" t="s">
        <v>3728</v>
      </c>
      <c r="CC616" s="17">
        <v>44925</v>
      </c>
      <c r="CD616" s="5" t="s">
        <v>3728</v>
      </c>
      <c r="CE616" s="17">
        <v>44925</v>
      </c>
      <c r="CF616" s="5" t="s">
        <v>3728</v>
      </c>
      <c r="CG616" s="17">
        <v>44925</v>
      </c>
      <c r="CH616" s="5" t="s">
        <v>3728</v>
      </c>
      <c r="CI616" s="17">
        <v>44925</v>
      </c>
      <c r="CJ616" s="5" t="s">
        <v>3728</v>
      </c>
      <c r="CK616" s="17">
        <v>44925</v>
      </c>
      <c r="CL616" s="5" t="s">
        <v>3728</v>
      </c>
      <c r="CM616" s="17">
        <v>44925</v>
      </c>
      <c r="CN616" s="5" t="s">
        <v>3728</v>
      </c>
      <c r="CO616" s="17">
        <v>44925</v>
      </c>
      <c r="CP616" s="5" t="s">
        <v>3728</v>
      </c>
      <c r="CQ616" s="17">
        <v>44925</v>
      </c>
      <c r="CR616" s="5" t="s">
        <v>3728</v>
      </c>
      <c r="CS616" s="17">
        <v>44925</v>
      </c>
      <c r="CT616" s="5" t="s">
        <v>3728</v>
      </c>
      <c r="CU616" s="17">
        <v>44925</v>
      </c>
      <c r="CV616" s="5" t="s">
        <v>3728</v>
      </c>
      <c r="CW616" s="17">
        <v>44925</v>
      </c>
      <c r="CX616" s="5" t="s">
        <v>3728</v>
      </c>
      <c r="CY616" s="17">
        <v>44925</v>
      </c>
      <c r="CZ616" s="5" t="s">
        <v>3728</v>
      </c>
      <c r="DA616" s="17">
        <v>44925</v>
      </c>
      <c r="DB616" s="5" t="s">
        <v>3728</v>
      </c>
      <c r="DC616" s="17">
        <v>44925</v>
      </c>
      <c r="DD616" s="5" t="s">
        <v>3728</v>
      </c>
      <c r="DE616" s="17">
        <v>44925</v>
      </c>
      <c r="DF616" s="5" t="s">
        <v>3728</v>
      </c>
      <c r="DG616" s="17">
        <v>44925</v>
      </c>
      <c r="DH616" s="5" t="s">
        <v>3728</v>
      </c>
      <c r="DI616" s="17">
        <v>44925</v>
      </c>
      <c r="DJ616" s="5" t="s">
        <v>3728</v>
      </c>
      <c r="DK616" s="17">
        <v>44925</v>
      </c>
      <c r="DL616" s="5" t="s">
        <v>3728</v>
      </c>
      <c r="DM616" s="17">
        <v>44925</v>
      </c>
      <c r="DN616" s="5" t="s">
        <v>3728</v>
      </c>
      <c r="DO616" s="17">
        <v>44925</v>
      </c>
      <c r="DP616" s="5" t="s">
        <v>3728</v>
      </c>
      <c r="DQ616" s="17">
        <v>44925</v>
      </c>
      <c r="DR616" s="5" t="s">
        <v>3728</v>
      </c>
      <c r="DS616" s="17">
        <v>44925</v>
      </c>
      <c r="DT616" s="5" t="s">
        <v>3728</v>
      </c>
      <c r="DU616" s="17">
        <v>44925</v>
      </c>
      <c r="DV616" s="5" t="s">
        <v>3728</v>
      </c>
      <c r="DW616" s="17">
        <v>44925</v>
      </c>
      <c r="DX616" s="5" t="s">
        <v>3728</v>
      </c>
      <c r="DY616" s="17">
        <v>44925</v>
      </c>
      <c r="DZ616" s="5" t="s">
        <v>3728</v>
      </c>
      <c r="EA616" s="17">
        <v>44925</v>
      </c>
      <c r="EB616" s="5" t="s">
        <v>3728</v>
      </c>
      <c r="EC616" s="17">
        <v>44925</v>
      </c>
      <c r="ED616" s="5" t="s">
        <v>3728</v>
      </c>
      <c r="EE616" s="17">
        <v>44925</v>
      </c>
      <c r="EF616" s="5" t="s">
        <v>3728</v>
      </c>
      <c r="EG616" s="17">
        <v>44925</v>
      </c>
      <c r="EH616" s="5" t="s">
        <v>3728</v>
      </c>
      <c r="EI616" s="17">
        <v>44925</v>
      </c>
      <c r="EJ616" s="5" t="s">
        <v>3728</v>
      </c>
      <c r="EK616" s="17">
        <v>44925</v>
      </c>
      <c r="EL616" s="5" t="s">
        <v>3728</v>
      </c>
      <c r="EM616" s="17">
        <v>44925</v>
      </c>
      <c r="EN616" s="5" t="s">
        <v>3728</v>
      </c>
      <c r="EO616" s="17">
        <v>44925</v>
      </c>
      <c r="EP616" s="5" t="s">
        <v>3728</v>
      </c>
      <c r="EQ616" s="17">
        <v>44925</v>
      </c>
      <c r="ER616" s="5" t="s">
        <v>3728</v>
      </c>
      <c r="ES616" s="17">
        <v>44925</v>
      </c>
      <c r="ET616" s="5" t="s">
        <v>3728</v>
      </c>
      <c r="EU616" s="17">
        <v>44925</v>
      </c>
      <c r="EV616" s="5" t="s">
        <v>3728</v>
      </c>
      <c r="EW616" s="17">
        <v>44925</v>
      </c>
      <c r="EX616" s="5" t="s">
        <v>3728</v>
      </c>
      <c r="EY616" s="17">
        <v>44925</v>
      </c>
      <c r="EZ616" s="5" t="s">
        <v>3728</v>
      </c>
      <c r="FA616" s="17">
        <v>44925</v>
      </c>
      <c r="FB616" s="5" t="s">
        <v>3728</v>
      </c>
      <c r="FC616" s="17">
        <v>44925</v>
      </c>
      <c r="FD616" s="5" t="s">
        <v>3728</v>
      </c>
      <c r="FE616" s="17">
        <v>44925</v>
      </c>
      <c r="FF616" s="5" t="s">
        <v>3728</v>
      </c>
      <c r="FG616" s="17">
        <v>44925</v>
      </c>
      <c r="FH616" s="5" t="s">
        <v>3728</v>
      </c>
      <c r="FI616" s="17">
        <v>44925</v>
      </c>
      <c r="FJ616" s="5" t="s">
        <v>3728</v>
      </c>
      <c r="FK616" s="17">
        <v>44925</v>
      </c>
      <c r="FL616" s="5" t="s">
        <v>3728</v>
      </c>
      <c r="FM616" s="17">
        <v>44925</v>
      </c>
      <c r="FN616" s="5" t="s">
        <v>3728</v>
      </c>
      <c r="FO616" s="17">
        <v>44925</v>
      </c>
      <c r="FP616" s="5" t="s">
        <v>3728</v>
      </c>
      <c r="FQ616" s="17">
        <v>44925</v>
      </c>
      <c r="FR616" s="5" t="s">
        <v>3728</v>
      </c>
      <c r="FS616" s="17">
        <v>44925</v>
      </c>
      <c r="FT616" s="5" t="s">
        <v>3728</v>
      </c>
      <c r="FU616" s="17">
        <v>44925</v>
      </c>
      <c r="FV616" s="5" t="s">
        <v>3728</v>
      </c>
      <c r="FW616" s="17">
        <v>44925</v>
      </c>
      <c r="FX616" s="5" t="s">
        <v>3728</v>
      </c>
      <c r="FY616" s="17">
        <v>44925</v>
      </c>
      <c r="FZ616" s="5" t="s">
        <v>3728</v>
      </c>
      <c r="GA616" s="17">
        <v>44925</v>
      </c>
      <c r="GB616" s="5" t="s">
        <v>3728</v>
      </c>
      <c r="GC616" s="17">
        <v>44925</v>
      </c>
      <c r="GD616" s="5" t="s">
        <v>3728</v>
      </c>
      <c r="GE616" s="17">
        <v>44925</v>
      </c>
      <c r="GF616" s="5" t="s">
        <v>3728</v>
      </c>
      <c r="GG616" s="17">
        <v>44925</v>
      </c>
      <c r="GH616" s="5" t="s">
        <v>3728</v>
      </c>
      <c r="GI616" s="17">
        <v>44925</v>
      </c>
      <c r="GJ616" s="5" t="s">
        <v>3728</v>
      </c>
      <c r="GK616" s="17">
        <v>44925</v>
      </c>
      <c r="GL616" s="5" t="s">
        <v>3728</v>
      </c>
      <c r="GM616" s="17">
        <v>44925</v>
      </c>
      <c r="GN616" s="5" t="s">
        <v>3728</v>
      </c>
      <c r="GO616" s="17">
        <v>44925</v>
      </c>
      <c r="GP616" s="5" t="s">
        <v>3728</v>
      </c>
      <c r="GQ616" s="17">
        <v>44925</v>
      </c>
      <c r="GR616" s="5" t="s">
        <v>3728</v>
      </c>
      <c r="GS616" s="17">
        <v>44925</v>
      </c>
      <c r="GT616" s="5" t="s">
        <v>3728</v>
      </c>
      <c r="GU616" s="17">
        <v>44925</v>
      </c>
      <c r="GV616" s="5" t="s">
        <v>3728</v>
      </c>
      <c r="GW616" s="17">
        <v>44925</v>
      </c>
      <c r="GX616" s="5" t="s">
        <v>3728</v>
      </c>
      <c r="GY616" s="17">
        <v>44925</v>
      </c>
      <c r="GZ616" s="5" t="s">
        <v>3728</v>
      </c>
      <c r="HA616" s="17">
        <v>44925</v>
      </c>
      <c r="HB616" s="5" t="s">
        <v>3728</v>
      </c>
      <c r="HC616" s="17">
        <v>44925</v>
      </c>
      <c r="HD616" s="5" t="s">
        <v>3728</v>
      </c>
      <c r="HE616" s="17">
        <v>44925</v>
      </c>
      <c r="HF616" s="5" t="s">
        <v>3728</v>
      </c>
      <c r="HG616" s="17">
        <v>44925</v>
      </c>
      <c r="HH616" s="5" t="s">
        <v>3728</v>
      </c>
      <c r="HI616" s="17">
        <v>44925</v>
      </c>
      <c r="HJ616" s="5" t="s">
        <v>3728</v>
      </c>
      <c r="HK616" s="17">
        <v>44925</v>
      </c>
      <c r="HL616" s="5" t="s">
        <v>3728</v>
      </c>
      <c r="HM616" s="17">
        <v>44925</v>
      </c>
      <c r="HN616" s="5" t="s">
        <v>3728</v>
      </c>
      <c r="HO616" s="17">
        <v>44925</v>
      </c>
      <c r="HP616" s="5" t="s">
        <v>3728</v>
      </c>
      <c r="HQ616" s="17">
        <v>44925</v>
      </c>
      <c r="HR616" s="5" t="s">
        <v>3728</v>
      </c>
      <c r="HS616" s="17">
        <v>44925</v>
      </c>
      <c r="HT616" s="5" t="s">
        <v>3728</v>
      </c>
      <c r="HU616" s="17">
        <v>44925</v>
      </c>
      <c r="HV616" s="5" t="s">
        <v>3728</v>
      </c>
      <c r="HW616" s="17">
        <v>44925</v>
      </c>
      <c r="HX616" s="5" t="s">
        <v>3728</v>
      </c>
      <c r="HY616" s="17">
        <v>44925</v>
      </c>
      <c r="HZ616" s="5" t="s">
        <v>3728</v>
      </c>
      <c r="IA616" s="17">
        <v>44925</v>
      </c>
      <c r="IB616" s="5" t="s">
        <v>3728</v>
      </c>
      <c r="IC616" s="17">
        <v>44925</v>
      </c>
      <c r="ID616" s="5" t="s">
        <v>3728</v>
      </c>
      <c r="IE616" s="17">
        <v>44925</v>
      </c>
      <c r="IF616" s="5" t="s">
        <v>3728</v>
      </c>
      <c r="IG616" s="17">
        <v>44925</v>
      </c>
      <c r="IH616" s="5" t="s">
        <v>3728</v>
      </c>
      <c r="II616" s="17">
        <v>44925</v>
      </c>
      <c r="IJ616" s="5" t="s">
        <v>3728</v>
      </c>
      <c r="IK616" s="17">
        <v>44925</v>
      </c>
      <c r="IL616" s="5" t="s">
        <v>3728</v>
      </c>
      <c r="IM616" s="17">
        <v>44925</v>
      </c>
      <c r="IN616" s="5" t="s">
        <v>3728</v>
      </c>
      <c r="IO616" s="17">
        <v>44925</v>
      </c>
      <c r="IP616" s="5" t="s">
        <v>3728</v>
      </c>
      <c r="IQ616" s="17">
        <v>44925</v>
      </c>
      <c r="IR616" s="5" t="s">
        <v>3728</v>
      </c>
      <c r="IS616" s="17">
        <v>44925</v>
      </c>
      <c r="IT616" s="5" t="s">
        <v>3728</v>
      </c>
      <c r="IU616" s="17">
        <v>44925</v>
      </c>
      <c r="IV616" s="5" t="s">
        <v>3728</v>
      </c>
      <c r="IW616" s="17">
        <v>44925</v>
      </c>
      <c r="IX616" s="5" t="s">
        <v>3728</v>
      </c>
      <c r="IY616" s="17">
        <v>44925</v>
      </c>
      <c r="IZ616" s="5" t="s">
        <v>3728</v>
      </c>
      <c r="JA616" s="17">
        <v>44925</v>
      </c>
      <c r="JB616" s="5" t="s">
        <v>3728</v>
      </c>
      <c r="JC616" s="17">
        <v>44925</v>
      </c>
      <c r="JD616" s="5" t="s">
        <v>3728</v>
      </c>
      <c r="JE616" s="17">
        <v>44925</v>
      </c>
      <c r="JF616" s="5" t="s">
        <v>3728</v>
      </c>
      <c r="JG616" s="17">
        <v>44925</v>
      </c>
      <c r="JH616" s="5" t="s">
        <v>3728</v>
      </c>
      <c r="JI616" s="17">
        <v>44925</v>
      </c>
      <c r="JJ616" s="5" t="s">
        <v>3728</v>
      </c>
      <c r="JK616" s="17">
        <v>44925</v>
      </c>
      <c r="JL616" s="5" t="s">
        <v>3728</v>
      </c>
      <c r="JM616" s="17">
        <v>44925</v>
      </c>
      <c r="JN616" s="5" t="s">
        <v>3728</v>
      </c>
      <c r="JO616" s="17">
        <v>44925</v>
      </c>
      <c r="JP616" s="5" t="s">
        <v>3728</v>
      </c>
      <c r="JQ616" s="17">
        <v>44925</v>
      </c>
      <c r="JR616" s="5" t="s">
        <v>3728</v>
      </c>
      <c r="JS616" s="17">
        <v>44925</v>
      </c>
      <c r="JT616" s="5" t="s">
        <v>3728</v>
      </c>
      <c r="JU616" s="17">
        <v>44925</v>
      </c>
      <c r="JV616" s="5" t="s">
        <v>3728</v>
      </c>
      <c r="JW616" s="17">
        <v>44925</v>
      </c>
      <c r="JX616" s="5" t="s">
        <v>3728</v>
      </c>
      <c r="JY616" s="17">
        <v>44925</v>
      </c>
      <c r="JZ616" s="5" t="s">
        <v>3728</v>
      </c>
      <c r="KA616" s="17">
        <v>44925</v>
      </c>
      <c r="KB616" s="5" t="s">
        <v>3728</v>
      </c>
      <c r="KC616" s="17">
        <v>44925</v>
      </c>
      <c r="KD616" s="5" t="s">
        <v>3728</v>
      </c>
      <c r="KE616" s="17">
        <v>44925</v>
      </c>
      <c r="KF616" s="5" t="s">
        <v>3728</v>
      </c>
      <c r="KG616" s="17">
        <v>44925</v>
      </c>
      <c r="KH616" s="5" t="s">
        <v>3728</v>
      </c>
      <c r="KI616" s="17">
        <v>44925</v>
      </c>
      <c r="KJ616" s="5" t="s">
        <v>3728</v>
      </c>
      <c r="KK616" s="17">
        <v>44925</v>
      </c>
      <c r="KL616" s="5" t="s">
        <v>3728</v>
      </c>
      <c r="KM616" s="17">
        <v>44925</v>
      </c>
      <c r="KN616" s="5" t="s">
        <v>3728</v>
      </c>
      <c r="KO616" s="17">
        <v>44925</v>
      </c>
      <c r="KP616" s="5" t="s">
        <v>3728</v>
      </c>
      <c r="KQ616" s="17">
        <v>44925</v>
      </c>
      <c r="KR616" s="5" t="s">
        <v>3728</v>
      </c>
      <c r="KS616" s="17">
        <v>44925</v>
      </c>
      <c r="KT616" s="5" t="s">
        <v>3728</v>
      </c>
      <c r="KU616" s="17">
        <v>44925</v>
      </c>
      <c r="KV616" s="5" t="s">
        <v>3728</v>
      </c>
      <c r="KW616" s="17">
        <v>44925</v>
      </c>
      <c r="KX616" s="5" t="s">
        <v>3728</v>
      </c>
      <c r="KY616" s="17">
        <v>44925</v>
      </c>
      <c r="KZ616" s="5" t="s">
        <v>3728</v>
      </c>
      <c r="LA616" s="17">
        <v>44925</v>
      </c>
      <c r="LB616" s="5" t="s">
        <v>3728</v>
      </c>
      <c r="LC616" s="17">
        <v>44925</v>
      </c>
      <c r="LD616" s="5" t="s">
        <v>3728</v>
      </c>
      <c r="LE616" s="17">
        <v>44925</v>
      </c>
      <c r="LF616" s="5" t="s">
        <v>3728</v>
      </c>
      <c r="LG616" s="17">
        <v>44925</v>
      </c>
      <c r="LH616" s="5" t="s">
        <v>3728</v>
      </c>
      <c r="LI616" s="17">
        <v>44925</v>
      </c>
      <c r="LJ616" s="5" t="s">
        <v>3728</v>
      </c>
      <c r="LK616" s="17">
        <v>44925</v>
      </c>
      <c r="LL616" s="5" t="s">
        <v>3728</v>
      </c>
      <c r="LM616" s="17">
        <v>44925</v>
      </c>
      <c r="LN616" s="5" t="s">
        <v>3728</v>
      </c>
      <c r="LO616" s="17">
        <v>44925</v>
      </c>
      <c r="LP616" s="5" t="s">
        <v>3728</v>
      </c>
      <c r="LQ616" s="17">
        <v>44925</v>
      </c>
      <c r="LR616" s="5" t="s">
        <v>3728</v>
      </c>
      <c r="LS616" s="17">
        <v>44925</v>
      </c>
      <c r="LT616" s="5" t="s">
        <v>3728</v>
      </c>
      <c r="LU616" s="17">
        <v>44925</v>
      </c>
      <c r="LV616" s="5" t="s">
        <v>3728</v>
      </c>
      <c r="LW616" s="17">
        <v>44925</v>
      </c>
      <c r="LX616" s="5" t="s">
        <v>3728</v>
      </c>
      <c r="LY616" s="17">
        <v>44925</v>
      </c>
      <c r="LZ616" s="5" t="s">
        <v>3728</v>
      </c>
      <c r="MA616" s="17">
        <v>44925</v>
      </c>
      <c r="MB616" s="5" t="s">
        <v>3728</v>
      </c>
      <c r="MC616" s="17">
        <v>44925</v>
      </c>
      <c r="MD616" s="5" t="s">
        <v>3728</v>
      </c>
      <c r="ME616" s="17">
        <v>44925</v>
      </c>
      <c r="MF616" s="5" t="s">
        <v>3728</v>
      </c>
      <c r="MG616" s="17">
        <v>44925</v>
      </c>
      <c r="MH616" s="5" t="s">
        <v>3728</v>
      </c>
      <c r="MI616" s="17">
        <v>44925</v>
      </c>
      <c r="MJ616" s="5" t="s">
        <v>3728</v>
      </c>
      <c r="MK616" s="17">
        <v>44925</v>
      </c>
      <c r="ML616" s="5" t="s">
        <v>3728</v>
      </c>
      <c r="MM616" s="17">
        <v>44925</v>
      </c>
      <c r="MN616" s="5" t="s">
        <v>3728</v>
      </c>
      <c r="MO616" s="17">
        <v>44925</v>
      </c>
      <c r="MP616" s="5" t="s">
        <v>3728</v>
      </c>
      <c r="MQ616" s="17">
        <v>44925</v>
      </c>
      <c r="MR616" s="5" t="s">
        <v>3728</v>
      </c>
      <c r="MS616" s="17">
        <v>44925</v>
      </c>
      <c r="MT616" s="5" t="s">
        <v>3728</v>
      </c>
      <c r="MU616" s="17">
        <v>44925</v>
      </c>
      <c r="MV616" s="5" t="s">
        <v>3728</v>
      </c>
      <c r="MW616" s="17">
        <v>44925</v>
      </c>
      <c r="MX616" s="5" t="s">
        <v>3728</v>
      </c>
      <c r="MY616" s="17">
        <v>44925</v>
      </c>
      <c r="MZ616" s="5" t="s">
        <v>3728</v>
      </c>
      <c r="NA616" s="17">
        <v>44925</v>
      </c>
      <c r="NB616" s="5" t="s">
        <v>3728</v>
      </c>
      <c r="NC616" s="17">
        <v>44925</v>
      </c>
      <c r="ND616" s="5" t="s">
        <v>3728</v>
      </c>
      <c r="NE616" s="17">
        <v>44925</v>
      </c>
      <c r="NF616" s="5" t="s">
        <v>3728</v>
      </c>
      <c r="NG616" s="17">
        <v>44925</v>
      </c>
      <c r="NH616" s="5" t="s">
        <v>3728</v>
      </c>
      <c r="NI616" s="17">
        <v>44925</v>
      </c>
      <c r="NJ616" s="5" t="s">
        <v>3728</v>
      </c>
      <c r="NK616" s="17">
        <v>44925</v>
      </c>
      <c r="NL616" s="5" t="s">
        <v>3728</v>
      </c>
      <c r="NM616" s="17">
        <v>44925</v>
      </c>
      <c r="NN616" s="5" t="s">
        <v>3728</v>
      </c>
      <c r="NO616" s="17">
        <v>44925</v>
      </c>
      <c r="NP616" s="5" t="s">
        <v>3728</v>
      </c>
      <c r="NQ616" s="17">
        <v>44925</v>
      </c>
      <c r="NR616" s="5" t="s">
        <v>3728</v>
      </c>
      <c r="NS616" s="17">
        <v>44925</v>
      </c>
      <c r="NT616" s="5" t="s">
        <v>3728</v>
      </c>
      <c r="NU616" s="17">
        <v>44925</v>
      </c>
      <c r="NV616" s="5" t="s">
        <v>3728</v>
      </c>
      <c r="NW616" s="17">
        <v>44925</v>
      </c>
      <c r="NX616" s="5" t="s">
        <v>3728</v>
      </c>
      <c r="NY616" s="17">
        <v>44925</v>
      </c>
      <c r="NZ616" s="5" t="s">
        <v>3728</v>
      </c>
      <c r="OA616" s="17">
        <v>44925</v>
      </c>
      <c r="OB616" s="5" t="s">
        <v>3728</v>
      </c>
      <c r="OC616" s="17">
        <v>44925</v>
      </c>
      <c r="OD616" s="5" t="s">
        <v>3728</v>
      </c>
      <c r="OE616" s="17">
        <v>44925</v>
      </c>
      <c r="OF616" s="5" t="s">
        <v>3728</v>
      </c>
      <c r="OG616" s="17">
        <v>44925</v>
      </c>
      <c r="OH616" s="5" t="s">
        <v>3728</v>
      </c>
      <c r="OI616" s="17">
        <v>44925</v>
      </c>
      <c r="OJ616" s="5" t="s">
        <v>3728</v>
      </c>
      <c r="OK616" s="17">
        <v>44925</v>
      </c>
      <c r="OL616" s="5" t="s">
        <v>3728</v>
      </c>
      <c r="OM616" s="17">
        <v>44925</v>
      </c>
      <c r="ON616" s="5" t="s">
        <v>3728</v>
      </c>
      <c r="OO616" s="17">
        <v>44925</v>
      </c>
      <c r="OP616" s="5" t="s">
        <v>3728</v>
      </c>
      <c r="OQ616" s="17">
        <v>44925</v>
      </c>
      <c r="OR616" s="5" t="s">
        <v>3728</v>
      </c>
      <c r="OS616" s="17">
        <v>44925</v>
      </c>
      <c r="OT616" s="5" t="s">
        <v>3728</v>
      </c>
      <c r="OU616" s="17">
        <v>44925</v>
      </c>
      <c r="OV616" s="5" t="s">
        <v>3728</v>
      </c>
      <c r="OW616" s="17">
        <v>44925</v>
      </c>
      <c r="OX616" s="5" t="s">
        <v>3728</v>
      </c>
      <c r="OY616" s="17">
        <v>44925</v>
      </c>
      <c r="OZ616" s="5" t="s">
        <v>3728</v>
      </c>
      <c r="PA616" s="17">
        <v>44925</v>
      </c>
      <c r="PB616" s="5" t="s">
        <v>3728</v>
      </c>
      <c r="PC616" s="17">
        <v>44925</v>
      </c>
      <c r="PD616" s="5" t="s">
        <v>3728</v>
      </c>
      <c r="PE616" s="17">
        <v>44925</v>
      </c>
      <c r="PF616" s="5" t="s">
        <v>3728</v>
      </c>
      <c r="PG616" s="17">
        <v>44925</v>
      </c>
      <c r="PH616" s="5" t="s">
        <v>3728</v>
      </c>
      <c r="PI616" s="17">
        <v>44925</v>
      </c>
      <c r="PJ616" s="5" t="s">
        <v>3728</v>
      </c>
      <c r="PK616" s="17">
        <v>44925</v>
      </c>
      <c r="PL616" s="5" t="s">
        <v>3728</v>
      </c>
      <c r="PM616" s="17">
        <v>44925</v>
      </c>
      <c r="PN616" s="5" t="s">
        <v>3728</v>
      </c>
      <c r="PO616" s="17">
        <v>44925</v>
      </c>
      <c r="PP616" s="5" t="s">
        <v>3728</v>
      </c>
      <c r="PQ616" s="17">
        <v>44925</v>
      </c>
      <c r="PR616" s="5" t="s">
        <v>3728</v>
      </c>
      <c r="PS616" s="17">
        <v>44925</v>
      </c>
      <c r="PT616" s="5" t="s">
        <v>3728</v>
      </c>
      <c r="PU616" s="17">
        <v>44925</v>
      </c>
      <c r="PV616" s="5" t="s">
        <v>3728</v>
      </c>
      <c r="PW616" s="17">
        <v>44925</v>
      </c>
      <c r="PX616" s="5" t="s">
        <v>3728</v>
      </c>
      <c r="PY616" s="17">
        <v>44925</v>
      </c>
      <c r="PZ616" s="5" t="s">
        <v>3728</v>
      </c>
      <c r="QA616" s="17">
        <v>44925</v>
      </c>
      <c r="QB616" s="5" t="s">
        <v>3728</v>
      </c>
      <c r="QC616" s="17">
        <v>44925</v>
      </c>
      <c r="QD616" s="5" t="s">
        <v>3728</v>
      </c>
      <c r="QE616" s="17">
        <v>44925</v>
      </c>
      <c r="QF616" s="5" t="s">
        <v>3728</v>
      </c>
      <c r="QG616" s="17">
        <v>44925</v>
      </c>
      <c r="QH616" s="5" t="s">
        <v>3728</v>
      </c>
      <c r="QI616" s="17">
        <v>44925</v>
      </c>
      <c r="QJ616" s="5" t="s">
        <v>3728</v>
      </c>
      <c r="QK616" s="17">
        <v>44925</v>
      </c>
      <c r="QL616" s="5" t="s">
        <v>3728</v>
      </c>
      <c r="QM616" s="17">
        <v>44925</v>
      </c>
      <c r="QN616" s="5" t="s">
        <v>3728</v>
      </c>
      <c r="QO616" s="17">
        <v>44925</v>
      </c>
      <c r="QP616" s="5" t="s">
        <v>3728</v>
      </c>
      <c r="QQ616" s="17">
        <v>44925</v>
      </c>
      <c r="QR616" s="5" t="s">
        <v>3728</v>
      </c>
      <c r="QS616" s="17">
        <v>44925</v>
      </c>
      <c r="QT616" s="5" t="s">
        <v>3728</v>
      </c>
      <c r="QU616" s="17">
        <v>44925</v>
      </c>
      <c r="QV616" s="5" t="s">
        <v>3728</v>
      </c>
      <c r="QW616" s="17">
        <v>44925</v>
      </c>
      <c r="QX616" s="5" t="s">
        <v>3728</v>
      </c>
      <c r="QY616" s="17">
        <v>44925</v>
      </c>
      <c r="QZ616" s="5" t="s">
        <v>3728</v>
      </c>
      <c r="RA616" s="17">
        <v>44925</v>
      </c>
      <c r="RB616" s="5" t="s">
        <v>3728</v>
      </c>
      <c r="RC616" s="17">
        <v>44925</v>
      </c>
      <c r="RD616" s="5" t="s">
        <v>3728</v>
      </c>
      <c r="RE616" s="17">
        <v>44925</v>
      </c>
      <c r="RF616" s="5" t="s">
        <v>3728</v>
      </c>
      <c r="RG616" s="17">
        <v>44925</v>
      </c>
      <c r="RH616" s="5" t="s">
        <v>3728</v>
      </c>
      <c r="RI616" s="17">
        <v>44925</v>
      </c>
      <c r="RJ616" s="5" t="s">
        <v>3728</v>
      </c>
      <c r="RK616" s="17">
        <v>44925</v>
      </c>
      <c r="RL616" s="5" t="s">
        <v>3728</v>
      </c>
      <c r="RM616" s="17">
        <v>44925</v>
      </c>
      <c r="RN616" s="5" t="s">
        <v>3728</v>
      </c>
      <c r="RO616" s="17">
        <v>44925</v>
      </c>
      <c r="RP616" s="5" t="s">
        <v>3728</v>
      </c>
      <c r="RQ616" s="17">
        <v>44925</v>
      </c>
      <c r="RR616" s="5" t="s">
        <v>3728</v>
      </c>
      <c r="RS616" s="17">
        <v>44925</v>
      </c>
      <c r="RT616" s="5" t="s">
        <v>3728</v>
      </c>
      <c r="RU616" s="17">
        <v>44925</v>
      </c>
      <c r="RV616" s="5" t="s">
        <v>3728</v>
      </c>
      <c r="RW616" s="17">
        <v>44925</v>
      </c>
      <c r="RX616" s="5" t="s">
        <v>3728</v>
      </c>
      <c r="RY616" s="17">
        <v>44925</v>
      </c>
      <c r="RZ616" s="5" t="s">
        <v>3728</v>
      </c>
      <c r="SA616" s="17">
        <v>44925</v>
      </c>
      <c r="SB616" s="5" t="s">
        <v>3728</v>
      </c>
      <c r="SC616" s="17">
        <v>44925</v>
      </c>
      <c r="SD616" s="5" t="s">
        <v>3728</v>
      </c>
      <c r="SE616" s="17">
        <v>44925</v>
      </c>
      <c r="SF616" s="5" t="s">
        <v>3728</v>
      </c>
      <c r="SG616" s="17">
        <v>44925</v>
      </c>
      <c r="SH616" s="5" t="s">
        <v>3728</v>
      </c>
      <c r="SI616" s="17">
        <v>44925</v>
      </c>
      <c r="SJ616" s="5" t="s">
        <v>3728</v>
      </c>
      <c r="SK616" s="17">
        <v>44925</v>
      </c>
      <c r="SL616" s="5" t="s">
        <v>3728</v>
      </c>
      <c r="SM616" s="17">
        <v>44925</v>
      </c>
      <c r="SN616" s="5" t="s">
        <v>3728</v>
      </c>
      <c r="SO616" s="17">
        <v>44925</v>
      </c>
      <c r="SP616" s="5" t="s">
        <v>3728</v>
      </c>
      <c r="SQ616" s="17">
        <v>44925</v>
      </c>
      <c r="SR616" s="5" t="s">
        <v>3728</v>
      </c>
      <c r="SS616" s="17">
        <v>44925</v>
      </c>
      <c r="ST616" s="5" t="s">
        <v>3728</v>
      </c>
      <c r="SU616" s="17">
        <v>44925</v>
      </c>
      <c r="SV616" s="5" t="s">
        <v>3728</v>
      </c>
      <c r="SW616" s="17">
        <v>44925</v>
      </c>
      <c r="SX616" s="5" t="s">
        <v>3728</v>
      </c>
      <c r="SY616" s="17">
        <v>44925</v>
      </c>
      <c r="SZ616" s="5" t="s">
        <v>3728</v>
      </c>
      <c r="TA616" s="17">
        <v>44925</v>
      </c>
      <c r="TB616" s="5" t="s">
        <v>3728</v>
      </c>
      <c r="TC616" s="17">
        <v>44925</v>
      </c>
      <c r="TD616" s="5" t="s">
        <v>3728</v>
      </c>
      <c r="TE616" s="17">
        <v>44925</v>
      </c>
      <c r="TF616" s="5" t="s">
        <v>3728</v>
      </c>
      <c r="TG616" s="17">
        <v>44925</v>
      </c>
      <c r="TH616" s="5" t="s">
        <v>3728</v>
      </c>
      <c r="TI616" s="17">
        <v>44925</v>
      </c>
      <c r="TJ616" s="5" t="s">
        <v>3728</v>
      </c>
      <c r="TK616" s="17">
        <v>44925</v>
      </c>
      <c r="TL616" s="5" t="s">
        <v>3728</v>
      </c>
      <c r="TM616" s="17">
        <v>44925</v>
      </c>
      <c r="TN616" s="5" t="s">
        <v>3728</v>
      </c>
      <c r="TO616" s="17">
        <v>44925</v>
      </c>
      <c r="TP616" s="5" t="s">
        <v>3728</v>
      </c>
      <c r="TQ616" s="17">
        <v>44925</v>
      </c>
      <c r="TR616" s="5" t="s">
        <v>3728</v>
      </c>
      <c r="TS616" s="17">
        <v>44925</v>
      </c>
      <c r="TT616" s="5" t="s">
        <v>3728</v>
      </c>
      <c r="TU616" s="17">
        <v>44925</v>
      </c>
      <c r="TV616" s="5" t="s">
        <v>3728</v>
      </c>
      <c r="TW616" s="17">
        <v>44925</v>
      </c>
      <c r="TX616" s="5" t="s">
        <v>3728</v>
      </c>
      <c r="TY616" s="17">
        <v>44925</v>
      </c>
      <c r="TZ616" s="5" t="s">
        <v>3728</v>
      </c>
      <c r="UA616" s="17">
        <v>44925</v>
      </c>
      <c r="UB616" s="5" t="s">
        <v>3728</v>
      </c>
      <c r="UC616" s="17">
        <v>44925</v>
      </c>
      <c r="UD616" s="5" t="s">
        <v>3728</v>
      </c>
      <c r="UE616" s="17">
        <v>44925</v>
      </c>
      <c r="UF616" s="5" t="s">
        <v>3728</v>
      </c>
      <c r="UG616" s="17">
        <v>44925</v>
      </c>
      <c r="UH616" s="5" t="s">
        <v>3728</v>
      </c>
      <c r="UI616" s="17">
        <v>44925</v>
      </c>
      <c r="UJ616" s="5" t="s">
        <v>3728</v>
      </c>
      <c r="UK616" s="17">
        <v>44925</v>
      </c>
      <c r="UL616" s="5" t="s">
        <v>3728</v>
      </c>
      <c r="UM616" s="17">
        <v>44925</v>
      </c>
      <c r="UN616" s="5" t="s">
        <v>3728</v>
      </c>
      <c r="UO616" s="17">
        <v>44925</v>
      </c>
      <c r="UP616" s="5" t="s">
        <v>3728</v>
      </c>
      <c r="UQ616" s="17">
        <v>44925</v>
      </c>
      <c r="UR616" s="5" t="s">
        <v>3728</v>
      </c>
      <c r="US616" s="17">
        <v>44925</v>
      </c>
      <c r="UT616" s="5" t="s">
        <v>3728</v>
      </c>
      <c r="UU616" s="17">
        <v>44925</v>
      </c>
      <c r="UV616" s="5" t="s">
        <v>3728</v>
      </c>
      <c r="UW616" s="17">
        <v>44925</v>
      </c>
      <c r="UX616" s="5" t="s">
        <v>3728</v>
      </c>
      <c r="UY616" s="17">
        <v>44925</v>
      </c>
      <c r="UZ616" s="5" t="s">
        <v>3728</v>
      </c>
      <c r="VA616" s="17">
        <v>44925</v>
      </c>
      <c r="VB616" s="5" t="s">
        <v>3728</v>
      </c>
      <c r="VC616" s="17">
        <v>44925</v>
      </c>
      <c r="VD616" s="5" t="s">
        <v>3728</v>
      </c>
      <c r="VE616" s="17">
        <v>44925</v>
      </c>
      <c r="VF616" s="5" t="s">
        <v>3728</v>
      </c>
      <c r="VG616" s="17">
        <v>44925</v>
      </c>
      <c r="VH616" s="5" t="s">
        <v>3728</v>
      </c>
      <c r="VI616" s="17">
        <v>44925</v>
      </c>
      <c r="VJ616" s="5" t="s">
        <v>3728</v>
      </c>
      <c r="VK616" s="17">
        <v>44925</v>
      </c>
      <c r="VL616" s="5" t="s">
        <v>3728</v>
      </c>
      <c r="VM616" s="17">
        <v>44925</v>
      </c>
      <c r="VN616" s="5" t="s">
        <v>3728</v>
      </c>
      <c r="VO616" s="17">
        <v>44925</v>
      </c>
      <c r="VP616" s="5" t="s">
        <v>3728</v>
      </c>
      <c r="VQ616" s="17">
        <v>44925</v>
      </c>
      <c r="VR616" s="5" t="s">
        <v>3728</v>
      </c>
      <c r="VS616" s="17">
        <v>44925</v>
      </c>
      <c r="VT616" s="5" t="s">
        <v>3728</v>
      </c>
      <c r="VU616" s="17">
        <v>44925</v>
      </c>
      <c r="VV616" s="5" t="s">
        <v>3728</v>
      </c>
      <c r="VW616" s="17">
        <v>44925</v>
      </c>
      <c r="VX616" s="5" t="s">
        <v>3728</v>
      </c>
      <c r="VY616" s="17">
        <v>44925</v>
      </c>
      <c r="VZ616" s="5" t="s">
        <v>3728</v>
      </c>
      <c r="WA616" s="17">
        <v>44925</v>
      </c>
      <c r="WB616" s="5" t="s">
        <v>3728</v>
      </c>
      <c r="WC616" s="17">
        <v>44925</v>
      </c>
      <c r="WD616" s="5" t="s">
        <v>3728</v>
      </c>
      <c r="WE616" s="17">
        <v>44925</v>
      </c>
      <c r="WF616" s="5" t="s">
        <v>3728</v>
      </c>
      <c r="WG616" s="17">
        <v>44925</v>
      </c>
      <c r="WH616" s="5" t="s">
        <v>3728</v>
      </c>
      <c r="WI616" s="17">
        <v>44925</v>
      </c>
      <c r="WJ616" s="5" t="s">
        <v>3728</v>
      </c>
      <c r="WK616" s="17">
        <v>44925</v>
      </c>
      <c r="WL616" s="5" t="s">
        <v>3728</v>
      </c>
      <c r="WM616" s="17">
        <v>44925</v>
      </c>
      <c r="WN616" s="5" t="s">
        <v>3728</v>
      </c>
      <c r="WO616" s="17">
        <v>44925</v>
      </c>
      <c r="WP616" s="5" t="s">
        <v>3728</v>
      </c>
      <c r="WQ616" s="17">
        <v>44925</v>
      </c>
      <c r="WR616" s="5" t="s">
        <v>3728</v>
      </c>
      <c r="WS616" s="17">
        <v>44925</v>
      </c>
      <c r="WT616" s="5" t="s">
        <v>3728</v>
      </c>
      <c r="WU616" s="17">
        <v>44925</v>
      </c>
      <c r="WV616" s="5" t="s">
        <v>3728</v>
      </c>
      <c r="WW616" s="17">
        <v>44925</v>
      </c>
      <c r="WX616" s="5" t="s">
        <v>3728</v>
      </c>
      <c r="WY616" s="17">
        <v>44925</v>
      </c>
      <c r="WZ616" s="5" t="s">
        <v>3728</v>
      </c>
      <c r="XA616" s="17">
        <v>44925</v>
      </c>
      <c r="XB616" s="5" t="s">
        <v>3728</v>
      </c>
      <c r="XC616" s="17">
        <v>44925</v>
      </c>
      <c r="XD616" s="5" t="s">
        <v>3728</v>
      </c>
      <c r="XE616" s="17">
        <v>44925</v>
      </c>
      <c r="XF616" s="5" t="s">
        <v>3728</v>
      </c>
      <c r="XG616" s="17">
        <v>44925</v>
      </c>
      <c r="XH616" s="5" t="s">
        <v>3728</v>
      </c>
      <c r="XI616" s="17">
        <v>44925</v>
      </c>
      <c r="XJ616" s="5" t="s">
        <v>3728</v>
      </c>
      <c r="XK616" s="17">
        <v>44925</v>
      </c>
      <c r="XL616" s="5" t="s">
        <v>3728</v>
      </c>
      <c r="XM616" s="17">
        <v>44925</v>
      </c>
      <c r="XN616" s="5" t="s">
        <v>3728</v>
      </c>
      <c r="XO616" s="17">
        <v>44925</v>
      </c>
      <c r="XP616" s="5" t="s">
        <v>3728</v>
      </c>
      <c r="XQ616" s="17">
        <v>44925</v>
      </c>
      <c r="XR616" s="5" t="s">
        <v>3728</v>
      </c>
      <c r="XS616" s="17">
        <v>44925</v>
      </c>
      <c r="XT616" s="5" t="s">
        <v>3728</v>
      </c>
      <c r="XU616" s="17">
        <v>44925</v>
      </c>
      <c r="XV616" s="5" t="s">
        <v>3728</v>
      </c>
      <c r="XW616" s="17">
        <v>44925</v>
      </c>
      <c r="XX616" s="5" t="s">
        <v>3728</v>
      </c>
      <c r="XY616" s="17">
        <v>44925</v>
      </c>
      <c r="XZ616" s="5" t="s">
        <v>3728</v>
      </c>
      <c r="YA616" s="17">
        <v>44925</v>
      </c>
      <c r="YB616" s="5" t="s">
        <v>3728</v>
      </c>
      <c r="YC616" s="17">
        <v>44925</v>
      </c>
      <c r="YD616" s="5" t="s">
        <v>3728</v>
      </c>
      <c r="YE616" s="17">
        <v>44925</v>
      </c>
      <c r="YF616" s="5" t="s">
        <v>3728</v>
      </c>
      <c r="YG616" s="17">
        <v>44925</v>
      </c>
      <c r="YH616" s="5" t="s">
        <v>3728</v>
      </c>
      <c r="YI616" s="17">
        <v>44925</v>
      </c>
      <c r="YJ616" s="5" t="s">
        <v>3728</v>
      </c>
      <c r="YK616" s="17">
        <v>44925</v>
      </c>
      <c r="YL616" s="5" t="s">
        <v>3728</v>
      </c>
      <c r="YM616" s="17">
        <v>44925</v>
      </c>
      <c r="YN616" s="5" t="s">
        <v>3728</v>
      </c>
      <c r="YO616" s="17">
        <v>44925</v>
      </c>
      <c r="YP616" s="5" t="s">
        <v>3728</v>
      </c>
      <c r="YQ616" s="17">
        <v>44925</v>
      </c>
      <c r="YR616" s="5" t="s">
        <v>3728</v>
      </c>
      <c r="YS616" s="17">
        <v>44925</v>
      </c>
      <c r="YT616" s="5" t="s">
        <v>3728</v>
      </c>
      <c r="YU616" s="17">
        <v>44925</v>
      </c>
      <c r="YV616" s="5" t="s">
        <v>3728</v>
      </c>
      <c r="YW616" s="17">
        <v>44925</v>
      </c>
      <c r="YX616" s="5" t="s">
        <v>3728</v>
      </c>
      <c r="YY616" s="17">
        <v>44925</v>
      </c>
      <c r="YZ616" s="5" t="s">
        <v>3728</v>
      </c>
      <c r="ZA616" s="17">
        <v>44925</v>
      </c>
      <c r="ZB616" s="5" t="s">
        <v>3728</v>
      </c>
      <c r="ZC616" s="17">
        <v>44925</v>
      </c>
      <c r="ZD616" s="5" t="s">
        <v>3728</v>
      </c>
      <c r="ZE616" s="17">
        <v>44925</v>
      </c>
      <c r="ZF616" s="5" t="s">
        <v>3728</v>
      </c>
      <c r="ZG616" s="17">
        <v>44925</v>
      </c>
      <c r="ZH616" s="5" t="s">
        <v>3728</v>
      </c>
      <c r="ZI616" s="17">
        <v>44925</v>
      </c>
      <c r="ZJ616" s="5" t="s">
        <v>3728</v>
      </c>
      <c r="ZK616" s="17">
        <v>44925</v>
      </c>
      <c r="ZL616" s="5" t="s">
        <v>3728</v>
      </c>
      <c r="ZM616" s="17">
        <v>44925</v>
      </c>
      <c r="ZN616" s="5" t="s">
        <v>3728</v>
      </c>
      <c r="ZO616" s="17">
        <v>44925</v>
      </c>
      <c r="ZP616" s="5" t="s">
        <v>3728</v>
      </c>
      <c r="ZQ616" s="17">
        <v>44925</v>
      </c>
      <c r="ZR616" s="5" t="s">
        <v>3728</v>
      </c>
      <c r="ZS616" s="17">
        <v>44925</v>
      </c>
      <c r="ZT616" s="5" t="s">
        <v>3728</v>
      </c>
      <c r="ZU616" s="17">
        <v>44925</v>
      </c>
      <c r="ZV616" s="5" t="s">
        <v>3728</v>
      </c>
      <c r="ZW616" s="17">
        <v>44925</v>
      </c>
      <c r="ZX616" s="5" t="s">
        <v>3728</v>
      </c>
      <c r="ZY616" s="17">
        <v>44925</v>
      </c>
      <c r="ZZ616" s="5" t="s">
        <v>3728</v>
      </c>
      <c r="AAA616" s="17">
        <v>44925</v>
      </c>
      <c r="AAB616" s="5" t="s">
        <v>3728</v>
      </c>
      <c r="AAC616" s="17">
        <v>44925</v>
      </c>
      <c r="AAD616" s="5" t="s">
        <v>3728</v>
      </c>
      <c r="AAE616" s="17">
        <v>44925</v>
      </c>
      <c r="AAF616" s="5" t="s">
        <v>3728</v>
      </c>
      <c r="AAG616" s="17">
        <v>44925</v>
      </c>
      <c r="AAH616" s="5" t="s">
        <v>3728</v>
      </c>
      <c r="AAI616" s="17">
        <v>44925</v>
      </c>
      <c r="AAJ616" s="5" t="s">
        <v>3728</v>
      </c>
      <c r="AAK616" s="17">
        <v>44925</v>
      </c>
      <c r="AAL616" s="5" t="s">
        <v>3728</v>
      </c>
      <c r="AAM616" s="17">
        <v>44925</v>
      </c>
      <c r="AAN616" s="5" t="s">
        <v>3728</v>
      </c>
      <c r="AAO616" s="17">
        <v>44925</v>
      </c>
      <c r="AAP616" s="5" t="s">
        <v>3728</v>
      </c>
      <c r="AAQ616" s="17">
        <v>44925</v>
      </c>
      <c r="AAR616" s="5" t="s">
        <v>3728</v>
      </c>
      <c r="AAS616" s="17">
        <v>44925</v>
      </c>
      <c r="AAT616" s="5" t="s">
        <v>3728</v>
      </c>
      <c r="AAU616" s="17">
        <v>44925</v>
      </c>
      <c r="AAV616" s="5" t="s">
        <v>3728</v>
      </c>
      <c r="AAW616" s="17">
        <v>44925</v>
      </c>
      <c r="AAX616" s="5" t="s">
        <v>3728</v>
      </c>
      <c r="AAY616" s="17">
        <v>44925</v>
      </c>
      <c r="AAZ616" s="5" t="s">
        <v>3728</v>
      </c>
      <c r="ABA616" s="17">
        <v>44925</v>
      </c>
      <c r="ABB616" s="5" t="s">
        <v>3728</v>
      </c>
      <c r="ABC616" s="17">
        <v>44925</v>
      </c>
      <c r="ABD616" s="5" t="s">
        <v>3728</v>
      </c>
      <c r="ABE616" s="17">
        <v>44925</v>
      </c>
      <c r="ABF616" s="5" t="s">
        <v>3728</v>
      </c>
      <c r="ABG616" s="17">
        <v>44925</v>
      </c>
      <c r="ABH616" s="5" t="s">
        <v>3728</v>
      </c>
      <c r="ABI616" s="17">
        <v>44925</v>
      </c>
      <c r="ABJ616" s="5" t="s">
        <v>3728</v>
      </c>
      <c r="ABK616" s="17">
        <v>44925</v>
      </c>
      <c r="ABL616" s="5" t="s">
        <v>3728</v>
      </c>
      <c r="ABM616" s="17">
        <v>44925</v>
      </c>
      <c r="ABN616" s="5" t="s">
        <v>3728</v>
      </c>
      <c r="ABO616" s="17">
        <v>44925</v>
      </c>
      <c r="ABP616" s="5" t="s">
        <v>3728</v>
      </c>
      <c r="ABQ616" s="17">
        <v>44925</v>
      </c>
      <c r="ABR616" s="5" t="s">
        <v>3728</v>
      </c>
      <c r="ABS616" s="17">
        <v>44925</v>
      </c>
      <c r="ABT616" s="5" t="s">
        <v>3728</v>
      </c>
      <c r="ABU616" s="17">
        <v>44925</v>
      </c>
      <c r="ABV616" s="5" t="s">
        <v>3728</v>
      </c>
      <c r="ABW616" s="17">
        <v>44925</v>
      </c>
      <c r="ABX616" s="5" t="s">
        <v>3728</v>
      </c>
      <c r="ABY616" s="17">
        <v>44925</v>
      </c>
      <c r="ABZ616" s="5" t="s">
        <v>3728</v>
      </c>
      <c r="ACA616" s="17">
        <v>44925</v>
      </c>
      <c r="ACB616" s="5" t="s">
        <v>3728</v>
      </c>
      <c r="ACC616" s="17">
        <v>44925</v>
      </c>
      <c r="ACD616" s="5" t="s">
        <v>3728</v>
      </c>
      <c r="ACE616" s="17">
        <v>44925</v>
      </c>
      <c r="ACF616" s="5" t="s">
        <v>3728</v>
      </c>
      <c r="ACG616" s="17">
        <v>44925</v>
      </c>
      <c r="ACH616" s="5" t="s">
        <v>3728</v>
      </c>
      <c r="ACI616" s="17">
        <v>44925</v>
      </c>
      <c r="ACJ616" s="5" t="s">
        <v>3728</v>
      </c>
      <c r="ACK616" s="17">
        <v>44925</v>
      </c>
      <c r="ACL616" s="5" t="s">
        <v>3728</v>
      </c>
      <c r="ACM616" s="17">
        <v>44925</v>
      </c>
      <c r="ACN616" s="5" t="s">
        <v>3728</v>
      </c>
      <c r="ACO616" s="17">
        <v>44925</v>
      </c>
      <c r="ACP616" s="5" t="s">
        <v>3728</v>
      </c>
      <c r="ACQ616" s="17">
        <v>44925</v>
      </c>
      <c r="ACR616" s="5" t="s">
        <v>3728</v>
      </c>
      <c r="ACS616" s="17">
        <v>44925</v>
      </c>
      <c r="ACT616" s="5" t="s">
        <v>3728</v>
      </c>
      <c r="ACU616" s="17">
        <v>44925</v>
      </c>
      <c r="ACV616" s="5" t="s">
        <v>3728</v>
      </c>
      <c r="ACW616" s="17">
        <v>44925</v>
      </c>
      <c r="ACX616" s="5" t="s">
        <v>3728</v>
      </c>
      <c r="ACY616" s="17">
        <v>44925</v>
      </c>
      <c r="ACZ616" s="5" t="s">
        <v>3728</v>
      </c>
      <c r="ADA616" s="17">
        <v>44925</v>
      </c>
      <c r="ADB616" s="5" t="s">
        <v>3728</v>
      </c>
      <c r="ADC616" s="17">
        <v>44925</v>
      </c>
      <c r="ADD616" s="5" t="s">
        <v>3728</v>
      </c>
      <c r="ADE616" s="17">
        <v>44925</v>
      </c>
      <c r="ADF616" s="5" t="s">
        <v>3728</v>
      </c>
      <c r="ADG616" s="17">
        <v>44925</v>
      </c>
      <c r="ADH616" s="5" t="s">
        <v>3728</v>
      </c>
      <c r="ADI616" s="17">
        <v>44925</v>
      </c>
      <c r="ADJ616" s="5" t="s">
        <v>3728</v>
      </c>
      <c r="ADK616" s="17">
        <v>44925</v>
      </c>
      <c r="ADL616" s="5" t="s">
        <v>3728</v>
      </c>
      <c r="ADM616" s="17">
        <v>44925</v>
      </c>
      <c r="ADN616" s="5" t="s">
        <v>3728</v>
      </c>
      <c r="ADO616" s="17">
        <v>44925</v>
      </c>
      <c r="ADP616" s="5" t="s">
        <v>3728</v>
      </c>
      <c r="ADQ616" s="17">
        <v>44925</v>
      </c>
      <c r="ADR616" s="5" t="s">
        <v>3728</v>
      </c>
      <c r="ADS616" s="17">
        <v>44925</v>
      </c>
      <c r="ADT616" s="5" t="s">
        <v>3728</v>
      </c>
      <c r="ADU616" s="17">
        <v>44925</v>
      </c>
      <c r="ADV616" s="5" t="s">
        <v>3728</v>
      </c>
      <c r="ADW616" s="17">
        <v>44925</v>
      </c>
      <c r="ADX616" s="5" t="s">
        <v>3728</v>
      </c>
      <c r="ADY616" s="17">
        <v>44925</v>
      </c>
      <c r="ADZ616" s="5" t="s">
        <v>3728</v>
      </c>
      <c r="AEA616" s="17">
        <v>44925</v>
      </c>
      <c r="AEB616" s="5" t="s">
        <v>3728</v>
      </c>
      <c r="AEC616" s="17">
        <v>44925</v>
      </c>
      <c r="AED616" s="5" t="s">
        <v>3728</v>
      </c>
      <c r="AEE616" s="17">
        <v>44925</v>
      </c>
      <c r="AEF616" s="5" t="s">
        <v>3728</v>
      </c>
      <c r="AEG616" s="17">
        <v>44925</v>
      </c>
      <c r="AEH616" s="5" t="s">
        <v>3728</v>
      </c>
      <c r="AEI616" s="17">
        <v>44925</v>
      </c>
      <c r="AEJ616" s="5" t="s">
        <v>3728</v>
      </c>
      <c r="AEK616" s="17">
        <v>44925</v>
      </c>
      <c r="AEL616" s="5" t="s">
        <v>3728</v>
      </c>
      <c r="AEM616" s="17">
        <v>44925</v>
      </c>
      <c r="AEN616" s="5" t="s">
        <v>3728</v>
      </c>
      <c r="AEO616" s="17">
        <v>44925</v>
      </c>
      <c r="AEP616" s="5" t="s">
        <v>3728</v>
      </c>
      <c r="AEQ616" s="17">
        <v>44925</v>
      </c>
      <c r="AER616" s="5" t="s">
        <v>3728</v>
      </c>
      <c r="AES616" s="17">
        <v>44925</v>
      </c>
      <c r="AET616" s="5" t="s">
        <v>3728</v>
      </c>
      <c r="AEU616" s="17">
        <v>44925</v>
      </c>
      <c r="AEV616" s="5" t="s">
        <v>3728</v>
      </c>
      <c r="AEW616" s="17">
        <v>44925</v>
      </c>
      <c r="AEX616" s="5" t="s">
        <v>3728</v>
      </c>
      <c r="AEY616" s="17">
        <v>44925</v>
      </c>
      <c r="AEZ616" s="5" t="s">
        <v>3728</v>
      </c>
      <c r="AFA616" s="17">
        <v>44925</v>
      </c>
      <c r="AFB616" s="5" t="s">
        <v>3728</v>
      </c>
      <c r="AFC616" s="17">
        <v>44925</v>
      </c>
      <c r="AFD616" s="5" t="s">
        <v>3728</v>
      </c>
      <c r="AFE616" s="17">
        <v>44925</v>
      </c>
      <c r="AFF616" s="5" t="s">
        <v>3728</v>
      </c>
      <c r="AFG616" s="17">
        <v>44925</v>
      </c>
      <c r="AFH616" s="5" t="s">
        <v>3728</v>
      </c>
      <c r="AFI616" s="17">
        <v>44925</v>
      </c>
      <c r="AFJ616" s="5" t="s">
        <v>3728</v>
      </c>
      <c r="AFK616" s="17">
        <v>44925</v>
      </c>
      <c r="AFL616" s="5" t="s">
        <v>3728</v>
      </c>
      <c r="AFM616" s="17">
        <v>44925</v>
      </c>
      <c r="AFN616" s="5" t="s">
        <v>3728</v>
      </c>
      <c r="AFO616" s="17">
        <v>44925</v>
      </c>
      <c r="AFP616" s="5" t="s">
        <v>3728</v>
      </c>
      <c r="AFQ616" s="17">
        <v>44925</v>
      </c>
      <c r="AFR616" s="5" t="s">
        <v>3728</v>
      </c>
      <c r="AFS616" s="17">
        <v>44925</v>
      </c>
      <c r="AFT616" s="5" t="s">
        <v>3728</v>
      </c>
      <c r="AFU616" s="17">
        <v>44925</v>
      </c>
      <c r="AFV616" s="5" t="s">
        <v>3728</v>
      </c>
      <c r="AFW616" s="17">
        <v>44925</v>
      </c>
      <c r="AFX616" s="5" t="s">
        <v>3728</v>
      </c>
      <c r="AFY616" s="17">
        <v>44925</v>
      </c>
      <c r="AFZ616" s="5" t="s">
        <v>3728</v>
      </c>
      <c r="AGA616" s="17">
        <v>44925</v>
      </c>
      <c r="AGB616" s="5" t="s">
        <v>3728</v>
      </c>
      <c r="AGC616" s="17">
        <v>44925</v>
      </c>
      <c r="AGD616" s="5" t="s">
        <v>3728</v>
      </c>
      <c r="AGE616" s="17">
        <v>44925</v>
      </c>
      <c r="AGF616" s="5" t="s">
        <v>3728</v>
      </c>
      <c r="AGG616" s="17">
        <v>44925</v>
      </c>
      <c r="AGH616" s="5" t="s">
        <v>3728</v>
      </c>
      <c r="AGI616" s="17">
        <v>44925</v>
      </c>
      <c r="AGJ616" s="5" t="s">
        <v>3728</v>
      </c>
      <c r="AGK616" s="17">
        <v>44925</v>
      </c>
      <c r="AGL616" s="5" t="s">
        <v>3728</v>
      </c>
      <c r="AGM616" s="17">
        <v>44925</v>
      </c>
      <c r="AGN616" s="5" t="s">
        <v>3728</v>
      </c>
      <c r="AGO616" s="17">
        <v>44925</v>
      </c>
      <c r="AGP616" s="5" t="s">
        <v>3728</v>
      </c>
      <c r="AGQ616" s="17">
        <v>44925</v>
      </c>
      <c r="AGR616" s="5" t="s">
        <v>3728</v>
      </c>
      <c r="AGS616" s="17">
        <v>44925</v>
      </c>
      <c r="AGT616" s="5" t="s">
        <v>3728</v>
      </c>
      <c r="AGU616" s="17">
        <v>44925</v>
      </c>
      <c r="AGV616" s="5" t="s">
        <v>3728</v>
      </c>
      <c r="AGW616" s="17">
        <v>44925</v>
      </c>
      <c r="AGX616" s="5" t="s">
        <v>3728</v>
      </c>
      <c r="AGY616" s="17">
        <v>44925</v>
      </c>
      <c r="AGZ616" s="5" t="s">
        <v>3728</v>
      </c>
      <c r="AHA616" s="17">
        <v>44925</v>
      </c>
      <c r="AHB616" s="5" t="s">
        <v>3728</v>
      </c>
      <c r="AHC616" s="17">
        <v>44925</v>
      </c>
      <c r="AHD616" s="5" t="s">
        <v>3728</v>
      </c>
      <c r="AHE616" s="17">
        <v>44925</v>
      </c>
      <c r="AHF616" s="5" t="s">
        <v>3728</v>
      </c>
      <c r="AHG616" s="17">
        <v>44925</v>
      </c>
      <c r="AHH616" s="5" t="s">
        <v>3728</v>
      </c>
      <c r="AHI616" s="17">
        <v>44925</v>
      </c>
      <c r="AHJ616" s="5" t="s">
        <v>3728</v>
      </c>
      <c r="AHK616" s="17">
        <v>44925</v>
      </c>
      <c r="AHL616" s="5" t="s">
        <v>3728</v>
      </c>
      <c r="AHM616" s="17">
        <v>44925</v>
      </c>
      <c r="AHN616" s="5" t="s">
        <v>3728</v>
      </c>
      <c r="AHO616" s="17">
        <v>44925</v>
      </c>
      <c r="AHP616" s="5" t="s">
        <v>3728</v>
      </c>
      <c r="AHQ616" s="17">
        <v>44925</v>
      </c>
      <c r="AHR616" s="5" t="s">
        <v>3728</v>
      </c>
      <c r="AHS616" s="17">
        <v>44925</v>
      </c>
      <c r="AHT616" s="5" t="s">
        <v>3728</v>
      </c>
      <c r="AHU616" s="17">
        <v>44925</v>
      </c>
      <c r="AHV616" s="5" t="s">
        <v>3728</v>
      </c>
      <c r="AHW616" s="17">
        <v>44925</v>
      </c>
      <c r="AHX616" s="5" t="s">
        <v>3728</v>
      </c>
      <c r="AHY616" s="17">
        <v>44925</v>
      </c>
      <c r="AHZ616" s="5" t="s">
        <v>3728</v>
      </c>
      <c r="AIA616" s="17">
        <v>44925</v>
      </c>
      <c r="AIB616" s="5" t="s">
        <v>3728</v>
      </c>
      <c r="AIC616" s="17">
        <v>44925</v>
      </c>
      <c r="AID616" s="5" t="s">
        <v>3728</v>
      </c>
      <c r="AIE616" s="17">
        <v>44925</v>
      </c>
      <c r="AIF616" s="5" t="s">
        <v>3728</v>
      </c>
      <c r="AIG616" s="17">
        <v>44925</v>
      </c>
      <c r="AIH616" s="5" t="s">
        <v>3728</v>
      </c>
      <c r="AII616" s="17">
        <v>44925</v>
      </c>
      <c r="AIJ616" s="5" t="s">
        <v>3728</v>
      </c>
      <c r="AIK616" s="17">
        <v>44925</v>
      </c>
      <c r="AIL616" s="5" t="s">
        <v>3728</v>
      </c>
      <c r="AIM616" s="17">
        <v>44925</v>
      </c>
      <c r="AIN616" s="5" t="s">
        <v>3728</v>
      </c>
      <c r="AIO616" s="17">
        <v>44925</v>
      </c>
      <c r="AIP616" s="5" t="s">
        <v>3728</v>
      </c>
      <c r="AIQ616" s="17">
        <v>44925</v>
      </c>
      <c r="AIR616" s="5" t="s">
        <v>3728</v>
      </c>
      <c r="AIS616" s="17">
        <v>44925</v>
      </c>
      <c r="AIT616" s="5" t="s">
        <v>3728</v>
      </c>
      <c r="AIU616" s="17">
        <v>44925</v>
      </c>
      <c r="AIV616" s="5" t="s">
        <v>3728</v>
      </c>
      <c r="AIW616" s="17">
        <v>44925</v>
      </c>
      <c r="AIX616" s="5" t="s">
        <v>3728</v>
      </c>
      <c r="AIY616" s="17">
        <v>44925</v>
      </c>
      <c r="AIZ616" s="5" t="s">
        <v>3728</v>
      </c>
      <c r="AJA616" s="17">
        <v>44925</v>
      </c>
      <c r="AJB616" s="5" t="s">
        <v>3728</v>
      </c>
      <c r="AJC616" s="17">
        <v>44925</v>
      </c>
      <c r="AJD616" s="5" t="s">
        <v>3728</v>
      </c>
      <c r="AJE616" s="17">
        <v>44925</v>
      </c>
      <c r="AJF616" s="5" t="s">
        <v>3728</v>
      </c>
      <c r="AJG616" s="17">
        <v>44925</v>
      </c>
      <c r="AJH616" s="5" t="s">
        <v>3728</v>
      </c>
      <c r="AJI616" s="17">
        <v>44925</v>
      </c>
      <c r="AJJ616" s="5" t="s">
        <v>3728</v>
      </c>
      <c r="AJK616" s="17">
        <v>44925</v>
      </c>
      <c r="AJL616" s="5" t="s">
        <v>3728</v>
      </c>
      <c r="AJM616" s="17">
        <v>44925</v>
      </c>
      <c r="AJN616" s="5" t="s">
        <v>3728</v>
      </c>
      <c r="AJO616" s="17">
        <v>44925</v>
      </c>
      <c r="AJP616" s="5" t="s">
        <v>3728</v>
      </c>
      <c r="AJQ616" s="17">
        <v>44925</v>
      </c>
      <c r="AJR616" s="5" t="s">
        <v>3728</v>
      </c>
      <c r="AJS616" s="17">
        <v>44925</v>
      </c>
      <c r="AJT616" s="5" t="s">
        <v>3728</v>
      </c>
      <c r="AJU616" s="17">
        <v>44925</v>
      </c>
      <c r="AJV616" s="5" t="s">
        <v>3728</v>
      </c>
      <c r="AJW616" s="17">
        <v>44925</v>
      </c>
      <c r="AJX616" s="5" t="s">
        <v>3728</v>
      </c>
      <c r="AJY616" s="17">
        <v>44925</v>
      </c>
      <c r="AJZ616" s="5" t="s">
        <v>3728</v>
      </c>
      <c r="AKA616" s="17">
        <v>44925</v>
      </c>
      <c r="AKB616" s="5" t="s">
        <v>3728</v>
      </c>
      <c r="AKC616" s="17">
        <v>44925</v>
      </c>
      <c r="AKD616" s="5" t="s">
        <v>3728</v>
      </c>
      <c r="AKE616" s="17">
        <v>44925</v>
      </c>
      <c r="AKF616" s="5" t="s">
        <v>3728</v>
      </c>
      <c r="AKG616" s="17">
        <v>44925</v>
      </c>
      <c r="AKH616" s="5" t="s">
        <v>3728</v>
      </c>
      <c r="AKI616" s="17">
        <v>44925</v>
      </c>
      <c r="AKJ616" s="5" t="s">
        <v>3728</v>
      </c>
      <c r="AKK616" s="17">
        <v>44925</v>
      </c>
      <c r="AKL616" s="5" t="s">
        <v>3728</v>
      </c>
      <c r="AKM616" s="17">
        <v>44925</v>
      </c>
      <c r="AKN616" s="5" t="s">
        <v>3728</v>
      </c>
      <c r="AKO616" s="17">
        <v>44925</v>
      </c>
      <c r="AKP616" s="5" t="s">
        <v>3728</v>
      </c>
      <c r="AKQ616" s="17">
        <v>44925</v>
      </c>
      <c r="AKR616" s="5" t="s">
        <v>3728</v>
      </c>
      <c r="AKS616" s="17">
        <v>44925</v>
      </c>
      <c r="AKT616" s="5" t="s">
        <v>3728</v>
      </c>
      <c r="AKU616" s="17">
        <v>44925</v>
      </c>
      <c r="AKV616" s="5" t="s">
        <v>3728</v>
      </c>
      <c r="AKW616" s="17">
        <v>44925</v>
      </c>
      <c r="AKX616" s="5" t="s">
        <v>3728</v>
      </c>
      <c r="AKY616" s="17">
        <v>44925</v>
      </c>
      <c r="AKZ616" s="5" t="s">
        <v>3728</v>
      </c>
      <c r="ALA616" s="17">
        <v>44925</v>
      </c>
      <c r="ALB616" s="5" t="s">
        <v>3728</v>
      </c>
      <c r="ALC616" s="17">
        <v>44925</v>
      </c>
      <c r="ALD616" s="5" t="s">
        <v>3728</v>
      </c>
      <c r="ALE616" s="17">
        <v>44925</v>
      </c>
      <c r="ALF616" s="5" t="s">
        <v>3728</v>
      </c>
      <c r="ALG616" s="17">
        <v>44925</v>
      </c>
      <c r="ALH616" s="5" t="s">
        <v>3728</v>
      </c>
      <c r="ALI616" s="17">
        <v>44925</v>
      </c>
      <c r="ALJ616" s="5" t="s">
        <v>3728</v>
      </c>
      <c r="ALK616" s="17">
        <v>44925</v>
      </c>
      <c r="ALL616" s="5" t="s">
        <v>3728</v>
      </c>
      <c r="ALM616" s="17">
        <v>44925</v>
      </c>
      <c r="ALN616" s="5" t="s">
        <v>3728</v>
      </c>
      <c r="ALO616" s="17">
        <v>44925</v>
      </c>
      <c r="ALP616" s="5" t="s">
        <v>3728</v>
      </c>
      <c r="ALQ616" s="17">
        <v>44925</v>
      </c>
      <c r="ALR616" s="5" t="s">
        <v>3728</v>
      </c>
      <c r="ALS616" s="17">
        <v>44925</v>
      </c>
      <c r="ALT616" s="5" t="s">
        <v>3728</v>
      </c>
      <c r="ALU616" s="17">
        <v>44925</v>
      </c>
      <c r="ALV616" s="5" t="s">
        <v>3728</v>
      </c>
      <c r="ALW616" s="17">
        <v>44925</v>
      </c>
      <c r="ALX616" s="5" t="s">
        <v>3728</v>
      </c>
      <c r="ALY616" s="17">
        <v>44925</v>
      </c>
      <c r="ALZ616" s="5" t="s">
        <v>3728</v>
      </c>
      <c r="AMA616" s="17">
        <v>44925</v>
      </c>
      <c r="AMB616" s="5" t="s">
        <v>3728</v>
      </c>
      <c r="AMC616" s="17">
        <v>44925</v>
      </c>
      <c r="AMD616" s="5" t="s">
        <v>3728</v>
      </c>
      <c r="AME616" s="17">
        <v>44925</v>
      </c>
      <c r="AMF616" s="5" t="s">
        <v>3728</v>
      </c>
      <c r="AMG616" s="17">
        <v>44925</v>
      </c>
      <c r="AMH616" s="5" t="s">
        <v>3728</v>
      </c>
      <c r="AMI616" s="17">
        <v>44925</v>
      </c>
      <c r="AMJ616" s="5" t="s">
        <v>3728</v>
      </c>
      <c r="AMK616" s="17">
        <v>44925</v>
      </c>
      <c r="AML616" s="5" t="s">
        <v>3728</v>
      </c>
      <c r="AMM616" s="17">
        <v>44925</v>
      </c>
      <c r="AMN616" s="5" t="s">
        <v>3728</v>
      </c>
      <c r="AMO616" s="17">
        <v>44925</v>
      </c>
      <c r="AMP616" s="5" t="s">
        <v>3728</v>
      </c>
      <c r="AMQ616" s="17">
        <v>44925</v>
      </c>
      <c r="AMR616" s="5" t="s">
        <v>3728</v>
      </c>
      <c r="AMS616" s="17">
        <v>44925</v>
      </c>
      <c r="AMT616" s="5" t="s">
        <v>3728</v>
      </c>
      <c r="AMU616" s="17">
        <v>44925</v>
      </c>
      <c r="AMV616" s="5" t="s">
        <v>3728</v>
      </c>
      <c r="AMW616" s="17">
        <v>44925</v>
      </c>
      <c r="AMX616" s="5" t="s">
        <v>3728</v>
      </c>
      <c r="AMY616" s="17">
        <v>44925</v>
      </c>
      <c r="AMZ616" s="5" t="s">
        <v>3728</v>
      </c>
      <c r="ANA616" s="17">
        <v>44925</v>
      </c>
      <c r="ANB616" s="5" t="s">
        <v>3728</v>
      </c>
      <c r="ANC616" s="17">
        <v>44925</v>
      </c>
      <c r="AND616" s="5" t="s">
        <v>3728</v>
      </c>
      <c r="ANE616" s="17">
        <v>44925</v>
      </c>
      <c r="ANF616" s="5" t="s">
        <v>3728</v>
      </c>
      <c r="ANG616" s="17">
        <v>44925</v>
      </c>
      <c r="ANH616" s="5" t="s">
        <v>3728</v>
      </c>
      <c r="ANI616" s="17">
        <v>44925</v>
      </c>
      <c r="ANJ616" s="5" t="s">
        <v>3728</v>
      </c>
      <c r="ANK616" s="17">
        <v>44925</v>
      </c>
      <c r="ANL616" s="5" t="s">
        <v>3728</v>
      </c>
      <c r="ANM616" s="17">
        <v>44925</v>
      </c>
      <c r="ANN616" s="5" t="s">
        <v>3728</v>
      </c>
      <c r="ANO616" s="17">
        <v>44925</v>
      </c>
      <c r="ANP616" s="5" t="s">
        <v>3728</v>
      </c>
      <c r="ANQ616" s="17">
        <v>44925</v>
      </c>
      <c r="ANR616" s="5" t="s">
        <v>3728</v>
      </c>
      <c r="ANS616" s="17">
        <v>44925</v>
      </c>
      <c r="ANT616" s="5" t="s">
        <v>3728</v>
      </c>
      <c r="ANU616" s="17">
        <v>44925</v>
      </c>
      <c r="ANV616" s="5" t="s">
        <v>3728</v>
      </c>
      <c r="ANW616" s="17">
        <v>44925</v>
      </c>
      <c r="ANX616" s="5" t="s">
        <v>3728</v>
      </c>
      <c r="ANY616" s="17">
        <v>44925</v>
      </c>
      <c r="ANZ616" s="5" t="s">
        <v>3728</v>
      </c>
      <c r="AOA616" s="17">
        <v>44925</v>
      </c>
      <c r="AOB616" s="5" t="s">
        <v>3728</v>
      </c>
      <c r="AOC616" s="17">
        <v>44925</v>
      </c>
      <c r="AOD616" s="5" t="s">
        <v>3728</v>
      </c>
      <c r="AOE616" s="17">
        <v>44925</v>
      </c>
      <c r="AOF616" s="5" t="s">
        <v>3728</v>
      </c>
      <c r="AOG616" s="17">
        <v>44925</v>
      </c>
      <c r="AOH616" s="5" t="s">
        <v>3728</v>
      </c>
      <c r="AOI616" s="17">
        <v>44925</v>
      </c>
      <c r="AOJ616" s="5" t="s">
        <v>3728</v>
      </c>
      <c r="AOK616" s="17">
        <v>44925</v>
      </c>
      <c r="AOL616" s="5" t="s">
        <v>3728</v>
      </c>
      <c r="AOM616" s="17">
        <v>44925</v>
      </c>
      <c r="AON616" s="5" t="s">
        <v>3728</v>
      </c>
      <c r="AOO616" s="17">
        <v>44925</v>
      </c>
      <c r="AOP616" s="5" t="s">
        <v>3728</v>
      </c>
      <c r="AOQ616" s="17">
        <v>44925</v>
      </c>
      <c r="AOR616" s="5" t="s">
        <v>3728</v>
      </c>
      <c r="AOS616" s="17">
        <v>44925</v>
      </c>
      <c r="AOT616" s="5" t="s">
        <v>3728</v>
      </c>
      <c r="AOU616" s="17">
        <v>44925</v>
      </c>
      <c r="AOV616" s="5" t="s">
        <v>3728</v>
      </c>
      <c r="AOW616" s="17">
        <v>44925</v>
      </c>
      <c r="AOX616" s="5" t="s">
        <v>3728</v>
      </c>
      <c r="AOY616" s="17">
        <v>44925</v>
      </c>
      <c r="AOZ616" s="5" t="s">
        <v>3728</v>
      </c>
      <c r="APA616" s="17">
        <v>44925</v>
      </c>
      <c r="APB616" s="5" t="s">
        <v>3728</v>
      </c>
      <c r="APC616" s="17">
        <v>44925</v>
      </c>
      <c r="APD616" s="5" t="s">
        <v>3728</v>
      </c>
      <c r="APE616" s="17">
        <v>44925</v>
      </c>
      <c r="APF616" s="5" t="s">
        <v>3728</v>
      </c>
      <c r="APG616" s="17">
        <v>44925</v>
      </c>
      <c r="APH616" s="5" t="s">
        <v>3728</v>
      </c>
      <c r="API616" s="17">
        <v>44925</v>
      </c>
      <c r="APJ616" s="5" t="s">
        <v>3728</v>
      </c>
      <c r="APK616" s="17">
        <v>44925</v>
      </c>
      <c r="APL616" s="5" t="s">
        <v>3728</v>
      </c>
      <c r="APM616" s="17">
        <v>44925</v>
      </c>
      <c r="APN616" s="5" t="s">
        <v>3728</v>
      </c>
      <c r="APO616" s="17">
        <v>44925</v>
      </c>
      <c r="APP616" s="5" t="s">
        <v>3728</v>
      </c>
      <c r="APQ616" s="17">
        <v>44925</v>
      </c>
      <c r="APR616" s="5" t="s">
        <v>3728</v>
      </c>
      <c r="APS616" s="17">
        <v>44925</v>
      </c>
      <c r="APT616" s="5" t="s">
        <v>3728</v>
      </c>
      <c r="APU616" s="17">
        <v>44925</v>
      </c>
      <c r="APV616" s="5" t="s">
        <v>3728</v>
      </c>
      <c r="APW616" s="17">
        <v>44925</v>
      </c>
      <c r="APX616" s="5" t="s">
        <v>3728</v>
      </c>
      <c r="APY616" s="17">
        <v>44925</v>
      </c>
      <c r="APZ616" s="5" t="s">
        <v>3728</v>
      </c>
      <c r="AQA616" s="17">
        <v>44925</v>
      </c>
      <c r="AQB616" s="5" t="s">
        <v>3728</v>
      </c>
      <c r="AQC616" s="17">
        <v>44925</v>
      </c>
      <c r="AQD616" s="5" t="s">
        <v>3728</v>
      </c>
      <c r="AQE616" s="17">
        <v>44925</v>
      </c>
      <c r="AQF616" s="5" t="s">
        <v>3728</v>
      </c>
      <c r="AQG616" s="17">
        <v>44925</v>
      </c>
      <c r="AQH616" s="5" t="s">
        <v>3728</v>
      </c>
      <c r="AQI616" s="17">
        <v>44925</v>
      </c>
      <c r="AQJ616" s="5" t="s">
        <v>3728</v>
      </c>
      <c r="AQK616" s="17">
        <v>44925</v>
      </c>
      <c r="AQL616" s="5" t="s">
        <v>3728</v>
      </c>
      <c r="AQM616" s="17">
        <v>44925</v>
      </c>
      <c r="AQN616" s="5" t="s">
        <v>3728</v>
      </c>
      <c r="AQO616" s="17">
        <v>44925</v>
      </c>
      <c r="AQP616" s="5" t="s">
        <v>3728</v>
      </c>
      <c r="AQQ616" s="17">
        <v>44925</v>
      </c>
      <c r="AQR616" s="5" t="s">
        <v>3728</v>
      </c>
      <c r="AQS616" s="17">
        <v>44925</v>
      </c>
      <c r="AQT616" s="5" t="s">
        <v>3728</v>
      </c>
      <c r="AQU616" s="17">
        <v>44925</v>
      </c>
      <c r="AQV616" s="5" t="s">
        <v>3728</v>
      </c>
      <c r="AQW616" s="17">
        <v>44925</v>
      </c>
      <c r="AQX616" s="5" t="s">
        <v>3728</v>
      </c>
      <c r="AQY616" s="17">
        <v>44925</v>
      </c>
      <c r="AQZ616" s="5" t="s">
        <v>3728</v>
      </c>
      <c r="ARA616" s="17">
        <v>44925</v>
      </c>
      <c r="ARB616" s="5" t="s">
        <v>3728</v>
      </c>
      <c r="ARC616" s="17">
        <v>44925</v>
      </c>
      <c r="ARD616" s="5" t="s">
        <v>3728</v>
      </c>
      <c r="ARE616" s="17">
        <v>44925</v>
      </c>
      <c r="ARF616" s="5" t="s">
        <v>3728</v>
      </c>
      <c r="ARG616" s="17">
        <v>44925</v>
      </c>
      <c r="ARH616" s="5" t="s">
        <v>3728</v>
      </c>
      <c r="ARI616" s="17">
        <v>44925</v>
      </c>
      <c r="ARJ616" s="5" t="s">
        <v>3728</v>
      </c>
      <c r="ARK616" s="17">
        <v>44925</v>
      </c>
      <c r="ARL616" s="5" t="s">
        <v>3728</v>
      </c>
      <c r="ARM616" s="17">
        <v>44925</v>
      </c>
      <c r="ARN616" s="5" t="s">
        <v>3728</v>
      </c>
      <c r="ARO616" s="17">
        <v>44925</v>
      </c>
      <c r="ARP616" s="5" t="s">
        <v>3728</v>
      </c>
      <c r="ARQ616" s="17">
        <v>44925</v>
      </c>
      <c r="ARR616" s="5" t="s">
        <v>3728</v>
      </c>
      <c r="ARS616" s="17">
        <v>44925</v>
      </c>
      <c r="ART616" s="5" t="s">
        <v>3728</v>
      </c>
      <c r="ARU616" s="17">
        <v>44925</v>
      </c>
      <c r="ARV616" s="5" t="s">
        <v>3728</v>
      </c>
      <c r="ARW616" s="17">
        <v>44925</v>
      </c>
      <c r="ARX616" s="5" t="s">
        <v>3728</v>
      </c>
      <c r="ARY616" s="17">
        <v>44925</v>
      </c>
      <c r="ARZ616" s="5" t="s">
        <v>3728</v>
      </c>
      <c r="ASA616" s="17">
        <v>44925</v>
      </c>
      <c r="ASB616" s="5" t="s">
        <v>3728</v>
      </c>
      <c r="ASC616" s="17">
        <v>44925</v>
      </c>
      <c r="ASD616" s="5" t="s">
        <v>3728</v>
      </c>
      <c r="ASE616" s="17">
        <v>44925</v>
      </c>
      <c r="ASF616" s="5" t="s">
        <v>3728</v>
      </c>
      <c r="ASG616" s="17">
        <v>44925</v>
      </c>
      <c r="ASH616" s="5" t="s">
        <v>3728</v>
      </c>
      <c r="ASI616" s="17">
        <v>44925</v>
      </c>
      <c r="ASJ616" s="5" t="s">
        <v>3728</v>
      </c>
      <c r="ASK616" s="17">
        <v>44925</v>
      </c>
      <c r="ASL616" s="5" t="s">
        <v>3728</v>
      </c>
      <c r="ASM616" s="17">
        <v>44925</v>
      </c>
      <c r="ASN616" s="5" t="s">
        <v>3728</v>
      </c>
      <c r="ASO616" s="17">
        <v>44925</v>
      </c>
      <c r="ASP616" s="5" t="s">
        <v>3728</v>
      </c>
      <c r="ASQ616" s="17">
        <v>44925</v>
      </c>
      <c r="ASR616" s="5" t="s">
        <v>3728</v>
      </c>
      <c r="ASS616" s="17">
        <v>44925</v>
      </c>
      <c r="AST616" s="5" t="s">
        <v>3728</v>
      </c>
      <c r="ASU616" s="17">
        <v>44925</v>
      </c>
      <c r="ASV616" s="5" t="s">
        <v>3728</v>
      </c>
      <c r="ASW616" s="17">
        <v>44925</v>
      </c>
      <c r="ASX616" s="5" t="s">
        <v>3728</v>
      </c>
      <c r="ASY616" s="17">
        <v>44925</v>
      </c>
      <c r="ASZ616" s="5" t="s">
        <v>3728</v>
      </c>
      <c r="ATA616" s="17">
        <v>44925</v>
      </c>
      <c r="ATB616" s="5" t="s">
        <v>3728</v>
      </c>
      <c r="ATC616" s="17">
        <v>44925</v>
      </c>
      <c r="ATD616" s="5" t="s">
        <v>3728</v>
      </c>
      <c r="ATE616" s="17">
        <v>44925</v>
      </c>
      <c r="ATF616" s="5" t="s">
        <v>3728</v>
      </c>
      <c r="ATG616" s="17">
        <v>44925</v>
      </c>
      <c r="ATH616" s="5" t="s">
        <v>3728</v>
      </c>
      <c r="ATI616" s="17">
        <v>44925</v>
      </c>
      <c r="ATJ616" s="5" t="s">
        <v>3728</v>
      </c>
      <c r="ATK616" s="17">
        <v>44925</v>
      </c>
      <c r="ATL616" s="5" t="s">
        <v>3728</v>
      </c>
      <c r="ATM616" s="17">
        <v>44925</v>
      </c>
      <c r="ATN616" s="5" t="s">
        <v>3728</v>
      </c>
      <c r="ATO616" s="17">
        <v>44925</v>
      </c>
      <c r="ATP616" s="5" t="s">
        <v>3728</v>
      </c>
      <c r="ATQ616" s="17">
        <v>44925</v>
      </c>
      <c r="ATR616" s="5" t="s">
        <v>3728</v>
      </c>
      <c r="ATS616" s="17">
        <v>44925</v>
      </c>
      <c r="ATT616" s="5" t="s">
        <v>3728</v>
      </c>
      <c r="ATU616" s="17">
        <v>44925</v>
      </c>
      <c r="ATV616" s="5" t="s">
        <v>3728</v>
      </c>
      <c r="ATW616" s="17">
        <v>44925</v>
      </c>
      <c r="ATX616" s="5" t="s">
        <v>3728</v>
      </c>
      <c r="ATY616" s="17">
        <v>44925</v>
      </c>
      <c r="ATZ616" s="5" t="s">
        <v>3728</v>
      </c>
      <c r="AUA616" s="17">
        <v>44925</v>
      </c>
      <c r="AUB616" s="5" t="s">
        <v>3728</v>
      </c>
      <c r="AUC616" s="17">
        <v>44925</v>
      </c>
      <c r="AUD616" s="5" t="s">
        <v>3728</v>
      </c>
      <c r="AUE616" s="17">
        <v>44925</v>
      </c>
      <c r="AUF616" s="5" t="s">
        <v>3728</v>
      </c>
      <c r="AUG616" s="17">
        <v>44925</v>
      </c>
      <c r="AUH616" s="5" t="s">
        <v>3728</v>
      </c>
      <c r="AUI616" s="17">
        <v>44925</v>
      </c>
      <c r="AUJ616" s="5" t="s">
        <v>3728</v>
      </c>
      <c r="AUK616" s="17">
        <v>44925</v>
      </c>
      <c r="AUL616" s="5" t="s">
        <v>3728</v>
      </c>
      <c r="AUM616" s="17">
        <v>44925</v>
      </c>
      <c r="AUN616" s="5" t="s">
        <v>3728</v>
      </c>
      <c r="AUO616" s="17">
        <v>44925</v>
      </c>
      <c r="AUP616" s="5" t="s">
        <v>3728</v>
      </c>
      <c r="AUQ616" s="17">
        <v>44925</v>
      </c>
      <c r="AUR616" s="5" t="s">
        <v>3728</v>
      </c>
      <c r="AUS616" s="17">
        <v>44925</v>
      </c>
      <c r="AUT616" s="5" t="s">
        <v>3728</v>
      </c>
      <c r="AUU616" s="17">
        <v>44925</v>
      </c>
      <c r="AUV616" s="5" t="s">
        <v>3728</v>
      </c>
      <c r="AUW616" s="17">
        <v>44925</v>
      </c>
      <c r="AUX616" s="5" t="s">
        <v>3728</v>
      </c>
      <c r="AUY616" s="17">
        <v>44925</v>
      </c>
      <c r="AUZ616" s="5" t="s">
        <v>3728</v>
      </c>
      <c r="AVA616" s="17">
        <v>44925</v>
      </c>
      <c r="AVB616" s="5" t="s">
        <v>3728</v>
      </c>
      <c r="AVC616" s="17">
        <v>44925</v>
      </c>
      <c r="AVD616" s="5" t="s">
        <v>3728</v>
      </c>
      <c r="AVE616" s="17">
        <v>44925</v>
      </c>
      <c r="AVF616" s="5" t="s">
        <v>3728</v>
      </c>
      <c r="AVG616" s="17">
        <v>44925</v>
      </c>
      <c r="AVH616" s="5" t="s">
        <v>3728</v>
      </c>
      <c r="AVI616" s="17">
        <v>44925</v>
      </c>
      <c r="AVJ616" s="5" t="s">
        <v>3728</v>
      </c>
      <c r="AVK616" s="17">
        <v>44925</v>
      </c>
      <c r="AVL616" s="5" t="s">
        <v>3728</v>
      </c>
      <c r="AVM616" s="17">
        <v>44925</v>
      </c>
      <c r="AVN616" s="5" t="s">
        <v>3728</v>
      </c>
      <c r="AVO616" s="17">
        <v>44925</v>
      </c>
      <c r="AVP616" s="5" t="s">
        <v>3728</v>
      </c>
      <c r="AVQ616" s="17">
        <v>44925</v>
      </c>
      <c r="AVR616" s="5" t="s">
        <v>3728</v>
      </c>
      <c r="AVS616" s="17">
        <v>44925</v>
      </c>
      <c r="AVT616" s="5" t="s">
        <v>3728</v>
      </c>
      <c r="AVU616" s="17">
        <v>44925</v>
      </c>
      <c r="AVV616" s="5" t="s">
        <v>3728</v>
      </c>
      <c r="AVW616" s="17">
        <v>44925</v>
      </c>
      <c r="AVX616" s="5" t="s">
        <v>3728</v>
      </c>
      <c r="AVY616" s="17">
        <v>44925</v>
      </c>
      <c r="AVZ616" s="5" t="s">
        <v>3728</v>
      </c>
      <c r="AWA616" s="17">
        <v>44925</v>
      </c>
      <c r="AWB616" s="5" t="s">
        <v>3728</v>
      </c>
      <c r="AWC616" s="17">
        <v>44925</v>
      </c>
      <c r="AWD616" s="5" t="s">
        <v>3728</v>
      </c>
      <c r="AWE616" s="17">
        <v>44925</v>
      </c>
      <c r="AWF616" s="5" t="s">
        <v>3728</v>
      </c>
      <c r="AWG616" s="17">
        <v>44925</v>
      </c>
      <c r="AWH616" s="5" t="s">
        <v>3728</v>
      </c>
      <c r="AWI616" s="17">
        <v>44925</v>
      </c>
      <c r="AWJ616" s="5" t="s">
        <v>3728</v>
      </c>
      <c r="AWK616" s="17">
        <v>44925</v>
      </c>
      <c r="AWL616" s="5" t="s">
        <v>3728</v>
      </c>
      <c r="AWM616" s="17">
        <v>44925</v>
      </c>
      <c r="AWN616" s="5" t="s">
        <v>3728</v>
      </c>
      <c r="AWO616" s="17">
        <v>44925</v>
      </c>
      <c r="AWP616" s="5" t="s">
        <v>3728</v>
      </c>
      <c r="AWQ616" s="17">
        <v>44925</v>
      </c>
      <c r="AWR616" s="5" t="s">
        <v>3728</v>
      </c>
      <c r="AWS616" s="17">
        <v>44925</v>
      </c>
      <c r="AWT616" s="5" t="s">
        <v>3728</v>
      </c>
      <c r="AWU616" s="17">
        <v>44925</v>
      </c>
      <c r="AWV616" s="5" t="s">
        <v>3728</v>
      </c>
      <c r="AWW616" s="17">
        <v>44925</v>
      </c>
      <c r="AWX616" s="5" t="s">
        <v>3728</v>
      </c>
      <c r="AWY616" s="17">
        <v>44925</v>
      </c>
      <c r="AWZ616" s="5" t="s">
        <v>3728</v>
      </c>
      <c r="AXA616" s="17">
        <v>44925</v>
      </c>
      <c r="AXB616" s="5" t="s">
        <v>3728</v>
      </c>
      <c r="AXC616" s="17">
        <v>44925</v>
      </c>
      <c r="AXD616" s="5" t="s">
        <v>3728</v>
      </c>
      <c r="AXE616" s="17">
        <v>44925</v>
      </c>
      <c r="AXF616" s="5" t="s">
        <v>3728</v>
      </c>
      <c r="AXG616" s="17">
        <v>44925</v>
      </c>
      <c r="AXH616" s="5" t="s">
        <v>3728</v>
      </c>
      <c r="AXI616" s="17">
        <v>44925</v>
      </c>
      <c r="AXJ616" s="5" t="s">
        <v>3728</v>
      </c>
      <c r="AXK616" s="17">
        <v>44925</v>
      </c>
      <c r="AXL616" s="5" t="s">
        <v>3728</v>
      </c>
      <c r="AXM616" s="17">
        <v>44925</v>
      </c>
      <c r="AXN616" s="5" t="s">
        <v>3728</v>
      </c>
      <c r="AXO616" s="17">
        <v>44925</v>
      </c>
      <c r="AXP616" s="5" t="s">
        <v>3728</v>
      </c>
      <c r="AXQ616" s="17">
        <v>44925</v>
      </c>
      <c r="AXR616" s="5" t="s">
        <v>3728</v>
      </c>
      <c r="AXS616" s="17">
        <v>44925</v>
      </c>
      <c r="AXT616" s="5" t="s">
        <v>3728</v>
      </c>
      <c r="AXU616" s="17">
        <v>44925</v>
      </c>
      <c r="AXV616" s="5" t="s">
        <v>3728</v>
      </c>
      <c r="AXW616" s="17">
        <v>44925</v>
      </c>
      <c r="AXX616" s="5" t="s">
        <v>3728</v>
      </c>
      <c r="AXY616" s="17">
        <v>44925</v>
      </c>
      <c r="AXZ616" s="5" t="s">
        <v>3728</v>
      </c>
      <c r="AYA616" s="17">
        <v>44925</v>
      </c>
      <c r="AYB616" s="5" t="s">
        <v>3728</v>
      </c>
      <c r="AYC616" s="17">
        <v>44925</v>
      </c>
      <c r="AYD616" s="5" t="s">
        <v>3728</v>
      </c>
      <c r="AYE616" s="17">
        <v>44925</v>
      </c>
      <c r="AYF616" s="5" t="s">
        <v>3728</v>
      </c>
      <c r="AYG616" s="17">
        <v>44925</v>
      </c>
      <c r="AYH616" s="5" t="s">
        <v>3728</v>
      </c>
      <c r="AYI616" s="17">
        <v>44925</v>
      </c>
      <c r="AYJ616" s="5" t="s">
        <v>3728</v>
      </c>
      <c r="AYK616" s="17">
        <v>44925</v>
      </c>
      <c r="AYL616" s="5" t="s">
        <v>3728</v>
      </c>
      <c r="AYM616" s="17">
        <v>44925</v>
      </c>
      <c r="AYN616" s="5" t="s">
        <v>3728</v>
      </c>
      <c r="AYO616" s="17">
        <v>44925</v>
      </c>
      <c r="AYP616" s="5" t="s">
        <v>3728</v>
      </c>
      <c r="AYQ616" s="17">
        <v>44925</v>
      </c>
      <c r="AYR616" s="5" t="s">
        <v>3728</v>
      </c>
      <c r="AYS616" s="17">
        <v>44925</v>
      </c>
      <c r="AYT616" s="5" t="s">
        <v>3728</v>
      </c>
      <c r="AYU616" s="17">
        <v>44925</v>
      </c>
      <c r="AYV616" s="5" t="s">
        <v>3728</v>
      </c>
      <c r="AYW616" s="17">
        <v>44925</v>
      </c>
      <c r="AYX616" s="5" t="s">
        <v>3728</v>
      </c>
      <c r="AYY616" s="17">
        <v>44925</v>
      </c>
      <c r="AYZ616" s="5" t="s">
        <v>3728</v>
      </c>
      <c r="AZA616" s="17">
        <v>44925</v>
      </c>
      <c r="AZB616" s="5" t="s">
        <v>3728</v>
      </c>
      <c r="AZC616" s="17">
        <v>44925</v>
      </c>
      <c r="AZD616" s="5" t="s">
        <v>3728</v>
      </c>
      <c r="AZE616" s="17">
        <v>44925</v>
      </c>
      <c r="AZF616" s="5" t="s">
        <v>3728</v>
      </c>
      <c r="AZG616" s="17">
        <v>44925</v>
      </c>
      <c r="AZH616" s="5" t="s">
        <v>3728</v>
      </c>
      <c r="AZI616" s="17">
        <v>44925</v>
      </c>
      <c r="AZJ616" s="5" t="s">
        <v>3728</v>
      </c>
      <c r="AZK616" s="17">
        <v>44925</v>
      </c>
      <c r="AZL616" s="5" t="s">
        <v>3728</v>
      </c>
      <c r="AZM616" s="17">
        <v>44925</v>
      </c>
      <c r="AZN616" s="5" t="s">
        <v>3728</v>
      </c>
      <c r="AZO616" s="17">
        <v>44925</v>
      </c>
      <c r="AZP616" s="5" t="s">
        <v>3728</v>
      </c>
      <c r="AZQ616" s="17">
        <v>44925</v>
      </c>
      <c r="AZR616" s="5" t="s">
        <v>3728</v>
      </c>
      <c r="AZS616" s="17">
        <v>44925</v>
      </c>
      <c r="AZT616" s="5" t="s">
        <v>3728</v>
      </c>
      <c r="AZU616" s="17">
        <v>44925</v>
      </c>
      <c r="AZV616" s="5" t="s">
        <v>3728</v>
      </c>
      <c r="AZW616" s="17">
        <v>44925</v>
      </c>
      <c r="AZX616" s="5" t="s">
        <v>3728</v>
      </c>
      <c r="AZY616" s="17">
        <v>44925</v>
      </c>
      <c r="AZZ616" s="5" t="s">
        <v>3728</v>
      </c>
      <c r="BAA616" s="17">
        <v>44925</v>
      </c>
      <c r="BAB616" s="5" t="s">
        <v>3728</v>
      </c>
      <c r="BAC616" s="17">
        <v>44925</v>
      </c>
      <c r="BAD616" s="5" t="s">
        <v>3728</v>
      </c>
      <c r="BAE616" s="17">
        <v>44925</v>
      </c>
      <c r="BAF616" s="5" t="s">
        <v>3728</v>
      </c>
      <c r="BAG616" s="17">
        <v>44925</v>
      </c>
      <c r="BAH616" s="5" t="s">
        <v>3728</v>
      </c>
      <c r="BAI616" s="17">
        <v>44925</v>
      </c>
      <c r="BAJ616" s="5" t="s">
        <v>3728</v>
      </c>
      <c r="BAK616" s="17">
        <v>44925</v>
      </c>
      <c r="BAL616" s="5" t="s">
        <v>3728</v>
      </c>
      <c r="BAM616" s="17">
        <v>44925</v>
      </c>
      <c r="BAN616" s="5" t="s">
        <v>3728</v>
      </c>
      <c r="BAO616" s="17">
        <v>44925</v>
      </c>
      <c r="BAP616" s="5" t="s">
        <v>3728</v>
      </c>
      <c r="BAQ616" s="17">
        <v>44925</v>
      </c>
      <c r="BAR616" s="5" t="s">
        <v>3728</v>
      </c>
      <c r="BAS616" s="17">
        <v>44925</v>
      </c>
      <c r="BAT616" s="5" t="s">
        <v>3728</v>
      </c>
      <c r="BAU616" s="17">
        <v>44925</v>
      </c>
      <c r="BAV616" s="5" t="s">
        <v>3728</v>
      </c>
      <c r="BAW616" s="17">
        <v>44925</v>
      </c>
      <c r="BAX616" s="5" t="s">
        <v>3728</v>
      </c>
      <c r="BAY616" s="17">
        <v>44925</v>
      </c>
      <c r="BAZ616" s="5" t="s">
        <v>3728</v>
      </c>
      <c r="BBA616" s="17">
        <v>44925</v>
      </c>
      <c r="BBB616" s="5" t="s">
        <v>3728</v>
      </c>
      <c r="BBC616" s="17">
        <v>44925</v>
      </c>
      <c r="BBD616" s="5" t="s">
        <v>3728</v>
      </c>
      <c r="BBE616" s="17">
        <v>44925</v>
      </c>
      <c r="BBF616" s="5" t="s">
        <v>3728</v>
      </c>
      <c r="BBG616" s="17">
        <v>44925</v>
      </c>
      <c r="BBH616" s="5" t="s">
        <v>3728</v>
      </c>
      <c r="BBI616" s="17">
        <v>44925</v>
      </c>
      <c r="BBJ616" s="5" t="s">
        <v>3728</v>
      </c>
      <c r="BBK616" s="17">
        <v>44925</v>
      </c>
      <c r="BBL616" s="5" t="s">
        <v>3728</v>
      </c>
      <c r="BBM616" s="17">
        <v>44925</v>
      </c>
      <c r="BBN616" s="5" t="s">
        <v>3728</v>
      </c>
      <c r="BBO616" s="17">
        <v>44925</v>
      </c>
      <c r="BBP616" s="5" t="s">
        <v>3728</v>
      </c>
      <c r="BBQ616" s="17">
        <v>44925</v>
      </c>
      <c r="BBR616" s="5" t="s">
        <v>3728</v>
      </c>
      <c r="BBS616" s="17">
        <v>44925</v>
      </c>
      <c r="BBT616" s="5" t="s">
        <v>3728</v>
      </c>
      <c r="BBU616" s="17">
        <v>44925</v>
      </c>
      <c r="BBV616" s="5" t="s">
        <v>3728</v>
      </c>
      <c r="BBW616" s="17">
        <v>44925</v>
      </c>
      <c r="BBX616" s="5" t="s">
        <v>3728</v>
      </c>
      <c r="BBY616" s="17">
        <v>44925</v>
      </c>
      <c r="BBZ616" s="5" t="s">
        <v>3728</v>
      </c>
      <c r="BCA616" s="17">
        <v>44925</v>
      </c>
      <c r="BCB616" s="5" t="s">
        <v>3728</v>
      </c>
      <c r="BCC616" s="17">
        <v>44925</v>
      </c>
      <c r="BCD616" s="5" t="s">
        <v>3728</v>
      </c>
      <c r="BCE616" s="17">
        <v>44925</v>
      </c>
      <c r="BCF616" s="5" t="s">
        <v>3728</v>
      </c>
      <c r="BCG616" s="17">
        <v>44925</v>
      </c>
      <c r="BCH616" s="5" t="s">
        <v>3728</v>
      </c>
      <c r="BCI616" s="17">
        <v>44925</v>
      </c>
      <c r="BCJ616" s="5" t="s">
        <v>3728</v>
      </c>
      <c r="BCK616" s="17">
        <v>44925</v>
      </c>
      <c r="BCL616" s="5" t="s">
        <v>3728</v>
      </c>
      <c r="BCM616" s="17">
        <v>44925</v>
      </c>
      <c r="BCN616" s="5" t="s">
        <v>3728</v>
      </c>
      <c r="BCO616" s="17">
        <v>44925</v>
      </c>
      <c r="BCP616" s="5" t="s">
        <v>3728</v>
      </c>
      <c r="BCQ616" s="17">
        <v>44925</v>
      </c>
      <c r="BCR616" s="5" t="s">
        <v>3728</v>
      </c>
      <c r="BCS616" s="17">
        <v>44925</v>
      </c>
      <c r="BCT616" s="5" t="s">
        <v>3728</v>
      </c>
      <c r="BCU616" s="17">
        <v>44925</v>
      </c>
      <c r="BCV616" s="5" t="s">
        <v>3728</v>
      </c>
      <c r="BCW616" s="17">
        <v>44925</v>
      </c>
      <c r="BCX616" s="5" t="s">
        <v>3728</v>
      </c>
      <c r="BCY616" s="17">
        <v>44925</v>
      </c>
      <c r="BCZ616" s="5" t="s">
        <v>3728</v>
      </c>
      <c r="BDA616" s="17">
        <v>44925</v>
      </c>
      <c r="BDB616" s="5" t="s">
        <v>3728</v>
      </c>
      <c r="BDC616" s="17">
        <v>44925</v>
      </c>
      <c r="BDD616" s="5" t="s">
        <v>3728</v>
      </c>
      <c r="BDE616" s="17">
        <v>44925</v>
      </c>
      <c r="BDF616" s="5" t="s">
        <v>3728</v>
      </c>
      <c r="BDG616" s="17">
        <v>44925</v>
      </c>
      <c r="BDH616" s="5" t="s">
        <v>3728</v>
      </c>
      <c r="BDI616" s="17">
        <v>44925</v>
      </c>
      <c r="BDJ616" s="5" t="s">
        <v>3728</v>
      </c>
      <c r="BDK616" s="17">
        <v>44925</v>
      </c>
      <c r="BDL616" s="5" t="s">
        <v>3728</v>
      </c>
      <c r="BDM616" s="17">
        <v>44925</v>
      </c>
      <c r="BDN616" s="5" t="s">
        <v>3728</v>
      </c>
      <c r="BDO616" s="17">
        <v>44925</v>
      </c>
      <c r="BDP616" s="5" t="s">
        <v>3728</v>
      </c>
      <c r="BDQ616" s="17">
        <v>44925</v>
      </c>
      <c r="BDR616" s="5" t="s">
        <v>3728</v>
      </c>
      <c r="BDS616" s="17">
        <v>44925</v>
      </c>
      <c r="BDT616" s="5" t="s">
        <v>3728</v>
      </c>
      <c r="BDU616" s="17">
        <v>44925</v>
      </c>
      <c r="BDV616" s="5" t="s">
        <v>3728</v>
      </c>
      <c r="BDW616" s="17">
        <v>44925</v>
      </c>
      <c r="BDX616" s="5" t="s">
        <v>3728</v>
      </c>
      <c r="BDY616" s="17">
        <v>44925</v>
      </c>
      <c r="BDZ616" s="5" t="s">
        <v>3728</v>
      </c>
      <c r="BEA616" s="17">
        <v>44925</v>
      </c>
      <c r="BEB616" s="5" t="s">
        <v>3728</v>
      </c>
      <c r="BEC616" s="17">
        <v>44925</v>
      </c>
      <c r="BED616" s="5" t="s">
        <v>3728</v>
      </c>
      <c r="BEE616" s="17">
        <v>44925</v>
      </c>
      <c r="BEF616" s="5" t="s">
        <v>3728</v>
      </c>
      <c r="BEG616" s="17">
        <v>44925</v>
      </c>
      <c r="BEH616" s="5" t="s">
        <v>3728</v>
      </c>
      <c r="BEI616" s="17">
        <v>44925</v>
      </c>
      <c r="BEJ616" s="5" t="s">
        <v>3728</v>
      </c>
      <c r="BEK616" s="17">
        <v>44925</v>
      </c>
      <c r="BEL616" s="5" t="s">
        <v>3728</v>
      </c>
      <c r="BEM616" s="17">
        <v>44925</v>
      </c>
      <c r="BEN616" s="5" t="s">
        <v>3728</v>
      </c>
      <c r="BEO616" s="17">
        <v>44925</v>
      </c>
      <c r="BEP616" s="5" t="s">
        <v>3728</v>
      </c>
      <c r="BEQ616" s="17">
        <v>44925</v>
      </c>
      <c r="BER616" s="5" t="s">
        <v>3728</v>
      </c>
      <c r="BES616" s="17">
        <v>44925</v>
      </c>
      <c r="BET616" s="5" t="s">
        <v>3728</v>
      </c>
      <c r="BEU616" s="17">
        <v>44925</v>
      </c>
      <c r="BEV616" s="5" t="s">
        <v>3728</v>
      </c>
      <c r="BEW616" s="17">
        <v>44925</v>
      </c>
      <c r="BEX616" s="5" t="s">
        <v>3728</v>
      </c>
      <c r="BEY616" s="17">
        <v>44925</v>
      </c>
      <c r="BEZ616" s="5" t="s">
        <v>3728</v>
      </c>
      <c r="BFA616" s="17">
        <v>44925</v>
      </c>
      <c r="BFB616" s="5" t="s">
        <v>3728</v>
      </c>
      <c r="BFC616" s="17">
        <v>44925</v>
      </c>
      <c r="BFD616" s="5" t="s">
        <v>3728</v>
      </c>
      <c r="BFE616" s="17">
        <v>44925</v>
      </c>
      <c r="BFF616" s="5" t="s">
        <v>3728</v>
      </c>
      <c r="BFG616" s="17">
        <v>44925</v>
      </c>
      <c r="BFH616" s="5" t="s">
        <v>3728</v>
      </c>
      <c r="BFI616" s="17">
        <v>44925</v>
      </c>
      <c r="BFJ616" s="5" t="s">
        <v>3728</v>
      </c>
      <c r="BFK616" s="17">
        <v>44925</v>
      </c>
      <c r="BFL616" s="5" t="s">
        <v>3728</v>
      </c>
      <c r="BFM616" s="17">
        <v>44925</v>
      </c>
      <c r="BFN616" s="5" t="s">
        <v>3728</v>
      </c>
      <c r="BFO616" s="17">
        <v>44925</v>
      </c>
      <c r="BFP616" s="5" t="s">
        <v>3728</v>
      </c>
      <c r="BFQ616" s="17">
        <v>44925</v>
      </c>
      <c r="BFR616" s="5" t="s">
        <v>3728</v>
      </c>
      <c r="BFS616" s="17">
        <v>44925</v>
      </c>
      <c r="BFT616" s="5" t="s">
        <v>3728</v>
      </c>
      <c r="BFU616" s="17">
        <v>44925</v>
      </c>
      <c r="BFV616" s="5" t="s">
        <v>3728</v>
      </c>
      <c r="BFW616" s="17">
        <v>44925</v>
      </c>
      <c r="BFX616" s="5" t="s">
        <v>3728</v>
      </c>
      <c r="BFY616" s="17">
        <v>44925</v>
      </c>
      <c r="BFZ616" s="5" t="s">
        <v>3728</v>
      </c>
      <c r="BGA616" s="17">
        <v>44925</v>
      </c>
      <c r="BGB616" s="5" t="s">
        <v>3728</v>
      </c>
      <c r="BGC616" s="17">
        <v>44925</v>
      </c>
      <c r="BGD616" s="5" t="s">
        <v>3728</v>
      </c>
      <c r="BGE616" s="17">
        <v>44925</v>
      </c>
      <c r="BGF616" s="5" t="s">
        <v>3728</v>
      </c>
      <c r="BGG616" s="17">
        <v>44925</v>
      </c>
      <c r="BGH616" s="5" t="s">
        <v>3728</v>
      </c>
      <c r="BGI616" s="17">
        <v>44925</v>
      </c>
      <c r="BGJ616" s="5" t="s">
        <v>3728</v>
      </c>
      <c r="BGK616" s="17">
        <v>44925</v>
      </c>
      <c r="BGL616" s="5" t="s">
        <v>3728</v>
      </c>
      <c r="BGM616" s="17">
        <v>44925</v>
      </c>
      <c r="BGN616" s="5" t="s">
        <v>3728</v>
      </c>
      <c r="BGO616" s="17">
        <v>44925</v>
      </c>
      <c r="BGP616" s="5" t="s">
        <v>3728</v>
      </c>
      <c r="BGQ616" s="17">
        <v>44925</v>
      </c>
      <c r="BGR616" s="5" t="s">
        <v>3728</v>
      </c>
      <c r="BGS616" s="17">
        <v>44925</v>
      </c>
      <c r="BGT616" s="5" t="s">
        <v>3728</v>
      </c>
      <c r="BGU616" s="17">
        <v>44925</v>
      </c>
      <c r="BGV616" s="5" t="s">
        <v>3728</v>
      </c>
      <c r="BGW616" s="17">
        <v>44925</v>
      </c>
      <c r="BGX616" s="5" t="s">
        <v>3728</v>
      </c>
      <c r="BGY616" s="17">
        <v>44925</v>
      </c>
      <c r="BGZ616" s="5" t="s">
        <v>3728</v>
      </c>
      <c r="BHA616" s="17">
        <v>44925</v>
      </c>
      <c r="BHB616" s="5" t="s">
        <v>3728</v>
      </c>
      <c r="BHC616" s="17">
        <v>44925</v>
      </c>
      <c r="BHD616" s="5" t="s">
        <v>3728</v>
      </c>
      <c r="BHE616" s="17">
        <v>44925</v>
      </c>
      <c r="BHF616" s="5" t="s">
        <v>3728</v>
      </c>
      <c r="BHG616" s="17">
        <v>44925</v>
      </c>
      <c r="BHH616" s="5" t="s">
        <v>3728</v>
      </c>
      <c r="BHI616" s="17">
        <v>44925</v>
      </c>
      <c r="BHJ616" s="5" t="s">
        <v>3728</v>
      </c>
      <c r="BHK616" s="17">
        <v>44925</v>
      </c>
      <c r="BHL616" s="5" t="s">
        <v>3728</v>
      </c>
      <c r="BHM616" s="17">
        <v>44925</v>
      </c>
      <c r="BHN616" s="5" t="s">
        <v>3728</v>
      </c>
      <c r="BHO616" s="17">
        <v>44925</v>
      </c>
      <c r="BHP616" s="5" t="s">
        <v>3728</v>
      </c>
      <c r="BHQ616" s="17">
        <v>44925</v>
      </c>
      <c r="BHR616" s="5" t="s">
        <v>3728</v>
      </c>
      <c r="BHS616" s="17">
        <v>44925</v>
      </c>
      <c r="BHT616" s="5" t="s">
        <v>3728</v>
      </c>
      <c r="BHU616" s="17">
        <v>44925</v>
      </c>
      <c r="BHV616" s="5" t="s">
        <v>3728</v>
      </c>
      <c r="BHW616" s="17">
        <v>44925</v>
      </c>
      <c r="BHX616" s="5" t="s">
        <v>3728</v>
      </c>
      <c r="BHY616" s="17">
        <v>44925</v>
      </c>
      <c r="BHZ616" s="5" t="s">
        <v>3728</v>
      </c>
      <c r="BIA616" s="17">
        <v>44925</v>
      </c>
      <c r="BIB616" s="5" t="s">
        <v>3728</v>
      </c>
      <c r="BIC616" s="17">
        <v>44925</v>
      </c>
      <c r="BID616" s="5" t="s">
        <v>3728</v>
      </c>
      <c r="BIE616" s="17">
        <v>44925</v>
      </c>
      <c r="BIF616" s="5" t="s">
        <v>3728</v>
      </c>
      <c r="BIG616" s="17">
        <v>44925</v>
      </c>
      <c r="BIH616" s="5" t="s">
        <v>3728</v>
      </c>
      <c r="BII616" s="17">
        <v>44925</v>
      </c>
      <c r="BIJ616" s="5" t="s">
        <v>3728</v>
      </c>
      <c r="BIK616" s="17">
        <v>44925</v>
      </c>
      <c r="BIL616" s="5" t="s">
        <v>3728</v>
      </c>
      <c r="BIM616" s="17">
        <v>44925</v>
      </c>
      <c r="BIN616" s="5" t="s">
        <v>3728</v>
      </c>
      <c r="BIO616" s="17">
        <v>44925</v>
      </c>
      <c r="BIP616" s="5" t="s">
        <v>3728</v>
      </c>
      <c r="BIQ616" s="17">
        <v>44925</v>
      </c>
      <c r="BIR616" s="5" t="s">
        <v>3728</v>
      </c>
      <c r="BIS616" s="17">
        <v>44925</v>
      </c>
      <c r="BIT616" s="5" t="s">
        <v>3728</v>
      </c>
      <c r="BIU616" s="17">
        <v>44925</v>
      </c>
      <c r="BIV616" s="5" t="s">
        <v>3728</v>
      </c>
      <c r="BIW616" s="17">
        <v>44925</v>
      </c>
      <c r="BIX616" s="5" t="s">
        <v>3728</v>
      </c>
      <c r="BIY616" s="17">
        <v>44925</v>
      </c>
      <c r="BIZ616" s="5" t="s">
        <v>3728</v>
      </c>
      <c r="BJA616" s="17">
        <v>44925</v>
      </c>
      <c r="BJB616" s="5" t="s">
        <v>3728</v>
      </c>
      <c r="BJC616" s="17">
        <v>44925</v>
      </c>
      <c r="BJD616" s="5" t="s">
        <v>3728</v>
      </c>
      <c r="BJE616" s="17">
        <v>44925</v>
      </c>
      <c r="BJF616" s="5" t="s">
        <v>3728</v>
      </c>
      <c r="BJG616" s="17">
        <v>44925</v>
      </c>
      <c r="BJH616" s="5" t="s">
        <v>3728</v>
      </c>
      <c r="BJI616" s="17">
        <v>44925</v>
      </c>
      <c r="BJJ616" s="5" t="s">
        <v>3728</v>
      </c>
      <c r="BJK616" s="17">
        <v>44925</v>
      </c>
      <c r="BJL616" s="5" t="s">
        <v>3728</v>
      </c>
      <c r="BJM616" s="17">
        <v>44925</v>
      </c>
      <c r="BJN616" s="5" t="s">
        <v>3728</v>
      </c>
      <c r="BJO616" s="17">
        <v>44925</v>
      </c>
      <c r="BJP616" s="5" t="s">
        <v>3728</v>
      </c>
      <c r="BJQ616" s="17">
        <v>44925</v>
      </c>
      <c r="BJR616" s="5" t="s">
        <v>3728</v>
      </c>
      <c r="BJS616" s="17">
        <v>44925</v>
      </c>
      <c r="BJT616" s="5" t="s">
        <v>3728</v>
      </c>
      <c r="BJU616" s="17">
        <v>44925</v>
      </c>
      <c r="BJV616" s="5" t="s">
        <v>3728</v>
      </c>
      <c r="BJW616" s="17">
        <v>44925</v>
      </c>
      <c r="BJX616" s="5" t="s">
        <v>3728</v>
      </c>
      <c r="BJY616" s="17">
        <v>44925</v>
      </c>
      <c r="BJZ616" s="5" t="s">
        <v>3728</v>
      </c>
      <c r="BKA616" s="17">
        <v>44925</v>
      </c>
      <c r="BKB616" s="5" t="s">
        <v>3728</v>
      </c>
      <c r="BKC616" s="17">
        <v>44925</v>
      </c>
      <c r="BKD616" s="5" t="s">
        <v>3728</v>
      </c>
      <c r="BKE616" s="17">
        <v>44925</v>
      </c>
      <c r="BKF616" s="5" t="s">
        <v>3728</v>
      </c>
      <c r="BKG616" s="17">
        <v>44925</v>
      </c>
      <c r="BKH616" s="5" t="s">
        <v>3728</v>
      </c>
      <c r="BKI616" s="17">
        <v>44925</v>
      </c>
      <c r="BKJ616" s="5" t="s">
        <v>3728</v>
      </c>
      <c r="BKK616" s="17">
        <v>44925</v>
      </c>
      <c r="BKL616" s="5" t="s">
        <v>3728</v>
      </c>
      <c r="BKM616" s="17">
        <v>44925</v>
      </c>
      <c r="BKN616" s="5" t="s">
        <v>3728</v>
      </c>
      <c r="BKO616" s="17">
        <v>44925</v>
      </c>
      <c r="BKP616" s="5" t="s">
        <v>3728</v>
      </c>
      <c r="BKQ616" s="17">
        <v>44925</v>
      </c>
      <c r="BKR616" s="5" t="s">
        <v>3728</v>
      </c>
      <c r="BKS616" s="17">
        <v>44925</v>
      </c>
      <c r="BKT616" s="5" t="s">
        <v>3728</v>
      </c>
      <c r="BKU616" s="17">
        <v>44925</v>
      </c>
      <c r="BKV616" s="5" t="s">
        <v>3728</v>
      </c>
      <c r="BKW616" s="17">
        <v>44925</v>
      </c>
      <c r="BKX616" s="5" t="s">
        <v>3728</v>
      </c>
      <c r="BKY616" s="17">
        <v>44925</v>
      </c>
      <c r="BKZ616" s="5" t="s">
        <v>3728</v>
      </c>
      <c r="BLA616" s="17">
        <v>44925</v>
      </c>
      <c r="BLB616" s="5" t="s">
        <v>3728</v>
      </c>
      <c r="BLC616" s="17">
        <v>44925</v>
      </c>
      <c r="BLD616" s="5" t="s">
        <v>3728</v>
      </c>
      <c r="BLE616" s="17">
        <v>44925</v>
      </c>
      <c r="BLF616" s="5" t="s">
        <v>3728</v>
      </c>
      <c r="BLG616" s="17">
        <v>44925</v>
      </c>
      <c r="BLH616" s="5" t="s">
        <v>3728</v>
      </c>
      <c r="BLI616" s="17">
        <v>44925</v>
      </c>
      <c r="BLJ616" s="5" t="s">
        <v>3728</v>
      </c>
      <c r="BLK616" s="17">
        <v>44925</v>
      </c>
      <c r="BLL616" s="5" t="s">
        <v>3728</v>
      </c>
      <c r="BLM616" s="17">
        <v>44925</v>
      </c>
      <c r="BLN616" s="5" t="s">
        <v>3728</v>
      </c>
      <c r="BLO616" s="17">
        <v>44925</v>
      </c>
      <c r="BLP616" s="5" t="s">
        <v>3728</v>
      </c>
      <c r="BLQ616" s="17">
        <v>44925</v>
      </c>
      <c r="BLR616" s="5" t="s">
        <v>3728</v>
      </c>
      <c r="BLS616" s="17">
        <v>44925</v>
      </c>
      <c r="BLT616" s="5" t="s">
        <v>3728</v>
      </c>
      <c r="BLU616" s="17">
        <v>44925</v>
      </c>
      <c r="BLV616" s="5" t="s">
        <v>3728</v>
      </c>
      <c r="BLW616" s="17">
        <v>44925</v>
      </c>
      <c r="BLX616" s="5" t="s">
        <v>3728</v>
      </c>
      <c r="BLY616" s="17">
        <v>44925</v>
      </c>
      <c r="BLZ616" s="5" t="s">
        <v>3728</v>
      </c>
      <c r="BMA616" s="17">
        <v>44925</v>
      </c>
      <c r="BMB616" s="5" t="s">
        <v>3728</v>
      </c>
      <c r="BMC616" s="17">
        <v>44925</v>
      </c>
      <c r="BMD616" s="5" t="s">
        <v>3728</v>
      </c>
      <c r="BME616" s="17">
        <v>44925</v>
      </c>
      <c r="BMF616" s="5" t="s">
        <v>3728</v>
      </c>
      <c r="BMG616" s="17">
        <v>44925</v>
      </c>
      <c r="BMH616" s="5" t="s">
        <v>3728</v>
      </c>
      <c r="BMI616" s="17">
        <v>44925</v>
      </c>
      <c r="BMJ616" s="5" t="s">
        <v>3728</v>
      </c>
      <c r="BMK616" s="17">
        <v>44925</v>
      </c>
      <c r="BML616" s="5" t="s">
        <v>3728</v>
      </c>
      <c r="BMM616" s="17">
        <v>44925</v>
      </c>
      <c r="BMN616" s="5" t="s">
        <v>3728</v>
      </c>
      <c r="BMO616" s="17">
        <v>44925</v>
      </c>
      <c r="BMP616" s="5" t="s">
        <v>3728</v>
      </c>
      <c r="BMQ616" s="17">
        <v>44925</v>
      </c>
      <c r="BMR616" s="5" t="s">
        <v>3728</v>
      </c>
      <c r="BMS616" s="17">
        <v>44925</v>
      </c>
      <c r="BMT616" s="5" t="s">
        <v>3728</v>
      </c>
      <c r="BMU616" s="17">
        <v>44925</v>
      </c>
      <c r="BMV616" s="5" t="s">
        <v>3728</v>
      </c>
      <c r="BMW616" s="17">
        <v>44925</v>
      </c>
      <c r="BMX616" s="5" t="s">
        <v>3728</v>
      </c>
      <c r="BMY616" s="17">
        <v>44925</v>
      </c>
      <c r="BMZ616" s="5" t="s">
        <v>3728</v>
      </c>
      <c r="BNA616" s="17">
        <v>44925</v>
      </c>
      <c r="BNB616" s="5" t="s">
        <v>3728</v>
      </c>
      <c r="BNC616" s="17">
        <v>44925</v>
      </c>
      <c r="BND616" s="5" t="s">
        <v>3728</v>
      </c>
      <c r="BNE616" s="17">
        <v>44925</v>
      </c>
      <c r="BNF616" s="5" t="s">
        <v>3728</v>
      </c>
      <c r="BNG616" s="17">
        <v>44925</v>
      </c>
      <c r="BNH616" s="5" t="s">
        <v>3728</v>
      </c>
      <c r="BNI616" s="17">
        <v>44925</v>
      </c>
      <c r="BNJ616" s="5" t="s">
        <v>3728</v>
      </c>
      <c r="BNK616" s="17">
        <v>44925</v>
      </c>
      <c r="BNL616" s="5" t="s">
        <v>3728</v>
      </c>
      <c r="BNM616" s="17">
        <v>44925</v>
      </c>
      <c r="BNN616" s="5" t="s">
        <v>3728</v>
      </c>
      <c r="BNO616" s="17">
        <v>44925</v>
      </c>
      <c r="BNP616" s="5" t="s">
        <v>3728</v>
      </c>
      <c r="BNQ616" s="17">
        <v>44925</v>
      </c>
      <c r="BNR616" s="5" t="s">
        <v>3728</v>
      </c>
      <c r="BNS616" s="17">
        <v>44925</v>
      </c>
      <c r="BNT616" s="5" t="s">
        <v>3728</v>
      </c>
      <c r="BNU616" s="17">
        <v>44925</v>
      </c>
      <c r="BNV616" s="5" t="s">
        <v>3728</v>
      </c>
      <c r="BNW616" s="17">
        <v>44925</v>
      </c>
      <c r="BNX616" s="5" t="s">
        <v>3728</v>
      </c>
      <c r="BNY616" s="17">
        <v>44925</v>
      </c>
      <c r="BNZ616" s="5" t="s">
        <v>3728</v>
      </c>
      <c r="BOA616" s="17">
        <v>44925</v>
      </c>
      <c r="BOB616" s="5" t="s">
        <v>3728</v>
      </c>
      <c r="BOC616" s="17">
        <v>44925</v>
      </c>
      <c r="BOD616" s="5" t="s">
        <v>3728</v>
      </c>
      <c r="BOE616" s="17">
        <v>44925</v>
      </c>
      <c r="BOF616" s="5" t="s">
        <v>3728</v>
      </c>
      <c r="BOG616" s="17">
        <v>44925</v>
      </c>
      <c r="BOH616" s="5" t="s">
        <v>3728</v>
      </c>
      <c r="BOI616" s="17">
        <v>44925</v>
      </c>
      <c r="BOJ616" s="5" t="s">
        <v>3728</v>
      </c>
      <c r="BOK616" s="17">
        <v>44925</v>
      </c>
      <c r="BOL616" s="5" t="s">
        <v>3728</v>
      </c>
      <c r="BOM616" s="17">
        <v>44925</v>
      </c>
      <c r="BON616" s="5" t="s">
        <v>3728</v>
      </c>
      <c r="BOO616" s="17">
        <v>44925</v>
      </c>
      <c r="BOP616" s="5" t="s">
        <v>3728</v>
      </c>
      <c r="BOQ616" s="17">
        <v>44925</v>
      </c>
      <c r="BOR616" s="5" t="s">
        <v>3728</v>
      </c>
      <c r="BOS616" s="17">
        <v>44925</v>
      </c>
      <c r="BOT616" s="5" t="s">
        <v>3728</v>
      </c>
      <c r="BOU616" s="17">
        <v>44925</v>
      </c>
      <c r="BOV616" s="5" t="s">
        <v>3728</v>
      </c>
      <c r="BOW616" s="17">
        <v>44925</v>
      </c>
      <c r="BOX616" s="5" t="s">
        <v>3728</v>
      </c>
      <c r="BOY616" s="17">
        <v>44925</v>
      </c>
      <c r="BOZ616" s="5" t="s">
        <v>3728</v>
      </c>
      <c r="BPA616" s="17">
        <v>44925</v>
      </c>
      <c r="BPB616" s="5" t="s">
        <v>3728</v>
      </c>
      <c r="BPC616" s="17">
        <v>44925</v>
      </c>
      <c r="BPD616" s="5" t="s">
        <v>3728</v>
      </c>
      <c r="BPE616" s="17">
        <v>44925</v>
      </c>
      <c r="BPF616" s="5" t="s">
        <v>3728</v>
      </c>
      <c r="BPG616" s="17">
        <v>44925</v>
      </c>
      <c r="BPH616" s="5" t="s">
        <v>3728</v>
      </c>
      <c r="BPI616" s="17">
        <v>44925</v>
      </c>
      <c r="BPJ616" s="5" t="s">
        <v>3728</v>
      </c>
      <c r="BPK616" s="17">
        <v>44925</v>
      </c>
      <c r="BPL616" s="5" t="s">
        <v>3728</v>
      </c>
      <c r="BPM616" s="17">
        <v>44925</v>
      </c>
      <c r="BPN616" s="5" t="s">
        <v>3728</v>
      </c>
      <c r="BPO616" s="17">
        <v>44925</v>
      </c>
      <c r="BPP616" s="5" t="s">
        <v>3728</v>
      </c>
      <c r="BPQ616" s="17">
        <v>44925</v>
      </c>
      <c r="BPR616" s="5" t="s">
        <v>3728</v>
      </c>
      <c r="BPS616" s="17">
        <v>44925</v>
      </c>
      <c r="BPT616" s="5" t="s">
        <v>3728</v>
      </c>
      <c r="BPU616" s="17">
        <v>44925</v>
      </c>
      <c r="BPV616" s="5" t="s">
        <v>3728</v>
      </c>
      <c r="BPW616" s="17">
        <v>44925</v>
      </c>
      <c r="BPX616" s="5" t="s">
        <v>3728</v>
      </c>
      <c r="BPY616" s="17">
        <v>44925</v>
      </c>
      <c r="BPZ616" s="5" t="s">
        <v>3728</v>
      </c>
      <c r="BQA616" s="17">
        <v>44925</v>
      </c>
      <c r="BQB616" s="5" t="s">
        <v>3728</v>
      </c>
      <c r="BQC616" s="17">
        <v>44925</v>
      </c>
      <c r="BQD616" s="5" t="s">
        <v>3728</v>
      </c>
      <c r="BQE616" s="17">
        <v>44925</v>
      </c>
      <c r="BQF616" s="5" t="s">
        <v>3728</v>
      </c>
      <c r="BQG616" s="17">
        <v>44925</v>
      </c>
      <c r="BQH616" s="5" t="s">
        <v>3728</v>
      </c>
      <c r="BQI616" s="17">
        <v>44925</v>
      </c>
      <c r="BQJ616" s="5" t="s">
        <v>3728</v>
      </c>
      <c r="BQK616" s="17">
        <v>44925</v>
      </c>
      <c r="BQL616" s="5" t="s">
        <v>3728</v>
      </c>
      <c r="BQM616" s="17">
        <v>44925</v>
      </c>
      <c r="BQN616" s="5" t="s">
        <v>3728</v>
      </c>
      <c r="BQO616" s="17">
        <v>44925</v>
      </c>
      <c r="BQP616" s="5" t="s">
        <v>3728</v>
      </c>
      <c r="BQQ616" s="17">
        <v>44925</v>
      </c>
      <c r="BQR616" s="5" t="s">
        <v>3728</v>
      </c>
      <c r="BQS616" s="17">
        <v>44925</v>
      </c>
      <c r="BQT616" s="5" t="s">
        <v>3728</v>
      </c>
      <c r="BQU616" s="17">
        <v>44925</v>
      </c>
      <c r="BQV616" s="5" t="s">
        <v>3728</v>
      </c>
      <c r="BQW616" s="17">
        <v>44925</v>
      </c>
      <c r="BQX616" s="5" t="s">
        <v>3728</v>
      </c>
      <c r="BQY616" s="17">
        <v>44925</v>
      </c>
      <c r="BQZ616" s="5" t="s">
        <v>3728</v>
      </c>
      <c r="BRA616" s="17">
        <v>44925</v>
      </c>
      <c r="BRB616" s="5" t="s">
        <v>3728</v>
      </c>
      <c r="BRC616" s="17">
        <v>44925</v>
      </c>
      <c r="BRD616" s="5" t="s">
        <v>3728</v>
      </c>
      <c r="BRE616" s="17">
        <v>44925</v>
      </c>
      <c r="BRF616" s="5" t="s">
        <v>3728</v>
      </c>
      <c r="BRG616" s="17">
        <v>44925</v>
      </c>
      <c r="BRH616" s="5" t="s">
        <v>3728</v>
      </c>
      <c r="BRI616" s="17">
        <v>44925</v>
      </c>
      <c r="BRJ616" s="5" t="s">
        <v>3728</v>
      </c>
      <c r="BRK616" s="17">
        <v>44925</v>
      </c>
      <c r="BRL616" s="5" t="s">
        <v>3728</v>
      </c>
      <c r="BRM616" s="17">
        <v>44925</v>
      </c>
      <c r="BRN616" s="5" t="s">
        <v>3728</v>
      </c>
      <c r="BRO616" s="17">
        <v>44925</v>
      </c>
      <c r="BRP616" s="5" t="s">
        <v>3728</v>
      </c>
      <c r="BRQ616" s="17">
        <v>44925</v>
      </c>
      <c r="BRR616" s="5" t="s">
        <v>3728</v>
      </c>
      <c r="BRS616" s="17">
        <v>44925</v>
      </c>
      <c r="BRT616" s="5" t="s">
        <v>3728</v>
      </c>
      <c r="BRU616" s="17">
        <v>44925</v>
      </c>
      <c r="BRV616" s="5" t="s">
        <v>3728</v>
      </c>
      <c r="BRW616" s="17">
        <v>44925</v>
      </c>
      <c r="BRX616" s="5" t="s">
        <v>3728</v>
      </c>
      <c r="BRY616" s="17">
        <v>44925</v>
      </c>
      <c r="BRZ616" s="5" t="s">
        <v>3728</v>
      </c>
      <c r="BSA616" s="17">
        <v>44925</v>
      </c>
      <c r="BSB616" s="5" t="s">
        <v>3728</v>
      </c>
      <c r="BSC616" s="17">
        <v>44925</v>
      </c>
      <c r="BSD616" s="5" t="s">
        <v>3728</v>
      </c>
      <c r="BSE616" s="17">
        <v>44925</v>
      </c>
      <c r="BSF616" s="5" t="s">
        <v>3728</v>
      </c>
      <c r="BSG616" s="17">
        <v>44925</v>
      </c>
      <c r="BSH616" s="5" t="s">
        <v>3728</v>
      </c>
      <c r="BSI616" s="17">
        <v>44925</v>
      </c>
      <c r="BSJ616" s="5" t="s">
        <v>3728</v>
      </c>
      <c r="BSK616" s="17">
        <v>44925</v>
      </c>
      <c r="BSL616" s="5" t="s">
        <v>3728</v>
      </c>
      <c r="BSM616" s="17">
        <v>44925</v>
      </c>
      <c r="BSN616" s="5" t="s">
        <v>3728</v>
      </c>
      <c r="BSO616" s="17">
        <v>44925</v>
      </c>
      <c r="BSP616" s="5" t="s">
        <v>3728</v>
      </c>
      <c r="BSQ616" s="17">
        <v>44925</v>
      </c>
      <c r="BSR616" s="5" t="s">
        <v>3728</v>
      </c>
      <c r="BSS616" s="17">
        <v>44925</v>
      </c>
      <c r="BST616" s="5" t="s">
        <v>3728</v>
      </c>
      <c r="BSU616" s="17">
        <v>44925</v>
      </c>
      <c r="BSV616" s="5" t="s">
        <v>3728</v>
      </c>
      <c r="BSW616" s="17">
        <v>44925</v>
      </c>
      <c r="BSX616" s="5" t="s">
        <v>3728</v>
      </c>
      <c r="BSY616" s="17">
        <v>44925</v>
      </c>
      <c r="BSZ616" s="5" t="s">
        <v>3728</v>
      </c>
      <c r="BTA616" s="17">
        <v>44925</v>
      </c>
      <c r="BTB616" s="5" t="s">
        <v>3728</v>
      </c>
      <c r="BTC616" s="17">
        <v>44925</v>
      </c>
      <c r="BTD616" s="5" t="s">
        <v>3728</v>
      </c>
      <c r="BTE616" s="17">
        <v>44925</v>
      </c>
      <c r="BTF616" s="5" t="s">
        <v>3728</v>
      </c>
      <c r="BTG616" s="17">
        <v>44925</v>
      </c>
      <c r="BTH616" s="5" t="s">
        <v>3728</v>
      </c>
      <c r="BTI616" s="17">
        <v>44925</v>
      </c>
      <c r="BTJ616" s="5" t="s">
        <v>3728</v>
      </c>
      <c r="BTK616" s="17">
        <v>44925</v>
      </c>
      <c r="BTL616" s="5" t="s">
        <v>3728</v>
      </c>
      <c r="BTM616" s="17">
        <v>44925</v>
      </c>
      <c r="BTN616" s="5" t="s">
        <v>3728</v>
      </c>
      <c r="BTO616" s="17">
        <v>44925</v>
      </c>
      <c r="BTP616" s="5" t="s">
        <v>3728</v>
      </c>
      <c r="BTQ616" s="17">
        <v>44925</v>
      </c>
      <c r="BTR616" s="5" t="s">
        <v>3728</v>
      </c>
      <c r="BTS616" s="17">
        <v>44925</v>
      </c>
      <c r="BTT616" s="5" t="s">
        <v>3728</v>
      </c>
      <c r="BTU616" s="17">
        <v>44925</v>
      </c>
      <c r="BTV616" s="5" t="s">
        <v>3728</v>
      </c>
      <c r="BTW616" s="17">
        <v>44925</v>
      </c>
      <c r="BTX616" s="5" t="s">
        <v>3728</v>
      </c>
      <c r="BTY616" s="17">
        <v>44925</v>
      </c>
      <c r="BTZ616" s="5" t="s">
        <v>3728</v>
      </c>
      <c r="BUA616" s="17">
        <v>44925</v>
      </c>
      <c r="BUB616" s="5" t="s">
        <v>3728</v>
      </c>
      <c r="BUC616" s="17">
        <v>44925</v>
      </c>
      <c r="BUD616" s="5" t="s">
        <v>3728</v>
      </c>
      <c r="BUE616" s="17">
        <v>44925</v>
      </c>
      <c r="BUF616" s="5" t="s">
        <v>3728</v>
      </c>
      <c r="BUG616" s="17">
        <v>44925</v>
      </c>
      <c r="BUH616" s="5" t="s">
        <v>3728</v>
      </c>
      <c r="BUI616" s="17">
        <v>44925</v>
      </c>
      <c r="BUJ616" s="5" t="s">
        <v>3728</v>
      </c>
      <c r="BUK616" s="17">
        <v>44925</v>
      </c>
      <c r="BUL616" s="5" t="s">
        <v>3728</v>
      </c>
      <c r="BUM616" s="17">
        <v>44925</v>
      </c>
      <c r="BUN616" s="5" t="s">
        <v>3728</v>
      </c>
      <c r="BUO616" s="17">
        <v>44925</v>
      </c>
      <c r="BUP616" s="5" t="s">
        <v>3728</v>
      </c>
      <c r="BUQ616" s="17">
        <v>44925</v>
      </c>
      <c r="BUR616" s="5" t="s">
        <v>3728</v>
      </c>
      <c r="BUS616" s="17">
        <v>44925</v>
      </c>
      <c r="BUT616" s="5" t="s">
        <v>3728</v>
      </c>
      <c r="BUU616" s="17">
        <v>44925</v>
      </c>
      <c r="BUV616" s="5" t="s">
        <v>3728</v>
      </c>
      <c r="BUW616" s="17">
        <v>44925</v>
      </c>
      <c r="BUX616" s="5" t="s">
        <v>3728</v>
      </c>
      <c r="BUY616" s="17">
        <v>44925</v>
      </c>
      <c r="BUZ616" s="5" t="s">
        <v>3728</v>
      </c>
      <c r="BVA616" s="17">
        <v>44925</v>
      </c>
      <c r="BVB616" s="5" t="s">
        <v>3728</v>
      </c>
      <c r="BVC616" s="17">
        <v>44925</v>
      </c>
      <c r="BVD616" s="5" t="s">
        <v>3728</v>
      </c>
      <c r="BVE616" s="17">
        <v>44925</v>
      </c>
      <c r="BVF616" s="5" t="s">
        <v>3728</v>
      </c>
      <c r="BVG616" s="17">
        <v>44925</v>
      </c>
      <c r="BVH616" s="5" t="s">
        <v>3728</v>
      </c>
      <c r="BVI616" s="17">
        <v>44925</v>
      </c>
      <c r="BVJ616" s="5" t="s">
        <v>3728</v>
      </c>
      <c r="BVK616" s="17">
        <v>44925</v>
      </c>
      <c r="BVL616" s="5" t="s">
        <v>3728</v>
      </c>
      <c r="BVM616" s="17">
        <v>44925</v>
      </c>
      <c r="BVN616" s="5" t="s">
        <v>3728</v>
      </c>
      <c r="BVO616" s="17">
        <v>44925</v>
      </c>
      <c r="BVP616" s="5" t="s">
        <v>3728</v>
      </c>
      <c r="BVQ616" s="17">
        <v>44925</v>
      </c>
      <c r="BVR616" s="5" t="s">
        <v>3728</v>
      </c>
      <c r="BVS616" s="17">
        <v>44925</v>
      </c>
      <c r="BVT616" s="5" t="s">
        <v>3728</v>
      </c>
      <c r="BVU616" s="17">
        <v>44925</v>
      </c>
      <c r="BVV616" s="5" t="s">
        <v>3728</v>
      </c>
      <c r="BVW616" s="17">
        <v>44925</v>
      </c>
      <c r="BVX616" s="5" t="s">
        <v>3728</v>
      </c>
      <c r="BVY616" s="17">
        <v>44925</v>
      </c>
      <c r="BVZ616" s="5" t="s">
        <v>3728</v>
      </c>
      <c r="BWA616" s="17">
        <v>44925</v>
      </c>
      <c r="BWB616" s="5" t="s">
        <v>3728</v>
      </c>
      <c r="BWC616" s="17">
        <v>44925</v>
      </c>
      <c r="BWD616" s="5" t="s">
        <v>3728</v>
      </c>
      <c r="BWE616" s="17">
        <v>44925</v>
      </c>
      <c r="BWF616" s="5" t="s">
        <v>3728</v>
      </c>
      <c r="BWG616" s="17">
        <v>44925</v>
      </c>
      <c r="BWH616" s="5" t="s">
        <v>3728</v>
      </c>
      <c r="BWI616" s="17">
        <v>44925</v>
      </c>
      <c r="BWJ616" s="5" t="s">
        <v>3728</v>
      </c>
      <c r="BWK616" s="17">
        <v>44925</v>
      </c>
      <c r="BWL616" s="5" t="s">
        <v>3728</v>
      </c>
      <c r="BWM616" s="17">
        <v>44925</v>
      </c>
      <c r="BWN616" s="5" t="s">
        <v>3728</v>
      </c>
      <c r="BWO616" s="17">
        <v>44925</v>
      </c>
      <c r="BWP616" s="5" t="s">
        <v>3728</v>
      </c>
      <c r="BWQ616" s="17">
        <v>44925</v>
      </c>
      <c r="BWR616" s="5" t="s">
        <v>3728</v>
      </c>
      <c r="BWS616" s="17">
        <v>44925</v>
      </c>
      <c r="BWT616" s="5" t="s">
        <v>3728</v>
      </c>
      <c r="BWU616" s="17">
        <v>44925</v>
      </c>
      <c r="BWV616" s="5" t="s">
        <v>3728</v>
      </c>
      <c r="BWW616" s="17">
        <v>44925</v>
      </c>
      <c r="BWX616" s="5" t="s">
        <v>3728</v>
      </c>
      <c r="BWY616" s="17">
        <v>44925</v>
      </c>
      <c r="BWZ616" s="5" t="s">
        <v>3728</v>
      </c>
      <c r="BXA616" s="17">
        <v>44925</v>
      </c>
      <c r="BXB616" s="5" t="s">
        <v>3728</v>
      </c>
      <c r="BXC616" s="17">
        <v>44925</v>
      </c>
      <c r="BXD616" s="5" t="s">
        <v>3728</v>
      </c>
      <c r="BXE616" s="17">
        <v>44925</v>
      </c>
      <c r="BXF616" s="5" t="s">
        <v>3728</v>
      </c>
      <c r="BXG616" s="17">
        <v>44925</v>
      </c>
      <c r="BXH616" s="5" t="s">
        <v>3728</v>
      </c>
      <c r="BXI616" s="17">
        <v>44925</v>
      </c>
      <c r="BXJ616" s="5" t="s">
        <v>3728</v>
      </c>
      <c r="BXK616" s="17">
        <v>44925</v>
      </c>
      <c r="BXL616" s="5" t="s">
        <v>3728</v>
      </c>
      <c r="BXM616" s="17">
        <v>44925</v>
      </c>
      <c r="BXN616" s="5" t="s">
        <v>3728</v>
      </c>
      <c r="BXO616" s="17">
        <v>44925</v>
      </c>
      <c r="BXP616" s="5" t="s">
        <v>3728</v>
      </c>
      <c r="BXQ616" s="17">
        <v>44925</v>
      </c>
      <c r="BXR616" s="5" t="s">
        <v>3728</v>
      </c>
      <c r="BXS616" s="17">
        <v>44925</v>
      </c>
      <c r="BXT616" s="5" t="s">
        <v>3728</v>
      </c>
      <c r="BXU616" s="17">
        <v>44925</v>
      </c>
      <c r="BXV616" s="5" t="s">
        <v>3728</v>
      </c>
      <c r="BXW616" s="17">
        <v>44925</v>
      </c>
      <c r="BXX616" s="5" t="s">
        <v>3728</v>
      </c>
      <c r="BXY616" s="17">
        <v>44925</v>
      </c>
      <c r="BXZ616" s="5" t="s">
        <v>3728</v>
      </c>
      <c r="BYA616" s="17">
        <v>44925</v>
      </c>
      <c r="BYB616" s="5" t="s">
        <v>3728</v>
      </c>
      <c r="BYC616" s="17">
        <v>44925</v>
      </c>
      <c r="BYD616" s="5" t="s">
        <v>3728</v>
      </c>
      <c r="BYE616" s="17">
        <v>44925</v>
      </c>
      <c r="BYF616" s="5" t="s">
        <v>3728</v>
      </c>
      <c r="BYG616" s="17">
        <v>44925</v>
      </c>
      <c r="BYH616" s="5" t="s">
        <v>3728</v>
      </c>
      <c r="BYI616" s="17">
        <v>44925</v>
      </c>
      <c r="BYJ616" s="5" t="s">
        <v>3728</v>
      </c>
      <c r="BYK616" s="17">
        <v>44925</v>
      </c>
      <c r="BYL616" s="5" t="s">
        <v>3728</v>
      </c>
      <c r="BYM616" s="17">
        <v>44925</v>
      </c>
      <c r="BYN616" s="5" t="s">
        <v>3728</v>
      </c>
      <c r="BYO616" s="17">
        <v>44925</v>
      </c>
      <c r="BYP616" s="5" t="s">
        <v>3728</v>
      </c>
      <c r="BYQ616" s="17">
        <v>44925</v>
      </c>
      <c r="BYR616" s="5" t="s">
        <v>3728</v>
      </c>
      <c r="BYS616" s="17">
        <v>44925</v>
      </c>
      <c r="BYT616" s="5" t="s">
        <v>3728</v>
      </c>
      <c r="BYU616" s="17">
        <v>44925</v>
      </c>
      <c r="BYV616" s="5" t="s">
        <v>3728</v>
      </c>
      <c r="BYW616" s="17">
        <v>44925</v>
      </c>
      <c r="BYX616" s="5" t="s">
        <v>3728</v>
      </c>
      <c r="BYY616" s="17">
        <v>44925</v>
      </c>
      <c r="BYZ616" s="5" t="s">
        <v>3728</v>
      </c>
      <c r="BZA616" s="17">
        <v>44925</v>
      </c>
      <c r="BZB616" s="5" t="s">
        <v>3728</v>
      </c>
      <c r="BZC616" s="17">
        <v>44925</v>
      </c>
      <c r="BZD616" s="5" t="s">
        <v>3728</v>
      </c>
      <c r="BZE616" s="17">
        <v>44925</v>
      </c>
      <c r="BZF616" s="5" t="s">
        <v>3728</v>
      </c>
      <c r="BZG616" s="17">
        <v>44925</v>
      </c>
      <c r="BZH616" s="5" t="s">
        <v>3728</v>
      </c>
      <c r="BZI616" s="17">
        <v>44925</v>
      </c>
      <c r="BZJ616" s="5" t="s">
        <v>3728</v>
      </c>
      <c r="BZK616" s="17">
        <v>44925</v>
      </c>
      <c r="BZL616" s="5" t="s">
        <v>3728</v>
      </c>
      <c r="BZM616" s="17">
        <v>44925</v>
      </c>
      <c r="BZN616" s="5" t="s">
        <v>3728</v>
      </c>
      <c r="BZO616" s="17">
        <v>44925</v>
      </c>
      <c r="BZP616" s="5" t="s">
        <v>3728</v>
      </c>
      <c r="BZQ616" s="17">
        <v>44925</v>
      </c>
      <c r="BZR616" s="5" t="s">
        <v>3728</v>
      </c>
      <c r="BZS616" s="17">
        <v>44925</v>
      </c>
      <c r="BZT616" s="5" t="s">
        <v>3728</v>
      </c>
      <c r="BZU616" s="17">
        <v>44925</v>
      </c>
      <c r="BZV616" s="5" t="s">
        <v>3728</v>
      </c>
      <c r="BZW616" s="17">
        <v>44925</v>
      </c>
      <c r="BZX616" s="5" t="s">
        <v>3728</v>
      </c>
      <c r="BZY616" s="17">
        <v>44925</v>
      </c>
      <c r="BZZ616" s="5" t="s">
        <v>3728</v>
      </c>
      <c r="CAA616" s="17">
        <v>44925</v>
      </c>
      <c r="CAB616" s="5" t="s">
        <v>3728</v>
      </c>
      <c r="CAC616" s="17">
        <v>44925</v>
      </c>
      <c r="CAD616" s="5" t="s">
        <v>3728</v>
      </c>
      <c r="CAE616" s="17">
        <v>44925</v>
      </c>
      <c r="CAF616" s="5" t="s">
        <v>3728</v>
      </c>
      <c r="CAG616" s="17">
        <v>44925</v>
      </c>
      <c r="CAH616" s="5" t="s">
        <v>3728</v>
      </c>
      <c r="CAI616" s="17">
        <v>44925</v>
      </c>
      <c r="CAJ616" s="5" t="s">
        <v>3728</v>
      </c>
      <c r="CAK616" s="17">
        <v>44925</v>
      </c>
      <c r="CAL616" s="5" t="s">
        <v>3728</v>
      </c>
      <c r="CAM616" s="17">
        <v>44925</v>
      </c>
      <c r="CAN616" s="5" t="s">
        <v>3728</v>
      </c>
      <c r="CAO616" s="17">
        <v>44925</v>
      </c>
      <c r="CAP616" s="5" t="s">
        <v>3728</v>
      </c>
      <c r="CAQ616" s="17">
        <v>44925</v>
      </c>
      <c r="CAR616" s="5" t="s">
        <v>3728</v>
      </c>
      <c r="CAS616" s="17">
        <v>44925</v>
      </c>
      <c r="CAT616" s="5" t="s">
        <v>3728</v>
      </c>
      <c r="CAU616" s="17">
        <v>44925</v>
      </c>
      <c r="CAV616" s="5" t="s">
        <v>3728</v>
      </c>
      <c r="CAW616" s="17">
        <v>44925</v>
      </c>
      <c r="CAX616" s="5" t="s">
        <v>3728</v>
      </c>
      <c r="CAY616" s="17">
        <v>44925</v>
      </c>
      <c r="CAZ616" s="5" t="s">
        <v>3728</v>
      </c>
      <c r="CBA616" s="17">
        <v>44925</v>
      </c>
      <c r="CBB616" s="5" t="s">
        <v>3728</v>
      </c>
      <c r="CBC616" s="17">
        <v>44925</v>
      </c>
      <c r="CBD616" s="5" t="s">
        <v>3728</v>
      </c>
      <c r="CBE616" s="17">
        <v>44925</v>
      </c>
      <c r="CBF616" s="5" t="s">
        <v>3728</v>
      </c>
      <c r="CBG616" s="17">
        <v>44925</v>
      </c>
      <c r="CBH616" s="5" t="s">
        <v>3728</v>
      </c>
      <c r="CBI616" s="17">
        <v>44925</v>
      </c>
      <c r="CBJ616" s="5" t="s">
        <v>3728</v>
      </c>
      <c r="CBK616" s="17">
        <v>44925</v>
      </c>
      <c r="CBL616" s="5" t="s">
        <v>3728</v>
      </c>
      <c r="CBM616" s="17">
        <v>44925</v>
      </c>
      <c r="CBN616" s="5" t="s">
        <v>3728</v>
      </c>
      <c r="CBO616" s="17">
        <v>44925</v>
      </c>
      <c r="CBP616" s="5" t="s">
        <v>3728</v>
      </c>
      <c r="CBQ616" s="17">
        <v>44925</v>
      </c>
      <c r="CBR616" s="5" t="s">
        <v>3728</v>
      </c>
      <c r="CBS616" s="17">
        <v>44925</v>
      </c>
      <c r="CBT616" s="5" t="s">
        <v>3728</v>
      </c>
      <c r="CBU616" s="17">
        <v>44925</v>
      </c>
      <c r="CBV616" s="5" t="s">
        <v>3728</v>
      </c>
      <c r="CBW616" s="17">
        <v>44925</v>
      </c>
      <c r="CBX616" s="5" t="s">
        <v>3728</v>
      </c>
      <c r="CBY616" s="17">
        <v>44925</v>
      </c>
      <c r="CBZ616" s="5" t="s">
        <v>3728</v>
      </c>
      <c r="CCA616" s="17">
        <v>44925</v>
      </c>
      <c r="CCB616" s="5" t="s">
        <v>3728</v>
      </c>
      <c r="CCC616" s="17">
        <v>44925</v>
      </c>
      <c r="CCD616" s="5" t="s">
        <v>3728</v>
      </c>
      <c r="CCE616" s="17">
        <v>44925</v>
      </c>
      <c r="CCF616" s="5" t="s">
        <v>3728</v>
      </c>
      <c r="CCG616" s="17">
        <v>44925</v>
      </c>
      <c r="CCH616" s="5" t="s">
        <v>3728</v>
      </c>
      <c r="CCI616" s="17">
        <v>44925</v>
      </c>
      <c r="CCJ616" s="5" t="s">
        <v>3728</v>
      </c>
      <c r="CCK616" s="17">
        <v>44925</v>
      </c>
      <c r="CCL616" s="5" t="s">
        <v>3728</v>
      </c>
      <c r="CCM616" s="17">
        <v>44925</v>
      </c>
      <c r="CCN616" s="5" t="s">
        <v>3728</v>
      </c>
      <c r="CCO616" s="17">
        <v>44925</v>
      </c>
      <c r="CCP616" s="5" t="s">
        <v>3728</v>
      </c>
      <c r="CCQ616" s="17">
        <v>44925</v>
      </c>
      <c r="CCR616" s="5" t="s">
        <v>3728</v>
      </c>
      <c r="CCS616" s="17">
        <v>44925</v>
      </c>
      <c r="CCT616" s="5" t="s">
        <v>3728</v>
      </c>
      <c r="CCU616" s="17">
        <v>44925</v>
      </c>
      <c r="CCV616" s="5" t="s">
        <v>3728</v>
      </c>
      <c r="CCW616" s="17">
        <v>44925</v>
      </c>
      <c r="CCX616" s="5" t="s">
        <v>3728</v>
      </c>
      <c r="CCY616" s="17">
        <v>44925</v>
      </c>
      <c r="CCZ616" s="5" t="s">
        <v>3728</v>
      </c>
      <c r="CDA616" s="17">
        <v>44925</v>
      </c>
      <c r="CDB616" s="5" t="s">
        <v>3728</v>
      </c>
      <c r="CDC616" s="17">
        <v>44925</v>
      </c>
      <c r="CDD616" s="5" t="s">
        <v>3728</v>
      </c>
      <c r="CDE616" s="17">
        <v>44925</v>
      </c>
      <c r="CDF616" s="5" t="s">
        <v>3728</v>
      </c>
      <c r="CDG616" s="17">
        <v>44925</v>
      </c>
      <c r="CDH616" s="5" t="s">
        <v>3728</v>
      </c>
      <c r="CDI616" s="17">
        <v>44925</v>
      </c>
      <c r="CDJ616" s="5" t="s">
        <v>3728</v>
      </c>
      <c r="CDK616" s="17">
        <v>44925</v>
      </c>
      <c r="CDL616" s="5" t="s">
        <v>3728</v>
      </c>
      <c r="CDM616" s="17">
        <v>44925</v>
      </c>
      <c r="CDN616" s="5" t="s">
        <v>3728</v>
      </c>
      <c r="CDO616" s="17">
        <v>44925</v>
      </c>
      <c r="CDP616" s="5" t="s">
        <v>3728</v>
      </c>
      <c r="CDQ616" s="17">
        <v>44925</v>
      </c>
      <c r="CDR616" s="5" t="s">
        <v>3728</v>
      </c>
      <c r="CDS616" s="17">
        <v>44925</v>
      </c>
      <c r="CDT616" s="5" t="s">
        <v>3728</v>
      </c>
      <c r="CDU616" s="17">
        <v>44925</v>
      </c>
      <c r="CDV616" s="5" t="s">
        <v>3728</v>
      </c>
      <c r="CDW616" s="17">
        <v>44925</v>
      </c>
      <c r="CDX616" s="5" t="s">
        <v>3728</v>
      </c>
      <c r="CDY616" s="17">
        <v>44925</v>
      </c>
      <c r="CDZ616" s="5" t="s">
        <v>3728</v>
      </c>
      <c r="CEA616" s="17">
        <v>44925</v>
      </c>
      <c r="CEB616" s="5" t="s">
        <v>3728</v>
      </c>
      <c r="CEC616" s="17">
        <v>44925</v>
      </c>
      <c r="CED616" s="5" t="s">
        <v>3728</v>
      </c>
      <c r="CEE616" s="17">
        <v>44925</v>
      </c>
      <c r="CEF616" s="5" t="s">
        <v>3728</v>
      </c>
      <c r="CEG616" s="17">
        <v>44925</v>
      </c>
      <c r="CEH616" s="5" t="s">
        <v>3728</v>
      </c>
      <c r="CEI616" s="17">
        <v>44925</v>
      </c>
      <c r="CEJ616" s="5" t="s">
        <v>3728</v>
      </c>
      <c r="CEK616" s="17">
        <v>44925</v>
      </c>
      <c r="CEL616" s="5" t="s">
        <v>3728</v>
      </c>
      <c r="CEM616" s="17">
        <v>44925</v>
      </c>
      <c r="CEN616" s="5" t="s">
        <v>3728</v>
      </c>
      <c r="CEO616" s="17">
        <v>44925</v>
      </c>
      <c r="CEP616" s="5" t="s">
        <v>3728</v>
      </c>
      <c r="CEQ616" s="17">
        <v>44925</v>
      </c>
      <c r="CER616" s="5" t="s">
        <v>3728</v>
      </c>
      <c r="CES616" s="17">
        <v>44925</v>
      </c>
      <c r="CET616" s="5" t="s">
        <v>3728</v>
      </c>
      <c r="CEU616" s="17">
        <v>44925</v>
      </c>
      <c r="CEV616" s="5" t="s">
        <v>3728</v>
      </c>
      <c r="CEW616" s="17">
        <v>44925</v>
      </c>
      <c r="CEX616" s="5" t="s">
        <v>3728</v>
      </c>
      <c r="CEY616" s="17">
        <v>44925</v>
      </c>
      <c r="CEZ616" s="5" t="s">
        <v>3728</v>
      </c>
      <c r="CFA616" s="17">
        <v>44925</v>
      </c>
      <c r="CFB616" s="5" t="s">
        <v>3728</v>
      </c>
      <c r="CFC616" s="17">
        <v>44925</v>
      </c>
      <c r="CFD616" s="5" t="s">
        <v>3728</v>
      </c>
      <c r="CFE616" s="17">
        <v>44925</v>
      </c>
      <c r="CFF616" s="5" t="s">
        <v>3728</v>
      </c>
      <c r="CFG616" s="17">
        <v>44925</v>
      </c>
      <c r="CFH616" s="5" t="s">
        <v>3728</v>
      </c>
      <c r="CFI616" s="17">
        <v>44925</v>
      </c>
      <c r="CFJ616" s="5" t="s">
        <v>3728</v>
      </c>
      <c r="CFK616" s="17">
        <v>44925</v>
      </c>
      <c r="CFL616" s="5" t="s">
        <v>3728</v>
      </c>
      <c r="CFM616" s="17">
        <v>44925</v>
      </c>
      <c r="CFN616" s="5" t="s">
        <v>3728</v>
      </c>
      <c r="CFO616" s="17">
        <v>44925</v>
      </c>
      <c r="CFP616" s="5" t="s">
        <v>3728</v>
      </c>
      <c r="CFQ616" s="17">
        <v>44925</v>
      </c>
      <c r="CFR616" s="5" t="s">
        <v>3728</v>
      </c>
      <c r="CFS616" s="17">
        <v>44925</v>
      </c>
      <c r="CFT616" s="5" t="s">
        <v>3728</v>
      </c>
      <c r="CFU616" s="17">
        <v>44925</v>
      </c>
      <c r="CFV616" s="5" t="s">
        <v>3728</v>
      </c>
      <c r="CFW616" s="17">
        <v>44925</v>
      </c>
      <c r="CFX616" s="5" t="s">
        <v>3728</v>
      </c>
      <c r="CFY616" s="17">
        <v>44925</v>
      </c>
      <c r="CFZ616" s="5" t="s">
        <v>3728</v>
      </c>
      <c r="CGA616" s="17">
        <v>44925</v>
      </c>
      <c r="CGB616" s="5" t="s">
        <v>3728</v>
      </c>
      <c r="CGC616" s="17">
        <v>44925</v>
      </c>
      <c r="CGD616" s="5" t="s">
        <v>3728</v>
      </c>
      <c r="CGE616" s="17">
        <v>44925</v>
      </c>
      <c r="CGF616" s="5" t="s">
        <v>3728</v>
      </c>
      <c r="CGG616" s="17">
        <v>44925</v>
      </c>
      <c r="CGH616" s="5" t="s">
        <v>3728</v>
      </c>
      <c r="CGI616" s="17">
        <v>44925</v>
      </c>
      <c r="CGJ616" s="5" t="s">
        <v>3728</v>
      </c>
      <c r="CGK616" s="17">
        <v>44925</v>
      </c>
      <c r="CGL616" s="5" t="s">
        <v>3728</v>
      </c>
      <c r="CGM616" s="17">
        <v>44925</v>
      </c>
      <c r="CGN616" s="5" t="s">
        <v>3728</v>
      </c>
      <c r="CGO616" s="17">
        <v>44925</v>
      </c>
      <c r="CGP616" s="5" t="s">
        <v>3728</v>
      </c>
      <c r="CGQ616" s="17">
        <v>44925</v>
      </c>
      <c r="CGR616" s="5" t="s">
        <v>3728</v>
      </c>
      <c r="CGS616" s="17">
        <v>44925</v>
      </c>
      <c r="CGT616" s="5" t="s">
        <v>3728</v>
      </c>
      <c r="CGU616" s="17">
        <v>44925</v>
      </c>
      <c r="CGV616" s="5" t="s">
        <v>3728</v>
      </c>
      <c r="CGW616" s="17">
        <v>44925</v>
      </c>
      <c r="CGX616" s="5" t="s">
        <v>3728</v>
      </c>
      <c r="CGY616" s="17">
        <v>44925</v>
      </c>
      <c r="CGZ616" s="5" t="s">
        <v>3728</v>
      </c>
      <c r="CHA616" s="17">
        <v>44925</v>
      </c>
      <c r="CHB616" s="5" t="s">
        <v>3728</v>
      </c>
      <c r="CHC616" s="17">
        <v>44925</v>
      </c>
      <c r="CHD616" s="5" t="s">
        <v>3728</v>
      </c>
      <c r="CHE616" s="17">
        <v>44925</v>
      </c>
      <c r="CHF616" s="5" t="s">
        <v>3728</v>
      </c>
      <c r="CHG616" s="17">
        <v>44925</v>
      </c>
      <c r="CHH616" s="5" t="s">
        <v>3728</v>
      </c>
      <c r="CHI616" s="17">
        <v>44925</v>
      </c>
      <c r="CHJ616" s="5" t="s">
        <v>3728</v>
      </c>
      <c r="CHK616" s="17">
        <v>44925</v>
      </c>
      <c r="CHL616" s="5" t="s">
        <v>3728</v>
      </c>
      <c r="CHM616" s="17">
        <v>44925</v>
      </c>
      <c r="CHN616" s="5" t="s">
        <v>3728</v>
      </c>
      <c r="CHO616" s="17">
        <v>44925</v>
      </c>
      <c r="CHP616" s="5" t="s">
        <v>3728</v>
      </c>
      <c r="CHQ616" s="17">
        <v>44925</v>
      </c>
      <c r="CHR616" s="5" t="s">
        <v>3728</v>
      </c>
      <c r="CHS616" s="17">
        <v>44925</v>
      </c>
      <c r="CHT616" s="5" t="s">
        <v>3728</v>
      </c>
      <c r="CHU616" s="17">
        <v>44925</v>
      </c>
      <c r="CHV616" s="5" t="s">
        <v>3728</v>
      </c>
      <c r="CHW616" s="17">
        <v>44925</v>
      </c>
      <c r="CHX616" s="5" t="s">
        <v>3728</v>
      </c>
      <c r="CHY616" s="17">
        <v>44925</v>
      </c>
      <c r="CHZ616" s="5" t="s">
        <v>3728</v>
      </c>
      <c r="CIA616" s="17">
        <v>44925</v>
      </c>
      <c r="CIB616" s="5" t="s">
        <v>3728</v>
      </c>
      <c r="CIC616" s="17">
        <v>44925</v>
      </c>
      <c r="CID616" s="5" t="s">
        <v>3728</v>
      </c>
      <c r="CIE616" s="17">
        <v>44925</v>
      </c>
      <c r="CIF616" s="5" t="s">
        <v>3728</v>
      </c>
      <c r="CIG616" s="17">
        <v>44925</v>
      </c>
      <c r="CIH616" s="5" t="s">
        <v>3728</v>
      </c>
      <c r="CII616" s="17">
        <v>44925</v>
      </c>
      <c r="CIJ616" s="5" t="s">
        <v>3728</v>
      </c>
      <c r="CIK616" s="17">
        <v>44925</v>
      </c>
      <c r="CIL616" s="5" t="s">
        <v>3728</v>
      </c>
      <c r="CIM616" s="17">
        <v>44925</v>
      </c>
      <c r="CIN616" s="5" t="s">
        <v>3728</v>
      </c>
      <c r="CIO616" s="17">
        <v>44925</v>
      </c>
      <c r="CIP616" s="5" t="s">
        <v>3728</v>
      </c>
      <c r="CIQ616" s="17">
        <v>44925</v>
      </c>
      <c r="CIR616" s="5" t="s">
        <v>3728</v>
      </c>
      <c r="CIS616" s="17">
        <v>44925</v>
      </c>
      <c r="CIT616" s="5" t="s">
        <v>3728</v>
      </c>
      <c r="CIU616" s="17">
        <v>44925</v>
      </c>
      <c r="CIV616" s="5" t="s">
        <v>3728</v>
      </c>
      <c r="CIW616" s="17">
        <v>44925</v>
      </c>
      <c r="CIX616" s="5" t="s">
        <v>3728</v>
      </c>
      <c r="CIY616" s="17">
        <v>44925</v>
      </c>
      <c r="CIZ616" s="5" t="s">
        <v>3728</v>
      </c>
      <c r="CJA616" s="17">
        <v>44925</v>
      </c>
      <c r="CJB616" s="5" t="s">
        <v>3728</v>
      </c>
      <c r="CJC616" s="17">
        <v>44925</v>
      </c>
      <c r="CJD616" s="5" t="s">
        <v>3728</v>
      </c>
      <c r="CJE616" s="17">
        <v>44925</v>
      </c>
      <c r="CJF616" s="5" t="s">
        <v>3728</v>
      </c>
      <c r="CJG616" s="17">
        <v>44925</v>
      </c>
      <c r="CJH616" s="5" t="s">
        <v>3728</v>
      </c>
      <c r="CJI616" s="17">
        <v>44925</v>
      </c>
      <c r="CJJ616" s="5" t="s">
        <v>3728</v>
      </c>
      <c r="CJK616" s="17">
        <v>44925</v>
      </c>
      <c r="CJL616" s="5" t="s">
        <v>3728</v>
      </c>
      <c r="CJM616" s="17">
        <v>44925</v>
      </c>
      <c r="CJN616" s="5" t="s">
        <v>3728</v>
      </c>
      <c r="CJO616" s="17">
        <v>44925</v>
      </c>
      <c r="CJP616" s="5" t="s">
        <v>3728</v>
      </c>
      <c r="CJQ616" s="17">
        <v>44925</v>
      </c>
      <c r="CJR616" s="5" t="s">
        <v>3728</v>
      </c>
      <c r="CJS616" s="17">
        <v>44925</v>
      </c>
      <c r="CJT616" s="5" t="s">
        <v>3728</v>
      </c>
      <c r="CJU616" s="17">
        <v>44925</v>
      </c>
      <c r="CJV616" s="5" t="s">
        <v>3728</v>
      </c>
      <c r="CJW616" s="17">
        <v>44925</v>
      </c>
      <c r="CJX616" s="5" t="s">
        <v>3728</v>
      </c>
      <c r="CJY616" s="17">
        <v>44925</v>
      </c>
      <c r="CJZ616" s="5" t="s">
        <v>3728</v>
      </c>
      <c r="CKA616" s="17">
        <v>44925</v>
      </c>
      <c r="CKB616" s="5" t="s">
        <v>3728</v>
      </c>
      <c r="CKC616" s="17">
        <v>44925</v>
      </c>
      <c r="CKD616" s="5" t="s">
        <v>3728</v>
      </c>
      <c r="CKE616" s="17">
        <v>44925</v>
      </c>
      <c r="CKF616" s="5" t="s">
        <v>3728</v>
      </c>
      <c r="CKG616" s="17">
        <v>44925</v>
      </c>
      <c r="CKH616" s="5" t="s">
        <v>3728</v>
      </c>
      <c r="CKI616" s="17">
        <v>44925</v>
      </c>
      <c r="CKJ616" s="5" t="s">
        <v>3728</v>
      </c>
      <c r="CKK616" s="17">
        <v>44925</v>
      </c>
      <c r="CKL616" s="5" t="s">
        <v>3728</v>
      </c>
      <c r="CKM616" s="17">
        <v>44925</v>
      </c>
      <c r="CKN616" s="5" t="s">
        <v>3728</v>
      </c>
      <c r="CKO616" s="17">
        <v>44925</v>
      </c>
      <c r="CKP616" s="5" t="s">
        <v>3728</v>
      </c>
      <c r="CKQ616" s="17">
        <v>44925</v>
      </c>
      <c r="CKR616" s="5" t="s">
        <v>3728</v>
      </c>
      <c r="CKS616" s="17">
        <v>44925</v>
      </c>
      <c r="CKT616" s="5" t="s">
        <v>3728</v>
      </c>
      <c r="CKU616" s="17">
        <v>44925</v>
      </c>
      <c r="CKV616" s="5" t="s">
        <v>3728</v>
      </c>
      <c r="CKW616" s="17">
        <v>44925</v>
      </c>
      <c r="CKX616" s="5" t="s">
        <v>3728</v>
      </c>
      <c r="CKY616" s="17">
        <v>44925</v>
      </c>
      <c r="CKZ616" s="5" t="s">
        <v>3728</v>
      </c>
      <c r="CLA616" s="17">
        <v>44925</v>
      </c>
      <c r="CLB616" s="5" t="s">
        <v>3728</v>
      </c>
      <c r="CLC616" s="17">
        <v>44925</v>
      </c>
      <c r="CLD616" s="5" t="s">
        <v>3728</v>
      </c>
      <c r="CLE616" s="17">
        <v>44925</v>
      </c>
      <c r="CLF616" s="5" t="s">
        <v>3728</v>
      </c>
      <c r="CLG616" s="17">
        <v>44925</v>
      </c>
      <c r="CLH616" s="5" t="s">
        <v>3728</v>
      </c>
      <c r="CLI616" s="17">
        <v>44925</v>
      </c>
      <c r="CLJ616" s="5" t="s">
        <v>3728</v>
      </c>
      <c r="CLK616" s="17">
        <v>44925</v>
      </c>
      <c r="CLL616" s="5" t="s">
        <v>3728</v>
      </c>
      <c r="CLM616" s="17">
        <v>44925</v>
      </c>
      <c r="CLN616" s="5" t="s">
        <v>3728</v>
      </c>
      <c r="CLO616" s="17">
        <v>44925</v>
      </c>
      <c r="CLP616" s="5" t="s">
        <v>3728</v>
      </c>
      <c r="CLQ616" s="17">
        <v>44925</v>
      </c>
      <c r="CLR616" s="5" t="s">
        <v>3728</v>
      </c>
      <c r="CLS616" s="17">
        <v>44925</v>
      </c>
      <c r="CLT616" s="5" t="s">
        <v>3728</v>
      </c>
      <c r="CLU616" s="17">
        <v>44925</v>
      </c>
      <c r="CLV616" s="5" t="s">
        <v>3728</v>
      </c>
      <c r="CLW616" s="17">
        <v>44925</v>
      </c>
      <c r="CLX616" s="5" t="s">
        <v>3728</v>
      </c>
      <c r="CLY616" s="17">
        <v>44925</v>
      </c>
      <c r="CLZ616" s="5" t="s">
        <v>3728</v>
      </c>
      <c r="CMA616" s="17">
        <v>44925</v>
      </c>
      <c r="CMB616" s="5" t="s">
        <v>3728</v>
      </c>
      <c r="CMC616" s="17">
        <v>44925</v>
      </c>
      <c r="CMD616" s="5" t="s">
        <v>3728</v>
      </c>
      <c r="CME616" s="17">
        <v>44925</v>
      </c>
      <c r="CMF616" s="5" t="s">
        <v>3728</v>
      </c>
      <c r="CMG616" s="17">
        <v>44925</v>
      </c>
      <c r="CMH616" s="5" t="s">
        <v>3728</v>
      </c>
      <c r="CMI616" s="17">
        <v>44925</v>
      </c>
      <c r="CMJ616" s="5" t="s">
        <v>3728</v>
      </c>
      <c r="CMK616" s="17">
        <v>44925</v>
      </c>
      <c r="CML616" s="5" t="s">
        <v>3728</v>
      </c>
      <c r="CMM616" s="17">
        <v>44925</v>
      </c>
      <c r="CMN616" s="5" t="s">
        <v>3728</v>
      </c>
      <c r="CMO616" s="17">
        <v>44925</v>
      </c>
      <c r="CMP616" s="5" t="s">
        <v>3728</v>
      </c>
      <c r="CMQ616" s="17">
        <v>44925</v>
      </c>
      <c r="CMR616" s="5" t="s">
        <v>3728</v>
      </c>
      <c r="CMS616" s="17">
        <v>44925</v>
      </c>
      <c r="CMT616" s="5" t="s">
        <v>3728</v>
      </c>
      <c r="CMU616" s="17">
        <v>44925</v>
      </c>
      <c r="CMV616" s="5" t="s">
        <v>3728</v>
      </c>
      <c r="CMW616" s="17">
        <v>44925</v>
      </c>
      <c r="CMX616" s="5" t="s">
        <v>3728</v>
      </c>
      <c r="CMY616" s="17">
        <v>44925</v>
      </c>
      <c r="CMZ616" s="5" t="s">
        <v>3728</v>
      </c>
      <c r="CNA616" s="17">
        <v>44925</v>
      </c>
      <c r="CNB616" s="5" t="s">
        <v>3728</v>
      </c>
      <c r="CNC616" s="17">
        <v>44925</v>
      </c>
      <c r="CND616" s="5" t="s">
        <v>3728</v>
      </c>
      <c r="CNE616" s="17">
        <v>44925</v>
      </c>
      <c r="CNF616" s="5" t="s">
        <v>3728</v>
      </c>
      <c r="CNG616" s="17">
        <v>44925</v>
      </c>
      <c r="CNH616" s="5" t="s">
        <v>3728</v>
      </c>
      <c r="CNI616" s="17">
        <v>44925</v>
      </c>
      <c r="CNJ616" s="5" t="s">
        <v>3728</v>
      </c>
      <c r="CNK616" s="17">
        <v>44925</v>
      </c>
      <c r="CNL616" s="5" t="s">
        <v>3728</v>
      </c>
      <c r="CNM616" s="17">
        <v>44925</v>
      </c>
      <c r="CNN616" s="5" t="s">
        <v>3728</v>
      </c>
      <c r="CNO616" s="17">
        <v>44925</v>
      </c>
      <c r="CNP616" s="5" t="s">
        <v>3728</v>
      </c>
      <c r="CNQ616" s="17">
        <v>44925</v>
      </c>
      <c r="CNR616" s="5" t="s">
        <v>3728</v>
      </c>
      <c r="CNS616" s="17">
        <v>44925</v>
      </c>
      <c r="CNT616" s="5" t="s">
        <v>3728</v>
      </c>
      <c r="CNU616" s="17">
        <v>44925</v>
      </c>
      <c r="CNV616" s="5" t="s">
        <v>3728</v>
      </c>
      <c r="CNW616" s="17">
        <v>44925</v>
      </c>
      <c r="CNX616" s="5" t="s">
        <v>3728</v>
      </c>
      <c r="CNY616" s="17">
        <v>44925</v>
      </c>
      <c r="CNZ616" s="5" t="s">
        <v>3728</v>
      </c>
      <c r="COA616" s="17">
        <v>44925</v>
      </c>
      <c r="COB616" s="5" t="s">
        <v>3728</v>
      </c>
      <c r="COC616" s="17">
        <v>44925</v>
      </c>
      <c r="COD616" s="5" t="s">
        <v>3728</v>
      </c>
      <c r="COE616" s="17">
        <v>44925</v>
      </c>
      <c r="COF616" s="5" t="s">
        <v>3728</v>
      </c>
      <c r="COG616" s="17">
        <v>44925</v>
      </c>
      <c r="COH616" s="5" t="s">
        <v>3728</v>
      </c>
      <c r="COI616" s="17">
        <v>44925</v>
      </c>
      <c r="COJ616" s="5" t="s">
        <v>3728</v>
      </c>
      <c r="COK616" s="17">
        <v>44925</v>
      </c>
      <c r="COL616" s="5" t="s">
        <v>3728</v>
      </c>
      <c r="COM616" s="17">
        <v>44925</v>
      </c>
      <c r="CON616" s="5" t="s">
        <v>3728</v>
      </c>
      <c r="COO616" s="17">
        <v>44925</v>
      </c>
      <c r="COP616" s="5" t="s">
        <v>3728</v>
      </c>
      <c r="COQ616" s="17">
        <v>44925</v>
      </c>
      <c r="COR616" s="5" t="s">
        <v>3728</v>
      </c>
      <c r="COS616" s="17">
        <v>44925</v>
      </c>
      <c r="COT616" s="5" t="s">
        <v>3728</v>
      </c>
      <c r="COU616" s="17">
        <v>44925</v>
      </c>
      <c r="COV616" s="5" t="s">
        <v>3728</v>
      </c>
      <c r="COW616" s="17">
        <v>44925</v>
      </c>
      <c r="COX616" s="5" t="s">
        <v>3728</v>
      </c>
      <c r="COY616" s="17">
        <v>44925</v>
      </c>
      <c r="COZ616" s="5" t="s">
        <v>3728</v>
      </c>
      <c r="CPA616" s="17">
        <v>44925</v>
      </c>
      <c r="CPB616" s="5" t="s">
        <v>3728</v>
      </c>
      <c r="CPC616" s="17">
        <v>44925</v>
      </c>
      <c r="CPD616" s="5" t="s">
        <v>3728</v>
      </c>
      <c r="CPE616" s="17">
        <v>44925</v>
      </c>
      <c r="CPF616" s="5" t="s">
        <v>3728</v>
      </c>
      <c r="CPG616" s="17">
        <v>44925</v>
      </c>
      <c r="CPH616" s="5" t="s">
        <v>3728</v>
      </c>
      <c r="CPI616" s="17">
        <v>44925</v>
      </c>
      <c r="CPJ616" s="5" t="s">
        <v>3728</v>
      </c>
      <c r="CPK616" s="17">
        <v>44925</v>
      </c>
      <c r="CPL616" s="5" t="s">
        <v>3728</v>
      </c>
      <c r="CPM616" s="17">
        <v>44925</v>
      </c>
      <c r="CPN616" s="5" t="s">
        <v>3728</v>
      </c>
      <c r="CPO616" s="17">
        <v>44925</v>
      </c>
      <c r="CPP616" s="5" t="s">
        <v>3728</v>
      </c>
      <c r="CPQ616" s="17">
        <v>44925</v>
      </c>
      <c r="CPR616" s="5" t="s">
        <v>3728</v>
      </c>
      <c r="CPS616" s="17">
        <v>44925</v>
      </c>
      <c r="CPT616" s="5" t="s">
        <v>3728</v>
      </c>
      <c r="CPU616" s="17">
        <v>44925</v>
      </c>
      <c r="CPV616" s="5" t="s">
        <v>3728</v>
      </c>
      <c r="CPW616" s="17">
        <v>44925</v>
      </c>
      <c r="CPX616" s="5" t="s">
        <v>3728</v>
      </c>
      <c r="CPY616" s="17">
        <v>44925</v>
      </c>
      <c r="CPZ616" s="5" t="s">
        <v>3728</v>
      </c>
      <c r="CQA616" s="17">
        <v>44925</v>
      </c>
      <c r="CQB616" s="5" t="s">
        <v>3728</v>
      </c>
      <c r="CQC616" s="17">
        <v>44925</v>
      </c>
      <c r="CQD616" s="5" t="s">
        <v>3728</v>
      </c>
      <c r="CQE616" s="17">
        <v>44925</v>
      </c>
      <c r="CQF616" s="5" t="s">
        <v>3728</v>
      </c>
      <c r="CQG616" s="17">
        <v>44925</v>
      </c>
      <c r="CQH616" s="5" t="s">
        <v>3728</v>
      </c>
      <c r="CQI616" s="17">
        <v>44925</v>
      </c>
      <c r="CQJ616" s="5" t="s">
        <v>3728</v>
      </c>
      <c r="CQK616" s="17">
        <v>44925</v>
      </c>
      <c r="CQL616" s="5" t="s">
        <v>3728</v>
      </c>
      <c r="CQM616" s="17">
        <v>44925</v>
      </c>
      <c r="CQN616" s="5" t="s">
        <v>3728</v>
      </c>
      <c r="CQO616" s="17">
        <v>44925</v>
      </c>
      <c r="CQP616" s="5" t="s">
        <v>3728</v>
      </c>
      <c r="CQQ616" s="17">
        <v>44925</v>
      </c>
      <c r="CQR616" s="5" t="s">
        <v>3728</v>
      </c>
      <c r="CQS616" s="17">
        <v>44925</v>
      </c>
      <c r="CQT616" s="5" t="s">
        <v>3728</v>
      </c>
      <c r="CQU616" s="17">
        <v>44925</v>
      </c>
      <c r="CQV616" s="5" t="s">
        <v>3728</v>
      </c>
      <c r="CQW616" s="17">
        <v>44925</v>
      </c>
      <c r="CQX616" s="5" t="s">
        <v>3728</v>
      </c>
      <c r="CQY616" s="17">
        <v>44925</v>
      </c>
      <c r="CQZ616" s="5" t="s">
        <v>3728</v>
      </c>
      <c r="CRA616" s="17">
        <v>44925</v>
      </c>
      <c r="CRB616" s="5" t="s">
        <v>3728</v>
      </c>
      <c r="CRC616" s="17">
        <v>44925</v>
      </c>
      <c r="CRD616" s="5" t="s">
        <v>3728</v>
      </c>
      <c r="CRE616" s="17">
        <v>44925</v>
      </c>
      <c r="CRF616" s="5" t="s">
        <v>3728</v>
      </c>
      <c r="CRG616" s="17">
        <v>44925</v>
      </c>
      <c r="CRH616" s="5" t="s">
        <v>3728</v>
      </c>
      <c r="CRI616" s="17">
        <v>44925</v>
      </c>
      <c r="CRJ616" s="5" t="s">
        <v>3728</v>
      </c>
      <c r="CRK616" s="17">
        <v>44925</v>
      </c>
      <c r="CRL616" s="5" t="s">
        <v>3728</v>
      </c>
      <c r="CRM616" s="17">
        <v>44925</v>
      </c>
      <c r="CRN616" s="5" t="s">
        <v>3728</v>
      </c>
      <c r="CRO616" s="17">
        <v>44925</v>
      </c>
      <c r="CRP616" s="5" t="s">
        <v>3728</v>
      </c>
      <c r="CRQ616" s="17">
        <v>44925</v>
      </c>
      <c r="CRR616" s="5" t="s">
        <v>3728</v>
      </c>
      <c r="CRS616" s="17">
        <v>44925</v>
      </c>
      <c r="CRT616" s="5" t="s">
        <v>3728</v>
      </c>
      <c r="CRU616" s="17">
        <v>44925</v>
      </c>
      <c r="CRV616" s="5" t="s">
        <v>3728</v>
      </c>
      <c r="CRW616" s="17">
        <v>44925</v>
      </c>
      <c r="CRX616" s="5" t="s">
        <v>3728</v>
      </c>
      <c r="CRY616" s="17">
        <v>44925</v>
      </c>
      <c r="CRZ616" s="5" t="s">
        <v>3728</v>
      </c>
      <c r="CSA616" s="17">
        <v>44925</v>
      </c>
      <c r="CSB616" s="5" t="s">
        <v>3728</v>
      </c>
      <c r="CSC616" s="17">
        <v>44925</v>
      </c>
      <c r="CSD616" s="5" t="s">
        <v>3728</v>
      </c>
      <c r="CSE616" s="17">
        <v>44925</v>
      </c>
      <c r="CSF616" s="5" t="s">
        <v>3728</v>
      </c>
      <c r="CSG616" s="17">
        <v>44925</v>
      </c>
      <c r="CSH616" s="5" t="s">
        <v>3728</v>
      </c>
      <c r="CSI616" s="17">
        <v>44925</v>
      </c>
      <c r="CSJ616" s="5" t="s">
        <v>3728</v>
      </c>
      <c r="CSK616" s="17">
        <v>44925</v>
      </c>
      <c r="CSL616" s="5" t="s">
        <v>3728</v>
      </c>
      <c r="CSM616" s="17">
        <v>44925</v>
      </c>
      <c r="CSN616" s="5" t="s">
        <v>3728</v>
      </c>
      <c r="CSO616" s="17">
        <v>44925</v>
      </c>
      <c r="CSP616" s="5" t="s">
        <v>3728</v>
      </c>
      <c r="CSQ616" s="17">
        <v>44925</v>
      </c>
      <c r="CSR616" s="5" t="s">
        <v>3728</v>
      </c>
      <c r="CSS616" s="17">
        <v>44925</v>
      </c>
      <c r="CST616" s="5" t="s">
        <v>3728</v>
      </c>
      <c r="CSU616" s="17">
        <v>44925</v>
      </c>
      <c r="CSV616" s="5" t="s">
        <v>3728</v>
      </c>
      <c r="CSW616" s="17">
        <v>44925</v>
      </c>
      <c r="CSX616" s="5" t="s">
        <v>3728</v>
      </c>
      <c r="CSY616" s="17">
        <v>44925</v>
      </c>
      <c r="CSZ616" s="5" t="s">
        <v>3728</v>
      </c>
      <c r="CTA616" s="17">
        <v>44925</v>
      </c>
      <c r="CTB616" s="5" t="s">
        <v>3728</v>
      </c>
      <c r="CTC616" s="17">
        <v>44925</v>
      </c>
      <c r="CTD616" s="5" t="s">
        <v>3728</v>
      </c>
      <c r="CTE616" s="17">
        <v>44925</v>
      </c>
      <c r="CTF616" s="5" t="s">
        <v>3728</v>
      </c>
      <c r="CTG616" s="17">
        <v>44925</v>
      </c>
      <c r="CTH616" s="5" t="s">
        <v>3728</v>
      </c>
      <c r="CTI616" s="17">
        <v>44925</v>
      </c>
      <c r="CTJ616" s="5" t="s">
        <v>3728</v>
      </c>
      <c r="CTK616" s="17">
        <v>44925</v>
      </c>
      <c r="CTL616" s="5" t="s">
        <v>3728</v>
      </c>
      <c r="CTM616" s="17">
        <v>44925</v>
      </c>
      <c r="CTN616" s="5" t="s">
        <v>3728</v>
      </c>
      <c r="CTO616" s="17">
        <v>44925</v>
      </c>
      <c r="CTP616" s="5" t="s">
        <v>3728</v>
      </c>
      <c r="CTQ616" s="17">
        <v>44925</v>
      </c>
      <c r="CTR616" s="5" t="s">
        <v>3728</v>
      </c>
      <c r="CTS616" s="17">
        <v>44925</v>
      </c>
      <c r="CTT616" s="5" t="s">
        <v>3728</v>
      </c>
      <c r="CTU616" s="17">
        <v>44925</v>
      </c>
      <c r="CTV616" s="5" t="s">
        <v>3728</v>
      </c>
      <c r="CTW616" s="17">
        <v>44925</v>
      </c>
      <c r="CTX616" s="5" t="s">
        <v>3728</v>
      </c>
      <c r="CTY616" s="17">
        <v>44925</v>
      </c>
      <c r="CTZ616" s="5" t="s">
        <v>3728</v>
      </c>
      <c r="CUA616" s="17">
        <v>44925</v>
      </c>
      <c r="CUB616" s="5" t="s">
        <v>3728</v>
      </c>
      <c r="CUC616" s="17">
        <v>44925</v>
      </c>
      <c r="CUD616" s="5" t="s">
        <v>3728</v>
      </c>
      <c r="CUE616" s="17">
        <v>44925</v>
      </c>
      <c r="CUF616" s="5" t="s">
        <v>3728</v>
      </c>
      <c r="CUG616" s="17">
        <v>44925</v>
      </c>
      <c r="CUH616" s="5" t="s">
        <v>3728</v>
      </c>
      <c r="CUI616" s="17">
        <v>44925</v>
      </c>
      <c r="CUJ616" s="5" t="s">
        <v>3728</v>
      </c>
      <c r="CUK616" s="17">
        <v>44925</v>
      </c>
      <c r="CUL616" s="5" t="s">
        <v>3728</v>
      </c>
      <c r="CUM616" s="17">
        <v>44925</v>
      </c>
      <c r="CUN616" s="5" t="s">
        <v>3728</v>
      </c>
      <c r="CUO616" s="17">
        <v>44925</v>
      </c>
      <c r="CUP616" s="5" t="s">
        <v>3728</v>
      </c>
      <c r="CUQ616" s="17">
        <v>44925</v>
      </c>
      <c r="CUR616" s="5" t="s">
        <v>3728</v>
      </c>
      <c r="CUS616" s="17">
        <v>44925</v>
      </c>
      <c r="CUT616" s="5" t="s">
        <v>3728</v>
      </c>
      <c r="CUU616" s="17">
        <v>44925</v>
      </c>
      <c r="CUV616" s="5" t="s">
        <v>3728</v>
      </c>
      <c r="CUW616" s="17">
        <v>44925</v>
      </c>
      <c r="CUX616" s="5" t="s">
        <v>3728</v>
      </c>
      <c r="CUY616" s="17">
        <v>44925</v>
      </c>
      <c r="CUZ616" s="5" t="s">
        <v>3728</v>
      </c>
      <c r="CVA616" s="17">
        <v>44925</v>
      </c>
      <c r="CVB616" s="5" t="s">
        <v>3728</v>
      </c>
      <c r="CVC616" s="17">
        <v>44925</v>
      </c>
      <c r="CVD616" s="5" t="s">
        <v>3728</v>
      </c>
      <c r="CVE616" s="17">
        <v>44925</v>
      </c>
      <c r="CVF616" s="5" t="s">
        <v>3728</v>
      </c>
      <c r="CVG616" s="17">
        <v>44925</v>
      </c>
      <c r="CVH616" s="5" t="s">
        <v>3728</v>
      </c>
      <c r="CVI616" s="17">
        <v>44925</v>
      </c>
      <c r="CVJ616" s="5" t="s">
        <v>3728</v>
      </c>
      <c r="CVK616" s="17">
        <v>44925</v>
      </c>
      <c r="CVL616" s="5" t="s">
        <v>3728</v>
      </c>
      <c r="CVM616" s="17">
        <v>44925</v>
      </c>
      <c r="CVN616" s="5" t="s">
        <v>3728</v>
      </c>
      <c r="CVO616" s="17">
        <v>44925</v>
      </c>
      <c r="CVP616" s="5" t="s">
        <v>3728</v>
      </c>
      <c r="CVQ616" s="17">
        <v>44925</v>
      </c>
      <c r="CVR616" s="5" t="s">
        <v>3728</v>
      </c>
      <c r="CVS616" s="17">
        <v>44925</v>
      </c>
      <c r="CVT616" s="5" t="s">
        <v>3728</v>
      </c>
      <c r="CVU616" s="17">
        <v>44925</v>
      </c>
      <c r="CVV616" s="5" t="s">
        <v>3728</v>
      </c>
      <c r="CVW616" s="17">
        <v>44925</v>
      </c>
      <c r="CVX616" s="5" t="s">
        <v>3728</v>
      </c>
      <c r="CVY616" s="17">
        <v>44925</v>
      </c>
      <c r="CVZ616" s="5" t="s">
        <v>3728</v>
      </c>
      <c r="CWA616" s="17">
        <v>44925</v>
      </c>
      <c r="CWB616" s="5" t="s">
        <v>3728</v>
      </c>
      <c r="CWC616" s="17">
        <v>44925</v>
      </c>
      <c r="CWD616" s="5" t="s">
        <v>3728</v>
      </c>
      <c r="CWE616" s="17">
        <v>44925</v>
      </c>
      <c r="CWF616" s="5" t="s">
        <v>3728</v>
      </c>
      <c r="CWG616" s="17">
        <v>44925</v>
      </c>
      <c r="CWH616" s="5" t="s">
        <v>3728</v>
      </c>
      <c r="CWI616" s="17">
        <v>44925</v>
      </c>
      <c r="CWJ616" s="5" t="s">
        <v>3728</v>
      </c>
      <c r="CWK616" s="17">
        <v>44925</v>
      </c>
      <c r="CWL616" s="5" t="s">
        <v>3728</v>
      </c>
      <c r="CWM616" s="17">
        <v>44925</v>
      </c>
      <c r="CWN616" s="5" t="s">
        <v>3728</v>
      </c>
      <c r="CWO616" s="17">
        <v>44925</v>
      </c>
      <c r="CWP616" s="5" t="s">
        <v>3728</v>
      </c>
      <c r="CWQ616" s="17">
        <v>44925</v>
      </c>
      <c r="CWR616" s="5" t="s">
        <v>3728</v>
      </c>
      <c r="CWS616" s="17">
        <v>44925</v>
      </c>
      <c r="CWT616" s="5" t="s">
        <v>3728</v>
      </c>
      <c r="CWU616" s="17">
        <v>44925</v>
      </c>
      <c r="CWV616" s="5" t="s">
        <v>3728</v>
      </c>
      <c r="CWW616" s="17">
        <v>44925</v>
      </c>
      <c r="CWX616" s="5" t="s">
        <v>3728</v>
      </c>
      <c r="CWY616" s="17">
        <v>44925</v>
      </c>
      <c r="CWZ616" s="5" t="s">
        <v>3728</v>
      </c>
      <c r="CXA616" s="17">
        <v>44925</v>
      </c>
      <c r="CXB616" s="5" t="s">
        <v>3728</v>
      </c>
      <c r="CXC616" s="17">
        <v>44925</v>
      </c>
      <c r="CXD616" s="5" t="s">
        <v>3728</v>
      </c>
      <c r="CXE616" s="17">
        <v>44925</v>
      </c>
      <c r="CXF616" s="5" t="s">
        <v>3728</v>
      </c>
      <c r="CXG616" s="17">
        <v>44925</v>
      </c>
      <c r="CXH616" s="5" t="s">
        <v>3728</v>
      </c>
      <c r="CXI616" s="17">
        <v>44925</v>
      </c>
      <c r="CXJ616" s="5" t="s">
        <v>3728</v>
      </c>
      <c r="CXK616" s="17">
        <v>44925</v>
      </c>
      <c r="CXL616" s="5" t="s">
        <v>3728</v>
      </c>
      <c r="CXM616" s="17">
        <v>44925</v>
      </c>
      <c r="CXN616" s="5" t="s">
        <v>3728</v>
      </c>
      <c r="CXO616" s="17">
        <v>44925</v>
      </c>
      <c r="CXP616" s="5" t="s">
        <v>3728</v>
      </c>
      <c r="CXQ616" s="17">
        <v>44925</v>
      </c>
      <c r="CXR616" s="5" t="s">
        <v>3728</v>
      </c>
      <c r="CXS616" s="17">
        <v>44925</v>
      </c>
      <c r="CXT616" s="5" t="s">
        <v>3728</v>
      </c>
      <c r="CXU616" s="17">
        <v>44925</v>
      </c>
      <c r="CXV616" s="5" t="s">
        <v>3728</v>
      </c>
      <c r="CXW616" s="17">
        <v>44925</v>
      </c>
      <c r="CXX616" s="5" t="s">
        <v>3728</v>
      </c>
      <c r="CXY616" s="17">
        <v>44925</v>
      </c>
      <c r="CXZ616" s="5" t="s">
        <v>3728</v>
      </c>
      <c r="CYA616" s="17">
        <v>44925</v>
      </c>
      <c r="CYB616" s="5" t="s">
        <v>3728</v>
      </c>
      <c r="CYC616" s="17">
        <v>44925</v>
      </c>
      <c r="CYD616" s="5" t="s">
        <v>3728</v>
      </c>
      <c r="CYE616" s="17">
        <v>44925</v>
      </c>
      <c r="CYF616" s="5" t="s">
        <v>3728</v>
      </c>
      <c r="CYG616" s="17">
        <v>44925</v>
      </c>
      <c r="CYH616" s="5" t="s">
        <v>3728</v>
      </c>
      <c r="CYI616" s="17">
        <v>44925</v>
      </c>
      <c r="CYJ616" s="5" t="s">
        <v>3728</v>
      </c>
      <c r="CYK616" s="17">
        <v>44925</v>
      </c>
      <c r="CYL616" s="5" t="s">
        <v>3728</v>
      </c>
      <c r="CYM616" s="17">
        <v>44925</v>
      </c>
      <c r="CYN616" s="5" t="s">
        <v>3728</v>
      </c>
      <c r="CYO616" s="17">
        <v>44925</v>
      </c>
      <c r="CYP616" s="5" t="s">
        <v>3728</v>
      </c>
      <c r="CYQ616" s="17">
        <v>44925</v>
      </c>
      <c r="CYR616" s="5" t="s">
        <v>3728</v>
      </c>
      <c r="CYS616" s="17">
        <v>44925</v>
      </c>
      <c r="CYT616" s="5" t="s">
        <v>3728</v>
      </c>
      <c r="CYU616" s="17">
        <v>44925</v>
      </c>
      <c r="CYV616" s="5" t="s">
        <v>3728</v>
      </c>
      <c r="CYW616" s="17">
        <v>44925</v>
      </c>
      <c r="CYX616" s="5" t="s">
        <v>3728</v>
      </c>
      <c r="CYY616" s="17">
        <v>44925</v>
      </c>
      <c r="CYZ616" s="5" t="s">
        <v>3728</v>
      </c>
      <c r="CZA616" s="17">
        <v>44925</v>
      </c>
      <c r="CZB616" s="5" t="s">
        <v>3728</v>
      </c>
      <c r="CZC616" s="17">
        <v>44925</v>
      </c>
      <c r="CZD616" s="5" t="s">
        <v>3728</v>
      </c>
      <c r="CZE616" s="17">
        <v>44925</v>
      </c>
      <c r="CZF616" s="5" t="s">
        <v>3728</v>
      </c>
      <c r="CZG616" s="17">
        <v>44925</v>
      </c>
      <c r="CZH616" s="5" t="s">
        <v>3728</v>
      </c>
      <c r="CZI616" s="17">
        <v>44925</v>
      </c>
      <c r="CZJ616" s="5" t="s">
        <v>3728</v>
      </c>
      <c r="CZK616" s="17">
        <v>44925</v>
      </c>
      <c r="CZL616" s="5" t="s">
        <v>3728</v>
      </c>
      <c r="CZM616" s="17">
        <v>44925</v>
      </c>
      <c r="CZN616" s="5" t="s">
        <v>3728</v>
      </c>
      <c r="CZO616" s="17">
        <v>44925</v>
      </c>
      <c r="CZP616" s="5" t="s">
        <v>3728</v>
      </c>
      <c r="CZQ616" s="17">
        <v>44925</v>
      </c>
      <c r="CZR616" s="5" t="s">
        <v>3728</v>
      </c>
      <c r="CZS616" s="17">
        <v>44925</v>
      </c>
      <c r="CZT616" s="5" t="s">
        <v>3728</v>
      </c>
      <c r="CZU616" s="17">
        <v>44925</v>
      </c>
      <c r="CZV616" s="5" t="s">
        <v>3728</v>
      </c>
      <c r="CZW616" s="17">
        <v>44925</v>
      </c>
      <c r="CZX616" s="5" t="s">
        <v>3728</v>
      </c>
      <c r="CZY616" s="17">
        <v>44925</v>
      </c>
      <c r="CZZ616" s="5" t="s">
        <v>3728</v>
      </c>
      <c r="DAA616" s="17">
        <v>44925</v>
      </c>
      <c r="DAB616" s="5" t="s">
        <v>3728</v>
      </c>
      <c r="DAC616" s="17">
        <v>44925</v>
      </c>
      <c r="DAD616" s="5" t="s">
        <v>3728</v>
      </c>
      <c r="DAE616" s="17">
        <v>44925</v>
      </c>
      <c r="DAF616" s="5" t="s">
        <v>3728</v>
      </c>
      <c r="DAG616" s="17">
        <v>44925</v>
      </c>
      <c r="DAH616" s="5" t="s">
        <v>3728</v>
      </c>
      <c r="DAI616" s="17">
        <v>44925</v>
      </c>
      <c r="DAJ616" s="5" t="s">
        <v>3728</v>
      </c>
      <c r="DAK616" s="17">
        <v>44925</v>
      </c>
      <c r="DAL616" s="5" t="s">
        <v>3728</v>
      </c>
      <c r="DAM616" s="17">
        <v>44925</v>
      </c>
      <c r="DAN616" s="5" t="s">
        <v>3728</v>
      </c>
      <c r="DAO616" s="17">
        <v>44925</v>
      </c>
      <c r="DAP616" s="5" t="s">
        <v>3728</v>
      </c>
      <c r="DAQ616" s="17">
        <v>44925</v>
      </c>
      <c r="DAR616" s="5" t="s">
        <v>3728</v>
      </c>
      <c r="DAS616" s="17">
        <v>44925</v>
      </c>
      <c r="DAT616" s="5" t="s">
        <v>3728</v>
      </c>
      <c r="DAU616" s="17">
        <v>44925</v>
      </c>
      <c r="DAV616" s="5" t="s">
        <v>3728</v>
      </c>
      <c r="DAW616" s="17">
        <v>44925</v>
      </c>
      <c r="DAX616" s="5" t="s">
        <v>3728</v>
      </c>
      <c r="DAY616" s="17">
        <v>44925</v>
      </c>
      <c r="DAZ616" s="5" t="s">
        <v>3728</v>
      </c>
      <c r="DBA616" s="17">
        <v>44925</v>
      </c>
      <c r="DBB616" s="5" t="s">
        <v>3728</v>
      </c>
      <c r="DBC616" s="17">
        <v>44925</v>
      </c>
      <c r="DBD616" s="5" t="s">
        <v>3728</v>
      </c>
      <c r="DBE616" s="17">
        <v>44925</v>
      </c>
      <c r="DBF616" s="5" t="s">
        <v>3728</v>
      </c>
      <c r="DBG616" s="17">
        <v>44925</v>
      </c>
      <c r="DBH616" s="5" t="s">
        <v>3728</v>
      </c>
      <c r="DBI616" s="17">
        <v>44925</v>
      </c>
      <c r="DBJ616" s="5" t="s">
        <v>3728</v>
      </c>
      <c r="DBK616" s="17">
        <v>44925</v>
      </c>
      <c r="DBL616" s="5" t="s">
        <v>3728</v>
      </c>
      <c r="DBM616" s="17">
        <v>44925</v>
      </c>
      <c r="DBN616" s="5" t="s">
        <v>3728</v>
      </c>
      <c r="DBO616" s="17">
        <v>44925</v>
      </c>
      <c r="DBP616" s="5" t="s">
        <v>3728</v>
      </c>
      <c r="DBQ616" s="17">
        <v>44925</v>
      </c>
      <c r="DBR616" s="5" t="s">
        <v>3728</v>
      </c>
      <c r="DBS616" s="17">
        <v>44925</v>
      </c>
      <c r="DBT616" s="5" t="s">
        <v>3728</v>
      </c>
      <c r="DBU616" s="17">
        <v>44925</v>
      </c>
      <c r="DBV616" s="5" t="s">
        <v>3728</v>
      </c>
      <c r="DBW616" s="17">
        <v>44925</v>
      </c>
      <c r="DBX616" s="5" t="s">
        <v>3728</v>
      </c>
      <c r="DBY616" s="17">
        <v>44925</v>
      </c>
      <c r="DBZ616" s="5" t="s">
        <v>3728</v>
      </c>
      <c r="DCA616" s="17">
        <v>44925</v>
      </c>
      <c r="DCB616" s="5" t="s">
        <v>3728</v>
      </c>
      <c r="DCC616" s="17">
        <v>44925</v>
      </c>
      <c r="DCD616" s="5" t="s">
        <v>3728</v>
      </c>
      <c r="DCE616" s="17">
        <v>44925</v>
      </c>
      <c r="DCF616" s="5" t="s">
        <v>3728</v>
      </c>
      <c r="DCG616" s="17">
        <v>44925</v>
      </c>
      <c r="DCH616" s="5" t="s">
        <v>3728</v>
      </c>
      <c r="DCI616" s="17">
        <v>44925</v>
      </c>
      <c r="DCJ616" s="5" t="s">
        <v>3728</v>
      </c>
      <c r="DCK616" s="17">
        <v>44925</v>
      </c>
      <c r="DCL616" s="5" t="s">
        <v>3728</v>
      </c>
      <c r="DCM616" s="17">
        <v>44925</v>
      </c>
      <c r="DCN616" s="5" t="s">
        <v>3728</v>
      </c>
      <c r="DCO616" s="17">
        <v>44925</v>
      </c>
      <c r="DCP616" s="5" t="s">
        <v>3728</v>
      </c>
      <c r="DCQ616" s="17">
        <v>44925</v>
      </c>
      <c r="DCR616" s="5" t="s">
        <v>3728</v>
      </c>
      <c r="DCS616" s="17">
        <v>44925</v>
      </c>
      <c r="DCT616" s="5" t="s">
        <v>3728</v>
      </c>
      <c r="DCU616" s="17">
        <v>44925</v>
      </c>
      <c r="DCV616" s="5" t="s">
        <v>3728</v>
      </c>
      <c r="DCW616" s="17">
        <v>44925</v>
      </c>
      <c r="DCX616" s="5" t="s">
        <v>3728</v>
      </c>
      <c r="DCY616" s="17">
        <v>44925</v>
      </c>
      <c r="DCZ616" s="5" t="s">
        <v>3728</v>
      </c>
      <c r="DDA616" s="17">
        <v>44925</v>
      </c>
      <c r="DDB616" s="5" t="s">
        <v>3728</v>
      </c>
      <c r="DDC616" s="17">
        <v>44925</v>
      </c>
      <c r="DDD616" s="5" t="s">
        <v>3728</v>
      </c>
      <c r="DDE616" s="17">
        <v>44925</v>
      </c>
      <c r="DDF616" s="5" t="s">
        <v>3728</v>
      </c>
      <c r="DDG616" s="17">
        <v>44925</v>
      </c>
      <c r="DDH616" s="5" t="s">
        <v>3728</v>
      </c>
      <c r="DDI616" s="17">
        <v>44925</v>
      </c>
      <c r="DDJ616" s="5" t="s">
        <v>3728</v>
      </c>
      <c r="DDK616" s="17">
        <v>44925</v>
      </c>
      <c r="DDL616" s="5" t="s">
        <v>3728</v>
      </c>
      <c r="DDM616" s="17">
        <v>44925</v>
      </c>
      <c r="DDN616" s="5" t="s">
        <v>3728</v>
      </c>
      <c r="DDO616" s="17">
        <v>44925</v>
      </c>
      <c r="DDP616" s="5" t="s">
        <v>3728</v>
      </c>
      <c r="DDQ616" s="17">
        <v>44925</v>
      </c>
      <c r="DDR616" s="5" t="s">
        <v>3728</v>
      </c>
      <c r="DDS616" s="17">
        <v>44925</v>
      </c>
      <c r="DDT616" s="5" t="s">
        <v>3728</v>
      </c>
      <c r="DDU616" s="17">
        <v>44925</v>
      </c>
      <c r="DDV616" s="5" t="s">
        <v>3728</v>
      </c>
      <c r="DDW616" s="17">
        <v>44925</v>
      </c>
      <c r="DDX616" s="5" t="s">
        <v>3728</v>
      </c>
      <c r="DDY616" s="17">
        <v>44925</v>
      </c>
      <c r="DDZ616" s="5" t="s">
        <v>3728</v>
      </c>
      <c r="DEA616" s="17">
        <v>44925</v>
      </c>
      <c r="DEB616" s="5" t="s">
        <v>3728</v>
      </c>
      <c r="DEC616" s="17">
        <v>44925</v>
      </c>
      <c r="DED616" s="5" t="s">
        <v>3728</v>
      </c>
      <c r="DEE616" s="17">
        <v>44925</v>
      </c>
      <c r="DEF616" s="5" t="s">
        <v>3728</v>
      </c>
      <c r="DEG616" s="17">
        <v>44925</v>
      </c>
      <c r="DEH616" s="5" t="s">
        <v>3728</v>
      </c>
      <c r="DEI616" s="17">
        <v>44925</v>
      </c>
      <c r="DEJ616" s="5" t="s">
        <v>3728</v>
      </c>
      <c r="DEK616" s="17">
        <v>44925</v>
      </c>
      <c r="DEL616" s="5" t="s">
        <v>3728</v>
      </c>
      <c r="DEM616" s="17">
        <v>44925</v>
      </c>
      <c r="DEN616" s="5" t="s">
        <v>3728</v>
      </c>
      <c r="DEO616" s="17">
        <v>44925</v>
      </c>
      <c r="DEP616" s="5" t="s">
        <v>3728</v>
      </c>
      <c r="DEQ616" s="17">
        <v>44925</v>
      </c>
      <c r="DER616" s="5" t="s">
        <v>3728</v>
      </c>
      <c r="DES616" s="17">
        <v>44925</v>
      </c>
      <c r="DET616" s="5" t="s">
        <v>3728</v>
      </c>
      <c r="DEU616" s="17">
        <v>44925</v>
      </c>
      <c r="DEV616" s="5" t="s">
        <v>3728</v>
      </c>
      <c r="DEW616" s="17">
        <v>44925</v>
      </c>
      <c r="DEX616" s="5" t="s">
        <v>3728</v>
      </c>
      <c r="DEY616" s="17">
        <v>44925</v>
      </c>
      <c r="DEZ616" s="5" t="s">
        <v>3728</v>
      </c>
      <c r="DFA616" s="17">
        <v>44925</v>
      </c>
      <c r="DFB616" s="5" t="s">
        <v>3728</v>
      </c>
      <c r="DFC616" s="17">
        <v>44925</v>
      </c>
      <c r="DFD616" s="5" t="s">
        <v>3728</v>
      </c>
      <c r="DFE616" s="17">
        <v>44925</v>
      </c>
      <c r="DFF616" s="5" t="s">
        <v>3728</v>
      </c>
      <c r="DFG616" s="17">
        <v>44925</v>
      </c>
      <c r="DFH616" s="5" t="s">
        <v>3728</v>
      </c>
      <c r="DFI616" s="17">
        <v>44925</v>
      </c>
      <c r="DFJ616" s="5" t="s">
        <v>3728</v>
      </c>
      <c r="DFK616" s="17">
        <v>44925</v>
      </c>
      <c r="DFL616" s="5" t="s">
        <v>3728</v>
      </c>
      <c r="DFM616" s="17">
        <v>44925</v>
      </c>
      <c r="DFN616" s="5" t="s">
        <v>3728</v>
      </c>
      <c r="DFO616" s="17">
        <v>44925</v>
      </c>
      <c r="DFP616" s="5" t="s">
        <v>3728</v>
      </c>
      <c r="DFQ616" s="17">
        <v>44925</v>
      </c>
      <c r="DFR616" s="5" t="s">
        <v>3728</v>
      </c>
      <c r="DFS616" s="17">
        <v>44925</v>
      </c>
      <c r="DFT616" s="5" t="s">
        <v>3728</v>
      </c>
      <c r="DFU616" s="17">
        <v>44925</v>
      </c>
      <c r="DFV616" s="5" t="s">
        <v>3728</v>
      </c>
      <c r="DFW616" s="17">
        <v>44925</v>
      </c>
      <c r="DFX616" s="5" t="s">
        <v>3728</v>
      </c>
      <c r="DFY616" s="17">
        <v>44925</v>
      </c>
      <c r="DFZ616" s="5" t="s">
        <v>3728</v>
      </c>
      <c r="DGA616" s="17">
        <v>44925</v>
      </c>
      <c r="DGB616" s="5" t="s">
        <v>3728</v>
      </c>
      <c r="DGC616" s="17">
        <v>44925</v>
      </c>
      <c r="DGD616" s="5" t="s">
        <v>3728</v>
      </c>
      <c r="DGE616" s="17">
        <v>44925</v>
      </c>
      <c r="DGF616" s="5" t="s">
        <v>3728</v>
      </c>
      <c r="DGG616" s="17">
        <v>44925</v>
      </c>
      <c r="DGH616" s="5" t="s">
        <v>3728</v>
      </c>
      <c r="DGI616" s="17">
        <v>44925</v>
      </c>
      <c r="DGJ616" s="5" t="s">
        <v>3728</v>
      </c>
      <c r="DGK616" s="17">
        <v>44925</v>
      </c>
      <c r="DGL616" s="5" t="s">
        <v>3728</v>
      </c>
      <c r="DGM616" s="17">
        <v>44925</v>
      </c>
      <c r="DGN616" s="5" t="s">
        <v>3728</v>
      </c>
      <c r="DGO616" s="17">
        <v>44925</v>
      </c>
      <c r="DGP616" s="5" t="s">
        <v>3728</v>
      </c>
      <c r="DGQ616" s="17">
        <v>44925</v>
      </c>
      <c r="DGR616" s="5" t="s">
        <v>3728</v>
      </c>
      <c r="DGS616" s="17">
        <v>44925</v>
      </c>
      <c r="DGT616" s="5" t="s">
        <v>3728</v>
      </c>
      <c r="DGU616" s="17">
        <v>44925</v>
      </c>
      <c r="DGV616" s="5" t="s">
        <v>3728</v>
      </c>
      <c r="DGW616" s="17">
        <v>44925</v>
      </c>
      <c r="DGX616" s="5" t="s">
        <v>3728</v>
      </c>
      <c r="DGY616" s="17">
        <v>44925</v>
      </c>
      <c r="DGZ616" s="5" t="s">
        <v>3728</v>
      </c>
      <c r="DHA616" s="17">
        <v>44925</v>
      </c>
      <c r="DHB616" s="5" t="s">
        <v>3728</v>
      </c>
      <c r="DHC616" s="17">
        <v>44925</v>
      </c>
      <c r="DHD616" s="5" t="s">
        <v>3728</v>
      </c>
      <c r="DHE616" s="17">
        <v>44925</v>
      </c>
      <c r="DHF616" s="5" t="s">
        <v>3728</v>
      </c>
      <c r="DHG616" s="17">
        <v>44925</v>
      </c>
      <c r="DHH616" s="5" t="s">
        <v>3728</v>
      </c>
      <c r="DHI616" s="17">
        <v>44925</v>
      </c>
      <c r="DHJ616" s="5" t="s">
        <v>3728</v>
      </c>
      <c r="DHK616" s="17">
        <v>44925</v>
      </c>
      <c r="DHL616" s="5" t="s">
        <v>3728</v>
      </c>
      <c r="DHM616" s="17">
        <v>44925</v>
      </c>
      <c r="DHN616" s="5" t="s">
        <v>3728</v>
      </c>
      <c r="DHO616" s="17">
        <v>44925</v>
      </c>
      <c r="DHP616" s="5" t="s">
        <v>3728</v>
      </c>
      <c r="DHQ616" s="17">
        <v>44925</v>
      </c>
      <c r="DHR616" s="5" t="s">
        <v>3728</v>
      </c>
      <c r="DHS616" s="17">
        <v>44925</v>
      </c>
      <c r="DHT616" s="5" t="s">
        <v>3728</v>
      </c>
      <c r="DHU616" s="17">
        <v>44925</v>
      </c>
      <c r="DHV616" s="5" t="s">
        <v>3728</v>
      </c>
      <c r="DHW616" s="17">
        <v>44925</v>
      </c>
      <c r="DHX616" s="5" t="s">
        <v>3728</v>
      </c>
      <c r="DHY616" s="17">
        <v>44925</v>
      </c>
      <c r="DHZ616" s="5" t="s">
        <v>3728</v>
      </c>
      <c r="DIA616" s="17">
        <v>44925</v>
      </c>
      <c r="DIB616" s="5" t="s">
        <v>3728</v>
      </c>
      <c r="DIC616" s="17">
        <v>44925</v>
      </c>
      <c r="DID616" s="5" t="s">
        <v>3728</v>
      </c>
      <c r="DIE616" s="17">
        <v>44925</v>
      </c>
      <c r="DIF616" s="5" t="s">
        <v>3728</v>
      </c>
      <c r="DIG616" s="17">
        <v>44925</v>
      </c>
      <c r="DIH616" s="5" t="s">
        <v>3728</v>
      </c>
      <c r="DII616" s="17">
        <v>44925</v>
      </c>
      <c r="DIJ616" s="5" t="s">
        <v>3728</v>
      </c>
      <c r="DIK616" s="17">
        <v>44925</v>
      </c>
      <c r="DIL616" s="5" t="s">
        <v>3728</v>
      </c>
      <c r="DIM616" s="17">
        <v>44925</v>
      </c>
      <c r="DIN616" s="5" t="s">
        <v>3728</v>
      </c>
      <c r="DIO616" s="17">
        <v>44925</v>
      </c>
      <c r="DIP616" s="5" t="s">
        <v>3728</v>
      </c>
      <c r="DIQ616" s="17">
        <v>44925</v>
      </c>
      <c r="DIR616" s="5" t="s">
        <v>3728</v>
      </c>
      <c r="DIS616" s="17">
        <v>44925</v>
      </c>
      <c r="DIT616" s="5" t="s">
        <v>3728</v>
      </c>
      <c r="DIU616" s="17">
        <v>44925</v>
      </c>
      <c r="DIV616" s="5" t="s">
        <v>3728</v>
      </c>
      <c r="DIW616" s="17">
        <v>44925</v>
      </c>
      <c r="DIX616" s="5" t="s">
        <v>3728</v>
      </c>
      <c r="DIY616" s="17">
        <v>44925</v>
      </c>
      <c r="DIZ616" s="5" t="s">
        <v>3728</v>
      </c>
      <c r="DJA616" s="17">
        <v>44925</v>
      </c>
      <c r="DJB616" s="5" t="s">
        <v>3728</v>
      </c>
      <c r="DJC616" s="17">
        <v>44925</v>
      </c>
      <c r="DJD616" s="5" t="s">
        <v>3728</v>
      </c>
      <c r="DJE616" s="17">
        <v>44925</v>
      </c>
      <c r="DJF616" s="5" t="s">
        <v>3728</v>
      </c>
      <c r="DJG616" s="17">
        <v>44925</v>
      </c>
      <c r="DJH616" s="5" t="s">
        <v>3728</v>
      </c>
      <c r="DJI616" s="17">
        <v>44925</v>
      </c>
      <c r="DJJ616" s="5" t="s">
        <v>3728</v>
      </c>
      <c r="DJK616" s="17">
        <v>44925</v>
      </c>
      <c r="DJL616" s="5" t="s">
        <v>3728</v>
      </c>
      <c r="DJM616" s="17">
        <v>44925</v>
      </c>
      <c r="DJN616" s="5" t="s">
        <v>3728</v>
      </c>
      <c r="DJO616" s="17">
        <v>44925</v>
      </c>
      <c r="DJP616" s="5" t="s">
        <v>3728</v>
      </c>
      <c r="DJQ616" s="17">
        <v>44925</v>
      </c>
      <c r="DJR616" s="5" t="s">
        <v>3728</v>
      </c>
      <c r="DJS616" s="17">
        <v>44925</v>
      </c>
      <c r="DJT616" s="5" t="s">
        <v>3728</v>
      </c>
      <c r="DJU616" s="17">
        <v>44925</v>
      </c>
      <c r="DJV616" s="5" t="s">
        <v>3728</v>
      </c>
      <c r="DJW616" s="17">
        <v>44925</v>
      </c>
      <c r="DJX616" s="5" t="s">
        <v>3728</v>
      </c>
      <c r="DJY616" s="17">
        <v>44925</v>
      </c>
      <c r="DJZ616" s="5" t="s">
        <v>3728</v>
      </c>
      <c r="DKA616" s="17">
        <v>44925</v>
      </c>
      <c r="DKB616" s="5" t="s">
        <v>3728</v>
      </c>
      <c r="DKC616" s="17">
        <v>44925</v>
      </c>
      <c r="DKD616" s="5" t="s">
        <v>3728</v>
      </c>
      <c r="DKE616" s="17">
        <v>44925</v>
      </c>
      <c r="DKF616" s="5" t="s">
        <v>3728</v>
      </c>
      <c r="DKG616" s="17">
        <v>44925</v>
      </c>
      <c r="DKH616" s="5" t="s">
        <v>3728</v>
      </c>
      <c r="DKI616" s="17">
        <v>44925</v>
      </c>
      <c r="DKJ616" s="5" t="s">
        <v>3728</v>
      </c>
      <c r="DKK616" s="17">
        <v>44925</v>
      </c>
      <c r="DKL616" s="5" t="s">
        <v>3728</v>
      </c>
      <c r="DKM616" s="17">
        <v>44925</v>
      </c>
      <c r="DKN616" s="5" t="s">
        <v>3728</v>
      </c>
      <c r="DKO616" s="17">
        <v>44925</v>
      </c>
      <c r="DKP616" s="5" t="s">
        <v>3728</v>
      </c>
      <c r="DKQ616" s="17">
        <v>44925</v>
      </c>
      <c r="DKR616" s="5" t="s">
        <v>3728</v>
      </c>
      <c r="DKS616" s="17">
        <v>44925</v>
      </c>
      <c r="DKT616" s="5" t="s">
        <v>3728</v>
      </c>
      <c r="DKU616" s="17">
        <v>44925</v>
      </c>
      <c r="DKV616" s="5" t="s">
        <v>3728</v>
      </c>
      <c r="DKW616" s="17">
        <v>44925</v>
      </c>
      <c r="DKX616" s="5" t="s">
        <v>3728</v>
      </c>
      <c r="DKY616" s="17">
        <v>44925</v>
      </c>
      <c r="DKZ616" s="5" t="s">
        <v>3728</v>
      </c>
      <c r="DLA616" s="17">
        <v>44925</v>
      </c>
      <c r="DLB616" s="5" t="s">
        <v>3728</v>
      </c>
      <c r="DLC616" s="17">
        <v>44925</v>
      </c>
      <c r="DLD616" s="5" t="s">
        <v>3728</v>
      </c>
      <c r="DLE616" s="17">
        <v>44925</v>
      </c>
      <c r="DLF616" s="5" t="s">
        <v>3728</v>
      </c>
      <c r="DLG616" s="17">
        <v>44925</v>
      </c>
      <c r="DLH616" s="5" t="s">
        <v>3728</v>
      </c>
      <c r="DLI616" s="17">
        <v>44925</v>
      </c>
      <c r="DLJ616" s="5" t="s">
        <v>3728</v>
      </c>
      <c r="DLK616" s="17">
        <v>44925</v>
      </c>
      <c r="DLL616" s="5" t="s">
        <v>3728</v>
      </c>
      <c r="DLM616" s="17">
        <v>44925</v>
      </c>
      <c r="DLN616" s="5" t="s">
        <v>3728</v>
      </c>
      <c r="DLO616" s="17">
        <v>44925</v>
      </c>
      <c r="DLP616" s="5" t="s">
        <v>3728</v>
      </c>
      <c r="DLQ616" s="17">
        <v>44925</v>
      </c>
      <c r="DLR616" s="5" t="s">
        <v>3728</v>
      </c>
      <c r="DLS616" s="17">
        <v>44925</v>
      </c>
      <c r="DLT616" s="5" t="s">
        <v>3728</v>
      </c>
      <c r="DLU616" s="17">
        <v>44925</v>
      </c>
      <c r="DLV616" s="5" t="s">
        <v>3728</v>
      </c>
      <c r="DLW616" s="17">
        <v>44925</v>
      </c>
      <c r="DLX616" s="5" t="s">
        <v>3728</v>
      </c>
      <c r="DLY616" s="17">
        <v>44925</v>
      </c>
      <c r="DLZ616" s="5" t="s">
        <v>3728</v>
      </c>
      <c r="DMA616" s="17">
        <v>44925</v>
      </c>
      <c r="DMB616" s="5" t="s">
        <v>3728</v>
      </c>
      <c r="DMC616" s="17">
        <v>44925</v>
      </c>
      <c r="DMD616" s="5" t="s">
        <v>3728</v>
      </c>
      <c r="DME616" s="17">
        <v>44925</v>
      </c>
      <c r="DMF616" s="5" t="s">
        <v>3728</v>
      </c>
      <c r="DMG616" s="17">
        <v>44925</v>
      </c>
      <c r="DMH616" s="5" t="s">
        <v>3728</v>
      </c>
      <c r="DMI616" s="17">
        <v>44925</v>
      </c>
      <c r="DMJ616" s="5" t="s">
        <v>3728</v>
      </c>
      <c r="DMK616" s="17">
        <v>44925</v>
      </c>
      <c r="DML616" s="5" t="s">
        <v>3728</v>
      </c>
      <c r="DMM616" s="17">
        <v>44925</v>
      </c>
      <c r="DMN616" s="5" t="s">
        <v>3728</v>
      </c>
      <c r="DMO616" s="17">
        <v>44925</v>
      </c>
      <c r="DMP616" s="5" t="s">
        <v>3728</v>
      </c>
      <c r="DMQ616" s="17">
        <v>44925</v>
      </c>
      <c r="DMR616" s="5" t="s">
        <v>3728</v>
      </c>
      <c r="DMS616" s="17">
        <v>44925</v>
      </c>
      <c r="DMT616" s="5" t="s">
        <v>3728</v>
      </c>
      <c r="DMU616" s="17">
        <v>44925</v>
      </c>
      <c r="DMV616" s="5" t="s">
        <v>3728</v>
      </c>
      <c r="DMW616" s="17">
        <v>44925</v>
      </c>
      <c r="DMX616" s="5" t="s">
        <v>3728</v>
      </c>
      <c r="DMY616" s="17">
        <v>44925</v>
      </c>
      <c r="DMZ616" s="5" t="s">
        <v>3728</v>
      </c>
      <c r="DNA616" s="17">
        <v>44925</v>
      </c>
      <c r="DNB616" s="5" t="s">
        <v>3728</v>
      </c>
      <c r="DNC616" s="17">
        <v>44925</v>
      </c>
      <c r="DND616" s="5" t="s">
        <v>3728</v>
      </c>
      <c r="DNE616" s="17">
        <v>44925</v>
      </c>
      <c r="DNF616" s="5" t="s">
        <v>3728</v>
      </c>
      <c r="DNG616" s="17">
        <v>44925</v>
      </c>
      <c r="DNH616" s="5" t="s">
        <v>3728</v>
      </c>
      <c r="DNI616" s="17">
        <v>44925</v>
      </c>
      <c r="DNJ616" s="5" t="s">
        <v>3728</v>
      </c>
      <c r="DNK616" s="17">
        <v>44925</v>
      </c>
      <c r="DNL616" s="5" t="s">
        <v>3728</v>
      </c>
      <c r="DNM616" s="17">
        <v>44925</v>
      </c>
      <c r="DNN616" s="5" t="s">
        <v>3728</v>
      </c>
      <c r="DNO616" s="17">
        <v>44925</v>
      </c>
      <c r="DNP616" s="5" t="s">
        <v>3728</v>
      </c>
      <c r="DNQ616" s="17">
        <v>44925</v>
      </c>
      <c r="DNR616" s="5" t="s">
        <v>3728</v>
      </c>
      <c r="DNS616" s="17">
        <v>44925</v>
      </c>
      <c r="DNT616" s="5" t="s">
        <v>3728</v>
      </c>
      <c r="DNU616" s="17">
        <v>44925</v>
      </c>
      <c r="DNV616" s="5" t="s">
        <v>3728</v>
      </c>
      <c r="DNW616" s="17">
        <v>44925</v>
      </c>
      <c r="DNX616" s="5" t="s">
        <v>3728</v>
      </c>
      <c r="DNY616" s="17">
        <v>44925</v>
      </c>
      <c r="DNZ616" s="5" t="s">
        <v>3728</v>
      </c>
      <c r="DOA616" s="17">
        <v>44925</v>
      </c>
      <c r="DOB616" s="5" t="s">
        <v>3728</v>
      </c>
      <c r="DOC616" s="17">
        <v>44925</v>
      </c>
      <c r="DOD616" s="5" t="s">
        <v>3728</v>
      </c>
      <c r="DOE616" s="17">
        <v>44925</v>
      </c>
      <c r="DOF616" s="5" t="s">
        <v>3728</v>
      </c>
      <c r="DOG616" s="17">
        <v>44925</v>
      </c>
      <c r="DOH616" s="5" t="s">
        <v>3728</v>
      </c>
      <c r="DOI616" s="17">
        <v>44925</v>
      </c>
      <c r="DOJ616" s="5" t="s">
        <v>3728</v>
      </c>
      <c r="DOK616" s="17">
        <v>44925</v>
      </c>
      <c r="DOL616" s="5" t="s">
        <v>3728</v>
      </c>
      <c r="DOM616" s="17">
        <v>44925</v>
      </c>
      <c r="DON616" s="5" t="s">
        <v>3728</v>
      </c>
      <c r="DOO616" s="17">
        <v>44925</v>
      </c>
      <c r="DOP616" s="5" t="s">
        <v>3728</v>
      </c>
      <c r="DOQ616" s="17">
        <v>44925</v>
      </c>
      <c r="DOR616" s="5" t="s">
        <v>3728</v>
      </c>
      <c r="DOS616" s="17">
        <v>44925</v>
      </c>
      <c r="DOT616" s="5" t="s">
        <v>3728</v>
      </c>
      <c r="DOU616" s="17">
        <v>44925</v>
      </c>
      <c r="DOV616" s="5" t="s">
        <v>3728</v>
      </c>
      <c r="DOW616" s="17">
        <v>44925</v>
      </c>
      <c r="DOX616" s="5" t="s">
        <v>3728</v>
      </c>
      <c r="DOY616" s="17">
        <v>44925</v>
      </c>
      <c r="DOZ616" s="5" t="s">
        <v>3728</v>
      </c>
      <c r="DPA616" s="17">
        <v>44925</v>
      </c>
      <c r="DPB616" s="5" t="s">
        <v>3728</v>
      </c>
      <c r="DPC616" s="17">
        <v>44925</v>
      </c>
      <c r="DPD616" s="5" t="s">
        <v>3728</v>
      </c>
      <c r="DPE616" s="17">
        <v>44925</v>
      </c>
      <c r="DPF616" s="5" t="s">
        <v>3728</v>
      </c>
      <c r="DPG616" s="17">
        <v>44925</v>
      </c>
      <c r="DPH616" s="5" t="s">
        <v>3728</v>
      </c>
      <c r="DPI616" s="17">
        <v>44925</v>
      </c>
      <c r="DPJ616" s="5" t="s">
        <v>3728</v>
      </c>
      <c r="DPK616" s="17">
        <v>44925</v>
      </c>
      <c r="DPL616" s="5" t="s">
        <v>3728</v>
      </c>
      <c r="DPM616" s="17">
        <v>44925</v>
      </c>
      <c r="DPN616" s="5" t="s">
        <v>3728</v>
      </c>
      <c r="DPO616" s="17">
        <v>44925</v>
      </c>
      <c r="DPP616" s="5" t="s">
        <v>3728</v>
      </c>
      <c r="DPQ616" s="17">
        <v>44925</v>
      </c>
      <c r="DPR616" s="5" t="s">
        <v>3728</v>
      </c>
      <c r="DPS616" s="17">
        <v>44925</v>
      </c>
      <c r="DPT616" s="5" t="s">
        <v>3728</v>
      </c>
      <c r="DPU616" s="17">
        <v>44925</v>
      </c>
      <c r="DPV616" s="5" t="s">
        <v>3728</v>
      </c>
      <c r="DPW616" s="17">
        <v>44925</v>
      </c>
      <c r="DPX616" s="5" t="s">
        <v>3728</v>
      </c>
      <c r="DPY616" s="17">
        <v>44925</v>
      </c>
      <c r="DPZ616" s="5" t="s">
        <v>3728</v>
      </c>
      <c r="DQA616" s="17">
        <v>44925</v>
      </c>
      <c r="DQB616" s="5" t="s">
        <v>3728</v>
      </c>
      <c r="DQC616" s="17">
        <v>44925</v>
      </c>
      <c r="DQD616" s="5" t="s">
        <v>3728</v>
      </c>
      <c r="DQE616" s="17">
        <v>44925</v>
      </c>
      <c r="DQF616" s="5" t="s">
        <v>3728</v>
      </c>
      <c r="DQG616" s="17">
        <v>44925</v>
      </c>
      <c r="DQH616" s="5" t="s">
        <v>3728</v>
      </c>
      <c r="DQI616" s="17">
        <v>44925</v>
      </c>
      <c r="DQJ616" s="5" t="s">
        <v>3728</v>
      </c>
      <c r="DQK616" s="17">
        <v>44925</v>
      </c>
      <c r="DQL616" s="5" t="s">
        <v>3728</v>
      </c>
      <c r="DQM616" s="17">
        <v>44925</v>
      </c>
      <c r="DQN616" s="5" t="s">
        <v>3728</v>
      </c>
      <c r="DQO616" s="17">
        <v>44925</v>
      </c>
      <c r="DQP616" s="5" t="s">
        <v>3728</v>
      </c>
      <c r="DQQ616" s="17">
        <v>44925</v>
      </c>
      <c r="DQR616" s="5" t="s">
        <v>3728</v>
      </c>
      <c r="DQS616" s="17">
        <v>44925</v>
      </c>
      <c r="DQT616" s="5" t="s">
        <v>3728</v>
      </c>
      <c r="DQU616" s="17">
        <v>44925</v>
      </c>
      <c r="DQV616" s="5" t="s">
        <v>3728</v>
      </c>
      <c r="DQW616" s="17">
        <v>44925</v>
      </c>
      <c r="DQX616" s="5" t="s">
        <v>3728</v>
      </c>
      <c r="DQY616" s="17">
        <v>44925</v>
      </c>
      <c r="DQZ616" s="5" t="s">
        <v>3728</v>
      </c>
      <c r="DRA616" s="17">
        <v>44925</v>
      </c>
      <c r="DRB616" s="5" t="s">
        <v>3728</v>
      </c>
      <c r="DRC616" s="17">
        <v>44925</v>
      </c>
      <c r="DRD616" s="5" t="s">
        <v>3728</v>
      </c>
      <c r="DRE616" s="17">
        <v>44925</v>
      </c>
      <c r="DRF616" s="5" t="s">
        <v>3728</v>
      </c>
      <c r="DRG616" s="17">
        <v>44925</v>
      </c>
      <c r="DRH616" s="5" t="s">
        <v>3728</v>
      </c>
      <c r="DRI616" s="17">
        <v>44925</v>
      </c>
      <c r="DRJ616" s="5" t="s">
        <v>3728</v>
      </c>
      <c r="DRK616" s="17">
        <v>44925</v>
      </c>
      <c r="DRL616" s="5" t="s">
        <v>3728</v>
      </c>
      <c r="DRM616" s="17">
        <v>44925</v>
      </c>
      <c r="DRN616" s="5" t="s">
        <v>3728</v>
      </c>
      <c r="DRO616" s="17">
        <v>44925</v>
      </c>
      <c r="DRP616" s="5" t="s">
        <v>3728</v>
      </c>
      <c r="DRQ616" s="17">
        <v>44925</v>
      </c>
      <c r="DRR616" s="5" t="s">
        <v>3728</v>
      </c>
      <c r="DRS616" s="17">
        <v>44925</v>
      </c>
      <c r="DRT616" s="5" t="s">
        <v>3728</v>
      </c>
      <c r="DRU616" s="17">
        <v>44925</v>
      </c>
      <c r="DRV616" s="5" t="s">
        <v>3728</v>
      </c>
      <c r="DRW616" s="17">
        <v>44925</v>
      </c>
      <c r="DRX616" s="5" t="s">
        <v>3728</v>
      </c>
      <c r="DRY616" s="17">
        <v>44925</v>
      </c>
      <c r="DRZ616" s="5" t="s">
        <v>3728</v>
      </c>
      <c r="DSA616" s="17">
        <v>44925</v>
      </c>
      <c r="DSB616" s="5" t="s">
        <v>3728</v>
      </c>
      <c r="DSC616" s="17">
        <v>44925</v>
      </c>
      <c r="DSD616" s="5" t="s">
        <v>3728</v>
      </c>
      <c r="DSE616" s="17">
        <v>44925</v>
      </c>
      <c r="DSF616" s="5" t="s">
        <v>3728</v>
      </c>
      <c r="DSG616" s="17">
        <v>44925</v>
      </c>
      <c r="DSH616" s="5" t="s">
        <v>3728</v>
      </c>
      <c r="DSI616" s="17">
        <v>44925</v>
      </c>
      <c r="DSJ616" s="5" t="s">
        <v>3728</v>
      </c>
      <c r="DSK616" s="17">
        <v>44925</v>
      </c>
      <c r="DSL616" s="5" t="s">
        <v>3728</v>
      </c>
      <c r="DSM616" s="17">
        <v>44925</v>
      </c>
      <c r="DSN616" s="5" t="s">
        <v>3728</v>
      </c>
      <c r="DSO616" s="17">
        <v>44925</v>
      </c>
      <c r="DSP616" s="5" t="s">
        <v>3728</v>
      </c>
      <c r="DSQ616" s="17">
        <v>44925</v>
      </c>
      <c r="DSR616" s="5" t="s">
        <v>3728</v>
      </c>
      <c r="DSS616" s="17">
        <v>44925</v>
      </c>
      <c r="DST616" s="5" t="s">
        <v>3728</v>
      </c>
      <c r="DSU616" s="17">
        <v>44925</v>
      </c>
      <c r="DSV616" s="5" t="s">
        <v>3728</v>
      </c>
      <c r="DSW616" s="17">
        <v>44925</v>
      </c>
      <c r="DSX616" s="5" t="s">
        <v>3728</v>
      </c>
      <c r="DSY616" s="17">
        <v>44925</v>
      </c>
      <c r="DSZ616" s="5" t="s">
        <v>3728</v>
      </c>
      <c r="DTA616" s="17">
        <v>44925</v>
      </c>
      <c r="DTB616" s="5" t="s">
        <v>3728</v>
      </c>
      <c r="DTC616" s="17">
        <v>44925</v>
      </c>
      <c r="DTD616" s="5" t="s">
        <v>3728</v>
      </c>
      <c r="DTE616" s="17">
        <v>44925</v>
      </c>
      <c r="DTF616" s="5" t="s">
        <v>3728</v>
      </c>
      <c r="DTG616" s="17">
        <v>44925</v>
      </c>
      <c r="DTH616" s="5" t="s">
        <v>3728</v>
      </c>
      <c r="DTI616" s="17">
        <v>44925</v>
      </c>
      <c r="DTJ616" s="5" t="s">
        <v>3728</v>
      </c>
      <c r="DTK616" s="17">
        <v>44925</v>
      </c>
      <c r="DTL616" s="5" t="s">
        <v>3728</v>
      </c>
      <c r="DTM616" s="17">
        <v>44925</v>
      </c>
      <c r="DTN616" s="5" t="s">
        <v>3728</v>
      </c>
      <c r="DTO616" s="17">
        <v>44925</v>
      </c>
      <c r="DTP616" s="5" t="s">
        <v>3728</v>
      </c>
      <c r="DTQ616" s="17">
        <v>44925</v>
      </c>
      <c r="DTR616" s="5" t="s">
        <v>3728</v>
      </c>
      <c r="DTS616" s="17">
        <v>44925</v>
      </c>
      <c r="DTT616" s="5" t="s">
        <v>3728</v>
      </c>
      <c r="DTU616" s="17">
        <v>44925</v>
      </c>
      <c r="DTV616" s="5" t="s">
        <v>3728</v>
      </c>
      <c r="DTW616" s="17">
        <v>44925</v>
      </c>
      <c r="DTX616" s="5" t="s">
        <v>3728</v>
      </c>
      <c r="DTY616" s="17">
        <v>44925</v>
      </c>
      <c r="DTZ616" s="5" t="s">
        <v>3728</v>
      </c>
      <c r="DUA616" s="17">
        <v>44925</v>
      </c>
      <c r="DUB616" s="5" t="s">
        <v>3728</v>
      </c>
      <c r="DUC616" s="17">
        <v>44925</v>
      </c>
      <c r="DUD616" s="5" t="s">
        <v>3728</v>
      </c>
      <c r="DUE616" s="17">
        <v>44925</v>
      </c>
      <c r="DUF616" s="5" t="s">
        <v>3728</v>
      </c>
      <c r="DUG616" s="17">
        <v>44925</v>
      </c>
      <c r="DUH616" s="5" t="s">
        <v>3728</v>
      </c>
      <c r="DUI616" s="17">
        <v>44925</v>
      </c>
      <c r="DUJ616" s="5" t="s">
        <v>3728</v>
      </c>
      <c r="DUK616" s="17">
        <v>44925</v>
      </c>
      <c r="DUL616" s="5" t="s">
        <v>3728</v>
      </c>
      <c r="DUM616" s="17">
        <v>44925</v>
      </c>
      <c r="DUN616" s="5" t="s">
        <v>3728</v>
      </c>
      <c r="DUO616" s="17">
        <v>44925</v>
      </c>
      <c r="DUP616" s="5" t="s">
        <v>3728</v>
      </c>
      <c r="DUQ616" s="17">
        <v>44925</v>
      </c>
      <c r="DUR616" s="5" t="s">
        <v>3728</v>
      </c>
      <c r="DUS616" s="17">
        <v>44925</v>
      </c>
      <c r="DUT616" s="5" t="s">
        <v>3728</v>
      </c>
      <c r="DUU616" s="17">
        <v>44925</v>
      </c>
      <c r="DUV616" s="5" t="s">
        <v>3728</v>
      </c>
      <c r="DUW616" s="17">
        <v>44925</v>
      </c>
      <c r="DUX616" s="5" t="s">
        <v>3728</v>
      </c>
      <c r="DUY616" s="17">
        <v>44925</v>
      </c>
      <c r="DUZ616" s="5" t="s">
        <v>3728</v>
      </c>
      <c r="DVA616" s="17">
        <v>44925</v>
      </c>
      <c r="DVB616" s="5" t="s">
        <v>3728</v>
      </c>
      <c r="DVC616" s="17">
        <v>44925</v>
      </c>
      <c r="DVD616" s="5" t="s">
        <v>3728</v>
      </c>
      <c r="DVE616" s="17">
        <v>44925</v>
      </c>
      <c r="DVF616" s="5" t="s">
        <v>3728</v>
      </c>
      <c r="DVG616" s="17">
        <v>44925</v>
      </c>
      <c r="DVH616" s="5" t="s">
        <v>3728</v>
      </c>
      <c r="DVI616" s="17">
        <v>44925</v>
      </c>
      <c r="DVJ616" s="5" t="s">
        <v>3728</v>
      </c>
      <c r="DVK616" s="17">
        <v>44925</v>
      </c>
      <c r="DVL616" s="5" t="s">
        <v>3728</v>
      </c>
      <c r="DVM616" s="17">
        <v>44925</v>
      </c>
      <c r="DVN616" s="5" t="s">
        <v>3728</v>
      </c>
      <c r="DVO616" s="17">
        <v>44925</v>
      </c>
      <c r="DVP616" s="5" t="s">
        <v>3728</v>
      </c>
      <c r="DVQ616" s="17">
        <v>44925</v>
      </c>
      <c r="DVR616" s="5" t="s">
        <v>3728</v>
      </c>
      <c r="DVS616" s="17">
        <v>44925</v>
      </c>
      <c r="DVT616" s="5" t="s">
        <v>3728</v>
      </c>
      <c r="DVU616" s="17">
        <v>44925</v>
      </c>
      <c r="DVV616" s="5" t="s">
        <v>3728</v>
      </c>
      <c r="DVW616" s="17">
        <v>44925</v>
      </c>
      <c r="DVX616" s="5" t="s">
        <v>3728</v>
      </c>
      <c r="DVY616" s="17">
        <v>44925</v>
      </c>
      <c r="DVZ616" s="5" t="s">
        <v>3728</v>
      </c>
      <c r="DWA616" s="17">
        <v>44925</v>
      </c>
      <c r="DWB616" s="5" t="s">
        <v>3728</v>
      </c>
      <c r="DWC616" s="17">
        <v>44925</v>
      </c>
      <c r="DWD616" s="5" t="s">
        <v>3728</v>
      </c>
      <c r="DWE616" s="17">
        <v>44925</v>
      </c>
      <c r="DWF616" s="5" t="s">
        <v>3728</v>
      </c>
      <c r="DWG616" s="17">
        <v>44925</v>
      </c>
      <c r="DWH616" s="5" t="s">
        <v>3728</v>
      </c>
      <c r="DWI616" s="17">
        <v>44925</v>
      </c>
      <c r="DWJ616" s="5" t="s">
        <v>3728</v>
      </c>
      <c r="DWK616" s="17">
        <v>44925</v>
      </c>
      <c r="DWL616" s="5" t="s">
        <v>3728</v>
      </c>
      <c r="DWM616" s="17">
        <v>44925</v>
      </c>
      <c r="DWN616" s="5" t="s">
        <v>3728</v>
      </c>
      <c r="DWO616" s="17">
        <v>44925</v>
      </c>
      <c r="DWP616" s="5" t="s">
        <v>3728</v>
      </c>
      <c r="DWQ616" s="17">
        <v>44925</v>
      </c>
      <c r="DWR616" s="5" t="s">
        <v>3728</v>
      </c>
      <c r="DWS616" s="17">
        <v>44925</v>
      </c>
      <c r="DWT616" s="5" t="s">
        <v>3728</v>
      </c>
      <c r="DWU616" s="17">
        <v>44925</v>
      </c>
      <c r="DWV616" s="5" t="s">
        <v>3728</v>
      </c>
      <c r="DWW616" s="17">
        <v>44925</v>
      </c>
      <c r="DWX616" s="5" t="s">
        <v>3728</v>
      </c>
      <c r="DWY616" s="17">
        <v>44925</v>
      </c>
      <c r="DWZ616" s="5" t="s">
        <v>3728</v>
      </c>
      <c r="DXA616" s="17">
        <v>44925</v>
      </c>
      <c r="DXB616" s="5" t="s">
        <v>3728</v>
      </c>
      <c r="DXC616" s="17">
        <v>44925</v>
      </c>
      <c r="DXD616" s="5" t="s">
        <v>3728</v>
      </c>
      <c r="DXE616" s="17">
        <v>44925</v>
      </c>
      <c r="DXF616" s="5" t="s">
        <v>3728</v>
      </c>
      <c r="DXG616" s="17">
        <v>44925</v>
      </c>
      <c r="DXH616" s="5" t="s">
        <v>3728</v>
      </c>
      <c r="DXI616" s="17">
        <v>44925</v>
      </c>
      <c r="DXJ616" s="5" t="s">
        <v>3728</v>
      </c>
      <c r="DXK616" s="17">
        <v>44925</v>
      </c>
      <c r="DXL616" s="5" t="s">
        <v>3728</v>
      </c>
      <c r="DXM616" s="17">
        <v>44925</v>
      </c>
      <c r="DXN616" s="5" t="s">
        <v>3728</v>
      </c>
      <c r="DXO616" s="17">
        <v>44925</v>
      </c>
      <c r="DXP616" s="5" t="s">
        <v>3728</v>
      </c>
      <c r="DXQ616" s="17">
        <v>44925</v>
      </c>
      <c r="DXR616" s="5" t="s">
        <v>3728</v>
      </c>
      <c r="DXS616" s="17">
        <v>44925</v>
      </c>
      <c r="DXT616" s="5" t="s">
        <v>3728</v>
      </c>
      <c r="DXU616" s="17">
        <v>44925</v>
      </c>
      <c r="DXV616" s="5" t="s">
        <v>3728</v>
      </c>
      <c r="DXW616" s="17">
        <v>44925</v>
      </c>
      <c r="DXX616" s="5" t="s">
        <v>3728</v>
      </c>
      <c r="DXY616" s="17">
        <v>44925</v>
      </c>
      <c r="DXZ616" s="5" t="s">
        <v>3728</v>
      </c>
      <c r="DYA616" s="17">
        <v>44925</v>
      </c>
      <c r="DYB616" s="5" t="s">
        <v>3728</v>
      </c>
      <c r="DYC616" s="17">
        <v>44925</v>
      </c>
      <c r="DYD616" s="5" t="s">
        <v>3728</v>
      </c>
      <c r="DYE616" s="17">
        <v>44925</v>
      </c>
      <c r="DYF616" s="5" t="s">
        <v>3728</v>
      </c>
      <c r="DYG616" s="17">
        <v>44925</v>
      </c>
      <c r="DYH616" s="5" t="s">
        <v>3728</v>
      </c>
      <c r="DYI616" s="17">
        <v>44925</v>
      </c>
      <c r="DYJ616" s="5" t="s">
        <v>3728</v>
      </c>
      <c r="DYK616" s="17">
        <v>44925</v>
      </c>
      <c r="DYL616" s="5" t="s">
        <v>3728</v>
      </c>
      <c r="DYM616" s="17">
        <v>44925</v>
      </c>
      <c r="DYN616" s="5" t="s">
        <v>3728</v>
      </c>
      <c r="DYO616" s="17">
        <v>44925</v>
      </c>
      <c r="DYP616" s="5" t="s">
        <v>3728</v>
      </c>
      <c r="DYQ616" s="17">
        <v>44925</v>
      </c>
      <c r="DYR616" s="5" t="s">
        <v>3728</v>
      </c>
      <c r="DYS616" s="17">
        <v>44925</v>
      </c>
      <c r="DYT616" s="5" t="s">
        <v>3728</v>
      </c>
      <c r="DYU616" s="17">
        <v>44925</v>
      </c>
      <c r="DYV616" s="5" t="s">
        <v>3728</v>
      </c>
      <c r="DYW616" s="17">
        <v>44925</v>
      </c>
      <c r="DYX616" s="5" t="s">
        <v>3728</v>
      </c>
      <c r="DYY616" s="17">
        <v>44925</v>
      </c>
      <c r="DYZ616" s="5" t="s">
        <v>3728</v>
      </c>
      <c r="DZA616" s="17">
        <v>44925</v>
      </c>
      <c r="DZB616" s="5" t="s">
        <v>3728</v>
      </c>
      <c r="DZC616" s="17">
        <v>44925</v>
      </c>
      <c r="DZD616" s="5" t="s">
        <v>3728</v>
      </c>
      <c r="DZE616" s="17">
        <v>44925</v>
      </c>
      <c r="DZF616" s="5" t="s">
        <v>3728</v>
      </c>
      <c r="DZG616" s="17">
        <v>44925</v>
      </c>
      <c r="DZH616" s="5" t="s">
        <v>3728</v>
      </c>
      <c r="DZI616" s="17">
        <v>44925</v>
      </c>
      <c r="DZJ616" s="5" t="s">
        <v>3728</v>
      </c>
      <c r="DZK616" s="17">
        <v>44925</v>
      </c>
      <c r="DZL616" s="5" t="s">
        <v>3728</v>
      </c>
      <c r="DZM616" s="17">
        <v>44925</v>
      </c>
      <c r="DZN616" s="5" t="s">
        <v>3728</v>
      </c>
      <c r="DZO616" s="17">
        <v>44925</v>
      </c>
      <c r="DZP616" s="5" t="s">
        <v>3728</v>
      </c>
      <c r="DZQ616" s="17">
        <v>44925</v>
      </c>
      <c r="DZR616" s="5" t="s">
        <v>3728</v>
      </c>
      <c r="DZS616" s="17">
        <v>44925</v>
      </c>
      <c r="DZT616" s="5" t="s">
        <v>3728</v>
      </c>
      <c r="DZU616" s="17">
        <v>44925</v>
      </c>
      <c r="DZV616" s="5" t="s">
        <v>3728</v>
      </c>
      <c r="DZW616" s="17">
        <v>44925</v>
      </c>
      <c r="DZX616" s="5" t="s">
        <v>3728</v>
      </c>
      <c r="DZY616" s="17">
        <v>44925</v>
      </c>
      <c r="DZZ616" s="5" t="s">
        <v>3728</v>
      </c>
      <c r="EAA616" s="17">
        <v>44925</v>
      </c>
      <c r="EAB616" s="5" t="s">
        <v>3728</v>
      </c>
      <c r="EAC616" s="17">
        <v>44925</v>
      </c>
      <c r="EAD616" s="5" t="s">
        <v>3728</v>
      </c>
      <c r="EAE616" s="17">
        <v>44925</v>
      </c>
      <c r="EAF616" s="5" t="s">
        <v>3728</v>
      </c>
      <c r="EAG616" s="17">
        <v>44925</v>
      </c>
      <c r="EAH616" s="5" t="s">
        <v>3728</v>
      </c>
      <c r="EAI616" s="17">
        <v>44925</v>
      </c>
      <c r="EAJ616" s="5" t="s">
        <v>3728</v>
      </c>
      <c r="EAK616" s="17">
        <v>44925</v>
      </c>
      <c r="EAL616" s="5" t="s">
        <v>3728</v>
      </c>
      <c r="EAM616" s="17">
        <v>44925</v>
      </c>
      <c r="EAN616" s="5" t="s">
        <v>3728</v>
      </c>
      <c r="EAO616" s="17">
        <v>44925</v>
      </c>
      <c r="EAP616" s="5" t="s">
        <v>3728</v>
      </c>
      <c r="EAQ616" s="17">
        <v>44925</v>
      </c>
      <c r="EAR616" s="5" t="s">
        <v>3728</v>
      </c>
      <c r="EAS616" s="17">
        <v>44925</v>
      </c>
      <c r="EAT616" s="5" t="s">
        <v>3728</v>
      </c>
      <c r="EAU616" s="17">
        <v>44925</v>
      </c>
      <c r="EAV616" s="5" t="s">
        <v>3728</v>
      </c>
      <c r="EAW616" s="17">
        <v>44925</v>
      </c>
      <c r="EAX616" s="5" t="s">
        <v>3728</v>
      </c>
      <c r="EAY616" s="17">
        <v>44925</v>
      </c>
      <c r="EAZ616" s="5" t="s">
        <v>3728</v>
      </c>
      <c r="EBA616" s="17">
        <v>44925</v>
      </c>
      <c r="EBB616" s="5" t="s">
        <v>3728</v>
      </c>
      <c r="EBC616" s="17">
        <v>44925</v>
      </c>
      <c r="EBD616" s="5" t="s">
        <v>3728</v>
      </c>
      <c r="EBE616" s="17">
        <v>44925</v>
      </c>
      <c r="EBF616" s="5" t="s">
        <v>3728</v>
      </c>
      <c r="EBG616" s="17">
        <v>44925</v>
      </c>
      <c r="EBH616" s="5" t="s">
        <v>3728</v>
      </c>
      <c r="EBI616" s="17">
        <v>44925</v>
      </c>
      <c r="EBJ616" s="5" t="s">
        <v>3728</v>
      </c>
      <c r="EBK616" s="17">
        <v>44925</v>
      </c>
      <c r="EBL616" s="5" t="s">
        <v>3728</v>
      </c>
      <c r="EBM616" s="17">
        <v>44925</v>
      </c>
      <c r="EBN616" s="5" t="s">
        <v>3728</v>
      </c>
      <c r="EBO616" s="17">
        <v>44925</v>
      </c>
      <c r="EBP616" s="5" t="s">
        <v>3728</v>
      </c>
      <c r="EBQ616" s="17">
        <v>44925</v>
      </c>
      <c r="EBR616" s="5" t="s">
        <v>3728</v>
      </c>
      <c r="EBS616" s="17">
        <v>44925</v>
      </c>
      <c r="EBT616" s="5" t="s">
        <v>3728</v>
      </c>
      <c r="EBU616" s="17">
        <v>44925</v>
      </c>
      <c r="EBV616" s="5" t="s">
        <v>3728</v>
      </c>
      <c r="EBW616" s="17">
        <v>44925</v>
      </c>
      <c r="EBX616" s="5" t="s">
        <v>3728</v>
      </c>
      <c r="EBY616" s="17">
        <v>44925</v>
      </c>
      <c r="EBZ616" s="5" t="s">
        <v>3728</v>
      </c>
      <c r="ECA616" s="17">
        <v>44925</v>
      </c>
      <c r="ECB616" s="5" t="s">
        <v>3728</v>
      </c>
      <c r="ECC616" s="17">
        <v>44925</v>
      </c>
      <c r="ECD616" s="5" t="s">
        <v>3728</v>
      </c>
      <c r="ECE616" s="17">
        <v>44925</v>
      </c>
      <c r="ECF616" s="5" t="s">
        <v>3728</v>
      </c>
      <c r="ECG616" s="17">
        <v>44925</v>
      </c>
      <c r="ECH616" s="5" t="s">
        <v>3728</v>
      </c>
      <c r="ECI616" s="17">
        <v>44925</v>
      </c>
      <c r="ECJ616" s="5" t="s">
        <v>3728</v>
      </c>
      <c r="ECK616" s="17">
        <v>44925</v>
      </c>
      <c r="ECL616" s="5" t="s">
        <v>3728</v>
      </c>
      <c r="ECM616" s="17">
        <v>44925</v>
      </c>
      <c r="ECN616" s="5" t="s">
        <v>3728</v>
      </c>
      <c r="ECO616" s="17">
        <v>44925</v>
      </c>
      <c r="ECP616" s="5" t="s">
        <v>3728</v>
      </c>
      <c r="ECQ616" s="17">
        <v>44925</v>
      </c>
      <c r="ECR616" s="5" t="s">
        <v>3728</v>
      </c>
      <c r="ECS616" s="17">
        <v>44925</v>
      </c>
      <c r="ECT616" s="5" t="s">
        <v>3728</v>
      </c>
      <c r="ECU616" s="17">
        <v>44925</v>
      </c>
      <c r="ECV616" s="5" t="s">
        <v>3728</v>
      </c>
      <c r="ECW616" s="17">
        <v>44925</v>
      </c>
      <c r="ECX616" s="5" t="s">
        <v>3728</v>
      </c>
      <c r="ECY616" s="17">
        <v>44925</v>
      </c>
      <c r="ECZ616" s="5" t="s">
        <v>3728</v>
      </c>
      <c r="EDA616" s="17">
        <v>44925</v>
      </c>
      <c r="EDB616" s="5" t="s">
        <v>3728</v>
      </c>
      <c r="EDC616" s="17">
        <v>44925</v>
      </c>
      <c r="EDD616" s="5" t="s">
        <v>3728</v>
      </c>
      <c r="EDE616" s="17">
        <v>44925</v>
      </c>
      <c r="EDF616" s="5" t="s">
        <v>3728</v>
      </c>
      <c r="EDG616" s="17">
        <v>44925</v>
      </c>
      <c r="EDH616" s="5" t="s">
        <v>3728</v>
      </c>
      <c r="EDI616" s="17">
        <v>44925</v>
      </c>
      <c r="EDJ616" s="5" t="s">
        <v>3728</v>
      </c>
      <c r="EDK616" s="17">
        <v>44925</v>
      </c>
      <c r="EDL616" s="5" t="s">
        <v>3728</v>
      </c>
      <c r="EDM616" s="17">
        <v>44925</v>
      </c>
      <c r="EDN616" s="5" t="s">
        <v>3728</v>
      </c>
      <c r="EDO616" s="17">
        <v>44925</v>
      </c>
      <c r="EDP616" s="5" t="s">
        <v>3728</v>
      </c>
      <c r="EDQ616" s="17">
        <v>44925</v>
      </c>
      <c r="EDR616" s="5" t="s">
        <v>3728</v>
      </c>
      <c r="EDS616" s="17">
        <v>44925</v>
      </c>
      <c r="EDT616" s="5" t="s">
        <v>3728</v>
      </c>
      <c r="EDU616" s="17">
        <v>44925</v>
      </c>
      <c r="EDV616" s="5" t="s">
        <v>3728</v>
      </c>
      <c r="EDW616" s="17">
        <v>44925</v>
      </c>
      <c r="EDX616" s="5" t="s">
        <v>3728</v>
      </c>
      <c r="EDY616" s="17">
        <v>44925</v>
      </c>
      <c r="EDZ616" s="5" t="s">
        <v>3728</v>
      </c>
      <c r="EEA616" s="17">
        <v>44925</v>
      </c>
      <c r="EEB616" s="5" t="s">
        <v>3728</v>
      </c>
      <c r="EEC616" s="17">
        <v>44925</v>
      </c>
      <c r="EED616" s="5" t="s">
        <v>3728</v>
      </c>
      <c r="EEE616" s="17">
        <v>44925</v>
      </c>
      <c r="EEF616" s="5" t="s">
        <v>3728</v>
      </c>
      <c r="EEG616" s="17">
        <v>44925</v>
      </c>
      <c r="EEH616" s="5" t="s">
        <v>3728</v>
      </c>
      <c r="EEI616" s="17">
        <v>44925</v>
      </c>
      <c r="EEJ616" s="5" t="s">
        <v>3728</v>
      </c>
      <c r="EEK616" s="17">
        <v>44925</v>
      </c>
      <c r="EEL616" s="5" t="s">
        <v>3728</v>
      </c>
      <c r="EEM616" s="17">
        <v>44925</v>
      </c>
      <c r="EEN616" s="5" t="s">
        <v>3728</v>
      </c>
      <c r="EEO616" s="17">
        <v>44925</v>
      </c>
      <c r="EEP616" s="5" t="s">
        <v>3728</v>
      </c>
      <c r="EEQ616" s="17">
        <v>44925</v>
      </c>
      <c r="EER616" s="5" t="s">
        <v>3728</v>
      </c>
      <c r="EES616" s="17">
        <v>44925</v>
      </c>
      <c r="EET616" s="5" t="s">
        <v>3728</v>
      </c>
      <c r="EEU616" s="17">
        <v>44925</v>
      </c>
      <c r="EEV616" s="5" t="s">
        <v>3728</v>
      </c>
      <c r="EEW616" s="17">
        <v>44925</v>
      </c>
      <c r="EEX616" s="5" t="s">
        <v>3728</v>
      </c>
      <c r="EEY616" s="17">
        <v>44925</v>
      </c>
      <c r="EEZ616" s="5" t="s">
        <v>3728</v>
      </c>
      <c r="EFA616" s="17">
        <v>44925</v>
      </c>
      <c r="EFB616" s="5" t="s">
        <v>3728</v>
      </c>
      <c r="EFC616" s="17">
        <v>44925</v>
      </c>
      <c r="EFD616" s="5" t="s">
        <v>3728</v>
      </c>
      <c r="EFE616" s="17">
        <v>44925</v>
      </c>
      <c r="EFF616" s="5" t="s">
        <v>3728</v>
      </c>
      <c r="EFG616" s="17">
        <v>44925</v>
      </c>
      <c r="EFH616" s="5" t="s">
        <v>3728</v>
      </c>
      <c r="EFI616" s="17">
        <v>44925</v>
      </c>
      <c r="EFJ616" s="5" t="s">
        <v>3728</v>
      </c>
      <c r="EFK616" s="17">
        <v>44925</v>
      </c>
      <c r="EFL616" s="5" t="s">
        <v>3728</v>
      </c>
      <c r="EFM616" s="17">
        <v>44925</v>
      </c>
      <c r="EFN616" s="5" t="s">
        <v>3728</v>
      </c>
      <c r="EFO616" s="17">
        <v>44925</v>
      </c>
      <c r="EFP616" s="5" t="s">
        <v>3728</v>
      </c>
      <c r="EFQ616" s="17">
        <v>44925</v>
      </c>
      <c r="EFR616" s="5" t="s">
        <v>3728</v>
      </c>
      <c r="EFS616" s="17">
        <v>44925</v>
      </c>
      <c r="EFT616" s="5" t="s">
        <v>3728</v>
      </c>
      <c r="EFU616" s="17">
        <v>44925</v>
      </c>
      <c r="EFV616" s="5" t="s">
        <v>3728</v>
      </c>
      <c r="EFW616" s="17">
        <v>44925</v>
      </c>
      <c r="EFX616" s="5" t="s">
        <v>3728</v>
      </c>
      <c r="EFY616" s="17">
        <v>44925</v>
      </c>
      <c r="EFZ616" s="5" t="s">
        <v>3728</v>
      </c>
      <c r="EGA616" s="17">
        <v>44925</v>
      </c>
      <c r="EGB616" s="5" t="s">
        <v>3728</v>
      </c>
      <c r="EGC616" s="17">
        <v>44925</v>
      </c>
      <c r="EGD616" s="5" t="s">
        <v>3728</v>
      </c>
      <c r="EGE616" s="17">
        <v>44925</v>
      </c>
      <c r="EGF616" s="5" t="s">
        <v>3728</v>
      </c>
      <c r="EGG616" s="17">
        <v>44925</v>
      </c>
      <c r="EGH616" s="5" t="s">
        <v>3728</v>
      </c>
      <c r="EGI616" s="17">
        <v>44925</v>
      </c>
      <c r="EGJ616" s="5" t="s">
        <v>3728</v>
      </c>
      <c r="EGK616" s="17">
        <v>44925</v>
      </c>
      <c r="EGL616" s="5" t="s">
        <v>3728</v>
      </c>
      <c r="EGM616" s="17">
        <v>44925</v>
      </c>
      <c r="EGN616" s="5" t="s">
        <v>3728</v>
      </c>
      <c r="EGO616" s="17">
        <v>44925</v>
      </c>
      <c r="EGP616" s="5" t="s">
        <v>3728</v>
      </c>
      <c r="EGQ616" s="17">
        <v>44925</v>
      </c>
      <c r="EGR616" s="5" t="s">
        <v>3728</v>
      </c>
      <c r="EGS616" s="17">
        <v>44925</v>
      </c>
      <c r="EGT616" s="5" t="s">
        <v>3728</v>
      </c>
      <c r="EGU616" s="17">
        <v>44925</v>
      </c>
      <c r="EGV616" s="5" t="s">
        <v>3728</v>
      </c>
      <c r="EGW616" s="17">
        <v>44925</v>
      </c>
      <c r="EGX616" s="5" t="s">
        <v>3728</v>
      </c>
      <c r="EGY616" s="17">
        <v>44925</v>
      </c>
      <c r="EGZ616" s="5" t="s">
        <v>3728</v>
      </c>
      <c r="EHA616" s="17">
        <v>44925</v>
      </c>
      <c r="EHB616" s="5" t="s">
        <v>3728</v>
      </c>
      <c r="EHC616" s="17">
        <v>44925</v>
      </c>
      <c r="EHD616" s="5" t="s">
        <v>3728</v>
      </c>
      <c r="EHE616" s="17">
        <v>44925</v>
      </c>
      <c r="EHF616" s="5" t="s">
        <v>3728</v>
      </c>
      <c r="EHG616" s="17">
        <v>44925</v>
      </c>
      <c r="EHH616" s="5" t="s">
        <v>3728</v>
      </c>
      <c r="EHI616" s="17">
        <v>44925</v>
      </c>
      <c r="EHJ616" s="5" t="s">
        <v>3728</v>
      </c>
      <c r="EHK616" s="17">
        <v>44925</v>
      </c>
      <c r="EHL616" s="5" t="s">
        <v>3728</v>
      </c>
      <c r="EHM616" s="17">
        <v>44925</v>
      </c>
      <c r="EHN616" s="5" t="s">
        <v>3728</v>
      </c>
      <c r="EHO616" s="17">
        <v>44925</v>
      </c>
      <c r="EHP616" s="5" t="s">
        <v>3728</v>
      </c>
      <c r="EHQ616" s="17">
        <v>44925</v>
      </c>
      <c r="EHR616" s="5" t="s">
        <v>3728</v>
      </c>
      <c r="EHS616" s="17">
        <v>44925</v>
      </c>
      <c r="EHT616" s="5" t="s">
        <v>3728</v>
      </c>
      <c r="EHU616" s="17">
        <v>44925</v>
      </c>
      <c r="EHV616" s="5" t="s">
        <v>3728</v>
      </c>
      <c r="EHW616" s="17">
        <v>44925</v>
      </c>
      <c r="EHX616" s="5" t="s">
        <v>3728</v>
      </c>
      <c r="EHY616" s="17">
        <v>44925</v>
      </c>
      <c r="EHZ616" s="5" t="s">
        <v>3728</v>
      </c>
      <c r="EIA616" s="17">
        <v>44925</v>
      </c>
      <c r="EIB616" s="5" t="s">
        <v>3728</v>
      </c>
      <c r="EIC616" s="17">
        <v>44925</v>
      </c>
      <c r="EID616" s="5" t="s">
        <v>3728</v>
      </c>
      <c r="EIE616" s="17">
        <v>44925</v>
      </c>
      <c r="EIF616" s="5" t="s">
        <v>3728</v>
      </c>
      <c r="EIG616" s="17">
        <v>44925</v>
      </c>
      <c r="EIH616" s="5" t="s">
        <v>3728</v>
      </c>
      <c r="EII616" s="17">
        <v>44925</v>
      </c>
      <c r="EIJ616" s="5" t="s">
        <v>3728</v>
      </c>
      <c r="EIK616" s="17">
        <v>44925</v>
      </c>
      <c r="EIL616" s="5" t="s">
        <v>3728</v>
      </c>
      <c r="EIM616" s="17">
        <v>44925</v>
      </c>
      <c r="EIN616" s="5" t="s">
        <v>3728</v>
      </c>
      <c r="EIO616" s="17">
        <v>44925</v>
      </c>
      <c r="EIP616" s="5" t="s">
        <v>3728</v>
      </c>
      <c r="EIQ616" s="17">
        <v>44925</v>
      </c>
      <c r="EIR616" s="5" t="s">
        <v>3728</v>
      </c>
      <c r="EIS616" s="17">
        <v>44925</v>
      </c>
      <c r="EIT616" s="5" t="s">
        <v>3728</v>
      </c>
      <c r="EIU616" s="17">
        <v>44925</v>
      </c>
      <c r="EIV616" s="5" t="s">
        <v>3728</v>
      </c>
      <c r="EIW616" s="17">
        <v>44925</v>
      </c>
      <c r="EIX616" s="5" t="s">
        <v>3728</v>
      </c>
      <c r="EIY616" s="17">
        <v>44925</v>
      </c>
      <c r="EIZ616" s="5" t="s">
        <v>3728</v>
      </c>
      <c r="EJA616" s="17">
        <v>44925</v>
      </c>
      <c r="EJB616" s="5" t="s">
        <v>3728</v>
      </c>
      <c r="EJC616" s="17">
        <v>44925</v>
      </c>
      <c r="EJD616" s="5" t="s">
        <v>3728</v>
      </c>
      <c r="EJE616" s="17">
        <v>44925</v>
      </c>
      <c r="EJF616" s="5" t="s">
        <v>3728</v>
      </c>
      <c r="EJG616" s="17">
        <v>44925</v>
      </c>
      <c r="EJH616" s="5" t="s">
        <v>3728</v>
      </c>
      <c r="EJI616" s="17">
        <v>44925</v>
      </c>
      <c r="EJJ616" s="5" t="s">
        <v>3728</v>
      </c>
      <c r="EJK616" s="17">
        <v>44925</v>
      </c>
      <c r="EJL616" s="5" t="s">
        <v>3728</v>
      </c>
      <c r="EJM616" s="17">
        <v>44925</v>
      </c>
      <c r="EJN616" s="5" t="s">
        <v>3728</v>
      </c>
      <c r="EJO616" s="17">
        <v>44925</v>
      </c>
      <c r="EJP616" s="5" t="s">
        <v>3728</v>
      </c>
      <c r="EJQ616" s="17">
        <v>44925</v>
      </c>
      <c r="EJR616" s="5" t="s">
        <v>3728</v>
      </c>
      <c r="EJS616" s="17">
        <v>44925</v>
      </c>
      <c r="EJT616" s="5" t="s">
        <v>3728</v>
      </c>
      <c r="EJU616" s="17">
        <v>44925</v>
      </c>
      <c r="EJV616" s="5" t="s">
        <v>3728</v>
      </c>
      <c r="EJW616" s="17">
        <v>44925</v>
      </c>
      <c r="EJX616" s="5" t="s">
        <v>3728</v>
      </c>
      <c r="EJY616" s="17">
        <v>44925</v>
      </c>
      <c r="EJZ616" s="5" t="s">
        <v>3728</v>
      </c>
      <c r="EKA616" s="17">
        <v>44925</v>
      </c>
      <c r="EKB616" s="5" t="s">
        <v>3728</v>
      </c>
      <c r="EKC616" s="17">
        <v>44925</v>
      </c>
      <c r="EKD616" s="5" t="s">
        <v>3728</v>
      </c>
      <c r="EKE616" s="17">
        <v>44925</v>
      </c>
      <c r="EKF616" s="5" t="s">
        <v>3728</v>
      </c>
      <c r="EKG616" s="17">
        <v>44925</v>
      </c>
      <c r="EKH616" s="5" t="s">
        <v>3728</v>
      </c>
      <c r="EKI616" s="17">
        <v>44925</v>
      </c>
      <c r="EKJ616" s="5" t="s">
        <v>3728</v>
      </c>
      <c r="EKK616" s="17">
        <v>44925</v>
      </c>
      <c r="EKL616" s="5" t="s">
        <v>3728</v>
      </c>
      <c r="EKM616" s="17">
        <v>44925</v>
      </c>
      <c r="EKN616" s="5" t="s">
        <v>3728</v>
      </c>
      <c r="EKO616" s="17">
        <v>44925</v>
      </c>
      <c r="EKP616" s="5" t="s">
        <v>3728</v>
      </c>
      <c r="EKQ616" s="17">
        <v>44925</v>
      </c>
      <c r="EKR616" s="5" t="s">
        <v>3728</v>
      </c>
      <c r="EKS616" s="17">
        <v>44925</v>
      </c>
      <c r="EKT616" s="5" t="s">
        <v>3728</v>
      </c>
      <c r="EKU616" s="17">
        <v>44925</v>
      </c>
      <c r="EKV616" s="5" t="s">
        <v>3728</v>
      </c>
      <c r="EKW616" s="17">
        <v>44925</v>
      </c>
      <c r="EKX616" s="5" t="s">
        <v>3728</v>
      </c>
      <c r="EKY616" s="17">
        <v>44925</v>
      </c>
      <c r="EKZ616" s="5" t="s">
        <v>3728</v>
      </c>
      <c r="ELA616" s="17">
        <v>44925</v>
      </c>
      <c r="ELB616" s="5" t="s">
        <v>3728</v>
      </c>
      <c r="ELC616" s="17">
        <v>44925</v>
      </c>
      <c r="ELD616" s="5" t="s">
        <v>3728</v>
      </c>
      <c r="ELE616" s="17">
        <v>44925</v>
      </c>
      <c r="ELF616" s="5" t="s">
        <v>3728</v>
      </c>
      <c r="ELG616" s="17">
        <v>44925</v>
      </c>
      <c r="ELH616" s="5" t="s">
        <v>3728</v>
      </c>
      <c r="ELI616" s="17">
        <v>44925</v>
      </c>
      <c r="ELJ616" s="5" t="s">
        <v>3728</v>
      </c>
      <c r="ELK616" s="17">
        <v>44925</v>
      </c>
      <c r="ELL616" s="5" t="s">
        <v>3728</v>
      </c>
      <c r="ELM616" s="17">
        <v>44925</v>
      </c>
      <c r="ELN616" s="5" t="s">
        <v>3728</v>
      </c>
      <c r="ELO616" s="17">
        <v>44925</v>
      </c>
      <c r="ELP616" s="5" t="s">
        <v>3728</v>
      </c>
      <c r="ELQ616" s="17">
        <v>44925</v>
      </c>
      <c r="ELR616" s="5" t="s">
        <v>3728</v>
      </c>
      <c r="ELS616" s="17">
        <v>44925</v>
      </c>
      <c r="ELT616" s="5" t="s">
        <v>3728</v>
      </c>
      <c r="ELU616" s="17">
        <v>44925</v>
      </c>
      <c r="ELV616" s="5" t="s">
        <v>3728</v>
      </c>
      <c r="ELW616" s="17">
        <v>44925</v>
      </c>
      <c r="ELX616" s="5" t="s">
        <v>3728</v>
      </c>
      <c r="ELY616" s="17">
        <v>44925</v>
      </c>
      <c r="ELZ616" s="5" t="s">
        <v>3728</v>
      </c>
      <c r="EMA616" s="17">
        <v>44925</v>
      </c>
      <c r="EMB616" s="5" t="s">
        <v>3728</v>
      </c>
      <c r="EMC616" s="17">
        <v>44925</v>
      </c>
      <c r="EMD616" s="5" t="s">
        <v>3728</v>
      </c>
      <c r="EME616" s="17">
        <v>44925</v>
      </c>
      <c r="EMF616" s="5" t="s">
        <v>3728</v>
      </c>
      <c r="EMG616" s="17">
        <v>44925</v>
      </c>
      <c r="EMH616" s="5" t="s">
        <v>3728</v>
      </c>
      <c r="EMI616" s="17">
        <v>44925</v>
      </c>
      <c r="EMJ616" s="5" t="s">
        <v>3728</v>
      </c>
      <c r="EMK616" s="17">
        <v>44925</v>
      </c>
      <c r="EML616" s="5" t="s">
        <v>3728</v>
      </c>
      <c r="EMM616" s="17">
        <v>44925</v>
      </c>
      <c r="EMN616" s="5" t="s">
        <v>3728</v>
      </c>
      <c r="EMO616" s="17">
        <v>44925</v>
      </c>
      <c r="EMP616" s="5" t="s">
        <v>3728</v>
      </c>
      <c r="EMQ616" s="17">
        <v>44925</v>
      </c>
      <c r="EMR616" s="5" t="s">
        <v>3728</v>
      </c>
      <c r="EMS616" s="17">
        <v>44925</v>
      </c>
      <c r="EMT616" s="5" t="s">
        <v>3728</v>
      </c>
      <c r="EMU616" s="17">
        <v>44925</v>
      </c>
      <c r="EMV616" s="5" t="s">
        <v>3728</v>
      </c>
      <c r="EMW616" s="17">
        <v>44925</v>
      </c>
      <c r="EMX616" s="5" t="s">
        <v>3728</v>
      </c>
      <c r="EMY616" s="17">
        <v>44925</v>
      </c>
      <c r="EMZ616" s="5" t="s">
        <v>3728</v>
      </c>
      <c r="ENA616" s="17">
        <v>44925</v>
      </c>
      <c r="ENB616" s="5" t="s">
        <v>3728</v>
      </c>
      <c r="ENC616" s="17">
        <v>44925</v>
      </c>
      <c r="END616" s="5" t="s">
        <v>3728</v>
      </c>
      <c r="ENE616" s="17">
        <v>44925</v>
      </c>
      <c r="ENF616" s="5" t="s">
        <v>3728</v>
      </c>
      <c r="ENG616" s="17">
        <v>44925</v>
      </c>
      <c r="ENH616" s="5" t="s">
        <v>3728</v>
      </c>
      <c r="ENI616" s="17">
        <v>44925</v>
      </c>
      <c r="ENJ616" s="5" t="s">
        <v>3728</v>
      </c>
      <c r="ENK616" s="17">
        <v>44925</v>
      </c>
      <c r="ENL616" s="5" t="s">
        <v>3728</v>
      </c>
      <c r="ENM616" s="17">
        <v>44925</v>
      </c>
      <c r="ENN616" s="5" t="s">
        <v>3728</v>
      </c>
      <c r="ENO616" s="17">
        <v>44925</v>
      </c>
      <c r="ENP616" s="5" t="s">
        <v>3728</v>
      </c>
      <c r="ENQ616" s="17">
        <v>44925</v>
      </c>
      <c r="ENR616" s="5" t="s">
        <v>3728</v>
      </c>
      <c r="ENS616" s="17">
        <v>44925</v>
      </c>
      <c r="ENT616" s="5" t="s">
        <v>3728</v>
      </c>
      <c r="ENU616" s="17">
        <v>44925</v>
      </c>
      <c r="ENV616" s="5" t="s">
        <v>3728</v>
      </c>
      <c r="ENW616" s="17">
        <v>44925</v>
      </c>
      <c r="ENX616" s="5" t="s">
        <v>3728</v>
      </c>
      <c r="ENY616" s="17">
        <v>44925</v>
      </c>
      <c r="ENZ616" s="5" t="s">
        <v>3728</v>
      </c>
      <c r="EOA616" s="17">
        <v>44925</v>
      </c>
      <c r="EOB616" s="5" t="s">
        <v>3728</v>
      </c>
      <c r="EOC616" s="17">
        <v>44925</v>
      </c>
      <c r="EOD616" s="5" t="s">
        <v>3728</v>
      </c>
      <c r="EOE616" s="17">
        <v>44925</v>
      </c>
      <c r="EOF616" s="5" t="s">
        <v>3728</v>
      </c>
      <c r="EOG616" s="17">
        <v>44925</v>
      </c>
      <c r="EOH616" s="5" t="s">
        <v>3728</v>
      </c>
      <c r="EOI616" s="17">
        <v>44925</v>
      </c>
      <c r="EOJ616" s="5" t="s">
        <v>3728</v>
      </c>
      <c r="EOK616" s="17">
        <v>44925</v>
      </c>
      <c r="EOL616" s="5" t="s">
        <v>3728</v>
      </c>
      <c r="EOM616" s="17">
        <v>44925</v>
      </c>
      <c r="EON616" s="5" t="s">
        <v>3728</v>
      </c>
      <c r="EOO616" s="17">
        <v>44925</v>
      </c>
      <c r="EOP616" s="5" t="s">
        <v>3728</v>
      </c>
      <c r="EOQ616" s="17">
        <v>44925</v>
      </c>
      <c r="EOR616" s="5" t="s">
        <v>3728</v>
      </c>
      <c r="EOS616" s="17">
        <v>44925</v>
      </c>
      <c r="EOT616" s="5" t="s">
        <v>3728</v>
      </c>
      <c r="EOU616" s="17">
        <v>44925</v>
      </c>
      <c r="EOV616" s="5" t="s">
        <v>3728</v>
      </c>
      <c r="EOW616" s="17">
        <v>44925</v>
      </c>
      <c r="EOX616" s="5" t="s">
        <v>3728</v>
      </c>
      <c r="EOY616" s="17">
        <v>44925</v>
      </c>
      <c r="EOZ616" s="5" t="s">
        <v>3728</v>
      </c>
      <c r="EPA616" s="17">
        <v>44925</v>
      </c>
      <c r="EPB616" s="5" t="s">
        <v>3728</v>
      </c>
      <c r="EPC616" s="17">
        <v>44925</v>
      </c>
      <c r="EPD616" s="5" t="s">
        <v>3728</v>
      </c>
      <c r="EPE616" s="17">
        <v>44925</v>
      </c>
      <c r="EPF616" s="5" t="s">
        <v>3728</v>
      </c>
      <c r="EPG616" s="17">
        <v>44925</v>
      </c>
      <c r="EPH616" s="5" t="s">
        <v>3728</v>
      </c>
      <c r="EPI616" s="17">
        <v>44925</v>
      </c>
      <c r="EPJ616" s="5" t="s">
        <v>3728</v>
      </c>
      <c r="EPK616" s="17">
        <v>44925</v>
      </c>
      <c r="EPL616" s="5" t="s">
        <v>3728</v>
      </c>
      <c r="EPM616" s="17">
        <v>44925</v>
      </c>
      <c r="EPN616" s="5" t="s">
        <v>3728</v>
      </c>
      <c r="EPO616" s="17">
        <v>44925</v>
      </c>
      <c r="EPP616" s="5" t="s">
        <v>3728</v>
      </c>
      <c r="EPQ616" s="17">
        <v>44925</v>
      </c>
      <c r="EPR616" s="5" t="s">
        <v>3728</v>
      </c>
      <c r="EPS616" s="17">
        <v>44925</v>
      </c>
      <c r="EPT616" s="5" t="s">
        <v>3728</v>
      </c>
      <c r="EPU616" s="17">
        <v>44925</v>
      </c>
      <c r="EPV616" s="5" t="s">
        <v>3728</v>
      </c>
      <c r="EPW616" s="17">
        <v>44925</v>
      </c>
      <c r="EPX616" s="5" t="s">
        <v>3728</v>
      </c>
      <c r="EPY616" s="17">
        <v>44925</v>
      </c>
      <c r="EPZ616" s="5" t="s">
        <v>3728</v>
      </c>
      <c r="EQA616" s="17">
        <v>44925</v>
      </c>
      <c r="EQB616" s="5" t="s">
        <v>3728</v>
      </c>
      <c r="EQC616" s="17">
        <v>44925</v>
      </c>
      <c r="EQD616" s="5" t="s">
        <v>3728</v>
      </c>
      <c r="EQE616" s="17">
        <v>44925</v>
      </c>
      <c r="EQF616" s="5" t="s">
        <v>3728</v>
      </c>
      <c r="EQG616" s="17">
        <v>44925</v>
      </c>
      <c r="EQH616" s="5" t="s">
        <v>3728</v>
      </c>
      <c r="EQI616" s="17">
        <v>44925</v>
      </c>
      <c r="EQJ616" s="5" t="s">
        <v>3728</v>
      </c>
      <c r="EQK616" s="17">
        <v>44925</v>
      </c>
      <c r="EQL616" s="5" t="s">
        <v>3728</v>
      </c>
      <c r="EQM616" s="17">
        <v>44925</v>
      </c>
      <c r="EQN616" s="5" t="s">
        <v>3728</v>
      </c>
      <c r="EQO616" s="17">
        <v>44925</v>
      </c>
      <c r="EQP616" s="5" t="s">
        <v>3728</v>
      </c>
      <c r="EQQ616" s="17">
        <v>44925</v>
      </c>
      <c r="EQR616" s="5" t="s">
        <v>3728</v>
      </c>
      <c r="EQS616" s="17">
        <v>44925</v>
      </c>
      <c r="EQT616" s="5" t="s">
        <v>3728</v>
      </c>
      <c r="EQU616" s="17">
        <v>44925</v>
      </c>
      <c r="EQV616" s="5" t="s">
        <v>3728</v>
      </c>
      <c r="EQW616" s="17">
        <v>44925</v>
      </c>
      <c r="EQX616" s="5" t="s">
        <v>3728</v>
      </c>
      <c r="EQY616" s="17">
        <v>44925</v>
      </c>
      <c r="EQZ616" s="5" t="s">
        <v>3728</v>
      </c>
      <c r="ERA616" s="17">
        <v>44925</v>
      </c>
      <c r="ERB616" s="5" t="s">
        <v>3728</v>
      </c>
      <c r="ERC616" s="17">
        <v>44925</v>
      </c>
      <c r="ERD616" s="5" t="s">
        <v>3728</v>
      </c>
      <c r="ERE616" s="17">
        <v>44925</v>
      </c>
      <c r="ERF616" s="5" t="s">
        <v>3728</v>
      </c>
      <c r="ERG616" s="17">
        <v>44925</v>
      </c>
      <c r="ERH616" s="5" t="s">
        <v>3728</v>
      </c>
      <c r="ERI616" s="17">
        <v>44925</v>
      </c>
      <c r="ERJ616" s="5" t="s">
        <v>3728</v>
      </c>
      <c r="ERK616" s="17">
        <v>44925</v>
      </c>
      <c r="ERL616" s="5" t="s">
        <v>3728</v>
      </c>
      <c r="ERM616" s="17">
        <v>44925</v>
      </c>
      <c r="ERN616" s="5" t="s">
        <v>3728</v>
      </c>
      <c r="ERO616" s="17">
        <v>44925</v>
      </c>
      <c r="ERP616" s="5" t="s">
        <v>3728</v>
      </c>
      <c r="ERQ616" s="17">
        <v>44925</v>
      </c>
      <c r="ERR616" s="5" t="s">
        <v>3728</v>
      </c>
      <c r="ERS616" s="17">
        <v>44925</v>
      </c>
      <c r="ERT616" s="5" t="s">
        <v>3728</v>
      </c>
      <c r="ERU616" s="17">
        <v>44925</v>
      </c>
      <c r="ERV616" s="5" t="s">
        <v>3728</v>
      </c>
      <c r="ERW616" s="17">
        <v>44925</v>
      </c>
      <c r="ERX616" s="5" t="s">
        <v>3728</v>
      </c>
      <c r="ERY616" s="17">
        <v>44925</v>
      </c>
      <c r="ERZ616" s="5" t="s">
        <v>3728</v>
      </c>
      <c r="ESA616" s="17">
        <v>44925</v>
      </c>
      <c r="ESB616" s="5" t="s">
        <v>3728</v>
      </c>
      <c r="ESC616" s="17">
        <v>44925</v>
      </c>
      <c r="ESD616" s="5" t="s">
        <v>3728</v>
      </c>
      <c r="ESE616" s="17">
        <v>44925</v>
      </c>
      <c r="ESF616" s="5" t="s">
        <v>3728</v>
      </c>
      <c r="ESG616" s="17">
        <v>44925</v>
      </c>
      <c r="ESH616" s="5" t="s">
        <v>3728</v>
      </c>
      <c r="ESI616" s="17">
        <v>44925</v>
      </c>
      <c r="ESJ616" s="5" t="s">
        <v>3728</v>
      </c>
      <c r="ESK616" s="17">
        <v>44925</v>
      </c>
      <c r="ESL616" s="5" t="s">
        <v>3728</v>
      </c>
      <c r="ESM616" s="17">
        <v>44925</v>
      </c>
      <c r="ESN616" s="5" t="s">
        <v>3728</v>
      </c>
      <c r="ESO616" s="17">
        <v>44925</v>
      </c>
      <c r="ESP616" s="5" t="s">
        <v>3728</v>
      </c>
      <c r="ESQ616" s="17">
        <v>44925</v>
      </c>
      <c r="ESR616" s="5" t="s">
        <v>3728</v>
      </c>
      <c r="ESS616" s="17">
        <v>44925</v>
      </c>
      <c r="EST616" s="5" t="s">
        <v>3728</v>
      </c>
      <c r="ESU616" s="17">
        <v>44925</v>
      </c>
      <c r="ESV616" s="5" t="s">
        <v>3728</v>
      </c>
      <c r="ESW616" s="17">
        <v>44925</v>
      </c>
      <c r="ESX616" s="5" t="s">
        <v>3728</v>
      </c>
      <c r="ESY616" s="17">
        <v>44925</v>
      </c>
      <c r="ESZ616" s="5" t="s">
        <v>3728</v>
      </c>
      <c r="ETA616" s="17">
        <v>44925</v>
      </c>
      <c r="ETB616" s="5" t="s">
        <v>3728</v>
      </c>
      <c r="ETC616" s="17">
        <v>44925</v>
      </c>
      <c r="ETD616" s="5" t="s">
        <v>3728</v>
      </c>
      <c r="ETE616" s="17">
        <v>44925</v>
      </c>
      <c r="ETF616" s="5" t="s">
        <v>3728</v>
      </c>
      <c r="ETG616" s="17">
        <v>44925</v>
      </c>
      <c r="ETH616" s="5" t="s">
        <v>3728</v>
      </c>
      <c r="ETI616" s="17">
        <v>44925</v>
      </c>
      <c r="ETJ616" s="5" t="s">
        <v>3728</v>
      </c>
      <c r="ETK616" s="17">
        <v>44925</v>
      </c>
      <c r="ETL616" s="5" t="s">
        <v>3728</v>
      </c>
      <c r="ETM616" s="17">
        <v>44925</v>
      </c>
      <c r="ETN616" s="5" t="s">
        <v>3728</v>
      </c>
      <c r="ETO616" s="17">
        <v>44925</v>
      </c>
      <c r="ETP616" s="5" t="s">
        <v>3728</v>
      </c>
      <c r="ETQ616" s="17">
        <v>44925</v>
      </c>
      <c r="ETR616" s="5" t="s">
        <v>3728</v>
      </c>
      <c r="ETS616" s="17">
        <v>44925</v>
      </c>
      <c r="ETT616" s="5" t="s">
        <v>3728</v>
      </c>
      <c r="ETU616" s="17">
        <v>44925</v>
      </c>
      <c r="ETV616" s="5" t="s">
        <v>3728</v>
      </c>
      <c r="ETW616" s="17">
        <v>44925</v>
      </c>
      <c r="ETX616" s="5" t="s">
        <v>3728</v>
      </c>
      <c r="ETY616" s="17">
        <v>44925</v>
      </c>
      <c r="ETZ616" s="5" t="s">
        <v>3728</v>
      </c>
      <c r="EUA616" s="17">
        <v>44925</v>
      </c>
      <c r="EUB616" s="5" t="s">
        <v>3728</v>
      </c>
      <c r="EUC616" s="17">
        <v>44925</v>
      </c>
      <c r="EUD616" s="5" t="s">
        <v>3728</v>
      </c>
      <c r="EUE616" s="17">
        <v>44925</v>
      </c>
      <c r="EUF616" s="5" t="s">
        <v>3728</v>
      </c>
      <c r="EUG616" s="17">
        <v>44925</v>
      </c>
      <c r="EUH616" s="5" t="s">
        <v>3728</v>
      </c>
      <c r="EUI616" s="17">
        <v>44925</v>
      </c>
      <c r="EUJ616" s="5" t="s">
        <v>3728</v>
      </c>
      <c r="EUK616" s="17">
        <v>44925</v>
      </c>
      <c r="EUL616" s="5" t="s">
        <v>3728</v>
      </c>
      <c r="EUM616" s="17">
        <v>44925</v>
      </c>
      <c r="EUN616" s="5" t="s">
        <v>3728</v>
      </c>
      <c r="EUO616" s="17">
        <v>44925</v>
      </c>
      <c r="EUP616" s="5" t="s">
        <v>3728</v>
      </c>
      <c r="EUQ616" s="17">
        <v>44925</v>
      </c>
      <c r="EUR616" s="5" t="s">
        <v>3728</v>
      </c>
      <c r="EUS616" s="17">
        <v>44925</v>
      </c>
      <c r="EUT616" s="5" t="s">
        <v>3728</v>
      </c>
      <c r="EUU616" s="17">
        <v>44925</v>
      </c>
      <c r="EUV616" s="5" t="s">
        <v>3728</v>
      </c>
      <c r="EUW616" s="17">
        <v>44925</v>
      </c>
      <c r="EUX616" s="5" t="s">
        <v>3728</v>
      </c>
      <c r="EUY616" s="17">
        <v>44925</v>
      </c>
      <c r="EUZ616" s="5" t="s">
        <v>3728</v>
      </c>
      <c r="EVA616" s="17">
        <v>44925</v>
      </c>
      <c r="EVB616" s="5" t="s">
        <v>3728</v>
      </c>
      <c r="EVC616" s="17">
        <v>44925</v>
      </c>
      <c r="EVD616" s="5" t="s">
        <v>3728</v>
      </c>
      <c r="EVE616" s="17">
        <v>44925</v>
      </c>
      <c r="EVF616" s="5" t="s">
        <v>3728</v>
      </c>
      <c r="EVG616" s="17">
        <v>44925</v>
      </c>
      <c r="EVH616" s="5" t="s">
        <v>3728</v>
      </c>
      <c r="EVI616" s="17">
        <v>44925</v>
      </c>
      <c r="EVJ616" s="5" t="s">
        <v>3728</v>
      </c>
      <c r="EVK616" s="17">
        <v>44925</v>
      </c>
      <c r="EVL616" s="5" t="s">
        <v>3728</v>
      </c>
      <c r="EVM616" s="17">
        <v>44925</v>
      </c>
      <c r="EVN616" s="5" t="s">
        <v>3728</v>
      </c>
      <c r="EVO616" s="17">
        <v>44925</v>
      </c>
      <c r="EVP616" s="5" t="s">
        <v>3728</v>
      </c>
      <c r="EVQ616" s="17">
        <v>44925</v>
      </c>
      <c r="EVR616" s="5" t="s">
        <v>3728</v>
      </c>
      <c r="EVS616" s="17">
        <v>44925</v>
      </c>
      <c r="EVT616" s="5" t="s">
        <v>3728</v>
      </c>
      <c r="EVU616" s="17">
        <v>44925</v>
      </c>
      <c r="EVV616" s="5" t="s">
        <v>3728</v>
      </c>
      <c r="EVW616" s="17">
        <v>44925</v>
      </c>
      <c r="EVX616" s="5" t="s">
        <v>3728</v>
      </c>
      <c r="EVY616" s="17">
        <v>44925</v>
      </c>
      <c r="EVZ616" s="5" t="s">
        <v>3728</v>
      </c>
      <c r="EWA616" s="17">
        <v>44925</v>
      </c>
      <c r="EWB616" s="5" t="s">
        <v>3728</v>
      </c>
      <c r="EWC616" s="17">
        <v>44925</v>
      </c>
      <c r="EWD616" s="5" t="s">
        <v>3728</v>
      </c>
      <c r="EWE616" s="17">
        <v>44925</v>
      </c>
      <c r="EWF616" s="5" t="s">
        <v>3728</v>
      </c>
      <c r="EWG616" s="17">
        <v>44925</v>
      </c>
      <c r="EWH616" s="5" t="s">
        <v>3728</v>
      </c>
      <c r="EWI616" s="17">
        <v>44925</v>
      </c>
      <c r="EWJ616" s="5" t="s">
        <v>3728</v>
      </c>
      <c r="EWK616" s="17">
        <v>44925</v>
      </c>
      <c r="EWL616" s="5" t="s">
        <v>3728</v>
      </c>
      <c r="EWM616" s="17">
        <v>44925</v>
      </c>
      <c r="EWN616" s="5" t="s">
        <v>3728</v>
      </c>
      <c r="EWO616" s="17">
        <v>44925</v>
      </c>
      <c r="EWP616" s="5" t="s">
        <v>3728</v>
      </c>
      <c r="EWQ616" s="17">
        <v>44925</v>
      </c>
      <c r="EWR616" s="5" t="s">
        <v>3728</v>
      </c>
      <c r="EWS616" s="17">
        <v>44925</v>
      </c>
      <c r="EWT616" s="5" t="s">
        <v>3728</v>
      </c>
      <c r="EWU616" s="17">
        <v>44925</v>
      </c>
      <c r="EWV616" s="5" t="s">
        <v>3728</v>
      </c>
      <c r="EWW616" s="17">
        <v>44925</v>
      </c>
      <c r="EWX616" s="5" t="s">
        <v>3728</v>
      </c>
      <c r="EWY616" s="17">
        <v>44925</v>
      </c>
      <c r="EWZ616" s="5" t="s">
        <v>3728</v>
      </c>
      <c r="EXA616" s="17">
        <v>44925</v>
      </c>
      <c r="EXB616" s="5" t="s">
        <v>3728</v>
      </c>
      <c r="EXC616" s="17">
        <v>44925</v>
      </c>
      <c r="EXD616" s="5" t="s">
        <v>3728</v>
      </c>
      <c r="EXE616" s="17">
        <v>44925</v>
      </c>
      <c r="EXF616" s="5" t="s">
        <v>3728</v>
      </c>
      <c r="EXG616" s="17">
        <v>44925</v>
      </c>
      <c r="EXH616" s="5" t="s">
        <v>3728</v>
      </c>
      <c r="EXI616" s="17">
        <v>44925</v>
      </c>
      <c r="EXJ616" s="5" t="s">
        <v>3728</v>
      </c>
      <c r="EXK616" s="17">
        <v>44925</v>
      </c>
      <c r="EXL616" s="5" t="s">
        <v>3728</v>
      </c>
      <c r="EXM616" s="17">
        <v>44925</v>
      </c>
      <c r="EXN616" s="5" t="s">
        <v>3728</v>
      </c>
      <c r="EXO616" s="17">
        <v>44925</v>
      </c>
      <c r="EXP616" s="5" t="s">
        <v>3728</v>
      </c>
      <c r="EXQ616" s="17">
        <v>44925</v>
      </c>
      <c r="EXR616" s="5" t="s">
        <v>3728</v>
      </c>
      <c r="EXS616" s="17">
        <v>44925</v>
      </c>
      <c r="EXT616" s="5" t="s">
        <v>3728</v>
      </c>
      <c r="EXU616" s="17">
        <v>44925</v>
      </c>
      <c r="EXV616" s="5" t="s">
        <v>3728</v>
      </c>
      <c r="EXW616" s="17">
        <v>44925</v>
      </c>
      <c r="EXX616" s="5" t="s">
        <v>3728</v>
      </c>
      <c r="EXY616" s="17">
        <v>44925</v>
      </c>
      <c r="EXZ616" s="5" t="s">
        <v>3728</v>
      </c>
      <c r="EYA616" s="17">
        <v>44925</v>
      </c>
      <c r="EYB616" s="5" t="s">
        <v>3728</v>
      </c>
      <c r="EYC616" s="17">
        <v>44925</v>
      </c>
      <c r="EYD616" s="5" t="s">
        <v>3728</v>
      </c>
      <c r="EYE616" s="17">
        <v>44925</v>
      </c>
      <c r="EYF616" s="5" t="s">
        <v>3728</v>
      </c>
      <c r="EYG616" s="17">
        <v>44925</v>
      </c>
      <c r="EYH616" s="5" t="s">
        <v>3728</v>
      </c>
      <c r="EYI616" s="17">
        <v>44925</v>
      </c>
      <c r="EYJ616" s="5" t="s">
        <v>3728</v>
      </c>
      <c r="EYK616" s="17">
        <v>44925</v>
      </c>
      <c r="EYL616" s="5" t="s">
        <v>3728</v>
      </c>
      <c r="EYM616" s="17">
        <v>44925</v>
      </c>
      <c r="EYN616" s="5" t="s">
        <v>3728</v>
      </c>
      <c r="EYO616" s="17">
        <v>44925</v>
      </c>
      <c r="EYP616" s="5" t="s">
        <v>3728</v>
      </c>
      <c r="EYQ616" s="17">
        <v>44925</v>
      </c>
      <c r="EYR616" s="5" t="s">
        <v>3728</v>
      </c>
      <c r="EYS616" s="17">
        <v>44925</v>
      </c>
      <c r="EYT616" s="5" t="s">
        <v>3728</v>
      </c>
      <c r="EYU616" s="17">
        <v>44925</v>
      </c>
      <c r="EYV616" s="5" t="s">
        <v>3728</v>
      </c>
      <c r="EYW616" s="17">
        <v>44925</v>
      </c>
      <c r="EYX616" s="5" t="s">
        <v>3728</v>
      </c>
      <c r="EYY616" s="17">
        <v>44925</v>
      </c>
      <c r="EYZ616" s="5" t="s">
        <v>3728</v>
      </c>
      <c r="EZA616" s="17">
        <v>44925</v>
      </c>
      <c r="EZB616" s="5" t="s">
        <v>3728</v>
      </c>
      <c r="EZC616" s="17">
        <v>44925</v>
      </c>
      <c r="EZD616" s="5" t="s">
        <v>3728</v>
      </c>
      <c r="EZE616" s="17">
        <v>44925</v>
      </c>
      <c r="EZF616" s="5" t="s">
        <v>3728</v>
      </c>
      <c r="EZG616" s="17">
        <v>44925</v>
      </c>
      <c r="EZH616" s="5" t="s">
        <v>3728</v>
      </c>
      <c r="EZI616" s="17">
        <v>44925</v>
      </c>
      <c r="EZJ616" s="5" t="s">
        <v>3728</v>
      </c>
      <c r="EZK616" s="17">
        <v>44925</v>
      </c>
      <c r="EZL616" s="5" t="s">
        <v>3728</v>
      </c>
      <c r="EZM616" s="17">
        <v>44925</v>
      </c>
      <c r="EZN616" s="5" t="s">
        <v>3728</v>
      </c>
      <c r="EZO616" s="17">
        <v>44925</v>
      </c>
      <c r="EZP616" s="5" t="s">
        <v>3728</v>
      </c>
      <c r="EZQ616" s="17">
        <v>44925</v>
      </c>
      <c r="EZR616" s="5" t="s">
        <v>3728</v>
      </c>
      <c r="EZS616" s="17">
        <v>44925</v>
      </c>
      <c r="EZT616" s="5" t="s">
        <v>3728</v>
      </c>
      <c r="EZU616" s="17">
        <v>44925</v>
      </c>
      <c r="EZV616" s="5" t="s">
        <v>3728</v>
      </c>
      <c r="EZW616" s="17">
        <v>44925</v>
      </c>
      <c r="EZX616" s="5" t="s">
        <v>3728</v>
      </c>
      <c r="EZY616" s="17">
        <v>44925</v>
      </c>
      <c r="EZZ616" s="5" t="s">
        <v>3728</v>
      </c>
      <c r="FAA616" s="17">
        <v>44925</v>
      </c>
      <c r="FAB616" s="5" t="s">
        <v>3728</v>
      </c>
      <c r="FAC616" s="17">
        <v>44925</v>
      </c>
      <c r="FAD616" s="5" t="s">
        <v>3728</v>
      </c>
      <c r="FAE616" s="17">
        <v>44925</v>
      </c>
      <c r="FAF616" s="5" t="s">
        <v>3728</v>
      </c>
      <c r="FAG616" s="17">
        <v>44925</v>
      </c>
      <c r="FAH616" s="5" t="s">
        <v>3728</v>
      </c>
      <c r="FAI616" s="17">
        <v>44925</v>
      </c>
      <c r="FAJ616" s="5" t="s">
        <v>3728</v>
      </c>
      <c r="FAK616" s="17">
        <v>44925</v>
      </c>
      <c r="FAL616" s="5" t="s">
        <v>3728</v>
      </c>
      <c r="FAM616" s="17">
        <v>44925</v>
      </c>
      <c r="FAN616" s="5" t="s">
        <v>3728</v>
      </c>
      <c r="FAO616" s="17">
        <v>44925</v>
      </c>
      <c r="FAP616" s="5" t="s">
        <v>3728</v>
      </c>
      <c r="FAQ616" s="17">
        <v>44925</v>
      </c>
      <c r="FAR616" s="5" t="s">
        <v>3728</v>
      </c>
      <c r="FAS616" s="17">
        <v>44925</v>
      </c>
      <c r="FAT616" s="5" t="s">
        <v>3728</v>
      </c>
      <c r="FAU616" s="17">
        <v>44925</v>
      </c>
      <c r="FAV616" s="5" t="s">
        <v>3728</v>
      </c>
      <c r="FAW616" s="17">
        <v>44925</v>
      </c>
      <c r="FAX616" s="5" t="s">
        <v>3728</v>
      </c>
      <c r="FAY616" s="17">
        <v>44925</v>
      </c>
      <c r="FAZ616" s="5" t="s">
        <v>3728</v>
      </c>
      <c r="FBA616" s="17">
        <v>44925</v>
      </c>
      <c r="FBB616" s="5" t="s">
        <v>3728</v>
      </c>
      <c r="FBC616" s="17">
        <v>44925</v>
      </c>
      <c r="FBD616" s="5" t="s">
        <v>3728</v>
      </c>
      <c r="FBE616" s="17">
        <v>44925</v>
      </c>
      <c r="FBF616" s="5" t="s">
        <v>3728</v>
      </c>
      <c r="FBG616" s="17">
        <v>44925</v>
      </c>
      <c r="FBH616" s="5" t="s">
        <v>3728</v>
      </c>
      <c r="FBI616" s="17">
        <v>44925</v>
      </c>
      <c r="FBJ616" s="5" t="s">
        <v>3728</v>
      </c>
      <c r="FBK616" s="17">
        <v>44925</v>
      </c>
      <c r="FBL616" s="5" t="s">
        <v>3728</v>
      </c>
      <c r="FBM616" s="17">
        <v>44925</v>
      </c>
      <c r="FBN616" s="5" t="s">
        <v>3728</v>
      </c>
      <c r="FBO616" s="17">
        <v>44925</v>
      </c>
      <c r="FBP616" s="5" t="s">
        <v>3728</v>
      </c>
      <c r="FBQ616" s="17">
        <v>44925</v>
      </c>
      <c r="FBR616" s="5" t="s">
        <v>3728</v>
      </c>
      <c r="FBS616" s="17">
        <v>44925</v>
      </c>
      <c r="FBT616" s="5" t="s">
        <v>3728</v>
      </c>
      <c r="FBU616" s="17">
        <v>44925</v>
      </c>
      <c r="FBV616" s="5" t="s">
        <v>3728</v>
      </c>
      <c r="FBW616" s="17">
        <v>44925</v>
      </c>
      <c r="FBX616" s="5" t="s">
        <v>3728</v>
      </c>
      <c r="FBY616" s="17">
        <v>44925</v>
      </c>
      <c r="FBZ616" s="5" t="s">
        <v>3728</v>
      </c>
      <c r="FCA616" s="17">
        <v>44925</v>
      </c>
      <c r="FCB616" s="5" t="s">
        <v>3728</v>
      </c>
      <c r="FCC616" s="17">
        <v>44925</v>
      </c>
      <c r="FCD616" s="5" t="s">
        <v>3728</v>
      </c>
      <c r="FCE616" s="17">
        <v>44925</v>
      </c>
      <c r="FCF616" s="5" t="s">
        <v>3728</v>
      </c>
      <c r="FCG616" s="17">
        <v>44925</v>
      </c>
      <c r="FCH616" s="5" t="s">
        <v>3728</v>
      </c>
      <c r="FCI616" s="17">
        <v>44925</v>
      </c>
      <c r="FCJ616" s="5" t="s">
        <v>3728</v>
      </c>
      <c r="FCK616" s="17">
        <v>44925</v>
      </c>
      <c r="FCL616" s="5" t="s">
        <v>3728</v>
      </c>
      <c r="FCM616" s="17">
        <v>44925</v>
      </c>
      <c r="FCN616" s="5" t="s">
        <v>3728</v>
      </c>
      <c r="FCO616" s="17">
        <v>44925</v>
      </c>
      <c r="FCP616" s="5" t="s">
        <v>3728</v>
      </c>
      <c r="FCQ616" s="17">
        <v>44925</v>
      </c>
      <c r="FCR616" s="5" t="s">
        <v>3728</v>
      </c>
      <c r="FCS616" s="17">
        <v>44925</v>
      </c>
      <c r="FCT616" s="5" t="s">
        <v>3728</v>
      </c>
      <c r="FCU616" s="17">
        <v>44925</v>
      </c>
      <c r="FCV616" s="5" t="s">
        <v>3728</v>
      </c>
      <c r="FCW616" s="17">
        <v>44925</v>
      </c>
      <c r="FCX616" s="5" t="s">
        <v>3728</v>
      </c>
      <c r="FCY616" s="17">
        <v>44925</v>
      </c>
      <c r="FCZ616" s="5" t="s">
        <v>3728</v>
      </c>
      <c r="FDA616" s="17">
        <v>44925</v>
      </c>
      <c r="FDB616" s="5" t="s">
        <v>3728</v>
      </c>
      <c r="FDC616" s="17">
        <v>44925</v>
      </c>
      <c r="FDD616" s="5" t="s">
        <v>3728</v>
      </c>
      <c r="FDE616" s="17">
        <v>44925</v>
      </c>
      <c r="FDF616" s="5" t="s">
        <v>3728</v>
      </c>
      <c r="FDG616" s="17">
        <v>44925</v>
      </c>
      <c r="FDH616" s="5" t="s">
        <v>3728</v>
      </c>
      <c r="FDI616" s="17">
        <v>44925</v>
      </c>
      <c r="FDJ616" s="5" t="s">
        <v>3728</v>
      </c>
      <c r="FDK616" s="17">
        <v>44925</v>
      </c>
      <c r="FDL616" s="5" t="s">
        <v>3728</v>
      </c>
      <c r="FDM616" s="17">
        <v>44925</v>
      </c>
      <c r="FDN616" s="5" t="s">
        <v>3728</v>
      </c>
      <c r="FDO616" s="17">
        <v>44925</v>
      </c>
      <c r="FDP616" s="5" t="s">
        <v>3728</v>
      </c>
      <c r="FDQ616" s="17">
        <v>44925</v>
      </c>
      <c r="FDR616" s="5" t="s">
        <v>3728</v>
      </c>
      <c r="FDS616" s="17">
        <v>44925</v>
      </c>
      <c r="FDT616" s="5" t="s">
        <v>3728</v>
      </c>
      <c r="FDU616" s="17">
        <v>44925</v>
      </c>
      <c r="FDV616" s="5" t="s">
        <v>3728</v>
      </c>
      <c r="FDW616" s="17">
        <v>44925</v>
      </c>
      <c r="FDX616" s="5" t="s">
        <v>3728</v>
      </c>
      <c r="FDY616" s="17">
        <v>44925</v>
      </c>
      <c r="FDZ616" s="5" t="s">
        <v>3728</v>
      </c>
      <c r="FEA616" s="17">
        <v>44925</v>
      </c>
      <c r="FEB616" s="5" t="s">
        <v>3728</v>
      </c>
      <c r="FEC616" s="17">
        <v>44925</v>
      </c>
      <c r="FED616" s="5" t="s">
        <v>3728</v>
      </c>
      <c r="FEE616" s="17">
        <v>44925</v>
      </c>
      <c r="FEF616" s="5" t="s">
        <v>3728</v>
      </c>
      <c r="FEG616" s="17">
        <v>44925</v>
      </c>
      <c r="FEH616" s="5" t="s">
        <v>3728</v>
      </c>
      <c r="FEI616" s="17">
        <v>44925</v>
      </c>
      <c r="FEJ616" s="5" t="s">
        <v>3728</v>
      </c>
      <c r="FEK616" s="17">
        <v>44925</v>
      </c>
      <c r="FEL616" s="5" t="s">
        <v>3728</v>
      </c>
      <c r="FEM616" s="17">
        <v>44925</v>
      </c>
      <c r="FEN616" s="5" t="s">
        <v>3728</v>
      </c>
      <c r="FEO616" s="17">
        <v>44925</v>
      </c>
      <c r="FEP616" s="5" t="s">
        <v>3728</v>
      </c>
      <c r="FEQ616" s="17">
        <v>44925</v>
      </c>
      <c r="FER616" s="5" t="s">
        <v>3728</v>
      </c>
      <c r="FES616" s="17">
        <v>44925</v>
      </c>
      <c r="FET616" s="5" t="s">
        <v>3728</v>
      </c>
      <c r="FEU616" s="17">
        <v>44925</v>
      </c>
      <c r="FEV616" s="5" t="s">
        <v>3728</v>
      </c>
      <c r="FEW616" s="17">
        <v>44925</v>
      </c>
      <c r="FEX616" s="5" t="s">
        <v>3728</v>
      </c>
      <c r="FEY616" s="17">
        <v>44925</v>
      </c>
      <c r="FEZ616" s="5" t="s">
        <v>3728</v>
      </c>
      <c r="FFA616" s="17">
        <v>44925</v>
      </c>
      <c r="FFB616" s="5" t="s">
        <v>3728</v>
      </c>
      <c r="FFC616" s="17">
        <v>44925</v>
      </c>
      <c r="FFD616" s="5" t="s">
        <v>3728</v>
      </c>
      <c r="FFE616" s="17">
        <v>44925</v>
      </c>
      <c r="FFF616" s="5" t="s">
        <v>3728</v>
      </c>
      <c r="FFG616" s="17">
        <v>44925</v>
      </c>
      <c r="FFH616" s="5" t="s">
        <v>3728</v>
      </c>
      <c r="FFI616" s="17">
        <v>44925</v>
      </c>
      <c r="FFJ616" s="5" t="s">
        <v>3728</v>
      </c>
      <c r="FFK616" s="17">
        <v>44925</v>
      </c>
      <c r="FFL616" s="5" t="s">
        <v>3728</v>
      </c>
      <c r="FFM616" s="17">
        <v>44925</v>
      </c>
      <c r="FFN616" s="5" t="s">
        <v>3728</v>
      </c>
      <c r="FFO616" s="17">
        <v>44925</v>
      </c>
      <c r="FFP616" s="5" t="s">
        <v>3728</v>
      </c>
      <c r="FFQ616" s="17">
        <v>44925</v>
      </c>
      <c r="FFR616" s="5" t="s">
        <v>3728</v>
      </c>
      <c r="FFS616" s="17">
        <v>44925</v>
      </c>
      <c r="FFT616" s="5" t="s">
        <v>3728</v>
      </c>
      <c r="FFU616" s="17">
        <v>44925</v>
      </c>
      <c r="FFV616" s="5" t="s">
        <v>3728</v>
      </c>
      <c r="FFW616" s="17">
        <v>44925</v>
      </c>
      <c r="FFX616" s="5" t="s">
        <v>3728</v>
      </c>
      <c r="FFY616" s="17">
        <v>44925</v>
      </c>
      <c r="FFZ616" s="5" t="s">
        <v>3728</v>
      </c>
      <c r="FGA616" s="17">
        <v>44925</v>
      </c>
      <c r="FGB616" s="5" t="s">
        <v>3728</v>
      </c>
      <c r="FGC616" s="17">
        <v>44925</v>
      </c>
      <c r="FGD616" s="5" t="s">
        <v>3728</v>
      </c>
      <c r="FGE616" s="17">
        <v>44925</v>
      </c>
      <c r="FGF616" s="5" t="s">
        <v>3728</v>
      </c>
      <c r="FGG616" s="17">
        <v>44925</v>
      </c>
      <c r="FGH616" s="5" t="s">
        <v>3728</v>
      </c>
      <c r="FGI616" s="17">
        <v>44925</v>
      </c>
      <c r="FGJ616" s="5" t="s">
        <v>3728</v>
      </c>
      <c r="FGK616" s="17">
        <v>44925</v>
      </c>
      <c r="FGL616" s="5" t="s">
        <v>3728</v>
      </c>
      <c r="FGM616" s="17">
        <v>44925</v>
      </c>
      <c r="FGN616" s="5" t="s">
        <v>3728</v>
      </c>
      <c r="FGO616" s="17">
        <v>44925</v>
      </c>
      <c r="FGP616" s="5" t="s">
        <v>3728</v>
      </c>
      <c r="FGQ616" s="17">
        <v>44925</v>
      </c>
      <c r="FGR616" s="5" t="s">
        <v>3728</v>
      </c>
      <c r="FGS616" s="17">
        <v>44925</v>
      </c>
      <c r="FGT616" s="5" t="s">
        <v>3728</v>
      </c>
      <c r="FGU616" s="17">
        <v>44925</v>
      </c>
      <c r="FGV616" s="5" t="s">
        <v>3728</v>
      </c>
      <c r="FGW616" s="17">
        <v>44925</v>
      </c>
      <c r="FGX616" s="5" t="s">
        <v>3728</v>
      </c>
      <c r="FGY616" s="17">
        <v>44925</v>
      </c>
      <c r="FGZ616" s="5" t="s">
        <v>3728</v>
      </c>
      <c r="FHA616" s="17">
        <v>44925</v>
      </c>
      <c r="FHB616" s="5" t="s">
        <v>3728</v>
      </c>
      <c r="FHC616" s="17">
        <v>44925</v>
      </c>
      <c r="FHD616" s="5" t="s">
        <v>3728</v>
      </c>
      <c r="FHE616" s="17">
        <v>44925</v>
      </c>
      <c r="FHF616" s="5" t="s">
        <v>3728</v>
      </c>
      <c r="FHG616" s="17">
        <v>44925</v>
      </c>
      <c r="FHH616" s="5" t="s">
        <v>3728</v>
      </c>
      <c r="FHI616" s="17">
        <v>44925</v>
      </c>
      <c r="FHJ616" s="5" t="s">
        <v>3728</v>
      </c>
      <c r="FHK616" s="17">
        <v>44925</v>
      </c>
      <c r="FHL616" s="5" t="s">
        <v>3728</v>
      </c>
      <c r="FHM616" s="17">
        <v>44925</v>
      </c>
      <c r="FHN616" s="5" t="s">
        <v>3728</v>
      </c>
      <c r="FHO616" s="17">
        <v>44925</v>
      </c>
      <c r="FHP616" s="5" t="s">
        <v>3728</v>
      </c>
      <c r="FHQ616" s="17">
        <v>44925</v>
      </c>
      <c r="FHR616" s="5" t="s">
        <v>3728</v>
      </c>
      <c r="FHS616" s="17">
        <v>44925</v>
      </c>
      <c r="FHT616" s="5" t="s">
        <v>3728</v>
      </c>
      <c r="FHU616" s="17">
        <v>44925</v>
      </c>
      <c r="FHV616" s="5" t="s">
        <v>3728</v>
      </c>
      <c r="FHW616" s="17">
        <v>44925</v>
      </c>
      <c r="FHX616" s="5" t="s">
        <v>3728</v>
      </c>
      <c r="FHY616" s="17">
        <v>44925</v>
      </c>
      <c r="FHZ616" s="5" t="s">
        <v>3728</v>
      </c>
      <c r="FIA616" s="17">
        <v>44925</v>
      </c>
      <c r="FIB616" s="5" t="s">
        <v>3728</v>
      </c>
      <c r="FIC616" s="17">
        <v>44925</v>
      </c>
      <c r="FID616" s="5" t="s">
        <v>3728</v>
      </c>
      <c r="FIE616" s="17">
        <v>44925</v>
      </c>
      <c r="FIF616" s="5" t="s">
        <v>3728</v>
      </c>
      <c r="FIG616" s="17">
        <v>44925</v>
      </c>
      <c r="FIH616" s="5" t="s">
        <v>3728</v>
      </c>
      <c r="FII616" s="17">
        <v>44925</v>
      </c>
      <c r="FIJ616" s="5" t="s">
        <v>3728</v>
      </c>
      <c r="FIK616" s="17">
        <v>44925</v>
      </c>
      <c r="FIL616" s="5" t="s">
        <v>3728</v>
      </c>
      <c r="FIM616" s="17">
        <v>44925</v>
      </c>
      <c r="FIN616" s="5" t="s">
        <v>3728</v>
      </c>
      <c r="FIO616" s="17">
        <v>44925</v>
      </c>
      <c r="FIP616" s="5" t="s">
        <v>3728</v>
      </c>
      <c r="FIQ616" s="17">
        <v>44925</v>
      </c>
      <c r="FIR616" s="5" t="s">
        <v>3728</v>
      </c>
      <c r="FIS616" s="17">
        <v>44925</v>
      </c>
      <c r="FIT616" s="5" t="s">
        <v>3728</v>
      </c>
      <c r="FIU616" s="17">
        <v>44925</v>
      </c>
      <c r="FIV616" s="5" t="s">
        <v>3728</v>
      </c>
      <c r="FIW616" s="17">
        <v>44925</v>
      </c>
      <c r="FIX616" s="5" t="s">
        <v>3728</v>
      </c>
      <c r="FIY616" s="17">
        <v>44925</v>
      </c>
      <c r="FIZ616" s="5" t="s">
        <v>3728</v>
      </c>
      <c r="FJA616" s="17">
        <v>44925</v>
      </c>
      <c r="FJB616" s="5" t="s">
        <v>3728</v>
      </c>
      <c r="FJC616" s="17">
        <v>44925</v>
      </c>
      <c r="FJD616" s="5" t="s">
        <v>3728</v>
      </c>
      <c r="FJE616" s="17">
        <v>44925</v>
      </c>
      <c r="FJF616" s="5" t="s">
        <v>3728</v>
      </c>
      <c r="FJG616" s="17">
        <v>44925</v>
      </c>
      <c r="FJH616" s="5" t="s">
        <v>3728</v>
      </c>
      <c r="FJI616" s="17">
        <v>44925</v>
      </c>
      <c r="FJJ616" s="5" t="s">
        <v>3728</v>
      </c>
      <c r="FJK616" s="17">
        <v>44925</v>
      </c>
      <c r="FJL616" s="5" t="s">
        <v>3728</v>
      </c>
      <c r="FJM616" s="17">
        <v>44925</v>
      </c>
      <c r="FJN616" s="5" t="s">
        <v>3728</v>
      </c>
      <c r="FJO616" s="17">
        <v>44925</v>
      </c>
      <c r="FJP616" s="5" t="s">
        <v>3728</v>
      </c>
      <c r="FJQ616" s="17">
        <v>44925</v>
      </c>
      <c r="FJR616" s="5" t="s">
        <v>3728</v>
      </c>
      <c r="FJS616" s="17">
        <v>44925</v>
      </c>
      <c r="FJT616" s="5" t="s">
        <v>3728</v>
      </c>
      <c r="FJU616" s="17">
        <v>44925</v>
      </c>
      <c r="FJV616" s="5" t="s">
        <v>3728</v>
      </c>
      <c r="FJW616" s="17">
        <v>44925</v>
      </c>
      <c r="FJX616" s="5" t="s">
        <v>3728</v>
      </c>
      <c r="FJY616" s="17">
        <v>44925</v>
      </c>
      <c r="FJZ616" s="5" t="s">
        <v>3728</v>
      </c>
      <c r="FKA616" s="17">
        <v>44925</v>
      </c>
      <c r="FKB616" s="5" t="s">
        <v>3728</v>
      </c>
      <c r="FKC616" s="17">
        <v>44925</v>
      </c>
      <c r="FKD616" s="5" t="s">
        <v>3728</v>
      </c>
      <c r="FKE616" s="17">
        <v>44925</v>
      </c>
      <c r="FKF616" s="5" t="s">
        <v>3728</v>
      </c>
      <c r="FKG616" s="17">
        <v>44925</v>
      </c>
      <c r="FKH616" s="5" t="s">
        <v>3728</v>
      </c>
      <c r="FKI616" s="17">
        <v>44925</v>
      </c>
      <c r="FKJ616" s="5" t="s">
        <v>3728</v>
      </c>
      <c r="FKK616" s="17">
        <v>44925</v>
      </c>
      <c r="FKL616" s="5" t="s">
        <v>3728</v>
      </c>
      <c r="FKM616" s="17">
        <v>44925</v>
      </c>
      <c r="FKN616" s="5" t="s">
        <v>3728</v>
      </c>
      <c r="FKO616" s="17">
        <v>44925</v>
      </c>
      <c r="FKP616" s="5" t="s">
        <v>3728</v>
      </c>
      <c r="FKQ616" s="17">
        <v>44925</v>
      </c>
      <c r="FKR616" s="5" t="s">
        <v>3728</v>
      </c>
      <c r="FKS616" s="17">
        <v>44925</v>
      </c>
      <c r="FKT616" s="5" t="s">
        <v>3728</v>
      </c>
      <c r="FKU616" s="17">
        <v>44925</v>
      </c>
      <c r="FKV616" s="5" t="s">
        <v>3728</v>
      </c>
      <c r="FKW616" s="17">
        <v>44925</v>
      </c>
      <c r="FKX616" s="5" t="s">
        <v>3728</v>
      </c>
      <c r="FKY616" s="17">
        <v>44925</v>
      </c>
      <c r="FKZ616" s="5" t="s">
        <v>3728</v>
      </c>
      <c r="FLA616" s="17">
        <v>44925</v>
      </c>
      <c r="FLB616" s="5" t="s">
        <v>3728</v>
      </c>
      <c r="FLC616" s="17">
        <v>44925</v>
      </c>
      <c r="FLD616" s="5" t="s">
        <v>3728</v>
      </c>
      <c r="FLE616" s="17">
        <v>44925</v>
      </c>
      <c r="FLF616" s="5" t="s">
        <v>3728</v>
      </c>
      <c r="FLG616" s="17">
        <v>44925</v>
      </c>
      <c r="FLH616" s="5" t="s">
        <v>3728</v>
      </c>
      <c r="FLI616" s="17">
        <v>44925</v>
      </c>
      <c r="FLJ616" s="5" t="s">
        <v>3728</v>
      </c>
      <c r="FLK616" s="17">
        <v>44925</v>
      </c>
      <c r="FLL616" s="5" t="s">
        <v>3728</v>
      </c>
      <c r="FLM616" s="17">
        <v>44925</v>
      </c>
      <c r="FLN616" s="5" t="s">
        <v>3728</v>
      </c>
      <c r="FLO616" s="17">
        <v>44925</v>
      </c>
      <c r="FLP616" s="5" t="s">
        <v>3728</v>
      </c>
      <c r="FLQ616" s="17">
        <v>44925</v>
      </c>
      <c r="FLR616" s="5" t="s">
        <v>3728</v>
      </c>
      <c r="FLS616" s="17">
        <v>44925</v>
      </c>
      <c r="FLT616" s="5" t="s">
        <v>3728</v>
      </c>
      <c r="FLU616" s="17">
        <v>44925</v>
      </c>
      <c r="FLV616" s="5" t="s">
        <v>3728</v>
      </c>
      <c r="FLW616" s="17">
        <v>44925</v>
      </c>
      <c r="FLX616" s="5" t="s">
        <v>3728</v>
      </c>
      <c r="FLY616" s="17">
        <v>44925</v>
      </c>
      <c r="FLZ616" s="5" t="s">
        <v>3728</v>
      </c>
      <c r="FMA616" s="17">
        <v>44925</v>
      </c>
      <c r="FMB616" s="5" t="s">
        <v>3728</v>
      </c>
      <c r="FMC616" s="17">
        <v>44925</v>
      </c>
      <c r="FMD616" s="5" t="s">
        <v>3728</v>
      </c>
      <c r="FME616" s="17">
        <v>44925</v>
      </c>
      <c r="FMF616" s="5" t="s">
        <v>3728</v>
      </c>
      <c r="FMG616" s="17">
        <v>44925</v>
      </c>
      <c r="FMH616" s="5" t="s">
        <v>3728</v>
      </c>
      <c r="FMI616" s="17">
        <v>44925</v>
      </c>
      <c r="FMJ616" s="5" t="s">
        <v>3728</v>
      </c>
      <c r="FMK616" s="17">
        <v>44925</v>
      </c>
      <c r="FML616" s="5" t="s">
        <v>3728</v>
      </c>
      <c r="FMM616" s="17">
        <v>44925</v>
      </c>
      <c r="FMN616" s="5" t="s">
        <v>3728</v>
      </c>
      <c r="FMO616" s="17">
        <v>44925</v>
      </c>
      <c r="FMP616" s="5" t="s">
        <v>3728</v>
      </c>
      <c r="FMQ616" s="17">
        <v>44925</v>
      </c>
      <c r="FMR616" s="5" t="s">
        <v>3728</v>
      </c>
      <c r="FMS616" s="17">
        <v>44925</v>
      </c>
      <c r="FMT616" s="5" t="s">
        <v>3728</v>
      </c>
      <c r="FMU616" s="17">
        <v>44925</v>
      </c>
      <c r="FMV616" s="5" t="s">
        <v>3728</v>
      </c>
      <c r="FMW616" s="17">
        <v>44925</v>
      </c>
      <c r="FMX616" s="5" t="s">
        <v>3728</v>
      </c>
      <c r="FMY616" s="17">
        <v>44925</v>
      </c>
      <c r="FMZ616" s="5" t="s">
        <v>3728</v>
      </c>
      <c r="FNA616" s="17">
        <v>44925</v>
      </c>
      <c r="FNB616" s="5" t="s">
        <v>3728</v>
      </c>
      <c r="FNC616" s="17">
        <v>44925</v>
      </c>
      <c r="FND616" s="5" t="s">
        <v>3728</v>
      </c>
      <c r="FNE616" s="17">
        <v>44925</v>
      </c>
      <c r="FNF616" s="5" t="s">
        <v>3728</v>
      </c>
      <c r="FNG616" s="17">
        <v>44925</v>
      </c>
      <c r="FNH616" s="5" t="s">
        <v>3728</v>
      </c>
      <c r="FNI616" s="17">
        <v>44925</v>
      </c>
      <c r="FNJ616" s="5" t="s">
        <v>3728</v>
      </c>
      <c r="FNK616" s="17">
        <v>44925</v>
      </c>
      <c r="FNL616" s="5" t="s">
        <v>3728</v>
      </c>
      <c r="FNM616" s="17">
        <v>44925</v>
      </c>
      <c r="FNN616" s="5" t="s">
        <v>3728</v>
      </c>
      <c r="FNO616" s="17">
        <v>44925</v>
      </c>
      <c r="FNP616" s="5" t="s">
        <v>3728</v>
      </c>
      <c r="FNQ616" s="17">
        <v>44925</v>
      </c>
      <c r="FNR616" s="5" t="s">
        <v>3728</v>
      </c>
      <c r="FNS616" s="17">
        <v>44925</v>
      </c>
      <c r="FNT616" s="5" t="s">
        <v>3728</v>
      </c>
      <c r="FNU616" s="17">
        <v>44925</v>
      </c>
      <c r="FNV616" s="5" t="s">
        <v>3728</v>
      </c>
      <c r="FNW616" s="17">
        <v>44925</v>
      </c>
      <c r="FNX616" s="5" t="s">
        <v>3728</v>
      </c>
      <c r="FNY616" s="17">
        <v>44925</v>
      </c>
      <c r="FNZ616" s="5" t="s">
        <v>3728</v>
      </c>
      <c r="FOA616" s="17">
        <v>44925</v>
      </c>
      <c r="FOB616" s="5" t="s">
        <v>3728</v>
      </c>
      <c r="FOC616" s="17">
        <v>44925</v>
      </c>
      <c r="FOD616" s="5" t="s">
        <v>3728</v>
      </c>
      <c r="FOE616" s="17">
        <v>44925</v>
      </c>
      <c r="FOF616" s="5" t="s">
        <v>3728</v>
      </c>
      <c r="FOG616" s="17">
        <v>44925</v>
      </c>
      <c r="FOH616" s="5" t="s">
        <v>3728</v>
      </c>
      <c r="FOI616" s="17">
        <v>44925</v>
      </c>
      <c r="FOJ616" s="5" t="s">
        <v>3728</v>
      </c>
      <c r="FOK616" s="17">
        <v>44925</v>
      </c>
      <c r="FOL616" s="5" t="s">
        <v>3728</v>
      </c>
      <c r="FOM616" s="17">
        <v>44925</v>
      </c>
      <c r="FON616" s="5" t="s">
        <v>3728</v>
      </c>
      <c r="FOO616" s="17">
        <v>44925</v>
      </c>
      <c r="FOP616" s="5" t="s">
        <v>3728</v>
      </c>
      <c r="FOQ616" s="17">
        <v>44925</v>
      </c>
      <c r="FOR616" s="5" t="s">
        <v>3728</v>
      </c>
      <c r="FOS616" s="17">
        <v>44925</v>
      </c>
      <c r="FOT616" s="5" t="s">
        <v>3728</v>
      </c>
      <c r="FOU616" s="17">
        <v>44925</v>
      </c>
      <c r="FOV616" s="5" t="s">
        <v>3728</v>
      </c>
      <c r="FOW616" s="17">
        <v>44925</v>
      </c>
      <c r="FOX616" s="5" t="s">
        <v>3728</v>
      </c>
      <c r="FOY616" s="17">
        <v>44925</v>
      </c>
      <c r="FOZ616" s="5" t="s">
        <v>3728</v>
      </c>
      <c r="FPA616" s="17">
        <v>44925</v>
      </c>
      <c r="FPB616" s="5" t="s">
        <v>3728</v>
      </c>
      <c r="FPC616" s="17">
        <v>44925</v>
      </c>
      <c r="FPD616" s="5" t="s">
        <v>3728</v>
      </c>
      <c r="FPE616" s="17">
        <v>44925</v>
      </c>
      <c r="FPF616" s="5" t="s">
        <v>3728</v>
      </c>
      <c r="FPG616" s="17">
        <v>44925</v>
      </c>
      <c r="FPH616" s="5" t="s">
        <v>3728</v>
      </c>
      <c r="FPI616" s="17">
        <v>44925</v>
      </c>
      <c r="FPJ616" s="5" t="s">
        <v>3728</v>
      </c>
      <c r="FPK616" s="17">
        <v>44925</v>
      </c>
      <c r="FPL616" s="5" t="s">
        <v>3728</v>
      </c>
      <c r="FPM616" s="17">
        <v>44925</v>
      </c>
      <c r="FPN616" s="5" t="s">
        <v>3728</v>
      </c>
      <c r="FPO616" s="17">
        <v>44925</v>
      </c>
      <c r="FPP616" s="5" t="s">
        <v>3728</v>
      </c>
      <c r="FPQ616" s="17">
        <v>44925</v>
      </c>
      <c r="FPR616" s="5" t="s">
        <v>3728</v>
      </c>
      <c r="FPS616" s="17">
        <v>44925</v>
      </c>
      <c r="FPT616" s="5" t="s">
        <v>3728</v>
      </c>
      <c r="FPU616" s="17">
        <v>44925</v>
      </c>
      <c r="FPV616" s="5" t="s">
        <v>3728</v>
      </c>
      <c r="FPW616" s="17">
        <v>44925</v>
      </c>
      <c r="FPX616" s="5" t="s">
        <v>3728</v>
      </c>
      <c r="FPY616" s="17">
        <v>44925</v>
      </c>
      <c r="FPZ616" s="5" t="s">
        <v>3728</v>
      </c>
      <c r="FQA616" s="17">
        <v>44925</v>
      </c>
      <c r="FQB616" s="5" t="s">
        <v>3728</v>
      </c>
      <c r="FQC616" s="17">
        <v>44925</v>
      </c>
      <c r="FQD616" s="5" t="s">
        <v>3728</v>
      </c>
      <c r="FQE616" s="17">
        <v>44925</v>
      </c>
      <c r="FQF616" s="5" t="s">
        <v>3728</v>
      </c>
      <c r="FQG616" s="17">
        <v>44925</v>
      </c>
      <c r="FQH616" s="5" t="s">
        <v>3728</v>
      </c>
      <c r="FQI616" s="17">
        <v>44925</v>
      </c>
      <c r="FQJ616" s="5" t="s">
        <v>3728</v>
      </c>
      <c r="FQK616" s="17">
        <v>44925</v>
      </c>
      <c r="FQL616" s="5" t="s">
        <v>3728</v>
      </c>
      <c r="FQM616" s="17">
        <v>44925</v>
      </c>
      <c r="FQN616" s="5" t="s">
        <v>3728</v>
      </c>
      <c r="FQO616" s="17">
        <v>44925</v>
      </c>
      <c r="FQP616" s="5" t="s">
        <v>3728</v>
      </c>
      <c r="FQQ616" s="17">
        <v>44925</v>
      </c>
      <c r="FQR616" s="5" t="s">
        <v>3728</v>
      </c>
      <c r="FQS616" s="17">
        <v>44925</v>
      </c>
      <c r="FQT616" s="5" t="s">
        <v>3728</v>
      </c>
      <c r="FQU616" s="17">
        <v>44925</v>
      </c>
      <c r="FQV616" s="5" t="s">
        <v>3728</v>
      </c>
      <c r="FQW616" s="17">
        <v>44925</v>
      </c>
      <c r="FQX616" s="5" t="s">
        <v>3728</v>
      </c>
      <c r="FQY616" s="17">
        <v>44925</v>
      </c>
      <c r="FQZ616" s="5" t="s">
        <v>3728</v>
      </c>
      <c r="FRA616" s="17">
        <v>44925</v>
      </c>
      <c r="FRB616" s="5" t="s">
        <v>3728</v>
      </c>
      <c r="FRC616" s="17">
        <v>44925</v>
      </c>
      <c r="FRD616" s="5" t="s">
        <v>3728</v>
      </c>
      <c r="FRE616" s="17">
        <v>44925</v>
      </c>
      <c r="FRF616" s="5" t="s">
        <v>3728</v>
      </c>
      <c r="FRG616" s="17">
        <v>44925</v>
      </c>
      <c r="FRH616" s="5" t="s">
        <v>3728</v>
      </c>
      <c r="FRI616" s="17">
        <v>44925</v>
      </c>
      <c r="FRJ616" s="5" t="s">
        <v>3728</v>
      </c>
      <c r="FRK616" s="17">
        <v>44925</v>
      </c>
      <c r="FRL616" s="5" t="s">
        <v>3728</v>
      </c>
      <c r="FRM616" s="17">
        <v>44925</v>
      </c>
      <c r="FRN616" s="5" t="s">
        <v>3728</v>
      </c>
      <c r="FRO616" s="17">
        <v>44925</v>
      </c>
      <c r="FRP616" s="5" t="s">
        <v>3728</v>
      </c>
      <c r="FRQ616" s="17">
        <v>44925</v>
      </c>
      <c r="FRR616" s="5" t="s">
        <v>3728</v>
      </c>
      <c r="FRS616" s="17">
        <v>44925</v>
      </c>
      <c r="FRT616" s="5" t="s">
        <v>3728</v>
      </c>
      <c r="FRU616" s="17">
        <v>44925</v>
      </c>
      <c r="FRV616" s="5" t="s">
        <v>3728</v>
      </c>
      <c r="FRW616" s="17">
        <v>44925</v>
      </c>
      <c r="FRX616" s="5" t="s">
        <v>3728</v>
      </c>
      <c r="FRY616" s="17">
        <v>44925</v>
      </c>
      <c r="FRZ616" s="5" t="s">
        <v>3728</v>
      </c>
      <c r="FSA616" s="17">
        <v>44925</v>
      </c>
      <c r="FSB616" s="5" t="s">
        <v>3728</v>
      </c>
      <c r="FSC616" s="17">
        <v>44925</v>
      </c>
      <c r="FSD616" s="5" t="s">
        <v>3728</v>
      </c>
      <c r="FSE616" s="17">
        <v>44925</v>
      </c>
      <c r="FSF616" s="5" t="s">
        <v>3728</v>
      </c>
      <c r="FSG616" s="17">
        <v>44925</v>
      </c>
      <c r="FSH616" s="5" t="s">
        <v>3728</v>
      </c>
      <c r="FSI616" s="17">
        <v>44925</v>
      </c>
      <c r="FSJ616" s="5" t="s">
        <v>3728</v>
      </c>
      <c r="FSK616" s="17">
        <v>44925</v>
      </c>
      <c r="FSL616" s="5" t="s">
        <v>3728</v>
      </c>
      <c r="FSM616" s="17">
        <v>44925</v>
      </c>
      <c r="FSN616" s="5" t="s">
        <v>3728</v>
      </c>
      <c r="FSO616" s="17">
        <v>44925</v>
      </c>
      <c r="FSP616" s="5" t="s">
        <v>3728</v>
      </c>
      <c r="FSQ616" s="17">
        <v>44925</v>
      </c>
      <c r="FSR616" s="5" t="s">
        <v>3728</v>
      </c>
      <c r="FSS616" s="17">
        <v>44925</v>
      </c>
      <c r="FST616" s="5" t="s">
        <v>3728</v>
      </c>
      <c r="FSU616" s="17">
        <v>44925</v>
      </c>
      <c r="FSV616" s="5" t="s">
        <v>3728</v>
      </c>
      <c r="FSW616" s="17">
        <v>44925</v>
      </c>
      <c r="FSX616" s="5" t="s">
        <v>3728</v>
      </c>
      <c r="FSY616" s="17">
        <v>44925</v>
      </c>
      <c r="FSZ616" s="5" t="s">
        <v>3728</v>
      </c>
      <c r="FTA616" s="17">
        <v>44925</v>
      </c>
      <c r="FTB616" s="5" t="s">
        <v>3728</v>
      </c>
      <c r="FTC616" s="17">
        <v>44925</v>
      </c>
      <c r="FTD616" s="5" t="s">
        <v>3728</v>
      </c>
      <c r="FTE616" s="17">
        <v>44925</v>
      </c>
      <c r="FTF616" s="5" t="s">
        <v>3728</v>
      </c>
      <c r="FTG616" s="17">
        <v>44925</v>
      </c>
      <c r="FTH616" s="5" t="s">
        <v>3728</v>
      </c>
      <c r="FTI616" s="17">
        <v>44925</v>
      </c>
      <c r="FTJ616" s="5" t="s">
        <v>3728</v>
      </c>
      <c r="FTK616" s="17">
        <v>44925</v>
      </c>
      <c r="FTL616" s="5" t="s">
        <v>3728</v>
      </c>
      <c r="FTM616" s="17">
        <v>44925</v>
      </c>
      <c r="FTN616" s="5" t="s">
        <v>3728</v>
      </c>
      <c r="FTO616" s="17">
        <v>44925</v>
      </c>
      <c r="FTP616" s="5" t="s">
        <v>3728</v>
      </c>
      <c r="FTQ616" s="17">
        <v>44925</v>
      </c>
      <c r="FTR616" s="5" t="s">
        <v>3728</v>
      </c>
      <c r="FTS616" s="17">
        <v>44925</v>
      </c>
      <c r="FTT616" s="5" t="s">
        <v>3728</v>
      </c>
      <c r="FTU616" s="17">
        <v>44925</v>
      </c>
      <c r="FTV616" s="5" t="s">
        <v>3728</v>
      </c>
      <c r="FTW616" s="17">
        <v>44925</v>
      </c>
      <c r="FTX616" s="5" t="s">
        <v>3728</v>
      </c>
      <c r="FTY616" s="17">
        <v>44925</v>
      </c>
      <c r="FTZ616" s="5" t="s">
        <v>3728</v>
      </c>
      <c r="FUA616" s="17">
        <v>44925</v>
      </c>
      <c r="FUB616" s="5" t="s">
        <v>3728</v>
      </c>
      <c r="FUC616" s="17">
        <v>44925</v>
      </c>
      <c r="FUD616" s="5" t="s">
        <v>3728</v>
      </c>
      <c r="FUE616" s="17">
        <v>44925</v>
      </c>
      <c r="FUF616" s="5" t="s">
        <v>3728</v>
      </c>
      <c r="FUG616" s="17">
        <v>44925</v>
      </c>
      <c r="FUH616" s="5" t="s">
        <v>3728</v>
      </c>
      <c r="FUI616" s="17">
        <v>44925</v>
      </c>
      <c r="FUJ616" s="5" t="s">
        <v>3728</v>
      </c>
      <c r="FUK616" s="17">
        <v>44925</v>
      </c>
      <c r="FUL616" s="5" t="s">
        <v>3728</v>
      </c>
      <c r="FUM616" s="17">
        <v>44925</v>
      </c>
      <c r="FUN616" s="5" t="s">
        <v>3728</v>
      </c>
      <c r="FUO616" s="17">
        <v>44925</v>
      </c>
      <c r="FUP616" s="5" t="s">
        <v>3728</v>
      </c>
      <c r="FUQ616" s="17">
        <v>44925</v>
      </c>
      <c r="FUR616" s="5" t="s">
        <v>3728</v>
      </c>
      <c r="FUS616" s="17">
        <v>44925</v>
      </c>
      <c r="FUT616" s="5" t="s">
        <v>3728</v>
      </c>
      <c r="FUU616" s="17">
        <v>44925</v>
      </c>
      <c r="FUV616" s="5" t="s">
        <v>3728</v>
      </c>
      <c r="FUW616" s="17">
        <v>44925</v>
      </c>
      <c r="FUX616" s="5" t="s">
        <v>3728</v>
      </c>
      <c r="FUY616" s="17">
        <v>44925</v>
      </c>
      <c r="FUZ616" s="5" t="s">
        <v>3728</v>
      </c>
      <c r="FVA616" s="17">
        <v>44925</v>
      </c>
      <c r="FVB616" s="5" t="s">
        <v>3728</v>
      </c>
      <c r="FVC616" s="17">
        <v>44925</v>
      </c>
      <c r="FVD616" s="5" t="s">
        <v>3728</v>
      </c>
      <c r="FVE616" s="17">
        <v>44925</v>
      </c>
      <c r="FVF616" s="5" t="s">
        <v>3728</v>
      </c>
      <c r="FVG616" s="17">
        <v>44925</v>
      </c>
      <c r="FVH616" s="5" t="s">
        <v>3728</v>
      </c>
      <c r="FVI616" s="17">
        <v>44925</v>
      </c>
      <c r="FVJ616" s="5" t="s">
        <v>3728</v>
      </c>
      <c r="FVK616" s="17">
        <v>44925</v>
      </c>
      <c r="FVL616" s="5" t="s">
        <v>3728</v>
      </c>
      <c r="FVM616" s="17">
        <v>44925</v>
      </c>
      <c r="FVN616" s="5" t="s">
        <v>3728</v>
      </c>
      <c r="FVO616" s="17">
        <v>44925</v>
      </c>
      <c r="FVP616" s="5" t="s">
        <v>3728</v>
      </c>
      <c r="FVQ616" s="17">
        <v>44925</v>
      </c>
      <c r="FVR616" s="5" t="s">
        <v>3728</v>
      </c>
      <c r="FVS616" s="17">
        <v>44925</v>
      </c>
      <c r="FVT616" s="5" t="s">
        <v>3728</v>
      </c>
      <c r="FVU616" s="17">
        <v>44925</v>
      </c>
      <c r="FVV616" s="5" t="s">
        <v>3728</v>
      </c>
      <c r="FVW616" s="17">
        <v>44925</v>
      </c>
      <c r="FVX616" s="5" t="s">
        <v>3728</v>
      </c>
      <c r="FVY616" s="17">
        <v>44925</v>
      </c>
      <c r="FVZ616" s="5" t="s">
        <v>3728</v>
      </c>
      <c r="FWA616" s="17">
        <v>44925</v>
      </c>
      <c r="FWB616" s="5" t="s">
        <v>3728</v>
      </c>
      <c r="FWC616" s="17">
        <v>44925</v>
      </c>
      <c r="FWD616" s="5" t="s">
        <v>3728</v>
      </c>
      <c r="FWE616" s="17">
        <v>44925</v>
      </c>
      <c r="FWF616" s="5" t="s">
        <v>3728</v>
      </c>
      <c r="FWG616" s="17">
        <v>44925</v>
      </c>
      <c r="FWH616" s="5" t="s">
        <v>3728</v>
      </c>
      <c r="FWI616" s="17">
        <v>44925</v>
      </c>
      <c r="FWJ616" s="5" t="s">
        <v>3728</v>
      </c>
      <c r="FWK616" s="17">
        <v>44925</v>
      </c>
      <c r="FWL616" s="5" t="s">
        <v>3728</v>
      </c>
      <c r="FWM616" s="17">
        <v>44925</v>
      </c>
      <c r="FWN616" s="5" t="s">
        <v>3728</v>
      </c>
      <c r="FWO616" s="17">
        <v>44925</v>
      </c>
      <c r="FWP616" s="5" t="s">
        <v>3728</v>
      </c>
      <c r="FWQ616" s="17">
        <v>44925</v>
      </c>
      <c r="FWR616" s="5" t="s">
        <v>3728</v>
      </c>
      <c r="FWS616" s="17">
        <v>44925</v>
      </c>
      <c r="FWT616" s="5" t="s">
        <v>3728</v>
      </c>
      <c r="FWU616" s="17">
        <v>44925</v>
      </c>
      <c r="FWV616" s="5" t="s">
        <v>3728</v>
      </c>
      <c r="FWW616" s="17">
        <v>44925</v>
      </c>
      <c r="FWX616" s="5" t="s">
        <v>3728</v>
      </c>
      <c r="FWY616" s="17">
        <v>44925</v>
      </c>
      <c r="FWZ616" s="5" t="s">
        <v>3728</v>
      </c>
      <c r="FXA616" s="17">
        <v>44925</v>
      </c>
      <c r="FXB616" s="5" t="s">
        <v>3728</v>
      </c>
      <c r="FXC616" s="17">
        <v>44925</v>
      </c>
      <c r="FXD616" s="5" t="s">
        <v>3728</v>
      </c>
      <c r="FXE616" s="17">
        <v>44925</v>
      </c>
      <c r="FXF616" s="5" t="s">
        <v>3728</v>
      </c>
      <c r="FXG616" s="17">
        <v>44925</v>
      </c>
      <c r="FXH616" s="5" t="s">
        <v>3728</v>
      </c>
      <c r="FXI616" s="17">
        <v>44925</v>
      </c>
      <c r="FXJ616" s="5" t="s">
        <v>3728</v>
      </c>
      <c r="FXK616" s="17">
        <v>44925</v>
      </c>
      <c r="FXL616" s="5" t="s">
        <v>3728</v>
      </c>
      <c r="FXM616" s="17">
        <v>44925</v>
      </c>
      <c r="FXN616" s="5" t="s">
        <v>3728</v>
      </c>
      <c r="FXO616" s="17">
        <v>44925</v>
      </c>
      <c r="FXP616" s="5" t="s">
        <v>3728</v>
      </c>
      <c r="FXQ616" s="17">
        <v>44925</v>
      </c>
      <c r="FXR616" s="5" t="s">
        <v>3728</v>
      </c>
      <c r="FXS616" s="17">
        <v>44925</v>
      </c>
      <c r="FXT616" s="5" t="s">
        <v>3728</v>
      </c>
      <c r="FXU616" s="17">
        <v>44925</v>
      </c>
      <c r="FXV616" s="5" t="s">
        <v>3728</v>
      </c>
      <c r="FXW616" s="17">
        <v>44925</v>
      </c>
      <c r="FXX616" s="5" t="s">
        <v>3728</v>
      </c>
      <c r="FXY616" s="17">
        <v>44925</v>
      </c>
      <c r="FXZ616" s="5" t="s">
        <v>3728</v>
      </c>
      <c r="FYA616" s="17">
        <v>44925</v>
      </c>
      <c r="FYB616" s="5" t="s">
        <v>3728</v>
      </c>
      <c r="FYC616" s="17">
        <v>44925</v>
      </c>
      <c r="FYD616" s="5" t="s">
        <v>3728</v>
      </c>
      <c r="FYE616" s="17">
        <v>44925</v>
      </c>
      <c r="FYF616" s="5" t="s">
        <v>3728</v>
      </c>
      <c r="FYG616" s="17">
        <v>44925</v>
      </c>
      <c r="FYH616" s="5" t="s">
        <v>3728</v>
      </c>
      <c r="FYI616" s="17">
        <v>44925</v>
      </c>
      <c r="FYJ616" s="5" t="s">
        <v>3728</v>
      </c>
      <c r="FYK616" s="17">
        <v>44925</v>
      </c>
      <c r="FYL616" s="5" t="s">
        <v>3728</v>
      </c>
      <c r="FYM616" s="17">
        <v>44925</v>
      </c>
      <c r="FYN616" s="5" t="s">
        <v>3728</v>
      </c>
      <c r="FYO616" s="17">
        <v>44925</v>
      </c>
      <c r="FYP616" s="5" t="s">
        <v>3728</v>
      </c>
      <c r="FYQ616" s="17">
        <v>44925</v>
      </c>
      <c r="FYR616" s="5" t="s">
        <v>3728</v>
      </c>
      <c r="FYS616" s="17">
        <v>44925</v>
      </c>
      <c r="FYT616" s="5" t="s">
        <v>3728</v>
      </c>
      <c r="FYU616" s="17">
        <v>44925</v>
      </c>
      <c r="FYV616" s="5" t="s">
        <v>3728</v>
      </c>
      <c r="FYW616" s="17">
        <v>44925</v>
      </c>
      <c r="FYX616" s="5" t="s">
        <v>3728</v>
      </c>
      <c r="FYY616" s="17">
        <v>44925</v>
      </c>
      <c r="FYZ616" s="5" t="s">
        <v>3728</v>
      </c>
      <c r="FZA616" s="17">
        <v>44925</v>
      </c>
      <c r="FZB616" s="5" t="s">
        <v>3728</v>
      </c>
      <c r="FZC616" s="17">
        <v>44925</v>
      </c>
      <c r="FZD616" s="5" t="s">
        <v>3728</v>
      </c>
      <c r="FZE616" s="17">
        <v>44925</v>
      </c>
      <c r="FZF616" s="5" t="s">
        <v>3728</v>
      </c>
      <c r="FZG616" s="17">
        <v>44925</v>
      </c>
      <c r="FZH616" s="5" t="s">
        <v>3728</v>
      </c>
      <c r="FZI616" s="17">
        <v>44925</v>
      </c>
      <c r="FZJ616" s="5" t="s">
        <v>3728</v>
      </c>
      <c r="FZK616" s="17">
        <v>44925</v>
      </c>
      <c r="FZL616" s="5" t="s">
        <v>3728</v>
      </c>
      <c r="FZM616" s="17">
        <v>44925</v>
      </c>
      <c r="FZN616" s="5" t="s">
        <v>3728</v>
      </c>
      <c r="FZO616" s="17">
        <v>44925</v>
      </c>
      <c r="FZP616" s="5" t="s">
        <v>3728</v>
      </c>
      <c r="FZQ616" s="17">
        <v>44925</v>
      </c>
      <c r="FZR616" s="5" t="s">
        <v>3728</v>
      </c>
      <c r="FZS616" s="17">
        <v>44925</v>
      </c>
      <c r="FZT616" s="5" t="s">
        <v>3728</v>
      </c>
      <c r="FZU616" s="17">
        <v>44925</v>
      </c>
      <c r="FZV616" s="5" t="s">
        <v>3728</v>
      </c>
      <c r="FZW616" s="17">
        <v>44925</v>
      </c>
      <c r="FZX616" s="5" t="s">
        <v>3728</v>
      </c>
      <c r="FZY616" s="17">
        <v>44925</v>
      </c>
      <c r="FZZ616" s="5" t="s">
        <v>3728</v>
      </c>
      <c r="GAA616" s="17">
        <v>44925</v>
      </c>
      <c r="GAB616" s="5" t="s">
        <v>3728</v>
      </c>
      <c r="GAC616" s="17">
        <v>44925</v>
      </c>
      <c r="GAD616" s="5" t="s">
        <v>3728</v>
      </c>
      <c r="GAE616" s="17">
        <v>44925</v>
      </c>
      <c r="GAF616" s="5" t="s">
        <v>3728</v>
      </c>
      <c r="GAG616" s="17">
        <v>44925</v>
      </c>
      <c r="GAH616" s="5" t="s">
        <v>3728</v>
      </c>
      <c r="GAI616" s="17">
        <v>44925</v>
      </c>
      <c r="GAJ616" s="5" t="s">
        <v>3728</v>
      </c>
      <c r="GAK616" s="17">
        <v>44925</v>
      </c>
      <c r="GAL616" s="5" t="s">
        <v>3728</v>
      </c>
      <c r="GAM616" s="17">
        <v>44925</v>
      </c>
      <c r="GAN616" s="5" t="s">
        <v>3728</v>
      </c>
      <c r="GAO616" s="17">
        <v>44925</v>
      </c>
      <c r="GAP616" s="5" t="s">
        <v>3728</v>
      </c>
      <c r="GAQ616" s="17">
        <v>44925</v>
      </c>
      <c r="GAR616" s="5" t="s">
        <v>3728</v>
      </c>
      <c r="GAS616" s="17">
        <v>44925</v>
      </c>
      <c r="GAT616" s="5" t="s">
        <v>3728</v>
      </c>
      <c r="GAU616" s="17">
        <v>44925</v>
      </c>
      <c r="GAV616" s="5" t="s">
        <v>3728</v>
      </c>
      <c r="GAW616" s="17">
        <v>44925</v>
      </c>
      <c r="GAX616" s="5" t="s">
        <v>3728</v>
      </c>
      <c r="GAY616" s="17">
        <v>44925</v>
      </c>
      <c r="GAZ616" s="5" t="s">
        <v>3728</v>
      </c>
      <c r="GBA616" s="17">
        <v>44925</v>
      </c>
      <c r="GBB616" s="5" t="s">
        <v>3728</v>
      </c>
      <c r="GBC616" s="17">
        <v>44925</v>
      </c>
      <c r="GBD616" s="5" t="s">
        <v>3728</v>
      </c>
      <c r="GBE616" s="17">
        <v>44925</v>
      </c>
      <c r="GBF616" s="5" t="s">
        <v>3728</v>
      </c>
      <c r="GBG616" s="17">
        <v>44925</v>
      </c>
      <c r="GBH616" s="5" t="s">
        <v>3728</v>
      </c>
      <c r="GBI616" s="17">
        <v>44925</v>
      </c>
      <c r="GBJ616" s="5" t="s">
        <v>3728</v>
      </c>
      <c r="GBK616" s="17">
        <v>44925</v>
      </c>
      <c r="GBL616" s="5" t="s">
        <v>3728</v>
      </c>
      <c r="GBM616" s="17">
        <v>44925</v>
      </c>
      <c r="GBN616" s="5" t="s">
        <v>3728</v>
      </c>
      <c r="GBO616" s="17">
        <v>44925</v>
      </c>
      <c r="GBP616" s="5" t="s">
        <v>3728</v>
      </c>
      <c r="GBQ616" s="17">
        <v>44925</v>
      </c>
      <c r="GBR616" s="5" t="s">
        <v>3728</v>
      </c>
      <c r="GBS616" s="17">
        <v>44925</v>
      </c>
      <c r="GBT616" s="5" t="s">
        <v>3728</v>
      </c>
      <c r="GBU616" s="17">
        <v>44925</v>
      </c>
      <c r="GBV616" s="5" t="s">
        <v>3728</v>
      </c>
      <c r="GBW616" s="17">
        <v>44925</v>
      </c>
      <c r="GBX616" s="5" t="s">
        <v>3728</v>
      </c>
      <c r="GBY616" s="17">
        <v>44925</v>
      </c>
      <c r="GBZ616" s="5" t="s">
        <v>3728</v>
      </c>
      <c r="GCA616" s="17">
        <v>44925</v>
      </c>
      <c r="GCB616" s="5" t="s">
        <v>3728</v>
      </c>
      <c r="GCC616" s="17">
        <v>44925</v>
      </c>
      <c r="GCD616" s="5" t="s">
        <v>3728</v>
      </c>
      <c r="GCE616" s="17">
        <v>44925</v>
      </c>
      <c r="GCF616" s="5" t="s">
        <v>3728</v>
      </c>
      <c r="GCG616" s="17">
        <v>44925</v>
      </c>
      <c r="GCH616" s="5" t="s">
        <v>3728</v>
      </c>
      <c r="GCI616" s="17">
        <v>44925</v>
      </c>
      <c r="GCJ616" s="5" t="s">
        <v>3728</v>
      </c>
      <c r="GCK616" s="17">
        <v>44925</v>
      </c>
      <c r="GCL616" s="5" t="s">
        <v>3728</v>
      </c>
      <c r="GCM616" s="17">
        <v>44925</v>
      </c>
      <c r="GCN616" s="5" t="s">
        <v>3728</v>
      </c>
      <c r="GCO616" s="17">
        <v>44925</v>
      </c>
      <c r="GCP616" s="5" t="s">
        <v>3728</v>
      </c>
      <c r="GCQ616" s="17">
        <v>44925</v>
      </c>
      <c r="GCR616" s="5" t="s">
        <v>3728</v>
      </c>
      <c r="GCS616" s="17">
        <v>44925</v>
      </c>
      <c r="GCT616" s="5" t="s">
        <v>3728</v>
      </c>
      <c r="GCU616" s="17">
        <v>44925</v>
      </c>
      <c r="GCV616" s="5" t="s">
        <v>3728</v>
      </c>
      <c r="GCW616" s="17">
        <v>44925</v>
      </c>
      <c r="GCX616" s="5" t="s">
        <v>3728</v>
      </c>
      <c r="GCY616" s="17">
        <v>44925</v>
      </c>
      <c r="GCZ616" s="5" t="s">
        <v>3728</v>
      </c>
      <c r="GDA616" s="17">
        <v>44925</v>
      </c>
      <c r="GDB616" s="5" t="s">
        <v>3728</v>
      </c>
      <c r="GDC616" s="17">
        <v>44925</v>
      </c>
      <c r="GDD616" s="5" t="s">
        <v>3728</v>
      </c>
      <c r="GDE616" s="17">
        <v>44925</v>
      </c>
      <c r="GDF616" s="5" t="s">
        <v>3728</v>
      </c>
      <c r="GDG616" s="17">
        <v>44925</v>
      </c>
      <c r="GDH616" s="5" t="s">
        <v>3728</v>
      </c>
      <c r="GDI616" s="17">
        <v>44925</v>
      </c>
      <c r="GDJ616" s="5" t="s">
        <v>3728</v>
      </c>
      <c r="GDK616" s="17">
        <v>44925</v>
      </c>
      <c r="GDL616" s="5" t="s">
        <v>3728</v>
      </c>
      <c r="GDM616" s="17">
        <v>44925</v>
      </c>
      <c r="GDN616" s="5" t="s">
        <v>3728</v>
      </c>
      <c r="GDO616" s="17">
        <v>44925</v>
      </c>
      <c r="GDP616" s="5" t="s">
        <v>3728</v>
      </c>
      <c r="GDQ616" s="17">
        <v>44925</v>
      </c>
      <c r="GDR616" s="5" t="s">
        <v>3728</v>
      </c>
      <c r="GDS616" s="17">
        <v>44925</v>
      </c>
      <c r="GDT616" s="5" t="s">
        <v>3728</v>
      </c>
      <c r="GDU616" s="17">
        <v>44925</v>
      </c>
      <c r="GDV616" s="5" t="s">
        <v>3728</v>
      </c>
      <c r="GDW616" s="17">
        <v>44925</v>
      </c>
      <c r="GDX616" s="5" t="s">
        <v>3728</v>
      </c>
      <c r="GDY616" s="17">
        <v>44925</v>
      </c>
      <c r="GDZ616" s="5" t="s">
        <v>3728</v>
      </c>
      <c r="GEA616" s="17">
        <v>44925</v>
      </c>
      <c r="GEB616" s="5" t="s">
        <v>3728</v>
      </c>
      <c r="GEC616" s="17">
        <v>44925</v>
      </c>
      <c r="GED616" s="5" t="s">
        <v>3728</v>
      </c>
      <c r="GEE616" s="17">
        <v>44925</v>
      </c>
      <c r="GEF616" s="5" t="s">
        <v>3728</v>
      </c>
      <c r="GEG616" s="17">
        <v>44925</v>
      </c>
      <c r="GEH616" s="5" t="s">
        <v>3728</v>
      </c>
      <c r="GEI616" s="17">
        <v>44925</v>
      </c>
      <c r="GEJ616" s="5" t="s">
        <v>3728</v>
      </c>
      <c r="GEK616" s="17">
        <v>44925</v>
      </c>
      <c r="GEL616" s="5" t="s">
        <v>3728</v>
      </c>
      <c r="GEM616" s="17">
        <v>44925</v>
      </c>
      <c r="GEN616" s="5" t="s">
        <v>3728</v>
      </c>
      <c r="GEO616" s="17">
        <v>44925</v>
      </c>
      <c r="GEP616" s="5" t="s">
        <v>3728</v>
      </c>
      <c r="GEQ616" s="17">
        <v>44925</v>
      </c>
      <c r="GER616" s="5" t="s">
        <v>3728</v>
      </c>
      <c r="GES616" s="17">
        <v>44925</v>
      </c>
      <c r="GET616" s="5" t="s">
        <v>3728</v>
      </c>
      <c r="GEU616" s="17">
        <v>44925</v>
      </c>
      <c r="GEV616" s="5" t="s">
        <v>3728</v>
      </c>
      <c r="GEW616" s="17">
        <v>44925</v>
      </c>
      <c r="GEX616" s="5" t="s">
        <v>3728</v>
      </c>
      <c r="GEY616" s="17">
        <v>44925</v>
      </c>
      <c r="GEZ616" s="5" t="s">
        <v>3728</v>
      </c>
      <c r="GFA616" s="17">
        <v>44925</v>
      </c>
      <c r="GFB616" s="5" t="s">
        <v>3728</v>
      </c>
      <c r="GFC616" s="17">
        <v>44925</v>
      </c>
      <c r="GFD616" s="5" t="s">
        <v>3728</v>
      </c>
      <c r="GFE616" s="17">
        <v>44925</v>
      </c>
      <c r="GFF616" s="5" t="s">
        <v>3728</v>
      </c>
      <c r="GFG616" s="17">
        <v>44925</v>
      </c>
      <c r="GFH616" s="5" t="s">
        <v>3728</v>
      </c>
      <c r="GFI616" s="17">
        <v>44925</v>
      </c>
      <c r="GFJ616" s="5" t="s">
        <v>3728</v>
      </c>
      <c r="GFK616" s="17">
        <v>44925</v>
      </c>
      <c r="GFL616" s="5" t="s">
        <v>3728</v>
      </c>
      <c r="GFM616" s="17">
        <v>44925</v>
      </c>
      <c r="GFN616" s="5" t="s">
        <v>3728</v>
      </c>
      <c r="GFO616" s="17">
        <v>44925</v>
      </c>
      <c r="GFP616" s="5" t="s">
        <v>3728</v>
      </c>
      <c r="GFQ616" s="17">
        <v>44925</v>
      </c>
      <c r="GFR616" s="5" t="s">
        <v>3728</v>
      </c>
      <c r="GFS616" s="17">
        <v>44925</v>
      </c>
      <c r="GFT616" s="5" t="s">
        <v>3728</v>
      </c>
      <c r="GFU616" s="17">
        <v>44925</v>
      </c>
      <c r="GFV616" s="5" t="s">
        <v>3728</v>
      </c>
      <c r="GFW616" s="17">
        <v>44925</v>
      </c>
      <c r="GFX616" s="5" t="s">
        <v>3728</v>
      </c>
      <c r="GFY616" s="17">
        <v>44925</v>
      </c>
      <c r="GFZ616" s="5" t="s">
        <v>3728</v>
      </c>
      <c r="GGA616" s="17">
        <v>44925</v>
      </c>
      <c r="GGB616" s="5" t="s">
        <v>3728</v>
      </c>
      <c r="GGC616" s="17">
        <v>44925</v>
      </c>
      <c r="GGD616" s="5" t="s">
        <v>3728</v>
      </c>
      <c r="GGE616" s="17">
        <v>44925</v>
      </c>
      <c r="GGF616" s="5" t="s">
        <v>3728</v>
      </c>
      <c r="GGG616" s="17">
        <v>44925</v>
      </c>
      <c r="GGH616" s="5" t="s">
        <v>3728</v>
      </c>
      <c r="GGI616" s="17">
        <v>44925</v>
      </c>
      <c r="GGJ616" s="5" t="s">
        <v>3728</v>
      </c>
      <c r="GGK616" s="17">
        <v>44925</v>
      </c>
      <c r="GGL616" s="5" t="s">
        <v>3728</v>
      </c>
      <c r="GGM616" s="17">
        <v>44925</v>
      </c>
      <c r="GGN616" s="5" t="s">
        <v>3728</v>
      </c>
      <c r="GGO616" s="17">
        <v>44925</v>
      </c>
      <c r="GGP616" s="5" t="s">
        <v>3728</v>
      </c>
      <c r="GGQ616" s="17">
        <v>44925</v>
      </c>
      <c r="GGR616" s="5" t="s">
        <v>3728</v>
      </c>
      <c r="GGS616" s="17">
        <v>44925</v>
      </c>
      <c r="GGT616" s="5" t="s">
        <v>3728</v>
      </c>
      <c r="GGU616" s="17">
        <v>44925</v>
      </c>
      <c r="GGV616" s="5" t="s">
        <v>3728</v>
      </c>
      <c r="GGW616" s="17">
        <v>44925</v>
      </c>
      <c r="GGX616" s="5" t="s">
        <v>3728</v>
      </c>
      <c r="GGY616" s="17">
        <v>44925</v>
      </c>
      <c r="GGZ616" s="5" t="s">
        <v>3728</v>
      </c>
      <c r="GHA616" s="17">
        <v>44925</v>
      </c>
      <c r="GHB616" s="5" t="s">
        <v>3728</v>
      </c>
      <c r="GHC616" s="17">
        <v>44925</v>
      </c>
      <c r="GHD616" s="5" t="s">
        <v>3728</v>
      </c>
      <c r="GHE616" s="17">
        <v>44925</v>
      </c>
      <c r="GHF616" s="5" t="s">
        <v>3728</v>
      </c>
      <c r="GHG616" s="17">
        <v>44925</v>
      </c>
      <c r="GHH616" s="5" t="s">
        <v>3728</v>
      </c>
      <c r="GHI616" s="17">
        <v>44925</v>
      </c>
      <c r="GHJ616" s="5" t="s">
        <v>3728</v>
      </c>
      <c r="GHK616" s="17">
        <v>44925</v>
      </c>
      <c r="GHL616" s="5" t="s">
        <v>3728</v>
      </c>
      <c r="GHM616" s="17">
        <v>44925</v>
      </c>
      <c r="GHN616" s="5" t="s">
        <v>3728</v>
      </c>
      <c r="GHO616" s="17">
        <v>44925</v>
      </c>
      <c r="GHP616" s="5" t="s">
        <v>3728</v>
      </c>
      <c r="GHQ616" s="17">
        <v>44925</v>
      </c>
      <c r="GHR616" s="5" t="s">
        <v>3728</v>
      </c>
      <c r="GHS616" s="17">
        <v>44925</v>
      </c>
      <c r="GHT616" s="5" t="s">
        <v>3728</v>
      </c>
      <c r="GHU616" s="17">
        <v>44925</v>
      </c>
      <c r="GHV616" s="5" t="s">
        <v>3728</v>
      </c>
      <c r="GHW616" s="17">
        <v>44925</v>
      </c>
      <c r="GHX616" s="5" t="s">
        <v>3728</v>
      </c>
      <c r="GHY616" s="17">
        <v>44925</v>
      </c>
      <c r="GHZ616" s="5" t="s">
        <v>3728</v>
      </c>
      <c r="GIA616" s="17">
        <v>44925</v>
      </c>
      <c r="GIB616" s="5" t="s">
        <v>3728</v>
      </c>
      <c r="GIC616" s="17">
        <v>44925</v>
      </c>
      <c r="GID616" s="5" t="s">
        <v>3728</v>
      </c>
      <c r="GIE616" s="17">
        <v>44925</v>
      </c>
      <c r="GIF616" s="5" t="s">
        <v>3728</v>
      </c>
      <c r="GIG616" s="17">
        <v>44925</v>
      </c>
      <c r="GIH616" s="5" t="s">
        <v>3728</v>
      </c>
      <c r="GII616" s="17">
        <v>44925</v>
      </c>
      <c r="GIJ616" s="5" t="s">
        <v>3728</v>
      </c>
      <c r="GIK616" s="17">
        <v>44925</v>
      </c>
      <c r="GIL616" s="5" t="s">
        <v>3728</v>
      </c>
      <c r="GIM616" s="17">
        <v>44925</v>
      </c>
      <c r="GIN616" s="5" t="s">
        <v>3728</v>
      </c>
      <c r="GIO616" s="17">
        <v>44925</v>
      </c>
      <c r="GIP616" s="5" t="s">
        <v>3728</v>
      </c>
      <c r="GIQ616" s="17">
        <v>44925</v>
      </c>
      <c r="GIR616" s="5" t="s">
        <v>3728</v>
      </c>
      <c r="GIS616" s="17">
        <v>44925</v>
      </c>
      <c r="GIT616" s="5" t="s">
        <v>3728</v>
      </c>
      <c r="GIU616" s="17">
        <v>44925</v>
      </c>
      <c r="GIV616" s="5" t="s">
        <v>3728</v>
      </c>
      <c r="GIW616" s="17">
        <v>44925</v>
      </c>
      <c r="GIX616" s="5" t="s">
        <v>3728</v>
      </c>
      <c r="GIY616" s="17">
        <v>44925</v>
      </c>
      <c r="GIZ616" s="5" t="s">
        <v>3728</v>
      </c>
      <c r="GJA616" s="17">
        <v>44925</v>
      </c>
      <c r="GJB616" s="5" t="s">
        <v>3728</v>
      </c>
      <c r="GJC616" s="17">
        <v>44925</v>
      </c>
      <c r="GJD616" s="5" t="s">
        <v>3728</v>
      </c>
      <c r="GJE616" s="17">
        <v>44925</v>
      </c>
      <c r="GJF616" s="5" t="s">
        <v>3728</v>
      </c>
      <c r="GJG616" s="17">
        <v>44925</v>
      </c>
      <c r="GJH616" s="5" t="s">
        <v>3728</v>
      </c>
      <c r="GJI616" s="17">
        <v>44925</v>
      </c>
      <c r="GJJ616" s="5" t="s">
        <v>3728</v>
      </c>
      <c r="GJK616" s="17">
        <v>44925</v>
      </c>
      <c r="GJL616" s="5" t="s">
        <v>3728</v>
      </c>
      <c r="GJM616" s="17">
        <v>44925</v>
      </c>
      <c r="GJN616" s="5" t="s">
        <v>3728</v>
      </c>
      <c r="GJO616" s="17">
        <v>44925</v>
      </c>
      <c r="GJP616" s="5" t="s">
        <v>3728</v>
      </c>
      <c r="GJQ616" s="17">
        <v>44925</v>
      </c>
      <c r="GJR616" s="5" t="s">
        <v>3728</v>
      </c>
      <c r="GJS616" s="17">
        <v>44925</v>
      </c>
      <c r="GJT616" s="5" t="s">
        <v>3728</v>
      </c>
      <c r="GJU616" s="17">
        <v>44925</v>
      </c>
      <c r="GJV616" s="5" t="s">
        <v>3728</v>
      </c>
      <c r="GJW616" s="17">
        <v>44925</v>
      </c>
      <c r="GJX616" s="5" t="s">
        <v>3728</v>
      </c>
      <c r="GJY616" s="17">
        <v>44925</v>
      </c>
      <c r="GJZ616" s="5" t="s">
        <v>3728</v>
      </c>
      <c r="GKA616" s="17">
        <v>44925</v>
      </c>
      <c r="GKB616" s="5" t="s">
        <v>3728</v>
      </c>
      <c r="GKC616" s="17">
        <v>44925</v>
      </c>
      <c r="GKD616" s="5" t="s">
        <v>3728</v>
      </c>
      <c r="GKE616" s="17">
        <v>44925</v>
      </c>
      <c r="GKF616" s="5" t="s">
        <v>3728</v>
      </c>
      <c r="GKG616" s="17">
        <v>44925</v>
      </c>
      <c r="GKH616" s="5" t="s">
        <v>3728</v>
      </c>
      <c r="GKI616" s="17">
        <v>44925</v>
      </c>
      <c r="GKJ616" s="5" t="s">
        <v>3728</v>
      </c>
      <c r="GKK616" s="17">
        <v>44925</v>
      </c>
      <c r="GKL616" s="5" t="s">
        <v>3728</v>
      </c>
      <c r="GKM616" s="17">
        <v>44925</v>
      </c>
      <c r="GKN616" s="5" t="s">
        <v>3728</v>
      </c>
      <c r="GKO616" s="17">
        <v>44925</v>
      </c>
      <c r="GKP616" s="5" t="s">
        <v>3728</v>
      </c>
      <c r="GKQ616" s="17">
        <v>44925</v>
      </c>
      <c r="GKR616" s="5" t="s">
        <v>3728</v>
      </c>
      <c r="GKS616" s="17">
        <v>44925</v>
      </c>
      <c r="GKT616" s="5" t="s">
        <v>3728</v>
      </c>
      <c r="GKU616" s="17">
        <v>44925</v>
      </c>
      <c r="GKV616" s="5" t="s">
        <v>3728</v>
      </c>
      <c r="GKW616" s="17">
        <v>44925</v>
      </c>
      <c r="GKX616" s="5" t="s">
        <v>3728</v>
      </c>
      <c r="GKY616" s="17">
        <v>44925</v>
      </c>
      <c r="GKZ616" s="5" t="s">
        <v>3728</v>
      </c>
      <c r="GLA616" s="17">
        <v>44925</v>
      </c>
      <c r="GLB616" s="5" t="s">
        <v>3728</v>
      </c>
      <c r="GLC616" s="17">
        <v>44925</v>
      </c>
      <c r="GLD616" s="5" t="s">
        <v>3728</v>
      </c>
      <c r="GLE616" s="17">
        <v>44925</v>
      </c>
      <c r="GLF616" s="5" t="s">
        <v>3728</v>
      </c>
      <c r="GLG616" s="17">
        <v>44925</v>
      </c>
      <c r="GLH616" s="5" t="s">
        <v>3728</v>
      </c>
      <c r="GLI616" s="17">
        <v>44925</v>
      </c>
      <c r="GLJ616" s="5" t="s">
        <v>3728</v>
      </c>
      <c r="GLK616" s="17">
        <v>44925</v>
      </c>
      <c r="GLL616" s="5" t="s">
        <v>3728</v>
      </c>
      <c r="GLM616" s="17">
        <v>44925</v>
      </c>
      <c r="GLN616" s="5" t="s">
        <v>3728</v>
      </c>
      <c r="GLO616" s="17">
        <v>44925</v>
      </c>
      <c r="GLP616" s="5" t="s">
        <v>3728</v>
      </c>
      <c r="GLQ616" s="17">
        <v>44925</v>
      </c>
      <c r="GLR616" s="5" t="s">
        <v>3728</v>
      </c>
      <c r="GLS616" s="17">
        <v>44925</v>
      </c>
      <c r="GLT616" s="5" t="s">
        <v>3728</v>
      </c>
      <c r="GLU616" s="17">
        <v>44925</v>
      </c>
      <c r="GLV616" s="5" t="s">
        <v>3728</v>
      </c>
      <c r="GLW616" s="17">
        <v>44925</v>
      </c>
      <c r="GLX616" s="5" t="s">
        <v>3728</v>
      </c>
      <c r="GLY616" s="17">
        <v>44925</v>
      </c>
      <c r="GLZ616" s="5" t="s">
        <v>3728</v>
      </c>
      <c r="GMA616" s="17">
        <v>44925</v>
      </c>
      <c r="GMB616" s="5" t="s">
        <v>3728</v>
      </c>
      <c r="GMC616" s="17">
        <v>44925</v>
      </c>
      <c r="GMD616" s="5" t="s">
        <v>3728</v>
      </c>
      <c r="GME616" s="17">
        <v>44925</v>
      </c>
      <c r="GMF616" s="5" t="s">
        <v>3728</v>
      </c>
      <c r="GMG616" s="17">
        <v>44925</v>
      </c>
      <c r="GMH616" s="5" t="s">
        <v>3728</v>
      </c>
      <c r="GMI616" s="17">
        <v>44925</v>
      </c>
      <c r="GMJ616" s="5" t="s">
        <v>3728</v>
      </c>
      <c r="GMK616" s="17">
        <v>44925</v>
      </c>
      <c r="GML616" s="5" t="s">
        <v>3728</v>
      </c>
      <c r="GMM616" s="17">
        <v>44925</v>
      </c>
      <c r="GMN616" s="5" t="s">
        <v>3728</v>
      </c>
      <c r="GMO616" s="17">
        <v>44925</v>
      </c>
      <c r="GMP616" s="5" t="s">
        <v>3728</v>
      </c>
      <c r="GMQ616" s="17">
        <v>44925</v>
      </c>
      <c r="GMR616" s="5" t="s">
        <v>3728</v>
      </c>
      <c r="GMS616" s="17">
        <v>44925</v>
      </c>
      <c r="GMT616" s="5" t="s">
        <v>3728</v>
      </c>
      <c r="GMU616" s="17">
        <v>44925</v>
      </c>
      <c r="GMV616" s="5" t="s">
        <v>3728</v>
      </c>
      <c r="GMW616" s="17">
        <v>44925</v>
      </c>
      <c r="GMX616" s="5" t="s">
        <v>3728</v>
      </c>
      <c r="GMY616" s="17">
        <v>44925</v>
      </c>
      <c r="GMZ616" s="5" t="s">
        <v>3728</v>
      </c>
      <c r="GNA616" s="17">
        <v>44925</v>
      </c>
      <c r="GNB616" s="5" t="s">
        <v>3728</v>
      </c>
      <c r="GNC616" s="17">
        <v>44925</v>
      </c>
      <c r="GND616" s="5" t="s">
        <v>3728</v>
      </c>
      <c r="GNE616" s="17">
        <v>44925</v>
      </c>
      <c r="GNF616" s="5" t="s">
        <v>3728</v>
      </c>
      <c r="GNG616" s="17">
        <v>44925</v>
      </c>
      <c r="GNH616" s="5" t="s">
        <v>3728</v>
      </c>
      <c r="GNI616" s="17">
        <v>44925</v>
      </c>
      <c r="GNJ616" s="5" t="s">
        <v>3728</v>
      </c>
      <c r="GNK616" s="17">
        <v>44925</v>
      </c>
      <c r="GNL616" s="5" t="s">
        <v>3728</v>
      </c>
      <c r="GNM616" s="17">
        <v>44925</v>
      </c>
      <c r="GNN616" s="5" t="s">
        <v>3728</v>
      </c>
      <c r="GNO616" s="17">
        <v>44925</v>
      </c>
      <c r="GNP616" s="5" t="s">
        <v>3728</v>
      </c>
      <c r="GNQ616" s="17">
        <v>44925</v>
      </c>
      <c r="GNR616" s="5" t="s">
        <v>3728</v>
      </c>
      <c r="GNS616" s="17">
        <v>44925</v>
      </c>
      <c r="GNT616" s="5" t="s">
        <v>3728</v>
      </c>
      <c r="GNU616" s="17">
        <v>44925</v>
      </c>
      <c r="GNV616" s="5" t="s">
        <v>3728</v>
      </c>
      <c r="GNW616" s="17">
        <v>44925</v>
      </c>
      <c r="GNX616" s="5" t="s">
        <v>3728</v>
      </c>
      <c r="GNY616" s="17">
        <v>44925</v>
      </c>
      <c r="GNZ616" s="5" t="s">
        <v>3728</v>
      </c>
      <c r="GOA616" s="17">
        <v>44925</v>
      </c>
      <c r="GOB616" s="5" t="s">
        <v>3728</v>
      </c>
      <c r="GOC616" s="17">
        <v>44925</v>
      </c>
      <c r="GOD616" s="5" t="s">
        <v>3728</v>
      </c>
      <c r="GOE616" s="17">
        <v>44925</v>
      </c>
      <c r="GOF616" s="5" t="s">
        <v>3728</v>
      </c>
      <c r="GOG616" s="17">
        <v>44925</v>
      </c>
      <c r="GOH616" s="5" t="s">
        <v>3728</v>
      </c>
      <c r="GOI616" s="17">
        <v>44925</v>
      </c>
      <c r="GOJ616" s="5" t="s">
        <v>3728</v>
      </c>
      <c r="GOK616" s="17">
        <v>44925</v>
      </c>
      <c r="GOL616" s="5" t="s">
        <v>3728</v>
      </c>
      <c r="GOM616" s="17">
        <v>44925</v>
      </c>
      <c r="GON616" s="5" t="s">
        <v>3728</v>
      </c>
      <c r="GOO616" s="17">
        <v>44925</v>
      </c>
      <c r="GOP616" s="5" t="s">
        <v>3728</v>
      </c>
      <c r="GOQ616" s="17">
        <v>44925</v>
      </c>
      <c r="GOR616" s="5" t="s">
        <v>3728</v>
      </c>
      <c r="GOS616" s="17">
        <v>44925</v>
      </c>
      <c r="GOT616" s="5" t="s">
        <v>3728</v>
      </c>
      <c r="GOU616" s="17">
        <v>44925</v>
      </c>
      <c r="GOV616" s="5" t="s">
        <v>3728</v>
      </c>
      <c r="GOW616" s="17">
        <v>44925</v>
      </c>
      <c r="GOX616" s="5" t="s">
        <v>3728</v>
      </c>
      <c r="GOY616" s="17">
        <v>44925</v>
      </c>
      <c r="GOZ616" s="5" t="s">
        <v>3728</v>
      </c>
      <c r="GPA616" s="17">
        <v>44925</v>
      </c>
      <c r="GPB616" s="5" t="s">
        <v>3728</v>
      </c>
      <c r="GPC616" s="17">
        <v>44925</v>
      </c>
      <c r="GPD616" s="5" t="s">
        <v>3728</v>
      </c>
      <c r="GPE616" s="17">
        <v>44925</v>
      </c>
      <c r="GPF616" s="5" t="s">
        <v>3728</v>
      </c>
      <c r="GPG616" s="17">
        <v>44925</v>
      </c>
      <c r="GPH616" s="5" t="s">
        <v>3728</v>
      </c>
      <c r="GPI616" s="17">
        <v>44925</v>
      </c>
      <c r="GPJ616" s="5" t="s">
        <v>3728</v>
      </c>
      <c r="GPK616" s="17">
        <v>44925</v>
      </c>
      <c r="GPL616" s="5" t="s">
        <v>3728</v>
      </c>
      <c r="GPM616" s="17">
        <v>44925</v>
      </c>
      <c r="GPN616" s="5" t="s">
        <v>3728</v>
      </c>
      <c r="GPO616" s="17">
        <v>44925</v>
      </c>
      <c r="GPP616" s="5" t="s">
        <v>3728</v>
      </c>
      <c r="GPQ616" s="17">
        <v>44925</v>
      </c>
      <c r="GPR616" s="5" t="s">
        <v>3728</v>
      </c>
      <c r="GPS616" s="17">
        <v>44925</v>
      </c>
      <c r="GPT616" s="5" t="s">
        <v>3728</v>
      </c>
      <c r="GPU616" s="17">
        <v>44925</v>
      </c>
      <c r="GPV616" s="5" t="s">
        <v>3728</v>
      </c>
      <c r="GPW616" s="17">
        <v>44925</v>
      </c>
      <c r="GPX616" s="5" t="s">
        <v>3728</v>
      </c>
      <c r="GPY616" s="17">
        <v>44925</v>
      </c>
      <c r="GPZ616" s="5" t="s">
        <v>3728</v>
      </c>
      <c r="GQA616" s="17">
        <v>44925</v>
      </c>
      <c r="GQB616" s="5" t="s">
        <v>3728</v>
      </c>
      <c r="GQC616" s="17">
        <v>44925</v>
      </c>
      <c r="GQD616" s="5" t="s">
        <v>3728</v>
      </c>
      <c r="GQE616" s="17">
        <v>44925</v>
      </c>
      <c r="GQF616" s="5" t="s">
        <v>3728</v>
      </c>
      <c r="GQG616" s="17">
        <v>44925</v>
      </c>
      <c r="GQH616" s="5" t="s">
        <v>3728</v>
      </c>
      <c r="GQI616" s="17">
        <v>44925</v>
      </c>
      <c r="GQJ616" s="5" t="s">
        <v>3728</v>
      </c>
      <c r="GQK616" s="17">
        <v>44925</v>
      </c>
      <c r="GQL616" s="5" t="s">
        <v>3728</v>
      </c>
      <c r="GQM616" s="17">
        <v>44925</v>
      </c>
      <c r="GQN616" s="5" t="s">
        <v>3728</v>
      </c>
      <c r="GQO616" s="17">
        <v>44925</v>
      </c>
      <c r="GQP616" s="5" t="s">
        <v>3728</v>
      </c>
      <c r="GQQ616" s="17">
        <v>44925</v>
      </c>
      <c r="GQR616" s="5" t="s">
        <v>3728</v>
      </c>
      <c r="GQS616" s="17">
        <v>44925</v>
      </c>
      <c r="GQT616" s="5" t="s">
        <v>3728</v>
      </c>
      <c r="GQU616" s="17">
        <v>44925</v>
      </c>
      <c r="GQV616" s="5" t="s">
        <v>3728</v>
      </c>
      <c r="GQW616" s="17">
        <v>44925</v>
      </c>
      <c r="GQX616" s="5" t="s">
        <v>3728</v>
      </c>
      <c r="GQY616" s="17">
        <v>44925</v>
      </c>
      <c r="GQZ616" s="5" t="s">
        <v>3728</v>
      </c>
      <c r="GRA616" s="17">
        <v>44925</v>
      </c>
      <c r="GRB616" s="5" t="s">
        <v>3728</v>
      </c>
      <c r="GRC616" s="17">
        <v>44925</v>
      </c>
      <c r="GRD616" s="5" t="s">
        <v>3728</v>
      </c>
      <c r="GRE616" s="17">
        <v>44925</v>
      </c>
      <c r="GRF616" s="5" t="s">
        <v>3728</v>
      </c>
      <c r="GRG616" s="17">
        <v>44925</v>
      </c>
      <c r="GRH616" s="5" t="s">
        <v>3728</v>
      </c>
      <c r="GRI616" s="17">
        <v>44925</v>
      </c>
      <c r="GRJ616" s="5" t="s">
        <v>3728</v>
      </c>
      <c r="GRK616" s="17">
        <v>44925</v>
      </c>
      <c r="GRL616" s="5" t="s">
        <v>3728</v>
      </c>
      <c r="GRM616" s="17">
        <v>44925</v>
      </c>
      <c r="GRN616" s="5" t="s">
        <v>3728</v>
      </c>
      <c r="GRO616" s="17">
        <v>44925</v>
      </c>
      <c r="GRP616" s="5" t="s">
        <v>3728</v>
      </c>
      <c r="GRQ616" s="17">
        <v>44925</v>
      </c>
      <c r="GRR616" s="5" t="s">
        <v>3728</v>
      </c>
      <c r="GRS616" s="17">
        <v>44925</v>
      </c>
      <c r="GRT616" s="5" t="s">
        <v>3728</v>
      </c>
      <c r="GRU616" s="17">
        <v>44925</v>
      </c>
      <c r="GRV616" s="5" t="s">
        <v>3728</v>
      </c>
      <c r="GRW616" s="17">
        <v>44925</v>
      </c>
      <c r="GRX616" s="5" t="s">
        <v>3728</v>
      </c>
      <c r="GRY616" s="17">
        <v>44925</v>
      </c>
      <c r="GRZ616" s="5" t="s">
        <v>3728</v>
      </c>
      <c r="GSA616" s="17">
        <v>44925</v>
      </c>
      <c r="GSB616" s="5" t="s">
        <v>3728</v>
      </c>
      <c r="GSC616" s="17">
        <v>44925</v>
      </c>
      <c r="GSD616" s="5" t="s">
        <v>3728</v>
      </c>
      <c r="GSE616" s="17">
        <v>44925</v>
      </c>
      <c r="GSF616" s="5" t="s">
        <v>3728</v>
      </c>
      <c r="GSG616" s="17">
        <v>44925</v>
      </c>
      <c r="GSH616" s="5" t="s">
        <v>3728</v>
      </c>
      <c r="GSI616" s="17">
        <v>44925</v>
      </c>
      <c r="GSJ616" s="5" t="s">
        <v>3728</v>
      </c>
      <c r="GSK616" s="17">
        <v>44925</v>
      </c>
      <c r="GSL616" s="5" t="s">
        <v>3728</v>
      </c>
      <c r="GSM616" s="17">
        <v>44925</v>
      </c>
      <c r="GSN616" s="5" t="s">
        <v>3728</v>
      </c>
      <c r="GSO616" s="17">
        <v>44925</v>
      </c>
      <c r="GSP616" s="5" t="s">
        <v>3728</v>
      </c>
      <c r="GSQ616" s="17">
        <v>44925</v>
      </c>
      <c r="GSR616" s="5" t="s">
        <v>3728</v>
      </c>
      <c r="GSS616" s="17">
        <v>44925</v>
      </c>
      <c r="GST616" s="5" t="s">
        <v>3728</v>
      </c>
      <c r="GSU616" s="17">
        <v>44925</v>
      </c>
      <c r="GSV616" s="5" t="s">
        <v>3728</v>
      </c>
      <c r="GSW616" s="17">
        <v>44925</v>
      </c>
      <c r="GSX616" s="5" t="s">
        <v>3728</v>
      </c>
      <c r="GSY616" s="17">
        <v>44925</v>
      </c>
      <c r="GSZ616" s="5" t="s">
        <v>3728</v>
      </c>
      <c r="GTA616" s="17">
        <v>44925</v>
      </c>
      <c r="GTB616" s="5" t="s">
        <v>3728</v>
      </c>
      <c r="GTC616" s="17">
        <v>44925</v>
      </c>
      <c r="GTD616" s="5" t="s">
        <v>3728</v>
      </c>
      <c r="GTE616" s="17">
        <v>44925</v>
      </c>
      <c r="GTF616" s="5" t="s">
        <v>3728</v>
      </c>
      <c r="GTG616" s="17">
        <v>44925</v>
      </c>
      <c r="GTH616" s="5" t="s">
        <v>3728</v>
      </c>
      <c r="GTI616" s="17">
        <v>44925</v>
      </c>
      <c r="GTJ616" s="5" t="s">
        <v>3728</v>
      </c>
      <c r="GTK616" s="17">
        <v>44925</v>
      </c>
      <c r="GTL616" s="5" t="s">
        <v>3728</v>
      </c>
      <c r="GTM616" s="17">
        <v>44925</v>
      </c>
      <c r="GTN616" s="5" t="s">
        <v>3728</v>
      </c>
      <c r="GTO616" s="17">
        <v>44925</v>
      </c>
      <c r="GTP616" s="5" t="s">
        <v>3728</v>
      </c>
      <c r="GTQ616" s="17">
        <v>44925</v>
      </c>
      <c r="GTR616" s="5" t="s">
        <v>3728</v>
      </c>
      <c r="GTS616" s="17">
        <v>44925</v>
      </c>
      <c r="GTT616" s="5" t="s">
        <v>3728</v>
      </c>
      <c r="GTU616" s="17">
        <v>44925</v>
      </c>
      <c r="GTV616" s="5" t="s">
        <v>3728</v>
      </c>
      <c r="GTW616" s="17">
        <v>44925</v>
      </c>
      <c r="GTX616" s="5" t="s">
        <v>3728</v>
      </c>
      <c r="GTY616" s="17">
        <v>44925</v>
      </c>
      <c r="GTZ616" s="5" t="s">
        <v>3728</v>
      </c>
      <c r="GUA616" s="17">
        <v>44925</v>
      </c>
      <c r="GUB616" s="5" t="s">
        <v>3728</v>
      </c>
      <c r="GUC616" s="17">
        <v>44925</v>
      </c>
      <c r="GUD616" s="5" t="s">
        <v>3728</v>
      </c>
      <c r="GUE616" s="17">
        <v>44925</v>
      </c>
      <c r="GUF616" s="5" t="s">
        <v>3728</v>
      </c>
      <c r="GUG616" s="17">
        <v>44925</v>
      </c>
      <c r="GUH616" s="5" t="s">
        <v>3728</v>
      </c>
      <c r="GUI616" s="17">
        <v>44925</v>
      </c>
      <c r="GUJ616" s="5" t="s">
        <v>3728</v>
      </c>
      <c r="GUK616" s="17">
        <v>44925</v>
      </c>
      <c r="GUL616" s="5" t="s">
        <v>3728</v>
      </c>
      <c r="GUM616" s="17">
        <v>44925</v>
      </c>
      <c r="GUN616" s="5" t="s">
        <v>3728</v>
      </c>
      <c r="GUO616" s="17">
        <v>44925</v>
      </c>
      <c r="GUP616" s="5" t="s">
        <v>3728</v>
      </c>
      <c r="GUQ616" s="17">
        <v>44925</v>
      </c>
      <c r="GUR616" s="5" t="s">
        <v>3728</v>
      </c>
      <c r="GUS616" s="17">
        <v>44925</v>
      </c>
      <c r="GUT616" s="5" t="s">
        <v>3728</v>
      </c>
      <c r="GUU616" s="17">
        <v>44925</v>
      </c>
      <c r="GUV616" s="5" t="s">
        <v>3728</v>
      </c>
      <c r="GUW616" s="17">
        <v>44925</v>
      </c>
      <c r="GUX616" s="5" t="s">
        <v>3728</v>
      </c>
      <c r="GUY616" s="17">
        <v>44925</v>
      </c>
      <c r="GUZ616" s="5" t="s">
        <v>3728</v>
      </c>
      <c r="GVA616" s="17">
        <v>44925</v>
      </c>
      <c r="GVB616" s="5" t="s">
        <v>3728</v>
      </c>
      <c r="GVC616" s="17">
        <v>44925</v>
      </c>
      <c r="GVD616" s="5" t="s">
        <v>3728</v>
      </c>
      <c r="GVE616" s="17">
        <v>44925</v>
      </c>
      <c r="GVF616" s="5" t="s">
        <v>3728</v>
      </c>
      <c r="GVG616" s="17">
        <v>44925</v>
      </c>
      <c r="GVH616" s="5" t="s">
        <v>3728</v>
      </c>
      <c r="GVI616" s="17">
        <v>44925</v>
      </c>
      <c r="GVJ616" s="5" t="s">
        <v>3728</v>
      </c>
      <c r="GVK616" s="17">
        <v>44925</v>
      </c>
      <c r="GVL616" s="5" t="s">
        <v>3728</v>
      </c>
      <c r="GVM616" s="17">
        <v>44925</v>
      </c>
      <c r="GVN616" s="5" t="s">
        <v>3728</v>
      </c>
      <c r="GVO616" s="17">
        <v>44925</v>
      </c>
      <c r="GVP616" s="5" t="s">
        <v>3728</v>
      </c>
      <c r="GVQ616" s="17">
        <v>44925</v>
      </c>
      <c r="GVR616" s="5" t="s">
        <v>3728</v>
      </c>
      <c r="GVS616" s="17">
        <v>44925</v>
      </c>
      <c r="GVT616" s="5" t="s">
        <v>3728</v>
      </c>
      <c r="GVU616" s="17">
        <v>44925</v>
      </c>
      <c r="GVV616" s="5" t="s">
        <v>3728</v>
      </c>
      <c r="GVW616" s="17">
        <v>44925</v>
      </c>
      <c r="GVX616" s="5" t="s">
        <v>3728</v>
      </c>
      <c r="GVY616" s="17">
        <v>44925</v>
      </c>
      <c r="GVZ616" s="5" t="s">
        <v>3728</v>
      </c>
      <c r="GWA616" s="17">
        <v>44925</v>
      </c>
      <c r="GWB616" s="5" t="s">
        <v>3728</v>
      </c>
      <c r="GWC616" s="17">
        <v>44925</v>
      </c>
      <c r="GWD616" s="5" t="s">
        <v>3728</v>
      </c>
      <c r="GWE616" s="17">
        <v>44925</v>
      </c>
      <c r="GWF616" s="5" t="s">
        <v>3728</v>
      </c>
      <c r="GWG616" s="17">
        <v>44925</v>
      </c>
      <c r="GWH616" s="5" t="s">
        <v>3728</v>
      </c>
      <c r="GWI616" s="17">
        <v>44925</v>
      </c>
      <c r="GWJ616" s="5" t="s">
        <v>3728</v>
      </c>
      <c r="GWK616" s="17">
        <v>44925</v>
      </c>
      <c r="GWL616" s="5" t="s">
        <v>3728</v>
      </c>
      <c r="GWM616" s="17">
        <v>44925</v>
      </c>
      <c r="GWN616" s="5" t="s">
        <v>3728</v>
      </c>
      <c r="GWO616" s="17">
        <v>44925</v>
      </c>
      <c r="GWP616" s="5" t="s">
        <v>3728</v>
      </c>
      <c r="GWQ616" s="17">
        <v>44925</v>
      </c>
      <c r="GWR616" s="5" t="s">
        <v>3728</v>
      </c>
      <c r="GWS616" s="17">
        <v>44925</v>
      </c>
      <c r="GWT616" s="5" t="s">
        <v>3728</v>
      </c>
      <c r="GWU616" s="17">
        <v>44925</v>
      </c>
      <c r="GWV616" s="5" t="s">
        <v>3728</v>
      </c>
      <c r="GWW616" s="17">
        <v>44925</v>
      </c>
      <c r="GWX616" s="5" t="s">
        <v>3728</v>
      </c>
      <c r="GWY616" s="17">
        <v>44925</v>
      </c>
      <c r="GWZ616" s="5" t="s">
        <v>3728</v>
      </c>
      <c r="GXA616" s="17">
        <v>44925</v>
      </c>
      <c r="GXB616" s="5" t="s">
        <v>3728</v>
      </c>
      <c r="GXC616" s="17">
        <v>44925</v>
      </c>
      <c r="GXD616" s="5" t="s">
        <v>3728</v>
      </c>
      <c r="GXE616" s="17">
        <v>44925</v>
      </c>
      <c r="GXF616" s="5" t="s">
        <v>3728</v>
      </c>
      <c r="GXG616" s="17">
        <v>44925</v>
      </c>
      <c r="GXH616" s="5" t="s">
        <v>3728</v>
      </c>
      <c r="GXI616" s="17">
        <v>44925</v>
      </c>
      <c r="GXJ616" s="5" t="s">
        <v>3728</v>
      </c>
      <c r="GXK616" s="17">
        <v>44925</v>
      </c>
      <c r="GXL616" s="5" t="s">
        <v>3728</v>
      </c>
      <c r="GXM616" s="17">
        <v>44925</v>
      </c>
      <c r="GXN616" s="5" t="s">
        <v>3728</v>
      </c>
      <c r="GXO616" s="17">
        <v>44925</v>
      </c>
      <c r="GXP616" s="5" t="s">
        <v>3728</v>
      </c>
      <c r="GXQ616" s="17">
        <v>44925</v>
      </c>
      <c r="GXR616" s="5" t="s">
        <v>3728</v>
      </c>
      <c r="GXS616" s="17">
        <v>44925</v>
      </c>
      <c r="GXT616" s="5" t="s">
        <v>3728</v>
      </c>
      <c r="GXU616" s="17">
        <v>44925</v>
      </c>
      <c r="GXV616" s="5" t="s">
        <v>3728</v>
      </c>
      <c r="GXW616" s="17">
        <v>44925</v>
      </c>
      <c r="GXX616" s="5" t="s">
        <v>3728</v>
      </c>
      <c r="GXY616" s="17">
        <v>44925</v>
      </c>
      <c r="GXZ616" s="5" t="s">
        <v>3728</v>
      </c>
      <c r="GYA616" s="17">
        <v>44925</v>
      </c>
      <c r="GYB616" s="5" t="s">
        <v>3728</v>
      </c>
      <c r="GYC616" s="17">
        <v>44925</v>
      </c>
      <c r="GYD616" s="5" t="s">
        <v>3728</v>
      </c>
      <c r="GYE616" s="17">
        <v>44925</v>
      </c>
      <c r="GYF616" s="5" t="s">
        <v>3728</v>
      </c>
      <c r="GYG616" s="17">
        <v>44925</v>
      </c>
      <c r="GYH616" s="5" t="s">
        <v>3728</v>
      </c>
      <c r="GYI616" s="17">
        <v>44925</v>
      </c>
      <c r="GYJ616" s="5" t="s">
        <v>3728</v>
      </c>
      <c r="GYK616" s="17">
        <v>44925</v>
      </c>
      <c r="GYL616" s="5" t="s">
        <v>3728</v>
      </c>
      <c r="GYM616" s="17">
        <v>44925</v>
      </c>
      <c r="GYN616" s="5" t="s">
        <v>3728</v>
      </c>
      <c r="GYO616" s="17">
        <v>44925</v>
      </c>
      <c r="GYP616" s="5" t="s">
        <v>3728</v>
      </c>
      <c r="GYQ616" s="17">
        <v>44925</v>
      </c>
      <c r="GYR616" s="5" t="s">
        <v>3728</v>
      </c>
      <c r="GYS616" s="17">
        <v>44925</v>
      </c>
      <c r="GYT616" s="5" t="s">
        <v>3728</v>
      </c>
      <c r="GYU616" s="17">
        <v>44925</v>
      </c>
      <c r="GYV616" s="5" t="s">
        <v>3728</v>
      </c>
      <c r="GYW616" s="17">
        <v>44925</v>
      </c>
      <c r="GYX616" s="5" t="s">
        <v>3728</v>
      </c>
      <c r="GYY616" s="17">
        <v>44925</v>
      </c>
      <c r="GYZ616" s="5" t="s">
        <v>3728</v>
      </c>
      <c r="GZA616" s="17">
        <v>44925</v>
      </c>
      <c r="GZB616" s="5" t="s">
        <v>3728</v>
      </c>
      <c r="GZC616" s="17">
        <v>44925</v>
      </c>
      <c r="GZD616" s="5" t="s">
        <v>3728</v>
      </c>
      <c r="GZE616" s="17">
        <v>44925</v>
      </c>
      <c r="GZF616" s="5" t="s">
        <v>3728</v>
      </c>
      <c r="GZG616" s="17">
        <v>44925</v>
      </c>
      <c r="GZH616" s="5" t="s">
        <v>3728</v>
      </c>
      <c r="GZI616" s="17">
        <v>44925</v>
      </c>
      <c r="GZJ616" s="5" t="s">
        <v>3728</v>
      </c>
      <c r="GZK616" s="17">
        <v>44925</v>
      </c>
      <c r="GZL616" s="5" t="s">
        <v>3728</v>
      </c>
      <c r="GZM616" s="17">
        <v>44925</v>
      </c>
      <c r="GZN616" s="5" t="s">
        <v>3728</v>
      </c>
      <c r="GZO616" s="17">
        <v>44925</v>
      </c>
      <c r="GZP616" s="5" t="s">
        <v>3728</v>
      </c>
      <c r="GZQ616" s="17">
        <v>44925</v>
      </c>
      <c r="GZR616" s="5" t="s">
        <v>3728</v>
      </c>
      <c r="GZS616" s="17">
        <v>44925</v>
      </c>
      <c r="GZT616" s="5" t="s">
        <v>3728</v>
      </c>
      <c r="GZU616" s="17">
        <v>44925</v>
      </c>
      <c r="GZV616" s="5" t="s">
        <v>3728</v>
      </c>
      <c r="GZW616" s="17">
        <v>44925</v>
      </c>
      <c r="GZX616" s="5" t="s">
        <v>3728</v>
      </c>
      <c r="GZY616" s="17">
        <v>44925</v>
      </c>
      <c r="GZZ616" s="5" t="s">
        <v>3728</v>
      </c>
      <c r="HAA616" s="17">
        <v>44925</v>
      </c>
      <c r="HAB616" s="5" t="s">
        <v>3728</v>
      </c>
      <c r="HAC616" s="17">
        <v>44925</v>
      </c>
      <c r="HAD616" s="5" t="s">
        <v>3728</v>
      </c>
      <c r="HAE616" s="17">
        <v>44925</v>
      </c>
      <c r="HAF616" s="5" t="s">
        <v>3728</v>
      </c>
      <c r="HAG616" s="17">
        <v>44925</v>
      </c>
      <c r="HAH616" s="5" t="s">
        <v>3728</v>
      </c>
      <c r="HAI616" s="17">
        <v>44925</v>
      </c>
      <c r="HAJ616" s="5" t="s">
        <v>3728</v>
      </c>
      <c r="HAK616" s="17">
        <v>44925</v>
      </c>
      <c r="HAL616" s="5" t="s">
        <v>3728</v>
      </c>
      <c r="HAM616" s="17">
        <v>44925</v>
      </c>
      <c r="HAN616" s="5" t="s">
        <v>3728</v>
      </c>
      <c r="HAO616" s="17">
        <v>44925</v>
      </c>
      <c r="HAP616" s="5" t="s">
        <v>3728</v>
      </c>
      <c r="HAQ616" s="17">
        <v>44925</v>
      </c>
      <c r="HAR616" s="5" t="s">
        <v>3728</v>
      </c>
      <c r="HAS616" s="17">
        <v>44925</v>
      </c>
      <c r="HAT616" s="5" t="s">
        <v>3728</v>
      </c>
      <c r="HAU616" s="17">
        <v>44925</v>
      </c>
      <c r="HAV616" s="5" t="s">
        <v>3728</v>
      </c>
      <c r="HAW616" s="17">
        <v>44925</v>
      </c>
      <c r="HAX616" s="5" t="s">
        <v>3728</v>
      </c>
      <c r="HAY616" s="17">
        <v>44925</v>
      </c>
      <c r="HAZ616" s="5" t="s">
        <v>3728</v>
      </c>
      <c r="HBA616" s="17">
        <v>44925</v>
      </c>
      <c r="HBB616" s="5" t="s">
        <v>3728</v>
      </c>
      <c r="HBC616" s="17">
        <v>44925</v>
      </c>
      <c r="HBD616" s="5" t="s">
        <v>3728</v>
      </c>
      <c r="HBE616" s="17">
        <v>44925</v>
      </c>
      <c r="HBF616" s="5" t="s">
        <v>3728</v>
      </c>
      <c r="HBG616" s="17">
        <v>44925</v>
      </c>
      <c r="HBH616" s="5" t="s">
        <v>3728</v>
      </c>
      <c r="HBI616" s="17">
        <v>44925</v>
      </c>
      <c r="HBJ616" s="5" t="s">
        <v>3728</v>
      </c>
      <c r="HBK616" s="17">
        <v>44925</v>
      </c>
      <c r="HBL616" s="5" t="s">
        <v>3728</v>
      </c>
      <c r="HBM616" s="17">
        <v>44925</v>
      </c>
      <c r="HBN616" s="5" t="s">
        <v>3728</v>
      </c>
      <c r="HBO616" s="17">
        <v>44925</v>
      </c>
      <c r="HBP616" s="5" t="s">
        <v>3728</v>
      </c>
      <c r="HBQ616" s="17">
        <v>44925</v>
      </c>
      <c r="HBR616" s="5" t="s">
        <v>3728</v>
      </c>
      <c r="HBS616" s="17">
        <v>44925</v>
      </c>
      <c r="HBT616" s="5" t="s">
        <v>3728</v>
      </c>
      <c r="HBU616" s="17">
        <v>44925</v>
      </c>
      <c r="HBV616" s="5" t="s">
        <v>3728</v>
      </c>
      <c r="HBW616" s="17">
        <v>44925</v>
      </c>
      <c r="HBX616" s="5" t="s">
        <v>3728</v>
      </c>
      <c r="HBY616" s="17">
        <v>44925</v>
      </c>
      <c r="HBZ616" s="5" t="s">
        <v>3728</v>
      </c>
      <c r="HCA616" s="17">
        <v>44925</v>
      </c>
      <c r="HCB616" s="5" t="s">
        <v>3728</v>
      </c>
      <c r="HCC616" s="17">
        <v>44925</v>
      </c>
      <c r="HCD616" s="5" t="s">
        <v>3728</v>
      </c>
      <c r="HCE616" s="17">
        <v>44925</v>
      </c>
      <c r="HCF616" s="5" t="s">
        <v>3728</v>
      </c>
      <c r="HCG616" s="17">
        <v>44925</v>
      </c>
      <c r="HCH616" s="5" t="s">
        <v>3728</v>
      </c>
      <c r="HCI616" s="17">
        <v>44925</v>
      </c>
      <c r="HCJ616" s="5" t="s">
        <v>3728</v>
      </c>
      <c r="HCK616" s="17">
        <v>44925</v>
      </c>
      <c r="HCL616" s="5" t="s">
        <v>3728</v>
      </c>
      <c r="HCM616" s="17">
        <v>44925</v>
      </c>
      <c r="HCN616" s="5" t="s">
        <v>3728</v>
      </c>
      <c r="HCO616" s="17">
        <v>44925</v>
      </c>
      <c r="HCP616" s="5" t="s">
        <v>3728</v>
      </c>
      <c r="HCQ616" s="17">
        <v>44925</v>
      </c>
      <c r="HCR616" s="5" t="s">
        <v>3728</v>
      </c>
      <c r="HCS616" s="17">
        <v>44925</v>
      </c>
      <c r="HCT616" s="5" t="s">
        <v>3728</v>
      </c>
      <c r="HCU616" s="17">
        <v>44925</v>
      </c>
      <c r="HCV616" s="5" t="s">
        <v>3728</v>
      </c>
      <c r="HCW616" s="17">
        <v>44925</v>
      </c>
      <c r="HCX616" s="5" t="s">
        <v>3728</v>
      </c>
      <c r="HCY616" s="17">
        <v>44925</v>
      </c>
      <c r="HCZ616" s="5" t="s">
        <v>3728</v>
      </c>
      <c r="HDA616" s="17">
        <v>44925</v>
      </c>
      <c r="HDB616" s="5" t="s">
        <v>3728</v>
      </c>
      <c r="HDC616" s="17">
        <v>44925</v>
      </c>
      <c r="HDD616" s="5" t="s">
        <v>3728</v>
      </c>
      <c r="HDE616" s="17">
        <v>44925</v>
      </c>
      <c r="HDF616" s="5" t="s">
        <v>3728</v>
      </c>
      <c r="HDG616" s="17">
        <v>44925</v>
      </c>
      <c r="HDH616" s="5" t="s">
        <v>3728</v>
      </c>
      <c r="HDI616" s="17">
        <v>44925</v>
      </c>
      <c r="HDJ616" s="5" t="s">
        <v>3728</v>
      </c>
      <c r="HDK616" s="17">
        <v>44925</v>
      </c>
      <c r="HDL616" s="5" t="s">
        <v>3728</v>
      </c>
      <c r="HDM616" s="17">
        <v>44925</v>
      </c>
      <c r="HDN616" s="5" t="s">
        <v>3728</v>
      </c>
      <c r="HDO616" s="17">
        <v>44925</v>
      </c>
      <c r="HDP616" s="5" t="s">
        <v>3728</v>
      </c>
      <c r="HDQ616" s="17">
        <v>44925</v>
      </c>
      <c r="HDR616" s="5" t="s">
        <v>3728</v>
      </c>
      <c r="HDS616" s="17">
        <v>44925</v>
      </c>
      <c r="HDT616" s="5" t="s">
        <v>3728</v>
      </c>
      <c r="HDU616" s="17">
        <v>44925</v>
      </c>
      <c r="HDV616" s="5" t="s">
        <v>3728</v>
      </c>
      <c r="HDW616" s="17">
        <v>44925</v>
      </c>
      <c r="HDX616" s="5" t="s">
        <v>3728</v>
      </c>
      <c r="HDY616" s="17">
        <v>44925</v>
      </c>
      <c r="HDZ616" s="5" t="s">
        <v>3728</v>
      </c>
      <c r="HEA616" s="17">
        <v>44925</v>
      </c>
      <c r="HEB616" s="5" t="s">
        <v>3728</v>
      </c>
      <c r="HEC616" s="17">
        <v>44925</v>
      </c>
      <c r="HED616" s="5" t="s">
        <v>3728</v>
      </c>
      <c r="HEE616" s="17">
        <v>44925</v>
      </c>
      <c r="HEF616" s="5" t="s">
        <v>3728</v>
      </c>
      <c r="HEG616" s="17">
        <v>44925</v>
      </c>
      <c r="HEH616" s="5" t="s">
        <v>3728</v>
      </c>
      <c r="HEI616" s="17">
        <v>44925</v>
      </c>
      <c r="HEJ616" s="5" t="s">
        <v>3728</v>
      </c>
      <c r="HEK616" s="17">
        <v>44925</v>
      </c>
      <c r="HEL616" s="5" t="s">
        <v>3728</v>
      </c>
      <c r="HEM616" s="17">
        <v>44925</v>
      </c>
      <c r="HEN616" s="5" t="s">
        <v>3728</v>
      </c>
      <c r="HEO616" s="17">
        <v>44925</v>
      </c>
      <c r="HEP616" s="5" t="s">
        <v>3728</v>
      </c>
      <c r="HEQ616" s="17">
        <v>44925</v>
      </c>
      <c r="HER616" s="5" t="s">
        <v>3728</v>
      </c>
      <c r="HES616" s="17">
        <v>44925</v>
      </c>
      <c r="HET616" s="5" t="s">
        <v>3728</v>
      </c>
      <c r="HEU616" s="17">
        <v>44925</v>
      </c>
      <c r="HEV616" s="5" t="s">
        <v>3728</v>
      </c>
      <c r="HEW616" s="17">
        <v>44925</v>
      </c>
      <c r="HEX616" s="5" t="s">
        <v>3728</v>
      </c>
      <c r="HEY616" s="17">
        <v>44925</v>
      </c>
      <c r="HEZ616" s="5" t="s">
        <v>3728</v>
      </c>
      <c r="HFA616" s="17">
        <v>44925</v>
      </c>
      <c r="HFB616" s="5" t="s">
        <v>3728</v>
      </c>
      <c r="HFC616" s="17">
        <v>44925</v>
      </c>
      <c r="HFD616" s="5" t="s">
        <v>3728</v>
      </c>
      <c r="HFE616" s="17">
        <v>44925</v>
      </c>
      <c r="HFF616" s="5" t="s">
        <v>3728</v>
      </c>
      <c r="HFG616" s="17">
        <v>44925</v>
      </c>
      <c r="HFH616" s="5" t="s">
        <v>3728</v>
      </c>
      <c r="HFI616" s="17">
        <v>44925</v>
      </c>
      <c r="HFJ616" s="5" t="s">
        <v>3728</v>
      </c>
      <c r="HFK616" s="17">
        <v>44925</v>
      </c>
      <c r="HFL616" s="5" t="s">
        <v>3728</v>
      </c>
      <c r="HFM616" s="17">
        <v>44925</v>
      </c>
      <c r="HFN616" s="5" t="s">
        <v>3728</v>
      </c>
      <c r="HFO616" s="17">
        <v>44925</v>
      </c>
      <c r="HFP616" s="5" t="s">
        <v>3728</v>
      </c>
      <c r="HFQ616" s="17">
        <v>44925</v>
      </c>
      <c r="HFR616" s="5" t="s">
        <v>3728</v>
      </c>
      <c r="HFS616" s="17">
        <v>44925</v>
      </c>
      <c r="HFT616" s="5" t="s">
        <v>3728</v>
      </c>
      <c r="HFU616" s="17">
        <v>44925</v>
      </c>
      <c r="HFV616" s="5" t="s">
        <v>3728</v>
      </c>
      <c r="HFW616" s="17">
        <v>44925</v>
      </c>
      <c r="HFX616" s="5" t="s">
        <v>3728</v>
      </c>
      <c r="HFY616" s="17">
        <v>44925</v>
      </c>
      <c r="HFZ616" s="5" t="s">
        <v>3728</v>
      </c>
      <c r="HGA616" s="17">
        <v>44925</v>
      </c>
      <c r="HGB616" s="5" t="s">
        <v>3728</v>
      </c>
      <c r="HGC616" s="17">
        <v>44925</v>
      </c>
      <c r="HGD616" s="5" t="s">
        <v>3728</v>
      </c>
      <c r="HGE616" s="17">
        <v>44925</v>
      </c>
      <c r="HGF616" s="5" t="s">
        <v>3728</v>
      </c>
      <c r="HGG616" s="17">
        <v>44925</v>
      </c>
      <c r="HGH616" s="5" t="s">
        <v>3728</v>
      </c>
      <c r="HGI616" s="17">
        <v>44925</v>
      </c>
      <c r="HGJ616" s="5" t="s">
        <v>3728</v>
      </c>
      <c r="HGK616" s="17">
        <v>44925</v>
      </c>
      <c r="HGL616" s="5" t="s">
        <v>3728</v>
      </c>
      <c r="HGM616" s="17">
        <v>44925</v>
      </c>
      <c r="HGN616" s="5" t="s">
        <v>3728</v>
      </c>
      <c r="HGO616" s="17">
        <v>44925</v>
      </c>
      <c r="HGP616" s="5" t="s">
        <v>3728</v>
      </c>
      <c r="HGQ616" s="17">
        <v>44925</v>
      </c>
      <c r="HGR616" s="5" t="s">
        <v>3728</v>
      </c>
      <c r="HGS616" s="17">
        <v>44925</v>
      </c>
      <c r="HGT616" s="5" t="s">
        <v>3728</v>
      </c>
      <c r="HGU616" s="17">
        <v>44925</v>
      </c>
      <c r="HGV616" s="5" t="s">
        <v>3728</v>
      </c>
      <c r="HGW616" s="17">
        <v>44925</v>
      </c>
      <c r="HGX616" s="5" t="s">
        <v>3728</v>
      </c>
      <c r="HGY616" s="17">
        <v>44925</v>
      </c>
      <c r="HGZ616" s="5" t="s">
        <v>3728</v>
      </c>
      <c r="HHA616" s="17">
        <v>44925</v>
      </c>
      <c r="HHB616" s="5" t="s">
        <v>3728</v>
      </c>
      <c r="HHC616" s="17">
        <v>44925</v>
      </c>
      <c r="HHD616" s="5" t="s">
        <v>3728</v>
      </c>
      <c r="HHE616" s="17">
        <v>44925</v>
      </c>
      <c r="HHF616" s="5" t="s">
        <v>3728</v>
      </c>
      <c r="HHG616" s="17">
        <v>44925</v>
      </c>
      <c r="HHH616" s="5" t="s">
        <v>3728</v>
      </c>
      <c r="HHI616" s="17">
        <v>44925</v>
      </c>
      <c r="HHJ616" s="5" t="s">
        <v>3728</v>
      </c>
      <c r="HHK616" s="17">
        <v>44925</v>
      </c>
      <c r="HHL616" s="5" t="s">
        <v>3728</v>
      </c>
      <c r="HHM616" s="17">
        <v>44925</v>
      </c>
      <c r="HHN616" s="5" t="s">
        <v>3728</v>
      </c>
      <c r="HHO616" s="17">
        <v>44925</v>
      </c>
      <c r="HHP616" s="5" t="s">
        <v>3728</v>
      </c>
      <c r="HHQ616" s="17">
        <v>44925</v>
      </c>
      <c r="HHR616" s="5" t="s">
        <v>3728</v>
      </c>
      <c r="HHS616" s="17">
        <v>44925</v>
      </c>
      <c r="HHT616" s="5" t="s">
        <v>3728</v>
      </c>
      <c r="HHU616" s="17">
        <v>44925</v>
      </c>
      <c r="HHV616" s="5" t="s">
        <v>3728</v>
      </c>
      <c r="HHW616" s="17">
        <v>44925</v>
      </c>
      <c r="HHX616" s="5" t="s">
        <v>3728</v>
      </c>
      <c r="HHY616" s="17">
        <v>44925</v>
      </c>
      <c r="HHZ616" s="5" t="s">
        <v>3728</v>
      </c>
      <c r="HIA616" s="17">
        <v>44925</v>
      </c>
      <c r="HIB616" s="5" t="s">
        <v>3728</v>
      </c>
      <c r="HIC616" s="17">
        <v>44925</v>
      </c>
      <c r="HID616" s="5" t="s">
        <v>3728</v>
      </c>
      <c r="HIE616" s="17">
        <v>44925</v>
      </c>
      <c r="HIF616" s="5" t="s">
        <v>3728</v>
      </c>
      <c r="HIG616" s="17">
        <v>44925</v>
      </c>
      <c r="HIH616" s="5" t="s">
        <v>3728</v>
      </c>
      <c r="HII616" s="17">
        <v>44925</v>
      </c>
      <c r="HIJ616" s="5" t="s">
        <v>3728</v>
      </c>
      <c r="HIK616" s="17">
        <v>44925</v>
      </c>
      <c r="HIL616" s="5" t="s">
        <v>3728</v>
      </c>
      <c r="HIM616" s="17">
        <v>44925</v>
      </c>
      <c r="HIN616" s="5" t="s">
        <v>3728</v>
      </c>
      <c r="HIO616" s="17">
        <v>44925</v>
      </c>
      <c r="HIP616" s="5" t="s">
        <v>3728</v>
      </c>
      <c r="HIQ616" s="17">
        <v>44925</v>
      </c>
      <c r="HIR616" s="5" t="s">
        <v>3728</v>
      </c>
      <c r="HIS616" s="17">
        <v>44925</v>
      </c>
      <c r="HIT616" s="5" t="s">
        <v>3728</v>
      </c>
      <c r="HIU616" s="17">
        <v>44925</v>
      </c>
      <c r="HIV616" s="5" t="s">
        <v>3728</v>
      </c>
      <c r="HIW616" s="17">
        <v>44925</v>
      </c>
      <c r="HIX616" s="5" t="s">
        <v>3728</v>
      </c>
      <c r="HIY616" s="17">
        <v>44925</v>
      </c>
      <c r="HIZ616" s="5" t="s">
        <v>3728</v>
      </c>
      <c r="HJA616" s="17">
        <v>44925</v>
      </c>
      <c r="HJB616" s="5" t="s">
        <v>3728</v>
      </c>
      <c r="HJC616" s="17">
        <v>44925</v>
      </c>
      <c r="HJD616" s="5" t="s">
        <v>3728</v>
      </c>
      <c r="HJE616" s="17">
        <v>44925</v>
      </c>
      <c r="HJF616" s="5" t="s">
        <v>3728</v>
      </c>
      <c r="HJG616" s="17">
        <v>44925</v>
      </c>
      <c r="HJH616" s="5" t="s">
        <v>3728</v>
      </c>
      <c r="HJI616" s="17">
        <v>44925</v>
      </c>
      <c r="HJJ616" s="5" t="s">
        <v>3728</v>
      </c>
      <c r="HJK616" s="17">
        <v>44925</v>
      </c>
      <c r="HJL616" s="5" t="s">
        <v>3728</v>
      </c>
      <c r="HJM616" s="17">
        <v>44925</v>
      </c>
      <c r="HJN616" s="5" t="s">
        <v>3728</v>
      </c>
      <c r="HJO616" s="17">
        <v>44925</v>
      </c>
      <c r="HJP616" s="5" t="s">
        <v>3728</v>
      </c>
      <c r="HJQ616" s="17">
        <v>44925</v>
      </c>
      <c r="HJR616" s="5" t="s">
        <v>3728</v>
      </c>
      <c r="HJS616" s="17">
        <v>44925</v>
      </c>
      <c r="HJT616" s="5" t="s">
        <v>3728</v>
      </c>
      <c r="HJU616" s="17">
        <v>44925</v>
      </c>
      <c r="HJV616" s="5" t="s">
        <v>3728</v>
      </c>
      <c r="HJW616" s="17">
        <v>44925</v>
      </c>
      <c r="HJX616" s="5" t="s">
        <v>3728</v>
      </c>
      <c r="HJY616" s="17">
        <v>44925</v>
      </c>
      <c r="HJZ616" s="5" t="s">
        <v>3728</v>
      </c>
      <c r="HKA616" s="17">
        <v>44925</v>
      </c>
      <c r="HKB616" s="5" t="s">
        <v>3728</v>
      </c>
      <c r="HKC616" s="17">
        <v>44925</v>
      </c>
      <c r="HKD616" s="5" t="s">
        <v>3728</v>
      </c>
      <c r="HKE616" s="17">
        <v>44925</v>
      </c>
      <c r="HKF616" s="5" t="s">
        <v>3728</v>
      </c>
      <c r="HKG616" s="17">
        <v>44925</v>
      </c>
      <c r="HKH616" s="5" t="s">
        <v>3728</v>
      </c>
      <c r="HKI616" s="17">
        <v>44925</v>
      </c>
      <c r="HKJ616" s="5" t="s">
        <v>3728</v>
      </c>
      <c r="HKK616" s="17">
        <v>44925</v>
      </c>
      <c r="HKL616" s="5" t="s">
        <v>3728</v>
      </c>
      <c r="HKM616" s="17">
        <v>44925</v>
      </c>
      <c r="HKN616" s="5" t="s">
        <v>3728</v>
      </c>
      <c r="HKO616" s="17">
        <v>44925</v>
      </c>
      <c r="HKP616" s="5" t="s">
        <v>3728</v>
      </c>
      <c r="HKQ616" s="17">
        <v>44925</v>
      </c>
      <c r="HKR616" s="5" t="s">
        <v>3728</v>
      </c>
      <c r="HKS616" s="17">
        <v>44925</v>
      </c>
      <c r="HKT616" s="5" t="s">
        <v>3728</v>
      </c>
      <c r="HKU616" s="17">
        <v>44925</v>
      </c>
      <c r="HKV616" s="5" t="s">
        <v>3728</v>
      </c>
      <c r="HKW616" s="17">
        <v>44925</v>
      </c>
      <c r="HKX616" s="5" t="s">
        <v>3728</v>
      </c>
      <c r="HKY616" s="17">
        <v>44925</v>
      </c>
      <c r="HKZ616" s="5" t="s">
        <v>3728</v>
      </c>
      <c r="HLA616" s="17">
        <v>44925</v>
      </c>
      <c r="HLB616" s="5" t="s">
        <v>3728</v>
      </c>
      <c r="HLC616" s="17">
        <v>44925</v>
      </c>
      <c r="HLD616" s="5" t="s">
        <v>3728</v>
      </c>
      <c r="HLE616" s="17">
        <v>44925</v>
      </c>
      <c r="HLF616" s="5" t="s">
        <v>3728</v>
      </c>
      <c r="HLG616" s="17">
        <v>44925</v>
      </c>
      <c r="HLH616" s="5" t="s">
        <v>3728</v>
      </c>
      <c r="HLI616" s="17">
        <v>44925</v>
      </c>
      <c r="HLJ616" s="5" t="s">
        <v>3728</v>
      </c>
      <c r="HLK616" s="17">
        <v>44925</v>
      </c>
      <c r="HLL616" s="5" t="s">
        <v>3728</v>
      </c>
      <c r="HLM616" s="17">
        <v>44925</v>
      </c>
      <c r="HLN616" s="5" t="s">
        <v>3728</v>
      </c>
      <c r="HLO616" s="17">
        <v>44925</v>
      </c>
      <c r="HLP616" s="5" t="s">
        <v>3728</v>
      </c>
      <c r="HLQ616" s="17">
        <v>44925</v>
      </c>
      <c r="HLR616" s="5" t="s">
        <v>3728</v>
      </c>
      <c r="HLS616" s="17">
        <v>44925</v>
      </c>
      <c r="HLT616" s="5" t="s">
        <v>3728</v>
      </c>
      <c r="HLU616" s="17">
        <v>44925</v>
      </c>
      <c r="HLV616" s="5" t="s">
        <v>3728</v>
      </c>
      <c r="HLW616" s="17">
        <v>44925</v>
      </c>
      <c r="HLX616" s="5" t="s">
        <v>3728</v>
      </c>
      <c r="HLY616" s="17">
        <v>44925</v>
      </c>
      <c r="HLZ616" s="5" t="s">
        <v>3728</v>
      </c>
      <c r="HMA616" s="17">
        <v>44925</v>
      </c>
      <c r="HMB616" s="5" t="s">
        <v>3728</v>
      </c>
      <c r="HMC616" s="17">
        <v>44925</v>
      </c>
      <c r="HMD616" s="5" t="s">
        <v>3728</v>
      </c>
      <c r="HME616" s="17">
        <v>44925</v>
      </c>
      <c r="HMF616" s="5" t="s">
        <v>3728</v>
      </c>
      <c r="HMG616" s="17">
        <v>44925</v>
      </c>
      <c r="HMH616" s="5" t="s">
        <v>3728</v>
      </c>
      <c r="HMI616" s="17">
        <v>44925</v>
      </c>
      <c r="HMJ616" s="5" t="s">
        <v>3728</v>
      </c>
      <c r="HMK616" s="17">
        <v>44925</v>
      </c>
      <c r="HML616" s="5" t="s">
        <v>3728</v>
      </c>
      <c r="HMM616" s="17">
        <v>44925</v>
      </c>
      <c r="HMN616" s="5" t="s">
        <v>3728</v>
      </c>
      <c r="HMO616" s="17">
        <v>44925</v>
      </c>
      <c r="HMP616" s="5" t="s">
        <v>3728</v>
      </c>
      <c r="HMQ616" s="17">
        <v>44925</v>
      </c>
      <c r="HMR616" s="5" t="s">
        <v>3728</v>
      </c>
      <c r="HMS616" s="17">
        <v>44925</v>
      </c>
      <c r="HMT616" s="5" t="s">
        <v>3728</v>
      </c>
      <c r="HMU616" s="17">
        <v>44925</v>
      </c>
      <c r="HMV616" s="5" t="s">
        <v>3728</v>
      </c>
      <c r="HMW616" s="17">
        <v>44925</v>
      </c>
      <c r="HMX616" s="5" t="s">
        <v>3728</v>
      </c>
      <c r="HMY616" s="17">
        <v>44925</v>
      </c>
      <c r="HMZ616" s="5" t="s">
        <v>3728</v>
      </c>
      <c r="HNA616" s="17">
        <v>44925</v>
      </c>
      <c r="HNB616" s="5" t="s">
        <v>3728</v>
      </c>
      <c r="HNC616" s="17">
        <v>44925</v>
      </c>
      <c r="HND616" s="5" t="s">
        <v>3728</v>
      </c>
      <c r="HNE616" s="17">
        <v>44925</v>
      </c>
      <c r="HNF616" s="5" t="s">
        <v>3728</v>
      </c>
      <c r="HNG616" s="17">
        <v>44925</v>
      </c>
      <c r="HNH616" s="5" t="s">
        <v>3728</v>
      </c>
      <c r="HNI616" s="17">
        <v>44925</v>
      </c>
      <c r="HNJ616" s="5" t="s">
        <v>3728</v>
      </c>
      <c r="HNK616" s="17">
        <v>44925</v>
      </c>
      <c r="HNL616" s="5" t="s">
        <v>3728</v>
      </c>
      <c r="HNM616" s="17">
        <v>44925</v>
      </c>
      <c r="HNN616" s="5" t="s">
        <v>3728</v>
      </c>
      <c r="HNO616" s="17">
        <v>44925</v>
      </c>
      <c r="HNP616" s="5" t="s">
        <v>3728</v>
      </c>
      <c r="HNQ616" s="17">
        <v>44925</v>
      </c>
      <c r="HNR616" s="5" t="s">
        <v>3728</v>
      </c>
      <c r="HNS616" s="17">
        <v>44925</v>
      </c>
      <c r="HNT616" s="5" t="s">
        <v>3728</v>
      </c>
      <c r="HNU616" s="17">
        <v>44925</v>
      </c>
      <c r="HNV616" s="5" t="s">
        <v>3728</v>
      </c>
      <c r="HNW616" s="17">
        <v>44925</v>
      </c>
      <c r="HNX616" s="5" t="s">
        <v>3728</v>
      </c>
      <c r="HNY616" s="17">
        <v>44925</v>
      </c>
      <c r="HNZ616" s="5" t="s">
        <v>3728</v>
      </c>
      <c r="HOA616" s="17">
        <v>44925</v>
      </c>
      <c r="HOB616" s="5" t="s">
        <v>3728</v>
      </c>
      <c r="HOC616" s="17">
        <v>44925</v>
      </c>
      <c r="HOD616" s="5" t="s">
        <v>3728</v>
      </c>
      <c r="HOE616" s="17">
        <v>44925</v>
      </c>
      <c r="HOF616" s="5" t="s">
        <v>3728</v>
      </c>
      <c r="HOG616" s="17">
        <v>44925</v>
      </c>
      <c r="HOH616" s="5" t="s">
        <v>3728</v>
      </c>
      <c r="HOI616" s="17">
        <v>44925</v>
      </c>
      <c r="HOJ616" s="5" t="s">
        <v>3728</v>
      </c>
      <c r="HOK616" s="17">
        <v>44925</v>
      </c>
      <c r="HOL616" s="5" t="s">
        <v>3728</v>
      </c>
      <c r="HOM616" s="17">
        <v>44925</v>
      </c>
      <c r="HON616" s="5" t="s">
        <v>3728</v>
      </c>
      <c r="HOO616" s="17">
        <v>44925</v>
      </c>
      <c r="HOP616" s="5" t="s">
        <v>3728</v>
      </c>
      <c r="HOQ616" s="17">
        <v>44925</v>
      </c>
      <c r="HOR616" s="5" t="s">
        <v>3728</v>
      </c>
      <c r="HOS616" s="17">
        <v>44925</v>
      </c>
      <c r="HOT616" s="5" t="s">
        <v>3728</v>
      </c>
      <c r="HOU616" s="17">
        <v>44925</v>
      </c>
      <c r="HOV616" s="5" t="s">
        <v>3728</v>
      </c>
      <c r="HOW616" s="17">
        <v>44925</v>
      </c>
      <c r="HOX616" s="5" t="s">
        <v>3728</v>
      </c>
      <c r="HOY616" s="17">
        <v>44925</v>
      </c>
      <c r="HOZ616" s="5" t="s">
        <v>3728</v>
      </c>
      <c r="HPA616" s="17">
        <v>44925</v>
      </c>
      <c r="HPB616" s="5" t="s">
        <v>3728</v>
      </c>
      <c r="HPC616" s="17">
        <v>44925</v>
      </c>
      <c r="HPD616" s="5" t="s">
        <v>3728</v>
      </c>
      <c r="HPE616" s="17">
        <v>44925</v>
      </c>
      <c r="HPF616" s="5" t="s">
        <v>3728</v>
      </c>
      <c r="HPG616" s="17">
        <v>44925</v>
      </c>
      <c r="HPH616" s="5" t="s">
        <v>3728</v>
      </c>
      <c r="HPI616" s="17">
        <v>44925</v>
      </c>
      <c r="HPJ616" s="5" t="s">
        <v>3728</v>
      </c>
      <c r="HPK616" s="17">
        <v>44925</v>
      </c>
      <c r="HPL616" s="5" t="s">
        <v>3728</v>
      </c>
      <c r="HPM616" s="17">
        <v>44925</v>
      </c>
      <c r="HPN616" s="5" t="s">
        <v>3728</v>
      </c>
      <c r="HPO616" s="17">
        <v>44925</v>
      </c>
      <c r="HPP616" s="5" t="s">
        <v>3728</v>
      </c>
      <c r="HPQ616" s="17">
        <v>44925</v>
      </c>
      <c r="HPR616" s="5" t="s">
        <v>3728</v>
      </c>
      <c r="HPS616" s="17">
        <v>44925</v>
      </c>
      <c r="HPT616" s="5" t="s">
        <v>3728</v>
      </c>
      <c r="HPU616" s="17">
        <v>44925</v>
      </c>
      <c r="HPV616" s="5" t="s">
        <v>3728</v>
      </c>
      <c r="HPW616" s="17">
        <v>44925</v>
      </c>
      <c r="HPX616" s="5" t="s">
        <v>3728</v>
      </c>
      <c r="HPY616" s="17">
        <v>44925</v>
      </c>
      <c r="HPZ616" s="5" t="s">
        <v>3728</v>
      </c>
      <c r="HQA616" s="17">
        <v>44925</v>
      </c>
      <c r="HQB616" s="5" t="s">
        <v>3728</v>
      </c>
      <c r="HQC616" s="17">
        <v>44925</v>
      </c>
      <c r="HQD616" s="5" t="s">
        <v>3728</v>
      </c>
      <c r="HQE616" s="17">
        <v>44925</v>
      </c>
      <c r="HQF616" s="5" t="s">
        <v>3728</v>
      </c>
      <c r="HQG616" s="17">
        <v>44925</v>
      </c>
      <c r="HQH616" s="5" t="s">
        <v>3728</v>
      </c>
      <c r="HQI616" s="17">
        <v>44925</v>
      </c>
      <c r="HQJ616" s="5" t="s">
        <v>3728</v>
      </c>
      <c r="HQK616" s="17">
        <v>44925</v>
      </c>
      <c r="HQL616" s="5" t="s">
        <v>3728</v>
      </c>
      <c r="HQM616" s="17">
        <v>44925</v>
      </c>
      <c r="HQN616" s="5" t="s">
        <v>3728</v>
      </c>
      <c r="HQO616" s="17">
        <v>44925</v>
      </c>
      <c r="HQP616" s="5" t="s">
        <v>3728</v>
      </c>
      <c r="HQQ616" s="17">
        <v>44925</v>
      </c>
      <c r="HQR616" s="5" t="s">
        <v>3728</v>
      </c>
      <c r="HQS616" s="17">
        <v>44925</v>
      </c>
      <c r="HQT616" s="5" t="s">
        <v>3728</v>
      </c>
      <c r="HQU616" s="17">
        <v>44925</v>
      </c>
      <c r="HQV616" s="5" t="s">
        <v>3728</v>
      </c>
      <c r="HQW616" s="17">
        <v>44925</v>
      </c>
      <c r="HQX616" s="5" t="s">
        <v>3728</v>
      </c>
      <c r="HQY616" s="17">
        <v>44925</v>
      </c>
      <c r="HQZ616" s="5" t="s">
        <v>3728</v>
      </c>
      <c r="HRA616" s="17">
        <v>44925</v>
      </c>
      <c r="HRB616" s="5" t="s">
        <v>3728</v>
      </c>
      <c r="HRC616" s="17">
        <v>44925</v>
      </c>
      <c r="HRD616" s="5" t="s">
        <v>3728</v>
      </c>
      <c r="HRE616" s="17">
        <v>44925</v>
      </c>
      <c r="HRF616" s="5" t="s">
        <v>3728</v>
      </c>
      <c r="HRG616" s="17">
        <v>44925</v>
      </c>
      <c r="HRH616" s="5" t="s">
        <v>3728</v>
      </c>
      <c r="HRI616" s="17">
        <v>44925</v>
      </c>
      <c r="HRJ616" s="5" t="s">
        <v>3728</v>
      </c>
      <c r="HRK616" s="17">
        <v>44925</v>
      </c>
      <c r="HRL616" s="5" t="s">
        <v>3728</v>
      </c>
      <c r="HRM616" s="17">
        <v>44925</v>
      </c>
      <c r="HRN616" s="5" t="s">
        <v>3728</v>
      </c>
      <c r="HRO616" s="17">
        <v>44925</v>
      </c>
      <c r="HRP616" s="5" t="s">
        <v>3728</v>
      </c>
      <c r="HRQ616" s="17">
        <v>44925</v>
      </c>
      <c r="HRR616" s="5" t="s">
        <v>3728</v>
      </c>
      <c r="HRS616" s="17">
        <v>44925</v>
      </c>
      <c r="HRT616" s="5" t="s">
        <v>3728</v>
      </c>
      <c r="HRU616" s="17">
        <v>44925</v>
      </c>
      <c r="HRV616" s="5" t="s">
        <v>3728</v>
      </c>
      <c r="HRW616" s="17">
        <v>44925</v>
      </c>
      <c r="HRX616" s="5" t="s">
        <v>3728</v>
      </c>
      <c r="HRY616" s="17">
        <v>44925</v>
      </c>
      <c r="HRZ616" s="5" t="s">
        <v>3728</v>
      </c>
      <c r="HSA616" s="17">
        <v>44925</v>
      </c>
      <c r="HSB616" s="5" t="s">
        <v>3728</v>
      </c>
      <c r="HSC616" s="17">
        <v>44925</v>
      </c>
      <c r="HSD616" s="5" t="s">
        <v>3728</v>
      </c>
      <c r="HSE616" s="17">
        <v>44925</v>
      </c>
      <c r="HSF616" s="5" t="s">
        <v>3728</v>
      </c>
      <c r="HSG616" s="17">
        <v>44925</v>
      </c>
      <c r="HSH616" s="5" t="s">
        <v>3728</v>
      </c>
      <c r="HSI616" s="17">
        <v>44925</v>
      </c>
      <c r="HSJ616" s="5" t="s">
        <v>3728</v>
      </c>
      <c r="HSK616" s="17">
        <v>44925</v>
      </c>
      <c r="HSL616" s="5" t="s">
        <v>3728</v>
      </c>
      <c r="HSM616" s="17">
        <v>44925</v>
      </c>
      <c r="HSN616" s="5" t="s">
        <v>3728</v>
      </c>
      <c r="HSO616" s="17">
        <v>44925</v>
      </c>
      <c r="HSP616" s="5" t="s">
        <v>3728</v>
      </c>
      <c r="HSQ616" s="17">
        <v>44925</v>
      </c>
      <c r="HSR616" s="5" t="s">
        <v>3728</v>
      </c>
      <c r="HSS616" s="17">
        <v>44925</v>
      </c>
      <c r="HST616" s="5" t="s">
        <v>3728</v>
      </c>
      <c r="HSU616" s="17">
        <v>44925</v>
      </c>
      <c r="HSV616" s="5" t="s">
        <v>3728</v>
      </c>
      <c r="HSW616" s="17">
        <v>44925</v>
      </c>
      <c r="HSX616" s="5" t="s">
        <v>3728</v>
      </c>
      <c r="HSY616" s="17">
        <v>44925</v>
      </c>
      <c r="HSZ616" s="5" t="s">
        <v>3728</v>
      </c>
      <c r="HTA616" s="17">
        <v>44925</v>
      </c>
      <c r="HTB616" s="5" t="s">
        <v>3728</v>
      </c>
      <c r="HTC616" s="17">
        <v>44925</v>
      </c>
      <c r="HTD616" s="5" t="s">
        <v>3728</v>
      </c>
      <c r="HTE616" s="17">
        <v>44925</v>
      </c>
      <c r="HTF616" s="5" t="s">
        <v>3728</v>
      </c>
      <c r="HTG616" s="17">
        <v>44925</v>
      </c>
      <c r="HTH616" s="5" t="s">
        <v>3728</v>
      </c>
      <c r="HTI616" s="17">
        <v>44925</v>
      </c>
      <c r="HTJ616" s="5" t="s">
        <v>3728</v>
      </c>
      <c r="HTK616" s="17">
        <v>44925</v>
      </c>
      <c r="HTL616" s="5" t="s">
        <v>3728</v>
      </c>
      <c r="HTM616" s="17">
        <v>44925</v>
      </c>
      <c r="HTN616" s="5" t="s">
        <v>3728</v>
      </c>
      <c r="HTO616" s="17">
        <v>44925</v>
      </c>
      <c r="HTP616" s="5" t="s">
        <v>3728</v>
      </c>
      <c r="HTQ616" s="17">
        <v>44925</v>
      </c>
      <c r="HTR616" s="5" t="s">
        <v>3728</v>
      </c>
      <c r="HTS616" s="17">
        <v>44925</v>
      </c>
      <c r="HTT616" s="5" t="s">
        <v>3728</v>
      </c>
      <c r="HTU616" s="17">
        <v>44925</v>
      </c>
      <c r="HTV616" s="5" t="s">
        <v>3728</v>
      </c>
      <c r="HTW616" s="17">
        <v>44925</v>
      </c>
      <c r="HTX616" s="5" t="s">
        <v>3728</v>
      </c>
      <c r="HTY616" s="17">
        <v>44925</v>
      </c>
      <c r="HTZ616" s="5" t="s">
        <v>3728</v>
      </c>
      <c r="HUA616" s="17">
        <v>44925</v>
      </c>
      <c r="HUB616" s="5" t="s">
        <v>3728</v>
      </c>
      <c r="HUC616" s="17">
        <v>44925</v>
      </c>
      <c r="HUD616" s="5" t="s">
        <v>3728</v>
      </c>
      <c r="HUE616" s="17">
        <v>44925</v>
      </c>
      <c r="HUF616" s="5" t="s">
        <v>3728</v>
      </c>
      <c r="HUG616" s="17">
        <v>44925</v>
      </c>
      <c r="HUH616" s="5" t="s">
        <v>3728</v>
      </c>
      <c r="HUI616" s="17">
        <v>44925</v>
      </c>
      <c r="HUJ616" s="5" t="s">
        <v>3728</v>
      </c>
      <c r="HUK616" s="17">
        <v>44925</v>
      </c>
      <c r="HUL616" s="5" t="s">
        <v>3728</v>
      </c>
      <c r="HUM616" s="17">
        <v>44925</v>
      </c>
      <c r="HUN616" s="5" t="s">
        <v>3728</v>
      </c>
      <c r="HUO616" s="17">
        <v>44925</v>
      </c>
      <c r="HUP616" s="5" t="s">
        <v>3728</v>
      </c>
      <c r="HUQ616" s="17">
        <v>44925</v>
      </c>
      <c r="HUR616" s="5" t="s">
        <v>3728</v>
      </c>
      <c r="HUS616" s="17">
        <v>44925</v>
      </c>
      <c r="HUT616" s="5" t="s">
        <v>3728</v>
      </c>
      <c r="HUU616" s="17">
        <v>44925</v>
      </c>
      <c r="HUV616" s="5" t="s">
        <v>3728</v>
      </c>
      <c r="HUW616" s="17">
        <v>44925</v>
      </c>
      <c r="HUX616" s="5" t="s">
        <v>3728</v>
      </c>
      <c r="HUY616" s="17">
        <v>44925</v>
      </c>
      <c r="HUZ616" s="5" t="s">
        <v>3728</v>
      </c>
      <c r="HVA616" s="17">
        <v>44925</v>
      </c>
      <c r="HVB616" s="5" t="s">
        <v>3728</v>
      </c>
      <c r="HVC616" s="17">
        <v>44925</v>
      </c>
      <c r="HVD616" s="5" t="s">
        <v>3728</v>
      </c>
      <c r="HVE616" s="17">
        <v>44925</v>
      </c>
      <c r="HVF616" s="5" t="s">
        <v>3728</v>
      </c>
      <c r="HVG616" s="17">
        <v>44925</v>
      </c>
      <c r="HVH616" s="5" t="s">
        <v>3728</v>
      </c>
      <c r="HVI616" s="17">
        <v>44925</v>
      </c>
      <c r="HVJ616" s="5" t="s">
        <v>3728</v>
      </c>
      <c r="HVK616" s="17">
        <v>44925</v>
      </c>
      <c r="HVL616" s="5" t="s">
        <v>3728</v>
      </c>
      <c r="HVM616" s="17">
        <v>44925</v>
      </c>
      <c r="HVN616" s="5" t="s">
        <v>3728</v>
      </c>
      <c r="HVO616" s="17">
        <v>44925</v>
      </c>
      <c r="HVP616" s="5" t="s">
        <v>3728</v>
      </c>
      <c r="HVQ616" s="17">
        <v>44925</v>
      </c>
      <c r="HVR616" s="5" t="s">
        <v>3728</v>
      </c>
      <c r="HVS616" s="17">
        <v>44925</v>
      </c>
      <c r="HVT616" s="5" t="s">
        <v>3728</v>
      </c>
      <c r="HVU616" s="17">
        <v>44925</v>
      </c>
      <c r="HVV616" s="5" t="s">
        <v>3728</v>
      </c>
      <c r="HVW616" s="17">
        <v>44925</v>
      </c>
      <c r="HVX616" s="5" t="s">
        <v>3728</v>
      </c>
      <c r="HVY616" s="17">
        <v>44925</v>
      </c>
      <c r="HVZ616" s="5" t="s">
        <v>3728</v>
      </c>
      <c r="HWA616" s="17">
        <v>44925</v>
      </c>
      <c r="HWB616" s="5" t="s">
        <v>3728</v>
      </c>
      <c r="HWC616" s="17">
        <v>44925</v>
      </c>
      <c r="HWD616" s="5" t="s">
        <v>3728</v>
      </c>
      <c r="HWE616" s="17">
        <v>44925</v>
      </c>
      <c r="HWF616" s="5" t="s">
        <v>3728</v>
      </c>
      <c r="HWG616" s="17">
        <v>44925</v>
      </c>
      <c r="HWH616" s="5" t="s">
        <v>3728</v>
      </c>
      <c r="HWI616" s="17">
        <v>44925</v>
      </c>
      <c r="HWJ616" s="5" t="s">
        <v>3728</v>
      </c>
      <c r="HWK616" s="17">
        <v>44925</v>
      </c>
      <c r="HWL616" s="5" t="s">
        <v>3728</v>
      </c>
      <c r="HWM616" s="17">
        <v>44925</v>
      </c>
      <c r="HWN616" s="5" t="s">
        <v>3728</v>
      </c>
      <c r="HWO616" s="17">
        <v>44925</v>
      </c>
      <c r="HWP616" s="5" t="s">
        <v>3728</v>
      </c>
      <c r="HWQ616" s="17">
        <v>44925</v>
      </c>
      <c r="HWR616" s="5" t="s">
        <v>3728</v>
      </c>
      <c r="HWS616" s="17">
        <v>44925</v>
      </c>
      <c r="HWT616" s="5" t="s">
        <v>3728</v>
      </c>
      <c r="HWU616" s="17">
        <v>44925</v>
      </c>
      <c r="HWV616" s="5" t="s">
        <v>3728</v>
      </c>
      <c r="HWW616" s="17">
        <v>44925</v>
      </c>
      <c r="HWX616" s="5" t="s">
        <v>3728</v>
      </c>
      <c r="HWY616" s="17">
        <v>44925</v>
      </c>
      <c r="HWZ616" s="5" t="s">
        <v>3728</v>
      </c>
      <c r="HXA616" s="17">
        <v>44925</v>
      </c>
      <c r="HXB616" s="5" t="s">
        <v>3728</v>
      </c>
      <c r="HXC616" s="17">
        <v>44925</v>
      </c>
      <c r="HXD616" s="5" t="s">
        <v>3728</v>
      </c>
      <c r="HXE616" s="17">
        <v>44925</v>
      </c>
      <c r="HXF616" s="5" t="s">
        <v>3728</v>
      </c>
      <c r="HXG616" s="17">
        <v>44925</v>
      </c>
      <c r="HXH616" s="5" t="s">
        <v>3728</v>
      </c>
      <c r="HXI616" s="17">
        <v>44925</v>
      </c>
      <c r="HXJ616" s="5" t="s">
        <v>3728</v>
      </c>
      <c r="HXK616" s="17">
        <v>44925</v>
      </c>
      <c r="HXL616" s="5" t="s">
        <v>3728</v>
      </c>
      <c r="HXM616" s="17">
        <v>44925</v>
      </c>
      <c r="HXN616" s="5" t="s">
        <v>3728</v>
      </c>
      <c r="HXO616" s="17">
        <v>44925</v>
      </c>
      <c r="HXP616" s="5" t="s">
        <v>3728</v>
      </c>
      <c r="HXQ616" s="17">
        <v>44925</v>
      </c>
      <c r="HXR616" s="5" t="s">
        <v>3728</v>
      </c>
      <c r="HXS616" s="17">
        <v>44925</v>
      </c>
      <c r="HXT616" s="5" t="s">
        <v>3728</v>
      </c>
      <c r="HXU616" s="17">
        <v>44925</v>
      </c>
      <c r="HXV616" s="5" t="s">
        <v>3728</v>
      </c>
      <c r="HXW616" s="17">
        <v>44925</v>
      </c>
      <c r="HXX616" s="5" t="s">
        <v>3728</v>
      </c>
      <c r="HXY616" s="17">
        <v>44925</v>
      </c>
      <c r="HXZ616" s="5" t="s">
        <v>3728</v>
      </c>
      <c r="HYA616" s="17">
        <v>44925</v>
      </c>
      <c r="HYB616" s="5" t="s">
        <v>3728</v>
      </c>
      <c r="HYC616" s="17">
        <v>44925</v>
      </c>
      <c r="HYD616" s="5" t="s">
        <v>3728</v>
      </c>
      <c r="HYE616" s="17">
        <v>44925</v>
      </c>
      <c r="HYF616" s="5" t="s">
        <v>3728</v>
      </c>
      <c r="HYG616" s="17">
        <v>44925</v>
      </c>
      <c r="HYH616" s="5" t="s">
        <v>3728</v>
      </c>
      <c r="HYI616" s="17">
        <v>44925</v>
      </c>
      <c r="HYJ616" s="5" t="s">
        <v>3728</v>
      </c>
      <c r="HYK616" s="17">
        <v>44925</v>
      </c>
      <c r="HYL616" s="5" t="s">
        <v>3728</v>
      </c>
      <c r="HYM616" s="17">
        <v>44925</v>
      </c>
      <c r="HYN616" s="5" t="s">
        <v>3728</v>
      </c>
      <c r="HYO616" s="17">
        <v>44925</v>
      </c>
      <c r="HYP616" s="5" t="s">
        <v>3728</v>
      </c>
      <c r="HYQ616" s="17">
        <v>44925</v>
      </c>
      <c r="HYR616" s="5" t="s">
        <v>3728</v>
      </c>
      <c r="HYS616" s="17">
        <v>44925</v>
      </c>
      <c r="HYT616" s="5" t="s">
        <v>3728</v>
      </c>
      <c r="HYU616" s="17">
        <v>44925</v>
      </c>
      <c r="HYV616" s="5" t="s">
        <v>3728</v>
      </c>
      <c r="HYW616" s="17">
        <v>44925</v>
      </c>
      <c r="HYX616" s="5" t="s">
        <v>3728</v>
      </c>
      <c r="HYY616" s="17">
        <v>44925</v>
      </c>
      <c r="HYZ616" s="5" t="s">
        <v>3728</v>
      </c>
      <c r="HZA616" s="17">
        <v>44925</v>
      </c>
      <c r="HZB616" s="5" t="s">
        <v>3728</v>
      </c>
      <c r="HZC616" s="17">
        <v>44925</v>
      </c>
      <c r="HZD616" s="5" t="s">
        <v>3728</v>
      </c>
      <c r="HZE616" s="17">
        <v>44925</v>
      </c>
      <c r="HZF616" s="5" t="s">
        <v>3728</v>
      </c>
      <c r="HZG616" s="17">
        <v>44925</v>
      </c>
      <c r="HZH616" s="5" t="s">
        <v>3728</v>
      </c>
      <c r="HZI616" s="17">
        <v>44925</v>
      </c>
      <c r="HZJ616" s="5" t="s">
        <v>3728</v>
      </c>
      <c r="HZK616" s="17">
        <v>44925</v>
      </c>
      <c r="HZL616" s="5" t="s">
        <v>3728</v>
      </c>
      <c r="HZM616" s="17">
        <v>44925</v>
      </c>
      <c r="HZN616" s="5" t="s">
        <v>3728</v>
      </c>
      <c r="HZO616" s="17">
        <v>44925</v>
      </c>
      <c r="HZP616" s="5" t="s">
        <v>3728</v>
      </c>
      <c r="HZQ616" s="17">
        <v>44925</v>
      </c>
      <c r="HZR616" s="5" t="s">
        <v>3728</v>
      </c>
      <c r="HZS616" s="17">
        <v>44925</v>
      </c>
      <c r="HZT616" s="5" t="s">
        <v>3728</v>
      </c>
      <c r="HZU616" s="17">
        <v>44925</v>
      </c>
      <c r="HZV616" s="5" t="s">
        <v>3728</v>
      </c>
      <c r="HZW616" s="17">
        <v>44925</v>
      </c>
      <c r="HZX616" s="5" t="s">
        <v>3728</v>
      </c>
      <c r="HZY616" s="17">
        <v>44925</v>
      </c>
      <c r="HZZ616" s="5" t="s">
        <v>3728</v>
      </c>
      <c r="IAA616" s="17">
        <v>44925</v>
      </c>
      <c r="IAB616" s="5" t="s">
        <v>3728</v>
      </c>
      <c r="IAC616" s="17">
        <v>44925</v>
      </c>
      <c r="IAD616" s="5" t="s">
        <v>3728</v>
      </c>
      <c r="IAE616" s="17">
        <v>44925</v>
      </c>
      <c r="IAF616" s="5" t="s">
        <v>3728</v>
      </c>
      <c r="IAG616" s="17">
        <v>44925</v>
      </c>
      <c r="IAH616" s="5" t="s">
        <v>3728</v>
      </c>
      <c r="IAI616" s="17">
        <v>44925</v>
      </c>
      <c r="IAJ616" s="5" t="s">
        <v>3728</v>
      </c>
      <c r="IAK616" s="17">
        <v>44925</v>
      </c>
      <c r="IAL616" s="5" t="s">
        <v>3728</v>
      </c>
      <c r="IAM616" s="17">
        <v>44925</v>
      </c>
      <c r="IAN616" s="5" t="s">
        <v>3728</v>
      </c>
      <c r="IAO616" s="17">
        <v>44925</v>
      </c>
      <c r="IAP616" s="5" t="s">
        <v>3728</v>
      </c>
      <c r="IAQ616" s="17">
        <v>44925</v>
      </c>
      <c r="IAR616" s="5" t="s">
        <v>3728</v>
      </c>
      <c r="IAS616" s="17">
        <v>44925</v>
      </c>
      <c r="IAT616" s="5" t="s">
        <v>3728</v>
      </c>
      <c r="IAU616" s="17">
        <v>44925</v>
      </c>
      <c r="IAV616" s="5" t="s">
        <v>3728</v>
      </c>
      <c r="IAW616" s="17">
        <v>44925</v>
      </c>
      <c r="IAX616" s="5" t="s">
        <v>3728</v>
      </c>
      <c r="IAY616" s="17">
        <v>44925</v>
      </c>
      <c r="IAZ616" s="5" t="s">
        <v>3728</v>
      </c>
      <c r="IBA616" s="17">
        <v>44925</v>
      </c>
      <c r="IBB616" s="5" t="s">
        <v>3728</v>
      </c>
      <c r="IBC616" s="17">
        <v>44925</v>
      </c>
      <c r="IBD616" s="5" t="s">
        <v>3728</v>
      </c>
      <c r="IBE616" s="17">
        <v>44925</v>
      </c>
      <c r="IBF616" s="5" t="s">
        <v>3728</v>
      </c>
      <c r="IBG616" s="17">
        <v>44925</v>
      </c>
      <c r="IBH616" s="5" t="s">
        <v>3728</v>
      </c>
      <c r="IBI616" s="17">
        <v>44925</v>
      </c>
      <c r="IBJ616" s="5" t="s">
        <v>3728</v>
      </c>
      <c r="IBK616" s="17">
        <v>44925</v>
      </c>
      <c r="IBL616" s="5" t="s">
        <v>3728</v>
      </c>
      <c r="IBM616" s="17">
        <v>44925</v>
      </c>
      <c r="IBN616" s="5" t="s">
        <v>3728</v>
      </c>
      <c r="IBO616" s="17">
        <v>44925</v>
      </c>
      <c r="IBP616" s="5" t="s">
        <v>3728</v>
      </c>
      <c r="IBQ616" s="17">
        <v>44925</v>
      </c>
      <c r="IBR616" s="5" t="s">
        <v>3728</v>
      </c>
      <c r="IBS616" s="17">
        <v>44925</v>
      </c>
      <c r="IBT616" s="5" t="s">
        <v>3728</v>
      </c>
      <c r="IBU616" s="17">
        <v>44925</v>
      </c>
      <c r="IBV616" s="5" t="s">
        <v>3728</v>
      </c>
      <c r="IBW616" s="17">
        <v>44925</v>
      </c>
      <c r="IBX616" s="5" t="s">
        <v>3728</v>
      </c>
      <c r="IBY616" s="17">
        <v>44925</v>
      </c>
      <c r="IBZ616" s="5" t="s">
        <v>3728</v>
      </c>
      <c r="ICA616" s="17">
        <v>44925</v>
      </c>
      <c r="ICB616" s="5" t="s">
        <v>3728</v>
      </c>
      <c r="ICC616" s="17">
        <v>44925</v>
      </c>
      <c r="ICD616" s="5" t="s">
        <v>3728</v>
      </c>
      <c r="ICE616" s="17">
        <v>44925</v>
      </c>
      <c r="ICF616" s="5" t="s">
        <v>3728</v>
      </c>
      <c r="ICG616" s="17">
        <v>44925</v>
      </c>
      <c r="ICH616" s="5" t="s">
        <v>3728</v>
      </c>
      <c r="ICI616" s="17">
        <v>44925</v>
      </c>
      <c r="ICJ616" s="5" t="s">
        <v>3728</v>
      </c>
      <c r="ICK616" s="17">
        <v>44925</v>
      </c>
      <c r="ICL616" s="5" t="s">
        <v>3728</v>
      </c>
      <c r="ICM616" s="17">
        <v>44925</v>
      </c>
      <c r="ICN616" s="5" t="s">
        <v>3728</v>
      </c>
      <c r="ICO616" s="17">
        <v>44925</v>
      </c>
      <c r="ICP616" s="5" t="s">
        <v>3728</v>
      </c>
      <c r="ICQ616" s="17">
        <v>44925</v>
      </c>
      <c r="ICR616" s="5" t="s">
        <v>3728</v>
      </c>
      <c r="ICS616" s="17">
        <v>44925</v>
      </c>
      <c r="ICT616" s="5" t="s">
        <v>3728</v>
      </c>
      <c r="ICU616" s="17">
        <v>44925</v>
      </c>
      <c r="ICV616" s="5" t="s">
        <v>3728</v>
      </c>
      <c r="ICW616" s="17">
        <v>44925</v>
      </c>
      <c r="ICX616" s="5" t="s">
        <v>3728</v>
      </c>
      <c r="ICY616" s="17">
        <v>44925</v>
      </c>
      <c r="ICZ616" s="5" t="s">
        <v>3728</v>
      </c>
      <c r="IDA616" s="17">
        <v>44925</v>
      </c>
      <c r="IDB616" s="5" t="s">
        <v>3728</v>
      </c>
      <c r="IDC616" s="17">
        <v>44925</v>
      </c>
      <c r="IDD616" s="5" t="s">
        <v>3728</v>
      </c>
      <c r="IDE616" s="17">
        <v>44925</v>
      </c>
      <c r="IDF616" s="5" t="s">
        <v>3728</v>
      </c>
      <c r="IDG616" s="17">
        <v>44925</v>
      </c>
      <c r="IDH616" s="5" t="s">
        <v>3728</v>
      </c>
      <c r="IDI616" s="17">
        <v>44925</v>
      </c>
      <c r="IDJ616" s="5" t="s">
        <v>3728</v>
      </c>
      <c r="IDK616" s="17">
        <v>44925</v>
      </c>
      <c r="IDL616" s="5" t="s">
        <v>3728</v>
      </c>
      <c r="IDM616" s="17">
        <v>44925</v>
      </c>
      <c r="IDN616" s="5" t="s">
        <v>3728</v>
      </c>
      <c r="IDO616" s="17">
        <v>44925</v>
      </c>
      <c r="IDP616" s="5" t="s">
        <v>3728</v>
      </c>
      <c r="IDQ616" s="17">
        <v>44925</v>
      </c>
      <c r="IDR616" s="5" t="s">
        <v>3728</v>
      </c>
      <c r="IDS616" s="17">
        <v>44925</v>
      </c>
      <c r="IDT616" s="5" t="s">
        <v>3728</v>
      </c>
      <c r="IDU616" s="17">
        <v>44925</v>
      </c>
      <c r="IDV616" s="5" t="s">
        <v>3728</v>
      </c>
      <c r="IDW616" s="17">
        <v>44925</v>
      </c>
      <c r="IDX616" s="5" t="s">
        <v>3728</v>
      </c>
      <c r="IDY616" s="17">
        <v>44925</v>
      </c>
      <c r="IDZ616" s="5" t="s">
        <v>3728</v>
      </c>
      <c r="IEA616" s="17">
        <v>44925</v>
      </c>
      <c r="IEB616" s="5" t="s">
        <v>3728</v>
      </c>
      <c r="IEC616" s="17">
        <v>44925</v>
      </c>
      <c r="IED616" s="5" t="s">
        <v>3728</v>
      </c>
      <c r="IEE616" s="17">
        <v>44925</v>
      </c>
      <c r="IEF616" s="5" t="s">
        <v>3728</v>
      </c>
      <c r="IEG616" s="17">
        <v>44925</v>
      </c>
      <c r="IEH616" s="5" t="s">
        <v>3728</v>
      </c>
      <c r="IEI616" s="17">
        <v>44925</v>
      </c>
      <c r="IEJ616" s="5" t="s">
        <v>3728</v>
      </c>
      <c r="IEK616" s="17">
        <v>44925</v>
      </c>
      <c r="IEL616" s="5" t="s">
        <v>3728</v>
      </c>
      <c r="IEM616" s="17">
        <v>44925</v>
      </c>
      <c r="IEN616" s="5" t="s">
        <v>3728</v>
      </c>
      <c r="IEO616" s="17">
        <v>44925</v>
      </c>
      <c r="IEP616" s="5" t="s">
        <v>3728</v>
      </c>
      <c r="IEQ616" s="17">
        <v>44925</v>
      </c>
      <c r="IER616" s="5" t="s">
        <v>3728</v>
      </c>
      <c r="IES616" s="17">
        <v>44925</v>
      </c>
      <c r="IET616" s="5" t="s">
        <v>3728</v>
      </c>
      <c r="IEU616" s="17">
        <v>44925</v>
      </c>
      <c r="IEV616" s="5" t="s">
        <v>3728</v>
      </c>
      <c r="IEW616" s="17">
        <v>44925</v>
      </c>
      <c r="IEX616" s="5" t="s">
        <v>3728</v>
      </c>
      <c r="IEY616" s="17">
        <v>44925</v>
      </c>
      <c r="IEZ616" s="5" t="s">
        <v>3728</v>
      </c>
      <c r="IFA616" s="17">
        <v>44925</v>
      </c>
      <c r="IFB616" s="5" t="s">
        <v>3728</v>
      </c>
      <c r="IFC616" s="17">
        <v>44925</v>
      </c>
      <c r="IFD616" s="5" t="s">
        <v>3728</v>
      </c>
      <c r="IFE616" s="17">
        <v>44925</v>
      </c>
      <c r="IFF616" s="5" t="s">
        <v>3728</v>
      </c>
      <c r="IFG616" s="17">
        <v>44925</v>
      </c>
      <c r="IFH616" s="5" t="s">
        <v>3728</v>
      </c>
      <c r="IFI616" s="17">
        <v>44925</v>
      </c>
      <c r="IFJ616" s="5" t="s">
        <v>3728</v>
      </c>
      <c r="IFK616" s="17">
        <v>44925</v>
      </c>
      <c r="IFL616" s="5" t="s">
        <v>3728</v>
      </c>
      <c r="IFM616" s="17">
        <v>44925</v>
      </c>
      <c r="IFN616" s="5" t="s">
        <v>3728</v>
      </c>
      <c r="IFO616" s="17">
        <v>44925</v>
      </c>
      <c r="IFP616" s="5" t="s">
        <v>3728</v>
      </c>
      <c r="IFQ616" s="17">
        <v>44925</v>
      </c>
      <c r="IFR616" s="5" t="s">
        <v>3728</v>
      </c>
      <c r="IFS616" s="17">
        <v>44925</v>
      </c>
      <c r="IFT616" s="5" t="s">
        <v>3728</v>
      </c>
      <c r="IFU616" s="17">
        <v>44925</v>
      </c>
      <c r="IFV616" s="5" t="s">
        <v>3728</v>
      </c>
      <c r="IFW616" s="17">
        <v>44925</v>
      </c>
      <c r="IFX616" s="5" t="s">
        <v>3728</v>
      </c>
      <c r="IFY616" s="17">
        <v>44925</v>
      </c>
      <c r="IFZ616" s="5" t="s">
        <v>3728</v>
      </c>
      <c r="IGA616" s="17">
        <v>44925</v>
      </c>
      <c r="IGB616" s="5" t="s">
        <v>3728</v>
      </c>
      <c r="IGC616" s="17">
        <v>44925</v>
      </c>
      <c r="IGD616" s="5" t="s">
        <v>3728</v>
      </c>
      <c r="IGE616" s="17">
        <v>44925</v>
      </c>
      <c r="IGF616" s="5" t="s">
        <v>3728</v>
      </c>
      <c r="IGG616" s="17">
        <v>44925</v>
      </c>
      <c r="IGH616" s="5" t="s">
        <v>3728</v>
      </c>
      <c r="IGI616" s="17">
        <v>44925</v>
      </c>
      <c r="IGJ616" s="5" t="s">
        <v>3728</v>
      </c>
      <c r="IGK616" s="17">
        <v>44925</v>
      </c>
      <c r="IGL616" s="5" t="s">
        <v>3728</v>
      </c>
      <c r="IGM616" s="17">
        <v>44925</v>
      </c>
      <c r="IGN616" s="5" t="s">
        <v>3728</v>
      </c>
      <c r="IGO616" s="17">
        <v>44925</v>
      </c>
      <c r="IGP616" s="5" t="s">
        <v>3728</v>
      </c>
      <c r="IGQ616" s="17">
        <v>44925</v>
      </c>
      <c r="IGR616" s="5" t="s">
        <v>3728</v>
      </c>
      <c r="IGS616" s="17">
        <v>44925</v>
      </c>
      <c r="IGT616" s="5" t="s">
        <v>3728</v>
      </c>
      <c r="IGU616" s="17">
        <v>44925</v>
      </c>
      <c r="IGV616" s="5" t="s">
        <v>3728</v>
      </c>
      <c r="IGW616" s="17">
        <v>44925</v>
      </c>
      <c r="IGX616" s="5" t="s">
        <v>3728</v>
      </c>
      <c r="IGY616" s="17">
        <v>44925</v>
      </c>
      <c r="IGZ616" s="5" t="s">
        <v>3728</v>
      </c>
      <c r="IHA616" s="17">
        <v>44925</v>
      </c>
      <c r="IHB616" s="5" t="s">
        <v>3728</v>
      </c>
      <c r="IHC616" s="17">
        <v>44925</v>
      </c>
      <c r="IHD616" s="5" t="s">
        <v>3728</v>
      </c>
      <c r="IHE616" s="17">
        <v>44925</v>
      </c>
      <c r="IHF616" s="5" t="s">
        <v>3728</v>
      </c>
      <c r="IHG616" s="17">
        <v>44925</v>
      </c>
      <c r="IHH616" s="5" t="s">
        <v>3728</v>
      </c>
      <c r="IHI616" s="17">
        <v>44925</v>
      </c>
      <c r="IHJ616" s="5" t="s">
        <v>3728</v>
      </c>
      <c r="IHK616" s="17">
        <v>44925</v>
      </c>
      <c r="IHL616" s="5" t="s">
        <v>3728</v>
      </c>
      <c r="IHM616" s="17">
        <v>44925</v>
      </c>
      <c r="IHN616" s="5" t="s">
        <v>3728</v>
      </c>
      <c r="IHO616" s="17">
        <v>44925</v>
      </c>
      <c r="IHP616" s="5" t="s">
        <v>3728</v>
      </c>
      <c r="IHQ616" s="17">
        <v>44925</v>
      </c>
      <c r="IHR616" s="5" t="s">
        <v>3728</v>
      </c>
      <c r="IHS616" s="17">
        <v>44925</v>
      </c>
      <c r="IHT616" s="5" t="s">
        <v>3728</v>
      </c>
      <c r="IHU616" s="17">
        <v>44925</v>
      </c>
      <c r="IHV616" s="5" t="s">
        <v>3728</v>
      </c>
      <c r="IHW616" s="17">
        <v>44925</v>
      </c>
      <c r="IHX616" s="5" t="s">
        <v>3728</v>
      </c>
      <c r="IHY616" s="17">
        <v>44925</v>
      </c>
      <c r="IHZ616" s="5" t="s">
        <v>3728</v>
      </c>
      <c r="IIA616" s="17">
        <v>44925</v>
      </c>
      <c r="IIB616" s="5" t="s">
        <v>3728</v>
      </c>
      <c r="IIC616" s="17">
        <v>44925</v>
      </c>
      <c r="IID616" s="5" t="s">
        <v>3728</v>
      </c>
      <c r="IIE616" s="17">
        <v>44925</v>
      </c>
      <c r="IIF616" s="5" t="s">
        <v>3728</v>
      </c>
      <c r="IIG616" s="17">
        <v>44925</v>
      </c>
      <c r="IIH616" s="5" t="s">
        <v>3728</v>
      </c>
      <c r="III616" s="17">
        <v>44925</v>
      </c>
      <c r="IIJ616" s="5" t="s">
        <v>3728</v>
      </c>
      <c r="IIK616" s="17">
        <v>44925</v>
      </c>
      <c r="IIL616" s="5" t="s">
        <v>3728</v>
      </c>
      <c r="IIM616" s="17">
        <v>44925</v>
      </c>
      <c r="IIN616" s="5" t="s">
        <v>3728</v>
      </c>
      <c r="IIO616" s="17">
        <v>44925</v>
      </c>
      <c r="IIP616" s="5" t="s">
        <v>3728</v>
      </c>
      <c r="IIQ616" s="17">
        <v>44925</v>
      </c>
      <c r="IIR616" s="5" t="s">
        <v>3728</v>
      </c>
      <c r="IIS616" s="17">
        <v>44925</v>
      </c>
      <c r="IIT616" s="5" t="s">
        <v>3728</v>
      </c>
      <c r="IIU616" s="17">
        <v>44925</v>
      </c>
      <c r="IIV616" s="5" t="s">
        <v>3728</v>
      </c>
      <c r="IIW616" s="17">
        <v>44925</v>
      </c>
      <c r="IIX616" s="5" t="s">
        <v>3728</v>
      </c>
      <c r="IIY616" s="17">
        <v>44925</v>
      </c>
      <c r="IIZ616" s="5" t="s">
        <v>3728</v>
      </c>
      <c r="IJA616" s="17">
        <v>44925</v>
      </c>
      <c r="IJB616" s="5" t="s">
        <v>3728</v>
      </c>
      <c r="IJC616" s="17">
        <v>44925</v>
      </c>
      <c r="IJD616" s="5" t="s">
        <v>3728</v>
      </c>
      <c r="IJE616" s="17">
        <v>44925</v>
      </c>
      <c r="IJF616" s="5" t="s">
        <v>3728</v>
      </c>
      <c r="IJG616" s="17">
        <v>44925</v>
      </c>
      <c r="IJH616" s="5" t="s">
        <v>3728</v>
      </c>
      <c r="IJI616" s="17">
        <v>44925</v>
      </c>
      <c r="IJJ616" s="5" t="s">
        <v>3728</v>
      </c>
      <c r="IJK616" s="17">
        <v>44925</v>
      </c>
      <c r="IJL616" s="5" t="s">
        <v>3728</v>
      </c>
      <c r="IJM616" s="17">
        <v>44925</v>
      </c>
      <c r="IJN616" s="5" t="s">
        <v>3728</v>
      </c>
      <c r="IJO616" s="17">
        <v>44925</v>
      </c>
      <c r="IJP616" s="5" t="s">
        <v>3728</v>
      </c>
      <c r="IJQ616" s="17">
        <v>44925</v>
      </c>
      <c r="IJR616" s="5" t="s">
        <v>3728</v>
      </c>
      <c r="IJS616" s="17">
        <v>44925</v>
      </c>
      <c r="IJT616" s="5" t="s">
        <v>3728</v>
      </c>
      <c r="IJU616" s="17">
        <v>44925</v>
      </c>
      <c r="IJV616" s="5" t="s">
        <v>3728</v>
      </c>
      <c r="IJW616" s="17">
        <v>44925</v>
      </c>
      <c r="IJX616" s="5" t="s">
        <v>3728</v>
      </c>
      <c r="IJY616" s="17">
        <v>44925</v>
      </c>
      <c r="IJZ616" s="5" t="s">
        <v>3728</v>
      </c>
      <c r="IKA616" s="17">
        <v>44925</v>
      </c>
      <c r="IKB616" s="5" t="s">
        <v>3728</v>
      </c>
      <c r="IKC616" s="17">
        <v>44925</v>
      </c>
      <c r="IKD616" s="5" t="s">
        <v>3728</v>
      </c>
      <c r="IKE616" s="17">
        <v>44925</v>
      </c>
      <c r="IKF616" s="5" t="s">
        <v>3728</v>
      </c>
      <c r="IKG616" s="17">
        <v>44925</v>
      </c>
      <c r="IKH616" s="5" t="s">
        <v>3728</v>
      </c>
      <c r="IKI616" s="17">
        <v>44925</v>
      </c>
      <c r="IKJ616" s="5" t="s">
        <v>3728</v>
      </c>
      <c r="IKK616" s="17">
        <v>44925</v>
      </c>
      <c r="IKL616" s="5" t="s">
        <v>3728</v>
      </c>
      <c r="IKM616" s="17">
        <v>44925</v>
      </c>
      <c r="IKN616" s="5" t="s">
        <v>3728</v>
      </c>
      <c r="IKO616" s="17">
        <v>44925</v>
      </c>
      <c r="IKP616" s="5" t="s">
        <v>3728</v>
      </c>
      <c r="IKQ616" s="17">
        <v>44925</v>
      </c>
      <c r="IKR616" s="5" t="s">
        <v>3728</v>
      </c>
      <c r="IKS616" s="17">
        <v>44925</v>
      </c>
      <c r="IKT616" s="5" t="s">
        <v>3728</v>
      </c>
      <c r="IKU616" s="17">
        <v>44925</v>
      </c>
      <c r="IKV616" s="5" t="s">
        <v>3728</v>
      </c>
      <c r="IKW616" s="17">
        <v>44925</v>
      </c>
      <c r="IKX616" s="5" t="s">
        <v>3728</v>
      </c>
      <c r="IKY616" s="17">
        <v>44925</v>
      </c>
      <c r="IKZ616" s="5" t="s">
        <v>3728</v>
      </c>
      <c r="ILA616" s="17">
        <v>44925</v>
      </c>
      <c r="ILB616" s="5" t="s">
        <v>3728</v>
      </c>
      <c r="ILC616" s="17">
        <v>44925</v>
      </c>
      <c r="ILD616" s="5" t="s">
        <v>3728</v>
      </c>
      <c r="ILE616" s="17">
        <v>44925</v>
      </c>
      <c r="ILF616" s="5" t="s">
        <v>3728</v>
      </c>
      <c r="ILG616" s="17">
        <v>44925</v>
      </c>
      <c r="ILH616" s="5" t="s">
        <v>3728</v>
      </c>
      <c r="ILI616" s="17">
        <v>44925</v>
      </c>
      <c r="ILJ616" s="5" t="s">
        <v>3728</v>
      </c>
      <c r="ILK616" s="17">
        <v>44925</v>
      </c>
      <c r="ILL616" s="5" t="s">
        <v>3728</v>
      </c>
      <c r="ILM616" s="17">
        <v>44925</v>
      </c>
      <c r="ILN616" s="5" t="s">
        <v>3728</v>
      </c>
      <c r="ILO616" s="17">
        <v>44925</v>
      </c>
      <c r="ILP616" s="5" t="s">
        <v>3728</v>
      </c>
      <c r="ILQ616" s="17">
        <v>44925</v>
      </c>
      <c r="ILR616" s="5" t="s">
        <v>3728</v>
      </c>
      <c r="ILS616" s="17">
        <v>44925</v>
      </c>
      <c r="ILT616" s="5" t="s">
        <v>3728</v>
      </c>
      <c r="ILU616" s="17">
        <v>44925</v>
      </c>
      <c r="ILV616" s="5" t="s">
        <v>3728</v>
      </c>
      <c r="ILW616" s="17">
        <v>44925</v>
      </c>
      <c r="ILX616" s="5" t="s">
        <v>3728</v>
      </c>
      <c r="ILY616" s="17">
        <v>44925</v>
      </c>
      <c r="ILZ616" s="5" t="s">
        <v>3728</v>
      </c>
      <c r="IMA616" s="17">
        <v>44925</v>
      </c>
      <c r="IMB616" s="5" t="s">
        <v>3728</v>
      </c>
      <c r="IMC616" s="17">
        <v>44925</v>
      </c>
      <c r="IMD616" s="5" t="s">
        <v>3728</v>
      </c>
      <c r="IME616" s="17">
        <v>44925</v>
      </c>
      <c r="IMF616" s="5" t="s">
        <v>3728</v>
      </c>
      <c r="IMG616" s="17">
        <v>44925</v>
      </c>
      <c r="IMH616" s="5" t="s">
        <v>3728</v>
      </c>
      <c r="IMI616" s="17">
        <v>44925</v>
      </c>
      <c r="IMJ616" s="5" t="s">
        <v>3728</v>
      </c>
      <c r="IMK616" s="17">
        <v>44925</v>
      </c>
      <c r="IML616" s="5" t="s">
        <v>3728</v>
      </c>
      <c r="IMM616" s="17">
        <v>44925</v>
      </c>
      <c r="IMN616" s="5" t="s">
        <v>3728</v>
      </c>
      <c r="IMO616" s="17">
        <v>44925</v>
      </c>
      <c r="IMP616" s="5" t="s">
        <v>3728</v>
      </c>
      <c r="IMQ616" s="17">
        <v>44925</v>
      </c>
      <c r="IMR616" s="5" t="s">
        <v>3728</v>
      </c>
      <c r="IMS616" s="17">
        <v>44925</v>
      </c>
      <c r="IMT616" s="5" t="s">
        <v>3728</v>
      </c>
      <c r="IMU616" s="17">
        <v>44925</v>
      </c>
      <c r="IMV616" s="5" t="s">
        <v>3728</v>
      </c>
      <c r="IMW616" s="17">
        <v>44925</v>
      </c>
      <c r="IMX616" s="5" t="s">
        <v>3728</v>
      </c>
      <c r="IMY616" s="17">
        <v>44925</v>
      </c>
      <c r="IMZ616" s="5" t="s">
        <v>3728</v>
      </c>
      <c r="INA616" s="17">
        <v>44925</v>
      </c>
      <c r="INB616" s="5" t="s">
        <v>3728</v>
      </c>
      <c r="INC616" s="17">
        <v>44925</v>
      </c>
      <c r="IND616" s="5" t="s">
        <v>3728</v>
      </c>
      <c r="INE616" s="17">
        <v>44925</v>
      </c>
      <c r="INF616" s="5" t="s">
        <v>3728</v>
      </c>
      <c r="ING616" s="17">
        <v>44925</v>
      </c>
      <c r="INH616" s="5" t="s">
        <v>3728</v>
      </c>
      <c r="INI616" s="17">
        <v>44925</v>
      </c>
      <c r="INJ616" s="5" t="s">
        <v>3728</v>
      </c>
      <c r="INK616" s="17">
        <v>44925</v>
      </c>
      <c r="INL616" s="5" t="s">
        <v>3728</v>
      </c>
      <c r="INM616" s="17">
        <v>44925</v>
      </c>
      <c r="INN616" s="5" t="s">
        <v>3728</v>
      </c>
      <c r="INO616" s="17">
        <v>44925</v>
      </c>
      <c r="INP616" s="5" t="s">
        <v>3728</v>
      </c>
      <c r="INQ616" s="17">
        <v>44925</v>
      </c>
      <c r="INR616" s="5" t="s">
        <v>3728</v>
      </c>
      <c r="INS616" s="17">
        <v>44925</v>
      </c>
      <c r="INT616" s="5" t="s">
        <v>3728</v>
      </c>
      <c r="INU616" s="17">
        <v>44925</v>
      </c>
      <c r="INV616" s="5" t="s">
        <v>3728</v>
      </c>
      <c r="INW616" s="17">
        <v>44925</v>
      </c>
      <c r="INX616" s="5" t="s">
        <v>3728</v>
      </c>
      <c r="INY616" s="17">
        <v>44925</v>
      </c>
      <c r="INZ616" s="5" t="s">
        <v>3728</v>
      </c>
      <c r="IOA616" s="17">
        <v>44925</v>
      </c>
      <c r="IOB616" s="5" t="s">
        <v>3728</v>
      </c>
      <c r="IOC616" s="17">
        <v>44925</v>
      </c>
      <c r="IOD616" s="5" t="s">
        <v>3728</v>
      </c>
      <c r="IOE616" s="17">
        <v>44925</v>
      </c>
      <c r="IOF616" s="5" t="s">
        <v>3728</v>
      </c>
      <c r="IOG616" s="17">
        <v>44925</v>
      </c>
      <c r="IOH616" s="5" t="s">
        <v>3728</v>
      </c>
      <c r="IOI616" s="17">
        <v>44925</v>
      </c>
      <c r="IOJ616" s="5" t="s">
        <v>3728</v>
      </c>
      <c r="IOK616" s="17">
        <v>44925</v>
      </c>
      <c r="IOL616" s="5" t="s">
        <v>3728</v>
      </c>
      <c r="IOM616" s="17">
        <v>44925</v>
      </c>
      <c r="ION616" s="5" t="s">
        <v>3728</v>
      </c>
      <c r="IOO616" s="17">
        <v>44925</v>
      </c>
      <c r="IOP616" s="5" t="s">
        <v>3728</v>
      </c>
      <c r="IOQ616" s="17">
        <v>44925</v>
      </c>
      <c r="IOR616" s="5" t="s">
        <v>3728</v>
      </c>
      <c r="IOS616" s="17">
        <v>44925</v>
      </c>
      <c r="IOT616" s="5" t="s">
        <v>3728</v>
      </c>
      <c r="IOU616" s="17">
        <v>44925</v>
      </c>
      <c r="IOV616" s="5" t="s">
        <v>3728</v>
      </c>
      <c r="IOW616" s="17">
        <v>44925</v>
      </c>
      <c r="IOX616" s="5" t="s">
        <v>3728</v>
      </c>
      <c r="IOY616" s="17">
        <v>44925</v>
      </c>
      <c r="IOZ616" s="5" t="s">
        <v>3728</v>
      </c>
      <c r="IPA616" s="17">
        <v>44925</v>
      </c>
      <c r="IPB616" s="5" t="s">
        <v>3728</v>
      </c>
      <c r="IPC616" s="17">
        <v>44925</v>
      </c>
      <c r="IPD616" s="5" t="s">
        <v>3728</v>
      </c>
      <c r="IPE616" s="17">
        <v>44925</v>
      </c>
      <c r="IPF616" s="5" t="s">
        <v>3728</v>
      </c>
      <c r="IPG616" s="17">
        <v>44925</v>
      </c>
      <c r="IPH616" s="5" t="s">
        <v>3728</v>
      </c>
      <c r="IPI616" s="17">
        <v>44925</v>
      </c>
      <c r="IPJ616" s="5" t="s">
        <v>3728</v>
      </c>
      <c r="IPK616" s="17">
        <v>44925</v>
      </c>
      <c r="IPL616" s="5" t="s">
        <v>3728</v>
      </c>
      <c r="IPM616" s="17">
        <v>44925</v>
      </c>
      <c r="IPN616" s="5" t="s">
        <v>3728</v>
      </c>
      <c r="IPO616" s="17">
        <v>44925</v>
      </c>
      <c r="IPP616" s="5" t="s">
        <v>3728</v>
      </c>
      <c r="IPQ616" s="17">
        <v>44925</v>
      </c>
      <c r="IPR616" s="5" t="s">
        <v>3728</v>
      </c>
      <c r="IPS616" s="17">
        <v>44925</v>
      </c>
      <c r="IPT616" s="5" t="s">
        <v>3728</v>
      </c>
      <c r="IPU616" s="17">
        <v>44925</v>
      </c>
      <c r="IPV616" s="5" t="s">
        <v>3728</v>
      </c>
      <c r="IPW616" s="17">
        <v>44925</v>
      </c>
      <c r="IPX616" s="5" t="s">
        <v>3728</v>
      </c>
      <c r="IPY616" s="17">
        <v>44925</v>
      </c>
      <c r="IPZ616" s="5" t="s">
        <v>3728</v>
      </c>
      <c r="IQA616" s="17">
        <v>44925</v>
      </c>
      <c r="IQB616" s="5" t="s">
        <v>3728</v>
      </c>
      <c r="IQC616" s="17">
        <v>44925</v>
      </c>
      <c r="IQD616" s="5" t="s">
        <v>3728</v>
      </c>
      <c r="IQE616" s="17">
        <v>44925</v>
      </c>
      <c r="IQF616" s="5" t="s">
        <v>3728</v>
      </c>
      <c r="IQG616" s="17">
        <v>44925</v>
      </c>
      <c r="IQH616" s="5" t="s">
        <v>3728</v>
      </c>
      <c r="IQI616" s="17">
        <v>44925</v>
      </c>
      <c r="IQJ616" s="5" t="s">
        <v>3728</v>
      </c>
      <c r="IQK616" s="17">
        <v>44925</v>
      </c>
      <c r="IQL616" s="5" t="s">
        <v>3728</v>
      </c>
      <c r="IQM616" s="17">
        <v>44925</v>
      </c>
      <c r="IQN616" s="5" t="s">
        <v>3728</v>
      </c>
      <c r="IQO616" s="17">
        <v>44925</v>
      </c>
      <c r="IQP616" s="5" t="s">
        <v>3728</v>
      </c>
      <c r="IQQ616" s="17">
        <v>44925</v>
      </c>
      <c r="IQR616" s="5" t="s">
        <v>3728</v>
      </c>
      <c r="IQS616" s="17">
        <v>44925</v>
      </c>
      <c r="IQT616" s="5" t="s">
        <v>3728</v>
      </c>
      <c r="IQU616" s="17">
        <v>44925</v>
      </c>
      <c r="IQV616" s="5" t="s">
        <v>3728</v>
      </c>
      <c r="IQW616" s="17">
        <v>44925</v>
      </c>
      <c r="IQX616" s="5" t="s">
        <v>3728</v>
      </c>
      <c r="IQY616" s="17">
        <v>44925</v>
      </c>
      <c r="IQZ616" s="5" t="s">
        <v>3728</v>
      </c>
      <c r="IRA616" s="17">
        <v>44925</v>
      </c>
      <c r="IRB616" s="5" t="s">
        <v>3728</v>
      </c>
      <c r="IRC616" s="17">
        <v>44925</v>
      </c>
      <c r="IRD616" s="5" t="s">
        <v>3728</v>
      </c>
      <c r="IRE616" s="17">
        <v>44925</v>
      </c>
      <c r="IRF616" s="5" t="s">
        <v>3728</v>
      </c>
      <c r="IRG616" s="17">
        <v>44925</v>
      </c>
      <c r="IRH616" s="5" t="s">
        <v>3728</v>
      </c>
      <c r="IRI616" s="17">
        <v>44925</v>
      </c>
      <c r="IRJ616" s="5" t="s">
        <v>3728</v>
      </c>
      <c r="IRK616" s="17">
        <v>44925</v>
      </c>
      <c r="IRL616" s="5" t="s">
        <v>3728</v>
      </c>
      <c r="IRM616" s="17">
        <v>44925</v>
      </c>
      <c r="IRN616" s="5" t="s">
        <v>3728</v>
      </c>
      <c r="IRO616" s="17">
        <v>44925</v>
      </c>
      <c r="IRP616" s="5" t="s">
        <v>3728</v>
      </c>
      <c r="IRQ616" s="17">
        <v>44925</v>
      </c>
      <c r="IRR616" s="5" t="s">
        <v>3728</v>
      </c>
      <c r="IRS616" s="17">
        <v>44925</v>
      </c>
      <c r="IRT616" s="5" t="s">
        <v>3728</v>
      </c>
      <c r="IRU616" s="17">
        <v>44925</v>
      </c>
      <c r="IRV616" s="5" t="s">
        <v>3728</v>
      </c>
      <c r="IRW616" s="17">
        <v>44925</v>
      </c>
      <c r="IRX616" s="5" t="s">
        <v>3728</v>
      </c>
      <c r="IRY616" s="17">
        <v>44925</v>
      </c>
      <c r="IRZ616" s="5" t="s">
        <v>3728</v>
      </c>
      <c r="ISA616" s="17">
        <v>44925</v>
      </c>
      <c r="ISB616" s="5" t="s">
        <v>3728</v>
      </c>
      <c r="ISC616" s="17">
        <v>44925</v>
      </c>
      <c r="ISD616" s="5" t="s">
        <v>3728</v>
      </c>
      <c r="ISE616" s="17">
        <v>44925</v>
      </c>
      <c r="ISF616" s="5" t="s">
        <v>3728</v>
      </c>
      <c r="ISG616" s="17">
        <v>44925</v>
      </c>
      <c r="ISH616" s="5" t="s">
        <v>3728</v>
      </c>
      <c r="ISI616" s="17">
        <v>44925</v>
      </c>
      <c r="ISJ616" s="5" t="s">
        <v>3728</v>
      </c>
      <c r="ISK616" s="17">
        <v>44925</v>
      </c>
      <c r="ISL616" s="5" t="s">
        <v>3728</v>
      </c>
      <c r="ISM616" s="17">
        <v>44925</v>
      </c>
      <c r="ISN616" s="5" t="s">
        <v>3728</v>
      </c>
      <c r="ISO616" s="17">
        <v>44925</v>
      </c>
      <c r="ISP616" s="5" t="s">
        <v>3728</v>
      </c>
      <c r="ISQ616" s="17">
        <v>44925</v>
      </c>
      <c r="ISR616" s="5" t="s">
        <v>3728</v>
      </c>
      <c r="ISS616" s="17">
        <v>44925</v>
      </c>
      <c r="IST616" s="5" t="s">
        <v>3728</v>
      </c>
      <c r="ISU616" s="17">
        <v>44925</v>
      </c>
      <c r="ISV616" s="5" t="s">
        <v>3728</v>
      </c>
      <c r="ISW616" s="17">
        <v>44925</v>
      </c>
      <c r="ISX616" s="5" t="s">
        <v>3728</v>
      </c>
      <c r="ISY616" s="17">
        <v>44925</v>
      </c>
      <c r="ISZ616" s="5" t="s">
        <v>3728</v>
      </c>
      <c r="ITA616" s="17">
        <v>44925</v>
      </c>
      <c r="ITB616" s="5" t="s">
        <v>3728</v>
      </c>
      <c r="ITC616" s="17">
        <v>44925</v>
      </c>
      <c r="ITD616" s="5" t="s">
        <v>3728</v>
      </c>
      <c r="ITE616" s="17">
        <v>44925</v>
      </c>
      <c r="ITF616" s="5" t="s">
        <v>3728</v>
      </c>
      <c r="ITG616" s="17">
        <v>44925</v>
      </c>
      <c r="ITH616" s="5" t="s">
        <v>3728</v>
      </c>
      <c r="ITI616" s="17">
        <v>44925</v>
      </c>
      <c r="ITJ616" s="5" t="s">
        <v>3728</v>
      </c>
      <c r="ITK616" s="17">
        <v>44925</v>
      </c>
      <c r="ITL616" s="5" t="s">
        <v>3728</v>
      </c>
      <c r="ITM616" s="17">
        <v>44925</v>
      </c>
      <c r="ITN616" s="5" t="s">
        <v>3728</v>
      </c>
      <c r="ITO616" s="17">
        <v>44925</v>
      </c>
      <c r="ITP616" s="5" t="s">
        <v>3728</v>
      </c>
      <c r="ITQ616" s="17">
        <v>44925</v>
      </c>
      <c r="ITR616" s="5" t="s">
        <v>3728</v>
      </c>
      <c r="ITS616" s="17">
        <v>44925</v>
      </c>
      <c r="ITT616" s="5" t="s">
        <v>3728</v>
      </c>
      <c r="ITU616" s="17">
        <v>44925</v>
      </c>
      <c r="ITV616" s="5" t="s">
        <v>3728</v>
      </c>
      <c r="ITW616" s="17">
        <v>44925</v>
      </c>
      <c r="ITX616" s="5" t="s">
        <v>3728</v>
      </c>
      <c r="ITY616" s="17">
        <v>44925</v>
      </c>
      <c r="ITZ616" s="5" t="s">
        <v>3728</v>
      </c>
      <c r="IUA616" s="17">
        <v>44925</v>
      </c>
      <c r="IUB616" s="5" t="s">
        <v>3728</v>
      </c>
      <c r="IUC616" s="17">
        <v>44925</v>
      </c>
      <c r="IUD616" s="5" t="s">
        <v>3728</v>
      </c>
      <c r="IUE616" s="17">
        <v>44925</v>
      </c>
      <c r="IUF616" s="5" t="s">
        <v>3728</v>
      </c>
      <c r="IUG616" s="17">
        <v>44925</v>
      </c>
      <c r="IUH616" s="5" t="s">
        <v>3728</v>
      </c>
      <c r="IUI616" s="17">
        <v>44925</v>
      </c>
      <c r="IUJ616" s="5" t="s">
        <v>3728</v>
      </c>
      <c r="IUK616" s="17">
        <v>44925</v>
      </c>
      <c r="IUL616" s="5" t="s">
        <v>3728</v>
      </c>
      <c r="IUM616" s="17">
        <v>44925</v>
      </c>
      <c r="IUN616" s="5" t="s">
        <v>3728</v>
      </c>
      <c r="IUO616" s="17">
        <v>44925</v>
      </c>
      <c r="IUP616" s="5" t="s">
        <v>3728</v>
      </c>
      <c r="IUQ616" s="17">
        <v>44925</v>
      </c>
      <c r="IUR616" s="5" t="s">
        <v>3728</v>
      </c>
      <c r="IUS616" s="17">
        <v>44925</v>
      </c>
      <c r="IUT616" s="5" t="s">
        <v>3728</v>
      </c>
      <c r="IUU616" s="17">
        <v>44925</v>
      </c>
      <c r="IUV616" s="5" t="s">
        <v>3728</v>
      </c>
      <c r="IUW616" s="17">
        <v>44925</v>
      </c>
      <c r="IUX616" s="5" t="s">
        <v>3728</v>
      </c>
      <c r="IUY616" s="17">
        <v>44925</v>
      </c>
      <c r="IUZ616" s="5" t="s">
        <v>3728</v>
      </c>
      <c r="IVA616" s="17">
        <v>44925</v>
      </c>
      <c r="IVB616" s="5" t="s">
        <v>3728</v>
      </c>
      <c r="IVC616" s="17">
        <v>44925</v>
      </c>
      <c r="IVD616" s="5" t="s">
        <v>3728</v>
      </c>
      <c r="IVE616" s="17">
        <v>44925</v>
      </c>
      <c r="IVF616" s="5" t="s">
        <v>3728</v>
      </c>
      <c r="IVG616" s="17">
        <v>44925</v>
      </c>
      <c r="IVH616" s="5" t="s">
        <v>3728</v>
      </c>
      <c r="IVI616" s="17">
        <v>44925</v>
      </c>
      <c r="IVJ616" s="5" t="s">
        <v>3728</v>
      </c>
      <c r="IVK616" s="17">
        <v>44925</v>
      </c>
      <c r="IVL616" s="5" t="s">
        <v>3728</v>
      </c>
      <c r="IVM616" s="17">
        <v>44925</v>
      </c>
      <c r="IVN616" s="5" t="s">
        <v>3728</v>
      </c>
      <c r="IVO616" s="17">
        <v>44925</v>
      </c>
      <c r="IVP616" s="5" t="s">
        <v>3728</v>
      </c>
      <c r="IVQ616" s="17">
        <v>44925</v>
      </c>
      <c r="IVR616" s="5" t="s">
        <v>3728</v>
      </c>
      <c r="IVS616" s="17">
        <v>44925</v>
      </c>
      <c r="IVT616" s="5" t="s">
        <v>3728</v>
      </c>
      <c r="IVU616" s="17">
        <v>44925</v>
      </c>
      <c r="IVV616" s="5" t="s">
        <v>3728</v>
      </c>
      <c r="IVW616" s="17">
        <v>44925</v>
      </c>
      <c r="IVX616" s="5" t="s">
        <v>3728</v>
      </c>
      <c r="IVY616" s="17">
        <v>44925</v>
      </c>
      <c r="IVZ616" s="5" t="s">
        <v>3728</v>
      </c>
      <c r="IWA616" s="17">
        <v>44925</v>
      </c>
      <c r="IWB616" s="5" t="s">
        <v>3728</v>
      </c>
      <c r="IWC616" s="17">
        <v>44925</v>
      </c>
      <c r="IWD616" s="5" t="s">
        <v>3728</v>
      </c>
      <c r="IWE616" s="17">
        <v>44925</v>
      </c>
      <c r="IWF616" s="5" t="s">
        <v>3728</v>
      </c>
      <c r="IWG616" s="17">
        <v>44925</v>
      </c>
      <c r="IWH616" s="5" t="s">
        <v>3728</v>
      </c>
      <c r="IWI616" s="17">
        <v>44925</v>
      </c>
      <c r="IWJ616" s="5" t="s">
        <v>3728</v>
      </c>
      <c r="IWK616" s="17">
        <v>44925</v>
      </c>
      <c r="IWL616" s="5" t="s">
        <v>3728</v>
      </c>
      <c r="IWM616" s="17">
        <v>44925</v>
      </c>
      <c r="IWN616" s="5" t="s">
        <v>3728</v>
      </c>
      <c r="IWO616" s="17">
        <v>44925</v>
      </c>
      <c r="IWP616" s="5" t="s">
        <v>3728</v>
      </c>
      <c r="IWQ616" s="17">
        <v>44925</v>
      </c>
      <c r="IWR616" s="5" t="s">
        <v>3728</v>
      </c>
      <c r="IWS616" s="17">
        <v>44925</v>
      </c>
      <c r="IWT616" s="5" t="s">
        <v>3728</v>
      </c>
      <c r="IWU616" s="17">
        <v>44925</v>
      </c>
      <c r="IWV616" s="5" t="s">
        <v>3728</v>
      </c>
      <c r="IWW616" s="17">
        <v>44925</v>
      </c>
      <c r="IWX616" s="5" t="s">
        <v>3728</v>
      </c>
      <c r="IWY616" s="17">
        <v>44925</v>
      </c>
      <c r="IWZ616" s="5" t="s">
        <v>3728</v>
      </c>
      <c r="IXA616" s="17">
        <v>44925</v>
      </c>
      <c r="IXB616" s="5" t="s">
        <v>3728</v>
      </c>
      <c r="IXC616" s="17">
        <v>44925</v>
      </c>
      <c r="IXD616" s="5" t="s">
        <v>3728</v>
      </c>
      <c r="IXE616" s="17">
        <v>44925</v>
      </c>
      <c r="IXF616" s="5" t="s">
        <v>3728</v>
      </c>
      <c r="IXG616" s="17">
        <v>44925</v>
      </c>
      <c r="IXH616" s="5" t="s">
        <v>3728</v>
      </c>
      <c r="IXI616" s="17">
        <v>44925</v>
      </c>
      <c r="IXJ616" s="5" t="s">
        <v>3728</v>
      </c>
      <c r="IXK616" s="17">
        <v>44925</v>
      </c>
      <c r="IXL616" s="5" t="s">
        <v>3728</v>
      </c>
      <c r="IXM616" s="17">
        <v>44925</v>
      </c>
      <c r="IXN616" s="5" t="s">
        <v>3728</v>
      </c>
      <c r="IXO616" s="17">
        <v>44925</v>
      </c>
      <c r="IXP616" s="5" t="s">
        <v>3728</v>
      </c>
      <c r="IXQ616" s="17">
        <v>44925</v>
      </c>
      <c r="IXR616" s="5" t="s">
        <v>3728</v>
      </c>
      <c r="IXS616" s="17">
        <v>44925</v>
      </c>
      <c r="IXT616" s="5" t="s">
        <v>3728</v>
      </c>
      <c r="IXU616" s="17">
        <v>44925</v>
      </c>
      <c r="IXV616" s="5" t="s">
        <v>3728</v>
      </c>
      <c r="IXW616" s="17">
        <v>44925</v>
      </c>
      <c r="IXX616" s="5" t="s">
        <v>3728</v>
      </c>
      <c r="IXY616" s="17">
        <v>44925</v>
      </c>
      <c r="IXZ616" s="5" t="s">
        <v>3728</v>
      </c>
      <c r="IYA616" s="17">
        <v>44925</v>
      </c>
      <c r="IYB616" s="5" t="s">
        <v>3728</v>
      </c>
      <c r="IYC616" s="17">
        <v>44925</v>
      </c>
      <c r="IYD616" s="5" t="s">
        <v>3728</v>
      </c>
      <c r="IYE616" s="17">
        <v>44925</v>
      </c>
      <c r="IYF616" s="5" t="s">
        <v>3728</v>
      </c>
      <c r="IYG616" s="17">
        <v>44925</v>
      </c>
      <c r="IYH616" s="5" t="s">
        <v>3728</v>
      </c>
      <c r="IYI616" s="17">
        <v>44925</v>
      </c>
      <c r="IYJ616" s="5" t="s">
        <v>3728</v>
      </c>
      <c r="IYK616" s="17">
        <v>44925</v>
      </c>
      <c r="IYL616" s="5" t="s">
        <v>3728</v>
      </c>
      <c r="IYM616" s="17">
        <v>44925</v>
      </c>
      <c r="IYN616" s="5" t="s">
        <v>3728</v>
      </c>
      <c r="IYO616" s="17">
        <v>44925</v>
      </c>
      <c r="IYP616" s="5" t="s">
        <v>3728</v>
      </c>
      <c r="IYQ616" s="17">
        <v>44925</v>
      </c>
      <c r="IYR616" s="5" t="s">
        <v>3728</v>
      </c>
      <c r="IYS616" s="17">
        <v>44925</v>
      </c>
      <c r="IYT616" s="5" t="s">
        <v>3728</v>
      </c>
      <c r="IYU616" s="17">
        <v>44925</v>
      </c>
      <c r="IYV616" s="5" t="s">
        <v>3728</v>
      </c>
      <c r="IYW616" s="17">
        <v>44925</v>
      </c>
      <c r="IYX616" s="5" t="s">
        <v>3728</v>
      </c>
      <c r="IYY616" s="17">
        <v>44925</v>
      </c>
      <c r="IYZ616" s="5" t="s">
        <v>3728</v>
      </c>
      <c r="IZA616" s="17">
        <v>44925</v>
      </c>
      <c r="IZB616" s="5" t="s">
        <v>3728</v>
      </c>
      <c r="IZC616" s="17">
        <v>44925</v>
      </c>
      <c r="IZD616" s="5" t="s">
        <v>3728</v>
      </c>
      <c r="IZE616" s="17">
        <v>44925</v>
      </c>
      <c r="IZF616" s="5" t="s">
        <v>3728</v>
      </c>
      <c r="IZG616" s="17">
        <v>44925</v>
      </c>
      <c r="IZH616" s="5" t="s">
        <v>3728</v>
      </c>
      <c r="IZI616" s="17">
        <v>44925</v>
      </c>
      <c r="IZJ616" s="5" t="s">
        <v>3728</v>
      </c>
      <c r="IZK616" s="17">
        <v>44925</v>
      </c>
      <c r="IZL616" s="5" t="s">
        <v>3728</v>
      </c>
      <c r="IZM616" s="17">
        <v>44925</v>
      </c>
      <c r="IZN616" s="5" t="s">
        <v>3728</v>
      </c>
      <c r="IZO616" s="17">
        <v>44925</v>
      </c>
      <c r="IZP616" s="5" t="s">
        <v>3728</v>
      </c>
      <c r="IZQ616" s="17">
        <v>44925</v>
      </c>
      <c r="IZR616" s="5" t="s">
        <v>3728</v>
      </c>
      <c r="IZS616" s="17">
        <v>44925</v>
      </c>
      <c r="IZT616" s="5" t="s">
        <v>3728</v>
      </c>
      <c r="IZU616" s="17">
        <v>44925</v>
      </c>
      <c r="IZV616" s="5" t="s">
        <v>3728</v>
      </c>
      <c r="IZW616" s="17">
        <v>44925</v>
      </c>
      <c r="IZX616" s="5" t="s">
        <v>3728</v>
      </c>
      <c r="IZY616" s="17">
        <v>44925</v>
      </c>
      <c r="IZZ616" s="5" t="s">
        <v>3728</v>
      </c>
      <c r="JAA616" s="17">
        <v>44925</v>
      </c>
      <c r="JAB616" s="5" t="s">
        <v>3728</v>
      </c>
      <c r="JAC616" s="17">
        <v>44925</v>
      </c>
      <c r="JAD616" s="5" t="s">
        <v>3728</v>
      </c>
      <c r="JAE616" s="17">
        <v>44925</v>
      </c>
      <c r="JAF616" s="5" t="s">
        <v>3728</v>
      </c>
      <c r="JAG616" s="17">
        <v>44925</v>
      </c>
      <c r="JAH616" s="5" t="s">
        <v>3728</v>
      </c>
      <c r="JAI616" s="17">
        <v>44925</v>
      </c>
      <c r="JAJ616" s="5" t="s">
        <v>3728</v>
      </c>
      <c r="JAK616" s="17">
        <v>44925</v>
      </c>
      <c r="JAL616" s="5" t="s">
        <v>3728</v>
      </c>
      <c r="JAM616" s="17">
        <v>44925</v>
      </c>
      <c r="JAN616" s="5" t="s">
        <v>3728</v>
      </c>
      <c r="JAO616" s="17">
        <v>44925</v>
      </c>
      <c r="JAP616" s="5" t="s">
        <v>3728</v>
      </c>
      <c r="JAQ616" s="17">
        <v>44925</v>
      </c>
      <c r="JAR616" s="5" t="s">
        <v>3728</v>
      </c>
      <c r="JAS616" s="17">
        <v>44925</v>
      </c>
      <c r="JAT616" s="5" t="s">
        <v>3728</v>
      </c>
      <c r="JAU616" s="17">
        <v>44925</v>
      </c>
      <c r="JAV616" s="5" t="s">
        <v>3728</v>
      </c>
      <c r="JAW616" s="17">
        <v>44925</v>
      </c>
      <c r="JAX616" s="5" t="s">
        <v>3728</v>
      </c>
      <c r="JAY616" s="17">
        <v>44925</v>
      </c>
      <c r="JAZ616" s="5" t="s">
        <v>3728</v>
      </c>
      <c r="JBA616" s="17">
        <v>44925</v>
      </c>
      <c r="JBB616" s="5" t="s">
        <v>3728</v>
      </c>
      <c r="JBC616" s="17">
        <v>44925</v>
      </c>
      <c r="JBD616" s="5" t="s">
        <v>3728</v>
      </c>
      <c r="JBE616" s="17">
        <v>44925</v>
      </c>
      <c r="JBF616" s="5" t="s">
        <v>3728</v>
      </c>
      <c r="JBG616" s="17">
        <v>44925</v>
      </c>
      <c r="JBH616" s="5" t="s">
        <v>3728</v>
      </c>
      <c r="JBI616" s="17">
        <v>44925</v>
      </c>
      <c r="JBJ616" s="5" t="s">
        <v>3728</v>
      </c>
      <c r="JBK616" s="17">
        <v>44925</v>
      </c>
      <c r="JBL616" s="5" t="s">
        <v>3728</v>
      </c>
      <c r="JBM616" s="17">
        <v>44925</v>
      </c>
      <c r="JBN616" s="5" t="s">
        <v>3728</v>
      </c>
      <c r="JBO616" s="17">
        <v>44925</v>
      </c>
      <c r="JBP616" s="5" t="s">
        <v>3728</v>
      </c>
      <c r="JBQ616" s="17">
        <v>44925</v>
      </c>
      <c r="JBR616" s="5" t="s">
        <v>3728</v>
      </c>
      <c r="JBS616" s="17">
        <v>44925</v>
      </c>
      <c r="JBT616" s="5" t="s">
        <v>3728</v>
      </c>
      <c r="JBU616" s="17">
        <v>44925</v>
      </c>
      <c r="JBV616" s="5" t="s">
        <v>3728</v>
      </c>
      <c r="JBW616" s="17">
        <v>44925</v>
      </c>
      <c r="JBX616" s="5" t="s">
        <v>3728</v>
      </c>
      <c r="JBY616" s="17">
        <v>44925</v>
      </c>
      <c r="JBZ616" s="5" t="s">
        <v>3728</v>
      </c>
      <c r="JCA616" s="17">
        <v>44925</v>
      </c>
      <c r="JCB616" s="5" t="s">
        <v>3728</v>
      </c>
      <c r="JCC616" s="17">
        <v>44925</v>
      </c>
      <c r="JCD616" s="5" t="s">
        <v>3728</v>
      </c>
      <c r="JCE616" s="17">
        <v>44925</v>
      </c>
      <c r="JCF616" s="5" t="s">
        <v>3728</v>
      </c>
      <c r="JCG616" s="17">
        <v>44925</v>
      </c>
      <c r="JCH616" s="5" t="s">
        <v>3728</v>
      </c>
      <c r="JCI616" s="17">
        <v>44925</v>
      </c>
      <c r="JCJ616" s="5" t="s">
        <v>3728</v>
      </c>
      <c r="JCK616" s="17">
        <v>44925</v>
      </c>
      <c r="JCL616" s="5" t="s">
        <v>3728</v>
      </c>
      <c r="JCM616" s="17">
        <v>44925</v>
      </c>
      <c r="JCN616" s="5" t="s">
        <v>3728</v>
      </c>
      <c r="JCO616" s="17">
        <v>44925</v>
      </c>
      <c r="JCP616" s="5" t="s">
        <v>3728</v>
      </c>
      <c r="JCQ616" s="17">
        <v>44925</v>
      </c>
      <c r="JCR616" s="5" t="s">
        <v>3728</v>
      </c>
      <c r="JCS616" s="17">
        <v>44925</v>
      </c>
      <c r="JCT616" s="5" t="s">
        <v>3728</v>
      </c>
      <c r="JCU616" s="17">
        <v>44925</v>
      </c>
      <c r="JCV616" s="5" t="s">
        <v>3728</v>
      </c>
      <c r="JCW616" s="17">
        <v>44925</v>
      </c>
      <c r="JCX616" s="5" t="s">
        <v>3728</v>
      </c>
      <c r="JCY616" s="17">
        <v>44925</v>
      </c>
      <c r="JCZ616" s="5" t="s">
        <v>3728</v>
      </c>
      <c r="JDA616" s="17">
        <v>44925</v>
      </c>
      <c r="JDB616" s="5" t="s">
        <v>3728</v>
      </c>
      <c r="JDC616" s="17">
        <v>44925</v>
      </c>
      <c r="JDD616" s="5" t="s">
        <v>3728</v>
      </c>
      <c r="JDE616" s="17">
        <v>44925</v>
      </c>
      <c r="JDF616" s="5" t="s">
        <v>3728</v>
      </c>
      <c r="JDG616" s="17">
        <v>44925</v>
      </c>
      <c r="JDH616" s="5" t="s">
        <v>3728</v>
      </c>
      <c r="JDI616" s="17">
        <v>44925</v>
      </c>
      <c r="JDJ616" s="5" t="s">
        <v>3728</v>
      </c>
      <c r="JDK616" s="17">
        <v>44925</v>
      </c>
      <c r="JDL616" s="5" t="s">
        <v>3728</v>
      </c>
      <c r="JDM616" s="17">
        <v>44925</v>
      </c>
      <c r="JDN616" s="5" t="s">
        <v>3728</v>
      </c>
      <c r="JDO616" s="17">
        <v>44925</v>
      </c>
      <c r="JDP616" s="5" t="s">
        <v>3728</v>
      </c>
      <c r="JDQ616" s="17">
        <v>44925</v>
      </c>
      <c r="JDR616" s="5" t="s">
        <v>3728</v>
      </c>
      <c r="JDS616" s="17">
        <v>44925</v>
      </c>
      <c r="JDT616" s="5" t="s">
        <v>3728</v>
      </c>
      <c r="JDU616" s="17">
        <v>44925</v>
      </c>
      <c r="JDV616" s="5" t="s">
        <v>3728</v>
      </c>
      <c r="JDW616" s="17">
        <v>44925</v>
      </c>
      <c r="JDX616" s="5" t="s">
        <v>3728</v>
      </c>
      <c r="JDY616" s="17">
        <v>44925</v>
      </c>
      <c r="JDZ616" s="5" t="s">
        <v>3728</v>
      </c>
      <c r="JEA616" s="17">
        <v>44925</v>
      </c>
      <c r="JEB616" s="5" t="s">
        <v>3728</v>
      </c>
      <c r="JEC616" s="17">
        <v>44925</v>
      </c>
      <c r="JED616" s="5" t="s">
        <v>3728</v>
      </c>
      <c r="JEE616" s="17">
        <v>44925</v>
      </c>
      <c r="JEF616" s="5" t="s">
        <v>3728</v>
      </c>
      <c r="JEG616" s="17">
        <v>44925</v>
      </c>
      <c r="JEH616" s="5" t="s">
        <v>3728</v>
      </c>
      <c r="JEI616" s="17">
        <v>44925</v>
      </c>
      <c r="JEJ616" s="5" t="s">
        <v>3728</v>
      </c>
      <c r="JEK616" s="17">
        <v>44925</v>
      </c>
      <c r="JEL616" s="5" t="s">
        <v>3728</v>
      </c>
      <c r="JEM616" s="17">
        <v>44925</v>
      </c>
      <c r="JEN616" s="5" t="s">
        <v>3728</v>
      </c>
      <c r="JEO616" s="17">
        <v>44925</v>
      </c>
      <c r="JEP616" s="5" t="s">
        <v>3728</v>
      </c>
      <c r="JEQ616" s="17">
        <v>44925</v>
      </c>
      <c r="JER616" s="5" t="s">
        <v>3728</v>
      </c>
      <c r="JES616" s="17">
        <v>44925</v>
      </c>
      <c r="JET616" s="5" t="s">
        <v>3728</v>
      </c>
      <c r="JEU616" s="17">
        <v>44925</v>
      </c>
      <c r="JEV616" s="5" t="s">
        <v>3728</v>
      </c>
      <c r="JEW616" s="17">
        <v>44925</v>
      </c>
      <c r="JEX616" s="5" t="s">
        <v>3728</v>
      </c>
      <c r="JEY616" s="17">
        <v>44925</v>
      </c>
      <c r="JEZ616" s="5" t="s">
        <v>3728</v>
      </c>
      <c r="JFA616" s="17">
        <v>44925</v>
      </c>
      <c r="JFB616" s="5" t="s">
        <v>3728</v>
      </c>
      <c r="JFC616" s="17">
        <v>44925</v>
      </c>
      <c r="JFD616" s="5" t="s">
        <v>3728</v>
      </c>
      <c r="JFE616" s="17">
        <v>44925</v>
      </c>
      <c r="JFF616" s="5" t="s">
        <v>3728</v>
      </c>
      <c r="JFG616" s="17">
        <v>44925</v>
      </c>
      <c r="JFH616" s="5" t="s">
        <v>3728</v>
      </c>
      <c r="JFI616" s="17">
        <v>44925</v>
      </c>
      <c r="JFJ616" s="5" t="s">
        <v>3728</v>
      </c>
      <c r="JFK616" s="17">
        <v>44925</v>
      </c>
      <c r="JFL616" s="5" t="s">
        <v>3728</v>
      </c>
      <c r="JFM616" s="17">
        <v>44925</v>
      </c>
      <c r="JFN616" s="5" t="s">
        <v>3728</v>
      </c>
      <c r="JFO616" s="17">
        <v>44925</v>
      </c>
      <c r="JFP616" s="5" t="s">
        <v>3728</v>
      </c>
      <c r="JFQ616" s="17">
        <v>44925</v>
      </c>
      <c r="JFR616" s="5" t="s">
        <v>3728</v>
      </c>
      <c r="JFS616" s="17">
        <v>44925</v>
      </c>
      <c r="JFT616" s="5" t="s">
        <v>3728</v>
      </c>
      <c r="JFU616" s="17">
        <v>44925</v>
      </c>
      <c r="JFV616" s="5" t="s">
        <v>3728</v>
      </c>
      <c r="JFW616" s="17">
        <v>44925</v>
      </c>
      <c r="JFX616" s="5" t="s">
        <v>3728</v>
      </c>
      <c r="JFY616" s="17">
        <v>44925</v>
      </c>
      <c r="JFZ616" s="5" t="s">
        <v>3728</v>
      </c>
      <c r="JGA616" s="17">
        <v>44925</v>
      </c>
      <c r="JGB616" s="5" t="s">
        <v>3728</v>
      </c>
      <c r="JGC616" s="17">
        <v>44925</v>
      </c>
      <c r="JGD616" s="5" t="s">
        <v>3728</v>
      </c>
      <c r="JGE616" s="17">
        <v>44925</v>
      </c>
      <c r="JGF616" s="5" t="s">
        <v>3728</v>
      </c>
      <c r="JGG616" s="17">
        <v>44925</v>
      </c>
      <c r="JGH616" s="5" t="s">
        <v>3728</v>
      </c>
      <c r="JGI616" s="17">
        <v>44925</v>
      </c>
      <c r="JGJ616" s="5" t="s">
        <v>3728</v>
      </c>
      <c r="JGK616" s="17">
        <v>44925</v>
      </c>
      <c r="JGL616" s="5" t="s">
        <v>3728</v>
      </c>
      <c r="JGM616" s="17">
        <v>44925</v>
      </c>
      <c r="JGN616" s="5" t="s">
        <v>3728</v>
      </c>
      <c r="JGO616" s="17">
        <v>44925</v>
      </c>
      <c r="JGP616" s="5" t="s">
        <v>3728</v>
      </c>
      <c r="JGQ616" s="17">
        <v>44925</v>
      </c>
      <c r="JGR616" s="5" t="s">
        <v>3728</v>
      </c>
      <c r="JGS616" s="17">
        <v>44925</v>
      </c>
      <c r="JGT616" s="5" t="s">
        <v>3728</v>
      </c>
      <c r="JGU616" s="17">
        <v>44925</v>
      </c>
      <c r="JGV616" s="5" t="s">
        <v>3728</v>
      </c>
      <c r="JGW616" s="17">
        <v>44925</v>
      </c>
      <c r="JGX616" s="5" t="s">
        <v>3728</v>
      </c>
      <c r="JGY616" s="17">
        <v>44925</v>
      </c>
      <c r="JGZ616" s="5" t="s">
        <v>3728</v>
      </c>
      <c r="JHA616" s="17">
        <v>44925</v>
      </c>
      <c r="JHB616" s="5" t="s">
        <v>3728</v>
      </c>
      <c r="JHC616" s="17">
        <v>44925</v>
      </c>
      <c r="JHD616" s="5" t="s">
        <v>3728</v>
      </c>
      <c r="JHE616" s="17">
        <v>44925</v>
      </c>
      <c r="JHF616" s="5" t="s">
        <v>3728</v>
      </c>
      <c r="JHG616" s="17">
        <v>44925</v>
      </c>
      <c r="JHH616" s="5" t="s">
        <v>3728</v>
      </c>
      <c r="JHI616" s="17">
        <v>44925</v>
      </c>
      <c r="JHJ616" s="5" t="s">
        <v>3728</v>
      </c>
      <c r="JHK616" s="17">
        <v>44925</v>
      </c>
      <c r="JHL616" s="5" t="s">
        <v>3728</v>
      </c>
      <c r="JHM616" s="17">
        <v>44925</v>
      </c>
      <c r="JHN616" s="5" t="s">
        <v>3728</v>
      </c>
      <c r="JHO616" s="17">
        <v>44925</v>
      </c>
      <c r="JHP616" s="5" t="s">
        <v>3728</v>
      </c>
      <c r="JHQ616" s="17">
        <v>44925</v>
      </c>
      <c r="JHR616" s="5" t="s">
        <v>3728</v>
      </c>
      <c r="JHS616" s="17">
        <v>44925</v>
      </c>
      <c r="JHT616" s="5" t="s">
        <v>3728</v>
      </c>
      <c r="JHU616" s="17">
        <v>44925</v>
      </c>
      <c r="JHV616" s="5" t="s">
        <v>3728</v>
      </c>
      <c r="JHW616" s="17">
        <v>44925</v>
      </c>
      <c r="JHX616" s="5" t="s">
        <v>3728</v>
      </c>
      <c r="JHY616" s="17">
        <v>44925</v>
      </c>
      <c r="JHZ616" s="5" t="s">
        <v>3728</v>
      </c>
      <c r="JIA616" s="17">
        <v>44925</v>
      </c>
      <c r="JIB616" s="5" t="s">
        <v>3728</v>
      </c>
      <c r="JIC616" s="17">
        <v>44925</v>
      </c>
      <c r="JID616" s="5" t="s">
        <v>3728</v>
      </c>
      <c r="JIE616" s="17">
        <v>44925</v>
      </c>
      <c r="JIF616" s="5" t="s">
        <v>3728</v>
      </c>
      <c r="JIG616" s="17">
        <v>44925</v>
      </c>
      <c r="JIH616" s="5" t="s">
        <v>3728</v>
      </c>
      <c r="JII616" s="17">
        <v>44925</v>
      </c>
      <c r="JIJ616" s="5" t="s">
        <v>3728</v>
      </c>
      <c r="JIK616" s="17">
        <v>44925</v>
      </c>
      <c r="JIL616" s="5" t="s">
        <v>3728</v>
      </c>
      <c r="JIM616" s="17">
        <v>44925</v>
      </c>
      <c r="JIN616" s="5" t="s">
        <v>3728</v>
      </c>
      <c r="JIO616" s="17">
        <v>44925</v>
      </c>
      <c r="JIP616" s="5" t="s">
        <v>3728</v>
      </c>
      <c r="JIQ616" s="17">
        <v>44925</v>
      </c>
      <c r="JIR616" s="5" t="s">
        <v>3728</v>
      </c>
      <c r="JIS616" s="17">
        <v>44925</v>
      </c>
      <c r="JIT616" s="5" t="s">
        <v>3728</v>
      </c>
      <c r="JIU616" s="17">
        <v>44925</v>
      </c>
      <c r="JIV616" s="5" t="s">
        <v>3728</v>
      </c>
      <c r="JIW616" s="17">
        <v>44925</v>
      </c>
      <c r="JIX616" s="5" t="s">
        <v>3728</v>
      </c>
      <c r="JIY616" s="17">
        <v>44925</v>
      </c>
      <c r="JIZ616" s="5" t="s">
        <v>3728</v>
      </c>
      <c r="JJA616" s="17">
        <v>44925</v>
      </c>
      <c r="JJB616" s="5" t="s">
        <v>3728</v>
      </c>
      <c r="JJC616" s="17">
        <v>44925</v>
      </c>
      <c r="JJD616" s="5" t="s">
        <v>3728</v>
      </c>
      <c r="JJE616" s="17">
        <v>44925</v>
      </c>
      <c r="JJF616" s="5" t="s">
        <v>3728</v>
      </c>
      <c r="JJG616" s="17">
        <v>44925</v>
      </c>
      <c r="JJH616" s="5" t="s">
        <v>3728</v>
      </c>
      <c r="JJI616" s="17">
        <v>44925</v>
      </c>
      <c r="JJJ616" s="5" t="s">
        <v>3728</v>
      </c>
      <c r="JJK616" s="17">
        <v>44925</v>
      </c>
      <c r="JJL616" s="5" t="s">
        <v>3728</v>
      </c>
      <c r="JJM616" s="17">
        <v>44925</v>
      </c>
      <c r="JJN616" s="5" t="s">
        <v>3728</v>
      </c>
      <c r="JJO616" s="17">
        <v>44925</v>
      </c>
      <c r="JJP616" s="5" t="s">
        <v>3728</v>
      </c>
      <c r="JJQ616" s="17">
        <v>44925</v>
      </c>
      <c r="JJR616" s="5" t="s">
        <v>3728</v>
      </c>
      <c r="JJS616" s="17">
        <v>44925</v>
      </c>
      <c r="JJT616" s="5" t="s">
        <v>3728</v>
      </c>
      <c r="JJU616" s="17">
        <v>44925</v>
      </c>
      <c r="JJV616" s="5" t="s">
        <v>3728</v>
      </c>
      <c r="JJW616" s="17">
        <v>44925</v>
      </c>
      <c r="JJX616" s="5" t="s">
        <v>3728</v>
      </c>
      <c r="JJY616" s="17">
        <v>44925</v>
      </c>
      <c r="JJZ616" s="5" t="s">
        <v>3728</v>
      </c>
      <c r="JKA616" s="17">
        <v>44925</v>
      </c>
      <c r="JKB616" s="5" t="s">
        <v>3728</v>
      </c>
      <c r="JKC616" s="17">
        <v>44925</v>
      </c>
      <c r="JKD616" s="5" t="s">
        <v>3728</v>
      </c>
      <c r="JKE616" s="17">
        <v>44925</v>
      </c>
      <c r="JKF616" s="5" t="s">
        <v>3728</v>
      </c>
      <c r="JKG616" s="17">
        <v>44925</v>
      </c>
      <c r="JKH616" s="5" t="s">
        <v>3728</v>
      </c>
      <c r="JKI616" s="17">
        <v>44925</v>
      </c>
      <c r="JKJ616" s="5" t="s">
        <v>3728</v>
      </c>
      <c r="JKK616" s="17">
        <v>44925</v>
      </c>
      <c r="JKL616" s="5" t="s">
        <v>3728</v>
      </c>
      <c r="JKM616" s="17">
        <v>44925</v>
      </c>
      <c r="JKN616" s="5" t="s">
        <v>3728</v>
      </c>
      <c r="JKO616" s="17">
        <v>44925</v>
      </c>
      <c r="JKP616" s="5" t="s">
        <v>3728</v>
      </c>
      <c r="JKQ616" s="17">
        <v>44925</v>
      </c>
      <c r="JKR616" s="5" t="s">
        <v>3728</v>
      </c>
      <c r="JKS616" s="17">
        <v>44925</v>
      </c>
      <c r="JKT616" s="5" t="s">
        <v>3728</v>
      </c>
      <c r="JKU616" s="17">
        <v>44925</v>
      </c>
      <c r="JKV616" s="5" t="s">
        <v>3728</v>
      </c>
      <c r="JKW616" s="17">
        <v>44925</v>
      </c>
      <c r="JKX616" s="5" t="s">
        <v>3728</v>
      </c>
      <c r="JKY616" s="17">
        <v>44925</v>
      </c>
      <c r="JKZ616" s="5" t="s">
        <v>3728</v>
      </c>
      <c r="JLA616" s="17">
        <v>44925</v>
      </c>
      <c r="JLB616" s="5" t="s">
        <v>3728</v>
      </c>
      <c r="JLC616" s="17">
        <v>44925</v>
      </c>
      <c r="JLD616" s="5" t="s">
        <v>3728</v>
      </c>
      <c r="JLE616" s="17">
        <v>44925</v>
      </c>
      <c r="JLF616" s="5" t="s">
        <v>3728</v>
      </c>
      <c r="JLG616" s="17">
        <v>44925</v>
      </c>
      <c r="JLH616" s="5" t="s">
        <v>3728</v>
      </c>
      <c r="JLI616" s="17">
        <v>44925</v>
      </c>
      <c r="JLJ616" s="5" t="s">
        <v>3728</v>
      </c>
      <c r="JLK616" s="17">
        <v>44925</v>
      </c>
      <c r="JLL616" s="5" t="s">
        <v>3728</v>
      </c>
      <c r="JLM616" s="17">
        <v>44925</v>
      </c>
      <c r="JLN616" s="5" t="s">
        <v>3728</v>
      </c>
      <c r="JLO616" s="17">
        <v>44925</v>
      </c>
      <c r="JLP616" s="5" t="s">
        <v>3728</v>
      </c>
      <c r="JLQ616" s="17">
        <v>44925</v>
      </c>
      <c r="JLR616" s="5" t="s">
        <v>3728</v>
      </c>
      <c r="JLS616" s="17">
        <v>44925</v>
      </c>
      <c r="JLT616" s="5" t="s">
        <v>3728</v>
      </c>
      <c r="JLU616" s="17">
        <v>44925</v>
      </c>
      <c r="JLV616" s="5" t="s">
        <v>3728</v>
      </c>
      <c r="JLW616" s="17">
        <v>44925</v>
      </c>
      <c r="JLX616" s="5" t="s">
        <v>3728</v>
      </c>
      <c r="JLY616" s="17">
        <v>44925</v>
      </c>
      <c r="JLZ616" s="5" t="s">
        <v>3728</v>
      </c>
      <c r="JMA616" s="17">
        <v>44925</v>
      </c>
      <c r="JMB616" s="5" t="s">
        <v>3728</v>
      </c>
      <c r="JMC616" s="17">
        <v>44925</v>
      </c>
      <c r="JMD616" s="5" t="s">
        <v>3728</v>
      </c>
      <c r="JME616" s="17">
        <v>44925</v>
      </c>
      <c r="JMF616" s="5" t="s">
        <v>3728</v>
      </c>
      <c r="JMG616" s="17">
        <v>44925</v>
      </c>
      <c r="JMH616" s="5" t="s">
        <v>3728</v>
      </c>
      <c r="JMI616" s="17">
        <v>44925</v>
      </c>
      <c r="JMJ616" s="5" t="s">
        <v>3728</v>
      </c>
      <c r="JMK616" s="17">
        <v>44925</v>
      </c>
      <c r="JML616" s="5" t="s">
        <v>3728</v>
      </c>
      <c r="JMM616" s="17">
        <v>44925</v>
      </c>
      <c r="JMN616" s="5" t="s">
        <v>3728</v>
      </c>
      <c r="JMO616" s="17">
        <v>44925</v>
      </c>
      <c r="JMP616" s="5" t="s">
        <v>3728</v>
      </c>
      <c r="JMQ616" s="17">
        <v>44925</v>
      </c>
      <c r="JMR616" s="5" t="s">
        <v>3728</v>
      </c>
      <c r="JMS616" s="17">
        <v>44925</v>
      </c>
      <c r="JMT616" s="5" t="s">
        <v>3728</v>
      </c>
      <c r="JMU616" s="17">
        <v>44925</v>
      </c>
      <c r="JMV616" s="5" t="s">
        <v>3728</v>
      </c>
      <c r="JMW616" s="17">
        <v>44925</v>
      </c>
      <c r="JMX616" s="5" t="s">
        <v>3728</v>
      </c>
      <c r="JMY616" s="17">
        <v>44925</v>
      </c>
      <c r="JMZ616" s="5" t="s">
        <v>3728</v>
      </c>
      <c r="JNA616" s="17">
        <v>44925</v>
      </c>
      <c r="JNB616" s="5" t="s">
        <v>3728</v>
      </c>
      <c r="JNC616" s="17">
        <v>44925</v>
      </c>
      <c r="JND616" s="5" t="s">
        <v>3728</v>
      </c>
      <c r="JNE616" s="17">
        <v>44925</v>
      </c>
      <c r="JNF616" s="5" t="s">
        <v>3728</v>
      </c>
      <c r="JNG616" s="17">
        <v>44925</v>
      </c>
      <c r="JNH616" s="5" t="s">
        <v>3728</v>
      </c>
      <c r="JNI616" s="17">
        <v>44925</v>
      </c>
      <c r="JNJ616" s="5" t="s">
        <v>3728</v>
      </c>
      <c r="JNK616" s="17">
        <v>44925</v>
      </c>
      <c r="JNL616" s="5" t="s">
        <v>3728</v>
      </c>
      <c r="JNM616" s="17">
        <v>44925</v>
      </c>
      <c r="JNN616" s="5" t="s">
        <v>3728</v>
      </c>
      <c r="JNO616" s="17">
        <v>44925</v>
      </c>
      <c r="JNP616" s="5" t="s">
        <v>3728</v>
      </c>
      <c r="JNQ616" s="17">
        <v>44925</v>
      </c>
      <c r="JNR616" s="5" t="s">
        <v>3728</v>
      </c>
      <c r="JNS616" s="17">
        <v>44925</v>
      </c>
      <c r="JNT616" s="5" t="s">
        <v>3728</v>
      </c>
      <c r="JNU616" s="17">
        <v>44925</v>
      </c>
      <c r="JNV616" s="5" t="s">
        <v>3728</v>
      </c>
      <c r="JNW616" s="17">
        <v>44925</v>
      </c>
      <c r="JNX616" s="5" t="s">
        <v>3728</v>
      </c>
      <c r="JNY616" s="17">
        <v>44925</v>
      </c>
      <c r="JNZ616" s="5" t="s">
        <v>3728</v>
      </c>
      <c r="JOA616" s="17">
        <v>44925</v>
      </c>
      <c r="JOB616" s="5" t="s">
        <v>3728</v>
      </c>
      <c r="JOC616" s="17">
        <v>44925</v>
      </c>
      <c r="JOD616" s="5" t="s">
        <v>3728</v>
      </c>
      <c r="JOE616" s="17">
        <v>44925</v>
      </c>
      <c r="JOF616" s="5" t="s">
        <v>3728</v>
      </c>
      <c r="JOG616" s="17">
        <v>44925</v>
      </c>
      <c r="JOH616" s="5" t="s">
        <v>3728</v>
      </c>
      <c r="JOI616" s="17">
        <v>44925</v>
      </c>
      <c r="JOJ616" s="5" t="s">
        <v>3728</v>
      </c>
      <c r="JOK616" s="17">
        <v>44925</v>
      </c>
      <c r="JOL616" s="5" t="s">
        <v>3728</v>
      </c>
      <c r="JOM616" s="17">
        <v>44925</v>
      </c>
      <c r="JON616" s="5" t="s">
        <v>3728</v>
      </c>
      <c r="JOO616" s="17">
        <v>44925</v>
      </c>
      <c r="JOP616" s="5" t="s">
        <v>3728</v>
      </c>
      <c r="JOQ616" s="17">
        <v>44925</v>
      </c>
      <c r="JOR616" s="5" t="s">
        <v>3728</v>
      </c>
      <c r="JOS616" s="17">
        <v>44925</v>
      </c>
      <c r="JOT616" s="5" t="s">
        <v>3728</v>
      </c>
      <c r="JOU616" s="17">
        <v>44925</v>
      </c>
      <c r="JOV616" s="5" t="s">
        <v>3728</v>
      </c>
      <c r="JOW616" s="17">
        <v>44925</v>
      </c>
      <c r="JOX616" s="5" t="s">
        <v>3728</v>
      </c>
      <c r="JOY616" s="17">
        <v>44925</v>
      </c>
      <c r="JOZ616" s="5" t="s">
        <v>3728</v>
      </c>
      <c r="JPA616" s="17">
        <v>44925</v>
      </c>
      <c r="JPB616" s="5" t="s">
        <v>3728</v>
      </c>
      <c r="JPC616" s="17">
        <v>44925</v>
      </c>
      <c r="JPD616" s="5" t="s">
        <v>3728</v>
      </c>
      <c r="JPE616" s="17">
        <v>44925</v>
      </c>
      <c r="JPF616" s="5" t="s">
        <v>3728</v>
      </c>
      <c r="JPG616" s="17">
        <v>44925</v>
      </c>
      <c r="JPH616" s="5" t="s">
        <v>3728</v>
      </c>
      <c r="JPI616" s="17">
        <v>44925</v>
      </c>
      <c r="JPJ616" s="5" t="s">
        <v>3728</v>
      </c>
      <c r="JPK616" s="17">
        <v>44925</v>
      </c>
      <c r="JPL616" s="5" t="s">
        <v>3728</v>
      </c>
      <c r="JPM616" s="17">
        <v>44925</v>
      </c>
      <c r="JPN616" s="5" t="s">
        <v>3728</v>
      </c>
      <c r="JPO616" s="17">
        <v>44925</v>
      </c>
      <c r="JPP616" s="5" t="s">
        <v>3728</v>
      </c>
      <c r="JPQ616" s="17">
        <v>44925</v>
      </c>
      <c r="JPR616" s="5" t="s">
        <v>3728</v>
      </c>
      <c r="JPS616" s="17">
        <v>44925</v>
      </c>
      <c r="JPT616" s="5" t="s">
        <v>3728</v>
      </c>
      <c r="JPU616" s="17">
        <v>44925</v>
      </c>
      <c r="JPV616" s="5" t="s">
        <v>3728</v>
      </c>
      <c r="JPW616" s="17">
        <v>44925</v>
      </c>
      <c r="JPX616" s="5" t="s">
        <v>3728</v>
      </c>
      <c r="JPY616" s="17">
        <v>44925</v>
      </c>
      <c r="JPZ616" s="5" t="s">
        <v>3728</v>
      </c>
      <c r="JQA616" s="17">
        <v>44925</v>
      </c>
      <c r="JQB616" s="5" t="s">
        <v>3728</v>
      </c>
      <c r="JQC616" s="17">
        <v>44925</v>
      </c>
      <c r="JQD616" s="5" t="s">
        <v>3728</v>
      </c>
      <c r="JQE616" s="17">
        <v>44925</v>
      </c>
      <c r="JQF616" s="5" t="s">
        <v>3728</v>
      </c>
      <c r="JQG616" s="17">
        <v>44925</v>
      </c>
      <c r="JQH616" s="5" t="s">
        <v>3728</v>
      </c>
      <c r="JQI616" s="17">
        <v>44925</v>
      </c>
      <c r="JQJ616" s="5" t="s">
        <v>3728</v>
      </c>
      <c r="JQK616" s="17">
        <v>44925</v>
      </c>
      <c r="JQL616" s="5" t="s">
        <v>3728</v>
      </c>
      <c r="JQM616" s="17">
        <v>44925</v>
      </c>
      <c r="JQN616" s="5" t="s">
        <v>3728</v>
      </c>
      <c r="JQO616" s="17">
        <v>44925</v>
      </c>
      <c r="JQP616" s="5" t="s">
        <v>3728</v>
      </c>
      <c r="JQQ616" s="17">
        <v>44925</v>
      </c>
      <c r="JQR616" s="5" t="s">
        <v>3728</v>
      </c>
      <c r="JQS616" s="17">
        <v>44925</v>
      </c>
      <c r="JQT616" s="5" t="s">
        <v>3728</v>
      </c>
      <c r="JQU616" s="17">
        <v>44925</v>
      </c>
      <c r="JQV616" s="5" t="s">
        <v>3728</v>
      </c>
      <c r="JQW616" s="17">
        <v>44925</v>
      </c>
      <c r="JQX616" s="5" t="s">
        <v>3728</v>
      </c>
      <c r="JQY616" s="17">
        <v>44925</v>
      </c>
      <c r="JQZ616" s="5" t="s">
        <v>3728</v>
      </c>
      <c r="JRA616" s="17">
        <v>44925</v>
      </c>
      <c r="JRB616" s="5" t="s">
        <v>3728</v>
      </c>
      <c r="JRC616" s="17">
        <v>44925</v>
      </c>
      <c r="JRD616" s="5" t="s">
        <v>3728</v>
      </c>
      <c r="JRE616" s="17">
        <v>44925</v>
      </c>
      <c r="JRF616" s="5" t="s">
        <v>3728</v>
      </c>
      <c r="JRG616" s="17">
        <v>44925</v>
      </c>
      <c r="JRH616" s="5" t="s">
        <v>3728</v>
      </c>
      <c r="JRI616" s="17">
        <v>44925</v>
      </c>
      <c r="JRJ616" s="5" t="s">
        <v>3728</v>
      </c>
      <c r="JRK616" s="17">
        <v>44925</v>
      </c>
      <c r="JRL616" s="5" t="s">
        <v>3728</v>
      </c>
      <c r="JRM616" s="17">
        <v>44925</v>
      </c>
      <c r="JRN616" s="5" t="s">
        <v>3728</v>
      </c>
      <c r="JRO616" s="17">
        <v>44925</v>
      </c>
      <c r="JRP616" s="5" t="s">
        <v>3728</v>
      </c>
      <c r="JRQ616" s="17">
        <v>44925</v>
      </c>
      <c r="JRR616" s="5" t="s">
        <v>3728</v>
      </c>
      <c r="JRS616" s="17">
        <v>44925</v>
      </c>
      <c r="JRT616" s="5" t="s">
        <v>3728</v>
      </c>
      <c r="JRU616" s="17">
        <v>44925</v>
      </c>
      <c r="JRV616" s="5" t="s">
        <v>3728</v>
      </c>
      <c r="JRW616" s="17">
        <v>44925</v>
      </c>
      <c r="JRX616" s="5" t="s">
        <v>3728</v>
      </c>
      <c r="JRY616" s="17">
        <v>44925</v>
      </c>
      <c r="JRZ616" s="5" t="s">
        <v>3728</v>
      </c>
      <c r="JSA616" s="17">
        <v>44925</v>
      </c>
      <c r="JSB616" s="5" t="s">
        <v>3728</v>
      </c>
      <c r="JSC616" s="17">
        <v>44925</v>
      </c>
      <c r="JSD616" s="5" t="s">
        <v>3728</v>
      </c>
      <c r="JSE616" s="17">
        <v>44925</v>
      </c>
      <c r="JSF616" s="5" t="s">
        <v>3728</v>
      </c>
      <c r="JSG616" s="17">
        <v>44925</v>
      </c>
      <c r="JSH616" s="5" t="s">
        <v>3728</v>
      </c>
      <c r="JSI616" s="17">
        <v>44925</v>
      </c>
      <c r="JSJ616" s="5" t="s">
        <v>3728</v>
      </c>
      <c r="JSK616" s="17">
        <v>44925</v>
      </c>
      <c r="JSL616" s="5" t="s">
        <v>3728</v>
      </c>
      <c r="JSM616" s="17">
        <v>44925</v>
      </c>
      <c r="JSN616" s="5" t="s">
        <v>3728</v>
      </c>
      <c r="JSO616" s="17">
        <v>44925</v>
      </c>
      <c r="JSP616" s="5" t="s">
        <v>3728</v>
      </c>
      <c r="JSQ616" s="17">
        <v>44925</v>
      </c>
      <c r="JSR616" s="5" t="s">
        <v>3728</v>
      </c>
      <c r="JSS616" s="17">
        <v>44925</v>
      </c>
      <c r="JST616" s="5" t="s">
        <v>3728</v>
      </c>
      <c r="JSU616" s="17">
        <v>44925</v>
      </c>
      <c r="JSV616" s="5" t="s">
        <v>3728</v>
      </c>
      <c r="JSW616" s="17">
        <v>44925</v>
      </c>
      <c r="JSX616" s="5" t="s">
        <v>3728</v>
      </c>
      <c r="JSY616" s="17">
        <v>44925</v>
      </c>
      <c r="JSZ616" s="5" t="s">
        <v>3728</v>
      </c>
      <c r="JTA616" s="17">
        <v>44925</v>
      </c>
      <c r="JTB616" s="5" t="s">
        <v>3728</v>
      </c>
      <c r="JTC616" s="17">
        <v>44925</v>
      </c>
      <c r="JTD616" s="5" t="s">
        <v>3728</v>
      </c>
      <c r="JTE616" s="17">
        <v>44925</v>
      </c>
      <c r="JTF616" s="5" t="s">
        <v>3728</v>
      </c>
      <c r="JTG616" s="17">
        <v>44925</v>
      </c>
      <c r="JTH616" s="5" t="s">
        <v>3728</v>
      </c>
      <c r="JTI616" s="17">
        <v>44925</v>
      </c>
      <c r="JTJ616" s="5" t="s">
        <v>3728</v>
      </c>
      <c r="JTK616" s="17">
        <v>44925</v>
      </c>
      <c r="JTL616" s="5" t="s">
        <v>3728</v>
      </c>
      <c r="JTM616" s="17">
        <v>44925</v>
      </c>
      <c r="JTN616" s="5" t="s">
        <v>3728</v>
      </c>
      <c r="JTO616" s="17">
        <v>44925</v>
      </c>
      <c r="JTP616" s="5" t="s">
        <v>3728</v>
      </c>
      <c r="JTQ616" s="17">
        <v>44925</v>
      </c>
      <c r="JTR616" s="5" t="s">
        <v>3728</v>
      </c>
      <c r="JTS616" s="17">
        <v>44925</v>
      </c>
      <c r="JTT616" s="5" t="s">
        <v>3728</v>
      </c>
      <c r="JTU616" s="17">
        <v>44925</v>
      </c>
      <c r="JTV616" s="5" t="s">
        <v>3728</v>
      </c>
      <c r="JTW616" s="17">
        <v>44925</v>
      </c>
      <c r="JTX616" s="5" t="s">
        <v>3728</v>
      </c>
      <c r="JTY616" s="17">
        <v>44925</v>
      </c>
      <c r="JTZ616" s="5" t="s">
        <v>3728</v>
      </c>
      <c r="JUA616" s="17">
        <v>44925</v>
      </c>
      <c r="JUB616" s="5" t="s">
        <v>3728</v>
      </c>
      <c r="JUC616" s="17">
        <v>44925</v>
      </c>
      <c r="JUD616" s="5" t="s">
        <v>3728</v>
      </c>
      <c r="JUE616" s="17">
        <v>44925</v>
      </c>
      <c r="JUF616" s="5" t="s">
        <v>3728</v>
      </c>
      <c r="JUG616" s="17">
        <v>44925</v>
      </c>
      <c r="JUH616" s="5" t="s">
        <v>3728</v>
      </c>
      <c r="JUI616" s="17">
        <v>44925</v>
      </c>
      <c r="JUJ616" s="5" t="s">
        <v>3728</v>
      </c>
      <c r="JUK616" s="17">
        <v>44925</v>
      </c>
      <c r="JUL616" s="5" t="s">
        <v>3728</v>
      </c>
      <c r="JUM616" s="17">
        <v>44925</v>
      </c>
      <c r="JUN616" s="5" t="s">
        <v>3728</v>
      </c>
      <c r="JUO616" s="17">
        <v>44925</v>
      </c>
      <c r="JUP616" s="5" t="s">
        <v>3728</v>
      </c>
      <c r="JUQ616" s="17">
        <v>44925</v>
      </c>
      <c r="JUR616" s="5" t="s">
        <v>3728</v>
      </c>
      <c r="JUS616" s="17">
        <v>44925</v>
      </c>
      <c r="JUT616" s="5" t="s">
        <v>3728</v>
      </c>
      <c r="JUU616" s="17">
        <v>44925</v>
      </c>
      <c r="JUV616" s="5" t="s">
        <v>3728</v>
      </c>
      <c r="JUW616" s="17">
        <v>44925</v>
      </c>
      <c r="JUX616" s="5" t="s">
        <v>3728</v>
      </c>
      <c r="JUY616" s="17">
        <v>44925</v>
      </c>
      <c r="JUZ616" s="5" t="s">
        <v>3728</v>
      </c>
      <c r="JVA616" s="17">
        <v>44925</v>
      </c>
      <c r="JVB616" s="5" t="s">
        <v>3728</v>
      </c>
      <c r="JVC616" s="17">
        <v>44925</v>
      </c>
      <c r="JVD616" s="5" t="s">
        <v>3728</v>
      </c>
      <c r="JVE616" s="17">
        <v>44925</v>
      </c>
      <c r="JVF616" s="5" t="s">
        <v>3728</v>
      </c>
      <c r="JVG616" s="17">
        <v>44925</v>
      </c>
      <c r="JVH616" s="5" t="s">
        <v>3728</v>
      </c>
      <c r="JVI616" s="17">
        <v>44925</v>
      </c>
      <c r="JVJ616" s="5" t="s">
        <v>3728</v>
      </c>
      <c r="JVK616" s="17">
        <v>44925</v>
      </c>
      <c r="JVL616" s="5" t="s">
        <v>3728</v>
      </c>
      <c r="JVM616" s="17">
        <v>44925</v>
      </c>
      <c r="JVN616" s="5" t="s">
        <v>3728</v>
      </c>
      <c r="JVO616" s="17">
        <v>44925</v>
      </c>
      <c r="JVP616" s="5" t="s">
        <v>3728</v>
      </c>
      <c r="JVQ616" s="17">
        <v>44925</v>
      </c>
      <c r="JVR616" s="5" t="s">
        <v>3728</v>
      </c>
      <c r="JVS616" s="17">
        <v>44925</v>
      </c>
      <c r="JVT616" s="5" t="s">
        <v>3728</v>
      </c>
      <c r="JVU616" s="17">
        <v>44925</v>
      </c>
      <c r="JVV616" s="5" t="s">
        <v>3728</v>
      </c>
      <c r="JVW616" s="17">
        <v>44925</v>
      </c>
      <c r="JVX616" s="5" t="s">
        <v>3728</v>
      </c>
      <c r="JVY616" s="17">
        <v>44925</v>
      </c>
      <c r="JVZ616" s="5" t="s">
        <v>3728</v>
      </c>
      <c r="JWA616" s="17">
        <v>44925</v>
      </c>
      <c r="JWB616" s="5" t="s">
        <v>3728</v>
      </c>
      <c r="JWC616" s="17">
        <v>44925</v>
      </c>
      <c r="JWD616" s="5" t="s">
        <v>3728</v>
      </c>
      <c r="JWE616" s="17">
        <v>44925</v>
      </c>
      <c r="JWF616" s="5" t="s">
        <v>3728</v>
      </c>
      <c r="JWG616" s="17">
        <v>44925</v>
      </c>
      <c r="JWH616" s="5" t="s">
        <v>3728</v>
      </c>
      <c r="JWI616" s="17">
        <v>44925</v>
      </c>
      <c r="JWJ616" s="5" t="s">
        <v>3728</v>
      </c>
      <c r="JWK616" s="17">
        <v>44925</v>
      </c>
      <c r="JWL616" s="5" t="s">
        <v>3728</v>
      </c>
      <c r="JWM616" s="17">
        <v>44925</v>
      </c>
      <c r="JWN616" s="5" t="s">
        <v>3728</v>
      </c>
      <c r="JWO616" s="17">
        <v>44925</v>
      </c>
      <c r="JWP616" s="5" t="s">
        <v>3728</v>
      </c>
      <c r="JWQ616" s="17">
        <v>44925</v>
      </c>
      <c r="JWR616" s="5" t="s">
        <v>3728</v>
      </c>
      <c r="JWS616" s="17">
        <v>44925</v>
      </c>
      <c r="JWT616" s="5" t="s">
        <v>3728</v>
      </c>
      <c r="JWU616" s="17">
        <v>44925</v>
      </c>
      <c r="JWV616" s="5" t="s">
        <v>3728</v>
      </c>
      <c r="JWW616" s="17">
        <v>44925</v>
      </c>
      <c r="JWX616" s="5" t="s">
        <v>3728</v>
      </c>
      <c r="JWY616" s="17">
        <v>44925</v>
      </c>
      <c r="JWZ616" s="5" t="s">
        <v>3728</v>
      </c>
      <c r="JXA616" s="17">
        <v>44925</v>
      </c>
      <c r="JXB616" s="5" t="s">
        <v>3728</v>
      </c>
      <c r="JXC616" s="17">
        <v>44925</v>
      </c>
      <c r="JXD616" s="5" t="s">
        <v>3728</v>
      </c>
      <c r="JXE616" s="17">
        <v>44925</v>
      </c>
      <c r="JXF616" s="5" t="s">
        <v>3728</v>
      </c>
      <c r="JXG616" s="17">
        <v>44925</v>
      </c>
      <c r="JXH616" s="5" t="s">
        <v>3728</v>
      </c>
      <c r="JXI616" s="17">
        <v>44925</v>
      </c>
      <c r="JXJ616" s="5" t="s">
        <v>3728</v>
      </c>
      <c r="JXK616" s="17">
        <v>44925</v>
      </c>
      <c r="JXL616" s="5" t="s">
        <v>3728</v>
      </c>
      <c r="JXM616" s="17">
        <v>44925</v>
      </c>
      <c r="JXN616" s="5" t="s">
        <v>3728</v>
      </c>
      <c r="JXO616" s="17">
        <v>44925</v>
      </c>
      <c r="JXP616" s="5" t="s">
        <v>3728</v>
      </c>
      <c r="JXQ616" s="17">
        <v>44925</v>
      </c>
      <c r="JXR616" s="5" t="s">
        <v>3728</v>
      </c>
      <c r="JXS616" s="17">
        <v>44925</v>
      </c>
      <c r="JXT616" s="5" t="s">
        <v>3728</v>
      </c>
      <c r="JXU616" s="17">
        <v>44925</v>
      </c>
      <c r="JXV616" s="5" t="s">
        <v>3728</v>
      </c>
      <c r="JXW616" s="17">
        <v>44925</v>
      </c>
      <c r="JXX616" s="5" t="s">
        <v>3728</v>
      </c>
      <c r="JXY616" s="17">
        <v>44925</v>
      </c>
      <c r="JXZ616" s="5" t="s">
        <v>3728</v>
      </c>
      <c r="JYA616" s="17">
        <v>44925</v>
      </c>
      <c r="JYB616" s="5" t="s">
        <v>3728</v>
      </c>
      <c r="JYC616" s="17">
        <v>44925</v>
      </c>
      <c r="JYD616" s="5" t="s">
        <v>3728</v>
      </c>
      <c r="JYE616" s="17">
        <v>44925</v>
      </c>
      <c r="JYF616" s="5" t="s">
        <v>3728</v>
      </c>
      <c r="JYG616" s="17">
        <v>44925</v>
      </c>
      <c r="JYH616" s="5" t="s">
        <v>3728</v>
      </c>
      <c r="JYI616" s="17">
        <v>44925</v>
      </c>
      <c r="JYJ616" s="5" t="s">
        <v>3728</v>
      </c>
      <c r="JYK616" s="17">
        <v>44925</v>
      </c>
      <c r="JYL616" s="5" t="s">
        <v>3728</v>
      </c>
      <c r="JYM616" s="17">
        <v>44925</v>
      </c>
      <c r="JYN616" s="5" t="s">
        <v>3728</v>
      </c>
      <c r="JYO616" s="17">
        <v>44925</v>
      </c>
      <c r="JYP616" s="5" t="s">
        <v>3728</v>
      </c>
      <c r="JYQ616" s="17">
        <v>44925</v>
      </c>
      <c r="JYR616" s="5" t="s">
        <v>3728</v>
      </c>
      <c r="JYS616" s="17">
        <v>44925</v>
      </c>
      <c r="JYT616" s="5" t="s">
        <v>3728</v>
      </c>
      <c r="JYU616" s="17">
        <v>44925</v>
      </c>
      <c r="JYV616" s="5" t="s">
        <v>3728</v>
      </c>
      <c r="JYW616" s="17">
        <v>44925</v>
      </c>
      <c r="JYX616" s="5" t="s">
        <v>3728</v>
      </c>
      <c r="JYY616" s="17">
        <v>44925</v>
      </c>
      <c r="JYZ616" s="5" t="s">
        <v>3728</v>
      </c>
      <c r="JZA616" s="17">
        <v>44925</v>
      </c>
      <c r="JZB616" s="5" t="s">
        <v>3728</v>
      </c>
      <c r="JZC616" s="17">
        <v>44925</v>
      </c>
      <c r="JZD616" s="5" t="s">
        <v>3728</v>
      </c>
      <c r="JZE616" s="17">
        <v>44925</v>
      </c>
      <c r="JZF616" s="5" t="s">
        <v>3728</v>
      </c>
      <c r="JZG616" s="17">
        <v>44925</v>
      </c>
      <c r="JZH616" s="5" t="s">
        <v>3728</v>
      </c>
      <c r="JZI616" s="17">
        <v>44925</v>
      </c>
      <c r="JZJ616" s="5" t="s">
        <v>3728</v>
      </c>
      <c r="JZK616" s="17">
        <v>44925</v>
      </c>
      <c r="JZL616" s="5" t="s">
        <v>3728</v>
      </c>
      <c r="JZM616" s="17">
        <v>44925</v>
      </c>
      <c r="JZN616" s="5" t="s">
        <v>3728</v>
      </c>
      <c r="JZO616" s="17">
        <v>44925</v>
      </c>
      <c r="JZP616" s="5" t="s">
        <v>3728</v>
      </c>
      <c r="JZQ616" s="17">
        <v>44925</v>
      </c>
      <c r="JZR616" s="5" t="s">
        <v>3728</v>
      </c>
      <c r="JZS616" s="17">
        <v>44925</v>
      </c>
      <c r="JZT616" s="5" t="s">
        <v>3728</v>
      </c>
      <c r="JZU616" s="17">
        <v>44925</v>
      </c>
      <c r="JZV616" s="5" t="s">
        <v>3728</v>
      </c>
      <c r="JZW616" s="17">
        <v>44925</v>
      </c>
      <c r="JZX616" s="5" t="s">
        <v>3728</v>
      </c>
      <c r="JZY616" s="17">
        <v>44925</v>
      </c>
      <c r="JZZ616" s="5" t="s">
        <v>3728</v>
      </c>
      <c r="KAA616" s="17">
        <v>44925</v>
      </c>
      <c r="KAB616" s="5" t="s">
        <v>3728</v>
      </c>
      <c r="KAC616" s="17">
        <v>44925</v>
      </c>
      <c r="KAD616" s="5" t="s">
        <v>3728</v>
      </c>
      <c r="KAE616" s="17">
        <v>44925</v>
      </c>
      <c r="KAF616" s="5" t="s">
        <v>3728</v>
      </c>
      <c r="KAG616" s="17">
        <v>44925</v>
      </c>
      <c r="KAH616" s="5" t="s">
        <v>3728</v>
      </c>
      <c r="KAI616" s="17">
        <v>44925</v>
      </c>
      <c r="KAJ616" s="5" t="s">
        <v>3728</v>
      </c>
      <c r="KAK616" s="17">
        <v>44925</v>
      </c>
      <c r="KAL616" s="5" t="s">
        <v>3728</v>
      </c>
      <c r="KAM616" s="17">
        <v>44925</v>
      </c>
      <c r="KAN616" s="5" t="s">
        <v>3728</v>
      </c>
      <c r="KAO616" s="17">
        <v>44925</v>
      </c>
      <c r="KAP616" s="5" t="s">
        <v>3728</v>
      </c>
      <c r="KAQ616" s="17">
        <v>44925</v>
      </c>
      <c r="KAR616" s="5" t="s">
        <v>3728</v>
      </c>
      <c r="KAS616" s="17">
        <v>44925</v>
      </c>
      <c r="KAT616" s="5" t="s">
        <v>3728</v>
      </c>
      <c r="KAU616" s="17">
        <v>44925</v>
      </c>
      <c r="KAV616" s="5" t="s">
        <v>3728</v>
      </c>
      <c r="KAW616" s="17">
        <v>44925</v>
      </c>
      <c r="KAX616" s="5" t="s">
        <v>3728</v>
      </c>
      <c r="KAY616" s="17">
        <v>44925</v>
      </c>
      <c r="KAZ616" s="5" t="s">
        <v>3728</v>
      </c>
      <c r="KBA616" s="17">
        <v>44925</v>
      </c>
      <c r="KBB616" s="5" t="s">
        <v>3728</v>
      </c>
      <c r="KBC616" s="17">
        <v>44925</v>
      </c>
      <c r="KBD616" s="5" t="s">
        <v>3728</v>
      </c>
      <c r="KBE616" s="17">
        <v>44925</v>
      </c>
      <c r="KBF616" s="5" t="s">
        <v>3728</v>
      </c>
      <c r="KBG616" s="17">
        <v>44925</v>
      </c>
      <c r="KBH616" s="5" t="s">
        <v>3728</v>
      </c>
      <c r="KBI616" s="17">
        <v>44925</v>
      </c>
      <c r="KBJ616" s="5" t="s">
        <v>3728</v>
      </c>
      <c r="KBK616" s="17">
        <v>44925</v>
      </c>
      <c r="KBL616" s="5" t="s">
        <v>3728</v>
      </c>
      <c r="KBM616" s="17">
        <v>44925</v>
      </c>
      <c r="KBN616" s="5" t="s">
        <v>3728</v>
      </c>
      <c r="KBO616" s="17">
        <v>44925</v>
      </c>
      <c r="KBP616" s="5" t="s">
        <v>3728</v>
      </c>
      <c r="KBQ616" s="17">
        <v>44925</v>
      </c>
      <c r="KBR616" s="5" t="s">
        <v>3728</v>
      </c>
      <c r="KBS616" s="17">
        <v>44925</v>
      </c>
      <c r="KBT616" s="5" t="s">
        <v>3728</v>
      </c>
      <c r="KBU616" s="17">
        <v>44925</v>
      </c>
      <c r="KBV616" s="5" t="s">
        <v>3728</v>
      </c>
      <c r="KBW616" s="17">
        <v>44925</v>
      </c>
      <c r="KBX616" s="5" t="s">
        <v>3728</v>
      </c>
      <c r="KBY616" s="17">
        <v>44925</v>
      </c>
      <c r="KBZ616" s="5" t="s">
        <v>3728</v>
      </c>
      <c r="KCA616" s="17">
        <v>44925</v>
      </c>
      <c r="KCB616" s="5" t="s">
        <v>3728</v>
      </c>
      <c r="KCC616" s="17">
        <v>44925</v>
      </c>
      <c r="KCD616" s="5" t="s">
        <v>3728</v>
      </c>
      <c r="KCE616" s="17">
        <v>44925</v>
      </c>
      <c r="KCF616" s="5" t="s">
        <v>3728</v>
      </c>
      <c r="KCG616" s="17">
        <v>44925</v>
      </c>
      <c r="KCH616" s="5" t="s">
        <v>3728</v>
      </c>
      <c r="KCI616" s="17">
        <v>44925</v>
      </c>
      <c r="KCJ616" s="5" t="s">
        <v>3728</v>
      </c>
      <c r="KCK616" s="17">
        <v>44925</v>
      </c>
      <c r="KCL616" s="5" t="s">
        <v>3728</v>
      </c>
      <c r="KCM616" s="17">
        <v>44925</v>
      </c>
      <c r="KCN616" s="5" t="s">
        <v>3728</v>
      </c>
      <c r="KCO616" s="17">
        <v>44925</v>
      </c>
      <c r="KCP616" s="5" t="s">
        <v>3728</v>
      </c>
      <c r="KCQ616" s="17">
        <v>44925</v>
      </c>
      <c r="KCR616" s="5" t="s">
        <v>3728</v>
      </c>
      <c r="KCS616" s="17">
        <v>44925</v>
      </c>
      <c r="KCT616" s="5" t="s">
        <v>3728</v>
      </c>
      <c r="KCU616" s="17">
        <v>44925</v>
      </c>
      <c r="KCV616" s="5" t="s">
        <v>3728</v>
      </c>
      <c r="KCW616" s="17">
        <v>44925</v>
      </c>
      <c r="KCX616" s="5" t="s">
        <v>3728</v>
      </c>
      <c r="KCY616" s="17">
        <v>44925</v>
      </c>
      <c r="KCZ616" s="5" t="s">
        <v>3728</v>
      </c>
      <c r="KDA616" s="17">
        <v>44925</v>
      </c>
      <c r="KDB616" s="5" t="s">
        <v>3728</v>
      </c>
      <c r="KDC616" s="17">
        <v>44925</v>
      </c>
      <c r="KDD616" s="5" t="s">
        <v>3728</v>
      </c>
      <c r="KDE616" s="17">
        <v>44925</v>
      </c>
      <c r="KDF616" s="5" t="s">
        <v>3728</v>
      </c>
      <c r="KDG616" s="17">
        <v>44925</v>
      </c>
      <c r="KDH616" s="5" t="s">
        <v>3728</v>
      </c>
      <c r="KDI616" s="17">
        <v>44925</v>
      </c>
      <c r="KDJ616" s="5" t="s">
        <v>3728</v>
      </c>
      <c r="KDK616" s="17">
        <v>44925</v>
      </c>
      <c r="KDL616" s="5" t="s">
        <v>3728</v>
      </c>
      <c r="KDM616" s="17">
        <v>44925</v>
      </c>
      <c r="KDN616" s="5" t="s">
        <v>3728</v>
      </c>
      <c r="KDO616" s="17">
        <v>44925</v>
      </c>
      <c r="KDP616" s="5" t="s">
        <v>3728</v>
      </c>
      <c r="KDQ616" s="17">
        <v>44925</v>
      </c>
      <c r="KDR616" s="5" t="s">
        <v>3728</v>
      </c>
      <c r="KDS616" s="17">
        <v>44925</v>
      </c>
      <c r="KDT616" s="5" t="s">
        <v>3728</v>
      </c>
      <c r="KDU616" s="17">
        <v>44925</v>
      </c>
      <c r="KDV616" s="5" t="s">
        <v>3728</v>
      </c>
      <c r="KDW616" s="17">
        <v>44925</v>
      </c>
      <c r="KDX616" s="5" t="s">
        <v>3728</v>
      </c>
      <c r="KDY616" s="17">
        <v>44925</v>
      </c>
      <c r="KDZ616" s="5" t="s">
        <v>3728</v>
      </c>
      <c r="KEA616" s="17">
        <v>44925</v>
      </c>
      <c r="KEB616" s="5" t="s">
        <v>3728</v>
      </c>
      <c r="KEC616" s="17">
        <v>44925</v>
      </c>
      <c r="KED616" s="5" t="s">
        <v>3728</v>
      </c>
      <c r="KEE616" s="17">
        <v>44925</v>
      </c>
      <c r="KEF616" s="5" t="s">
        <v>3728</v>
      </c>
      <c r="KEG616" s="17">
        <v>44925</v>
      </c>
      <c r="KEH616" s="5" t="s">
        <v>3728</v>
      </c>
      <c r="KEI616" s="17">
        <v>44925</v>
      </c>
      <c r="KEJ616" s="5" t="s">
        <v>3728</v>
      </c>
      <c r="KEK616" s="17">
        <v>44925</v>
      </c>
      <c r="KEL616" s="5" t="s">
        <v>3728</v>
      </c>
      <c r="KEM616" s="17">
        <v>44925</v>
      </c>
      <c r="KEN616" s="5" t="s">
        <v>3728</v>
      </c>
      <c r="KEO616" s="17">
        <v>44925</v>
      </c>
      <c r="KEP616" s="5" t="s">
        <v>3728</v>
      </c>
      <c r="KEQ616" s="17">
        <v>44925</v>
      </c>
      <c r="KER616" s="5" t="s">
        <v>3728</v>
      </c>
      <c r="KES616" s="17">
        <v>44925</v>
      </c>
      <c r="KET616" s="5" t="s">
        <v>3728</v>
      </c>
      <c r="KEU616" s="17">
        <v>44925</v>
      </c>
      <c r="KEV616" s="5" t="s">
        <v>3728</v>
      </c>
      <c r="KEW616" s="17">
        <v>44925</v>
      </c>
      <c r="KEX616" s="5" t="s">
        <v>3728</v>
      </c>
      <c r="KEY616" s="17">
        <v>44925</v>
      </c>
      <c r="KEZ616" s="5" t="s">
        <v>3728</v>
      </c>
      <c r="KFA616" s="17">
        <v>44925</v>
      </c>
      <c r="KFB616" s="5" t="s">
        <v>3728</v>
      </c>
      <c r="KFC616" s="17">
        <v>44925</v>
      </c>
      <c r="KFD616" s="5" t="s">
        <v>3728</v>
      </c>
      <c r="KFE616" s="17">
        <v>44925</v>
      </c>
      <c r="KFF616" s="5" t="s">
        <v>3728</v>
      </c>
      <c r="KFG616" s="17">
        <v>44925</v>
      </c>
      <c r="KFH616" s="5" t="s">
        <v>3728</v>
      </c>
      <c r="KFI616" s="17">
        <v>44925</v>
      </c>
      <c r="KFJ616" s="5" t="s">
        <v>3728</v>
      </c>
      <c r="KFK616" s="17">
        <v>44925</v>
      </c>
      <c r="KFL616" s="5" t="s">
        <v>3728</v>
      </c>
      <c r="KFM616" s="17">
        <v>44925</v>
      </c>
      <c r="KFN616" s="5" t="s">
        <v>3728</v>
      </c>
      <c r="KFO616" s="17">
        <v>44925</v>
      </c>
      <c r="KFP616" s="5" t="s">
        <v>3728</v>
      </c>
      <c r="KFQ616" s="17">
        <v>44925</v>
      </c>
      <c r="KFR616" s="5" t="s">
        <v>3728</v>
      </c>
      <c r="KFS616" s="17">
        <v>44925</v>
      </c>
      <c r="KFT616" s="5" t="s">
        <v>3728</v>
      </c>
      <c r="KFU616" s="17">
        <v>44925</v>
      </c>
      <c r="KFV616" s="5" t="s">
        <v>3728</v>
      </c>
      <c r="KFW616" s="17">
        <v>44925</v>
      </c>
      <c r="KFX616" s="5" t="s">
        <v>3728</v>
      </c>
      <c r="KFY616" s="17">
        <v>44925</v>
      </c>
      <c r="KFZ616" s="5" t="s">
        <v>3728</v>
      </c>
      <c r="KGA616" s="17">
        <v>44925</v>
      </c>
      <c r="KGB616" s="5" t="s">
        <v>3728</v>
      </c>
      <c r="KGC616" s="17">
        <v>44925</v>
      </c>
      <c r="KGD616" s="5" t="s">
        <v>3728</v>
      </c>
      <c r="KGE616" s="17">
        <v>44925</v>
      </c>
      <c r="KGF616" s="5" t="s">
        <v>3728</v>
      </c>
      <c r="KGG616" s="17">
        <v>44925</v>
      </c>
      <c r="KGH616" s="5" t="s">
        <v>3728</v>
      </c>
      <c r="KGI616" s="17">
        <v>44925</v>
      </c>
      <c r="KGJ616" s="5" t="s">
        <v>3728</v>
      </c>
      <c r="KGK616" s="17">
        <v>44925</v>
      </c>
      <c r="KGL616" s="5" t="s">
        <v>3728</v>
      </c>
      <c r="KGM616" s="17">
        <v>44925</v>
      </c>
      <c r="KGN616" s="5" t="s">
        <v>3728</v>
      </c>
      <c r="KGO616" s="17">
        <v>44925</v>
      </c>
      <c r="KGP616" s="5" t="s">
        <v>3728</v>
      </c>
      <c r="KGQ616" s="17">
        <v>44925</v>
      </c>
      <c r="KGR616" s="5" t="s">
        <v>3728</v>
      </c>
      <c r="KGS616" s="17">
        <v>44925</v>
      </c>
      <c r="KGT616" s="5" t="s">
        <v>3728</v>
      </c>
      <c r="KGU616" s="17">
        <v>44925</v>
      </c>
      <c r="KGV616" s="5" t="s">
        <v>3728</v>
      </c>
      <c r="KGW616" s="17">
        <v>44925</v>
      </c>
      <c r="KGX616" s="5" t="s">
        <v>3728</v>
      </c>
      <c r="KGY616" s="17">
        <v>44925</v>
      </c>
      <c r="KGZ616" s="5" t="s">
        <v>3728</v>
      </c>
      <c r="KHA616" s="17">
        <v>44925</v>
      </c>
      <c r="KHB616" s="5" t="s">
        <v>3728</v>
      </c>
      <c r="KHC616" s="17">
        <v>44925</v>
      </c>
      <c r="KHD616" s="5" t="s">
        <v>3728</v>
      </c>
      <c r="KHE616" s="17">
        <v>44925</v>
      </c>
      <c r="KHF616" s="5" t="s">
        <v>3728</v>
      </c>
      <c r="KHG616" s="17">
        <v>44925</v>
      </c>
      <c r="KHH616" s="5" t="s">
        <v>3728</v>
      </c>
      <c r="KHI616" s="17">
        <v>44925</v>
      </c>
      <c r="KHJ616" s="5" t="s">
        <v>3728</v>
      </c>
      <c r="KHK616" s="17">
        <v>44925</v>
      </c>
      <c r="KHL616" s="5" t="s">
        <v>3728</v>
      </c>
      <c r="KHM616" s="17">
        <v>44925</v>
      </c>
      <c r="KHN616" s="5" t="s">
        <v>3728</v>
      </c>
      <c r="KHO616" s="17">
        <v>44925</v>
      </c>
      <c r="KHP616" s="5" t="s">
        <v>3728</v>
      </c>
      <c r="KHQ616" s="17">
        <v>44925</v>
      </c>
      <c r="KHR616" s="5" t="s">
        <v>3728</v>
      </c>
      <c r="KHS616" s="17">
        <v>44925</v>
      </c>
      <c r="KHT616" s="5" t="s">
        <v>3728</v>
      </c>
      <c r="KHU616" s="17">
        <v>44925</v>
      </c>
      <c r="KHV616" s="5" t="s">
        <v>3728</v>
      </c>
      <c r="KHW616" s="17">
        <v>44925</v>
      </c>
      <c r="KHX616" s="5" t="s">
        <v>3728</v>
      </c>
      <c r="KHY616" s="17">
        <v>44925</v>
      </c>
      <c r="KHZ616" s="5" t="s">
        <v>3728</v>
      </c>
      <c r="KIA616" s="17">
        <v>44925</v>
      </c>
      <c r="KIB616" s="5" t="s">
        <v>3728</v>
      </c>
      <c r="KIC616" s="17">
        <v>44925</v>
      </c>
      <c r="KID616" s="5" t="s">
        <v>3728</v>
      </c>
      <c r="KIE616" s="17">
        <v>44925</v>
      </c>
      <c r="KIF616" s="5" t="s">
        <v>3728</v>
      </c>
      <c r="KIG616" s="17">
        <v>44925</v>
      </c>
      <c r="KIH616" s="5" t="s">
        <v>3728</v>
      </c>
      <c r="KII616" s="17">
        <v>44925</v>
      </c>
      <c r="KIJ616" s="5" t="s">
        <v>3728</v>
      </c>
      <c r="KIK616" s="17">
        <v>44925</v>
      </c>
      <c r="KIL616" s="5" t="s">
        <v>3728</v>
      </c>
      <c r="KIM616" s="17">
        <v>44925</v>
      </c>
      <c r="KIN616" s="5" t="s">
        <v>3728</v>
      </c>
      <c r="KIO616" s="17">
        <v>44925</v>
      </c>
      <c r="KIP616" s="5" t="s">
        <v>3728</v>
      </c>
      <c r="KIQ616" s="17">
        <v>44925</v>
      </c>
      <c r="KIR616" s="5" t="s">
        <v>3728</v>
      </c>
      <c r="KIS616" s="17">
        <v>44925</v>
      </c>
      <c r="KIT616" s="5" t="s">
        <v>3728</v>
      </c>
      <c r="KIU616" s="17">
        <v>44925</v>
      </c>
      <c r="KIV616" s="5" t="s">
        <v>3728</v>
      </c>
      <c r="KIW616" s="17">
        <v>44925</v>
      </c>
      <c r="KIX616" s="5" t="s">
        <v>3728</v>
      </c>
      <c r="KIY616" s="17">
        <v>44925</v>
      </c>
      <c r="KIZ616" s="5" t="s">
        <v>3728</v>
      </c>
      <c r="KJA616" s="17">
        <v>44925</v>
      </c>
      <c r="KJB616" s="5" t="s">
        <v>3728</v>
      </c>
      <c r="KJC616" s="17">
        <v>44925</v>
      </c>
      <c r="KJD616" s="5" t="s">
        <v>3728</v>
      </c>
      <c r="KJE616" s="17">
        <v>44925</v>
      </c>
      <c r="KJF616" s="5" t="s">
        <v>3728</v>
      </c>
      <c r="KJG616" s="17">
        <v>44925</v>
      </c>
      <c r="KJH616" s="5" t="s">
        <v>3728</v>
      </c>
      <c r="KJI616" s="17">
        <v>44925</v>
      </c>
      <c r="KJJ616" s="5" t="s">
        <v>3728</v>
      </c>
      <c r="KJK616" s="17">
        <v>44925</v>
      </c>
      <c r="KJL616" s="5" t="s">
        <v>3728</v>
      </c>
      <c r="KJM616" s="17">
        <v>44925</v>
      </c>
      <c r="KJN616" s="5" t="s">
        <v>3728</v>
      </c>
      <c r="KJO616" s="17">
        <v>44925</v>
      </c>
      <c r="KJP616" s="5" t="s">
        <v>3728</v>
      </c>
      <c r="KJQ616" s="17">
        <v>44925</v>
      </c>
      <c r="KJR616" s="5" t="s">
        <v>3728</v>
      </c>
      <c r="KJS616" s="17">
        <v>44925</v>
      </c>
      <c r="KJT616" s="5" t="s">
        <v>3728</v>
      </c>
      <c r="KJU616" s="17">
        <v>44925</v>
      </c>
      <c r="KJV616" s="5" t="s">
        <v>3728</v>
      </c>
      <c r="KJW616" s="17">
        <v>44925</v>
      </c>
      <c r="KJX616" s="5" t="s">
        <v>3728</v>
      </c>
      <c r="KJY616" s="17">
        <v>44925</v>
      </c>
      <c r="KJZ616" s="5" t="s">
        <v>3728</v>
      </c>
      <c r="KKA616" s="17">
        <v>44925</v>
      </c>
      <c r="KKB616" s="5" t="s">
        <v>3728</v>
      </c>
      <c r="KKC616" s="17">
        <v>44925</v>
      </c>
      <c r="KKD616" s="5" t="s">
        <v>3728</v>
      </c>
      <c r="KKE616" s="17">
        <v>44925</v>
      </c>
      <c r="KKF616" s="5" t="s">
        <v>3728</v>
      </c>
      <c r="KKG616" s="17">
        <v>44925</v>
      </c>
      <c r="KKH616" s="5" t="s">
        <v>3728</v>
      </c>
      <c r="KKI616" s="17">
        <v>44925</v>
      </c>
      <c r="KKJ616" s="5" t="s">
        <v>3728</v>
      </c>
      <c r="KKK616" s="17">
        <v>44925</v>
      </c>
      <c r="KKL616" s="5" t="s">
        <v>3728</v>
      </c>
      <c r="KKM616" s="17">
        <v>44925</v>
      </c>
      <c r="KKN616" s="5" t="s">
        <v>3728</v>
      </c>
      <c r="KKO616" s="17">
        <v>44925</v>
      </c>
      <c r="KKP616" s="5" t="s">
        <v>3728</v>
      </c>
      <c r="KKQ616" s="17">
        <v>44925</v>
      </c>
      <c r="KKR616" s="5" t="s">
        <v>3728</v>
      </c>
      <c r="KKS616" s="17">
        <v>44925</v>
      </c>
      <c r="KKT616" s="5" t="s">
        <v>3728</v>
      </c>
      <c r="KKU616" s="17">
        <v>44925</v>
      </c>
      <c r="KKV616" s="5" t="s">
        <v>3728</v>
      </c>
      <c r="KKW616" s="17">
        <v>44925</v>
      </c>
      <c r="KKX616" s="5" t="s">
        <v>3728</v>
      </c>
      <c r="KKY616" s="17">
        <v>44925</v>
      </c>
      <c r="KKZ616" s="5" t="s">
        <v>3728</v>
      </c>
      <c r="KLA616" s="17">
        <v>44925</v>
      </c>
      <c r="KLB616" s="5" t="s">
        <v>3728</v>
      </c>
      <c r="KLC616" s="17">
        <v>44925</v>
      </c>
      <c r="KLD616" s="5" t="s">
        <v>3728</v>
      </c>
      <c r="KLE616" s="17">
        <v>44925</v>
      </c>
      <c r="KLF616" s="5" t="s">
        <v>3728</v>
      </c>
      <c r="KLG616" s="17">
        <v>44925</v>
      </c>
      <c r="KLH616" s="5" t="s">
        <v>3728</v>
      </c>
      <c r="KLI616" s="17">
        <v>44925</v>
      </c>
      <c r="KLJ616" s="5" t="s">
        <v>3728</v>
      </c>
      <c r="KLK616" s="17">
        <v>44925</v>
      </c>
      <c r="KLL616" s="5" t="s">
        <v>3728</v>
      </c>
      <c r="KLM616" s="17">
        <v>44925</v>
      </c>
      <c r="KLN616" s="5" t="s">
        <v>3728</v>
      </c>
      <c r="KLO616" s="17">
        <v>44925</v>
      </c>
      <c r="KLP616" s="5" t="s">
        <v>3728</v>
      </c>
      <c r="KLQ616" s="17">
        <v>44925</v>
      </c>
      <c r="KLR616" s="5" t="s">
        <v>3728</v>
      </c>
      <c r="KLS616" s="17">
        <v>44925</v>
      </c>
      <c r="KLT616" s="5" t="s">
        <v>3728</v>
      </c>
      <c r="KLU616" s="17">
        <v>44925</v>
      </c>
      <c r="KLV616" s="5" t="s">
        <v>3728</v>
      </c>
      <c r="KLW616" s="17">
        <v>44925</v>
      </c>
      <c r="KLX616" s="5" t="s">
        <v>3728</v>
      </c>
      <c r="KLY616" s="17">
        <v>44925</v>
      </c>
      <c r="KLZ616" s="5" t="s">
        <v>3728</v>
      </c>
      <c r="KMA616" s="17">
        <v>44925</v>
      </c>
      <c r="KMB616" s="5" t="s">
        <v>3728</v>
      </c>
      <c r="KMC616" s="17">
        <v>44925</v>
      </c>
      <c r="KMD616" s="5" t="s">
        <v>3728</v>
      </c>
      <c r="KME616" s="17">
        <v>44925</v>
      </c>
      <c r="KMF616" s="5" t="s">
        <v>3728</v>
      </c>
      <c r="KMG616" s="17">
        <v>44925</v>
      </c>
      <c r="KMH616" s="5" t="s">
        <v>3728</v>
      </c>
      <c r="KMI616" s="17">
        <v>44925</v>
      </c>
      <c r="KMJ616" s="5" t="s">
        <v>3728</v>
      </c>
      <c r="KMK616" s="17">
        <v>44925</v>
      </c>
      <c r="KML616" s="5" t="s">
        <v>3728</v>
      </c>
      <c r="KMM616" s="17">
        <v>44925</v>
      </c>
      <c r="KMN616" s="5" t="s">
        <v>3728</v>
      </c>
      <c r="KMO616" s="17">
        <v>44925</v>
      </c>
      <c r="KMP616" s="5" t="s">
        <v>3728</v>
      </c>
      <c r="KMQ616" s="17">
        <v>44925</v>
      </c>
      <c r="KMR616" s="5" t="s">
        <v>3728</v>
      </c>
      <c r="KMS616" s="17">
        <v>44925</v>
      </c>
      <c r="KMT616" s="5" t="s">
        <v>3728</v>
      </c>
      <c r="KMU616" s="17">
        <v>44925</v>
      </c>
      <c r="KMV616" s="5" t="s">
        <v>3728</v>
      </c>
      <c r="KMW616" s="17">
        <v>44925</v>
      </c>
      <c r="KMX616" s="5" t="s">
        <v>3728</v>
      </c>
      <c r="KMY616" s="17">
        <v>44925</v>
      </c>
      <c r="KMZ616" s="5" t="s">
        <v>3728</v>
      </c>
      <c r="KNA616" s="17">
        <v>44925</v>
      </c>
      <c r="KNB616" s="5" t="s">
        <v>3728</v>
      </c>
      <c r="KNC616" s="17">
        <v>44925</v>
      </c>
      <c r="KND616" s="5" t="s">
        <v>3728</v>
      </c>
      <c r="KNE616" s="17">
        <v>44925</v>
      </c>
      <c r="KNF616" s="5" t="s">
        <v>3728</v>
      </c>
      <c r="KNG616" s="17">
        <v>44925</v>
      </c>
      <c r="KNH616" s="5" t="s">
        <v>3728</v>
      </c>
      <c r="KNI616" s="17">
        <v>44925</v>
      </c>
      <c r="KNJ616" s="5" t="s">
        <v>3728</v>
      </c>
      <c r="KNK616" s="17">
        <v>44925</v>
      </c>
      <c r="KNL616" s="5" t="s">
        <v>3728</v>
      </c>
      <c r="KNM616" s="17">
        <v>44925</v>
      </c>
      <c r="KNN616" s="5" t="s">
        <v>3728</v>
      </c>
      <c r="KNO616" s="17">
        <v>44925</v>
      </c>
      <c r="KNP616" s="5" t="s">
        <v>3728</v>
      </c>
      <c r="KNQ616" s="17">
        <v>44925</v>
      </c>
      <c r="KNR616" s="5" t="s">
        <v>3728</v>
      </c>
      <c r="KNS616" s="17">
        <v>44925</v>
      </c>
      <c r="KNT616" s="5" t="s">
        <v>3728</v>
      </c>
      <c r="KNU616" s="17">
        <v>44925</v>
      </c>
      <c r="KNV616" s="5" t="s">
        <v>3728</v>
      </c>
      <c r="KNW616" s="17">
        <v>44925</v>
      </c>
      <c r="KNX616" s="5" t="s">
        <v>3728</v>
      </c>
      <c r="KNY616" s="17">
        <v>44925</v>
      </c>
      <c r="KNZ616" s="5" t="s">
        <v>3728</v>
      </c>
      <c r="KOA616" s="17">
        <v>44925</v>
      </c>
      <c r="KOB616" s="5" t="s">
        <v>3728</v>
      </c>
      <c r="KOC616" s="17">
        <v>44925</v>
      </c>
      <c r="KOD616" s="5" t="s">
        <v>3728</v>
      </c>
      <c r="KOE616" s="17">
        <v>44925</v>
      </c>
      <c r="KOF616" s="5" t="s">
        <v>3728</v>
      </c>
      <c r="KOG616" s="17">
        <v>44925</v>
      </c>
      <c r="KOH616" s="5" t="s">
        <v>3728</v>
      </c>
      <c r="KOI616" s="17">
        <v>44925</v>
      </c>
      <c r="KOJ616" s="5" t="s">
        <v>3728</v>
      </c>
      <c r="KOK616" s="17">
        <v>44925</v>
      </c>
      <c r="KOL616" s="5" t="s">
        <v>3728</v>
      </c>
      <c r="KOM616" s="17">
        <v>44925</v>
      </c>
      <c r="KON616" s="5" t="s">
        <v>3728</v>
      </c>
      <c r="KOO616" s="17">
        <v>44925</v>
      </c>
      <c r="KOP616" s="5" t="s">
        <v>3728</v>
      </c>
      <c r="KOQ616" s="17">
        <v>44925</v>
      </c>
      <c r="KOR616" s="5" t="s">
        <v>3728</v>
      </c>
      <c r="KOS616" s="17">
        <v>44925</v>
      </c>
      <c r="KOT616" s="5" t="s">
        <v>3728</v>
      </c>
      <c r="KOU616" s="17">
        <v>44925</v>
      </c>
      <c r="KOV616" s="5" t="s">
        <v>3728</v>
      </c>
      <c r="KOW616" s="17">
        <v>44925</v>
      </c>
      <c r="KOX616" s="5" t="s">
        <v>3728</v>
      </c>
      <c r="KOY616" s="17">
        <v>44925</v>
      </c>
      <c r="KOZ616" s="5" t="s">
        <v>3728</v>
      </c>
      <c r="KPA616" s="17">
        <v>44925</v>
      </c>
      <c r="KPB616" s="5" t="s">
        <v>3728</v>
      </c>
      <c r="KPC616" s="17">
        <v>44925</v>
      </c>
      <c r="KPD616" s="5" t="s">
        <v>3728</v>
      </c>
      <c r="KPE616" s="17">
        <v>44925</v>
      </c>
      <c r="KPF616" s="5" t="s">
        <v>3728</v>
      </c>
      <c r="KPG616" s="17">
        <v>44925</v>
      </c>
      <c r="KPH616" s="5" t="s">
        <v>3728</v>
      </c>
      <c r="KPI616" s="17">
        <v>44925</v>
      </c>
      <c r="KPJ616" s="5" t="s">
        <v>3728</v>
      </c>
      <c r="KPK616" s="17">
        <v>44925</v>
      </c>
      <c r="KPL616" s="5" t="s">
        <v>3728</v>
      </c>
      <c r="KPM616" s="17">
        <v>44925</v>
      </c>
      <c r="KPN616" s="5" t="s">
        <v>3728</v>
      </c>
      <c r="KPO616" s="17">
        <v>44925</v>
      </c>
      <c r="KPP616" s="5" t="s">
        <v>3728</v>
      </c>
      <c r="KPQ616" s="17">
        <v>44925</v>
      </c>
      <c r="KPR616" s="5" t="s">
        <v>3728</v>
      </c>
      <c r="KPS616" s="17">
        <v>44925</v>
      </c>
      <c r="KPT616" s="5" t="s">
        <v>3728</v>
      </c>
      <c r="KPU616" s="17">
        <v>44925</v>
      </c>
      <c r="KPV616" s="5" t="s">
        <v>3728</v>
      </c>
      <c r="KPW616" s="17">
        <v>44925</v>
      </c>
      <c r="KPX616" s="5" t="s">
        <v>3728</v>
      </c>
      <c r="KPY616" s="17">
        <v>44925</v>
      </c>
      <c r="KPZ616" s="5" t="s">
        <v>3728</v>
      </c>
      <c r="KQA616" s="17">
        <v>44925</v>
      </c>
      <c r="KQB616" s="5" t="s">
        <v>3728</v>
      </c>
      <c r="KQC616" s="17">
        <v>44925</v>
      </c>
      <c r="KQD616" s="5" t="s">
        <v>3728</v>
      </c>
      <c r="KQE616" s="17">
        <v>44925</v>
      </c>
      <c r="KQF616" s="5" t="s">
        <v>3728</v>
      </c>
      <c r="KQG616" s="17">
        <v>44925</v>
      </c>
      <c r="KQH616" s="5" t="s">
        <v>3728</v>
      </c>
      <c r="KQI616" s="17">
        <v>44925</v>
      </c>
      <c r="KQJ616" s="5" t="s">
        <v>3728</v>
      </c>
      <c r="KQK616" s="17">
        <v>44925</v>
      </c>
      <c r="KQL616" s="5" t="s">
        <v>3728</v>
      </c>
      <c r="KQM616" s="17">
        <v>44925</v>
      </c>
      <c r="KQN616" s="5" t="s">
        <v>3728</v>
      </c>
      <c r="KQO616" s="17">
        <v>44925</v>
      </c>
      <c r="KQP616" s="5" t="s">
        <v>3728</v>
      </c>
      <c r="KQQ616" s="17">
        <v>44925</v>
      </c>
      <c r="KQR616" s="5" t="s">
        <v>3728</v>
      </c>
      <c r="KQS616" s="17">
        <v>44925</v>
      </c>
      <c r="KQT616" s="5" t="s">
        <v>3728</v>
      </c>
      <c r="KQU616" s="17">
        <v>44925</v>
      </c>
      <c r="KQV616" s="5" t="s">
        <v>3728</v>
      </c>
      <c r="KQW616" s="17">
        <v>44925</v>
      </c>
      <c r="KQX616" s="5" t="s">
        <v>3728</v>
      </c>
      <c r="KQY616" s="17">
        <v>44925</v>
      </c>
      <c r="KQZ616" s="5" t="s">
        <v>3728</v>
      </c>
      <c r="KRA616" s="17">
        <v>44925</v>
      </c>
      <c r="KRB616" s="5" t="s">
        <v>3728</v>
      </c>
      <c r="KRC616" s="17">
        <v>44925</v>
      </c>
      <c r="KRD616" s="5" t="s">
        <v>3728</v>
      </c>
      <c r="KRE616" s="17">
        <v>44925</v>
      </c>
      <c r="KRF616" s="5" t="s">
        <v>3728</v>
      </c>
      <c r="KRG616" s="17">
        <v>44925</v>
      </c>
      <c r="KRH616" s="5" t="s">
        <v>3728</v>
      </c>
      <c r="KRI616" s="17">
        <v>44925</v>
      </c>
      <c r="KRJ616" s="5" t="s">
        <v>3728</v>
      </c>
      <c r="KRK616" s="17">
        <v>44925</v>
      </c>
      <c r="KRL616" s="5" t="s">
        <v>3728</v>
      </c>
      <c r="KRM616" s="17">
        <v>44925</v>
      </c>
      <c r="KRN616" s="5" t="s">
        <v>3728</v>
      </c>
      <c r="KRO616" s="17">
        <v>44925</v>
      </c>
      <c r="KRP616" s="5" t="s">
        <v>3728</v>
      </c>
      <c r="KRQ616" s="17">
        <v>44925</v>
      </c>
      <c r="KRR616" s="5" t="s">
        <v>3728</v>
      </c>
      <c r="KRS616" s="17">
        <v>44925</v>
      </c>
      <c r="KRT616" s="5" t="s">
        <v>3728</v>
      </c>
      <c r="KRU616" s="17">
        <v>44925</v>
      </c>
      <c r="KRV616" s="5" t="s">
        <v>3728</v>
      </c>
      <c r="KRW616" s="17">
        <v>44925</v>
      </c>
      <c r="KRX616" s="5" t="s">
        <v>3728</v>
      </c>
      <c r="KRY616" s="17">
        <v>44925</v>
      </c>
      <c r="KRZ616" s="5" t="s">
        <v>3728</v>
      </c>
      <c r="KSA616" s="17">
        <v>44925</v>
      </c>
      <c r="KSB616" s="5" t="s">
        <v>3728</v>
      </c>
      <c r="KSC616" s="17">
        <v>44925</v>
      </c>
      <c r="KSD616" s="5" t="s">
        <v>3728</v>
      </c>
      <c r="KSE616" s="17">
        <v>44925</v>
      </c>
      <c r="KSF616" s="5" t="s">
        <v>3728</v>
      </c>
      <c r="KSG616" s="17">
        <v>44925</v>
      </c>
      <c r="KSH616" s="5" t="s">
        <v>3728</v>
      </c>
      <c r="KSI616" s="17">
        <v>44925</v>
      </c>
      <c r="KSJ616" s="5" t="s">
        <v>3728</v>
      </c>
      <c r="KSK616" s="17">
        <v>44925</v>
      </c>
      <c r="KSL616" s="5" t="s">
        <v>3728</v>
      </c>
      <c r="KSM616" s="17">
        <v>44925</v>
      </c>
      <c r="KSN616" s="5" t="s">
        <v>3728</v>
      </c>
      <c r="KSO616" s="17">
        <v>44925</v>
      </c>
      <c r="KSP616" s="5" t="s">
        <v>3728</v>
      </c>
      <c r="KSQ616" s="17">
        <v>44925</v>
      </c>
      <c r="KSR616" s="5" t="s">
        <v>3728</v>
      </c>
      <c r="KSS616" s="17">
        <v>44925</v>
      </c>
      <c r="KST616" s="5" t="s">
        <v>3728</v>
      </c>
      <c r="KSU616" s="17">
        <v>44925</v>
      </c>
      <c r="KSV616" s="5" t="s">
        <v>3728</v>
      </c>
      <c r="KSW616" s="17">
        <v>44925</v>
      </c>
      <c r="KSX616" s="5" t="s">
        <v>3728</v>
      </c>
      <c r="KSY616" s="17">
        <v>44925</v>
      </c>
      <c r="KSZ616" s="5" t="s">
        <v>3728</v>
      </c>
      <c r="KTA616" s="17">
        <v>44925</v>
      </c>
      <c r="KTB616" s="5" t="s">
        <v>3728</v>
      </c>
      <c r="KTC616" s="17">
        <v>44925</v>
      </c>
      <c r="KTD616" s="5" t="s">
        <v>3728</v>
      </c>
      <c r="KTE616" s="17">
        <v>44925</v>
      </c>
      <c r="KTF616" s="5" t="s">
        <v>3728</v>
      </c>
      <c r="KTG616" s="17">
        <v>44925</v>
      </c>
      <c r="KTH616" s="5" t="s">
        <v>3728</v>
      </c>
      <c r="KTI616" s="17">
        <v>44925</v>
      </c>
      <c r="KTJ616" s="5" t="s">
        <v>3728</v>
      </c>
      <c r="KTK616" s="17">
        <v>44925</v>
      </c>
      <c r="KTL616" s="5" t="s">
        <v>3728</v>
      </c>
      <c r="KTM616" s="17">
        <v>44925</v>
      </c>
      <c r="KTN616" s="5" t="s">
        <v>3728</v>
      </c>
      <c r="KTO616" s="17">
        <v>44925</v>
      </c>
      <c r="KTP616" s="5" t="s">
        <v>3728</v>
      </c>
      <c r="KTQ616" s="17">
        <v>44925</v>
      </c>
      <c r="KTR616" s="5" t="s">
        <v>3728</v>
      </c>
      <c r="KTS616" s="17">
        <v>44925</v>
      </c>
      <c r="KTT616" s="5" t="s">
        <v>3728</v>
      </c>
      <c r="KTU616" s="17">
        <v>44925</v>
      </c>
      <c r="KTV616" s="5" t="s">
        <v>3728</v>
      </c>
      <c r="KTW616" s="17">
        <v>44925</v>
      </c>
      <c r="KTX616" s="5" t="s">
        <v>3728</v>
      </c>
      <c r="KTY616" s="17">
        <v>44925</v>
      </c>
      <c r="KTZ616" s="5" t="s">
        <v>3728</v>
      </c>
      <c r="KUA616" s="17">
        <v>44925</v>
      </c>
      <c r="KUB616" s="5" t="s">
        <v>3728</v>
      </c>
      <c r="KUC616" s="17">
        <v>44925</v>
      </c>
      <c r="KUD616" s="5" t="s">
        <v>3728</v>
      </c>
      <c r="KUE616" s="17">
        <v>44925</v>
      </c>
      <c r="KUF616" s="5" t="s">
        <v>3728</v>
      </c>
      <c r="KUG616" s="17">
        <v>44925</v>
      </c>
      <c r="KUH616" s="5" t="s">
        <v>3728</v>
      </c>
      <c r="KUI616" s="17">
        <v>44925</v>
      </c>
      <c r="KUJ616" s="5" t="s">
        <v>3728</v>
      </c>
      <c r="KUK616" s="17">
        <v>44925</v>
      </c>
      <c r="KUL616" s="5" t="s">
        <v>3728</v>
      </c>
      <c r="KUM616" s="17">
        <v>44925</v>
      </c>
      <c r="KUN616" s="5" t="s">
        <v>3728</v>
      </c>
      <c r="KUO616" s="17">
        <v>44925</v>
      </c>
      <c r="KUP616" s="5" t="s">
        <v>3728</v>
      </c>
      <c r="KUQ616" s="17">
        <v>44925</v>
      </c>
      <c r="KUR616" s="5" t="s">
        <v>3728</v>
      </c>
      <c r="KUS616" s="17">
        <v>44925</v>
      </c>
      <c r="KUT616" s="5" t="s">
        <v>3728</v>
      </c>
      <c r="KUU616" s="17">
        <v>44925</v>
      </c>
      <c r="KUV616" s="5" t="s">
        <v>3728</v>
      </c>
      <c r="KUW616" s="17">
        <v>44925</v>
      </c>
      <c r="KUX616" s="5" t="s">
        <v>3728</v>
      </c>
      <c r="KUY616" s="17">
        <v>44925</v>
      </c>
      <c r="KUZ616" s="5" t="s">
        <v>3728</v>
      </c>
      <c r="KVA616" s="17">
        <v>44925</v>
      </c>
      <c r="KVB616" s="5" t="s">
        <v>3728</v>
      </c>
      <c r="KVC616" s="17">
        <v>44925</v>
      </c>
      <c r="KVD616" s="5" t="s">
        <v>3728</v>
      </c>
      <c r="KVE616" s="17">
        <v>44925</v>
      </c>
      <c r="KVF616" s="5" t="s">
        <v>3728</v>
      </c>
      <c r="KVG616" s="17">
        <v>44925</v>
      </c>
      <c r="KVH616" s="5" t="s">
        <v>3728</v>
      </c>
      <c r="KVI616" s="17">
        <v>44925</v>
      </c>
      <c r="KVJ616" s="5" t="s">
        <v>3728</v>
      </c>
      <c r="KVK616" s="17">
        <v>44925</v>
      </c>
      <c r="KVL616" s="5" t="s">
        <v>3728</v>
      </c>
      <c r="KVM616" s="17">
        <v>44925</v>
      </c>
      <c r="KVN616" s="5" t="s">
        <v>3728</v>
      </c>
      <c r="KVO616" s="17">
        <v>44925</v>
      </c>
      <c r="KVP616" s="5" t="s">
        <v>3728</v>
      </c>
      <c r="KVQ616" s="17">
        <v>44925</v>
      </c>
      <c r="KVR616" s="5" t="s">
        <v>3728</v>
      </c>
      <c r="KVS616" s="17">
        <v>44925</v>
      </c>
      <c r="KVT616" s="5" t="s">
        <v>3728</v>
      </c>
      <c r="KVU616" s="17">
        <v>44925</v>
      </c>
      <c r="KVV616" s="5" t="s">
        <v>3728</v>
      </c>
      <c r="KVW616" s="17">
        <v>44925</v>
      </c>
      <c r="KVX616" s="5" t="s">
        <v>3728</v>
      </c>
      <c r="KVY616" s="17">
        <v>44925</v>
      </c>
      <c r="KVZ616" s="5" t="s">
        <v>3728</v>
      </c>
      <c r="KWA616" s="17">
        <v>44925</v>
      </c>
      <c r="KWB616" s="5" t="s">
        <v>3728</v>
      </c>
      <c r="KWC616" s="17">
        <v>44925</v>
      </c>
      <c r="KWD616" s="5" t="s">
        <v>3728</v>
      </c>
      <c r="KWE616" s="17">
        <v>44925</v>
      </c>
      <c r="KWF616" s="5" t="s">
        <v>3728</v>
      </c>
      <c r="KWG616" s="17">
        <v>44925</v>
      </c>
      <c r="KWH616" s="5" t="s">
        <v>3728</v>
      </c>
      <c r="KWI616" s="17">
        <v>44925</v>
      </c>
      <c r="KWJ616" s="5" t="s">
        <v>3728</v>
      </c>
      <c r="KWK616" s="17">
        <v>44925</v>
      </c>
      <c r="KWL616" s="5" t="s">
        <v>3728</v>
      </c>
      <c r="KWM616" s="17">
        <v>44925</v>
      </c>
      <c r="KWN616" s="5" t="s">
        <v>3728</v>
      </c>
      <c r="KWO616" s="17">
        <v>44925</v>
      </c>
      <c r="KWP616" s="5" t="s">
        <v>3728</v>
      </c>
      <c r="KWQ616" s="17">
        <v>44925</v>
      </c>
      <c r="KWR616" s="5" t="s">
        <v>3728</v>
      </c>
      <c r="KWS616" s="17">
        <v>44925</v>
      </c>
      <c r="KWT616" s="5" t="s">
        <v>3728</v>
      </c>
      <c r="KWU616" s="17">
        <v>44925</v>
      </c>
      <c r="KWV616" s="5" t="s">
        <v>3728</v>
      </c>
      <c r="KWW616" s="17">
        <v>44925</v>
      </c>
      <c r="KWX616" s="5" t="s">
        <v>3728</v>
      </c>
      <c r="KWY616" s="17">
        <v>44925</v>
      </c>
      <c r="KWZ616" s="5" t="s">
        <v>3728</v>
      </c>
      <c r="KXA616" s="17">
        <v>44925</v>
      </c>
      <c r="KXB616" s="5" t="s">
        <v>3728</v>
      </c>
      <c r="KXC616" s="17">
        <v>44925</v>
      </c>
      <c r="KXD616" s="5" t="s">
        <v>3728</v>
      </c>
      <c r="KXE616" s="17">
        <v>44925</v>
      </c>
      <c r="KXF616" s="5" t="s">
        <v>3728</v>
      </c>
      <c r="KXG616" s="17">
        <v>44925</v>
      </c>
      <c r="KXH616" s="5" t="s">
        <v>3728</v>
      </c>
      <c r="KXI616" s="17">
        <v>44925</v>
      </c>
      <c r="KXJ616" s="5" t="s">
        <v>3728</v>
      </c>
      <c r="KXK616" s="17">
        <v>44925</v>
      </c>
      <c r="KXL616" s="5" t="s">
        <v>3728</v>
      </c>
      <c r="KXM616" s="17">
        <v>44925</v>
      </c>
      <c r="KXN616" s="5" t="s">
        <v>3728</v>
      </c>
      <c r="KXO616" s="17">
        <v>44925</v>
      </c>
      <c r="KXP616" s="5" t="s">
        <v>3728</v>
      </c>
      <c r="KXQ616" s="17">
        <v>44925</v>
      </c>
      <c r="KXR616" s="5" t="s">
        <v>3728</v>
      </c>
      <c r="KXS616" s="17">
        <v>44925</v>
      </c>
      <c r="KXT616" s="5" t="s">
        <v>3728</v>
      </c>
      <c r="KXU616" s="17">
        <v>44925</v>
      </c>
      <c r="KXV616" s="5" t="s">
        <v>3728</v>
      </c>
      <c r="KXW616" s="17">
        <v>44925</v>
      </c>
      <c r="KXX616" s="5" t="s">
        <v>3728</v>
      </c>
      <c r="KXY616" s="17">
        <v>44925</v>
      </c>
      <c r="KXZ616" s="5" t="s">
        <v>3728</v>
      </c>
      <c r="KYA616" s="17">
        <v>44925</v>
      </c>
      <c r="KYB616" s="5" t="s">
        <v>3728</v>
      </c>
      <c r="KYC616" s="17">
        <v>44925</v>
      </c>
      <c r="KYD616" s="5" t="s">
        <v>3728</v>
      </c>
      <c r="KYE616" s="17">
        <v>44925</v>
      </c>
      <c r="KYF616" s="5" t="s">
        <v>3728</v>
      </c>
      <c r="KYG616" s="17">
        <v>44925</v>
      </c>
      <c r="KYH616" s="5" t="s">
        <v>3728</v>
      </c>
      <c r="KYI616" s="17">
        <v>44925</v>
      </c>
      <c r="KYJ616" s="5" t="s">
        <v>3728</v>
      </c>
      <c r="KYK616" s="17">
        <v>44925</v>
      </c>
      <c r="KYL616" s="5" t="s">
        <v>3728</v>
      </c>
      <c r="KYM616" s="17">
        <v>44925</v>
      </c>
      <c r="KYN616" s="5" t="s">
        <v>3728</v>
      </c>
      <c r="KYO616" s="17">
        <v>44925</v>
      </c>
      <c r="KYP616" s="5" t="s">
        <v>3728</v>
      </c>
      <c r="KYQ616" s="17">
        <v>44925</v>
      </c>
      <c r="KYR616" s="5" t="s">
        <v>3728</v>
      </c>
      <c r="KYS616" s="17">
        <v>44925</v>
      </c>
      <c r="KYT616" s="5" t="s">
        <v>3728</v>
      </c>
      <c r="KYU616" s="17">
        <v>44925</v>
      </c>
      <c r="KYV616" s="5" t="s">
        <v>3728</v>
      </c>
      <c r="KYW616" s="17">
        <v>44925</v>
      </c>
      <c r="KYX616" s="5" t="s">
        <v>3728</v>
      </c>
      <c r="KYY616" s="17">
        <v>44925</v>
      </c>
      <c r="KYZ616" s="5" t="s">
        <v>3728</v>
      </c>
      <c r="KZA616" s="17">
        <v>44925</v>
      </c>
      <c r="KZB616" s="5" t="s">
        <v>3728</v>
      </c>
      <c r="KZC616" s="17">
        <v>44925</v>
      </c>
      <c r="KZD616" s="5" t="s">
        <v>3728</v>
      </c>
      <c r="KZE616" s="17">
        <v>44925</v>
      </c>
      <c r="KZF616" s="5" t="s">
        <v>3728</v>
      </c>
      <c r="KZG616" s="17">
        <v>44925</v>
      </c>
      <c r="KZH616" s="5" t="s">
        <v>3728</v>
      </c>
      <c r="KZI616" s="17">
        <v>44925</v>
      </c>
      <c r="KZJ616" s="5" t="s">
        <v>3728</v>
      </c>
      <c r="KZK616" s="17">
        <v>44925</v>
      </c>
      <c r="KZL616" s="5" t="s">
        <v>3728</v>
      </c>
      <c r="KZM616" s="17">
        <v>44925</v>
      </c>
      <c r="KZN616" s="5" t="s">
        <v>3728</v>
      </c>
      <c r="KZO616" s="17">
        <v>44925</v>
      </c>
      <c r="KZP616" s="5" t="s">
        <v>3728</v>
      </c>
      <c r="KZQ616" s="17">
        <v>44925</v>
      </c>
      <c r="KZR616" s="5" t="s">
        <v>3728</v>
      </c>
      <c r="KZS616" s="17">
        <v>44925</v>
      </c>
      <c r="KZT616" s="5" t="s">
        <v>3728</v>
      </c>
      <c r="KZU616" s="17">
        <v>44925</v>
      </c>
      <c r="KZV616" s="5" t="s">
        <v>3728</v>
      </c>
      <c r="KZW616" s="17">
        <v>44925</v>
      </c>
      <c r="KZX616" s="5" t="s">
        <v>3728</v>
      </c>
      <c r="KZY616" s="17">
        <v>44925</v>
      </c>
      <c r="KZZ616" s="5" t="s">
        <v>3728</v>
      </c>
      <c r="LAA616" s="17">
        <v>44925</v>
      </c>
      <c r="LAB616" s="5" t="s">
        <v>3728</v>
      </c>
      <c r="LAC616" s="17">
        <v>44925</v>
      </c>
      <c r="LAD616" s="5" t="s">
        <v>3728</v>
      </c>
      <c r="LAE616" s="17">
        <v>44925</v>
      </c>
      <c r="LAF616" s="5" t="s">
        <v>3728</v>
      </c>
      <c r="LAG616" s="17">
        <v>44925</v>
      </c>
      <c r="LAH616" s="5" t="s">
        <v>3728</v>
      </c>
      <c r="LAI616" s="17">
        <v>44925</v>
      </c>
      <c r="LAJ616" s="5" t="s">
        <v>3728</v>
      </c>
      <c r="LAK616" s="17">
        <v>44925</v>
      </c>
      <c r="LAL616" s="5" t="s">
        <v>3728</v>
      </c>
      <c r="LAM616" s="17">
        <v>44925</v>
      </c>
      <c r="LAN616" s="5" t="s">
        <v>3728</v>
      </c>
      <c r="LAO616" s="17">
        <v>44925</v>
      </c>
      <c r="LAP616" s="5" t="s">
        <v>3728</v>
      </c>
      <c r="LAQ616" s="17">
        <v>44925</v>
      </c>
      <c r="LAR616" s="5" t="s">
        <v>3728</v>
      </c>
      <c r="LAS616" s="17">
        <v>44925</v>
      </c>
      <c r="LAT616" s="5" t="s">
        <v>3728</v>
      </c>
      <c r="LAU616" s="17">
        <v>44925</v>
      </c>
      <c r="LAV616" s="5" t="s">
        <v>3728</v>
      </c>
      <c r="LAW616" s="17">
        <v>44925</v>
      </c>
      <c r="LAX616" s="5" t="s">
        <v>3728</v>
      </c>
      <c r="LAY616" s="17">
        <v>44925</v>
      </c>
      <c r="LAZ616" s="5" t="s">
        <v>3728</v>
      </c>
      <c r="LBA616" s="17">
        <v>44925</v>
      </c>
      <c r="LBB616" s="5" t="s">
        <v>3728</v>
      </c>
      <c r="LBC616" s="17">
        <v>44925</v>
      </c>
      <c r="LBD616" s="5" t="s">
        <v>3728</v>
      </c>
      <c r="LBE616" s="17">
        <v>44925</v>
      </c>
      <c r="LBF616" s="5" t="s">
        <v>3728</v>
      </c>
      <c r="LBG616" s="17">
        <v>44925</v>
      </c>
      <c r="LBH616" s="5" t="s">
        <v>3728</v>
      </c>
      <c r="LBI616" s="17">
        <v>44925</v>
      </c>
      <c r="LBJ616" s="5" t="s">
        <v>3728</v>
      </c>
      <c r="LBK616" s="17">
        <v>44925</v>
      </c>
      <c r="LBL616" s="5" t="s">
        <v>3728</v>
      </c>
      <c r="LBM616" s="17">
        <v>44925</v>
      </c>
      <c r="LBN616" s="5" t="s">
        <v>3728</v>
      </c>
      <c r="LBO616" s="17">
        <v>44925</v>
      </c>
      <c r="LBP616" s="5" t="s">
        <v>3728</v>
      </c>
      <c r="LBQ616" s="17">
        <v>44925</v>
      </c>
      <c r="LBR616" s="5" t="s">
        <v>3728</v>
      </c>
      <c r="LBS616" s="17">
        <v>44925</v>
      </c>
      <c r="LBT616" s="5" t="s">
        <v>3728</v>
      </c>
      <c r="LBU616" s="17">
        <v>44925</v>
      </c>
      <c r="LBV616" s="5" t="s">
        <v>3728</v>
      </c>
      <c r="LBW616" s="17">
        <v>44925</v>
      </c>
      <c r="LBX616" s="5" t="s">
        <v>3728</v>
      </c>
      <c r="LBY616" s="17">
        <v>44925</v>
      </c>
      <c r="LBZ616" s="5" t="s">
        <v>3728</v>
      </c>
      <c r="LCA616" s="17">
        <v>44925</v>
      </c>
      <c r="LCB616" s="5" t="s">
        <v>3728</v>
      </c>
      <c r="LCC616" s="17">
        <v>44925</v>
      </c>
      <c r="LCD616" s="5" t="s">
        <v>3728</v>
      </c>
      <c r="LCE616" s="17">
        <v>44925</v>
      </c>
      <c r="LCF616" s="5" t="s">
        <v>3728</v>
      </c>
      <c r="LCG616" s="17">
        <v>44925</v>
      </c>
      <c r="LCH616" s="5" t="s">
        <v>3728</v>
      </c>
      <c r="LCI616" s="17">
        <v>44925</v>
      </c>
      <c r="LCJ616" s="5" t="s">
        <v>3728</v>
      </c>
      <c r="LCK616" s="17">
        <v>44925</v>
      </c>
      <c r="LCL616" s="5" t="s">
        <v>3728</v>
      </c>
      <c r="LCM616" s="17">
        <v>44925</v>
      </c>
      <c r="LCN616" s="5" t="s">
        <v>3728</v>
      </c>
      <c r="LCO616" s="17">
        <v>44925</v>
      </c>
      <c r="LCP616" s="5" t="s">
        <v>3728</v>
      </c>
      <c r="LCQ616" s="17">
        <v>44925</v>
      </c>
      <c r="LCR616" s="5" t="s">
        <v>3728</v>
      </c>
      <c r="LCS616" s="17">
        <v>44925</v>
      </c>
      <c r="LCT616" s="5" t="s">
        <v>3728</v>
      </c>
      <c r="LCU616" s="17">
        <v>44925</v>
      </c>
      <c r="LCV616" s="5" t="s">
        <v>3728</v>
      </c>
      <c r="LCW616" s="17">
        <v>44925</v>
      </c>
      <c r="LCX616" s="5" t="s">
        <v>3728</v>
      </c>
      <c r="LCY616" s="17">
        <v>44925</v>
      </c>
      <c r="LCZ616" s="5" t="s">
        <v>3728</v>
      </c>
      <c r="LDA616" s="17">
        <v>44925</v>
      </c>
      <c r="LDB616" s="5" t="s">
        <v>3728</v>
      </c>
      <c r="LDC616" s="17">
        <v>44925</v>
      </c>
      <c r="LDD616" s="5" t="s">
        <v>3728</v>
      </c>
      <c r="LDE616" s="17">
        <v>44925</v>
      </c>
      <c r="LDF616" s="5" t="s">
        <v>3728</v>
      </c>
      <c r="LDG616" s="17">
        <v>44925</v>
      </c>
      <c r="LDH616" s="5" t="s">
        <v>3728</v>
      </c>
      <c r="LDI616" s="17">
        <v>44925</v>
      </c>
      <c r="LDJ616" s="5" t="s">
        <v>3728</v>
      </c>
      <c r="LDK616" s="17">
        <v>44925</v>
      </c>
      <c r="LDL616" s="5" t="s">
        <v>3728</v>
      </c>
      <c r="LDM616" s="17">
        <v>44925</v>
      </c>
      <c r="LDN616" s="5" t="s">
        <v>3728</v>
      </c>
      <c r="LDO616" s="17">
        <v>44925</v>
      </c>
      <c r="LDP616" s="5" t="s">
        <v>3728</v>
      </c>
      <c r="LDQ616" s="17">
        <v>44925</v>
      </c>
      <c r="LDR616" s="5" t="s">
        <v>3728</v>
      </c>
      <c r="LDS616" s="17">
        <v>44925</v>
      </c>
      <c r="LDT616" s="5" t="s">
        <v>3728</v>
      </c>
      <c r="LDU616" s="17">
        <v>44925</v>
      </c>
      <c r="LDV616" s="5" t="s">
        <v>3728</v>
      </c>
      <c r="LDW616" s="17">
        <v>44925</v>
      </c>
      <c r="LDX616" s="5" t="s">
        <v>3728</v>
      </c>
      <c r="LDY616" s="17">
        <v>44925</v>
      </c>
      <c r="LDZ616" s="5" t="s">
        <v>3728</v>
      </c>
      <c r="LEA616" s="17">
        <v>44925</v>
      </c>
      <c r="LEB616" s="5" t="s">
        <v>3728</v>
      </c>
      <c r="LEC616" s="17">
        <v>44925</v>
      </c>
      <c r="LED616" s="5" t="s">
        <v>3728</v>
      </c>
      <c r="LEE616" s="17">
        <v>44925</v>
      </c>
      <c r="LEF616" s="5" t="s">
        <v>3728</v>
      </c>
      <c r="LEG616" s="17">
        <v>44925</v>
      </c>
      <c r="LEH616" s="5" t="s">
        <v>3728</v>
      </c>
      <c r="LEI616" s="17">
        <v>44925</v>
      </c>
      <c r="LEJ616" s="5" t="s">
        <v>3728</v>
      </c>
      <c r="LEK616" s="17">
        <v>44925</v>
      </c>
      <c r="LEL616" s="5" t="s">
        <v>3728</v>
      </c>
      <c r="LEM616" s="17">
        <v>44925</v>
      </c>
      <c r="LEN616" s="5" t="s">
        <v>3728</v>
      </c>
      <c r="LEO616" s="17">
        <v>44925</v>
      </c>
      <c r="LEP616" s="5" t="s">
        <v>3728</v>
      </c>
      <c r="LEQ616" s="17">
        <v>44925</v>
      </c>
      <c r="LER616" s="5" t="s">
        <v>3728</v>
      </c>
      <c r="LES616" s="17">
        <v>44925</v>
      </c>
      <c r="LET616" s="5" t="s">
        <v>3728</v>
      </c>
      <c r="LEU616" s="17">
        <v>44925</v>
      </c>
      <c r="LEV616" s="5" t="s">
        <v>3728</v>
      </c>
      <c r="LEW616" s="17">
        <v>44925</v>
      </c>
      <c r="LEX616" s="5" t="s">
        <v>3728</v>
      </c>
      <c r="LEY616" s="17">
        <v>44925</v>
      </c>
      <c r="LEZ616" s="5" t="s">
        <v>3728</v>
      </c>
      <c r="LFA616" s="17">
        <v>44925</v>
      </c>
      <c r="LFB616" s="5" t="s">
        <v>3728</v>
      </c>
      <c r="LFC616" s="17">
        <v>44925</v>
      </c>
      <c r="LFD616" s="5" t="s">
        <v>3728</v>
      </c>
      <c r="LFE616" s="17">
        <v>44925</v>
      </c>
      <c r="LFF616" s="5" t="s">
        <v>3728</v>
      </c>
      <c r="LFG616" s="17">
        <v>44925</v>
      </c>
      <c r="LFH616" s="5" t="s">
        <v>3728</v>
      </c>
      <c r="LFI616" s="17">
        <v>44925</v>
      </c>
      <c r="LFJ616" s="5" t="s">
        <v>3728</v>
      </c>
      <c r="LFK616" s="17">
        <v>44925</v>
      </c>
      <c r="LFL616" s="5" t="s">
        <v>3728</v>
      </c>
      <c r="LFM616" s="17">
        <v>44925</v>
      </c>
      <c r="LFN616" s="5" t="s">
        <v>3728</v>
      </c>
      <c r="LFO616" s="17">
        <v>44925</v>
      </c>
      <c r="LFP616" s="5" t="s">
        <v>3728</v>
      </c>
      <c r="LFQ616" s="17">
        <v>44925</v>
      </c>
      <c r="LFR616" s="5" t="s">
        <v>3728</v>
      </c>
      <c r="LFS616" s="17">
        <v>44925</v>
      </c>
      <c r="LFT616" s="5" t="s">
        <v>3728</v>
      </c>
      <c r="LFU616" s="17">
        <v>44925</v>
      </c>
      <c r="LFV616" s="5" t="s">
        <v>3728</v>
      </c>
      <c r="LFW616" s="17">
        <v>44925</v>
      </c>
      <c r="LFX616" s="5" t="s">
        <v>3728</v>
      </c>
      <c r="LFY616" s="17">
        <v>44925</v>
      </c>
      <c r="LFZ616" s="5" t="s">
        <v>3728</v>
      </c>
      <c r="LGA616" s="17">
        <v>44925</v>
      </c>
      <c r="LGB616" s="5" t="s">
        <v>3728</v>
      </c>
      <c r="LGC616" s="17">
        <v>44925</v>
      </c>
      <c r="LGD616" s="5" t="s">
        <v>3728</v>
      </c>
      <c r="LGE616" s="17">
        <v>44925</v>
      </c>
      <c r="LGF616" s="5" t="s">
        <v>3728</v>
      </c>
      <c r="LGG616" s="17">
        <v>44925</v>
      </c>
      <c r="LGH616" s="5" t="s">
        <v>3728</v>
      </c>
      <c r="LGI616" s="17">
        <v>44925</v>
      </c>
      <c r="LGJ616" s="5" t="s">
        <v>3728</v>
      </c>
      <c r="LGK616" s="17">
        <v>44925</v>
      </c>
      <c r="LGL616" s="5" t="s">
        <v>3728</v>
      </c>
      <c r="LGM616" s="17">
        <v>44925</v>
      </c>
      <c r="LGN616" s="5" t="s">
        <v>3728</v>
      </c>
      <c r="LGO616" s="17">
        <v>44925</v>
      </c>
      <c r="LGP616" s="5" t="s">
        <v>3728</v>
      </c>
      <c r="LGQ616" s="17">
        <v>44925</v>
      </c>
      <c r="LGR616" s="5" t="s">
        <v>3728</v>
      </c>
      <c r="LGS616" s="17">
        <v>44925</v>
      </c>
      <c r="LGT616" s="5" t="s">
        <v>3728</v>
      </c>
      <c r="LGU616" s="17">
        <v>44925</v>
      </c>
      <c r="LGV616" s="5" t="s">
        <v>3728</v>
      </c>
      <c r="LGW616" s="17">
        <v>44925</v>
      </c>
      <c r="LGX616" s="5" t="s">
        <v>3728</v>
      </c>
      <c r="LGY616" s="17">
        <v>44925</v>
      </c>
      <c r="LGZ616" s="5" t="s">
        <v>3728</v>
      </c>
      <c r="LHA616" s="17">
        <v>44925</v>
      </c>
      <c r="LHB616" s="5" t="s">
        <v>3728</v>
      </c>
      <c r="LHC616" s="17">
        <v>44925</v>
      </c>
      <c r="LHD616" s="5" t="s">
        <v>3728</v>
      </c>
      <c r="LHE616" s="17">
        <v>44925</v>
      </c>
      <c r="LHF616" s="5" t="s">
        <v>3728</v>
      </c>
      <c r="LHG616" s="17">
        <v>44925</v>
      </c>
      <c r="LHH616" s="5" t="s">
        <v>3728</v>
      </c>
      <c r="LHI616" s="17">
        <v>44925</v>
      </c>
      <c r="LHJ616" s="5" t="s">
        <v>3728</v>
      </c>
      <c r="LHK616" s="17">
        <v>44925</v>
      </c>
      <c r="LHL616" s="5" t="s">
        <v>3728</v>
      </c>
      <c r="LHM616" s="17">
        <v>44925</v>
      </c>
      <c r="LHN616" s="5" t="s">
        <v>3728</v>
      </c>
      <c r="LHO616" s="17">
        <v>44925</v>
      </c>
      <c r="LHP616" s="5" t="s">
        <v>3728</v>
      </c>
      <c r="LHQ616" s="17">
        <v>44925</v>
      </c>
      <c r="LHR616" s="5" t="s">
        <v>3728</v>
      </c>
      <c r="LHS616" s="17">
        <v>44925</v>
      </c>
      <c r="LHT616" s="5" t="s">
        <v>3728</v>
      </c>
      <c r="LHU616" s="17">
        <v>44925</v>
      </c>
      <c r="LHV616" s="5" t="s">
        <v>3728</v>
      </c>
      <c r="LHW616" s="17">
        <v>44925</v>
      </c>
      <c r="LHX616" s="5" t="s">
        <v>3728</v>
      </c>
      <c r="LHY616" s="17">
        <v>44925</v>
      </c>
      <c r="LHZ616" s="5" t="s">
        <v>3728</v>
      </c>
      <c r="LIA616" s="17">
        <v>44925</v>
      </c>
      <c r="LIB616" s="5" t="s">
        <v>3728</v>
      </c>
      <c r="LIC616" s="17">
        <v>44925</v>
      </c>
      <c r="LID616" s="5" t="s">
        <v>3728</v>
      </c>
      <c r="LIE616" s="17">
        <v>44925</v>
      </c>
      <c r="LIF616" s="5" t="s">
        <v>3728</v>
      </c>
      <c r="LIG616" s="17">
        <v>44925</v>
      </c>
      <c r="LIH616" s="5" t="s">
        <v>3728</v>
      </c>
      <c r="LII616" s="17">
        <v>44925</v>
      </c>
      <c r="LIJ616" s="5" t="s">
        <v>3728</v>
      </c>
      <c r="LIK616" s="17">
        <v>44925</v>
      </c>
      <c r="LIL616" s="5" t="s">
        <v>3728</v>
      </c>
      <c r="LIM616" s="17">
        <v>44925</v>
      </c>
      <c r="LIN616" s="5" t="s">
        <v>3728</v>
      </c>
      <c r="LIO616" s="17">
        <v>44925</v>
      </c>
      <c r="LIP616" s="5" t="s">
        <v>3728</v>
      </c>
      <c r="LIQ616" s="17">
        <v>44925</v>
      </c>
      <c r="LIR616" s="5" t="s">
        <v>3728</v>
      </c>
      <c r="LIS616" s="17">
        <v>44925</v>
      </c>
      <c r="LIT616" s="5" t="s">
        <v>3728</v>
      </c>
      <c r="LIU616" s="17">
        <v>44925</v>
      </c>
      <c r="LIV616" s="5" t="s">
        <v>3728</v>
      </c>
      <c r="LIW616" s="17">
        <v>44925</v>
      </c>
      <c r="LIX616" s="5" t="s">
        <v>3728</v>
      </c>
      <c r="LIY616" s="17">
        <v>44925</v>
      </c>
      <c r="LIZ616" s="5" t="s">
        <v>3728</v>
      </c>
      <c r="LJA616" s="17">
        <v>44925</v>
      </c>
      <c r="LJB616" s="5" t="s">
        <v>3728</v>
      </c>
      <c r="LJC616" s="17">
        <v>44925</v>
      </c>
      <c r="LJD616" s="5" t="s">
        <v>3728</v>
      </c>
      <c r="LJE616" s="17">
        <v>44925</v>
      </c>
      <c r="LJF616" s="5" t="s">
        <v>3728</v>
      </c>
      <c r="LJG616" s="17">
        <v>44925</v>
      </c>
      <c r="LJH616" s="5" t="s">
        <v>3728</v>
      </c>
      <c r="LJI616" s="17">
        <v>44925</v>
      </c>
      <c r="LJJ616" s="5" t="s">
        <v>3728</v>
      </c>
      <c r="LJK616" s="17">
        <v>44925</v>
      </c>
      <c r="LJL616" s="5" t="s">
        <v>3728</v>
      </c>
      <c r="LJM616" s="17">
        <v>44925</v>
      </c>
      <c r="LJN616" s="5" t="s">
        <v>3728</v>
      </c>
      <c r="LJO616" s="17">
        <v>44925</v>
      </c>
      <c r="LJP616" s="5" t="s">
        <v>3728</v>
      </c>
      <c r="LJQ616" s="17">
        <v>44925</v>
      </c>
      <c r="LJR616" s="5" t="s">
        <v>3728</v>
      </c>
      <c r="LJS616" s="17">
        <v>44925</v>
      </c>
      <c r="LJT616" s="5" t="s">
        <v>3728</v>
      </c>
      <c r="LJU616" s="17">
        <v>44925</v>
      </c>
      <c r="LJV616" s="5" t="s">
        <v>3728</v>
      </c>
      <c r="LJW616" s="17">
        <v>44925</v>
      </c>
      <c r="LJX616" s="5" t="s">
        <v>3728</v>
      </c>
      <c r="LJY616" s="17">
        <v>44925</v>
      </c>
      <c r="LJZ616" s="5" t="s">
        <v>3728</v>
      </c>
      <c r="LKA616" s="17">
        <v>44925</v>
      </c>
      <c r="LKB616" s="5" t="s">
        <v>3728</v>
      </c>
      <c r="LKC616" s="17">
        <v>44925</v>
      </c>
      <c r="LKD616" s="5" t="s">
        <v>3728</v>
      </c>
      <c r="LKE616" s="17">
        <v>44925</v>
      </c>
      <c r="LKF616" s="5" t="s">
        <v>3728</v>
      </c>
      <c r="LKG616" s="17">
        <v>44925</v>
      </c>
      <c r="LKH616" s="5" t="s">
        <v>3728</v>
      </c>
      <c r="LKI616" s="17">
        <v>44925</v>
      </c>
      <c r="LKJ616" s="5" t="s">
        <v>3728</v>
      </c>
      <c r="LKK616" s="17">
        <v>44925</v>
      </c>
      <c r="LKL616" s="5" t="s">
        <v>3728</v>
      </c>
      <c r="LKM616" s="17">
        <v>44925</v>
      </c>
      <c r="LKN616" s="5" t="s">
        <v>3728</v>
      </c>
      <c r="LKO616" s="17">
        <v>44925</v>
      </c>
      <c r="LKP616" s="5" t="s">
        <v>3728</v>
      </c>
      <c r="LKQ616" s="17">
        <v>44925</v>
      </c>
      <c r="LKR616" s="5" t="s">
        <v>3728</v>
      </c>
      <c r="LKS616" s="17">
        <v>44925</v>
      </c>
      <c r="LKT616" s="5" t="s">
        <v>3728</v>
      </c>
      <c r="LKU616" s="17">
        <v>44925</v>
      </c>
      <c r="LKV616" s="5" t="s">
        <v>3728</v>
      </c>
      <c r="LKW616" s="17">
        <v>44925</v>
      </c>
      <c r="LKX616" s="5" t="s">
        <v>3728</v>
      </c>
      <c r="LKY616" s="17">
        <v>44925</v>
      </c>
      <c r="LKZ616" s="5" t="s">
        <v>3728</v>
      </c>
      <c r="LLA616" s="17">
        <v>44925</v>
      </c>
      <c r="LLB616" s="5" t="s">
        <v>3728</v>
      </c>
      <c r="LLC616" s="17">
        <v>44925</v>
      </c>
      <c r="LLD616" s="5" t="s">
        <v>3728</v>
      </c>
      <c r="LLE616" s="17">
        <v>44925</v>
      </c>
      <c r="LLF616" s="5" t="s">
        <v>3728</v>
      </c>
      <c r="LLG616" s="17">
        <v>44925</v>
      </c>
      <c r="LLH616" s="5" t="s">
        <v>3728</v>
      </c>
      <c r="LLI616" s="17">
        <v>44925</v>
      </c>
      <c r="LLJ616" s="5" t="s">
        <v>3728</v>
      </c>
      <c r="LLK616" s="17">
        <v>44925</v>
      </c>
      <c r="LLL616" s="5" t="s">
        <v>3728</v>
      </c>
      <c r="LLM616" s="17">
        <v>44925</v>
      </c>
      <c r="LLN616" s="5" t="s">
        <v>3728</v>
      </c>
      <c r="LLO616" s="17">
        <v>44925</v>
      </c>
      <c r="LLP616" s="5" t="s">
        <v>3728</v>
      </c>
      <c r="LLQ616" s="17">
        <v>44925</v>
      </c>
      <c r="LLR616" s="5" t="s">
        <v>3728</v>
      </c>
      <c r="LLS616" s="17">
        <v>44925</v>
      </c>
      <c r="LLT616" s="5" t="s">
        <v>3728</v>
      </c>
      <c r="LLU616" s="17">
        <v>44925</v>
      </c>
      <c r="LLV616" s="5" t="s">
        <v>3728</v>
      </c>
      <c r="LLW616" s="17">
        <v>44925</v>
      </c>
      <c r="LLX616" s="5" t="s">
        <v>3728</v>
      </c>
      <c r="LLY616" s="17">
        <v>44925</v>
      </c>
      <c r="LLZ616" s="5" t="s">
        <v>3728</v>
      </c>
      <c r="LMA616" s="17">
        <v>44925</v>
      </c>
      <c r="LMB616" s="5" t="s">
        <v>3728</v>
      </c>
      <c r="LMC616" s="17">
        <v>44925</v>
      </c>
      <c r="LMD616" s="5" t="s">
        <v>3728</v>
      </c>
      <c r="LME616" s="17">
        <v>44925</v>
      </c>
      <c r="LMF616" s="5" t="s">
        <v>3728</v>
      </c>
      <c r="LMG616" s="17">
        <v>44925</v>
      </c>
      <c r="LMH616" s="5" t="s">
        <v>3728</v>
      </c>
      <c r="LMI616" s="17">
        <v>44925</v>
      </c>
      <c r="LMJ616" s="5" t="s">
        <v>3728</v>
      </c>
      <c r="LMK616" s="17">
        <v>44925</v>
      </c>
      <c r="LML616" s="5" t="s">
        <v>3728</v>
      </c>
      <c r="LMM616" s="17">
        <v>44925</v>
      </c>
      <c r="LMN616" s="5" t="s">
        <v>3728</v>
      </c>
      <c r="LMO616" s="17">
        <v>44925</v>
      </c>
      <c r="LMP616" s="5" t="s">
        <v>3728</v>
      </c>
      <c r="LMQ616" s="17">
        <v>44925</v>
      </c>
      <c r="LMR616" s="5" t="s">
        <v>3728</v>
      </c>
      <c r="LMS616" s="17">
        <v>44925</v>
      </c>
      <c r="LMT616" s="5" t="s">
        <v>3728</v>
      </c>
      <c r="LMU616" s="17">
        <v>44925</v>
      </c>
      <c r="LMV616" s="5" t="s">
        <v>3728</v>
      </c>
      <c r="LMW616" s="17">
        <v>44925</v>
      </c>
      <c r="LMX616" s="5" t="s">
        <v>3728</v>
      </c>
      <c r="LMY616" s="17">
        <v>44925</v>
      </c>
      <c r="LMZ616" s="5" t="s">
        <v>3728</v>
      </c>
      <c r="LNA616" s="17">
        <v>44925</v>
      </c>
      <c r="LNB616" s="5" t="s">
        <v>3728</v>
      </c>
      <c r="LNC616" s="17">
        <v>44925</v>
      </c>
      <c r="LND616" s="5" t="s">
        <v>3728</v>
      </c>
      <c r="LNE616" s="17">
        <v>44925</v>
      </c>
      <c r="LNF616" s="5" t="s">
        <v>3728</v>
      </c>
      <c r="LNG616" s="17">
        <v>44925</v>
      </c>
      <c r="LNH616" s="5" t="s">
        <v>3728</v>
      </c>
      <c r="LNI616" s="17">
        <v>44925</v>
      </c>
      <c r="LNJ616" s="5" t="s">
        <v>3728</v>
      </c>
      <c r="LNK616" s="17">
        <v>44925</v>
      </c>
      <c r="LNL616" s="5" t="s">
        <v>3728</v>
      </c>
      <c r="LNM616" s="17">
        <v>44925</v>
      </c>
      <c r="LNN616" s="5" t="s">
        <v>3728</v>
      </c>
      <c r="LNO616" s="17">
        <v>44925</v>
      </c>
      <c r="LNP616" s="5" t="s">
        <v>3728</v>
      </c>
      <c r="LNQ616" s="17">
        <v>44925</v>
      </c>
      <c r="LNR616" s="5" t="s">
        <v>3728</v>
      </c>
      <c r="LNS616" s="17">
        <v>44925</v>
      </c>
      <c r="LNT616" s="5" t="s">
        <v>3728</v>
      </c>
      <c r="LNU616" s="17">
        <v>44925</v>
      </c>
      <c r="LNV616" s="5" t="s">
        <v>3728</v>
      </c>
      <c r="LNW616" s="17">
        <v>44925</v>
      </c>
      <c r="LNX616" s="5" t="s">
        <v>3728</v>
      </c>
      <c r="LNY616" s="17">
        <v>44925</v>
      </c>
      <c r="LNZ616" s="5" t="s">
        <v>3728</v>
      </c>
      <c r="LOA616" s="17">
        <v>44925</v>
      </c>
      <c r="LOB616" s="5" t="s">
        <v>3728</v>
      </c>
      <c r="LOC616" s="17">
        <v>44925</v>
      </c>
      <c r="LOD616" s="5" t="s">
        <v>3728</v>
      </c>
      <c r="LOE616" s="17">
        <v>44925</v>
      </c>
      <c r="LOF616" s="5" t="s">
        <v>3728</v>
      </c>
      <c r="LOG616" s="17">
        <v>44925</v>
      </c>
      <c r="LOH616" s="5" t="s">
        <v>3728</v>
      </c>
      <c r="LOI616" s="17">
        <v>44925</v>
      </c>
      <c r="LOJ616" s="5" t="s">
        <v>3728</v>
      </c>
      <c r="LOK616" s="17">
        <v>44925</v>
      </c>
      <c r="LOL616" s="5" t="s">
        <v>3728</v>
      </c>
      <c r="LOM616" s="17">
        <v>44925</v>
      </c>
      <c r="LON616" s="5" t="s">
        <v>3728</v>
      </c>
      <c r="LOO616" s="17">
        <v>44925</v>
      </c>
      <c r="LOP616" s="5" t="s">
        <v>3728</v>
      </c>
      <c r="LOQ616" s="17">
        <v>44925</v>
      </c>
      <c r="LOR616" s="5" t="s">
        <v>3728</v>
      </c>
      <c r="LOS616" s="17">
        <v>44925</v>
      </c>
      <c r="LOT616" s="5" t="s">
        <v>3728</v>
      </c>
      <c r="LOU616" s="17">
        <v>44925</v>
      </c>
      <c r="LOV616" s="5" t="s">
        <v>3728</v>
      </c>
      <c r="LOW616" s="17">
        <v>44925</v>
      </c>
      <c r="LOX616" s="5" t="s">
        <v>3728</v>
      </c>
      <c r="LOY616" s="17">
        <v>44925</v>
      </c>
      <c r="LOZ616" s="5" t="s">
        <v>3728</v>
      </c>
      <c r="LPA616" s="17">
        <v>44925</v>
      </c>
      <c r="LPB616" s="5" t="s">
        <v>3728</v>
      </c>
      <c r="LPC616" s="17">
        <v>44925</v>
      </c>
      <c r="LPD616" s="5" t="s">
        <v>3728</v>
      </c>
      <c r="LPE616" s="17">
        <v>44925</v>
      </c>
      <c r="LPF616" s="5" t="s">
        <v>3728</v>
      </c>
      <c r="LPG616" s="17">
        <v>44925</v>
      </c>
      <c r="LPH616" s="5" t="s">
        <v>3728</v>
      </c>
      <c r="LPI616" s="17">
        <v>44925</v>
      </c>
      <c r="LPJ616" s="5" t="s">
        <v>3728</v>
      </c>
      <c r="LPK616" s="17">
        <v>44925</v>
      </c>
      <c r="LPL616" s="5" t="s">
        <v>3728</v>
      </c>
      <c r="LPM616" s="17">
        <v>44925</v>
      </c>
      <c r="LPN616" s="5" t="s">
        <v>3728</v>
      </c>
      <c r="LPO616" s="17">
        <v>44925</v>
      </c>
      <c r="LPP616" s="5" t="s">
        <v>3728</v>
      </c>
      <c r="LPQ616" s="17">
        <v>44925</v>
      </c>
      <c r="LPR616" s="5" t="s">
        <v>3728</v>
      </c>
      <c r="LPS616" s="17">
        <v>44925</v>
      </c>
      <c r="LPT616" s="5" t="s">
        <v>3728</v>
      </c>
      <c r="LPU616" s="17">
        <v>44925</v>
      </c>
      <c r="LPV616" s="5" t="s">
        <v>3728</v>
      </c>
      <c r="LPW616" s="17">
        <v>44925</v>
      </c>
      <c r="LPX616" s="5" t="s">
        <v>3728</v>
      </c>
      <c r="LPY616" s="17">
        <v>44925</v>
      </c>
      <c r="LPZ616" s="5" t="s">
        <v>3728</v>
      </c>
      <c r="LQA616" s="17">
        <v>44925</v>
      </c>
      <c r="LQB616" s="5" t="s">
        <v>3728</v>
      </c>
      <c r="LQC616" s="17">
        <v>44925</v>
      </c>
      <c r="LQD616" s="5" t="s">
        <v>3728</v>
      </c>
      <c r="LQE616" s="17">
        <v>44925</v>
      </c>
      <c r="LQF616" s="5" t="s">
        <v>3728</v>
      </c>
      <c r="LQG616" s="17">
        <v>44925</v>
      </c>
      <c r="LQH616" s="5" t="s">
        <v>3728</v>
      </c>
      <c r="LQI616" s="17">
        <v>44925</v>
      </c>
      <c r="LQJ616" s="5" t="s">
        <v>3728</v>
      </c>
      <c r="LQK616" s="17">
        <v>44925</v>
      </c>
      <c r="LQL616" s="5" t="s">
        <v>3728</v>
      </c>
      <c r="LQM616" s="17">
        <v>44925</v>
      </c>
      <c r="LQN616" s="5" t="s">
        <v>3728</v>
      </c>
      <c r="LQO616" s="17">
        <v>44925</v>
      </c>
      <c r="LQP616" s="5" t="s">
        <v>3728</v>
      </c>
      <c r="LQQ616" s="17">
        <v>44925</v>
      </c>
      <c r="LQR616" s="5" t="s">
        <v>3728</v>
      </c>
      <c r="LQS616" s="17">
        <v>44925</v>
      </c>
      <c r="LQT616" s="5" t="s">
        <v>3728</v>
      </c>
      <c r="LQU616" s="17">
        <v>44925</v>
      </c>
      <c r="LQV616" s="5" t="s">
        <v>3728</v>
      </c>
      <c r="LQW616" s="17">
        <v>44925</v>
      </c>
      <c r="LQX616" s="5" t="s">
        <v>3728</v>
      </c>
      <c r="LQY616" s="17">
        <v>44925</v>
      </c>
      <c r="LQZ616" s="5" t="s">
        <v>3728</v>
      </c>
      <c r="LRA616" s="17">
        <v>44925</v>
      </c>
      <c r="LRB616" s="5" t="s">
        <v>3728</v>
      </c>
      <c r="LRC616" s="17">
        <v>44925</v>
      </c>
      <c r="LRD616" s="5" t="s">
        <v>3728</v>
      </c>
      <c r="LRE616" s="17">
        <v>44925</v>
      </c>
      <c r="LRF616" s="5" t="s">
        <v>3728</v>
      </c>
      <c r="LRG616" s="17">
        <v>44925</v>
      </c>
      <c r="LRH616" s="5" t="s">
        <v>3728</v>
      </c>
      <c r="LRI616" s="17">
        <v>44925</v>
      </c>
      <c r="LRJ616" s="5" t="s">
        <v>3728</v>
      </c>
      <c r="LRK616" s="17">
        <v>44925</v>
      </c>
      <c r="LRL616" s="5" t="s">
        <v>3728</v>
      </c>
      <c r="LRM616" s="17">
        <v>44925</v>
      </c>
      <c r="LRN616" s="5" t="s">
        <v>3728</v>
      </c>
      <c r="LRO616" s="17">
        <v>44925</v>
      </c>
      <c r="LRP616" s="5" t="s">
        <v>3728</v>
      </c>
      <c r="LRQ616" s="17">
        <v>44925</v>
      </c>
      <c r="LRR616" s="5" t="s">
        <v>3728</v>
      </c>
      <c r="LRS616" s="17">
        <v>44925</v>
      </c>
      <c r="LRT616" s="5" t="s">
        <v>3728</v>
      </c>
      <c r="LRU616" s="17">
        <v>44925</v>
      </c>
      <c r="LRV616" s="5" t="s">
        <v>3728</v>
      </c>
      <c r="LRW616" s="17">
        <v>44925</v>
      </c>
      <c r="LRX616" s="5" t="s">
        <v>3728</v>
      </c>
      <c r="LRY616" s="17">
        <v>44925</v>
      </c>
      <c r="LRZ616" s="5" t="s">
        <v>3728</v>
      </c>
      <c r="LSA616" s="17">
        <v>44925</v>
      </c>
      <c r="LSB616" s="5" t="s">
        <v>3728</v>
      </c>
      <c r="LSC616" s="17">
        <v>44925</v>
      </c>
      <c r="LSD616" s="5" t="s">
        <v>3728</v>
      </c>
      <c r="LSE616" s="17">
        <v>44925</v>
      </c>
      <c r="LSF616" s="5" t="s">
        <v>3728</v>
      </c>
      <c r="LSG616" s="17">
        <v>44925</v>
      </c>
      <c r="LSH616" s="5" t="s">
        <v>3728</v>
      </c>
      <c r="LSI616" s="17">
        <v>44925</v>
      </c>
      <c r="LSJ616" s="5" t="s">
        <v>3728</v>
      </c>
      <c r="LSK616" s="17">
        <v>44925</v>
      </c>
      <c r="LSL616" s="5" t="s">
        <v>3728</v>
      </c>
      <c r="LSM616" s="17">
        <v>44925</v>
      </c>
      <c r="LSN616" s="5" t="s">
        <v>3728</v>
      </c>
      <c r="LSO616" s="17">
        <v>44925</v>
      </c>
      <c r="LSP616" s="5" t="s">
        <v>3728</v>
      </c>
      <c r="LSQ616" s="17">
        <v>44925</v>
      </c>
      <c r="LSR616" s="5" t="s">
        <v>3728</v>
      </c>
      <c r="LSS616" s="17">
        <v>44925</v>
      </c>
      <c r="LST616" s="5" t="s">
        <v>3728</v>
      </c>
      <c r="LSU616" s="17">
        <v>44925</v>
      </c>
      <c r="LSV616" s="5" t="s">
        <v>3728</v>
      </c>
      <c r="LSW616" s="17">
        <v>44925</v>
      </c>
      <c r="LSX616" s="5" t="s">
        <v>3728</v>
      </c>
      <c r="LSY616" s="17">
        <v>44925</v>
      </c>
      <c r="LSZ616" s="5" t="s">
        <v>3728</v>
      </c>
      <c r="LTA616" s="17">
        <v>44925</v>
      </c>
      <c r="LTB616" s="5" t="s">
        <v>3728</v>
      </c>
      <c r="LTC616" s="17">
        <v>44925</v>
      </c>
      <c r="LTD616" s="5" t="s">
        <v>3728</v>
      </c>
      <c r="LTE616" s="17">
        <v>44925</v>
      </c>
      <c r="LTF616" s="5" t="s">
        <v>3728</v>
      </c>
      <c r="LTG616" s="17">
        <v>44925</v>
      </c>
      <c r="LTH616" s="5" t="s">
        <v>3728</v>
      </c>
      <c r="LTI616" s="17">
        <v>44925</v>
      </c>
      <c r="LTJ616" s="5" t="s">
        <v>3728</v>
      </c>
      <c r="LTK616" s="17">
        <v>44925</v>
      </c>
      <c r="LTL616" s="5" t="s">
        <v>3728</v>
      </c>
      <c r="LTM616" s="17">
        <v>44925</v>
      </c>
      <c r="LTN616" s="5" t="s">
        <v>3728</v>
      </c>
      <c r="LTO616" s="17">
        <v>44925</v>
      </c>
      <c r="LTP616" s="5" t="s">
        <v>3728</v>
      </c>
      <c r="LTQ616" s="17">
        <v>44925</v>
      </c>
      <c r="LTR616" s="5" t="s">
        <v>3728</v>
      </c>
      <c r="LTS616" s="17">
        <v>44925</v>
      </c>
      <c r="LTT616" s="5" t="s">
        <v>3728</v>
      </c>
      <c r="LTU616" s="17">
        <v>44925</v>
      </c>
      <c r="LTV616" s="5" t="s">
        <v>3728</v>
      </c>
      <c r="LTW616" s="17">
        <v>44925</v>
      </c>
      <c r="LTX616" s="5" t="s">
        <v>3728</v>
      </c>
      <c r="LTY616" s="17">
        <v>44925</v>
      </c>
      <c r="LTZ616" s="5" t="s">
        <v>3728</v>
      </c>
      <c r="LUA616" s="17">
        <v>44925</v>
      </c>
      <c r="LUB616" s="5" t="s">
        <v>3728</v>
      </c>
      <c r="LUC616" s="17">
        <v>44925</v>
      </c>
      <c r="LUD616" s="5" t="s">
        <v>3728</v>
      </c>
      <c r="LUE616" s="17">
        <v>44925</v>
      </c>
      <c r="LUF616" s="5" t="s">
        <v>3728</v>
      </c>
      <c r="LUG616" s="17">
        <v>44925</v>
      </c>
      <c r="LUH616" s="5" t="s">
        <v>3728</v>
      </c>
      <c r="LUI616" s="17">
        <v>44925</v>
      </c>
      <c r="LUJ616" s="5" t="s">
        <v>3728</v>
      </c>
      <c r="LUK616" s="17">
        <v>44925</v>
      </c>
      <c r="LUL616" s="5" t="s">
        <v>3728</v>
      </c>
      <c r="LUM616" s="17">
        <v>44925</v>
      </c>
      <c r="LUN616" s="5" t="s">
        <v>3728</v>
      </c>
      <c r="LUO616" s="17">
        <v>44925</v>
      </c>
      <c r="LUP616" s="5" t="s">
        <v>3728</v>
      </c>
      <c r="LUQ616" s="17">
        <v>44925</v>
      </c>
      <c r="LUR616" s="5" t="s">
        <v>3728</v>
      </c>
      <c r="LUS616" s="17">
        <v>44925</v>
      </c>
      <c r="LUT616" s="5" t="s">
        <v>3728</v>
      </c>
      <c r="LUU616" s="17">
        <v>44925</v>
      </c>
      <c r="LUV616" s="5" t="s">
        <v>3728</v>
      </c>
      <c r="LUW616" s="17">
        <v>44925</v>
      </c>
      <c r="LUX616" s="5" t="s">
        <v>3728</v>
      </c>
      <c r="LUY616" s="17">
        <v>44925</v>
      </c>
      <c r="LUZ616" s="5" t="s">
        <v>3728</v>
      </c>
      <c r="LVA616" s="17">
        <v>44925</v>
      </c>
      <c r="LVB616" s="5" t="s">
        <v>3728</v>
      </c>
      <c r="LVC616" s="17">
        <v>44925</v>
      </c>
      <c r="LVD616" s="5" t="s">
        <v>3728</v>
      </c>
      <c r="LVE616" s="17">
        <v>44925</v>
      </c>
      <c r="LVF616" s="5" t="s">
        <v>3728</v>
      </c>
      <c r="LVG616" s="17">
        <v>44925</v>
      </c>
      <c r="LVH616" s="5" t="s">
        <v>3728</v>
      </c>
      <c r="LVI616" s="17">
        <v>44925</v>
      </c>
      <c r="LVJ616" s="5" t="s">
        <v>3728</v>
      </c>
      <c r="LVK616" s="17">
        <v>44925</v>
      </c>
      <c r="LVL616" s="5" t="s">
        <v>3728</v>
      </c>
      <c r="LVM616" s="17">
        <v>44925</v>
      </c>
      <c r="LVN616" s="5" t="s">
        <v>3728</v>
      </c>
      <c r="LVO616" s="17">
        <v>44925</v>
      </c>
      <c r="LVP616" s="5" t="s">
        <v>3728</v>
      </c>
      <c r="LVQ616" s="17">
        <v>44925</v>
      </c>
      <c r="LVR616" s="5" t="s">
        <v>3728</v>
      </c>
      <c r="LVS616" s="17">
        <v>44925</v>
      </c>
      <c r="LVT616" s="5" t="s">
        <v>3728</v>
      </c>
      <c r="LVU616" s="17">
        <v>44925</v>
      </c>
      <c r="LVV616" s="5" t="s">
        <v>3728</v>
      </c>
      <c r="LVW616" s="17">
        <v>44925</v>
      </c>
      <c r="LVX616" s="5" t="s">
        <v>3728</v>
      </c>
      <c r="LVY616" s="17">
        <v>44925</v>
      </c>
      <c r="LVZ616" s="5" t="s">
        <v>3728</v>
      </c>
      <c r="LWA616" s="17">
        <v>44925</v>
      </c>
      <c r="LWB616" s="5" t="s">
        <v>3728</v>
      </c>
      <c r="LWC616" s="17">
        <v>44925</v>
      </c>
      <c r="LWD616" s="5" t="s">
        <v>3728</v>
      </c>
      <c r="LWE616" s="17">
        <v>44925</v>
      </c>
      <c r="LWF616" s="5" t="s">
        <v>3728</v>
      </c>
      <c r="LWG616" s="17">
        <v>44925</v>
      </c>
      <c r="LWH616" s="5" t="s">
        <v>3728</v>
      </c>
      <c r="LWI616" s="17">
        <v>44925</v>
      </c>
      <c r="LWJ616" s="5" t="s">
        <v>3728</v>
      </c>
      <c r="LWK616" s="17">
        <v>44925</v>
      </c>
      <c r="LWL616" s="5" t="s">
        <v>3728</v>
      </c>
      <c r="LWM616" s="17">
        <v>44925</v>
      </c>
      <c r="LWN616" s="5" t="s">
        <v>3728</v>
      </c>
      <c r="LWO616" s="17">
        <v>44925</v>
      </c>
      <c r="LWP616" s="5" t="s">
        <v>3728</v>
      </c>
      <c r="LWQ616" s="17">
        <v>44925</v>
      </c>
      <c r="LWR616" s="5" t="s">
        <v>3728</v>
      </c>
      <c r="LWS616" s="17">
        <v>44925</v>
      </c>
      <c r="LWT616" s="5" t="s">
        <v>3728</v>
      </c>
      <c r="LWU616" s="17">
        <v>44925</v>
      </c>
      <c r="LWV616" s="5" t="s">
        <v>3728</v>
      </c>
      <c r="LWW616" s="17">
        <v>44925</v>
      </c>
      <c r="LWX616" s="5" t="s">
        <v>3728</v>
      </c>
      <c r="LWY616" s="17">
        <v>44925</v>
      </c>
      <c r="LWZ616" s="5" t="s">
        <v>3728</v>
      </c>
      <c r="LXA616" s="17">
        <v>44925</v>
      </c>
      <c r="LXB616" s="5" t="s">
        <v>3728</v>
      </c>
      <c r="LXC616" s="17">
        <v>44925</v>
      </c>
      <c r="LXD616" s="5" t="s">
        <v>3728</v>
      </c>
      <c r="LXE616" s="17">
        <v>44925</v>
      </c>
      <c r="LXF616" s="5" t="s">
        <v>3728</v>
      </c>
      <c r="LXG616" s="17">
        <v>44925</v>
      </c>
      <c r="LXH616" s="5" t="s">
        <v>3728</v>
      </c>
      <c r="LXI616" s="17">
        <v>44925</v>
      </c>
      <c r="LXJ616" s="5" t="s">
        <v>3728</v>
      </c>
      <c r="LXK616" s="17">
        <v>44925</v>
      </c>
      <c r="LXL616" s="5" t="s">
        <v>3728</v>
      </c>
      <c r="LXM616" s="17">
        <v>44925</v>
      </c>
      <c r="LXN616" s="5" t="s">
        <v>3728</v>
      </c>
      <c r="LXO616" s="17">
        <v>44925</v>
      </c>
      <c r="LXP616" s="5" t="s">
        <v>3728</v>
      </c>
      <c r="LXQ616" s="17">
        <v>44925</v>
      </c>
      <c r="LXR616" s="5" t="s">
        <v>3728</v>
      </c>
      <c r="LXS616" s="17">
        <v>44925</v>
      </c>
      <c r="LXT616" s="5" t="s">
        <v>3728</v>
      </c>
      <c r="LXU616" s="17">
        <v>44925</v>
      </c>
      <c r="LXV616" s="5" t="s">
        <v>3728</v>
      </c>
      <c r="LXW616" s="17">
        <v>44925</v>
      </c>
      <c r="LXX616" s="5" t="s">
        <v>3728</v>
      </c>
      <c r="LXY616" s="17">
        <v>44925</v>
      </c>
      <c r="LXZ616" s="5" t="s">
        <v>3728</v>
      </c>
      <c r="LYA616" s="17">
        <v>44925</v>
      </c>
      <c r="LYB616" s="5" t="s">
        <v>3728</v>
      </c>
      <c r="LYC616" s="17">
        <v>44925</v>
      </c>
      <c r="LYD616" s="5" t="s">
        <v>3728</v>
      </c>
      <c r="LYE616" s="17">
        <v>44925</v>
      </c>
      <c r="LYF616" s="5" t="s">
        <v>3728</v>
      </c>
      <c r="LYG616" s="17">
        <v>44925</v>
      </c>
      <c r="LYH616" s="5" t="s">
        <v>3728</v>
      </c>
      <c r="LYI616" s="17">
        <v>44925</v>
      </c>
      <c r="LYJ616" s="5" t="s">
        <v>3728</v>
      </c>
      <c r="LYK616" s="17">
        <v>44925</v>
      </c>
      <c r="LYL616" s="5" t="s">
        <v>3728</v>
      </c>
      <c r="LYM616" s="17">
        <v>44925</v>
      </c>
      <c r="LYN616" s="5" t="s">
        <v>3728</v>
      </c>
      <c r="LYO616" s="17">
        <v>44925</v>
      </c>
      <c r="LYP616" s="5" t="s">
        <v>3728</v>
      </c>
      <c r="LYQ616" s="17">
        <v>44925</v>
      </c>
      <c r="LYR616" s="5" t="s">
        <v>3728</v>
      </c>
      <c r="LYS616" s="17">
        <v>44925</v>
      </c>
      <c r="LYT616" s="5" t="s">
        <v>3728</v>
      </c>
      <c r="LYU616" s="17">
        <v>44925</v>
      </c>
      <c r="LYV616" s="5" t="s">
        <v>3728</v>
      </c>
      <c r="LYW616" s="17">
        <v>44925</v>
      </c>
      <c r="LYX616" s="5" t="s">
        <v>3728</v>
      </c>
      <c r="LYY616" s="17">
        <v>44925</v>
      </c>
      <c r="LYZ616" s="5" t="s">
        <v>3728</v>
      </c>
      <c r="LZA616" s="17">
        <v>44925</v>
      </c>
      <c r="LZB616" s="5" t="s">
        <v>3728</v>
      </c>
      <c r="LZC616" s="17">
        <v>44925</v>
      </c>
      <c r="LZD616" s="5" t="s">
        <v>3728</v>
      </c>
      <c r="LZE616" s="17">
        <v>44925</v>
      </c>
      <c r="LZF616" s="5" t="s">
        <v>3728</v>
      </c>
      <c r="LZG616" s="17">
        <v>44925</v>
      </c>
      <c r="LZH616" s="5" t="s">
        <v>3728</v>
      </c>
      <c r="LZI616" s="17">
        <v>44925</v>
      </c>
      <c r="LZJ616" s="5" t="s">
        <v>3728</v>
      </c>
      <c r="LZK616" s="17">
        <v>44925</v>
      </c>
      <c r="LZL616" s="5" t="s">
        <v>3728</v>
      </c>
      <c r="LZM616" s="17">
        <v>44925</v>
      </c>
      <c r="LZN616" s="5" t="s">
        <v>3728</v>
      </c>
      <c r="LZO616" s="17">
        <v>44925</v>
      </c>
      <c r="LZP616" s="5" t="s">
        <v>3728</v>
      </c>
      <c r="LZQ616" s="17">
        <v>44925</v>
      </c>
      <c r="LZR616" s="5" t="s">
        <v>3728</v>
      </c>
      <c r="LZS616" s="17">
        <v>44925</v>
      </c>
      <c r="LZT616" s="5" t="s">
        <v>3728</v>
      </c>
      <c r="LZU616" s="17">
        <v>44925</v>
      </c>
      <c r="LZV616" s="5" t="s">
        <v>3728</v>
      </c>
      <c r="LZW616" s="17">
        <v>44925</v>
      </c>
      <c r="LZX616" s="5" t="s">
        <v>3728</v>
      </c>
      <c r="LZY616" s="17">
        <v>44925</v>
      </c>
      <c r="LZZ616" s="5" t="s">
        <v>3728</v>
      </c>
      <c r="MAA616" s="17">
        <v>44925</v>
      </c>
      <c r="MAB616" s="5" t="s">
        <v>3728</v>
      </c>
      <c r="MAC616" s="17">
        <v>44925</v>
      </c>
      <c r="MAD616" s="5" t="s">
        <v>3728</v>
      </c>
      <c r="MAE616" s="17">
        <v>44925</v>
      </c>
      <c r="MAF616" s="5" t="s">
        <v>3728</v>
      </c>
      <c r="MAG616" s="17">
        <v>44925</v>
      </c>
      <c r="MAH616" s="5" t="s">
        <v>3728</v>
      </c>
      <c r="MAI616" s="17">
        <v>44925</v>
      </c>
      <c r="MAJ616" s="5" t="s">
        <v>3728</v>
      </c>
      <c r="MAK616" s="17">
        <v>44925</v>
      </c>
      <c r="MAL616" s="5" t="s">
        <v>3728</v>
      </c>
      <c r="MAM616" s="17">
        <v>44925</v>
      </c>
      <c r="MAN616" s="5" t="s">
        <v>3728</v>
      </c>
      <c r="MAO616" s="17">
        <v>44925</v>
      </c>
      <c r="MAP616" s="5" t="s">
        <v>3728</v>
      </c>
      <c r="MAQ616" s="17">
        <v>44925</v>
      </c>
      <c r="MAR616" s="5" t="s">
        <v>3728</v>
      </c>
      <c r="MAS616" s="17">
        <v>44925</v>
      </c>
      <c r="MAT616" s="5" t="s">
        <v>3728</v>
      </c>
      <c r="MAU616" s="17">
        <v>44925</v>
      </c>
      <c r="MAV616" s="5" t="s">
        <v>3728</v>
      </c>
      <c r="MAW616" s="17">
        <v>44925</v>
      </c>
      <c r="MAX616" s="5" t="s">
        <v>3728</v>
      </c>
      <c r="MAY616" s="17">
        <v>44925</v>
      </c>
      <c r="MAZ616" s="5" t="s">
        <v>3728</v>
      </c>
      <c r="MBA616" s="17">
        <v>44925</v>
      </c>
      <c r="MBB616" s="5" t="s">
        <v>3728</v>
      </c>
      <c r="MBC616" s="17">
        <v>44925</v>
      </c>
      <c r="MBD616" s="5" t="s">
        <v>3728</v>
      </c>
      <c r="MBE616" s="17">
        <v>44925</v>
      </c>
      <c r="MBF616" s="5" t="s">
        <v>3728</v>
      </c>
      <c r="MBG616" s="17">
        <v>44925</v>
      </c>
      <c r="MBH616" s="5" t="s">
        <v>3728</v>
      </c>
      <c r="MBI616" s="17">
        <v>44925</v>
      </c>
      <c r="MBJ616" s="5" t="s">
        <v>3728</v>
      </c>
      <c r="MBK616" s="17">
        <v>44925</v>
      </c>
      <c r="MBL616" s="5" t="s">
        <v>3728</v>
      </c>
      <c r="MBM616" s="17">
        <v>44925</v>
      </c>
      <c r="MBN616" s="5" t="s">
        <v>3728</v>
      </c>
      <c r="MBO616" s="17">
        <v>44925</v>
      </c>
      <c r="MBP616" s="5" t="s">
        <v>3728</v>
      </c>
      <c r="MBQ616" s="17">
        <v>44925</v>
      </c>
      <c r="MBR616" s="5" t="s">
        <v>3728</v>
      </c>
      <c r="MBS616" s="17">
        <v>44925</v>
      </c>
      <c r="MBT616" s="5" t="s">
        <v>3728</v>
      </c>
      <c r="MBU616" s="17">
        <v>44925</v>
      </c>
      <c r="MBV616" s="5" t="s">
        <v>3728</v>
      </c>
      <c r="MBW616" s="17">
        <v>44925</v>
      </c>
      <c r="MBX616" s="5" t="s">
        <v>3728</v>
      </c>
      <c r="MBY616" s="17">
        <v>44925</v>
      </c>
      <c r="MBZ616" s="5" t="s">
        <v>3728</v>
      </c>
      <c r="MCA616" s="17">
        <v>44925</v>
      </c>
      <c r="MCB616" s="5" t="s">
        <v>3728</v>
      </c>
      <c r="MCC616" s="17">
        <v>44925</v>
      </c>
      <c r="MCD616" s="5" t="s">
        <v>3728</v>
      </c>
      <c r="MCE616" s="17">
        <v>44925</v>
      </c>
      <c r="MCF616" s="5" t="s">
        <v>3728</v>
      </c>
      <c r="MCG616" s="17">
        <v>44925</v>
      </c>
      <c r="MCH616" s="5" t="s">
        <v>3728</v>
      </c>
      <c r="MCI616" s="17">
        <v>44925</v>
      </c>
      <c r="MCJ616" s="5" t="s">
        <v>3728</v>
      </c>
      <c r="MCK616" s="17">
        <v>44925</v>
      </c>
      <c r="MCL616" s="5" t="s">
        <v>3728</v>
      </c>
      <c r="MCM616" s="17">
        <v>44925</v>
      </c>
      <c r="MCN616" s="5" t="s">
        <v>3728</v>
      </c>
      <c r="MCO616" s="17">
        <v>44925</v>
      </c>
      <c r="MCP616" s="5" t="s">
        <v>3728</v>
      </c>
      <c r="MCQ616" s="17">
        <v>44925</v>
      </c>
      <c r="MCR616" s="5" t="s">
        <v>3728</v>
      </c>
      <c r="MCS616" s="17">
        <v>44925</v>
      </c>
      <c r="MCT616" s="5" t="s">
        <v>3728</v>
      </c>
      <c r="MCU616" s="17">
        <v>44925</v>
      </c>
      <c r="MCV616" s="5" t="s">
        <v>3728</v>
      </c>
      <c r="MCW616" s="17">
        <v>44925</v>
      </c>
      <c r="MCX616" s="5" t="s">
        <v>3728</v>
      </c>
      <c r="MCY616" s="17">
        <v>44925</v>
      </c>
      <c r="MCZ616" s="5" t="s">
        <v>3728</v>
      </c>
      <c r="MDA616" s="17">
        <v>44925</v>
      </c>
      <c r="MDB616" s="5" t="s">
        <v>3728</v>
      </c>
      <c r="MDC616" s="17">
        <v>44925</v>
      </c>
      <c r="MDD616" s="5" t="s">
        <v>3728</v>
      </c>
      <c r="MDE616" s="17">
        <v>44925</v>
      </c>
      <c r="MDF616" s="5" t="s">
        <v>3728</v>
      </c>
      <c r="MDG616" s="17">
        <v>44925</v>
      </c>
      <c r="MDH616" s="5" t="s">
        <v>3728</v>
      </c>
      <c r="MDI616" s="17">
        <v>44925</v>
      </c>
      <c r="MDJ616" s="5" t="s">
        <v>3728</v>
      </c>
      <c r="MDK616" s="17">
        <v>44925</v>
      </c>
      <c r="MDL616" s="5" t="s">
        <v>3728</v>
      </c>
      <c r="MDM616" s="17">
        <v>44925</v>
      </c>
      <c r="MDN616" s="5" t="s">
        <v>3728</v>
      </c>
      <c r="MDO616" s="17">
        <v>44925</v>
      </c>
      <c r="MDP616" s="5" t="s">
        <v>3728</v>
      </c>
      <c r="MDQ616" s="17">
        <v>44925</v>
      </c>
      <c r="MDR616" s="5" t="s">
        <v>3728</v>
      </c>
      <c r="MDS616" s="17">
        <v>44925</v>
      </c>
      <c r="MDT616" s="5" t="s">
        <v>3728</v>
      </c>
      <c r="MDU616" s="17">
        <v>44925</v>
      </c>
      <c r="MDV616" s="5" t="s">
        <v>3728</v>
      </c>
      <c r="MDW616" s="17">
        <v>44925</v>
      </c>
      <c r="MDX616" s="5" t="s">
        <v>3728</v>
      </c>
      <c r="MDY616" s="17">
        <v>44925</v>
      </c>
      <c r="MDZ616" s="5" t="s">
        <v>3728</v>
      </c>
      <c r="MEA616" s="17">
        <v>44925</v>
      </c>
      <c r="MEB616" s="5" t="s">
        <v>3728</v>
      </c>
      <c r="MEC616" s="17">
        <v>44925</v>
      </c>
      <c r="MED616" s="5" t="s">
        <v>3728</v>
      </c>
      <c r="MEE616" s="17">
        <v>44925</v>
      </c>
      <c r="MEF616" s="5" t="s">
        <v>3728</v>
      </c>
      <c r="MEG616" s="17">
        <v>44925</v>
      </c>
      <c r="MEH616" s="5" t="s">
        <v>3728</v>
      </c>
      <c r="MEI616" s="17">
        <v>44925</v>
      </c>
      <c r="MEJ616" s="5" t="s">
        <v>3728</v>
      </c>
      <c r="MEK616" s="17">
        <v>44925</v>
      </c>
      <c r="MEL616" s="5" t="s">
        <v>3728</v>
      </c>
      <c r="MEM616" s="17">
        <v>44925</v>
      </c>
      <c r="MEN616" s="5" t="s">
        <v>3728</v>
      </c>
      <c r="MEO616" s="17">
        <v>44925</v>
      </c>
      <c r="MEP616" s="5" t="s">
        <v>3728</v>
      </c>
      <c r="MEQ616" s="17">
        <v>44925</v>
      </c>
      <c r="MER616" s="5" t="s">
        <v>3728</v>
      </c>
      <c r="MES616" s="17">
        <v>44925</v>
      </c>
      <c r="MET616" s="5" t="s">
        <v>3728</v>
      </c>
      <c r="MEU616" s="17">
        <v>44925</v>
      </c>
      <c r="MEV616" s="5" t="s">
        <v>3728</v>
      </c>
      <c r="MEW616" s="17">
        <v>44925</v>
      </c>
      <c r="MEX616" s="5" t="s">
        <v>3728</v>
      </c>
      <c r="MEY616" s="17">
        <v>44925</v>
      </c>
      <c r="MEZ616" s="5" t="s">
        <v>3728</v>
      </c>
      <c r="MFA616" s="17">
        <v>44925</v>
      </c>
      <c r="MFB616" s="5" t="s">
        <v>3728</v>
      </c>
      <c r="MFC616" s="17">
        <v>44925</v>
      </c>
      <c r="MFD616" s="5" t="s">
        <v>3728</v>
      </c>
      <c r="MFE616" s="17">
        <v>44925</v>
      </c>
      <c r="MFF616" s="5" t="s">
        <v>3728</v>
      </c>
      <c r="MFG616" s="17">
        <v>44925</v>
      </c>
      <c r="MFH616" s="5" t="s">
        <v>3728</v>
      </c>
      <c r="MFI616" s="17">
        <v>44925</v>
      </c>
      <c r="MFJ616" s="5" t="s">
        <v>3728</v>
      </c>
      <c r="MFK616" s="17">
        <v>44925</v>
      </c>
      <c r="MFL616" s="5" t="s">
        <v>3728</v>
      </c>
      <c r="MFM616" s="17">
        <v>44925</v>
      </c>
      <c r="MFN616" s="5" t="s">
        <v>3728</v>
      </c>
      <c r="MFO616" s="17">
        <v>44925</v>
      </c>
      <c r="MFP616" s="5" t="s">
        <v>3728</v>
      </c>
      <c r="MFQ616" s="17">
        <v>44925</v>
      </c>
      <c r="MFR616" s="5" t="s">
        <v>3728</v>
      </c>
      <c r="MFS616" s="17">
        <v>44925</v>
      </c>
      <c r="MFT616" s="5" t="s">
        <v>3728</v>
      </c>
      <c r="MFU616" s="17">
        <v>44925</v>
      </c>
      <c r="MFV616" s="5" t="s">
        <v>3728</v>
      </c>
      <c r="MFW616" s="17">
        <v>44925</v>
      </c>
      <c r="MFX616" s="5" t="s">
        <v>3728</v>
      </c>
      <c r="MFY616" s="17">
        <v>44925</v>
      </c>
      <c r="MFZ616" s="5" t="s">
        <v>3728</v>
      </c>
      <c r="MGA616" s="17">
        <v>44925</v>
      </c>
      <c r="MGB616" s="5" t="s">
        <v>3728</v>
      </c>
      <c r="MGC616" s="17">
        <v>44925</v>
      </c>
      <c r="MGD616" s="5" t="s">
        <v>3728</v>
      </c>
      <c r="MGE616" s="17">
        <v>44925</v>
      </c>
      <c r="MGF616" s="5" t="s">
        <v>3728</v>
      </c>
      <c r="MGG616" s="17">
        <v>44925</v>
      </c>
      <c r="MGH616" s="5" t="s">
        <v>3728</v>
      </c>
      <c r="MGI616" s="17">
        <v>44925</v>
      </c>
      <c r="MGJ616" s="5" t="s">
        <v>3728</v>
      </c>
      <c r="MGK616" s="17">
        <v>44925</v>
      </c>
      <c r="MGL616" s="5" t="s">
        <v>3728</v>
      </c>
      <c r="MGM616" s="17">
        <v>44925</v>
      </c>
      <c r="MGN616" s="5" t="s">
        <v>3728</v>
      </c>
      <c r="MGO616" s="17">
        <v>44925</v>
      </c>
      <c r="MGP616" s="5" t="s">
        <v>3728</v>
      </c>
      <c r="MGQ616" s="17">
        <v>44925</v>
      </c>
      <c r="MGR616" s="5" t="s">
        <v>3728</v>
      </c>
      <c r="MGS616" s="17">
        <v>44925</v>
      </c>
      <c r="MGT616" s="5" t="s">
        <v>3728</v>
      </c>
      <c r="MGU616" s="17">
        <v>44925</v>
      </c>
      <c r="MGV616" s="5" t="s">
        <v>3728</v>
      </c>
      <c r="MGW616" s="17">
        <v>44925</v>
      </c>
      <c r="MGX616" s="5" t="s">
        <v>3728</v>
      </c>
      <c r="MGY616" s="17">
        <v>44925</v>
      </c>
      <c r="MGZ616" s="5" t="s">
        <v>3728</v>
      </c>
      <c r="MHA616" s="17">
        <v>44925</v>
      </c>
      <c r="MHB616" s="5" t="s">
        <v>3728</v>
      </c>
      <c r="MHC616" s="17">
        <v>44925</v>
      </c>
      <c r="MHD616" s="5" t="s">
        <v>3728</v>
      </c>
      <c r="MHE616" s="17">
        <v>44925</v>
      </c>
      <c r="MHF616" s="5" t="s">
        <v>3728</v>
      </c>
      <c r="MHG616" s="17">
        <v>44925</v>
      </c>
      <c r="MHH616" s="5" t="s">
        <v>3728</v>
      </c>
      <c r="MHI616" s="17">
        <v>44925</v>
      </c>
      <c r="MHJ616" s="5" t="s">
        <v>3728</v>
      </c>
      <c r="MHK616" s="17">
        <v>44925</v>
      </c>
      <c r="MHL616" s="5" t="s">
        <v>3728</v>
      </c>
      <c r="MHM616" s="17">
        <v>44925</v>
      </c>
      <c r="MHN616" s="5" t="s">
        <v>3728</v>
      </c>
      <c r="MHO616" s="17">
        <v>44925</v>
      </c>
      <c r="MHP616" s="5" t="s">
        <v>3728</v>
      </c>
      <c r="MHQ616" s="17">
        <v>44925</v>
      </c>
      <c r="MHR616" s="5" t="s">
        <v>3728</v>
      </c>
      <c r="MHS616" s="17">
        <v>44925</v>
      </c>
      <c r="MHT616" s="5" t="s">
        <v>3728</v>
      </c>
      <c r="MHU616" s="17">
        <v>44925</v>
      </c>
      <c r="MHV616" s="5" t="s">
        <v>3728</v>
      </c>
      <c r="MHW616" s="17">
        <v>44925</v>
      </c>
      <c r="MHX616" s="5" t="s">
        <v>3728</v>
      </c>
      <c r="MHY616" s="17">
        <v>44925</v>
      </c>
      <c r="MHZ616" s="5" t="s">
        <v>3728</v>
      </c>
      <c r="MIA616" s="17">
        <v>44925</v>
      </c>
      <c r="MIB616" s="5" t="s">
        <v>3728</v>
      </c>
      <c r="MIC616" s="17">
        <v>44925</v>
      </c>
      <c r="MID616" s="5" t="s">
        <v>3728</v>
      </c>
      <c r="MIE616" s="17">
        <v>44925</v>
      </c>
      <c r="MIF616" s="5" t="s">
        <v>3728</v>
      </c>
      <c r="MIG616" s="17">
        <v>44925</v>
      </c>
      <c r="MIH616" s="5" t="s">
        <v>3728</v>
      </c>
      <c r="MII616" s="17">
        <v>44925</v>
      </c>
      <c r="MIJ616" s="5" t="s">
        <v>3728</v>
      </c>
      <c r="MIK616" s="17">
        <v>44925</v>
      </c>
      <c r="MIL616" s="5" t="s">
        <v>3728</v>
      </c>
      <c r="MIM616" s="17">
        <v>44925</v>
      </c>
      <c r="MIN616" s="5" t="s">
        <v>3728</v>
      </c>
      <c r="MIO616" s="17">
        <v>44925</v>
      </c>
      <c r="MIP616" s="5" t="s">
        <v>3728</v>
      </c>
      <c r="MIQ616" s="17">
        <v>44925</v>
      </c>
      <c r="MIR616" s="5" t="s">
        <v>3728</v>
      </c>
      <c r="MIS616" s="17">
        <v>44925</v>
      </c>
      <c r="MIT616" s="5" t="s">
        <v>3728</v>
      </c>
      <c r="MIU616" s="17">
        <v>44925</v>
      </c>
      <c r="MIV616" s="5" t="s">
        <v>3728</v>
      </c>
      <c r="MIW616" s="17">
        <v>44925</v>
      </c>
      <c r="MIX616" s="5" t="s">
        <v>3728</v>
      </c>
      <c r="MIY616" s="17">
        <v>44925</v>
      </c>
      <c r="MIZ616" s="5" t="s">
        <v>3728</v>
      </c>
      <c r="MJA616" s="17">
        <v>44925</v>
      </c>
      <c r="MJB616" s="5" t="s">
        <v>3728</v>
      </c>
      <c r="MJC616" s="17">
        <v>44925</v>
      </c>
      <c r="MJD616" s="5" t="s">
        <v>3728</v>
      </c>
      <c r="MJE616" s="17">
        <v>44925</v>
      </c>
      <c r="MJF616" s="5" t="s">
        <v>3728</v>
      </c>
      <c r="MJG616" s="17">
        <v>44925</v>
      </c>
      <c r="MJH616" s="5" t="s">
        <v>3728</v>
      </c>
      <c r="MJI616" s="17">
        <v>44925</v>
      </c>
      <c r="MJJ616" s="5" t="s">
        <v>3728</v>
      </c>
      <c r="MJK616" s="17">
        <v>44925</v>
      </c>
      <c r="MJL616" s="5" t="s">
        <v>3728</v>
      </c>
      <c r="MJM616" s="17">
        <v>44925</v>
      </c>
      <c r="MJN616" s="5" t="s">
        <v>3728</v>
      </c>
      <c r="MJO616" s="17">
        <v>44925</v>
      </c>
      <c r="MJP616" s="5" t="s">
        <v>3728</v>
      </c>
      <c r="MJQ616" s="17">
        <v>44925</v>
      </c>
      <c r="MJR616" s="5" t="s">
        <v>3728</v>
      </c>
      <c r="MJS616" s="17">
        <v>44925</v>
      </c>
      <c r="MJT616" s="5" t="s">
        <v>3728</v>
      </c>
      <c r="MJU616" s="17">
        <v>44925</v>
      </c>
      <c r="MJV616" s="5" t="s">
        <v>3728</v>
      </c>
      <c r="MJW616" s="17">
        <v>44925</v>
      </c>
      <c r="MJX616" s="5" t="s">
        <v>3728</v>
      </c>
      <c r="MJY616" s="17">
        <v>44925</v>
      </c>
      <c r="MJZ616" s="5" t="s">
        <v>3728</v>
      </c>
      <c r="MKA616" s="17">
        <v>44925</v>
      </c>
      <c r="MKB616" s="5" t="s">
        <v>3728</v>
      </c>
      <c r="MKC616" s="17">
        <v>44925</v>
      </c>
      <c r="MKD616" s="5" t="s">
        <v>3728</v>
      </c>
      <c r="MKE616" s="17">
        <v>44925</v>
      </c>
      <c r="MKF616" s="5" t="s">
        <v>3728</v>
      </c>
      <c r="MKG616" s="17">
        <v>44925</v>
      </c>
      <c r="MKH616" s="5" t="s">
        <v>3728</v>
      </c>
      <c r="MKI616" s="17">
        <v>44925</v>
      </c>
      <c r="MKJ616" s="5" t="s">
        <v>3728</v>
      </c>
      <c r="MKK616" s="17">
        <v>44925</v>
      </c>
      <c r="MKL616" s="5" t="s">
        <v>3728</v>
      </c>
      <c r="MKM616" s="17">
        <v>44925</v>
      </c>
      <c r="MKN616" s="5" t="s">
        <v>3728</v>
      </c>
      <c r="MKO616" s="17">
        <v>44925</v>
      </c>
      <c r="MKP616" s="5" t="s">
        <v>3728</v>
      </c>
      <c r="MKQ616" s="17">
        <v>44925</v>
      </c>
      <c r="MKR616" s="5" t="s">
        <v>3728</v>
      </c>
      <c r="MKS616" s="17">
        <v>44925</v>
      </c>
      <c r="MKT616" s="5" t="s">
        <v>3728</v>
      </c>
      <c r="MKU616" s="17">
        <v>44925</v>
      </c>
      <c r="MKV616" s="5" t="s">
        <v>3728</v>
      </c>
      <c r="MKW616" s="17">
        <v>44925</v>
      </c>
      <c r="MKX616" s="5" t="s">
        <v>3728</v>
      </c>
      <c r="MKY616" s="17">
        <v>44925</v>
      </c>
      <c r="MKZ616" s="5" t="s">
        <v>3728</v>
      </c>
      <c r="MLA616" s="17">
        <v>44925</v>
      </c>
      <c r="MLB616" s="5" t="s">
        <v>3728</v>
      </c>
      <c r="MLC616" s="17">
        <v>44925</v>
      </c>
      <c r="MLD616" s="5" t="s">
        <v>3728</v>
      </c>
      <c r="MLE616" s="17">
        <v>44925</v>
      </c>
      <c r="MLF616" s="5" t="s">
        <v>3728</v>
      </c>
      <c r="MLG616" s="17">
        <v>44925</v>
      </c>
      <c r="MLH616" s="5" t="s">
        <v>3728</v>
      </c>
      <c r="MLI616" s="17">
        <v>44925</v>
      </c>
      <c r="MLJ616" s="5" t="s">
        <v>3728</v>
      </c>
      <c r="MLK616" s="17">
        <v>44925</v>
      </c>
      <c r="MLL616" s="5" t="s">
        <v>3728</v>
      </c>
      <c r="MLM616" s="17">
        <v>44925</v>
      </c>
      <c r="MLN616" s="5" t="s">
        <v>3728</v>
      </c>
      <c r="MLO616" s="17">
        <v>44925</v>
      </c>
      <c r="MLP616" s="5" t="s">
        <v>3728</v>
      </c>
      <c r="MLQ616" s="17">
        <v>44925</v>
      </c>
      <c r="MLR616" s="5" t="s">
        <v>3728</v>
      </c>
      <c r="MLS616" s="17">
        <v>44925</v>
      </c>
      <c r="MLT616" s="5" t="s">
        <v>3728</v>
      </c>
      <c r="MLU616" s="17">
        <v>44925</v>
      </c>
      <c r="MLV616" s="5" t="s">
        <v>3728</v>
      </c>
      <c r="MLW616" s="17">
        <v>44925</v>
      </c>
      <c r="MLX616" s="5" t="s">
        <v>3728</v>
      </c>
      <c r="MLY616" s="17">
        <v>44925</v>
      </c>
      <c r="MLZ616" s="5" t="s">
        <v>3728</v>
      </c>
      <c r="MMA616" s="17">
        <v>44925</v>
      </c>
      <c r="MMB616" s="5" t="s">
        <v>3728</v>
      </c>
      <c r="MMC616" s="17">
        <v>44925</v>
      </c>
      <c r="MMD616" s="5" t="s">
        <v>3728</v>
      </c>
      <c r="MME616" s="17">
        <v>44925</v>
      </c>
      <c r="MMF616" s="5" t="s">
        <v>3728</v>
      </c>
      <c r="MMG616" s="17">
        <v>44925</v>
      </c>
      <c r="MMH616" s="5" t="s">
        <v>3728</v>
      </c>
      <c r="MMI616" s="17">
        <v>44925</v>
      </c>
      <c r="MMJ616" s="5" t="s">
        <v>3728</v>
      </c>
      <c r="MMK616" s="17">
        <v>44925</v>
      </c>
      <c r="MML616" s="5" t="s">
        <v>3728</v>
      </c>
      <c r="MMM616" s="17">
        <v>44925</v>
      </c>
      <c r="MMN616" s="5" t="s">
        <v>3728</v>
      </c>
      <c r="MMO616" s="17">
        <v>44925</v>
      </c>
      <c r="MMP616" s="5" t="s">
        <v>3728</v>
      </c>
      <c r="MMQ616" s="17">
        <v>44925</v>
      </c>
      <c r="MMR616" s="5" t="s">
        <v>3728</v>
      </c>
      <c r="MMS616" s="17">
        <v>44925</v>
      </c>
      <c r="MMT616" s="5" t="s">
        <v>3728</v>
      </c>
      <c r="MMU616" s="17">
        <v>44925</v>
      </c>
      <c r="MMV616" s="5" t="s">
        <v>3728</v>
      </c>
      <c r="MMW616" s="17">
        <v>44925</v>
      </c>
      <c r="MMX616" s="5" t="s">
        <v>3728</v>
      </c>
      <c r="MMY616" s="17">
        <v>44925</v>
      </c>
      <c r="MMZ616" s="5" t="s">
        <v>3728</v>
      </c>
      <c r="MNA616" s="17">
        <v>44925</v>
      </c>
      <c r="MNB616" s="5" t="s">
        <v>3728</v>
      </c>
      <c r="MNC616" s="17">
        <v>44925</v>
      </c>
      <c r="MND616" s="5" t="s">
        <v>3728</v>
      </c>
      <c r="MNE616" s="17">
        <v>44925</v>
      </c>
      <c r="MNF616" s="5" t="s">
        <v>3728</v>
      </c>
      <c r="MNG616" s="17">
        <v>44925</v>
      </c>
      <c r="MNH616" s="5" t="s">
        <v>3728</v>
      </c>
      <c r="MNI616" s="17">
        <v>44925</v>
      </c>
      <c r="MNJ616" s="5" t="s">
        <v>3728</v>
      </c>
      <c r="MNK616" s="17">
        <v>44925</v>
      </c>
      <c r="MNL616" s="5" t="s">
        <v>3728</v>
      </c>
      <c r="MNM616" s="17">
        <v>44925</v>
      </c>
      <c r="MNN616" s="5" t="s">
        <v>3728</v>
      </c>
      <c r="MNO616" s="17">
        <v>44925</v>
      </c>
      <c r="MNP616" s="5" t="s">
        <v>3728</v>
      </c>
      <c r="MNQ616" s="17">
        <v>44925</v>
      </c>
      <c r="MNR616" s="5" t="s">
        <v>3728</v>
      </c>
      <c r="MNS616" s="17">
        <v>44925</v>
      </c>
      <c r="MNT616" s="5" t="s">
        <v>3728</v>
      </c>
      <c r="MNU616" s="17">
        <v>44925</v>
      </c>
      <c r="MNV616" s="5" t="s">
        <v>3728</v>
      </c>
      <c r="MNW616" s="17">
        <v>44925</v>
      </c>
      <c r="MNX616" s="5" t="s">
        <v>3728</v>
      </c>
      <c r="MNY616" s="17">
        <v>44925</v>
      </c>
      <c r="MNZ616" s="5" t="s">
        <v>3728</v>
      </c>
      <c r="MOA616" s="17">
        <v>44925</v>
      </c>
      <c r="MOB616" s="5" t="s">
        <v>3728</v>
      </c>
      <c r="MOC616" s="17">
        <v>44925</v>
      </c>
      <c r="MOD616" s="5" t="s">
        <v>3728</v>
      </c>
      <c r="MOE616" s="17">
        <v>44925</v>
      </c>
      <c r="MOF616" s="5" t="s">
        <v>3728</v>
      </c>
      <c r="MOG616" s="17">
        <v>44925</v>
      </c>
      <c r="MOH616" s="5" t="s">
        <v>3728</v>
      </c>
      <c r="MOI616" s="17">
        <v>44925</v>
      </c>
      <c r="MOJ616" s="5" t="s">
        <v>3728</v>
      </c>
      <c r="MOK616" s="17">
        <v>44925</v>
      </c>
      <c r="MOL616" s="5" t="s">
        <v>3728</v>
      </c>
      <c r="MOM616" s="17">
        <v>44925</v>
      </c>
      <c r="MON616" s="5" t="s">
        <v>3728</v>
      </c>
      <c r="MOO616" s="17">
        <v>44925</v>
      </c>
      <c r="MOP616" s="5" t="s">
        <v>3728</v>
      </c>
      <c r="MOQ616" s="17">
        <v>44925</v>
      </c>
      <c r="MOR616" s="5" t="s">
        <v>3728</v>
      </c>
      <c r="MOS616" s="17">
        <v>44925</v>
      </c>
      <c r="MOT616" s="5" t="s">
        <v>3728</v>
      </c>
      <c r="MOU616" s="17">
        <v>44925</v>
      </c>
      <c r="MOV616" s="5" t="s">
        <v>3728</v>
      </c>
      <c r="MOW616" s="17">
        <v>44925</v>
      </c>
      <c r="MOX616" s="5" t="s">
        <v>3728</v>
      </c>
      <c r="MOY616" s="17">
        <v>44925</v>
      </c>
      <c r="MOZ616" s="5" t="s">
        <v>3728</v>
      </c>
      <c r="MPA616" s="17">
        <v>44925</v>
      </c>
      <c r="MPB616" s="5" t="s">
        <v>3728</v>
      </c>
      <c r="MPC616" s="17">
        <v>44925</v>
      </c>
      <c r="MPD616" s="5" t="s">
        <v>3728</v>
      </c>
      <c r="MPE616" s="17">
        <v>44925</v>
      </c>
      <c r="MPF616" s="5" t="s">
        <v>3728</v>
      </c>
      <c r="MPG616" s="17">
        <v>44925</v>
      </c>
      <c r="MPH616" s="5" t="s">
        <v>3728</v>
      </c>
      <c r="MPI616" s="17">
        <v>44925</v>
      </c>
      <c r="MPJ616" s="5" t="s">
        <v>3728</v>
      </c>
      <c r="MPK616" s="17">
        <v>44925</v>
      </c>
      <c r="MPL616" s="5" t="s">
        <v>3728</v>
      </c>
      <c r="MPM616" s="17">
        <v>44925</v>
      </c>
      <c r="MPN616" s="5" t="s">
        <v>3728</v>
      </c>
      <c r="MPO616" s="17">
        <v>44925</v>
      </c>
      <c r="MPP616" s="5" t="s">
        <v>3728</v>
      </c>
      <c r="MPQ616" s="17">
        <v>44925</v>
      </c>
      <c r="MPR616" s="5" t="s">
        <v>3728</v>
      </c>
      <c r="MPS616" s="17">
        <v>44925</v>
      </c>
      <c r="MPT616" s="5" t="s">
        <v>3728</v>
      </c>
      <c r="MPU616" s="17">
        <v>44925</v>
      </c>
      <c r="MPV616" s="5" t="s">
        <v>3728</v>
      </c>
      <c r="MPW616" s="17">
        <v>44925</v>
      </c>
      <c r="MPX616" s="5" t="s">
        <v>3728</v>
      </c>
      <c r="MPY616" s="17">
        <v>44925</v>
      </c>
      <c r="MPZ616" s="5" t="s">
        <v>3728</v>
      </c>
      <c r="MQA616" s="17">
        <v>44925</v>
      </c>
      <c r="MQB616" s="5" t="s">
        <v>3728</v>
      </c>
      <c r="MQC616" s="17">
        <v>44925</v>
      </c>
      <c r="MQD616" s="5" t="s">
        <v>3728</v>
      </c>
      <c r="MQE616" s="17">
        <v>44925</v>
      </c>
      <c r="MQF616" s="5" t="s">
        <v>3728</v>
      </c>
      <c r="MQG616" s="17">
        <v>44925</v>
      </c>
      <c r="MQH616" s="5" t="s">
        <v>3728</v>
      </c>
      <c r="MQI616" s="17">
        <v>44925</v>
      </c>
      <c r="MQJ616" s="5" t="s">
        <v>3728</v>
      </c>
      <c r="MQK616" s="17">
        <v>44925</v>
      </c>
      <c r="MQL616" s="5" t="s">
        <v>3728</v>
      </c>
      <c r="MQM616" s="17">
        <v>44925</v>
      </c>
      <c r="MQN616" s="5" t="s">
        <v>3728</v>
      </c>
      <c r="MQO616" s="17">
        <v>44925</v>
      </c>
      <c r="MQP616" s="5" t="s">
        <v>3728</v>
      </c>
      <c r="MQQ616" s="17">
        <v>44925</v>
      </c>
      <c r="MQR616" s="5" t="s">
        <v>3728</v>
      </c>
      <c r="MQS616" s="17">
        <v>44925</v>
      </c>
      <c r="MQT616" s="5" t="s">
        <v>3728</v>
      </c>
      <c r="MQU616" s="17">
        <v>44925</v>
      </c>
      <c r="MQV616" s="5" t="s">
        <v>3728</v>
      </c>
      <c r="MQW616" s="17">
        <v>44925</v>
      </c>
      <c r="MQX616" s="5" t="s">
        <v>3728</v>
      </c>
      <c r="MQY616" s="17">
        <v>44925</v>
      </c>
      <c r="MQZ616" s="5" t="s">
        <v>3728</v>
      </c>
      <c r="MRA616" s="17">
        <v>44925</v>
      </c>
      <c r="MRB616" s="5" t="s">
        <v>3728</v>
      </c>
      <c r="MRC616" s="17">
        <v>44925</v>
      </c>
      <c r="MRD616" s="5" t="s">
        <v>3728</v>
      </c>
      <c r="MRE616" s="17">
        <v>44925</v>
      </c>
      <c r="MRF616" s="5" t="s">
        <v>3728</v>
      </c>
      <c r="MRG616" s="17">
        <v>44925</v>
      </c>
      <c r="MRH616" s="5" t="s">
        <v>3728</v>
      </c>
      <c r="MRI616" s="17">
        <v>44925</v>
      </c>
      <c r="MRJ616" s="5" t="s">
        <v>3728</v>
      </c>
      <c r="MRK616" s="17">
        <v>44925</v>
      </c>
      <c r="MRL616" s="5" t="s">
        <v>3728</v>
      </c>
      <c r="MRM616" s="17">
        <v>44925</v>
      </c>
      <c r="MRN616" s="5" t="s">
        <v>3728</v>
      </c>
      <c r="MRO616" s="17">
        <v>44925</v>
      </c>
      <c r="MRP616" s="5" t="s">
        <v>3728</v>
      </c>
      <c r="MRQ616" s="17">
        <v>44925</v>
      </c>
      <c r="MRR616" s="5" t="s">
        <v>3728</v>
      </c>
      <c r="MRS616" s="17">
        <v>44925</v>
      </c>
      <c r="MRT616" s="5" t="s">
        <v>3728</v>
      </c>
      <c r="MRU616" s="17">
        <v>44925</v>
      </c>
      <c r="MRV616" s="5" t="s">
        <v>3728</v>
      </c>
      <c r="MRW616" s="17">
        <v>44925</v>
      </c>
      <c r="MRX616" s="5" t="s">
        <v>3728</v>
      </c>
      <c r="MRY616" s="17">
        <v>44925</v>
      </c>
      <c r="MRZ616" s="5" t="s">
        <v>3728</v>
      </c>
      <c r="MSA616" s="17">
        <v>44925</v>
      </c>
      <c r="MSB616" s="5" t="s">
        <v>3728</v>
      </c>
      <c r="MSC616" s="17">
        <v>44925</v>
      </c>
      <c r="MSD616" s="5" t="s">
        <v>3728</v>
      </c>
      <c r="MSE616" s="17">
        <v>44925</v>
      </c>
      <c r="MSF616" s="5" t="s">
        <v>3728</v>
      </c>
      <c r="MSG616" s="17">
        <v>44925</v>
      </c>
      <c r="MSH616" s="5" t="s">
        <v>3728</v>
      </c>
      <c r="MSI616" s="17">
        <v>44925</v>
      </c>
      <c r="MSJ616" s="5" t="s">
        <v>3728</v>
      </c>
      <c r="MSK616" s="17">
        <v>44925</v>
      </c>
      <c r="MSL616" s="5" t="s">
        <v>3728</v>
      </c>
      <c r="MSM616" s="17">
        <v>44925</v>
      </c>
      <c r="MSN616" s="5" t="s">
        <v>3728</v>
      </c>
      <c r="MSO616" s="17">
        <v>44925</v>
      </c>
      <c r="MSP616" s="5" t="s">
        <v>3728</v>
      </c>
      <c r="MSQ616" s="17">
        <v>44925</v>
      </c>
      <c r="MSR616" s="5" t="s">
        <v>3728</v>
      </c>
      <c r="MSS616" s="17">
        <v>44925</v>
      </c>
      <c r="MST616" s="5" t="s">
        <v>3728</v>
      </c>
      <c r="MSU616" s="17">
        <v>44925</v>
      </c>
      <c r="MSV616" s="5" t="s">
        <v>3728</v>
      </c>
      <c r="MSW616" s="17">
        <v>44925</v>
      </c>
      <c r="MSX616" s="5" t="s">
        <v>3728</v>
      </c>
      <c r="MSY616" s="17">
        <v>44925</v>
      </c>
      <c r="MSZ616" s="5" t="s">
        <v>3728</v>
      </c>
      <c r="MTA616" s="17">
        <v>44925</v>
      </c>
      <c r="MTB616" s="5" t="s">
        <v>3728</v>
      </c>
      <c r="MTC616" s="17">
        <v>44925</v>
      </c>
      <c r="MTD616" s="5" t="s">
        <v>3728</v>
      </c>
      <c r="MTE616" s="17">
        <v>44925</v>
      </c>
      <c r="MTF616" s="5" t="s">
        <v>3728</v>
      </c>
      <c r="MTG616" s="17">
        <v>44925</v>
      </c>
      <c r="MTH616" s="5" t="s">
        <v>3728</v>
      </c>
      <c r="MTI616" s="17">
        <v>44925</v>
      </c>
      <c r="MTJ616" s="5" t="s">
        <v>3728</v>
      </c>
      <c r="MTK616" s="17">
        <v>44925</v>
      </c>
      <c r="MTL616" s="5" t="s">
        <v>3728</v>
      </c>
      <c r="MTM616" s="17">
        <v>44925</v>
      </c>
      <c r="MTN616" s="5" t="s">
        <v>3728</v>
      </c>
      <c r="MTO616" s="17">
        <v>44925</v>
      </c>
      <c r="MTP616" s="5" t="s">
        <v>3728</v>
      </c>
      <c r="MTQ616" s="17">
        <v>44925</v>
      </c>
      <c r="MTR616" s="5" t="s">
        <v>3728</v>
      </c>
      <c r="MTS616" s="17">
        <v>44925</v>
      </c>
      <c r="MTT616" s="5" t="s">
        <v>3728</v>
      </c>
      <c r="MTU616" s="17">
        <v>44925</v>
      </c>
      <c r="MTV616" s="5" t="s">
        <v>3728</v>
      </c>
      <c r="MTW616" s="17">
        <v>44925</v>
      </c>
      <c r="MTX616" s="5" t="s">
        <v>3728</v>
      </c>
      <c r="MTY616" s="17">
        <v>44925</v>
      </c>
      <c r="MTZ616" s="5" t="s">
        <v>3728</v>
      </c>
      <c r="MUA616" s="17">
        <v>44925</v>
      </c>
      <c r="MUB616" s="5" t="s">
        <v>3728</v>
      </c>
      <c r="MUC616" s="17">
        <v>44925</v>
      </c>
      <c r="MUD616" s="5" t="s">
        <v>3728</v>
      </c>
      <c r="MUE616" s="17">
        <v>44925</v>
      </c>
      <c r="MUF616" s="5" t="s">
        <v>3728</v>
      </c>
      <c r="MUG616" s="17">
        <v>44925</v>
      </c>
      <c r="MUH616" s="5" t="s">
        <v>3728</v>
      </c>
      <c r="MUI616" s="17">
        <v>44925</v>
      </c>
      <c r="MUJ616" s="5" t="s">
        <v>3728</v>
      </c>
      <c r="MUK616" s="17">
        <v>44925</v>
      </c>
      <c r="MUL616" s="5" t="s">
        <v>3728</v>
      </c>
      <c r="MUM616" s="17">
        <v>44925</v>
      </c>
      <c r="MUN616" s="5" t="s">
        <v>3728</v>
      </c>
      <c r="MUO616" s="17">
        <v>44925</v>
      </c>
      <c r="MUP616" s="5" t="s">
        <v>3728</v>
      </c>
      <c r="MUQ616" s="17">
        <v>44925</v>
      </c>
      <c r="MUR616" s="5" t="s">
        <v>3728</v>
      </c>
      <c r="MUS616" s="17">
        <v>44925</v>
      </c>
      <c r="MUT616" s="5" t="s">
        <v>3728</v>
      </c>
      <c r="MUU616" s="17">
        <v>44925</v>
      </c>
      <c r="MUV616" s="5" t="s">
        <v>3728</v>
      </c>
      <c r="MUW616" s="17">
        <v>44925</v>
      </c>
      <c r="MUX616" s="5" t="s">
        <v>3728</v>
      </c>
      <c r="MUY616" s="17">
        <v>44925</v>
      </c>
      <c r="MUZ616" s="5" t="s">
        <v>3728</v>
      </c>
      <c r="MVA616" s="17">
        <v>44925</v>
      </c>
      <c r="MVB616" s="5" t="s">
        <v>3728</v>
      </c>
      <c r="MVC616" s="17">
        <v>44925</v>
      </c>
      <c r="MVD616" s="5" t="s">
        <v>3728</v>
      </c>
      <c r="MVE616" s="17">
        <v>44925</v>
      </c>
      <c r="MVF616" s="5" t="s">
        <v>3728</v>
      </c>
      <c r="MVG616" s="17">
        <v>44925</v>
      </c>
      <c r="MVH616" s="5" t="s">
        <v>3728</v>
      </c>
      <c r="MVI616" s="17">
        <v>44925</v>
      </c>
      <c r="MVJ616" s="5" t="s">
        <v>3728</v>
      </c>
      <c r="MVK616" s="17">
        <v>44925</v>
      </c>
      <c r="MVL616" s="5" t="s">
        <v>3728</v>
      </c>
      <c r="MVM616" s="17">
        <v>44925</v>
      </c>
      <c r="MVN616" s="5" t="s">
        <v>3728</v>
      </c>
      <c r="MVO616" s="17">
        <v>44925</v>
      </c>
      <c r="MVP616" s="5" t="s">
        <v>3728</v>
      </c>
      <c r="MVQ616" s="17">
        <v>44925</v>
      </c>
      <c r="MVR616" s="5" t="s">
        <v>3728</v>
      </c>
      <c r="MVS616" s="17">
        <v>44925</v>
      </c>
      <c r="MVT616" s="5" t="s">
        <v>3728</v>
      </c>
      <c r="MVU616" s="17">
        <v>44925</v>
      </c>
      <c r="MVV616" s="5" t="s">
        <v>3728</v>
      </c>
      <c r="MVW616" s="17">
        <v>44925</v>
      </c>
      <c r="MVX616" s="5" t="s">
        <v>3728</v>
      </c>
      <c r="MVY616" s="17">
        <v>44925</v>
      </c>
      <c r="MVZ616" s="5" t="s">
        <v>3728</v>
      </c>
      <c r="MWA616" s="17">
        <v>44925</v>
      </c>
      <c r="MWB616" s="5" t="s">
        <v>3728</v>
      </c>
      <c r="MWC616" s="17">
        <v>44925</v>
      </c>
      <c r="MWD616" s="5" t="s">
        <v>3728</v>
      </c>
      <c r="MWE616" s="17">
        <v>44925</v>
      </c>
      <c r="MWF616" s="5" t="s">
        <v>3728</v>
      </c>
      <c r="MWG616" s="17">
        <v>44925</v>
      </c>
      <c r="MWH616" s="5" t="s">
        <v>3728</v>
      </c>
      <c r="MWI616" s="17">
        <v>44925</v>
      </c>
      <c r="MWJ616" s="5" t="s">
        <v>3728</v>
      </c>
      <c r="MWK616" s="17">
        <v>44925</v>
      </c>
      <c r="MWL616" s="5" t="s">
        <v>3728</v>
      </c>
      <c r="MWM616" s="17">
        <v>44925</v>
      </c>
      <c r="MWN616" s="5" t="s">
        <v>3728</v>
      </c>
      <c r="MWO616" s="17">
        <v>44925</v>
      </c>
      <c r="MWP616" s="5" t="s">
        <v>3728</v>
      </c>
      <c r="MWQ616" s="17">
        <v>44925</v>
      </c>
      <c r="MWR616" s="5" t="s">
        <v>3728</v>
      </c>
      <c r="MWS616" s="17">
        <v>44925</v>
      </c>
      <c r="MWT616" s="5" t="s">
        <v>3728</v>
      </c>
      <c r="MWU616" s="17">
        <v>44925</v>
      </c>
      <c r="MWV616" s="5" t="s">
        <v>3728</v>
      </c>
      <c r="MWW616" s="17">
        <v>44925</v>
      </c>
      <c r="MWX616" s="5" t="s">
        <v>3728</v>
      </c>
      <c r="MWY616" s="17">
        <v>44925</v>
      </c>
      <c r="MWZ616" s="5" t="s">
        <v>3728</v>
      </c>
      <c r="MXA616" s="17">
        <v>44925</v>
      </c>
      <c r="MXB616" s="5" t="s">
        <v>3728</v>
      </c>
      <c r="MXC616" s="17">
        <v>44925</v>
      </c>
      <c r="MXD616" s="5" t="s">
        <v>3728</v>
      </c>
      <c r="MXE616" s="17">
        <v>44925</v>
      </c>
      <c r="MXF616" s="5" t="s">
        <v>3728</v>
      </c>
      <c r="MXG616" s="17">
        <v>44925</v>
      </c>
      <c r="MXH616" s="5" t="s">
        <v>3728</v>
      </c>
      <c r="MXI616" s="17">
        <v>44925</v>
      </c>
      <c r="MXJ616" s="5" t="s">
        <v>3728</v>
      </c>
      <c r="MXK616" s="17">
        <v>44925</v>
      </c>
      <c r="MXL616" s="5" t="s">
        <v>3728</v>
      </c>
      <c r="MXM616" s="17">
        <v>44925</v>
      </c>
      <c r="MXN616" s="5" t="s">
        <v>3728</v>
      </c>
      <c r="MXO616" s="17">
        <v>44925</v>
      </c>
      <c r="MXP616" s="5" t="s">
        <v>3728</v>
      </c>
      <c r="MXQ616" s="17">
        <v>44925</v>
      </c>
      <c r="MXR616" s="5" t="s">
        <v>3728</v>
      </c>
      <c r="MXS616" s="17">
        <v>44925</v>
      </c>
      <c r="MXT616" s="5" t="s">
        <v>3728</v>
      </c>
      <c r="MXU616" s="17">
        <v>44925</v>
      </c>
      <c r="MXV616" s="5" t="s">
        <v>3728</v>
      </c>
      <c r="MXW616" s="17">
        <v>44925</v>
      </c>
      <c r="MXX616" s="5" t="s">
        <v>3728</v>
      </c>
      <c r="MXY616" s="17">
        <v>44925</v>
      </c>
      <c r="MXZ616" s="5" t="s">
        <v>3728</v>
      </c>
      <c r="MYA616" s="17">
        <v>44925</v>
      </c>
      <c r="MYB616" s="5" t="s">
        <v>3728</v>
      </c>
      <c r="MYC616" s="17">
        <v>44925</v>
      </c>
      <c r="MYD616" s="5" t="s">
        <v>3728</v>
      </c>
      <c r="MYE616" s="17">
        <v>44925</v>
      </c>
      <c r="MYF616" s="5" t="s">
        <v>3728</v>
      </c>
      <c r="MYG616" s="17">
        <v>44925</v>
      </c>
      <c r="MYH616" s="5" t="s">
        <v>3728</v>
      </c>
      <c r="MYI616" s="17">
        <v>44925</v>
      </c>
      <c r="MYJ616" s="5" t="s">
        <v>3728</v>
      </c>
      <c r="MYK616" s="17">
        <v>44925</v>
      </c>
      <c r="MYL616" s="5" t="s">
        <v>3728</v>
      </c>
      <c r="MYM616" s="17">
        <v>44925</v>
      </c>
      <c r="MYN616" s="5" t="s">
        <v>3728</v>
      </c>
      <c r="MYO616" s="17">
        <v>44925</v>
      </c>
      <c r="MYP616" s="5" t="s">
        <v>3728</v>
      </c>
      <c r="MYQ616" s="17">
        <v>44925</v>
      </c>
      <c r="MYR616" s="5" t="s">
        <v>3728</v>
      </c>
      <c r="MYS616" s="17">
        <v>44925</v>
      </c>
      <c r="MYT616" s="5" t="s">
        <v>3728</v>
      </c>
      <c r="MYU616" s="17">
        <v>44925</v>
      </c>
      <c r="MYV616" s="5" t="s">
        <v>3728</v>
      </c>
      <c r="MYW616" s="17">
        <v>44925</v>
      </c>
      <c r="MYX616" s="5" t="s">
        <v>3728</v>
      </c>
      <c r="MYY616" s="17">
        <v>44925</v>
      </c>
      <c r="MYZ616" s="5" t="s">
        <v>3728</v>
      </c>
      <c r="MZA616" s="17">
        <v>44925</v>
      </c>
      <c r="MZB616" s="5" t="s">
        <v>3728</v>
      </c>
      <c r="MZC616" s="17">
        <v>44925</v>
      </c>
      <c r="MZD616" s="5" t="s">
        <v>3728</v>
      </c>
      <c r="MZE616" s="17">
        <v>44925</v>
      </c>
      <c r="MZF616" s="5" t="s">
        <v>3728</v>
      </c>
      <c r="MZG616" s="17">
        <v>44925</v>
      </c>
      <c r="MZH616" s="5" t="s">
        <v>3728</v>
      </c>
      <c r="MZI616" s="17">
        <v>44925</v>
      </c>
      <c r="MZJ616" s="5" t="s">
        <v>3728</v>
      </c>
      <c r="MZK616" s="17">
        <v>44925</v>
      </c>
      <c r="MZL616" s="5" t="s">
        <v>3728</v>
      </c>
      <c r="MZM616" s="17">
        <v>44925</v>
      </c>
      <c r="MZN616" s="5" t="s">
        <v>3728</v>
      </c>
      <c r="MZO616" s="17">
        <v>44925</v>
      </c>
      <c r="MZP616" s="5" t="s">
        <v>3728</v>
      </c>
      <c r="MZQ616" s="17">
        <v>44925</v>
      </c>
      <c r="MZR616" s="5" t="s">
        <v>3728</v>
      </c>
      <c r="MZS616" s="17">
        <v>44925</v>
      </c>
      <c r="MZT616" s="5" t="s">
        <v>3728</v>
      </c>
      <c r="MZU616" s="17">
        <v>44925</v>
      </c>
      <c r="MZV616" s="5" t="s">
        <v>3728</v>
      </c>
      <c r="MZW616" s="17">
        <v>44925</v>
      </c>
      <c r="MZX616" s="5" t="s">
        <v>3728</v>
      </c>
      <c r="MZY616" s="17">
        <v>44925</v>
      </c>
      <c r="MZZ616" s="5" t="s">
        <v>3728</v>
      </c>
      <c r="NAA616" s="17">
        <v>44925</v>
      </c>
      <c r="NAB616" s="5" t="s">
        <v>3728</v>
      </c>
      <c r="NAC616" s="17">
        <v>44925</v>
      </c>
      <c r="NAD616" s="5" t="s">
        <v>3728</v>
      </c>
      <c r="NAE616" s="17">
        <v>44925</v>
      </c>
      <c r="NAF616" s="5" t="s">
        <v>3728</v>
      </c>
      <c r="NAG616" s="17">
        <v>44925</v>
      </c>
      <c r="NAH616" s="5" t="s">
        <v>3728</v>
      </c>
      <c r="NAI616" s="17">
        <v>44925</v>
      </c>
      <c r="NAJ616" s="5" t="s">
        <v>3728</v>
      </c>
      <c r="NAK616" s="17">
        <v>44925</v>
      </c>
      <c r="NAL616" s="5" t="s">
        <v>3728</v>
      </c>
      <c r="NAM616" s="17">
        <v>44925</v>
      </c>
      <c r="NAN616" s="5" t="s">
        <v>3728</v>
      </c>
      <c r="NAO616" s="17">
        <v>44925</v>
      </c>
      <c r="NAP616" s="5" t="s">
        <v>3728</v>
      </c>
      <c r="NAQ616" s="17">
        <v>44925</v>
      </c>
      <c r="NAR616" s="5" t="s">
        <v>3728</v>
      </c>
      <c r="NAS616" s="17">
        <v>44925</v>
      </c>
      <c r="NAT616" s="5" t="s">
        <v>3728</v>
      </c>
      <c r="NAU616" s="17">
        <v>44925</v>
      </c>
      <c r="NAV616" s="5" t="s">
        <v>3728</v>
      </c>
      <c r="NAW616" s="17">
        <v>44925</v>
      </c>
      <c r="NAX616" s="5" t="s">
        <v>3728</v>
      </c>
      <c r="NAY616" s="17">
        <v>44925</v>
      </c>
      <c r="NAZ616" s="5" t="s">
        <v>3728</v>
      </c>
      <c r="NBA616" s="17">
        <v>44925</v>
      </c>
      <c r="NBB616" s="5" t="s">
        <v>3728</v>
      </c>
      <c r="NBC616" s="17">
        <v>44925</v>
      </c>
      <c r="NBD616" s="5" t="s">
        <v>3728</v>
      </c>
      <c r="NBE616" s="17">
        <v>44925</v>
      </c>
      <c r="NBF616" s="5" t="s">
        <v>3728</v>
      </c>
      <c r="NBG616" s="17">
        <v>44925</v>
      </c>
      <c r="NBH616" s="5" t="s">
        <v>3728</v>
      </c>
      <c r="NBI616" s="17">
        <v>44925</v>
      </c>
      <c r="NBJ616" s="5" t="s">
        <v>3728</v>
      </c>
      <c r="NBK616" s="17">
        <v>44925</v>
      </c>
      <c r="NBL616" s="5" t="s">
        <v>3728</v>
      </c>
      <c r="NBM616" s="17">
        <v>44925</v>
      </c>
      <c r="NBN616" s="5" t="s">
        <v>3728</v>
      </c>
      <c r="NBO616" s="17">
        <v>44925</v>
      </c>
      <c r="NBP616" s="5" t="s">
        <v>3728</v>
      </c>
      <c r="NBQ616" s="17">
        <v>44925</v>
      </c>
      <c r="NBR616" s="5" t="s">
        <v>3728</v>
      </c>
      <c r="NBS616" s="17">
        <v>44925</v>
      </c>
      <c r="NBT616" s="5" t="s">
        <v>3728</v>
      </c>
      <c r="NBU616" s="17">
        <v>44925</v>
      </c>
      <c r="NBV616" s="5" t="s">
        <v>3728</v>
      </c>
      <c r="NBW616" s="17">
        <v>44925</v>
      </c>
      <c r="NBX616" s="5" t="s">
        <v>3728</v>
      </c>
      <c r="NBY616" s="17">
        <v>44925</v>
      </c>
      <c r="NBZ616" s="5" t="s">
        <v>3728</v>
      </c>
      <c r="NCA616" s="17">
        <v>44925</v>
      </c>
      <c r="NCB616" s="5" t="s">
        <v>3728</v>
      </c>
      <c r="NCC616" s="17">
        <v>44925</v>
      </c>
      <c r="NCD616" s="5" t="s">
        <v>3728</v>
      </c>
      <c r="NCE616" s="17">
        <v>44925</v>
      </c>
      <c r="NCF616" s="5" t="s">
        <v>3728</v>
      </c>
      <c r="NCG616" s="17">
        <v>44925</v>
      </c>
      <c r="NCH616" s="5" t="s">
        <v>3728</v>
      </c>
      <c r="NCI616" s="17">
        <v>44925</v>
      </c>
      <c r="NCJ616" s="5" t="s">
        <v>3728</v>
      </c>
      <c r="NCK616" s="17">
        <v>44925</v>
      </c>
      <c r="NCL616" s="5" t="s">
        <v>3728</v>
      </c>
      <c r="NCM616" s="17">
        <v>44925</v>
      </c>
      <c r="NCN616" s="5" t="s">
        <v>3728</v>
      </c>
      <c r="NCO616" s="17">
        <v>44925</v>
      </c>
      <c r="NCP616" s="5" t="s">
        <v>3728</v>
      </c>
      <c r="NCQ616" s="17">
        <v>44925</v>
      </c>
      <c r="NCR616" s="5" t="s">
        <v>3728</v>
      </c>
      <c r="NCS616" s="17">
        <v>44925</v>
      </c>
      <c r="NCT616" s="5" t="s">
        <v>3728</v>
      </c>
      <c r="NCU616" s="17">
        <v>44925</v>
      </c>
      <c r="NCV616" s="5" t="s">
        <v>3728</v>
      </c>
      <c r="NCW616" s="17">
        <v>44925</v>
      </c>
      <c r="NCX616" s="5" t="s">
        <v>3728</v>
      </c>
      <c r="NCY616" s="17">
        <v>44925</v>
      </c>
      <c r="NCZ616" s="5" t="s">
        <v>3728</v>
      </c>
      <c r="NDA616" s="17">
        <v>44925</v>
      </c>
      <c r="NDB616" s="5" t="s">
        <v>3728</v>
      </c>
      <c r="NDC616" s="17">
        <v>44925</v>
      </c>
      <c r="NDD616" s="5" t="s">
        <v>3728</v>
      </c>
      <c r="NDE616" s="17">
        <v>44925</v>
      </c>
      <c r="NDF616" s="5" t="s">
        <v>3728</v>
      </c>
      <c r="NDG616" s="17">
        <v>44925</v>
      </c>
      <c r="NDH616" s="5" t="s">
        <v>3728</v>
      </c>
      <c r="NDI616" s="17">
        <v>44925</v>
      </c>
      <c r="NDJ616" s="5" t="s">
        <v>3728</v>
      </c>
      <c r="NDK616" s="17">
        <v>44925</v>
      </c>
      <c r="NDL616" s="5" t="s">
        <v>3728</v>
      </c>
      <c r="NDM616" s="17">
        <v>44925</v>
      </c>
      <c r="NDN616" s="5" t="s">
        <v>3728</v>
      </c>
      <c r="NDO616" s="17">
        <v>44925</v>
      </c>
      <c r="NDP616" s="5" t="s">
        <v>3728</v>
      </c>
      <c r="NDQ616" s="17">
        <v>44925</v>
      </c>
      <c r="NDR616" s="5" t="s">
        <v>3728</v>
      </c>
      <c r="NDS616" s="17">
        <v>44925</v>
      </c>
      <c r="NDT616" s="5" t="s">
        <v>3728</v>
      </c>
      <c r="NDU616" s="17">
        <v>44925</v>
      </c>
      <c r="NDV616" s="5" t="s">
        <v>3728</v>
      </c>
      <c r="NDW616" s="17">
        <v>44925</v>
      </c>
      <c r="NDX616" s="5" t="s">
        <v>3728</v>
      </c>
      <c r="NDY616" s="17">
        <v>44925</v>
      </c>
      <c r="NDZ616" s="5" t="s">
        <v>3728</v>
      </c>
      <c r="NEA616" s="17">
        <v>44925</v>
      </c>
      <c r="NEB616" s="5" t="s">
        <v>3728</v>
      </c>
      <c r="NEC616" s="17">
        <v>44925</v>
      </c>
      <c r="NED616" s="5" t="s">
        <v>3728</v>
      </c>
      <c r="NEE616" s="17">
        <v>44925</v>
      </c>
      <c r="NEF616" s="5" t="s">
        <v>3728</v>
      </c>
      <c r="NEG616" s="17">
        <v>44925</v>
      </c>
      <c r="NEH616" s="5" t="s">
        <v>3728</v>
      </c>
      <c r="NEI616" s="17">
        <v>44925</v>
      </c>
      <c r="NEJ616" s="5" t="s">
        <v>3728</v>
      </c>
      <c r="NEK616" s="17">
        <v>44925</v>
      </c>
      <c r="NEL616" s="5" t="s">
        <v>3728</v>
      </c>
      <c r="NEM616" s="17">
        <v>44925</v>
      </c>
      <c r="NEN616" s="5" t="s">
        <v>3728</v>
      </c>
      <c r="NEO616" s="17">
        <v>44925</v>
      </c>
      <c r="NEP616" s="5" t="s">
        <v>3728</v>
      </c>
      <c r="NEQ616" s="17">
        <v>44925</v>
      </c>
      <c r="NER616" s="5" t="s">
        <v>3728</v>
      </c>
      <c r="NES616" s="17">
        <v>44925</v>
      </c>
      <c r="NET616" s="5" t="s">
        <v>3728</v>
      </c>
      <c r="NEU616" s="17">
        <v>44925</v>
      </c>
      <c r="NEV616" s="5" t="s">
        <v>3728</v>
      </c>
      <c r="NEW616" s="17">
        <v>44925</v>
      </c>
      <c r="NEX616" s="5" t="s">
        <v>3728</v>
      </c>
      <c r="NEY616" s="17">
        <v>44925</v>
      </c>
      <c r="NEZ616" s="5" t="s">
        <v>3728</v>
      </c>
      <c r="NFA616" s="17">
        <v>44925</v>
      </c>
      <c r="NFB616" s="5" t="s">
        <v>3728</v>
      </c>
      <c r="NFC616" s="17">
        <v>44925</v>
      </c>
      <c r="NFD616" s="5" t="s">
        <v>3728</v>
      </c>
      <c r="NFE616" s="17">
        <v>44925</v>
      </c>
      <c r="NFF616" s="5" t="s">
        <v>3728</v>
      </c>
      <c r="NFG616" s="17">
        <v>44925</v>
      </c>
      <c r="NFH616" s="5" t="s">
        <v>3728</v>
      </c>
      <c r="NFI616" s="17">
        <v>44925</v>
      </c>
      <c r="NFJ616" s="5" t="s">
        <v>3728</v>
      </c>
      <c r="NFK616" s="17">
        <v>44925</v>
      </c>
      <c r="NFL616" s="5" t="s">
        <v>3728</v>
      </c>
      <c r="NFM616" s="17">
        <v>44925</v>
      </c>
      <c r="NFN616" s="5" t="s">
        <v>3728</v>
      </c>
      <c r="NFO616" s="17">
        <v>44925</v>
      </c>
      <c r="NFP616" s="5" t="s">
        <v>3728</v>
      </c>
      <c r="NFQ616" s="17">
        <v>44925</v>
      </c>
      <c r="NFR616" s="5" t="s">
        <v>3728</v>
      </c>
      <c r="NFS616" s="17">
        <v>44925</v>
      </c>
      <c r="NFT616" s="5" t="s">
        <v>3728</v>
      </c>
      <c r="NFU616" s="17">
        <v>44925</v>
      </c>
      <c r="NFV616" s="5" t="s">
        <v>3728</v>
      </c>
      <c r="NFW616" s="17">
        <v>44925</v>
      </c>
      <c r="NFX616" s="5" t="s">
        <v>3728</v>
      </c>
      <c r="NFY616" s="17">
        <v>44925</v>
      </c>
      <c r="NFZ616" s="5" t="s">
        <v>3728</v>
      </c>
      <c r="NGA616" s="17">
        <v>44925</v>
      </c>
      <c r="NGB616" s="5" t="s">
        <v>3728</v>
      </c>
      <c r="NGC616" s="17">
        <v>44925</v>
      </c>
      <c r="NGD616" s="5" t="s">
        <v>3728</v>
      </c>
      <c r="NGE616" s="17">
        <v>44925</v>
      </c>
      <c r="NGF616" s="5" t="s">
        <v>3728</v>
      </c>
      <c r="NGG616" s="17">
        <v>44925</v>
      </c>
      <c r="NGH616" s="5" t="s">
        <v>3728</v>
      </c>
      <c r="NGI616" s="17">
        <v>44925</v>
      </c>
      <c r="NGJ616" s="5" t="s">
        <v>3728</v>
      </c>
      <c r="NGK616" s="17">
        <v>44925</v>
      </c>
      <c r="NGL616" s="5" t="s">
        <v>3728</v>
      </c>
      <c r="NGM616" s="17">
        <v>44925</v>
      </c>
      <c r="NGN616" s="5" t="s">
        <v>3728</v>
      </c>
      <c r="NGO616" s="17">
        <v>44925</v>
      </c>
      <c r="NGP616" s="5" t="s">
        <v>3728</v>
      </c>
      <c r="NGQ616" s="17">
        <v>44925</v>
      </c>
      <c r="NGR616" s="5" t="s">
        <v>3728</v>
      </c>
      <c r="NGS616" s="17">
        <v>44925</v>
      </c>
      <c r="NGT616" s="5" t="s">
        <v>3728</v>
      </c>
      <c r="NGU616" s="17">
        <v>44925</v>
      </c>
      <c r="NGV616" s="5" t="s">
        <v>3728</v>
      </c>
      <c r="NGW616" s="17">
        <v>44925</v>
      </c>
      <c r="NGX616" s="5" t="s">
        <v>3728</v>
      </c>
      <c r="NGY616" s="17">
        <v>44925</v>
      </c>
      <c r="NGZ616" s="5" t="s">
        <v>3728</v>
      </c>
      <c r="NHA616" s="17">
        <v>44925</v>
      </c>
      <c r="NHB616" s="5" t="s">
        <v>3728</v>
      </c>
      <c r="NHC616" s="17">
        <v>44925</v>
      </c>
      <c r="NHD616" s="5" t="s">
        <v>3728</v>
      </c>
      <c r="NHE616" s="17">
        <v>44925</v>
      </c>
      <c r="NHF616" s="5" t="s">
        <v>3728</v>
      </c>
      <c r="NHG616" s="17">
        <v>44925</v>
      </c>
      <c r="NHH616" s="5" t="s">
        <v>3728</v>
      </c>
      <c r="NHI616" s="17">
        <v>44925</v>
      </c>
      <c r="NHJ616" s="5" t="s">
        <v>3728</v>
      </c>
      <c r="NHK616" s="17">
        <v>44925</v>
      </c>
      <c r="NHL616" s="5" t="s">
        <v>3728</v>
      </c>
      <c r="NHM616" s="17">
        <v>44925</v>
      </c>
      <c r="NHN616" s="5" t="s">
        <v>3728</v>
      </c>
      <c r="NHO616" s="17">
        <v>44925</v>
      </c>
      <c r="NHP616" s="5" t="s">
        <v>3728</v>
      </c>
      <c r="NHQ616" s="17">
        <v>44925</v>
      </c>
      <c r="NHR616" s="5" t="s">
        <v>3728</v>
      </c>
      <c r="NHS616" s="17">
        <v>44925</v>
      </c>
      <c r="NHT616" s="5" t="s">
        <v>3728</v>
      </c>
      <c r="NHU616" s="17">
        <v>44925</v>
      </c>
      <c r="NHV616" s="5" t="s">
        <v>3728</v>
      </c>
      <c r="NHW616" s="17">
        <v>44925</v>
      </c>
      <c r="NHX616" s="5" t="s">
        <v>3728</v>
      </c>
      <c r="NHY616" s="17">
        <v>44925</v>
      </c>
      <c r="NHZ616" s="5" t="s">
        <v>3728</v>
      </c>
      <c r="NIA616" s="17">
        <v>44925</v>
      </c>
      <c r="NIB616" s="5" t="s">
        <v>3728</v>
      </c>
      <c r="NIC616" s="17">
        <v>44925</v>
      </c>
      <c r="NID616" s="5" t="s">
        <v>3728</v>
      </c>
      <c r="NIE616" s="17">
        <v>44925</v>
      </c>
      <c r="NIF616" s="5" t="s">
        <v>3728</v>
      </c>
      <c r="NIG616" s="17">
        <v>44925</v>
      </c>
      <c r="NIH616" s="5" t="s">
        <v>3728</v>
      </c>
      <c r="NII616" s="17">
        <v>44925</v>
      </c>
      <c r="NIJ616" s="5" t="s">
        <v>3728</v>
      </c>
      <c r="NIK616" s="17">
        <v>44925</v>
      </c>
      <c r="NIL616" s="5" t="s">
        <v>3728</v>
      </c>
      <c r="NIM616" s="17">
        <v>44925</v>
      </c>
      <c r="NIN616" s="5" t="s">
        <v>3728</v>
      </c>
      <c r="NIO616" s="17">
        <v>44925</v>
      </c>
      <c r="NIP616" s="5" t="s">
        <v>3728</v>
      </c>
      <c r="NIQ616" s="17">
        <v>44925</v>
      </c>
      <c r="NIR616" s="5" t="s">
        <v>3728</v>
      </c>
      <c r="NIS616" s="17">
        <v>44925</v>
      </c>
      <c r="NIT616" s="5" t="s">
        <v>3728</v>
      </c>
      <c r="NIU616" s="17">
        <v>44925</v>
      </c>
      <c r="NIV616" s="5" t="s">
        <v>3728</v>
      </c>
      <c r="NIW616" s="17">
        <v>44925</v>
      </c>
      <c r="NIX616" s="5" t="s">
        <v>3728</v>
      </c>
      <c r="NIY616" s="17">
        <v>44925</v>
      </c>
      <c r="NIZ616" s="5" t="s">
        <v>3728</v>
      </c>
      <c r="NJA616" s="17">
        <v>44925</v>
      </c>
      <c r="NJB616" s="5" t="s">
        <v>3728</v>
      </c>
      <c r="NJC616" s="17">
        <v>44925</v>
      </c>
      <c r="NJD616" s="5" t="s">
        <v>3728</v>
      </c>
      <c r="NJE616" s="17">
        <v>44925</v>
      </c>
      <c r="NJF616" s="5" t="s">
        <v>3728</v>
      </c>
      <c r="NJG616" s="17">
        <v>44925</v>
      </c>
      <c r="NJH616" s="5" t="s">
        <v>3728</v>
      </c>
      <c r="NJI616" s="17">
        <v>44925</v>
      </c>
      <c r="NJJ616" s="5" t="s">
        <v>3728</v>
      </c>
      <c r="NJK616" s="17">
        <v>44925</v>
      </c>
      <c r="NJL616" s="5" t="s">
        <v>3728</v>
      </c>
      <c r="NJM616" s="17">
        <v>44925</v>
      </c>
      <c r="NJN616" s="5" t="s">
        <v>3728</v>
      </c>
      <c r="NJO616" s="17">
        <v>44925</v>
      </c>
      <c r="NJP616" s="5" t="s">
        <v>3728</v>
      </c>
      <c r="NJQ616" s="17">
        <v>44925</v>
      </c>
      <c r="NJR616" s="5" t="s">
        <v>3728</v>
      </c>
      <c r="NJS616" s="17">
        <v>44925</v>
      </c>
      <c r="NJT616" s="5" t="s">
        <v>3728</v>
      </c>
      <c r="NJU616" s="17">
        <v>44925</v>
      </c>
      <c r="NJV616" s="5" t="s">
        <v>3728</v>
      </c>
      <c r="NJW616" s="17">
        <v>44925</v>
      </c>
      <c r="NJX616" s="5" t="s">
        <v>3728</v>
      </c>
      <c r="NJY616" s="17">
        <v>44925</v>
      </c>
      <c r="NJZ616" s="5" t="s">
        <v>3728</v>
      </c>
      <c r="NKA616" s="17">
        <v>44925</v>
      </c>
      <c r="NKB616" s="5" t="s">
        <v>3728</v>
      </c>
      <c r="NKC616" s="17">
        <v>44925</v>
      </c>
      <c r="NKD616" s="5" t="s">
        <v>3728</v>
      </c>
      <c r="NKE616" s="17">
        <v>44925</v>
      </c>
      <c r="NKF616" s="5" t="s">
        <v>3728</v>
      </c>
      <c r="NKG616" s="17">
        <v>44925</v>
      </c>
      <c r="NKH616" s="5" t="s">
        <v>3728</v>
      </c>
      <c r="NKI616" s="17">
        <v>44925</v>
      </c>
      <c r="NKJ616" s="5" t="s">
        <v>3728</v>
      </c>
      <c r="NKK616" s="17">
        <v>44925</v>
      </c>
      <c r="NKL616" s="5" t="s">
        <v>3728</v>
      </c>
      <c r="NKM616" s="17">
        <v>44925</v>
      </c>
      <c r="NKN616" s="5" t="s">
        <v>3728</v>
      </c>
      <c r="NKO616" s="17">
        <v>44925</v>
      </c>
      <c r="NKP616" s="5" t="s">
        <v>3728</v>
      </c>
      <c r="NKQ616" s="17">
        <v>44925</v>
      </c>
      <c r="NKR616" s="5" t="s">
        <v>3728</v>
      </c>
      <c r="NKS616" s="17">
        <v>44925</v>
      </c>
      <c r="NKT616" s="5" t="s">
        <v>3728</v>
      </c>
      <c r="NKU616" s="17">
        <v>44925</v>
      </c>
      <c r="NKV616" s="5" t="s">
        <v>3728</v>
      </c>
      <c r="NKW616" s="17">
        <v>44925</v>
      </c>
      <c r="NKX616" s="5" t="s">
        <v>3728</v>
      </c>
      <c r="NKY616" s="17">
        <v>44925</v>
      </c>
      <c r="NKZ616" s="5" t="s">
        <v>3728</v>
      </c>
      <c r="NLA616" s="17">
        <v>44925</v>
      </c>
      <c r="NLB616" s="5" t="s">
        <v>3728</v>
      </c>
      <c r="NLC616" s="17">
        <v>44925</v>
      </c>
      <c r="NLD616" s="5" t="s">
        <v>3728</v>
      </c>
      <c r="NLE616" s="17">
        <v>44925</v>
      </c>
      <c r="NLF616" s="5" t="s">
        <v>3728</v>
      </c>
      <c r="NLG616" s="17">
        <v>44925</v>
      </c>
      <c r="NLH616" s="5" t="s">
        <v>3728</v>
      </c>
      <c r="NLI616" s="17">
        <v>44925</v>
      </c>
      <c r="NLJ616" s="5" t="s">
        <v>3728</v>
      </c>
      <c r="NLK616" s="17">
        <v>44925</v>
      </c>
      <c r="NLL616" s="5" t="s">
        <v>3728</v>
      </c>
      <c r="NLM616" s="17">
        <v>44925</v>
      </c>
      <c r="NLN616" s="5" t="s">
        <v>3728</v>
      </c>
      <c r="NLO616" s="17">
        <v>44925</v>
      </c>
      <c r="NLP616" s="5" t="s">
        <v>3728</v>
      </c>
      <c r="NLQ616" s="17">
        <v>44925</v>
      </c>
      <c r="NLR616" s="5" t="s">
        <v>3728</v>
      </c>
      <c r="NLS616" s="17">
        <v>44925</v>
      </c>
      <c r="NLT616" s="5" t="s">
        <v>3728</v>
      </c>
      <c r="NLU616" s="17">
        <v>44925</v>
      </c>
      <c r="NLV616" s="5" t="s">
        <v>3728</v>
      </c>
      <c r="NLW616" s="17">
        <v>44925</v>
      </c>
      <c r="NLX616" s="5" t="s">
        <v>3728</v>
      </c>
      <c r="NLY616" s="17">
        <v>44925</v>
      </c>
      <c r="NLZ616" s="5" t="s">
        <v>3728</v>
      </c>
      <c r="NMA616" s="17">
        <v>44925</v>
      </c>
      <c r="NMB616" s="5" t="s">
        <v>3728</v>
      </c>
      <c r="NMC616" s="17">
        <v>44925</v>
      </c>
      <c r="NMD616" s="5" t="s">
        <v>3728</v>
      </c>
      <c r="NME616" s="17">
        <v>44925</v>
      </c>
      <c r="NMF616" s="5" t="s">
        <v>3728</v>
      </c>
      <c r="NMG616" s="17">
        <v>44925</v>
      </c>
      <c r="NMH616" s="5" t="s">
        <v>3728</v>
      </c>
      <c r="NMI616" s="17">
        <v>44925</v>
      </c>
      <c r="NMJ616" s="5" t="s">
        <v>3728</v>
      </c>
      <c r="NMK616" s="17">
        <v>44925</v>
      </c>
      <c r="NML616" s="5" t="s">
        <v>3728</v>
      </c>
      <c r="NMM616" s="17">
        <v>44925</v>
      </c>
      <c r="NMN616" s="5" t="s">
        <v>3728</v>
      </c>
      <c r="NMO616" s="17">
        <v>44925</v>
      </c>
      <c r="NMP616" s="5" t="s">
        <v>3728</v>
      </c>
      <c r="NMQ616" s="17">
        <v>44925</v>
      </c>
      <c r="NMR616" s="5" t="s">
        <v>3728</v>
      </c>
      <c r="NMS616" s="17">
        <v>44925</v>
      </c>
      <c r="NMT616" s="5" t="s">
        <v>3728</v>
      </c>
      <c r="NMU616" s="17">
        <v>44925</v>
      </c>
      <c r="NMV616" s="5" t="s">
        <v>3728</v>
      </c>
      <c r="NMW616" s="17">
        <v>44925</v>
      </c>
      <c r="NMX616" s="5" t="s">
        <v>3728</v>
      </c>
      <c r="NMY616" s="17">
        <v>44925</v>
      </c>
      <c r="NMZ616" s="5" t="s">
        <v>3728</v>
      </c>
      <c r="NNA616" s="17">
        <v>44925</v>
      </c>
      <c r="NNB616" s="5" t="s">
        <v>3728</v>
      </c>
      <c r="NNC616" s="17">
        <v>44925</v>
      </c>
      <c r="NND616" s="5" t="s">
        <v>3728</v>
      </c>
      <c r="NNE616" s="17">
        <v>44925</v>
      </c>
      <c r="NNF616" s="5" t="s">
        <v>3728</v>
      </c>
      <c r="NNG616" s="17">
        <v>44925</v>
      </c>
      <c r="NNH616" s="5" t="s">
        <v>3728</v>
      </c>
      <c r="NNI616" s="17">
        <v>44925</v>
      </c>
      <c r="NNJ616" s="5" t="s">
        <v>3728</v>
      </c>
      <c r="NNK616" s="17">
        <v>44925</v>
      </c>
      <c r="NNL616" s="5" t="s">
        <v>3728</v>
      </c>
      <c r="NNM616" s="17">
        <v>44925</v>
      </c>
      <c r="NNN616" s="5" t="s">
        <v>3728</v>
      </c>
      <c r="NNO616" s="17">
        <v>44925</v>
      </c>
      <c r="NNP616" s="5" t="s">
        <v>3728</v>
      </c>
      <c r="NNQ616" s="17">
        <v>44925</v>
      </c>
      <c r="NNR616" s="5" t="s">
        <v>3728</v>
      </c>
      <c r="NNS616" s="17">
        <v>44925</v>
      </c>
      <c r="NNT616" s="5" t="s">
        <v>3728</v>
      </c>
      <c r="NNU616" s="17">
        <v>44925</v>
      </c>
      <c r="NNV616" s="5" t="s">
        <v>3728</v>
      </c>
      <c r="NNW616" s="17">
        <v>44925</v>
      </c>
      <c r="NNX616" s="5" t="s">
        <v>3728</v>
      </c>
      <c r="NNY616" s="17">
        <v>44925</v>
      </c>
      <c r="NNZ616" s="5" t="s">
        <v>3728</v>
      </c>
      <c r="NOA616" s="17">
        <v>44925</v>
      </c>
      <c r="NOB616" s="5" t="s">
        <v>3728</v>
      </c>
      <c r="NOC616" s="17">
        <v>44925</v>
      </c>
      <c r="NOD616" s="5" t="s">
        <v>3728</v>
      </c>
      <c r="NOE616" s="17">
        <v>44925</v>
      </c>
      <c r="NOF616" s="5" t="s">
        <v>3728</v>
      </c>
      <c r="NOG616" s="17">
        <v>44925</v>
      </c>
      <c r="NOH616" s="5" t="s">
        <v>3728</v>
      </c>
      <c r="NOI616" s="17">
        <v>44925</v>
      </c>
      <c r="NOJ616" s="5" t="s">
        <v>3728</v>
      </c>
      <c r="NOK616" s="17">
        <v>44925</v>
      </c>
      <c r="NOL616" s="5" t="s">
        <v>3728</v>
      </c>
      <c r="NOM616" s="17">
        <v>44925</v>
      </c>
      <c r="NON616" s="5" t="s">
        <v>3728</v>
      </c>
      <c r="NOO616" s="17">
        <v>44925</v>
      </c>
      <c r="NOP616" s="5" t="s">
        <v>3728</v>
      </c>
      <c r="NOQ616" s="17">
        <v>44925</v>
      </c>
      <c r="NOR616" s="5" t="s">
        <v>3728</v>
      </c>
      <c r="NOS616" s="17">
        <v>44925</v>
      </c>
      <c r="NOT616" s="5" t="s">
        <v>3728</v>
      </c>
      <c r="NOU616" s="17">
        <v>44925</v>
      </c>
      <c r="NOV616" s="5" t="s">
        <v>3728</v>
      </c>
      <c r="NOW616" s="17">
        <v>44925</v>
      </c>
      <c r="NOX616" s="5" t="s">
        <v>3728</v>
      </c>
      <c r="NOY616" s="17">
        <v>44925</v>
      </c>
      <c r="NOZ616" s="5" t="s">
        <v>3728</v>
      </c>
      <c r="NPA616" s="17">
        <v>44925</v>
      </c>
      <c r="NPB616" s="5" t="s">
        <v>3728</v>
      </c>
      <c r="NPC616" s="17">
        <v>44925</v>
      </c>
      <c r="NPD616" s="5" t="s">
        <v>3728</v>
      </c>
      <c r="NPE616" s="17">
        <v>44925</v>
      </c>
      <c r="NPF616" s="5" t="s">
        <v>3728</v>
      </c>
      <c r="NPG616" s="17">
        <v>44925</v>
      </c>
      <c r="NPH616" s="5" t="s">
        <v>3728</v>
      </c>
      <c r="NPI616" s="17">
        <v>44925</v>
      </c>
      <c r="NPJ616" s="5" t="s">
        <v>3728</v>
      </c>
      <c r="NPK616" s="17">
        <v>44925</v>
      </c>
      <c r="NPL616" s="5" t="s">
        <v>3728</v>
      </c>
      <c r="NPM616" s="17">
        <v>44925</v>
      </c>
      <c r="NPN616" s="5" t="s">
        <v>3728</v>
      </c>
      <c r="NPO616" s="17">
        <v>44925</v>
      </c>
      <c r="NPP616" s="5" t="s">
        <v>3728</v>
      </c>
      <c r="NPQ616" s="17">
        <v>44925</v>
      </c>
      <c r="NPR616" s="5" t="s">
        <v>3728</v>
      </c>
      <c r="NPS616" s="17">
        <v>44925</v>
      </c>
      <c r="NPT616" s="5" t="s">
        <v>3728</v>
      </c>
      <c r="NPU616" s="17">
        <v>44925</v>
      </c>
      <c r="NPV616" s="5" t="s">
        <v>3728</v>
      </c>
      <c r="NPW616" s="17">
        <v>44925</v>
      </c>
      <c r="NPX616" s="5" t="s">
        <v>3728</v>
      </c>
      <c r="NPY616" s="17">
        <v>44925</v>
      </c>
      <c r="NPZ616" s="5" t="s">
        <v>3728</v>
      </c>
      <c r="NQA616" s="17">
        <v>44925</v>
      </c>
      <c r="NQB616" s="5" t="s">
        <v>3728</v>
      </c>
      <c r="NQC616" s="17">
        <v>44925</v>
      </c>
      <c r="NQD616" s="5" t="s">
        <v>3728</v>
      </c>
      <c r="NQE616" s="17">
        <v>44925</v>
      </c>
      <c r="NQF616" s="5" t="s">
        <v>3728</v>
      </c>
      <c r="NQG616" s="17">
        <v>44925</v>
      </c>
      <c r="NQH616" s="5" t="s">
        <v>3728</v>
      </c>
      <c r="NQI616" s="17">
        <v>44925</v>
      </c>
      <c r="NQJ616" s="5" t="s">
        <v>3728</v>
      </c>
      <c r="NQK616" s="17">
        <v>44925</v>
      </c>
      <c r="NQL616" s="5" t="s">
        <v>3728</v>
      </c>
      <c r="NQM616" s="17">
        <v>44925</v>
      </c>
      <c r="NQN616" s="5" t="s">
        <v>3728</v>
      </c>
      <c r="NQO616" s="17">
        <v>44925</v>
      </c>
      <c r="NQP616" s="5" t="s">
        <v>3728</v>
      </c>
      <c r="NQQ616" s="17">
        <v>44925</v>
      </c>
      <c r="NQR616" s="5" t="s">
        <v>3728</v>
      </c>
      <c r="NQS616" s="17">
        <v>44925</v>
      </c>
      <c r="NQT616" s="5" t="s">
        <v>3728</v>
      </c>
      <c r="NQU616" s="17">
        <v>44925</v>
      </c>
      <c r="NQV616" s="5" t="s">
        <v>3728</v>
      </c>
      <c r="NQW616" s="17">
        <v>44925</v>
      </c>
      <c r="NQX616" s="5" t="s">
        <v>3728</v>
      </c>
      <c r="NQY616" s="17">
        <v>44925</v>
      </c>
      <c r="NQZ616" s="5" t="s">
        <v>3728</v>
      </c>
      <c r="NRA616" s="17">
        <v>44925</v>
      </c>
      <c r="NRB616" s="5" t="s">
        <v>3728</v>
      </c>
      <c r="NRC616" s="17">
        <v>44925</v>
      </c>
      <c r="NRD616" s="5" t="s">
        <v>3728</v>
      </c>
      <c r="NRE616" s="17">
        <v>44925</v>
      </c>
      <c r="NRF616" s="5" t="s">
        <v>3728</v>
      </c>
      <c r="NRG616" s="17">
        <v>44925</v>
      </c>
      <c r="NRH616" s="5" t="s">
        <v>3728</v>
      </c>
      <c r="NRI616" s="17">
        <v>44925</v>
      </c>
      <c r="NRJ616" s="5" t="s">
        <v>3728</v>
      </c>
      <c r="NRK616" s="17">
        <v>44925</v>
      </c>
      <c r="NRL616" s="5" t="s">
        <v>3728</v>
      </c>
      <c r="NRM616" s="17">
        <v>44925</v>
      </c>
      <c r="NRN616" s="5" t="s">
        <v>3728</v>
      </c>
      <c r="NRO616" s="17">
        <v>44925</v>
      </c>
      <c r="NRP616" s="5" t="s">
        <v>3728</v>
      </c>
      <c r="NRQ616" s="17">
        <v>44925</v>
      </c>
      <c r="NRR616" s="5" t="s">
        <v>3728</v>
      </c>
      <c r="NRS616" s="17">
        <v>44925</v>
      </c>
      <c r="NRT616" s="5" t="s">
        <v>3728</v>
      </c>
      <c r="NRU616" s="17">
        <v>44925</v>
      </c>
      <c r="NRV616" s="5" t="s">
        <v>3728</v>
      </c>
      <c r="NRW616" s="17">
        <v>44925</v>
      </c>
      <c r="NRX616" s="5" t="s">
        <v>3728</v>
      </c>
      <c r="NRY616" s="17">
        <v>44925</v>
      </c>
      <c r="NRZ616" s="5" t="s">
        <v>3728</v>
      </c>
      <c r="NSA616" s="17">
        <v>44925</v>
      </c>
      <c r="NSB616" s="5" t="s">
        <v>3728</v>
      </c>
      <c r="NSC616" s="17">
        <v>44925</v>
      </c>
      <c r="NSD616" s="5" t="s">
        <v>3728</v>
      </c>
      <c r="NSE616" s="17">
        <v>44925</v>
      </c>
      <c r="NSF616" s="5" t="s">
        <v>3728</v>
      </c>
      <c r="NSG616" s="17">
        <v>44925</v>
      </c>
      <c r="NSH616" s="5" t="s">
        <v>3728</v>
      </c>
      <c r="NSI616" s="17">
        <v>44925</v>
      </c>
      <c r="NSJ616" s="5" t="s">
        <v>3728</v>
      </c>
      <c r="NSK616" s="17">
        <v>44925</v>
      </c>
      <c r="NSL616" s="5" t="s">
        <v>3728</v>
      </c>
      <c r="NSM616" s="17">
        <v>44925</v>
      </c>
      <c r="NSN616" s="5" t="s">
        <v>3728</v>
      </c>
      <c r="NSO616" s="17">
        <v>44925</v>
      </c>
      <c r="NSP616" s="5" t="s">
        <v>3728</v>
      </c>
      <c r="NSQ616" s="17">
        <v>44925</v>
      </c>
      <c r="NSR616" s="5" t="s">
        <v>3728</v>
      </c>
      <c r="NSS616" s="17">
        <v>44925</v>
      </c>
      <c r="NST616" s="5" t="s">
        <v>3728</v>
      </c>
      <c r="NSU616" s="17">
        <v>44925</v>
      </c>
      <c r="NSV616" s="5" t="s">
        <v>3728</v>
      </c>
      <c r="NSW616" s="17">
        <v>44925</v>
      </c>
      <c r="NSX616" s="5" t="s">
        <v>3728</v>
      </c>
      <c r="NSY616" s="17">
        <v>44925</v>
      </c>
      <c r="NSZ616" s="5" t="s">
        <v>3728</v>
      </c>
      <c r="NTA616" s="17">
        <v>44925</v>
      </c>
      <c r="NTB616" s="5" t="s">
        <v>3728</v>
      </c>
      <c r="NTC616" s="17">
        <v>44925</v>
      </c>
      <c r="NTD616" s="5" t="s">
        <v>3728</v>
      </c>
      <c r="NTE616" s="17">
        <v>44925</v>
      </c>
      <c r="NTF616" s="5" t="s">
        <v>3728</v>
      </c>
      <c r="NTG616" s="17">
        <v>44925</v>
      </c>
      <c r="NTH616" s="5" t="s">
        <v>3728</v>
      </c>
      <c r="NTI616" s="17">
        <v>44925</v>
      </c>
      <c r="NTJ616" s="5" t="s">
        <v>3728</v>
      </c>
      <c r="NTK616" s="17">
        <v>44925</v>
      </c>
      <c r="NTL616" s="5" t="s">
        <v>3728</v>
      </c>
      <c r="NTM616" s="17">
        <v>44925</v>
      </c>
      <c r="NTN616" s="5" t="s">
        <v>3728</v>
      </c>
      <c r="NTO616" s="17">
        <v>44925</v>
      </c>
      <c r="NTP616" s="5" t="s">
        <v>3728</v>
      </c>
      <c r="NTQ616" s="17">
        <v>44925</v>
      </c>
      <c r="NTR616" s="5" t="s">
        <v>3728</v>
      </c>
      <c r="NTS616" s="17">
        <v>44925</v>
      </c>
      <c r="NTT616" s="5" t="s">
        <v>3728</v>
      </c>
      <c r="NTU616" s="17">
        <v>44925</v>
      </c>
      <c r="NTV616" s="5" t="s">
        <v>3728</v>
      </c>
      <c r="NTW616" s="17">
        <v>44925</v>
      </c>
      <c r="NTX616" s="5" t="s">
        <v>3728</v>
      </c>
      <c r="NTY616" s="17">
        <v>44925</v>
      </c>
      <c r="NTZ616" s="5" t="s">
        <v>3728</v>
      </c>
      <c r="NUA616" s="17">
        <v>44925</v>
      </c>
      <c r="NUB616" s="5" t="s">
        <v>3728</v>
      </c>
      <c r="NUC616" s="17">
        <v>44925</v>
      </c>
      <c r="NUD616" s="5" t="s">
        <v>3728</v>
      </c>
      <c r="NUE616" s="17">
        <v>44925</v>
      </c>
      <c r="NUF616" s="5" t="s">
        <v>3728</v>
      </c>
      <c r="NUG616" s="17">
        <v>44925</v>
      </c>
      <c r="NUH616" s="5" t="s">
        <v>3728</v>
      </c>
      <c r="NUI616" s="17">
        <v>44925</v>
      </c>
      <c r="NUJ616" s="5" t="s">
        <v>3728</v>
      </c>
      <c r="NUK616" s="17">
        <v>44925</v>
      </c>
      <c r="NUL616" s="5" t="s">
        <v>3728</v>
      </c>
      <c r="NUM616" s="17">
        <v>44925</v>
      </c>
      <c r="NUN616" s="5" t="s">
        <v>3728</v>
      </c>
      <c r="NUO616" s="17">
        <v>44925</v>
      </c>
      <c r="NUP616" s="5" t="s">
        <v>3728</v>
      </c>
      <c r="NUQ616" s="17">
        <v>44925</v>
      </c>
      <c r="NUR616" s="5" t="s">
        <v>3728</v>
      </c>
      <c r="NUS616" s="17">
        <v>44925</v>
      </c>
      <c r="NUT616" s="5" t="s">
        <v>3728</v>
      </c>
      <c r="NUU616" s="17">
        <v>44925</v>
      </c>
      <c r="NUV616" s="5" t="s">
        <v>3728</v>
      </c>
      <c r="NUW616" s="17">
        <v>44925</v>
      </c>
      <c r="NUX616" s="5" t="s">
        <v>3728</v>
      </c>
      <c r="NUY616" s="17">
        <v>44925</v>
      </c>
      <c r="NUZ616" s="5" t="s">
        <v>3728</v>
      </c>
      <c r="NVA616" s="17">
        <v>44925</v>
      </c>
      <c r="NVB616" s="5" t="s">
        <v>3728</v>
      </c>
      <c r="NVC616" s="17">
        <v>44925</v>
      </c>
      <c r="NVD616" s="5" t="s">
        <v>3728</v>
      </c>
      <c r="NVE616" s="17">
        <v>44925</v>
      </c>
      <c r="NVF616" s="5" t="s">
        <v>3728</v>
      </c>
      <c r="NVG616" s="17">
        <v>44925</v>
      </c>
      <c r="NVH616" s="5" t="s">
        <v>3728</v>
      </c>
      <c r="NVI616" s="17">
        <v>44925</v>
      </c>
      <c r="NVJ616" s="5" t="s">
        <v>3728</v>
      </c>
      <c r="NVK616" s="17">
        <v>44925</v>
      </c>
      <c r="NVL616" s="5" t="s">
        <v>3728</v>
      </c>
      <c r="NVM616" s="17">
        <v>44925</v>
      </c>
      <c r="NVN616" s="5" t="s">
        <v>3728</v>
      </c>
      <c r="NVO616" s="17">
        <v>44925</v>
      </c>
      <c r="NVP616" s="5" t="s">
        <v>3728</v>
      </c>
      <c r="NVQ616" s="17">
        <v>44925</v>
      </c>
      <c r="NVR616" s="5" t="s">
        <v>3728</v>
      </c>
      <c r="NVS616" s="17">
        <v>44925</v>
      </c>
      <c r="NVT616" s="5" t="s">
        <v>3728</v>
      </c>
      <c r="NVU616" s="17">
        <v>44925</v>
      </c>
      <c r="NVV616" s="5" t="s">
        <v>3728</v>
      </c>
      <c r="NVW616" s="17">
        <v>44925</v>
      </c>
      <c r="NVX616" s="5" t="s">
        <v>3728</v>
      </c>
      <c r="NVY616" s="17">
        <v>44925</v>
      </c>
      <c r="NVZ616" s="5" t="s">
        <v>3728</v>
      </c>
      <c r="NWA616" s="17">
        <v>44925</v>
      </c>
      <c r="NWB616" s="5" t="s">
        <v>3728</v>
      </c>
      <c r="NWC616" s="17">
        <v>44925</v>
      </c>
      <c r="NWD616" s="5" t="s">
        <v>3728</v>
      </c>
      <c r="NWE616" s="17">
        <v>44925</v>
      </c>
      <c r="NWF616" s="5" t="s">
        <v>3728</v>
      </c>
      <c r="NWG616" s="17">
        <v>44925</v>
      </c>
      <c r="NWH616" s="5" t="s">
        <v>3728</v>
      </c>
      <c r="NWI616" s="17">
        <v>44925</v>
      </c>
      <c r="NWJ616" s="5" t="s">
        <v>3728</v>
      </c>
      <c r="NWK616" s="17">
        <v>44925</v>
      </c>
      <c r="NWL616" s="5" t="s">
        <v>3728</v>
      </c>
      <c r="NWM616" s="17">
        <v>44925</v>
      </c>
      <c r="NWN616" s="5" t="s">
        <v>3728</v>
      </c>
      <c r="NWO616" s="17">
        <v>44925</v>
      </c>
      <c r="NWP616" s="5" t="s">
        <v>3728</v>
      </c>
      <c r="NWQ616" s="17">
        <v>44925</v>
      </c>
      <c r="NWR616" s="5" t="s">
        <v>3728</v>
      </c>
      <c r="NWS616" s="17">
        <v>44925</v>
      </c>
      <c r="NWT616" s="5" t="s">
        <v>3728</v>
      </c>
      <c r="NWU616" s="17">
        <v>44925</v>
      </c>
      <c r="NWV616" s="5" t="s">
        <v>3728</v>
      </c>
      <c r="NWW616" s="17">
        <v>44925</v>
      </c>
      <c r="NWX616" s="5" t="s">
        <v>3728</v>
      </c>
      <c r="NWY616" s="17">
        <v>44925</v>
      </c>
      <c r="NWZ616" s="5" t="s">
        <v>3728</v>
      </c>
      <c r="NXA616" s="17">
        <v>44925</v>
      </c>
      <c r="NXB616" s="5" t="s">
        <v>3728</v>
      </c>
      <c r="NXC616" s="17">
        <v>44925</v>
      </c>
      <c r="NXD616" s="5" t="s">
        <v>3728</v>
      </c>
      <c r="NXE616" s="17">
        <v>44925</v>
      </c>
      <c r="NXF616" s="5" t="s">
        <v>3728</v>
      </c>
      <c r="NXG616" s="17">
        <v>44925</v>
      </c>
      <c r="NXH616" s="5" t="s">
        <v>3728</v>
      </c>
      <c r="NXI616" s="17">
        <v>44925</v>
      </c>
      <c r="NXJ616" s="5" t="s">
        <v>3728</v>
      </c>
      <c r="NXK616" s="17">
        <v>44925</v>
      </c>
      <c r="NXL616" s="5" t="s">
        <v>3728</v>
      </c>
      <c r="NXM616" s="17">
        <v>44925</v>
      </c>
      <c r="NXN616" s="5" t="s">
        <v>3728</v>
      </c>
      <c r="NXO616" s="17">
        <v>44925</v>
      </c>
      <c r="NXP616" s="5" t="s">
        <v>3728</v>
      </c>
      <c r="NXQ616" s="17">
        <v>44925</v>
      </c>
      <c r="NXR616" s="5" t="s">
        <v>3728</v>
      </c>
      <c r="NXS616" s="17">
        <v>44925</v>
      </c>
      <c r="NXT616" s="5" t="s">
        <v>3728</v>
      </c>
      <c r="NXU616" s="17">
        <v>44925</v>
      </c>
      <c r="NXV616" s="5" t="s">
        <v>3728</v>
      </c>
      <c r="NXW616" s="17">
        <v>44925</v>
      </c>
      <c r="NXX616" s="5" t="s">
        <v>3728</v>
      </c>
      <c r="NXY616" s="17">
        <v>44925</v>
      </c>
      <c r="NXZ616" s="5" t="s">
        <v>3728</v>
      </c>
      <c r="NYA616" s="17">
        <v>44925</v>
      </c>
      <c r="NYB616" s="5" t="s">
        <v>3728</v>
      </c>
      <c r="NYC616" s="17">
        <v>44925</v>
      </c>
      <c r="NYD616" s="5" t="s">
        <v>3728</v>
      </c>
      <c r="NYE616" s="17">
        <v>44925</v>
      </c>
      <c r="NYF616" s="5" t="s">
        <v>3728</v>
      </c>
      <c r="NYG616" s="17">
        <v>44925</v>
      </c>
      <c r="NYH616" s="5" t="s">
        <v>3728</v>
      </c>
      <c r="NYI616" s="17">
        <v>44925</v>
      </c>
      <c r="NYJ616" s="5" t="s">
        <v>3728</v>
      </c>
      <c r="NYK616" s="17">
        <v>44925</v>
      </c>
      <c r="NYL616" s="5" t="s">
        <v>3728</v>
      </c>
      <c r="NYM616" s="17">
        <v>44925</v>
      </c>
      <c r="NYN616" s="5" t="s">
        <v>3728</v>
      </c>
      <c r="NYO616" s="17">
        <v>44925</v>
      </c>
      <c r="NYP616" s="5" t="s">
        <v>3728</v>
      </c>
      <c r="NYQ616" s="17">
        <v>44925</v>
      </c>
      <c r="NYR616" s="5" t="s">
        <v>3728</v>
      </c>
      <c r="NYS616" s="17">
        <v>44925</v>
      </c>
      <c r="NYT616" s="5" t="s">
        <v>3728</v>
      </c>
      <c r="NYU616" s="17">
        <v>44925</v>
      </c>
      <c r="NYV616" s="5" t="s">
        <v>3728</v>
      </c>
      <c r="NYW616" s="17">
        <v>44925</v>
      </c>
      <c r="NYX616" s="5" t="s">
        <v>3728</v>
      </c>
      <c r="NYY616" s="17">
        <v>44925</v>
      </c>
      <c r="NYZ616" s="5" t="s">
        <v>3728</v>
      </c>
      <c r="NZA616" s="17">
        <v>44925</v>
      </c>
      <c r="NZB616" s="5" t="s">
        <v>3728</v>
      </c>
      <c r="NZC616" s="17">
        <v>44925</v>
      </c>
      <c r="NZD616" s="5" t="s">
        <v>3728</v>
      </c>
      <c r="NZE616" s="17">
        <v>44925</v>
      </c>
      <c r="NZF616" s="5" t="s">
        <v>3728</v>
      </c>
      <c r="NZG616" s="17">
        <v>44925</v>
      </c>
      <c r="NZH616" s="5" t="s">
        <v>3728</v>
      </c>
      <c r="NZI616" s="17">
        <v>44925</v>
      </c>
      <c r="NZJ616" s="5" t="s">
        <v>3728</v>
      </c>
      <c r="NZK616" s="17">
        <v>44925</v>
      </c>
      <c r="NZL616" s="5" t="s">
        <v>3728</v>
      </c>
      <c r="NZM616" s="17">
        <v>44925</v>
      </c>
      <c r="NZN616" s="5" t="s">
        <v>3728</v>
      </c>
      <c r="NZO616" s="17">
        <v>44925</v>
      </c>
      <c r="NZP616" s="5" t="s">
        <v>3728</v>
      </c>
      <c r="NZQ616" s="17">
        <v>44925</v>
      </c>
      <c r="NZR616" s="5" t="s">
        <v>3728</v>
      </c>
      <c r="NZS616" s="17">
        <v>44925</v>
      </c>
      <c r="NZT616" s="5" t="s">
        <v>3728</v>
      </c>
      <c r="NZU616" s="17">
        <v>44925</v>
      </c>
      <c r="NZV616" s="5" t="s">
        <v>3728</v>
      </c>
      <c r="NZW616" s="17">
        <v>44925</v>
      </c>
      <c r="NZX616" s="5" t="s">
        <v>3728</v>
      </c>
      <c r="NZY616" s="17">
        <v>44925</v>
      </c>
      <c r="NZZ616" s="5" t="s">
        <v>3728</v>
      </c>
      <c r="OAA616" s="17">
        <v>44925</v>
      </c>
      <c r="OAB616" s="5" t="s">
        <v>3728</v>
      </c>
      <c r="OAC616" s="17">
        <v>44925</v>
      </c>
      <c r="OAD616" s="5" t="s">
        <v>3728</v>
      </c>
      <c r="OAE616" s="17">
        <v>44925</v>
      </c>
      <c r="OAF616" s="5" t="s">
        <v>3728</v>
      </c>
      <c r="OAG616" s="17">
        <v>44925</v>
      </c>
      <c r="OAH616" s="5" t="s">
        <v>3728</v>
      </c>
      <c r="OAI616" s="17">
        <v>44925</v>
      </c>
      <c r="OAJ616" s="5" t="s">
        <v>3728</v>
      </c>
      <c r="OAK616" s="17">
        <v>44925</v>
      </c>
      <c r="OAL616" s="5" t="s">
        <v>3728</v>
      </c>
      <c r="OAM616" s="17">
        <v>44925</v>
      </c>
      <c r="OAN616" s="5" t="s">
        <v>3728</v>
      </c>
      <c r="OAO616" s="17">
        <v>44925</v>
      </c>
      <c r="OAP616" s="5" t="s">
        <v>3728</v>
      </c>
      <c r="OAQ616" s="17">
        <v>44925</v>
      </c>
      <c r="OAR616" s="5" t="s">
        <v>3728</v>
      </c>
      <c r="OAS616" s="17">
        <v>44925</v>
      </c>
      <c r="OAT616" s="5" t="s">
        <v>3728</v>
      </c>
      <c r="OAU616" s="17">
        <v>44925</v>
      </c>
      <c r="OAV616" s="5" t="s">
        <v>3728</v>
      </c>
      <c r="OAW616" s="17">
        <v>44925</v>
      </c>
      <c r="OAX616" s="5" t="s">
        <v>3728</v>
      </c>
      <c r="OAY616" s="17">
        <v>44925</v>
      </c>
      <c r="OAZ616" s="5" t="s">
        <v>3728</v>
      </c>
      <c r="OBA616" s="17">
        <v>44925</v>
      </c>
      <c r="OBB616" s="5" t="s">
        <v>3728</v>
      </c>
      <c r="OBC616" s="17">
        <v>44925</v>
      </c>
      <c r="OBD616" s="5" t="s">
        <v>3728</v>
      </c>
      <c r="OBE616" s="17">
        <v>44925</v>
      </c>
      <c r="OBF616" s="5" t="s">
        <v>3728</v>
      </c>
      <c r="OBG616" s="17">
        <v>44925</v>
      </c>
      <c r="OBH616" s="5" t="s">
        <v>3728</v>
      </c>
      <c r="OBI616" s="17">
        <v>44925</v>
      </c>
      <c r="OBJ616" s="5" t="s">
        <v>3728</v>
      </c>
      <c r="OBK616" s="17">
        <v>44925</v>
      </c>
      <c r="OBL616" s="5" t="s">
        <v>3728</v>
      </c>
      <c r="OBM616" s="17">
        <v>44925</v>
      </c>
      <c r="OBN616" s="5" t="s">
        <v>3728</v>
      </c>
      <c r="OBO616" s="17">
        <v>44925</v>
      </c>
      <c r="OBP616" s="5" t="s">
        <v>3728</v>
      </c>
      <c r="OBQ616" s="17">
        <v>44925</v>
      </c>
      <c r="OBR616" s="5" t="s">
        <v>3728</v>
      </c>
      <c r="OBS616" s="17">
        <v>44925</v>
      </c>
      <c r="OBT616" s="5" t="s">
        <v>3728</v>
      </c>
      <c r="OBU616" s="17">
        <v>44925</v>
      </c>
      <c r="OBV616" s="5" t="s">
        <v>3728</v>
      </c>
      <c r="OBW616" s="17">
        <v>44925</v>
      </c>
      <c r="OBX616" s="5" t="s">
        <v>3728</v>
      </c>
      <c r="OBY616" s="17">
        <v>44925</v>
      </c>
      <c r="OBZ616" s="5" t="s">
        <v>3728</v>
      </c>
      <c r="OCA616" s="17">
        <v>44925</v>
      </c>
      <c r="OCB616" s="5" t="s">
        <v>3728</v>
      </c>
      <c r="OCC616" s="17">
        <v>44925</v>
      </c>
      <c r="OCD616" s="5" t="s">
        <v>3728</v>
      </c>
      <c r="OCE616" s="17">
        <v>44925</v>
      </c>
      <c r="OCF616" s="5" t="s">
        <v>3728</v>
      </c>
      <c r="OCG616" s="17">
        <v>44925</v>
      </c>
      <c r="OCH616" s="5" t="s">
        <v>3728</v>
      </c>
      <c r="OCI616" s="17">
        <v>44925</v>
      </c>
      <c r="OCJ616" s="5" t="s">
        <v>3728</v>
      </c>
      <c r="OCK616" s="17">
        <v>44925</v>
      </c>
      <c r="OCL616" s="5" t="s">
        <v>3728</v>
      </c>
      <c r="OCM616" s="17">
        <v>44925</v>
      </c>
      <c r="OCN616" s="5" t="s">
        <v>3728</v>
      </c>
      <c r="OCO616" s="17">
        <v>44925</v>
      </c>
      <c r="OCP616" s="5" t="s">
        <v>3728</v>
      </c>
      <c r="OCQ616" s="17">
        <v>44925</v>
      </c>
      <c r="OCR616" s="5" t="s">
        <v>3728</v>
      </c>
      <c r="OCS616" s="17">
        <v>44925</v>
      </c>
      <c r="OCT616" s="5" t="s">
        <v>3728</v>
      </c>
      <c r="OCU616" s="17">
        <v>44925</v>
      </c>
      <c r="OCV616" s="5" t="s">
        <v>3728</v>
      </c>
      <c r="OCW616" s="17">
        <v>44925</v>
      </c>
      <c r="OCX616" s="5" t="s">
        <v>3728</v>
      </c>
      <c r="OCY616" s="17">
        <v>44925</v>
      </c>
      <c r="OCZ616" s="5" t="s">
        <v>3728</v>
      </c>
      <c r="ODA616" s="17">
        <v>44925</v>
      </c>
      <c r="ODB616" s="5" t="s">
        <v>3728</v>
      </c>
      <c r="ODC616" s="17">
        <v>44925</v>
      </c>
      <c r="ODD616" s="5" t="s">
        <v>3728</v>
      </c>
      <c r="ODE616" s="17">
        <v>44925</v>
      </c>
      <c r="ODF616" s="5" t="s">
        <v>3728</v>
      </c>
      <c r="ODG616" s="17">
        <v>44925</v>
      </c>
      <c r="ODH616" s="5" t="s">
        <v>3728</v>
      </c>
      <c r="ODI616" s="17">
        <v>44925</v>
      </c>
      <c r="ODJ616" s="5" t="s">
        <v>3728</v>
      </c>
      <c r="ODK616" s="17">
        <v>44925</v>
      </c>
      <c r="ODL616" s="5" t="s">
        <v>3728</v>
      </c>
      <c r="ODM616" s="17">
        <v>44925</v>
      </c>
      <c r="ODN616" s="5" t="s">
        <v>3728</v>
      </c>
      <c r="ODO616" s="17">
        <v>44925</v>
      </c>
      <c r="ODP616" s="5" t="s">
        <v>3728</v>
      </c>
      <c r="ODQ616" s="17">
        <v>44925</v>
      </c>
      <c r="ODR616" s="5" t="s">
        <v>3728</v>
      </c>
      <c r="ODS616" s="17">
        <v>44925</v>
      </c>
      <c r="ODT616" s="5" t="s">
        <v>3728</v>
      </c>
      <c r="ODU616" s="17">
        <v>44925</v>
      </c>
      <c r="ODV616" s="5" t="s">
        <v>3728</v>
      </c>
      <c r="ODW616" s="17">
        <v>44925</v>
      </c>
      <c r="ODX616" s="5" t="s">
        <v>3728</v>
      </c>
      <c r="ODY616" s="17">
        <v>44925</v>
      </c>
      <c r="ODZ616" s="5" t="s">
        <v>3728</v>
      </c>
      <c r="OEA616" s="17">
        <v>44925</v>
      </c>
      <c r="OEB616" s="5" t="s">
        <v>3728</v>
      </c>
      <c r="OEC616" s="17">
        <v>44925</v>
      </c>
      <c r="OED616" s="5" t="s">
        <v>3728</v>
      </c>
      <c r="OEE616" s="17">
        <v>44925</v>
      </c>
      <c r="OEF616" s="5" t="s">
        <v>3728</v>
      </c>
      <c r="OEG616" s="17">
        <v>44925</v>
      </c>
      <c r="OEH616" s="5" t="s">
        <v>3728</v>
      </c>
      <c r="OEI616" s="17">
        <v>44925</v>
      </c>
      <c r="OEJ616" s="5" t="s">
        <v>3728</v>
      </c>
      <c r="OEK616" s="17">
        <v>44925</v>
      </c>
      <c r="OEL616" s="5" t="s">
        <v>3728</v>
      </c>
      <c r="OEM616" s="17">
        <v>44925</v>
      </c>
      <c r="OEN616" s="5" t="s">
        <v>3728</v>
      </c>
      <c r="OEO616" s="17">
        <v>44925</v>
      </c>
      <c r="OEP616" s="5" t="s">
        <v>3728</v>
      </c>
      <c r="OEQ616" s="17">
        <v>44925</v>
      </c>
      <c r="OER616" s="5" t="s">
        <v>3728</v>
      </c>
      <c r="OES616" s="17">
        <v>44925</v>
      </c>
      <c r="OET616" s="5" t="s">
        <v>3728</v>
      </c>
      <c r="OEU616" s="17">
        <v>44925</v>
      </c>
      <c r="OEV616" s="5" t="s">
        <v>3728</v>
      </c>
      <c r="OEW616" s="17">
        <v>44925</v>
      </c>
      <c r="OEX616" s="5" t="s">
        <v>3728</v>
      </c>
      <c r="OEY616" s="17">
        <v>44925</v>
      </c>
      <c r="OEZ616" s="5" t="s">
        <v>3728</v>
      </c>
      <c r="OFA616" s="17">
        <v>44925</v>
      </c>
      <c r="OFB616" s="5" t="s">
        <v>3728</v>
      </c>
      <c r="OFC616" s="17">
        <v>44925</v>
      </c>
      <c r="OFD616" s="5" t="s">
        <v>3728</v>
      </c>
      <c r="OFE616" s="17">
        <v>44925</v>
      </c>
      <c r="OFF616" s="5" t="s">
        <v>3728</v>
      </c>
      <c r="OFG616" s="17">
        <v>44925</v>
      </c>
      <c r="OFH616" s="5" t="s">
        <v>3728</v>
      </c>
      <c r="OFI616" s="17">
        <v>44925</v>
      </c>
      <c r="OFJ616" s="5" t="s">
        <v>3728</v>
      </c>
      <c r="OFK616" s="17">
        <v>44925</v>
      </c>
      <c r="OFL616" s="5" t="s">
        <v>3728</v>
      </c>
      <c r="OFM616" s="17">
        <v>44925</v>
      </c>
      <c r="OFN616" s="5" t="s">
        <v>3728</v>
      </c>
      <c r="OFO616" s="17">
        <v>44925</v>
      </c>
      <c r="OFP616" s="5" t="s">
        <v>3728</v>
      </c>
      <c r="OFQ616" s="17">
        <v>44925</v>
      </c>
      <c r="OFR616" s="5" t="s">
        <v>3728</v>
      </c>
      <c r="OFS616" s="17">
        <v>44925</v>
      </c>
      <c r="OFT616" s="5" t="s">
        <v>3728</v>
      </c>
      <c r="OFU616" s="17">
        <v>44925</v>
      </c>
      <c r="OFV616" s="5" t="s">
        <v>3728</v>
      </c>
      <c r="OFW616" s="17">
        <v>44925</v>
      </c>
      <c r="OFX616" s="5" t="s">
        <v>3728</v>
      </c>
      <c r="OFY616" s="17">
        <v>44925</v>
      </c>
      <c r="OFZ616" s="5" t="s">
        <v>3728</v>
      </c>
      <c r="OGA616" s="17">
        <v>44925</v>
      </c>
      <c r="OGB616" s="5" t="s">
        <v>3728</v>
      </c>
      <c r="OGC616" s="17">
        <v>44925</v>
      </c>
      <c r="OGD616" s="5" t="s">
        <v>3728</v>
      </c>
      <c r="OGE616" s="17">
        <v>44925</v>
      </c>
      <c r="OGF616" s="5" t="s">
        <v>3728</v>
      </c>
      <c r="OGG616" s="17">
        <v>44925</v>
      </c>
      <c r="OGH616" s="5" t="s">
        <v>3728</v>
      </c>
      <c r="OGI616" s="17">
        <v>44925</v>
      </c>
      <c r="OGJ616" s="5" t="s">
        <v>3728</v>
      </c>
      <c r="OGK616" s="17">
        <v>44925</v>
      </c>
      <c r="OGL616" s="5" t="s">
        <v>3728</v>
      </c>
      <c r="OGM616" s="17">
        <v>44925</v>
      </c>
      <c r="OGN616" s="5" t="s">
        <v>3728</v>
      </c>
      <c r="OGO616" s="17">
        <v>44925</v>
      </c>
      <c r="OGP616" s="5" t="s">
        <v>3728</v>
      </c>
      <c r="OGQ616" s="17">
        <v>44925</v>
      </c>
      <c r="OGR616" s="5" t="s">
        <v>3728</v>
      </c>
      <c r="OGS616" s="17">
        <v>44925</v>
      </c>
      <c r="OGT616" s="5" t="s">
        <v>3728</v>
      </c>
      <c r="OGU616" s="17">
        <v>44925</v>
      </c>
      <c r="OGV616" s="5" t="s">
        <v>3728</v>
      </c>
      <c r="OGW616" s="17">
        <v>44925</v>
      </c>
      <c r="OGX616" s="5" t="s">
        <v>3728</v>
      </c>
      <c r="OGY616" s="17">
        <v>44925</v>
      </c>
      <c r="OGZ616" s="5" t="s">
        <v>3728</v>
      </c>
      <c r="OHA616" s="17">
        <v>44925</v>
      </c>
      <c r="OHB616" s="5" t="s">
        <v>3728</v>
      </c>
      <c r="OHC616" s="17">
        <v>44925</v>
      </c>
      <c r="OHD616" s="5" t="s">
        <v>3728</v>
      </c>
      <c r="OHE616" s="17">
        <v>44925</v>
      </c>
      <c r="OHF616" s="5" t="s">
        <v>3728</v>
      </c>
      <c r="OHG616" s="17">
        <v>44925</v>
      </c>
      <c r="OHH616" s="5" t="s">
        <v>3728</v>
      </c>
      <c r="OHI616" s="17">
        <v>44925</v>
      </c>
      <c r="OHJ616" s="5" t="s">
        <v>3728</v>
      </c>
      <c r="OHK616" s="17">
        <v>44925</v>
      </c>
      <c r="OHL616" s="5" t="s">
        <v>3728</v>
      </c>
      <c r="OHM616" s="17">
        <v>44925</v>
      </c>
      <c r="OHN616" s="5" t="s">
        <v>3728</v>
      </c>
      <c r="OHO616" s="17">
        <v>44925</v>
      </c>
      <c r="OHP616" s="5" t="s">
        <v>3728</v>
      </c>
      <c r="OHQ616" s="17">
        <v>44925</v>
      </c>
      <c r="OHR616" s="5" t="s">
        <v>3728</v>
      </c>
      <c r="OHS616" s="17">
        <v>44925</v>
      </c>
      <c r="OHT616" s="5" t="s">
        <v>3728</v>
      </c>
      <c r="OHU616" s="17">
        <v>44925</v>
      </c>
      <c r="OHV616" s="5" t="s">
        <v>3728</v>
      </c>
      <c r="OHW616" s="17">
        <v>44925</v>
      </c>
      <c r="OHX616" s="5" t="s">
        <v>3728</v>
      </c>
      <c r="OHY616" s="17">
        <v>44925</v>
      </c>
      <c r="OHZ616" s="5" t="s">
        <v>3728</v>
      </c>
      <c r="OIA616" s="17">
        <v>44925</v>
      </c>
      <c r="OIB616" s="5" t="s">
        <v>3728</v>
      </c>
      <c r="OIC616" s="17">
        <v>44925</v>
      </c>
      <c r="OID616" s="5" t="s">
        <v>3728</v>
      </c>
      <c r="OIE616" s="17">
        <v>44925</v>
      </c>
      <c r="OIF616" s="5" t="s">
        <v>3728</v>
      </c>
      <c r="OIG616" s="17">
        <v>44925</v>
      </c>
      <c r="OIH616" s="5" t="s">
        <v>3728</v>
      </c>
      <c r="OII616" s="17">
        <v>44925</v>
      </c>
      <c r="OIJ616" s="5" t="s">
        <v>3728</v>
      </c>
      <c r="OIK616" s="17">
        <v>44925</v>
      </c>
      <c r="OIL616" s="5" t="s">
        <v>3728</v>
      </c>
      <c r="OIM616" s="17">
        <v>44925</v>
      </c>
      <c r="OIN616" s="5" t="s">
        <v>3728</v>
      </c>
      <c r="OIO616" s="17">
        <v>44925</v>
      </c>
      <c r="OIP616" s="5" t="s">
        <v>3728</v>
      </c>
      <c r="OIQ616" s="17">
        <v>44925</v>
      </c>
      <c r="OIR616" s="5" t="s">
        <v>3728</v>
      </c>
      <c r="OIS616" s="17">
        <v>44925</v>
      </c>
      <c r="OIT616" s="5" t="s">
        <v>3728</v>
      </c>
      <c r="OIU616" s="17">
        <v>44925</v>
      </c>
      <c r="OIV616" s="5" t="s">
        <v>3728</v>
      </c>
      <c r="OIW616" s="17">
        <v>44925</v>
      </c>
      <c r="OIX616" s="5" t="s">
        <v>3728</v>
      </c>
      <c r="OIY616" s="17">
        <v>44925</v>
      </c>
      <c r="OIZ616" s="5" t="s">
        <v>3728</v>
      </c>
      <c r="OJA616" s="17">
        <v>44925</v>
      </c>
      <c r="OJB616" s="5" t="s">
        <v>3728</v>
      </c>
      <c r="OJC616" s="17">
        <v>44925</v>
      </c>
      <c r="OJD616" s="5" t="s">
        <v>3728</v>
      </c>
      <c r="OJE616" s="17">
        <v>44925</v>
      </c>
      <c r="OJF616" s="5" t="s">
        <v>3728</v>
      </c>
      <c r="OJG616" s="17">
        <v>44925</v>
      </c>
      <c r="OJH616" s="5" t="s">
        <v>3728</v>
      </c>
      <c r="OJI616" s="17">
        <v>44925</v>
      </c>
      <c r="OJJ616" s="5" t="s">
        <v>3728</v>
      </c>
      <c r="OJK616" s="17">
        <v>44925</v>
      </c>
      <c r="OJL616" s="5" t="s">
        <v>3728</v>
      </c>
      <c r="OJM616" s="17">
        <v>44925</v>
      </c>
      <c r="OJN616" s="5" t="s">
        <v>3728</v>
      </c>
      <c r="OJO616" s="17">
        <v>44925</v>
      </c>
      <c r="OJP616" s="5" t="s">
        <v>3728</v>
      </c>
      <c r="OJQ616" s="17">
        <v>44925</v>
      </c>
      <c r="OJR616" s="5" t="s">
        <v>3728</v>
      </c>
      <c r="OJS616" s="17">
        <v>44925</v>
      </c>
      <c r="OJT616" s="5" t="s">
        <v>3728</v>
      </c>
      <c r="OJU616" s="17">
        <v>44925</v>
      </c>
      <c r="OJV616" s="5" t="s">
        <v>3728</v>
      </c>
      <c r="OJW616" s="17">
        <v>44925</v>
      </c>
      <c r="OJX616" s="5" t="s">
        <v>3728</v>
      </c>
      <c r="OJY616" s="17">
        <v>44925</v>
      </c>
      <c r="OJZ616" s="5" t="s">
        <v>3728</v>
      </c>
      <c r="OKA616" s="17">
        <v>44925</v>
      </c>
      <c r="OKB616" s="5" t="s">
        <v>3728</v>
      </c>
      <c r="OKC616" s="17">
        <v>44925</v>
      </c>
      <c r="OKD616" s="5" t="s">
        <v>3728</v>
      </c>
      <c r="OKE616" s="17">
        <v>44925</v>
      </c>
      <c r="OKF616" s="5" t="s">
        <v>3728</v>
      </c>
      <c r="OKG616" s="17">
        <v>44925</v>
      </c>
      <c r="OKH616" s="5" t="s">
        <v>3728</v>
      </c>
      <c r="OKI616" s="17">
        <v>44925</v>
      </c>
      <c r="OKJ616" s="5" t="s">
        <v>3728</v>
      </c>
      <c r="OKK616" s="17">
        <v>44925</v>
      </c>
      <c r="OKL616" s="5" t="s">
        <v>3728</v>
      </c>
      <c r="OKM616" s="17">
        <v>44925</v>
      </c>
      <c r="OKN616" s="5" t="s">
        <v>3728</v>
      </c>
      <c r="OKO616" s="17">
        <v>44925</v>
      </c>
      <c r="OKP616" s="5" t="s">
        <v>3728</v>
      </c>
      <c r="OKQ616" s="17">
        <v>44925</v>
      </c>
      <c r="OKR616" s="5" t="s">
        <v>3728</v>
      </c>
      <c r="OKS616" s="17">
        <v>44925</v>
      </c>
      <c r="OKT616" s="5" t="s">
        <v>3728</v>
      </c>
      <c r="OKU616" s="17">
        <v>44925</v>
      </c>
      <c r="OKV616" s="5" t="s">
        <v>3728</v>
      </c>
      <c r="OKW616" s="17">
        <v>44925</v>
      </c>
      <c r="OKX616" s="5" t="s">
        <v>3728</v>
      </c>
      <c r="OKY616" s="17">
        <v>44925</v>
      </c>
      <c r="OKZ616" s="5" t="s">
        <v>3728</v>
      </c>
      <c r="OLA616" s="17">
        <v>44925</v>
      </c>
      <c r="OLB616" s="5" t="s">
        <v>3728</v>
      </c>
      <c r="OLC616" s="17">
        <v>44925</v>
      </c>
      <c r="OLD616" s="5" t="s">
        <v>3728</v>
      </c>
      <c r="OLE616" s="17">
        <v>44925</v>
      </c>
      <c r="OLF616" s="5" t="s">
        <v>3728</v>
      </c>
      <c r="OLG616" s="17">
        <v>44925</v>
      </c>
      <c r="OLH616" s="5" t="s">
        <v>3728</v>
      </c>
      <c r="OLI616" s="17">
        <v>44925</v>
      </c>
      <c r="OLJ616" s="5" t="s">
        <v>3728</v>
      </c>
      <c r="OLK616" s="17">
        <v>44925</v>
      </c>
      <c r="OLL616" s="5" t="s">
        <v>3728</v>
      </c>
      <c r="OLM616" s="17">
        <v>44925</v>
      </c>
      <c r="OLN616" s="5" t="s">
        <v>3728</v>
      </c>
      <c r="OLO616" s="17">
        <v>44925</v>
      </c>
      <c r="OLP616" s="5" t="s">
        <v>3728</v>
      </c>
      <c r="OLQ616" s="17">
        <v>44925</v>
      </c>
      <c r="OLR616" s="5" t="s">
        <v>3728</v>
      </c>
      <c r="OLS616" s="17">
        <v>44925</v>
      </c>
      <c r="OLT616" s="5" t="s">
        <v>3728</v>
      </c>
      <c r="OLU616" s="17">
        <v>44925</v>
      </c>
      <c r="OLV616" s="5" t="s">
        <v>3728</v>
      </c>
      <c r="OLW616" s="17">
        <v>44925</v>
      </c>
      <c r="OLX616" s="5" t="s">
        <v>3728</v>
      </c>
      <c r="OLY616" s="17">
        <v>44925</v>
      </c>
      <c r="OLZ616" s="5" t="s">
        <v>3728</v>
      </c>
      <c r="OMA616" s="17">
        <v>44925</v>
      </c>
      <c r="OMB616" s="5" t="s">
        <v>3728</v>
      </c>
      <c r="OMC616" s="17">
        <v>44925</v>
      </c>
      <c r="OMD616" s="5" t="s">
        <v>3728</v>
      </c>
      <c r="OME616" s="17">
        <v>44925</v>
      </c>
      <c r="OMF616" s="5" t="s">
        <v>3728</v>
      </c>
      <c r="OMG616" s="17">
        <v>44925</v>
      </c>
      <c r="OMH616" s="5" t="s">
        <v>3728</v>
      </c>
      <c r="OMI616" s="17">
        <v>44925</v>
      </c>
      <c r="OMJ616" s="5" t="s">
        <v>3728</v>
      </c>
      <c r="OMK616" s="17">
        <v>44925</v>
      </c>
      <c r="OML616" s="5" t="s">
        <v>3728</v>
      </c>
      <c r="OMM616" s="17">
        <v>44925</v>
      </c>
      <c r="OMN616" s="5" t="s">
        <v>3728</v>
      </c>
      <c r="OMO616" s="17">
        <v>44925</v>
      </c>
      <c r="OMP616" s="5" t="s">
        <v>3728</v>
      </c>
      <c r="OMQ616" s="17">
        <v>44925</v>
      </c>
      <c r="OMR616" s="5" t="s">
        <v>3728</v>
      </c>
      <c r="OMS616" s="17">
        <v>44925</v>
      </c>
      <c r="OMT616" s="5" t="s">
        <v>3728</v>
      </c>
      <c r="OMU616" s="17">
        <v>44925</v>
      </c>
      <c r="OMV616" s="5" t="s">
        <v>3728</v>
      </c>
      <c r="OMW616" s="17">
        <v>44925</v>
      </c>
      <c r="OMX616" s="5" t="s">
        <v>3728</v>
      </c>
      <c r="OMY616" s="17">
        <v>44925</v>
      </c>
      <c r="OMZ616" s="5" t="s">
        <v>3728</v>
      </c>
      <c r="ONA616" s="17">
        <v>44925</v>
      </c>
      <c r="ONB616" s="5" t="s">
        <v>3728</v>
      </c>
      <c r="ONC616" s="17">
        <v>44925</v>
      </c>
      <c r="OND616" s="5" t="s">
        <v>3728</v>
      </c>
      <c r="ONE616" s="17">
        <v>44925</v>
      </c>
      <c r="ONF616" s="5" t="s">
        <v>3728</v>
      </c>
      <c r="ONG616" s="17">
        <v>44925</v>
      </c>
      <c r="ONH616" s="5" t="s">
        <v>3728</v>
      </c>
      <c r="ONI616" s="17">
        <v>44925</v>
      </c>
      <c r="ONJ616" s="5" t="s">
        <v>3728</v>
      </c>
      <c r="ONK616" s="17">
        <v>44925</v>
      </c>
      <c r="ONL616" s="5" t="s">
        <v>3728</v>
      </c>
      <c r="ONM616" s="17">
        <v>44925</v>
      </c>
      <c r="ONN616" s="5" t="s">
        <v>3728</v>
      </c>
      <c r="ONO616" s="17">
        <v>44925</v>
      </c>
      <c r="ONP616" s="5" t="s">
        <v>3728</v>
      </c>
      <c r="ONQ616" s="17">
        <v>44925</v>
      </c>
      <c r="ONR616" s="5" t="s">
        <v>3728</v>
      </c>
      <c r="ONS616" s="17">
        <v>44925</v>
      </c>
      <c r="ONT616" s="5" t="s">
        <v>3728</v>
      </c>
      <c r="ONU616" s="17">
        <v>44925</v>
      </c>
      <c r="ONV616" s="5" t="s">
        <v>3728</v>
      </c>
      <c r="ONW616" s="17">
        <v>44925</v>
      </c>
      <c r="ONX616" s="5" t="s">
        <v>3728</v>
      </c>
      <c r="ONY616" s="17">
        <v>44925</v>
      </c>
      <c r="ONZ616" s="5" t="s">
        <v>3728</v>
      </c>
      <c r="OOA616" s="17">
        <v>44925</v>
      </c>
      <c r="OOB616" s="5" t="s">
        <v>3728</v>
      </c>
      <c r="OOC616" s="17">
        <v>44925</v>
      </c>
      <c r="OOD616" s="5" t="s">
        <v>3728</v>
      </c>
      <c r="OOE616" s="17">
        <v>44925</v>
      </c>
      <c r="OOF616" s="5" t="s">
        <v>3728</v>
      </c>
      <c r="OOG616" s="17">
        <v>44925</v>
      </c>
      <c r="OOH616" s="5" t="s">
        <v>3728</v>
      </c>
      <c r="OOI616" s="17">
        <v>44925</v>
      </c>
      <c r="OOJ616" s="5" t="s">
        <v>3728</v>
      </c>
      <c r="OOK616" s="17">
        <v>44925</v>
      </c>
      <c r="OOL616" s="5" t="s">
        <v>3728</v>
      </c>
      <c r="OOM616" s="17">
        <v>44925</v>
      </c>
      <c r="OON616" s="5" t="s">
        <v>3728</v>
      </c>
      <c r="OOO616" s="17">
        <v>44925</v>
      </c>
      <c r="OOP616" s="5" t="s">
        <v>3728</v>
      </c>
      <c r="OOQ616" s="17">
        <v>44925</v>
      </c>
      <c r="OOR616" s="5" t="s">
        <v>3728</v>
      </c>
      <c r="OOS616" s="17">
        <v>44925</v>
      </c>
      <c r="OOT616" s="5" t="s">
        <v>3728</v>
      </c>
      <c r="OOU616" s="17">
        <v>44925</v>
      </c>
      <c r="OOV616" s="5" t="s">
        <v>3728</v>
      </c>
      <c r="OOW616" s="17">
        <v>44925</v>
      </c>
      <c r="OOX616" s="5" t="s">
        <v>3728</v>
      </c>
      <c r="OOY616" s="17">
        <v>44925</v>
      </c>
      <c r="OOZ616" s="5" t="s">
        <v>3728</v>
      </c>
      <c r="OPA616" s="17">
        <v>44925</v>
      </c>
      <c r="OPB616" s="5" t="s">
        <v>3728</v>
      </c>
      <c r="OPC616" s="17">
        <v>44925</v>
      </c>
      <c r="OPD616" s="5" t="s">
        <v>3728</v>
      </c>
      <c r="OPE616" s="17">
        <v>44925</v>
      </c>
      <c r="OPF616" s="5" t="s">
        <v>3728</v>
      </c>
      <c r="OPG616" s="17">
        <v>44925</v>
      </c>
      <c r="OPH616" s="5" t="s">
        <v>3728</v>
      </c>
      <c r="OPI616" s="17">
        <v>44925</v>
      </c>
      <c r="OPJ616" s="5" t="s">
        <v>3728</v>
      </c>
      <c r="OPK616" s="17">
        <v>44925</v>
      </c>
      <c r="OPL616" s="5" t="s">
        <v>3728</v>
      </c>
      <c r="OPM616" s="17">
        <v>44925</v>
      </c>
      <c r="OPN616" s="5" t="s">
        <v>3728</v>
      </c>
      <c r="OPO616" s="17">
        <v>44925</v>
      </c>
      <c r="OPP616" s="5" t="s">
        <v>3728</v>
      </c>
      <c r="OPQ616" s="17">
        <v>44925</v>
      </c>
      <c r="OPR616" s="5" t="s">
        <v>3728</v>
      </c>
      <c r="OPS616" s="17">
        <v>44925</v>
      </c>
      <c r="OPT616" s="5" t="s">
        <v>3728</v>
      </c>
      <c r="OPU616" s="17">
        <v>44925</v>
      </c>
      <c r="OPV616" s="5" t="s">
        <v>3728</v>
      </c>
      <c r="OPW616" s="17">
        <v>44925</v>
      </c>
      <c r="OPX616" s="5" t="s">
        <v>3728</v>
      </c>
      <c r="OPY616" s="17">
        <v>44925</v>
      </c>
      <c r="OPZ616" s="5" t="s">
        <v>3728</v>
      </c>
      <c r="OQA616" s="17">
        <v>44925</v>
      </c>
      <c r="OQB616" s="5" t="s">
        <v>3728</v>
      </c>
      <c r="OQC616" s="17">
        <v>44925</v>
      </c>
      <c r="OQD616" s="5" t="s">
        <v>3728</v>
      </c>
      <c r="OQE616" s="17">
        <v>44925</v>
      </c>
      <c r="OQF616" s="5" t="s">
        <v>3728</v>
      </c>
      <c r="OQG616" s="17">
        <v>44925</v>
      </c>
      <c r="OQH616" s="5" t="s">
        <v>3728</v>
      </c>
      <c r="OQI616" s="17">
        <v>44925</v>
      </c>
      <c r="OQJ616" s="5" t="s">
        <v>3728</v>
      </c>
      <c r="OQK616" s="17">
        <v>44925</v>
      </c>
      <c r="OQL616" s="5" t="s">
        <v>3728</v>
      </c>
      <c r="OQM616" s="17">
        <v>44925</v>
      </c>
      <c r="OQN616" s="5" t="s">
        <v>3728</v>
      </c>
      <c r="OQO616" s="17">
        <v>44925</v>
      </c>
      <c r="OQP616" s="5" t="s">
        <v>3728</v>
      </c>
      <c r="OQQ616" s="17">
        <v>44925</v>
      </c>
      <c r="OQR616" s="5" t="s">
        <v>3728</v>
      </c>
      <c r="OQS616" s="17">
        <v>44925</v>
      </c>
      <c r="OQT616" s="5" t="s">
        <v>3728</v>
      </c>
      <c r="OQU616" s="17">
        <v>44925</v>
      </c>
      <c r="OQV616" s="5" t="s">
        <v>3728</v>
      </c>
      <c r="OQW616" s="17">
        <v>44925</v>
      </c>
      <c r="OQX616" s="5" t="s">
        <v>3728</v>
      </c>
      <c r="OQY616" s="17">
        <v>44925</v>
      </c>
      <c r="OQZ616" s="5" t="s">
        <v>3728</v>
      </c>
      <c r="ORA616" s="17">
        <v>44925</v>
      </c>
      <c r="ORB616" s="5" t="s">
        <v>3728</v>
      </c>
      <c r="ORC616" s="17">
        <v>44925</v>
      </c>
      <c r="ORD616" s="5" t="s">
        <v>3728</v>
      </c>
      <c r="ORE616" s="17">
        <v>44925</v>
      </c>
      <c r="ORF616" s="5" t="s">
        <v>3728</v>
      </c>
      <c r="ORG616" s="17">
        <v>44925</v>
      </c>
      <c r="ORH616" s="5" t="s">
        <v>3728</v>
      </c>
      <c r="ORI616" s="17">
        <v>44925</v>
      </c>
      <c r="ORJ616" s="5" t="s">
        <v>3728</v>
      </c>
      <c r="ORK616" s="17">
        <v>44925</v>
      </c>
      <c r="ORL616" s="5" t="s">
        <v>3728</v>
      </c>
      <c r="ORM616" s="17">
        <v>44925</v>
      </c>
      <c r="ORN616" s="5" t="s">
        <v>3728</v>
      </c>
      <c r="ORO616" s="17">
        <v>44925</v>
      </c>
      <c r="ORP616" s="5" t="s">
        <v>3728</v>
      </c>
      <c r="ORQ616" s="17">
        <v>44925</v>
      </c>
      <c r="ORR616" s="5" t="s">
        <v>3728</v>
      </c>
      <c r="ORS616" s="17">
        <v>44925</v>
      </c>
      <c r="ORT616" s="5" t="s">
        <v>3728</v>
      </c>
      <c r="ORU616" s="17">
        <v>44925</v>
      </c>
      <c r="ORV616" s="5" t="s">
        <v>3728</v>
      </c>
      <c r="ORW616" s="17">
        <v>44925</v>
      </c>
      <c r="ORX616" s="5" t="s">
        <v>3728</v>
      </c>
      <c r="ORY616" s="17">
        <v>44925</v>
      </c>
      <c r="ORZ616" s="5" t="s">
        <v>3728</v>
      </c>
      <c r="OSA616" s="17">
        <v>44925</v>
      </c>
      <c r="OSB616" s="5" t="s">
        <v>3728</v>
      </c>
      <c r="OSC616" s="17">
        <v>44925</v>
      </c>
      <c r="OSD616" s="5" t="s">
        <v>3728</v>
      </c>
      <c r="OSE616" s="17">
        <v>44925</v>
      </c>
      <c r="OSF616" s="5" t="s">
        <v>3728</v>
      </c>
      <c r="OSG616" s="17">
        <v>44925</v>
      </c>
      <c r="OSH616" s="5" t="s">
        <v>3728</v>
      </c>
      <c r="OSI616" s="17">
        <v>44925</v>
      </c>
      <c r="OSJ616" s="5" t="s">
        <v>3728</v>
      </c>
      <c r="OSK616" s="17">
        <v>44925</v>
      </c>
      <c r="OSL616" s="5" t="s">
        <v>3728</v>
      </c>
      <c r="OSM616" s="17">
        <v>44925</v>
      </c>
      <c r="OSN616" s="5" t="s">
        <v>3728</v>
      </c>
      <c r="OSO616" s="17">
        <v>44925</v>
      </c>
      <c r="OSP616" s="5" t="s">
        <v>3728</v>
      </c>
      <c r="OSQ616" s="17">
        <v>44925</v>
      </c>
      <c r="OSR616" s="5" t="s">
        <v>3728</v>
      </c>
      <c r="OSS616" s="17">
        <v>44925</v>
      </c>
      <c r="OST616" s="5" t="s">
        <v>3728</v>
      </c>
      <c r="OSU616" s="17">
        <v>44925</v>
      </c>
      <c r="OSV616" s="5" t="s">
        <v>3728</v>
      </c>
      <c r="OSW616" s="17">
        <v>44925</v>
      </c>
      <c r="OSX616" s="5" t="s">
        <v>3728</v>
      </c>
      <c r="OSY616" s="17">
        <v>44925</v>
      </c>
      <c r="OSZ616" s="5" t="s">
        <v>3728</v>
      </c>
      <c r="OTA616" s="17">
        <v>44925</v>
      </c>
      <c r="OTB616" s="5" t="s">
        <v>3728</v>
      </c>
      <c r="OTC616" s="17">
        <v>44925</v>
      </c>
      <c r="OTD616" s="5" t="s">
        <v>3728</v>
      </c>
      <c r="OTE616" s="17">
        <v>44925</v>
      </c>
      <c r="OTF616" s="5" t="s">
        <v>3728</v>
      </c>
      <c r="OTG616" s="17">
        <v>44925</v>
      </c>
      <c r="OTH616" s="5" t="s">
        <v>3728</v>
      </c>
      <c r="OTI616" s="17">
        <v>44925</v>
      </c>
      <c r="OTJ616" s="5" t="s">
        <v>3728</v>
      </c>
      <c r="OTK616" s="17">
        <v>44925</v>
      </c>
      <c r="OTL616" s="5" t="s">
        <v>3728</v>
      </c>
      <c r="OTM616" s="17">
        <v>44925</v>
      </c>
      <c r="OTN616" s="5" t="s">
        <v>3728</v>
      </c>
      <c r="OTO616" s="17">
        <v>44925</v>
      </c>
      <c r="OTP616" s="5" t="s">
        <v>3728</v>
      </c>
      <c r="OTQ616" s="17">
        <v>44925</v>
      </c>
      <c r="OTR616" s="5" t="s">
        <v>3728</v>
      </c>
      <c r="OTS616" s="17">
        <v>44925</v>
      </c>
      <c r="OTT616" s="5" t="s">
        <v>3728</v>
      </c>
      <c r="OTU616" s="17">
        <v>44925</v>
      </c>
      <c r="OTV616" s="5" t="s">
        <v>3728</v>
      </c>
      <c r="OTW616" s="17">
        <v>44925</v>
      </c>
      <c r="OTX616" s="5" t="s">
        <v>3728</v>
      </c>
      <c r="OTY616" s="17">
        <v>44925</v>
      </c>
      <c r="OTZ616" s="5" t="s">
        <v>3728</v>
      </c>
      <c r="OUA616" s="17">
        <v>44925</v>
      </c>
      <c r="OUB616" s="5" t="s">
        <v>3728</v>
      </c>
      <c r="OUC616" s="17">
        <v>44925</v>
      </c>
      <c r="OUD616" s="5" t="s">
        <v>3728</v>
      </c>
      <c r="OUE616" s="17">
        <v>44925</v>
      </c>
      <c r="OUF616" s="5" t="s">
        <v>3728</v>
      </c>
      <c r="OUG616" s="17">
        <v>44925</v>
      </c>
      <c r="OUH616" s="5" t="s">
        <v>3728</v>
      </c>
      <c r="OUI616" s="17">
        <v>44925</v>
      </c>
      <c r="OUJ616" s="5" t="s">
        <v>3728</v>
      </c>
      <c r="OUK616" s="17">
        <v>44925</v>
      </c>
      <c r="OUL616" s="5" t="s">
        <v>3728</v>
      </c>
      <c r="OUM616" s="17">
        <v>44925</v>
      </c>
      <c r="OUN616" s="5" t="s">
        <v>3728</v>
      </c>
      <c r="OUO616" s="17">
        <v>44925</v>
      </c>
      <c r="OUP616" s="5" t="s">
        <v>3728</v>
      </c>
      <c r="OUQ616" s="17">
        <v>44925</v>
      </c>
      <c r="OUR616" s="5" t="s">
        <v>3728</v>
      </c>
      <c r="OUS616" s="17">
        <v>44925</v>
      </c>
      <c r="OUT616" s="5" t="s">
        <v>3728</v>
      </c>
      <c r="OUU616" s="17">
        <v>44925</v>
      </c>
      <c r="OUV616" s="5" t="s">
        <v>3728</v>
      </c>
      <c r="OUW616" s="17">
        <v>44925</v>
      </c>
      <c r="OUX616" s="5" t="s">
        <v>3728</v>
      </c>
      <c r="OUY616" s="17">
        <v>44925</v>
      </c>
      <c r="OUZ616" s="5" t="s">
        <v>3728</v>
      </c>
      <c r="OVA616" s="17">
        <v>44925</v>
      </c>
      <c r="OVB616" s="5" t="s">
        <v>3728</v>
      </c>
      <c r="OVC616" s="17">
        <v>44925</v>
      </c>
      <c r="OVD616" s="5" t="s">
        <v>3728</v>
      </c>
      <c r="OVE616" s="17">
        <v>44925</v>
      </c>
      <c r="OVF616" s="5" t="s">
        <v>3728</v>
      </c>
      <c r="OVG616" s="17">
        <v>44925</v>
      </c>
      <c r="OVH616" s="5" t="s">
        <v>3728</v>
      </c>
      <c r="OVI616" s="17">
        <v>44925</v>
      </c>
      <c r="OVJ616" s="5" t="s">
        <v>3728</v>
      </c>
      <c r="OVK616" s="17">
        <v>44925</v>
      </c>
      <c r="OVL616" s="5" t="s">
        <v>3728</v>
      </c>
      <c r="OVM616" s="17">
        <v>44925</v>
      </c>
      <c r="OVN616" s="5" t="s">
        <v>3728</v>
      </c>
      <c r="OVO616" s="17">
        <v>44925</v>
      </c>
      <c r="OVP616" s="5" t="s">
        <v>3728</v>
      </c>
      <c r="OVQ616" s="17">
        <v>44925</v>
      </c>
      <c r="OVR616" s="5" t="s">
        <v>3728</v>
      </c>
      <c r="OVS616" s="17">
        <v>44925</v>
      </c>
      <c r="OVT616" s="5" t="s">
        <v>3728</v>
      </c>
      <c r="OVU616" s="17">
        <v>44925</v>
      </c>
      <c r="OVV616" s="5" t="s">
        <v>3728</v>
      </c>
      <c r="OVW616" s="17">
        <v>44925</v>
      </c>
      <c r="OVX616" s="5" t="s">
        <v>3728</v>
      </c>
      <c r="OVY616" s="17">
        <v>44925</v>
      </c>
      <c r="OVZ616" s="5" t="s">
        <v>3728</v>
      </c>
      <c r="OWA616" s="17">
        <v>44925</v>
      </c>
      <c r="OWB616" s="5" t="s">
        <v>3728</v>
      </c>
      <c r="OWC616" s="17">
        <v>44925</v>
      </c>
      <c r="OWD616" s="5" t="s">
        <v>3728</v>
      </c>
      <c r="OWE616" s="17">
        <v>44925</v>
      </c>
      <c r="OWF616" s="5" t="s">
        <v>3728</v>
      </c>
      <c r="OWG616" s="17">
        <v>44925</v>
      </c>
      <c r="OWH616" s="5" t="s">
        <v>3728</v>
      </c>
      <c r="OWI616" s="17">
        <v>44925</v>
      </c>
      <c r="OWJ616" s="5" t="s">
        <v>3728</v>
      </c>
      <c r="OWK616" s="17">
        <v>44925</v>
      </c>
      <c r="OWL616" s="5" t="s">
        <v>3728</v>
      </c>
      <c r="OWM616" s="17">
        <v>44925</v>
      </c>
      <c r="OWN616" s="5" t="s">
        <v>3728</v>
      </c>
      <c r="OWO616" s="17">
        <v>44925</v>
      </c>
      <c r="OWP616" s="5" t="s">
        <v>3728</v>
      </c>
      <c r="OWQ616" s="17">
        <v>44925</v>
      </c>
      <c r="OWR616" s="5" t="s">
        <v>3728</v>
      </c>
      <c r="OWS616" s="17">
        <v>44925</v>
      </c>
      <c r="OWT616" s="5" t="s">
        <v>3728</v>
      </c>
      <c r="OWU616" s="17">
        <v>44925</v>
      </c>
      <c r="OWV616" s="5" t="s">
        <v>3728</v>
      </c>
      <c r="OWW616" s="17">
        <v>44925</v>
      </c>
      <c r="OWX616" s="5" t="s">
        <v>3728</v>
      </c>
      <c r="OWY616" s="17">
        <v>44925</v>
      </c>
      <c r="OWZ616" s="5" t="s">
        <v>3728</v>
      </c>
      <c r="OXA616" s="17">
        <v>44925</v>
      </c>
      <c r="OXB616" s="5" t="s">
        <v>3728</v>
      </c>
      <c r="OXC616" s="17">
        <v>44925</v>
      </c>
      <c r="OXD616" s="5" t="s">
        <v>3728</v>
      </c>
      <c r="OXE616" s="17">
        <v>44925</v>
      </c>
      <c r="OXF616" s="5" t="s">
        <v>3728</v>
      </c>
      <c r="OXG616" s="17">
        <v>44925</v>
      </c>
      <c r="OXH616" s="5" t="s">
        <v>3728</v>
      </c>
      <c r="OXI616" s="17">
        <v>44925</v>
      </c>
      <c r="OXJ616" s="5" t="s">
        <v>3728</v>
      </c>
      <c r="OXK616" s="17">
        <v>44925</v>
      </c>
      <c r="OXL616" s="5" t="s">
        <v>3728</v>
      </c>
      <c r="OXM616" s="17">
        <v>44925</v>
      </c>
      <c r="OXN616" s="5" t="s">
        <v>3728</v>
      </c>
      <c r="OXO616" s="17">
        <v>44925</v>
      </c>
      <c r="OXP616" s="5" t="s">
        <v>3728</v>
      </c>
      <c r="OXQ616" s="17">
        <v>44925</v>
      </c>
      <c r="OXR616" s="5" t="s">
        <v>3728</v>
      </c>
      <c r="OXS616" s="17">
        <v>44925</v>
      </c>
      <c r="OXT616" s="5" t="s">
        <v>3728</v>
      </c>
      <c r="OXU616" s="17">
        <v>44925</v>
      </c>
      <c r="OXV616" s="5" t="s">
        <v>3728</v>
      </c>
      <c r="OXW616" s="17">
        <v>44925</v>
      </c>
      <c r="OXX616" s="5" t="s">
        <v>3728</v>
      </c>
      <c r="OXY616" s="17">
        <v>44925</v>
      </c>
      <c r="OXZ616" s="5" t="s">
        <v>3728</v>
      </c>
      <c r="OYA616" s="17">
        <v>44925</v>
      </c>
      <c r="OYB616" s="5" t="s">
        <v>3728</v>
      </c>
      <c r="OYC616" s="17">
        <v>44925</v>
      </c>
      <c r="OYD616" s="5" t="s">
        <v>3728</v>
      </c>
      <c r="OYE616" s="17">
        <v>44925</v>
      </c>
      <c r="OYF616" s="5" t="s">
        <v>3728</v>
      </c>
      <c r="OYG616" s="17">
        <v>44925</v>
      </c>
      <c r="OYH616" s="5" t="s">
        <v>3728</v>
      </c>
      <c r="OYI616" s="17">
        <v>44925</v>
      </c>
      <c r="OYJ616" s="5" t="s">
        <v>3728</v>
      </c>
      <c r="OYK616" s="17">
        <v>44925</v>
      </c>
      <c r="OYL616" s="5" t="s">
        <v>3728</v>
      </c>
      <c r="OYM616" s="17">
        <v>44925</v>
      </c>
      <c r="OYN616" s="5" t="s">
        <v>3728</v>
      </c>
      <c r="OYO616" s="17">
        <v>44925</v>
      </c>
      <c r="OYP616" s="5" t="s">
        <v>3728</v>
      </c>
      <c r="OYQ616" s="17">
        <v>44925</v>
      </c>
      <c r="OYR616" s="5" t="s">
        <v>3728</v>
      </c>
      <c r="OYS616" s="17">
        <v>44925</v>
      </c>
      <c r="OYT616" s="5" t="s">
        <v>3728</v>
      </c>
      <c r="OYU616" s="17">
        <v>44925</v>
      </c>
      <c r="OYV616" s="5" t="s">
        <v>3728</v>
      </c>
      <c r="OYW616" s="17">
        <v>44925</v>
      </c>
      <c r="OYX616" s="5" t="s">
        <v>3728</v>
      </c>
      <c r="OYY616" s="17">
        <v>44925</v>
      </c>
      <c r="OYZ616" s="5" t="s">
        <v>3728</v>
      </c>
      <c r="OZA616" s="17">
        <v>44925</v>
      </c>
      <c r="OZB616" s="5" t="s">
        <v>3728</v>
      </c>
      <c r="OZC616" s="17">
        <v>44925</v>
      </c>
      <c r="OZD616" s="5" t="s">
        <v>3728</v>
      </c>
      <c r="OZE616" s="17">
        <v>44925</v>
      </c>
      <c r="OZF616" s="5" t="s">
        <v>3728</v>
      </c>
      <c r="OZG616" s="17">
        <v>44925</v>
      </c>
      <c r="OZH616" s="5" t="s">
        <v>3728</v>
      </c>
      <c r="OZI616" s="17">
        <v>44925</v>
      </c>
      <c r="OZJ616" s="5" t="s">
        <v>3728</v>
      </c>
      <c r="OZK616" s="17">
        <v>44925</v>
      </c>
      <c r="OZL616" s="5" t="s">
        <v>3728</v>
      </c>
      <c r="OZM616" s="17">
        <v>44925</v>
      </c>
      <c r="OZN616" s="5" t="s">
        <v>3728</v>
      </c>
      <c r="OZO616" s="17">
        <v>44925</v>
      </c>
      <c r="OZP616" s="5" t="s">
        <v>3728</v>
      </c>
      <c r="OZQ616" s="17">
        <v>44925</v>
      </c>
      <c r="OZR616" s="5" t="s">
        <v>3728</v>
      </c>
      <c r="OZS616" s="17">
        <v>44925</v>
      </c>
      <c r="OZT616" s="5" t="s">
        <v>3728</v>
      </c>
      <c r="OZU616" s="17">
        <v>44925</v>
      </c>
      <c r="OZV616" s="5" t="s">
        <v>3728</v>
      </c>
      <c r="OZW616" s="17">
        <v>44925</v>
      </c>
      <c r="OZX616" s="5" t="s">
        <v>3728</v>
      </c>
      <c r="OZY616" s="17">
        <v>44925</v>
      </c>
      <c r="OZZ616" s="5" t="s">
        <v>3728</v>
      </c>
      <c r="PAA616" s="17">
        <v>44925</v>
      </c>
      <c r="PAB616" s="5" t="s">
        <v>3728</v>
      </c>
      <c r="PAC616" s="17">
        <v>44925</v>
      </c>
      <c r="PAD616" s="5" t="s">
        <v>3728</v>
      </c>
      <c r="PAE616" s="17">
        <v>44925</v>
      </c>
      <c r="PAF616" s="5" t="s">
        <v>3728</v>
      </c>
      <c r="PAG616" s="17">
        <v>44925</v>
      </c>
      <c r="PAH616" s="5" t="s">
        <v>3728</v>
      </c>
      <c r="PAI616" s="17">
        <v>44925</v>
      </c>
      <c r="PAJ616" s="5" t="s">
        <v>3728</v>
      </c>
      <c r="PAK616" s="17">
        <v>44925</v>
      </c>
      <c r="PAL616" s="5" t="s">
        <v>3728</v>
      </c>
      <c r="PAM616" s="17">
        <v>44925</v>
      </c>
      <c r="PAN616" s="5" t="s">
        <v>3728</v>
      </c>
      <c r="PAO616" s="17">
        <v>44925</v>
      </c>
      <c r="PAP616" s="5" t="s">
        <v>3728</v>
      </c>
      <c r="PAQ616" s="17">
        <v>44925</v>
      </c>
      <c r="PAR616" s="5" t="s">
        <v>3728</v>
      </c>
      <c r="PAS616" s="17">
        <v>44925</v>
      </c>
      <c r="PAT616" s="5" t="s">
        <v>3728</v>
      </c>
      <c r="PAU616" s="17">
        <v>44925</v>
      </c>
      <c r="PAV616" s="5" t="s">
        <v>3728</v>
      </c>
      <c r="PAW616" s="17">
        <v>44925</v>
      </c>
      <c r="PAX616" s="5" t="s">
        <v>3728</v>
      </c>
      <c r="PAY616" s="17">
        <v>44925</v>
      </c>
      <c r="PAZ616" s="5" t="s">
        <v>3728</v>
      </c>
      <c r="PBA616" s="17">
        <v>44925</v>
      </c>
      <c r="PBB616" s="5" t="s">
        <v>3728</v>
      </c>
      <c r="PBC616" s="17">
        <v>44925</v>
      </c>
      <c r="PBD616" s="5" t="s">
        <v>3728</v>
      </c>
      <c r="PBE616" s="17">
        <v>44925</v>
      </c>
      <c r="PBF616" s="5" t="s">
        <v>3728</v>
      </c>
      <c r="PBG616" s="17">
        <v>44925</v>
      </c>
      <c r="PBH616" s="5" t="s">
        <v>3728</v>
      </c>
      <c r="PBI616" s="17">
        <v>44925</v>
      </c>
      <c r="PBJ616" s="5" t="s">
        <v>3728</v>
      </c>
      <c r="PBK616" s="17">
        <v>44925</v>
      </c>
      <c r="PBL616" s="5" t="s">
        <v>3728</v>
      </c>
      <c r="PBM616" s="17">
        <v>44925</v>
      </c>
      <c r="PBN616" s="5" t="s">
        <v>3728</v>
      </c>
      <c r="PBO616" s="17">
        <v>44925</v>
      </c>
      <c r="PBP616" s="5" t="s">
        <v>3728</v>
      </c>
      <c r="PBQ616" s="17">
        <v>44925</v>
      </c>
      <c r="PBR616" s="5" t="s">
        <v>3728</v>
      </c>
      <c r="PBS616" s="17">
        <v>44925</v>
      </c>
      <c r="PBT616" s="5" t="s">
        <v>3728</v>
      </c>
      <c r="PBU616" s="17">
        <v>44925</v>
      </c>
      <c r="PBV616" s="5" t="s">
        <v>3728</v>
      </c>
      <c r="PBW616" s="17">
        <v>44925</v>
      </c>
      <c r="PBX616" s="5" t="s">
        <v>3728</v>
      </c>
      <c r="PBY616" s="17">
        <v>44925</v>
      </c>
      <c r="PBZ616" s="5" t="s">
        <v>3728</v>
      </c>
      <c r="PCA616" s="17">
        <v>44925</v>
      </c>
      <c r="PCB616" s="5" t="s">
        <v>3728</v>
      </c>
      <c r="PCC616" s="17">
        <v>44925</v>
      </c>
      <c r="PCD616" s="5" t="s">
        <v>3728</v>
      </c>
      <c r="PCE616" s="17">
        <v>44925</v>
      </c>
      <c r="PCF616" s="5" t="s">
        <v>3728</v>
      </c>
      <c r="PCG616" s="17">
        <v>44925</v>
      </c>
      <c r="PCH616" s="5" t="s">
        <v>3728</v>
      </c>
      <c r="PCI616" s="17">
        <v>44925</v>
      </c>
      <c r="PCJ616" s="5" t="s">
        <v>3728</v>
      </c>
      <c r="PCK616" s="17">
        <v>44925</v>
      </c>
      <c r="PCL616" s="5" t="s">
        <v>3728</v>
      </c>
      <c r="PCM616" s="17">
        <v>44925</v>
      </c>
      <c r="PCN616" s="5" t="s">
        <v>3728</v>
      </c>
      <c r="PCO616" s="17">
        <v>44925</v>
      </c>
      <c r="PCP616" s="5" t="s">
        <v>3728</v>
      </c>
      <c r="PCQ616" s="17">
        <v>44925</v>
      </c>
      <c r="PCR616" s="5" t="s">
        <v>3728</v>
      </c>
      <c r="PCS616" s="17">
        <v>44925</v>
      </c>
      <c r="PCT616" s="5" t="s">
        <v>3728</v>
      </c>
      <c r="PCU616" s="17">
        <v>44925</v>
      </c>
      <c r="PCV616" s="5" t="s">
        <v>3728</v>
      </c>
      <c r="PCW616" s="17">
        <v>44925</v>
      </c>
      <c r="PCX616" s="5" t="s">
        <v>3728</v>
      </c>
      <c r="PCY616" s="17">
        <v>44925</v>
      </c>
      <c r="PCZ616" s="5" t="s">
        <v>3728</v>
      </c>
      <c r="PDA616" s="17">
        <v>44925</v>
      </c>
      <c r="PDB616" s="5" t="s">
        <v>3728</v>
      </c>
      <c r="PDC616" s="17">
        <v>44925</v>
      </c>
      <c r="PDD616" s="5" t="s">
        <v>3728</v>
      </c>
      <c r="PDE616" s="17">
        <v>44925</v>
      </c>
      <c r="PDF616" s="5" t="s">
        <v>3728</v>
      </c>
      <c r="PDG616" s="17">
        <v>44925</v>
      </c>
      <c r="PDH616" s="5" t="s">
        <v>3728</v>
      </c>
      <c r="PDI616" s="17">
        <v>44925</v>
      </c>
      <c r="PDJ616" s="5" t="s">
        <v>3728</v>
      </c>
      <c r="PDK616" s="17">
        <v>44925</v>
      </c>
      <c r="PDL616" s="5" t="s">
        <v>3728</v>
      </c>
      <c r="PDM616" s="17">
        <v>44925</v>
      </c>
      <c r="PDN616" s="5" t="s">
        <v>3728</v>
      </c>
      <c r="PDO616" s="17">
        <v>44925</v>
      </c>
      <c r="PDP616" s="5" t="s">
        <v>3728</v>
      </c>
      <c r="PDQ616" s="17">
        <v>44925</v>
      </c>
      <c r="PDR616" s="5" t="s">
        <v>3728</v>
      </c>
      <c r="PDS616" s="17">
        <v>44925</v>
      </c>
      <c r="PDT616" s="5" t="s">
        <v>3728</v>
      </c>
      <c r="PDU616" s="17">
        <v>44925</v>
      </c>
      <c r="PDV616" s="5" t="s">
        <v>3728</v>
      </c>
      <c r="PDW616" s="17">
        <v>44925</v>
      </c>
      <c r="PDX616" s="5" t="s">
        <v>3728</v>
      </c>
      <c r="PDY616" s="17">
        <v>44925</v>
      </c>
      <c r="PDZ616" s="5" t="s">
        <v>3728</v>
      </c>
      <c r="PEA616" s="17">
        <v>44925</v>
      </c>
      <c r="PEB616" s="5" t="s">
        <v>3728</v>
      </c>
      <c r="PEC616" s="17">
        <v>44925</v>
      </c>
      <c r="PED616" s="5" t="s">
        <v>3728</v>
      </c>
      <c r="PEE616" s="17">
        <v>44925</v>
      </c>
      <c r="PEF616" s="5" t="s">
        <v>3728</v>
      </c>
      <c r="PEG616" s="17">
        <v>44925</v>
      </c>
      <c r="PEH616" s="5" t="s">
        <v>3728</v>
      </c>
      <c r="PEI616" s="17">
        <v>44925</v>
      </c>
      <c r="PEJ616" s="5" t="s">
        <v>3728</v>
      </c>
      <c r="PEK616" s="17">
        <v>44925</v>
      </c>
      <c r="PEL616" s="5" t="s">
        <v>3728</v>
      </c>
      <c r="PEM616" s="17">
        <v>44925</v>
      </c>
      <c r="PEN616" s="5" t="s">
        <v>3728</v>
      </c>
      <c r="PEO616" s="17">
        <v>44925</v>
      </c>
      <c r="PEP616" s="5" t="s">
        <v>3728</v>
      </c>
      <c r="PEQ616" s="17">
        <v>44925</v>
      </c>
      <c r="PER616" s="5" t="s">
        <v>3728</v>
      </c>
      <c r="PES616" s="17">
        <v>44925</v>
      </c>
      <c r="PET616" s="5" t="s">
        <v>3728</v>
      </c>
      <c r="PEU616" s="17">
        <v>44925</v>
      </c>
      <c r="PEV616" s="5" t="s">
        <v>3728</v>
      </c>
      <c r="PEW616" s="17">
        <v>44925</v>
      </c>
      <c r="PEX616" s="5" t="s">
        <v>3728</v>
      </c>
      <c r="PEY616" s="17">
        <v>44925</v>
      </c>
      <c r="PEZ616" s="5" t="s">
        <v>3728</v>
      </c>
      <c r="PFA616" s="17">
        <v>44925</v>
      </c>
      <c r="PFB616" s="5" t="s">
        <v>3728</v>
      </c>
      <c r="PFC616" s="17">
        <v>44925</v>
      </c>
      <c r="PFD616" s="5" t="s">
        <v>3728</v>
      </c>
      <c r="PFE616" s="17">
        <v>44925</v>
      </c>
      <c r="PFF616" s="5" t="s">
        <v>3728</v>
      </c>
      <c r="PFG616" s="17">
        <v>44925</v>
      </c>
      <c r="PFH616" s="5" t="s">
        <v>3728</v>
      </c>
      <c r="PFI616" s="17">
        <v>44925</v>
      </c>
      <c r="PFJ616" s="5" t="s">
        <v>3728</v>
      </c>
      <c r="PFK616" s="17">
        <v>44925</v>
      </c>
      <c r="PFL616" s="5" t="s">
        <v>3728</v>
      </c>
      <c r="PFM616" s="17">
        <v>44925</v>
      </c>
      <c r="PFN616" s="5" t="s">
        <v>3728</v>
      </c>
      <c r="PFO616" s="17">
        <v>44925</v>
      </c>
      <c r="PFP616" s="5" t="s">
        <v>3728</v>
      </c>
      <c r="PFQ616" s="17">
        <v>44925</v>
      </c>
      <c r="PFR616" s="5" t="s">
        <v>3728</v>
      </c>
      <c r="PFS616" s="17">
        <v>44925</v>
      </c>
      <c r="PFT616" s="5" t="s">
        <v>3728</v>
      </c>
      <c r="PFU616" s="17">
        <v>44925</v>
      </c>
      <c r="PFV616" s="5" t="s">
        <v>3728</v>
      </c>
      <c r="PFW616" s="17">
        <v>44925</v>
      </c>
      <c r="PFX616" s="5" t="s">
        <v>3728</v>
      </c>
      <c r="PFY616" s="17">
        <v>44925</v>
      </c>
      <c r="PFZ616" s="5" t="s">
        <v>3728</v>
      </c>
      <c r="PGA616" s="17">
        <v>44925</v>
      </c>
      <c r="PGB616" s="5" t="s">
        <v>3728</v>
      </c>
      <c r="PGC616" s="17">
        <v>44925</v>
      </c>
      <c r="PGD616" s="5" t="s">
        <v>3728</v>
      </c>
      <c r="PGE616" s="17">
        <v>44925</v>
      </c>
      <c r="PGF616" s="5" t="s">
        <v>3728</v>
      </c>
      <c r="PGG616" s="17">
        <v>44925</v>
      </c>
      <c r="PGH616" s="5" t="s">
        <v>3728</v>
      </c>
      <c r="PGI616" s="17">
        <v>44925</v>
      </c>
      <c r="PGJ616" s="5" t="s">
        <v>3728</v>
      </c>
      <c r="PGK616" s="17">
        <v>44925</v>
      </c>
      <c r="PGL616" s="5" t="s">
        <v>3728</v>
      </c>
      <c r="PGM616" s="17">
        <v>44925</v>
      </c>
      <c r="PGN616" s="5" t="s">
        <v>3728</v>
      </c>
      <c r="PGO616" s="17">
        <v>44925</v>
      </c>
      <c r="PGP616" s="5" t="s">
        <v>3728</v>
      </c>
      <c r="PGQ616" s="17">
        <v>44925</v>
      </c>
      <c r="PGR616" s="5" t="s">
        <v>3728</v>
      </c>
      <c r="PGS616" s="17">
        <v>44925</v>
      </c>
      <c r="PGT616" s="5" t="s">
        <v>3728</v>
      </c>
      <c r="PGU616" s="17">
        <v>44925</v>
      </c>
      <c r="PGV616" s="5" t="s">
        <v>3728</v>
      </c>
      <c r="PGW616" s="17">
        <v>44925</v>
      </c>
      <c r="PGX616" s="5" t="s">
        <v>3728</v>
      </c>
      <c r="PGY616" s="17">
        <v>44925</v>
      </c>
      <c r="PGZ616" s="5" t="s">
        <v>3728</v>
      </c>
      <c r="PHA616" s="17">
        <v>44925</v>
      </c>
      <c r="PHB616" s="5" t="s">
        <v>3728</v>
      </c>
      <c r="PHC616" s="17">
        <v>44925</v>
      </c>
      <c r="PHD616" s="5" t="s">
        <v>3728</v>
      </c>
      <c r="PHE616" s="17">
        <v>44925</v>
      </c>
      <c r="PHF616" s="5" t="s">
        <v>3728</v>
      </c>
      <c r="PHG616" s="17">
        <v>44925</v>
      </c>
      <c r="PHH616" s="5" t="s">
        <v>3728</v>
      </c>
      <c r="PHI616" s="17">
        <v>44925</v>
      </c>
      <c r="PHJ616" s="5" t="s">
        <v>3728</v>
      </c>
      <c r="PHK616" s="17">
        <v>44925</v>
      </c>
      <c r="PHL616" s="5" t="s">
        <v>3728</v>
      </c>
      <c r="PHM616" s="17">
        <v>44925</v>
      </c>
      <c r="PHN616" s="5" t="s">
        <v>3728</v>
      </c>
      <c r="PHO616" s="17">
        <v>44925</v>
      </c>
      <c r="PHP616" s="5" t="s">
        <v>3728</v>
      </c>
      <c r="PHQ616" s="17">
        <v>44925</v>
      </c>
      <c r="PHR616" s="5" t="s">
        <v>3728</v>
      </c>
      <c r="PHS616" s="17">
        <v>44925</v>
      </c>
      <c r="PHT616" s="5" t="s">
        <v>3728</v>
      </c>
      <c r="PHU616" s="17">
        <v>44925</v>
      </c>
      <c r="PHV616" s="5" t="s">
        <v>3728</v>
      </c>
      <c r="PHW616" s="17">
        <v>44925</v>
      </c>
      <c r="PHX616" s="5" t="s">
        <v>3728</v>
      </c>
      <c r="PHY616" s="17">
        <v>44925</v>
      </c>
      <c r="PHZ616" s="5" t="s">
        <v>3728</v>
      </c>
      <c r="PIA616" s="17">
        <v>44925</v>
      </c>
      <c r="PIB616" s="5" t="s">
        <v>3728</v>
      </c>
      <c r="PIC616" s="17">
        <v>44925</v>
      </c>
      <c r="PID616" s="5" t="s">
        <v>3728</v>
      </c>
      <c r="PIE616" s="17">
        <v>44925</v>
      </c>
      <c r="PIF616" s="5" t="s">
        <v>3728</v>
      </c>
      <c r="PIG616" s="17">
        <v>44925</v>
      </c>
      <c r="PIH616" s="5" t="s">
        <v>3728</v>
      </c>
      <c r="PII616" s="17">
        <v>44925</v>
      </c>
      <c r="PIJ616" s="5" t="s">
        <v>3728</v>
      </c>
      <c r="PIK616" s="17">
        <v>44925</v>
      </c>
      <c r="PIL616" s="5" t="s">
        <v>3728</v>
      </c>
      <c r="PIM616" s="17">
        <v>44925</v>
      </c>
      <c r="PIN616" s="5" t="s">
        <v>3728</v>
      </c>
      <c r="PIO616" s="17">
        <v>44925</v>
      </c>
      <c r="PIP616" s="5" t="s">
        <v>3728</v>
      </c>
      <c r="PIQ616" s="17">
        <v>44925</v>
      </c>
      <c r="PIR616" s="5" t="s">
        <v>3728</v>
      </c>
      <c r="PIS616" s="17">
        <v>44925</v>
      </c>
      <c r="PIT616" s="5" t="s">
        <v>3728</v>
      </c>
      <c r="PIU616" s="17">
        <v>44925</v>
      </c>
      <c r="PIV616" s="5" t="s">
        <v>3728</v>
      </c>
      <c r="PIW616" s="17">
        <v>44925</v>
      </c>
      <c r="PIX616" s="5" t="s">
        <v>3728</v>
      </c>
      <c r="PIY616" s="17">
        <v>44925</v>
      </c>
      <c r="PIZ616" s="5" t="s">
        <v>3728</v>
      </c>
      <c r="PJA616" s="17">
        <v>44925</v>
      </c>
      <c r="PJB616" s="5" t="s">
        <v>3728</v>
      </c>
      <c r="PJC616" s="17">
        <v>44925</v>
      </c>
      <c r="PJD616" s="5" t="s">
        <v>3728</v>
      </c>
      <c r="PJE616" s="17">
        <v>44925</v>
      </c>
      <c r="PJF616" s="5" t="s">
        <v>3728</v>
      </c>
      <c r="PJG616" s="17">
        <v>44925</v>
      </c>
      <c r="PJH616" s="5" t="s">
        <v>3728</v>
      </c>
      <c r="PJI616" s="17">
        <v>44925</v>
      </c>
      <c r="PJJ616" s="5" t="s">
        <v>3728</v>
      </c>
      <c r="PJK616" s="17">
        <v>44925</v>
      </c>
      <c r="PJL616" s="5" t="s">
        <v>3728</v>
      </c>
      <c r="PJM616" s="17">
        <v>44925</v>
      </c>
      <c r="PJN616" s="5" t="s">
        <v>3728</v>
      </c>
      <c r="PJO616" s="17">
        <v>44925</v>
      </c>
      <c r="PJP616" s="5" t="s">
        <v>3728</v>
      </c>
      <c r="PJQ616" s="17">
        <v>44925</v>
      </c>
      <c r="PJR616" s="5" t="s">
        <v>3728</v>
      </c>
      <c r="PJS616" s="17">
        <v>44925</v>
      </c>
      <c r="PJT616" s="5" t="s">
        <v>3728</v>
      </c>
      <c r="PJU616" s="17">
        <v>44925</v>
      </c>
      <c r="PJV616" s="5" t="s">
        <v>3728</v>
      </c>
      <c r="PJW616" s="17">
        <v>44925</v>
      </c>
      <c r="PJX616" s="5" t="s">
        <v>3728</v>
      </c>
      <c r="PJY616" s="17">
        <v>44925</v>
      </c>
      <c r="PJZ616" s="5" t="s">
        <v>3728</v>
      </c>
      <c r="PKA616" s="17">
        <v>44925</v>
      </c>
      <c r="PKB616" s="5" t="s">
        <v>3728</v>
      </c>
      <c r="PKC616" s="17">
        <v>44925</v>
      </c>
      <c r="PKD616" s="5" t="s">
        <v>3728</v>
      </c>
      <c r="PKE616" s="17">
        <v>44925</v>
      </c>
      <c r="PKF616" s="5" t="s">
        <v>3728</v>
      </c>
      <c r="PKG616" s="17">
        <v>44925</v>
      </c>
      <c r="PKH616" s="5" t="s">
        <v>3728</v>
      </c>
      <c r="PKI616" s="17">
        <v>44925</v>
      </c>
      <c r="PKJ616" s="5" t="s">
        <v>3728</v>
      </c>
      <c r="PKK616" s="17">
        <v>44925</v>
      </c>
      <c r="PKL616" s="5" t="s">
        <v>3728</v>
      </c>
      <c r="PKM616" s="17">
        <v>44925</v>
      </c>
      <c r="PKN616" s="5" t="s">
        <v>3728</v>
      </c>
      <c r="PKO616" s="17">
        <v>44925</v>
      </c>
      <c r="PKP616" s="5" t="s">
        <v>3728</v>
      </c>
      <c r="PKQ616" s="17">
        <v>44925</v>
      </c>
      <c r="PKR616" s="5" t="s">
        <v>3728</v>
      </c>
      <c r="PKS616" s="17">
        <v>44925</v>
      </c>
      <c r="PKT616" s="5" t="s">
        <v>3728</v>
      </c>
      <c r="PKU616" s="17">
        <v>44925</v>
      </c>
      <c r="PKV616" s="5" t="s">
        <v>3728</v>
      </c>
      <c r="PKW616" s="17">
        <v>44925</v>
      </c>
      <c r="PKX616" s="5" t="s">
        <v>3728</v>
      </c>
      <c r="PKY616" s="17">
        <v>44925</v>
      </c>
      <c r="PKZ616" s="5" t="s">
        <v>3728</v>
      </c>
      <c r="PLA616" s="17">
        <v>44925</v>
      </c>
      <c r="PLB616" s="5" t="s">
        <v>3728</v>
      </c>
      <c r="PLC616" s="17">
        <v>44925</v>
      </c>
      <c r="PLD616" s="5" t="s">
        <v>3728</v>
      </c>
      <c r="PLE616" s="17">
        <v>44925</v>
      </c>
      <c r="PLF616" s="5" t="s">
        <v>3728</v>
      </c>
      <c r="PLG616" s="17">
        <v>44925</v>
      </c>
      <c r="PLH616" s="5" t="s">
        <v>3728</v>
      </c>
      <c r="PLI616" s="17">
        <v>44925</v>
      </c>
      <c r="PLJ616" s="5" t="s">
        <v>3728</v>
      </c>
      <c r="PLK616" s="17">
        <v>44925</v>
      </c>
      <c r="PLL616" s="5" t="s">
        <v>3728</v>
      </c>
      <c r="PLM616" s="17">
        <v>44925</v>
      </c>
      <c r="PLN616" s="5" t="s">
        <v>3728</v>
      </c>
      <c r="PLO616" s="17">
        <v>44925</v>
      </c>
      <c r="PLP616" s="5" t="s">
        <v>3728</v>
      </c>
      <c r="PLQ616" s="17">
        <v>44925</v>
      </c>
      <c r="PLR616" s="5" t="s">
        <v>3728</v>
      </c>
      <c r="PLS616" s="17">
        <v>44925</v>
      </c>
      <c r="PLT616" s="5" t="s">
        <v>3728</v>
      </c>
      <c r="PLU616" s="17">
        <v>44925</v>
      </c>
      <c r="PLV616" s="5" t="s">
        <v>3728</v>
      </c>
      <c r="PLW616" s="17">
        <v>44925</v>
      </c>
      <c r="PLX616" s="5" t="s">
        <v>3728</v>
      </c>
      <c r="PLY616" s="17">
        <v>44925</v>
      </c>
      <c r="PLZ616" s="5" t="s">
        <v>3728</v>
      </c>
      <c r="PMA616" s="17">
        <v>44925</v>
      </c>
      <c r="PMB616" s="5" t="s">
        <v>3728</v>
      </c>
      <c r="PMC616" s="17">
        <v>44925</v>
      </c>
      <c r="PMD616" s="5" t="s">
        <v>3728</v>
      </c>
      <c r="PME616" s="17">
        <v>44925</v>
      </c>
      <c r="PMF616" s="5" t="s">
        <v>3728</v>
      </c>
      <c r="PMG616" s="17">
        <v>44925</v>
      </c>
      <c r="PMH616" s="5" t="s">
        <v>3728</v>
      </c>
      <c r="PMI616" s="17">
        <v>44925</v>
      </c>
      <c r="PMJ616" s="5" t="s">
        <v>3728</v>
      </c>
      <c r="PMK616" s="17">
        <v>44925</v>
      </c>
      <c r="PML616" s="5" t="s">
        <v>3728</v>
      </c>
      <c r="PMM616" s="17">
        <v>44925</v>
      </c>
      <c r="PMN616" s="5" t="s">
        <v>3728</v>
      </c>
      <c r="PMO616" s="17">
        <v>44925</v>
      </c>
      <c r="PMP616" s="5" t="s">
        <v>3728</v>
      </c>
      <c r="PMQ616" s="17">
        <v>44925</v>
      </c>
      <c r="PMR616" s="5" t="s">
        <v>3728</v>
      </c>
      <c r="PMS616" s="17">
        <v>44925</v>
      </c>
      <c r="PMT616" s="5" t="s">
        <v>3728</v>
      </c>
      <c r="PMU616" s="17">
        <v>44925</v>
      </c>
      <c r="PMV616" s="5" t="s">
        <v>3728</v>
      </c>
      <c r="PMW616" s="17">
        <v>44925</v>
      </c>
      <c r="PMX616" s="5" t="s">
        <v>3728</v>
      </c>
      <c r="PMY616" s="17">
        <v>44925</v>
      </c>
      <c r="PMZ616" s="5" t="s">
        <v>3728</v>
      </c>
      <c r="PNA616" s="17">
        <v>44925</v>
      </c>
      <c r="PNB616" s="5" t="s">
        <v>3728</v>
      </c>
      <c r="PNC616" s="17">
        <v>44925</v>
      </c>
      <c r="PND616" s="5" t="s">
        <v>3728</v>
      </c>
      <c r="PNE616" s="17">
        <v>44925</v>
      </c>
      <c r="PNF616" s="5" t="s">
        <v>3728</v>
      </c>
      <c r="PNG616" s="17">
        <v>44925</v>
      </c>
      <c r="PNH616" s="5" t="s">
        <v>3728</v>
      </c>
      <c r="PNI616" s="17">
        <v>44925</v>
      </c>
      <c r="PNJ616" s="5" t="s">
        <v>3728</v>
      </c>
      <c r="PNK616" s="17">
        <v>44925</v>
      </c>
      <c r="PNL616" s="5" t="s">
        <v>3728</v>
      </c>
      <c r="PNM616" s="17">
        <v>44925</v>
      </c>
      <c r="PNN616" s="5" t="s">
        <v>3728</v>
      </c>
      <c r="PNO616" s="17">
        <v>44925</v>
      </c>
      <c r="PNP616" s="5" t="s">
        <v>3728</v>
      </c>
      <c r="PNQ616" s="17">
        <v>44925</v>
      </c>
      <c r="PNR616" s="5" t="s">
        <v>3728</v>
      </c>
      <c r="PNS616" s="17">
        <v>44925</v>
      </c>
      <c r="PNT616" s="5" t="s">
        <v>3728</v>
      </c>
      <c r="PNU616" s="17">
        <v>44925</v>
      </c>
      <c r="PNV616" s="5" t="s">
        <v>3728</v>
      </c>
      <c r="PNW616" s="17">
        <v>44925</v>
      </c>
      <c r="PNX616" s="5" t="s">
        <v>3728</v>
      </c>
      <c r="PNY616" s="17">
        <v>44925</v>
      </c>
      <c r="PNZ616" s="5" t="s">
        <v>3728</v>
      </c>
      <c r="POA616" s="17">
        <v>44925</v>
      </c>
      <c r="POB616" s="5" t="s">
        <v>3728</v>
      </c>
      <c r="POC616" s="17">
        <v>44925</v>
      </c>
      <c r="POD616" s="5" t="s">
        <v>3728</v>
      </c>
      <c r="POE616" s="17">
        <v>44925</v>
      </c>
      <c r="POF616" s="5" t="s">
        <v>3728</v>
      </c>
      <c r="POG616" s="17">
        <v>44925</v>
      </c>
      <c r="POH616" s="5" t="s">
        <v>3728</v>
      </c>
      <c r="POI616" s="17">
        <v>44925</v>
      </c>
      <c r="POJ616" s="5" t="s">
        <v>3728</v>
      </c>
      <c r="POK616" s="17">
        <v>44925</v>
      </c>
      <c r="POL616" s="5" t="s">
        <v>3728</v>
      </c>
      <c r="POM616" s="17">
        <v>44925</v>
      </c>
      <c r="PON616" s="5" t="s">
        <v>3728</v>
      </c>
      <c r="POO616" s="17">
        <v>44925</v>
      </c>
      <c r="POP616" s="5" t="s">
        <v>3728</v>
      </c>
      <c r="POQ616" s="17">
        <v>44925</v>
      </c>
      <c r="POR616" s="5" t="s">
        <v>3728</v>
      </c>
      <c r="POS616" s="17">
        <v>44925</v>
      </c>
      <c r="POT616" s="5" t="s">
        <v>3728</v>
      </c>
      <c r="POU616" s="17">
        <v>44925</v>
      </c>
      <c r="POV616" s="5" t="s">
        <v>3728</v>
      </c>
      <c r="POW616" s="17">
        <v>44925</v>
      </c>
      <c r="POX616" s="5" t="s">
        <v>3728</v>
      </c>
      <c r="POY616" s="17">
        <v>44925</v>
      </c>
      <c r="POZ616" s="5" t="s">
        <v>3728</v>
      </c>
      <c r="PPA616" s="17">
        <v>44925</v>
      </c>
      <c r="PPB616" s="5" t="s">
        <v>3728</v>
      </c>
      <c r="PPC616" s="17">
        <v>44925</v>
      </c>
      <c r="PPD616" s="5" t="s">
        <v>3728</v>
      </c>
      <c r="PPE616" s="17">
        <v>44925</v>
      </c>
      <c r="PPF616" s="5" t="s">
        <v>3728</v>
      </c>
      <c r="PPG616" s="17">
        <v>44925</v>
      </c>
      <c r="PPH616" s="5" t="s">
        <v>3728</v>
      </c>
      <c r="PPI616" s="17">
        <v>44925</v>
      </c>
      <c r="PPJ616" s="5" t="s">
        <v>3728</v>
      </c>
      <c r="PPK616" s="17">
        <v>44925</v>
      </c>
      <c r="PPL616" s="5" t="s">
        <v>3728</v>
      </c>
      <c r="PPM616" s="17">
        <v>44925</v>
      </c>
      <c r="PPN616" s="5" t="s">
        <v>3728</v>
      </c>
      <c r="PPO616" s="17">
        <v>44925</v>
      </c>
      <c r="PPP616" s="5" t="s">
        <v>3728</v>
      </c>
      <c r="PPQ616" s="17">
        <v>44925</v>
      </c>
      <c r="PPR616" s="5" t="s">
        <v>3728</v>
      </c>
      <c r="PPS616" s="17">
        <v>44925</v>
      </c>
      <c r="PPT616" s="5" t="s">
        <v>3728</v>
      </c>
      <c r="PPU616" s="17">
        <v>44925</v>
      </c>
      <c r="PPV616" s="5" t="s">
        <v>3728</v>
      </c>
      <c r="PPW616" s="17">
        <v>44925</v>
      </c>
      <c r="PPX616" s="5" t="s">
        <v>3728</v>
      </c>
      <c r="PPY616" s="17">
        <v>44925</v>
      </c>
      <c r="PPZ616" s="5" t="s">
        <v>3728</v>
      </c>
      <c r="PQA616" s="17">
        <v>44925</v>
      </c>
      <c r="PQB616" s="5" t="s">
        <v>3728</v>
      </c>
      <c r="PQC616" s="17">
        <v>44925</v>
      </c>
      <c r="PQD616" s="5" t="s">
        <v>3728</v>
      </c>
      <c r="PQE616" s="17">
        <v>44925</v>
      </c>
      <c r="PQF616" s="5" t="s">
        <v>3728</v>
      </c>
      <c r="PQG616" s="17">
        <v>44925</v>
      </c>
      <c r="PQH616" s="5" t="s">
        <v>3728</v>
      </c>
      <c r="PQI616" s="17">
        <v>44925</v>
      </c>
      <c r="PQJ616" s="5" t="s">
        <v>3728</v>
      </c>
      <c r="PQK616" s="17">
        <v>44925</v>
      </c>
      <c r="PQL616" s="5" t="s">
        <v>3728</v>
      </c>
      <c r="PQM616" s="17">
        <v>44925</v>
      </c>
      <c r="PQN616" s="5" t="s">
        <v>3728</v>
      </c>
      <c r="PQO616" s="17">
        <v>44925</v>
      </c>
      <c r="PQP616" s="5" t="s">
        <v>3728</v>
      </c>
      <c r="PQQ616" s="17">
        <v>44925</v>
      </c>
      <c r="PQR616" s="5" t="s">
        <v>3728</v>
      </c>
      <c r="PQS616" s="17">
        <v>44925</v>
      </c>
      <c r="PQT616" s="5" t="s">
        <v>3728</v>
      </c>
      <c r="PQU616" s="17">
        <v>44925</v>
      </c>
      <c r="PQV616" s="5" t="s">
        <v>3728</v>
      </c>
      <c r="PQW616" s="17">
        <v>44925</v>
      </c>
      <c r="PQX616" s="5" t="s">
        <v>3728</v>
      </c>
      <c r="PQY616" s="17">
        <v>44925</v>
      </c>
      <c r="PQZ616" s="5" t="s">
        <v>3728</v>
      </c>
      <c r="PRA616" s="17">
        <v>44925</v>
      </c>
      <c r="PRB616" s="5" t="s">
        <v>3728</v>
      </c>
      <c r="PRC616" s="17">
        <v>44925</v>
      </c>
      <c r="PRD616" s="5" t="s">
        <v>3728</v>
      </c>
      <c r="PRE616" s="17">
        <v>44925</v>
      </c>
      <c r="PRF616" s="5" t="s">
        <v>3728</v>
      </c>
      <c r="PRG616" s="17">
        <v>44925</v>
      </c>
      <c r="PRH616" s="5" t="s">
        <v>3728</v>
      </c>
      <c r="PRI616" s="17">
        <v>44925</v>
      </c>
      <c r="PRJ616" s="5" t="s">
        <v>3728</v>
      </c>
      <c r="PRK616" s="17">
        <v>44925</v>
      </c>
      <c r="PRL616" s="5" t="s">
        <v>3728</v>
      </c>
      <c r="PRM616" s="17">
        <v>44925</v>
      </c>
      <c r="PRN616" s="5" t="s">
        <v>3728</v>
      </c>
      <c r="PRO616" s="17">
        <v>44925</v>
      </c>
      <c r="PRP616" s="5" t="s">
        <v>3728</v>
      </c>
      <c r="PRQ616" s="17">
        <v>44925</v>
      </c>
      <c r="PRR616" s="5" t="s">
        <v>3728</v>
      </c>
      <c r="PRS616" s="17">
        <v>44925</v>
      </c>
      <c r="PRT616" s="5" t="s">
        <v>3728</v>
      </c>
      <c r="PRU616" s="17">
        <v>44925</v>
      </c>
      <c r="PRV616" s="5" t="s">
        <v>3728</v>
      </c>
      <c r="PRW616" s="17">
        <v>44925</v>
      </c>
      <c r="PRX616" s="5" t="s">
        <v>3728</v>
      </c>
      <c r="PRY616" s="17">
        <v>44925</v>
      </c>
      <c r="PRZ616" s="5" t="s">
        <v>3728</v>
      </c>
      <c r="PSA616" s="17">
        <v>44925</v>
      </c>
      <c r="PSB616" s="5" t="s">
        <v>3728</v>
      </c>
      <c r="PSC616" s="17">
        <v>44925</v>
      </c>
      <c r="PSD616" s="5" t="s">
        <v>3728</v>
      </c>
      <c r="PSE616" s="17">
        <v>44925</v>
      </c>
      <c r="PSF616" s="5" t="s">
        <v>3728</v>
      </c>
      <c r="PSG616" s="17">
        <v>44925</v>
      </c>
      <c r="PSH616" s="5" t="s">
        <v>3728</v>
      </c>
      <c r="PSI616" s="17">
        <v>44925</v>
      </c>
      <c r="PSJ616" s="5" t="s">
        <v>3728</v>
      </c>
      <c r="PSK616" s="17">
        <v>44925</v>
      </c>
      <c r="PSL616" s="5" t="s">
        <v>3728</v>
      </c>
      <c r="PSM616" s="17">
        <v>44925</v>
      </c>
      <c r="PSN616" s="5" t="s">
        <v>3728</v>
      </c>
      <c r="PSO616" s="17">
        <v>44925</v>
      </c>
      <c r="PSP616" s="5" t="s">
        <v>3728</v>
      </c>
      <c r="PSQ616" s="17">
        <v>44925</v>
      </c>
      <c r="PSR616" s="5" t="s">
        <v>3728</v>
      </c>
      <c r="PSS616" s="17">
        <v>44925</v>
      </c>
      <c r="PST616" s="5" t="s">
        <v>3728</v>
      </c>
      <c r="PSU616" s="17">
        <v>44925</v>
      </c>
      <c r="PSV616" s="5" t="s">
        <v>3728</v>
      </c>
      <c r="PSW616" s="17">
        <v>44925</v>
      </c>
      <c r="PSX616" s="5" t="s">
        <v>3728</v>
      </c>
      <c r="PSY616" s="17">
        <v>44925</v>
      </c>
      <c r="PSZ616" s="5" t="s">
        <v>3728</v>
      </c>
      <c r="PTA616" s="17">
        <v>44925</v>
      </c>
      <c r="PTB616" s="5" t="s">
        <v>3728</v>
      </c>
      <c r="PTC616" s="17">
        <v>44925</v>
      </c>
      <c r="PTD616" s="5" t="s">
        <v>3728</v>
      </c>
      <c r="PTE616" s="17">
        <v>44925</v>
      </c>
      <c r="PTF616" s="5" t="s">
        <v>3728</v>
      </c>
      <c r="PTG616" s="17">
        <v>44925</v>
      </c>
      <c r="PTH616" s="5" t="s">
        <v>3728</v>
      </c>
      <c r="PTI616" s="17">
        <v>44925</v>
      </c>
      <c r="PTJ616" s="5" t="s">
        <v>3728</v>
      </c>
      <c r="PTK616" s="17">
        <v>44925</v>
      </c>
      <c r="PTL616" s="5" t="s">
        <v>3728</v>
      </c>
      <c r="PTM616" s="17">
        <v>44925</v>
      </c>
      <c r="PTN616" s="5" t="s">
        <v>3728</v>
      </c>
      <c r="PTO616" s="17">
        <v>44925</v>
      </c>
      <c r="PTP616" s="5" t="s">
        <v>3728</v>
      </c>
      <c r="PTQ616" s="17">
        <v>44925</v>
      </c>
      <c r="PTR616" s="5" t="s">
        <v>3728</v>
      </c>
      <c r="PTS616" s="17">
        <v>44925</v>
      </c>
      <c r="PTT616" s="5" t="s">
        <v>3728</v>
      </c>
      <c r="PTU616" s="17">
        <v>44925</v>
      </c>
      <c r="PTV616" s="5" t="s">
        <v>3728</v>
      </c>
      <c r="PTW616" s="17">
        <v>44925</v>
      </c>
      <c r="PTX616" s="5" t="s">
        <v>3728</v>
      </c>
      <c r="PTY616" s="17">
        <v>44925</v>
      </c>
      <c r="PTZ616" s="5" t="s">
        <v>3728</v>
      </c>
      <c r="PUA616" s="17">
        <v>44925</v>
      </c>
      <c r="PUB616" s="5" t="s">
        <v>3728</v>
      </c>
      <c r="PUC616" s="17">
        <v>44925</v>
      </c>
      <c r="PUD616" s="5" t="s">
        <v>3728</v>
      </c>
      <c r="PUE616" s="17">
        <v>44925</v>
      </c>
      <c r="PUF616" s="5" t="s">
        <v>3728</v>
      </c>
      <c r="PUG616" s="17">
        <v>44925</v>
      </c>
      <c r="PUH616" s="5" t="s">
        <v>3728</v>
      </c>
      <c r="PUI616" s="17">
        <v>44925</v>
      </c>
      <c r="PUJ616" s="5" t="s">
        <v>3728</v>
      </c>
      <c r="PUK616" s="17">
        <v>44925</v>
      </c>
      <c r="PUL616" s="5" t="s">
        <v>3728</v>
      </c>
      <c r="PUM616" s="17">
        <v>44925</v>
      </c>
      <c r="PUN616" s="5" t="s">
        <v>3728</v>
      </c>
      <c r="PUO616" s="17">
        <v>44925</v>
      </c>
      <c r="PUP616" s="5" t="s">
        <v>3728</v>
      </c>
      <c r="PUQ616" s="17">
        <v>44925</v>
      </c>
      <c r="PUR616" s="5" t="s">
        <v>3728</v>
      </c>
      <c r="PUS616" s="17">
        <v>44925</v>
      </c>
      <c r="PUT616" s="5" t="s">
        <v>3728</v>
      </c>
      <c r="PUU616" s="17">
        <v>44925</v>
      </c>
      <c r="PUV616" s="5" t="s">
        <v>3728</v>
      </c>
      <c r="PUW616" s="17">
        <v>44925</v>
      </c>
      <c r="PUX616" s="5" t="s">
        <v>3728</v>
      </c>
      <c r="PUY616" s="17">
        <v>44925</v>
      </c>
      <c r="PUZ616" s="5" t="s">
        <v>3728</v>
      </c>
      <c r="PVA616" s="17">
        <v>44925</v>
      </c>
      <c r="PVB616" s="5" t="s">
        <v>3728</v>
      </c>
      <c r="PVC616" s="17">
        <v>44925</v>
      </c>
      <c r="PVD616" s="5" t="s">
        <v>3728</v>
      </c>
      <c r="PVE616" s="17">
        <v>44925</v>
      </c>
      <c r="PVF616" s="5" t="s">
        <v>3728</v>
      </c>
      <c r="PVG616" s="17">
        <v>44925</v>
      </c>
      <c r="PVH616" s="5" t="s">
        <v>3728</v>
      </c>
      <c r="PVI616" s="17">
        <v>44925</v>
      </c>
      <c r="PVJ616" s="5" t="s">
        <v>3728</v>
      </c>
      <c r="PVK616" s="17">
        <v>44925</v>
      </c>
      <c r="PVL616" s="5" t="s">
        <v>3728</v>
      </c>
      <c r="PVM616" s="17">
        <v>44925</v>
      </c>
      <c r="PVN616" s="5" t="s">
        <v>3728</v>
      </c>
      <c r="PVO616" s="17">
        <v>44925</v>
      </c>
      <c r="PVP616" s="5" t="s">
        <v>3728</v>
      </c>
      <c r="PVQ616" s="17">
        <v>44925</v>
      </c>
      <c r="PVR616" s="5" t="s">
        <v>3728</v>
      </c>
      <c r="PVS616" s="17">
        <v>44925</v>
      </c>
      <c r="PVT616" s="5" t="s">
        <v>3728</v>
      </c>
      <c r="PVU616" s="17">
        <v>44925</v>
      </c>
      <c r="PVV616" s="5" t="s">
        <v>3728</v>
      </c>
      <c r="PVW616" s="17">
        <v>44925</v>
      </c>
      <c r="PVX616" s="5" t="s">
        <v>3728</v>
      </c>
      <c r="PVY616" s="17">
        <v>44925</v>
      </c>
      <c r="PVZ616" s="5" t="s">
        <v>3728</v>
      </c>
      <c r="PWA616" s="17">
        <v>44925</v>
      </c>
      <c r="PWB616" s="5" t="s">
        <v>3728</v>
      </c>
      <c r="PWC616" s="17">
        <v>44925</v>
      </c>
      <c r="PWD616" s="5" t="s">
        <v>3728</v>
      </c>
      <c r="PWE616" s="17">
        <v>44925</v>
      </c>
      <c r="PWF616" s="5" t="s">
        <v>3728</v>
      </c>
      <c r="PWG616" s="17">
        <v>44925</v>
      </c>
      <c r="PWH616" s="5" t="s">
        <v>3728</v>
      </c>
      <c r="PWI616" s="17">
        <v>44925</v>
      </c>
      <c r="PWJ616" s="5" t="s">
        <v>3728</v>
      </c>
      <c r="PWK616" s="17">
        <v>44925</v>
      </c>
      <c r="PWL616" s="5" t="s">
        <v>3728</v>
      </c>
      <c r="PWM616" s="17">
        <v>44925</v>
      </c>
      <c r="PWN616" s="5" t="s">
        <v>3728</v>
      </c>
      <c r="PWO616" s="17">
        <v>44925</v>
      </c>
      <c r="PWP616" s="5" t="s">
        <v>3728</v>
      </c>
      <c r="PWQ616" s="17">
        <v>44925</v>
      </c>
      <c r="PWR616" s="5" t="s">
        <v>3728</v>
      </c>
      <c r="PWS616" s="17">
        <v>44925</v>
      </c>
      <c r="PWT616" s="5" t="s">
        <v>3728</v>
      </c>
      <c r="PWU616" s="17">
        <v>44925</v>
      </c>
      <c r="PWV616" s="5" t="s">
        <v>3728</v>
      </c>
      <c r="PWW616" s="17">
        <v>44925</v>
      </c>
      <c r="PWX616" s="5" t="s">
        <v>3728</v>
      </c>
      <c r="PWY616" s="17">
        <v>44925</v>
      </c>
      <c r="PWZ616" s="5" t="s">
        <v>3728</v>
      </c>
      <c r="PXA616" s="17">
        <v>44925</v>
      </c>
      <c r="PXB616" s="5" t="s">
        <v>3728</v>
      </c>
      <c r="PXC616" s="17">
        <v>44925</v>
      </c>
      <c r="PXD616" s="5" t="s">
        <v>3728</v>
      </c>
      <c r="PXE616" s="17">
        <v>44925</v>
      </c>
      <c r="PXF616" s="5" t="s">
        <v>3728</v>
      </c>
      <c r="PXG616" s="17">
        <v>44925</v>
      </c>
      <c r="PXH616" s="5" t="s">
        <v>3728</v>
      </c>
      <c r="PXI616" s="17">
        <v>44925</v>
      </c>
      <c r="PXJ616" s="5" t="s">
        <v>3728</v>
      </c>
      <c r="PXK616" s="17">
        <v>44925</v>
      </c>
      <c r="PXL616" s="5" t="s">
        <v>3728</v>
      </c>
      <c r="PXM616" s="17">
        <v>44925</v>
      </c>
      <c r="PXN616" s="5" t="s">
        <v>3728</v>
      </c>
      <c r="PXO616" s="17">
        <v>44925</v>
      </c>
      <c r="PXP616" s="5" t="s">
        <v>3728</v>
      </c>
      <c r="PXQ616" s="17">
        <v>44925</v>
      </c>
      <c r="PXR616" s="5" t="s">
        <v>3728</v>
      </c>
      <c r="PXS616" s="17">
        <v>44925</v>
      </c>
      <c r="PXT616" s="5" t="s">
        <v>3728</v>
      </c>
      <c r="PXU616" s="17">
        <v>44925</v>
      </c>
      <c r="PXV616" s="5" t="s">
        <v>3728</v>
      </c>
      <c r="PXW616" s="17">
        <v>44925</v>
      </c>
      <c r="PXX616" s="5" t="s">
        <v>3728</v>
      </c>
      <c r="PXY616" s="17">
        <v>44925</v>
      </c>
      <c r="PXZ616" s="5" t="s">
        <v>3728</v>
      </c>
      <c r="PYA616" s="17">
        <v>44925</v>
      </c>
      <c r="PYB616" s="5" t="s">
        <v>3728</v>
      </c>
      <c r="PYC616" s="17">
        <v>44925</v>
      </c>
      <c r="PYD616" s="5" t="s">
        <v>3728</v>
      </c>
      <c r="PYE616" s="17">
        <v>44925</v>
      </c>
      <c r="PYF616" s="5" t="s">
        <v>3728</v>
      </c>
      <c r="PYG616" s="17">
        <v>44925</v>
      </c>
      <c r="PYH616" s="5" t="s">
        <v>3728</v>
      </c>
      <c r="PYI616" s="17">
        <v>44925</v>
      </c>
      <c r="PYJ616" s="5" t="s">
        <v>3728</v>
      </c>
      <c r="PYK616" s="17">
        <v>44925</v>
      </c>
      <c r="PYL616" s="5" t="s">
        <v>3728</v>
      </c>
      <c r="PYM616" s="17">
        <v>44925</v>
      </c>
      <c r="PYN616" s="5" t="s">
        <v>3728</v>
      </c>
      <c r="PYO616" s="17">
        <v>44925</v>
      </c>
      <c r="PYP616" s="5" t="s">
        <v>3728</v>
      </c>
      <c r="PYQ616" s="17">
        <v>44925</v>
      </c>
      <c r="PYR616" s="5" t="s">
        <v>3728</v>
      </c>
      <c r="PYS616" s="17">
        <v>44925</v>
      </c>
      <c r="PYT616" s="5" t="s">
        <v>3728</v>
      </c>
      <c r="PYU616" s="17">
        <v>44925</v>
      </c>
      <c r="PYV616" s="5" t="s">
        <v>3728</v>
      </c>
      <c r="PYW616" s="17">
        <v>44925</v>
      </c>
      <c r="PYX616" s="5" t="s">
        <v>3728</v>
      </c>
      <c r="PYY616" s="17">
        <v>44925</v>
      </c>
      <c r="PYZ616" s="5" t="s">
        <v>3728</v>
      </c>
      <c r="PZA616" s="17">
        <v>44925</v>
      </c>
      <c r="PZB616" s="5" t="s">
        <v>3728</v>
      </c>
      <c r="PZC616" s="17">
        <v>44925</v>
      </c>
      <c r="PZD616" s="5" t="s">
        <v>3728</v>
      </c>
      <c r="PZE616" s="17">
        <v>44925</v>
      </c>
      <c r="PZF616" s="5" t="s">
        <v>3728</v>
      </c>
      <c r="PZG616" s="17">
        <v>44925</v>
      </c>
      <c r="PZH616" s="5" t="s">
        <v>3728</v>
      </c>
      <c r="PZI616" s="17">
        <v>44925</v>
      </c>
      <c r="PZJ616" s="5" t="s">
        <v>3728</v>
      </c>
      <c r="PZK616" s="17">
        <v>44925</v>
      </c>
      <c r="PZL616" s="5" t="s">
        <v>3728</v>
      </c>
      <c r="PZM616" s="17">
        <v>44925</v>
      </c>
      <c r="PZN616" s="5" t="s">
        <v>3728</v>
      </c>
      <c r="PZO616" s="17">
        <v>44925</v>
      </c>
      <c r="PZP616" s="5" t="s">
        <v>3728</v>
      </c>
      <c r="PZQ616" s="17">
        <v>44925</v>
      </c>
      <c r="PZR616" s="5" t="s">
        <v>3728</v>
      </c>
      <c r="PZS616" s="17">
        <v>44925</v>
      </c>
      <c r="PZT616" s="5" t="s">
        <v>3728</v>
      </c>
      <c r="PZU616" s="17">
        <v>44925</v>
      </c>
      <c r="PZV616" s="5" t="s">
        <v>3728</v>
      </c>
      <c r="PZW616" s="17">
        <v>44925</v>
      </c>
      <c r="PZX616" s="5" t="s">
        <v>3728</v>
      </c>
      <c r="PZY616" s="17">
        <v>44925</v>
      </c>
      <c r="PZZ616" s="5" t="s">
        <v>3728</v>
      </c>
      <c r="QAA616" s="17">
        <v>44925</v>
      </c>
      <c r="QAB616" s="5" t="s">
        <v>3728</v>
      </c>
      <c r="QAC616" s="17">
        <v>44925</v>
      </c>
      <c r="QAD616" s="5" t="s">
        <v>3728</v>
      </c>
      <c r="QAE616" s="17">
        <v>44925</v>
      </c>
      <c r="QAF616" s="5" t="s">
        <v>3728</v>
      </c>
      <c r="QAG616" s="17">
        <v>44925</v>
      </c>
      <c r="QAH616" s="5" t="s">
        <v>3728</v>
      </c>
      <c r="QAI616" s="17">
        <v>44925</v>
      </c>
      <c r="QAJ616" s="5" t="s">
        <v>3728</v>
      </c>
      <c r="QAK616" s="17">
        <v>44925</v>
      </c>
      <c r="QAL616" s="5" t="s">
        <v>3728</v>
      </c>
      <c r="QAM616" s="17">
        <v>44925</v>
      </c>
      <c r="QAN616" s="5" t="s">
        <v>3728</v>
      </c>
      <c r="QAO616" s="17">
        <v>44925</v>
      </c>
      <c r="QAP616" s="5" t="s">
        <v>3728</v>
      </c>
      <c r="QAQ616" s="17">
        <v>44925</v>
      </c>
      <c r="QAR616" s="5" t="s">
        <v>3728</v>
      </c>
      <c r="QAS616" s="17">
        <v>44925</v>
      </c>
      <c r="QAT616" s="5" t="s">
        <v>3728</v>
      </c>
      <c r="QAU616" s="17">
        <v>44925</v>
      </c>
      <c r="QAV616" s="5" t="s">
        <v>3728</v>
      </c>
      <c r="QAW616" s="17">
        <v>44925</v>
      </c>
      <c r="QAX616" s="5" t="s">
        <v>3728</v>
      </c>
      <c r="QAY616" s="17">
        <v>44925</v>
      </c>
      <c r="QAZ616" s="5" t="s">
        <v>3728</v>
      </c>
      <c r="QBA616" s="17">
        <v>44925</v>
      </c>
      <c r="QBB616" s="5" t="s">
        <v>3728</v>
      </c>
      <c r="QBC616" s="17">
        <v>44925</v>
      </c>
      <c r="QBD616" s="5" t="s">
        <v>3728</v>
      </c>
      <c r="QBE616" s="17">
        <v>44925</v>
      </c>
      <c r="QBF616" s="5" t="s">
        <v>3728</v>
      </c>
      <c r="QBG616" s="17">
        <v>44925</v>
      </c>
      <c r="QBH616" s="5" t="s">
        <v>3728</v>
      </c>
      <c r="QBI616" s="17">
        <v>44925</v>
      </c>
      <c r="QBJ616" s="5" t="s">
        <v>3728</v>
      </c>
      <c r="QBK616" s="17">
        <v>44925</v>
      </c>
      <c r="QBL616" s="5" t="s">
        <v>3728</v>
      </c>
      <c r="QBM616" s="17">
        <v>44925</v>
      </c>
      <c r="QBN616" s="5" t="s">
        <v>3728</v>
      </c>
      <c r="QBO616" s="17">
        <v>44925</v>
      </c>
      <c r="QBP616" s="5" t="s">
        <v>3728</v>
      </c>
      <c r="QBQ616" s="17">
        <v>44925</v>
      </c>
      <c r="QBR616" s="5" t="s">
        <v>3728</v>
      </c>
      <c r="QBS616" s="17">
        <v>44925</v>
      </c>
      <c r="QBT616" s="5" t="s">
        <v>3728</v>
      </c>
      <c r="QBU616" s="17">
        <v>44925</v>
      </c>
      <c r="QBV616" s="5" t="s">
        <v>3728</v>
      </c>
      <c r="QBW616" s="17">
        <v>44925</v>
      </c>
      <c r="QBX616" s="5" t="s">
        <v>3728</v>
      </c>
      <c r="QBY616" s="17">
        <v>44925</v>
      </c>
      <c r="QBZ616" s="5" t="s">
        <v>3728</v>
      </c>
      <c r="QCA616" s="17">
        <v>44925</v>
      </c>
      <c r="QCB616" s="5" t="s">
        <v>3728</v>
      </c>
      <c r="QCC616" s="17">
        <v>44925</v>
      </c>
      <c r="QCD616" s="5" t="s">
        <v>3728</v>
      </c>
      <c r="QCE616" s="17">
        <v>44925</v>
      </c>
      <c r="QCF616" s="5" t="s">
        <v>3728</v>
      </c>
      <c r="QCG616" s="17">
        <v>44925</v>
      </c>
      <c r="QCH616" s="5" t="s">
        <v>3728</v>
      </c>
      <c r="QCI616" s="17">
        <v>44925</v>
      </c>
      <c r="QCJ616" s="5" t="s">
        <v>3728</v>
      </c>
      <c r="QCK616" s="17">
        <v>44925</v>
      </c>
      <c r="QCL616" s="5" t="s">
        <v>3728</v>
      </c>
      <c r="QCM616" s="17">
        <v>44925</v>
      </c>
      <c r="QCN616" s="5" t="s">
        <v>3728</v>
      </c>
      <c r="QCO616" s="17">
        <v>44925</v>
      </c>
      <c r="QCP616" s="5" t="s">
        <v>3728</v>
      </c>
      <c r="QCQ616" s="17">
        <v>44925</v>
      </c>
      <c r="QCR616" s="5" t="s">
        <v>3728</v>
      </c>
      <c r="QCS616" s="17">
        <v>44925</v>
      </c>
      <c r="QCT616" s="5" t="s">
        <v>3728</v>
      </c>
      <c r="QCU616" s="17">
        <v>44925</v>
      </c>
      <c r="QCV616" s="5" t="s">
        <v>3728</v>
      </c>
      <c r="QCW616" s="17">
        <v>44925</v>
      </c>
      <c r="QCX616" s="5" t="s">
        <v>3728</v>
      </c>
      <c r="QCY616" s="17">
        <v>44925</v>
      </c>
      <c r="QCZ616" s="5" t="s">
        <v>3728</v>
      </c>
      <c r="QDA616" s="17">
        <v>44925</v>
      </c>
      <c r="QDB616" s="5" t="s">
        <v>3728</v>
      </c>
      <c r="QDC616" s="17">
        <v>44925</v>
      </c>
      <c r="QDD616" s="5" t="s">
        <v>3728</v>
      </c>
      <c r="QDE616" s="17">
        <v>44925</v>
      </c>
      <c r="QDF616" s="5" t="s">
        <v>3728</v>
      </c>
      <c r="QDG616" s="17">
        <v>44925</v>
      </c>
      <c r="QDH616" s="5" t="s">
        <v>3728</v>
      </c>
      <c r="QDI616" s="17">
        <v>44925</v>
      </c>
      <c r="QDJ616" s="5" t="s">
        <v>3728</v>
      </c>
      <c r="QDK616" s="17">
        <v>44925</v>
      </c>
      <c r="QDL616" s="5" t="s">
        <v>3728</v>
      </c>
      <c r="QDM616" s="17">
        <v>44925</v>
      </c>
      <c r="QDN616" s="5" t="s">
        <v>3728</v>
      </c>
      <c r="QDO616" s="17">
        <v>44925</v>
      </c>
      <c r="QDP616" s="5" t="s">
        <v>3728</v>
      </c>
      <c r="QDQ616" s="17">
        <v>44925</v>
      </c>
      <c r="QDR616" s="5" t="s">
        <v>3728</v>
      </c>
      <c r="QDS616" s="17">
        <v>44925</v>
      </c>
      <c r="QDT616" s="5" t="s">
        <v>3728</v>
      </c>
      <c r="QDU616" s="17">
        <v>44925</v>
      </c>
      <c r="QDV616" s="5" t="s">
        <v>3728</v>
      </c>
      <c r="QDW616" s="17">
        <v>44925</v>
      </c>
      <c r="QDX616" s="5" t="s">
        <v>3728</v>
      </c>
      <c r="QDY616" s="17">
        <v>44925</v>
      </c>
      <c r="QDZ616" s="5" t="s">
        <v>3728</v>
      </c>
      <c r="QEA616" s="17">
        <v>44925</v>
      </c>
      <c r="QEB616" s="5" t="s">
        <v>3728</v>
      </c>
      <c r="QEC616" s="17">
        <v>44925</v>
      </c>
      <c r="QED616" s="5" t="s">
        <v>3728</v>
      </c>
      <c r="QEE616" s="17">
        <v>44925</v>
      </c>
      <c r="QEF616" s="5" t="s">
        <v>3728</v>
      </c>
      <c r="QEG616" s="17">
        <v>44925</v>
      </c>
      <c r="QEH616" s="5" t="s">
        <v>3728</v>
      </c>
      <c r="QEI616" s="17">
        <v>44925</v>
      </c>
      <c r="QEJ616" s="5" t="s">
        <v>3728</v>
      </c>
      <c r="QEK616" s="17">
        <v>44925</v>
      </c>
      <c r="QEL616" s="5" t="s">
        <v>3728</v>
      </c>
      <c r="QEM616" s="17">
        <v>44925</v>
      </c>
      <c r="QEN616" s="5" t="s">
        <v>3728</v>
      </c>
      <c r="QEO616" s="17">
        <v>44925</v>
      </c>
      <c r="QEP616" s="5" t="s">
        <v>3728</v>
      </c>
      <c r="QEQ616" s="17">
        <v>44925</v>
      </c>
      <c r="QER616" s="5" t="s">
        <v>3728</v>
      </c>
      <c r="QES616" s="17">
        <v>44925</v>
      </c>
      <c r="QET616" s="5" t="s">
        <v>3728</v>
      </c>
      <c r="QEU616" s="17">
        <v>44925</v>
      </c>
      <c r="QEV616" s="5" t="s">
        <v>3728</v>
      </c>
      <c r="QEW616" s="17">
        <v>44925</v>
      </c>
      <c r="QEX616" s="5" t="s">
        <v>3728</v>
      </c>
      <c r="QEY616" s="17">
        <v>44925</v>
      </c>
      <c r="QEZ616" s="5" t="s">
        <v>3728</v>
      </c>
      <c r="QFA616" s="17">
        <v>44925</v>
      </c>
      <c r="QFB616" s="5" t="s">
        <v>3728</v>
      </c>
      <c r="QFC616" s="17">
        <v>44925</v>
      </c>
      <c r="QFD616" s="5" t="s">
        <v>3728</v>
      </c>
      <c r="QFE616" s="17">
        <v>44925</v>
      </c>
      <c r="QFF616" s="5" t="s">
        <v>3728</v>
      </c>
      <c r="QFG616" s="17">
        <v>44925</v>
      </c>
      <c r="QFH616" s="5" t="s">
        <v>3728</v>
      </c>
      <c r="QFI616" s="17">
        <v>44925</v>
      </c>
      <c r="QFJ616" s="5" t="s">
        <v>3728</v>
      </c>
      <c r="QFK616" s="17">
        <v>44925</v>
      </c>
      <c r="QFL616" s="5" t="s">
        <v>3728</v>
      </c>
      <c r="QFM616" s="17">
        <v>44925</v>
      </c>
      <c r="QFN616" s="5" t="s">
        <v>3728</v>
      </c>
      <c r="QFO616" s="17">
        <v>44925</v>
      </c>
      <c r="QFP616" s="5" t="s">
        <v>3728</v>
      </c>
      <c r="QFQ616" s="17">
        <v>44925</v>
      </c>
      <c r="QFR616" s="5" t="s">
        <v>3728</v>
      </c>
      <c r="QFS616" s="17">
        <v>44925</v>
      </c>
      <c r="QFT616" s="5" t="s">
        <v>3728</v>
      </c>
      <c r="QFU616" s="17">
        <v>44925</v>
      </c>
      <c r="QFV616" s="5" t="s">
        <v>3728</v>
      </c>
      <c r="QFW616" s="17">
        <v>44925</v>
      </c>
      <c r="QFX616" s="5" t="s">
        <v>3728</v>
      </c>
      <c r="QFY616" s="17">
        <v>44925</v>
      </c>
      <c r="QFZ616" s="5" t="s">
        <v>3728</v>
      </c>
      <c r="QGA616" s="17">
        <v>44925</v>
      </c>
      <c r="QGB616" s="5" t="s">
        <v>3728</v>
      </c>
      <c r="QGC616" s="17">
        <v>44925</v>
      </c>
      <c r="QGD616" s="5" t="s">
        <v>3728</v>
      </c>
      <c r="QGE616" s="17">
        <v>44925</v>
      </c>
      <c r="QGF616" s="5" t="s">
        <v>3728</v>
      </c>
      <c r="QGG616" s="17">
        <v>44925</v>
      </c>
      <c r="QGH616" s="5" t="s">
        <v>3728</v>
      </c>
      <c r="QGI616" s="17">
        <v>44925</v>
      </c>
      <c r="QGJ616" s="5" t="s">
        <v>3728</v>
      </c>
      <c r="QGK616" s="17">
        <v>44925</v>
      </c>
      <c r="QGL616" s="5" t="s">
        <v>3728</v>
      </c>
      <c r="QGM616" s="17">
        <v>44925</v>
      </c>
      <c r="QGN616" s="5" t="s">
        <v>3728</v>
      </c>
      <c r="QGO616" s="17">
        <v>44925</v>
      </c>
      <c r="QGP616" s="5" t="s">
        <v>3728</v>
      </c>
      <c r="QGQ616" s="17">
        <v>44925</v>
      </c>
      <c r="QGR616" s="5" t="s">
        <v>3728</v>
      </c>
      <c r="QGS616" s="17">
        <v>44925</v>
      </c>
      <c r="QGT616" s="5" t="s">
        <v>3728</v>
      </c>
      <c r="QGU616" s="17">
        <v>44925</v>
      </c>
      <c r="QGV616" s="5" t="s">
        <v>3728</v>
      </c>
      <c r="QGW616" s="17">
        <v>44925</v>
      </c>
      <c r="QGX616" s="5" t="s">
        <v>3728</v>
      </c>
      <c r="QGY616" s="17">
        <v>44925</v>
      </c>
      <c r="QGZ616" s="5" t="s">
        <v>3728</v>
      </c>
      <c r="QHA616" s="17">
        <v>44925</v>
      </c>
      <c r="QHB616" s="5" t="s">
        <v>3728</v>
      </c>
      <c r="QHC616" s="17">
        <v>44925</v>
      </c>
      <c r="QHD616" s="5" t="s">
        <v>3728</v>
      </c>
      <c r="QHE616" s="17">
        <v>44925</v>
      </c>
      <c r="QHF616" s="5" t="s">
        <v>3728</v>
      </c>
      <c r="QHG616" s="17">
        <v>44925</v>
      </c>
      <c r="QHH616" s="5" t="s">
        <v>3728</v>
      </c>
      <c r="QHI616" s="17">
        <v>44925</v>
      </c>
      <c r="QHJ616" s="5" t="s">
        <v>3728</v>
      </c>
      <c r="QHK616" s="17">
        <v>44925</v>
      </c>
      <c r="QHL616" s="5" t="s">
        <v>3728</v>
      </c>
      <c r="QHM616" s="17">
        <v>44925</v>
      </c>
      <c r="QHN616" s="5" t="s">
        <v>3728</v>
      </c>
      <c r="QHO616" s="17">
        <v>44925</v>
      </c>
      <c r="QHP616" s="5" t="s">
        <v>3728</v>
      </c>
      <c r="QHQ616" s="17">
        <v>44925</v>
      </c>
      <c r="QHR616" s="5" t="s">
        <v>3728</v>
      </c>
      <c r="QHS616" s="17">
        <v>44925</v>
      </c>
      <c r="QHT616" s="5" t="s">
        <v>3728</v>
      </c>
      <c r="QHU616" s="17">
        <v>44925</v>
      </c>
      <c r="QHV616" s="5" t="s">
        <v>3728</v>
      </c>
      <c r="QHW616" s="17">
        <v>44925</v>
      </c>
      <c r="QHX616" s="5" t="s">
        <v>3728</v>
      </c>
      <c r="QHY616" s="17">
        <v>44925</v>
      </c>
      <c r="QHZ616" s="5" t="s">
        <v>3728</v>
      </c>
      <c r="QIA616" s="17">
        <v>44925</v>
      </c>
      <c r="QIB616" s="5" t="s">
        <v>3728</v>
      </c>
      <c r="QIC616" s="17">
        <v>44925</v>
      </c>
      <c r="QID616" s="5" t="s">
        <v>3728</v>
      </c>
      <c r="QIE616" s="17">
        <v>44925</v>
      </c>
      <c r="QIF616" s="5" t="s">
        <v>3728</v>
      </c>
      <c r="QIG616" s="17">
        <v>44925</v>
      </c>
      <c r="QIH616" s="5" t="s">
        <v>3728</v>
      </c>
      <c r="QII616" s="17">
        <v>44925</v>
      </c>
      <c r="QIJ616" s="5" t="s">
        <v>3728</v>
      </c>
      <c r="QIK616" s="17">
        <v>44925</v>
      </c>
      <c r="QIL616" s="5" t="s">
        <v>3728</v>
      </c>
      <c r="QIM616" s="17">
        <v>44925</v>
      </c>
      <c r="QIN616" s="5" t="s">
        <v>3728</v>
      </c>
      <c r="QIO616" s="17">
        <v>44925</v>
      </c>
      <c r="QIP616" s="5" t="s">
        <v>3728</v>
      </c>
      <c r="QIQ616" s="17">
        <v>44925</v>
      </c>
      <c r="QIR616" s="5" t="s">
        <v>3728</v>
      </c>
      <c r="QIS616" s="17">
        <v>44925</v>
      </c>
      <c r="QIT616" s="5" t="s">
        <v>3728</v>
      </c>
      <c r="QIU616" s="17">
        <v>44925</v>
      </c>
      <c r="QIV616" s="5" t="s">
        <v>3728</v>
      </c>
      <c r="QIW616" s="17">
        <v>44925</v>
      </c>
      <c r="QIX616" s="5" t="s">
        <v>3728</v>
      </c>
      <c r="QIY616" s="17">
        <v>44925</v>
      </c>
      <c r="QIZ616" s="5" t="s">
        <v>3728</v>
      </c>
      <c r="QJA616" s="17">
        <v>44925</v>
      </c>
      <c r="QJB616" s="5" t="s">
        <v>3728</v>
      </c>
      <c r="QJC616" s="17">
        <v>44925</v>
      </c>
      <c r="QJD616" s="5" t="s">
        <v>3728</v>
      </c>
      <c r="QJE616" s="17">
        <v>44925</v>
      </c>
      <c r="QJF616" s="5" t="s">
        <v>3728</v>
      </c>
      <c r="QJG616" s="17">
        <v>44925</v>
      </c>
      <c r="QJH616" s="5" t="s">
        <v>3728</v>
      </c>
      <c r="QJI616" s="17">
        <v>44925</v>
      </c>
      <c r="QJJ616" s="5" t="s">
        <v>3728</v>
      </c>
      <c r="QJK616" s="17">
        <v>44925</v>
      </c>
      <c r="QJL616" s="5" t="s">
        <v>3728</v>
      </c>
      <c r="QJM616" s="17">
        <v>44925</v>
      </c>
      <c r="QJN616" s="5" t="s">
        <v>3728</v>
      </c>
      <c r="QJO616" s="17">
        <v>44925</v>
      </c>
      <c r="QJP616" s="5" t="s">
        <v>3728</v>
      </c>
      <c r="QJQ616" s="17">
        <v>44925</v>
      </c>
      <c r="QJR616" s="5" t="s">
        <v>3728</v>
      </c>
      <c r="QJS616" s="17">
        <v>44925</v>
      </c>
      <c r="QJT616" s="5" t="s">
        <v>3728</v>
      </c>
      <c r="QJU616" s="17">
        <v>44925</v>
      </c>
      <c r="QJV616" s="5" t="s">
        <v>3728</v>
      </c>
      <c r="QJW616" s="17">
        <v>44925</v>
      </c>
      <c r="QJX616" s="5" t="s">
        <v>3728</v>
      </c>
      <c r="QJY616" s="17">
        <v>44925</v>
      </c>
      <c r="QJZ616" s="5" t="s">
        <v>3728</v>
      </c>
      <c r="QKA616" s="17">
        <v>44925</v>
      </c>
      <c r="QKB616" s="5" t="s">
        <v>3728</v>
      </c>
      <c r="QKC616" s="17">
        <v>44925</v>
      </c>
      <c r="QKD616" s="5" t="s">
        <v>3728</v>
      </c>
      <c r="QKE616" s="17">
        <v>44925</v>
      </c>
      <c r="QKF616" s="5" t="s">
        <v>3728</v>
      </c>
      <c r="QKG616" s="17">
        <v>44925</v>
      </c>
      <c r="QKH616" s="5" t="s">
        <v>3728</v>
      </c>
      <c r="QKI616" s="17">
        <v>44925</v>
      </c>
      <c r="QKJ616" s="5" t="s">
        <v>3728</v>
      </c>
      <c r="QKK616" s="17">
        <v>44925</v>
      </c>
      <c r="QKL616" s="5" t="s">
        <v>3728</v>
      </c>
      <c r="QKM616" s="17">
        <v>44925</v>
      </c>
      <c r="QKN616" s="5" t="s">
        <v>3728</v>
      </c>
      <c r="QKO616" s="17">
        <v>44925</v>
      </c>
      <c r="QKP616" s="5" t="s">
        <v>3728</v>
      </c>
      <c r="QKQ616" s="17">
        <v>44925</v>
      </c>
      <c r="QKR616" s="5" t="s">
        <v>3728</v>
      </c>
      <c r="QKS616" s="17">
        <v>44925</v>
      </c>
      <c r="QKT616" s="5" t="s">
        <v>3728</v>
      </c>
      <c r="QKU616" s="17">
        <v>44925</v>
      </c>
      <c r="QKV616" s="5" t="s">
        <v>3728</v>
      </c>
      <c r="QKW616" s="17">
        <v>44925</v>
      </c>
      <c r="QKX616" s="5" t="s">
        <v>3728</v>
      </c>
      <c r="QKY616" s="17">
        <v>44925</v>
      </c>
      <c r="QKZ616" s="5" t="s">
        <v>3728</v>
      </c>
      <c r="QLA616" s="17">
        <v>44925</v>
      </c>
      <c r="QLB616" s="5" t="s">
        <v>3728</v>
      </c>
      <c r="QLC616" s="17">
        <v>44925</v>
      </c>
      <c r="QLD616" s="5" t="s">
        <v>3728</v>
      </c>
      <c r="QLE616" s="17">
        <v>44925</v>
      </c>
      <c r="QLF616" s="5" t="s">
        <v>3728</v>
      </c>
      <c r="QLG616" s="17">
        <v>44925</v>
      </c>
      <c r="QLH616" s="5" t="s">
        <v>3728</v>
      </c>
      <c r="QLI616" s="17">
        <v>44925</v>
      </c>
      <c r="QLJ616" s="5" t="s">
        <v>3728</v>
      </c>
      <c r="QLK616" s="17">
        <v>44925</v>
      </c>
      <c r="QLL616" s="5" t="s">
        <v>3728</v>
      </c>
      <c r="QLM616" s="17">
        <v>44925</v>
      </c>
      <c r="QLN616" s="5" t="s">
        <v>3728</v>
      </c>
      <c r="QLO616" s="17">
        <v>44925</v>
      </c>
      <c r="QLP616" s="5" t="s">
        <v>3728</v>
      </c>
      <c r="QLQ616" s="17">
        <v>44925</v>
      </c>
      <c r="QLR616" s="5" t="s">
        <v>3728</v>
      </c>
      <c r="QLS616" s="17">
        <v>44925</v>
      </c>
      <c r="QLT616" s="5" t="s">
        <v>3728</v>
      </c>
      <c r="QLU616" s="17">
        <v>44925</v>
      </c>
      <c r="QLV616" s="5" t="s">
        <v>3728</v>
      </c>
      <c r="QLW616" s="17">
        <v>44925</v>
      </c>
      <c r="QLX616" s="5" t="s">
        <v>3728</v>
      </c>
      <c r="QLY616" s="17">
        <v>44925</v>
      </c>
      <c r="QLZ616" s="5" t="s">
        <v>3728</v>
      </c>
      <c r="QMA616" s="17">
        <v>44925</v>
      </c>
      <c r="QMB616" s="5" t="s">
        <v>3728</v>
      </c>
      <c r="QMC616" s="17">
        <v>44925</v>
      </c>
      <c r="QMD616" s="5" t="s">
        <v>3728</v>
      </c>
      <c r="QME616" s="17">
        <v>44925</v>
      </c>
      <c r="QMF616" s="5" t="s">
        <v>3728</v>
      </c>
      <c r="QMG616" s="17">
        <v>44925</v>
      </c>
      <c r="QMH616" s="5" t="s">
        <v>3728</v>
      </c>
      <c r="QMI616" s="17">
        <v>44925</v>
      </c>
      <c r="QMJ616" s="5" t="s">
        <v>3728</v>
      </c>
      <c r="QMK616" s="17">
        <v>44925</v>
      </c>
      <c r="QML616" s="5" t="s">
        <v>3728</v>
      </c>
      <c r="QMM616" s="17">
        <v>44925</v>
      </c>
      <c r="QMN616" s="5" t="s">
        <v>3728</v>
      </c>
      <c r="QMO616" s="17">
        <v>44925</v>
      </c>
      <c r="QMP616" s="5" t="s">
        <v>3728</v>
      </c>
      <c r="QMQ616" s="17">
        <v>44925</v>
      </c>
      <c r="QMR616" s="5" t="s">
        <v>3728</v>
      </c>
      <c r="QMS616" s="17">
        <v>44925</v>
      </c>
      <c r="QMT616" s="5" t="s">
        <v>3728</v>
      </c>
      <c r="QMU616" s="17">
        <v>44925</v>
      </c>
      <c r="QMV616" s="5" t="s">
        <v>3728</v>
      </c>
      <c r="QMW616" s="17">
        <v>44925</v>
      </c>
      <c r="QMX616" s="5" t="s">
        <v>3728</v>
      </c>
      <c r="QMY616" s="17">
        <v>44925</v>
      </c>
      <c r="QMZ616" s="5" t="s">
        <v>3728</v>
      </c>
      <c r="QNA616" s="17">
        <v>44925</v>
      </c>
      <c r="QNB616" s="5" t="s">
        <v>3728</v>
      </c>
      <c r="QNC616" s="17">
        <v>44925</v>
      </c>
      <c r="QND616" s="5" t="s">
        <v>3728</v>
      </c>
      <c r="QNE616" s="17">
        <v>44925</v>
      </c>
      <c r="QNF616" s="5" t="s">
        <v>3728</v>
      </c>
      <c r="QNG616" s="17">
        <v>44925</v>
      </c>
      <c r="QNH616" s="5" t="s">
        <v>3728</v>
      </c>
      <c r="QNI616" s="17">
        <v>44925</v>
      </c>
      <c r="QNJ616" s="5" t="s">
        <v>3728</v>
      </c>
      <c r="QNK616" s="17">
        <v>44925</v>
      </c>
      <c r="QNL616" s="5" t="s">
        <v>3728</v>
      </c>
      <c r="QNM616" s="17">
        <v>44925</v>
      </c>
      <c r="QNN616" s="5" t="s">
        <v>3728</v>
      </c>
      <c r="QNO616" s="17">
        <v>44925</v>
      </c>
      <c r="QNP616" s="5" t="s">
        <v>3728</v>
      </c>
      <c r="QNQ616" s="17">
        <v>44925</v>
      </c>
      <c r="QNR616" s="5" t="s">
        <v>3728</v>
      </c>
      <c r="QNS616" s="17">
        <v>44925</v>
      </c>
      <c r="QNT616" s="5" t="s">
        <v>3728</v>
      </c>
      <c r="QNU616" s="17">
        <v>44925</v>
      </c>
      <c r="QNV616" s="5" t="s">
        <v>3728</v>
      </c>
      <c r="QNW616" s="17">
        <v>44925</v>
      </c>
      <c r="QNX616" s="5" t="s">
        <v>3728</v>
      </c>
      <c r="QNY616" s="17">
        <v>44925</v>
      </c>
      <c r="QNZ616" s="5" t="s">
        <v>3728</v>
      </c>
      <c r="QOA616" s="17">
        <v>44925</v>
      </c>
      <c r="QOB616" s="5" t="s">
        <v>3728</v>
      </c>
      <c r="QOC616" s="17">
        <v>44925</v>
      </c>
      <c r="QOD616" s="5" t="s">
        <v>3728</v>
      </c>
      <c r="QOE616" s="17">
        <v>44925</v>
      </c>
      <c r="QOF616" s="5" t="s">
        <v>3728</v>
      </c>
      <c r="QOG616" s="17">
        <v>44925</v>
      </c>
      <c r="QOH616" s="5" t="s">
        <v>3728</v>
      </c>
      <c r="QOI616" s="17">
        <v>44925</v>
      </c>
      <c r="QOJ616" s="5" t="s">
        <v>3728</v>
      </c>
      <c r="QOK616" s="17">
        <v>44925</v>
      </c>
      <c r="QOL616" s="5" t="s">
        <v>3728</v>
      </c>
      <c r="QOM616" s="17">
        <v>44925</v>
      </c>
      <c r="QON616" s="5" t="s">
        <v>3728</v>
      </c>
      <c r="QOO616" s="17">
        <v>44925</v>
      </c>
      <c r="QOP616" s="5" t="s">
        <v>3728</v>
      </c>
      <c r="QOQ616" s="17">
        <v>44925</v>
      </c>
      <c r="QOR616" s="5" t="s">
        <v>3728</v>
      </c>
      <c r="QOS616" s="17">
        <v>44925</v>
      </c>
      <c r="QOT616" s="5" t="s">
        <v>3728</v>
      </c>
      <c r="QOU616" s="17">
        <v>44925</v>
      </c>
      <c r="QOV616" s="5" t="s">
        <v>3728</v>
      </c>
      <c r="QOW616" s="17">
        <v>44925</v>
      </c>
      <c r="QOX616" s="5" t="s">
        <v>3728</v>
      </c>
      <c r="QOY616" s="17">
        <v>44925</v>
      </c>
      <c r="QOZ616" s="5" t="s">
        <v>3728</v>
      </c>
      <c r="QPA616" s="17">
        <v>44925</v>
      </c>
      <c r="QPB616" s="5" t="s">
        <v>3728</v>
      </c>
      <c r="QPC616" s="17">
        <v>44925</v>
      </c>
      <c r="QPD616" s="5" t="s">
        <v>3728</v>
      </c>
      <c r="QPE616" s="17">
        <v>44925</v>
      </c>
      <c r="QPF616" s="5" t="s">
        <v>3728</v>
      </c>
      <c r="QPG616" s="17">
        <v>44925</v>
      </c>
      <c r="QPH616" s="5" t="s">
        <v>3728</v>
      </c>
      <c r="QPI616" s="17">
        <v>44925</v>
      </c>
      <c r="QPJ616" s="5" t="s">
        <v>3728</v>
      </c>
      <c r="QPK616" s="17">
        <v>44925</v>
      </c>
      <c r="QPL616" s="5" t="s">
        <v>3728</v>
      </c>
      <c r="QPM616" s="17">
        <v>44925</v>
      </c>
      <c r="QPN616" s="5" t="s">
        <v>3728</v>
      </c>
      <c r="QPO616" s="17">
        <v>44925</v>
      </c>
      <c r="QPP616" s="5" t="s">
        <v>3728</v>
      </c>
      <c r="QPQ616" s="17">
        <v>44925</v>
      </c>
      <c r="QPR616" s="5" t="s">
        <v>3728</v>
      </c>
      <c r="QPS616" s="17">
        <v>44925</v>
      </c>
      <c r="QPT616" s="5" t="s">
        <v>3728</v>
      </c>
      <c r="QPU616" s="17">
        <v>44925</v>
      </c>
      <c r="QPV616" s="5" t="s">
        <v>3728</v>
      </c>
      <c r="QPW616" s="17">
        <v>44925</v>
      </c>
      <c r="QPX616" s="5" t="s">
        <v>3728</v>
      </c>
      <c r="QPY616" s="17">
        <v>44925</v>
      </c>
      <c r="QPZ616" s="5" t="s">
        <v>3728</v>
      </c>
      <c r="QQA616" s="17">
        <v>44925</v>
      </c>
      <c r="QQB616" s="5" t="s">
        <v>3728</v>
      </c>
      <c r="QQC616" s="17">
        <v>44925</v>
      </c>
      <c r="QQD616" s="5" t="s">
        <v>3728</v>
      </c>
      <c r="QQE616" s="17">
        <v>44925</v>
      </c>
      <c r="QQF616" s="5" t="s">
        <v>3728</v>
      </c>
      <c r="QQG616" s="17">
        <v>44925</v>
      </c>
      <c r="QQH616" s="5" t="s">
        <v>3728</v>
      </c>
      <c r="QQI616" s="17">
        <v>44925</v>
      </c>
      <c r="QQJ616" s="5" t="s">
        <v>3728</v>
      </c>
      <c r="QQK616" s="17">
        <v>44925</v>
      </c>
      <c r="QQL616" s="5" t="s">
        <v>3728</v>
      </c>
      <c r="QQM616" s="17">
        <v>44925</v>
      </c>
      <c r="QQN616" s="5" t="s">
        <v>3728</v>
      </c>
      <c r="QQO616" s="17">
        <v>44925</v>
      </c>
      <c r="QQP616" s="5" t="s">
        <v>3728</v>
      </c>
      <c r="QQQ616" s="17">
        <v>44925</v>
      </c>
      <c r="QQR616" s="5" t="s">
        <v>3728</v>
      </c>
      <c r="QQS616" s="17">
        <v>44925</v>
      </c>
      <c r="QQT616" s="5" t="s">
        <v>3728</v>
      </c>
      <c r="QQU616" s="17">
        <v>44925</v>
      </c>
      <c r="QQV616" s="5" t="s">
        <v>3728</v>
      </c>
      <c r="QQW616" s="17">
        <v>44925</v>
      </c>
      <c r="QQX616" s="5" t="s">
        <v>3728</v>
      </c>
      <c r="QQY616" s="17">
        <v>44925</v>
      </c>
      <c r="QQZ616" s="5" t="s">
        <v>3728</v>
      </c>
      <c r="QRA616" s="17">
        <v>44925</v>
      </c>
      <c r="QRB616" s="5" t="s">
        <v>3728</v>
      </c>
      <c r="QRC616" s="17">
        <v>44925</v>
      </c>
      <c r="QRD616" s="5" t="s">
        <v>3728</v>
      </c>
      <c r="QRE616" s="17">
        <v>44925</v>
      </c>
      <c r="QRF616" s="5" t="s">
        <v>3728</v>
      </c>
      <c r="QRG616" s="17">
        <v>44925</v>
      </c>
      <c r="QRH616" s="5" t="s">
        <v>3728</v>
      </c>
      <c r="QRI616" s="17">
        <v>44925</v>
      </c>
      <c r="QRJ616" s="5" t="s">
        <v>3728</v>
      </c>
      <c r="QRK616" s="17">
        <v>44925</v>
      </c>
      <c r="QRL616" s="5" t="s">
        <v>3728</v>
      </c>
      <c r="QRM616" s="17">
        <v>44925</v>
      </c>
      <c r="QRN616" s="5" t="s">
        <v>3728</v>
      </c>
      <c r="QRO616" s="17">
        <v>44925</v>
      </c>
      <c r="QRP616" s="5" t="s">
        <v>3728</v>
      </c>
      <c r="QRQ616" s="17">
        <v>44925</v>
      </c>
      <c r="QRR616" s="5" t="s">
        <v>3728</v>
      </c>
      <c r="QRS616" s="17">
        <v>44925</v>
      </c>
      <c r="QRT616" s="5" t="s">
        <v>3728</v>
      </c>
      <c r="QRU616" s="17">
        <v>44925</v>
      </c>
      <c r="QRV616" s="5" t="s">
        <v>3728</v>
      </c>
      <c r="QRW616" s="17">
        <v>44925</v>
      </c>
      <c r="QRX616" s="5" t="s">
        <v>3728</v>
      </c>
      <c r="QRY616" s="17">
        <v>44925</v>
      </c>
      <c r="QRZ616" s="5" t="s">
        <v>3728</v>
      </c>
      <c r="QSA616" s="17">
        <v>44925</v>
      </c>
      <c r="QSB616" s="5" t="s">
        <v>3728</v>
      </c>
      <c r="QSC616" s="17">
        <v>44925</v>
      </c>
      <c r="QSD616" s="5" t="s">
        <v>3728</v>
      </c>
      <c r="QSE616" s="17">
        <v>44925</v>
      </c>
      <c r="QSF616" s="5" t="s">
        <v>3728</v>
      </c>
      <c r="QSG616" s="17">
        <v>44925</v>
      </c>
      <c r="QSH616" s="5" t="s">
        <v>3728</v>
      </c>
      <c r="QSI616" s="17">
        <v>44925</v>
      </c>
      <c r="QSJ616" s="5" t="s">
        <v>3728</v>
      </c>
      <c r="QSK616" s="17">
        <v>44925</v>
      </c>
      <c r="QSL616" s="5" t="s">
        <v>3728</v>
      </c>
      <c r="QSM616" s="17">
        <v>44925</v>
      </c>
      <c r="QSN616" s="5" t="s">
        <v>3728</v>
      </c>
      <c r="QSO616" s="17">
        <v>44925</v>
      </c>
      <c r="QSP616" s="5" t="s">
        <v>3728</v>
      </c>
      <c r="QSQ616" s="17">
        <v>44925</v>
      </c>
      <c r="QSR616" s="5" t="s">
        <v>3728</v>
      </c>
      <c r="QSS616" s="17">
        <v>44925</v>
      </c>
      <c r="QST616" s="5" t="s">
        <v>3728</v>
      </c>
      <c r="QSU616" s="17">
        <v>44925</v>
      </c>
      <c r="QSV616" s="5" t="s">
        <v>3728</v>
      </c>
      <c r="QSW616" s="17">
        <v>44925</v>
      </c>
      <c r="QSX616" s="5" t="s">
        <v>3728</v>
      </c>
      <c r="QSY616" s="17">
        <v>44925</v>
      </c>
      <c r="QSZ616" s="5" t="s">
        <v>3728</v>
      </c>
      <c r="QTA616" s="17">
        <v>44925</v>
      </c>
      <c r="QTB616" s="5" t="s">
        <v>3728</v>
      </c>
      <c r="QTC616" s="17">
        <v>44925</v>
      </c>
      <c r="QTD616" s="5" t="s">
        <v>3728</v>
      </c>
      <c r="QTE616" s="17">
        <v>44925</v>
      </c>
      <c r="QTF616" s="5" t="s">
        <v>3728</v>
      </c>
      <c r="QTG616" s="17">
        <v>44925</v>
      </c>
      <c r="QTH616" s="5" t="s">
        <v>3728</v>
      </c>
      <c r="QTI616" s="17">
        <v>44925</v>
      </c>
      <c r="QTJ616" s="5" t="s">
        <v>3728</v>
      </c>
      <c r="QTK616" s="17">
        <v>44925</v>
      </c>
      <c r="QTL616" s="5" t="s">
        <v>3728</v>
      </c>
      <c r="QTM616" s="17">
        <v>44925</v>
      </c>
      <c r="QTN616" s="5" t="s">
        <v>3728</v>
      </c>
      <c r="QTO616" s="17">
        <v>44925</v>
      </c>
      <c r="QTP616" s="5" t="s">
        <v>3728</v>
      </c>
      <c r="QTQ616" s="17">
        <v>44925</v>
      </c>
      <c r="QTR616" s="5" t="s">
        <v>3728</v>
      </c>
      <c r="QTS616" s="17">
        <v>44925</v>
      </c>
      <c r="QTT616" s="5" t="s">
        <v>3728</v>
      </c>
      <c r="QTU616" s="17">
        <v>44925</v>
      </c>
      <c r="QTV616" s="5" t="s">
        <v>3728</v>
      </c>
      <c r="QTW616" s="17">
        <v>44925</v>
      </c>
      <c r="QTX616" s="5" t="s">
        <v>3728</v>
      </c>
      <c r="QTY616" s="17">
        <v>44925</v>
      </c>
      <c r="QTZ616" s="5" t="s">
        <v>3728</v>
      </c>
      <c r="QUA616" s="17">
        <v>44925</v>
      </c>
      <c r="QUB616" s="5" t="s">
        <v>3728</v>
      </c>
      <c r="QUC616" s="17">
        <v>44925</v>
      </c>
      <c r="QUD616" s="5" t="s">
        <v>3728</v>
      </c>
      <c r="QUE616" s="17">
        <v>44925</v>
      </c>
      <c r="QUF616" s="5" t="s">
        <v>3728</v>
      </c>
      <c r="QUG616" s="17">
        <v>44925</v>
      </c>
      <c r="QUH616" s="5" t="s">
        <v>3728</v>
      </c>
      <c r="QUI616" s="17">
        <v>44925</v>
      </c>
      <c r="QUJ616" s="5" t="s">
        <v>3728</v>
      </c>
      <c r="QUK616" s="17">
        <v>44925</v>
      </c>
      <c r="QUL616" s="5" t="s">
        <v>3728</v>
      </c>
      <c r="QUM616" s="17">
        <v>44925</v>
      </c>
      <c r="QUN616" s="5" t="s">
        <v>3728</v>
      </c>
      <c r="QUO616" s="17">
        <v>44925</v>
      </c>
      <c r="QUP616" s="5" t="s">
        <v>3728</v>
      </c>
      <c r="QUQ616" s="17">
        <v>44925</v>
      </c>
      <c r="QUR616" s="5" t="s">
        <v>3728</v>
      </c>
      <c r="QUS616" s="17">
        <v>44925</v>
      </c>
      <c r="QUT616" s="5" t="s">
        <v>3728</v>
      </c>
      <c r="QUU616" s="17">
        <v>44925</v>
      </c>
      <c r="QUV616" s="5" t="s">
        <v>3728</v>
      </c>
      <c r="QUW616" s="17">
        <v>44925</v>
      </c>
      <c r="QUX616" s="5" t="s">
        <v>3728</v>
      </c>
      <c r="QUY616" s="17">
        <v>44925</v>
      </c>
      <c r="QUZ616" s="5" t="s">
        <v>3728</v>
      </c>
      <c r="QVA616" s="17">
        <v>44925</v>
      </c>
      <c r="QVB616" s="5" t="s">
        <v>3728</v>
      </c>
      <c r="QVC616" s="17">
        <v>44925</v>
      </c>
      <c r="QVD616" s="5" t="s">
        <v>3728</v>
      </c>
      <c r="QVE616" s="17">
        <v>44925</v>
      </c>
      <c r="QVF616" s="5" t="s">
        <v>3728</v>
      </c>
      <c r="QVG616" s="17">
        <v>44925</v>
      </c>
      <c r="QVH616" s="5" t="s">
        <v>3728</v>
      </c>
      <c r="QVI616" s="17">
        <v>44925</v>
      </c>
      <c r="QVJ616" s="5" t="s">
        <v>3728</v>
      </c>
      <c r="QVK616" s="17">
        <v>44925</v>
      </c>
      <c r="QVL616" s="5" t="s">
        <v>3728</v>
      </c>
      <c r="QVM616" s="17">
        <v>44925</v>
      </c>
      <c r="QVN616" s="5" t="s">
        <v>3728</v>
      </c>
      <c r="QVO616" s="17">
        <v>44925</v>
      </c>
      <c r="QVP616" s="5" t="s">
        <v>3728</v>
      </c>
      <c r="QVQ616" s="17">
        <v>44925</v>
      </c>
      <c r="QVR616" s="5" t="s">
        <v>3728</v>
      </c>
      <c r="QVS616" s="17">
        <v>44925</v>
      </c>
      <c r="QVT616" s="5" t="s">
        <v>3728</v>
      </c>
      <c r="QVU616" s="17">
        <v>44925</v>
      </c>
      <c r="QVV616" s="5" t="s">
        <v>3728</v>
      </c>
      <c r="QVW616" s="17">
        <v>44925</v>
      </c>
      <c r="QVX616" s="5" t="s">
        <v>3728</v>
      </c>
      <c r="QVY616" s="17">
        <v>44925</v>
      </c>
      <c r="QVZ616" s="5" t="s">
        <v>3728</v>
      </c>
      <c r="QWA616" s="17">
        <v>44925</v>
      </c>
      <c r="QWB616" s="5" t="s">
        <v>3728</v>
      </c>
      <c r="QWC616" s="17">
        <v>44925</v>
      </c>
      <c r="QWD616" s="5" t="s">
        <v>3728</v>
      </c>
      <c r="QWE616" s="17">
        <v>44925</v>
      </c>
      <c r="QWF616" s="5" t="s">
        <v>3728</v>
      </c>
      <c r="QWG616" s="17">
        <v>44925</v>
      </c>
      <c r="QWH616" s="5" t="s">
        <v>3728</v>
      </c>
      <c r="QWI616" s="17">
        <v>44925</v>
      </c>
      <c r="QWJ616" s="5" t="s">
        <v>3728</v>
      </c>
      <c r="QWK616" s="17">
        <v>44925</v>
      </c>
      <c r="QWL616" s="5" t="s">
        <v>3728</v>
      </c>
      <c r="QWM616" s="17">
        <v>44925</v>
      </c>
      <c r="QWN616" s="5" t="s">
        <v>3728</v>
      </c>
      <c r="QWO616" s="17">
        <v>44925</v>
      </c>
      <c r="QWP616" s="5" t="s">
        <v>3728</v>
      </c>
      <c r="QWQ616" s="17">
        <v>44925</v>
      </c>
      <c r="QWR616" s="5" t="s">
        <v>3728</v>
      </c>
      <c r="QWS616" s="17">
        <v>44925</v>
      </c>
      <c r="QWT616" s="5" t="s">
        <v>3728</v>
      </c>
      <c r="QWU616" s="17">
        <v>44925</v>
      </c>
      <c r="QWV616" s="5" t="s">
        <v>3728</v>
      </c>
      <c r="QWW616" s="17">
        <v>44925</v>
      </c>
      <c r="QWX616" s="5" t="s">
        <v>3728</v>
      </c>
      <c r="QWY616" s="17">
        <v>44925</v>
      </c>
      <c r="QWZ616" s="5" t="s">
        <v>3728</v>
      </c>
      <c r="QXA616" s="17">
        <v>44925</v>
      </c>
      <c r="QXB616" s="5" t="s">
        <v>3728</v>
      </c>
      <c r="QXC616" s="17">
        <v>44925</v>
      </c>
      <c r="QXD616" s="5" t="s">
        <v>3728</v>
      </c>
      <c r="QXE616" s="17">
        <v>44925</v>
      </c>
      <c r="QXF616" s="5" t="s">
        <v>3728</v>
      </c>
      <c r="QXG616" s="17">
        <v>44925</v>
      </c>
      <c r="QXH616" s="5" t="s">
        <v>3728</v>
      </c>
      <c r="QXI616" s="17">
        <v>44925</v>
      </c>
      <c r="QXJ616" s="5" t="s">
        <v>3728</v>
      </c>
      <c r="QXK616" s="17">
        <v>44925</v>
      </c>
      <c r="QXL616" s="5" t="s">
        <v>3728</v>
      </c>
      <c r="QXM616" s="17">
        <v>44925</v>
      </c>
      <c r="QXN616" s="5" t="s">
        <v>3728</v>
      </c>
      <c r="QXO616" s="17">
        <v>44925</v>
      </c>
      <c r="QXP616" s="5" t="s">
        <v>3728</v>
      </c>
      <c r="QXQ616" s="17">
        <v>44925</v>
      </c>
      <c r="QXR616" s="5" t="s">
        <v>3728</v>
      </c>
      <c r="QXS616" s="17">
        <v>44925</v>
      </c>
      <c r="QXT616" s="5" t="s">
        <v>3728</v>
      </c>
      <c r="QXU616" s="17">
        <v>44925</v>
      </c>
      <c r="QXV616" s="5" t="s">
        <v>3728</v>
      </c>
      <c r="QXW616" s="17">
        <v>44925</v>
      </c>
      <c r="QXX616" s="5" t="s">
        <v>3728</v>
      </c>
      <c r="QXY616" s="17">
        <v>44925</v>
      </c>
      <c r="QXZ616" s="5" t="s">
        <v>3728</v>
      </c>
      <c r="QYA616" s="17">
        <v>44925</v>
      </c>
      <c r="QYB616" s="5" t="s">
        <v>3728</v>
      </c>
      <c r="QYC616" s="17">
        <v>44925</v>
      </c>
      <c r="QYD616" s="5" t="s">
        <v>3728</v>
      </c>
      <c r="QYE616" s="17">
        <v>44925</v>
      </c>
      <c r="QYF616" s="5" t="s">
        <v>3728</v>
      </c>
      <c r="QYG616" s="17">
        <v>44925</v>
      </c>
      <c r="QYH616" s="5" t="s">
        <v>3728</v>
      </c>
      <c r="QYI616" s="17">
        <v>44925</v>
      </c>
      <c r="QYJ616" s="5" t="s">
        <v>3728</v>
      </c>
      <c r="QYK616" s="17">
        <v>44925</v>
      </c>
      <c r="QYL616" s="5" t="s">
        <v>3728</v>
      </c>
      <c r="QYM616" s="17">
        <v>44925</v>
      </c>
      <c r="QYN616" s="5" t="s">
        <v>3728</v>
      </c>
      <c r="QYO616" s="17">
        <v>44925</v>
      </c>
      <c r="QYP616" s="5" t="s">
        <v>3728</v>
      </c>
      <c r="QYQ616" s="17">
        <v>44925</v>
      </c>
      <c r="QYR616" s="5" t="s">
        <v>3728</v>
      </c>
      <c r="QYS616" s="17">
        <v>44925</v>
      </c>
      <c r="QYT616" s="5" t="s">
        <v>3728</v>
      </c>
      <c r="QYU616" s="17">
        <v>44925</v>
      </c>
      <c r="QYV616" s="5" t="s">
        <v>3728</v>
      </c>
      <c r="QYW616" s="17">
        <v>44925</v>
      </c>
      <c r="QYX616" s="5" t="s">
        <v>3728</v>
      </c>
      <c r="QYY616" s="17">
        <v>44925</v>
      </c>
      <c r="QYZ616" s="5" t="s">
        <v>3728</v>
      </c>
      <c r="QZA616" s="17">
        <v>44925</v>
      </c>
      <c r="QZB616" s="5" t="s">
        <v>3728</v>
      </c>
      <c r="QZC616" s="17">
        <v>44925</v>
      </c>
      <c r="QZD616" s="5" t="s">
        <v>3728</v>
      </c>
      <c r="QZE616" s="17">
        <v>44925</v>
      </c>
      <c r="QZF616" s="5" t="s">
        <v>3728</v>
      </c>
      <c r="QZG616" s="17">
        <v>44925</v>
      </c>
      <c r="QZH616" s="5" t="s">
        <v>3728</v>
      </c>
      <c r="QZI616" s="17">
        <v>44925</v>
      </c>
      <c r="QZJ616" s="5" t="s">
        <v>3728</v>
      </c>
      <c r="QZK616" s="17">
        <v>44925</v>
      </c>
      <c r="QZL616" s="5" t="s">
        <v>3728</v>
      </c>
      <c r="QZM616" s="17">
        <v>44925</v>
      </c>
      <c r="QZN616" s="5" t="s">
        <v>3728</v>
      </c>
      <c r="QZO616" s="17">
        <v>44925</v>
      </c>
      <c r="QZP616" s="5" t="s">
        <v>3728</v>
      </c>
      <c r="QZQ616" s="17">
        <v>44925</v>
      </c>
      <c r="QZR616" s="5" t="s">
        <v>3728</v>
      </c>
      <c r="QZS616" s="17">
        <v>44925</v>
      </c>
      <c r="QZT616" s="5" t="s">
        <v>3728</v>
      </c>
      <c r="QZU616" s="17">
        <v>44925</v>
      </c>
      <c r="QZV616" s="5" t="s">
        <v>3728</v>
      </c>
      <c r="QZW616" s="17">
        <v>44925</v>
      </c>
      <c r="QZX616" s="5" t="s">
        <v>3728</v>
      </c>
      <c r="QZY616" s="17">
        <v>44925</v>
      </c>
      <c r="QZZ616" s="5" t="s">
        <v>3728</v>
      </c>
      <c r="RAA616" s="17">
        <v>44925</v>
      </c>
      <c r="RAB616" s="5" t="s">
        <v>3728</v>
      </c>
      <c r="RAC616" s="17">
        <v>44925</v>
      </c>
      <c r="RAD616" s="5" t="s">
        <v>3728</v>
      </c>
      <c r="RAE616" s="17">
        <v>44925</v>
      </c>
      <c r="RAF616" s="5" t="s">
        <v>3728</v>
      </c>
      <c r="RAG616" s="17">
        <v>44925</v>
      </c>
      <c r="RAH616" s="5" t="s">
        <v>3728</v>
      </c>
      <c r="RAI616" s="17">
        <v>44925</v>
      </c>
      <c r="RAJ616" s="5" t="s">
        <v>3728</v>
      </c>
      <c r="RAK616" s="17">
        <v>44925</v>
      </c>
      <c r="RAL616" s="5" t="s">
        <v>3728</v>
      </c>
      <c r="RAM616" s="17">
        <v>44925</v>
      </c>
      <c r="RAN616" s="5" t="s">
        <v>3728</v>
      </c>
      <c r="RAO616" s="17">
        <v>44925</v>
      </c>
      <c r="RAP616" s="5" t="s">
        <v>3728</v>
      </c>
      <c r="RAQ616" s="17">
        <v>44925</v>
      </c>
      <c r="RAR616" s="5" t="s">
        <v>3728</v>
      </c>
      <c r="RAS616" s="17">
        <v>44925</v>
      </c>
      <c r="RAT616" s="5" t="s">
        <v>3728</v>
      </c>
      <c r="RAU616" s="17">
        <v>44925</v>
      </c>
      <c r="RAV616" s="5" t="s">
        <v>3728</v>
      </c>
      <c r="RAW616" s="17">
        <v>44925</v>
      </c>
      <c r="RAX616" s="5" t="s">
        <v>3728</v>
      </c>
      <c r="RAY616" s="17">
        <v>44925</v>
      </c>
      <c r="RAZ616" s="5" t="s">
        <v>3728</v>
      </c>
      <c r="RBA616" s="17">
        <v>44925</v>
      </c>
      <c r="RBB616" s="5" t="s">
        <v>3728</v>
      </c>
      <c r="RBC616" s="17">
        <v>44925</v>
      </c>
      <c r="RBD616" s="5" t="s">
        <v>3728</v>
      </c>
      <c r="RBE616" s="17">
        <v>44925</v>
      </c>
      <c r="RBF616" s="5" t="s">
        <v>3728</v>
      </c>
      <c r="RBG616" s="17">
        <v>44925</v>
      </c>
      <c r="RBH616" s="5" t="s">
        <v>3728</v>
      </c>
      <c r="RBI616" s="17">
        <v>44925</v>
      </c>
      <c r="RBJ616" s="5" t="s">
        <v>3728</v>
      </c>
      <c r="RBK616" s="17">
        <v>44925</v>
      </c>
      <c r="RBL616" s="5" t="s">
        <v>3728</v>
      </c>
      <c r="RBM616" s="17">
        <v>44925</v>
      </c>
      <c r="RBN616" s="5" t="s">
        <v>3728</v>
      </c>
      <c r="RBO616" s="17">
        <v>44925</v>
      </c>
      <c r="RBP616" s="5" t="s">
        <v>3728</v>
      </c>
      <c r="RBQ616" s="17">
        <v>44925</v>
      </c>
      <c r="RBR616" s="5" t="s">
        <v>3728</v>
      </c>
      <c r="RBS616" s="17">
        <v>44925</v>
      </c>
      <c r="RBT616" s="5" t="s">
        <v>3728</v>
      </c>
      <c r="RBU616" s="17">
        <v>44925</v>
      </c>
      <c r="RBV616" s="5" t="s">
        <v>3728</v>
      </c>
      <c r="RBW616" s="17">
        <v>44925</v>
      </c>
      <c r="RBX616" s="5" t="s">
        <v>3728</v>
      </c>
      <c r="RBY616" s="17">
        <v>44925</v>
      </c>
      <c r="RBZ616" s="5" t="s">
        <v>3728</v>
      </c>
      <c r="RCA616" s="17">
        <v>44925</v>
      </c>
      <c r="RCB616" s="5" t="s">
        <v>3728</v>
      </c>
      <c r="RCC616" s="17">
        <v>44925</v>
      </c>
      <c r="RCD616" s="5" t="s">
        <v>3728</v>
      </c>
      <c r="RCE616" s="17">
        <v>44925</v>
      </c>
      <c r="RCF616" s="5" t="s">
        <v>3728</v>
      </c>
      <c r="RCG616" s="17">
        <v>44925</v>
      </c>
      <c r="RCH616" s="5" t="s">
        <v>3728</v>
      </c>
      <c r="RCI616" s="17">
        <v>44925</v>
      </c>
      <c r="RCJ616" s="5" t="s">
        <v>3728</v>
      </c>
      <c r="RCK616" s="17">
        <v>44925</v>
      </c>
      <c r="RCL616" s="5" t="s">
        <v>3728</v>
      </c>
      <c r="RCM616" s="17">
        <v>44925</v>
      </c>
      <c r="RCN616" s="5" t="s">
        <v>3728</v>
      </c>
      <c r="RCO616" s="17">
        <v>44925</v>
      </c>
      <c r="RCP616" s="5" t="s">
        <v>3728</v>
      </c>
      <c r="RCQ616" s="17">
        <v>44925</v>
      </c>
      <c r="RCR616" s="5" t="s">
        <v>3728</v>
      </c>
      <c r="RCS616" s="17">
        <v>44925</v>
      </c>
      <c r="RCT616" s="5" t="s">
        <v>3728</v>
      </c>
      <c r="RCU616" s="17">
        <v>44925</v>
      </c>
      <c r="RCV616" s="5" t="s">
        <v>3728</v>
      </c>
      <c r="RCW616" s="17">
        <v>44925</v>
      </c>
      <c r="RCX616" s="5" t="s">
        <v>3728</v>
      </c>
      <c r="RCY616" s="17">
        <v>44925</v>
      </c>
      <c r="RCZ616" s="5" t="s">
        <v>3728</v>
      </c>
      <c r="RDA616" s="17">
        <v>44925</v>
      </c>
      <c r="RDB616" s="5" t="s">
        <v>3728</v>
      </c>
      <c r="RDC616" s="17">
        <v>44925</v>
      </c>
      <c r="RDD616" s="5" t="s">
        <v>3728</v>
      </c>
      <c r="RDE616" s="17">
        <v>44925</v>
      </c>
      <c r="RDF616" s="5" t="s">
        <v>3728</v>
      </c>
      <c r="RDG616" s="17">
        <v>44925</v>
      </c>
      <c r="RDH616" s="5" t="s">
        <v>3728</v>
      </c>
      <c r="RDI616" s="17">
        <v>44925</v>
      </c>
      <c r="RDJ616" s="5" t="s">
        <v>3728</v>
      </c>
      <c r="RDK616" s="17">
        <v>44925</v>
      </c>
      <c r="RDL616" s="5" t="s">
        <v>3728</v>
      </c>
      <c r="RDM616" s="17">
        <v>44925</v>
      </c>
      <c r="RDN616" s="5" t="s">
        <v>3728</v>
      </c>
      <c r="RDO616" s="17">
        <v>44925</v>
      </c>
      <c r="RDP616" s="5" t="s">
        <v>3728</v>
      </c>
      <c r="RDQ616" s="17">
        <v>44925</v>
      </c>
      <c r="RDR616" s="5" t="s">
        <v>3728</v>
      </c>
      <c r="RDS616" s="17">
        <v>44925</v>
      </c>
      <c r="RDT616" s="5" t="s">
        <v>3728</v>
      </c>
      <c r="RDU616" s="17">
        <v>44925</v>
      </c>
      <c r="RDV616" s="5" t="s">
        <v>3728</v>
      </c>
      <c r="RDW616" s="17">
        <v>44925</v>
      </c>
      <c r="RDX616" s="5" t="s">
        <v>3728</v>
      </c>
      <c r="RDY616" s="17">
        <v>44925</v>
      </c>
      <c r="RDZ616" s="5" t="s">
        <v>3728</v>
      </c>
      <c r="REA616" s="17">
        <v>44925</v>
      </c>
      <c r="REB616" s="5" t="s">
        <v>3728</v>
      </c>
      <c r="REC616" s="17">
        <v>44925</v>
      </c>
      <c r="RED616" s="5" t="s">
        <v>3728</v>
      </c>
      <c r="REE616" s="17">
        <v>44925</v>
      </c>
      <c r="REF616" s="5" t="s">
        <v>3728</v>
      </c>
      <c r="REG616" s="17">
        <v>44925</v>
      </c>
      <c r="REH616" s="5" t="s">
        <v>3728</v>
      </c>
      <c r="REI616" s="17">
        <v>44925</v>
      </c>
      <c r="REJ616" s="5" t="s">
        <v>3728</v>
      </c>
      <c r="REK616" s="17">
        <v>44925</v>
      </c>
      <c r="REL616" s="5" t="s">
        <v>3728</v>
      </c>
      <c r="REM616" s="17">
        <v>44925</v>
      </c>
      <c r="REN616" s="5" t="s">
        <v>3728</v>
      </c>
      <c r="REO616" s="17">
        <v>44925</v>
      </c>
      <c r="REP616" s="5" t="s">
        <v>3728</v>
      </c>
      <c r="REQ616" s="17">
        <v>44925</v>
      </c>
      <c r="RER616" s="5" t="s">
        <v>3728</v>
      </c>
      <c r="RES616" s="17">
        <v>44925</v>
      </c>
      <c r="RET616" s="5" t="s">
        <v>3728</v>
      </c>
      <c r="REU616" s="17">
        <v>44925</v>
      </c>
      <c r="REV616" s="5" t="s">
        <v>3728</v>
      </c>
      <c r="REW616" s="17">
        <v>44925</v>
      </c>
      <c r="REX616" s="5" t="s">
        <v>3728</v>
      </c>
      <c r="REY616" s="17">
        <v>44925</v>
      </c>
      <c r="REZ616" s="5" t="s">
        <v>3728</v>
      </c>
      <c r="RFA616" s="17">
        <v>44925</v>
      </c>
      <c r="RFB616" s="5" t="s">
        <v>3728</v>
      </c>
      <c r="RFC616" s="17">
        <v>44925</v>
      </c>
      <c r="RFD616" s="5" t="s">
        <v>3728</v>
      </c>
      <c r="RFE616" s="17">
        <v>44925</v>
      </c>
      <c r="RFF616" s="5" t="s">
        <v>3728</v>
      </c>
      <c r="RFG616" s="17">
        <v>44925</v>
      </c>
      <c r="RFH616" s="5" t="s">
        <v>3728</v>
      </c>
      <c r="RFI616" s="17">
        <v>44925</v>
      </c>
      <c r="RFJ616" s="5" t="s">
        <v>3728</v>
      </c>
      <c r="RFK616" s="17">
        <v>44925</v>
      </c>
      <c r="RFL616" s="5" t="s">
        <v>3728</v>
      </c>
      <c r="RFM616" s="17">
        <v>44925</v>
      </c>
      <c r="RFN616" s="5" t="s">
        <v>3728</v>
      </c>
      <c r="RFO616" s="17">
        <v>44925</v>
      </c>
      <c r="RFP616" s="5" t="s">
        <v>3728</v>
      </c>
      <c r="RFQ616" s="17">
        <v>44925</v>
      </c>
      <c r="RFR616" s="5" t="s">
        <v>3728</v>
      </c>
      <c r="RFS616" s="17">
        <v>44925</v>
      </c>
      <c r="RFT616" s="5" t="s">
        <v>3728</v>
      </c>
      <c r="RFU616" s="17">
        <v>44925</v>
      </c>
      <c r="RFV616" s="5" t="s">
        <v>3728</v>
      </c>
      <c r="RFW616" s="17">
        <v>44925</v>
      </c>
      <c r="RFX616" s="5" t="s">
        <v>3728</v>
      </c>
      <c r="RFY616" s="17">
        <v>44925</v>
      </c>
      <c r="RFZ616" s="5" t="s">
        <v>3728</v>
      </c>
      <c r="RGA616" s="17">
        <v>44925</v>
      </c>
      <c r="RGB616" s="5" t="s">
        <v>3728</v>
      </c>
      <c r="RGC616" s="17">
        <v>44925</v>
      </c>
      <c r="RGD616" s="5" t="s">
        <v>3728</v>
      </c>
      <c r="RGE616" s="17">
        <v>44925</v>
      </c>
      <c r="RGF616" s="5" t="s">
        <v>3728</v>
      </c>
      <c r="RGG616" s="17">
        <v>44925</v>
      </c>
      <c r="RGH616" s="5" t="s">
        <v>3728</v>
      </c>
      <c r="RGI616" s="17">
        <v>44925</v>
      </c>
      <c r="RGJ616" s="5" t="s">
        <v>3728</v>
      </c>
      <c r="RGK616" s="17">
        <v>44925</v>
      </c>
      <c r="RGL616" s="5" t="s">
        <v>3728</v>
      </c>
      <c r="RGM616" s="17">
        <v>44925</v>
      </c>
      <c r="RGN616" s="5" t="s">
        <v>3728</v>
      </c>
      <c r="RGO616" s="17">
        <v>44925</v>
      </c>
      <c r="RGP616" s="5" t="s">
        <v>3728</v>
      </c>
      <c r="RGQ616" s="17">
        <v>44925</v>
      </c>
      <c r="RGR616" s="5" t="s">
        <v>3728</v>
      </c>
      <c r="RGS616" s="17">
        <v>44925</v>
      </c>
      <c r="RGT616" s="5" t="s">
        <v>3728</v>
      </c>
      <c r="RGU616" s="17">
        <v>44925</v>
      </c>
      <c r="RGV616" s="5" t="s">
        <v>3728</v>
      </c>
      <c r="RGW616" s="17">
        <v>44925</v>
      </c>
      <c r="RGX616" s="5" t="s">
        <v>3728</v>
      </c>
      <c r="RGY616" s="17">
        <v>44925</v>
      </c>
      <c r="RGZ616" s="5" t="s">
        <v>3728</v>
      </c>
      <c r="RHA616" s="17">
        <v>44925</v>
      </c>
      <c r="RHB616" s="5" t="s">
        <v>3728</v>
      </c>
      <c r="RHC616" s="17">
        <v>44925</v>
      </c>
      <c r="RHD616" s="5" t="s">
        <v>3728</v>
      </c>
      <c r="RHE616" s="17">
        <v>44925</v>
      </c>
      <c r="RHF616" s="5" t="s">
        <v>3728</v>
      </c>
      <c r="RHG616" s="17">
        <v>44925</v>
      </c>
      <c r="RHH616" s="5" t="s">
        <v>3728</v>
      </c>
      <c r="RHI616" s="17">
        <v>44925</v>
      </c>
      <c r="RHJ616" s="5" t="s">
        <v>3728</v>
      </c>
      <c r="RHK616" s="17">
        <v>44925</v>
      </c>
      <c r="RHL616" s="5" t="s">
        <v>3728</v>
      </c>
      <c r="RHM616" s="17">
        <v>44925</v>
      </c>
      <c r="RHN616" s="5" t="s">
        <v>3728</v>
      </c>
      <c r="RHO616" s="17">
        <v>44925</v>
      </c>
      <c r="RHP616" s="5" t="s">
        <v>3728</v>
      </c>
      <c r="RHQ616" s="17">
        <v>44925</v>
      </c>
      <c r="RHR616" s="5" t="s">
        <v>3728</v>
      </c>
      <c r="RHS616" s="17">
        <v>44925</v>
      </c>
      <c r="RHT616" s="5" t="s">
        <v>3728</v>
      </c>
      <c r="RHU616" s="17">
        <v>44925</v>
      </c>
      <c r="RHV616" s="5" t="s">
        <v>3728</v>
      </c>
      <c r="RHW616" s="17">
        <v>44925</v>
      </c>
      <c r="RHX616" s="5" t="s">
        <v>3728</v>
      </c>
      <c r="RHY616" s="17">
        <v>44925</v>
      </c>
      <c r="RHZ616" s="5" t="s">
        <v>3728</v>
      </c>
      <c r="RIA616" s="17">
        <v>44925</v>
      </c>
      <c r="RIB616" s="5" t="s">
        <v>3728</v>
      </c>
      <c r="RIC616" s="17">
        <v>44925</v>
      </c>
      <c r="RID616" s="5" t="s">
        <v>3728</v>
      </c>
      <c r="RIE616" s="17">
        <v>44925</v>
      </c>
      <c r="RIF616" s="5" t="s">
        <v>3728</v>
      </c>
      <c r="RIG616" s="17">
        <v>44925</v>
      </c>
      <c r="RIH616" s="5" t="s">
        <v>3728</v>
      </c>
      <c r="RII616" s="17">
        <v>44925</v>
      </c>
      <c r="RIJ616" s="5" t="s">
        <v>3728</v>
      </c>
      <c r="RIK616" s="17">
        <v>44925</v>
      </c>
      <c r="RIL616" s="5" t="s">
        <v>3728</v>
      </c>
      <c r="RIM616" s="17">
        <v>44925</v>
      </c>
      <c r="RIN616" s="5" t="s">
        <v>3728</v>
      </c>
      <c r="RIO616" s="17">
        <v>44925</v>
      </c>
      <c r="RIP616" s="5" t="s">
        <v>3728</v>
      </c>
      <c r="RIQ616" s="17">
        <v>44925</v>
      </c>
      <c r="RIR616" s="5" t="s">
        <v>3728</v>
      </c>
      <c r="RIS616" s="17">
        <v>44925</v>
      </c>
      <c r="RIT616" s="5" t="s">
        <v>3728</v>
      </c>
      <c r="RIU616" s="17">
        <v>44925</v>
      </c>
      <c r="RIV616" s="5" t="s">
        <v>3728</v>
      </c>
      <c r="RIW616" s="17">
        <v>44925</v>
      </c>
      <c r="RIX616" s="5" t="s">
        <v>3728</v>
      </c>
      <c r="RIY616" s="17">
        <v>44925</v>
      </c>
      <c r="RIZ616" s="5" t="s">
        <v>3728</v>
      </c>
      <c r="RJA616" s="17">
        <v>44925</v>
      </c>
      <c r="RJB616" s="5" t="s">
        <v>3728</v>
      </c>
      <c r="RJC616" s="17">
        <v>44925</v>
      </c>
      <c r="RJD616" s="5" t="s">
        <v>3728</v>
      </c>
      <c r="RJE616" s="17">
        <v>44925</v>
      </c>
      <c r="RJF616" s="5" t="s">
        <v>3728</v>
      </c>
      <c r="RJG616" s="17">
        <v>44925</v>
      </c>
      <c r="RJH616" s="5" t="s">
        <v>3728</v>
      </c>
      <c r="RJI616" s="17">
        <v>44925</v>
      </c>
      <c r="RJJ616" s="5" t="s">
        <v>3728</v>
      </c>
      <c r="RJK616" s="17">
        <v>44925</v>
      </c>
      <c r="RJL616" s="5" t="s">
        <v>3728</v>
      </c>
      <c r="RJM616" s="17">
        <v>44925</v>
      </c>
      <c r="RJN616" s="5" t="s">
        <v>3728</v>
      </c>
      <c r="RJO616" s="17">
        <v>44925</v>
      </c>
      <c r="RJP616" s="5" t="s">
        <v>3728</v>
      </c>
      <c r="RJQ616" s="17">
        <v>44925</v>
      </c>
      <c r="RJR616" s="5" t="s">
        <v>3728</v>
      </c>
      <c r="RJS616" s="17">
        <v>44925</v>
      </c>
      <c r="RJT616" s="5" t="s">
        <v>3728</v>
      </c>
      <c r="RJU616" s="17">
        <v>44925</v>
      </c>
      <c r="RJV616" s="5" t="s">
        <v>3728</v>
      </c>
      <c r="RJW616" s="17">
        <v>44925</v>
      </c>
      <c r="RJX616" s="5" t="s">
        <v>3728</v>
      </c>
      <c r="RJY616" s="17">
        <v>44925</v>
      </c>
      <c r="RJZ616" s="5" t="s">
        <v>3728</v>
      </c>
      <c r="RKA616" s="17">
        <v>44925</v>
      </c>
      <c r="RKB616" s="5" t="s">
        <v>3728</v>
      </c>
      <c r="RKC616" s="17">
        <v>44925</v>
      </c>
      <c r="RKD616" s="5" t="s">
        <v>3728</v>
      </c>
      <c r="RKE616" s="17">
        <v>44925</v>
      </c>
      <c r="RKF616" s="5" t="s">
        <v>3728</v>
      </c>
      <c r="RKG616" s="17">
        <v>44925</v>
      </c>
      <c r="RKH616" s="5" t="s">
        <v>3728</v>
      </c>
      <c r="RKI616" s="17">
        <v>44925</v>
      </c>
      <c r="RKJ616" s="5" t="s">
        <v>3728</v>
      </c>
      <c r="RKK616" s="17">
        <v>44925</v>
      </c>
      <c r="RKL616" s="5" t="s">
        <v>3728</v>
      </c>
      <c r="RKM616" s="17">
        <v>44925</v>
      </c>
      <c r="RKN616" s="5" t="s">
        <v>3728</v>
      </c>
      <c r="RKO616" s="17">
        <v>44925</v>
      </c>
      <c r="RKP616" s="5" t="s">
        <v>3728</v>
      </c>
      <c r="RKQ616" s="17">
        <v>44925</v>
      </c>
      <c r="RKR616" s="5" t="s">
        <v>3728</v>
      </c>
      <c r="RKS616" s="17">
        <v>44925</v>
      </c>
      <c r="RKT616" s="5" t="s">
        <v>3728</v>
      </c>
      <c r="RKU616" s="17">
        <v>44925</v>
      </c>
      <c r="RKV616" s="5" t="s">
        <v>3728</v>
      </c>
      <c r="RKW616" s="17">
        <v>44925</v>
      </c>
      <c r="RKX616" s="5" t="s">
        <v>3728</v>
      </c>
      <c r="RKY616" s="17">
        <v>44925</v>
      </c>
      <c r="RKZ616" s="5" t="s">
        <v>3728</v>
      </c>
      <c r="RLA616" s="17">
        <v>44925</v>
      </c>
      <c r="RLB616" s="5" t="s">
        <v>3728</v>
      </c>
      <c r="RLC616" s="17">
        <v>44925</v>
      </c>
      <c r="RLD616" s="5" t="s">
        <v>3728</v>
      </c>
      <c r="RLE616" s="17">
        <v>44925</v>
      </c>
      <c r="RLF616" s="5" t="s">
        <v>3728</v>
      </c>
      <c r="RLG616" s="17">
        <v>44925</v>
      </c>
      <c r="RLH616" s="5" t="s">
        <v>3728</v>
      </c>
      <c r="RLI616" s="17">
        <v>44925</v>
      </c>
      <c r="RLJ616" s="5" t="s">
        <v>3728</v>
      </c>
      <c r="RLK616" s="17">
        <v>44925</v>
      </c>
      <c r="RLL616" s="5" t="s">
        <v>3728</v>
      </c>
      <c r="RLM616" s="17">
        <v>44925</v>
      </c>
      <c r="RLN616" s="5" t="s">
        <v>3728</v>
      </c>
      <c r="RLO616" s="17">
        <v>44925</v>
      </c>
      <c r="RLP616" s="5" t="s">
        <v>3728</v>
      </c>
      <c r="RLQ616" s="17">
        <v>44925</v>
      </c>
      <c r="RLR616" s="5" t="s">
        <v>3728</v>
      </c>
      <c r="RLS616" s="17">
        <v>44925</v>
      </c>
      <c r="RLT616" s="5" t="s">
        <v>3728</v>
      </c>
      <c r="RLU616" s="17">
        <v>44925</v>
      </c>
      <c r="RLV616" s="5" t="s">
        <v>3728</v>
      </c>
      <c r="RLW616" s="17">
        <v>44925</v>
      </c>
      <c r="RLX616" s="5" t="s">
        <v>3728</v>
      </c>
      <c r="RLY616" s="17">
        <v>44925</v>
      </c>
      <c r="RLZ616" s="5" t="s">
        <v>3728</v>
      </c>
      <c r="RMA616" s="17">
        <v>44925</v>
      </c>
      <c r="RMB616" s="5" t="s">
        <v>3728</v>
      </c>
      <c r="RMC616" s="17">
        <v>44925</v>
      </c>
      <c r="RMD616" s="5" t="s">
        <v>3728</v>
      </c>
      <c r="RME616" s="17">
        <v>44925</v>
      </c>
      <c r="RMF616" s="5" t="s">
        <v>3728</v>
      </c>
      <c r="RMG616" s="17">
        <v>44925</v>
      </c>
      <c r="RMH616" s="5" t="s">
        <v>3728</v>
      </c>
      <c r="RMI616" s="17">
        <v>44925</v>
      </c>
      <c r="RMJ616" s="5" t="s">
        <v>3728</v>
      </c>
      <c r="RMK616" s="17">
        <v>44925</v>
      </c>
      <c r="RML616" s="5" t="s">
        <v>3728</v>
      </c>
      <c r="RMM616" s="17">
        <v>44925</v>
      </c>
      <c r="RMN616" s="5" t="s">
        <v>3728</v>
      </c>
      <c r="RMO616" s="17">
        <v>44925</v>
      </c>
      <c r="RMP616" s="5" t="s">
        <v>3728</v>
      </c>
      <c r="RMQ616" s="17">
        <v>44925</v>
      </c>
      <c r="RMR616" s="5" t="s">
        <v>3728</v>
      </c>
      <c r="RMS616" s="17">
        <v>44925</v>
      </c>
      <c r="RMT616" s="5" t="s">
        <v>3728</v>
      </c>
      <c r="RMU616" s="17">
        <v>44925</v>
      </c>
      <c r="RMV616" s="5" t="s">
        <v>3728</v>
      </c>
      <c r="RMW616" s="17">
        <v>44925</v>
      </c>
      <c r="RMX616" s="5" t="s">
        <v>3728</v>
      </c>
      <c r="RMY616" s="17">
        <v>44925</v>
      </c>
      <c r="RMZ616" s="5" t="s">
        <v>3728</v>
      </c>
      <c r="RNA616" s="17">
        <v>44925</v>
      </c>
      <c r="RNB616" s="5" t="s">
        <v>3728</v>
      </c>
      <c r="RNC616" s="17">
        <v>44925</v>
      </c>
      <c r="RND616" s="5" t="s">
        <v>3728</v>
      </c>
      <c r="RNE616" s="17">
        <v>44925</v>
      </c>
      <c r="RNF616" s="5" t="s">
        <v>3728</v>
      </c>
      <c r="RNG616" s="17">
        <v>44925</v>
      </c>
      <c r="RNH616" s="5" t="s">
        <v>3728</v>
      </c>
      <c r="RNI616" s="17">
        <v>44925</v>
      </c>
      <c r="RNJ616" s="5" t="s">
        <v>3728</v>
      </c>
      <c r="RNK616" s="17">
        <v>44925</v>
      </c>
      <c r="RNL616" s="5" t="s">
        <v>3728</v>
      </c>
      <c r="RNM616" s="17">
        <v>44925</v>
      </c>
      <c r="RNN616" s="5" t="s">
        <v>3728</v>
      </c>
      <c r="RNO616" s="17">
        <v>44925</v>
      </c>
      <c r="RNP616" s="5" t="s">
        <v>3728</v>
      </c>
      <c r="RNQ616" s="17">
        <v>44925</v>
      </c>
      <c r="RNR616" s="5" t="s">
        <v>3728</v>
      </c>
      <c r="RNS616" s="17">
        <v>44925</v>
      </c>
      <c r="RNT616" s="5" t="s">
        <v>3728</v>
      </c>
      <c r="RNU616" s="17">
        <v>44925</v>
      </c>
      <c r="RNV616" s="5" t="s">
        <v>3728</v>
      </c>
      <c r="RNW616" s="17">
        <v>44925</v>
      </c>
      <c r="RNX616" s="5" t="s">
        <v>3728</v>
      </c>
      <c r="RNY616" s="17">
        <v>44925</v>
      </c>
      <c r="RNZ616" s="5" t="s">
        <v>3728</v>
      </c>
      <c r="ROA616" s="17">
        <v>44925</v>
      </c>
      <c r="ROB616" s="5" t="s">
        <v>3728</v>
      </c>
      <c r="ROC616" s="17">
        <v>44925</v>
      </c>
      <c r="ROD616" s="5" t="s">
        <v>3728</v>
      </c>
      <c r="ROE616" s="17">
        <v>44925</v>
      </c>
      <c r="ROF616" s="5" t="s">
        <v>3728</v>
      </c>
      <c r="ROG616" s="17">
        <v>44925</v>
      </c>
      <c r="ROH616" s="5" t="s">
        <v>3728</v>
      </c>
      <c r="ROI616" s="17">
        <v>44925</v>
      </c>
      <c r="ROJ616" s="5" t="s">
        <v>3728</v>
      </c>
      <c r="ROK616" s="17">
        <v>44925</v>
      </c>
      <c r="ROL616" s="5" t="s">
        <v>3728</v>
      </c>
      <c r="ROM616" s="17">
        <v>44925</v>
      </c>
      <c r="RON616" s="5" t="s">
        <v>3728</v>
      </c>
      <c r="ROO616" s="17">
        <v>44925</v>
      </c>
      <c r="ROP616" s="5" t="s">
        <v>3728</v>
      </c>
      <c r="ROQ616" s="17">
        <v>44925</v>
      </c>
      <c r="ROR616" s="5" t="s">
        <v>3728</v>
      </c>
      <c r="ROS616" s="17">
        <v>44925</v>
      </c>
      <c r="ROT616" s="5" t="s">
        <v>3728</v>
      </c>
      <c r="ROU616" s="17">
        <v>44925</v>
      </c>
      <c r="ROV616" s="5" t="s">
        <v>3728</v>
      </c>
      <c r="ROW616" s="17">
        <v>44925</v>
      </c>
      <c r="ROX616" s="5" t="s">
        <v>3728</v>
      </c>
      <c r="ROY616" s="17">
        <v>44925</v>
      </c>
      <c r="ROZ616" s="5" t="s">
        <v>3728</v>
      </c>
      <c r="RPA616" s="17">
        <v>44925</v>
      </c>
      <c r="RPB616" s="5" t="s">
        <v>3728</v>
      </c>
      <c r="RPC616" s="17">
        <v>44925</v>
      </c>
      <c r="RPD616" s="5" t="s">
        <v>3728</v>
      </c>
      <c r="RPE616" s="17">
        <v>44925</v>
      </c>
      <c r="RPF616" s="5" t="s">
        <v>3728</v>
      </c>
      <c r="RPG616" s="17">
        <v>44925</v>
      </c>
      <c r="RPH616" s="5" t="s">
        <v>3728</v>
      </c>
      <c r="RPI616" s="17">
        <v>44925</v>
      </c>
      <c r="RPJ616" s="5" t="s">
        <v>3728</v>
      </c>
      <c r="RPK616" s="17">
        <v>44925</v>
      </c>
      <c r="RPL616" s="5" t="s">
        <v>3728</v>
      </c>
      <c r="RPM616" s="17">
        <v>44925</v>
      </c>
      <c r="RPN616" s="5" t="s">
        <v>3728</v>
      </c>
      <c r="RPO616" s="17">
        <v>44925</v>
      </c>
      <c r="RPP616" s="5" t="s">
        <v>3728</v>
      </c>
      <c r="RPQ616" s="17">
        <v>44925</v>
      </c>
      <c r="RPR616" s="5" t="s">
        <v>3728</v>
      </c>
      <c r="RPS616" s="17">
        <v>44925</v>
      </c>
      <c r="RPT616" s="5" t="s">
        <v>3728</v>
      </c>
      <c r="RPU616" s="17">
        <v>44925</v>
      </c>
      <c r="RPV616" s="5" t="s">
        <v>3728</v>
      </c>
      <c r="RPW616" s="17">
        <v>44925</v>
      </c>
      <c r="RPX616" s="5" t="s">
        <v>3728</v>
      </c>
      <c r="RPY616" s="17">
        <v>44925</v>
      </c>
      <c r="RPZ616" s="5" t="s">
        <v>3728</v>
      </c>
      <c r="RQA616" s="17">
        <v>44925</v>
      </c>
      <c r="RQB616" s="5" t="s">
        <v>3728</v>
      </c>
      <c r="RQC616" s="17">
        <v>44925</v>
      </c>
      <c r="RQD616" s="5" t="s">
        <v>3728</v>
      </c>
      <c r="RQE616" s="17">
        <v>44925</v>
      </c>
      <c r="RQF616" s="5" t="s">
        <v>3728</v>
      </c>
      <c r="RQG616" s="17">
        <v>44925</v>
      </c>
      <c r="RQH616" s="5" t="s">
        <v>3728</v>
      </c>
      <c r="RQI616" s="17">
        <v>44925</v>
      </c>
      <c r="RQJ616" s="5" t="s">
        <v>3728</v>
      </c>
      <c r="RQK616" s="17">
        <v>44925</v>
      </c>
      <c r="RQL616" s="5" t="s">
        <v>3728</v>
      </c>
      <c r="RQM616" s="17">
        <v>44925</v>
      </c>
      <c r="RQN616" s="5" t="s">
        <v>3728</v>
      </c>
      <c r="RQO616" s="17">
        <v>44925</v>
      </c>
      <c r="RQP616" s="5" t="s">
        <v>3728</v>
      </c>
      <c r="RQQ616" s="17">
        <v>44925</v>
      </c>
      <c r="RQR616" s="5" t="s">
        <v>3728</v>
      </c>
      <c r="RQS616" s="17">
        <v>44925</v>
      </c>
      <c r="RQT616" s="5" t="s">
        <v>3728</v>
      </c>
      <c r="RQU616" s="17">
        <v>44925</v>
      </c>
      <c r="RQV616" s="5" t="s">
        <v>3728</v>
      </c>
      <c r="RQW616" s="17">
        <v>44925</v>
      </c>
      <c r="RQX616" s="5" t="s">
        <v>3728</v>
      </c>
      <c r="RQY616" s="17">
        <v>44925</v>
      </c>
      <c r="RQZ616" s="5" t="s">
        <v>3728</v>
      </c>
      <c r="RRA616" s="17">
        <v>44925</v>
      </c>
      <c r="RRB616" s="5" t="s">
        <v>3728</v>
      </c>
      <c r="RRC616" s="17">
        <v>44925</v>
      </c>
      <c r="RRD616" s="5" t="s">
        <v>3728</v>
      </c>
      <c r="RRE616" s="17">
        <v>44925</v>
      </c>
      <c r="RRF616" s="5" t="s">
        <v>3728</v>
      </c>
      <c r="RRG616" s="17">
        <v>44925</v>
      </c>
      <c r="RRH616" s="5" t="s">
        <v>3728</v>
      </c>
      <c r="RRI616" s="17">
        <v>44925</v>
      </c>
      <c r="RRJ616" s="5" t="s">
        <v>3728</v>
      </c>
      <c r="RRK616" s="17">
        <v>44925</v>
      </c>
      <c r="RRL616" s="5" t="s">
        <v>3728</v>
      </c>
      <c r="RRM616" s="17">
        <v>44925</v>
      </c>
      <c r="RRN616" s="5" t="s">
        <v>3728</v>
      </c>
      <c r="RRO616" s="17">
        <v>44925</v>
      </c>
      <c r="RRP616" s="5" t="s">
        <v>3728</v>
      </c>
      <c r="RRQ616" s="17">
        <v>44925</v>
      </c>
      <c r="RRR616" s="5" t="s">
        <v>3728</v>
      </c>
      <c r="RRS616" s="17">
        <v>44925</v>
      </c>
      <c r="RRT616" s="5" t="s">
        <v>3728</v>
      </c>
      <c r="RRU616" s="17">
        <v>44925</v>
      </c>
      <c r="RRV616" s="5" t="s">
        <v>3728</v>
      </c>
      <c r="RRW616" s="17">
        <v>44925</v>
      </c>
      <c r="RRX616" s="5" t="s">
        <v>3728</v>
      </c>
      <c r="RRY616" s="17">
        <v>44925</v>
      </c>
      <c r="RRZ616" s="5" t="s">
        <v>3728</v>
      </c>
      <c r="RSA616" s="17">
        <v>44925</v>
      </c>
      <c r="RSB616" s="5" t="s">
        <v>3728</v>
      </c>
      <c r="RSC616" s="17">
        <v>44925</v>
      </c>
      <c r="RSD616" s="5" t="s">
        <v>3728</v>
      </c>
      <c r="RSE616" s="17">
        <v>44925</v>
      </c>
      <c r="RSF616" s="5" t="s">
        <v>3728</v>
      </c>
      <c r="RSG616" s="17">
        <v>44925</v>
      </c>
      <c r="RSH616" s="5" t="s">
        <v>3728</v>
      </c>
      <c r="RSI616" s="17">
        <v>44925</v>
      </c>
      <c r="RSJ616" s="5" t="s">
        <v>3728</v>
      </c>
      <c r="RSK616" s="17">
        <v>44925</v>
      </c>
      <c r="RSL616" s="5" t="s">
        <v>3728</v>
      </c>
      <c r="RSM616" s="17">
        <v>44925</v>
      </c>
      <c r="RSN616" s="5" t="s">
        <v>3728</v>
      </c>
      <c r="RSO616" s="17">
        <v>44925</v>
      </c>
      <c r="RSP616" s="5" t="s">
        <v>3728</v>
      </c>
      <c r="RSQ616" s="17">
        <v>44925</v>
      </c>
      <c r="RSR616" s="5" t="s">
        <v>3728</v>
      </c>
      <c r="RSS616" s="17">
        <v>44925</v>
      </c>
      <c r="RST616" s="5" t="s">
        <v>3728</v>
      </c>
      <c r="RSU616" s="17">
        <v>44925</v>
      </c>
      <c r="RSV616" s="5" t="s">
        <v>3728</v>
      </c>
      <c r="RSW616" s="17">
        <v>44925</v>
      </c>
      <c r="RSX616" s="5" t="s">
        <v>3728</v>
      </c>
      <c r="RSY616" s="17">
        <v>44925</v>
      </c>
      <c r="RSZ616" s="5" t="s">
        <v>3728</v>
      </c>
      <c r="RTA616" s="17">
        <v>44925</v>
      </c>
      <c r="RTB616" s="5" t="s">
        <v>3728</v>
      </c>
      <c r="RTC616" s="17">
        <v>44925</v>
      </c>
      <c r="RTD616" s="5" t="s">
        <v>3728</v>
      </c>
      <c r="RTE616" s="17">
        <v>44925</v>
      </c>
      <c r="RTF616" s="5" t="s">
        <v>3728</v>
      </c>
      <c r="RTG616" s="17">
        <v>44925</v>
      </c>
      <c r="RTH616" s="5" t="s">
        <v>3728</v>
      </c>
      <c r="RTI616" s="17">
        <v>44925</v>
      </c>
      <c r="RTJ616" s="5" t="s">
        <v>3728</v>
      </c>
      <c r="RTK616" s="17">
        <v>44925</v>
      </c>
      <c r="RTL616" s="5" t="s">
        <v>3728</v>
      </c>
      <c r="RTM616" s="17">
        <v>44925</v>
      </c>
      <c r="RTN616" s="5" t="s">
        <v>3728</v>
      </c>
      <c r="RTO616" s="17">
        <v>44925</v>
      </c>
      <c r="RTP616" s="5" t="s">
        <v>3728</v>
      </c>
      <c r="RTQ616" s="17">
        <v>44925</v>
      </c>
      <c r="RTR616" s="5" t="s">
        <v>3728</v>
      </c>
      <c r="RTS616" s="17">
        <v>44925</v>
      </c>
      <c r="RTT616" s="5" t="s">
        <v>3728</v>
      </c>
      <c r="RTU616" s="17">
        <v>44925</v>
      </c>
      <c r="RTV616" s="5" t="s">
        <v>3728</v>
      </c>
      <c r="RTW616" s="17">
        <v>44925</v>
      </c>
      <c r="RTX616" s="5" t="s">
        <v>3728</v>
      </c>
      <c r="RTY616" s="17">
        <v>44925</v>
      </c>
      <c r="RTZ616" s="5" t="s">
        <v>3728</v>
      </c>
      <c r="RUA616" s="17">
        <v>44925</v>
      </c>
      <c r="RUB616" s="5" t="s">
        <v>3728</v>
      </c>
      <c r="RUC616" s="17">
        <v>44925</v>
      </c>
      <c r="RUD616" s="5" t="s">
        <v>3728</v>
      </c>
      <c r="RUE616" s="17">
        <v>44925</v>
      </c>
      <c r="RUF616" s="5" t="s">
        <v>3728</v>
      </c>
      <c r="RUG616" s="17">
        <v>44925</v>
      </c>
      <c r="RUH616" s="5" t="s">
        <v>3728</v>
      </c>
      <c r="RUI616" s="17">
        <v>44925</v>
      </c>
      <c r="RUJ616" s="5" t="s">
        <v>3728</v>
      </c>
      <c r="RUK616" s="17">
        <v>44925</v>
      </c>
      <c r="RUL616" s="5" t="s">
        <v>3728</v>
      </c>
      <c r="RUM616" s="17">
        <v>44925</v>
      </c>
      <c r="RUN616" s="5" t="s">
        <v>3728</v>
      </c>
      <c r="RUO616" s="17">
        <v>44925</v>
      </c>
      <c r="RUP616" s="5" t="s">
        <v>3728</v>
      </c>
      <c r="RUQ616" s="17">
        <v>44925</v>
      </c>
      <c r="RUR616" s="5" t="s">
        <v>3728</v>
      </c>
      <c r="RUS616" s="17">
        <v>44925</v>
      </c>
      <c r="RUT616" s="5" t="s">
        <v>3728</v>
      </c>
      <c r="RUU616" s="17">
        <v>44925</v>
      </c>
      <c r="RUV616" s="5" t="s">
        <v>3728</v>
      </c>
      <c r="RUW616" s="17">
        <v>44925</v>
      </c>
      <c r="RUX616" s="5" t="s">
        <v>3728</v>
      </c>
      <c r="RUY616" s="17">
        <v>44925</v>
      </c>
      <c r="RUZ616" s="5" t="s">
        <v>3728</v>
      </c>
      <c r="RVA616" s="17">
        <v>44925</v>
      </c>
      <c r="RVB616" s="5" t="s">
        <v>3728</v>
      </c>
      <c r="RVC616" s="17">
        <v>44925</v>
      </c>
      <c r="RVD616" s="5" t="s">
        <v>3728</v>
      </c>
      <c r="RVE616" s="17">
        <v>44925</v>
      </c>
      <c r="RVF616" s="5" t="s">
        <v>3728</v>
      </c>
      <c r="RVG616" s="17">
        <v>44925</v>
      </c>
      <c r="RVH616" s="5" t="s">
        <v>3728</v>
      </c>
      <c r="RVI616" s="17">
        <v>44925</v>
      </c>
      <c r="RVJ616" s="5" t="s">
        <v>3728</v>
      </c>
      <c r="RVK616" s="17">
        <v>44925</v>
      </c>
      <c r="RVL616" s="5" t="s">
        <v>3728</v>
      </c>
      <c r="RVM616" s="17">
        <v>44925</v>
      </c>
      <c r="RVN616" s="5" t="s">
        <v>3728</v>
      </c>
      <c r="RVO616" s="17">
        <v>44925</v>
      </c>
      <c r="RVP616" s="5" t="s">
        <v>3728</v>
      </c>
      <c r="RVQ616" s="17">
        <v>44925</v>
      </c>
      <c r="RVR616" s="5" t="s">
        <v>3728</v>
      </c>
      <c r="RVS616" s="17">
        <v>44925</v>
      </c>
      <c r="RVT616" s="5" t="s">
        <v>3728</v>
      </c>
      <c r="RVU616" s="17">
        <v>44925</v>
      </c>
      <c r="RVV616" s="5" t="s">
        <v>3728</v>
      </c>
      <c r="RVW616" s="17">
        <v>44925</v>
      </c>
      <c r="RVX616" s="5" t="s">
        <v>3728</v>
      </c>
      <c r="RVY616" s="17">
        <v>44925</v>
      </c>
      <c r="RVZ616" s="5" t="s">
        <v>3728</v>
      </c>
      <c r="RWA616" s="17">
        <v>44925</v>
      </c>
      <c r="RWB616" s="5" t="s">
        <v>3728</v>
      </c>
      <c r="RWC616" s="17">
        <v>44925</v>
      </c>
      <c r="RWD616" s="5" t="s">
        <v>3728</v>
      </c>
      <c r="RWE616" s="17">
        <v>44925</v>
      </c>
      <c r="RWF616" s="5" t="s">
        <v>3728</v>
      </c>
      <c r="RWG616" s="17">
        <v>44925</v>
      </c>
      <c r="RWH616" s="5" t="s">
        <v>3728</v>
      </c>
      <c r="RWI616" s="17">
        <v>44925</v>
      </c>
      <c r="RWJ616" s="5" t="s">
        <v>3728</v>
      </c>
      <c r="RWK616" s="17">
        <v>44925</v>
      </c>
      <c r="RWL616" s="5" t="s">
        <v>3728</v>
      </c>
      <c r="RWM616" s="17">
        <v>44925</v>
      </c>
      <c r="RWN616" s="5" t="s">
        <v>3728</v>
      </c>
      <c r="RWO616" s="17">
        <v>44925</v>
      </c>
      <c r="RWP616" s="5" t="s">
        <v>3728</v>
      </c>
      <c r="RWQ616" s="17">
        <v>44925</v>
      </c>
      <c r="RWR616" s="5" t="s">
        <v>3728</v>
      </c>
      <c r="RWS616" s="17">
        <v>44925</v>
      </c>
      <c r="RWT616" s="5" t="s">
        <v>3728</v>
      </c>
      <c r="RWU616" s="17">
        <v>44925</v>
      </c>
      <c r="RWV616" s="5" t="s">
        <v>3728</v>
      </c>
      <c r="RWW616" s="17">
        <v>44925</v>
      </c>
      <c r="RWX616" s="5" t="s">
        <v>3728</v>
      </c>
      <c r="RWY616" s="17">
        <v>44925</v>
      </c>
      <c r="RWZ616" s="5" t="s">
        <v>3728</v>
      </c>
      <c r="RXA616" s="17">
        <v>44925</v>
      </c>
      <c r="RXB616" s="5" t="s">
        <v>3728</v>
      </c>
      <c r="RXC616" s="17">
        <v>44925</v>
      </c>
      <c r="RXD616" s="5" t="s">
        <v>3728</v>
      </c>
      <c r="RXE616" s="17">
        <v>44925</v>
      </c>
      <c r="RXF616" s="5" t="s">
        <v>3728</v>
      </c>
      <c r="RXG616" s="17">
        <v>44925</v>
      </c>
      <c r="RXH616" s="5" t="s">
        <v>3728</v>
      </c>
      <c r="RXI616" s="17">
        <v>44925</v>
      </c>
      <c r="RXJ616" s="5" t="s">
        <v>3728</v>
      </c>
      <c r="RXK616" s="17">
        <v>44925</v>
      </c>
      <c r="RXL616" s="5" t="s">
        <v>3728</v>
      </c>
      <c r="RXM616" s="17">
        <v>44925</v>
      </c>
      <c r="RXN616" s="5" t="s">
        <v>3728</v>
      </c>
      <c r="RXO616" s="17">
        <v>44925</v>
      </c>
      <c r="RXP616" s="5" t="s">
        <v>3728</v>
      </c>
      <c r="RXQ616" s="17">
        <v>44925</v>
      </c>
      <c r="RXR616" s="5" t="s">
        <v>3728</v>
      </c>
      <c r="RXS616" s="17">
        <v>44925</v>
      </c>
      <c r="RXT616" s="5" t="s">
        <v>3728</v>
      </c>
      <c r="RXU616" s="17">
        <v>44925</v>
      </c>
      <c r="RXV616" s="5" t="s">
        <v>3728</v>
      </c>
      <c r="RXW616" s="17">
        <v>44925</v>
      </c>
      <c r="RXX616" s="5" t="s">
        <v>3728</v>
      </c>
      <c r="RXY616" s="17">
        <v>44925</v>
      </c>
      <c r="RXZ616" s="5" t="s">
        <v>3728</v>
      </c>
      <c r="RYA616" s="17">
        <v>44925</v>
      </c>
      <c r="RYB616" s="5" t="s">
        <v>3728</v>
      </c>
      <c r="RYC616" s="17">
        <v>44925</v>
      </c>
      <c r="RYD616" s="5" t="s">
        <v>3728</v>
      </c>
      <c r="RYE616" s="17">
        <v>44925</v>
      </c>
      <c r="RYF616" s="5" t="s">
        <v>3728</v>
      </c>
      <c r="RYG616" s="17">
        <v>44925</v>
      </c>
      <c r="RYH616" s="5" t="s">
        <v>3728</v>
      </c>
      <c r="RYI616" s="17">
        <v>44925</v>
      </c>
      <c r="RYJ616" s="5" t="s">
        <v>3728</v>
      </c>
      <c r="RYK616" s="17">
        <v>44925</v>
      </c>
      <c r="RYL616" s="5" t="s">
        <v>3728</v>
      </c>
      <c r="RYM616" s="17">
        <v>44925</v>
      </c>
      <c r="RYN616" s="5" t="s">
        <v>3728</v>
      </c>
      <c r="RYO616" s="17">
        <v>44925</v>
      </c>
      <c r="RYP616" s="5" t="s">
        <v>3728</v>
      </c>
      <c r="RYQ616" s="17">
        <v>44925</v>
      </c>
      <c r="RYR616" s="5" t="s">
        <v>3728</v>
      </c>
      <c r="RYS616" s="17">
        <v>44925</v>
      </c>
      <c r="RYT616" s="5" t="s">
        <v>3728</v>
      </c>
      <c r="RYU616" s="17">
        <v>44925</v>
      </c>
      <c r="RYV616" s="5" t="s">
        <v>3728</v>
      </c>
      <c r="RYW616" s="17">
        <v>44925</v>
      </c>
      <c r="RYX616" s="5" t="s">
        <v>3728</v>
      </c>
      <c r="RYY616" s="17">
        <v>44925</v>
      </c>
      <c r="RYZ616" s="5" t="s">
        <v>3728</v>
      </c>
      <c r="RZA616" s="17">
        <v>44925</v>
      </c>
      <c r="RZB616" s="5" t="s">
        <v>3728</v>
      </c>
      <c r="RZC616" s="17">
        <v>44925</v>
      </c>
      <c r="RZD616" s="5" t="s">
        <v>3728</v>
      </c>
      <c r="RZE616" s="17">
        <v>44925</v>
      </c>
      <c r="RZF616" s="5" t="s">
        <v>3728</v>
      </c>
      <c r="RZG616" s="17">
        <v>44925</v>
      </c>
      <c r="RZH616" s="5" t="s">
        <v>3728</v>
      </c>
      <c r="RZI616" s="17">
        <v>44925</v>
      </c>
      <c r="RZJ616" s="5" t="s">
        <v>3728</v>
      </c>
      <c r="RZK616" s="17">
        <v>44925</v>
      </c>
      <c r="RZL616" s="5" t="s">
        <v>3728</v>
      </c>
      <c r="RZM616" s="17">
        <v>44925</v>
      </c>
      <c r="RZN616" s="5" t="s">
        <v>3728</v>
      </c>
      <c r="RZO616" s="17">
        <v>44925</v>
      </c>
      <c r="RZP616" s="5" t="s">
        <v>3728</v>
      </c>
      <c r="RZQ616" s="17">
        <v>44925</v>
      </c>
      <c r="RZR616" s="5" t="s">
        <v>3728</v>
      </c>
      <c r="RZS616" s="17">
        <v>44925</v>
      </c>
      <c r="RZT616" s="5" t="s">
        <v>3728</v>
      </c>
      <c r="RZU616" s="17">
        <v>44925</v>
      </c>
      <c r="RZV616" s="5" t="s">
        <v>3728</v>
      </c>
      <c r="RZW616" s="17">
        <v>44925</v>
      </c>
      <c r="RZX616" s="5" t="s">
        <v>3728</v>
      </c>
      <c r="RZY616" s="17">
        <v>44925</v>
      </c>
      <c r="RZZ616" s="5" t="s">
        <v>3728</v>
      </c>
      <c r="SAA616" s="17">
        <v>44925</v>
      </c>
      <c r="SAB616" s="5" t="s">
        <v>3728</v>
      </c>
      <c r="SAC616" s="17">
        <v>44925</v>
      </c>
      <c r="SAD616" s="5" t="s">
        <v>3728</v>
      </c>
      <c r="SAE616" s="17">
        <v>44925</v>
      </c>
      <c r="SAF616" s="5" t="s">
        <v>3728</v>
      </c>
      <c r="SAG616" s="17">
        <v>44925</v>
      </c>
      <c r="SAH616" s="5" t="s">
        <v>3728</v>
      </c>
      <c r="SAI616" s="17">
        <v>44925</v>
      </c>
      <c r="SAJ616" s="5" t="s">
        <v>3728</v>
      </c>
      <c r="SAK616" s="17">
        <v>44925</v>
      </c>
      <c r="SAL616" s="5" t="s">
        <v>3728</v>
      </c>
      <c r="SAM616" s="17">
        <v>44925</v>
      </c>
      <c r="SAN616" s="5" t="s">
        <v>3728</v>
      </c>
      <c r="SAO616" s="17">
        <v>44925</v>
      </c>
      <c r="SAP616" s="5" t="s">
        <v>3728</v>
      </c>
      <c r="SAQ616" s="17">
        <v>44925</v>
      </c>
      <c r="SAR616" s="5" t="s">
        <v>3728</v>
      </c>
      <c r="SAS616" s="17">
        <v>44925</v>
      </c>
      <c r="SAT616" s="5" t="s">
        <v>3728</v>
      </c>
      <c r="SAU616" s="17">
        <v>44925</v>
      </c>
      <c r="SAV616" s="5" t="s">
        <v>3728</v>
      </c>
      <c r="SAW616" s="17">
        <v>44925</v>
      </c>
      <c r="SAX616" s="5" t="s">
        <v>3728</v>
      </c>
      <c r="SAY616" s="17">
        <v>44925</v>
      </c>
      <c r="SAZ616" s="5" t="s">
        <v>3728</v>
      </c>
      <c r="SBA616" s="17">
        <v>44925</v>
      </c>
      <c r="SBB616" s="5" t="s">
        <v>3728</v>
      </c>
      <c r="SBC616" s="17">
        <v>44925</v>
      </c>
      <c r="SBD616" s="5" t="s">
        <v>3728</v>
      </c>
      <c r="SBE616" s="17">
        <v>44925</v>
      </c>
      <c r="SBF616" s="5" t="s">
        <v>3728</v>
      </c>
      <c r="SBG616" s="17">
        <v>44925</v>
      </c>
      <c r="SBH616" s="5" t="s">
        <v>3728</v>
      </c>
      <c r="SBI616" s="17">
        <v>44925</v>
      </c>
      <c r="SBJ616" s="5" t="s">
        <v>3728</v>
      </c>
      <c r="SBK616" s="17">
        <v>44925</v>
      </c>
      <c r="SBL616" s="5" t="s">
        <v>3728</v>
      </c>
      <c r="SBM616" s="17">
        <v>44925</v>
      </c>
      <c r="SBN616" s="5" t="s">
        <v>3728</v>
      </c>
      <c r="SBO616" s="17">
        <v>44925</v>
      </c>
      <c r="SBP616" s="5" t="s">
        <v>3728</v>
      </c>
      <c r="SBQ616" s="17">
        <v>44925</v>
      </c>
      <c r="SBR616" s="5" t="s">
        <v>3728</v>
      </c>
      <c r="SBS616" s="17">
        <v>44925</v>
      </c>
      <c r="SBT616" s="5" t="s">
        <v>3728</v>
      </c>
      <c r="SBU616" s="17">
        <v>44925</v>
      </c>
      <c r="SBV616" s="5" t="s">
        <v>3728</v>
      </c>
      <c r="SBW616" s="17">
        <v>44925</v>
      </c>
      <c r="SBX616" s="5" t="s">
        <v>3728</v>
      </c>
      <c r="SBY616" s="17">
        <v>44925</v>
      </c>
      <c r="SBZ616" s="5" t="s">
        <v>3728</v>
      </c>
      <c r="SCA616" s="17">
        <v>44925</v>
      </c>
      <c r="SCB616" s="5" t="s">
        <v>3728</v>
      </c>
      <c r="SCC616" s="17">
        <v>44925</v>
      </c>
      <c r="SCD616" s="5" t="s">
        <v>3728</v>
      </c>
      <c r="SCE616" s="17">
        <v>44925</v>
      </c>
      <c r="SCF616" s="5" t="s">
        <v>3728</v>
      </c>
      <c r="SCG616" s="17">
        <v>44925</v>
      </c>
      <c r="SCH616" s="5" t="s">
        <v>3728</v>
      </c>
      <c r="SCI616" s="17">
        <v>44925</v>
      </c>
      <c r="SCJ616" s="5" t="s">
        <v>3728</v>
      </c>
      <c r="SCK616" s="17">
        <v>44925</v>
      </c>
      <c r="SCL616" s="5" t="s">
        <v>3728</v>
      </c>
      <c r="SCM616" s="17">
        <v>44925</v>
      </c>
      <c r="SCN616" s="5" t="s">
        <v>3728</v>
      </c>
      <c r="SCO616" s="17">
        <v>44925</v>
      </c>
      <c r="SCP616" s="5" t="s">
        <v>3728</v>
      </c>
      <c r="SCQ616" s="17">
        <v>44925</v>
      </c>
      <c r="SCR616" s="5" t="s">
        <v>3728</v>
      </c>
      <c r="SCS616" s="17">
        <v>44925</v>
      </c>
      <c r="SCT616" s="5" t="s">
        <v>3728</v>
      </c>
      <c r="SCU616" s="17">
        <v>44925</v>
      </c>
      <c r="SCV616" s="5" t="s">
        <v>3728</v>
      </c>
      <c r="SCW616" s="17">
        <v>44925</v>
      </c>
      <c r="SCX616" s="5" t="s">
        <v>3728</v>
      </c>
      <c r="SCY616" s="17">
        <v>44925</v>
      </c>
      <c r="SCZ616" s="5" t="s">
        <v>3728</v>
      </c>
      <c r="SDA616" s="17">
        <v>44925</v>
      </c>
      <c r="SDB616" s="5" t="s">
        <v>3728</v>
      </c>
      <c r="SDC616" s="17">
        <v>44925</v>
      </c>
      <c r="SDD616" s="5" t="s">
        <v>3728</v>
      </c>
      <c r="SDE616" s="17">
        <v>44925</v>
      </c>
      <c r="SDF616" s="5" t="s">
        <v>3728</v>
      </c>
      <c r="SDG616" s="17">
        <v>44925</v>
      </c>
      <c r="SDH616" s="5" t="s">
        <v>3728</v>
      </c>
      <c r="SDI616" s="17">
        <v>44925</v>
      </c>
      <c r="SDJ616" s="5" t="s">
        <v>3728</v>
      </c>
      <c r="SDK616" s="17">
        <v>44925</v>
      </c>
      <c r="SDL616" s="5" t="s">
        <v>3728</v>
      </c>
      <c r="SDM616" s="17">
        <v>44925</v>
      </c>
      <c r="SDN616" s="5" t="s">
        <v>3728</v>
      </c>
      <c r="SDO616" s="17">
        <v>44925</v>
      </c>
      <c r="SDP616" s="5" t="s">
        <v>3728</v>
      </c>
      <c r="SDQ616" s="17">
        <v>44925</v>
      </c>
      <c r="SDR616" s="5" t="s">
        <v>3728</v>
      </c>
      <c r="SDS616" s="17">
        <v>44925</v>
      </c>
      <c r="SDT616" s="5" t="s">
        <v>3728</v>
      </c>
      <c r="SDU616" s="17">
        <v>44925</v>
      </c>
      <c r="SDV616" s="5" t="s">
        <v>3728</v>
      </c>
      <c r="SDW616" s="17">
        <v>44925</v>
      </c>
      <c r="SDX616" s="5" t="s">
        <v>3728</v>
      </c>
      <c r="SDY616" s="17">
        <v>44925</v>
      </c>
      <c r="SDZ616" s="5" t="s">
        <v>3728</v>
      </c>
      <c r="SEA616" s="17">
        <v>44925</v>
      </c>
      <c r="SEB616" s="5" t="s">
        <v>3728</v>
      </c>
      <c r="SEC616" s="17">
        <v>44925</v>
      </c>
      <c r="SED616" s="5" t="s">
        <v>3728</v>
      </c>
      <c r="SEE616" s="17">
        <v>44925</v>
      </c>
      <c r="SEF616" s="5" t="s">
        <v>3728</v>
      </c>
      <c r="SEG616" s="17">
        <v>44925</v>
      </c>
      <c r="SEH616" s="5" t="s">
        <v>3728</v>
      </c>
      <c r="SEI616" s="17">
        <v>44925</v>
      </c>
      <c r="SEJ616" s="5" t="s">
        <v>3728</v>
      </c>
      <c r="SEK616" s="17">
        <v>44925</v>
      </c>
      <c r="SEL616" s="5" t="s">
        <v>3728</v>
      </c>
      <c r="SEM616" s="17">
        <v>44925</v>
      </c>
      <c r="SEN616" s="5" t="s">
        <v>3728</v>
      </c>
      <c r="SEO616" s="17">
        <v>44925</v>
      </c>
      <c r="SEP616" s="5" t="s">
        <v>3728</v>
      </c>
      <c r="SEQ616" s="17">
        <v>44925</v>
      </c>
      <c r="SER616" s="5" t="s">
        <v>3728</v>
      </c>
      <c r="SES616" s="17">
        <v>44925</v>
      </c>
      <c r="SET616" s="5" t="s">
        <v>3728</v>
      </c>
      <c r="SEU616" s="17">
        <v>44925</v>
      </c>
      <c r="SEV616" s="5" t="s">
        <v>3728</v>
      </c>
      <c r="SEW616" s="17">
        <v>44925</v>
      </c>
      <c r="SEX616" s="5" t="s">
        <v>3728</v>
      </c>
      <c r="SEY616" s="17">
        <v>44925</v>
      </c>
      <c r="SEZ616" s="5" t="s">
        <v>3728</v>
      </c>
      <c r="SFA616" s="17">
        <v>44925</v>
      </c>
      <c r="SFB616" s="5" t="s">
        <v>3728</v>
      </c>
      <c r="SFC616" s="17">
        <v>44925</v>
      </c>
      <c r="SFD616" s="5" t="s">
        <v>3728</v>
      </c>
      <c r="SFE616" s="17">
        <v>44925</v>
      </c>
      <c r="SFF616" s="5" t="s">
        <v>3728</v>
      </c>
      <c r="SFG616" s="17">
        <v>44925</v>
      </c>
      <c r="SFH616" s="5" t="s">
        <v>3728</v>
      </c>
      <c r="SFI616" s="17">
        <v>44925</v>
      </c>
      <c r="SFJ616" s="5" t="s">
        <v>3728</v>
      </c>
      <c r="SFK616" s="17">
        <v>44925</v>
      </c>
      <c r="SFL616" s="5" t="s">
        <v>3728</v>
      </c>
      <c r="SFM616" s="17">
        <v>44925</v>
      </c>
      <c r="SFN616" s="5" t="s">
        <v>3728</v>
      </c>
      <c r="SFO616" s="17">
        <v>44925</v>
      </c>
      <c r="SFP616" s="5" t="s">
        <v>3728</v>
      </c>
      <c r="SFQ616" s="17">
        <v>44925</v>
      </c>
      <c r="SFR616" s="5" t="s">
        <v>3728</v>
      </c>
      <c r="SFS616" s="17">
        <v>44925</v>
      </c>
      <c r="SFT616" s="5" t="s">
        <v>3728</v>
      </c>
      <c r="SFU616" s="17">
        <v>44925</v>
      </c>
      <c r="SFV616" s="5" t="s">
        <v>3728</v>
      </c>
      <c r="SFW616" s="17">
        <v>44925</v>
      </c>
      <c r="SFX616" s="5" t="s">
        <v>3728</v>
      </c>
      <c r="SFY616" s="17">
        <v>44925</v>
      </c>
      <c r="SFZ616" s="5" t="s">
        <v>3728</v>
      </c>
      <c r="SGA616" s="17">
        <v>44925</v>
      </c>
      <c r="SGB616" s="5" t="s">
        <v>3728</v>
      </c>
      <c r="SGC616" s="17">
        <v>44925</v>
      </c>
      <c r="SGD616" s="5" t="s">
        <v>3728</v>
      </c>
      <c r="SGE616" s="17">
        <v>44925</v>
      </c>
      <c r="SGF616" s="5" t="s">
        <v>3728</v>
      </c>
      <c r="SGG616" s="17">
        <v>44925</v>
      </c>
      <c r="SGH616" s="5" t="s">
        <v>3728</v>
      </c>
      <c r="SGI616" s="17">
        <v>44925</v>
      </c>
      <c r="SGJ616" s="5" t="s">
        <v>3728</v>
      </c>
      <c r="SGK616" s="17">
        <v>44925</v>
      </c>
      <c r="SGL616" s="5" t="s">
        <v>3728</v>
      </c>
      <c r="SGM616" s="17">
        <v>44925</v>
      </c>
      <c r="SGN616" s="5" t="s">
        <v>3728</v>
      </c>
      <c r="SGO616" s="17">
        <v>44925</v>
      </c>
      <c r="SGP616" s="5" t="s">
        <v>3728</v>
      </c>
      <c r="SGQ616" s="17">
        <v>44925</v>
      </c>
      <c r="SGR616" s="5" t="s">
        <v>3728</v>
      </c>
      <c r="SGS616" s="17">
        <v>44925</v>
      </c>
      <c r="SGT616" s="5" t="s">
        <v>3728</v>
      </c>
      <c r="SGU616" s="17">
        <v>44925</v>
      </c>
      <c r="SGV616" s="5" t="s">
        <v>3728</v>
      </c>
      <c r="SGW616" s="17">
        <v>44925</v>
      </c>
      <c r="SGX616" s="5" t="s">
        <v>3728</v>
      </c>
      <c r="SGY616" s="17">
        <v>44925</v>
      </c>
      <c r="SGZ616" s="5" t="s">
        <v>3728</v>
      </c>
      <c r="SHA616" s="17">
        <v>44925</v>
      </c>
      <c r="SHB616" s="5" t="s">
        <v>3728</v>
      </c>
      <c r="SHC616" s="17">
        <v>44925</v>
      </c>
      <c r="SHD616" s="5" t="s">
        <v>3728</v>
      </c>
      <c r="SHE616" s="17">
        <v>44925</v>
      </c>
      <c r="SHF616" s="5" t="s">
        <v>3728</v>
      </c>
      <c r="SHG616" s="17">
        <v>44925</v>
      </c>
      <c r="SHH616" s="5" t="s">
        <v>3728</v>
      </c>
      <c r="SHI616" s="17">
        <v>44925</v>
      </c>
      <c r="SHJ616" s="5" t="s">
        <v>3728</v>
      </c>
      <c r="SHK616" s="17">
        <v>44925</v>
      </c>
      <c r="SHL616" s="5" t="s">
        <v>3728</v>
      </c>
      <c r="SHM616" s="17">
        <v>44925</v>
      </c>
      <c r="SHN616" s="5" t="s">
        <v>3728</v>
      </c>
      <c r="SHO616" s="17">
        <v>44925</v>
      </c>
      <c r="SHP616" s="5" t="s">
        <v>3728</v>
      </c>
      <c r="SHQ616" s="17">
        <v>44925</v>
      </c>
      <c r="SHR616" s="5" t="s">
        <v>3728</v>
      </c>
      <c r="SHS616" s="17">
        <v>44925</v>
      </c>
      <c r="SHT616" s="5" t="s">
        <v>3728</v>
      </c>
      <c r="SHU616" s="17">
        <v>44925</v>
      </c>
      <c r="SHV616" s="5" t="s">
        <v>3728</v>
      </c>
      <c r="SHW616" s="17">
        <v>44925</v>
      </c>
      <c r="SHX616" s="5" t="s">
        <v>3728</v>
      </c>
      <c r="SHY616" s="17">
        <v>44925</v>
      </c>
      <c r="SHZ616" s="5" t="s">
        <v>3728</v>
      </c>
      <c r="SIA616" s="17">
        <v>44925</v>
      </c>
      <c r="SIB616" s="5" t="s">
        <v>3728</v>
      </c>
      <c r="SIC616" s="17">
        <v>44925</v>
      </c>
      <c r="SID616" s="5" t="s">
        <v>3728</v>
      </c>
      <c r="SIE616" s="17">
        <v>44925</v>
      </c>
      <c r="SIF616" s="5" t="s">
        <v>3728</v>
      </c>
      <c r="SIG616" s="17">
        <v>44925</v>
      </c>
      <c r="SIH616" s="5" t="s">
        <v>3728</v>
      </c>
      <c r="SII616" s="17">
        <v>44925</v>
      </c>
      <c r="SIJ616" s="5" t="s">
        <v>3728</v>
      </c>
      <c r="SIK616" s="17">
        <v>44925</v>
      </c>
      <c r="SIL616" s="5" t="s">
        <v>3728</v>
      </c>
      <c r="SIM616" s="17">
        <v>44925</v>
      </c>
      <c r="SIN616" s="5" t="s">
        <v>3728</v>
      </c>
      <c r="SIO616" s="17">
        <v>44925</v>
      </c>
      <c r="SIP616" s="5" t="s">
        <v>3728</v>
      </c>
      <c r="SIQ616" s="17">
        <v>44925</v>
      </c>
      <c r="SIR616" s="5" t="s">
        <v>3728</v>
      </c>
      <c r="SIS616" s="17">
        <v>44925</v>
      </c>
      <c r="SIT616" s="5" t="s">
        <v>3728</v>
      </c>
      <c r="SIU616" s="17">
        <v>44925</v>
      </c>
      <c r="SIV616" s="5" t="s">
        <v>3728</v>
      </c>
      <c r="SIW616" s="17">
        <v>44925</v>
      </c>
      <c r="SIX616" s="5" t="s">
        <v>3728</v>
      </c>
      <c r="SIY616" s="17">
        <v>44925</v>
      </c>
      <c r="SIZ616" s="5" t="s">
        <v>3728</v>
      </c>
      <c r="SJA616" s="17">
        <v>44925</v>
      </c>
      <c r="SJB616" s="5" t="s">
        <v>3728</v>
      </c>
      <c r="SJC616" s="17">
        <v>44925</v>
      </c>
      <c r="SJD616" s="5" t="s">
        <v>3728</v>
      </c>
      <c r="SJE616" s="17">
        <v>44925</v>
      </c>
      <c r="SJF616" s="5" t="s">
        <v>3728</v>
      </c>
      <c r="SJG616" s="17">
        <v>44925</v>
      </c>
      <c r="SJH616" s="5" t="s">
        <v>3728</v>
      </c>
      <c r="SJI616" s="17">
        <v>44925</v>
      </c>
      <c r="SJJ616" s="5" t="s">
        <v>3728</v>
      </c>
      <c r="SJK616" s="17">
        <v>44925</v>
      </c>
      <c r="SJL616" s="5" t="s">
        <v>3728</v>
      </c>
      <c r="SJM616" s="17">
        <v>44925</v>
      </c>
      <c r="SJN616" s="5" t="s">
        <v>3728</v>
      </c>
      <c r="SJO616" s="17">
        <v>44925</v>
      </c>
      <c r="SJP616" s="5" t="s">
        <v>3728</v>
      </c>
      <c r="SJQ616" s="17">
        <v>44925</v>
      </c>
      <c r="SJR616" s="5" t="s">
        <v>3728</v>
      </c>
      <c r="SJS616" s="17">
        <v>44925</v>
      </c>
      <c r="SJT616" s="5" t="s">
        <v>3728</v>
      </c>
      <c r="SJU616" s="17">
        <v>44925</v>
      </c>
      <c r="SJV616" s="5" t="s">
        <v>3728</v>
      </c>
      <c r="SJW616" s="17">
        <v>44925</v>
      </c>
      <c r="SJX616" s="5" t="s">
        <v>3728</v>
      </c>
      <c r="SJY616" s="17">
        <v>44925</v>
      </c>
      <c r="SJZ616" s="5" t="s">
        <v>3728</v>
      </c>
      <c r="SKA616" s="17">
        <v>44925</v>
      </c>
      <c r="SKB616" s="5" t="s">
        <v>3728</v>
      </c>
      <c r="SKC616" s="17">
        <v>44925</v>
      </c>
      <c r="SKD616" s="5" t="s">
        <v>3728</v>
      </c>
      <c r="SKE616" s="17">
        <v>44925</v>
      </c>
      <c r="SKF616" s="5" t="s">
        <v>3728</v>
      </c>
      <c r="SKG616" s="17">
        <v>44925</v>
      </c>
      <c r="SKH616" s="5" t="s">
        <v>3728</v>
      </c>
      <c r="SKI616" s="17">
        <v>44925</v>
      </c>
      <c r="SKJ616" s="5" t="s">
        <v>3728</v>
      </c>
      <c r="SKK616" s="17">
        <v>44925</v>
      </c>
      <c r="SKL616" s="5" t="s">
        <v>3728</v>
      </c>
      <c r="SKM616" s="17">
        <v>44925</v>
      </c>
      <c r="SKN616" s="5" t="s">
        <v>3728</v>
      </c>
      <c r="SKO616" s="17">
        <v>44925</v>
      </c>
      <c r="SKP616" s="5" t="s">
        <v>3728</v>
      </c>
      <c r="SKQ616" s="17">
        <v>44925</v>
      </c>
      <c r="SKR616" s="5" t="s">
        <v>3728</v>
      </c>
      <c r="SKS616" s="17">
        <v>44925</v>
      </c>
      <c r="SKT616" s="5" t="s">
        <v>3728</v>
      </c>
      <c r="SKU616" s="17">
        <v>44925</v>
      </c>
      <c r="SKV616" s="5" t="s">
        <v>3728</v>
      </c>
      <c r="SKW616" s="17">
        <v>44925</v>
      </c>
      <c r="SKX616" s="5" t="s">
        <v>3728</v>
      </c>
      <c r="SKY616" s="17">
        <v>44925</v>
      </c>
      <c r="SKZ616" s="5" t="s">
        <v>3728</v>
      </c>
      <c r="SLA616" s="17">
        <v>44925</v>
      </c>
      <c r="SLB616" s="5" t="s">
        <v>3728</v>
      </c>
      <c r="SLC616" s="17">
        <v>44925</v>
      </c>
      <c r="SLD616" s="5" t="s">
        <v>3728</v>
      </c>
      <c r="SLE616" s="17">
        <v>44925</v>
      </c>
      <c r="SLF616" s="5" t="s">
        <v>3728</v>
      </c>
      <c r="SLG616" s="17">
        <v>44925</v>
      </c>
      <c r="SLH616" s="5" t="s">
        <v>3728</v>
      </c>
      <c r="SLI616" s="17">
        <v>44925</v>
      </c>
      <c r="SLJ616" s="5" t="s">
        <v>3728</v>
      </c>
      <c r="SLK616" s="17">
        <v>44925</v>
      </c>
      <c r="SLL616" s="5" t="s">
        <v>3728</v>
      </c>
      <c r="SLM616" s="17">
        <v>44925</v>
      </c>
      <c r="SLN616" s="5" t="s">
        <v>3728</v>
      </c>
      <c r="SLO616" s="17">
        <v>44925</v>
      </c>
      <c r="SLP616" s="5" t="s">
        <v>3728</v>
      </c>
      <c r="SLQ616" s="17">
        <v>44925</v>
      </c>
      <c r="SLR616" s="5" t="s">
        <v>3728</v>
      </c>
      <c r="SLS616" s="17">
        <v>44925</v>
      </c>
      <c r="SLT616" s="5" t="s">
        <v>3728</v>
      </c>
      <c r="SLU616" s="17">
        <v>44925</v>
      </c>
      <c r="SLV616" s="5" t="s">
        <v>3728</v>
      </c>
      <c r="SLW616" s="17">
        <v>44925</v>
      </c>
      <c r="SLX616" s="5" t="s">
        <v>3728</v>
      </c>
      <c r="SLY616" s="17">
        <v>44925</v>
      </c>
      <c r="SLZ616" s="5" t="s">
        <v>3728</v>
      </c>
      <c r="SMA616" s="17">
        <v>44925</v>
      </c>
      <c r="SMB616" s="5" t="s">
        <v>3728</v>
      </c>
      <c r="SMC616" s="17">
        <v>44925</v>
      </c>
      <c r="SMD616" s="5" t="s">
        <v>3728</v>
      </c>
      <c r="SME616" s="17">
        <v>44925</v>
      </c>
      <c r="SMF616" s="5" t="s">
        <v>3728</v>
      </c>
      <c r="SMG616" s="17">
        <v>44925</v>
      </c>
      <c r="SMH616" s="5" t="s">
        <v>3728</v>
      </c>
      <c r="SMI616" s="17">
        <v>44925</v>
      </c>
      <c r="SMJ616" s="5" t="s">
        <v>3728</v>
      </c>
      <c r="SMK616" s="17">
        <v>44925</v>
      </c>
      <c r="SML616" s="5" t="s">
        <v>3728</v>
      </c>
      <c r="SMM616" s="17">
        <v>44925</v>
      </c>
      <c r="SMN616" s="5" t="s">
        <v>3728</v>
      </c>
      <c r="SMO616" s="17">
        <v>44925</v>
      </c>
      <c r="SMP616" s="5" t="s">
        <v>3728</v>
      </c>
      <c r="SMQ616" s="17">
        <v>44925</v>
      </c>
      <c r="SMR616" s="5" t="s">
        <v>3728</v>
      </c>
      <c r="SMS616" s="17">
        <v>44925</v>
      </c>
      <c r="SMT616" s="5" t="s">
        <v>3728</v>
      </c>
      <c r="SMU616" s="17">
        <v>44925</v>
      </c>
      <c r="SMV616" s="5" t="s">
        <v>3728</v>
      </c>
      <c r="SMW616" s="17">
        <v>44925</v>
      </c>
      <c r="SMX616" s="5" t="s">
        <v>3728</v>
      </c>
      <c r="SMY616" s="17">
        <v>44925</v>
      </c>
      <c r="SMZ616" s="5" t="s">
        <v>3728</v>
      </c>
      <c r="SNA616" s="17">
        <v>44925</v>
      </c>
      <c r="SNB616" s="5" t="s">
        <v>3728</v>
      </c>
      <c r="SNC616" s="17">
        <v>44925</v>
      </c>
      <c r="SND616" s="5" t="s">
        <v>3728</v>
      </c>
      <c r="SNE616" s="17">
        <v>44925</v>
      </c>
      <c r="SNF616" s="5" t="s">
        <v>3728</v>
      </c>
      <c r="SNG616" s="17">
        <v>44925</v>
      </c>
      <c r="SNH616" s="5" t="s">
        <v>3728</v>
      </c>
      <c r="SNI616" s="17">
        <v>44925</v>
      </c>
      <c r="SNJ616" s="5" t="s">
        <v>3728</v>
      </c>
      <c r="SNK616" s="17">
        <v>44925</v>
      </c>
      <c r="SNL616" s="5" t="s">
        <v>3728</v>
      </c>
      <c r="SNM616" s="17">
        <v>44925</v>
      </c>
      <c r="SNN616" s="5" t="s">
        <v>3728</v>
      </c>
      <c r="SNO616" s="17">
        <v>44925</v>
      </c>
      <c r="SNP616" s="5" t="s">
        <v>3728</v>
      </c>
      <c r="SNQ616" s="17">
        <v>44925</v>
      </c>
      <c r="SNR616" s="5" t="s">
        <v>3728</v>
      </c>
      <c r="SNS616" s="17">
        <v>44925</v>
      </c>
      <c r="SNT616" s="5" t="s">
        <v>3728</v>
      </c>
      <c r="SNU616" s="17">
        <v>44925</v>
      </c>
      <c r="SNV616" s="5" t="s">
        <v>3728</v>
      </c>
      <c r="SNW616" s="17">
        <v>44925</v>
      </c>
      <c r="SNX616" s="5" t="s">
        <v>3728</v>
      </c>
      <c r="SNY616" s="17">
        <v>44925</v>
      </c>
      <c r="SNZ616" s="5" t="s">
        <v>3728</v>
      </c>
      <c r="SOA616" s="17">
        <v>44925</v>
      </c>
      <c r="SOB616" s="5" t="s">
        <v>3728</v>
      </c>
      <c r="SOC616" s="17">
        <v>44925</v>
      </c>
      <c r="SOD616" s="5" t="s">
        <v>3728</v>
      </c>
      <c r="SOE616" s="17">
        <v>44925</v>
      </c>
      <c r="SOF616" s="5" t="s">
        <v>3728</v>
      </c>
      <c r="SOG616" s="17">
        <v>44925</v>
      </c>
      <c r="SOH616" s="5" t="s">
        <v>3728</v>
      </c>
      <c r="SOI616" s="17">
        <v>44925</v>
      </c>
      <c r="SOJ616" s="5" t="s">
        <v>3728</v>
      </c>
      <c r="SOK616" s="17">
        <v>44925</v>
      </c>
      <c r="SOL616" s="5" t="s">
        <v>3728</v>
      </c>
      <c r="SOM616" s="17">
        <v>44925</v>
      </c>
      <c r="SON616" s="5" t="s">
        <v>3728</v>
      </c>
      <c r="SOO616" s="17">
        <v>44925</v>
      </c>
      <c r="SOP616" s="5" t="s">
        <v>3728</v>
      </c>
      <c r="SOQ616" s="17">
        <v>44925</v>
      </c>
      <c r="SOR616" s="5" t="s">
        <v>3728</v>
      </c>
      <c r="SOS616" s="17">
        <v>44925</v>
      </c>
      <c r="SOT616" s="5" t="s">
        <v>3728</v>
      </c>
      <c r="SOU616" s="17">
        <v>44925</v>
      </c>
      <c r="SOV616" s="5" t="s">
        <v>3728</v>
      </c>
      <c r="SOW616" s="17">
        <v>44925</v>
      </c>
      <c r="SOX616" s="5" t="s">
        <v>3728</v>
      </c>
      <c r="SOY616" s="17">
        <v>44925</v>
      </c>
      <c r="SOZ616" s="5" t="s">
        <v>3728</v>
      </c>
      <c r="SPA616" s="17">
        <v>44925</v>
      </c>
      <c r="SPB616" s="5" t="s">
        <v>3728</v>
      </c>
      <c r="SPC616" s="17">
        <v>44925</v>
      </c>
      <c r="SPD616" s="5" t="s">
        <v>3728</v>
      </c>
      <c r="SPE616" s="17">
        <v>44925</v>
      </c>
      <c r="SPF616" s="5" t="s">
        <v>3728</v>
      </c>
      <c r="SPG616" s="17">
        <v>44925</v>
      </c>
      <c r="SPH616" s="5" t="s">
        <v>3728</v>
      </c>
      <c r="SPI616" s="17">
        <v>44925</v>
      </c>
      <c r="SPJ616" s="5" t="s">
        <v>3728</v>
      </c>
      <c r="SPK616" s="17">
        <v>44925</v>
      </c>
      <c r="SPL616" s="5" t="s">
        <v>3728</v>
      </c>
      <c r="SPM616" s="17">
        <v>44925</v>
      </c>
      <c r="SPN616" s="5" t="s">
        <v>3728</v>
      </c>
      <c r="SPO616" s="17">
        <v>44925</v>
      </c>
      <c r="SPP616" s="5" t="s">
        <v>3728</v>
      </c>
      <c r="SPQ616" s="17">
        <v>44925</v>
      </c>
      <c r="SPR616" s="5" t="s">
        <v>3728</v>
      </c>
      <c r="SPS616" s="17">
        <v>44925</v>
      </c>
      <c r="SPT616" s="5" t="s">
        <v>3728</v>
      </c>
      <c r="SPU616" s="17">
        <v>44925</v>
      </c>
      <c r="SPV616" s="5" t="s">
        <v>3728</v>
      </c>
      <c r="SPW616" s="17">
        <v>44925</v>
      </c>
      <c r="SPX616" s="5" t="s">
        <v>3728</v>
      </c>
      <c r="SPY616" s="17">
        <v>44925</v>
      </c>
      <c r="SPZ616" s="5" t="s">
        <v>3728</v>
      </c>
      <c r="SQA616" s="17">
        <v>44925</v>
      </c>
      <c r="SQB616" s="5" t="s">
        <v>3728</v>
      </c>
      <c r="SQC616" s="17">
        <v>44925</v>
      </c>
      <c r="SQD616" s="5" t="s">
        <v>3728</v>
      </c>
      <c r="SQE616" s="17">
        <v>44925</v>
      </c>
      <c r="SQF616" s="5" t="s">
        <v>3728</v>
      </c>
      <c r="SQG616" s="17">
        <v>44925</v>
      </c>
      <c r="SQH616" s="5" t="s">
        <v>3728</v>
      </c>
      <c r="SQI616" s="17">
        <v>44925</v>
      </c>
      <c r="SQJ616" s="5" t="s">
        <v>3728</v>
      </c>
      <c r="SQK616" s="17">
        <v>44925</v>
      </c>
      <c r="SQL616" s="5" t="s">
        <v>3728</v>
      </c>
      <c r="SQM616" s="17">
        <v>44925</v>
      </c>
      <c r="SQN616" s="5" t="s">
        <v>3728</v>
      </c>
      <c r="SQO616" s="17">
        <v>44925</v>
      </c>
      <c r="SQP616" s="5" t="s">
        <v>3728</v>
      </c>
      <c r="SQQ616" s="17">
        <v>44925</v>
      </c>
      <c r="SQR616" s="5" t="s">
        <v>3728</v>
      </c>
      <c r="SQS616" s="17">
        <v>44925</v>
      </c>
      <c r="SQT616" s="5" t="s">
        <v>3728</v>
      </c>
      <c r="SQU616" s="17">
        <v>44925</v>
      </c>
      <c r="SQV616" s="5" t="s">
        <v>3728</v>
      </c>
      <c r="SQW616" s="17">
        <v>44925</v>
      </c>
      <c r="SQX616" s="5" t="s">
        <v>3728</v>
      </c>
      <c r="SQY616" s="17">
        <v>44925</v>
      </c>
      <c r="SQZ616" s="5" t="s">
        <v>3728</v>
      </c>
      <c r="SRA616" s="17">
        <v>44925</v>
      </c>
      <c r="SRB616" s="5" t="s">
        <v>3728</v>
      </c>
      <c r="SRC616" s="17">
        <v>44925</v>
      </c>
      <c r="SRD616" s="5" t="s">
        <v>3728</v>
      </c>
      <c r="SRE616" s="17">
        <v>44925</v>
      </c>
      <c r="SRF616" s="5" t="s">
        <v>3728</v>
      </c>
      <c r="SRG616" s="17">
        <v>44925</v>
      </c>
      <c r="SRH616" s="5" t="s">
        <v>3728</v>
      </c>
      <c r="SRI616" s="17">
        <v>44925</v>
      </c>
      <c r="SRJ616" s="5" t="s">
        <v>3728</v>
      </c>
      <c r="SRK616" s="17">
        <v>44925</v>
      </c>
      <c r="SRL616" s="5" t="s">
        <v>3728</v>
      </c>
      <c r="SRM616" s="17">
        <v>44925</v>
      </c>
      <c r="SRN616" s="5" t="s">
        <v>3728</v>
      </c>
      <c r="SRO616" s="17">
        <v>44925</v>
      </c>
      <c r="SRP616" s="5" t="s">
        <v>3728</v>
      </c>
      <c r="SRQ616" s="17">
        <v>44925</v>
      </c>
      <c r="SRR616" s="5" t="s">
        <v>3728</v>
      </c>
      <c r="SRS616" s="17">
        <v>44925</v>
      </c>
      <c r="SRT616" s="5" t="s">
        <v>3728</v>
      </c>
      <c r="SRU616" s="17">
        <v>44925</v>
      </c>
      <c r="SRV616" s="5" t="s">
        <v>3728</v>
      </c>
      <c r="SRW616" s="17">
        <v>44925</v>
      </c>
      <c r="SRX616" s="5" t="s">
        <v>3728</v>
      </c>
      <c r="SRY616" s="17">
        <v>44925</v>
      </c>
      <c r="SRZ616" s="5" t="s">
        <v>3728</v>
      </c>
      <c r="SSA616" s="17">
        <v>44925</v>
      </c>
      <c r="SSB616" s="5" t="s">
        <v>3728</v>
      </c>
      <c r="SSC616" s="17">
        <v>44925</v>
      </c>
      <c r="SSD616" s="5" t="s">
        <v>3728</v>
      </c>
      <c r="SSE616" s="17">
        <v>44925</v>
      </c>
      <c r="SSF616" s="5" t="s">
        <v>3728</v>
      </c>
      <c r="SSG616" s="17">
        <v>44925</v>
      </c>
      <c r="SSH616" s="5" t="s">
        <v>3728</v>
      </c>
      <c r="SSI616" s="17">
        <v>44925</v>
      </c>
      <c r="SSJ616" s="5" t="s">
        <v>3728</v>
      </c>
      <c r="SSK616" s="17">
        <v>44925</v>
      </c>
      <c r="SSL616" s="5" t="s">
        <v>3728</v>
      </c>
      <c r="SSM616" s="17">
        <v>44925</v>
      </c>
      <c r="SSN616" s="5" t="s">
        <v>3728</v>
      </c>
      <c r="SSO616" s="17">
        <v>44925</v>
      </c>
      <c r="SSP616" s="5" t="s">
        <v>3728</v>
      </c>
      <c r="SSQ616" s="17">
        <v>44925</v>
      </c>
      <c r="SSR616" s="5" t="s">
        <v>3728</v>
      </c>
      <c r="SSS616" s="17">
        <v>44925</v>
      </c>
      <c r="SST616" s="5" t="s">
        <v>3728</v>
      </c>
      <c r="SSU616" s="17">
        <v>44925</v>
      </c>
      <c r="SSV616" s="5" t="s">
        <v>3728</v>
      </c>
      <c r="SSW616" s="17">
        <v>44925</v>
      </c>
      <c r="SSX616" s="5" t="s">
        <v>3728</v>
      </c>
      <c r="SSY616" s="17">
        <v>44925</v>
      </c>
      <c r="SSZ616" s="5" t="s">
        <v>3728</v>
      </c>
      <c r="STA616" s="17">
        <v>44925</v>
      </c>
      <c r="STB616" s="5" t="s">
        <v>3728</v>
      </c>
      <c r="STC616" s="17">
        <v>44925</v>
      </c>
      <c r="STD616" s="5" t="s">
        <v>3728</v>
      </c>
      <c r="STE616" s="17">
        <v>44925</v>
      </c>
      <c r="STF616" s="5" t="s">
        <v>3728</v>
      </c>
      <c r="STG616" s="17">
        <v>44925</v>
      </c>
      <c r="STH616" s="5" t="s">
        <v>3728</v>
      </c>
      <c r="STI616" s="17">
        <v>44925</v>
      </c>
      <c r="STJ616" s="5" t="s">
        <v>3728</v>
      </c>
      <c r="STK616" s="17">
        <v>44925</v>
      </c>
      <c r="STL616" s="5" t="s">
        <v>3728</v>
      </c>
      <c r="STM616" s="17">
        <v>44925</v>
      </c>
      <c r="STN616" s="5" t="s">
        <v>3728</v>
      </c>
      <c r="STO616" s="17">
        <v>44925</v>
      </c>
      <c r="STP616" s="5" t="s">
        <v>3728</v>
      </c>
      <c r="STQ616" s="17">
        <v>44925</v>
      </c>
      <c r="STR616" s="5" t="s">
        <v>3728</v>
      </c>
      <c r="STS616" s="17">
        <v>44925</v>
      </c>
      <c r="STT616" s="5" t="s">
        <v>3728</v>
      </c>
      <c r="STU616" s="17">
        <v>44925</v>
      </c>
      <c r="STV616" s="5" t="s">
        <v>3728</v>
      </c>
      <c r="STW616" s="17">
        <v>44925</v>
      </c>
      <c r="STX616" s="5" t="s">
        <v>3728</v>
      </c>
      <c r="STY616" s="17">
        <v>44925</v>
      </c>
      <c r="STZ616" s="5" t="s">
        <v>3728</v>
      </c>
      <c r="SUA616" s="17">
        <v>44925</v>
      </c>
      <c r="SUB616" s="5" t="s">
        <v>3728</v>
      </c>
      <c r="SUC616" s="17">
        <v>44925</v>
      </c>
      <c r="SUD616" s="5" t="s">
        <v>3728</v>
      </c>
      <c r="SUE616" s="17">
        <v>44925</v>
      </c>
      <c r="SUF616" s="5" t="s">
        <v>3728</v>
      </c>
      <c r="SUG616" s="17">
        <v>44925</v>
      </c>
      <c r="SUH616" s="5" t="s">
        <v>3728</v>
      </c>
      <c r="SUI616" s="17">
        <v>44925</v>
      </c>
      <c r="SUJ616" s="5" t="s">
        <v>3728</v>
      </c>
      <c r="SUK616" s="17">
        <v>44925</v>
      </c>
      <c r="SUL616" s="5" t="s">
        <v>3728</v>
      </c>
      <c r="SUM616" s="17">
        <v>44925</v>
      </c>
      <c r="SUN616" s="5" t="s">
        <v>3728</v>
      </c>
      <c r="SUO616" s="17">
        <v>44925</v>
      </c>
      <c r="SUP616" s="5" t="s">
        <v>3728</v>
      </c>
      <c r="SUQ616" s="17">
        <v>44925</v>
      </c>
      <c r="SUR616" s="5" t="s">
        <v>3728</v>
      </c>
      <c r="SUS616" s="17">
        <v>44925</v>
      </c>
      <c r="SUT616" s="5" t="s">
        <v>3728</v>
      </c>
      <c r="SUU616" s="17">
        <v>44925</v>
      </c>
      <c r="SUV616" s="5" t="s">
        <v>3728</v>
      </c>
      <c r="SUW616" s="17">
        <v>44925</v>
      </c>
      <c r="SUX616" s="5" t="s">
        <v>3728</v>
      </c>
      <c r="SUY616" s="17">
        <v>44925</v>
      </c>
      <c r="SUZ616" s="5" t="s">
        <v>3728</v>
      </c>
      <c r="SVA616" s="17">
        <v>44925</v>
      </c>
      <c r="SVB616" s="5" t="s">
        <v>3728</v>
      </c>
      <c r="SVC616" s="17">
        <v>44925</v>
      </c>
      <c r="SVD616" s="5" t="s">
        <v>3728</v>
      </c>
      <c r="SVE616" s="17">
        <v>44925</v>
      </c>
      <c r="SVF616" s="5" t="s">
        <v>3728</v>
      </c>
      <c r="SVG616" s="17">
        <v>44925</v>
      </c>
      <c r="SVH616" s="5" t="s">
        <v>3728</v>
      </c>
      <c r="SVI616" s="17">
        <v>44925</v>
      </c>
      <c r="SVJ616" s="5" t="s">
        <v>3728</v>
      </c>
      <c r="SVK616" s="17">
        <v>44925</v>
      </c>
      <c r="SVL616" s="5" t="s">
        <v>3728</v>
      </c>
      <c r="SVM616" s="17">
        <v>44925</v>
      </c>
      <c r="SVN616" s="5" t="s">
        <v>3728</v>
      </c>
      <c r="SVO616" s="17">
        <v>44925</v>
      </c>
      <c r="SVP616" s="5" t="s">
        <v>3728</v>
      </c>
      <c r="SVQ616" s="17">
        <v>44925</v>
      </c>
      <c r="SVR616" s="5" t="s">
        <v>3728</v>
      </c>
      <c r="SVS616" s="17">
        <v>44925</v>
      </c>
      <c r="SVT616" s="5" t="s">
        <v>3728</v>
      </c>
      <c r="SVU616" s="17">
        <v>44925</v>
      </c>
      <c r="SVV616" s="5" t="s">
        <v>3728</v>
      </c>
      <c r="SVW616" s="17">
        <v>44925</v>
      </c>
      <c r="SVX616" s="5" t="s">
        <v>3728</v>
      </c>
      <c r="SVY616" s="17">
        <v>44925</v>
      </c>
      <c r="SVZ616" s="5" t="s">
        <v>3728</v>
      </c>
      <c r="SWA616" s="17">
        <v>44925</v>
      </c>
      <c r="SWB616" s="5" t="s">
        <v>3728</v>
      </c>
      <c r="SWC616" s="17">
        <v>44925</v>
      </c>
      <c r="SWD616" s="5" t="s">
        <v>3728</v>
      </c>
      <c r="SWE616" s="17">
        <v>44925</v>
      </c>
      <c r="SWF616" s="5" t="s">
        <v>3728</v>
      </c>
      <c r="SWG616" s="17">
        <v>44925</v>
      </c>
      <c r="SWH616" s="5" t="s">
        <v>3728</v>
      </c>
      <c r="SWI616" s="17">
        <v>44925</v>
      </c>
      <c r="SWJ616" s="5" t="s">
        <v>3728</v>
      </c>
      <c r="SWK616" s="17">
        <v>44925</v>
      </c>
      <c r="SWL616" s="5" t="s">
        <v>3728</v>
      </c>
      <c r="SWM616" s="17">
        <v>44925</v>
      </c>
      <c r="SWN616" s="5" t="s">
        <v>3728</v>
      </c>
      <c r="SWO616" s="17">
        <v>44925</v>
      </c>
      <c r="SWP616" s="5" t="s">
        <v>3728</v>
      </c>
      <c r="SWQ616" s="17">
        <v>44925</v>
      </c>
      <c r="SWR616" s="5" t="s">
        <v>3728</v>
      </c>
      <c r="SWS616" s="17">
        <v>44925</v>
      </c>
      <c r="SWT616" s="5" t="s">
        <v>3728</v>
      </c>
      <c r="SWU616" s="17">
        <v>44925</v>
      </c>
      <c r="SWV616" s="5" t="s">
        <v>3728</v>
      </c>
      <c r="SWW616" s="17">
        <v>44925</v>
      </c>
      <c r="SWX616" s="5" t="s">
        <v>3728</v>
      </c>
      <c r="SWY616" s="17">
        <v>44925</v>
      </c>
      <c r="SWZ616" s="5" t="s">
        <v>3728</v>
      </c>
      <c r="SXA616" s="17">
        <v>44925</v>
      </c>
      <c r="SXB616" s="5" t="s">
        <v>3728</v>
      </c>
      <c r="SXC616" s="17">
        <v>44925</v>
      </c>
      <c r="SXD616" s="5" t="s">
        <v>3728</v>
      </c>
      <c r="SXE616" s="17">
        <v>44925</v>
      </c>
      <c r="SXF616" s="5" t="s">
        <v>3728</v>
      </c>
      <c r="SXG616" s="17">
        <v>44925</v>
      </c>
      <c r="SXH616" s="5" t="s">
        <v>3728</v>
      </c>
      <c r="SXI616" s="17">
        <v>44925</v>
      </c>
      <c r="SXJ616" s="5" t="s">
        <v>3728</v>
      </c>
      <c r="SXK616" s="17">
        <v>44925</v>
      </c>
      <c r="SXL616" s="5" t="s">
        <v>3728</v>
      </c>
      <c r="SXM616" s="17">
        <v>44925</v>
      </c>
      <c r="SXN616" s="5" t="s">
        <v>3728</v>
      </c>
      <c r="SXO616" s="17">
        <v>44925</v>
      </c>
      <c r="SXP616" s="5" t="s">
        <v>3728</v>
      </c>
      <c r="SXQ616" s="17">
        <v>44925</v>
      </c>
      <c r="SXR616" s="5" t="s">
        <v>3728</v>
      </c>
      <c r="SXS616" s="17">
        <v>44925</v>
      </c>
      <c r="SXT616" s="5" t="s">
        <v>3728</v>
      </c>
      <c r="SXU616" s="17">
        <v>44925</v>
      </c>
      <c r="SXV616" s="5" t="s">
        <v>3728</v>
      </c>
      <c r="SXW616" s="17">
        <v>44925</v>
      </c>
      <c r="SXX616" s="5" t="s">
        <v>3728</v>
      </c>
      <c r="SXY616" s="17">
        <v>44925</v>
      </c>
      <c r="SXZ616" s="5" t="s">
        <v>3728</v>
      </c>
      <c r="SYA616" s="17">
        <v>44925</v>
      </c>
      <c r="SYB616" s="5" t="s">
        <v>3728</v>
      </c>
      <c r="SYC616" s="17">
        <v>44925</v>
      </c>
      <c r="SYD616" s="5" t="s">
        <v>3728</v>
      </c>
      <c r="SYE616" s="17">
        <v>44925</v>
      </c>
      <c r="SYF616" s="5" t="s">
        <v>3728</v>
      </c>
      <c r="SYG616" s="17">
        <v>44925</v>
      </c>
      <c r="SYH616" s="5" t="s">
        <v>3728</v>
      </c>
      <c r="SYI616" s="17">
        <v>44925</v>
      </c>
      <c r="SYJ616" s="5" t="s">
        <v>3728</v>
      </c>
      <c r="SYK616" s="17">
        <v>44925</v>
      </c>
      <c r="SYL616" s="5" t="s">
        <v>3728</v>
      </c>
      <c r="SYM616" s="17">
        <v>44925</v>
      </c>
      <c r="SYN616" s="5" t="s">
        <v>3728</v>
      </c>
      <c r="SYO616" s="17">
        <v>44925</v>
      </c>
      <c r="SYP616" s="5" t="s">
        <v>3728</v>
      </c>
      <c r="SYQ616" s="17">
        <v>44925</v>
      </c>
      <c r="SYR616" s="5" t="s">
        <v>3728</v>
      </c>
      <c r="SYS616" s="17">
        <v>44925</v>
      </c>
      <c r="SYT616" s="5" t="s">
        <v>3728</v>
      </c>
      <c r="SYU616" s="17">
        <v>44925</v>
      </c>
      <c r="SYV616" s="5" t="s">
        <v>3728</v>
      </c>
      <c r="SYW616" s="17">
        <v>44925</v>
      </c>
      <c r="SYX616" s="5" t="s">
        <v>3728</v>
      </c>
      <c r="SYY616" s="17">
        <v>44925</v>
      </c>
      <c r="SYZ616" s="5" t="s">
        <v>3728</v>
      </c>
      <c r="SZA616" s="17">
        <v>44925</v>
      </c>
      <c r="SZB616" s="5" t="s">
        <v>3728</v>
      </c>
      <c r="SZC616" s="17">
        <v>44925</v>
      </c>
      <c r="SZD616" s="5" t="s">
        <v>3728</v>
      </c>
      <c r="SZE616" s="17">
        <v>44925</v>
      </c>
      <c r="SZF616" s="5" t="s">
        <v>3728</v>
      </c>
      <c r="SZG616" s="17">
        <v>44925</v>
      </c>
      <c r="SZH616" s="5" t="s">
        <v>3728</v>
      </c>
      <c r="SZI616" s="17">
        <v>44925</v>
      </c>
      <c r="SZJ616" s="5" t="s">
        <v>3728</v>
      </c>
      <c r="SZK616" s="17">
        <v>44925</v>
      </c>
      <c r="SZL616" s="5" t="s">
        <v>3728</v>
      </c>
      <c r="SZM616" s="17">
        <v>44925</v>
      </c>
      <c r="SZN616" s="5" t="s">
        <v>3728</v>
      </c>
      <c r="SZO616" s="17">
        <v>44925</v>
      </c>
      <c r="SZP616" s="5" t="s">
        <v>3728</v>
      </c>
      <c r="SZQ616" s="17">
        <v>44925</v>
      </c>
      <c r="SZR616" s="5" t="s">
        <v>3728</v>
      </c>
      <c r="SZS616" s="17">
        <v>44925</v>
      </c>
      <c r="SZT616" s="5" t="s">
        <v>3728</v>
      </c>
      <c r="SZU616" s="17">
        <v>44925</v>
      </c>
      <c r="SZV616" s="5" t="s">
        <v>3728</v>
      </c>
      <c r="SZW616" s="17">
        <v>44925</v>
      </c>
      <c r="SZX616" s="5" t="s">
        <v>3728</v>
      </c>
      <c r="SZY616" s="17">
        <v>44925</v>
      </c>
      <c r="SZZ616" s="5" t="s">
        <v>3728</v>
      </c>
      <c r="TAA616" s="17">
        <v>44925</v>
      </c>
      <c r="TAB616" s="5" t="s">
        <v>3728</v>
      </c>
      <c r="TAC616" s="17">
        <v>44925</v>
      </c>
      <c r="TAD616" s="5" t="s">
        <v>3728</v>
      </c>
      <c r="TAE616" s="17">
        <v>44925</v>
      </c>
      <c r="TAF616" s="5" t="s">
        <v>3728</v>
      </c>
      <c r="TAG616" s="17">
        <v>44925</v>
      </c>
      <c r="TAH616" s="5" t="s">
        <v>3728</v>
      </c>
      <c r="TAI616" s="17">
        <v>44925</v>
      </c>
      <c r="TAJ616" s="5" t="s">
        <v>3728</v>
      </c>
      <c r="TAK616" s="17">
        <v>44925</v>
      </c>
      <c r="TAL616" s="5" t="s">
        <v>3728</v>
      </c>
      <c r="TAM616" s="17">
        <v>44925</v>
      </c>
      <c r="TAN616" s="5" t="s">
        <v>3728</v>
      </c>
      <c r="TAO616" s="17">
        <v>44925</v>
      </c>
      <c r="TAP616" s="5" t="s">
        <v>3728</v>
      </c>
      <c r="TAQ616" s="17">
        <v>44925</v>
      </c>
      <c r="TAR616" s="5" t="s">
        <v>3728</v>
      </c>
      <c r="TAS616" s="17">
        <v>44925</v>
      </c>
      <c r="TAT616" s="5" t="s">
        <v>3728</v>
      </c>
      <c r="TAU616" s="17">
        <v>44925</v>
      </c>
      <c r="TAV616" s="5" t="s">
        <v>3728</v>
      </c>
      <c r="TAW616" s="17">
        <v>44925</v>
      </c>
      <c r="TAX616" s="5" t="s">
        <v>3728</v>
      </c>
      <c r="TAY616" s="17">
        <v>44925</v>
      </c>
      <c r="TAZ616" s="5" t="s">
        <v>3728</v>
      </c>
      <c r="TBA616" s="17">
        <v>44925</v>
      </c>
      <c r="TBB616" s="5" t="s">
        <v>3728</v>
      </c>
      <c r="TBC616" s="17">
        <v>44925</v>
      </c>
      <c r="TBD616" s="5" t="s">
        <v>3728</v>
      </c>
      <c r="TBE616" s="17">
        <v>44925</v>
      </c>
      <c r="TBF616" s="5" t="s">
        <v>3728</v>
      </c>
      <c r="TBG616" s="17">
        <v>44925</v>
      </c>
      <c r="TBH616" s="5" t="s">
        <v>3728</v>
      </c>
      <c r="TBI616" s="17">
        <v>44925</v>
      </c>
      <c r="TBJ616" s="5" t="s">
        <v>3728</v>
      </c>
      <c r="TBK616" s="17">
        <v>44925</v>
      </c>
      <c r="TBL616" s="5" t="s">
        <v>3728</v>
      </c>
      <c r="TBM616" s="17">
        <v>44925</v>
      </c>
      <c r="TBN616" s="5" t="s">
        <v>3728</v>
      </c>
      <c r="TBO616" s="17">
        <v>44925</v>
      </c>
      <c r="TBP616" s="5" t="s">
        <v>3728</v>
      </c>
      <c r="TBQ616" s="17">
        <v>44925</v>
      </c>
      <c r="TBR616" s="5" t="s">
        <v>3728</v>
      </c>
      <c r="TBS616" s="17">
        <v>44925</v>
      </c>
      <c r="TBT616" s="5" t="s">
        <v>3728</v>
      </c>
      <c r="TBU616" s="17">
        <v>44925</v>
      </c>
      <c r="TBV616" s="5" t="s">
        <v>3728</v>
      </c>
      <c r="TBW616" s="17">
        <v>44925</v>
      </c>
      <c r="TBX616" s="5" t="s">
        <v>3728</v>
      </c>
      <c r="TBY616" s="17">
        <v>44925</v>
      </c>
      <c r="TBZ616" s="5" t="s">
        <v>3728</v>
      </c>
      <c r="TCA616" s="17">
        <v>44925</v>
      </c>
      <c r="TCB616" s="5" t="s">
        <v>3728</v>
      </c>
      <c r="TCC616" s="17">
        <v>44925</v>
      </c>
      <c r="TCD616" s="5" t="s">
        <v>3728</v>
      </c>
      <c r="TCE616" s="17">
        <v>44925</v>
      </c>
      <c r="TCF616" s="5" t="s">
        <v>3728</v>
      </c>
      <c r="TCG616" s="17">
        <v>44925</v>
      </c>
      <c r="TCH616" s="5" t="s">
        <v>3728</v>
      </c>
      <c r="TCI616" s="17">
        <v>44925</v>
      </c>
      <c r="TCJ616" s="5" t="s">
        <v>3728</v>
      </c>
      <c r="TCK616" s="17">
        <v>44925</v>
      </c>
      <c r="TCL616" s="5" t="s">
        <v>3728</v>
      </c>
      <c r="TCM616" s="17">
        <v>44925</v>
      </c>
      <c r="TCN616" s="5" t="s">
        <v>3728</v>
      </c>
      <c r="TCO616" s="17">
        <v>44925</v>
      </c>
      <c r="TCP616" s="5" t="s">
        <v>3728</v>
      </c>
      <c r="TCQ616" s="17">
        <v>44925</v>
      </c>
      <c r="TCR616" s="5" t="s">
        <v>3728</v>
      </c>
      <c r="TCS616" s="17">
        <v>44925</v>
      </c>
      <c r="TCT616" s="5" t="s">
        <v>3728</v>
      </c>
      <c r="TCU616" s="17">
        <v>44925</v>
      </c>
      <c r="TCV616" s="5" t="s">
        <v>3728</v>
      </c>
      <c r="TCW616" s="17">
        <v>44925</v>
      </c>
      <c r="TCX616" s="5" t="s">
        <v>3728</v>
      </c>
      <c r="TCY616" s="17">
        <v>44925</v>
      </c>
      <c r="TCZ616" s="5" t="s">
        <v>3728</v>
      </c>
      <c r="TDA616" s="17">
        <v>44925</v>
      </c>
      <c r="TDB616" s="5" t="s">
        <v>3728</v>
      </c>
      <c r="TDC616" s="17">
        <v>44925</v>
      </c>
      <c r="TDD616" s="5" t="s">
        <v>3728</v>
      </c>
      <c r="TDE616" s="17">
        <v>44925</v>
      </c>
      <c r="TDF616" s="5" t="s">
        <v>3728</v>
      </c>
      <c r="TDG616" s="17">
        <v>44925</v>
      </c>
      <c r="TDH616" s="5" t="s">
        <v>3728</v>
      </c>
      <c r="TDI616" s="17">
        <v>44925</v>
      </c>
      <c r="TDJ616" s="5" t="s">
        <v>3728</v>
      </c>
      <c r="TDK616" s="17">
        <v>44925</v>
      </c>
      <c r="TDL616" s="5" t="s">
        <v>3728</v>
      </c>
      <c r="TDM616" s="17">
        <v>44925</v>
      </c>
      <c r="TDN616" s="5" t="s">
        <v>3728</v>
      </c>
      <c r="TDO616" s="17">
        <v>44925</v>
      </c>
      <c r="TDP616" s="5" t="s">
        <v>3728</v>
      </c>
      <c r="TDQ616" s="17">
        <v>44925</v>
      </c>
      <c r="TDR616" s="5" t="s">
        <v>3728</v>
      </c>
      <c r="TDS616" s="17">
        <v>44925</v>
      </c>
      <c r="TDT616" s="5" t="s">
        <v>3728</v>
      </c>
      <c r="TDU616" s="17">
        <v>44925</v>
      </c>
      <c r="TDV616" s="5" t="s">
        <v>3728</v>
      </c>
      <c r="TDW616" s="17">
        <v>44925</v>
      </c>
      <c r="TDX616" s="5" t="s">
        <v>3728</v>
      </c>
      <c r="TDY616" s="17">
        <v>44925</v>
      </c>
      <c r="TDZ616" s="5" t="s">
        <v>3728</v>
      </c>
      <c r="TEA616" s="17">
        <v>44925</v>
      </c>
      <c r="TEB616" s="5" t="s">
        <v>3728</v>
      </c>
      <c r="TEC616" s="17">
        <v>44925</v>
      </c>
      <c r="TED616" s="5" t="s">
        <v>3728</v>
      </c>
      <c r="TEE616" s="17">
        <v>44925</v>
      </c>
      <c r="TEF616" s="5" t="s">
        <v>3728</v>
      </c>
      <c r="TEG616" s="17">
        <v>44925</v>
      </c>
      <c r="TEH616" s="5" t="s">
        <v>3728</v>
      </c>
      <c r="TEI616" s="17">
        <v>44925</v>
      </c>
      <c r="TEJ616" s="5" t="s">
        <v>3728</v>
      </c>
      <c r="TEK616" s="17">
        <v>44925</v>
      </c>
      <c r="TEL616" s="5" t="s">
        <v>3728</v>
      </c>
      <c r="TEM616" s="17">
        <v>44925</v>
      </c>
      <c r="TEN616" s="5" t="s">
        <v>3728</v>
      </c>
      <c r="TEO616" s="17">
        <v>44925</v>
      </c>
      <c r="TEP616" s="5" t="s">
        <v>3728</v>
      </c>
      <c r="TEQ616" s="17">
        <v>44925</v>
      </c>
      <c r="TER616" s="5" t="s">
        <v>3728</v>
      </c>
      <c r="TES616" s="17">
        <v>44925</v>
      </c>
      <c r="TET616" s="5" t="s">
        <v>3728</v>
      </c>
      <c r="TEU616" s="17">
        <v>44925</v>
      </c>
      <c r="TEV616" s="5" t="s">
        <v>3728</v>
      </c>
      <c r="TEW616" s="17">
        <v>44925</v>
      </c>
      <c r="TEX616" s="5" t="s">
        <v>3728</v>
      </c>
      <c r="TEY616" s="17">
        <v>44925</v>
      </c>
      <c r="TEZ616" s="5" t="s">
        <v>3728</v>
      </c>
      <c r="TFA616" s="17">
        <v>44925</v>
      </c>
      <c r="TFB616" s="5" t="s">
        <v>3728</v>
      </c>
      <c r="TFC616" s="17">
        <v>44925</v>
      </c>
      <c r="TFD616" s="5" t="s">
        <v>3728</v>
      </c>
      <c r="TFE616" s="17">
        <v>44925</v>
      </c>
      <c r="TFF616" s="5" t="s">
        <v>3728</v>
      </c>
      <c r="TFG616" s="17">
        <v>44925</v>
      </c>
      <c r="TFH616" s="5" t="s">
        <v>3728</v>
      </c>
      <c r="TFI616" s="17">
        <v>44925</v>
      </c>
      <c r="TFJ616" s="5" t="s">
        <v>3728</v>
      </c>
      <c r="TFK616" s="17">
        <v>44925</v>
      </c>
      <c r="TFL616" s="5" t="s">
        <v>3728</v>
      </c>
      <c r="TFM616" s="17">
        <v>44925</v>
      </c>
      <c r="TFN616" s="5" t="s">
        <v>3728</v>
      </c>
      <c r="TFO616" s="17">
        <v>44925</v>
      </c>
      <c r="TFP616" s="5" t="s">
        <v>3728</v>
      </c>
      <c r="TFQ616" s="17">
        <v>44925</v>
      </c>
      <c r="TFR616" s="5" t="s">
        <v>3728</v>
      </c>
      <c r="TFS616" s="17">
        <v>44925</v>
      </c>
      <c r="TFT616" s="5" t="s">
        <v>3728</v>
      </c>
      <c r="TFU616" s="17">
        <v>44925</v>
      </c>
      <c r="TFV616" s="5" t="s">
        <v>3728</v>
      </c>
      <c r="TFW616" s="17">
        <v>44925</v>
      </c>
      <c r="TFX616" s="5" t="s">
        <v>3728</v>
      </c>
      <c r="TFY616" s="17">
        <v>44925</v>
      </c>
      <c r="TFZ616" s="5" t="s">
        <v>3728</v>
      </c>
      <c r="TGA616" s="17">
        <v>44925</v>
      </c>
      <c r="TGB616" s="5" t="s">
        <v>3728</v>
      </c>
      <c r="TGC616" s="17">
        <v>44925</v>
      </c>
      <c r="TGD616" s="5" t="s">
        <v>3728</v>
      </c>
      <c r="TGE616" s="17">
        <v>44925</v>
      </c>
      <c r="TGF616" s="5" t="s">
        <v>3728</v>
      </c>
      <c r="TGG616" s="17">
        <v>44925</v>
      </c>
      <c r="TGH616" s="5" t="s">
        <v>3728</v>
      </c>
      <c r="TGI616" s="17">
        <v>44925</v>
      </c>
      <c r="TGJ616" s="5" t="s">
        <v>3728</v>
      </c>
      <c r="TGK616" s="17">
        <v>44925</v>
      </c>
      <c r="TGL616" s="5" t="s">
        <v>3728</v>
      </c>
      <c r="TGM616" s="17">
        <v>44925</v>
      </c>
      <c r="TGN616" s="5" t="s">
        <v>3728</v>
      </c>
      <c r="TGO616" s="17">
        <v>44925</v>
      </c>
      <c r="TGP616" s="5" t="s">
        <v>3728</v>
      </c>
      <c r="TGQ616" s="17">
        <v>44925</v>
      </c>
      <c r="TGR616" s="5" t="s">
        <v>3728</v>
      </c>
      <c r="TGS616" s="17">
        <v>44925</v>
      </c>
      <c r="TGT616" s="5" t="s">
        <v>3728</v>
      </c>
      <c r="TGU616" s="17">
        <v>44925</v>
      </c>
      <c r="TGV616" s="5" t="s">
        <v>3728</v>
      </c>
      <c r="TGW616" s="17">
        <v>44925</v>
      </c>
      <c r="TGX616" s="5" t="s">
        <v>3728</v>
      </c>
      <c r="TGY616" s="17">
        <v>44925</v>
      </c>
      <c r="TGZ616" s="5" t="s">
        <v>3728</v>
      </c>
      <c r="THA616" s="17">
        <v>44925</v>
      </c>
      <c r="THB616" s="5" t="s">
        <v>3728</v>
      </c>
      <c r="THC616" s="17">
        <v>44925</v>
      </c>
      <c r="THD616" s="5" t="s">
        <v>3728</v>
      </c>
      <c r="THE616" s="17">
        <v>44925</v>
      </c>
      <c r="THF616" s="5" t="s">
        <v>3728</v>
      </c>
      <c r="THG616" s="17">
        <v>44925</v>
      </c>
      <c r="THH616" s="5" t="s">
        <v>3728</v>
      </c>
      <c r="THI616" s="17">
        <v>44925</v>
      </c>
      <c r="THJ616" s="5" t="s">
        <v>3728</v>
      </c>
      <c r="THK616" s="17">
        <v>44925</v>
      </c>
      <c r="THL616" s="5" t="s">
        <v>3728</v>
      </c>
      <c r="THM616" s="17">
        <v>44925</v>
      </c>
      <c r="THN616" s="5" t="s">
        <v>3728</v>
      </c>
      <c r="THO616" s="17">
        <v>44925</v>
      </c>
      <c r="THP616" s="5" t="s">
        <v>3728</v>
      </c>
      <c r="THQ616" s="17">
        <v>44925</v>
      </c>
      <c r="THR616" s="5" t="s">
        <v>3728</v>
      </c>
      <c r="THS616" s="17">
        <v>44925</v>
      </c>
      <c r="THT616" s="5" t="s">
        <v>3728</v>
      </c>
      <c r="THU616" s="17">
        <v>44925</v>
      </c>
      <c r="THV616" s="5" t="s">
        <v>3728</v>
      </c>
      <c r="THW616" s="17">
        <v>44925</v>
      </c>
      <c r="THX616" s="5" t="s">
        <v>3728</v>
      </c>
      <c r="THY616" s="17">
        <v>44925</v>
      </c>
      <c r="THZ616" s="5" t="s">
        <v>3728</v>
      </c>
      <c r="TIA616" s="17">
        <v>44925</v>
      </c>
      <c r="TIB616" s="5" t="s">
        <v>3728</v>
      </c>
      <c r="TIC616" s="17">
        <v>44925</v>
      </c>
      <c r="TID616" s="5" t="s">
        <v>3728</v>
      </c>
      <c r="TIE616" s="17">
        <v>44925</v>
      </c>
      <c r="TIF616" s="5" t="s">
        <v>3728</v>
      </c>
      <c r="TIG616" s="17">
        <v>44925</v>
      </c>
      <c r="TIH616" s="5" t="s">
        <v>3728</v>
      </c>
      <c r="TII616" s="17">
        <v>44925</v>
      </c>
      <c r="TIJ616" s="5" t="s">
        <v>3728</v>
      </c>
      <c r="TIK616" s="17">
        <v>44925</v>
      </c>
      <c r="TIL616" s="5" t="s">
        <v>3728</v>
      </c>
      <c r="TIM616" s="17">
        <v>44925</v>
      </c>
      <c r="TIN616" s="5" t="s">
        <v>3728</v>
      </c>
      <c r="TIO616" s="17">
        <v>44925</v>
      </c>
      <c r="TIP616" s="5" t="s">
        <v>3728</v>
      </c>
      <c r="TIQ616" s="17">
        <v>44925</v>
      </c>
      <c r="TIR616" s="5" t="s">
        <v>3728</v>
      </c>
      <c r="TIS616" s="17">
        <v>44925</v>
      </c>
      <c r="TIT616" s="5" t="s">
        <v>3728</v>
      </c>
      <c r="TIU616" s="17">
        <v>44925</v>
      </c>
      <c r="TIV616" s="5" t="s">
        <v>3728</v>
      </c>
      <c r="TIW616" s="17">
        <v>44925</v>
      </c>
      <c r="TIX616" s="5" t="s">
        <v>3728</v>
      </c>
      <c r="TIY616" s="17">
        <v>44925</v>
      </c>
      <c r="TIZ616" s="5" t="s">
        <v>3728</v>
      </c>
      <c r="TJA616" s="17">
        <v>44925</v>
      </c>
      <c r="TJB616" s="5" t="s">
        <v>3728</v>
      </c>
      <c r="TJC616" s="17">
        <v>44925</v>
      </c>
      <c r="TJD616" s="5" t="s">
        <v>3728</v>
      </c>
      <c r="TJE616" s="17">
        <v>44925</v>
      </c>
      <c r="TJF616" s="5" t="s">
        <v>3728</v>
      </c>
      <c r="TJG616" s="17">
        <v>44925</v>
      </c>
      <c r="TJH616" s="5" t="s">
        <v>3728</v>
      </c>
      <c r="TJI616" s="17">
        <v>44925</v>
      </c>
      <c r="TJJ616" s="5" t="s">
        <v>3728</v>
      </c>
      <c r="TJK616" s="17">
        <v>44925</v>
      </c>
      <c r="TJL616" s="5" t="s">
        <v>3728</v>
      </c>
      <c r="TJM616" s="17">
        <v>44925</v>
      </c>
      <c r="TJN616" s="5" t="s">
        <v>3728</v>
      </c>
      <c r="TJO616" s="17">
        <v>44925</v>
      </c>
      <c r="TJP616" s="5" t="s">
        <v>3728</v>
      </c>
      <c r="TJQ616" s="17">
        <v>44925</v>
      </c>
      <c r="TJR616" s="5" t="s">
        <v>3728</v>
      </c>
      <c r="TJS616" s="17">
        <v>44925</v>
      </c>
      <c r="TJT616" s="5" t="s">
        <v>3728</v>
      </c>
      <c r="TJU616" s="17">
        <v>44925</v>
      </c>
      <c r="TJV616" s="5" t="s">
        <v>3728</v>
      </c>
      <c r="TJW616" s="17">
        <v>44925</v>
      </c>
      <c r="TJX616" s="5" t="s">
        <v>3728</v>
      </c>
      <c r="TJY616" s="17">
        <v>44925</v>
      </c>
      <c r="TJZ616" s="5" t="s">
        <v>3728</v>
      </c>
      <c r="TKA616" s="17">
        <v>44925</v>
      </c>
      <c r="TKB616" s="5" t="s">
        <v>3728</v>
      </c>
      <c r="TKC616" s="17">
        <v>44925</v>
      </c>
      <c r="TKD616" s="5" t="s">
        <v>3728</v>
      </c>
      <c r="TKE616" s="17">
        <v>44925</v>
      </c>
      <c r="TKF616" s="5" t="s">
        <v>3728</v>
      </c>
      <c r="TKG616" s="17">
        <v>44925</v>
      </c>
      <c r="TKH616" s="5" t="s">
        <v>3728</v>
      </c>
      <c r="TKI616" s="17">
        <v>44925</v>
      </c>
      <c r="TKJ616" s="5" t="s">
        <v>3728</v>
      </c>
      <c r="TKK616" s="17">
        <v>44925</v>
      </c>
      <c r="TKL616" s="5" t="s">
        <v>3728</v>
      </c>
      <c r="TKM616" s="17">
        <v>44925</v>
      </c>
      <c r="TKN616" s="5" t="s">
        <v>3728</v>
      </c>
      <c r="TKO616" s="17">
        <v>44925</v>
      </c>
      <c r="TKP616" s="5" t="s">
        <v>3728</v>
      </c>
      <c r="TKQ616" s="17">
        <v>44925</v>
      </c>
      <c r="TKR616" s="5" t="s">
        <v>3728</v>
      </c>
      <c r="TKS616" s="17">
        <v>44925</v>
      </c>
      <c r="TKT616" s="5" t="s">
        <v>3728</v>
      </c>
      <c r="TKU616" s="17">
        <v>44925</v>
      </c>
      <c r="TKV616" s="5" t="s">
        <v>3728</v>
      </c>
      <c r="TKW616" s="17">
        <v>44925</v>
      </c>
      <c r="TKX616" s="5" t="s">
        <v>3728</v>
      </c>
      <c r="TKY616" s="17">
        <v>44925</v>
      </c>
      <c r="TKZ616" s="5" t="s">
        <v>3728</v>
      </c>
      <c r="TLA616" s="17">
        <v>44925</v>
      </c>
      <c r="TLB616" s="5" t="s">
        <v>3728</v>
      </c>
      <c r="TLC616" s="17">
        <v>44925</v>
      </c>
      <c r="TLD616" s="5" t="s">
        <v>3728</v>
      </c>
      <c r="TLE616" s="17">
        <v>44925</v>
      </c>
      <c r="TLF616" s="5" t="s">
        <v>3728</v>
      </c>
      <c r="TLG616" s="17">
        <v>44925</v>
      </c>
      <c r="TLH616" s="5" t="s">
        <v>3728</v>
      </c>
      <c r="TLI616" s="17">
        <v>44925</v>
      </c>
      <c r="TLJ616" s="5" t="s">
        <v>3728</v>
      </c>
      <c r="TLK616" s="17">
        <v>44925</v>
      </c>
      <c r="TLL616" s="5" t="s">
        <v>3728</v>
      </c>
      <c r="TLM616" s="17">
        <v>44925</v>
      </c>
      <c r="TLN616" s="5" t="s">
        <v>3728</v>
      </c>
      <c r="TLO616" s="17">
        <v>44925</v>
      </c>
      <c r="TLP616" s="5" t="s">
        <v>3728</v>
      </c>
      <c r="TLQ616" s="17">
        <v>44925</v>
      </c>
      <c r="TLR616" s="5" t="s">
        <v>3728</v>
      </c>
      <c r="TLS616" s="17">
        <v>44925</v>
      </c>
      <c r="TLT616" s="5" t="s">
        <v>3728</v>
      </c>
      <c r="TLU616" s="17">
        <v>44925</v>
      </c>
      <c r="TLV616" s="5" t="s">
        <v>3728</v>
      </c>
      <c r="TLW616" s="17">
        <v>44925</v>
      </c>
      <c r="TLX616" s="5" t="s">
        <v>3728</v>
      </c>
      <c r="TLY616" s="17">
        <v>44925</v>
      </c>
      <c r="TLZ616" s="5" t="s">
        <v>3728</v>
      </c>
      <c r="TMA616" s="17">
        <v>44925</v>
      </c>
      <c r="TMB616" s="5" t="s">
        <v>3728</v>
      </c>
      <c r="TMC616" s="17">
        <v>44925</v>
      </c>
      <c r="TMD616" s="5" t="s">
        <v>3728</v>
      </c>
      <c r="TME616" s="17">
        <v>44925</v>
      </c>
      <c r="TMF616" s="5" t="s">
        <v>3728</v>
      </c>
      <c r="TMG616" s="17">
        <v>44925</v>
      </c>
      <c r="TMH616" s="5" t="s">
        <v>3728</v>
      </c>
      <c r="TMI616" s="17">
        <v>44925</v>
      </c>
      <c r="TMJ616" s="5" t="s">
        <v>3728</v>
      </c>
      <c r="TMK616" s="17">
        <v>44925</v>
      </c>
      <c r="TML616" s="5" t="s">
        <v>3728</v>
      </c>
      <c r="TMM616" s="17">
        <v>44925</v>
      </c>
      <c r="TMN616" s="5" t="s">
        <v>3728</v>
      </c>
      <c r="TMO616" s="17">
        <v>44925</v>
      </c>
      <c r="TMP616" s="5" t="s">
        <v>3728</v>
      </c>
      <c r="TMQ616" s="17">
        <v>44925</v>
      </c>
      <c r="TMR616" s="5" t="s">
        <v>3728</v>
      </c>
      <c r="TMS616" s="17">
        <v>44925</v>
      </c>
      <c r="TMT616" s="5" t="s">
        <v>3728</v>
      </c>
      <c r="TMU616" s="17">
        <v>44925</v>
      </c>
      <c r="TMV616" s="5" t="s">
        <v>3728</v>
      </c>
      <c r="TMW616" s="17">
        <v>44925</v>
      </c>
      <c r="TMX616" s="5" t="s">
        <v>3728</v>
      </c>
      <c r="TMY616" s="17">
        <v>44925</v>
      </c>
      <c r="TMZ616" s="5" t="s">
        <v>3728</v>
      </c>
      <c r="TNA616" s="17">
        <v>44925</v>
      </c>
      <c r="TNB616" s="5" t="s">
        <v>3728</v>
      </c>
      <c r="TNC616" s="17">
        <v>44925</v>
      </c>
      <c r="TND616" s="5" t="s">
        <v>3728</v>
      </c>
      <c r="TNE616" s="17">
        <v>44925</v>
      </c>
      <c r="TNF616" s="5" t="s">
        <v>3728</v>
      </c>
      <c r="TNG616" s="17">
        <v>44925</v>
      </c>
      <c r="TNH616" s="5" t="s">
        <v>3728</v>
      </c>
      <c r="TNI616" s="17">
        <v>44925</v>
      </c>
      <c r="TNJ616" s="5" t="s">
        <v>3728</v>
      </c>
      <c r="TNK616" s="17">
        <v>44925</v>
      </c>
      <c r="TNL616" s="5" t="s">
        <v>3728</v>
      </c>
      <c r="TNM616" s="17">
        <v>44925</v>
      </c>
      <c r="TNN616" s="5" t="s">
        <v>3728</v>
      </c>
      <c r="TNO616" s="17">
        <v>44925</v>
      </c>
      <c r="TNP616" s="5" t="s">
        <v>3728</v>
      </c>
      <c r="TNQ616" s="17">
        <v>44925</v>
      </c>
      <c r="TNR616" s="5" t="s">
        <v>3728</v>
      </c>
      <c r="TNS616" s="17">
        <v>44925</v>
      </c>
      <c r="TNT616" s="5" t="s">
        <v>3728</v>
      </c>
      <c r="TNU616" s="17">
        <v>44925</v>
      </c>
      <c r="TNV616" s="5" t="s">
        <v>3728</v>
      </c>
      <c r="TNW616" s="17">
        <v>44925</v>
      </c>
      <c r="TNX616" s="5" t="s">
        <v>3728</v>
      </c>
      <c r="TNY616" s="17">
        <v>44925</v>
      </c>
      <c r="TNZ616" s="5" t="s">
        <v>3728</v>
      </c>
      <c r="TOA616" s="17">
        <v>44925</v>
      </c>
      <c r="TOB616" s="5" t="s">
        <v>3728</v>
      </c>
      <c r="TOC616" s="17">
        <v>44925</v>
      </c>
      <c r="TOD616" s="5" t="s">
        <v>3728</v>
      </c>
      <c r="TOE616" s="17">
        <v>44925</v>
      </c>
      <c r="TOF616" s="5" t="s">
        <v>3728</v>
      </c>
      <c r="TOG616" s="17">
        <v>44925</v>
      </c>
      <c r="TOH616" s="5" t="s">
        <v>3728</v>
      </c>
      <c r="TOI616" s="17">
        <v>44925</v>
      </c>
      <c r="TOJ616" s="5" t="s">
        <v>3728</v>
      </c>
      <c r="TOK616" s="17">
        <v>44925</v>
      </c>
      <c r="TOL616" s="5" t="s">
        <v>3728</v>
      </c>
      <c r="TOM616" s="17">
        <v>44925</v>
      </c>
      <c r="TON616" s="5" t="s">
        <v>3728</v>
      </c>
      <c r="TOO616" s="17">
        <v>44925</v>
      </c>
      <c r="TOP616" s="5" t="s">
        <v>3728</v>
      </c>
      <c r="TOQ616" s="17">
        <v>44925</v>
      </c>
      <c r="TOR616" s="5" t="s">
        <v>3728</v>
      </c>
      <c r="TOS616" s="17">
        <v>44925</v>
      </c>
      <c r="TOT616" s="5" t="s">
        <v>3728</v>
      </c>
      <c r="TOU616" s="17">
        <v>44925</v>
      </c>
      <c r="TOV616" s="5" t="s">
        <v>3728</v>
      </c>
      <c r="TOW616" s="17">
        <v>44925</v>
      </c>
      <c r="TOX616" s="5" t="s">
        <v>3728</v>
      </c>
      <c r="TOY616" s="17">
        <v>44925</v>
      </c>
      <c r="TOZ616" s="5" t="s">
        <v>3728</v>
      </c>
      <c r="TPA616" s="17">
        <v>44925</v>
      </c>
      <c r="TPB616" s="5" t="s">
        <v>3728</v>
      </c>
      <c r="TPC616" s="17">
        <v>44925</v>
      </c>
      <c r="TPD616" s="5" t="s">
        <v>3728</v>
      </c>
      <c r="TPE616" s="17">
        <v>44925</v>
      </c>
      <c r="TPF616" s="5" t="s">
        <v>3728</v>
      </c>
      <c r="TPG616" s="17">
        <v>44925</v>
      </c>
      <c r="TPH616" s="5" t="s">
        <v>3728</v>
      </c>
      <c r="TPI616" s="17">
        <v>44925</v>
      </c>
      <c r="TPJ616" s="5" t="s">
        <v>3728</v>
      </c>
      <c r="TPK616" s="17">
        <v>44925</v>
      </c>
      <c r="TPL616" s="5" t="s">
        <v>3728</v>
      </c>
      <c r="TPM616" s="17">
        <v>44925</v>
      </c>
      <c r="TPN616" s="5" t="s">
        <v>3728</v>
      </c>
      <c r="TPO616" s="17">
        <v>44925</v>
      </c>
      <c r="TPP616" s="5" t="s">
        <v>3728</v>
      </c>
      <c r="TPQ616" s="17">
        <v>44925</v>
      </c>
      <c r="TPR616" s="5" t="s">
        <v>3728</v>
      </c>
      <c r="TPS616" s="17">
        <v>44925</v>
      </c>
      <c r="TPT616" s="5" t="s">
        <v>3728</v>
      </c>
      <c r="TPU616" s="17">
        <v>44925</v>
      </c>
      <c r="TPV616" s="5" t="s">
        <v>3728</v>
      </c>
      <c r="TPW616" s="17">
        <v>44925</v>
      </c>
      <c r="TPX616" s="5" t="s">
        <v>3728</v>
      </c>
      <c r="TPY616" s="17">
        <v>44925</v>
      </c>
      <c r="TPZ616" s="5" t="s">
        <v>3728</v>
      </c>
      <c r="TQA616" s="17">
        <v>44925</v>
      </c>
      <c r="TQB616" s="5" t="s">
        <v>3728</v>
      </c>
      <c r="TQC616" s="17">
        <v>44925</v>
      </c>
      <c r="TQD616" s="5" t="s">
        <v>3728</v>
      </c>
      <c r="TQE616" s="17">
        <v>44925</v>
      </c>
      <c r="TQF616" s="5" t="s">
        <v>3728</v>
      </c>
      <c r="TQG616" s="17">
        <v>44925</v>
      </c>
      <c r="TQH616" s="5" t="s">
        <v>3728</v>
      </c>
      <c r="TQI616" s="17">
        <v>44925</v>
      </c>
      <c r="TQJ616" s="5" t="s">
        <v>3728</v>
      </c>
      <c r="TQK616" s="17">
        <v>44925</v>
      </c>
      <c r="TQL616" s="5" t="s">
        <v>3728</v>
      </c>
      <c r="TQM616" s="17">
        <v>44925</v>
      </c>
      <c r="TQN616" s="5" t="s">
        <v>3728</v>
      </c>
      <c r="TQO616" s="17">
        <v>44925</v>
      </c>
      <c r="TQP616" s="5" t="s">
        <v>3728</v>
      </c>
      <c r="TQQ616" s="17">
        <v>44925</v>
      </c>
      <c r="TQR616" s="5" t="s">
        <v>3728</v>
      </c>
      <c r="TQS616" s="17">
        <v>44925</v>
      </c>
      <c r="TQT616" s="5" t="s">
        <v>3728</v>
      </c>
      <c r="TQU616" s="17">
        <v>44925</v>
      </c>
      <c r="TQV616" s="5" t="s">
        <v>3728</v>
      </c>
      <c r="TQW616" s="17">
        <v>44925</v>
      </c>
      <c r="TQX616" s="5" t="s">
        <v>3728</v>
      </c>
      <c r="TQY616" s="17">
        <v>44925</v>
      </c>
      <c r="TQZ616" s="5" t="s">
        <v>3728</v>
      </c>
      <c r="TRA616" s="17">
        <v>44925</v>
      </c>
      <c r="TRB616" s="5" t="s">
        <v>3728</v>
      </c>
      <c r="TRC616" s="17">
        <v>44925</v>
      </c>
      <c r="TRD616" s="5" t="s">
        <v>3728</v>
      </c>
      <c r="TRE616" s="17">
        <v>44925</v>
      </c>
      <c r="TRF616" s="5" t="s">
        <v>3728</v>
      </c>
      <c r="TRG616" s="17">
        <v>44925</v>
      </c>
      <c r="TRH616" s="5" t="s">
        <v>3728</v>
      </c>
      <c r="TRI616" s="17">
        <v>44925</v>
      </c>
      <c r="TRJ616" s="5" t="s">
        <v>3728</v>
      </c>
      <c r="TRK616" s="17">
        <v>44925</v>
      </c>
      <c r="TRL616" s="5" t="s">
        <v>3728</v>
      </c>
      <c r="TRM616" s="17">
        <v>44925</v>
      </c>
      <c r="TRN616" s="5" t="s">
        <v>3728</v>
      </c>
      <c r="TRO616" s="17">
        <v>44925</v>
      </c>
      <c r="TRP616" s="5" t="s">
        <v>3728</v>
      </c>
      <c r="TRQ616" s="17">
        <v>44925</v>
      </c>
      <c r="TRR616" s="5" t="s">
        <v>3728</v>
      </c>
      <c r="TRS616" s="17">
        <v>44925</v>
      </c>
      <c r="TRT616" s="5" t="s">
        <v>3728</v>
      </c>
      <c r="TRU616" s="17">
        <v>44925</v>
      </c>
      <c r="TRV616" s="5" t="s">
        <v>3728</v>
      </c>
      <c r="TRW616" s="17">
        <v>44925</v>
      </c>
      <c r="TRX616" s="5" t="s">
        <v>3728</v>
      </c>
      <c r="TRY616" s="17">
        <v>44925</v>
      </c>
      <c r="TRZ616" s="5" t="s">
        <v>3728</v>
      </c>
      <c r="TSA616" s="17">
        <v>44925</v>
      </c>
      <c r="TSB616" s="5" t="s">
        <v>3728</v>
      </c>
      <c r="TSC616" s="17">
        <v>44925</v>
      </c>
      <c r="TSD616" s="5" t="s">
        <v>3728</v>
      </c>
      <c r="TSE616" s="17">
        <v>44925</v>
      </c>
      <c r="TSF616" s="5" t="s">
        <v>3728</v>
      </c>
      <c r="TSG616" s="17">
        <v>44925</v>
      </c>
      <c r="TSH616" s="5" t="s">
        <v>3728</v>
      </c>
      <c r="TSI616" s="17">
        <v>44925</v>
      </c>
      <c r="TSJ616" s="5" t="s">
        <v>3728</v>
      </c>
      <c r="TSK616" s="17">
        <v>44925</v>
      </c>
      <c r="TSL616" s="5" t="s">
        <v>3728</v>
      </c>
      <c r="TSM616" s="17">
        <v>44925</v>
      </c>
      <c r="TSN616" s="5" t="s">
        <v>3728</v>
      </c>
      <c r="TSO616" s="17">
        <v>44925</v>
      </c>
      <c r="TSP616" s="5" t="s">
        <v>3728</v>
      </c>
      <c r="TSQ616" s="17">
        <v>44925</v>
      </c>
      <c r="TSR616" s="5" t="s">
        <v>3728</v>
      </c>
      <c r="TSS616" s="17">
        <v>44925</v>
      </c>
      <c r="TST616" s="5" t="s">
        <v>3728</v>
      </c>
      <c r="TSU616" s="17">
        <v>44925</v>
      </c>
      <c r="TSV616" s="5" t="s">
        <v>3728</v>
      </c>
      <c r="TSW616" s="17">
        <v>44925</v>
      </c>
      <c r="TSX616" s="5" t="s">
        <v>3728</v>
      </c>
      <c r="TSY616" s="17">
        <v>44925</v>
      </c>
      <c r="TSZ616" s="5" t="s">
        <v>3728</v>
      </c>
      <c r="TTA616" s="17">
        <v>44925</v>
      </c>
      <c r="TTB616" s="5" t="s">
        <v>3728</v>
      </c>
      <c r="TTC616" s="17">
        <v>44925</v>
      </c>
      <c r="TTD616" s="5" t="s">
        <v>3728</v>
      </c>
      <c r="TTE616" s="17">
        <v>44925</v>
      </c>
      <c r="TTF616" s="5" t="s">
        <v>3728</v>
      </c>
      <c r="TTG616" s="17">
        <v>44925</v>
      </c>
      <c r="TTH616" s="5" t="s">
        <v>3728</v>
      </c>
      <c r="TTI616" s="17">
        <v>44925</v>
      </c>
      <c r="TTJ616" s="5" t="s">
        <v>3728</v>
      </c>
      <c r="TTK616" s="17">
        <v>44925</v>
      </c>
      <c r="TTL616" s="5" t="s">
        <v>3728</v>
      </c>
      <c r="TTM616" s="17">
        <v>44925</v>
      </c>
      <c r="TTN616" s="5" t="s">
        <v>3728</v>
      </c>
      <c r="TTO616" s="17">
        <v>44925</v>
      </c>
      <c r="TTP616" s="5" t="s">
        <v>3728</v>
      </c>
      <c r="TTQ616" s="17">
        <v>44925</v>
      </c>
      <c r="TTR616" s="5" t="s">
        <v>3728</v>
      </c>
      <c r="TTS616" s="17">
        <v>44925</v>
      </c>
      <c r="TTT616" s="5" t="s">
        <v>3728</v>
      </c>
      <c r="TTU616" s="17">
        <v>44925</v>
      </c>
      <c r="TTV616" s="5" t="s">
        <v>3728</v>
      </c>
      <c r="TTW616" s="17">
        <v>44925</v>
      </c>
      <c r="TTX616" s="5" t="s">
        <v>3728</v>
      </c>
      <c r="TTY616" s="17">
        <v>44925</v>
      </c>
      <c r="TTZ616" s="5" t="s">
        <v>3728</v>
      </c>
      <c r="TUA616" s="17">
        <v>44925</v>
      </c>
      <c r="TUB616" s="5" t="s">
        <v>3728</v>
      </c>
      <c r="TUC616" s="17">
        <v>44925</v>
      </c>
      <c r="TUD616" s="5" t="s">
        <v>3728</v>
      </c>
      <c r="TUE616" s="17">
        <v>44925</v>
      </c>
      <c r="TUF616" s="5" t="s">
        <v>3728</v>
      </c>
      <c r="TUG616" s="17">
        <v>44925</v>
      </c>
      <c r="TUH616" s="5" t="s">
        <v>3728</v>
      </c>
      <c r="TUI616" s="17">
        <v>44925</v>
      </c>
      <c r="TUJ616" s="5" t="s">
        <v>3728</v>
      </c>
      <c r="TUK616" s="17">
        <v>44925</v>
      </c>
      <c r="TUL616" s="5" t="s">
        <v>3728</v>
      </c>
      <c r="TUM616" s="17">
        <v>44925</v>
      </c>
      <c r="TUN616" s="5" t="s">
        <v>3728</v>
      </c>
      <c r="TUO616" s="17">
        <v>44925</v>
      </c>
      <c r="TUP616" s="5" t="s">
        <v>3728</v>
      </c>
      <c r="TUQ616" s="17">
        <v>44925</v>
      </c>
      <c r="TUR616" s="5" t="s">
        <v>3728</v>
      </c>
      <c r="TUS616" s="17">
        <v>44925</v>
      </c>
      <c r="TUT616" s="5" t="s">
        <v>3728</v>
      </c>
      <c r="TUU616" s="17">
        <v>44925</v>
      </c>
      <c r="TUV616" s="5" t="s">
        <v>3728</v>
      </c>
      <c r="TUW616" s="17">
        <v>44925</v>
      </c>
      <c r="TUX616" s="5" t="s">
        <v>3728</v>
      </c>
      <c r="TUY616" s="17">
        <v>44925</v>
      </c>
      <c r="TUZ616" s="5" t="s">
        <v>3728</v>
      </c>
      <c r="TVA616" s="17">
        <v>44925</v>
      </c>
      <c r="TVB616" s="5" t="s">
        <v>3728</v>
      </c>
      <c r="TVC616" s="17">
        <v>44925</v>
      </c>
      <c r="TVD616" s="5" t="s">
        <v>3728</v>
      </c>
      <c r="TVE616" s="17">
        <v>44925</v>
      </c>
      <c r="TVF616" s="5" t="s">
        <v>3728</v>
      </c>
      <c r="TVG616" s="17">
        <v>44925</v>
      </c>
      <c r="TVH616" s="5" t="s">
        <v>3728</v>
      </c>
      <c r="TVI616" s="17">
        <v>44925</v>
      </c>
      <c r="TVJ616" s="5" t="s">
        <v>3728</v>
      </c>
      <c r="TVK616" s="17">
        <v>44925</v>
      </c>
      <c r="TVL616" s="5" t="s">
        <v>3728</v>
      </c>
      <c r="TVM616" s="17">
        <v>44925</v>
      </c>
      <c r="TVN616" s="5" t="s">
        <v>3728</v>
      </c>
      <c r="TVO616" s="17">
        <v>44925</v>
      </c>
      <c r="TVP616" s="5" t="s">
        <v>3728</v>
      </c>
      <c r="TVQ616" s="17">
        <v>44925</v>
      </c>
      <c r="TVR616" s="5" t="s">
        <v>3728</v>
      </c>
      <c r="TVS616" s="17">
        <v>44925</v>
      </c>
      <c r="TVT616" s="5" t="s">
        <v>3728</v>
      </c>
      <c r="TVU616" s="17">
        <v>44925</v>
      </c>
      <c r="TVV616" s="5" t="s">
        <v>3728</v>
      </c>
      <c r="TVW616" s="17">
        <v>44925</v>
      </c>
      <c r="TVX616" s="5" t="s">
        <v>3728</v>
      </c>
      <c r="TVY616" s="17">
        <v>44925</v>
      </c>
      <c r="TVZ616" s="5" t="s">
        <v>3728</v>
      </c>
      <c r="TWA616" s="17">
        <v>44925</v>
      </c>
      <c r="TWB616" s="5" t="s">
        <v>3728</v>
      </c>
      <c r="TWC616" s="17">
        <v>44925</v>
      </c>
      <c r="TWD616" s="5" t="s">
        <v>3728</v>
      </c>
      <c r="TWE616" s="17">
        <v>44925</v>
      </c>
      <c r="TWF616" s="5" t="s">
        <v>3728</v>
      </c>
      <c r="TWG616" s="17">
        <v>44925</v>
      </c>
      <c r="TWH616" s="5" t="s">
        <v>3728</v>
      </c>
      <c r="TWI616" s="17">
        <v>44925</v>
      </c>
      <c r="TWJ616" s="5" t="s">
        <v>3728</v>
      </c>
      <c r="TWK616" s="17">
        <v>44925</v>
      </c>
      <c r="TWL616" s="5" t="s">
        <v>3728</v>
      </c>
      <c r="TWM616" s="17">
        <v>44925</v>
      </c>
      <c r="TWN616" s="5" t="s">
        <v>3728</v>
      </c>
      <c r="TWO616" s="17">
        <v>44925</v>
      </c>
      <c r="TWP616" s="5" t="s">
        <v>3728</v>
      </c>
      <c r="TWQ616" s="17">
        <v>44925</v>
      </c>
      <c r="TWR616" s="5" t="s">
        <v>3728</v>
      </c>
      <c r="TWS616" s="17">
        <v>44925</v>
      </c>
      <c r="TWT616" s="5" t="s">
        <v>3728</v>
      </c>
      <c r="TWU616" s="17">
        <v>44925</v>
      </c>
      <c r="TWV616" s="5" t="s">
        <v>3728</v>
      </c>
      <c r="TWW616" s="17">
        <v>44925</v>
      </c>
      <c r="TWX616" s="5" t="s">
        <v>3728</v>
      </c>
      <c r="TWY616" s="17">
        <v>44925</v>
      </c>
      <c r="TWZ616" s="5" t="s">
        <v>3728</v>
      </c>
      <c r="TXA616" s="17">
        <v>44925</v>
      </c>
      <c r="TXB616" s="5" t="s">
        <v>3728</v>
      </c>
      <c r="TXC616" s="17">
        <v>44925</v>
      </c>
      <c r="TXD616" s="5" t="s">
        <v>3728</v>
      </c>
      <c r="TXE616" s="17">
        <v>44925</v>
      </c>
      <c r="TXF616" s="5" t="s">
        <v>3728</v>
      </c>
      <c r="TXG616" s="17">
        <v>44925</v>
      </c>
      <c r="TXH616" s="5" t="s">
        <v>3728</v>
      </c>
      <c r="TXI616" s="17">
        <v>44925</v>
      </c>
      <c r="TXJ616" s="5" t="s">
        <v>3728</v>
      </c>
      <c r="TXK616" s="17">
        <v>44925</v>
      </c>
      <c r="TXL616" s="5" t="s">
        <v>3728</v>
      </c>
      <c r="TXM616" s="17">
        <v>44925</v>
      </c>
      <c r="TXN616" s="5" t="s">
        <v>3728</v>
      </c>
      <c r="TXO616" s="17">
        <v>44925</v>
      </c>
      <c r="TXP616" s="5" t="s">
        <v>3728</v>
      </c>
      <c r="TXQ616" s="17">
        <v>44925</v>
      </c>
      <c r="TXR616" s="5" t="s">
        <v>3728</v>
      </c>
      <c r="TXS616" s="17">
        <v>44925</v>
      </c>
      <c r="TXT616" s="5" t="s">
        <v>3728</v>
      </c>
      <c r="TXU616" s="17">
        <v>44925</v>
      </c>
      <c r="TXV616" s="5" t="s">
        <v>3728</v>
      </c>
      <c r="TXW616" s="17">
        <v>44925</v>
      </c>
      <c r="TXX616" s="5" t="s">
        <v>3728</v>
      </c>
      <c r="TXY616" s="17">
        <v>44925</v>
      </c>
      <c r="TXZ616" s="5" t="s">
        <v>3728</v>
      </c>
      <c r="TYA616" s="17">
        <v>44925</v>
      </c>
      <c r="TYB616" s="5" t="s">
        <v>3728</v>
      </c>
      <c r="TYC616" s="17">
        <v>44925</v>
      </c>
      <c r="TYD616" s="5" t="s">
        <v>3728</v>
      </c>
      <c r="TYE616" s="17">
        <v>44925</v>
      </c>
      <c r="TYF616" s="5" t="s">
        <v>3728</v>
      </c>
      <c r="TYG616" s="17">
        <v>44925</v>
      </c>
      <c r="TYH616" s="5" t="s">
        <v>3728</v>
      </c>
      <c r="TYI616" s="17">
        <v>44925</v>
      </c>
      <c r="TYJ616" s="5" t="s">
        <v>3728</v>
      </c>
      <c r="TYK616" s="17">
        <v>44925</v>
      </c>
      <c r="TYL616" s="5" t="s">
        <v>3728</v>
      </c>
      <c r="TYM616" s="17">
        <v>44925</v>
      </c>
      <c r="TYN616" s="5" t="s">
        <v>3728</v>
      </c>
      <c r="TYO616" s="17">
        <v>44925</v>
      </c>
      <c r="TYP616" s="5" t="s">
        <v>3728</v>
      </c>
      <c r="TYQ616" s="17">
        <v>44925</v>
      </c>
      <c r="TYR616" s="5" t="s">
        <v>3728</v>
      </c>
      <c r="TYS616" s="17">
        <v>44925</v>
      </c>
      <c r="TYT616" s="5" t="s">
        <v>3728</v>
      </c>
      <c r="TYU616" s="17">
        <v>44925</v>
      </c>
      <c r="TYV616" s="5" t="s">
        <v>3728</v>
      </c>
      <c r="TYW616" s="17">
        <v>44925</v>
      </c>
      <c r="TYX616" s="5" t="s">
        <v>3728</v>
      </c>
      <c r="TYY616" s="17">
        <v>44925</v>
      </c>
      <c r="TYZ616" s="5" t="s">
        <v>3728</v>
      </c>
      <c r="TZA616" s="17">
        <v>44925</v>
      </c>
      <c r="TZB616" s="5" t="s">
        <v>3728</v>
      </c>
      <c r="TZC616" s="17">
        <v>44925</v>
      </c>
      <c r="TZD616" s="5" t="s">
        <v>3728</v>
      </c>
      <c r="TZE616" s="17">
        <v>44925</v>
      </c>
      <c r="TZF616" s="5" t="s">
        <v>3728</v>
      </c>
      <c r="TZG616" s="17">
        <v>44925</v>
      </c>
      <c r="TZH616" s="5" t="s">
        <v>3728</v>
      </c>
      <c r="TZI616" s="17">
        <v>44925</v>
      </c>
      <c r="TZJ616" s="5" t="s">
        <v>3728</v>
      </c>
      <c r="TZK616" s="17">
        <v>44925</v>
      </c>
      <c r="TZL616" s="5" t="s">
        <v>3728</v>
      </c>
      <c r="TZM616" s="17">
        <v>44925</v>
      </c>
      <c r="TZN616" s="5" t="s">
        <v>3728</v>
      </c>
      <c r="TZO616" s="17">
        <v>44925</v>
      </c>
      <c r="TZP616" s="5" t="s">
        <v>3728</v>
      </c>
      <c r="TZQ616" s="17">
        <v>44925</v>
      </c>
      <c r="TZR616" s="5" t="s">
        <v>3728</v>
      </c>
      <c r="TZS616" s="17">
        <v>44925</v>
      </c>
      <c r="TZT616" s="5" t="s">
        <v>3728</v>
      </c>
      <c r="TZU616" s="17">
        <v>44925</v>
      </c>
      <c r="TZV616" s="5" t="s">
        <v>3728</v>
      </c>
      <c r="TZW616" s="17">
        <v>44925</v>
      </c>
      <c r="TZX616" s="5" t="s">
        <v>3728</v>
      </c>
      <c r="TZY616" s="17">
        <v>44925</v>
      </c>
      <c r="TZZ616" s="5" t="s">
        <v>3728</v>
      </c>
      <c r="UAA616" s="17">
        <v>44925</v>
      </c>
      <c r="UAB616" s="5" t="s">
        <v>3728</v>
      </c>
      <c r="UAC616" s="17">
        <v>44925</v>
      </c>
      <c r="UAD616" s="5" t="s">
        <v>3728</v>
      </c>
      <c r="UAE616" s="17">
        <v>44925</v>
      </c>
      <c r="UAF616" s="5" t="s">
        <v>3728</v>
      </c>
      <c r="UAG616" s="17">
        <v>44925</v>
      </c>
      <c r="UAH616" s="5" t="s">
        <v>3728</v>
      </c>
      <c r="UAI616" s="17">
        <v>44925</v>
      </c>
      <c r="UAJ616" s="5" t="s">
        <v>3728</v>
      </c>
      <c r="UAK616" s="17">
        <v>44925</v>
      </c>
      <c r="UAL616" s="5" t="s">
        <v>3728</v>
      </c>
      <c r="UAM616" s="17">
        <v>44925</v>
      </c>
      <c r="UAN616" s="5" t="s">
        <v>3728</v>
      </c>
      <c r="UAO616" s="17">
        <v>44925</v>
      </c>
      <c r="UAP616" s="5" t="s">
        <v>3728</v>
      </c>
      <c r="UAQ616" s="17">
        <v>44925</v>
      </c>
      <c r="UAR616" s="5" t="s">
        <v>3728</v>
      </c>
      <c r="UAS616" s="17">
        <v>44925</v>
      </c>
      <c r="UAT616" s="5" t="s">
        <v>3728</v>
      </c>
      <c r="UAU616" s="17">
        <v>44925</v>
      </c>
      <c r="UAV616" s="5" t="s">
        <v>3728</v>
      </c>
      <c r="UAW616" s="17">
        <v>44925</v>
      </c>
      <c r="UAX616" s="5" t="s">
        <v>3728</v>
      </c>
      <c r="UAY616" s="17">
        <v>44925</v>
      </c>
      <c r="UAZ616" s="5" t="s">
        <v>3728</v>
      </c>
      <c r="UBA616" s="17">
        <v>44925</v>
      </c>
      <c r="UBB616" s="5" t="s">
        <v>3728</v>
      </c>
      <c r="UBC616" s="17">
        <v>44925</v>
      </c>
      <c r="UBD616" s="5" t="s">
        <v>3728</v>
      </c>
      <c r="UBE616" s="17">
        <v>44925</v>
      </c>
      <c r="UBF616" s="5" t="s">
        <v>3728</v>
      </c>
      <c r="UBG616" s="17">
        <v>44925</v>
      </c>
      <c r="UBH616" s="5" t="s">
        <v>3728</v>
      </c>
      <c r="UBI616" s="17">
        <v>44925</v>
      </c>
      <c r="UBJ616" s="5" t="s">
        <v>3728</v>
      </c>
      <c r="UBK616" s="17">
        <v>44925</v>
      </c>
      <c r="UBL616" s="5" t="s">
        <v>3728</v>
      </c>
      <c r="UBM616" s="17">
        <v>44925</v>
      </c>
      <c r="UBN616" s="5" t="s">
        <v>3728</v>
      </c>
      <c r="UBO616" s="17">
        <v>44925</v>
      </c>
      <c r="UBP616" s="5" t="s">
        <v>3728</v>
      </c>
      <c r="UBQ616" s="17">
        <v>44925</v>
      </c>
      <c r="UBR616" s="5" t="s">
        <v>3728</v>
      </c>
      <c r="UBS616" s="17">
        <v>44925</v>
      </c>
      <c r="UBT616" s="5" t="s">
        <v>3728</v>
      </c>
      <c r="UBU616" s="17">
        <v>44925</v>
      </c>
      <c r="UBV616" s="5" t="s">
        <v>3728</v>
      </c>
      <c r="UBW616" s="17">
        <v>44925</v>
      </c>
      <c r="UBX616" s="5" t="s">
        <v>3728</v>
      </c>
      <c r="UBY616" s="17">
        <v>44925</v>
      </c>
      <c r="UBZ616" s="5" t="s">
        <v>3728</v>
      </c>
      <c r="UCA616" s="17">
        <v>44925</v>
      </c>
      <c r="UCB616" s="5" t="s">
        <v>3728</v>
      </c>
      <c r="UCC616" s="17">
        <v>44925</v>
      </c>
      <c r="UCD616" s="5" t="s">
        <v>3728</v>
      </c>
      <c r="UCE616" s="17">
        <v>44925</v>
      </c>
      <c r="UCF616" s="5" t="s">
        <v>3728</v>
      </c>
      <c r="UCG616" s="17">
        <v>44925</v>
      </c>
      <c r="UCH616" s="5" t="s">
        <v>3728</v>
      </c>
      <c r="UCI616" s="17">
        <v>44925</v>
      </c>
      <c r="UCJ616" s="5" t="s">
        <v>3728</v>
      </c>
      <c r="UCK616" s="17">
        <v>44925</v>
      </c>
      <c r="UCL616" s="5" t="s">
        <v>3728</v>
      </c>
      <c r="UCM616" s="17">
        <v>44925</v>
      </c>
      <c r="UCN616" s="5" t="s">
        <v>3728</v>
      </c>
      <c r="UCO616" s="17">
        <v>44925</v>
      </c>
      <c r="UCP616" s="5" t="s">
        <v>3728</v>
      </c>
      <c r="UCQ616" s="17">
        <v>44925</v>
      </c>
      <c r="UCR616" s="5" t="s">
        <v>3728</v>
      </c>
      <c r="UCS616" s="17">
        <v>44925</v>
      </c>
      <c r="UCT616" s="5" t="s">
        <v>3728</v>
      </c>
      <c r="UCU616" s="17">
        <v>44925</v>
      </c>
      <c r="UCV616" s="5" t="s">
        <v>3728</v>
      </c>
      <c r="UCW616" s="17">
        <v>44925</v>
      </c>
      <c r="UCX616" s="5" t="s">
        <v>3728</v>
      </c>
      <c r="UCY616" s="17">
        <v>44925</v>
      </c>
      <c r="UCZ616" s="5" t="s">
        <v>3728</v>
      </c>
      <c r="UDA616" s="17">
        <v>44925</v>
      </c>
      <c r="UDB616" s="5" t="s">
        <v>3728</v>
      </c>
      <c r="UDC616" s="17">
        <v>44925</v>
      </c>
      <c r="UDD616" s="5" t="s">
        <v>3728</v>
      </c>
      <c r="UDE616" s="17">
        <v>44925</v>
      </c>
      <c r="UDF616" s="5" t="s">
        <v>3728</v>
      </c>
      <c r="UDG616" s="17">
        <v>44925</v>
      </c>
      <c r="UDH616" s="5" t="s">
        <v>3728</v>
      </c>
      <c r="UDI616" s="17">
        <v>44925</v>
      </c>
      <c r="UDJ616" s="5" t="s">
        <v>3728</v>
      </c>
      <c r="UDK616" s="17">
        <v>44925</v>
      </c>
      <c r="UDL616" s="5" t="s">
        <v>3728</v>
      </c>
      <c r="UDM616" s="17">
        <v>44925</v>
      </c>
      <c r="UDN616" s="5" t="s">
        <v>3728</v>
      </c>
      <c r="UDO616" s="17">
        <v>44925</v>
      </c>
      <c r="UDP616" s="5" t="s">
        <v>3728</v>
      </c>
      <c r="UDQ616" s="17">
        <v>44925</v>
      </c>
      <c r="UDR616" s="5" t="s">
        <v>3728</v>
      </c>
      <c r="UDS616" s="17">
        <v>44925</v>
      </c>
      <c r="UDT616" s="5" t="s">
        <v>3728</v>
      </c>
      <c r="UDU616" s="17">
        <v>44925</v>
      </c>
      <c r="UDV616" s="5" t="s">
        <v>3728</v>
      </c>
      <c r="UDW616" s="17">
        <v>44925</v>
      </c>
      <c r="UDX616" s="5" t="s">
        <v>3728</v>
      </c>
      <c r="UDY616" s="17">
        <v>44925</v>
      </c>
      <c r="UDZ616" s="5" t="s">
        <v>3728</v>
      </c>
      <c r="UEA616" s="17">
        <v>44925</v>
      </c>
      <c r="UEB616" s="5" t="s">
        <v>3728</v>
      </c>
      <c r="UEC616" s="17">
        <v>44925</v>
      </c>
      <c r="UED616" s="5" t="s">
        <v>3728</v>
      </c>
      <c r="UEE616" s="17">
        <v>44925</v>
      </c>
      <c r="UEF616" s="5" t="s">
        <v>3728</v>
      </c>
      <c r="UEG616" s="17">
        <v>44925</v>
      </c>
      <c r="UEH616" s="5" t="s">
        <v>3728</v>
      </c>
      <c r="UEI616" s="17">
        <v>44925</v>
      </c>
      <c r="UEJ616" s="5" t="s">
        <v>3728</v>
      </c>
      <c r="UEK616" s="17">
        <v>44925</v>
      </c>
      <c r="UEL616" s="5" t="s">
        <v>3728</v>
      </c>
      <c r="UEM616" s="17">
        <v>44925</v>
      </c>
      <c r="UEN616" s="5" t="s">
        <v>3728</v>
      </c>
      <c r="UEO616" s="17">
        <v>44925</v>
      </c>
      <c r="UEP616" s="5" t="s">
        <v>3728</v>
      </c>
      <c r="UEQ616" s="17">
        <v>44925</v>
      </c>
      <c r="UER616" s="5" t="s">
        <v>3728</v>
      </c>
      <c r="UES616" s="17">
        <v>44925</v>
      </c>
      <c r="UET616" s="5" t="s">
        <v>3728</v>
      </c>
      <c r="UEU616" s="17">
        <v>44925</v>
      </c>
      <c r="UEV616" s="5" t="s">
        <v>3728</v>
      </c>
      <c r="UEW616" s="17">
        <v>44925</v>
      </c>
      <c r="UEX616" s="5" t="s">
        <v>3728</v>
      </c>
      <c r="UEY616" s="17">
        <v>44925</v>
      </c>
      <c r="UEZ616" s="5" t="s">
        <v>3728</v>
      </c>
      <c r="UFA616" s="17">
        <v>44925</v>
      </c>
      <c r="UFB616" s="5" t="s">
        <v>3728</v>
      </c>
      <c r="UFC616" s="17">
        <v>44925</v>
      </c>
      <c r="UFD616" s="5" t="s">
        <v>3728</v>
      </c>
      <c r="UFE616" s="17">
        <v>44925</v>
      </c>
      <c r="UFF616" s="5" t="s">
        <v>3728</v>
      </c>
      <c r="UFG616" s="17">
        <v>44925</v>
      </c>
      <c r="UFH616" s="5" t="s">
        <v>3728</v>
      </c>
      <c r="UFI616" s="17">
        <v>44925</v>
      </c>
      <c r="UFJ616" s="5" t="s">
        <v>3728</v>
      </c>
      <c r="UFK616" s="17">
        <v>44925</v>
      </c>
      <c r="UFL616" s="5" t="s">
        <v>3728</v>
      </c>
      <c r="UFM616" s="17">
        <v>44925</v>
      </c>
      <c r="UFN616" s="5" t="s">
        <v>3728</v>
      </c>
      <c r="UFO616" s="17">
        <v>44925</v>
      </c>
      <c r="UFP616" s="5" t="s">
        <v>3728</v>
      </c>
      <c r="UFQ616" s="17">
        <v>44925</v>
      </c>
      <c r="UFR616" s="5" t="s">
        <v>3728</v>
      </c>
      <c r="UFS616" s="17">
        <v>44925</v>
      </c>
      <c r="UFT616" s="5" t="s">
        <v>3728</v>
      </c>
      <c r="UFU616" s="17">
        <v>44925</v>
      </c>
      <c r="UFV616" s="5" t="s">
        <v>3728</v>
      </c>
      <c r="UFW616" s="17">
        <v>44925</v>
      </c>
      <c r="UFX616" s="5" t="s">
        <v>3728</v>
      </c>
      <c r="UFY616" s="17">
        <v>44925</v>
      </c>
      <c r="UFZ616" s="5" t="s">
        <v>3728</v>
      </c>
      <c r="UGA616" s="17">
        <v>44925</v>
      </c>
      <c r="UGB616" s="5" t="s">
        <v>3728</v>
      </c>
      <c r="UGC616" s="17">
        <v>44925</v>
      </c>
      <c r="UGD616" s="5" t="s">
        <v>3728</v>
      </c>
      <c r="UGE616" s="17">
        <v>44925</v>
      </c>
      <c r="UGF616" s="5" t="s">
        <v>3728</v>
      </c>
      <c r="UGG616" s="17">
        <v>44925</v>
      </c>
      <c r="UGH616" s="5" t="s">
        <v>3728</v>
      </c>
      <c r="UGI616" s="17">
        <v>44925</v>
      </c>
      <c r="UGJ616" s="5" t="s">
        <v>3728</v>
      </c>
      <c r="UGK616" s="17">
        <v>44925</v>
      </c>
      <c r="UGL616" s="5" t="s">
        <v>3728</v>
      </c>
      <c r="UGM616" s="17">
        <v>44925</v>
      </c>
      <c r="UGN616" s="5" t="s">
        <v>3728</v>
      </c>
      <c r="UGO616" s="17">
        <v>44925</v>
      </c>
      <c r="UGP616" s="5" t="s">
        <v>3728</v>
      </c>
      <c r="UGQ616" s="17">
        <v>44925</v>
      </c>
      <c r="UGR616" s="5" t="s">
        <v>3728</v>
      </c>
      <c r="UGS616" s="17">
        <v>44925</v>
      </c>
      <c r="UGT616" s="5" t="s">
        <v>3728</v>
      </c>
      <c r="UGU616" s="17">
        <v>44925</v>
      </c>
      <c r="UGV616" s="5" t="s">
        <v>3728</v>
      </c>
      <c r="UGW616" s="17">
        <v>44925</v>
      </c>
      <c r="UGX616" s="5" t="s">
        <v>3728</v>
      </c>
      <c r="UGY616" s="17">
        <v>44925</v>
      </c>
      <c r="UGZ616" s="5" t="s">
        <v>3728</v>
      </c>
      <c r="UHA616" s="17">
        <v>44925</v>
      </c>
      <c r="UHB616" s="5" t="s">
        <v>3728</v>
      </c>
      <c r="UHC616" s="17">
        <v>44925</v>
      </c>
      <c r="UHD616" s="5" t="s">
        <v>3728</v>
      </c>
      <c r="UHE616" s="17">
        <v>44925</v>
      </c>
      <c r="UHF616" s="5" t="s">
        <v>3728</v>
      </c>
      <c r="UHG616" s="17">
        <v>44925</v>
      </c>
      <c r="UHH616" s="5" t="s">
        <v>3728</v>
      </c>
      <c r="UHI616" s="17">
        <v>44925</v>
      </c>
      <c r="UHJ616" s="5" t="s">
        <v>3728</v>
      </c>
      <c r="UHK616" s="17">
        <v>44925</v>
      </c>
      <c r="UHL616" s="5" t="s">
        <v>3728</v>
      </c>
      <c r="UHM616" s="17">
        <v>44925</v>
      </c>
      <c r="UHN616" s="5" t="s">
        <v>3728</v>
      </c>
      <c r="UHO616" s="17">
        <v>44925</v>
      </c>
      <c r="UHP616" s="5" t="s">
        <v>3728</v>
      </c>
      <c r="UHQ616" s="17">
        <v>44925</v>
      </c>
      <c r="UHR616" s="5" t="s">
        <v>3728</v>
      </c>
      <c r="UHS616" s="17">
        <v>44925</v>
      </c>
      <c r="UHT616" s="5" t="s">
        <v>3728</v>
      </c>
      <c r="UHU616" s="17">
        <v>44925</v>
      </c>
      <c r="UHV616" s="5" t="s">
        <v>3728</v>
      </c>
      <c r="UHW616" s="17">
        <v>44925</v>
      </c>
      <c r="UHX616" s="5" t="s">
        <v>3728</v>
      </c>
      <c r="UHY616" s="17">
        <v>44925</v>
      </c>
      <c r="UHZ616" s="5" t="s">
        <v>3728</v>
      </c>
      <c r="UIA616" s="17">
        <v>44925</v>
      </c>
      <c r="UIB616" s="5" t="s">
        <v>3728</v>
      </c>
      <c r="UIC616" s="17">
        <v>44925</v>
      </c>
      <c r="UID616" s="5" t="s">
        <v>3728</v>
      </c>
      <c r="UIE616" s="17">
        <v>44925</v>
      </c>
      <c r="UIF616" s="5" t="s">
        <v>3728</v>
      </c>
      <c r="UIG616" s="17">
        <v>44925</v>
      </c>
      <c r="UIH616" s="5" t="s">
        <v>3728</v>
      </c>
      <c r="UII616" s="17">
        <v>44925</v>
      </c>
      <c r="UIJ616" s="5" t="s">
        <v>3728</v>
      </c>
      <c r="UIK616" s="17">
        <v>44925</v>
      </c>
      <c r="UIL616" s="5" t="s">
        <v>3728</v>
      </c>
      <c r="UIM616" s="17">
        <v>44925</v>
      </c>
      <c r="UIN616" s="5" t="s">
        <v>3728</v>
      </c>
      <c r="UIO616" s="17">
        <v>44925</v>
      </c>
      <c r="UIP616" s="5" t="s">
        <v>3728</v>
      </c>
      <c r="UIQ616" s="17">
        <v>44925</v>
      </c>
      <c r="UIR616" s="5" t="s">
        <v>3728</v>
      </c>
      <c r="UIS616" s="17">
        <v>44925</v>
      </c>
      <c r="UIT616" s="5" t="s">
        <v>3728</v>
      </c>
      <c r="UIU616" s="17">
        <v>44925</v>
      </c>
      <c r="UIV616" s="5" t="s">
        <v>3728</v>
      </c>
      <c r="UIW616" s="17">
        <v>44925</v>
      </c>
      <c r="UIX616" s="5" t="s">
        <v>3728</v>
      </c>
      <c r="UIY616" s="17">
        <v>44925</v>
      </c>
      <c r="UIZ616" s="5" t="s">
        <v>3728</v>
      </c>
      <c r="UJA616" s="17">
        <v>44925</v>
      </c>
      <c r="UJB616" s="5" t="s">
        <v>3728</v>
      </c>
      <c r="UJC616" s="17">
        <v>44925</v>
      </c>
      <c r="UJD616" s="5" t="s">
        <v>3728</v>
      </c>
      <c r="UJE616" s="17">
        <v>44925</v>
      </c>
      <c r="UJF616" s="5" t="s">
        <v>3728</v>
      </c>
      <c r="UJG616" s="17">
        <v>44925</v>
      </c>
      <c r="UJH616" s="5" t="s">
        <v>3728</v>
      </c>
      <c r="UJI616" s="17">
        <v>44925</v>
      </c>
      <c r="UJJ616" s="5" t="s">
        <v>3728</v>
      </c>
      <c r="UJK616" s="17">
        <v>44925</v>
      </c>
      <c r="UJL616" s="5" t="s">
        <v>3728</v>
      </c>
      <c r="UJM616" s="17">
        <v>44925</v>
      </c>
      <c r="UJN616" s="5" t="s">
        <v>3728</v>
      </c>
      <c r="UJO616" s="17">
        <v>44925</v>
      </c>
      <c r="UJP616" s="5" t="s">
        <v>3728</v>
      </c>
      <c r="UJQ616" s="17">
        <v>44925</v>
      </c>
      <c r="UJR616" s="5" t="s">
        <v>3728</v>
      </c>
      <c r="UJS616" s="17">
        <v>44925</v>
      </c>
      <c r="UJT616" s="5" t="s">
        <v>3728</v>
      </c>
      <c r="UJU616" s="17">
        <v>44925</v>
      </c>
      <c r="UJV616" s="5" t="s">
        <v>3728</v>
      </c>
      <c r="UJW616" s="17">
        <v>44925</v>
      </c>
      <c r="UJX616" s="5" t="s">
        <v>3728</v>
      </c>
      <c r="UJY616" s="17">
        <v>44925</v>
      </c>
      <c r="UJZ616" s="5" t="s">
        <v>3728</v>
      </c>
      <c r="UKA616" s="17">
        <v>44925</v>
      </c>
      <c r="UKB616" s="5" t="s">
        <v>3728</v>
      </c>
      <c r="UKC616" s="17">
        <v>44925</v>
      </c>
      <c r="UKD616" s="5" t="s">
        <v>3728</v>
      </c>
      <c r="UKE616" s="17">
        <v>44925</v>
      </c>
      <c r="UKF616" s="5" t="s">
        <v>3728</v>
      </c>
      <c r="UKG616" s="17">
        <v>44925</v>
      </c>
      <c r="UKH616" s="5" t="s">
        <v>3728</v>
      </c>
      <c r="UKI616" s="17">
        <v>44925</v>
      </c>
      <c r="UKJ616" s="5" t="s">
        <v>3728</v>
      </c>
      <c r="UKK616" s="17">
        <v>44925</v>
      </c>
      <c r="UKL616" s="5" t="s">
        <v>3728</v>
      </c>
      <c r="UKM616" s="17">
        <v>44925</v>
      </c>
      <c r="UKN616" s="5" t="s">
        <v>3728</v>
      </c>
      <c r="UKO616" s="17">
        <v>44925</v>
      </c>
      <c r="UKP616" s="5" t="s">
        <v>3728</v>
      </c>
      <c r="UKQ616" s="17">
        <v>44925</v>
      </c>
      <c r="UKR616" s="5" t="s">
        <v>3728</v>
      </c>
      <c r="UKS616" s="17">
        <v>44925</v>
      </c>
      <c r="UKT616" s="5" t="s">
        <v>3728</v>
      </c>
      <c r="UKU616" s="17">
        <v>44925</v>
      </c>
      <c r="UKV616" s="5" t="s">
        <v>3728</v>
      </c>
      <c r="UKW616" s="17">
        <v>44925</v>
      </c>
      <c r="UKX616" s="5" t="s">
        <v>3728</v>
      </c>
      <c r="UKY616" s="17">
        <v>44925</v>
      </c>
      <c r="UKZ616" s="5" t="s">
        <v>3728</v>
      </c>
      <c r="ULA616" s="17">
        <v>44925</v>
      </c>
      <c r="ULB616" s="5" t="s">
        <v>3728</v>
      </c>
      <c r="ULC616" s="17">
        <v>44925</v>
      </c>
      <c r="ULD616" s="5" t="s">
        <v>3728</v>
      </c>
      <c r="ULE616" s="17">
        <v>44925</v>
      </c>
      <c r="ULF616" s="5" t="s">
        <v>3728</v>
      </c>
      <c r="ULG616" s="17">
        <v>44925</v>
      </c>
      <c r="ULH616" s="5" t="s">
        <v>3728</v>
      </c>
      <c r="ULI616" s="17">
        <v>44925</v>
      </c>
      <c r="ULJ616" s="5" t="s">
        <v>3728</v>
      </c>
      <c r="ULK616" s="17">
        <v>44925</v>
      </c>
      <c r="ULL616" s="5" t="s">
        <v>3728</v>
      </c>
      <c r="ULM616" s="17">
        <v>44925</v>
      </c>
      <c r="ULN616" s="5" t="s">
        <v>3728</v>
      </c>
      <c r="ULO616" s="17">
        <v>44925</v>
      </c>
      <c r="ULP616" s="5" t="s">
        <v>3728</v>
      </c>
      <c r="ULQ616" s="17">
        <v>44925</v>
      </c>
      <c r="ULR616" s="5" t="s">
        <v>3728</v>
      </c>
      <c r="ULS616" s="17">
        <v>44925</v>
      </c>
      <c r="ULT616" s="5" t="s">
        <v>3728</v>
      </c>
      <c r="ULU616" s="17">
        <v>44925</v>
      </c>
      <c r="ULV616" s="5" t="s">
        <v>3728</v>
      </c>
      <c r="ULW616" s="17">
        <v>44925</v>
      </c>
      <c r="ULX616" s="5" t="s">
        <v>3728</v>
      </c>
      <c r="ULY616" s="17">
        <v>44925</v>
      </c>
      <c r="ULZ616" s="5" t="s">
        <v>3728</v>
      </c>
      <c r="UMA616" s="17">
        <v>44925</v>
      </c>
      <c r="UMB616" s="5" t="s">
        <v>3728</v>
      </c>
      <c r="UMC616" s="17">
        <v>44925</v>
      </c>
      <c r="UMD616" s="5" t="s">
        <v>3728</v>
      </c>
      <c r="UME616" s="17">
        <v>44925</v>
      </c>
      <c r="UMF616" s="5" t="s">
        <v>3728</v>
      </c>
      <c r="UMG616" s="17">
        <v>44925</v>
      </c>
      <c r="UMH616" s="5" t="s">
        <v>3728</v>
      </c>
      <c r="UMI616" s="17">
        <v>44925</v>
      </c>
      <c r="UMJ616" s="5" t="s">
        <v>3728</v>
      </c>
      <c r="UMK616" s="17">
        <v>44925</v>
      </c>
      <c r="UML616" s="5" t="s">
        <v>3728</v>
      </c>
      <c r="UMM616" s="17">
        <v>44925</v>
      </c>
      <c r="UMN616" s="5" t="s">
        <v>3728</v>
      </c>
      <c r="UMO616" s="17">
        <v>44925</v>
      </c>
      <c r="UMP616" s="5" t="s">
        <v>3728</v>
      </c>
      <c r="UMQ616" s="17">
        <v>44925</v>
      </c>
      <c r="UMR616" s="5" t="s">
        <v>3728</v>
      </c>
      <c r="UMS616" s="17">
        <v>44925</v>
      </c>
      <c r="UMT616" s="5" t="s">
        <v>3728</v>
      </c>
      <c r="UMU616" s="17">
        <v>44925</v>
      </c>
      <c r="UMV616" s="5" t="s">
        <v>3728</v>
      </c>
      <c r="UMW616" s="17">
        <v>44925</v>
      </c>
      <c r="UMX616" s="5" t="s">
        <v>3728</v>
      </c>
      <c r="UMY616" s="17">
        <v>44925</v>
      </c>
      <c r="UMZ616" s="5" t="s">
        <v>3728</v>
      </c>
      <c r="UNA616" s="17">
        <v>44925</v>
      </c>
      <c r="UNB616" s="5" t="s">
        <v>3728</v>
      </c>
      <c r="UNC616" s="17">
        <v>44925</v>
      </c>
      <c r="UND616" s="5" t="s">
        <v>3728</v>
      </c>
      <c r="UNE616" s="17">
        <v>44925</v>
      </c>
      <c r="UNF616" s="5" t="s">
        <v>3728</v>
      </c>
      <c r="UNG616" s="17">
        <v>44925</v>
      </c>
      <c r="UNH616" s="5" t="s">
        <v>3728</v>
      </c>
      <c r="UNI616" s="17">
        <v>44925</v>
      </c>
      <c r="UNJ616" s="5" t="s">
        <v>3728</v>
      </c>
      <c r="UNK616" s="17">
        <v>44925</v>
      </c>
      <c r="UNL616" s="5" t="s">
        <v>3728</v>
      </c>
      <c r="UNM616" s="17">
        <v>44925</v>
      </c>
      <c r="UNN616" s="5" t="s">
        <v>3728</v>
      </c>
      <c r="UNO616" s="17">
        <v>44925</v>
      </c>
      <c r="UNP616" s="5" t="s">
        <v>3728</v>
      </c>
      <c r="UNQ616" s="17">
        <v>44925</v>
      </c>
      <c r="UNR616" s="5" t="s">
        <v>3728</v>
      </c>
      <c r="UNS616" s="17">
        <v>44925</v>
      </c>
      <c r="UNT616" s="5" t="s">
        <v>3728</v>
      </c>
      <c r="UNU616" s="17">
        <v>44925</v>
      </c>
      <c r="UNV616" s="5" t="s">
        <v>3728</v>
      </c>
      <c r="UNW616" s="17">
        <v>44925</v>
      </c>
      <c r="UNX616" s="5" t="s">
        <v>3728</v>
      </c>
      <c r="UNY616" s="17">
        <v>44925</v>
      </c>
      <c r="UNZ616" s="5" t="s">
        <v>3728</v>
      </c>
      <c r="UOA616" s="17">
        <v>44925</v>
      </c>
      <c r="UOB616" s="5" t="s">
        <v>3728</v>
      </c>
      <c r="UOC616" s="17">
        <v>44925</v>
      </c>
      <c r="UOD616" s="5" t="s">
        <v>3728</v>
      </c>
      <c r="UOE616" s="17">
        <v>44925</v>
      </c>
      <c r="UOF616" s="5" t="s">
        <v>3728</v>
      </c>
      <c r="UOG616" s="17">
        <v>44925</v>
      </c>
      <c r="UOH616" s="5" t="s">
        <v>3728</v>
      </c>
      <c r="UOI616" s="17">
        <v>44925</v>
      </c>
      <c r="UOJ616" s="5" t="s">
        <v>3728</v>
      </c>
      <c r="UOK616" s="17">
        <v>44925</v>
      </c>
      <c r="UOL616" s="5" t="s">
        <v>3728</v>
      </c>
      <c r="UOM616" s="17">
        <v>44925</v>
      </c>
      <c r="UON616" s="5" t="s">
        <v>3728</v>
      </c>
      <c r="UOO616" s="17">
        <v>44925</v>
      </c>
      <c r="UOP616" s="5" t="s">
        <v>3728</v>
      </c>
      <c r="UOQ616" s="17">
        <v>44925</v>
      </c>
      <c r="UOR616" s="5" t="s">
        <v>3728</v>
      </c>
      <c r="UOS616" s="17">
        <v>44925</v>
      </c>
      <c r="UOT616" s="5" t="s">
        <v>3728</v>
      </c>
      <c r="UOU616" s="17">
        <v>44925</v>
      </c>
      <c r="UOV616" s="5" t="s">
        <v>3728</v>
      </c>
      <c r="UOW616" s="17">
        <v>44925</v>
      </c>
      <c r="UOX616" s="5" t="s">
        <v>3728</v>
      </c>
      <c r="UOY616" s="17">
        <v>44925</v>
      </c>
      <c r="UOZ616" s="5" t="s">
        <v>3728</v>
      </c>
      <c r="UPA616" s="17">
        <v>44925</v>
      </c>
      <c r="UPB616" s="5" t="s">
        <v>3728</v>
      </c>
      <c r="UPC616" s="17">
        <v>44925</v>
      </c>
      <c r="UPD616" s="5" t="s">
        <v>3728</v>
      </c>
      <c r="UPE616" s="17">
        <v>44925</v>
      </c>
      <c r="UPF616" s="5" t="s">
        <v>3728</v>
      </c>
      <c r="UPG616" s="17">
        <v>44925</v>
      </c>
      <c r="UPH616" s="5" t="s">
        <v>3728</v>
      </c>
      <c r="UPI616" s="17">
        <v>44925</v>
      </c>
      <c r="UPJ616" s="5" t="s">
        <v>3728</v>
      </c>
      <c r="UPK616" s="17">
        <v>44925</v>
      </c>
      <c r="UPL616" s="5" t="s">
        <v>3728</v>
      </c>
      <c r="UPM616" s="17">
        <v>44925</v>
      </c>
      <c r="UPN616" s="5" t="s">
        <v>3728</v>
      </c>
      <c r="UPO616" s="17">
        <v>44925</v>
      </c>
      <c r="UPP616" s="5" t="s">
        <v>3728</v>
      </c>
      <c r="UPQ616" s="17">
        <v>44925</v>
      </c>
      <c r="UPR616" s="5" t="s">
        <v>3728</v>
      </c>
      <c r="UPS616" s="17">
        <v>44925</v>
      </c>
      <c r="UPT616" s="5" t="s">
        <v>3728</v>
      </c>
      <c r="UPU616" s="17">
        <v>44925</v>
      </c>
      <c r="UPV616" s="5" t="s">
        <v>3728</v>
      </c>
      <c r="UPW616" s="17">
        <v>44925</v>
      </c>
      <c r="UPX616" s="5" t="s">
        <v>3728</v>
      </c>
      <c r="UPY616" s="17">
        <v>44925</v>
      </c>
      <c r="UPZ616" s="5" t="s">
        <v>3728</v>
      </c>
      <c r="UQA616" s="17">
        <v>44925</v>
      </c>
      <c r="UQB616" s="5" t="s">
        <v>3728</v>
      </c>
      <c r="UQC616" s="17">
        <v>44925</v>
      </c>
      <c r="UQD616" s="5" t="s">
        <v>3728</v>
      </c>
      <c r="UQE616" s="17">
        <v>44925</v>
      </c>
      <c r="UQF616" s="5" t="s">
        <v>3728</v>
      </c>
      <c r="UQG616" s="17">
        <v>44925</v>
      </c>
      <c r="UQH616" s="5" t="s">
        <v>3728</v>
      </c>
      <c r="UQI616" s="17">
        <v>44925</v>
      </c>
      <c r="UQJ616" s="5" t="s">
        <v>3728</v>
      </c>
      <c r="UQK616" s="17">
        <v>44925</v>
      </c>
      <c r="UQL616" s="5" t="s">
        <v>3728</v>
      </c>
      <c r="UQM616" s="17">
        <v>44925</v>
      </c>
      <c r="UQN616" s="5" t="s">
        <v>3728</v>
      </c>
      <c r="UQO616" s="17">
        <v>44925</v>
      </c>
      <c r="UQP616" s="5" t="s">
        <v>3728</v>
      </c>
      <c r="UQQ616" s="17">
        <v>44925</v>
      </c>
      <c r="UQR616" s="5" t="s">
        <v>3728</v>
      </c>
      <c r="UQS616" s="17">
        <v>44925</v>
      </c>
      <c r="UQT616" s="5" t="s">
        <v>3728</v>
      </c>
      <c r="UQU616" s="17">
        <v>44925</v>
      </c>
      <c r="UQV616" s="5" t="s">
        <v>3728</v>
      </c>
      <c r="UQW616" s="17">
        <v>44925</v>
      </c>
      <c r="UQX616" s="5" t="s">
        <v>3728</v>
      </c>
      <c r="UQY616" s="17">
        <v>44925</v>
      </c>
      <c r="UQZ616" s="5" t="s">
        <v>3728</v>
      </c>
      <c r="URA616" s="17">
        <v>44925</v>
      </c>
      <c r="URB616" s="5" t="s">
        <v>3728</v>
      </c>
      <c r="URC616" s="17">
        <v>44925</v>
      </c>
      <c r="URD616" s="5" t="s">
        <v>3728</v>
      </c>
      <c r="URE616" s="17">
        <v>44925</v>
      </c>
      <c r="URF616" s="5" t="s">
        <v>3728</v>
      </c>
      <c r="URG616" s="17">
        <v>44925</v>
      </c>
      <c r="URH616" s="5" t="s">
        <v>3728</v>
      </c>
      <c r="URI616" s="17">
        <v>44925</v>
      </c>
      <c r="URJ616" s="5" t="s">
        <v>3728</v>
      </c>
      <c r="URK616" s="17">
        <v>44925</v>
      </c>
      <c r="URL616" s="5" t="s">
        <v>3728</v>
      </c>
      <c r="URM616" s="17">
        <v>44925</v>
      </c>
      <c r="URN616" s="5" t="s">
        <v>3728</v>
      </c>
      <c r="URO616" s="17">
        <v>44925</v>
      </c>
      <c r="URP616" s="5" t="s">
        <v>3728</v>
      </c>
      <c r="URQ616" s="17">
        <v>44925</v>
      </c>
      <c r="URR616" s="5" t="s">
        <v>3728</v>
      </c>
      <c r="URS616" s="17">
        <v>44925</v>
      </c>
      <c r="URT616" s="5" t="s">
        <v>3728</v>
      </c>
      <c r="URU616" s="17">
        <v>44925</v>
      </c>
      <c r="URV616" s="5" t="s">
        <v>3728</v>
      </c>
      <c r="URW616" s="17">
        <v>44925</v>
      </c>
      <c r="URX616" s="5" t="s">
        <v>3728</v>
      </c>
      <c r="URY616" s="17">
        <v>44925</v>
      </c>
      <c r="URZ616" s="5" t="s">
        <v>3728</v>
      </c>
      <c r="USA616" s="17">
        <v>44925</v>
      </c>
      <c r="USB616" s="5" t="s">
        <v>3728</v>
      </c>
      <c r="USC616" s="17">
        <v>44925</v>
      </c>
      <c r="USD616" s="5" t="s">
        <v>3728</v>
      </c>
      <c r="USE616" s="17">
        <v>44925</v>
      </c>
      <c r="USF616" s="5" t="s">
        <v>3728</v>
      </c>
      <c r="USG616" s="17">
        <v>44925</v>
      </c>
      <c r="USH616" s="5" t="s">
        <v>3728</v>
      </c>
      <c r="USI616" s="17">
        <v>44925</v>
      </c>
      <c r="USJ616" s="5" t="s">
        <v>3728</v>
      </c>
      <c r="USK616" s="17">
        <v>44925</v>
      </c>
      <c r="USL616" s="5" t="s">
        <v>3728</v>
      </c>
      <c r="USM616" s="17">
        <v>44925</v>
      </c>
      <c r="USN616" s="5" t="s">
        <v>3728</v>
      </c>
      <c r="USO616" s="17">
        <v>44925</v>
      </c>
      <c r="USP616" s="5" t="s">
        <v>3728</v>
      </c>
      <c r="USQ616" s="17">
        <v>44925</v>
      </c>
      <c r="USR616" s="5" t="s">
        <v>3728</v>
      </c>
      <c r="USS616" s="17">
        <v>44925</v>
      </c>
      <c r="UST616" s="5" t="s">
        <v>3728</v>
      </c>
      <c r="USU616" s="17">
        <v>44925</v>
      </c>
      <c r="USV616" s="5" t="s">
        <v>3728</v>
      </c>
      <c r="USW616" s="17">
        <v>44925</v>
      </c>
      <c r="USX616" s="5" t="s">
        <v>3728</v>
      </c>
      <c r="USY616" s="17">
        <v>44925</v>
      </c>
      <c r="USZ616" s="5" t="s">
        <v>3728</v>
      </c>
      <c r="UTA616" s="17">
        <v>44925</v>
      </c>
      <c r="UTB616" s="5" t="s">
        <v>3728</v>
      </c>
      <c r="UTC616" s="17">
        <v>44925</v>
      </c>
      <c r="UTD616" s="5" t="s">
        <v>3728</v>
      </c>
      <c r="UTE616" s="17">
        <v>44925</v>
      </c>
      <c r="UTF616" s="5" t="s">
        <v>3728</v>
      </c>
      <c r="UTG616" s="17">
        <v>44925</v>
      </c>
      <c r="UTH616" s="5" t="s">
        <v>3728</v>
      </c>
      <c r="UTI616" s="17">
        <v>44925</v>
      </c>
      <c r="UTJ616" s="5" t="s">
        <v>3728</v>
      </c>
      <c r="UTK616" s="17">
        <v>44925</v>
      </c>
      <c r="UTL616" s="5" t="s">
        <v>3728</v>
      </c>
      <c r="UTM616" s="17">
        <v>44925</v>
      </c>
      <c r="UTN616" s="5" t="s">
        <v>3728</v>
      </c>
      <c r="UTO616" s="17">
        <v>44925</v>
      </c>
      <c r="UTP616" s="5" t="s">
        <v>3728</v>
      </c>
      <c r="UTQ616" s="17">
        <v>44925</v>
      </c>
      <c r="UTR616" s="5" t="s">
        <v>3728</v>
      </c>
      <c r="UTS616" s="17">
        <v>44925</v>
      </c>
      <c r="UTT616" s="5" t="s">
        <v>3728</v>
      </c>
      <c r="UTU616" s="17">
        <v>44925</v>
      </c>
      <c r="UTV616" s="5" t="s">
        <v>3728</v>
      </c>
      <c r="UTW616" s="17">
        <v>44925</v>
      </c>
      <c r="UTX616" s="5" t="s">
        <v>3728</v>
      </c>
      <c r="UTY616" s="17">
        <v>44925</v>
      </c>
      <c r="UTZ616" s="5" t="s">
        <v>3728</v>
      </c>
      <c r="UUA616" s="17">
        <v>44925</v>
      </c>
      <c r="UUB616" s="5" t="s">
        <v>3728</v>
      </c>
      <c r="UUC616" s="17">
        <v>44925</v>
      </c>
      <c r="UUD616" s="5" t="s">
        <v>3728</v>
      </c>
      <c r="UUE616" s="17">
        <v>44925</v>
      </c>
      <c r="UUF616" s="5" t="s">
        <v>3728</v>
      </c>
      <c r="UUG616" s="17">
        <v>44925</v>
      </c>
      <c r="UUH616" s="5" t="s">
        <v>3728</v>
      </c>
      <c r="UUI616" s="17">
        <v>44925</v>
      </c>
      <c r="UUJ616" s="5" t="s">
        <v>3728</v>
      </c>
      <c r="UUK616" s="17">
        <v>44925</v>
      </c>
      <c r="UUL616" s="5" t="s">
        <v>3728</v>
      </c>
      <c r="UUM616" s="17">
        <v>44925</v>
      </c>
      <c r="UUN616" s="5" t="s">
        <v>3728</v>
      </c>
      <c r="UUO616" s="17">
        <v>44925</v>
      </c>
      <c r="UUP616" s="5" t="s">
        <v>3728</v>
      </c>
      <c r="UUQ616" s="17">
        <v>44925</v>
      </c>
      <c r="UUR616" s="5" t="s">
        <v>3728</v>
      </c>
      <c r="UUS616" s="17">
        <v>44925</v>
      </c>
      <c r="UUT616" s="5" t="s">
        <v>3728</v>
      </c>
      <c r="UUU616" s="17">
        <v>44925</v>
      </c>
      <c r="UUV616" s="5" t="s">
        <v>3728</v>
      </c>
      <c r="UUW616" s="17">
        <v>44925</v>
      </c>
      <c r="UUX616" s="5" t="s">
        <v>3728</v>
      </c>
      <c r="UUY616" s="17">
        <v>44925</v>
      </c>
      <c r="UUZ616" s="5" t="s">
        <v>3728</v>
      </c>
      <c r="UVA616" s="17">
        <v>44925</v>
      </c>
      <c r="UVB616" s="5" t="s">
        <v>3728</v>
      </c>
      <c r="UVC616" s="17">
        <v>44925</v>
      </c>
      <c r="UVD616" s="5" t="s">
        <v>3728</v>
      </c>
      <c r="UVE616" s="17">
        <v>44925</v>
      </c>
      <c r="UVF616" s="5" t="s">
        <v>3728</v>
      </c>
      <c r="UVG616" s="17">
        <v>44925</v>
      </c>
      <c r="UVH616" s="5" t="s">
        <v>3728</v>
      </c>
      <c r="UVI616" s="17">
        <v>44925</v>
      </c>
      <c r="UVJ616" s="5" t="s">
        <v>3728</v>
      </c>
      <c r="UVK616" s="17">
        <v>44925</v>
      </c>
      <c r="UVL616" s="5" t="s">
        <v>3728</v>
      </c>
      <c r="UVM616" s="17">
        <v>44925</v>
      </c>
      <c r="UVN616" s="5" t="s">
        <v>3728</v>
      </c>
      <c r="UVO616" s="17">
        <v>44925</v>
      </c>
      <c r="UVP616" s="5" t="s">
        <v>3728</v>
      </c>
      <c r="UVQ616" s="17">
        <v>44925</v>
      </c>
      <c r="UVR616" s="5" t="s">
        <v>3728</v>
      </c>
      <c r="UVS616" s="17">
        <v>44925</v>
      </c>
      <c r="UVT616" s="5" t="s">
        <v>3728</v>
      </c>
      <c r="UVU616" s="17">
        <v>44925</v>
      </c>
      <c r="UVV616" s="5" t="s">
        <v>3728</v>
      </c>
      <c r="UVW616" s="17">
        <v>44925</v>
      </c>
      <c r="UVX616" s="5" t="s">
        <v>3728</v>
      </c>
      <c r="UVY616" s="17">
        <v>44925</v>
      </c>
      <c r="UVZ616" s="5" t="s">
        <v>3728</v>
      </c>
      <c r="UWA616" s="17">
        <v>44925</v>
      </c>
      <c r="UWB616" s="5" t="s">
        <v>3728</v>
      </c>
      <c r="UWC616" s="17">
        <v>44925</v>
      </c>
      <c r="UWD616" s="5" t="s">
        <v>3728</v>
      </c>
      <c r="UWE616" s="17">
        <v>44925</v>
      </c>
      <c r="UWF616" s="5" t="s">
        <v>3728</v>
      </c>
      <c r="UWG616" s="17">
        <v>44925</v>
      </c>
      <c r="UWH616" s="5" t="s">
        <v>3728</v>
      </c>
      <c r="UWI616" s="17">
        <v>44925</v>
      </c>
      <c r="UWJ616" s="5" t="s">
        <v>3728</v>
      </c>
      <c r="UWK616" s="17">
        <v>44925</v>
      </c>
      <c r="UWL616" s="5" t="s">
        <v>3728</v>
      </c>
      <c r="UWM616" s="17">
        <v>44925</v>
      </c>
      <c r="UWN616" s="5" t="s">
        <v>3728</v>
      </c>
      <c r="UWO616" s="17">
        <v>44925</v>
      </c>
      <c r="UWP616" s="5" t="s">
        <v>3728</v>
      </c>
      <c r="UWQ616" s="17">
        <v>44925</v>
      </c>
      <c r="UWR616" s="5" t="s">
        <v>3728</v>
      </c>
      <c r="UWS616" s="17">
        <v>44925</v>
      </c>
      <c r="UWT616" s="5" t="s">
        <v>3728</v>
      </c>
      <c r="UWU616" s="17">
        <v>44925</v>
      </c>
      <c r="UWV616" s="5" t="s">
        <v>3728</v>
      </c>
      <c r="UWW616" s="17">
        <v>44925</v>
      </c>
      <c r="UWX616" s="5" t="s">
        <v>3728</v>
      </c>
      <c r="UWY616" s="17">
        <v>44925</v>
      </c>
      <c r="UWZ616" s="5" t="s">
        <v>3728</v>
      </c>
      <c r="UXA616" s="17">
        <v>44925</v>
      </c>
      <c r="UXB616" s="5" t="s">
        <v>3728</v>
      </c>
      <c r="UXC616" s="17">
        <v>44925</v>
      </c>
      <c r="UXD616" s="5" t="s">
        <v>3728</v>
      </c>
      <c r="UXE616" s="17">
        <v>44925</v>
      </c>
      <c r="UXF616" s="5" t="s">
        <v>3728</v>
      </c>
      <c r="UXG616" s="17">
        <v>44925</v>
      </c>
      <c r="UXH616" s="5" t="s">
        <v>3728</v>
      </c>
      <c r="UXI616" s="17">
        <v>44925</v>
      </c>
      <c r="UXJ616" s="5" t="s">
        <v>3728</v>
      </c>
      <c r="UXK616" s="17">
        <v>44925</v>
      </c>
      <c r="UXL616" s="5" t="s">
        <v>3728</v>
      </c>
      <c r="UXM616" s="17">
        <v>44925</v>
      </c>
      <c r="UXN616" s="5" t="s">
        <v>3728</v>
      </c>
      <c r="UXO616" s="17">
        <v>44925</v>
      </c>
      <c r="UXP616" s="5" t="s">
        <v>3728</v>
      </c>
      <c r="UXQ616" s="17">
        <v>44925</v>
      </c>
      <c r="UXR616" s="5" t="s">
        <v>3728</v>
      </c>
      <c r="UXS616" s="17">
        <v>44925</v>
      </c>
      <c r="UXT616" s="5" t="s">
        <v>3728</v>
      </c>
      <c r="UXU616" s="17">
        <v>44925</v>
      </c>
      <c r="UXV616" s="5" t="s">
        <v>3728</v>
      </c>
      <c r="UXW616" s="17">
        <v>44925</v>
      </c>
      <c r="UXX616" s="5" t="s">
        <v>3728</v>
      </c>
      <c r="UXY616" s="17">
        <v>44925</v>
      </c>
      <c r="UXZ616" s="5" t="s">
        <v>3728</v>
      </c>
      <c r="UYA616" s="17">
        <v>44925</v>
      </c>
      <c r="UYB616" s="5" t="s">
        <v>3728</v>
      </c>
      <c r="UYC616" s="17">
        <v>44925</v>
      </c>
      <c r="UYD616" s="5" t="s">
        <v>3728</v>
      </c>
      <c r="UYE616" s="17">
        <v>44925</v>
      </c>
      <c r="UYF616" s="5" t="s">
        <v>3728</v>
      </c>
      <c r="UYG616" s="17">
        <v>44925</v>
      </c>
      <c r="UYH616" s="5" t="s">
        <v>3728</v>
      </c>
      <c r="UYI616" s="17">
        <v>44925</v>
      </c>
      <c r="UYJ616" s="5" t="s">
        <v>3728</v>
      </c>
      <c r="UYK616" s="17">
        <v>44925</v>
      </c>
      <c r="UYL616" s="5" t="s">
        <v>3728</v>
      </c>
      <c r="UYM616" s="17">
        <v>44925</v>
      </c>
      <c r="UYN616" s="5" t="s">
        <v>3728</v>
      </c>
      <c r="UYO616" s="17">
        <v>44925</v>
      </c>
      <c r="UYP616" s="5" t="s">
        <v>3728</v>
      </c>
      <c r="UYQ616" s="17">
        <v>44925</v>
      </c>
      <c r="UYR616" s="5" t="s">
        <v>3728</v>
      </c>
      <c r="UYS616" s="17">
        <v>44925</v>
      </c>
      <c r="UYT616" s="5" t="s">
        <v>3728</v>
      </c>
      <c r="UYU616" s="17">
        <v>44925</v>
      </c>
      <c r="UYV616" s="5" t="s">
        <v>3728</v>
      </c>
      <c r="UYW616" s="17">
        <v>44925</v>
      </c>
      <c r="UYX616" s="5" t="s">
        <v>3728</v>
      </c>
      <c r="UYY616" s="17">
        <v>44925</v>
      </c>
      <c r="UYZ616" s="5" t="s">
        <v>3728</v>
      </c>
      <c r="UZA616" s="17">
        <v>44925</v>
      </c>
      <c r="UZB616" s="5" t="s">
        <v>3728</v>
      </c>
      <c r="UZC616" s="17">
        <v>44925</v>
      </c>
      <c r="UZD616" s="5" t="s">
        <v>3728</v>
      </c>
      <c r="UZE616" s="17">
        <v>44925</v>
      </c>
      <c r="UZF616" s="5" t="s">
        <v>3728</v>
      </c>
      <c r="UZG616" s="17">
        <v>44925</v>
      </c>
      <c r="UZH616" s="5" t="s">
        <v>3728</v>
      </c>
      <c r="UZI616" s="17">
        <v>44925</v>
      </c>
      <c r="UZJ616" s="5" t="s">
        <v>3728</v>
      </c>
      <c r="UZK616" s="17">
        <v>44925</v>
      </c>
      <c r="UZL616" s="5" t="s">
        <v>3728</v>
      </c>
      <c r="UZM616" s="17">
        <v>44925</v>
      </c>
      <c r="UZN616" s="5" t="s">
        <v>3728</v>
      </c>
      <c r="UZO616" s="17">
        <v>44925</v>
      </c>
      <c r="UZP616" s="5" t="s">
        <v>3728</v>
      </c>
      <c r="UZQ616" s="17">
        <v>44925</v>
      </c>
      <c r="UZR616" s="5" t="s">
        <v>3728</v>
      </c>
      <c r="UZS616" s="17">
        <v>44925</v>
      </c>
      <c r="UZT616" s="5" t="s">
        <v>3728</v>
      </c>
      <c r="UZU616" s="17">
        <v>44925</v>
      </c>
      <c r="UZV616" s="5" t="s">
        <v>3728</v>
      </c>
      <c r="UZW616" s="17">
        <v>44925</v>
      </c>
      <c r="UZX616" s="5" t="s">
        <v>3728</v>
      </c>
      <c r="UZY616" s="17">
        <v>44925</v>
      </c>
      <c r="UZZ616" s="5" t="s">
        <v>3728</v>
      </c>
      <c r="VAA616" s="17">
        <v>44925</v>
      </c>
      <c r="VAB616" s="5" t="s">
        <v>3728</v>
      </c>
      <c r="VAC616" s="17">
        <v>44925</v>
      </c>
      <c r="VAD616" s="5" t="s">
        <v>3728</v>
      </c>
      <c r="VAE616" s="17">
        <v>44925</v>
      </c>
      <c r="VAF616" s="5" t="s">
        <v>3728</v>
      </c>
      <c r="VAG616" s="17">
        <v>44925</v>
      </c>
      <c r="VAH616" s="5" t="s">
        <v>3728</v>
      </c>
      <c r="VAI616" s="17">
        <v>44925</v>
      </c>
      <c r="VAJ616" s="5" t="s">
        <v>3728</v>
      </c>
      <c r="VAK616" s="17">
        <v>44925</v>
      </c>
      <c r="VAL616" s="5" t="s">
        <v>3728</v>
      </c>
      <c r="VAM616" s="17">
        <v>44925</v>
      </c>
      <c r="VAN616" s="5" t="s">
        <v>3728</v>
      </c>
      <c r="VAO616" s="17">
        <v>44925</v>
      </c>
      <c r="VAP616" s="5" t="s">
        <v>3728</v>
      </c>
      <c r="VAQ616" s="17">
        <v>44925</v>
      </c>
      <c r="VAR616" s="5" t="s">
        <v>3728</v>
      </c>
      <c r="VAS616" s="17">
        <v>44925</v>
      </c>
      <c r="VAT616" s="5" t="s">
        <v>3728</v>
      </c>
      <c r="VAU616" s="17">
        <v>44925</v>
      </c>
      <c r="VAV616" s="5" t="s">
        <v>3728</v>
      </c>
      <c r="VAW616" s="17">
        <v>44925</v>
      </c>
      <c r="VAX616" s="5" t="s">
        <v>3728</v>
      </c>
      <c r="VAY616" s="17">
        <v>44925</v>
      </c>
      <c r="VAZ616" s="5" t="s">
        <v>3728</v>
      </c>
      <c r="VBA616" s="17">
        <v>44925</v>
      </c>
      <c r="VBB616" s="5" t="s">
        <v>3728</v>
      </c>
      <c r="VBC616" s="17">
        <v>44925</v>
      </c>
      <c r="VBD616" s="5" t="s">
        <v>3728</v>
      </c>
      <c r="VBE616" s="17">
        <v>44925</v>
      </c>
      <c r="VBF616" s="5" t="s">
        <v>3728</v>
      </c>
      <c r="VBG616" s="17">
        <v>44925</v>
      </c>
      <c r="VBH616" s="5" t="s">
        <v>3728</v>
      </c>
      <c r="VBI616" s="17">
        <v>44925</v>
      </c>
      <c r="VBJ616" s="5" t="s">
        <v>3728</v>
      </c>
      <c r="VBK616" s="17">
        <v>44925</v>
      </c>
      <c r="VBL616" s="5" t="s">
        <v>3728</v>
      </c>
      <c r="VBM616" s="17">
        <v>44925</v>
      </c>
      <c r="VBN616" s="5" t="s">
        <v>3728</v>
      </c>
      <c r="VBO616" s="17">
        <v>44925</v>
      </c>
      <c r="VBP616" s="5" t="s">
        <v>3728</v>
      </c>
      <c r="VBQ616" s="17">
        <v>44925</v>
      </c>
      <c r="VBR616" s="5" t="s">
        <v>3728</v>
      </c>
      <c r="VBS616" s="17">
        <v>44925</v>
      </c>
      <c r="VBT616" s="5" t="s">
        <v>3728</v>
      </c>
      <c r="VBU616" s="17">
        <v>44925</v>
      </c>
      <c r="VBV616" s="5" t="s">
        <v>3728</v>
      </c>
      <c r="VBW616" s="17">
        <v>44925</v>
      </c>
      <c r="VBX616" s="5" t="s">
        <v>3728</v>
      </c>
      <c r="VBY616" s="17">
        <v>44925</v>
      </c>
      <c r="VBZ616" s="5" t="s">
        <v>3728</v>
      </c>
      <c r="VCA616" s="17">
        <v>44925</v>
      </c>
      <c r="VCB616" s="5" t="s">
        <v>3728</v>
      </c>
      <c r="VCC616" s="17">
        <v>44925</v>
      </c>
      <c r="VCD616" s="5" t="s">
        <v>3728</v>
      </c>
      <c r="VCE616" s="17">
        <v>44925</v>
      </c>
      <c r="VCF616" s="5" t="s">
        <v>3728</v>
      </c>
      <c r="VCG616" s="17">
        <v>44925</v>
      </c>
      <c r="VCH616" s="5" t="s">
        <v>3728</v>
      </c>
      <c r="VCI616" s="17">
        <v>44925</v>
      </c>
      <c r="VCJ616" s="5" t="s">
        <v>3728</v>
      </c>
      <c r="VCK616" s="17">
        <v>44925</v>
      </c>
      <c r="VCL616" s="5" t="s">
        <v>3728</v>
      </c>
      <c r="VCM616" s="17">
        <v>44925</v>
      </c>
      <c r="VCN616" s="5" t="s">
        <v>3728</v>
      </c>
      <c r="VCO616" s="17">
        <v>44925</v>
      </c>
      <c r="VCP616" s="5" t="s">
        <v>3728</v>
      </c>
      <c r="VCQ616" s="17">
        <v>44925</v>
      </c>
      <c r="VCR616" s="5" t="s">
        <v>3728</v>
      </c>
      <c r="VCS616" s="17">
        <v>44925</v>
      </c>
      <c r="VCT616" s="5" t="s">
        <v>3728</v>
      </c>
      <c r="VCU616" s="17">
        <v>44925</v>
      </c>
      <c r="VCV616" s="5" t="s">
        <v>3728</v>
      </c>
      <c r="VCW616" s="17">
        <v>44925</v>
      </c>
      <c r="VCX616" s="5" t="s">
        <v>3728</v>
      </c>
      <c r="VCY616" s="17">
        <v>44925</v>
      </c>
      <c r="VCZ616" s="5" t="s">
        <v>3728</v>
      </c>
      <c r="VDA616" s="17">
        <v>44925</v>
      </c>
      <c r="VDB616" s="5" t="s">
        <v>3728</v>
      </c>
      <c r="VDC616" s="17">
        <v>44925</v>
      </c>
      <c r="VDD616" s="5" t="s">
        <v>3728</v>
      </c>
      <c r="VDE616" s="17">
        <v>44925</v>
      </c>
      <c r="VDF616" s="5" t="s">
        <v>3728</v>
      </c>
      <c r="VDG616" s="17">
        <v>44925</v>
      </c>
      <c r="VDH616" s="5" t="s">
        <v>3728</v>
      </c>
      <c r="VDI616" s="17">
        <v>44925</v>
      </c>
      <c r="VDJ616" s="5" t="s">
        <v>3728</v>
      </c>
      <c r="VDK616" s="17">
        <v>44925</v>
      </c>
      <c r="VDL616" s="5" t="s">
        <v>3728</v>
      </c>
      <c r="VDM616" s="17">
        <v>44925</v>
      </c>
      <c r="VDN616" s="5" t="s">
        <v>3728</v>
      </c>
      <c r="VDO616" s="17">
        <v>44925</v>
      </c>
      <c r="VDP616" s="5" t="s">
        <v>3728</v>
      </c>
      <c r="VDQ616" s="17">
        <v>44925</v>
      </c>
      <c r="VDR616" s="5" t="s">
        <v>3728</v>
      </c>
      <c r="VDS616" s="17">
        <v>44925</v>
      </c>
      <c r="VDT616" s="5" t="s">
        <v>3728</v>
      </c>
      <c r="VDU616" s="17">
        <v>44925</v>
      </c>
      <c r="VDV616" s="5" t="s">
        <v>3728</v>
      </c>
      <c r="VDW616" s="17">
        <v>44925</v>
      </c>
      <c r="VDX616" s="5" t="s">
        <v>3728</v>
      </c>
      <c r="VDY616" s="17">
        <v>44925</v>
      </c>
      <c r="VDZ616" s="5" t="s">
        <v>3728</v>
      </c>
      <c r="VEA616" s="17">
        <v>44925</v>
      </c>
      <c r="VEB616" s="5" t="s">
        <v>3728</v>
      </c>
      <c r="VEC616" s="17">
        <v>44925</v>
      </c>
      <c r="VED616" s="5" t="s">
        <v>3728</v>
      </c>
      <c r="VEE616" s="17">
        <v>44925</v>
      </c>
      <c r="VEF616" s="5" t="s">
        <v>3728</v>
      </c>
      <c r="VEG616" s="17">
        <v>44925</v>
      </c>
      <c r="VEH616" s="5" t="s">
        <v>3728</v>
      </c>
      <c r="VEI616" s="17">
        <v>44925</v>
      </c>
      <c r="VEJ616" s="5" t="s">
        <v>3728</v>
      </c>
      <c r="VEK616" s="17">
        <v>44925</v>
      </c>
      <c r="VEL616" s="5" t="s">
        <v>3728</v>
      </c>
      <c r="VEM616" s="17">
        <v>44925</v>
      </c>
      <c r="VEN616" s="5" t="s">
        <v>3728</v>
      </c>
      <c r="VEO616" s="17">
        <v>44925</v>
      </c>
      <c r="VEP616" s="5" t="s">
        <v>3728</v>
      </c>
      <c r="VEQ616" s="17">
        <v>44925</v>
      </c>
      <c r="VER616" s="5" t="s">
        <v>3728</v>
      </c>
      <c r="VES616" s="17">
        <v>44925</v>
      </c>
      <c r="VET616" s="5" t="s">
        <v>3728</v>
      </c>
      <c r="VEU616" s="17">
        <v>44925</v>
      </c>
      <c r="VEV616" s="5" t="s">
        <v>3728</v>
      </c>
      <c r="VEW616" s="17">
        <v>44925</v>
      </c>
      <c r="VEX616" s="5" t="s">
        <v>3728</v>
      </c>
      <c r="VEY616" s="17">
        <v>44925</v>
      </c>
      <c r="VEZ616" s="5" t="s">
        <v>3728</v>
      </c>
      <c r="VFA616" s="17">
        <v>44925</v>
      </c>
      <c r="VFB616" s="5" t="s">
        <v>3728</v>
      </c>
      <c r="VFC616" s="17">
        <v>44925</v>
      </c>
      <c r="VFD616" s="5" t="s">
        <v>3728</v>
      </c>
      <c r="VFE616" s="17">
        <v>44925</v>
      </c>
      <c r="VFF616" s="5" t="s">
        <v>3728</v>
      </c>
      <c r="VFG616" s="17">
        <v>44925</v>
      </c>
      <c r="VFH616" s="5" t="s">
        <v>3728</v>
      </c>
      <c r="VFI616" s="17">
        <v>44925</v>
      </c>
      <c r="VFJ616" s="5" t="s">
        <v>3728</v>
      </c>
      <c r="VFK616" s="17">
        <v>44925</v>
      </c>
      <c r="VFL616" s="5" t="s">
        <v>3728</v>
      </c>
      <c r="VFM616" s="17">
        <v>44925</v>
      </c>
      <c r="VFN616" s="5" t="s">
        <v>3728</v>
      </c>
      <c r="VFO616" s="17">
        <v>44925</v>
      </c>
      <c r="VFP616" s="5" t="s">
        <v>3728</v>
      </c>
      <c r="VFQ616" s="17">
        <v>44925</v>
      </c>
      <c r="VFR616" s="5" t="s">
        <v>3728</v>
      </c>
      <c r="VFS616" s="17">
        <v>44925</v>
      </c>
      <c r="VFT616" s="5" t="s">
        <v>3728</v>
      </c>
      <c r="VFU616" s="17">
        <v>44925</v>
      </c>
      <c r="VFV616" s="5" t="s">
        <v>3728</v>
      </c>
      <c r="VFW616" s="17">
        <v>44925</v>
      </c>
      <c r="VFX616" s="5" t="s">
        <v>3728</v>
      </c>
      <c r="VFY616" s="17">
        <v>44925</v>
      </c>
      <c r="VFZ616" s="5" t="s">
        <v>3728</v>
      </c>
      <c r="VGA616" s="17">
        <v>44925</v>
      </c>
      <c r="VGB616" s="5" t="s">
        <v>3728</v>
      </c>
      <c r="VGC616" s="17">
        <v>44925</v>
      </c>
      <c r="VGD616" s="5" t="s">
        <v>3728</v>
      </c>
      <c r="VGE616" s="17">
        <v>44925</v>
      </c>
      <c r="VGF616" s="5" t="s">
        <v>3728</v>
      </c>
      <c r="VGG616" s="17">
        <v>44925</v>
      </c>
      <c r="VGH616" s="5" t="s">
        <v>3728</v>
      </c>
      <c r="VGI616" s="17">
        <v>44925</v>
      </c>
      <c r="VGJ616" s="5" t="s">
        <v>3728</v>
      </c>
      <c r="VGK616" s="17">
        <v>44925</v>
      </c>
      <c r="VGL616" s="5" t="s">
        <v>3728</v>
      </c>
      <c r="VGM616" s="17">
        <v>44925</v>
      </c>
      <c r="VGN616" s="5" t="s">
        <v>3728</v>
      </c>
      <c r="VGO616" s="17">
        <v>44925</v>
      </c>
      <c r="VGP616" s="5" t="s">
        <v>3728</v>
      </c>
      <c r="VGQ616" s="17">
        <v>44925</v>
      </c>
      <c r="VGR616" s="5" t="s">
        <v>3728</v>
      </c>
      <c r="VGS616" s="17">
        <v>44925</v>
      </c>
      <c r="VGT616" s="5" t="s">
        <v>3728</v>
      </c>
      <c r="VGU616" s="17">
        <v>44925</v>
      </c>
      <c r="VGV616" s="5" t="s">
        <v>3728</v>
      </c>
      <c r="VGW616" s="17">
        <v>44925</v>
      </c>
      <c r="VGX616" s="5" t="s">
        <v>3728</v>
      </c>
      <c r="VGY616" s="17">
        <v>44925</v>
      </c>
      <c r="VGZ616" s="5" t="s">
        <v>3728</v>
      </c>
      <c r="VHA616" s="17">
        <v>44925</v>
      </c>
      <c r="VHB616" s="5" t="s">
        <v>3728</v>
      </c>
      <c r="VHC616" s="17">
        <v>44925</v>
      </c>
      <c r="VHD616" s="5" t="s">
        <v>3728</v>
      </c>
      <c r="VHE616" s="17">
        <v>44925</v>
      </c>
      <c r="VHF616" s="5" t="s">
        <v>3728</v>
      </c>
      <c r="VHG616" s="17">
        <v>44925</v>
      </c>
      <c r="VHH616" s="5" t="s">
        <v>3728</v>
      </c>
      <c r="VHI616" s="17">
        <v>44925</v>
      </c>
      <c r="VHJ616" s="5" t="s">
        <v>3728</v>
      </c>
      <c r="VHK616" s="17">
        <v>44925</v>
      </c>
      <c r="VHL616" s="5" t="s">
        <v>3728</v>
      </c>
      <c r="VHM616" s="17">
        <v>44925</v>
      </c>
      <c r="VHN616" s="5" t="s">
        <v>3728</v>
      </c>
      <c r="VHO616" s="17">
        <v>44925</v>
      </c>
      <c r="VHP616" s="5" t="s">
        <v>3728</v>
      </c>
      <c r="VHQ616" s="17">
        <v>44925</v>
      </c>
      <c r="VHR616" s="5" t="s">
        <v>3728</v>
      </c>
      <c r="VHS616" s="17">
        <v>44925</v>
      </c>
      <c r="VHT616" s="5" t="s">
        <v>3728</v>
      </c>
      <c r="VHU616" s="17">
        <v>44925</v>
      </c>
      <c r="VHV616" s="5" t="s">
        <v>3728</v>
      </c>
      <c r="VHW616" s="17">
        <v>44925</v>
      </c>
      <c r="VHX616" s="5" t="s">
        <v>3728</v>
      </c>
      <c r="VHY616" s="17">
        <v>44925</v>
      </c>
      <c r="VHZ616" s="5" t="s">
        <v>3728</v>
      </c>
      <c r="VIA616" s="17">
        <v>44925</v>
      </c>
      <c r="VIB616" s="5" t="s">
        <v>3728</v>
      </c>
      <c r="VIC616" s="17">
        <v>44925</v>
      </c>
      <c r="VID616" s="5" t="s">
        <v>3728</v>
      </c>
      <c r="VIE616" s="17">
        <v>44925</v>
      </c>
      <c r="VIF616" s="5" t="s">
        <v>3728</v>
      </c>
      <c r="VIG616" s="17">
        <v>44925</v>
      </c>
      <c r="VIH616" s="5" t="s">
        <v>3728</v>
      </c>
      <c r="VII616" s="17">
        <v>44925</v>
      </c>
      <c r="VIJ616" s="5" t="s">
        <v>3728</v>
      </c>
      <c r="VIK616" s="17">
        <v>44925</v>
      </c>
      <c r="VIL616" s="5" t="s">
        <v>3728</v>
      </c>
      <c r="VIM616" s="17">
        <v>44925</v>
      </c>
      <c r="VIN616" s="5" t="s">
        <v>3728</v>
      </c>
      <c r="VIO616" s="17">
        <v>44925</v>
      </c>
      <c r="VIP616" s="5" t="s">
        <v>3728</v>
      </c>
      <c r="VIQ616" s="17">
        <v>44925</v>
      </c>
      <c r="VIR616" s="5" t="s">
        <v>3728</v>
      </c>
      <c r="VIS616" s="17">
        <v>44925</v>
      </c>
      <c r="VIT616" s="5" t="s">
        <v>3728</v>
      </c>
      <c r="VIU616" s="17">
        <v>44925</v>
      </c>
      <c r="VIV616" s="5" t="s">
        <v>3728</v>
      </c>
      <c r="VIW616" s="17">
        <v>44925</v>
      </c>
      <c r="VIX616" s="5" t="s">
        <v>3728</v>
      </c>
      <c r="VIY616" s="17">
        <v>44925</v>
      </c>
      <c r="VIZ616" s="5" t="s">
        <v>3728</v>
      </c>
      <c r="VJA616" s="17">
        <v>44925</v>
      </c>
      <c r="VJB616" s="5" t="s">
        <v>3728</v>
      </c>
      <c r="VJC616" s="17">
        <v>44925</v>
      </c>
      <c r="VJD616" s="5" t="s">
        <v>3728</v>
      </c>
      <c r="VJE616" s="17">
        <v>44925</v>
      </c>
      <c r="VJF616" s="5" t="s">
        <v>3728</v>
      </c>
      <c r="VJG616" s="17">
        <v>44925</v>
      </c>
      <c r="VJH616" s="5" t="s">
        <v>3728</v>
      </c>
      <c r="VJI616" s="17">
        <v>44925</v>
      </c>
      <c r="VJJ616" s="5" t="s">
        <v>3728</v>
      </c>
      <c r="VJK616" s="17">
        <v>44925</v>
      </c>
      <c r="VJL616" s="5" t="s">
        <v>3728</v>
      </c>
      <c r="VJM616" s="17">
        <v>44925</v>
      </c>
      <c r="VJN616" s="5" t="s">
        <v>3728</v>
      </c>
      <c r="VJO616" s="17">
        <v>44925</v>
      </c>
      <c r="VJP616" s="5" t="s">
        <v>3728</v>
      </c>
      <c r="VJQ616" s="17">
        <v>44925</v>
      </c>
      <c r="VJR616" s="5" t="s">
        <v>3728</v>
      </c>
      <c r="VJS616" s="17">
        <v>44925</v>
      </c>
      <c r="VJT616" s="5" t="s">
        <v>3728</v>
      </c>
      <c r="VJU616" s="17">
        <v>44925</v>
      </c>
      <c r="VJV616" s="5" t="s">
        <v>3728</v>
      </c>
      <c r="VJW616" s="17">
        <v>44925</v>
      </c>
      <c r="VJX616" s="5" t="s">
        <v>3728</v>
      </c>
      <c r="VJY616" s="17">
        <v>44925</v>
      </c>
      <c r="VJZ616" s="5" t="s">
        <v>3728</v>
      </c>
      <c r="VKA616" s="17">
        <v>44925</v>
      </c>
      <c r="VKB616" s="5" t="s">
        <v>3728</v>
      </c>
      <c r="VKC616" s="17">
        <v>44925</v>
      </c>
      <c r="VKD616" s="5" t="s">
        <v>3728</v>
      </c>
      <c r="VKE616" s="17">
        <v>44925</v>
      </c>
      <c r="VKF616" s="5" t="s">
        <v>3728</v>
      </c>
      <c r="VKG616" s="17">
        <v>44925</v>
      </c>
      <c r="VKH616" s="5" t="s">
        <v>3728</v>
      </c>
      <c r="VKI616" s="17">
        <v>44925</v>
      </c>
      <c r="VKJ616" s="5" t="s">
        <v>3728</v>
      </c>
      <c r="VKK616" s="17">
        <v>44925</v>
      </c>
      <c r="VKL616" s="5" t="s">
        <v>3728</v>
      </c>
      <c r="VKM616" s="17">
        <v>44925</v>
      </c>
      <c r="VKN616" s="5" t="s">
        <v>3728</v>
      </c>
      <c r="VKO616" s="17">
        <v>44925</v>
      </c>
      <c r="VKP616" s="5" t="s">
        <v>3728</v>
      </c>
      <c r="VKQ616" s="17">
        <v>44925</v>
      </c>
      <c r="VKR616" s="5" t="s">
        <v>3728</v>
      </c>
      <c r="VKS616" s="17">
        <v>44925</v>
      </c>
      <c r="VKT616" s="5" t="s">
        <v>3728</v>
      </c>
      <c r="VKU616" s="17">
        <v>44925</v>
      </c>
      <c r="VKV616" s="5" t="s">
        <v>3728</v>
      </c>
      <c r="VKW616" s="17">
        <v>44925</v>
      </c>
      <c r="VKX616" s="5" t="s">
        <v>3728</v>
      </c>
      <c r="VKY616" s="17">
        <v>44925</v>
      </c>
      <c r="VKZ616" s="5" t="s">
        <v>3728</v>
      </c>
      <c r="VLA616" s="17">
        <v>44925</v>
      </c>
      <c r="VLB616" s="5" t="s">
        <v>3728</v>
      </c>
      <c r="VLC616" s="17">
        <v>44925</v>
      </c>
      <c r="VLD616" s="5" t="s">
        <v>3728</v>
      </c>
      <c r="VLE616" s="17">
        <v>44925</v>
      </c>
      <c r="VLF616" s="5" t="s">
        <v>3728</v>
      </c>
      <c r="VLG616" s="17">
        <v>44925</v>
      </c>
      <c r="VLH616" s="5" t="s">
        <v>3728</v>
      </c>
      <c r="VLI616" s="17">
        <v>44925</v>
      </c>
      <c r="VLJ616" s="5" t="s">
        <v>3728</v>
      </c>
      <c r="VLK616" s="17">
        <v>44925</v>
      </c>
      <c r="VLL616" s="5" t="s">
        <v>3728</v>
      </c>
      <c r="VLM616" s="17">
        <v>44925</v>
      </c>
      <c r="VLN616" s="5" t="s">
        <v>3728</v>
      </c>
      <c r="VLO616" s="17">
        <v>44925</v>
      </c>
      <c r="VLP616" s="5" t="s">
        <v>3728</v>
      </c>
      <c r="VLQ616" s="17">
        <v>44925</v>
      </c>
      <c r="VLR616" s="5" t="s">
        <v>3728</v>
      </c>
      <c r="VLS616" s="17">
        <v>44925</v>
      </c>
      <c r="VLT616" s="5" t="s">
        <v>3728</v>
      </c>
      <c r="VLU616" s="17">
        <v>44925</v>
      </c>
      <c r="VLV616" s="5" t="s">
        <v>3728</v>
      </c>
      <c r="VLW616" s="17">
        <v>44925</v>
      </c>
      <c r="VLX616" s="5" t="s">
        <v>3728</v>
      </c>
      <c r="VLY616" s="17">
        <v>44925</v>
      </c>
      <c r="VLZ616" s="5" t="s">
        <v>3728</v>
      </c>
      <c r="VMA616" s="17">
        <v>44925</v>
      </c>
      <c r="VMB616" s="5" t="s">
        <v>3728</v>
      </c>
      <c r="VMC616" s="17">
        <v>44925</v>
      </c>
      <c r="VMD616" s="5" t="s">
        <v>3728</v>
      </c>
      <c r="VME616" s="17">
        <v>44925</v>
      </c>
      <c r="VMF616" s="5" t="s">
        <v>3728</v>
      </c>
      <c r="VMG616" s="17">
        <v>44925</v>
      </c>
      <c r="VMH616" s="5" t="s">
        <v>3728</v>
      </c>
      <c r="VMI616" s="17">
        <v>44925</v>
      </c>
      <c r="VMJ616" s="5" t="s">
        <v>3728</v>
      </c>
      <c r="VMK616" s="17">
        <v>44925</v>
      </c>
      <c r="VML616" s="5" t="s">
        <v>3728</v>
      </c>
      <c r="VMM616" s="17">
        <v>44925</v>
      </c>
      <c r="VMN616" s="5" t="s">
        <v>3728</v>
      </c>
      <c r="VMO616" s="17">
        <v>44925</v>
      </c>
      <c r="VMP616" s="5" t="s">
        <v>3728</v>
      </c>
      <c r="VMQ616" s="17">
        <v>44925</v>
      </c>
      <c r="VMR616" s="5" t="s">
        <v>3728</v>
      </c>
      <c r="VMS616" s="17">
        <v>44925</v>
      </c>
      <c r="VMT616" s="5" t="s">
        <v>3728</v>
      </c>
      <c r="VMU616" s="17">
        <v>44925</v>
      </c>
      <c r="VMV616" s="5" t="s">
        <v>3728</v>
      </c>
      <c r="VMW616" s="17">
        <v>44925</v>
      </c>
      <c r="VMX616" s="5" t="s">
        <v>3728</v>
      </c>
      <c r="VMY616" s="17">
        <v>44925</v>
      </c>
      <c r="VMZ616" s="5" t="s">
        <v>3728</v>
      </c>
      <c r="VNA616" s="17">
        <v>44925</v>
      </c>
      <c r="VNB616" s="5" t="s">
        <v>3728</v>
      </c>
      <c r="VNC616" s="17">
        <v>44925</v>
      </c>
      <c r="VND616" s="5" t="s">
        <v>3728</v>
      </c>
      <c r="VNE616" s="17">
        <v>44925</v>
      </c>
      <c r="VNF616" s="5" t="s">
        <v>3728</v>
      </c>
      <c r="VNG616" s="17">
        <v>44925</v>
      </c>
      <c r="VNH616" s="5" t="s">
        <v>3728</v>
      </c>
      <c r="VNI616" s="17">
        <v>44925</v>
      </c>
      <c r="VNJ616" s="5" t="s">
        <v>3728</v>
      </c>
      <c r="VNK616" s="17">
        <v>44925</v>
      </c>
      <c r="VNL616" s="5" t="s">
        <v>3728</v>
      </c>
      <c r="VNM616" s="17">
        <v>44925</v>
      </c>
      <c r="VNN616" s="5" t="s">
        <v>3728</v>
      </c>
      <c r="VNO616" s="17">
        <v>44925</v>
      </c>
      <c r="VNP616" s="5" t="s">
        <v>3728</v>
      </c>
      <c r="VNQ616" s="17">
        <v>44925</v>
      </c>
      <c r="VNR616" s="5" t="s">
        <v>3728</v>
      </c>
      <c r="VNS616" s="17">
        <v>44925</v>
      </c>
      <c r="VNT616" s="5" t="s">
        <v>3728</v>
      </c>
      <c r="VNU616" s="17">
        <v>44925</v>
      </c>
      <c r="VNV616" s="5" t="s">
        <v>3728</v>
      </c>
      <c r="VNW616" s="17">
        <v>44925</v>
      </c>
      <c r="VNX616" s="5" t="s">
        <v>3728</v>
      </c>
      <c r="VNY616" s="17">
        <v>44925</v>
      </c>
      <c r="VNZ616" s="5" t="s">
        <v>3728</v>
      </c>
      <c r="VOA616" s="17">
        <v>44925</v>
      </c>
      <c r="VOB616" s="5" t="s">
        <v>3728</v>
      </c>
      <c r="VOC616" s="17">
        <v>44925</v>
      </c>
      <c r="VOD616" s="5" t="s">
        <v>3728</v>
      </c>
      <c r="VOE616" s="17">
        <v>44925</v>
      </c>
      <c r="VOF616" s="5" t="s">
        <v>3728</v>
      </c>
      <c r="VOG616" s="17">
        <v>44925</v>
      </c>
      <c r="VOH616" s="5" t="s">
        <v>3728</v>
      </c>
      <c r="VOI616" s="17">
        <v>44925</v>
      </c>
      <c r="VOJ616" s="5" t="s">
        <v>3728</v>
      </c>
      <c r="VOK616" s="17">
        <v>44925</v>
      </c>
      <c r="VOL616" s="5" t="s">
        <v>3728</v>
      </c>
      <c r="VOM616" s="17">
        <v>44925</v>
      </c>
      <c r="VON616" s="5" t="s">
        <v>3728</v>
      </c>
      <c r="VOO616" s="17">
        <v>44925</v>
      </c>
      <c r="VOP616" s="5" t="s">
        <v>3728</v>
      </c>
      <c r="VOQ616" s="17">
        <v>44925</v>
      </c>
      <c r="VOR616" s="5" t="s">
        <v>3728</v>
      </c>
      <c r="VOS616" s="17">
        <v>44925</v>
      </c>
      <c r="VOT616" s="5" t="s">
        <v>3728</v>
      </c>
      <c r="VOU616" s="17">
        <v>44925</v>
      </c>
      <c r="VOV616" s="5" t="s">
        <v>3728</v>
      </c>
      <c r="VOW616" s="17">
        <v>44925</v>
      </c>
      <c r="VOX616" s="5" t="s">
        <v>3728</v>
      </c>
      <c r="VOY616" s="17">
        <v>44925</v>
      </c>
      <c r="VOZ616" s="5" t="s">
        <v>3728</v>
      </c>
      <c r="VPA616" s="17">
        <v>44925</v>
      </c>
      <c r="VPB616" s="5" t="s">
        <v>3728</v>
      </c>
      <c r="VPC616" s="17">
        <v>44925</v>
      </c>
      <c r="VPD616" s="5" t="s">
        <v>3728</v>
      </c>
      <c r="VPE616" s="17">
        <v>44925</v>
      </c>
      <c r="VPF616" s="5" t="s">
        <v>3728</v>
      </c>
      <c r="VPG616" s="17">
        <v>44925</v>
      </c>
      <c r="VPH616" s="5" t="s">
        <v>3728</v>
      </c>
      <c r="VPI616" s="17">
        <v>44925</v>
      </c>
      <c r="VPJ616" s="5" t="s">
        <v>3728</v>
      </c>
      <c r="VPK616" s="17">
        <v>44925</v>
      </c>
      <c r="VPL616" s="5" t="s">
        <v>3728</v>
      </c>
      <c r="VPM616" s="17">
        <v>44925</v>
      </c>
      <c r="VPN616" s="5" t="s">
        <v>3728</v>
      </c>
      <c r="VPO616" s="17">
        <v>44925</v>
      </c>
      <c r="VPP616" s="5" t="s">
        <v>3728</v>
      </c>
      <c r="VPQ616" s="17">
        <v>44925</v>
      </c>
      <c r="VPR616" s="5" t="s">
        <v>3728</v>
      </c>
      <c r="VPS616" s="17">
        <v>44925</v>
      </c>
      <c r="VPT616" s="5" t="s">
        <v>3728</v>
      </c>
      <c r="VPU616" s="17">
        <v>44925</v>
      </c>
      <c r="VPV616" s="5" t="s">
        <v>3728</v>
      </c>
      <c r="VPW616" s="17">
        <v>44925</v>
      </c>
      <c r="VPX616" s="5" t="s">
        <v>3728</v>
      </c>
      <c r="VPY616" s="17">
        <v>44925</v>
      </c>
      <c r="VPZ616" s="5" t="s">
        <v>3728</v>
      </c>
      <c r="VQA616" s="17">
        <v>44925</v>
      </c>
      <c r="VQB616" s="5" t="s">
        <v>3728</v>
      </c>
      <c r="VQC616" s="17">
        <v>44925</v>
      </c>
      <c r="VQD616" s="5" t="s">
        <v>3728</v>
      </c>
      <c r="VQE616" s="17">
        <v>44925</v>
      </c>
      <c r="VQF616" s="5" t="s">
        <v>3728</v>
      </c>
      <c r="VQG616" s="17">
        <v>44925</v>
      </c>
      <c r="VQH616" s="5" t="s">
        <v>3728</v>
      </c>
      <c r="VQI616" s="17">
        <v>44925</v>
      </c>
      <c r="VQJ616" s="5" t="s">
        <v>3728</v>
      </c>
      <c r="VQK616" s="17">
        <v>44925</v>
      </c>
      <c r="VQL616" s="5" t="s">
        <v>3728</v>
      </c>
      <c r="VQM616" s="17">
        <v>44925</v>
      </c>
      <c r="VQN616" s="5" t="s">
        <v>3728</v>
      </c>
      <c r="VQO616" s="17">
        <v>44925</v>
      </c>
      <c r="VQP616" s="5" t="s">
        <v>3728</v>
      </c>
      <c r="VQQ616" s="17">
        <v>44925</v>
      </c>
      <c r="VQR616" s="5" t="s">
        <v>3728</v>
      </c>
      <c r="VQS616" s="17">
        <v>44925</v>
      </c>
      <c r="VQT616" s="5" t="s">
        <v>3728</v>
      </c>
      <c r="VQU616" s="17">
        <v>44925</v>
      </c>
      <c r="VQV616" s="5" t="s">
        <v>3728</v>
      </c>
      <c r="VQW616" s="17">
        <v>44925</v>
      </c>
      <c r="VQX616" s="5" t="s">
        <v>3728</v>
      </c>
      <c r="VQY616" s="17">
        <v>44925</v>
      </c>
      <c r="VQZ616" s="5" t="s">
        <v>3728</v>
      </c>
      <c r="VRA616" s="17">
        <v>44925</v>
      </c>
      <c r="VRB616" s="5" t="s">
        <v>3728</v>
      </c>
      <c r="VRC616" s="17">
        <v>44925</v>
      </c>
      <c r="VRD616" s="5" t="s">
        <v>3728</v>
      </c>
      <c r="VRE616" s="17">
        <v>44925</v>
      </c>
      <c r="VRF616" s="5" t="s">
        <v>3728</v>
      </c>
      <c r="VRG616" s="17">
        <v>44925</v>
      </c>
      <c r="VRH616" s="5" t="s">
        <v>3728</v>
      </c>
      <c r="VRI616" s="17">
        <v>44925</v>
      </c>
      <c r="VRJ616" s="5" t="s">
        <v>3728</v>
      </c>
      <c r="VRK616" s="17">
        <v>44925</v>
      </c>
      <c r="VRL616" s="5" t="s">
        <v>3728</v>
      </c>
      <c r="VRM616" s="17">
        <v>44925</v>
      </c>
      <c r="VRN616" s="5" t="s">
        <v>3728</v>
      </c>
      <c r="VRO616" s="17">
        <v>44925</v>
      </c>
      <c r="VRP616" s="5" t="s">
        <v>3728</v>
      </c>
      <c r="VRQ616" s="17">
        <v>44925</v>
      </c>
      <c r="VRR616" s="5" t="s">
        <v>3728</v>
      </c>
      <c r="VRS616" s="17">
        <v>44925</v>
      </c>
      <c r="VRT616" s="5" t="s">
        <v>3728</v>
      </c>
      <c r="VRU616" s="17">
        <v>44925</v>
      </c>
      <c r="VRV616" s="5" t="s">
        <v>3728</v>
      </c>
      <c r="VRW616" s="17">
        <v>44925</v>
      </c>
      <c r="VRX616" s="5" t="s">
        <v>3728</v>
      </c>
      <c r="VRY616" s="17">
        <v>44925</v>
      </c>
      <c r="VRZ616" s="5" t="s">
        <v>3728</v>
      </c>
      <c r="VSA616" s="17">
        <v>44925</v>
      </c>
      <c r="VSB616" s="5" t="s">
        <v>3728</v>
      </c>
      <c r="VSC616" s="17">
        <v>44925</v>
      </c>
      <c r="VSD616" s="5" t="s">
        <v>3728</v>
      </c>
      <c r="VSE616" s="17">
        <v>44925</v>
      </c>
      <c r="VSF616" s="5" t="s">
        <v>3728</v>
      </c>
      <c r="VSG616" s="17">
        <v>44925</v>
      </c>
      <c r="VSH616" s="5" t="s">
        <v>3728</v>
      </c>
      <c r="VSI616" s="17">
        <v>44925</v>
      </c>
      <c r="VSJ616" s="5" t="s">
        <v>3728</v>
      </c>
      <c r="VSK616" s="17">
        <v>44925</v>
      </c>
      <c r="VSL616" s="5" t="s">
        <v>3728</v>
      </c>
      <c r="VSM616" s="17">
        <v>44925</v>
      </c>
      <c r="VSN616" s="5" t="s">
        <v>3728</v>
      </c>
      <c r="VSO616" s="17">
        <v>44925</v>
      </c>
      <c r="VSP616" s="5" t="s">
        <v>3728</v>
      </c>
      <c r="VSQ616" s="17">
        <v>44925</v>
      </c>
      <c r="VSR616" s="5" t="s">
        <v>3728</v>
      </c>
      <c r="VSS616" s="17">
        <v>44925</v>
      </c>
      <c r="VST616" s="5" t="s">
        <v>3728</v>
      </c>
      <c r="VSU616" s="17">
        <v>44925</v>
      </c>
      <c r="VSV616" s="5" t="s">
        <v>3728</v>
      </c>
      <c r="VSW616" s="17">
        <v>44925</v>
      </c>
      <c r="VSX616" s="5" t="s">
        <v>3728</v>
      </c>
      <c r="VSY616" s="17">
        <v>44925</v>
      </c>
      <c r="VSZ616" s="5" t="s">
        <v>3728</v>
      </c>
      <c r="VTA616" s="17">
        <v>44925</v>
      </c>
      <c r="VTB616" s="5" t="s">
        <v>3728</v>
      </c>
      <c r="VTC616" s="17">
        <v>44925</v>
      </c>
      <c r="VTD616" s="5" t="s">
        <v>3728</v>
      </c>
      <c r="VTE616" s="17">
        <v>44925</v>
      </c>
      <c r="VTF616" s="5" t="s">
        <v>3728</v>
      </c>
      <c r="VTG616" s="17">
        <v>44925</v>
      </c>
      <c r="VTH616" s="5" t="s">
        <v>3728</v>
      </c>
      <c r="VTI616" s="17">
        <v>44925</v>
      </c>
      <c r="VTJ616" s="5" t="s">
        <v>3728</v>
      </c>
      <c r="VTK616" s="17">
        <v>44925</v>
      </c>
      <c r="VTL616" s="5" t="s">
        <v>3728</v>
      </c>
      <c r="VTM616" s="17">
        <v>44925</v>
      </c>
      <c r="VTN616" s="5" t="s">
        <v>3728</v>
      </c>
      <c r="VTO616" s="17">
        <v>44925</v>
      </c>
      <c r="VTP616" s="5" t="s">
        <v>3728</v>
      </c>
      <c r="VTQ616" s="17">
        <v>44925</v>
      </c>
      <c r="VTR616" s="5" t="s">
        <v>3728</v>
      </c>
      <c r="VTS616" s="17">
        <v>44925</v>
      </c>
      <c r="VTT616" s="5" t="s">
        <v>3728</v>
      </c>
      <c r="VTU616" s="17">
        <v>44925</v>
      </c>
      <c r="VTV616" s="5" t="s">
        <v>3728</v>
      </c>
      <c r="VTW616" s="17">
        <v>44925</v>
      </c>
      <c r="VTX616" s="5" t="s">
        <v>3728</v>
      </c>
      <c r="VTY616" s="17">
        <v>44925</v>
      </c>
      <c r="VTZ616" s="5" t="s">
        <v>3728</v>
      </c>
      <c r="VUA616" s="17">
        <v>44925</v>
      </c>
      <c r="VUB616" s="5" t="s">
        <v>3728</v>
      </c>
      <c r="VUC616" s="17">
        <v>44925</v>
      </c>
      <c r="VUD616" s="5" t="s">
        <v>3728</v>
      </c>
      <c r="VUE616" s="17">
        <v>44925</v>
      </c>
      <c r="VUF616" s="5" t="s">
        <v>3728</v>
      </c>
      <c r="VUG616" s="17">
        <v>44925</v>
      </c>
      <c r="VUH616" s="5" t="s">
        <v>3728</v>
      </c>
      <c r="VUI616" s="17">
        <v>44925</v>
      </c>
      <c r="VUJ616" s="5" t="s">
        <v>3728</v>
      </c>
      <c r="VUK616" s="17">
        <v>44925</v>
      </c>
      <c r="VUL616" s="5" t="s">
        <v>3728</v>
      </c>
      <c r="VUM616" s="17">
        <v>44925</v>
      </c>
      <c r="VUN616" s="5" t="s">
        <v>3728</v>
      </c>
      <c r="VUO616" s="17">
        <v>44925</v>
      </c>
      <c r="VUP616" s="5" t="s">
        <v>3728</v>
      </c>
      <c r="VUQ616" s="17">
        <v>44925</v>
      </c>
      <c r="VUR616" s="5" t="s">
        <v>3728</v>
      </c>
      <c r="VUS616" s="17">
        <v>44925</v>
      </c>
      <c r="VUT616" s="5" t="s">
        <v>3728</v>
      </c>
      <c r="VUU616" s="17">
        <v>44925</v>
      </c>
      <c r="VUV616" s="5" t="s">
        <v>3728</v>
      </c>
      <c r="VUW616" s="17">
        <v>44925</v>
      </c>
      <c r="VUX616" s="5" t="s">
        <v>3728</v>
      </c>
      <c r="VUY616" s="17">
        <v>44925</v>
      </c>
      <c r="VUZ616" s="5" t="s">
        <v>3728</v>
      </c>
      <c r="VVA616" s="17">
        <v>44925</v>
      </c>
      <c r="VVB616" s="5" t="s">
        <v>3728</v>
      </c>
      <c r="VVC616" s="17">
        <v>44925</v>
      </c>
      <c r="VVD616" s="5" t="s">
        <v>3728</v>
      </c>
      <c r="VVE616" s="17">
        <v>44925</v>
      </c>
      <c r="VVF616" s="5" t="s">
        <v>3728</v>
      </c>
      <c r="VVG616" s="17">
        <v>44925</v>
      </c>
      <c r="VVH616" s="5" t="s">
        <v>3728</v>
      </c>
      <c r="VVI616" s="17">
        <v>44925</v>
      </c>
      <c r="VVJ616" s="5" t="s">
        <v>3728</v>
      </c>
      <c r="VVK616" s="17">
        <v>44925</v>
      </c>
      <c r="VVL616" s="5" t="s">
        <v>3728</v>
      </c>
      <c r="VVM616" s="17">
        <v>44925</v>
      </c>
      <c r="VVN616" s="5" t="s">
        <v>3728</v>
      </c>
      <c r="VVO616" s="17">
        <v>44925</v>
      </c>
      <c r="VVP616" s="5" t="s">
        <v>3728</v>
      </c>
      <c r="VVQ616" s="17">
        <v>44925</v>
      </c>
      <c r="VVR616" s="5" t="s">
        <v>3728</v>
      </c>
      <c r="VVS616" s="17">
        <v>44925</v>
      </c>
      <c r="VVT616" s="5" t="s">
        <v>3728</v>
      </c>
      <c r="VVU616" s="17">
        <v>44925</v>
      </c>
      <c r="VVV616" s="5" t="s">
        <v>3728</v>
      </c>
      <c r="VVW616" s="17">
        <v>44925</v>
      </c>
      <c r="VVX616" s="5" t="s">
        <v>3728</v>
      </c>
      <c r="VVY616" s="17">
        <v>44925</v>
      </c>
      <c r="VVZ616" s="5" t="s">
        <v>3728</v>
      </c>
      <c r="VWA616" s="17">
        <v>44925</v>
      </c>
      <c r="VWB616" s="5" t="s">
        <v>3728</v>
      </c>
      <c r="VWC616" s="17">
        <v>44925</v>
      </c>
      <c r="VWD616" s="5" t="s">
        <v>3728</v>
      </c>
      <c r="VWE616" s="17">
        <v>44925</v>
      </c>
      <c r="VWF616" s="5" t="s">
        <v>3728</v>
      </c>
      <c r="VWG616" s="17">
        <v>44925</v>
      </c>
      <c r="VWH616" s="5" t="s">
        <v>3728</v>
      </c>
      <c r="VWI616" s="17">
        <v>44925</v>
      </c>
      <c r="VWJ616" s="5" t="s">
        <v>3728</v>
      </c>
      <c r="VWK616" s="17">
        <v>44925</v>
      </c>
      <c r="VWL616" s="5" t="s">
        <v>3728</v>
      </c>
      <c r="VWM616" s="17">
        <v>44925</v>
      </c>
      <c r="VWN616" s="5" t="s">
        <v>3728</v>
      </c>
      <c r="VWO616" s="17">
        <v>44925</v>
      </c>
      <c r="VWP616" s="5" t="s">
        <v>3728</v>
      </c>
      <c r="VWQ616" s="17">
        <v>44925</v>
      </c>
      <c r="VWR616" s="5" t="s">
        <v>3728</v>
      </c>
      <c r="VWS616" s="17">
        <v>44925</v>
      </c>
      <c r="VWT616" s="5" t="s">
        <v>3728</v>
      </c>
      <c r="VWU616" s="17">
        <v>44925</v>
      </c>
      <c r="VWV616" s="5" t="s">
        <v>3728</v>
      </c>
      <c r="VWW616" s="17">
        <v>44925</v>
      </c>
      <c r="VWX616" s="5" t="s">
        <v>3728</v>
      </c>
      <c r="VWY616" s="17">
        <v>44925</v>
      </c>
      <c r="VWZ616" s="5" t="s">
        <v>3728</v>
      </c>
      <c r="VXA616" s="17">
        <v>44925</v>
      </c>
      <c r="VXB616" s="5" t="s">
        <v>3728</v>
      </c>
      <c r="VXC616" s="17">
        <v>44925</v>
      </c>
      <c r="VXD616" s="5" t="s">
        <v>3728</v>
      </c>
      <c r="VXE616" s="17">
        <v>44925</v>
      </c>
      <c r="VXF616" s="5" t="s">
        <v>3728</v>
      </c>
      <c r="VXG616" s="17">
        <v>44925</v>
      </c>
      <c r="VXH616" s="5" t="s">
        <v>3728</v>
      </c>
      <c r="VXI616" s="17">
        <v>44925</v>
      </c>
      <c r="VXJ616" s="5" t="s">
        <v>3728</v>
      </c>
      <c r="VXK616" s="17">
        <v>44925</v>
      </c>
      <c r="VXL616" s="5" t="s">
        <v>3728</v>
      </c>
      <c r="VXM616" s="17">
        <v>44925</v>
      </c>
      <c r="VXN616" s="5" t="s">
        <v>3728</v>
      </c>
      <c r="VXO616" s="17">
        <v>44925</v>
      </c>
      <c r="VXP616" s="5" t="s">
        <v>3728</v>
      </c>
      <c r="VXQ616" s="17">
        <v>44925</v>
      </c>
      <c r="VXR616" s="5" t="s">
        <v>3728</v>
      </c>
      <c r="VXS616" s="17">
        <v>44925</v>
      </c>
      <c r="VXT616" s="5" t="s">
        <v>3728</v>
      </c>
      <c r="VXU616" s="17">
        <v>44925</v>
      </c>
      <c r="VXV616" s="5" t="s">
        <v>3728</v>
      </c>
      <c r="VXW616" s="17">
        <v>44925</v>
      </c>
      <c r="VXX616" s="5" t="s">
        <v>3728</v>
      </c>
      <c r="VXY616" s="17">
        <v>44925</v>
      </c>
      <c r="VXZ616" s="5" t="s">
        <v>3728</v>
      </c>
      <c r="VYA616" s="17">
        <v>44925</v>
      </c>
      <c r="VYB616" s="5" t="s">
        <v>3728</v>
      </c>
      <c r="VYC616" s="17">
        <v>44925</v>
      </c>
      <c r="VYD616" s="5" t="s">
        <v>3728</v>
      </c>
      <c r="VYE616" s="17">
        <v>44925</v>
      </c>
      <c r="VYF616" s="5" t="s">
        <v>3728</v>
      </c>
      <c r="VYG616" s="17">
        <v>44925</v>
      </c>
      <c r="VYH616" s="5" t="s">
        <v>3728</v>
      </c>
      <c r="VYI616" s="17">
        <v>44925</v>
      </c>
      <c r="VYJ616" s="5" t="s">
        <v>3728</v>
      </c>
      <c r="VYK616" s="17">
        <v>44925</v>
      </c>
      <c r="VYL616" s="5" t="s">
        <v>3728</v>
      </c>
      <c r="VYM616" s="17">
        <v>44925</v>
      </c>
      <c r="VYN616" s="5" t="s">
        <v>3728</v>
      </c>
      <c r="VYO616" s="17">
        <v>44925</v>
      </c>
      <c r="VYP616" s="5" t="s">
        <v>3728</v>
      </c>
      <c r="VYQ616" s="17">
        <v>44925</v>
      </c>
      <c r="VYR616" s="5" t="s">
        <v>3728</v>
      </c>
      <c r="VYS616" s="17">
        <v>44925</v>
      </c>
      <c r="VYT616" s="5" t="s">
        <v>3728</v>
      </c>
      <c r="VYU616" s="17">
        <v>44925</v>
      </c>
      <c r="VYV616" s="5" t="s">
        <v>3728</v>
      </c>
      <c r="VYW616" s="17">
        <v>44925</v>
      </c>
      <c r="VYX616" s="5" t="s">
        <v>3728</v>
      </c>
      <c r="VYY616" s="17">
        <v>44925</v>
      </c>
      <c r="VYZ616" s="5" t="s">
        <v>3728</v>
      </c>
      <c r="VZA616" s="17">
        <v>44925</v>
      </c>
      <c r="VZB616" s="5" t="s">
        <v>3728</v>
      </c>
      <c r="VZC616" s="17">
        <v>44925</v>
      </c>
      <c r="VZD616" s="5" t="s">
        <v>3728</v>
      </c>
      <c r="VZE616" s="17">
        <v>44925</v>
      </c>
      <c r="VZF616" s="5" t="s">
        <v>3728</v>
      </c>
      <c r="VZG616" s="17">
        <v>44925</v>
      </c>
      <c r="VZH616" s="5" t="s">
        <v>3728</v>
      </c>
      <c r="VZI616" s="17">
        <v>44925</v>
      </c>
      <c r="VZJ616" s="5" t="s">
        <v>3728</v>
      </c>
      <c r="VZK616" s="17">
        <v>44925</v>
      </c>
      <c r="VZL616" s="5" t="s">
        <v>3728</v>
      </c>
      <c r="VZM616" s="17">
        <v>44925</v>
      </c>
      <c r="VZN616" s="5" t="s">
        <v>3728</v>
      </c>
      <c r="VZO616" s="17">
        <v>44925</v>
      </c>
      <c r="VZP616" s="5" t="s">
        <v>3728</v>
      </c>
      <c r="VZQ616" s="17">
        <v>44925</v>
      </c>
      <c r="VZR616" s="5" t="s">
        <v>3728</v>
      </c>
      <c r="VZS616" s="17">
        <v>44925</v>
      </c>
      <c r="VZT616" s="5" t="s">
        <v>3728</v>
      </c>
      <c r="VZU616" s="17">
        <v>44925</v>
      </c>
      <c r="VZV616" s="5" t="s">
        <v>3728</v>
      </c>
      <c r="VZW616" s="17">
        <v>44925</v>
      </c>
      <c r="VZX616" s="5" t="s">
        <v>3728</v>
      </c>
      <c r="VZY616" s="17">
        <v>44925</v>
      </c>
      <c r="VZZ616" s="5" t="s">
        <v>3728</v>
      </c>
      <c r="WAA616" s="17">
        <v>44925</v>
      </c>
      <c r="WAB616" s="5" t="s">
        <v>3728</v>
      </c>
      <c r="WAC616" s="17">
        <v>44925</v>
      </c>
      <c r="WAD616" s="5" t="s">
        <v>3728</v>
      </c>
      <c r="WAE616" s="17">
        <v>44925</v>
      </c>
      <c r="WAF616" s="5" t="s">
        <v>3728</v>
      </c>
      <c r="WAG616" s="17">
        <v>44925</v>
      </c>
      <c r="WAH616" s="5" t="s">
        <v>3728</v>
      </c>
      <c r="WAI616" s="17">
        <v>44925</v>
      </c>
      <c r="WAJ616" s="5" t="s">
        <v>3728</v>
      </c>
      <c r="WAK616" s="17">
        <v>44925</v>
      </c>
      <c r="WAL616" s="5" t="s">
        <v>3728</v>
      </c>
      <c r="WAM616" s="17">
        <v>44925</v>
      </c>
      <c r="WAN616" s="5" t="s">
        <v>3728</v>
      </c>
      <c r="WAO616" s="17">
        <v>44925</v>
      </c>
      <c r="WAP616" s="5" t="s">
        <v>3728</v>
      </c>
      <c r="WAQ616" s="17">
        <v>44925</v>
      </c>
      <c r="WAR616" s="5" t="s">
        <v>3728</v>
      </c>
      <c r="WAS616" s="17">
        <v>44925</v>
      </c>
      <c r="WAT616" s="5" t="s">
        <v>3728</v>
      </c>
      <c r="WAU616" s="17">
        <v>44925</v>
      </c>
      <c r="WAV616" s="5" t="s">
        <v>3728</v>
      </c>
      <c r="WAW616" s="17">
        <v>44925</v>
      </c>
      <c r="WAX616" s="5" t="s">
        <v>3728</v>
      </c>
      <c r="WAY616" s="17">
        <v>44925</v>
      </c>
      <c r="WAZ616" s="5" t="s">
        <v>3728</v>
      </c>
      <c r="WBA616" s="17">
        <v>44925</v>
      </c>
      <c r="WBB616" s="5" t="s">
        <v>3728</v>
      </c>
      <c r="WBC616" s="17">
        <v>44925</v>
      </c>
      <c r="WBD616" s="5" t="s">
        <v>3728</v>
      </c>
      <c r="WBE616" s="17">
        <v>44925</v>
      </c>
      <c r="WBF616" s="5" t="s">
        <v>3728</v>
      </c>
      <c r="WBG616" s="17">
        <v>44925</v>
      </c>
      <c r="WBH616" s="5" t="s">
        <v>3728</v>
      </c>
      <c r="WBI616" s="17">
        <v>44925</v>
      </c>
      <c r="WBJ616" s="5" t="s">
        <v>3728</v>
      </c>
      <c r="WBK616" s="17">
        <v>44925</v>
      </c>
      <c r="WBL616" s="5" t="s">
        <v>3728</v>
      </c>
      <c r="WBM616" s="17">
        <v>44925</v>
      </c>
      <c r="WBN616" s="5" t="s">
        <v>3728</v>
      </c>
      <c r="WBO616" s="17">
        <v>44925</v>
      </c>
      <c r="WBP616" s="5" t="s">
        <v>3728</v>
      </c>
      <c r="WBQ616" s="17">
        <v>44925</v>
      </c>
      <c r="WBR616" s="5" t="s">
        <v>3728</v>
      </c>
      <c r="WBS616" s="17">
        <v>44925</v>
      </c>
      <c r="WBT616" s="5" t="s">
        <v>3728</v>
      </c>
      <c r="WBU616" s="17">
        <v>44925</v>
      </c>
      <c r="WBV616" s="5" t="s">
        <v>3728</v>
      </c>
      <c r="WBW616" s="17">
        <v>44925</v>
      </c>
      <c r="WBX616" s="5" t="s">
        <v>3728</v>
      </c>
      <c r="WBY616" s="17">
        <v>44925</v>
      </c>
      <c r="WBZ616" s="5" t="s">
        <v>3728</v>
      </c>
      <c r="WCA616" s="17">
        <v>44925</v>
      </c>
      <c r="WCB616" s="5" t="s">
        <v>3728</v>
      </c>
      <c r="WCC616" s="17">
        <v>44925</v>
      </c>
      <c r="WCD616" s="5" t="s">
        <v>3728</v>
      </c>
      <c r="WCE616" s="17">
        <v>44925</v>
      </c>
      <c r="WCF616" s="5" t="s">
        <v>3728</v>
      </c>
      <c r="WCG616" s="17">
        <v>44925</v>
      </c>
      <c r="WCH616" s="5" t="s">
        <v>3728</v>
      </c>
      <c r="WCI616" s="17">
        <v>44925</v>
      </c>
      <c r="WCJ616" s="5" t="s">
        <v>3728</v>
      </c>
      <c r="WCK616" s="17">
        <v>44925</v>
      </c>
      <c r="WCL616" s="5" t="s">
        <v>3728</v>
      </c>
      <c r="WCM616" s="17">
        <v>44925</v>
      </c>
      <c r="WCN616" s="5" t="s">
        <v>3728</v>
      </c>
      <c r="WCO616" s="17">
        <v>44925</v>
      </c>
      <c r="WCP616" s="5" t="s">
        <v>3728</v>
      </c>
      <c r="WCQ616" s="17">
        <v>44925</v>
      </c>
      <c r="WCR616" s="5" t="s">
        <v>3728</v>
      </c>
      <c r="WCS616" s="17">
        <v>44925</v>
      </c>
      <c r="WCT616" s="5" t="s">
        <v>3728</v>
      </c>
      <c r="WCU616" s="17">
        <v>44925</v>
      </c>
      <c r="WCV616" s="5" t="s">
        <v>3728</v>
      </c>
      <c r="WCW616" s="17">
        <v>44925</v>
      </c>
      <c r="WCX616" s="5" t="s">
        <v>3728</v>
      </c>
      <c r="WCY616" s="17">
        <v>44925</v>
      </c>
      <c r="WCZ616" s="5" t="s">
        <v>3728</v>
      </c>
      <c r="WDA616" s="17">
        <v>44925</v>
      </c>
      <c r="WDB616" s="5" t="s">
        <v>3728</v>
      </c>
      <c r="WDC616" s="17">
        <v>44925</v>
      </c>
      <c r="WDD616" s="5" t="s">
        <v>3728</v>
      </c>
      <c r="WDE616" s="17">
        <v>44925</v>
      </c>
      <c r="WDF616" s="5" t="s">
        <v>3728</v>
      </c>
      <c r="WDG616" s="17">
        <v>44925</v>
      </c>
      <c r="WDH616" s="5" t="s">
        <v>3728</v>
      </c>
      <c r="WDI616" s="17">
        <v>44925</v>
      </c>
      <c r="WDJ616" s="5" t="s">
        <v>3728</v>
      </c>
      <c r="WDK616" s="17">
        <v>44925</v>
      </c>
      <c r="WDL616" s="5" t="s">
        <v>3728</v>
      </c>
      <c r="WDM616" s="17">
        <v>44925</v>
      </c>
      <c r="WDN616" s="5" t="s">
        <v>3728</v>
      </c>
      <c r="WDO616" s="17">
        <v>44925</v>
      </c>
      <c r="WDP616" s="5" t="s">
        <v>3728</v>
      </c>
      <c r="WDQ616" s="17">
        <v>44925</v>
      </c>
      <c r="WDR616" s="5" t="s">
        <v>3728</v>
      </c>
      <c r="WDS616" s="17">
        <v>44925</v>
      </c>
      <c r="WDT616" s="5" t="s">
        <v>3728</v>
      </c>
      <c r="WDU616" s="17">
        <v>44925</v>
      </c>
      <c r="WDV616" s="5" t="s">
        <v>3728</v>
      </c>
      <c r="WDW616" s="17">
        <v>44925</v>
      </c>
      <c r="WDX616" s="5" t="s">
        <v>3728</v>
      </c>
      <c r="WDY616" s="17">
        <v>44925</v>
      </c>
      <c r="WDZ616" s="5" t="s">
        <v>3728</v>
      </c>
      <c r="WEA616" s="17">
        <v>44925</v>
      </c>
      <c r="WEB616" s="5" t="s">
        <v>3728</v>
      </c>
      <c r="WEC616" s="17">
        <v>44925</v>
      </c>
      <c r="WED616" s="5" t="s">
        <v>3728</v>
      </c>
      <c r="WEE616" s="17">
        <v>44925</v>
      </c>
      <c r="WEF616" s="5" t="s">
        <v>3728</v>
      </c>
      <c r="WEG616" s="17">
        <v>44925</v>
      </c>
      <c r="WEH616" s="5" t="s">
        <v>3728</v>
      </c>
      <c r="WEI616" s="17">
        <v>44925</v>
      </c>
      <c r="WEJ616" s="5" t="s">
        <v>3728</v>
      </c>
      <c r="WEK616" s="17">
        <v>44925</v>
      </c>
      <c r="WEL616" s="5" t="s">
        <v>3728</v>
      </c>
      <c r="WEM616" s="17">
        <v>44925</v>
      </c>
      <c r="WEN616" s="5" t="s">
        <v>3728</v>
      </c>
      <c r="WEO616" s="17">
        <v>44925</v>
      </c>
      <c r="WEP616" s="5" t="s">
        <v>3728</v>
      </c>
      <c r="WEQ616" s="17">
        <v>44925</v>
      </c>
      <c r="WER616" s="5" t="s">
        <v>3728</v>
      </c>
      <c r="WES616" s="17">
        <v>44925</v>
      </c>
      <c r="WET616" s="5" t="s">
        <v>3728</v>
      </c>
      <c r="WEU616" s="17">
        <v>44925</v>
      </c>
      <c r="WEV616" s="5" t="s">
        <v>3728</v>
      </c>
      <c r="WEW616" s="17">
        <v>44925</v>
      </c>
      <c r="WEX616" s="5" t="s">
        <v>3728</v>
      </c>
      <c r="WEY616" s="17">
        <v>44925</v>
      </c>
      <c r="WEZ616" s="5" t="s">
        <v>3728</v>
      </c>
      <c r="WFA616" s="17">
        <v>44925</v>
      </c>
      <c r="WFB616" s="5" t="s">
        <v>3728</v>
      </c>
      <c r="WFC616" s="17">
        <v>44925</v>
      </c>
      <c r="WFD616" s="5" t="s">
        <v>3728</v>
      </c>
      <c r="WFE616" s="17">
        <v>44925</v>
      </c>
      <c r="WFF616" s="5" t="s">
        <v>3728</v>
      </c>
      <c r="WFG616" s="17">
        <v>44925</v>
      </c>
      <c r="WFH616" s="5" t="s">
        <v>3728</v>
      </c>
      <c r="WFI616" s="17">
        <v>44925</v>
      </c>
      <c r="WFJ616" s="5" t="s">
        <v>3728</v>
      </c>
      <c r="WFK616" s="17">
        <v>44925</v>
      </c>
      <c r="WFL616" s="5" t="s">
        <v>3728</v>
      </c>
      <c r="WFM616" s="17">
        <v>44925</v>
      </c>
      <c r="WFN616" s="5" t="s">
        <v>3728</v>
      </c>
      <c r="WFO616" s="17">
        <v>44925</v>
      </c>
      <c r="WFP616" s="5" t="s">
        <v>3728</v>
      </c>
      <c r="WFQ616" s="17">
        <v>44925</v>
      </c>
      <c r="WFR616" s="5" t="s">
        <v>3728</v>
      </c>
      <c r="WFS616" s="17">
        <v>44925</v>
      </c>
      <c r="WFT616" s="5" t="s">
        <v>3728</v>
      </c>
      <c r="WFU616" s="17">
        <v>44925</v>
      </c>
      <c r="WFV616" s="5" t="s">
        <v>3728</v>
      </c>
      <c r="WFW616" s="17">
        <v>44925</v>
      </c>
      <c r="WFX616" s="5" t="s">
        <v>3728</v>
      </c>
      <c r="WFY616" s="17">
        <v>44925</v>
      </c>
      <c r="WFZ616" s="5" t="s">
        <v>3728</v>
      </c>
      <c r="WGA616" s="17">
        <v>44925</v>
      </c>
      <c r="WGB616" s="5" t="s">
        <v>3728</v>
      </c>
      <c r="WGC616" s="17">
        <v>44925</v>
      </c>
      <c r="WGD616" s="5" t="s">
        <v>3728</v>
      </c>
      <c r="WGE616" s="17">
        <v>44925</v>
      </c>
      <c r="WGF616" s="5" t="s">
        <v>3728</v>
      </c>
      <c r="WGG616" s="17">
        <v>44925</v>
      </c>
      <c r="WGH616" s="5" t="s">
        <v>3728</v>
      </c>
      <c r="WGI616" s="17">
        <v>44925</v>
      </c>
      <c r="WGJ616" s="5" t="s">
        <v>3728</v>
      </c>
      <c r="WGK616" s="17">
        <v>44925</v>
      </c>
      <c r="WGL616" s="5" t="s">
        <v>3728</v>
      </c>
      <c r="WGM616" s="17">
        <v>44925</v>
      </c>
      <c r="WGN616" s="5" t="s">
        <v>3728</v>
      </c>
      <c r="WGO616" s="17">
        <v>44925</v>
      </c>
      <c r="WGP616" s="5" t="s">
        <v>3728</v>
      </c>
      <c r="WGQ616" s="17">
        <v>44925</v>
      </c>
      <c r="WGR616" s="5" t="s">
        <v>3728</v>
      </c>
      <c r="WGS616" s="17">
        <v>44925</v>
      </c>
      <c r="WGT616" s="5" t="s">
        <v>3728</v>
      </c>
      <c r="WGU616" s="17">
        <v>44925</v>
      </c>
      <c r="WGV616" s="5" t="s">
        <v>3728</v>
      </c>
      <c r="WGW616" s="17">
        <v>44925</v>
      </c>
      <c r="WGX616" s="5" t="s">
        <v>3728</v>
      </c>
      <c r="WGY616" s="17">
        <v>44925</v>
      </c>
      <c r="WGZ616" s="5" t="s">
        <v>3728</v>
      </c>
      <c r="WHA616" s="17">
        <v>44925</v>
      </c>
      <c r="WHB616" s="5" t="s">
        <v>3728</v>
      </c>
      <c r="WHC616" s="17">
        <v>44925</v>
      </c>
      <c r="WHD616" s="5" t="s">
        <v>3728</v>
      </c>
      <c r="WHE616" s="17">
        <v>44925</v>
      </c>
      <c r="WHF616" s="5" t="s">
        <v>3728</v>
      </c>
      <c r="WHG616" s="17">
        <v>44925</v>
      </c>
      <c r="WHH616" s="5" t="s">
        <v>3728</v>
      </c>
      <c r="WHI616" s="17">
        <v>44925</v>
      </c>
      <c r="WHJ616" s="5" t="s">
        <v>3728</v>
      </c>
      <c r="WHK616" s="17">
        <v>44925</v>
      </c>
      <c r="WHL616" s="5" t="s">
        <v>3728</v>
      </c>
      <c r="WHM616" s="17">
        <v>44925</v>
      </c>
      <c r="WHN616" s="5" t="s">
        <v>3728</v>
      </c>
      <c r="WHO616" s="17">
        <v>44925</v>
      </c>
      <c r="WHP616" s="5" t="s">
        <v>3728</v>
      </c>
      <c r="WHQ616" s="17">
        <v>44925</v>
      </c>
      <c r="WHR616" s="5" t="s">
        <v>3728</v>
      </c>
      <c r="WHS616" s="17">
        <v>44925</v>
      </c>
      <c r="WHT616" s="5" t="s">
        <v>3728</v>
      </c>
      <c r="WHU616" s="17">
        <v>44925</v>
      </c>
      <c r="WHV616" s="5" t="s">
        <v>3728</v>
      </c>
      <c r="WHW616" s="17">
        <v>44925</v>
      </c>
      <c r="WHX616" s="5" t="s">
        <v>3728</v>
      </c>
      <c r="WHY616" s="17">
        <v>44925</v>
      </c>
      <c r="WHZ616" s="5" t="s">
        <v>3728</v>
      </c>
      <c r="WIA616" s="17">
        <v>44925</v>
      </c>
      <c r="WIB616" s="5" t="s">
        <v>3728</v>
      </c>
      <c r="WIC616" s="17">
        <v>44925</v>
      </c>
      <c r="WID616" s="5" t="s">
        <v>3728</v>
      </c>
      <c r="WIE616" s="17">
        <v>44925</v>
      </c>
      <c r="WIF616" s="5" t="s">
        <v>3728</v>
      </c>
      <c r="WIG616" s="17">
        <v>44925</v>
      </c>
      <c r="WIH616" s="5" t="s">
        <v>3728</v>
      </c>
      <c r="WII616" s="17">
        <v>44925</v>
      </c>
      <c r="WIJ616" s="5" t="s">
        <v>3728</v>
      </c>
      <c r="WIK616" s="17">
        <v>44925</v>
      </c>
      <c r="WIL616" s="5" t="s">
        <v>3728</v>
      </c>
      <c r="WIM616" s="17">
        <v>44925</v>
      </c>
      <c r="WIN616" s="5" t="s">
        <v>3728</v>
      </c>
      <c r="WIO616" s="17">
        <v>44925</v>
      </c>
      <c r="WIP616" s="5" t="s">
        <v>3728</v>
      </c>
      <c r="WIQ616" s="17">
        <v>44925</v>
      </c>
      <c r="WIR616" s="5" t="s">
        <v>3728</v>
      </c>
      <c r="WIS616" s="17">
        <v>44925</v>
      </c>
      <c r="WIT616" s="5" t="s">
        <v>3728</v>
      </c>
      <c r="WIU616" s="17">
        <v>44925</v>
      </c>
      <c r="WIV616" s="5" t="s">
        <v>3728</v>
      </c>
      <c r="WIW616" s="17">
        <v>44925</v>
      </c>
      <c r="WIX616" s="5" t="s">
        <v>3728</v>
      </c>
      <c r="WIY616" s="17">
        <v>44925</v>
      </c>
      <c r="WIZ616" s="5" t="s">
        <v>3728</v>
      </c>
      <c r="WJA616" s="17">
        <v>44925</v>
      </c>
      <c r="WJB616" s="5" t="s">
        <v>3728</v>
      </c>
      <c r="WJC616" s="17">
        <v>44925</v>
      </c>
      <c r="WJD616" s="5" t="s">
        <v>3728</v>
      </c>
      <c r="WJE616" s="17">
        <v>44925</v>
      </c>
      <c r="WJF616" s="5" t="s">
        <v>3728</v>
      </c>
      <c r="WJG616" s="17">
        <v>44925</v>
      </c>
      <c r="WJH616" s="5" t="s">
        <v>3728</v>
      </c>
      <c r="WJI616" s="17">
        <v>44925</v>
      </c>
      <c r="WJJ616" s="5" t="s">
        <v>3728</v>
      </c>
      <c r="WJK616" s="17">
        <v>44925</v>
      </c>
      <c r="WJL616" s="5" t="s">
        <v>3728</v>
      </c>
      <c r="WJM616" s="17">
        <v>44925</v>
      </c>
      <c r="WJN616" s="5" t="s">
        <v>3728</v>
      </c>
      <c r="WJO616" s="17">
        <v>44925</v>
      </c>
      <c r="WJP616" s="5" t="s">
        <v>3728</v>
      </c>
      <c r="WJQ616" s="17">
        <v>44925</v>
      </c>
      <c r="WJR616" s="5" t="s">
        <v>3728</v>
      </c>
      <c r="WJS616" s="17">
        <v>44925</v>
      </c>
      <c r="WJT616" s="5" t="s">
        <v>3728</v>
      </c>
      <c r="WJU616" s="17">
        <v>44925</v>
      </c>
      <c r="WJV616" s="5" t="s">
        <v>3728</v>
      </c>
      <c r="WJW616" s="17">
        <v>44925</v>
      </c>
      <c r="WJX616" s="5" t="s">
        <v>3728</v>
      </c>
      <c r="WJY616" s="17">
        <v>44925</v>
      </c>
      <c r="WJZ616" s="5" t="s">
        <v>3728</v>
      </c>
      <c r="WKA616" s="17">
        <v>44925</v>
      </c>
      <c r="WKB616" s="5" t="s">
        <v>3728</v>
      </c>
      <c r="WKC616" s="17">
        <v>44925</v>
      </c>
      <c r="WKD616" s="5" t="s">
        <v>3728</v>
      </c>
      <c r="WKE616" s="17">
        <v>44925</v>
      </c>
      <c r="WKF616" s="5" t="s">
        <v>3728</v>
      </c>
      <c r="WKG616" s="17">
        <v>44925</v>
      </c>
      <c r="WKH616" s="5" t="s">
        <v>3728</v>
      </c>
      <c r="WKI616" s="17">
        <v>44925</v>
      </c>
      <c r="WKJ616" s="5" t="s">
        <v>3728</v>
      </c>
      <c r="WKK616" s="17">
        <v>44925</v>
      </c>
      <c r="WKL616" s="5" t="s">
        <v>3728</v>
      </c>
      <c r="WKM616" s="17">
        <v>44925</v>
      </c>
      <c r="WKN616" s="5" t="s">
        <v>3728</v>
      </c>
      <c r="WKO616" s="17">
        <v>44925</v>
      </c>
      <c r="WKP616" s="5" t="s">
        <v>3728</v>
      </c>
      <c r="WKQ616" s="17">
        <v>44925</v>
      </c>
      <c r="WKR616" s="5" t="s">
        <v>3728</v>
      </c>
      <c r="WKS616" s="17">
        <v>44925</v>
      </c>
      <c r="WKT616" s="5" t="s">
        <v>3728</v>
      </c>
      <c r="WKU616" s="17">
        <v>44925</v>
      </c>
      <c r="WKV616" s="5" t="s">
        <v>3728</v>
      </c>
      <c r="WKW616" s="17">
        <v>44925</v>
      </c>
      <c r="WKX616" s="5" t="s">
        <v>3728</v>
      </c>
      <c r="WKY616" s="17">
        <v>44925</v>
      </c>
      <c r="WKZ616" s="5" t="s">
        <v>3728</v>
      </c>
      <c r="WLA616" s="17">
        <v>44925</v>
      </c>
      <c r="WLB616" s="5" t="s">
        <v>3728</v>
      </c>
      <c r="WLC616" s="17">
        <v>44925</v>
      </c>
      <c r="WLD616" s="5" t="s">
        <v>3728</v>
      </c>
      <c r="WLE616" s="17">
        <v>44925</v>
      </c>
      <c r="WLF616" s="5" t="s">
        <v>3728</v>
      </c>
      <c r="WLG616" s="17">
        <v>44925</v>
      </c>
      <c r="WLH616" s="5" t="s">
        <v>3728</v>
      </c>
      <c r="WLI616" s="17">
        <v>44925</v>
      </c>
      <c r="WLJ616" s="5" t="s">
        <v>3728</v>
      </c>
      <c r="WLK616" s="17">
        <v>44925</v>
      </c>
      <c r="WLL616" s="5" t="s">
        <v>3728</v>
      </c>
      <c r="WLM616" s="17">
        <v>44925</v>
      </c>
      <c r="WLN616" s="5" t="s">
        <v>3728</v>
      </c>
      <c r="WLO616" s="17">
        <v>44925</v>
      </c>
      <c r="WLP616" s="5" t="s">
        <v>3728</v>
      </c>
      <c r="WLQ616" s="17">
        <v>44925</v>
      </c>
      <c r="WLR616" s="5" t="s">
        <v>3728</v>
      </c>
      <c r="WLS616" s="17">
        <v>44925</v>
      </c>
      <c r="WLT616" s="5" t="s">
        <v>3728</v>
      </c>
      <c r="WLU616" s="17">
        <v>44925</v>
      </c>
      <c r="WLV616" s="5" t="s">
        <v>3728</v>
      </c>
      <c r="WLW616" s="17">
        <v>44925</v>
      </c>
      <c r="WLX616" s="5" t="s">
        <v>3728</v>
      </c>
      <c r="WLY616" s="17">
        <v>44925</v>
      </c>
      <c r="WLZ616" s="5" t="s">
        <v>3728</v>
      </c>
      <c r="WMA616" s="17">
        <v>44925</v>
      </c>
      <c r="WMB616" s="5" t="s">
        <v>3728</v>
      </c>
      <c r="WMC616" s="17">
        <v>44925</v>
      </c>
      <c r="WMD616" s="5" t="s">
        <v>3728</v>
      </c>
      <c r="WME616" s="17">
        <v>44925</v>
      </c>
      <c r="WMF616" s="5" t="s">
        <v>3728</v>
      </c>
      <c r="WMG616" s="17">
        <v>44925</v>
      </c>
      <c r="WMH616" s="5" t="s">
        <v>3728</v>
      </c>
      <c r="WMI616" s="17">
        <v>44925</v>
      </c>
      <c r="WMJ616" s="5" t="s">
        <v>3728</v>
      </c>
      <c r="WMK616" s="17">
        <v>44925</v>
      </c>
      <c r="WML616" s="5" t="s">
        <v>3728</v>
      </c>
      <c r="WMM616" s="17">
        <v>44925</v>
      </c>
      <c r="WMN616" s="5" t="s">
        <v>3728</v>
      </c>
      <c r="WMO616" s="17">
        <v>44925</v>
      </c>
      <c r="WMP616" s="5" t="s">
        <v>3728</v>
      </c>
      <c r="WMQ616" s="17">
        <v>44925</v>
      </c>
      <c r="WMR616" s="5" t="s">
        <v>3728</v>
      </c>
      <c r="WMS616" s="17">
        <v>44925</v>
      </c>
      <c r="WMT616" s="5" t="s">
        <v>3728</v>
      </c>
      <c r="WMU616" s="17">
        <v>44925</v>
      </c>
      <c r="WMV616" s="5" t="s">
        <v>3728</v>
      </c>
      <c r="WMW616" s="17">
        <v>44925</v>
      </c>
      <c r="WMX616" s="5" t="s">
        <v>3728</v>
      </c>
      <c r="WMY616" s="17">
        <v>44925</v>
      </c>
      <c r="WMZ616" s="5" t="s">
        <v>3728</v>
      </c>
      <c r="WNA616" s="17">
        <v>44925</v>
      </c>
      <c r="WNB616" s="5" t="s">
        <v>3728</v>
      </c>
      <c r="WNC616" s="17">
        <v>44925</v>
      </c>
      <c r="WND616" s="5" t="s">
        <v>3728</v>
      </c>
      <c r="WNE616" s="17">
        <v>44925</v>
      </c>
      <c r="WNF616" s="5" t="s">
        <v>3728</v>
      </c>
      <c r="WNG616" s="17">
        <v>44925</v>
      </c>
      <c r="WNH616" s="5" t="s">
        <v>3728</v>
      </c>
      <c r="WNI616" s="17">
        <v>44925</v>
      </c>
      <c r="WNJ616" s="5" t="s">
        <v>3728</v>
      </c>
      <c r="WNK616" s="17">
        <v>44925</v>
      </c>
      <c r="WNL616" s="5" t="s">
        <v>3728</v>
      </c>
      <c r="WNM616" s="17">
        <v>44925</v>
      </c>
      <c r="WNN616" s="5" t="s">
        <v>3728</v>
      </c>
      <c r="WNO616" s="17">
        <v>44925</v>
      </c>
      <c r="WNP616" s="5" t="s">
        <v>3728</v>
      </c>
      <c r="WNQ616" s="17">
        <v>44925</v>
      </c>
      <c r="WNR616" s="5" t="s">
        <v>3728</v>
      </c>
      <c r="WNS616" s="17">
        <v>44925</v>
      </c>
      <c r="WNT616" s="5" t="s">
        <v>3728</v>
      </c>
      <c r="WNU616" s="17">
        <v>44925</v>
      </c>
      <c r="WNV616" s="5" t="s">
        <v>3728</v>
      </c>
      <c r="WNW616" s="17">
        <v>44925</v>
      </c>
      <c r="WNX616" s="5" t="s">
        <v>3728</v>
      </c>
      <c r="WNY616" s="17">
        <v>44925</v>
      </c>
      <c r="WNZ616" s="5" t="s">
        <v>3728</v>
      </c>
      <c r="WOA616" s="17">
        <v>44925</v>
      </c>
      <c r="WOB616" s="5" t="s">
        <v>3728</v>
      </c>
      <c r="WOC616" s="17">
        <v>44925</v>
      </c>
      <c r="WOD616" s="5" t="s">
        <v>3728</v>
      </c>
      <c r="WOE616" s="17">
        <v>44925</v>
      </c>
      <c r="WOF616" s="5" t="s">
        <v>3728</v>
      </c>
      <c r="WOG616" s="17">
        <v>44925</v>
      </c>
      <c r="WOH616" s="5" t="s">
        <v>3728</v>
      </c>
      <c r="WOI616" s="17">
        <v>44925</v>
      </c>
      <c r="WOJ616" s="5" t="s">
        <v>3728</v>
      </c>
      <c r="WOK616" s="17">
        <v>44925</v>
      </c>
      <c r="WOL616" s="5" t="s">
        <v>3728</v>
      </c>
      <c r="WOM616" s="17">
        <v>44925</v>
      </c>
      <c r="WON616" s="5" t="s">
        <v>3728</v>
      </c>
      <c r="WOO616" s="17">
        <v>44925</v>
      </c>
      <c r="WOP616" s="5" t="s">
        <v>3728</v>
      </c>
      <c r="WOQ616" s="17">
        <v>44925</v>
      </c>
      <c r="WOR616" s="5" t="s">
        <v>3728</v>
      </c>
      <c r="WOS616" s="17">
        <v>44925</v>
      </c>
      <c r="WOT616" s="5" t="s">
        <v>3728</v>
      </c>
      <c r="WOU616" s="17">
        <v>44925</v>
      </c>
      <c r="WOV616" s="5" t="s">
        <v>3728</v>
      </c>
      <c r="WOW616" s="17">
        <v>44925</v>
      </c>
      <c r="WOX616" s="5" t="s">
        <v>3728</v>
      </c>
      <c r="WOY616" s="17">
        <v>44925</v>
      </c>
      <c r="WOZ616" s="5" t="s">
        <v>3728</v>
      </c>
      <c r="WPA616" s="17">
        <v>44925</v>
      </c>
      <c r="WPB616" s="5" t="s">
        <v>3728</v>
      </c>
      <c r="WPC616" s="17">
        <v>44925</v>
      </c>
      <c r="WPD616" s="5" t="s">
        <v>3728</v>
      </c>
      <c r="WPE616" s="17">
        <v>44925</v>
      </c>
      <c r="WPF616" s="5" t="s">
        <v>3728</v>
      </c>
      <c r="WPG616" s="17">
        <v>44925</v>
      </c>
      <c r="WPH616" s="5" t="s">
        <v>3728</v>
      </c>
      <c r="WPI616" s="17">
        <v>44925</v>
      </c>
      <c r="WPJ616" s="5" t="s">
        <v>3728</v>
      </c>
      <c r="WPK616" s="17">
        <v>44925</v>
      </c>
      <c r="WPL616" s="5" t="s">
        <v>3728</v>
      </c>
      <c r="WPM616" s="17">
        <v>44925</v>
      </c>
      <c r="WPN616" s="5" t="s">
        <v>3728</v>
      </c>
      <c r="WPO616" s="17">
        <v>44925</v>
      </c>
      <c r="WPP616" s="5" t="s">
        <v>3728</v>
      </c>
      <c r="WPQ616" s="17">
        <v>44925</v>
      </c>
      <c r="WPR616" s="5" t="s">
        <v>3728</v>
      </c>
      <c r="WPS616" s="17">
        <v>44925</v>
      </c>
      <c r="WPT616" s="5" t="s">
        <v>3728</v>
      </c>
      <c r="WPU616" s="17">
        <v>44925</v>
      </c>
      <c r="WPV616" s="5" t="s">
        <v>3728</v>
      </c>
      <c r="WPW616" s="17">
        <v>44925</v>
      </c>
      <c r="WPX616" s="5" t="s">
        <v>3728</v>
      </c>
      <c r="WPY616" s="17">
        <v>44925</v>
      </c>
      <c r="WPZ616" s="5" t="s">
        <v>3728</v>
      </c>
      <c r="WQA616" s="17">
        <v>44925</v>
      </c>
      <c r="WQB616" s="5" t="s">
        <v>3728</v>
      </c>
      <c r="WQC616" s="17">
        <v>44925</v>
      </c>
      <c r="WQD616" s="5" t="s">
        <v>3728</v>
      </c>
      <c r="WQE616" s="17">
        <v>44925</v>
      </c>
      <c r="WQF616" s="5" t="s">
        <v>3728</v>
      </c>
      <c r="WQG616" s="17">
        <v>44925</v>
      </c>
      <c r="WQH616" s="5" t="s">
        <v>3728</v>
      </c>
      <c r="WQI616" s="17">
        <v>44925</v>
      </c>
      <c r="WQJ616" s="5" t="s">
        <v>3728</v>
      </c>
      <c r="WQK616" s="17">
        <v>44925</v>
      </c>
      <c r="WQL616" s="5" t="s">
        <v>3728</v>
      </c>
      <c r="WQM616" s="17">
        <v>44925</v>
      </c>
      <c r="WQN616" s="5" t="s">
        <v>3728</v>
      </c>
      <c r="WQO616" s="17">
        <v>44925</v>
      </c>
      <c r="WQP616" s="5" t="s">
        <v>3728</v>
      </c>
      <c r="WQQ616" s="17">
        <v>44925</v>
      </c>
      <c r="WQR616" s="5" t="s">
        <v>3728</v>
      </c>
      <c r="WQS616" s="17">
        <v>44925</v>
      </c>
      <c r="WQT616" s="5" t="s">
        <v>3728</v>
      </c>
      <c r="WQU616" s="17">
        <v>44925</v>
      </c>
      <c r="WQV616" s="5" t="s">
        <v>3728</v>
      </c>
      <c r="WQW616" s="17">
        <v>44925</v>
      </c>
      <c r="WQX616" s="5" t="s">
        <v>3728</v>
      </c>
      <c r="WQY616" s="17">
        <v>44925</v>
      </c>
      <c r="WQZ616" s="5" t="s">
        <v>3728</v>
      </c>
      <c r="WRA616" s="17">
        <v>44925</v>
      </c>
      <c r="WRB616" s="5" t="s">
        <v>3728</v>
      </c>
      <c r="WRC616" s="17">
        <v>44925</v>
      </c>
      <c r="WRD616" s="5" t="s">
        <v>3728</v>
      </c>
      <c r="WRE616" s="17">
        <v>44925</v>
      </c>
      <c r="WRF616" s="5" t="s">
        <v>3728</v>
      </c>
      <c r="WRG616" s="17">
        <v>44925</v>
      </c>
      <c r="WRH616" s="5" t="s">
        <v>3728</v>
      </c>
      <c r="WRI616" s="17">
        <v>44925</v>
      </c>
      <c r="WRJ616" s="5" t="s">
        <v>3728</v>
      </c>
      <c r="WRK616" s="17">
        <v>44925</v>
      </c>
      <c r="WRL616" s="5" t="s">
        <v>3728</v>
      </c>
      <c r="WRM616" s="17">
        <v>44925</v>
      </c>
      <c r="WRN616" s="5" t="s">
        <v>3728</v>
      </c>
      <c r="WRO616" s="17">
        <v>44925</v>
      </c>
      <c r="WRP616" s="5" t="s">
        <v>3728</v>
      </c>
      <c r="WRQ616" s="17">
        <v>44925</v>
      </c>
      <c r="WRR616" s="5" t="s">
        <v>3728</v>
      </c>
      <c r="WRS616" s="17">
        <v>44925</v>
      </c>
      <c r="WRT616" s="5" t="s">
        <v>3728</v>
      </c>
      <c r="WRU616" s="17">
        <v>44925</v>
      </c>
      <c r="WRV616" s="5" t="s">
        <v>3728</v>
      </c>
      <c r="WRW616" s="17">
        <v>44925</v>
      </c>
      <c r="WRX616" s="5" t="s">
        <v>3728</v>
      </c>
      <c r="WRY616" s="17">
        <v>44925</v>
      </c>
      <c r="WRZ616" s="5" t="s">
        <v>3728</v>
      </c>
      <c r="WSA616" s="17">
        <v>44925</v>
      </c>
      <c r="WSB616" s="5" t="s">
        <v>3728</v>
      </c>
      <c r="WSC616" s="17">
        <v>44925</v>
      </c>
      <c r="WSD616" s="5" t="s">
        <v>3728</v>
      </c>
      <c r="WSE616" s="17">
        <v>44925</v>
      </c>
      <c r="WSF616" s="5" t="s">
        <v>3728</v>
      </c>
      <c r="WSG616" s="17">
        <v>44925</v>
      </c>
      <c r="WSH616" s="5" t="s">
        <v>3728</v>
      </c>
      <c r="WSI616" s="17">
        <v>44925</v>
      </c>
      <c r="WSJ616" s="5" t="s">
        <v>3728</v>
      </c>
      <c r="WSK616" s="17">
        <v>44925</v>
      </c>
      <c r="WSL616" s="5" t="s">
        <v>3728</v>
      </c>
      <c r="WSM616" s="17">
        <v>44925</v>
      </c>
      <c r="WSN616" s="5" t="s">
        <v>3728</v>
      </c>
      <c r="WSO616" s="17">
        <v>44925</v>
      </c>
      <c r="WSP616" s="5" t="s">
        <v>3728</v>
      </c>
      <c r="WSQ616" s="17">
        <v>44925</v>
      </c>
      <c r="WSR616" s="5" t="s">
        <v>3728</v>
      </c>
      <c r="WSS616" s="17">
        <v>44925</v>
      </c>
      <c r="WST616" s="5" t="s">
        <v>3728</v>
      </c>
      <c r="WSU616" s="17">
        <v>44925</v>
      </c>
      <c r="WSV616" s="5" t="s">
        <v>3728</v>
      </c>
      <c r="WSW616" s="17">
        <v>44925</v>
      </c>
      <c r="WSX616" s="5" t="s">
        <v>3728</v>
      </c>
      <c r="WSY616" s="17">
        <v>44925</v>
      </c>
      <c r="WSZ616" s="5" t="s">
        <v>3728</v>
      </c>
      <c r="WTA616" s="17">
        <v>44925</v>
      </c>
      <c r="WTB616" s="5" t="s">
        <v>3728</v>
      </c>
      <c r="WTC616" s="17">
        <v>44925</v>
      </c>
      <c r="WTD616" s="5" t="s">
        <v>3728</v>
      </c>
      <c r="WTE616" s="17">
        <v>44925</v>
      </c>
      <c r="WTF616" s="5" t="s">
        <v>3728</v>
      </c>
      <c r="WTG616" s="17">
        <v>44925</v>
      </c>
      <c r="WTH616" s="5" t="s">
        <v>3728</v>
      </c>
      <c r="WTI616" s="17">
        <v>44925</v>
      </c>
      <c r="WTJ616" s="5" t="s">
        <v>3728</v>
      </c>
      <c r="WTK616" s="17">
        <v>44925</v>
      </c>
      <c r="WTL616" s="5" t="s">
        <v>3728</v>
      </c>
      <c r="WTM616" s="17">
        <v>44925</v>
      </c>
      <c r="WTN616" s="5" t="s">
        <v>3728</v>
      </c>
      <c r="WTO616" s="17">
        <v>44925</v>
      </c>
      <c r="WTP616" s="5" t="s">
        <v>3728</v>
      </c>
      <c r="WTQ616" s="17">
        <v>44925</v>
      </c>
      <c r="WTR616" s="5" t="s">
        <v>3728</v>
      </c>
      <c r="WTS616" s="17">
        <v>44925</v>
      </c>
      <c r="WTT616" s="5" t="s">
        <v>3728</v>
      </c>
      <c r="WTU616" s="17">
        <v>44925</v>
      </c>
      <c r="WTV616" s="5" t="s">
        <v>3728</v>
      </c>
      <c r="WTW616" s="17">
        <v>44925</v>
      </c>
      <c r="WTX616" s="5" t="s">
        <v>3728</v>
      </c>
      <c r="WTY616" s="17">
        <v>44925</v>
      </c>
      <c r="WTZ616" s="5" t="s">
        <v>3728</v>
      </c>
      <c r="WUA616" s="17">
        <v>44925</v>
      </c>
      <c r="WUB616" s="5" t="s">
        <v>3728</v>
      </c>
      <c r="WUC616" s="17">
        <v>44925</v>
      </c>
      <c r="WUD616" s="5" t="s">
        <v>3728</v>
      </c>
      <c r="WUE616" s="17">
        <v>44925</v>
      </c>
      <c r="WUF616" s="5" t="s">
        <v>3728</v>
      </c>
      <c r="WUG616" s="17">
        <v>44925</v>
      </c>
      <c r="WUH616" s="5" t="s">
        <v>3728</v>
      </c>
      <c r="WUI616" s="17">
        <v>44925</v>
      </c>
      <c r="WUJ616" s="5" t="s">
        <v>3728</v>
      </c>
      <c r="WUK616" s="17">
        <v>44925</v>
      </c>
      <c r="WUL616" s="5" t="s">
        <v>3728</v>
      </c>
      <c r="WUM616" s="17">
        <v>44925</v>
      </c>
      <c r="WUN616" s="5" t="s">
        <v>3728</v>
      </c>
      <c r="WUO616" s="17">
        <v>44925</v>
      </c>
      <c r="WUP616" s="5" t="s">
        <v>3728</v>
      </c>
      <c r="WUQ616" s="17">
        <v>44925</v>
      </c>
      <c r="WUR616" s="5" t="s">
        <v>3728</v>
      </c>
      <c r="WUS616" s="17">
        <v>44925</v>
      </c>
      <c r="WUT616" s="5" t="s">
        <v>3728</v>
      </c>
      <c r="WUU616" s="17">
        <v>44925</v>
      </c>
      <c r="WUV616" s="5" t="s">
        <v>3728</v>
      </c>
      <c r="WUW616" s="17">
        <v>44925</v>
      </c>
      <c r="WUX616" s="5" t="s">
        <v>3728</v>
      </c>
      <c r="WUY616" s="17">
        <v>44925</v>
      </c>
      <c r="WUZ616" s="5" t="s">
        <v>3728</v>
      </c>
      <c r="WVA616" s="17">
        <v>44925</v>
      </c>
      <c r="WVB616" s="5" t="s">
        <v>3728</v>
      </c>
      <c r="WVC616" s="17">
        <v>44925</v>
      </c>
      <c r="WVD616" s="5" t="s">
        <v>3728</v>
      </c>
      <c r="WVE616" s="17">
        <v>44925</v>
      </c>
      <c r="WVF616" s="5" t="s">
        <v>3728</v>
      </c>
      <c r="WVG616" s="17">
        <v>44925</v>
      </c>
      <c r="WVH616" s="5" t="s">
        <v>3728</v>
      </c>
      <c r="WVI616" s="17">
        <v>44925</v>
      </c>
      <c r="WVJ616" s="5" t="s">
        <v>3728</v>
      </c>
      <c r="WVK616" s="17">
        <v>44925</v>
      </c>
      <c r="WVL616" s="5" t="s">
        <v>3728</v>
      </c>
      <c r="WVM616" s="17">
        <v>44925</v>
      </c>
      <c r="WVN616" s="5" t="s">
        <v>3728</v>
      </c>
      <c r="WVO616" s="17">
        <v>44925</v>
      </c>
      <c r="WVP616" s="5" t="s">
        <v>3728</v>
      </c>
      <c r="WVQ616" s="17">
        <v>44925</v>
      </c>
      <c r="WVR616" s="5" t="s">
        <v>3728</v>
      </c>
      <c r="WVS616" s="17">
        <v>44925</v>
      </c>
      <c r="WVT616" s="5" t="s">
        <v>3728</v>
      </c>
      <c r="WVU616" s="17">
        <v>44925</v>
      </c>
      <c r="WVV616" s="5" t="s">
        <v>3728</v>
      </c>
      <c r="WVW616" s="17">
        <v>44925</v>
      </c>
      <c r="WVX616" s="5" t="s">
        <v>3728</v>
      </c>
      <c r="WVY616" s="17">
        <v>44925</v>
      </c>
      <c r="WVZ616" s="5" t="s">
        <v>3728</v>
      </c>
      <c r="WWA616" s="17">
        <v>44925</v>
      </c>
      <c r="WWB616" s="5" t="s">
        <v>3728</v>
      </c>
      <c r="WWC616" s="17">
        <v>44925</v>
      </c>
      <c r="WWD616" s="5" t="s">
        <v>3728</v>
      </c>
      <c r="WWE616" s="17">
        <v>44925</v>
      </c>
      <c r="WWF616" s="5" t="s">
        <v>3728</v>
      </c>
      <c r="WWG616" s="17">
        <v>44925</v>
      </c>
      <c r="WWH616" s="5" t="s">
        <v>3728</v>
      </c>
      <c r="WWI616" s="17">
        <v>44925</v>
      </c>
      <c r="WWJ616" s="5" t="s">
        <v>3728</v>
      </c>
      <c r="WWK616" s="17">
        <v>44925</v>
      </c>
      <c r="WWL616" s="5" t="s">
        <v>3728</v>
      </c>
      <c r="WWM616" s="17">
        <v>44925</v>
      </c>
      <c r="WWN616" s="5" t="s">
        <v>3728</v>
      </c>
      <c r="WWO616" s="17">
        <v>44925</v>
      </c>
      <c r="WWP616" s="5" t="s">
        <v>3728</v>
      </c>
      <c r="WWQ616" s="17">
        <v>44925</v>
      </c>
      <c r="WWR616" s="5" t="s">
        <v>3728</v>
      </c>
      <c r="WWS616" s="17">
        <v>44925</v>
      </c>
      <c r="WWT616" s="5" t="s">
        <v>3728</v>
      </c>
      <c r="WWU616" s="17">
        <v>44925</v>
      </c>
      <c r="WWV616" s="5" t="s">
        <v>3728</v>
      </c>
      <c r="WWW616" s="17">
        <v>44925</v>
      </c>
      <c r="WWX616" s="5" t="s">
        <v>3728</v>
      </c>
      <c r="WWY616" s="17">
        <v>44925</v>
      </c>
      <c r="WWZ616" s="5" t="s">
        <v>3728</v>
      </c>
      <c r="WXA616" s="17">
        <v>44925</v>
      </c>
      <c r="WXB616" s="5" t="s">
        <v>3728</v>
      </c>
      <c r="WXC616" s="17">
        <v>44925</v>
      </c>
      <c r="WXD616" s="5" t="s">
        <v>3728</v>
      </c>
      <c r="WXE616" s="17">
        <v>44925</v>
      </c>
      <c r="WXF616" s="5" t="s">
        <v>3728</v>
      </c>
      <c r="WXG616" s="17">
        <v>44925</v>
      </c>
      <c r="WXH616" s="5" t="s">
        <v>3728</v>
      </c>
      <c r="WXI616" s="17">
        <v>44925</v>
      </c>
      <c r="WXJ616" s="5" t="s">
        <v>3728</v>
      </c>
      <c r="WXK616" s="17">
        <v>44925</v>
      </c>
      <c r="WXL616" s="5" t="s">
        <v>3728</v>
      </c>
      <c r="WXM616" s="17">
        <v>44925</v>
      </c>
      <c r="WXN616" s="5" t="s">
        <v>3728</v>
      </c>
      <c r="WXO616" s="17">
        <v>44925</v>
      </c>
      <c r="WXP616" s="5" t="s">
        <v>3728</v>
      </c>
      <c r="WXQ616" s="17">
        <v>44925</v>
      </c>
      <c r="WXR616" s="5" t="s">
        <v>3728</v>
      </c>
      <c r="WXS616" s="17">
        <v>44925</v>
      </c>
      <c r="WXT616" s="5" t="s">
        <v>3728</v>
      </c>
      <c r="WXU616" s="17">
        <v>44925</v>
      </c>
      <c r="WXV616" s="5" t="s">
        <v>3728</v>
      </c>
      <c r="WXW616" s="17">
        <v>44925</v>
      </c>
      <c r="WXX616" s="5" t="s">
        <v>3728</v>
      </c>
      <c r="WXY616" s="17">
        <v>44925</v>
      </c>
      <c r="WXZ616" s="5" t="s">
        <v>3728</v>
      </c>
      <c r="WYA616" s="17">
        <v>44925</v>
      </c>
      <c r="WYB616" s="5" t="s">
        <v>3728</v>
      </c>
      <c r="WYC616" s="17">
        <v>44925</v>
      </c>
      <c r="WYD616" s="5" t="s">
        <v>3728</v>
      </c>
      <c r="WYE616" s="17">
        <v>44925</v>
      </c>
      <c r="WYF616" s="5" t="s">
        <v>3728</v>
      </c>
      <c r="WYG616" s="17">
        <v>44925</v>
      </c>
      <c r="WYH616" s="5" t="s">
        <v>3728</v>
      </c>
      <c r="WYI616" s="17">
        <v>44925</v>
      </c>
      <c r="WYJ616" s="5" t="s">
        <v>3728</v>
      </c>
      <c r="WYK616" s="17">
        <v>44925</v>
      </c>
      <c r="WYL616" s="5" t="s">
        <v>3728</v>
      </c>
      <c r="WYM616" s="17">
        <v>44925</v>
      </c>
      <c r="WYN616" s="5" t="s">
        <v>3728</v>
      </c>
      <c r="WYO616" s="17">
        <v>44925</v>
      </c>
      <c r="WYP616" s="5" t="s">
        <v>3728</v>
      </c>
      <c r="WYQ616" s="17">
        <v>44925</v>
      </c>
      <c r="WYR616" s="5" t="s">
        <v>3728</v>
      </c>
      <c r="WYS616" s="17">
        <v>44925</v>
      </c>
      <c r="WYT616" s="5" t="s">
        <v>3728</v>
      </c>
      <c r="WYU616" s="17">
        <v>44925</v>
      </c>
      <c r="WYV616" s="5" t="s">
        <v>3728</v>
      </c>
      <c r="WYW616" s="17">
        <v>44925</v>
      </c>
      <c r="WYX616" s="5" t="s">
        <v>3728</v>
      </c>
      <c r="WYY616" s="17">
        <v>44925</v>
      </c>
      <c r="WYZ616" s="5" t="s">
        <v>3728</v>
      </c>
      <c r="WZA616" s="17">
        <v>44925</v>
      </c>
      <c r="WZB616" s="5" t="s">
        <v>3728</v>
      </c>
      <c r="WZC616" s="17">
        <v>44925</v>
      </c>
      <c r="WZD616" s="5" t="s">
        <v>3728</v>
      </c>
      <c r="WZE616" s="17">
        <v>44925</v>
      </c>
      <c r="WZF616" s="5" t="s">
        <v>3728</v>
      </c>
      <c r="WZG616" s="17">
        <v>44925</v>
      </c>
      <c r="WZH616" s="5" t="s">
        <v>3728</v>
      </c>
      <c r="WZI616" s="17">
        <v>44925</v>
      </c>
      <c r="WZJ616" s="5" t="s">
        <v>3728</v>
      </c>
      <c r="WZK616" s="17">
        <v>44925</v>
      </c>
      <c r="WZL616" s="5" t="s">
        <v>3728</v>
      </c>
      <c r="WZM616" s="17">
        <v>44925</v>
      </c>
      <c r="WZN616" s="5" t="s">
        <v>3728</v>
      </c>
      <c r="WZO616" s="17">
        <v>44925</v>
      </c>
      <c r="WZP616" s="5" t="s">
        <v>3728</v>
      </c>
      <c r="WZQ616" s="17">
        <v>44925</v>
      </c>
      <c r="WZR616" s="5" t="s">
        <v>3728</v>
      </c>
      <c r="WZS616" s="17">
        <v>44925</v>
      </c>
      <c r="WZT616" s="5" t="s">
        <v>3728</v>
      </c>
      <c r="WZU616" s="17">
        <v>44925</v>
      </c>
      <c r="WZV616" s="5" t="s">
        <v>3728</v>
      </c>
      <c r="WZW616" s="17">
        <v>44925</v>
      </c>
      <c r="WZX616" s="5" t="s">
        <v>3728</v>
      </c>
      <c r="WZY616" s="17">
        <v>44925</v>
      </c>
      <c r="WZZ616" s="5" t="s">
        <v>3728</v>
      </c>
      <c r="XAA616" s="17">
        <v>44925</v>
      </c>
      <c r="XAB616" s="5" t="s">
        <v>3728</v>
      </c>
      <c r="XAC616" s="17">
        <v>44925</v>
      </c>
      <c r="XAD616" s="5" t="s">
        <v>3728</v>
      </c>
      <c r="XAE616" s="17">
        <v>44925</v>
      </c>
      <c r="XAF616" s="5" t="s">
        <v>3728</v>
      </c>
      <c r="XAG616" s="17">
        <v>44925</v>
      </c>
      <c r="XAH616" s="5" t="s">
        <v>3728</v>
      </c>
      <c r="XAI616" s="17">
        <v>44925</v>
      </c>
      <c r="XAJ616" s="5" t="s">
        <v>3728</v>
      </c>
      <c r="XAK616" s="17">
        <v>44925</v>
      </c>
      <c r="XAL616" s="5" t="s">
        <v>3728</v>
      </c>
      <c r="XAM616" s="17">
        <v>44925</v>
      </c>
      <c r="XAN616" s="5" t="s">
        <v>3728</v>
      </c>
      <c r="XAO616" s="17">
        <v>44925</v>
      </c>
      <c r="XAP616" s="5" t="s">
        <v>3728</v>
      </c>
      <c r="XAQ616" s="17">
        <v>44925</v>
      </c>
      <c r="XAR616" s="5" t="s">
        <v>3728</v>
      </c>
      <c r="XAS616" s="17">
        <v>44925</v>
      </c>
      <c r="XAT616" s="5" t="s">
        <v>3728</v>
      </c>
      <c r="XAU616" s="17">
        <v>44925</v>
      </c>
      <c r="XAV616" s="5" t="s">
        <v>3728</v>
      </c>
      <c r="XAW616" s="17">
        <v>44925</v>
      </c>
      <c r="XAX616" s="5" t="s">
        <v>3728</v>
      </c>
      <c r="XAY616" s="17">
        <v>44925</v>
      </c>
      <c r="XAZ616" s="5" t="s">
        <v>3728</v>
      </c>
      <c r="XBA616" s="17">
        <v>44925</v>
      </c>
      <c r="XBB616" s="5" t="s">
        <v>3728</v>
      </c>
      <c r="XBC616" s="17">
        <v>44925</v>
      </c>
      <c r="XBD616" s="5" t="s">
        <v>3728</v>
      </c>
      <c r="XBE616" s="17">
        <v>44925</v>
      </c>
      <c r="XBF616" s="5" t="s">
        <v>3728</v>
      </c>
      <c r="XBG616" s="17">
        <v>44925</v>
      </c>
      <c r="XBH616" s="5" t="s">
        <v>3728</v>
      </c>
      <c r="XBI616" s="17">
        <v>44925</v>
      </c>
      <c r="XBJ616" s="5" t="s">
        <v>3728</v>
      </c>
      <c r="XBK616" s="17">
        <v>44925</v>
      </c>
      <c r="XBL616" s="5" t="s">
        <v>3728</v>
      </c>
      <c r="XBM616" s="17">
        <v>44925</v>
      </c>
      <c r="XBN616" s="5" t="s">
        <v>3728</v>
      </c>
      <c r="XBO616" s="17">
        <v>44925</v>
      </c>
      <c r="XBP616" s="5" t="s">
        <v>3728</v>
      </c>
      <c r="XBQ616" s="17">
        <v>44925</v>
      </c>
      <c r="XBR616" s="5" t="s">
        <v>3728</v>
      </c>
      <c r="XBS616" s="17">
        <v>44925</v>
      </c>
      <c r="XBT616" s="5" t="s">
        <v>3728</v>
      </c>
      <c r="XBU616" s="17">
        <v>44925</v>
      </c>
      <c r="XBV616" s="5" t="s">
        <v>3728</v>
      </c>
      <c r="XBW616" s="17">
        <v>44925</v>
      </c>
      <c r="XBX616" s="5" t="s">
        <v>3728</v>
      </c>
      <c r="XBY616" s="17">
        <v>44925</v>
      </c>
      <c r="XBZ616" s="5" t="s">
        <v>3728</v>
      </c>
      <c r="XCA616" s="17">
        <v>44925</v>
      </c>
      <c r="XCB616" s="5" t="s">
        <v>3728</v>
      </c>
      <c r="XCC616" s="17">
        <v>44925</v>
      </c>
      <c r="XCD616" s="5" t="s">
        <v>3728</v>
      </c>
      <c r="XCE616" s="17">
        <v>44925</v>
      </c>
      <c r="XCF616" s="5" t="s">
        <v>3728</v>
      </c>
      <c r="XCG616" s="17">
        <v>44925</v>
      </c>
      <c r="XCH616" s="5" t="s">
        <v>3728</v>
      </c>
      <c r="XCI616" s="17">
        <v>44925</v>
      </c>
      <c r="XCJ616" s="5" t="s">
        <v>3728</v>
      </c>
      <c r="XCK616" s="17">
        <v>44925</v>
      </c>
      <c r="XCL616" s="5" t="s">
        <v>3728</v>
      </c>
      <c r="XCM616" s="17">
        <v>44925</v>
      </c>
      <c r="XCN616" s="5" t="s">
        <v>3728</v>
      </c>
      <c r="XCO616" s="17">
        <v>44925</v>
      </c>
      <c r="XCP616" s="5" t="s">
        <v>3728</v>
      </c>
      <c r="XCQ616" s="17">
        <v>44925</v>
      </c>
      <c r="XCR616" s="5" t="s">
        <v>3728</v>
      </c>
      <c r="XCS616" s="17">
        <v>44925</v>
      </c>
      <c r="XCT616" s="5" t="s">
        <v>3728</v>
      </c>
      <c r="XCU616" s="17">
        <v>44925</v>
      </c>
      <c r="XCV616" s="5" t="s">
        <v>3728</v>
      </c>
      <c r="XCW616" s="17">
        <v>44925</v>
      </c>
      <c r="XCX616" s="5" t="s">
        <v>3728</v>
      </c>
      <c r="XCY616" s="17">
        <v>44925</v>
      </c>
      <c r="XCZ616" s="5" t="s">
        <v>3728</v>
      </c>
      <c r="XDA616" s="17">
        <v>44925</v>
      </c>
      <c r="XDB616" s="5" t="s">
        <v>3728</v>
      </c>
      <c r="XDC616" s="17">
        <v>44925</v>
      </c>
      <c r="XDD616" s="5" t="s">
        <v>3728</v>
      </c>
      <c r="XDE616" s="17">
        <v>44925</v>
      </c>
      <c r="XDF616" s="5" t="s">
        <v>3728</v>
      </c>
      <c r="XDG616" s="17">
        <v>44925</v>
      </c>
      <c r="XDH616" s="5" t="s">
        <v>3728</v>
      </c>
      <c r="XDI616" s="17">
        <v>44925</v>
      </c>
      <c r="XDJ616" s="5" t="s">
        <v>3728</v>
      </c>
      <c r="XDK616" s="17">
        <v>44925</v>
      </c>
      <c r="XDL616" s="5" t="s">
        <v>3728</v>
      </c>
      <c r="XDM616" s="17">
        <v>44925</v>
      </c>
      <c r="XDN616" s="5" t="s">
        <v>3728</v>
      </c>
      <c r="XDO616" s="17">
        <v>44925</v>
      </c>
      <c r="XDP616" s="5" t="s">
        <v>3728</v>
      </c>
      <c r="XDQ616" s="17">
        <v>44925</v>
      </c>
      <c r="XDR616" s="5" t="s">
        <v>3728</v>
      </c>
      <c r="XDS616" s="17">
        <v>44925</v>
      </c>
      <c r="XDT616" s="5" t="s">
        <v>3728</v>
      </c>
      <c r="XDU616" s="17">
        <v>44925</v>
      </c>
      <c r="XDV616" s="5" t="s">
        <v>3728</v>
      </c>
      <c r="XDW616" s="17">
        <v>44925</v>
      </c>
      <c r="XDX616" s="5" t="s">
        <v>3728</v>
      </c>
      <c r="XDY616" s="17">
        <v>44925</v>
      </c>
      <c r="XDZ616" s="5" t="s">
        <v>3728</v>
      </c>
      <c r="XEA616" s="17">
        <v>44925</v>
      </c>
      <c r="XEB616" s="5" t="s">
        <v>3728</v>
      </c>
      <c r="XEC616" s="17">
        <v>44925</v>
      </c>
      <c r="XED616" s="5" t="s">
        <v>3728</v>
      </c>
      <c r="XEE616" s="17">
        <v>44925</v>
      </c>
      <c r="XEF616" s="5" t="s">
        <v>3728</v>
      </c>
      <c r="XEG616" s="17">
        <v>44925</v>
      </c>
      <c r="XEH616" s="5" t="s">
        <v>3728</v>
      </c>
      <c r="XEI616" s="17">
        <v>44925</v>
      </c>
      <c r="XEJ616" s="5" t="s">
        <v>3728</v>
      </c>
      <c r="XEK616" s="17">
        <v>44925</v>
      </c>
      <c r="XEL616" s="5" t="s">
        <v>3728</v>
      </c>
      <c r="XEM616" s="17">
        <v>44925</v>
      </c>
      <c r="XEN616" s="5" t="s">
        <v>3728</v>
      </c>
      <c r="XEO616" s="17">
        <v>44925</v>
      </c>
      <c r="XEP616" s="5" t="s">
        <v>3728</v>
      </c>
      <c r="XEQ616" s="17">
        <v>44925</v>
      </c>
      <c r="XER616" s="5" t="s">
        <v>3728</v>
      </c>
      <c r="XES616" s="17">
        <v>44925</v>
      </c>
      <c r="XET616" s="5" t="s">
        <v>3728</v>
      </c>
      <c r="XEU616" s="17">
        <v>44925</v>
      </c>
      <c r="XEV616" s="5" t="s">
        <v>3728</v>
      </c>
      <c r="XEW616" s="17">
        <v>44925</v>
      </c>
      <c r="XEX616" s="5" t="s">
        <v>3728</v>
      </c>
      <c r="XEY616" s="17">
        <v>44925</v>
      </c>
      <c r="XEZ616" s="5" t="s">
        <v>3728</v>
      </c>
      <c r="XFA616" s="17">
        <v>44925</v>
      </c>
      <c r="XFB616" s="5" t="s">
        <v>3728</v>
      </c>
    </row>
    <row r="617" spans="1:16382" ht="17.25" customHeight="1" x14ac:dyDescent="0.3">
      <c r="A617" s="169">
        <f t="shared" si="66"/>
        <v>531</v>
      </c>
      <c r="B617" s="21" t="s">
        <v>617</v>
      </c>
      <c r="C617" s="5">
        <v>1956</v>
      </c>
      <c r="D617" s="3"/>
      <c r="E617" s="15" t="s">
        <v>3645</v>
      </c>
      <c r="F617" s="15">
        <v>2</v>
      </c>
      <c r="G617" s="100"/>
      <c r="H617" s="15">
        <v>1482.7</v>
      </c>
      <c r="I617" s="15">
        <v>55</v>
      </c>
      <c r="J617" s="19">
        <f t="shared" si="70"/>
        <v>118650.11</v>
      </c>
      <c r="K617" s="105"/>
      <c r="L617" s="105"/>
      <c r="M617" s="105"/>
      <c r="N617" s="19">
        <f>SUMIF('2020'!B:B,B617,'2020'!C:C)+SUMIF('2021'!B:B,B617,'2021'!C:C)+SUMIF('2022'!B:B,B617,'2022'!C:C)</f>
        <v>118650.11</v>
      </c>
      <c r="O617" s="17">
        <v>44925</v>
      </c>
      <c r="P617" s="5" t="s">
        <v>3728</v>
      </c>
      <c r="Q617" s="17">
        <v>44925</v>
      </c>
      <c r="R617" s="5" t="s">
        <v>3728</v>
      </c>
      <c r="S617" s="17">
        <v>44925</v>
      </c>
      <c r="T617" s="5" t="s">
        <v>3728</v>
      </c>
      <c r="U617" s="17">
        <v>44925</v>
      </c>
      <c r="V617" s="5" t="s">
        <v>3728</v>
      </c>
      <c r="W617" s="17">
        <v>44925</v>
      </c>
      <c r="X617" s="5" t="s">
        <v>3728</v>
      </c>
      <c r="Y617" s="17">
        <v>44925</v>
      </c>
      <c r="Z617" s="5" t="s">
        <v>3728</v>
      </c>
      <c r="AA617" s="17">
        <v>44925</v>
      </c>
      <c r="AB617" s="5" t="s">
        <v>3728</v>
      </c>
      <c r="AC617" s="17">
        <v>44925</v>
      </c>
      <c r="AD617" s="5" t="s">
        <v>3728</v>
      </c>
      <c r="AE617" s="17">
        <v>44925</v>
      </c>
      <c r="AF617" s="5" t="s">
        <v>3728</v>
      </c>
      <c r="AG617" s="17">
        <v>44925</v>
      </c>
      <c r="AH617" s="5" t="s">
        <v>3728</v>
      </c>
      <c r="AI617" s="17">
        <v>44925</v>
      </c>
      <c r="AJ617" s="5" t="s">
        <v>3728</v>
      </c>
      <c r="AK617" s="17">
        <v>44925</v>
      </c>
      <c r="AL617" s="5" t="s">
        <v>3728</v>
      </c>
      <c r="AM617" s="17">
        <v>44925</v>
      </c>
      <c r="AN617" s="5" t="s">
        <v>3728</v>
      </c>
      <c r="AO617" s="17">
        <v>44925</v>
      </c>
      <c r="AP617" s="5" t="s">
        <v>3728</v>
      </c>
      <c r="AQ617" s="17">
        <v>44925</v>
      </c>
      <c r="AR617" s="5" t="s">
        <v>3728</v>
      </c>
      <c r="AS617" s="17">
        <v>44925</v>
      </c>
      <c r="AT617" s="5" t="s">
        <v>3728</v>
      </c>
      <c r="AU617" s="17">
        <v>44925</v>
      </c>
      <c r="AV617" s="5" t="s">
        <v>3728</v>
      </c>
      <c r="AW617" s="17">
        <v>44925</v>
      </c>
      <c r="AX617" s="5" t="s">
        <v>3728</v>
      </c>
      <c r="AY617" s="17">
        <v>44925</v>
      </c>
      <c r="AZ617" s="5" t="s">
        <v>3728</v>
      </c>
      <c r="BA617" s="17">
        <v>44925</v>
      </c>
      <c r="BB617" s="5" t="s">
        <v>3728</v>
      </c>
      <c r="BC617" s="17">
        <v>44925</v>
      </c>
      <c r="BD617" s="5" t="s">
        <v>3728</v>
      </c>
      <c r="BE617" s="17">
        <v>44925</v>
      </c>
      <c r="BF617" s="5" t="s">
        <v>3728</v>
      </c>
      <c r="BG617" s="17">
        <v>44925</v>
      </c>
      <c r="BH617" s="5" t="s">
        <v>3728</v>
      </c>
      <c r="BI617" s="17">
        <v>44925</v>
      </c>
      <c r="BJ617" s="5" t="s">
        <v>3728</v>
      </c>
      <c r="BK617" s="17">
        <v>44925</v>
      </c>
      <c r="BL617" s="5" t="s">
        <v>3728</v>
      </c>
      <c r="BM617" s="17">
        <v>44925</v>
      </c>
      <c r="BN617" s="5" t="s">
        <v>3728</v>
      </c>
      <c r="BO617" s="17">
        <v>44925</v>
      </c>
      <c r="BP617" s="5" t="s">
        <v>3728</v>
      </c>
      <c r="BQ617" s="17">
        <v>44925</v>
      </c>
      <c r="BR617" s="5" t="s">
        <v>3728</v>
      </c>
      <c r="BS617" s="17">
        <v>44925</v>
      </c>
      <c r="BT617" s="5" t="s">
        <v>3728</v>
      </c>
      <c r="BU617" s="17">
        <v>44925</v>
      </c>
      <c r="BV617" s="5" t="s">
        <v>3728</v>
      </c>
      <c r="BW617" s="17">
        <v>44925</v>
      </c>
      <c r="BX617" s="5" t="s">
        <v>3728</v>
      </c>
      <c r="BY617" s="17">
        <v>44925</v>
      </c>
      <c r="BZ617" s="5" t="s">
        <v>3728</v>
      </c>
      <c r="CA617" s="17">
        <v>44925</v>
      </c>
      <c r="CB617" s="5" t="s">
        <v>3728</v>
      </c>
      <c r="CC617" s="17">
        <v>44925</v>
      </c>
      <c r="CD617" s="5" t="s">
        <v>3728</v>
      </c>
      <c r="CE617" s="17">
        <v>44925</v>
      </c>
      <c r="CF617" s="5" t="s">
        <v>3728</v>
      </c>
      <c r="CG617" s="17">
        <v>44925</v>
      </c>
      <c r="CH617" s="5" t="s">
        <v>3728</v>
      </c>
      <c r="CI617" s="17">
        <v>44925</v>
      </c>
      <c r="CJ617" s="5" t="s">
        <v>3728</v>
      </c>
      <c r="CK617" s="17">
        <v>44925</v>
      </c>
      <c r="CL617" s="5" t="s">
        <v>3728</v>
      </c>
      <c r="CM617" s="17">
        <v>44925</v>
      </c>
      <c r="CN617" s="5" t="s">
        <v>3728</v>
      </c>
      <c r="CO617" s="17">
        <v>44925</v>
      </c>
      <c r="CP617" s="5" t="s">
        <v>3728</v>
      </c>
      <c r="CQ617" s="17">
        <v>44925</v>
      </c>
      <c r="CR617" s="5" t="s">
        <v>3728</v>
      </c>
      <c r="CS617" s="17">
        <v>44925</v>
      </c>
      <c r="CT617" s="5" t="s">
        <v>3728</v>
      </c>
      <c r="CU617" s="17">
        <v>44925</v>
      </c>
      <c r="CV617" s="5" t="s">
        <v>3728</v>
      </c>
      <c r="CW617" s="17">
        <v>44925</v>
      </c>
      <c r="CX617" s="5" t="s">
        <v>3728</v>
      </c>
      <c r="CY617" s="17">
        <v>44925</v>
      </c>
      <c r="CZ617" s="5" t="s">
        <v>3728</v>
      </c>
      <c r="DA617" s="17">
        <v>44925</v>
      </c>
      <c r="DB617" s="5" t="s">
        <v>3728</v>
      </c>
      <c r="DC617" s="17">
        <v>44925</v>
      </c>
      <c r="DD617" s="5" t="s">
        <v>3728</v>
      </c>
      <c r="DE617" s="17">
        <v>44925</v>
      </c>
      <c r="DF617" s="5" t="s">
        <v>3728</v>
      </c>
      <c r="DG617" s="17">
        <v>44925</v>
      </c>
      <c r="DH617" s="5" t="s">
        <v>3728</v>
      </c>
      <c r="DI617" s="17">
        <v>44925</v>
      </c>
      <c r="DJ617" s="5" t="s">
        <v>3728</v>
      </c>
      <c r="DK617" s="17">
        <v>44925</v>
      </c>
      <c r="DL617" s="5" t="s">
        <v>3728</v>
      </c>
      <c r="DM617" s="17">
        <v>44925</v>
      </c>
      <c r="DN617" s="5" t="s">
        <v>3728</v>
      </c>
      <c r="DO617" s="17">
        <v>44925</v>
      </c>
      <c r="DP617" s="5" t="s">
        <v>3728</v>
      </c>
      <c r="DQ617" s="17">
        <v>44925</v>
      </c>
      <c r="DR617" s="5" t="s">
        <v>3728</v>
      </c>
      <c r="DS617" s="17">
        <v>44925</v>
      </c>
      <c r="DT617" s="5" t="s">
        <v>3728</v>
      </c>
      <c r="DU617" s="17">
        <v>44925</v>
      </c>
      <c r="DV617" s="5" t="s">
        <v>3728</v>
      </c>
      <c r="DW617" s="17">
        <v>44925</v>
      </c>
      <c r="DX617" s="5" t="s">
        <v>3728</v>
      </c>
      <c r="DY617" s="17">
        <v>44925</v>
      </c>
      <c r="DZ617" s="5" t="s">
        <v>3728</v>
      </c>
      <c r="EA617" s="17">
        <v>44925</v>
      </c>
      <c r="EB617" s="5" t="s">
        <v>3728</v>
      </c>
      <c r="EC617" s="17">
        <v>44925</v>
      </c>
      <c r="ED617" s="5" t="s">
        <v>3728</v>
      </c>
      <c r="EE617" s="17">
        <v>44925</v>
      </c>
      <c r="EF617" s="5" t="s">
        <v>3728</v>
      </c>
      <c r="EG617" s="17">
        <v>44925</v>
      </c>
      <c r="EH617" s="5" t="s">
        <v>3728</v>
      </c>
      <c r="EI617" s="17">
        <v>44925</v>
      </c>
      <c r="EJ617" s="5" t="s">
        <v>3728</v>
      </c>
      <c r="EK617" s="17">
        <v>44925</v>
      </c>
      <c r="EL617" s="5" t="s">
        <v>3728</v>
      </c>
      <c r="EM617" s="17">
        <v>44925</v>
      </c>
      <c r="EN617" s="5" t="s">
        <v>3728</v>
      </c>
      <c r="EO617" s="17">
        <v>44925</v>
      </c>
      <c r="EP617" s="5" t="s">
        <v>3728</v>
      </c>
      <c r="EQ617" s="17">
        <v>44925</v>
      </c>
      <c r="ER617" s="5" t="s">
        <v>3728</v>
      </c>
      <c r="ES617" s="17">
        <v>44925</v>
      </c>
      <c r="ET617" s="5" t="s">
        <v>3728</v>
      </c>
      <c r="EU617" s="17">
        <v>44925</v>
      </c>
      <c r="EV617" s="5" t="s">
        <v>3728</v>
      </c>
      <c r="EW617" s="17">
        <v>44925</v>
      </c>
      <c r="EX617" s="5" t="s">
        <v>3728</v>
      </c>
      <c r="EY617" s="17">
        <v>44925</v>
      </c>
      <c r="EZ617" s="5" t="s">
        <v>3728</v>
      </c>
      <c r="FA617" s="17">
        <v>44925</v>
      </c>
      <c r="FB617" s="5" t="s">
        <v>3728</v>
      </c>
      <c r="FC617" s="17">
        <v>44925</v>
      </c>
      <c r="FD617" s="5" t="s">
        <v>3728</v>
      </c>
      <c r="FE617" s="17">
        <v>44925</v>
      </c>
      <c r="FF617" s="5" t="s">
        <v>3728</v>
      </c>
      <c r="FG617" s="17">
        <v>44925</v>
      </c>
      <c r="FH617" s="5" t="s">
        <v>3728</v>
      </c>
      <c r="FI617" s="17">
        <v>44925</v>
      </c>
      <c r="FJ617" s="5" t="s">
        <v>3728</v>
      </c>
      <c r="FK617" s="17">
        <v>44925</v>
      </c>
      <c r="FL617" s="5" t="s">
        <v>3728</v>
      </c>
      <c r="FM617" s="17">
        <v>44925</v>
      </c>
      <c r="FN617" s="5" t="s">
        <v>3728</v>
      </c>
      <c r="FO617" s="17">
        <v>44925</v>
      </c>
      <c r="FP617" s="5" t="s">
        <v>3728</v>
      </c>
      <c r="FQ617" s="17">
        <v>44925</v>
      </c>
      <c r="FR617" s="5" t="s">
        <v>3728</v>
      </c>
      <c r="FS617" s="17">
        <v>44925</v>
      </c>
      <c r="FT617" s="5" t="s">
        <v>3728</v>
      </c>
      <c r="FU617" s="17">
        <v>44925</v>
      </c>
      <c r="FV617" s="5" t="s">
        <v>3728</v>
      </c>
      <c r="FW617" s="17">
        <v>44925</v>
      </c>
      <c r="FX617" s="5" t="s">
        <v>3728</v>
      </c>
      <c r="FY617" s="17">
        <v>44925</v>
      </c>
      <c r="FZ617" s="5" t="s">
        <v>3728</v>
      </c>
      <c r="GA617" s="17">
        <v>44925</v>
      </c>
      <c r="GB617" s="5" t="s">
        <v>3728</v>
      </c>
      <c r="GC617" s="17">
        <v>44925</v>
      </c>
      <c r="GD617" s="5" t="s">
        <v>3728</v>
      </c>
      <c r="GE617" s="17">
        <v>44925</v>
      </c>
      <c r="GF617" s="5" t="s">
        <v>3728</v>
      </c>
      <c r="GG617" s="17">
        <v>44925</v>
      </c>
      <c r="GH617" s="5" t="s">
        <v>3728</v>
      </c>
      <c r="GI617" s="17">
        <v>44925</v>
      </c>
      <c r="GJ617" s="5" t="s">
        <v>3728</v>
      </c>
      <c r="GK617" s="17">
        <v>44925</v>
      </c>
      <c r="GL617" s="5" t="s">
        <v>3728</v>
      </c>
      <c r="GM617" s="17">
        <v>44925</v>
      </c>
      <c r="GN617" s="5" t="s">
        <v>3728</v>
      </c>
      <c r="GO617" s="17">
        <v>44925</v>
      </c>
      <c r="GP617" s="5" t="s">
        <v>3728</v>
      </c>
      <c r="GQ617" s="17">
        <v>44925</v>
      </c>
      <c r="GR617" s="5" t="s">
        <v>3728</v>
      </c>
      <c r="GS617" s="17">
        <v>44925</v>
      </c>
      <c r="GT617" s="5" t="s">
        <v>3728</v>
      </c>
      <c r="GU617" s="17">
        <v>44925</v>
      </c>
      <c r="GV617" s="5" t="s">
        <v>3728</v>
      </c>
      <c r="GW617" s="17">
        <v>44925</v>
      </c>
      <c r="GX617" s="5" t="s">
        <v>3728</v>
      </c>
      <c r="GY617" s="17">
        <v>44925</v>
      </c>
      <c r="GZ617" s="5" t="s">
        <v>3728</v>
      </c>
      <c r="HA617" s="17">
        <v>44925</v>
      </c>
      <c r="HB617" s="5" t="s">
        <v>3728</v>
      </c>
      <c r="HC617" s="17">
        <v>44925</v>
      </c>
      <c r="HD617" s="5" t="s">
        <v>3728</v>
      </c>
      <c r="HE617" s="17">
        <v>44925</v>
      </c>
      <c r="HF617" s="5" t="s">
        <v>3728</v>
      </c>
      <c r="HG617" s="17">
        <v>44925</v>
      </c>
      <c r="HH617" s="5" t="s">
        <v>3728</v>
      </c>
      <c r="HI617" s="17">
        <v>44925</v>
      </c>
      <c r="HJ617" s="5" t="s">
        <v>3728</v>
      </c>
      <c r="HK617" s="17">
        <v>44925</v>
      </c>
      <c r="HL617" s="5" t="s">
        <v>3728</v>
      </c>
      <c r="HM617" s="17">
        <v>44925</v>
      </c>
      <c r="HN617" s="5" t="s">
        <v>3728</v>
      </c>
      <c r="HO617" s="17">
        <v>44925</v>
      </c>
      <c r="HP617" s="5" t="s">
        <v>3728</v>
      </c>
      <c r="HQ617" s="17">
        <v>44925</v>
      </c>
      <c r="HR617" s="5" t="s">
        <v>3728</v>
      </c>
      <c r="HS617" s="17">
        <v>44925</v>
      </c>
      <c r="HT617" s="5" t="s">
        <v>3728</v>
      </c>
      <c r="HU617" s="17">
        <v>44925</v>
      </c>
      <c r="HV617" s="5" t="s">
        <v>3728</v>
      </c>
      <c r="HW617" s="17">
        <v>44925</v>
      </c>
      <c r="HX617" s="5" t="s">
        <v>3728</v>
      </c>
      <c r="HY617" s="17">
        <v>44925</v>
      </c>
      <c r="HZ617" s="5" t="s">
        <v>3728</v>
      </c>
      <c r="IA617" s="17">
        <v>44925</v>
      </c>
      <c r="IB617" s="5" t="s">
        <v>3728</v>
      </c>
      <c r="IC617" s="17">
        <v>44925</v>
      </c>
      <c r="ID617" s="5" t="s">
        <v>3728</v>
      </c>
      <c r="IE617" s="17">
        <v>44925</v>
      </c>
      <c r="IF617" s="5" t="s">
        <v>3728</v>
      </c>
      <c r="IG617" s="17">
        <v>44925</v>
      </c>
      <c r="IH617" s="5" t="s">
        <v>3728</v>
      </c>
      <c r="II617" s="17">
        <v>44925</v>
      </c>
      <c r="IJ617" s="5" t="s">
        <v>3728</v>
      </c>
      <c r="IK617" s="17">
        <v>44925</v>
      </c>
      <c r="IL617" s="5" t="s">
        <v>3728</v>
      </c>
      <c r="IM617" s="17">
        <v>44925</v>
      </c>
      <c r="IN617" s="5" t="s">
        <v>3728</v>
      </c>
      <c r="IO617" s="17">
        <v>44925</v>
      </c>
      <c r="IP617" s="5" t="s">
        <v>3728</v>
      </c>
      <c r="IQ617" s="17">
        <v>44925</v>
      </c>
      <c r="IR617" s="5" t="s">
        <v>3728</v>
      </c>
      <c r="IS617" s="17">
        <v>44925</v>
      </c>
      <c r="IT617" s="5" t="s">
        <v>3728</v>
      </c>
      <c r="IU617" s="17">
        <v>44925</v>
      </c>
      <c r="IV617" s="5" t="s">
        <v>3728</v>
      </c>
      <c r="IW617" s="17">
        <v>44925</v>
      </c>
      <c r="IX617" s="5" t="s">
        <v>3728</v>
      </c>
      <c r="IY617" s="17">
        <v>44925</v>
      </c>
      <c r="IZ617" s="5" t="s">
        <v>3728</v>
      </c>
      <c r="JA617" s="17">
        <v>44925</v>
      </c>
      <c r="JB617" s="5" t="s">
        <v>3728</v>
      </c>
      <c r="JC617" s="17">
        <v>44925</v>
      </c>
      <c r="JD617" s="5" t="s">
        <v>3728</v>
      </c>
      <c r="JE617" s="17">
        <v>44925</v>
      </c>
      <c r="JF617" s="5" t="s">
        <v>3728</v>
      </c>
      <c r="JG617" s="17">
        <v>44925</v>
      </c>
      <c r="JH617" s="5" t="s">
        <v>3728</v>
      </c>
      <c r="JI617" s="17">
        <v>44925</v>
      </c>
      <c r="JJ617" s="5" t="s">
        <v>3728</v>
      </c>
      <c r="JK617" s="17">
        <v>44925</v>
      </c>
      <c r="JL617" s="5" t="s">
        <v>3728</v>
      </c>
      <c r="JM617" s="17">
        <v>44925</v>
      </c>
      <c r="JN617" s="5" t="s">
        <v>3728</v>
      </c>
      <c r="JO617" s="17">
        <v>44925</v>
      </c>
      <c r="JP617" s="5" t="s">
        <v>3728</v>
      </c>
      <c r="JQ617" s="17">
        <v>44925</v>
      </c>
      <c r="JR617" s="5" t="s">
        <v>3728</v>
      </c>
      <c r="JS617" s="17">
        <v>44925</v>
      </c>
      <c r="JT617" s="5" t="s">
        <v>3728</v>
      </c>
      <c r="JU617" s="17">
        <v>44925</v>
      </c>
      <c r="JV617" s="5" t="s">
        <v>3728</v>
      </c>
      <c r="JW617" s="17">
        <v>44925</v>
      </c>
      <c r="JX617" s="5" t="s">
        <v>3728</v>
      </c>
      <c r="JY617" s="17">
        <v>44925</v>
      </c>
      <c r="JZ617" s="5" t="s">
        <v>3728</v>
      </c>
      <c r="KA617" s="17">
        <v>44925</v>
      </c>
      <c r="KB617" s="5" t="s">
        <v>3728</v>
      </c>
      <c r="KC617" s="17">
        <v>44925</v>
      </c>
      <c r="KD617" s="5" t="s">
        <v>3728</v>
      </c>
      <c r="KE617" s="17">
        <v>44925</v>
      </c>
      <c r="KF617" s="5" t="s">
        <v>3728</v>
      </c>
      <c r="KG617" s="17">
        <v>44925</v>
      </c>
      <c r="KH617" s="5" t="s">
        <v>3728</v>
      </c>
      <c r="KI617" s="17">
        <v>44925</v>
      </c>
      <c r="KJ617" s="5" t="s">
        <v>3728</v>
      </c>
      <c r="KK617" s="17">
        <v>44925</v>
      </c>
      <c r="KL617" s="5" t="s">
        <v>3728</v>
      </c>
      <c r="KM617" s="17">
        <v>44925</v>
      </c>
      <c r="KN617" s="5" t="s">
        <v>3728</v>
      </c>
      <c r="KO617" s="17">
        <v>44925</v>
      </c>
      <c r="KP617" s="5" t="s">
        <v>3728</v>
      </c>
      <c r="KQ617" s="17">
        <v>44925</v>
      </c>
      <c r="KR617" s="5" t="s">
        <v>3728</v>
      </c>
      <c r="KS617" s="17">
        <v>44925</v>
      </c>
      <c r="KT617" s="5" t="s">
        <v>3728</v>
      </c>
      <c r="KU617" s="17">
        <v>44925</v>
      </c>
      <c r="KV617" s="5" t="s">
        <v>3728</v>
      </c>
      <c r="KW617" s="17">
        <v>44925</v>
      </c>
      <c r="KX617" s="5" t="s">
        <v>3728</v>
      </c>
      <c r="KY617" s="17">
        <v>44925</v>
      </c>
      <c r="KZ617" s="5" t="s">
        <v>3728</v>
      </c>
      <c r="LA617" s="17">
        <v>44925</v>
      </c>
      <c r="LB617" s="5" t="s">
        <v>3728</v>
      </c>
      <c r="LC617" s="17">
        <v>44925</v>
      </c>
      <c r="LD617" s="5" t="s">
        <v>3728</v>
      </c>
      <c r="LE617" s="17">
        <v>44925</v>
      </c>
      <c r="LF617" s="5" t="s">
        <v>3728</v>
      </c>
      <c r="LG617" s="17">
        <v>44925</v>
      </c>
      <c r="LH617" s="5" t="s">
        <v>3728</v>
      </c>
      <c r="LI617" s="17">
        <v>44925</v>
      </c>
      <c r="LJ617" s="5" t="s">
        <v>3728</v>
      </c>
      <c r="LK617" s="17">
        <v>44925</v>
      </c>
      <c r="LL617" s="5" t="s">
        <v>3728</v>
      </c>
      <c r="LM617" s="17">
        <v>44925</v>
      </c>
      <c r="LN617" s="5" t="s">
        <v>3728</v>
      </c>
      <c r="LO617" s="17">
        <v>44925</v>
      </c>
      <c r="LP617" s="5" t="s">
        <v>3728</v>
      </c>
      <c r="LQ617" s="17">
        <v>44925</v>
      </c>
      <c r="LR617" s="5" t="s">
        <v>3728</v>
      </c>
      <c r="LS617" s="17">
        <v>44925</v>
      </c>
      <c r="LT617" s="5" t="s">
        <v>3728</v>
      </c>
      <c r="LU617" s="17">
        <v>44925</v>
      </c>
      <c r="LV617" s="5" t="s">
        <v>3728</v>
      </c>
      <c r="LW617" s="17">
        <v>44925</v>
      </c>
      <c r="LX617" s="5" t="s">
        <v>3728</v>
      </c>
      <c r="LY617" s="17">
        <v>44925</v>
      </c>
      <c r="LZ617" s="5" t="s">
        <v>3728</v>
      </c>
      <c r="MA617" s="17">
        <v>44925</v>
      </c>
      <c r="MB617" s="5" t="s">
        <v>3728</v>
      </c>
      <c r="MC617" s="17">
        <v>44925</v>
      </c>
      <c r="MD617" s="5" t="s">
        <v>3728</v>
      </c>
      <c r="ME617" s="17">
        <v>44925</v>
      </c>
      <c r="MF617" s="5" t="s">
        <v>3728</v>
      </c>
      <c r="MG617" s="17">
        <v>44925</v>
      </c>
      <c r="MH617" s="5" t="s">
        <v>3728</v>
      </c>
      <c r="MI617" s="17">
        <v>44925</v>
      </c>
      <c r="MJ617" s="5" t="s">
        <v>3728</v>
      </c>
      <c r="MK617" s="17">
        <v>44925</v>
      </c>
      <c r="ML617" s="5" t="s">
        <v>3728</v>
      </c>
      <c r="MM617" s="17">
        <v>44925</v>
      </c>
      <c r="MN617" s="5" t="s">
        <v>3728</v>
      </c>
      <c r="MO617" s="17">
        <v>44925</v>
      </c>
      <c r="MP617" s="5" t="s">
        <v>3728</v>
      </c>
      <c r="MQ617" s="17">
        <v>44925</v>
      </c>
      <c r="MR617" s="5" t="s">
        <v>3728</v>
      </c>
      <c r="MS617" s="17">
        <v>44925</v>
      </c>
      <c r="MT617" s="5" t="s">
        <v>3728</v>
      </c>
      <c r="MU617" s="17">
        <v>44925</v>
      </c>
      <c r="MV617" s="5" t="s">
        <v>3728</v>
      </c>
      <c r="MW617" s="17">
        <v>44925</v>
      </c>
      <c r="MX617" s="5" t="s">
        <v>3728</v>
      </c>
      <c r="MY617" s="17">
        <v>44925</v>
      </c>
      <c r="MZ617" s="5" t="s">
        <v>3728</v>
      </c>
      <c r="NA617" s="17">
        <v>44925</v>
      </c>
      <c r="NB617" s="5" t="s">
        <v>3728</v>
      </c>
      <c r="NC617" s="17">
        <v>44925</v>
      </c>
      <c r="ND617" s="5" t="s">
        <v>3728</v>
      </c>
      <c r="NE617" s="17">
        <v>44925</v>
      </c>
      <c r="NF617" s="5" t="s">
        <v>3728</v>
      </c>
      <c r="NG617" s="17">
        <v>44925</v>
      </c>
      <c r="NH617" s="5" t="s">
        <v>3728</v>
      </c>
      <c r="NI617" s="17">
        <v>44925</v>
      </c>
      <c r="NJ617" s="5" t="s">
        <v>3728</v>
      </c>
      <c r="NK617" s="17">
        <v>44925</v>
      </c>
      <c r="NL617" s="5" t="s">
        <v>3728</v>
      </c>
      <c r="NM617" s="17">
        <v>44925</v>
      </c>
      <c r="NN617" s="5" t="s">
        <v>3728</v>
      </c>
      <c r="NO617" s="17">
        <v>44925</v>
      </c>
      <c r="NP617" s="5" t="s">
        <v>3728</v>
      </c>
      <c r="NQ617" s="17">
        <v>44925</v>
      </c>
      <c r="NR617" s="5" t="s">
        <v>3728</v>
      </c>
      <c r="NS617" s="17">
        <v>44925</v>
      </c>
      <c r="NT617" s="5" t="s">
        <v>3728</v>
      </c>
      <c r="NU617" s="17">
        <v>44925</v>
      </c>
      <c r="NV617" s="5" t="s">
        <v>3728</v>
      </c>
      <c r="NW617" s="17">
        <v>44925</v>
      </c>
      <c r="NX617" s="5" t="s">
        <v>3728</v>
      </c>
      <c r="NY617" s="17">
        <v>44925</v>
      </c>
      <c r="NZ617" s="5" t="s">
        <v>3728</v>
      </c>
      <c r="OA617" s="17">
        <v>44925</v>
      </c>
      <c r="OB617" s="5" t="s">
        <v>3728</v>
      </c>
      <c r="OC617" s="17">
        <v>44925</v>
      </c>
      <c r="OD617" s="5" t="s">
        <v>3728</v>
      </c>
      <c r="OE617" s="17">
        <v>44925</v>
      </c>
      <c r="OF617" s="5" t="s">
        <v>3728</v>
      </c>
      <c r="OG617" s="17">
        <v>44925</v>
      </c>
      <c r="OH617" s="5" t="s">
        <v>3728</v>
      </c>
      <c r="OI617" s="17">
        <v>44925</v>
      </c>
      <c r="OJ617" s="5" t="s">
        <v>3728</v>
      </c>
      <c r="OK617" s="17">
        <v>44925</v>
      </c>
      <c r="OL617" s="5" t="s">
        <v>3728</v>
      </c>
      <c r="OM617" s="17">
        <v>44925</v>
      </c>
      <c r="ON617" s="5" t="s">
        <v>3728</v>
      </c>
      <c r="OO617" s="17">
        <v>44925</v>
      </c>
      <c r="OP617" s="5" t="s">
        <v>3728</v>
      </c>
      <c r="OQ617" s="17">
        <v>44925</v>
      </c>
      <c r="OR617" s="5" t="s">
        <v>3728</v>
      </c>
      <c r="OS617" s="17">
        <v>44925</v>
      </c>
      <c r="OT617" s="5" t="s">
        <v>3728</v>
      </c>
      <c r="OU617" s="17">
        <v>44925</v>
      </c>
      <c r="OV617" s="5" t="s">
        <v>3728</v>
      </c>
      <c r="OW617" s="17">
        <v>44925</v>
      </c>
      <c r="OX617" s="5" t="s">
        <v>3728</v>
      </c>
      <c r="OY617" s="17">
        <v>44925</v>
      </c>
      <c r="OZ617" s="5" t="s">
        <v>3728</v>
      </c>
      <c r="PA617" s="17">
        <v>44925</v>
      </c>
      <c r="PB617" s="5" t="s">
        <v>3728</v>
      </c>
      <c r="PC617" s="17">
        <v>44925</v>
      </c>
      <c r="PD617" s="5" t="s">
        <v>3728</v>
      </c>
      <c r="PE617" s="17">
        <v>44925</v>
      </c>
      <c r="PF617" s="5" t="s">
        <v>3728</v>
      </c>
      <c r="PG617" s="17">
        <v>44925</v>
      </c>
      <c r="PH617" s="5" t="s">
        <v>3728</v>
      </c>
      <c r="PI617" s="17">
        <v>44925</v>
      </c>
      <c r="PJ617" s="5" t="s">
        <v>3728</v>
      </c>
      <c r="PK617" s="17">
        <v>44925</v>
      </c>
      <c r="PL617" s="5" t="s">
        <v>3728</v>
      </c>
      <c r="PM617" s="17">
        <v>44925</v>
      </c>
      <c r="PN617" s="5" t="s">
        <v>3728</v>
      </c>
      <c r="PO617" s="17">
        <v>44925</v>
      </c>
      <c r="PP617" s="5" t="s">
        <v>3728</v>
      </c>
      <c r="PQ617" s="17">
        <v>44925</v>
      </c>
      <c r="PR617" s="5" t="s">
        <v>3728</v>
      </c>
      <c r="PS617" s="17">
        <v>44925</v>
      </c>
      <c r="PT617" s="5" t="s">
        <v>3728</v>
      </c>
      <c r="PU617" s="17">
        <v>44925</v>
      </c>
      <c r="PV617" s="5" t="s">
        <v>3728</v>
      </c>
      <c r="PW617" s="17">
        <v>44925</v>
      </c>
      <c r="PX617" s="5" t="s">
        <v>3728</v>
      </c>
      <c r="PY617" s="17">
        <v>44925</v>
      </c>
      <c r="PZ617" s="5" t="s">
        <v>3728</v>
      </c>
      <c r="QA617" s="17">
        <v>44925</v>
      </c>
      <c r="QB617" s="5" t="s">
        <v>3728</v>
      </c>
      <c r="QC617" s="17">
        <v>44925</v>
      </c>
      <c r="QD617" s="5" t="s">
        <v>3728</v>
      </c>
      <c r="QE617" s="17">
        <v>44925</v>
      </c>
      <c r="QF617" s="5" t="s">
        <v>3728</v>
      </c>
      <c r="QG617" s="17">
        <v>44925</v>
      </c>
      <c r="QH617" s="5" t="s">
        <v>3728</v>
      </c>
      <c r="QI617" s="17">
        <v>44925</v>
      </c>
      <c r="QJ617" s="5" t="s">
        <v>3728</v>
      </c>
      <c r="QK617" s="17">
        <v>44925</v>
      </c>
      <c r="QL617" s="5" t="s">
        <v>3728</v>
      </c>
      <c r="QM617" s="17">
        <v>44925</v>
      </c>
      <c r="QN617" s="5" t="s">
        <v>3728</v>
      </c>
      <c r="QO617" s="17">
        <v>44925</v>
      </c>
      <c r="QP617" s="5" t="s">
        <v>3728</v>
      </c>
      <c r="QQ617" s="17">
        <v>44925</v>
      </c>
      <c r="QR617" s="5" t="s">
        <v>3728</v>
      </c>
      <c r="QS617" s="17">
        <v>44925</v>
      </c>
      <c r="QT617" s="5" t="s">
        <v>3728</v>
      </c>
      <c r="QU617" s="17">
        <v>44925</v>
      </c>
      <c r="QV617" s="5" t="s">
        <v>3728</v>
      </c>
      <c r="QW617" s="17">
        <v>44925</v>
      </c>
      <c r="QX617" s="5" t="s">
        <v>3728</v>
      </c>
      <c r="QY617" s="17">
        <v>44925</v>
      </c>
      <c r="QZ617" s="5" t="s">
        <v>3728</v>
      </c>
      <c r="RA617" s="17">
        <v>44925</v>
      </c>
      <c r="RB617" s="5" t="s">
        <v>3728</v>
      </c>
      <c r="RC617" s="17">
        <v>44925</v>
      </c>
      <c r="RD617" s="5" t="s">
        <v>3728</v>
      </c>
      <c r="RE617" s="17">
        <v>44925</v>
      </c>
      <c r="RF617" s="5" t="s">
        <v>3728</v>
      </c>
      <c r="RG617" s="17">
        <v>44925</v>
      </c>
      <c r="RH617" s="5" t="s">
        <v>3728</v>
      </c>
      <c r="RI617" s="17">
        <v>44925</v>
      </c>
      <c r="RJ617" s="5" t="s">
        <v>3728</v>
      </c>
      <c r="RK617" s="17">
        <v>44925</v>
      </c>
      <c r="RL617" s="5" t="s">
        <v>3728</v>
      </c>
      <c r="RM617" s="17">
        <v>44925</v>
      </c>
      <c r="RN617" s="5" t="s">
        <v>3728</v>
      </c>
      <c r="RO617" s="17">
        <v>44925</v>
      </c>
      <c r="RP617" s="5" t="s">
        <v>3728</v>
      </c>
      <c r="RQ617" s="17">
        <v>44925</v>
      </c>
      <c r="RR617" s="5" t="s">
        <v>3728</v>
      </c>
      <c r="RS617" s="17">
        <v>44925</v>
      </c>
      <c r="RT617" s="5" t="s">
        <v>3728</v>
      </c>
      <c r="RU617" s="17">
        <v>44925</v>
      </c>
      <c r="RV617" s="5" t="s">
        <v>3728</v>
      </c>
      <c r="RW617" s="17">
        <v>44925</v>
      </c>
      <c r="RX617" s="5" t="s">
        <v>3728</v>
      </c>
      <c r="RY617" s="17">
        <v>44925</v>
      </c>
      <c r="RZ617" s="5" t="s">
        <v>3728</v>
      </c>
      <c r="SA617" s="17">
        <v>44925</v>
      </c>
      <c r="SB617" s="5" t="s">
        <v>3728</v>
      </c>
      <c r="SC617" s="17">
        <v>44925</v>
      </c>
      <c r="SD617" s="5" t="s">
        <v>3728</v>
      </c>
      <c r="SE617" s="17">
        <v>44925</v>
      </c>
      <c r="SF617" s="5" t="s">
        <v>3728</v>
      </c>
      <c r="SG617" s="17">
        <v>44925</v>
      </c>
      <c r="SH617" s="5" t="s">
        <v>3728</v>
      </c>
      <c r="SI617" s="17">
        <v>44925</v>
      </c>
      <c r="SJ617" s="5" t="s">
        <v>3728</v>
      </c>
      <c r="SK617" s="17">
        <v>44925</v>
      </c>
      <c r="SL617" s="5" t="s">
        <v>3728</v>
      </c>
      <c r="SM617" s="17">
        <v>44925</v>
      </c>
      <c r="SN617" s="5" t="s">
        <v>3728</v>
      </c>
      <c r="SO617" s="17">
        <v>44925</v>
      </c>
      <c r="SP617" s="5" t="s">
        <v>3728</v>
      </c>
      <c r="SQ617" s="17">
        <v>44925</v>
      </c>
      <c r="SR617" s="5" t="s">
        <v>3728</v>
      </c>
      <c r="SS617" s="17">
        <v>44925</v>
      </c>
      <c r="ST617" s="5" t="s">
        <v>3728</v>
      </c>
      <c r="SU617" s="17">
        <v>44925</v>
      </c>
      <c r="SV617" s="5" t="s">
        <v>3728</v>
      </c>
      <c r="SW617" s="17">
        <v>44925</v>
      </c>
      <c r="SX617" s="5" t="s">
        <v>3728</v>
      </c>
      <c r="SY617" s="17">
        <v>44925</v>
      </c>
      <c r="SZ617" s="5" t="s">
        <v>3728</v>
      </c>
      <c r="TA617" s="17">
        <v>44925</v>
      </c>
      <c r="TB617" s="5" t="s">
        <v>3728</v>
      </c>
      <c r="TC617" s="17">
        <v>44925</v>
      </c>
      <c r="TD617" s="5" t="s">
        <v>3728</v>
      </c>
      <c r="TE617" s="17">
        <v>44925</v>
      </c>
      <c r="TF617" s="5" t="s">
        <v>3728</v>
      </c>
      <c r="TG617" s="17">
        <v>44925</v>
      </c>
      <c r="TH617" s="5" t="s">
        <v>3728</v>
      </c>
      <c r="TI617" s="17">
        <v>44925</v>
      </c>
      <c r="TJ617" s="5" t="s">
        <v>3728</v>
      </c>
      <c r="TK617" s="17">
        <v>44925</v>
      </c>
      <c r="TL617" s="5" t="s">
        <v>3728</v>
      </c>
      <c r="TM617" s="17">
        <v>44925</v>
      </c>
      <c r="TN617" s="5" t="s">
        <v>3728</v>
      </c>
      <c r="TO617" s="17">
        <v>44925</v>
      </c>
      <c r="TP617" s="5" t="s">
        <v>3728</v>
      </c>
      <c r="TQ617" s="17">
        <v>44925</v>
      </c>
      <c r="TR617" s="5" t="s">
        <v>3728</v>
      </c>
      <c r="TS617" s="17">
        <v>44925</v>
      </c>
      <c r="TT617" s="5" t="s">
        <v>3728</v>
      </c>
      <c r="TU617" s="17">
        <v>44925</v>
      </c>
      <c r="TV617" s="5" t="s">
        <v>3728</v>
      </c>
      <c r="TW617" s="17">
        <v>44925</v>
      </c>
      <c r="TX617" s="5" t="s">
        <v>3728</v>
      </c>
      <c r="TY617" s="17">
        <v>44925</v>
      </c>
      <c r="TZ617" s="5" t="s">
        <v>3728</v>
      </c>
      <c r="UA617" s="17">
        <v>44925</v>
      </c>
      <c r="UB617" s="5" t="s">
        <v>3728</v>
      </c>
      <c r="UC617" s="17">
        <v>44925</v>
      </c>
      <c r="UD617" s="5" t="s">
        <v>3728</v>
      </c>
      <c r="UE617" s="17">
        <v>44925</v>
      </c>
      <c r="UF617" s="5" t="s">
        <v>3728</v>
      </c>
      <c r="UG617" s="17">
        <v>44925</v>
      </c>
      <c r="UH617" s="5" t="s">
        <v>3728</v>
      </c>
      <c r="UI617" s="17">
        <v>44925</v>
      </c>
      <c r="UJ617" s="5" t="s">
        <v>3728</v>
      </c>
      <c r="UK617" s="17">
        <v>44925</v>
      </c>
      <c r="UL617" s="5" t="s">
        <v>3728</v>
      </c>
      <c r="UM617" s="17">
        <v>44925</v>
      </c>
      <c r="UN617" s="5" t="s">
        <v>3728</v>
      </c>
      <c r="UO617" s="17">
        <v>44925</v>
      </c>
      <c r="UP617" s="5" t="s">
        <v>3728</v>
      </c>
      <c r="UQ617" s="17">
        <v>44925</v>
      </c>
      <c r="UR617" s="5" t="s">
        <v>3728</v>
      </c>
      <c r="US617" s="17">
        <v>44925</v>
      </c>
      <c r="UT617" s="5" t="s">
        <v>3728</v>
      </c>
      <c r="UU617" s="17">
        <v>44925</v>
      </c>
      <c r="UV617" s="5" t="s">
        <v>3728</v>
      </c>
      <c r="UW617" s="17">
        <v>44925</v>
      </c>
      <c r="UX617" s="5" t="s">
        <v>3728</v>
      </c>
      <c r="UY617" s="17">
        <v>44925</v>
      </c>
      <c r="UZ617" s="5" t="s">
        <v>3728</v>
      </c>
      <c r="VA617" s="17">
        <v>44925</v>
      </c>
      <c r="VB617" s="5" t="s">
        <v>3728</v>
      </c>
      <c r="VC617" s="17">
        <v>44925</v>
      </c>
      <c r="VD617" s="5" t="s">
        <v>3728</v>
      </c>
      <c r="VE617" s="17">
        <v>44925</v>
      </c>
      <c r="VF617" s="5" t="s">
        <v>3728</v>
      </c>
      <c r="VG617" s="17">
        <v>44925</v>
      </c>
      <c r="VH617" s="5" t="s">
        <v>3728</v>
      </c>
      <c r="VI617" s="17">
        <v>44925</v>
      </c>
      <c r="VJ617" s="5" t="s">
        <v>3728</v>
      </c>
      <c r="VK617" s="17">
        <v>44925</v>
      </c>
      <c r="VL617" s="5" t="s">
        <v>3728</v>
      </c>
      <c r="VM617" s="17">
        <v>44925</v>
      </c>
      <c r="VN617" s="5" t="s">
        <v>3728</v>
      </c>
      <c r="VO617" s="17">
        <v>44925</v>
      </c>
      <c r="VP617" s="5" t="s">
        <v>3728</v>
      </c>
      <c r="VQ617" s="17">
        <v>44925</v>
      </c>
      <c r="VR617" s="5" t="s">
        <v>3728</v>
      </c>
      <c r="VS617" s="17">
        <v>44925</v>
      </c>
      <c r="VT617" s="5" t="s">
        <v>3728</v>
      </c>
      <c r="VU617" s="17">
        <v>44925</v>
      </c>
      <c r="VV617" s="5" t="s">
        <v>3728</v>
      </c>
      <c r="VW617" s="17">
        <v>44925</v>
      </c>
      <c r="VX617" s="5" t="s">
        <v>3728</v>
      </c>
      <c r="VY617" s="17">
        <v>44925</v>
      </c>
      <c r="VZ617" s="5" t="s">
        <v>3728</v>
      </c>
      <c r="WA617" s="17">
        <v>44925</v>
      </c>
      <c r="WB617" s="5" t="s">
        <v>3728</v>
      </c>
      <c r="WC617" s="17">
        <v>44925</v>
      </c>
      <c r="WD617" s="5" t="s">
        <v>3728</v>
      </c>
      <c r="WE617" s="17">
        <v>44925</v>
      </c>
      <c r="WF617" s="5" t="s">
        <v>3728</v>
      </c>
      <c r="WG617" s="17">
        <v>44925</v>
      </c>
      <c r="WH617" s="5" t="s">
        <v>3728</v>
      </c>
      <c r="WI617" s="17">
        <v>44925</v>
      </c>
      <c r="WJ617" s="5" t="s">
        <v>3728</v>
      </c>
      <c r="WK617" s="17">
        <v>44925</v>
      </c>
      <c r="WL617" s="5" t="s">
        <v>3728</v>
      </c>
      <c r="WM617" s="17">
        <v>44925</v>
      </c>
      <c r="WN617" s="5" t="s">
        <v>3728</v>
      </c>
      <c r="WO617" s="17">
        <v>44925</v>
      </c>
      <c r="WP617" s="5" t="s">
        <v>3728</v>
      </c>
      <c r="WQ617" s="17">
        <v>44925</v>
      </c>
      <c r="WR617" s="5" t="s">
        <v>3728</v>
      </c>
      <c r="WS617" s="17">
        <v>44925</v>
      </c>
      <c r="WT617" s="5" t="s">
        <v>3728</v>
      </c>
      <c r="WU617" s="17">
        <v>44925</v>
      </c>
      <c r="WV617" s="5" t="s">
        <v>3728</v>
      </c>
      <c r="WW617" s="17">
        <v>44925</v>
      </c>
      <c r="WX617" s="5" t="s">
        <v>3728</v>
      </c>
      <c r="WY617" s="17">
        <v>44925</v>
      </c>
      <c r="WZ617" s="5" t="s">
        <v>3728</v>
      </c>
      <c r="XA617" s="17">
        <v>44925</v>
      </c>
      <c r="XB617" s="5" t="s">
        <v>3728</v>
      </c>
      <c r="XC617" s="17">
        <v>44925</v>
      </c>
      <c r="XD617" s="5" t="s">
        <v>3728</v>
      </c>
      <c r="XE617" s="17">
        <v>44925</v>
      </c>
      <c r="XF617" s="5" t="s">
        <v>3728</v>
      </c>
      <c r="XG617" s="17">
        <v>44925</v>
      </c>
      <c r="XH617" s="5" t="s">
        <v>3728</v>
      </c>
      <c r="XI617" s="17">
        <v>44925</v>
      </c>
      <c r="XJ617" s="5" t="s">
        <v>3728</v>
      </c>
      <c r="XK617" s="17">
        <v>44925</v>
      </c>
      <c r="XL617" s="5" t="s">
        <v>3728</v>
      </c>
      <c r="XM617" s="17">
        <v>44925</v>
      </c>
      <c r="XN617" s="5" t="s">
        <v>3728</v>
      </c>
      <c r="XO617" s="17">
        <v>44925</v>
      </c>
      <c r="XP617" s="5" t="s">
        <v>3728</v>
      </c>
      <c r="XQ617" s="17">
        <v>44925</v>
      </c>
      <c r="XR617" s="5" t="s">
        <v>3728</v>
      </c>
      <c r="XS617" s="17">
        <v>44925</v>
      </c>
      <c r="XT617" s="5" t="s">
        <v>3728</v>
      </c>
      <c r="XU617" s="17">
        <v>44925</v>
      </c>
      <c r="XV617" s="5" t="s">
        <v>3728</v>
      </c>
      <c r="XW617" s="17">
        <v>44925</v>
      </c>
      <c r="XX617" s="5" t="s">
        <v>3728</v>
      </c>
      <c r="XY617" s="17">
        <v>44925</v>
      </c>
      <c r="XZ617" s="5" t="s">
        <v>3728</v>
      </c>
      <c r="YA617" s="17">
        <v>44925</v>
      </c>
      <c r="YB617" s="5" t="s">
        <v>3728</v>
      </c>
      <c r="YC617" s="17">
        <v>44925</v>
      </c>
      <c r="YD617" s="5" t="s">
        <v>3728</v>
      </c>
      <c r="YE617" s="17">
        <v>44925</v>
      </c>
      <c r="YF617" s="5" t="s">
        <v>3728</v>
      </c>
      <c r="YG617" s="17">
        <v>44925</v>
      </c>
      <c r="YH617" s="5" t="s">
        <v>3728</v>
      </c>
      <c r="YI617" s="17">
        <v>44925</v>
      </c>
      <c r="YJ617" s="5" t="s">
        <v>3728</v>
      </c>
      <c r="YK617" s="17">
        <v>44925</v>
      </c>
      <c r="YL617" s="5" t="s">
        <v>3728</v>
      </c>
      <c r="YM617" s="17">
        <v>44925</v>
      </c>
      <c r="YN617" s="5" t="s">
        <v>3728</v>
      </c>
      <c r="YO617" s="17">
        <v>44925</v>
      </c>
      <c r="YP617" s="5" t="s">
        <v>3728</v>
      </c>
      <c r="YQ617" s="17">
        <v>44925</v>
      </c>
      <c r="YR617" s="5" t="s">
        <v>3728</v>
      </c>
      <c r="YS617" s="17">
        <v>44925</v>
      </c>
      <c r="YT617" s="5" t="s">
        <v>3728</v>
      </c>
      <c r="YU617" s="17">
        <v>44925</v>
      </c>
      <c r="YV617" s="5" t="s">
        <v>3728</v>
      </c>
      <c r="YW617" s="17">
        <v>44925</v>
      </c>
      <c r="YX617" s="5" t="s">
        <v>3728</v>
      </c>
      <c r="YY617" s="17">
        <v>44925</v>
      </c>
      <c r="YZ617" s="5" t="s">
        <v>3728</v>
      </c>
      <c r="ZA617" s="17">
        <v>44925</v>
      </c>
      <c r="ZB617" s="5" t="s">
        <v>3728</v>
      </c>
      <c r="ZC617" s="17">
        <v>44925</v>
      </c>
      <c r="ZD617" s="5" t="s">
        <v>3728</v>
      </c>
      <c r="ZE617" s="17">
        <v>44925</v>
      </c>
      <c r="ZF617" s="5" t="s">
        <v>3728</v>
      </c>
      <c r="ZG617" s="17">
        <v>44925</v>
      </c>
      <c r="ZH617" s="5" t="s">
        <v>3728</v>
      </c>
      <c r="ZI617" s="17">
        <v>44925</v>
      </c>
      <c r="ZJ617" s="5" t="s">
        <v>3728</v>
      </c>
      <c r="ZK617" s="17">
        <v>44925</v>
      </c>
      <c r="ZL617" s="5" t="s">
        <v>3728</v>
      </c>
      <c r="ZM617" s="17">
        <v>44925</v>
      </c>
      <c r="ZN617" s="5" t="s">
        <v>3728</v>
      </c>
      <c r="ZO617" s="17">
        <v>44925</v>
      </c>
      <c r="ZP617" s="5" t="s">
        <v>3728</v>
      </c>
      <c r="ZQ617" s="17">
        <v>44925</v>
      </c>
      <c r="ZR617" s="5" t="s">
        <v>3728</v>
      </c>
      <c r="ZS617" s="17">
        <v>44925</v>
      </c>
      <c r="ZT617" s="5" t="s">
        <v>3728</v>
      </c>
      <c r="ZU617" s="17">
        <v>44925</v>
      </c>
      <c r="ZV617" s="5" t="s">
        <v>3728</v>
      </c>
      <c r="ZW617" s="17">
        <v>44925</v>
      </c>
      <c r="ZX617" s="5" t="s">
        <v>3728</v>
      </c>
      <c r="ZY617" s="17">
        <v>44925</v>
      </c>
      <c r="ZZ617" s="5" t="s">
        <v>3728</v>
      </c>
      <c r="AAA617" s="17">
        <v>44925</v>
      </c>
      <c r="AAB617" s="5" t="s">
        <v>3728</v>
      </c>
      <c r="AAC617" s="17">
        <v>44925</v>
      </c>
      <c r="AAD617" s="5" t="s">
        <v>3728</v>
      </c>
      <c r="AAE617" s="17">
        <v>44925</v>
      </c>
      <c r="AAF617" s="5" t="s">
        <v>3728</v>
      </c>
      <c r="AAG617" s="17">
        <v>44925</v>
      </c>
      <c r="AAH617" s="5" t="s">
        <v>3728</v>
      </c>
      <c r="AAI617" s="17">
        <v>44925</v>
      </c>
      <c r="AAJ617" s="5" t="s">
        <v>3728</v>
      </c>
      <c r="AAK617" s="17">
        <v>44925</v>
      </c>
      <c r="AAL617" s="5" t="s">
        <v>3728</v>
      </c>
      <c r="AAM617" s="17">
        <v>44925</v>
      </c>
      <c r="AAN617" s="5" t="s">
        <v>3728</v>
      </c>
      <c r="AAO617" s="17">
        <v>44925</v>
      </c>
      <c r="AAP617" s="5" t="s">
        <v>3728</v>
      </c>
      <c r="AAQ617" s="17">
        <v>44925</v>
      </c>
      <c r="AAR617" s="5" t="s">
        <v>3728</v>
      </c>
      <c r="AAS617" s="17">
        <v>44925</v>
      </c>
      <c r="AAT617" s="5" t="s">
        <v>3728</v>
      </c>
      <c r="AAU617" s="17">
        <v>44925</v>
      </c>
      <c r="AAV617" s="5" t="s">
        <v>3728</v>
      </c>
      <c r="AAW617" s="17">
        <v>44925</v>
      </c>
      <c r="AAX617" s="5" t="s">
        <v>3728</v>
      </c>
      <c r="AAY617" s="17">
        <v>44925</v>
      </c>
      <c r="AAZ617" s="5" t="s">
        <v>3728</v>
      </c>
      <c r="ABA617" s="17">
        <v>44925</v>
      </c>
      <c r="ABB617" s="5" t="s">
        <v>3728</v>
      </c>
      <c r="ABC617" s="17">
        <v>44925</v>
      </c>
      <c r="ABD617" s="5" t="s">
        <v>3728</v>
      </c>
      <c r="ABE617" s="17">
        <v>44925</v>
      </c>
      <c r="ABF617" s="5" t="s">
        <v>3728</v>
      </c>
      <c r="ABG617" s="17">
        <v>44925</v>
      </c>
      <c r="ABH617" s="5" t="s">
        <v>3728</v>
      </c>
      <c r="ABI617" s="17">
        <v>44925</v>
      </c>
      <c r="ABJ617" s="5" t="s">
        <v>3728</v>
      </c>
      <c r="ABK617" s="17">
        <v>44925</v>
      </c>
      <c r="ABL617" s="5" t="s">
        <v>3728</v>
      </c>
      <c r="ABM617" s="17">
        <v>44925</v>
      </c>
      <c r="ABN617" s="5" t="s">
        <v>3728</v>
      </c>
      <c r="ABO617" s="17">
        <v>44925</v>
      </c>
      <c r="ABP617" s="5" t="s">
        <v>3728</v>
      </c>
      <c r="ABQ617" s="17">
        <v>44925</v>
      </c>
      <c r="ABR617" s="5" t="s">
        <v>3728</v>
      </c>
      <c r="ABS617" s="17">
        <v>44925</v>
      </c>
      <c r="ABT617" s="5" t="s">
        <v>3728</v>
      </c>
      <c r="ABU617" s="17">
        <v>44925</v>
      </c>
      <c r="ABV617" s="5" t="s">
        <v>3728</v>
      </c>
      <c r="ABW617" s="17">
        <v>44925</v>
      </c>
      <c r="ABX617" s="5" t="s">
        <v>3728</v>
      </c>
      <c r="ABY617" s="17">
        <v>44925</v>
      </c>
      <c r="ABZ617" s="5" t="s">
        <v>3728</v>
      </c>
      <c r="ACA617" s="17">
        <v>44925</v>
      </c>
      <c r="ACB617" s="5" t="s">
        <v>3728</v>
      </c>
      <c r="ACC617" s="17">
        <v>44925</v>
      </c>
      <c r="ACD617" s="5" t="s">
        <v>3728</v>
      </c>
      <c r="ACE617" s="17">
        <v>44925</v>
      </c>
      <c r="ACF617" s="5" t="s">
        <v>3728</v>
      </c>
      <c r="ACG617" s="17">
        <v>44925</v>
      </c>
      <c r="ACH617" s="5" t="s">
        <v>3728</v>
      </c>
      <c r="ACI617" s="17">
        <v>44925</v>
      </c>
      <c r="ACJ617" s="5" t="s">
        <v>3728</v>
      </c>
      <c r="ACK617" s="17">
        <v>44925</v>
      </c>
      <c r="ACL617" s="5" t="s">
        <v>3728</v>
      </c>
      <c r="ACM617" s="17">
        <v>44925</v>
      </c>
      <c r="ACN617" s="5" t="s">
        <v>3728</v>
      </c>
      <c r="ACO617" s="17">
        <v>44925</v>
      </c>
      <c r="ACP617" s="5" t="s">
        <v>3728</v>
      </c>
      <c r="ACQ617" s="17">
        <v>44925</v>
      </c>
      <c r="ACR617" s="5" t="s">
        <v>3728</v>
      </c>
      <c r="ACS617" s="17">
        <v>44925</v>
      </c>
      <c r="ACT617" s="5" t="s">
        <v>3728</v>
      </c>
      <c r="ACU617" s="17">
        <v>44925</v>
      </c>
      <c r="ACV617" s="5" t="s">
        <v>3728</v>
      </c>
      <c r="ACW617" s="17">
        <v>44925</v>
      </c>
      <c r="ACX617" s="5" t="s">
        <v>3728</v>
      </c>
      <c r="ACY617" s="17">
        <v>44925</v>
      </c>
      <c r="ACZ617" s="5" t="s">
        <v>3728</v>
      </c>
      <c r="ADA617" s="17">
        <v>44925</v>
      </c>
      <c r="ADB617" s="5" t="s">
        <v>3728</v>
      </c>
      <c r="ADC617" s="17">
        <v>44925</v>
      </c>
      <c r="ADD617" s="5" t="s">
        <v>3728</v>
      </c>
      <c r="ADE617" s="17">
        <v>44925</v>
      </c>
      <c r="ADF617" s="5" t="s">
        <v>3728</v>
      </c>
      <c r="ADG617" s="17">
        <v>44925</v>
      </c>
      <c r="ADH617" s="5" t="s">
        <v>3728</v>
      </c>
      <c r="ADI617" s="17">
        <v>44925</v>
      </c>
      <c r="ADJ617" s="5" t="s">
        <v>3728</v>
      </c>
      <c r="ADK617" s="17">
        <v>44925</v>
      </c>
      <c r="ADL617" s="5" t="s">
        <v>3728</v>
      </c>
      <c r="ADM617" s="17">
        <v>44925</v>
      </c>
      <c r="ADN617" s="5" t="s">
        <v>3728</v>
      </c>
      <c r="ADO617" s="17">
        <v>44925</v>
      </c>
      <c r="ADP617" s="5" t="s">
        <v>3728</v>
      </c>
      <c r="ADQ617" s="17">
        <v>44925</v>
      </c>
      <c r="ADR617" s="5" t="s">
        <v>3728</v>
      </c>
      <c r="ADS617" s="17">
        <v>44925</v>
      </c>
      <c r="ADT617" s="5" t="s">
        <v>3728</v>
      </c>
      <c r="ADU617" s="17">
        <v>44925</v>
      </c>
      <c r="ADV617" s="5" t="s">
        <v>3728</v>
      </c>
      <c r="ADW617" s="17">
        <v>44925</v>
      </c>
      <c r="ADX617" s="5" t="s">
        <v>3728</v>
      </c>
      <c r="ADY617" s="17">
        <v>44925</v>
      </c>
      <c r="ADZ617" s="5" t="s">
        <v>3728</v>
      </c>
      <c r="AEA617" s="17">
        <v>44925</v>
      </c>
      <c r="AEB617" s="5" t="s">
        <v>3728</v>
      </c>
      <c r="AEC617" s="17">
        <v>44925</v>
      </c>
      <c r="AED617" s="5" t="s">
        <v>3728</v>
      </c>
      <c r="AEE617" s="17">
        <v>44925</v>
      </c>
      <c r="AEF617" s="5" t="s">
        <v>3728</v>
      </c>
      <c r="AEG617" s="17">
        <v>44925</v>
      </c>
      <c r="AEH617" s="5" t="s">
        <v>3728</v>
      </c>
      <c r="AEI617" s="17">
        <v>44925</v>
      </c>
      <c r="AEJ617" s="5" t="s">
        <v>3728</v>
      </c>
      <c r="AEK617" s="17">
        <v>44925</v>
      </c>
      <c r="AEL617" s="5" t="s">
        <v>3728</v>
      </c>
      <c r="AEM617" s="17">
        <v>44925</v>
      </c>
      <c r="AEN617" s="5" t="s">
        <v>3728</v>
      </c>
      <c r="AEO617" s="17">
        <v>44925</v>
      </c>
      <c r="AEP617" s="5" t="s">
        <v>3728</v>
      </c>
      <c r="AEQ617" s="17">
        <v>44925</v>
      </c>
      <c r="AER617" s="5" t="s">
        <v>3728</v>
      </c>
      <c r="AES617" s="17">
        <v>44925</v>
      </c>
      <c r="AET617" s="5" t="s">
        <v>3728</v>
      </c>
      <c r="AEU617" s="17">
        <v>44925</v>
      </c>
      <c r="AEV617" s="5" t="s">
        <v>3728</v>
      </c>
      <c r="AEW617" s="17">
        <v>44925</v>
      </c>
      <c r="AEX617" s="5" t="s">
        <v>3728</v>
      </c>
      <c r="AEY617" s="17">
        <v>44925</v>
      </c>
      <c r="AEZ617" s="5" t="s">
        <v>3728</v>
      </c>
      <c r="AFA617" s="17">
        <v>44925</v>
      </c>
      <c r="AFB617" s="5" t="s">
        <v>3728</v>
      </c>
      <c r="AFC617" s="17">
        <v>44925</v>
      </c>
      <c r="AFD617" s="5" t="s">
        <v>3728</v>
      </c>
      <c r="AFE617" s="17">
        <v>44925</v>
      </c>
      <c r="AFF617" s="5" t="s">
        <v>3728</v>
      </c>
      <c r="AFG617" s="17">
        <v>44925</v>
      </c>
      <c r="AFH617" s="5" t="s">
        <v>3728</v>
      </c>
      <c r="AFI617" s="17">
        <v>44925</v>
      </c>
      <c r="AFJ617" s="5" t="s">
        <v>3728</v>
      </c>
      <c r="AFK617" s="17">
        <v>44925</v>
      </c>
      <c r="AFL617" s="5" t="s">
        <v>3728</v>
      </c>
      <c r="AFM617" s="17">
        <v>44925</v>
      </c>
      <c r="AFN617" s="5" t="s">
        <v>3728</v>
      </c>
      <c r="AFO617" s="17">
        <v>44925</v>
      </c>
      <c r="AFP617" s="5" t="s">
        <v>3728</v>
      </c>
      <c r="AFQ617" s="17">
        <v>44925</v>
      </c>
      <c r="AFR617" s="5" t="s">
        <v>3728</v>
      </c>
      <c r="AFS617" s="17">
        <v>44925</v>
      </c>
      <c r="AFT617" s="5" t="s">
        <v>3728</v>
      </c>
      <c r="AFU617" s="17">
        <v>44925</v>
      </c>
      <c r="AFV617" s="5" t="s">
        <v>3728</v>
      </c>
      <c r="AFW617" s="17">
        <v>44925</v>
      </c>
      <c r="AFX617" s="5" t="s">
        <v>3728</v>
      </c>
      <c r="AFY617" s="17">
        <v>44925</v>
      </c>
      <c r="AFZ617" s="5" t="s">
        <v>3728</v>
      </c>
      <c r="AGA617" s="17">
        <v>44925</v>
      </c>
      <c r="AGB617" s="5" t="s">
        <v>3728</v>
      </c>
      <c r="AGC617" s="17">
        <v>44925</v>
      </c>
      <c r="AGD617" s="5" t="s">
        <v>3728</v>
      </c>
      <c r="AGE617" s="17">
        <v>44925</v>
      </c>
      <c r="AGF617" s="5" t="s">
        <v>3728</v>
      </c>
      <c r="AGG617" s="17">
        <v>44925</v>
      </c>
      <c r="AGH617" s="5" t="s">
        <v>3728</v>
      </c>
      <c r="AGI617" s="17">
        <v>44925</v>
      </c>
      <c r="AGJ617" s="5" t="s">
        <v>3728</v>
      </c>
      <c r="AGK617" s="17">
        <v>44925</v>
      </c>
      <c r="AGL617" s="5" t="s">
        <v>3728</v>
      </c>
      <c r="AGM617" s="17">
        <v>44925</v>
      </c>
      <c r="AGN617" s="5" t="s">
        <v>3728</v>
      </c>
      <c r="AGO617" s="17">
        <v>44925</v>
      </c>
      <c r="AGP617" s="5" t="s">
        <v>3728</v>
      </c>
      <c r="AGQ617" s="17">
        <v>44925</v>
      </c>
      <c r="AGR617" s="5" t="s">
        <v>3728</v>
      </c>
      <c r="AGS617" s="17">
        <v>44925</v>
      </c>
      <c r="AGT617" s="5" t="s">
        <v>3728</v>
      </c>
      <c r="AGU617" s="17">
        <v>44925</v>
      </c>
      <c r="AGV617" s="5" t="s">
        <v>3728</v>
      </c>
      <c r="AGW617" s="17">
        <v>44925</v>
      </c>
      <c r="AGX617" s="5" t="s">
        <v>3728</v>
      </c>
      <c r="AGY617" s="17">
        <v>44925</v>
      </c>
      <c r="AGZ617" s="5" t="s">
        <v>3728</v>
      </c>
      <c r="AHA617" s="17">
        <v>44925</v>
      </c>
      <c r="AHB617" s="5" t="s">
        <v>3728</v>
      </c>
      <c r="AHC617" s="17">
        <v>44925</v>
      </c>
      <c r="AHD617" s="5" t="s">
        <v>3728</v>
      </c>
      <c r="AHE617" s="17">
        <v>44925</v>
      </c>
      <c r="AHF617" s="5" t="s">
        <v>3728</v>
      </c>
      <c r="AHG617" s="17">
        <v>44925</v>
      </c>
      <c r="AHH617" s="5" t="s">
        <v>3728</v>
      </c>
      <c r="AHI617" s="17">
        <v>44925</v>
      </c>
      <c r="AHJ617" s="5" t="s">
        <v>3728</v>
      </c>
      <c r="AHK617" s="17">
        <v>44925</v>
      </c>
      <c r="AHL617" s="5" t="s">
        <v>3728</v>
      </c>
      <c r="AHM617" s="17">
        <v>44925</v>
      </c>
      <c r="AHN617" s="5" t="s">
        <v>3728</v>
      </c>
      <c r="AHO617" s="17">
        <v>44925</v>
      </c>
      <c r="AHP617" s="5" t="s">
        <v>3728</v>
      </c>
      <c r="AHQ617" s="17">
        <v>44925</v>
      </c>
      <c r="AHR617" s="5" t="s">
        <v>3728</v>
      </c>
      <c r="AHS617" s="17">
        <v>44925</v>
      </c>
      <c r="AHT617" s="5" t="s">
        <v>3728</v>
      </c>
      <c r="AHU617" s="17">
        <v>44925</v>
      </c>
      <c r="AHV617" s="5" t="s">
        <v>3728</v>
      </c>
      <c r="AHW617" s="17">
        <v>44925</v>
      </c>
      <c r="AHX617" s="5" t="s">
        <v>3728</v>
      </c>
      <c r="AHY617" s="17">
        <v>44925</v>
      </c>
      <c r="AHZ617" s="5" t="s">
        <v>3728</v>
      </c>
      <c r="AIA617" s="17">
        <v>44925</v>
      </c>
      <c r="AIB617" s="5" t="s">
        <v>3728</v>
      </c>
      <c r="AIC617" s="17">
        <v>44925</v>
      </c>
      <c r="AID617" s="5" t="s">
        <v>3728</v>
      </c>
      <c r="AIE617" s="17">
        <v>44925</v>
      </c>
      <c r="AIF617" s="5" t="s">
        <v>3728</v>
      </c>
      <c r="AIG617" s="17">
        <v>44925</v>
      </c>
      <c r="AIH617" s="5" t="s">
        <v>3728</v>
      </c>
      <c r="AII617" s="17">
        <v>44925</v>
      </c>
      <c r="AIJ617" s="5" t="s">
        <v>3728</v>
      </c>
      <c r="AIK617" s="17">
        <v>44925</v>
      </c>
      <c r="AIL617" s="5" t="s">
        <v>3728</v>
      </c>
      <c r="AIM617" s="17">
        <v>44925</v>
      </c>
      <c r="AIN617" s="5" t="s">
        <v>3728</v>
      </c>
      <c r="AIO617" s="17">
        <v>44925</v>
      </c>
      <c r="AIP617" s="5" t="s">
        <v>3728</v>
      </c>
      <c r="AIQ617" s="17">
        <v>44925</v>
      </c>
      <c r="AIR617" s="5" t="s">
        <v>3728</v>
      </c>
      <c r="AIS617" s="17">
        <v>44925</v>
      </c>
      <c r="AIT617" s="5" t="s">
        <v>3728</v>
      </c>
      <c r="AIU617" s="17">
        <v>44925</v>
      </c>
      <c r="AIV617" s="5" t="s">
        <v>3728</v>
      </c>
      <c r="AIW617" s="17">
        <v>44925</v>
      </c>
      <c r="AIX617" s="5" t="s">
        <v>3728</v>
      </c>
      <c r="AIY617" s="17">
        <v>44925</v>
      </c>
      <c r="AIZ617" s="5" t="s">
        <v>3728</v>
      </c>
      <c r="AJA617" s="17">
        <v>44925</v>
      </c>
      <c r="AJB617" s="5" t="s">
        <v>3728</v>
      </c>
      <c r="AJC617" s="17">
        <v>44925</v>
      </c>
      <c r="AJD617" s="5" t="s">
        <v>3728</v>
      </c>
      <c r="AJE617" s="17">
        <v>44925</v>
      </c>
      <c r="AJF617" s="5" t="s">
        <v>3728</v>
      </c>
      <c r="AJG617" s="17">
        <v>44925</v>
      </c>
      <c r="AJH617" s="5" t="s">
        <v>3728</v>
      </c>
      <c r="AJI617" s="17">
        <v>44925</v>
      </c>
      <c r="AJJ617" s="5" t="s">
        <v>3728</v>
      </c>
      <c r="AJK617" s="17">
        <v>44925</v>
      </c>
      <c r="AJL617" s="5" t="s">
        <v>3728</v>
      </c>
      <c r="AJM617" s="17">
        <v>44925</v>
      </c>
      <c r="AJN617" s="5" t="s">
        <v>3728</v>
      </c>
      <c r="AJO617" s="17">
        <v>44925</v>
      </c>
      <c r="AJP617" s="5" t="s">
        <v>3728</v>
      </c>
      <c r="AJQ617" s="17">
        <v>44925</v>
      </c>
      <c r="AJR617" s="5" t="s">
        <v>3728</v>
      </c>
      <c r="AJS617" s="17">
        <v>44925</v>
      </c>
      <c r="AJT617" s="5" t="s">
        <v>3728</v>
      </c>
      <c r="AJU617" s="17">
        <v>44925</v>
      </c>
      <c r="AJV617" s="5" t="s">
        <v>3728</v>
      </c>
      <c r="AJW617" s="17">
        <v>44925</v>
      </c>
      <c r="AJX617" s="5" t="s">
        <v>3728</v>
      </c>
      <c r="AJY617" s="17">
        <v>44925</v>
      </c>
      <c r="AJZ617" s="5" t="s">
        <v>3728</v>
      </c>
      <c r="AKA617" s="17">
        <v>44925</v>
      </c>
      <c r="AKB617" s="5" t="s">
        <v>3728</v>
      </c>
      <c r="AKC617" s="17">
        <v>44925</v>
      </c>
      <c r="AKD617" s="5" t="s">
        <v>3728</v>
      </c>
      <c r="AKE617" s="17">
        <v>44925</v>
      </c>
      <c r="AKF617" s="5" t="s">
        <v>3728</v>
      </c>
      <c r="AKG617" s="17">
        <v>44925</v>
      </c>
      <c r="AKH617" s="5" t="s">
        <v>3728</v>
      </c>
      <c r="AKI617" s="17">
        <v>44925</v>
      </c>
      <c r="AKJ617" s="5" t="s">
        <v>3728</v>
      </c>
      <c r="AKK617" s="17">
        <v>44925</v>
      </c>
      <c r="AKL617" s="5" t="s">
        <v>3728</v>
      </c>
      <c r="AKM617" s="17">
        <v>44925</v>
      </c>
      <c r="AKN617" s="5" t="s">
        <v>3728</v>
      </c>
      <c r="AKO617" s="17">
        <v>44925</v>
      </c>
      <c r="AKP617" s="5" t="s">
        <v>3728</v>
      </c>
      <c r="AKQ617" s="17">
        <v>44925</v>
      </c>
      <c r="AKR617" s="5" t="s">
        <v>3728</v>
      </c>
      <c r="AKS617" s="17">
        <v>44925</v>
      </c>
      <c r="AKT617" s="5" t="s">
        <v>3728</v>
      </c>
      <c r="AKU617" s="17">
        <v>44925</v>
      </c>
      <c r="AKV617" s="5" t="s">
        <v>3728</v>
      </c>
      <c r="AKW617" s="17">
        <v>44925</v>
      </c>
      <c r="AKX617" s="5" t="s">
        <v>3728</v>
      </c>
      <c r="AKY617" s="17">
        <v>44925</v>
      </c>
      <c r="AKZ617" s="5" t="s">
        <v>3728</v>
      </c>
      <c r="ALA617" s="17">
        <v>44925</v>
      </c>
      <c r="ALB617" s="5" t="s">
        <v>3728</v>
      </c>
      <c r="ALC617" s="17">
        <v>44925</v>
      </c>
      <c r="ALD617" s="5" t="s">
        <v>3728</v>
      </c>
      <c r="ALE617" s="17">
        <v>44925</v>
      </c>
      <c r="ALF617" s="5" t="s">
        <v>3728</v>
      </c>
      <c r="ALG617" s="17">
        <v>44925</v>
      </c>
      <c r="ALH617" s="5" t="s">
        <v>3728</v>
      </c>
      <c r="ALI617" s="17">
        <v>44925</v>
      </c>
      <c r="ALJ617" s="5" t="s">
        <v>3728</v>
      </c>
      <c r="ALK617" s="17">
        <v>44925</v>
      </c>
      <c r="ALL617" s="5" t="s">
        <v>3728</v>
      </c>
      <c r="ALM617" s="17">
        <v>44925</v>
      </c>
      <c r="ALN617" s="5" t="s">
        <v>3728</v>
      </c>
      <c r="ALO617" s="17">
        <v>44925</v>
      </c>
      <c r="ALP617" s="5" t="s">
        <v>3728</v>
      </c>
      <c r="ALQ617" s="17">
        <v>44925</v>
      </c>
      <c r="ALR617" s="5" t="s">
        <v>3728</v>
      </c>
      <c r="ALS617" s="17">
        <v>44925</v>
      </c>
      <c r="ALT617" s="5" t="s">
        <v>3728</v>
      </c>
      <c r="ALU617" s="17">
        <v>44925</v>
      </c>
      <c r="ALV617" s="5" t="s">
        <v>3728</v>
      </c>
      <c r="ALW617" s="17">
        <v>44925</v>
      </c>
      <c r="ALX617" s="5" t="s">
        <v>3728</v>
      </c>
      <c r="ALY617" s="17">
        <v>44925</v>
      </c>
      <c r="ALZ617" s="5" t="s">
        <v>3728</v>
      </c>
      <c r="AMA617" s="17">
        <v>44925</v>
      </c>
      <c r="AMB617" s="5" t="s">
        <v>3728</v>
      </c>
      <c r="AMC617" s="17">
        <v>44925</v>
      </c>
      <c r="AMD617" s="5" t="s">
        <v>3728</v>
      </c>
      <c r="AME617" s="17">
        <v>44925</v>
      </c>
      <c r="AMF617" s="5" t="s">
        <v>3728</v>
      </c>
      <c r="AMG617" s="17">
        <v>44925</v>
      </c>
      <c r="AMH617" s="5" t="s">
        <v>3728</v>
      </c>
      <c r="AMI617" s="17">
        <v>44925</v>
      </c>
      <c r="AMJ617" s="5" t="s">
        <v>3728</v>
      </c>
      <c r="AMK617" s="17">
        <v>44925</v>
      </c>
      <c r="AML617" s="5" t="s">
        <v>3728</v>
      </c>
      <c r="AMM617" s="17">
        <v>44925</v>
      </c>
      <c r="AMN617" s="5" t="s">
        <v>3728</v>
      </c>
      <c r="AMO617" s="17">
        <v>44925</v>
      </c>
      <c r="AMP617" s="5" t="s">
        <v>3728</v>
      </c>
      <c r="AMQ617" s="17">
        <v>44925</v>
      </c>
      <c r="AMR617" s="5" t="s">
        <v>3728</v>
      </c>
      <c r="AMS617" s="17">
        <v>44925</v>
      </c>
      <c r="AMT617" s="5" t="s">
        <v>3728</v>
      </c>
      <c r="AMU617" s="17">
        <v>44925</v>
      </c>
      <c r="AMV617" s="5" t="s">
        <v>3728</v>
      </c>
      <c r="AMW617" s="17">
        <v>44925</v>
      </c>
      <c r="AMX617" s="5" t="s">
        <v>3728</v>
      </c>
      <c r="AMY617" s="17">
        <v>44925</v>
      </c>
      <c r="AMZ617" s="5" t="s">
        <v>3728</v>
      </c>
      <c r="ANA617" s="17">
        <v>44925</v>
      </c>
      <c r="ANB617" s="5" t="s">
        <v>3728</v>
      </c>
      <c r="ANC617" s="17">
        <v>44925</v>
      </c>
      <c r="AND617" s="5" t="s">
        <v>3728</v>
      </c>
      <c r="ANE617" s="17">
        <v>44925</v>
      </c>
      <c r="ANF617" s="5" t="s">
        <v>3728</v>
      </c>
      <c r="ANG617" s="17">
        <v>44925</v>
      </c>
      <c r="ANH617" s="5" t="s">
        <v>3728</v>
      </c>
      <c r="ANI617" s="17">
        <v>44925</v>
      </c>
      <c r="ANJ617" s="5" t="s">
        <v>3728</v>
      </c>
      <c r="ANK617" s="17">
        <v>44925</v>
      </c>
      <c r="ANL617" s="5" t="s">
        <v>3728</v>
      </c>
      <c r="ANM617" s="17">
        <v>44925</v>
      </c>
      <c r="ANN617" s="5" t="s">
        <v>3728</v>
      </c>
      <c r="ANO617" s="17">
        <v>44925</v>
      </c>
      <c r="ANP617" s="5" t="s">
        <v>3728</v>
      </c>
      <c r="ANQ617" s="17">
        <v>44925</v>
      </c>
      <c r="ANR617" s="5" t="s">
        <v>3728</v>
      </c>
      <c r="ANS617" s="17">
        <v>44925</v>
      </c>
      <c r="ANT617" s="5" t="s">
        <v>3728</v>
      </c>
      <c r="ANU617" s="17">
        <v>44925</v>
      </c>
      <c r="ANV617" s="5" t="s">
        <v>3728</v>
      </c>
      <c r="ANW617" s="17">
        <v>44925</v>
      </c>
      <c r="ANX617" s="5" t="s">
        <v>3728</v>
      </c>
      <c r="ANY617" s="17">
        <v>44925</v>
      </c>
      <c r="ANZ617" s="5" t="s">
        <v>3728</v>
      </c>
      <c r="AOA617" s="17">
        <v>44925</v>
      </c>
      <c r="AOB617" s="5" t="s">
        <v>3728</v>
      </c>
      <c r="AOC617" s="17">
        <v>44925</v>
      </c>
      <c r="AOD617" s="5" t="s">
        <v>3728</v>
      </c>
      <c r="AOE617" s="17">
        <v>44925</v>
      </c>
      <c r="AOF617" s="5" t="s">
        <v>3728</v>
      </c>
      <c r="AOG617" s="17">
        <v>44925</v>
      </c>
      <c r="AOH617" s="5" t="s">
        <v>3728</v>
      </c>
      <c r="AOI617" s="17">
        <v>44925</v>
      </c>
      <c r="AOJ617" s="5" t="s">
        <v>3728</v>
      </c>
      <c r="AOK617" s="17">
        <v>44925</v>
      </c>
      <c r="AOL617" s="5" t="s">
        <v>3728</v>
      </c>
      <c r="AOM617" s="17">
        <v>44925</v>
      </c>
      <c r="AON617" s="5" t="s">
        <v>3728</v>
      </c>
      <c r="AOO617" s="17">
        <v>44925</v>
      </c>
      <c r="AOP617" s="5" t="s">
        <v>3728</v>
      </c>
      <c r="AOQ617" s="17">
        <v>44925</v>
      </c>
      <c r="AOR617" s="5" t="s">
        <v>3728</v>
      </c>
      <c r="AOS617" s="17">
        <v>44925</v>
      </c>
      <c r="AOT617" s="5" t="s">
        <v>3728</v>
      </c>
      <c r="AOU617" s="17">
        <v>44925</v>
      </c>
      <c r="AOV617" s="5" t="s">
        <v>3728</v>
      </c>
      <c r="AOW617" s="17">
        <v>44925</v>
      </c>
      <c r="AOX617" s="5" t="s">
        <v>3728</v>
      </c>
      <c r="AOY617" s="17">
        <v>44925</v>
      </c>
      <c r="AOZ617" s="5" t="s">
        <v>3728</v>
      </c>
      <c r="APA617" s="17">
        <v>44925</v>
      </c>
      <c r="APB617" s="5" t="s">
        <v>3728</v>
      </c>
      <c r="APC617" s="17">
        <v>44925</v>
      </c>
      <c r="APD617" s="5" t="s">
        <v>3728</v>
      </c>
      <c r="APE617" s="17">
        <v>44925</v>
      </c>
      <c r="APF617" s="5" t="s">
        <v>3728</v>
      </c>
      <c r="APG617" s="17">
        <v>44925</v>
      </c>
      <c r="APH617" s="5" t="s">
        <v>3728</v>
      </c>
      <c r="API617" s="17">
        <v>44925</v>
      </c>
      <c r="APJ617" s="5" t="s">
        <v>3728</v>
      </c>
      <c r="APK617" s="17">
        <v>44925</v>
      </c>
      <c r="APL617" s="5" t="s">
        <v>3728</v>
      </c>
      <c r="APM617" s="17">
        <v>44925</v>
      </c>
      <c r="APN617" s="5" t="s">
        <v>3728</v>
      </c>
      <c r="APO617" s="17">
        <v>44925</v>
      </c>
      <c r="APP617" s="5" t="s">
        <v>3728</v>
      </c>
      <c r="APQ617" s="17">
        <v>44925</v>
      </c>
      <c r="APR617" s="5" t="s">
        <v>3728</v>
      </c>
      <c r="APS617" s="17">
        <v>44925</v>
      </c>
      <c r="APT617" s="5" t="s">
        <v>3728</v>
      </c>
      <c r="APU617" s="17">
        <v>44925</v>
      </c>
      <c r="APV617" s="5" t="s">
        <v>3728</v>
      </c>
      <c r="APW617" s="17">
        <v>44925</v>
      </c>
      <c r="APX617" s="5" t="s">
        <v>3728</v>
      </c>
      <c r="APY617" s="17">
        <v>44925</v>
      </c>
      <c r="APZ617" s="5" t="s">
        <v>3728</v>
      </c>
      <c r="AQA617" s="17">
        <v>44925</v>
      </c>
      <c r="AQB617" s="5" t="s">
        <v>3728</v>
      </c>
      <c r="AQC617" s="17">
        <v>44925</v>
      </c>
      <c r="AQD617" s="5" t="s">
        <v>3728</v>
      </c>
      <c r="AQE617" s="17">
        <v>44925</v>
      </c>
      <c r="AQF617" s="5" t="s">
        <v>3728</v>
      </c>
      <c r="AQG617" s="17">
        <v>44925</v>
      </c>
      <c r="AQH617" s="5" t="s">
        <v>3728</v>
      </c>
      <c r="AQI617" s="17">
        <v>44925</v>
      </c>
      <c r="AQJ617" s="5" t="s">
        <v>3728</v>
      </c>
      <c r="AQK617" s="17">
        <v>44925</v>
      </c>
      <c r="AQL617" s="5" t="s">
        <v>3728</v>
      </c>
      <c r="AQM617" s="17">
        <v>44925</v>
      </c>
      <c r="AQN617" s="5" t="s">
        <v>3728</v>
      </c>
      <c r="AQO617" s="17">
        <v>44925</v>
      </c>
      <c r="AQP617" s="5" t="s">
        <v>3728</v>
      </c>
      <c r="AQQ617" s="17">
        <v>44925</v>
      </c>
      <c r="AQR617" s="5" t="s">
        <v>3728</v>
      </c>
      <c r="AQS617" s="17">
        <v>44925</v>
      </c>
      <c r="AQT617" s="5" t="s">
        <v>3728</v>
      </c>
      <c r="AQU617" s="17">
        <v>44925</v>
      </c>
      <c r="AQV617" s="5" t="s">
        <v>3728</v>
      </c>
      <c r="AQW617" s="17">
        <v>44925</v>
      </c>
      <c r="AQX617" s="5" t="s">
        <v>3728</v>
      </c>
      <c r="AQY617" s="17">
        <v>44925</v>
      </c>
      <c r="AQZ617" s="5" t="s">
        <v>3728</v>
      </c>
      <c r="ARA617" s="17">
        <v>44925</v>
      </c>
      <c r="ARB617" s="5" t="s">
        <v>3728</v>
      </c>
      <c r="ARC617" s="17">
        <v>44925</v>
      </c>
      <c r="ARD617" s="5" t="s">
        <v>3728</v>
      </c>
      <c r="ARE617" s="17">
        <v>44925</v>
      </c>
      <c r="ARF617" s="5" t="s">
        <v>3728</v>
      </c>
      <c r="ARG617" s="17">
        <v>44925</v>
      </c>
      <c r="ARH617" s="5" t="s">
        <v>3728</v>
      </c>
      <c r="ARI617" s="17">
        <v>44925</v>
      </c>
      <c r="ARJ617" s="5" t="s">
        <v>3728</v>
      </c>
      <c r="ARK617" s="17">
        <v>44925</v>
      </c>
      <c r="ARL617" s="5" t="s">
        <v>3728</v>
      </c>
      <c r="ARM617" s="17">
        <v>44925</v>
      </c>
      <c r="ARN617" s="5" t="s">
        <v>3728</v>
      </c>
      <c r="ARO617" s="17">
        <v>44925</v>
      </c>
      <c r="ARP617" s="5" t="s">
        <v>3728</v>
      </c>
      <c r="ARQ617" s="17">
        <v>44925</v>
      </c>
      <c r="ARR617" s="5" t="s">
        <v>3728</v>
      </c>
      <c r="ARS617" s="17">
        <v>44925</v>
      </c>
      <c r="ART617" s="5" t="s">
        <v>3728</v>
      </c>
      <c r="ARU617" s="17">
        <v>44925</v>
      </c>
      <c r="ARV617" s="5" t="s">
        <v>3728</v>
      </c>
      <c r="ARW617" s="17">
        <v>44925</v>
      </c>
      <c r="ARX617" s="5" t="s">
        <v>3728</v>
      </c>
      <c r="ARY617" s="17">
        <v>44925</v>
      </c>
      <c r="ARZ617" s="5" t="s">
        <v>3728</v>
      </c>
      <c r="ASA617" s="17">
        <v>44925</v>
      </c>
      <c r="ASB617" s="5" t="s">
        <v>3728</v>
      </c>
      <c r="ASC617" s="17">
        <v>44925</v>
      </c>
      <c r="ASD617" s="5" t="s">
        <v>3728</v>
      </c>
      <c r="ASE617" s="17">
        <v>44925</v>
      </c>
      <c r="ASF617" s="5" t="s">
        <v>3728</v>
      </c>
      <c r="ASG617" s="17">
        <v>44925</v>
      </c>
      <c r="ASH617" s="5" t="s">
        <v>3728</v>
      </c>
      <c r="ASI617" s="17">
        <v>44925</v>
      </c>
      <c r="ASJ617" s="5" t="s">
        <v>3728</v>
      </c>
      <c r="ASK617" s="17">
        <v>44925</v>
      </c>
      <c r="ASL617" s="5" t="s">
        <v>3728</v>
      </c>
      <c r="ASM617" s="17">
        <v>44925</v>
      </c>
      <c r="ASN617" s="5" t="s">
        <v>3728</v>
      </c>
      <c r="ASO617" s="17">
        <v>44925</v>
      </c>
      <c r="ASP617" s="5" t="s">
        <v>3728</v>
      </c>
      <c r="ASQ617" s="17">
        <v>44925</v>
      </c>
      <c r="ASR617" s="5" t="s">
        <v>3728</v>
      </c>
      <c r="ASS617" s="17">
        <v>44925</v>
      </c>
      <c r="AST617" s="5" t="s">
        <v>3728</v>
      </c>
      <c r="ASU617" s="17">
        <v>44925</v>
      </c>
      <c r="ASV617" s="5" t="s">
        <v>3728</v>
      </c>
      <c r="ASW617" s="17">
        <v>44925</v>
      </c>
      <c r="ASX617" s="5" t="s">
        <v>3728</v>
      </c>
      <c r="ASY617" s="17">
        <v>44925</v>
      </c>
      <c r="ASZ617" s="5" t="s">
        <v>3728</v>
      </c>
      <c r="ATA617" s="17">
        <v>44925</v>
      </c>
      <c r="ATB617" s="5" t="s">
        <v>3728</v>
      </c>
      <c r="ATC617" s="17">
        <v>44925</v>
      </c>
      <c r="ATD617" s="5" t="s">
        <v>3728</v>
      </c>
      <c r="ATE617" s="17">
        <v>44925</v>
      </c>
      <c r="ATF617" s="5" t="s">
        <v>3728</v>
      </c>
      <c r="ATG617" s="17">
        <v>44925</v>
      </c>
      <c r="ATH617" s="5" t="s">
        <v>3728</v>
      </c>
      <c r="ATI617" s="17">
        <v>44925</v>
      </c>
      <c r="ATJ617" s="5" t="s">
        <v>3728</v>
      </c>
      <c r="ATK617" s="17">
        <v>44925</v>
      </c>
      <c r="ATL617" s="5" t="s">
        <v>3728</v>
      </c>
      <c r="ATM617" s="17">
        <v>44925</v>
      </c>
      <c r="ATN617" s="5" t="s">
        <v>3728</v>
      </c>
      <c r="ATO617" s="17">
        <v>44925</v>
      </c>
      <c r="ATP617" s="5" t="s">
        <v>3728</v>
      </c>
      <c r="ATQ617" s="17">
        <v>44925</v>
      </c>
      <c r="ATR617" s="5" t="s">
        <v>3728</v>
      </c>
      <c r="ATS617" s="17">
        <v>44925</v>
      </c>
      <c r="ATT617" s="5" t="s">
        <v>3728</v>
      </c>
      <c r="ATU617" s="17">
        <v>44925</v>
      </c>
      <c r="ATV617" s="5" t="s">
        <v>3728</v>
      </c>
      <c r="ATW617" s="17">
        <v>44925</v>
      </c>
      <c r="ATX617" s="5" t="s">
        <v>3728</v>
      </c>
      <c r="ATY617" s="17">
        <v>44925</v>
      </c>
      <c r="ATZ617" s="5" t="s">
        <v>3728</v>
      </c>
      <c r="AUA617" s="17">
        <v>44925</v>
      </c>
      <c r="AUB617" s="5" t="s">
        <v>3728</v>
      </c>
      <c r="AUC617" s="17">
        <v>44925</v>
      </c>
      <c r="AUD617" s="5" t="s">
        <v>3728</v>
      </c>
      <c r="AUE617" s="17">
        <v>44925</v>
      </c>
      <c r="AUF617" s="5" t="s">
        <v>3728</v>
      </c>
      <c r="AUG617" s="17">
        <v>44925</v>
      </c>
      <c r="AUH617" s="5" t="s">
        <v>3728</v>
      </c>
      <c r="AUI617" s="17">
        <v>44925</v>
      </c>
      <c r="AUJ617" s="5" t="s">
        <v>3728</v>
      </c>
      <c r="AUK617" s="17">
        <v>44925</v>
      </c>
      <c r="AUL617" s="5" t="s">
        <v>3728</v>
      </c>
      <c r="AUM617" s="17">
        <v>44925</v>
      </c>
      <c r="AUN617" s="5" t="s">
        <v>3728</v>
      </c>
      <c r="AUO617" s="17">
        <v>44925</v>
      </c>
      <c r="AUP617" s="5" t="s">
        <v>3728</v>
      </c>
      <c r="AUQ617" s="17">
        <v>44925</v>
      </c>
      <c r="AUR617" s="5" t="s">
        <v>3728</v>
      </c>
      <c r="AUS617" s="17">
        <v>44925</v>
      </c>
      <c r="AUT617" s="5" t="s">
        <v>3728</v>
      </c>
      <c r="AUU617" s="17">
        <v>44925</v>
      </c>
      <c r="AUV617" s="5" t="s">
        <v>3728</v>
      </c>
      <c r="AUW617" s="17">
        <v>44925</v>
      </c>
      <c r="AUX617" s="5" t="s">
        <v>3728</v>
      </c>
      <c r="AUY617" s="17">
        <v>44925</v>
      </c>
      <c r="AUZ617" s="5" t="s">
        <v>3728</v>
      </c>
      <c r="AVA617" s="17">
        <v>44925</v>
      </c>
      <c r="AVB617" s="5" t="s">
        <v>3728</v>
      </c>
      <c r="AVC617" s="17">
        <v>44925</v>
      </c>
      <c r="AVD617" s="5" t="s">
        <v>3728</v>
      </c>
      <c r="AVE617" s="17">
        <v>44925</v>
      </c>
      <c r="AVF617" s="5" t="s">
        <v>3728</v>
      </c>
      <c r="AVG617" s="17">
        <v>44925</v>
      </c>
      <c r="AVH617" s="5" t="s">
        <v>3728</v>
      </c>
      <c r="AVI617" s="17">
        <v>44925</v>
      </c>
      <c r="AVJ617" s="5" t="s">
        <v>3728</v>
      </c>
      <c r="AVK617" s="17">
        <v>44925</v>
      </c>
      <c r="AVL617" s="5" t="s">
        <v>3728</v>
      </c>
      <c r="AVM617" s="17">
        <v>44925</v>
      </c>
      <c r="AVN617" s="5" t="s">
        <v>3728</v>
      </c>
      <c r="AVO617" s="17">
        <v>44925</v>
      </c>
      <c r="AVP617" s="5" t="s">
        <v>3728</v>
      </c>
      <c r="AVQ617" s="17">
        <v>44925</v>
      </c>
      <c r="AVR617" s="5" t="s">
        <v>3728</v>
      </c>
      <c r="AVS617" s="17">
        <v>44925</v>
      </c>
      <c r="AVT617" s="5" t="s">
        <v>3728</v>
      </c>
      <c r="AVU617" s="17">
        <v>44925</v>
      </c>
      <c r="AVV617" s="5" t="s">
        <v>3728</v>
      </c>
      <c r="AVW617" s="17">
        <v>44925</v>
      </c>
      <c r="AVX617" s="5" t="s">
        <v>3728</v>
      </c>
      <c r="AVY617" s="17">
        <v>44925</v>
      </c>
      <c r="AVZ617" s="5" t="s">
        <v>3728</v>
      </c>
      <c r="AWA617" s="17">
        <v>44925</v>
      </c>
      <c r="AWB617" s="5" t="s">
        <v>3728</v>
      </c>
      <c r="AWC617" s="17">
        <v>44925</v>
      </c>
      <c r="AWD617" s="5" t="s">
        <v>3728</v>
      </c>
      <c r="AWE617" s="17">
        <v>44925</v>
      </c>
      <c r="AWF617" s="5" t="s">
        <v>3728</v>
      </c>
      <c r="AWG617" s="17">
        <v>44925</v>
      </c>
      <c r="AWH617" s="5" t="s">
        <v>3728</v>
      </c>
      <c r="AWI617" s="17">
        <v>44925</v>
      </c>
      <c r="AWJ617" s="5" t="s">
        <v>3728</v>
      </c>
      <c r="AWK617" s="17">
        <v>44925</v>
      </c>
      <c r="AWL617" s="5" t="s">
        <v>3728</v>
      </c>
      <c r="AWM617" s="17">
        <v>44925</v>
      </c>
      <c r="AWN617" s="5" t="s">
        <v>3728</v>
      </c>
      <c r="AWO617" s="17">
        <v>44925</v>
      </c>
      <c r="AWP617" s="5" t="s">
        <v>3728</v>
      </c>
      <c r="AWQ617" s="17">
        <v>44925</v>
      </c>
      <c r="AWR617" s="5" t="s">
        <v>3728</v>
      </c>
      <c r="AWS617" s="17">
        <v>44925</v>
      </c>
      <c r="AWT617" s="5" t="s">
        <v>3728</v>
      </c>
      <c r="AWU617" s="17">
        <v>44925</v>
      </c>
      <c r="AWV617" s="5" t="s">
        <v>3728</v>
      </c>
      <c r="AWW617" s="17">
        <v>44925</v>
      </c>
      <c r="AWX617" s="5" t="s">
        <v>3728</v>
      </c>
      <c r="AWY617" s="17">
        <v>44925</v>
      </c>
      <c r="AWZ617" s="5" t="s">
        <v>3728</v>
      </c>
      <c r="AXA617" s="17">
        <v>44925</v>
      </c>
      <c r="AXB617" s="5" t="s">
        <v>3728</v>
      </c>
      <c r="AXC617" s="17">
        <v>44925</v>
      </c>
      <c r="AXD617" s="5" t="s">
        <v>3728</v>
      </c>
      <c r="AXE617" s="17">
        <v>44925</v>
      </c>
      <c r="AXF617" s="5" t="s">
        <v>3728</v>
      </c>
      <c r="AXG617" s="17">
        <v>44925</v>
      </c>
      <c r="AXH617" s="5" t="s">
        <v>3728</v>
      </c>
      <c r="AXI617" s="17">
        <v>44925</v>
      </c>
      <c r="AXJ617" s="5" t="s">
        <v>3728</v>
      </c>
      <c r="AXK617" s="17">
        <v>44925</v>
      </c>
      <c r="AXL617" s="5" t="s">
        <v>3728</v>
      </c>
      <c r="AXM617" s="17">
        <v>44925</v>
      </c>
      <c r="AXN617" s="5" t="s">
        <v>3728</v>
      </c>
      <c r="AXO617" s="17">
        <v>44925</v>
      </c>
      <c r="AXP617" s="5" t="s">
        <v>3728</v>
      </c>
      <c r="AXQ617" s="17">
        <v>44925</v>
      </c>
      <c r="AXR617" s="5" t="s">
        <v>3728</v>
      </c>
      <c r="AXS617" s="17">
        <v>44925</v>
      </c>
      <c r="AXT617" s="5" t="s">
        <v>3728</v>
      </c>
      <c r="AXU617" s="17">
        <v>44925</v>
      </c>
      <c r="AXV617" s="5" t="s">
        <v>3728</v>
      </c>
      <c r="AXW617" s="17">
        <v>44925</v>
      </c>
      <c r="AXX617" s="5" t="s">
        <v>3728</v>
      </c>
      <c r="AXY617" s="17">
        <v>44925</v>
      </c>
      <c r="AXZ617" s="5" t="s">
        <v>3728</v>
      </c>
      <c r="AYA617" s="17">
        <v>44925</v>
      </c>
      <c r="AYB617" s="5" t="s">
        <v>3728</v>
      </c>
      <c r="AYC617" s="17">
        <v>44925</v>
      </c>
      <c r="AYD617" s="5" t="s">
        <v>3728</v>
      </c>
      <c r="AYE617" s="17">
        <v>44925</v>
      </c>
      <c r="AYF617" s="5" t="s">
        <v>3728</v>
      </c>
      <c r="AYG617" s="17">
        <v>44925</v>
      </c>
      <c r="AYH617" s="5" t="s">
        <v>3728</v>
      </c>
      <c r="AYI617" s="17">
        <v>44925</v>
      </c>
      <c r="AYJ617" s="5" t="s">
        <v>3728</v>
      </c>
      <c r="AYK617" s="17">
        <v>44925</v>
      </c>
      <c r="AYL617" s="5" t="s">
        <v>3728</v>
      </c>
      <c r="AYM617" s="17">
        <v>44925</v>
      </c>
      <c r="AYN617" s="5" t="s">
        <v>3728</v>
      </c>
      <c r="AYO617" s="17">
        <v>44925</v>
      </c>
      <c r="AYP617" s="5" t="s">
        <v>3728</v>
      </c>
      <c r="AYQ617" s="17">
        <v>44925</v>
      </c>
      <c r="AYR617" s="5" t="s">
        <v>3728</v>
      </c>
      <c r="AYS617" s="17">
        <v>44925</v>
      </c>
      <c r="AYT617" s="5" t="s">
        <v>3728</v>
      </c>
      <c r="AYU617" s="17">
        <v>44925</v>
      </c>
      <c r="AYV617" s="5" t="s">
        <v>3728</v>
      </c>
      <c r="AYW617" s="17">
        <v>44925</v>
      </c>
      <c r="AYX617" s="5" t="s">
        <v>3728</v>
      </c>
      <c r="AYY617" s="17">
        <v>44925</v>
      </c>
      <c r="AYZ617" s="5" t="s">
        <v>3728</v>
      </c>
      <c r="AZA617" s="17">
        <v>44925</v>
      </c>
      <c r="AZB617" s="5" t="s">
        <v>3728</v>
      </c>
      <c r="AZC617" s="17">
        <v>44925</v>
      </c>
      <c r="AZD617" s="5" t="s">
        <v>3728</v>
      </c>
      <c r="AZE617" s="17">
        <v>44925</v>
      </c>
      <c r="AZF617" s="5" t="s">
        <v>3728</v>
      </c>
      <c r="AZG617" s="17">
        <v>44925</v>
      </c>
      <c r="AZH617" s="5" t="s">
        <v>3728</v>
      </c>
      <c r="AZI617" s="17">
        <v>44925</v>
      </c>
      <c r="AZJ617" s="5" t="s">
        <v>3728</v>
      </c>
      <c r="AZK617" s="17">
        <v>44925</v>
      </c>
      <c r="AZL617" s="5" t="s">
        <v>3728</v>
      </c>
      <c r="AZM617" s="17">
        <v>44925</v>
      </c>
      <c r="AZN617" s="5" t="s">
        <v>3728</v>
      </c>
      <c r="AZO617" s="17">
        <v>44925</v>
      </c>
      <c r="AZP617" s="5" t="s">
        <v>3728</v>
      </c>
      <c r="AZQ617" s="17">
        <v>44925</v>
      </c>
      <c r="AZR617" s="5" t="s">
        <v>3728</v>
      </c>
      <c r="AZS617" s="17">
        <v>44925</v>
      </c>
      <c r="AZT617" s="5" t="s">
        <v>3728</v>
      </c>
      <c r="AZU617" s="17">
        <v>44925</v>
      </c>
      <c r="AZV617" s="5" t="s">
        <v>3728</v>
      </c>
      <c r="AZW617" s="17">
        <v>44925</v>
      </c>
      <c r="AZX617" s="5" t="s">
        <v>3728</v>
      </c>
      <c r="AZY617" s="17">
        <v>44925</v>
      </c>
      <c r="AZZ617" s="5" t="s">
        <v>3728</v>
      </c>
      <c r="BAA617" s="17">
        <v>44925</v>
      </c>
      <c r="BAB617" s="5" t="s">
        <v>3728</v>
      </c>
      <c r="BAC617" s="17">
        <v>44925</v>
      </c>
      <c r="BAD617" s="5" t="s">
        <v>3728</v>
      </c>
      <c r="BAE617" s="17">
        <v>44925</v>
      </c>
      <c r="BAF617" s="5" t="s">
        <v>3728</v>
      </c>
      <c r="BAG617" s="17">
        <v>44925</v>
      </c>
      <c r="BAH617" s="5" t="s">
        <v>3728</v>
      </c>
      <c r="BAI617" s="17">
        <v>44925</v>
      </c>
      <c r="BAJ617" s="5" t="s">
        <v>3728</v>
      </c>
      <c r="BAK617" s="17">
        <v>44925</v>
      </c>
      <c r="BAL617" s="5" t="s">
        <v>3728</v>
      </c>
      <c r="BAM617" s="17">
        <v>44925</v>
      </c>
      <c r="BAN617" s="5" t="s">
        <v>3728</v>
      </c>
      <c r="BAO617" s="17">
        <v>44925</v>
      </c>
      <c r="BAP617" s="5" t="s">
        <v>3728</v>
      </c>
      <c r="BAQ617" s="17">
        <v>44925</v>
      </c>
      <c r="BAR617" s="5" t="s">
        <v>3728</v>
      </c>
      <c r="BAS617" s="17">
        <v>44925</v>
      </c>
      <c r="BAT617" s="5" t="s">
        <v>3728</v>
      </c>
      <c r="BAU617" s="17">
        <v>44925</v>
      </c>
      <c r="BAV617" s="5" t="s">
        <v>3728</v>
      </c>
      <c r="BAW617" s="17">
        <v>44925</v>
      </c>
      <c r="BAX617" s="5" t="s">
        <v>3728</v>
      </c>
      <c r="BAY617" s="17">
        <v>44925</v>
      </c>
      <c r="BAZ617" s="5" t="s">
        <v>3728</v>
      </c>
      <c r="BBA617" s="17">
        <v>44925</v>
      </c>
      <c r="BBB617" s="5" t="s">
        <v>3728</v>
      </c>
      <c r="BBC617" s="17">
        <v>44925</v>
      </c>
      <c r="BBD617" s="5" t="s">
        <v>3728</v>
      </c>
      <c r="BBE617" s="17">
        <v>44925</v>
      </c>
      <c r="BBF617" s="5" t="s">
        <v>3728</v>
      </c>
      <c r="BBG617" s="17">
        <v>44925</v>
      </c>
      <c r="BBH617" s="5" t="s">
        <v>3728</v>
      </c>
      <c r="BBI617" s="17">
        <v>44925</v>
      </c>
      <c r="BBJ617" s="5" t="s">
        <v>3728</v>
      </c>
      <c r="BBK617" s="17">
        <v>44925</v>
      </c>
      <c r="BBL617" s="5" t="s">
        <v>3728</v>
      </c>
      <c r="BBM617" s="17">
        <v>44925</v>
      </c>
      <c r="BBN617" s="5" t="s">
        <v>3728</v>
      </c>
      <c r="BBO617" s="17">
        <v>44925</v>
      </c>
      <c r="BBP617" s="5" t="s">
        <v>3728</v>
      </c>
      <c r="BBQ617" s="17">
        <v>44925</v>
      </c>
      <c r="BBR617" s="5" t="s">
        <v>3728</v>
      </c>
      <c r="BBS617" s="17">
        <v>44925</v>
      </c>
      <c r="BBT617" s="5" t="s">
        <v>3728</v>
      </c>
      <c r="BBU617" s="17">
        <v>44925</v>
      </c>
      <c r="BBV617" s="5" t="s">
        <v>3728</v>
      </c>
      <c r="BBW617" s="17">
        <v>44925</v>
      </c>
      <c r="BBX617" s="5" t="s">
        <v>3728</v>
      </c>
      <c r="BBY617" s="17">
        <v>44925</v>
      </c>
      <c r="BBZ617" s="5" t="s">
        <v>3728</v>
      </c>
      <c r="BCA617" s="17">
        <v>44925</v>
      </c>
      <c r="BCB617" s="5" t="s">
        <v>3728</v>
      </c>
      <c r="BCC617" s="17">
        <v>44925</v>
      </c>
      <c r="BCD617" s="5" t="s">
        <v>3728</v>
      </c>
      <c r="BCE617" s="17">
        <v>44925</v>
      </c>
      <c r="BCF617" s="5" t="s">
        <v>3728</v>
      </c>
      <c r="BCG617" s="17">
        <v>44925</v>
      </c>
      <c r="BCH617" s="5" t="s">
        <v>3728</v>
      </c>
      <c r="BCI617" s="17">
        <v>44925</v>
      </c>
      <c r="BCJ617" s="5" t="s">
        <v>3728</v>
      </c>
      <c r="BCK617" s="17">
        <v>44925</v>
      </c>
      <c r="BCL617" s="5" t="s">
        <v>3728</v>
      </c>
      <c r="BCM617" s="17">
        <v>44925</v>
      </c>
      <c r="BCN617" s="5" t="s">
        <v>3728</v>
      </c>
      <c r="BCO617" s="17">
        <v>44925</v>
      </c>
      <c r="BCP617" s="5" t="s">
        <v>3728</v>
      </c>
      <c r="BCQ617" s="17">
        <v>44925</v>
      </c>
      <c r="BCR617" s="5" t="s">
        <v>3728</v>
      </c>
      <c r="BCS617" s="17">
        <v>44925</v>
      </c>
      <c r="BCT617" s="5" t="s">
        <v>3728</v>
      </c>
      <c r="BCU617" s="17">
        <v>44925</v>
      </c>
      <c r="BCV617" s="5" t="s">
        <v>3728</v>
      </c>
      <c r="BCW617" s="17">
        <v>44925</v>
      </c>
      <c r="BCX617" s="5" t="s">
        <v>3728</v>
      </c>
      <c r="BCY617" s="17">
        <v>44925</v>
      </c>
      <c r="BCZ617" s="5" t="s">
        <v>3728</v>
      </c>
      <c r="BDA617" s="17">
        <v>44925</v>
      </c>
      <c r="BDB617" s="5" t="s">
        <v>3728</v>
      </c>
      <c r="BDC617" s="17">
        <v>44925</v>
      </c>
      <c r="BDD617" s="5" t="s">
        <v>3728</v>
      </c>
      <c r="BDE617" s="17">
        <v>44925</v>
      </c>
      <c r="BDF617" s="5" t="s">
        <v>3728</v>
      </c>
      <c r="BDG617" s="17">
        <v>44925</v>
      </c>
      <c r="BDH617" s="5" t="s">
        <v>3728</v>
      </c>
      <c r="BDI617" s="17">
        <v>44925</v>
      </c>
      <c r="BDJ617" s="5" t="s">
        <v>3728</v>
      </c>
      <c r="BDK617" s="17">
        <v>44925</v>
      </c>
      <c r="BDL617" s="5" t="s">
        <v>3728</v>
      </c>
      <c r="BDM617" s="17">
        <v>44925</v>
      </c>
      <c r="BDN617" s="5" t="s">
        <v>3728</v>
      </c>
      <c r="BDO617" s="17">
        <v>44925</v>
      </c>
      <c r="BDP617" s="5" t="s">
        <v>3728</v>
      </c>
      <c r="BDQ617" s="17">
        <v>44925</v>
      </c>
      <c r="BDR617" s="5" t="s">
        <v>3728</v>
      </c>
      <c r="BDS617" s="17">
        <v>44925</v>
      </c>
      <c r="BDT617" s="5" t="s">
        <v>3728</v>
      </c>
      <c r="BDU617" s="17">
        <v>44925</v>
      </c>
      <c r="BDV617" s="5" t="s">
        <v>3728</v>
      </c>
      <c r="BDW617" s="17">
        <v>44925</v>
      </c>
      <c r="BDX617" s="5" t="s">
        <v>3728</v>
      </c>
      <c r="BDY617" s="17">
        <v>44925</v>
      </c>
      <c r="BDZ617" s="5" t="s">
        <v>3728</v>
      </c>
      <c r="BEA617" s="17">
        <v>44925</v>
      </c>
      <c r="BEB617" s="5" t="s">
        <v>3728</v>
      </c>
      <c r="BEC617" s="17">
        <v>44925</v>
      </c>
      <c r="BED617" s="5" t="s">
        <v>3728</v>
      </c>
      <c r="BEE617" s="17">
        <v>44925</v>
      </c>
      <c r="BEF617" s="5" t="s">
        <v>3728</v>
      </c>
      <c r="BEG617" s="17">
        <v>44925</v>
      </c>
      <c r="BEH617" s="5" t="s">
        <v>3728</v>
      </c>
      <c r="BEI617" s="17">
        <v>44925</v>
      </c>
      <c r="BEJ617" s="5" t="s">
        <v>3728</v>
      </c>
      <c r="BEK617" s="17">
        <v>44925</v>
      </c>
      <c r="BEL617" s="5" t="s">
        <v>3728</v>
      </c>
      <c r="BEM617" s="17">
        <v>44925</v>
      </c>
      <c r="BEN617" s="5" t="s">
        <v>3728</v>
      </c>
      <c r="BEO617" s="17">
        <v>44925</v>
      </c>
      <c r="BEP617" s="5" t="s">
        <v>3728</v>
      </c>
      <c r="BEQ617" s="17">
        <v>44925</v>
      </c>
      <c r="BER617" s="5" t="s">
        <v>3728</v>
      </c>
      <c r="BES617" s="17">
        <v>44925</v>
      </c>
      <c r="BET617" s="5" t="s">
        <v>3728</v>
      </c>
      <c r="BEU617" s="17">
        <v>44925</v>
      </c>
      <c r="BEV617" s="5" t="s">
        <v>3728</v>
      </c>
      <c r="BEW617" s="17">
        <v>44925</v>
      </c>
      <c r="BEX617" s="5" t="s">
        <v>3728</v>
      </c>
      <c r="BEY617" s="17">
        <v>44925</v>
      </c>
      <c r="BEZ617" s="5" t="s">
        <v>3728</v>
      </c>
      <c r="BFA617" s="17">
        <v>44925</v>
      </c>
      <c r="BFB617" s="5" t="s">
        <v>3728</v>
      </c>
      <c r="BFC617" s="17">
        <v>44925</v>
      </c>
      <c r="BFD617" s="5" t="s">
        <v>3728</v>
      </c>
      <c r="BFE617" s="17">
        <v>44925</v>
      </c>
      <c r="BFF617" s="5" t="s">
        <v>3728</v>
      </c>
      <c r="BFG617" s="17">
        <v>44925</v>
      </c>
      <c r="BFH617" s="5" t="s">
        <v>3728</v>
      </c>
      <c r="BFI617" s="17">
        <v>44925</v>
      </c>
      <c r="BFJ617" s="5" t="s">
        <v>3728</v>
      </c>
      <c r="BFK617" s="17">
        <v>44925</v>
      </c>
      <c r="BFL617" s="5" t="s">
        <v>3728</v>
      </c>
      <c r="BFM617" s="17">
        <v>44925</v>
      </c>
      <c r="BFN617" s="5" t="s">
        <v>3728</v>
      </c>
      <c r="BFO617" s="17">
        <v>44925</v>
      </c>
      <c r="BFP617" s="5" t="s">
        <v>3728</v>
      </c>
      <c r="BFQ617" s="17">
        <v>44925</v>
      </c>
      <c r="BFR617" s="5" t="s">
        <v>3728</v>
      </c>
      <c r="BFS617" s="17">
        <v>44925</v>
      </c>
      <c r="BFT617" s="5" t="s">
        <v>3728</v>
      </c>
      <c r="BFU617" s="17">
        <v>44925</v>
      </c>
      <c r="BFV617" s="5" t="s">
        <v>3728</v>
      </c>
      <c r="BFW617" s="17">
        <v>44925</v>
      </c>
      <c r="BFX617" s="5" t="s">
        <v>3728</v>
      </c>
      <c r="BFY617" s="17">
        <v>44925</v>
      </c>
      <c r="BFZ617" s="5" t="s">
        <v>3728</v>
      </c>
      <c r="BGA617" s="17">
        <v>44925</v>
      </c>
      <c r="BGB617" s="5" t="s">
        <v>3728</v>
      </c>
      <c r="BGC617" s="17">
        <v>44925</v>
      </c>
      <c r="BGD617" s="5" t="s">
        <v>3728</v>
      </c>
      <c r="BGE617" s="17">
        <v>44925</v>
      </c>
      <c r="BGF617" s="5" t="s">
        <v>3728</v>
      </c>
      <c r="BGG617" s="17">
        <v>44925</v>
      </c>
      <c r="BGH617" s="5" t="s">
        <v>3728</v>
      </c>
      <c r="BGI617" s="17">
        <v>44925</v>
      </c>
      <c r="BGJ617" s="5" t="s">
        <v>3728</v>
      </c>
      <c r="BGK617" s="17">
        <v>44925</v>
      </c>
      <c r="BGL617" s="5" t="s">
        <v>3728</v>
      </c>
      <c r="BGM617" s="17">
        <v>44925</v>
      </c>
      <c r="BGN617" s="5" t="s">
        <v>3728</v>
      </c>
      <c r="BGO617" s="17">
        <v>44925</v>
      </c>
      <c r="BGP617" s="5" t="s">
        <v>3728</v>
      </c>
      <c r="BGQ617" s="17">
        <v>44925</v>
      </c>
      <c r="BGR617" s="5" t="s">
        <v>3728</v>
      </c>
      <c r="BGS617" s="17">
        <v>44925</v>
      </c>
      <c r="BGT617" s="5" t="s">
        <v>3728</v>
      </c>
      <c r="BGU617" s="17">
        <v>44925</v>
      </c>
      <c r="BGV617" s="5" t="s">
        <v>3728</v>
      </c>
      <c r="BGW617" s="17">
        <v>44925</v>
      </c>
      <c r="BGX617" s="5" t="s">
        <v>3728</v>
      </c>
      <c r="BGY617" s="17">
        <v>44925</v>
      </c>
      <c r="BGZ617" s="5" t="s">
        <v>3728</v>
      </c>
      <c r="BHA617" s="17">
        <v>44925</v>
      </c>
      <c r="BHB617" s="5" t="s">
        <v>3728</v>
      </c>
      <c r="BHC617" s="17">
        <v>44925</v>
      </c>
      <c r="BHD617" s="5" t="s">
        <v>3728</v>
      </c>
      <c r="BHE617" s="17">
        <v>44925</v>
      </c>
      <c r="BHF617" s="5" t="s">
        <v>3728</v>
      </c>
      <c r="BHG617" s="17">
        <v>44925</v>
      </c>
      <c r="BHH617" s="5" t="s">
        <v>3728</v>
      </c>
      <c r="BHI617" s="17">
        <v>44925</v>
      </c>
      <c r="BHJ617" s="5" t="s">
        <v>3728</v>
      </c>
      <c r="BHK617" s="17">
        <v>44925</v>
      </c>
      <c r="BHL617" s="5" t="s">
        <v>3728</v>
      </c>
      <c r="BHM617" s="17">
        <v>44925</v>
      </c>
      <c r="BHN617" s="5" t="s">
        <v>3728</v>
      </c>
      <c r="BHO617" s="17">
        <v>44925</v>
      </c>
      <c r="BHP617" s="5" t="s">
        <v>3728</v>
      </c>
      <c r="BHQ617" s="17">
        <v>44925</v>
      </c>
      <c r="BHR617" s="5" t="s">
        <v>3728</v>
      </c>
      <c r="BHS617" s="17">
        <v>44925</v>
      </c>
      <c r="BHT617" s="5" t="s">
        <v>3728</v>
      </c>
      <c r="BHU617" s="17">
        <v>44925</v>
      </c>
      <c r="BHV617" s="5" t="s">
        <v>3728</v>
      </c>
      <c r="BHW617" s="17">
        <v>44925</v>
      </c>
      <c r="BHX617" s="5" t="s">
        <v>3728</v>
      </c>
      <c r="BHY617" s="17">
        <v>44925</v>
      </c>
      <c r="BHZ617" s="5" t="s">
        <v>3728</v>
      </c>
      <c r="BIA617" s="17">
        <v>44925</v>
      </c>
      <c r="BIB617" s="5" t="s">
        <v>3728</v>
      </c>
      <c r="BIC617" s="17">
        <v>44925</v>
      </c>
      <c r="BID617" s="5" t="s">
        <v>3728</v>
      </c>
      <c r="BIE617" s="17">
        <v>44925</v>
      </c>
      <c r="BIF617" s="5" t="s">
        <v>3728</v>
      </c>
      <c r="BIG617" s="17">
        <v>44925</v>
      </c>
      <c r="BIH617" s="5" t="s">
        <v>3728</v>
      </c>
      <c r="BII617" s="17">
        <v>44925</v>
      </c>
      <c r="BIJ617" s="5" t="s">
        <v>3728</v>
      </c>
      <c r="BIK617" s="17">
        <v>44925</v>
      </c>
      <c r="BIL617" s="5" t="s">
        <v>3728</v>
      </c>
      <c r="BIM617" s="17">
        <v>44925</v>
      </c>
      <c r="BIN617" s="5" t="s">
        <v>3728</v>
      </c>
      <c r="BIO617" s="17">
        <v>44925</v>
      </c>
      <c r="BIP617" s="5" t="s">
        <v>3728</v>
      </c>
      <c r="BIQ617" s="17">
        <v>44925</v>
      </c>
      <c r="BIR617" s="5" t="s">
        <v>3728</v>
      </c>
      <c r="BIS617" s="17">
        <v>44925</v>
      </c>
      <c r="BIT617" s="5" t="s">
        <v>3728</v>
      </c>
      <c r="BIU617" s="17">
        <v>44925</v>
      </c>
      <c r="BIV617" s="5" t="s">
        <v>3728</v>
      </c>
      <c r="BIW617" s="17">
        <v>44925</v>
      </c>
      <c r="BIX617" s="5" t="s">
        <v>3728</v>
      </c>
      <c r="BIY617" s="17">
        <v>44925</v>
      </c>
      <c r="BIZ617" s="5" t="s">
        <v>3728</v>
      </c>
      <c r="BJA617" s="17">
        <v>44925</v>
      </c>
      <c r="BJB617" s="5" t="s">
        <v>3728</v>
      </c>
      <c r="BJC617" s="17">
        <v>44925</v>
      </c>
      <c r="BJD617" s="5" t="s">
        <v>3728</v>
      </c>
      <c r="BJE617" s="17">
        <v>44925</v>
      </c>
      <c r="BJF617" s="5" t="s">
        <v>3728</v>
      </c>
      <c r="BJG617" s="17">
        <v>44925</v>
      </c>
      <c r="BJH617" s="5" t="s">
        <v>3728</v>
      </c>
      <c r="BJI617" s="17">
        <v>44925</v>
      </c>
      <c r="BJJ617" s="5" t="s">
        <v>3728</v>
      </c>
      <c r="BJK617" s="17">
        <v>44925</v>
      </c>
      <c r="BJL617" s="5" t="s">
        <v>3728</v>
      </c>
      <c r="BJM617" s="17">
        <v>44925</v>
      </c>
      <c r="BJN617" s="5" t="s">
        <v>3728</v>
      </c>
      <c r="BJO617" s="17">
        <v>44925</v>
      </c>
      <c r="BJP617" s="5" t="s">
        <v>3728</v>
      </c>
      <c r="BJQ617" s="17">
        <v>44925</v>
      </c>
      <c r="BJR617" s="5" t="s">
        <v>3728</v>
      </c>
      <c r="BJS617" s="17">
        <v>44925</v>
      </c>
      <c r="BJT617" s="5" t="s">
        <v>3728</v>
      </c>
      <c r="BJU617" s="17">
        <v>44925</v>
      </c>
      <c r="BJV617" s="5" t="s">
        <v>3728</v>
      </c>
      <c r="BJW617" s="17">
        <v>44925</v>
      </c>
      <c r="BJX617" s="5" t="s">
        <v>3728</v>
      </c>
      <c r="BJY617" s="17">
        <v>44925</v>
      </c>
      <c r="BJZ617" s="5" t="s">
        <v>3728</v>
      </c>
      <c r="BKA617" s="17">
        <v>44925</v>
      </c>
      <c r="BKB617" s="5" t="s">
        <v>3728</v>
      </c>
      <c r="BKC617" s="17">
        <v>44925</v>
      </c>
      <c r="BKD617" s="5" t="s">
        <v>3728</v>
      </c>
      <c r="BKE617" s="17">
        <v>44925</v>
      </c>
      <c r="BKF617" s="5" t="s">
        <v>3728</v>
      </c>
      <c r="BKG617" s="17">
        <v>44925</v>
      </c>
      <c r="BKH617" s="5" t="s">
        <v>3728</v>
      </c>
      <c r="BKI617" s="17">
        <v>44925</v>
      </c>
      <c r="BKJ617" s="5" t="s">
        <v>3728</v>
      </c>
      <c r="BKK617" s="17">
        <v>44925</v>
      </c>
      <c r="BKL617" s="5" t="s">
        <v>3728</v>
      </c>
      <c r="BKM617" s="17">
        <v>44925</v>
      </c>
      <c r="BKN617" s="5" t="s">
        <v>3728</v>
      </c>
      <c r="BKO617" s="17">
        <v>44925</v>
      </c>
      <c r="BKP617" s="5" t="s">
        <v>3728</v>
      </c>
      <c r="BKQ617" s="17">
        <v>44925</v>
      </c>
      <c r="BKR617" s="5" t="s">
        <v>3728</v>
      </c>
      <c r="BKS617" s="17">
        <v>44925</v>
      </c>
      <c r="BKT617" s="5" t="s">
        <v>3728</v>
      </c>
      <c r="BKU617" s="17">
        <v>44925</v>
      </c>
      <c r="BKV617" s="5" t="s">
        <v>3728</v>
      </c>
      <c r="BKW617" s="17">
        <v>44925</v>
      </c>
      <c r="BKX617" s="5" t="s">
        <v>3728</v>
      </c>
      <c r="BKY617" s="17">
        <v>44925</v>
      </c>
      <c r="BKZ617" s="5" t="s">
        <v>3728</v>
      </c>
      <c r="BLA617" s="17">
        <v>44925</v>
      </c>
      <c r="BLB617" s="5" t="s">
        <v>3728</v>
      </c>
      <c r="BLC617" s="17">
        <v>44925</v>
      </c>
      <c r="BLD617" s="5" t="s">
        <v>3728</v>
      </c>
      <c r="BLE617" s="17">
        <v>44925</v>
      </c>
      <c r="BLF617" s="5" t="s">
        <v>3728</v>
      </c>
      <c r="BLG617" s="17">
        <v>44925</v>
      </c>
      <c r="BLH617" s="5" t="s">
        <v>3728</v>
      </c>
      <c r="BLI617" s="17">
        <v>44925</v>
      </c>
      <c r="BLJ617" s="5" t="s">
        <v>3728</v>
      </c>
      <c r="BLK617" s="17">
        <v>44925</v>
      </c>
      <c r="BLL617" s="5" t="s">
        <v>3728</v>
      </c>
      <c r="BLM617" s="17">
        <v>44925</v>
      </c>
      <c r="BLN617" s="5" t="s">
        <v>3728</v>
      </c>
      <c r="BLO617" s="17">
        <v>44925</v>
      </c>
      <c r="BLP617" s="5" t="s">
        <v>3728</v>
      </c>
      <c r="BLQ617" s="17">
        <v>44925</v>
      </c>
      <c r="BLR617" s="5" t="s">
        <v>3728</v>
      </c>
      <c r="BLS617" s="17">
        <v>44925</v>
      </c>
      <c r="BLT617" s="5" t="s">
        <v>3728</v>
      </c>
      <c r="BLU617" s="17">
        <v>44925</v>
      </c>
      <c r="BLV617" s="5" t="s">
        <v>3728</v>
      </c>
      <c r="BLW617" s="17">
        <v>44925</v>
      </c>
      <c r="BLX617" s="5" t="s">
        <v>3728</v>
      </c>
      <c r="BLY617" s="17">
        <v>44925</v>
      </c>
      <c r="BLZ617" s="5" t="s">
        <v>3728</v>
      </c>
      <c r="BMA617" s="17">
        <v>44925</v>
      </c>
      <c r="BMB617" s="5" t="s">
        <v>3728</v>
      </c>
      <c r="BMC617" s="17">
        <v>44925</v>
      </c>
      <c r="BMD617" s="5" t="s">
        <v>3728</v>
      </c>
      <c r="BME617" s="17">
        <v>44925</v>
      </c>
      <c r="BMF617" s="5" t="s">
        <v>3728</v>
      </c>
      <c r="BMG617" s="17">
        <v>44925</v>
      </c>
      <c r="BMH617" s="5" t="s">
        <v>3728</v>
      </c>
      <c r="BMI617" s="17">
        <v>44925</v>
      </c>
      <c r="BMJ617" s="5" t="s">
        <v>3728</v>
      </c>
      <c r="BMK617" s="17">
        <v>44925</v>
      </c>
      <c r="BML617" s="5" t="s">
        <v>3728</v>
      </c>
      <c r="BMM617" s="17">
        <v>44925</v>
      </c>
      <c r="BMN617" s="5" t="s">
        <v>3728</v>
      </c>
      <c r="BMO617" s="17">
        <v>44925</v>
      </c>
      <c r="BMP617" s="5" t="s">
        <v>3728</v>
      </c>
      <c r="BMQ617" s="17">
        <v>44925</v>
      </c>
      <c r="BMR617" s="5" t="s">
        <v>3728</v>
      </c>
      <c r="BMS617" s="17">
        <v>44925</v>
      </c>
      <c r="BMT617" s="5" t="s">
        <v>3728</v>
      </c>
      <c r="BMU617" s="17">
        <v>44925</v>
      </c>
      <c r="BMV617" s="5" t="s">
        <v>3728</v>
      </c>
      <c r="BMW617" s="17">
        <v>44925</v>
      </c>
      <c r="BMX617" s="5" t="s">
        <v>3728</v>
      </c>
      <c r="BMY617" s="17">
        <v>44925</v>
      </c>
      <c r="BMZ617" s="5" t="s">
        <v>3728</v>
      </c>
      <c r="BNA617" s="17">
        <v>44925</v>
      </c>
      <c r="BNB617" s="5" t="s">
        <v>3728</v>
      </c>
      <c r="BNC617" s="17">
        <v>44925</v>
      </c>
      <c r="BND617" s="5" t="s">
        <v>3728</v>
      </c>
      <c r="BNE617" s="17">
        <v>44925</v>
      </c>
      <c r="BNF617" s="5" t="s">
        <v>3728</v>
      </c>
      <c r="BNG617" s="17">
        <v>44925</v>
      </c>
      <c r="BNH617" s="5" t="s">
        <v>3728</v>
      </c>
      <c r="BNI617" s="17">
        <v>44925</v>
      </c>
      <c r="BNJ617" s="5" t="s">
        <v>3728</v>
      </c>
      <c r="BNK617" s="17">
        <v>44925</v>
      </c>
      <c r="BNL617" s="5" t="s">
        <v>3728</v>
      </c>
      <c r="BNM617" s="17">
        <v>44925</v>
      </c>
      <c r="BNN617" s="5" t="s">
        <v>3728</v>
      </c>
      <c r="BNO617" s="17">
        <v>44925</v>
      </c>
      <c r="BNP617" s="5" t="s">
        <v>3728</v>
      </c>
      <c r="BNQ617" s="17">
        <v>44925</v>
      </c>
      <c r="BNR617" s="5" t="s">
        <v>3728</v>
      </c>
      <c r="BNS617" s="17">
        <v>44925</v>
      </c>
      <c r="BNT617" s="5" t="s">
        <v>3728</v>
      </c>
      <c r="BNU617" s="17">
        <v>44925</v>
      </c>
      <c r="BNV617" s="5" t="s">
        <v>3728</v>
      </c>
      <c r="BNW617" s="17">
        <v>44925</v>
      </c>
      <c r="BNX617" s="5" t="s">
        <v>3728</v>
      </c>
      <c r="BNY617" s="17">
        <v>44925</v>
      </c>
      <c r="BNZ617" s="5" t="s">
        <v>3728</v>
      </c>
      <c r="BOA617" s="17">
        <v>44925</v>
      </c>
      <c r="BOB617" s="5" t="s">
        <v>3728</v>
      </c>
      <c r="BOC617" s="17">
        <v>44925</v>
      </c>
      <c r="BOD617" s="5" t="s">
        <v>3728</v>
      </c>
      <c r="BOE617" s="17">
        <v>44925</v>
      </c>
      <c r="BOF617" s="5" t="s">
        <v>3728</v>
      </c>
      <c r="BOG617" s="17">
        <v>44925</v>
      </c>
      <c r="BOH617" s="5" t="s">
        <v>3728</v>
      </c>
      <c r="BOI617" s="17">
        <v>44925</v>
      </c>
      <c r="BOJ617" s="5" t="s">
        <v>3728</v>
      </c>
      <c r="BOK617" s="17">
        <v>44925</v>
      </c>
      <c r="BOL617" s="5" t="s">
        <v>3728</v>
      </c>
      <c r="BOM617" s="17">
        <v>44925</v>
      </c>
      <c r="BON617" s="5" t="s">
        <v>3728</v>
      </c>
      <c r="BOO617" s="17">
        <v>44925</v>
      </c>
      <c r="BOP617" s="5" t="s">
        <v>3728</v>
      </c>
      <c r="BOQ617" s="17">
        <v>44925</v>
      </c>
      <c r="BOR617" s="5" t="s">
        <v>3728</v>
      </c>
      <c r="BOS617" s="17">
        <v>44925</v>
      </c>
      <c r="BOT617" s="5" t="s">
        <v>3728</v>
      </c>
      <c r="BOU617" s="17">
        <v>44925</v>
      </c>
      <c r="BOV617" s="5" t="s">
        <v>3728</v>
      </c>
      <c r="BOW617" s="17">
        <v>44925</v>
      </c>
      <c r="BOX617" s="5" t="s">
        <v>3728</v>
      </c>
      <c r="BOY617" s="17">
        <v>44925</v>
      </c>
      <c r="BOZ617" s="5" t="s">
        <v>3728</v>
      </c>
      <c r="BPA617" s="17">
        <v>44925</v>
      </c>
      <c r="BPB617" s="5" t="s">
        <v>3728</v>
      </c>
      <c r="BPC617" s="17">
        <v>44925</v>
      </c>
      <c r="BPD617" s="5" t="s">
        <v>3728</v>
      </c>
      <c r="BPE617" s="17">
        <v>44925</v>
      </c>
      <c r="BPF617" s="5" t="s">
        <v>3728</v>
      </c>
      <c r="BPG617" s="17">
        <v>44925</v>
      </c>
      <c r="BPH617" s="5" t="s">
        <v>3728</v>
      </c>
      <c r="BPI617" s="17">
        <v>44925</v>
      </c>
      <c r="BPJ617" s="5" t="s">
        <v>3728</v>
      </c>
      <c r="BPK617" s="17">
        <v>44925</v>
      </c>
      <c r="BPL617" s="5" t="s">
        <v>3728</v>
      </c>
      <c r="BPM617" s="17">
        <v>44925</v>
      </c>
      <c r="BPN617" s="5" t="s">
        <v>3728</v>
      </c>
      <c r="BPO617" s="17">
        <v>44925</v>
      </c>
      <c r="BPP617" s="5" t="s">
        <v>3728</v>
      </c>
      <c r="BPQ617" s="17">
        <v>44925</v>
      </c>
      <c r="BPR617" s="5" t="s">
        <v>3728</v>
      </c>
      <c r="BPS617" s="17">
        <v>44925</v>
      </c>
      <c r="BPT617" s="5" t="s">
        <v>3728</v>
      </c>
      <c r="BPU617" s="17">
        <v>44925</v>
      </c>
      <c r="BPV617" s="5" t="s">
        <v>3728</v>
      </c>
      <c r="BPW617" s="17">
        <v>44925</v>
      </c>
      <c r="BPX617" s="5" t="s">
        <v>3728</v>
      </c>
      <c r="BPY617" s="17">
        <v>44925</v>
      </c>
      <c r="BPZ617" s="5" t="s">
        <v>3728</v>
      </c>
      <c r="BQA617" s="17">
        <v>44925</v>
      </c>
      <c r="BQB617" s="5" t="s">
        <v>3728</v>
      </c>
      <c r="BQC617" s="17">
        <v>44925</v>
      </c>
      <c r="BQD617" s="5" t="s">
        <v>3728</v>
      </c>
      <c r="BQE617" s="17">
        <v>44925</v>
      </c>
      <c r="BQF617" s="5" t="s">
        <v>3728</v>
      </c>
      <c r="BQG617" s="17">
        <v>44925</v>
      </c>
      <c r="BQH617" s="5" t="s">
        <v>3728</v>
      </c>
      <c r="BQI617" s="17">
        <v>44925</v>
      </c>
      <c r="BQJ617" s="5" t="s">
        <v>3728</v>
      </c>
      <c r="BQK617" s="17">
        <v>44925</v>
      </c>
      <c r="BQL617" s="5" t="s">
        <v>3728</v>
      </c>
      <c r="BQM617" s="17">
        <v>44925</v>
      </c>
      <c r="BQN617" s="5" t="s">
        <v>3728</v>
      </c>
      <c r="BQO617" s="17">
        <v>44925</v>
      </c>
      <c r="BQP617" s="5" t="s">
        <v>3728</v>
      </c>
      <c r="BQQ617" s="17">
        <v>44925</v>
      </c>
      <c r="BQR617" s="5" t="s">
        <v>3728</v>
      </c>
      <c r="BQS617" s="17">
        <v>44925</v>
      </c>
      <c r="BQT617" s="5" t="s">
        <v>3728</v>
      </c>
      <c r="BQU617" s="17">
        <v>44925</v>
      </c>
      <c r="BQV617" s="5" t="s">
        <v>3728</v>
      </c>
      <c r="BQW617" s="17">
        <v>44925</v>
      </c>
      <c r="BQX617" s="5" t="s">
        <v>3728</v>
      </c>
      <c r="BQY617" s="17">
        <v>44925</v>
      </c>
      <c r="BQZ617" s="5" t="s">
        <v>3728</v>
      </c>
      <c r="BRA617" s="17">
        <v>44925</v>
      </c>
      <c r="BRB617" s="5" t="s">
        <v>3728</v>
      </c>
      <c r="BRC617" s="17">
        <v>44925</v>
      </c>
      <c r="BRD617" s="5" t="s">
        <v>3728</v>
      </c>
      <c r="BRE617" s="17">
        <v>44925</v>
      </c>
      <c r="BRF617" s="5" t="s">
        <v>3728</v>
      </c>
      <c r="BRG617" s="17">
        <v>44925</v>
      </c>
      <c r="BRH617" s="5" t="s">
        <v>3728</v>
      </c>
      <c r="BRI617" s="17">
        <v>44925</v>
      </c>
      <c r="BRJ617" s="5" t="s">
        <v>3728</v>
      </c>
      <c r="BRK617" s="17">
        <v>44925</v>
      </c>
      <c r="BRL617" s="5" t="s">
        <v>3728</v>
      </c>
      <c r="BRM617" s="17">
        <v>44925</v>
      </c>
      <c r="BRN617" s="5" t="s">
        <v>3728</v>
      </c>
      <c r="BRO617" s="17">
        <v>44925</v>
      </c>
      <c r="BRP617" s="5" t="s">
        <v>3728</v>
      </c>
      <c r="BRQ617" s="17">
        <v>44925</v>
      </c>
      <c r="BRR617" s="5" t="s">
        <v>3728</v>
      </c>
      <c r="BRS617" s="17">
        <v>44925</v>
      </c>
      <c r="BRT617" s="5" t="s">
        <v>3728</v>
      </c>
      <c r="BRU617" s="17">
        <v>44925</v>
      </c>
      <c r="BRV617" s="5" t="s">
        <v>3728</v>
      </c>
      <c r="BRW617" s="17">
        <v>44925</v>
      </c>
      <c r="BRX617" s="5" t="s">
        <v>3728</v>
      </c>
      <c r="BRY617" s="17">
        <v>44925</v>
      </c>
      <c r="BRZ617" s="5" t="s">
        <v>3728</v>
      </c>
      <c r="BSA617" s="17">
        <v>44925</v>
      </c>
      <c r="BSB617" s="5" t="s">
        <v>3728</v>
      </c>
      <c r="BSC617" s="17">
        <v>44925</v>
      </c>
      <c r="BSD617" s="5" t="s">
        <v>3728</v>
      </c>
      <c r="BSE617" s="17">
        <v>44925</v>
      </c>
      <c r="BSF617" s="5" t="s">
        <v>3728</v>
      </c>
      <c r="BSG617" s="17">
        <v>44925</v>
      </c>
      <c r="BSH617" s="5" t="s">
        <v>3728</v>
      </c>
      <c r="BSI617" s="17">
        <v>44925</v>
      </c>
      <c r="BSJ617" s="5" t="s">
        <v>3728</v>
      </c>
      <c r="BSK617" s="17">
        <v>44925</v>
      </c>
      <c r="BSL617" s="5" t="s">
        <v>3728</v>
      </c>
      <c r="BSM617" s="17">
        <v>44925</v>
      </c>
      <c r="BSN617" s="5" t="s">
        <v>3728</v>
      </c>
      <c r="BSO617" s="17">
        <v>44925</v>
      </c>
      <c r="BSP617" s="5" t="s">
        <v>3728</v>
      </c>
      <c r="BSQ617" s="17">
        <v>44925</v>
      </c>
      <c r="BSR617" s="5" t="s">
        <v>3728</v>
      </c>
      <c r="BSS617" s="17">
        <v>44925</v>
      </c>
      <c r="BST617" s="5" t="s">
        <v>3728</v>
      </c>
      <c r="BSU617" s="17">
        <v>44925</v>
      </c>
      <c r="BSV617" s="5" t="s">
        <v>3728</v>
      </c>
      <c r="BSW617" s="17">
        <v>44925</v>
      </c>
      <c r="BSX617" s="5" t="s">
        <v>3728</v>
      </c>
      <c r="BSY617" s="17">
        <v>44925</v>
      </c>
      <c r="BSZ617" s="5" t="s">
        <v>3728</v>
      </c>
      <c r="BTA617" s="17">
        <v>44925</v>
      </c>
      <c r="BTB617" s="5" t="s">
        <v>3728</v>
      </c>
      <c r="BTC617" s="17">
        <v>44925</v>
      </c>
      <c r="BTD617" s="5" t="s">
        <v>3728</v>
      </c>
      <c r="BTE617" s="17">
        <v>44925</v>
      </c>
      <c r="BTF617" s="5" t="s">
        <v>3728</v>
      </c>
      <c r="BTG617" s="17">
        <v>44925</v>
      </c>
      <c r="BTH617" s="5" t="s">
        <v>3728</v>
      </c>
      <c r="BTI617" s="17">
        <v>44925</v>
      </c>
      <c r="BTJ617" s="5" t="s">
        <v>3728</v>
      </c>
      <c r="BTK617" s="17">
        <v>44925</v>
      </c>
      <c r="BTL617" s="5" t="s">
        <v>3728</v>
      </c>
      <c r="BTM617" s="17">
        <v>44925</v>
      </c>
      <c r="BTN617" s="5" t="s">
        <v>3728</v>
      </c>
      <c r="BTO617" s="17">
        <v>44925</v>
      </c>
      <c r="BTP617" s="5" t="s">
        <v>3728</v>
      </c>
      <c r="BTQ617" s="17">
        <v>44925</v>
      </c>
      <c r="BTR617" s="5" t="s">
        <v>3728</v>
      </c>
      <c r="BTS617" s="17">
        <v>44925</v>
      </c>
      <c r="BTT617" s="5" t="s">
        <v>3728</v>
      </c>
      <c r="BTU617" s="17">
        <v>44925</v>
      </c>
      <c r="BTV617" s="5" t="s">
        <v>3728</v>
      </c>
      <c r="BTW617" s="17">
        <v>44925</v>
      </c>
      <c r="BTX617" s="5" t="s">
        <v>3728</v>
      </c>
      <c r="BTY617" s="17">
        <v>44925</v>
      </c>
      <c r="BTZ617" s="5" t="s">
        <v>3728</v>
      </c>
      <c r="BUA617" s="17">
        <v>44925</v>
      </c>
      <c r="BUB617" s="5" t="s">
        <v>3728</v>
      </c>
      <c r="BUC617" s="17">
        <v>44925</v>
      </c>
      <c r="BUD617" s="5" t="s">
        <v>3728</v>
      </c>
      <c r="BUE617" s="17">
        <v>44925</v>
      </c>
      <c r="BUF617" s="5" t="s">
        <v>3728</v>
      </c>
      <c r="BUG617" s="17">
        <v>44925</v>
      </c>
      <c r="BUH617" s="5" t="s">
        <v>3728</v>
      </c>
      <c r="BUI617" s="17">
        <v>44925</v>
      </c>
      <c r="BUJ617" s="5" t="s">
        <v>3728</v>
      </c>
      <c r="BUK617" s="17">
        <v>44925</v>
      </c>
      <c r="BUL617" s="5" t="s">
        <v>3728</v>
      </c>
      <c r="BUM617" s="17">
        <v>44925</v>
      </c>
      <c r="BUN617" s="5" t="s">
        <v>3728</v>
      </c>
      <c r="BUO617" s="17">
        <v>44925</v>
      </c>
      <c r="BUP617" s="5" t="s">
        <v>3728</v>
      </c>
      <c r="BUQ617" s="17">
        <v>44925</v>
      </c>
      <c r="BUR617" s="5" t="s">
        <v>3728</v>
      </c>
      <c r="BUS617" s="17">
        <v>44925</v>
      </c>
      <c r="BUT617" s="5" t="s">
        <v>3728</v>
      </c>
      <c r="BUU617" s="17">
        <v>44925</v>
      </c>
      <c r="BUV617" s="5" t="s">
        <v>3728</v>
      </c>
      <c r="BUW617" s="17">
        <v>44925</v>
      </c>
      <c r="BUX617" s="5" t="s">
        <v>3728</v>
      </c>
      <c r="BUY617" s="17">
        <v>44925</v>
      </c>
      <c r="BUZ617" s="5" t="s">
        <v>3728</v>
      </c>
      <c r="BVA617" s="17">
        <v>44925</v>
      </c>
      <c r="BVB617" s="5" t="s">
        <v>3728</v>
      </c>
      <c r="BVC617" s="17">
        <v>44925</v>
      </c>
      <c r="BVD617" s="5" t="s">
        <v>3728</v>
      </c>
      <c r="BVE617" s="17">
        <v>44925</v>
      </c>
      <c r="BVF617" s="5" t="s">
        <v>3728</v>
      </c>
      <c r="BVG617" s="17">
        <v>44925</v>
      </c>
      <c r="BVH617" s="5" t="s">
        <v>3728</v>
      </c>
      <c r="BVI617" s="17">
        <v>44925</v>
      </c>
      <c r="BVJ617" s="5" t="s">
        <v>3728</v>
      </c>
      <c r="BVK617" s="17">
        <v>44925</v>
      </c>
      <c r="BVL617" s="5" t="s">
        <v>3728</v>
      </c>
      <c r="BVM617" s="17">
        <v>44925</v>
      </c>
      <c r="BVN617" s="5" t="s">
        <v>3728</v>
      </c>
      <c r="BVO617" s="17">
        <v>44925</v>
      </c>
      <c r="BVP617" s="5" t="s">
        <v>3728</v>
      </c>
      <c r="BVQ617" s="17">
        <v>44925</v>
      </c>
      <c r="BVR617" s="5" t="s">
        <v>3728</v>
      </c>
      <c r="BVS617" s="17">
        <v>44925</v>
      </c>
      <c r="BVT617" s="5" t="s">
        <v>3728</v>
      </c>
      <c r="BVU617" s="17">
        <v>44925</v>
      </c>
      <c r="BVV617" s="5" t="s">
        <v>3728</v>
      </c>
      <c r="BVW617" s="17">
        <v>44925</v>
      </c>
      <c r="BVX617" s="5" t="s">
        <v>3728</v>
      </c>
      <c r="BVY617" s="17">
        <v>44925</v>
      </c>
      <c r="BVZ617" s="5" t="s">
        <v>3728</v>
      </c>
      <c r="BWA617" s="17">
        <v>44925</v>
      </c>
      <c r="BWB617" s="5" t="s">
        <v>3728</v>
      </c>
      <c r="BWC617" s="17">
        <v>44925</v>
      </c>
      <c r="BWD617" s="5" t="s">
        <v>3728</v>
      </c>
      <c r="BWE617" s="17">
        <v>44925</v>
      </c>
      <c r="BWF617" s="5" t="s">
        <v>3728</v>
      </c>
      <c r="BWG617" s="17">
        <v>44925</v>
      </c>
      <c r="BWH617" s="5" t="s">
        <v>3728</v>
      </c>
      <c r="BWI617" s="17">
        <v>44925</v>
      </c>
      <c r="BWJ617" s="5" t="s">
        <v>3728</v>
      </c>
      <c r="BWK617" s="17">
        <v>44925</v>
      </c>
      <c r="BWL617" s="5" t="s">
        <v>3728</v>
      </c>
      <c r="BWM617" s="17">
        <v>44925</v>
      </c>
      <c r="BWN617" s="5" t="s">
        <v>3728</v>
      </c>
      <c r="BWO617" s="17">
        <v>44925</v>
      </c>
      <c r="BWP617" s="5" t="s">
        <v>3728</v>
      </c>
      <c r="BWQ617" s="17">
        <v>44925</v>
      </c>
      <c r="BWR617" s="5" t="s">
        <v>3728</v>
      </c>
      <c r="BWS617" s="17">
        <v>44925</v>
      </c>
      <c r="BWT617" s="5" t="s">
        <v>3728</v>
      </c>
      <c r="BWU617" s="17">
        <v>44925</v>
      </c>
      <c r="BWV617" s="5" t="s">
        <v>3728</v>
      </c>
      <c r="BWW617" s="17">
        <v>44925</v>
      </c>
      <c r="BWX617" s="5" t="s">
        <v>3728</v>
      </c>
      <c r="BWY617" s="17">
        <v>44925</v>
      </c>
      <c r="BWZ617" s="5" t="s">
        <v>3728</v>
      </c>
      <c r="BXA617" s="17">
        <v>44925</v>
      </c>
      <c r="BXB617" s="5" t="s">
        <v>3728</v>
      </c>
      <c r="BXC617" s="17">
        <v>44925</v>
      </c>
      <c r="BXD617" s="5" t="s">
        <v>3728</v>
      </c>
      <c r="BXE617" s="17">
        <v>44925</v>
      </c>
      <c r="BXF617" s="5" t="s">
        <v>3728</v>
      </c>
      <c r="BXG617" s="17">
        <v>44925</v>
      </c>
      <c r="BXH617" s="5" t="s">
        <v>3728</v>
      </c>
      <c r="BXI617" s="17">
        <v>44925</v>
      </c>
      <c r="BXJ617" s="5" t="s">
        <v>3728</v>
      </c>
      <c r="BXK617" s="17">
        <v>44925</v>
      </c>
      <c r="BXL617" s="5" t="s">
        <v>3728</v>
      </c>
      <c r="BXM617" s="17">
        <v>44925</v>
      </c>
      <c r="BXN617" s="5" t="s">
        <v>3728</v>
      </c>
      <c r="BXO617" s="17">
        <v>44925</v>
      </c>
      <c r="BXP617" s="5" t="s">
        <v>3728</v>
      </c>
      <c r="BXQ617" s="17">
        <v>44925</v>
      </c>
      <c r="BXR617" s="5" t="s">
        <v>3728</v>
      </c>
      <c r="BXS617" s="17">
        <v>44925</v>
      </c>
      <c r="BXT617" s="5" t="s">
        <v>3728</v>
      </c>
      <c r="BXU617" s="17">
        <v>44925</v>
      </c>
      <c r="BXV617" s="5" t="s">
        <v>3728</v>
      </c>
      <c r="BXW617" s="17">
        <v>44925</v>
      </c>
      <c r="BXX617" s="5" t="s">
        <v>3728</v>
      </c>
      <c r="BXY617" s="17">
        <v>44925</v>
      </c>
      <c r="BXZ617" s="5" t="s">
        <v>3728</v>
      </c>
      <c r="BYA617" s="17">
        <v>44925</v>
      </c>
      <c r="BYB617" s="5" t="s">
        <v>3728</v>
      </c>
      <c r="BYC617" s="17">
        <v>44925</v>
      </c>
      <c r="BYD617" s="5" t="s">
        <v>3728</v>
      </c>
      <c r="BYE617" s="17">
        <v>44925</v>
      </c>
      <c r="BYF617" s="5" t="s">
        <v>3728</v>
      </c>
      <c r="BYG617" s="17">
        <v>44925</v>
      </c>
      <c r="BYH617" s="5" t="s">
        <v>3728</v>
      </c>
      <c r="BYI617" s="17">
        <v>44925</v>
      </c>
      <c r="BYJ617" s="5" t="s">
        <v>3728</v>
      </c>
      <c r="BYK617" s="17">
        <v>44925</v>
      </c>
      <c r="BYL617" s="5" t="s">
        <v>3728</v>
      </c>
      <c r="BYM617" s="17">
        <v>44925</v>
      </c>
      <c r="BYN617" s="5" t="s">
        <v>3728</v>
      </c>
      <c r="BYO617" s="17">
        <v>44925</v>
      </c>
      <c r="BYP617" s="5" t="s">
        <v>3728</v>
      </c>
      <c r="BYQ617" s="17">
        <v>44925</v>
      </c>
      <c r="BYR617" s="5" t="s">
        <v>3728</v>
      </c>
      <c r="BYS617" s="17">
        <v>44925</v>
      </c>
      <c r="BYT617" s="5" t="s">
        <v>3728</v>
      </c>
      <c r="BYU617" s="17">
        <v>44925</v>
      </c>
      <c r="BYV617" s="5" t="s">
        <v>3728</v>
      </c>
      <c r="BYW617" s="17">
        <v>44925</v>
      </c>
      <c r="BYX617" s="5" t="s">
        <v>3728</v>
      </c>
      <c r="BYY617" s="17">
        <v>44925</v>
      </c>
      <c r="BYZ617" s="5" t="s">
        <v>3728</v>
      </c>
      <c r="BZA617" s="17">
        <v>44925</v>
      </c>
      <c r="BZB617" s="5" t="s">
        <v>3728</v>
      </c>
      <c r="BZC617" s="17">
        <v>44925</v>
      </c>
      <c r="BZD617" s="5" t="s">
        <v>3728</v>
      </c>
      <c r="BZE617" s="17">
        <v>44925</v>
      </c>
      <c r="BZF617" s="5" t="s">
        <v>3728</v>
      </c>
      <c r="BZG617" s="17">
        <v>44925</v>
      </c>
      <c r="BZH617" s="5" t="s">
        <v>3728</v>
      </c>
      <c r="BZI617" s="17">
        <v>44925</v>
      </c>
      <c r="BZJ617" s="5" t="s">
        <v>3728</v>
      </c>
      <c r="BZK617" s="17">
        <v>44925</v>
      </c>
      <c r="BZL617" s="5" t="s">
        <v>3728</v>
      </c>
      <c r="BZM617" s="17">
        <v>44925</v>
      </c>
      <c r="BZN617" s="5" t="s">
        <v>3728</v>
      </c>
      <c r="BZO617" s="17">
        <v>44925</v>
      </c>
      <c r="BZP617" s="5" t="s">
        <v>3728</v>
      </c>
      <c r="BZQ617" s="17">
        <v>44925</v>
      </c>
      <c r="BZR617" s="5" t="s">
        <v>3728</v>
      </c>
      <c r="BZS617" s="17">
        <v>44925</v>
      </c>
      <c r="BZT617" s="5" t="s">
        <v>3728</v>
      </c>
      <c r="BZU617" s="17">
        <v>44925</v>
      </c>
      <c r="BZV617" s="5" t="s">
        <v>3728</v>
      </c>
      <c r="BZW617" s="17">
        <v>44925</v>
      </c>
      <c r="BZX617" s="5" t="s">
        <v>3728</v>
      </c>
      <c r="BZY617" s="17">
        <v>44925</v>
      </c>
      <c r="BZZ617" s="5" t="s">
        <v>3728</v>
      </c>
      <c r="CAA617" s="17">
        <v>44925</v>
      </c>
      <c r="CAB617" s="5" t="s">
        <v>3728</v>
      </c>
      <c r="CAC617" s="17">
        <v>44925</v>
      </c>
      <c r="CAD617" s="5" t="s">
        <v>3728</v>
      </c>
      <c r="CAE617" s="17">
        <v>44925</v>
      </c>
      <c r="CAF617" s="5" t="s">
        <v>3728</v>
      </c>
      <c r="CAG617" s="17">
        <v>44925</v>
      </c>
      <c r="CAH617" s="5" t="s">
        <v>3728</v>
      </c>
      <c r="CAI617" s="17">
        <v>44925</v>
      </c>
      <c r="CAJ617" s="5" t="s">
        <v>3728</v>
      </c>
      <c r="CAK617" s="17">
        <v>44925</v>
      </c>
      <c r="CAL617" s="5" t="s">
        <v>3728</v>
      </c>
      <c r="CAM617" s="17">
        <v>44925</v>
      </c>
      <c r="CAN617" s="5" t="s">
        <v>3728</v>
      </c>
      <c r="CAO617" s="17">
        <v>44925</v>
      </c>
      <c r="CAP617" s="5" t="s">
        <v>3728</v>
      </c>
      <c r="CAQ617" s="17">
        <v>44925</v>
      </c>
      <c r="CAR617" s="5" t="s">
        <v>3728</v>
      </c>
      <c r="CAS617" s="17">
        <v>44925</v>
      </c>
      <c r="CAT617" s="5" t="s">
        <v>3728</v>
      </c>
      <c r="CAU617" s="17">
        <v>44925</v>
      </c>
      <c r="CAV617" s="5" t="s">
        <v>3728</v>
      </c>
      <c r="CAW617" s="17">
        <v>44925</v>
      </c>
      <c r="CAX617" s="5" t="s">
        <v>3728</v>
      </c>
      <c r="CAY617" s="17">
        <v>44925</v>
      </c>
      <c r="CAZ617" s="5" t="s">
        <v>3728</v>
      </c>
      <c r="CBA617" s="17">
        <v>44925</v>
      </c>
      <c r="CBB617" s="5" t="s">
        <v>3728</v>
      </c>
      <c r="CBC617" s="17">
        <v>44925</v>
      </c>
      <c r="CBD617" s="5" t="s">
        <v>3728</v>
      </c>
      <c r="CBE617" s="17">
        <v>44925</v>
      </c>
      <c r="CBF617" s="5" t="s">
        <v>3728</v>
      </c>
      <c r="CBG617" s="17">
        <v>44925</v>
      </c>
      <c r="CBH617" s="5" t="s">
        <v>3728</v>
      </c>
      <c r="CBI617" s="17">
        <v>44925</v>
      </c>
      <c r="CBJ617" s="5" t="s">
        <v>3728</v>
      </c>
      <c r="CBK617" s="17">
        <v>44925</v>
      </c>
      <c r="CBL617" s="5" t="s">
        <v>3728</v>
      </c>
      <c r="CBM617" s="17">
        <v>44925</v>
      </c>
      <c r="CBN617" s="5" t="s">
        <v>3728</v>
      </c>
      <c r="CBO617" s="17">
        <v>44925</v>
      </c>
      <c r="CBP617" s="5" t="s">
        <v>3728</v>
      </c>
      <c r="CBQ617" s="17">
        <v>44925</v>
      </c>
      <c r="CBR617" s="5" t="s">
        <v>3728</v>
      </c>
      <c r="CBS617" s="17">
        <v>44925</v>
      </c>
      <c r="CBT617" s="5" t="s">
        <v>3728</v>
      </c>
      <c r="CBU617" s="17">
        <v>44925</v>
      </c>
      <c r="CBV617" s="5" t="s">
        <v>3728</v>
      </c>
      <c r="CBW617" s="17">
        <v>44925</v>
      </c>
      <c r="CBX617" s="5" t="s">
        <v>3728</v>
      </c>
      <c r="CBY617" s="17">
        <v>44925</v>
      </c>
      <c r="CBZ617" s="5" t="s">
        <v>3728</v>
      </c>
      <c r="CCA617" s="17">
        <v>44925</v>
      </c>
      <c r="CCB617" s="5" t="s">
        <v>3728</v>
      </c>
      <c r="CCC617" s="17">
        <v>44925</v>
      </c>
      <c r="CCD617" s="5" t="s">
        <v>3728</v>
      </c>
      <c r="CCE617" s="17">
        <v>44925</v>
      </c>
      <c r="CCF617" s="5" t="s">
        <v>3728</v>
      </c>
      <c r="CCG617" s="17">
        <v>44925</v>
      </c>
      <c r="CCH617" s="5" t="s">
        <v>3728</v>
      </c>
      <c r="CCI617" s="17">
        <v>44925</v>
      </c>
      <c r="CCJ617" s="5" t="s">
        <v>3728</v>
      </c>
      <c r="CCK617" s="17">
        <v>44925</v>
      </c>
      <c r="CCL617" s="5" t="s">
        <v>3728</v>
      </c>
      <c r="CCM617" s="17">
        <v>44925</v>
      </c>
      <c r="CCN617" s="5" t="s">
        <v>3728</v>
      </c>
      <c r="CCO617" s="17">
        <v>44925</v>
      </c>
      <c r="CCP617" s="5" t="s">
        <v>3728</v>
      </c>
      <c r="CCQ617" s="17">
        <v>44925</v>
      </c>
      <c r="CCR617" s="5" t="s">
        <v>3728</v>
      </c>
      <c r="CCS617" s="17">
        <v>44925</v>
      </c>
      <c r="CCT617" s="5" t="s">
        <v>3728</v>
      </c>
      <c r="CCU617" s="17">
        <v>44925</v>
      </c>
      <c r="CCV617" s="5" t="s">
        <v>3728</v>
      </c>
      <c r="CCW617" s="17">
        <v>44925</v>
      </c>
      <c r="CCX617" s="5" t="s">
        <v>3728</v>
      </c>
      <c r="CCY617" s="17">
        <v>44925</v>
      </c>
      <c r="CCZ617" s="5" t="s">
        <v>3728</v>
      </c>
      <c r="CDA617" s="17">
        <v>44925</v>
      </c>
      <c r="CDB617" s="5" t="s">
        <v>3728</v>
      </c>
      <c r="CDC617" s="17">
        <v>44925</v>
      </c>
      <c r="CDD617" s="5" t="s">
        <v>3728</v>
      </c>
      <c r="CDE617" s="17">
        <v>44925</v>
      </c>
      <c r="CDF617" s="5" t="s">
        <v>3728</v>
      </c>
      <c r="CDG617" s="17">
        <v>44925</v>
      </c>
      <c r="CDH617" s="5" t="s">
        <v>3728</v>
      </c>
      <c r="CDI617" s="17">
        <v>44925</v>
      </c>
      <c r="CDJ617" s="5" t="s">
        <v>3728</v>
      </c>
      <c r="CDK617" s="17">
        <v>44925</v>
      </c>
      <c r="CDL617" s="5" t="s">
        <v>3728</v>
      </c>
      <c r="CDM617" s="17">
        <v>44925</v>
      </c>
      <c r="CDN617" s="5" t="s">
        <v>3728</v>
      </c>
      <c r="CDO617" s="17">
        <v>44925</v>
      </c>
      <c r="CDP617" s="5" t="s">
        <v>3728</v>
      </c>
      <c r="CDQ617" s="17">
        <v>44925</v>
      </c>
      <c r="CDR617" s="5" t="s">
        <v>3728</v>
      </c>
      <c r="CDS617" s="17">
        <v>44925</v>
      </c>
      <c r="CDT617" s="5" t="s">
        <v>3728</v>
      </c>
      <c r="CDU617" s="17">
        <v>44925</v>
      </c>
      <c r="CDV617" s="5" t="s">
        <v>3728</v>
      </c>
      <c r="CDW617" s="17">
        <v>44925</v>
      </c>
      <c r="CDX617" s="5" t="s">
        <v>3728</v>
      </c>
      <c r="CDY617" s="17">
        <v>44925</v>
      </c>
      <c r="CDZ617" s="5" t="s">
        <v>3728</v>
      </c>
      <c r="CEA617" s="17">
        <v>44925</v>
      </c>
      <c r="CEB617" s="5" t="s">
        <v>3728</v>
      </c>
      <c r="CEC617" s="17">
        <v>44925</v>
      </c>
      <c r="CED617" s="5" t="s">
        <v>3728</v>
      </c>
      <c r="CEE617" s="17">
        <v>44925</v>
      </c>
      <c r="CEF617" s="5" t="s">
        <v>3728</v>
      </c>
      <c r="CEG617" s="17">
        <v>44925</v>
      </c>
      <c r="CEH617" s="5" t="s">
        <v>3728</v>
      </c>
      <c r="CEI617" s="17">
        <v>44925</v>
      </c>
      <c r="CEJ617" s="5" t="s">
        <v>3728</v>
      </c>
      <c r="CEK617" s="17">
        <v>44925</v>
      </c>
      <c r="CEL617" s="5" t="s">
        <v>3728</v>
      </c>
      <c r="CEM617" s="17">
        <v>44925</v>
      </c>
      <c r="CEN617" s="5" t="s">
        <v>3728</v>
      </c>
      <c r="CEO617" s="17">
        <v>44925</v>
      </c>
      <c r="CEP617" s="5" t="s">
        <v>3728</v>
      </c>
      <c r="CEQ617" s="17">
        <v>44925</v>
      </c>
      <c r="CER617" s="5" t="s">
        <v>3728</v>
      </c>
      <c r="CES617" s="17">
        <v>44925</v>
      </c>
      <c r="CET617" s="5" t="s">
        <v>3728</v>
      </c>
      <c r="CEU617" s="17">
        <v>44925</v>
      </c>
      <c r="CEV617" s="5" t="s">
        <v>3728</v>
      </c>
      <c r="CEW617" s="17">
        <v>44925</v>
      </c>
      <c r="CEX617" s="5" t="s">
        <v>3728</v>
      </c>
      <c r="CEY617" s="17">
        <v>44925</v>
      </c>
      <c r="CEZ617" s="5" t="s">
        <v>3728</v>
      </c>
      <c r="CFA617" s="17">
        <v>44925</v>
      </c>
      <c r="CFB617" s="5" t="s">
        <v>3728</v>
      </c>
      <c r="CFC617" s="17">
        <v>44925</v>
      </c>
      <c r="CFD617" s="5" t="s">
        <v>3728</v>
      </c>
      <c r="CFE617" s="17">
        <v>44925</v>
      </c>
      <c r="CFF617" s="5" t="s">
        <v>3728</v>
      </c>
      <c r="CFG617" s="17">
        <v>44925</v>
      </c>
      <c r="CFH617" s="5" t="s">
        <v>3728</v>
      </c>
      <c r="CFI617" s="17">
        <v>44925</v>
      </c>
      <c r="CFJ617" s="5" t="s">
        <v>3728</v>
      </c>
      <c r="CFK617" s="17">
        <v>44925</v>
      </c>
      <c r="CFL617" s="5" t="s">
        <v>3728</v>
      </c>
      <c r="CFM617" s="17">
        <v>44925</v>
      </c>
      <c r="CFN617" s="5" t="s">
        <v>3728</v>
      </c>
      <c r="CFO617" s="17">
        <v>44925</v>
      </c>
      <c r="CFP617" s="5" t="s">
        <v>3728</v>
      </c>
      <c r="CFQ617" s="17">
        <v>44925</v>
      </c>
      <c r="CFR617" s="5" t="s">
        <v>3728</v>
      </c>
      <c r="CFS617" s="17">
        <v>44925</v>
      </c>
      <c r="CFT617" s="5" t="s">
        <v>3728</v>
      </c>
      <c r="CFU617" s="17">
        <v>44925</v>
      </c>
      <c r="CFV617" s="5" t="s">
        <v>3728</v>
      </c>
      <c r="CFW617" s="17">
        <v>44925</v>
      </c>
      <c r="CFX617" s="5" t="s">
        <v>3728</v>
      </c>
      <c r="CFY617" s="17">
        <v>44925</v>
      </c>
      <c r="CFZ617" s="5" t="s">
        <v>3728</v>
      </c>
      <c r="CGA617" s="17">
        <v>44925</v>
      </c>
      <c r="CGB617" s="5" t="s">
        <v>3728</v>
      </c>
      <c r="CGC617" s="17">
        <v>44925</v>
      </c>
      <c r="CGD617" s="5" t="s">
        <v>3728</v>
      </c>
      <c r="CGE617" s="17">
        <v>44925</v>
      </c>
      <c r="CGF617" s="5" t="s">
        <v>3728</v>
      </c>
      <c r="CGG617" s="17">
        <v>44925</v>
      </c>
      <c r="CGH617" s="5" t="s">
        <v>3728</v>
      </c>
      <c r="CGI617" s="17">
        <v>44925</v>
      </c>
      <c r="CGJ617" s="5" t="s">
        <v>3728</v>
      </c>
      <c r="CGK617" s="17">
        <v>44925</v>
      </c>
      <c r="CGL617" s="5" t="s">
        <v>3728</v>
      </c>
      <c r="CGM617" s="17">
        <v>44925</v>
      </c>
      <c r="CGN617" s="5" t="s">
        <v>3728</v>
      </c>
      <c r="CGO617" s="17">
        <v>44925</v>
      </c>
      <c r="CGP617" s="5" t="s">
        <v>3728</v>
      </c>
      <c r="CGQ617" s="17">
        <v>44925</v>
      </c>
      <c r="CGR617" s="5" t="s">
        <v>3728</v>
      </c>
      <c r="CGS617" s="17">
        <v>44925</v>
      </c>
      <c r="CGT617" s="5" t="s">
        <v>3728</v>
      </c>
      <c r="CGU617" s="17">
        <v>44925</v>
      </c>
      <c r="CGV617" s="5" t="s">
        <v>3728</v>
      </c>
      <c r="CGW617" s="17">
        <v>44925</v>
      </c>
      <c r="CGX617" s="5" t="s">
        <v>3728</v>
      </c>
      <c r="CGY617" s="17">
        <v>44925</v>
      </c>
      <c r="CGZ617" s="5" t="s">
        <v>3728</v>
      </c>
      <c r="CHA617" s="17">
        <v>44925</v>
      </c>
      <c r="CHB617" s="5" t="s">
        <v>3728</v>
      </c>
      <c r="CHC617" s="17">
        <v>44925</v>
      </c>
      <c r="CHD617" s="5" t="s">
        <v>3728</v>
      </c>
      <c r="CHE617" s="17">
        <v>44925</v>
      </c>
      <c r="CHF617" s="5" t="s">
        <v>3728</v>
      </c>
      <c r="CHG617" s="17">
        <v>44925</v>
      </c>
      <c r="CHH617" s="5" t="s">
        <v>3728</v>
      </c>
      <c r="CHI617" s="17">
        <v>44925</v>
      </c>
      <c r="CHJ617" s="5" t="s">
        <v>3728</v>
      </c>
      <c r="CHK617" s="17">
        <v>44925</v>
      </c>
      <c r="CHL617" s="5" t="s">
        <v>3728</v>
      </c>
      <c r="CHM617" s="17">
        <v>44925</v>
      </c>
      <c r="CHN617" s="5" t="s">
        <v>3728</v>
      </c>
      <c r="CHO617" s="17">
        <v>44925</v>
      </c>
      <c r="CHP617" s="5" t="s">
        <v>3728</v>
      </c>
      <c r="CHQ617" s="17">
        <v>44925</v>
      </c>
      <c r="CHR617" s="5" t="s">
        <v>3728</v>
      </c>
      <c r="CHS617" s="17">
        <v>44925</v>
      </c>
      <c r="CHT617" s="5" t="s">
        <v>3728</v>
      </c>
      <c r="CHU617" s="17">
        <v>44925</v>
      </c>
      <c r="CHV617" s="5" t="s">
        <v>3728</v>
      </c>
      <c r="CHW617" s="17">
        <v>44925</v>
      </c>
      <c r="CHX617" s="5" t="s">
        <v>3728</v>
      </c>
      <c r="CHY617" s="17">
        <v>44925</v>
      </c>
      <c r="CHZ617" s="5" t="s">
        <v>3728</v>
      </c>
      <c r="CIA617" s="17">
        <v>44925</v>
      </c>
      <c r="CIB617" s="5" t="s">
        <v>3728</v>
      </c>
      <c r="CIC617" s="17">
        <v>44925</v>
      </c>
      <c r="CID617" s="5" t="s">
        <v>3728</v>
      </c>
      <c r="CIE617" s="17">
        <v>44925</v>
      </c>
      <c r="CIF617" s="5" t="s">
        <v>3728</v>
      </c>
      <c r="CIG617" s="17">
        <v>44925</v>
      </c>
      <c r="CIH617" s="5" t="s">
        <v>3728</v>
      </c>
      <c r="CII617" s="17">
        <v>44925</v>
      </c>
      <c r="CIJ617" s="5" t="s">
        <v>3728</v>
      </c>
      <c r="CIK617" s="17">
        <v>44925</v>
      </c>
      <c r="CIL617" s="5" t="s">
        <v>3728</v>
      </c>
      <c r="CIM617" s="17">
        <v>44925</v>
      </c>
      <c r="CIN617" s="5" t="s">
        <v>3728</v>
      </c>
      <c r="CIO617" s="17">
        <v>44925</v>
      </c>
      <c r="CIP617" s="5" t="s">
        <v>3728</v>
      </c>
      <c r="CIQ617" s="17">
        <v>44925</v>
      </c>
      <c r="CIR617" s="5" t="s">
        <v>3728</v>
      </c>
      <c r="CIS617" s="17">
        <v>44925</v>
      </c>
      <c r="CIT617" s="5" t="s">
        <v>3728</v>
      </c>
      <c r="CIU617" s="17">
        <v>44925</v>
      </c>
      <c r="CIV617" s="5" t="s">
        <v>3728</v>
      </c>
      <c r="CIW617" s="17">
        <v>44925</v>
      </c>
      <c r="CIX617" s="5" t="s">
        <v>3728</v>
      </c>
      <c r="CIY617" s="17">
        <v>44925</v>
      </c>
      <c r="CIZ617" s="5" t="s">
        <v>3728</v>
      </c>
      <c r="CJA617" s="17">
        <v>44925</v>
      </c>
      <c r="CJB617" s="5" t="s">
        <v>3728</v>
      </c>
      <c r="CJC617" s="17">
        <v>44925</v>
      </c>
      <c r="CJD617" s="5" t="s">
        <v>3728</v>
      </c>
      <c r="CJE617" s="17">
        <v>44925</v>
      </c>
      <c r="CJF617" s="5" t="s">
        <v>3728</v>
      </c>
      <c r="CJG617" s="17">
        <v>44925</v>
      </c>
      <c r="CJH617" s="5" t="s">
        <v>3728</v>
      </c>
      <c r="CJI617" s="17">
        <v>44925</v>
      </c>
      <c r="CJJ617" s="5" t="s">
        <v>3728</v>
      </c>
      <c r="CJK617" s="17">
        <v>44925</v>
      </c>
      <c r="CJL617" s="5" t="s">
        <v>3728</v>
      </c>
      <c r="CJM617" s="17">
        <v>44925</v>
      </c>
      <c r="CJN617" s="5" t="s">
        <v>3728</v>
      </c>
      <c r="CJO617" s="17">
        <v>44925</v>
      </c>
      <c r="CJP617" s="5" t="s">
        <v>3728</v>
      </c>
      <c r="CJQ617" s="17">
        <v>44925</v>
      </c>
      <c r="CJR617" s="5" t="s">
        <v>3728</v>
      </c>
      <c r="CJS617" s="17">
        <v>44925</v>
      </c>
      <c r="CJT617" s="5" t="s">
        <v>3728</v>
      </c>
      <c r="CJU617" s="17">
        <v>44925</v>
      </c>
      <c r="CJV617" s="5" t="s">
        <v>3728</v>
      </c>
      <c r="CJW617" s="17">
        <v>44925</v>
      </c>
      <c r="CJX617" s="5" t="s">
        <v>3728</v>
      </c>
      <c r="CJY617" s="17">
        <v>44925</v>
      </c>
      <c r="CJZ617" s="5" t="s">
        <v>3728</v>
      </c>
      <c r="CKA617" s="17">
        <v>44925</v>
      </c>
      <c r="CKB617" s="5" t="s">
        <v>3728</v>
      </c>
      <c r="CKC617" s="17">
        <v>44925</v>
      </c>
      <c r="CKD617" s="5" t="s">
        <v>3728</v>
      </c>
      <c r="CKE617" s="17">
        <v>44925</v>
      </c>
      <c r="CKF617" s="5" t="s">
        <v>3728</v>
      </c>
      <c r="CKG617" s="17">
        <v>44925</v>
      </c>
      <c r="CKH617" s="5" t="s">
        <v>3728</v>
      </c>
      <c r="CKI617" s="17">
        <v>44925</v>
      </c>
      <c r="CKJ617" s="5" t="s">
        <v>3728</v>
      </c>
      <c r="CKK617" s="17">
        <v>44925</v>
      </c>
      <c r="CKL617" s="5" t="s">
        <v>3728</v>
      </c>
      <c r="CKM617" s="17">
        <v>44925</v>
      </c>
      <c r="CKN617" s="5" t="s">
        <v>3728</v>
      </c>
      <c r="CKO617" s="17">
        <v>44925</v>
      </c>
      <c r="CKP617" s="5" t="s">
        <v>3728</v>
      </c>
      <c r="CKQ617" s="17">
        <v>44925</v>
      </c>
      <c r="CKR617" s="5" t="s">
        <v>3728</v>
      </c>
      <c r="CKS617" s="17">
        <v>44925</v>
      </c>
      <c r="CKT617" s="5" t="s">
        <v>3728</v>
      </c>
      <c r="CKU617" s="17">
        <v>44925</v>
      </c>
      <c r="CKV617" s="5" t="s">
        <v>3728</v>
      </c>
      <c r="CKW617" s="17">
        <v>44925</v>
      </c>
      <c r="CKX617" s="5" t="s">
        <v>3728</v>
      </c>
      <c r="CKY617" s="17">
        <v>44925</v>
      </c>
      <c r="CKZ617" s="5" t="s">
        <v>3728</v>
      </c>
      <c r="CLA617" s="17">
        <v>44925</v>
      </c>
      <c r="CLB617" s="5" t="s">
        <v>3728</v>
      </c>
      <c r="CLC617" s="17">
        <v>44925</v>
      </c>
      <c r="CLD617" s="5" t="s">
        <v>3728</v>
      </c>
      <c r="CLE617" s="17">
        <v>44925</v>
      </c>
      <c r="CLF617" s="5" t="s">
        <v>3728</v>
      </c>
      <c r="CLG617" s="17">
        <v>44925</v>
      </c>
      <c r="CLH617" s="5" t="s">
        <v>3728</v>
      </c>
      <c r="CLI617" s="17">
        <v>44925</v>
      </c>
      <c r="CLJ617" s="5" t="s">
        <v>3728</v>
      </c>
      <c r="CLK617" s="17">
        <v>44925</v>
      </c>
      <c r="CLL617" s="5" t="s">
        <v>3728</v>
      </c>
      <c r="CLM617" s="17">
        <v>44925</v>
      </c>
      <c r="CLN617" s="5" t="s">
        <v>3728</v>
      </c>
      <c r="CLO617" s="17">
        <v>44925</v>
      </c>
      <c r="CLP617" s="5" t="s">
        <v>3728</v>
      </c>
      <c r="CLQ617" s="17">
        <v>44925</v>
      </c>
      <c r="CLR617" s="5" t="s">
        <v>3728</v>
      </c>
      <c r="CLS617" s="17">
        <v>44925</v>
      </c>
      <c r="CLT617" s="5" t="s">
        <v>3728</v>
      </c>
      <c r="CLU617" s="17">
        <v>44925</v>
      </c>
      <c r="CLV617" s="5" t="s">
        <v>3728</v>
      </c>
      <c r="CLW617" s="17">
        <v>44925</v>
      </c>
      <c r="CLX617" s="5" t="s">
        <v>3728</v>
      </c>
      <c r="CLY617" s="17">
        <v>44925</v>
      </c>
      <c r="CLZ617" s="5" t="s">
        <v>3728</v>
      </c>
      <c r="CMA617" s="17">
        <v>44925</v>
      </c>
      <c r="CMB617" s="5" t="s">
        <v>3728</v>
      </c>
      <c r="CMC617" s="17">
        <v>44925</v>
      </c>
      <c r="CMD617" s="5" t="s">
        <v>3728</v>
      </c>
      <c r="CME617" s="17">
        <v>44925</v>
      </c>
      <c r="CMF617" s="5" t="s">
        <v>3728</v>
      </c>
      <c r="CMG617" s="17">
        <v>44925</v>
      </c>
      <c r="CMH617" s="5" t="s">
        <v>3728</v>
      </c>
      <c r="CMI617" s="17">
        <v>44925</v>
      </c>
      <c r="CMJ617" s="5" t="s">
        <v>3728</v>
      </c>
      <c r="CMK617" s="17">
        <v>44925</v>
      </c>
      <c r="CML617" s="5" t="s">
        <v>3728</v>
      </c>
      <c r="CMM617" s="17">
        <v>44925</v>
      </c>
      <c r="CMN617" s="5" t="s">
        <v>3728</v>
      </c>
      <c r="CMO617" s="17">
        <v>44925</v>
      </c>
      <c r="CMP617" s="5" t="s">
        <v>3728</v>
      </c>
      <c r="CMQ617" s="17">
        <v>44925</v>
      </c>
      <c r="CMR617" s="5" t="s">
        <v>3728</v>
      </c>
      <c r="CMS617" s="17">
        <v>44925</v>
      </c>
      <c r="CMT617" s="5" t="s">
        <v>3728</v>
      </c>
      <c r="CMU617" s="17">
        <v>44925</v>
      </c>
      <c r="CMV617" s="5" t="s">
        <v>3728</v>
      </c>
      <c r="CMW617" s="17">
        <v>44925</v>
      </c>
      <c r="CMX617" s="5" t="s">
        <v>3728</v>
      </c>
      <c r="CMY617" s="17">
        <v>44925</v>
      </c>
      <c r="CMZ617" s="5" t="s">
        <v>3728</v>
      </c>
      <c r="CNA617" s="17">
        <v>44925</v>
      </c>
      <c r="CNB617" s="5" t="s">
        <v>3728</v>
      </c>
      <c r="CNC617" s="17">
        <v>44925</v>
      </c>
      <c r="CND617" s="5" t="s">
        <v>3728</v>
      </c>
      <c r="CNE617" s="17">
        <v>44925</v>
      </c>
      <c r="CNF617" s="5" t="s">
        <v>3728</v>
      </c>
      <c r="CNG617" s="17">
        <v>44925</v>
      </c>
      <c r="CNH617" s="5" t="s">
        <v>3728</v>
      </c>
      <c r="CNI617" s="17">
        <v>44925</v>
      </c>
      <c r="CNJ617" s="5" t="s">
        <v>3728</v>
      </c>
      <c r="CNK617" s="17">
        <v>44925</v>
      </c>
      <c r="CNL617" s="5" t="s">
        <v>3728</v>
      </c>
      <c r="CNM617" s="17">
        <v>44925</v>
      </c>
      <c r="CNN617" s="5" t="s">
        <v>3728</v>
      </c>
      <c r="CNO617" s="17">
        <v>44925</v>
      </c>
      <c r="CNP617" s="5" t="s">
        <v>3728</v>
      </c>
      <c r="CNQ617" s="17">
        <v>44925</v>
      </c>
      <c r="CNR617" s="5" t="s">
        <v>3728</v>
      </c>
      <c r="CNS617" s="17">
        <v>44925</v>
      </c>
      <c r="CNT617" s="5" t="s">
        <v>3728</v>
      </c>
      <c r="CNU617" s="17">
        <v>44925</v>
      </c>
      <c r="CNV617" s="5" t="s">
        <v>3728</v>
      </c>
      <c r="CNW617" s="17">
        <v>44925</v>
      </c>
      <c r="CNX617" s="5" t="s">
        <v>3728</v>
      </c>
      <c r="CNY617" s="17">
        <v>44925</v>
      </c>
      <c r="CNZ617" s="5" t="s">
        <v>3728</v>
      </c>
      <c r="COA617" s="17">
        <v>44925</v>
      </c>
      <c r="COB617" s="5" t="s">
        <v>3728</v>
      </c>
      <c r="COC617" s="17">
        <v>44925</v>
      </c>
      <c r="COD617" s="5" t="s">
        <v>3728</v>
      </c>
      <c r="COE617" s="17">
        <v>44925</v>
      </c>
      <c r="COF617" s="5" t="s">
        <v>3728</v>
      </c>
      <c r="COG617" s="17">
        <v>44925</v>
      </c>
      <c r="COH617" s="5" t="s">
        <v>3728</v>
      </c>
      <c r="COI617" s="17">
        <v>44925</v>
      </c>
      <c r="COJ617" s="5" t="s">
        <v>3728</v>
      </c>
      <c r="COK617" s="17">
        <v>44925</v>
      </c>
      <c r="COL617" s="5" t="s">
        <v>3728</v>
      </c>
      <c r="COM617" s="17">
        <v>44925</v>
      </c>
      <c r="CON617" s="5" t="s">
        <v>3728</v>
      </c>
      <c r="COO617" s="17">
        <v>44925</v>
      </c>
      <c r="COP617" s="5" t="s">
        <v>3728</v>
      </c>
      <c r="COQ617" s="17">
        <v>44925</v>
      </c>
      <c r="COR617" s="5" t="s">
        <v>3728</v>
      </c>
      <c r="COS617" s="17">
        <v>44925</v>
      </c>
      <c r="COT617" s="5" t="s">
        <v>3728</v>
      </c>
      <c r="COU617" s="17">
        <v>44925</v>
      </c>
      <c r="COV617" s="5" t="s">
        <v>3728</v>
      </c>
      <c r="COW617" s="17">
        <v>44925</v>
      </c>
      <c r="COX617" s="5" t="s">
        <v>3728</v>
      </c>
      <c r="COY617" s="17">
        <v>44925</v>
      </c>
      <c r="COZ617" s="5" t="s">
        <v>3728</v>
      </c>
      <c r="CPA617" s="17">
        <v>44925</v>
      </c>
      <c r="CPB617" s="5" t="s">
        <v>3728</v>
      </c>
      <c r="CPC617" s="17">
        <v>44925</v>
      </c>
      <c r="CPD617" s="5" t="s">
        <v>3728</v>
      </c>
      <c r="CPE617" s="17">
        <v>44925</v>
      </c>
      <c r="CPF617" s="5" t="s">
        <v>3728</v>
      </c>
      <c r="CPG617" s="17">
        <v>44925</v>
      </c>
      <c r="CPH617" s="5" t="s">
        <v>3728</v>
      </c>
      <c r="CPI617" s="17">
        <v>44925</v>
      </c>
      <c r="CPJ617" s="5" t="s">
        <v>3728</v>
      </c>
      <c r="CPK617" s="17">
        <v>44925</v>
      </c>
      <c r="CPL617" s="5" t="s">
        <v>3728</v>
      </c>
      <c r="CPM617" s="17">
        <v>44925</v>
      </c>
      <c r="CPN617" s="5" t="s">
        <v>3728</v>
      </c>
      <c r="CPO617" s="17">
        <v>44925</v>
      </c>
      <c r="CPP617" s="5" t="s">
        <v>3728</v>
      </c>
      <c r="CPQ617" s="17">
        <v>44925</v>
      </c>
      <c r="CPR617" s="5" t="s">
        <v>3728</v>
      </c>
      <c r="CPS617" s="17">
        <v>44925</v>
      </c>
      <c r="CPT617" s="5" t="s">
        <v>3728</v>
      </c>
      <c r="CPU617" s="17">
        <v>44925</v>
      </c>
      <c r="CPV617" s="5" t="s">
        <v>3728</v>
      </c>
      <c r="CPW617" s="17">
        <v>44925</v>
      </c>
      <c r="CPX617" s="5" t="s">
        <v>3728</v>
      </c>
      <c r="CPY617" s="17">
        <v>44925</v>
      </c>
      <c r="CPZ617" s="5" t="s">
        <v>3728</v>
      </c>
      <c r="CQA617" s="17">
        <v>44925</v>
      </c>
      <c r="CQB617" s="5" t="s">
        <v>3728</v>
      </c>
      <c r="CQC617" s="17">
        <v>44925</v>
      </c>
      <c r="CQD617" s="5" t="s">
        <v>3728</v>
      </c>
      <c r="CQE617" s="17">
        <v>44925</v>
      </c>
      <c r="CQF617" s="5" t="s">
        <v>3728</v>
      </c>
      <c r="CQG617" s="17">
        <v>44925</v>
      </c>
      <c r="CQH617" s="5" t="s">
        <v>3728</v>
      </c>
      <c r="CQI617" s="17">
        <v>44925</v>
      </c>
      <c r="CQJ617" s="5" t="s">
        <v>3728</v>
      </c>
      <c r="CQK617" s="17">
        <v>44925</v>
      </c>
      <c r="CQL617" s="5" t="s">
        <v>3728</v>
      </c>
      <c r="CQM617" s="17">
        <v>44925</v>
      </c>
      <c r="CQN617" s="5" t="s">
        <v>3728</v>
      </c>
      <c r="CQO617" s="17">
        <v>44925</v>
      </c>
      <c r="CQP617" s="5" t="s">
        <v>3728</v>
      </c>
      <c r="CQQ617" s="17">
        <v>44925</v>
      </c>
      <c r="CQR617" s="5" t="s">
        <v>3728</v>
      </c>
      <c r="CQS617" s="17">
        <v>44925</v>
      </c>
      <c r="CQT617" s="5" t="s">
        <v>3728</v>
      </c>
      <c r="CQU617" s="17">
        <v>44925</v>
      </c>
      <c r="CQV617" s="5" t="s">
        <v>3728</v>
      </c>
      <c r="CQW617" s="17">
        <v>44925</v>
      </c>
      <c r="CQX617" s="5" t="s">
        <v>3728</v>
      </c>
      <c r="CQY617" s="17">
        <v>44925</v>
      </c>
      <c r="CQZ617" s="5" t="s">
        <v>3728</v>
      </c>
      <c r="CRA617" s="17">
        <v>44925</v>
      </c>
      <c r="CRB617" s="5" t="s">
        <v>3728</v>
      </c>
      <c r="CRC617" s="17">
        <v>44925</v>
      </c>
      <c r="CRD617" s="5" t="s">
        <v>3728</v>
      </c>
      <c r="CRE617" s="17">
        <v>44925</v>
      </c>
      <c r="CRF617" s="5" t="s">
        <v>3728</v>
      </c>
      <c r="CRG617" s="17">
        <v>44925</v>
      </c>
      <c r="CRH617" s="5" t="s">
        <v>3728</v>
      </c>
      <c r="CRI617" s="17">
        <v>44925</v>
      </c>
      <c r="CRJ617" s="5" t="s">
        <v>3728</v>
      </c>
      <c r="CRK617" s="17">
        <v>44925</v>
      </c>
      <c r="CRL617" s="5" t="s">
        <v>3728</v>
      </c>
      <c r="CRM617" s="17">
        <v>44925</v>
      </c>
      <c r="CRN617" s="5" t="s">
        <v>3728</v>
      </c>
      <c r="CRO617" s="17">
        <v>44925</v>
      </c>
      <c r="CRP617" s="5" t="s">
        <v>3728</v>
      </c>
      <c r="CRQ617" s="17">
        <v>44925</v>
      </c>
      <c r="CRR617" s="5" t="s">
        <v>3728</v>
      </c>
      <c r="CRS617" s="17">
        <v>44925</v>
      </c>
      <c r="CRT617" s="5" t="s">
        <v>3728</v>
      </c>
      <c r="CRU617" s="17">
        <v>44925</v>
      </c>
      <c r="CRV617" s="5" t="s">
        <v>3728</v>
      </c>
      <c r="CRW617" s="17">
        <v>44925</v>
      </c>
      <c r="CRX617" s="5" t="s">
        <v>3728</v>
      </c>
      <c r="CRY617" s="17">
        <v>44925</v>
      </c>
      <c r="CRZ617" s="5" t="s">
        <v>3728</v>
      </c>
      <c r="CSA617" s="17">
        <v>44925</v>
      </c>
      <c r="CSB617" s="5" t="s">
        <v>3728</v>
      </c>
      <c r="CSC617" s="17">
        <v>44925</v>
      </c>
      <c r="CSD617" s="5" t="s">
        <v>3728</v>
      </c>
      <c r="CSE617" s="17">
        <v>44925</v>
      </c>
      <c r="CSF617" s="5" t="s">
        <v>3728</v>
      </c>
      <c r="CSG617" s="17">
        <v>44925</v>
      </c>
      <c r="CSH617" s="5" t="s">
        <v>3728</v>
      </c>
      <c r="CSI617" s="17">
        <v>44925</v>
      </c>
      <c r="CSJ617" s="5" t="s">
        <v>3728</v>
      </c>
      <c r="CSK617" s="17">
        <v>44925</v>
      </c>
      <c r="CSL617" s="5" t="s">
        <v>3728</v>
      </c>
      <c r="CSM617" s="17">
        <v>44925</v>
      </c>
      <c r="CSN617" s="5" t="s">
        <v>3728</v>
      </c>
      <c r="CSO617" s="17">
        <v>44925</v>
      </c>
      <c r="CSP617" s="5" t="s">
        <v>3728</v>
      </c>
      <c r="CSQ617" s="17">
        <v>44925</v>
      </c>
      <c r="CSR617" s="5" t="s">
        <v>3728</v>
      </c>
      <c r="CSS617" s="17">
        <v>44925</v>
      </c>
      <c r="CST617" s="5" t="s">
        <v>3728</v>
      </c>
      <c r="CSU617" s="17">
        <v>44925</v>
      </c>
      <c r="CSV617" s="5" t="s">
        <v>3728</v>
      </c>
      <c r="CSW617" s="17">
        <v>44925</v>
      </c>
      <c r="CSX617" s="5" t="s">
        <v>3728</v>
      </c>
      <c r="CSY617" s="17">
        <v>44925</v>
      </c>
      <c r="CSZ617" s="5" t="s">
        <v>3728</v>
      </c>
      <c r="CTA617" s="17">
        <v>44925</v>
      </c>
      <c r="CTB617" s="5" t="s">
        <v>3728</v>
      </c>
      <c r="CTC617" s="17">
        <v>44925</v>
      </c>
      <c r="CTD617" s="5" t="s">
        <v>3728</v>
      </c>
      <c r="CTE617" s="17">
        <v>44925</v>
      </c>
      <c r="CTF617" s="5" t="s">
        <v>3728</v>
      </c>
      <c r="CTG617" s="17">
        <v>44925</v>
      </c>
      <c r="CTH617" s="5" t="s">
        <v>3728</v>
      </c>
      <c r="CTI617" s="17">
        <v>44925</v>
      </c>
      <c r="CTJ617" s="5" t="s">
        <v>3728</v>
      </c>
      <c r="CTK617" s="17">
        <v>44925</v>
      </c>
      <c r="CTL617" s="5" t="s">
        <v>3728</v>
      </c>
      <c r="CTM617" s="17">
        <v>44925</v>
      </c>
      <c r="CTN617" s="5" t="s">
        <v>3728</v>
      </c>
      <c r="CTO617" s="17">
        <v>44925</v>
      </c>
      <c r="CTP617" s="5" t="s">
        <v>3728</v>
      </c>
      <c r="CTQ617" s="17">
        <v>44925</v>
      </c>
      <c r="CTR617" s="5" t="s">
        <v>3728</v>
      </c>
      <c r="CTS617" s="17">
        <v>44925</v>
      </c>
      <c r="CTT617" s="5" t="s">
        <v>3728</v>
      </c>
      <c r="CTU617" s="17">
        <v>44925</v>
      </c>
      <c r="CTV617" s="5" t="s">
        <v>3728</v>
      </c>
      <c r="CTW617" s="17">
        <v>44925</v>
      </c>
      <c r="CTX617" s="5" t="s">
        <v>3728</v>
      </c>
      <c r="CTY617" s="17">
        <v>44925</v>
      </c>
      <c r="CTZ617" s="5" t="s">
        <v>3728</v>
      </c>
      <c r="CUA617" s="17">
        <v>44925</v>
      </c>
      <c r="CUB617" s="5" t="s">
        <v>3728</v>
      </c>
      <c r="CUC617" s="17">
        <v>44925</v>
      </c>
      <c r="CUD617" s="5" t="s">
        <v>3728</v>
      </c>
      <c r="CUE617" s="17">
        <v>44925</v>
      </c>
      <c r="CUF617" s="5" t="s">
        <v>3728</v>
      </c>
      <c r="CUG617" s="17">
        <v>44925</v>
      </c>
      <c r="CUH617" s="5" t="s">
        <v>3728</v>
      </c>
      <c r="CUI617" s="17">
        <v>44925</v>
      </c>
      <c r="CUJ617" s="5" t="s">
        <v>3728</v>
      </c>
      <c r="CUK617" s="17">
        <v>44925</v>
      </c>
      <c r="CUL617" s="5" t="s">
        <v>3728</v>
      </c>
      <c r="CUM617" s="17">
        <v>44925</v>
      </c>
      <c r="CUN617" s="5" t="s">
        <v>3728</v>
      </c>
      <c r="CUO617" s="17">
        <v>44925</v>
      </c>
      <c r="CUP617" s="5" t="s">
        <v>3728</v>
      </c>
      <c r="CUQ617" s="17">
        <v>44925</v>
      </c>
      <c r="CUR617" s="5" t="s">
        <v>3728</v>
      </c>
      <c r="CUS617" s="17">
        <v>44925</v>
      </c>
      <c r="CUT617" s="5" t="s">
        <v>3728</v>
      </c>
      <c r="CUU617" s="17">
        <v>44925</v>
      </c>
      <c r="CUV617" s="5" t="s">
        <v>3728</v>
      </c>
      <c r="CUW617" s="17">
        <v>44925</v>
      </c>
      <c r="CUX617" s="5" t="s">
        <v>3728</v>
      </c>
      <c r="CUY617" s="17">
        <v>44925</v>
      </c>
      <c r="CUZ617" s="5" t="s">
        <v>3728</v>
      </c>
      <c r="CVA617" s="17">
        <v>44925</v>
      </c>
      <c r="CVB617" s="5" t="s">
        <v>3728</v>
      </c>
      <c r="CVC617" s="17">
        <v>44925</v>
      </c>
      <c r="CVD617" s="5" t="s">
        <v>3728</v>
      </c>
      <c r="CVE617" s="17">
        <v>44925</v>
      </c>
      <c r="CVF617" s="5" t="s">
        <v>3728</v>
      </c>
      <c r="CVG617" s="17">
        <v>44925</v>
      </c>
      <c r="CVH617" s="5" t="s">
        <v>3728</v>
      </c>
      <c r="CVI617" s="17">
        <v>44925</v>
      </c>
      <c r="CVJ617" s="5" t="s">
        <v>3728</v>
      </c>
      <c r="CVK617" s="17">
        <v>44925</v>
      </c>
      <c r="CVL617" s="5" t="s">
        <v>3728</v>
      </c>
      <c r="CVM617" s="17">
        <v>44925</v>
      </c>
      <c r="CVN617" s="5" t="s">
        <v>3728</v>
      </c>
      <c r="CVO617" s="17">
        <v>44925</v>
      </c>
      <c r="CVP617" s="5" t="s">
        <v>3728</v>
      </c>
      <c r="CVQ617" s="17">
        <v>44925</v>
      </c>
      <c r="CVR617" s="5" t="s">
        <v>3728</v>
      </c>
      <c r="CVS617" s="17">
        <v>44925</v>
      </c>
      <c r="CVT617" s="5" t="s">
        <v>3728</v>
      </c>
      <c r="CVU617" s="17">
        <v>44925</v>
      </c>
      <c r="CVV617" s="5" t="s">
        <v>3728</v>
      </c>
      <c r="CVW617" s="17">
        <v>44925</v>
      </c>
      <c r="CVX617" s="5" t="s">
        <v>3728</v>
      </c>
      <c r="CVY617" s="17">
        <v>44925</v>
      </c>
      <c r="CVZ617" s="5" t="s">
        <v>3728</v>
      </c>
      <c r="CWA617" s="17">
        <v>44925</v>
      </c>
      <c r="CWB617" s="5" t="s">
        <v>3728</v>
      </c>
      <c r="CWC617" s="17">
        <v>44925</v>
      </c>
      <c r="CWD617" s="5" t="s">
        <v>3728</v>
      </c>
      <c r="CWE617" s="17">
        <v>44925</v>
      </c>
      <c r="CWF617" s="5" t="s">
        <v>3728</v>
      </c>
      <c r="CWG617" s="17">
        <v>44925</v>
      </c>
      <c r="CWH617" s="5" t="s">
        <v>3728</v>
      </c>
      <c r="CWI617" s="17">
        <v>44925</v>
      </c>
      <c r="CWJ617" s="5" t="s">
        <v>3728</v>
      </c>
      <c r="CWK617" s="17">
        <v>44925</v>
      </c>
      <c r="CWL617" s="5" t="s">
        <v>3728</v>
      </c>
      <c r="CWM617" s="17">
        <v>44925</v>
      </c>
      <c r="CWN617" s="5" t="s">
        <v>3728</v>
      </c>
      <c r="CWO617" s="17">
        <v>44925</v>
      </c>
      <c r="CWP617" s="5" t="s">
        <v>3728</v>
      </c>
      <c r="CWQ617" s="17">
        <v>44925</v>
      </c>
      <c r="CWR617" s="5" t="s">
        <v>3728</v>
      </c>
      <c r="CWS617" s="17">
        <v>44925</v>
      </c>
      <c r="CWT617" s="5" t="s">
        <v>3728</v>
      </c>
      <c r="CWU617" s="17">
        <v>44925</v>
      </c>
      <c r="CWV617" s="5" t="s">
        <v>3728</v>
      </c>
      <c r="CWW617" s="17">
        <v>44925</v>
      </c>
      <c r="CWX617" s="5" t="s">
        <v>3728</v>
      </c>
      <c r="CWY617" s="17">
        <v>44925</v>
      </c>
      <c r="CWZ617" s="5" t="s">
        <v>3728</v>
      </c>
      <c r="CXA617" s="17">
        <v>44925</v>
      </c>
      <c r="CXB617" s="5" t="s">
        <v>3728</v>
      </c>
      <c r="CXC617" s="17">
        <v>44925</v>
      </c>
      <c r="CXD617" s="5" t="s">
        <v>3728</v>
      </c>
      <c r="CXE617" s="17">
        <v>44925</v>
      </c>
      <c r="CXF617" s="5" t="s">
        <v>3728</v>
      </c>
      <c r="CXG617" s="17">
        <v>44925</v>
      </c>
      <c r="CXH617" s="5" t="s">
        <v>3728</v>
      </c>
      <c r="CXI617" s="17">
        <v>44925</v>
      </c>
      <c r="CXJ617" s="5" t="s">
        <v>3728</v>
      </c>
      <c r="CXK617" s="17">
        <v>44925</v>
      </c>
      <c r="CXL617" s="5" t="s">
        <v>3728</v>
      </c>
      <c r="CXM617" s="17">
        <v>44925</v>
      </c>
      <c r="CXN617" s="5" t="s">
        <v>3728</v>
      </c>
      <c r="CXO617" s="17">
        <v>44925</v>
      </c>
      <c r="CXP617" s="5" t="s">
        <v>3728</v>
      </c>
      <c r="CXQ617" s="17">
        <v>44925</v>
      </c>
      <c r="CXR617" s="5" t="s">
        <v>3728</v>
      </c>
      <c r="CXS617" s="17">
        <v>44925</v>
      </c>
      <c r="CXT617" s="5" t="s">
        <v>3728</v>
      </c>
      <c r="CXU617" s="17">
        <v>44925</v>
      </c>
      <c r="CXV617" s="5" t="s">
        <v>3728</v>
      </c>
      <c r="CXW617" s="17">
        <v>44925</v>
      </c>
      <c r="CXX617" s="5" t="s">
        <v>3728</v>
      </c>
      <c r="CXY617" s="17">
        <v>44925</v>
      </c>
      <c r="CXZ617" s="5" t="s">
        <v>3728</v>
      </c>
      <c r="CYA617" s="17">
        <v>44925</v>
      </c>
      <c r="CYB617" s="5" t="s">
        <v>3728</v>
      </c>
      <c r="CYC617" s="17">
        <v>44925</v>
      </c>
      <c r="CYD617" s="5" t="s">
        <v>3728</v>
      </c>
      <c r="CYE617" s="17">
        <v>44925</v>
      </c>
      <c r="CYF617" s="5" t="s">
        <v>3728</v>
      </c>
      <c r="CYG617" s="17">
        <v>44925</v>
      </c>
      <c r="CYH617" s="5" t="s">
        <v>3728</v>
      </c>
      <c r="CYI617" s="17">
        <v>44925</v>
      </c>
      <c r="CYJ617" s="5" t="s">
        <v>3728</v>
      </c>
      <c r="CYK617" s="17">
        <v>44925</v>
      </c>
      <c r="CYL617" s="5" t="s">
        <v>3728</v>
      </c>
      <c r="CYM617" s="17">
        <v>44925</v>
      </c>
      <c r="CYN617" s="5" t="s">
        <v>3728</v>
      </c>
      <c r="CYO617" s="17">
        <v>44925</v>
      </c>
      <c r="CYP617" s="5" t="s">
        <v>3728</v>
      </c>
      <c r="CYQ617" s="17">
        <v>44925</v>
      </c>
      <c r="CYR617" s="5" t="s">
        <v>3728</v>
      </c>
      <c r="CYS617" s="17">
        <v>44925</v>
      </c>
      <c r="CYT617" s="5" t="s">
        <v>3728</v>
      </c>
      <c r="CYU617" s="17">
        <v>44925</v>
      </c>
      <c r="CYV617" s="5" t="s">
        <v>3728</v>
      </c>
      <c r="CYW617" s="17">
        <v>44925</v>
      </c>
      <c r="CYX617" s="5" t="s">
        <v>3728</v>
      </c>
      <c r="CYY617" s="17">
        <v>44925</v>
      </c>
      <c r="CYZ617" s="5" t="s">
        <v>3728</v>
      </c>
      <c r="CZA617" s="17">
        <v>44925</v>
      </c>
      <c r="CZB617" s="5" t="s">
        <v>3728</v>
      </c>
      <c r="CZC617" s="17">
        <v>44925</v>
      </c>
      <c r="CZD617" s="5" t="s">
        <v>3728</v>
      </c>
      <c r="CZE617" s="17">
        <v>44925</v>
      </c>
      <c r="CZF617" s="5" t="s">
        <v>3728</v>
      </c>
      <c r="CZG617" s="17">
        <v>44925</v>
      </c>
      <c r="CZH617" s="5" t="s">
        <v>3728</v>
      </c>
      <c r="CZI617" s="17">
        <v>44925</v>
      </c>
      <c r="CZJ617" s="5" t="s">
        <v>3728</v>
      </c>
      <c r="CZK617" s="17">
        <v>44925</v>
      </c>
      <c r="CZL617" s="5" t="s">
        <v>3728</v>
      </c>
      <c r="CZM617" s="17">
        <v>44925</v>
      </c>
      <c r="CZN617" s="5" t="s">
        <v>3728</v>
      </c>
      <c r="CZO617" s="17">
        <v>44925</v>
      </c>
      <c r="CZP617" s="5" t="s">
        <v>3728</v>
      </c>
      <c r="CZQ617" s="17">
        <v>44925</v>
      </c>
      <c r="CZR617" s="5" t="s">
        <v>3728</v>
      </c>
      <c r="CZS617" s="17">
        <v>44925</v>
      </c>
      <c r="CZT617" s="5" t="s">
        <v>3728</v>
      </c>
      <c r="CZU617" s="17">
        <v>44925</v>
      </c>
      <c r="CZV617" s="5" t="s">
        <v>3728</v>
      </c>
      <c r="CZW617" s="17">
        <v>44925</v>
      </c>
      <c r="CZX617" s="5" t="s">
        <v>3728</v>
      </c>
      <c r="CZY617" s="17">
        <v>44925</v>
      </c>
      <c r="CZZ617" s="5" t="s">
        <v>3728</v>
      </c>
      <c r="DAA617" s="17">
        <v>44925</v>
      </c>
      <c r="DAB617" s="5" t="s">
        <v>3728</v>
      </c>
      <c r="DAC617" s="17">
        <v>44925</v>
      </c>
      <c r="DAD617" s="5" t="s">
        <v>3728</v>
      </c>
      <c r="DAE617" s="17">
        <v>44925</v>
      </c>
      <c r="DAF617" s="5" t="s">
        <v>3728</v>
      </c>
      <c r="DAG617" s="17">
        <v>44925</v>
      </c>
      <c r="DAH617" s="5" t="s">
        <v>3728</v>
      </c>
      <c r="DAI617" s="17">
        <v>44925</v>
      </c>
      <c r="DAJ617" s="5" t="s">
        <v>3728</v>
      </c>
      <c r="DAK617" s="17">
        <v>44925</v>
      </c>
      <c r="DAL617" s="5" t="s">
        <v>3728</v>
      </c>
      <c r="DAM617" s="17">
        <v>44925</v>
      </c>
      <c r="DAN617" s="5" t="s">
        <v>3728</v>
      </c>
      <c r="DAO617" s="17">
        <v>44925</v>
      </c>
      <c r="DAP617" s="5" t="s">
        <v>3728</v>
      </c>
      <c r="DAQ617" s="17">
        <v>44925</v>
      </c>
      <c r="DAR617" s="5" t="s">
        <v>3728</v>
      </c>
      <c r="DAS617" s="17">
        <v>44925</v>
      </c>
      <c r="DAT617" s="5" t="s">
        <v>3728</v>
      </c>
      <c r="DAU617" s="17">
        <v>44925</v>
      </c>
      <c r="DAV617" s="5" t="s">
        <v>3728</v>
      </c>
      <c r="DAW617" s="17">
        <v>44925</v>
      </c>
      <c r="DAX617" s="5" t="s">
        <v>3728</v>
      </c>
      <c r="DAY617" s="17">
        <v>44925</v>
      </c>
      <c r="DAZ617" s="5" t="s">
        <v>3728</v>
      </c>
      <c r="DBA617" s="17">
        <v>44925</v>
      </c>
      <c r="DBB617" s="5" t="s">
        <v>3728</v>
      </c>
      <c r="DBC617" s="17">
        <v>44925</v>
      </c>
      <c r="DBD617" s="5" t="s">
        <v>3728</v>
      </c>
      <c r="DBE617" s="17">
        <v>44925</v>
      </c>
      <c r="DBF617" s="5" t="s">
        <v>3728</v>
      </c>
      <c r="DBG617" s="17">
        <v>44925</v>
      </c>
      <c r="DBH617" s="5" t="s">
        <v>3728</v>
      </c>
      <c r="DBI617" s="17">
        <v>44925</v>
      </c>
      <c r="DBJ617" s="5" t="s">
        <v>3728</v>
      </c>
      <c r="DBK617" s="17">
        <v>44925</v>
      </c>
      <c r="DBL617" s="5" t="s">
        <v>3728</v>
      </c>
      <c r="DBM617" s="17">
        <v>44925</v>
      </c>
      <c r="DBN617" s="5" t="s">
        <v>3728</v>
      </c>
      <c r="DBO617" s="17">
        <v>44925</v>
      </c>
      <c r="DBP617" s="5" t="s">
        <v>3728</v>
      </c>
      <c r="DBQ617" s="17">
        <v>44925</v>
      </c>
      <c r="DBR617" s="5" t="s">
        <v>3728</v>
      </c>
      <c r="DBS617" s="17">
        <v>44925</v>
      </c>
      <c r="DBT617" s="5" t="s">
        <v>3728</v>
      </c>
      <c r="DBU617" s="17">
        <v>44925</v>
      </c>
      <c r="DBV617" s="5" t="s">
        <v>3728</v>
      </c>
      <c r="DBW617" s="17">
        <v>44925</v>
      </c>
      <c r="DBX617" s="5" t="s">
        <v>3728</v>
      </c>
      <c r="DBY617" s="17">
        <v>44925</v>
      </c>
      <c r="DBZ617" s="5" t="s">
        <v>3728</v>
      </c>
      <c r="DCA617" s="17">
        <v>44925</v>
      </c>
      <c r="DCB617" s="5" t="s">
        <v>3728</v>
      </c>
      <c r="DCC617" s="17">
        <v>44925</v>
      </c>
      <c r="DCD617" s="5" t="s">
        <v>3728</v>
      </c>
      <c r="DCE617" s="17">
        <v>44925</v>
      </c>
      <c r="DCF617" s="5" t="s">
        <v>3728</v>
      </c>
      <c r="DCG617" s="17">
        <v>44925</v>
      </c>
      <c r="DCH617" s="5" t="s">
        <v>3728</v>
      </c>
      <c r="DCI617" s="17">
        <v>44925</v>
      </c>
      <c r="DCJ617" s="5" t="s">
        <v>3728</v>
      </c>
      <c r="DCK617" s="17">
        <v>44925</v>
      </c>
      <c r="DCL617" s="5" t="s">
        <v>3728</v>
      </c>
      <c r="DCM617" s="17">
        <v>44925</v>
      </c>
      <c r="DCN617" s="5" t="s">
        <v>3728</v>
      </c>
      <c r="DCO617" s="17">
        <v>44925</v>
      </c>
      <c r="DCP617" s="5" t="s">
        <v>3728</v>
      </c>
      <c r="DCQ617" s="17">
        <v>44925</v>
      </c>
      <c r="DCR617" s="5" t="s">
        <v>3728</v>
      </c>
      <c r="DCS617" s="17">
        <v>44925</v>
      </c>
      <c r="DCT617" s="5" t="s">
        <v>3728</v>
      </c>
      <c r="DCU617" s="17">
        <v>44925</v>
      </c>
      <c r="DCV617" s="5" t="s">
        <v>3728</v>
      </c>
      <c r="DCW617" s="17">
        <v>44925</v>
      </c>
      <c r="DCX617" s="5" t="s">
        <v>3728</v>
      </c>
      <c r="DCY617" s="17">
        <v>44925</v>
      </c>
      <c r="DCZ617" s="5" t="s">
        <v>3728</v>
      </c>
      <c r="DDA617" s="17">
        <v>44925</v>
      </c>
      <c r="DDB617" s="5" t="s">
        <v>3728</v>
      </c>
      <c r="DDC617" s="17">
        <v>44925</v>
      </c>
      <c r="DDD617" s="5" t="s">
        <v>3728</v>
      </c>
      <c r="DDE617" s="17">
        <v>44925</v>
      </c>
      <c r="DDF617" s="5" t="s">
        <v>3728</v>
      </c>
      <c r="DDG617" s="17">
        <v>44925</v>
      </c>
      <c r="DDH617" s="5" t="s">
        <v>3728</v>
      </c>
      <c r="DDI617" s="17">
        <v>44925</v>
      </c>
      <c r="DDJ617" s="5" t="s">
        <v>3728</v>
      </c>
      <c r="DDK617" s="17">
        <v>44925</v>
      </c>
      <c r="DDL617" s="5" t="s">
        <v>3728</v>
      </c>
      <c r="DDM617" s="17">
        <v>44925</v>
      </c>
      <c r="DDN617" s="5" t="s">
        <v>3728</v>
      </c>
      <c r="DDO617" s="17">
        <v>44925</v>
      </c>
      <c r="DDP617" s="5" t="s">
        <v>3728</v>
      </c>
      <c r="DDQ617" s="17">
        <v>44925</v>
      </c>
      <c r="DDR617" s="5" t="s">
        <v>3728</v>
      </c>
      <c r="DDS617" s="17">
        <v>44925</v>
      </c>
      <c r="DDT617" s="5" t="s">
        <v>3728</v>
      </c>
      <c r="DDU617" s="17">
        <v>44925</v>
      </c>
      <c r="DDV617" s="5" t="s">
        <v>3728</v>
      </c>
      <c r="DDW617" s="17">
        <v>44925</v>
      </c>
      <c r="DDX617" s="5" t="s">
        <v>3728</v>
      </c>
      <c r="DDY617" s="17">
        <v>44925</v>
      </c>
      <c r="DDZ617" s="5" t="s">
        <v>3728</v>
      </c>
      <c r="DEA617" s="17">
        <v>44925</v>
      </c>
      <c r="DEB617" s="5" t="s">
        <v>3728</v>
      </c>
      <c r="DEC617" s="17">
        <v>44925</v>
      </c>
      <c r="DED617" s="5" t="s">
        <v>3728</v>
      </c>
      <c r="DEE617" s="17">
        <v>44925</v>
      </c>
      <c r="DEF617" s="5" t="s">
        <v>3728</v>
      </c>
      <c r="DEG617" s="17">
        <v>44925</v>
      </c>
      <c r="DEH617" s="5" t="s">
        <v>3728</v>
      </c>
      <c r="DEI617" s="17">
        <v>44925</v>
      </c>
      <c r="DEJ617" s="5" t="s">
        <v>3728</v>
      </c>
      <c r="DEK617" s="17">
        <v>44925</v>
      </c>
      <c r="DEL617" s="5" t="s">
        <v>3728</v>
      </c>
      <c r="DEM617" s="17">
        <v>44925</v>
      </c>
      <c r="DEN617" s="5" t="s">
        <v>3728</v>
      </c>
      <c r="DEO617" s="17">
        <v>44925</v>
      </c>
      <c r="DEP617" s="5" t="s">
        <v>3728</v>
      </c>
      <c r="DEQ617" s="17">
        <v>44925</v>
      </c>
      <c r="DER617" s="5" t="s">
        <v>3728</v>
      </c>
      <c r="DES617" s="17">
        <v>44925</v>
      </c>
      <c r="DET617" s="5" t="s">
        <v>3728</v>
      </c>
      <c r="DEU617" s="17">
        <v>44925</v>
      </c>
      <c r="DEV617" s="5" t="s">
        <v>3728</v>
      </c>
      <c r="DEW617" s="17">
        <v>44925</v>
      </c>
      <c r="DEX617" s="5" t="s">
        <v>3728</v>
      </c>
      <c r="DEY617" s="17">
        <v>44925</v>
      </c>
      <c r="DEZ617" s="5" t="s">
        <v>3728</v>
      </c>
      <c r="DFA617" s="17">
        <v>44925</v>
      </c>
      <c r="DFB617" s="5" t="s">
        <v>3728</v>
      </c>
      <c r="DFC617" s="17">
        <v>44925</v>
      </c>
      <c r="DFD617" s="5" t="s">
        <v>3728</v>
      </c>
      <c r="DFE617" s="17">
        <v>44925</v>
      </c>
      <c r="DFF617" s="5" t="s">
        <v>3728</v>
      </c>
      <c r="DFG617" s="17">
        <v>44925</v>
      </c>
      <c r="DFH617" s="5" t="s">
        <v>3728</v>
      </c>
      <c r="DFI617" s="17">
        <v>44925</v>
      </c>
      <c r="DFJ617" s="5" t="s">
        <v>3728</v>
      </c>
      <c r="DFK617" s="17">
        <v>44925</v>
      </c>
      <c r="DFL617" s="5" t="s">
        <v>3728</v>
      </c>
      <c r="DFM617" s="17">
        <v>44925</v>
      </c>
      <c r="DFN617" s="5" t="s">
        <v>3728</v>
      </c>
      <c r="DFO617" s="17">
        <v>44925</v>
      </c>
      <c r="DFP617" s="5" t="s">
        <v>3728</v>
      </c>
      <c r="DFQ617" s="17">
        <v>44925</v>
      </c>
      <c r="DFR617" s="5" t="s">
        <v>3728</v>
      </c>
      <c r="DFS617" s="17">
        <v>44925</v>
      </c>
      <c r="DFT617" s="5" t="s">
        <v>3728</v>
      </c>
      <c r="DFU617" s="17">
        <v>44925</v>
      </c>
      <c r="DFV617" s="5" t="s">
        <v>3728</v>
      </c>
      <c r="DFW617" s="17">
        <v>44925</v>
      </c>
      <c r="DFX617" s="5" t="s">
        <v>3728</v>
      </c>
      <c r="DFY617" s="17">
        <v>44925</v>
      </c>
      <c r="DFZ617" s="5" t="s">
        <v>3728</v>
      </c>
      <c r="DGA617" s="17">
        <v>44925</v>
      </c>
      <c r="DGB617" s="5" t="s">
        <v>3728</v>
      </c>
      <c r="DGC617" s="17">
        <v>44925</v>
      </c>
      <c r="DGD617" s="5" t="s">
        <v>3728</v>
      </c>
      <c r="DGE617" s="17">
        <v>44925</v>
      </c>
      <c r="DGF617" s="5" t="s">
        <v>3728</v>
      </c>
      <c r="DGG617" s="17">
        <v>44925</v>
      </c>
      <c r="DGH617" s="5" t="s">
        <v>3728</v>
      </c>
      <c r="DGI617" s="17">
        <v>44925</v>
      </c>
      <c r="DGJ617" s="5" t="s">
        <v>3728</v>
      </c>
      <c r="DGK617" s="17">
        <v>44925</v>
      </c>
      <c r="DGL617" s="5" t="s">
        <v>3728</v>
      </c>
      <c r="DGM617" s="17">
        <v>44925</v>
      </c>
      <c r="DGN617" s="5" t="s">
        <v>3728</v>
      </c>
      <c r="DGO617" s="17">
        <v>44925</v>
      </c>
      <c r="DGP617" s="5" t="s">
        <v>3728</v>
      </c>
      <c r="DGQ617" s="17">
        <v>44925</v>
      </c>
      <c r="DGR617" s="5" t="s">
        <v>3728</v>
      </c>
      <c r="DGS617" s="17">
        <v>44925</v>
      </c>
      <c r="DGT617" s="5" t="s">
        <v>3728</v>
      </c>
      <c r="DGU617" s="17">
        <v>44925</v>
      </c>
      <c r="DGV617" s="5" t="s">
        <v>3728</v>
      </c>
      <c r="DGW617" s="17">
        <v>44925</v>
      </c>
      <c r="DGX617" s="5" t="s">
        <v>3728</v>
      </c>
      <c r="DGY617" s="17">
        <v>44925</v>
      </c>
      <c r="DGZ617" s="5" t="s">
        <v>3728</v>
      </c>
      <c r="DHA617" s="17">
        <v>44925</v>
      </c>
      <c r="DHB617" s="5" t="s">
        <v>3728</v>
      </c>
      <c r="DHC617" s="17">
        <v>44925</v>
      </c>
      <c r="DHD617" s="5" t="s">
        <v>3728</v>
      </c>
      <c r="DHE617" s="17">
        <v>44925</v>
      </c>
      <c r="DHF617" s="5" t="s">
        <v>3728</v>
      </c>
      <c r="DHG617" s="17">
        <v>44925</v>
      </c>
      <c r="DHH617" s="5" t="s">
        <v>3728</v>
      </c>
      <c r="DHI617" s="17">
        <v>44925</v>
      </c>
      <c r="DHJ617" s="5" t="s">
        <v>3728</v>
      </c>
      <c r="DHK617" s="17">
        <v>44925</v>
      </c>
      <c r="DHL617" s="5" t="s">
        <v>3728</v>
      </c>
      <c r="DHM617" s="17">
        <v>44925</v>
      </c>
      <c r="DHN617" s="5" t="s">
        <v>3728</v>
      </c>
      <c r="DHO617" s="17">
        <v>44925</v>
      </c>
      <c r="DHP617" s="5" t="s">
        <v>3728</v>
      </c>
      <c r="DHQ617" s="17">
        <v>44925</v>
      </c>
      <c r="DHR617" s="5" t="s">
        <v>3728</v>
      </c>
      <c r="DHS617" s="17">
        <v>44925</v>
      </c>
      <c r="DHT617" s="5" t="s">
        <v>3728</v>
      </c>
      <c r="DHU617" s="17">
        <v>44925</v>
      </c>
      <c r="DHV617" s="5" t="s">
        <v>3728</v>
      </c>
      <c r="DHW617" s="17">
        <v>44925</v>
      </c>
      <c r="DHX617" s="5" t="s">
        <v>3728</v>
      </c>
      <c r="DHY617" s="17">
        <v>44925</v>
      </c>
      <c r="DHZ617" s="5" t="s">
        <v>3728</v>
      </c>
      <c r="DIA617" s="17">
        <v>44925</v>
      </c>
      <c r="DIB617" s="5" t="s">
        <v>3728</v>
      </c>
      <c r="DIC617" s="17">
        <v>44925</v>
      </c>
      <c r="DID617" s="5" t="s">
        <v>3728</v>
      </c>
      <c r="DIE617" s="17">
        <v>44925</v>
      </c>
      <c r="DIF617" s="5" t="s">
        <v>3728</v>
      </c>
      <c r="DIG617" s="17">
        <v>44925</v>
      </c>
      <c r="DIH617" s="5" t="s">
        <v>3728</v>
      </c>
      <c r="DII617" s="17">
        <v>44925</v>
      </c>
      <c r="DIJ617" s="5" t="s">
        <v>3728</v>
      </c>
      <c r="DIK617" s="17">
        <v>44925</v>
      </c>
      <c r="DIL617" s="5" t="s">
        <v>3728</v>
      </c>
      <c r="DIM617" s="17">
        <v>44925</v>
      </c>
      <c r="DIN617" s="5" t="s">
        <v>3728</v>
      </c>
      <c r="DIO617" s="17">
        <v>44925</v>
      </c>
      <c r="DIP617" s="5" t="s">
        <v>3728</v>
      </c>
      <c r="DIQ617" s="17">
        <v>44925</v>
      </c>
      <c r="DIR617" s="5" t="s">
        <v>3728</v>
      </c>
      <c r="DIS617" s="17">
        <v>44925</v>
      </c>
      <c r="DIT617" s="5" t="s">
        <v>3728</v>
      </c>
      <c r="DIU617" s="17">
        <v>44925</v>
      </c>
      <c r="DIV617" s="5" t="s">
        <v>3728</v>
      </c>
      <c r="DIW617" s="17">
        <v>44925</v>
      </c>
      <c r="DIX617" s="5" t="s">
        <v>3728</v>
      </c>
      <c r="DIY617" s="17">
        <v>44925</v>
      </c>
      <c r="DIZ617" s="5" t="s">
        <v>3728</v>
      </c>
      <c r="DJA617" s="17">
        <v>44925</v>
      </c>
      <c r="DJB617" s="5" t="s">
        <v>3728</v>
      </c>
      <c r="DJC617" s="17">
        <v>44925</v>
      </c>
      <c r="DJD617" s="5" t="s">
        <v>3728</v>
      </c>
      <c r="DJE617" s="17">
        <v>44925</v>
      </c>
      <c r="DJF617" s="5" t="s">
        <v>3728</v>
      </c>
      <c r="DJG617" s="17">
        <v>44925</v>
      </c>
      <c r="DJH617" s="5" t="s">
        <v>3728</v>
      </c>
      <c r="DJI617" s="17">
        <v>44925</v>
      </c>
      <c r="DJJ617" s="5" t="s">
        <v>3728</v>
      </c>
      <c r="DJK617" s="17">
        <v>44925</v>
      </c>
      <c r="DJL617" s="5" t="s">
        <v>3728</v>
      </c>
      <c r="DJM617" s="17">
        <v>44925</v>
      </c>
      <c r="DJN617" s="5" t="s">
        <v>3728</v>
      </c>
      <c r="DJO617" s="17">
        <v>44925</v>
      </c>
      <c r="DJP617" s="5" t="s">
        <v>3728</v>
      </c>
      <c r="DJQ617" s="17">
        <v>44925</v>
      </c>
      <c r="DJR617" s="5" t="s">
        <v>3728</v>
      </c>
      <c r="DJS617" s="17">
        <v>44925</v>
      </c>
      <c r="DJT617" s="5" t="s">
        <v>3728</v>
      </c>
      <c r="DJU617" s="17">
        <v>44925</v>
      </c>
      <c r="DJV617" s="5" t="s">
        <v>3728</v>
      </c>
      <c r="DJW617" s="17">
        <v>44925</v>
      </c>
      <c r="DJX617" s="5" t="s">
        <v>3728</v>
      </c>
      <c r="DJY617" s="17">
        <v>44925</v>
      </c>
      <c r="DJZ617" s="5" t="s">
        <v>3728</v>
      </c>
      <c r="DKA617" s="17">
        <v>44925</v>
      </c>
      <c r="DKB617" s="5" t="s">
        <v>3728</v>
      </c>
      <c r="DKC617" s="17">
        <v>44925</v>
      </c>
      <c r="DKD617" s="5" t="s">
        <v>3728</v>
      </c>
      <c r="DKE617" s="17">
        <v>44925</v>
      </c>
      <c r="DKF617" s="5" t="s">
        <v>3728</v>
      </c>
      <c r="DKG617" s="17">
        <v>44925</v>
      </c>
      <c r="DKH617" s="5" t="s">
        <v>3728</v>
      </c>
      <c r="DKI617" s="17">
        <v>44925</v>
      </c>
      <c r="DKJ617" s="5" t="s">
        <v>3728</v>
      </c>
      <c r="DKK617" s="17">
        <v>44925</v>
      </c>
      <c r="DKL617" s="5" t="s">
        <v>3728</v>
      </c>
      <c r="DKM617" s="17">
        <v>44925</v>
      </c>
      <c r="DKN617" s="5" t="s">
        <v>3728</v>
      </c>
      <c r="DKO617" s="17">
        <v>44925</v>
      </c>
      <c r="DKP617" s="5" t="s">
        <v>3728</v>
      </c>
      <c r="DKQ617" s="17">
        <v>44925</v>
      </c>
      <c r="DKR617" s="5" t="s">
        <v>3728</v>
      </c>
      <c r="DKS617" s="17">
        <v>44925</v>
      </c>
      <c r="DKT617" s="5" t="s">
        <v>3728</v>
      </c>
      <c r="DKU617" s="17">
        <v>44925</v>
      </c>
      <c r="DKV617" s="5" t="s">
        <v>3728</v>
      </c>
      <c r="DKW617" s="17">
        <v>44925</v>
      </c>
      <c r="DKX617" s="5" t="s">
        <v>3728</v>
      </c>
      <c r="DKY617" s="17">
        <v>44925</v>
      </c>
      <c r="DKZ617" s="5" t="s">
        <v>3728</v>
      </c>
      <c r="DLA617" s="17">
        <v>44925</v>
      </c>
      <c r="DLB617" s="5" t="s">
        <v>3728</v>
      </c>
      <c r="DLC617" s="17">
        <v>44925</v>
      </c>
      <c r="DLD617" s="5" t="s">
        <v>3728</v>
      </c>
      <c r="DLE617" s="17">
        <v>44925</v>
      </c>
      <c r="DLF617" s="5" t="s">
        <v>3728</v>
      </c>
      <c r="DLG617" s="17">
        <v>44925</v>
      </c>
      <c r="DLH617" s="5" t="s">
        <v>3728</v>
      </c>
      <c r="DLI617" s="17">
        <v>44925</v>
      </c>
      <c r="DLJ617" s="5" t="s">
        <v>3728</v>
      </c>
      <c r="DLK617" s="17">
        <v>44925</v>
      </c>
      <c r="DLL617" s="5" t="s">
        <v>3728</v>
      </c>
      <c r="DLM617" s="17">
        <v>44925</v>
      </c>
      <c r="DLN617" s="5" t="s">
        <v>3728</v>
      </c>
      <c r="DLO617" s="17">
        <v>44925</v>
      </c>
      <c r="DLP617" s="5" t="s">
        <v>3728</v>
      </c>
      <c r="DLQ617" s="17">
        <v>44925</v>
      </c>
      <c r="DLR617" s="5" t="s">
        <v>3728</v>
      </c>
      <c r="DLS617" s="17">
        <v>44925</v>
      </c>
      <c r="DLT617" s="5" t="s">
        <v>3728</v>
      </c>
      <c r="DLU617" s="17">
        <v>44925</v>
      </c>
      <c r="DLV617" s="5" t="s">
        <v>3728</v>
      </c>
      <c r="DLW617" s="17">
        <v>44925</v>
      </c>
      <c r="DLX617" s="5" t="s">
        <v>3728</v>
      </c>
      <c r="DLY617" s="17">
        <v>44925</v>
      </c>
      <c r="DLZ617" s="5" t="s">
        <v>3728</v>
      </c>
      <c r="DMA617" s="17">
        <v>44925</v>
      </c>
      <c r="DMB617" s="5" t="s">
        <v>3728</v>
      </c>
      <c r="DMC617" s="17">
        <v>44925</v>
      </c>
      <c r="DMD617" s="5" t="s">
        <v>3728</v>
      </c>
      <c r="DME617" s="17">
        <v>44925</v>
      </c>
      <c r="DMF617" s="5" t="s">
        <v>3728</v>
      </c>
      <c r="DMG617" s="17">
        <v>44925</v>
      </c>
      <c r="DMH617" s="5" t="s">
        <v>3728</v>
      </c>
      <c r="DMI617" s="17">
        <v>44925</v>
      </c>
      <c r="DMJ617" s="5" t="s">
        <v>3728</v>
      </c>
      <c r="DMK617" s="17">
        <v>44925</v>
      </c>
      <c r="DML617" s="5" t="s">
        <v>3728</v>
      </c>
      <c r="DMM617" s="17">
        <v>44925</v>
      </c>
      <c r="DMN617" s="5" t="s">
        <v>3728</v>
      </c>
      <c r="DMO617" s="17">
        <v>44925</v>
      </c>
      <c r="DMP617" s="5" t="s">
        <v>3728</v>
      </c>
      <c r="DMQ617" s="17">
        <v>44925</v>
      </c>
      <c r="DMR617" s="5" t="s">
        <v>3728</v>
      </c>
      <c r="DMS617" s="17">
        <v>44925</v>
      </c>
      <c r="DMT617" s="5" t="s">
        <v>3728</v>
      </c>
      <c r="DMU617" s="17">
        <v>44925</v>
      </c>
      <c r="DMV617" s="5" t="s">
        <v>3728</v>
      </c>
      <c r="DMW617" s="17">
        <v>44925</v>
      </c>
      <c r="DMX617" s="5" t="s">
        <v>3728</v>
      </c>
      <c r="DMY617" s="17">
        <v>44925</v>
      </c>
      <c r="DMZ617" s="5" t="s">
        <v>3728</v>
      </c>
      <c r="DNA617" s="17">
        <v>44925</v>
      </c>
      <c r="DNB617" s="5" t="s">
        <v>3728</v>
      </c>
      <c r="DNC617" s="17">
        <v>44925</v>
      </c>
      <c r="DND617" s="5" t="s">
        <v>3728</v>
      </c>
      <c r="DNE617" s="17">
        <v>44925</v>
      </c>
      <c r="DNF617" s="5" t="s">
        <v>3728</v>
      </c>
      <c r="DNG617" s="17">
        <v>44925</v>
      </c>
      <c r="DNH617" s="5" t="s">
        <v>3728</v>
      </c>
      <c r="DNI617" s="17">
        <v>44925</v>
      </c>
      <c r="DNJ617" s="5" t="s">
        <v>3728</v>
      </c>
      <c r="DNK617" s="17">
        <v>44925</v>
      </c>
      <c r="DNL617" s="5" t="s">
        <v>3728</v>
      </c>
      <c r="DNM617" s="17">
        <v>44925</v>
      </c>
      <c r="DNN617" s="5" t="s">
        <v>3728</v>
      </c>
      <c r="DNO617" s="17">
        <v>44925</v>
      </c>
      <c r="DNP617" s="5" t="s">
        <v>3728</v>
      </c>
      <c r="DNQ617" s="17">
        <v>44925</v>
      </c>
      <c r="DNR617" s="5" t="s">
        <v>3728</v>
      </c>
      <c r="DNS617" s="17">
        <v>44925</v>
      </c>
      <c r="DNT617" s="5" t="s">
        <v>3728</v>
      </c>
      <c r="DNU617" s="17">
        <v>44925</v>
      </c>
      <c r="DNV617" s="5" t="s">
        <v>3728</v>
      </c>
      <c r="DNW617" s="17">
        <v>44925</v>
      </c>
      <c r="DNX617" s="5" t="s">
        <v>3728</v>
      </c>
      <c r="DNY617" s="17">
        <v>44925</v>
      </c>
      <c r="DNZ617" s="5" t="s">
        <v>3728</v>
      </c>
      <c r="DOA617" s="17">
        <v>44925</v>
      </c>
      <c r="DOB617" s="5" t="s">
        <v>3728</v>
      </c>
      <c r="DOC617" s="17">
        <v>44925</v>
      </c>
      <c r="DOD617" s="5" t="s">
        <v>3728</v>
      </c>
      <c r="DOE617" s="17">
        <v>44925</v>
      </c>
      <c r="DOF617" s="5" t="s">
        <v>3728</v>
      </c>
      <c r="DOG617" s="17">
        <v>44925</v>
      </c>
      <c r="DOH617" s="5" t="s">
        <v>3728</v>
      </c>
      <c r="DOI617" s="17">
        <v>44925</v>
      </c>
      <c r="DOJ617" s="5" t="s">
        <v>3728</v>
      </c>
      <c r="DOK617" s="17">
        <v>44925</v>
      </c>
      <c r="DOL617" s="5" t="s">
        <v>3728</v>
      </c>
      <c r="DOM617" s="17">
        <v>44925</v>
      </c>
      <c r="DON617" s="5" t="s">
        <v>3728</v>
      </c>
      <c r="DOO617" s="17">
        <v>44925</v>
      </c>
      <c r="DOP617" s="5" t="s">
        <v>3728</v>
      </c>
      <c r="DOQ617" s="17">
        <v>44925</v>
      </c>
      <c r="DOR617" s="5" t="s">
        <v>3728</v>
      </c>
      <c r="DOS617" s="17">
        <v>44925</v>
      </c>
      <c r="DOT617" s="5" t="s">
        <v>3728</v>
      </c>
      <c r="DOU617" s="17">
        <v>44925</v>
      </c>
      <c r="DOV617" s="5" t="s">
        <v>3728</v>
      </c>
      <c r="DOW617" s="17">
        <v>44925</v>
      </c>
      <c r="DOX617" s="5" t="s">
        <v>3728</v>
      </c>
      <c r="DOY617" s="17">
        <v>44925</v>
      </c>
      <c r="DOZ617" s="5" t="s">
        <v>3728</v>
      </c>
      <c r="DPA617" s="17">
        <v>44925</v>
      </c>
      <c r="DPB617" s="5" t="s">
        <v>3728</v>
      </c>
      <c r="DPC617" s="17">
        <v>44925</v>
      </c>
      <c r="DPD617" s="5" t="s">
        <v>3728</v>
      </c>
      <c r="DPE617" s="17">
        <v>44925</v>
      </c>
      <c r="DPF617" s="5" t="s">
        <v>3728</v>
      </c>
      <c r="DPG617" s="17">
        <v>44925</v>
      </c>
      <c r="DPH617" s="5" t="s">
        <v>3728</v>
      </c>
      <c r="DPI617" s="17">
        <v>44925</v>
      </c>
      <c r="DPJ617" s="5" t="s">
        <v>3728</v>
      </c>
      <c r="DPK617" s="17">
        <v>44925</v>
      </c>
      <c r="DPL617" s="5" t="s">
        <v>3728</v>
      </c>
      <c r="DPM617" s="17">
        <v>44925</v>
      </c>
      <c r="DPN617" s="5" t="s">
        <v>3728</v>
      </c>
      <c r="DPO617" s="17">
        <v>44925</v>
      </c>
      <c r="DPP617" s="5" t="s">
        <v>3728</v>
      </c>
      <c r="DPQ617" s="17">
        <v>44925</v>
      </c>
      <c r="DPR617" s="5" t="s">
        <v>3728</v>
      </c>
      <c r="DPS617" s="17">
        <v>44925</v>
      </c>
      <c r="DPT617" s="5" t="s">
        <v>3728</v>
      </c>
      <c r="DPU617" s="17">
        <v>44925</v>
      </c>
      <c r="DPV617" s="5" t="s">
        <v>3728</v>
      </c>
      <c r="DPW617" s="17">
        <v>44925</v>
      </c>
      <c r="DPX617" s="5" t="s">
        <v>3728</v>
      </c>
      <c r="DPY617" s="17">
        <v>44925</v>
      </c>
      <c r="DPZ617" s="5" t="s">
        <v>3728</v>
      </c>
      <c r="DQA617" s="17">
        <v>44925</v>
      </c>
      <c r="DQB617" s="5" t="s">
        <v>3728</v>
      </c>
      <c r="DQC617" s="17">
        <v>44925</v>
      </c>
      <c r="DQD617" s="5" t="s">
        <v>3728</v>
      </c>
      <c r="DQE617" s="17">
        <v>44925</v>
      </c>
      <c r="DQF617" s="5" t="s">
        <v>3728</v>
      </c>
      <c r="DQG617" s="17">
        <v>44925</v>
      </c>
      <c r="DQH617" s="5" t="s">
        <v>3728</v>
      </c>
      <c r="DQI617" s="17">
        <v>44925</v>
      </c>
      <c r="DQJ617" s="5" t="s">
        <v>3728</v>
      </c>
      <c r="DQK617" s="17">
        <v>44925</v>
      </c>
      <c r="DQL617" s="5" t="s">
        <v>3728</v>
      </c>
      <c r="DQM617" s="17">
        <v>44925</v>
      </c>
      <c r="DQN617" s="5" t="s">
        <v>3728</v>
      </c>
      <c r="DQO617" s="17">
        <v>44925</v>
      </c>
      <c r="DQP617" s="5" t="s">
        <v>3728</v>
      </c>
      <c r="DQQ617" s="17">
        <v>44925</v>
      </c>
      <c r="DQR617" s="5" t="s">
        <v>3728</v>
      </c>
      <c r="DQS617" s="17">
        <v>44925</v>
      </c>
      <c r="DQT617" s="5" t="s">
        <v>3728</v>
      </c>
      <c r="DQU617" s="17">
        <v>44925</v>
      </c>
      <c r="DQV617" s="5" t="s">
        <v>3728</v>
      </c>
      <c r="DQW617" s="17">
        <v>44925</v>
      </c>
      <c r="DQX617" s="5" t="s">
        <v>3728</v>
      </c>
      <c r="DQY617" s="17">
        <v>44925</v>
      </c>
      <c r="DQZ617" s="5" t="s">
        <v>3728</v>
      </c>
      <c r="DRA617" s="17">
        <v>44925</v>
      </c>
      <c r="DRB617" s="5" t="s">
        <v>3728</v>
      </c>
      <c r="DRC617" s="17">
        <v>44925</v>
      </c>
      <c r="DRD617" s="5" t="s">
        <v>3728</v>
      </c>
      <c r="DRE617" s="17">
        <v>44925</v>
      </c>
      <c r="DRF617" s="5" t="s">
        <v>3728</v>
      </c>
      <c r="DRG617" s="17">
        <v>44925</v>
      </c>
      <c r="DRH617" s="5" t="s">
        <v>3728</v>
      </c>
      <c r="DRI617" s="17">
        <v>44925</v>
      </c>
      <c r="DRJ617" s="5" t="s">
        <v>3728</v>
      </c>
      <c r="DRK617" s="17">
        <v>44925</v>
      </c>
      <c r="DRL617" s="5" t="s">
        <v>3728</v>
      </c>
      <c r="DRM617" s="17">
        <v>44925</v>
      </c>
      <c r="DRN617" s="5" t="s">
        <v>3728</v>
      </c>
      <c r="DRO617" s="17">
        <v>44925</v>
      </c>
      <c r="DRP617" s="5" t="s">
        <v>3728</v>
      </c>
      <c r="DRQ617" s="17">
        <v>44925</v>
      </c>
      <c r="DRR617" s="5" t="s">
        <v>3728</v>
      </c>
      <c r="DRS617" s="17">
        <v>44925</v>
      </c>
      <c r="DRT617" s="5" t="s">
        <v>3728</v>
      </c>
      <c r="DRU617" s="17">
        <v>44925</v>
      </c>
      <c r="DRV617" s="5" t="s">
        <v>3728</v>
      </c>
      <c r="DRW617" s="17">
        <v>44925</v>
      </c>
      <c r="DRX617" s="5" t="s">
        <v>3728</v>
      </c>
      <c r="DRY617" s="17">
        <v>44925</v>
      </c>
      <c r="DRZ617" s="5" t="s">
        <v>3728</v>
      </c>
      <c r="DSA617" s="17">
        <v>44925</v>
      </c>
      <c r="DSB617" s="5" t="s">
        <v>3728</v>
      </c>
      <c r="DSC617" s="17">
        <v>44925</v>
      </c>
      <c r="DSD617" s="5" t="s">
        <v>3728</v>
      </c>
      <c r="DSE617" s="17">
        <v>44925</v>
      </c>
      <c r="DSF617" s="5" t="s">
        <v>3728</v>
      </c>
      <c r="DSG617" s="17">
        <v>44925</v>
      </c>
      <c r="DSH617" s="5" t="s">
        <v>3728</v>
      </c>
      <c r="DSI617" s="17">
        <v>44925</v>
      </c>
      <c r="DSJ617" s="5" t="s">
        <v>3728</v>
      </c>
      <c r="DSK617" s="17">
        <v>44925</v>
      </c>
      <c r="DSL617" s="5" t="s">
        <v>3728</v>
      </c>
      <c r="DSM617" s="17">
        <v>44925</v>
      </c>
      <c r="DSN617" s="5" t="s">
        <v>3728</v>
      </c>
      <c r="DSO617" s="17">
        <v>44925</v>
      </c>
      <c r="DSP617" s="5" t="s">
        <v>3728</v>
      </c>
      <c r="DSQ617" s="17">
        <v>44925</v>
      </c>
      <c r="DSR617" s="5" t="s">
        <v>3728</v>
      </c>
      <c r="DSS617" s="17">
        <v>44925</v>
      </c>
      <c r="DST617" s="5" t="s">
        <v>3728</v>
      </c>
      <c r="DSU617" s="17">
        <v>44925</v>
      </c>
      <c r="DSV617" s="5" t="s">
        <v>3728</v>
      </c>
      <c r="DSW617" s="17">
        <v>44925</v>
      </c>
      <c r="DSX617" s="5" t="s">
        <v>3728</v>
      </c>
      <c r="DSY617" s="17">
        <v>44925</v>
      </c>
      <c r="DSZ617" s="5" t="s">
        <v>3728</v>
      </c>
      <c r="DTA617" s="17">
        <v>44925</v>
      </c>
      <c r="DTB617" s="5" t="s">
        <v>3728</v>
      </c>
      <c r="DTC617" s="17">
        <v>44925</v>
      </c>
      <c r="DTD617" s="5" t="s">
        <v>3728</v>
      </c>
      <c r="DTE617" s="17">
        <v>44925</v>
      </c>
      <c r="DTF617" s="5" t="s">
        <v>3728</v>
      </c>
      <c r="DTG617" s="17">
        <v>44925</v>
      </c>
      <c r="DTH617" s="5" t="s">
        <v>3728</v>
      </c>
      <c r="DTI617" s="17">
        <v>44925</v>
      </c>
      <c r="DTJ617" s="5" t="s">
        <v>3728</v>
      </c>
      <c r="DTK617" s="17">
        <v>44925</v>
      </c>
      <c r="DTL617" s="5" t="s">
        <v>3728</v>
      </c>
      <c r="DTM617" s="17">
        <v>44925</v>
      </c>
      <c r="DTN617" s="5" t="s">
        <v>3728</v>
      </c>
      <c r="DTO617" s="17">
        <v>44925</v>
      </c>
      <c r="DTP617" s="5" t="s">
        <v>3728</v>
      </c>
      <c r="DTQ617" s="17">
        <v>44925</v>
      </c>
      <c r="DTR617" s="5" t="s">
        <v>3728</v>
      </c>
      <c r="DTS617" s="17">
        <v>44925</v>
      </c>
      <c r="DTT617" s="5" t="s">
        <v>3728</v>
      </c>
      <c r="DTU617" s="17">
        <v>44925</v>
      </c>
      <c r="DTV617" s="5" t="s">
        <v>3728</v>
      </c>
      <c r="DTW617" s="17">
        <v>44925</v>
      </c>
      <c r="DTX617" s="5" t="s">
        <v>3728</v>
      </c>
      <c r="DTY617" s="17">
        <v>44925</v>
      </c>
      <c r="DTZ617" s="5" t="s">
        <v>3728</v>
      </c>
      <c r="DUA617" s="17">
        <v>44925</v>
      </c>
      <c r="DUB617" s="5" t="s">
        <v>3728</v>
      </c>
      <c r="DUC617" s="17">
        <v>44925</v>
      </c>
      <c r="DUD617" s="5" t="s">
        <v>3728</v>
      </c>
      <c r="DUE617" s="17">
        <v>44925</v>
      </c>
      <c r="DUF617" s="5" t="s">
        <v>3728</v>
      </c>
      <c r="DUG617" s="17">
        <v>44925</v>
      </c>
      <c r="DUH617" s="5" t="s">
        <v>3728</v>
      </c>
      <c r="DUI617" s="17">
        <v>44925</v>
      </c>
      <c r="DUJ617" s="5" t="s">
        <v>3728</v>
      </c>
      <c r="DUK617" s="17">
        <v>44925</v>
      </c>
      <c r="DUL617" s="5" t="s">
        <v>3728</v>
      </c>
      <c r="DUM617" s="17">
        <v>44925</v>
      </c>
      <c r="DUN617" s="5" t="s">
        <v>3728</v>
      </c>
      <c r="DUO617" s="17">
        <v>44925</v>
      </c>
      <c r="DUP617" s="5" t="s">
        <v>3728</v>
      </c>
      <c r="DUQ617" s="17">
        <v>44925</v>
      </c>
      <c r="DUR617" s="5" t="s">
        <v>3728</v>
      </c>
      <c r="DUS617" s="17">
        <v>44925</v>
      </c>
      <c r="DUT617" s="5" t="s">
        <v>3728</v>
      </c>
      <c r="DUU617" s="17">
        <v>44925</v>
      </c>
      <c r="DUV617" s="5" t="s">
        <v>3728</v>
      </c>
      <c r="DUW617" s="17">
        <v>44925</v>
      </c>
      <c r="DUX617" s="5" t="s">
        <v>3728</v>
      </c>
      <c r="DUY617" s="17">
        <v>44925</v>
      </c>
      <c r="DUZ617" s="5" t="s">
        <v>3728</v>
      </c>
      <c r="DVA617" s="17">
        <v>44925</v>
      </c>
      <c r="DVB617" s="5" t="s">
        <v>3728</v>
      </c>
      <c r="DVC617" s="17">
        <v>44925</v>
      </c>
      <c r="DVD617" s="5" t="s">
        <v>3728</v>
      </c>
      <c r="DVE617" s="17">
        <v>44925</v>
      </c>
      <c r="DVF617" s="5" t="s">
        <v>3728</v>
      </c>
      <c r="DVG617" s="17">
        <v>44925</v>
      </c>
      <c r="DVH617" s="5" t="s">
        <v>3728</v>
      </c>
      <c r="DVI617" s="17">
        <v>44925</v>
      </c>
      <c r="DVJ617" s="5" t="s">
        <v>3728</v>
      </c>
      <c r="DVK617" s="17">
        <v>44925</v>
      </c>
      <c r="DVL617" s="5" t="s">
        <v>3728</v>
      </c>
      <c r="DVM617" s="17">
        <v>44925</v>
      </c>
      <c r="DVN617" s="5" t="s">
        <v>3728</v>
      </c>
      <c r="DVO617" s="17">
        <v>44925</v>
      </c>
      <c r="DVP617" s="5" t="s">
        <v>3728</v>
      </c>
      <c r="DVQ617" s="17">
        <v>44925</v>
      </c>
      <c r="DVR617" s="5" t="s">
        <v>3728</v>
      </c>
      <c r="DVS617" s="17">
        <v>44925</v>
      </c>
      <c r="DVT617" s="5" t="s">
        <v>3728</v>
      </c>
      <c r="DVU617" s="17">
        <v>44925</v>
      </c>
      <c r="DVV617" s="5" t="s">
        <v>3728</v>
      </c>
      <c r="DVW617" s="17">
        <v>44925</v>
      </c>
      <c r="DVX617" s="5" t="s">
        <v>3728</v>
      </c>
      <c r="DVY617" s="17">
        <v>44925</v>
      </c>
      <c r="DVZ617" s="5" t="s">
        <v>3728</v>
      </c>
      <c r="DWA617" s="17">
        <v>44925</v>
      </c>
      <c r="DWB617" s="5" t="s">
        <v>3728</v>
      </c>
      <c r="DWC617" s="17">
        <v>44925</v>
      </c>
      <c r="DWD617" s="5" t="s">
        <v>3728</v>
      </c>
      <c r="DWE617" s="17">
        <v>44925</v>
      </c>
      <c r="DWF617" s="5" t="s">
        <v>3728</v>
      </c>
      <c r="DWG617" s="17">
        <v>44925</v>
      </c>
      <c r="DWH617" s="5" t="s">
        <v>3728</v>
      </c>
      <c r="DWI617" s="17">
        <v>44925</v>
      </c>
      <c r="DWJ617" s="5" t="s">
        <v>3728</v>
      </c>
      <c r="DWK617" s="17">
        <v>44925</v>
      </c>
      <c r="DWL617" s="5" t="s">
        <v>3728</v>
      </c>
      <c r="DWM617" s="17">
        <v>44925</v>
      </c>
      <c r="DWN617" s="5" t="s">
        <v>3728</v>
      </c>
      <c r="DWO617" s="17">
        <v>44925</v>
      </c>
      <c r="DWP617" s="5" t="s">
        <v>3728</v>
      </c>
      <c r="DWQ617" s="17">
        <v>44925</v>
      </c>
      <c r="DWR617" s="5" t="s">
        <v>3728</v>
      </c>
      <c r="DWS617" s="17">
        <v>44925</v>
      </c>
      <c r="DWT617" s="5" t="s">
        <v>3728</v>
      </c>
      <c r="DWU617" s="17">
        <v>44925</v>
      </c>
      <c r="DWV617" s="5" t="s">
        <v>3728</v>
      </c>
      <c r="DWW617" s="17">
        <v>44925</v>
      </c>
      <c r="DWX617" s="5" t="s">
        <v>3728</v>
      </c>
      <c r="DWY617" s="17">
        <v>44925</v>
      </c>
      <c r="DWZ617" s="5" t="s">
        <v>3728</v>
      </c>
      <c r="DXA617" s="17">
        <v>44925</v>
      </c>
      <c r="DXB617" s="5" t="s">
        <v>3728</v>
      </c>
      <c r="DXC617" s="17">
        <v>44925</v>
      </c>
      <c r="DXD617" s="5" t="s">
        <v>3728</v>
      </c>
      <c r="DXE617" s="17">
        <v>44925</v>
      </c>
      <c r="DXF617" s="5" t="s">
        <v>3728</v>
      </c>
      <c r="DXG617" s="17">
        <v>44925</v>
      </c>
      <c r="DXH617" s="5" t="s">
        <v>3728</v>
      </c>
      <c r="DXI617" s="17">
        <v>44925</v>
      </c>
      <c r="DXJ617" s="5" t="s">
        <v>3728</v>
      </c>
      <c r="DXK617" s="17">
        <v>44925</v>
      </c>
      <c r="DXL617" s="5" t="s">
        <v>3728</v>
      </c>
      <c r="DXM617" s="17">
        <v>44925</v>
      </c>
      <c r="DXN617" s="5" t="s">
        <v>3728</v>
      </c>
      <c r="DXO617" s="17">
        <v>44925</v>
      </c>
      <c r="DXP617" s="5" t="s">
        <v>3728</v>
      </c>
      <c r="DXQ617" s="17">
        <v>44925</v>
      </c>
      <c r="DXR617" s="5" t="s">
        <v>3728</v>
      </c>
      <c r="DXS617" s="17">
        <v>44925</v>
      </c>
      <c r="DXT617" s="5" t="s">
        <v>3728</v>
      </c>
      <c r="DXU617" s="17">
        <v>44925</v>
      </c>
      <c r="DXV617" s="5" t="s">
        <v>3728</v>
      </c>
      <c r="DXW617" s="17">
        <v>44925</v>
      </c>
      <c r="DXX617" s="5" t="s">
        <v>3728</v>
      </c>
      <c r="DXY617" s="17">
        <v>44925</v>
      </c>
      <c r="DXZ617" s="5" t="s">
        <v>3728</v>
      </c>
      <c r="DYA617" s="17">
        <v>44925</v>
      </c>
      <c r="DYB617" s="5" t="s">
        <v>3728</v>
      </c>
      <c r="DYC617" s="17">
        <v>44925</v>
      </c>
      <c r="DYD617" s="5" t="s">
        <v>3728</v>
      </c>
      <c r="DYE617" s="17">
        <v>44925</v>
      </c>
      <c r="DYF617" s="5" t="s">
        <v>3728</v>
      </c>
      <c r="DYG617" s="17">
        <v>44925</v>
      </c>
      <c r="DYH617" s="5" t="s">
        <v>3728</v>
      </c>
      <c r="DYI617" s="17">
        <v>44925</v>
      </c>
      <c r="DYJ617" s="5" t="s">
        <v>3728</v>
      </c>
      <c r="DYK617" s="17">
        <v>44925</v>
      </c>
      <c r="DYL617" s="5" t="s">
        <v>3728</v>
      </c>
      <c r="DYM617" s="17">
        <v>44925</v>
      </c>
      <c r="DYN617" s="5" t="s">
        <v>3728</v>
      </c>
      <c r="DYO617" s="17">
        <v>44925</v>
      </c>
      <c r="DYP617" s="5" t="s">
        <v>3728</v>
      </c>
      <c r="DYQ617" s="17">
        <v>44925</v>
      </c>
      <c r="DYR617" s="5" t="s">
        <v>3728</v>
      </c>
      <c r="DYS617" s="17">
        <v>44925</v>
      </c>
      <c r="DYT617" s="5" t="s">
        <v>3728</v>
      </c>
      <c r="DYU617" s="17">
        <v>44925</v>
      </c>
      <c r="DYV617" s="5" t="s">
        <v>3728</v>
      </c>
      <c r="DYW617" s="17">
        <v>44925</v>
      </c>
      <c r="DYX617" s="5" t="s">
        <v>3728</v>
      </c>
      <c r="DYY617" s="17">
        <v>44925</v>
      </c>
      <c r="DYZ617" s="5" t="s">
        <v>3728</v>
      </c>
      <c r="DZA617" s="17">
        <v>44925</v>
      </c>
      <c r="DZB617" s="5" t="s">
        <v>3728</v>
      </c>
      <c r="DZC617" s="17">
        <v>44925</v>
      </c>
      <c r="DZD617" s="5" t="s">
        <v>3728</v>
      </c>
      <c r="DZE617" s="17">
        <v>44925</v>
      </c>
      <c r="DZF617" s="5" t="s">
        <v>3728</v>
      </c>
      <c r="DZG617" s="17">
        <v>44925</v>
      </c>
      <c r="DZH617" s="5" t="s">
        <v>3728</v>
      </c>
      <c r="DZI617" s="17">
        <v>44925</v>
      </c>
      <c r="DZJ617" s="5" t="s">
        <v>3728</v>
      </c>
      <c r="DZK617" s="17">
        <v>44925</v>
      </c>
      <c r="DZL617" s="5" t="s">
        <v>3728</v>
      </c>
      <c r="DZM617" s="17">
        <v>44925</v>
      </c>
      <c r="DZN617" s="5" t="s">
        <v>3728</v>
      </c>
      <c r="DZO617" s="17">
        <v>44925</v>
      </c>
      <c r="DZP617" s="5" t="s">
        <v>3728</v>
      </c>
      <c r="DZQ617" s="17">
        <v>44925</v>
      </c>
      <c r="DZR617" s="5" t="s">
        <v>3728</v>
      </c>
      <c r="DZS617" s="17">
        <v>44925</v>
      </c>
      <c r="DZT617" s="5" t="s">
        <v>3728</v>
      </c>
      <c r="DZU617" s="17">
        <v>44925</v>
      </c>
      <c r="DZV617" s="5" t="s">
        <v>3728</v>
      </c>
      <c r="DZW617" s="17">
        <v>44925</v>
      </c>
      <c r="DZX617" s="5" t="s">
        <v>3728</v>
      </c>
      <c r="DZY617" s="17">
        <v>44925</v>
      </c>
      <c r="DZZ617" s="5" t="s">
        <v>3728</v>
      </c>
      <c r="EAA617" s="17">
        <v>44925</v>
      </c>
      <c r="EAB617" s="5" t="s">
        <v>3728</v>
      </c>
      <c r="EAC617" s="17">
        <v>44925</v>
      </c>
      <c r="EAD617" s="5" t="s">
        <v>3728</v>
      </c>
      <c r="EAE617" s="17">
        <v>44925</v>
      </c>
      <c r="EAF617" s="5" t="s">
        <v>3728</v>
      </c>
      <c r="EAG617" s="17">
        <v>44925</v>
      </c>
      <c r="EAH617" s="5" t="s">
        <v>3728</v>
      </c>
      <c r="EAI617" s="17">
        <v>44925</v>
      </c>
      <c r="EAJ617" s="5" t="s">
        <v>3728</v>
      </c>
      <c r="EAK617" s="17">
        <v>44925</v>
      </c>
      <c r="EAL617" s="5" t="s">
        <v>3728</v>
      </c>
      <c r="EAM617" s="17">
        <v>44925</v>
      </c>
      <c r="EAN617" s="5" t="s">
        <v>3728</v>
      </c>
      <c r="EAO617" s="17">
        <v>44925</v>
      </c>
      <c r="EAP617" s="5" t="s">
        <v>3728</v>
      </c>
      <c r="EAQ617" s="17">
        <v>44925</v>
      </c>
      <c r="EAR617" s="5" t="s">
        <v>3728</v>
      </c>
      <c r="EAS617" s="17">
        <v>44925</v>
      </c>
      <c r="EAT617" s="5" t="s">
        <v>3728</v>
      </c>
      <c r="EAU617" s="17">
        <v>44925</v>
      </c>
      <c r="EAV617" s="5" t="s">
        <v>3728</v>
      </c>
      <c r="EAW617" s="17">
        <v>44925</v>
      </c>
      <c r="EAX617" s="5" t="s">
        <v>3728</v>
      </c>
      <c r="EAY617" s="17">
        <v>44925</v>
      </c>
      <c r="EAZ617" s="5" t="s">
        <v>3728</v>
      </c>
      <c r="EBA617" s="17">
        <v>44925</v>
      </c>
      <c r="EBB617" s="5" t="s">
        <v>3728</v>
      </c>
      <c r="EBC617" s="17">
        <v>44925</v>
      </c>
      <c r="EBD617" s="5" t="s">
        <v>3728</v>
      </c>
      <c r="EBE617" s="17">
        <v>44925</v>
      </c>
      <c r="EBF617" s="5" t="s">
        <v>3728</v>
      </c>
      <c r="EBG617" s="17">
        <v>44925</v>
      </c>
      <c r="EBH617" s="5" t="s">
        <v>3728</v>
      </c>
      <c r="EBI617" s="17">
        <v>44925</v>
      </c>
      <c r="EBJ617" s="5" t="s">
        <v>3728</v>
      </c>
      <c r="EBK617" s="17">
        <v>44925</v>
      </c>
      <c r="EBL617" s="5" t="s">
        <v>3728</v>
      </c>
      <c r="EBM617" s="17">
        <v>44925</v>
      </c>
      <c r="EBN617" s="5" t="s">
        <v>3728</v>
      </c>
      <c r="EBO617" s="17">
        <v>44925</v>
      </c>
      <c r="EBP617" s="5" t="s">
        <v>3728</v>
      </c>
      <c r="EBQ617" s="17">
        <v>44925</v>
      </c>
      <c r="EBR617" s="5" t="s">
        <v>3728</v>
      </c>
      <c r="EBS617" s="17">
        <v>44925</v>
      </c>
      <c r="EBT617" s="5" t="s">
        <v>3728</v>
      </c>
      <c r="EBU617" s="17">
        <v>44925</v>
      </c>
      <c r="EBV617" s="5" t="s">
        <v>3728</v>
      </c>
      <c r="EBW617" s="17">
        <v>44925</v>
      </c>
      <c r="EBX617" s="5" t="s">
        <v>3728</v>
      </c>
      <c r="EBY617" s="17">
        <v>44925</v>
      </c>
      <c r="EBZ617" s="5" t="s">
        <v>3728</v>
      </c>
      <c r="ECA617" s="17">
        <v>44925</v>
      </c>
      <c r="ECB617" s="5" t="s">
        <v>3728</v>
      </c>
      <c r="ECC617" s="17">
        <v>44925</v>
      </c>
      <c r="ECD617" s="5" t="s">
        <v>3728</v>
      </c>
      <c r="ECE617" s="17">
        <v>44925</v>
      </c>
      <c r="ECF617" s="5" t="s">
        <v>3728</v>
      </c>
      <c r="ECG617" s="17">
        <v>44925</v>
      </c>
      <c r="ECH617" s="5" t="s">
        <v>3728</v>
      </c>
      <c r="ECI617" s="17">
        <v>44925</v>
      </c>
      <c r="ECJ617" s="5" t="s">
        <v>3728</v>
      </c>
      <c r="ECK617" s="17">
        <v>44925</v>
      </c>
      <c r="ECL617" s="5" t="s">
        <v>3728</v>
      </c>
      <c r="ECM617" s="17">
        <v>44925</v>
      </c>
      <c r="ECN617" s="5" t="s">
        <v>3728</v>
      </c>
      <c r="ECO617" s="17">
        <v>44925</v>
      </c>
      <c r="ECP617" s="5" t="s">
        <v>3728</v>
      </c>
      <c r="ECQ617" s="17">
        <v>44925</v>
      </c>
      <c r="ECR617" s="5" t="s">
        <v>3728</v>
      </c>
      <c r="ECS617" s="17">
        <v>44925</v>
      </c>
      <c r="ECT617" s="5" t="s">
        <v>3728</v>
      </c>
      <c r="ECU617" s="17">
        <v>44925</v>
      </c>
      <c r="ECV617" s="5" t="s">
        <v>3728</v>
      </c>
      <c r="ECW617" s="17">
        <v>44925</v>
      </c>
      <c r="ECX617" s="5" t="s">
        <v>3728</v>
      </c>
      <c r="ECY617" s="17">
        <v>44925</v>
      </c>
      <c r="ECZ617" s="5" t="s">
        <v>3728</v>
      </c>
      <c r="EDA617" s="17">
        <v>44925</v>
      </c>
      <c r="EDB617" s="5" t="s">
        <v>3728</v>
      </c>
      <c r="EDC617" s="17">
        <v>44925</v>
      </c>
      <c r="EDD617" s="5" t="s">
        <v>3728</v>
      </c>
      <c r="EDE617" s="17">
        <v>44925</v>
      </c>
      <c r="EDF617" s="5" t="s">
        <v>3728</v>
      </c>
      <c r="EDG617" s="17">
        <v>44925</v>
      </c>
      <c r="EDH617" s="5" t="s">
        <v>3728</v>
      </c>
      <c r="EDI617" s="17">
        <v>44925</v>
      </c>
      <c r="EDJ617" s="5" t="s">
        <v>3728</v>
      </c>
      <c r="EDK617" s="17">
        <v>44925</v>
      </c>
      <c r="EDL617" s="5" t="s">
        <v>3728</v>
      </c>
      <c r="EDM617" s="17">
        <v>44925</v>
      </c>
      <c r="EDN617" s="5" t="s">
        <v>3728</v>
      </c>
      <c r="EDO617" s="17">
        <v>44925</v>
      </c>
      <c r="EDP617" s="5" t="s">
        <v>3728</v>
      </c>
      <c r="EDQ617" s="17">
        <v>44925</v>
      </c>
      <c r="EDR617" s="5" t="s">
        <v>3728</v>
      </c>
      <c r="EDS617" s="17">
        <v>44925</v>
      </c>
      <c r="EDT617" s="5" t="s">
        <v>3728</v>
      </c>
      <c r="EDU617" s="17">
        <v>44925</v>
      </c>
      <c r="EDV617" s="5" t="s">
        <v>3728</v>
      </c>
      <c r="EDW617" s="17">
        <v>44925</v>
      </c>
      <c r="EDX617" s="5" t="s">
        <v>3728</v>
      </c>
      <c r="EDY617" s="17">
        <v>44925</v>
      </c>
      <c r="EDZ617" s="5" t="s">
        <v>3728</v>
      </c>
      <c r="EEA617" s="17">
        <v>44925</v>
      </c>
      <c r="EEB617" s="5" t="s">
        <v>3728</v>
      </c>
      <c r="EEC617" s="17">
        <v>44925</v>
      </c>
      <c r="EED617" s="5" t="s">
        <v>3728</v>
      </c>
      <c r="EEE617" s="17">
        <v>44925</v>
      </c>
      <c r="EEF617" s="5" t="s">
        <v>3728</v>
      </c>
      <c r="EEG617" s="17">
        <v>44925</v>
      </c>
      <c r="EEH617" s="5" t="s">
        <v>3728</v>
      </c>
      <c r="EEI617" s="17">
        <v>44925</v>
      </c>
      <c r="EEJ617" s="5" t="s">
        <v>3728</v>
      </c>
      <c r="EEK617" s="17">
        <v>44925</v>
      </c>
      <c r="EEL617" s="5" t="s">
        <v>3728</v>
      </c>
      <c r="EEM617" s="17">
        <v>44925</v>
      </c>
      <c r="EEN617" s="5" t="s">
        <v>3728</v>
      </c>
      <c r="EEO617" s="17">
        <v>44925</v>
      </c>
      <c r="EEP617" s="5" t="s">
        <v>3728</v>
      </c>
      <c r="EEQ617" s="17">
        <v>44925</v>
      </c>
      <c r="EER617" s="5" t="s">
        <v>3728</v>
      </c>
      <c r="EES617" s="17">
        <v>44925</v>
      </c>
      <c r="EET617" s="5" t="s">
        <v>3728</v>
      </c>
      <c r="EEU617" s="17">
        <v>44925</v>
      </c>
      <c r="EEV617" s="5" t="s">
        <v>3728</v>
      </c>
      <c r="EEW617" s="17">
        <v>44925</v>
      </c>
      <c r="EEX617" s="5" t="s">
        <v>3728</v>
      </c>
      <c r="EEY617" s="17">
        <v>44925</v>
      </c>
      <c r="EEZ617" s="5" t="s">
        <v>3728</v>
      </c>
      <c r="EFA617" s="17">
        <v>44925</v>
      </c>
      <c r="EFB617" s="5" t="s">
        <v>3728</v>
      </c>
      <c r="EFC617" s="17">
        <v>44925</v>
      </c>
      <c r="EFD617" s="5" t="s">
        <v>3728</v>
      </c>
      <c r="EFE617" s="17">
        <v>44925</v>
      </c>
      <c r="EFF617" s="5" t="s">
        <v>3728</v>
      </c>
      <c r="EFG617" s="17">
        <v>44925</v>
      </c>
      <c r="EFH617" s="5" t="s">
        <v>3728</v>
      </c>
      <c r="EFI617" s="17">
        <v>44925</v>
      </c>
      <c r="EFJ617" s="5" t="s">
        <v>3728</v>
      </c>
      <c r="EFK617" s="17">
        <v>44925</v>
      </c>
      <c r="EFL617" s="5" t="s">
        <v>3728</v>
      </c>
      <c r="EFM617" s="17">
        <v>44925</v>
      </c>
      <c r="EFN617" s="5" t="s">
        <v>3728</v>
      </c>
      <c r="EFO617" s="17">
        <v>44925</v>
      </c>
      <c r="EFP617" s="5" t="s">
        <v>3728</v>
      </c>
      <c r="EFQ617" s="17">
        <v>44925</v>
      </c>
      <c r="EFR617" s="5" t="s">
        <v>3728</v>
      </c>
      <c r="EFS617" s="17">
        <v>44925</v>
      </c>
      <c r="EFT617" s="5" t="s">
        <v>3728</v>
      </c>
      <c r="EFU617" s="17">
        <v>44925</v>
      </c>
      <c r="EFV617" s="5" t="s">
        <v>3728</v>
      </c>
      <c r="EFW617" s="17">
        <v>44925</v>
      </c>
      <c r="EFX617" s="5" t="s">
        <v>3728</v>
      </c>
      <c r="EFY617" s="17">
        <v>44925</v>
      </c>
      <c r="EFZ617" s="5" t="s">
        <v>3728</v>
      </c>
      <c r="EGA617" s="17">
        <v>44925</v>
      </c>
      <c r="EGB617" s="5" t="s">
        <v>3728</v>
      </c>
      <c r="EGC617" s="17">
        <v>44925</v>
      </c>
      <c r="EGD617" s="5" t="s">
        <v>3728</v>
      </c>
      <c r="EGE617" s="17">
        <v>44925</v>
      </c>
      <c r="EGF617" s="5" t="s">
        <v>3728</v>
      </c>
      <c r="EGG617" s="17">
        <v>44925</v>
      </c>
      <c r="EGH617" s="5" t="s">
        <v>3728</v>
      </c>
      <c r="EGI617" s="17">
        <v>44925</v>
      </c>
      <c r="EGJ617" s="5" t="s">
        <v>3728</v>
      </c>
      <c r="EGK617" s="17">
        <v>44925</v>
      </c>
      <c r="EGL617" s="5" t="s">
        <v>3728</v>
      </c>
      <c r="EGM617" s="17">
        <v>44925</v>
      </c>
      <c r="EGN617" s="5" t="s">
        <v>3728</v>
      </c>
      <c r="EGO617" s="17">
        <v>44925</v>
      </c>
      <c r="EGP617" s="5" t="s">
        <v>3728</v>
      </c>
      <c r="EGQ617" s="17">
        <v>44925</v>
      </c>
      <c r="EGR617" s="5" t="s">
        <v>3728</v>
      </c>
      <c r="EGS617" s="17">
        <v>44925</v>
      </c>
      <c r="EGT617" s="5" t="s">
        <v>3728</v>
      </c>
      <c r="EGU617" s="17">
        <v>44925</v>
      </c>
      <c r="EGV617" s="5" t="s">
        <v>3728</v>
      </c>
      <c r="EGW617" s="17">
        <v>44925</v>
      </c>
      <c r="EGX617" s="5" t="s">
        <v>3728</v>
      </c>
      <c r="EGY617" s="17">
        <v>44925</v>
      </c>
      <c r="EGZ617" s="5" t="s">
        <v>3728</v>
      </c>
      <c r="EHA617" s="17">
        <v>44925</v>
      </c>
      <c r="EHB617" s="5" t="s">
        <v>3728</v>
      </c>
      <c r="EHC617" s="17">
        <v>44925</v>
      </c>
      <c r="EHD617" s="5" t="s">
        <v>3728</v>
      </c>
      <c r="EHE617" s="17">
        <v>44925</v>
      </c>
      <c r="EHF617" s="5" t="s">
        <v>3728</v>
      </c>
      <c r="EHG617" s="17">
        <v>44925</v>
      </c>
      <c r="EHH617" s="5" t="s">
        <v>3728</v>
      </c>
      <c r="EHI617" s="17">
        <v>44925</v>
      </c>
      <c r="EHJ617" s="5" t="s">
        <v>3728</v>
      </c>
      <c r="EHK617" s="17">
        <v>44925</v>
      </c>
      <c r="EHL617" s="5" t="s">
        <v>3728</v>
      </c>
      <c r="EHM617" s="17">
        <v>44925</v>
      </c>
      <c r="EHN617" s="5" t="s">
        <v>3728</v>
      </c>
      <c r="EHO617" s="17">
        <v>44925</v>
      </c>
      <c r="EHP617" s="5" t="s">
        <v>3728</v>
      </c>
      <c r="EHQ617" s="17">
        <v>44925</v>
      </c>
      <c r="EHR617" s="5" t="s">
        <v>3728</v>
      </c>
      <c r="EHS617" s="17">
        <v>44925</v>
      </c>
      <c r="EHT617" s="5" t="s">
        <v>3728</v>
      </c>
      <c r="EHU617" s="17">
        <v>44925</v>
      </c>
      <c r="EHV617" s="5" t="s">
        <v>3728</v>
      </c>
      <c r="EHW617" s="17">
        <v>44925</v>
      </c>
      <c r="EHX617" s="5" t="s">
        <v>3728</v>
      </c>
      <c r="EHY617" s="17">
        <v>44925</v>
      </c>
      <c r="EHZ617" s="5" t="s">
        <v>3728</v>
      </c>
      <c r="EIA617" s="17">
        <v>44925</v>
      </c>
      <c r="EIB617" s="5" t="s">
        <v>3728</v>
      </c>
      <c r="EIC617" s="17">
        <v>44925</v>
      </c>
      <c r="EID617" s="5" t="s">
        <v>3728</v>
      </c>
      <c r="EIE617" s="17">
        <v>44925</v>
      </c>
      <c r="EIF617" s="5" t="s">
        <v>3728</v>
      </c>
      <c r="EIG617" s="17">
        <v>44925</v>
      </c>
      <c r="EIH617" s="5" t="s">
        <v>3728</v>
      </c>
      <c r="EII617" s="17">
        <v>44925</v>
      </c>
      <c r="EIJ617" s="5" t="s">
        <v>3728</v>
      </c>
      <c r="EIK617" s="17">
        <v>44925</v>
      </c>
      <c r="EIL617" s="5" t="s">
        <v>3728</v>
      </c>
      <c r="EIM617" s="17">
        <v>44925</v>
      </c>
      <c r="EIN617" s="5" t="s">
        <v>3728</v>
      </c>
      <c r="EIO617" s="17">
        <v>44925</v>
      </c>
      <c r="EIP617" s="5" t="s">
        <v>3728</v>
      </c>
      <c r="EIQ617" s="17">
        <v>44925</v>
      </c>
      <c r="EIR617" s="5" t="s">
        <v>3728</v>
      </c>
      <c r="EIS617" s="17">
        <v>44925</v>
      </c>
      <c r="EIT617" s="5" t="s">
        <v>3728</v>
      </c>
      <c r="EIU617" s="17">
        <v>44925</v>
      </c>
      <c r="EIV617" s="5" t="s">
        <v>3728</v>
      </c>
      <c r="EIW617" s="17">
        <v>44925</v>
      </c>
      <c r="EIX617" s="5" t="s">
        <v>3728</v>
      </c>
      <c r="EIY617" s="17">
        <v>44925</v>
      </c>
      <c r="EIZ617" s="5" t="s">
        <v>3728</v>
      </c>
      <c r="EJA617" s="17">
        <v>44925</v>
      </c>
      <c r="EJB617" s="5" t="s">
        <v>3728</v>
      </c>
      <c r="EJC617" s="17">
        <v>44925</v>
      </c>
      <c r="EJD617" s="5" t="s">
        <v>3728</v>
      </c>
      <c r="EJE617" s="17">
        <v>44925</v>
      </c>
      <c r="EJF617" s="5" t="s">
        <v>3728</v>
      </c>
      <c r="EJG617" s="17">
        <v>44925</v>
      </c>
      <c r="EJH617" s="5" t="s">
        <v>3728</v>
      </c>
      <c r="EJI617" s="17">
        <v>44925</v>
      </c>
      <c r="EJJ617" s="5" t="s">
        <v>3728</v>
      </c>
      <c r="EJK617" s="17">
        <v>44925</v>
      </c>
      <c r="EJL617" s="5" t="s">
        <v>3728</v>
      </c>
      <c r="EJM617" s="17">
        <v>44925</v>
      </c>
      <c r="EJN617" s="5" t="s">
        <v>3728</v>
      </c>
      <c r="EJO617" s="17">
        <v>44925</v>
      </c>
      <c r="EJP617" s="5" t="s">
        <v>3728</v>
      </c>
      <c r="EJQ617" s="17">
        <v>44925</v>
      </c>
      <c r="EJR617" s="5" t="s">
        <v>3728</v>
      </c>
      <c r="EJS617" s="17">
        <v>44925</v>
      </c>
      <c r="EJT617" s="5" t="s">
        <v>3728</v>
      </c>
      <c r="EJU617" s="17">
        <v>44925</v>
      </c>
      <c r="EJV617" s="5" t="s">
        <v>3728</v>
      </c>
      <c r="EJW617" s="17">
        <v>44925</v>
      </c>
      <c r="EJX617" s="5" t="s">
        <v>3728</v>
      </c>
      <c r="EJY617" s="17">
        <v>44925</v>
      </c>
      <c r="EJZ617" s="5" t="s">
        <v>3728</v>
      </c>
      <c r="EKA617" s="17">
        <v>44925</v>
      </c>
      <c r="EKB617" s="5" t="s">
        <v>3728</v>
      </c>
      <c r="EKC617" s="17">
        <v>44925</v>
      </c>
      <c r="EKD617" s="5" t="s">
        <v>3728</v>
      </c>
      <c r="EKE617" s="17">
        <v>44925</v>
      </c>
      <c r="EKF617" s="5" t="s">
        <v>3728</v>
      </c>
      <c r="EKG617" s="17">
        <v>44925</v>
      </c>
      <c r="EKH617" s="5" t="s">
        <v>3728</v>
      </c>
      <c r="EKI617" s="17">
        <v>44925</v>
      </c>
      <c r="EKJ617" s="5" t="s">
        <v>3728</v>
      </c>
      <c r="EKK617" s="17">
        <v>44925</v>
      </c>
      <c r="EKL617" s="5" t="s">
        <v>3728</v>
      </c>
      <c r="EKM617" s="17">
        <v>44925</v>
      </c>
      <c r="EKN617" s="5" t="s">
        <v>3728</v>
      </c>
      <c r="EKO617" s="17">
        <v>44925</v>
      </c>
      <c r="EKP617" s="5" t="s">
        <v>3728</v>
      </c>
      <c r="EKQ617" s="17">
        <v>44925</v>
      </c>
      <c r="EKR617" s="5" t="s">
        <v>3728</v>
      </c>
      <c r="EKS617" s="17">
        <v>44925</v>
      </c>
      <c r="EKT617" s="5" t="s">
        <v>3728</v>
      </c>
      <c r="EKU617" s="17">
        <v>44925</v>
      </c>
      <c r="EKV617" s="5" t="s">
        <v>3728</v>
      </c>
      <c r="EKW617" s="17">
        <v>44925</v>
      </c>
      <c r="EKX617" s="5" t="s">
        <v>3728</v>
      </c>
      <c r="EKY617" s="17">
        <v>44925</v>
      </c>
      <c r="EKZ617" s="5" t="s">
        <v>3728</v>
      </c>
      <c r="ELA617" s="17">
        <v>44925</v>
      </c>
      <c r="ELB617" s="5" t="s">
        <v>3728</v>
      </c>
      <c r="ELC617" s="17">
        <v>44925</v>
      </c>
      <c r="ELD617" s="5" t="s">
        <v>3728</v>
      </c>
      <c r="ELE617" s="17">
        <v>44925</v>
      </c>
      <c r="ELF617" s="5" t="s">
        <v>3728</v>
      </c>
      <c r="ELG617" s="17">
        <v>44925</v>
      </c>
      <c r="ELH617" s="5" t="s">
        <v>3728</v>
      </c>
      <c r="ELI617" s="17">
        <v>44925</v>
      </c>
      <c r="ELJ617" s="5" t="s">
        <v>3728</v>
      </c>
      <c r="ELK617" s="17">
        <v>44925</v>
      </c>
      <c r="ELL617" s="5" t="s">
        <v>3728</v>
      </c>
      <c r="ELM617" s="17">
        <v>44925</v>
      </c>
      <c r="ELN617" s="5" t="s">
        <v>3728</v>
      </c>
      <c r="ELO617" s="17">
        <v>44925</v>
      </c>
      <c r="ELP617" s="5" t="s">
        <v>3728</v>
      </c>
      <c r="ELQ617" s="17">
        <v>44925</v>
      </c>
      <c r="ELR617" s="5" t="s">
        <v>3728</v>
      </c>
      <c r="ELS617" s="17">
        <v>44925</v>
      </c>
      <c r="ELT617" s="5" t="s">
        <v>3728</v>
      </c>
      <c r="ELU617" s="17">
        <v>44925</v>
      </c>
      <c r="ELV617" s="5" t="s">
        <v>3728</v>
      </c>
      <c r="ELW617" s="17">
        <v>44925</v>
      </c>
      <c r="ELX617" s="5" t="s">
        <v>3728</v>
      </c>
      <c r="ELY617" s="17">
        <v>44925</v>
      </c>
      <c r="ELZ617" s="5" t="s">
        <v>3728</v>
      </c>
      <c r="EMA617" s="17">
        <v>44925</v>
      </c>
      <c r="EMB617" s="5" t="s">
        <v>3728</v>
      </c>
      <c r="EMC617" s="17">
        <v>44925</v>
      </c>
      <c r="EMD617" s="5" t="s">
        <v>3728</v>
      </c>
      <c r="EME617" s="17">
        <v>44925</v>
      </c>
      <c r="EMF617" s="5" t="s">
        <v>3728</v>
      </c>
      <c r="EMG617" s="17">
        <v>44925</v>
      </c>
      <c r="EMH617" s="5" t="s">
        <v>3728</v>
      </c>
      <c r="EMI617" s="17">
        <v>44925</v>
      </c>
      <c r="EMJ617" s="5" t="s">
        <v>3728</v>
      </c>
      <c r="EMK617" s="17">
        <v>44925</v>
      </c>
      <c r="EML617" s="5" t="s">
        <v>3728</v>
      </c>
      <c r="EMM617" s="17">
        <v>44925</v>
      </c>
      <c r="EMN617" s="5" t="s">
        <v>3728</v>
      </c>
      <c r="EMO617" s="17">
        <v>44925</v>
      </c>
      <c r="EMP617" s="5" t="s">
        <v>3728</v>
      </c>
      <c r="EMQ617" s="17">
        <v>44925</v>
      </c>
      <c r="EMR617" s="5" t="s">
        <v>3728</v>
      </c>
      <c r="EMS617" s="17">
        <v>44925</v>
      </c>
      <c r="EMT617" s="5" t="s">
        <v>3728</v>
      </c>
      <c r="EMU617" s="17">
        <v>44925</v>
      </c>
      <c r="EMV617" s="5" t="s">
        <v>3728</v>
      </c>
      <c r="EMW617" s="17">
        <v>44925</v>
      </c>
      <c r="EMX617" s="5" t="s">
        <v>3728</v>
      </c>
      <c r="EMY617" s="17">
        <v>44925</v>
      </c>
      <c r="EMZ617" s="5" t="s">
        <v>3728</v>
      </c>
      <c r="ENA617" s="17">
        <v>44925</v>
      </c>
      <c r="ENB617" s="5" t="s">
        <v>3728</v>
      </c>
      <c r="ENC617" s="17">
        <v>44925</v>
      </c>
      <c r="END617" s="5" t="s">
        <v>3728</v>
      </c>
      <c r="ENE617" s="17">
        <v>44925</v>
      </c>
      <c r="ENF617" s="5" t="s">
        <v>3728</v>
      </c>
      <c r="ENG617" s="17">
        <v>44925</v>
      </c>
      <c r="ENH617" s="5" t="s">
        <v>3728</v>
      </c>
      <c r="ENI617" s="17">
        <v>44925</v>
      </c>
      <c r="ENJ617" s="5" t="s">
        <v>3728</v>
      </c>
      <c r="ENK617" s="17">
        <v>44925</v>
      </c>
      <c r="ENL617" s="5" t="s">
        <v>3728</v>
      </c>
      <c r="ENM617" s="17">
        <v>44925</v>
      </c>
      <c r="ENN617" s="5" t="s">
        <v>3728</v>
      </c>
      <c r="ENO617" s="17">
        <v>44925</v>
      </c>
      <c r="ENP617" s="5" t="s">
        <v>3728</v>
      </c>
      <c r="ENQ617" s="17">
        <v>44925</v>
      </c>
      <c r="ENR617" s="5" t="s">
        <v>3728</v>
      </c>
      <c r="ENS617" s="17">
        <v>44925</v>
      </c>
      <c r="ENT617" s="5" t="s">
        <v>3728</v>
      </c>
      <c r="ENU617" s="17">
        <v>44925</v>
      </c>
      <c r="ENV617" s="5" t="s">
        <v>3728</v>
      </c>
      <c r="ENW617" s="17">
        <v>44925</v>
      </c>
      <c r="ENX617" s="5" t="s">
        <v>3728</v>
      </c>
      <c r="ENY617" s="17">
        <v>44925</v>
      </c>
      <c r="ENZ617" s="5" t="s">
        <v>3728</v>
      </c>
      <c r="EOA617" s="17">
        <v>44925</v>
      </c>
      <c r="EOB617" s="5" t="s">
        <v>3728</v>
      </c>
      <c r="EOC617" s="17">
        <v>44925</v>
      </c>
      <c r="EOD617" s="5" t="s">
        <v>3728</v>
      </c>
      <c r="EOE617" s="17">
        <v>44925</v>
      </c>
      <c r="EOF617" s="5" t="s">
        <v>3728</v>
      </c>
      <c r="EOG617" s="17">
        <v>44925</v>
      </c>
      <c r="EOH617" s="5" t="s">
        <v>3728</v>
      </c>
      <c r="EOI617" s="17">
        <v>44925</v>
      </c>
      <c r="EOJ617" s="5" t="s">
        <v>3728</v>
      </c>
      <c r="EOK617" s="17">
        <v>44925</v>
      </c>
      <c r="EOL617" s="5" t="s">
        <v>3728</v>
      </c>
      <c r="EOM617" s="17">
        <v>44925</v>
      </c>
      <c r="EON617" s="5" t="s">
        <v>3728</v>
      </c>
      <c r="EOO617" s="17">
        <v>44925</v>
      </c>
      <c r="EOP617" s="5" t="s">
        <v>3728</v>
      </c>
      <c r="EOQ617" s="17">
        <v>44925</v>
      </c>
      <c r="EOR617" s="5" t="s">
        <v>3728</v>
      </c>
      <c r="EOS617" s="17">
        <v>44925</v>
      </c>
      <c r="EOT617" s="5" t="s">
        <v>3728</v>
      </c>
      <c r="EOU617" s="17">
        <v>44925</v>
      </c>
      <c r="EOV617" s="5" t="s">
        <v>3728</v>
      </c>
      <c r="EOW617" s="17">
        <v>44925</v>
      </c>
      <c r="EOX617" s="5" t="s">
        <v>3728</v>
      </c>
      <c r="EOY617" s="17">
        <v>44925</v>
      </c>
      <c r="EOZ617" s="5" t="s">
        <v>3728</v>
      </c>
      <c r="EPA617" s="17">
        <v>44925</v>
      </c>
      <c r="EPB617" s="5" t="s">
        <v>3728</v>
      </c>
      <c r="EPC617" s="17">
        <v>44925</v>
      </c>
      <c r="EPD617" s="5" t="s">
        <v>3728</v>
      </c>
      <c r="EPE617" s="17">
        <v>44925</v>
      </c>
      <c r="EPF617" s="5" t="s">
        <v>3728</v>
      </c>
      <c r="EPG617" s="17">
        <v>44925</v>
      </c>
      <c r="EPH617" s="5" t="s">
        <v>3728</v>
      </c>
      <c r="EPI617" s="17">
        <v>44925</v>
      </c>
      <c r="EPJ617" s="5" t="s">
        <v>3728</v>
      </c>
      <c r="EPK617" s="17">
        <v>44925</v>
      </c>
      <c r="EPL617" s="5" t="s">
        <v>3728</v>
      </c>
      <c r="EPM617" s="17">
        <v>44925</v>
      </c>
      <c r="EPN617" s="5" t="s">
        <v>3728</v>
      </c>
      <c r="EPO617" s="17">
        <v>44925</v>
      </c>
      <c r="EPP617" s="5" t="s">
        <v>3728</v>
      </c>
      <c r="EPQ617" s="17">
        <v>44925</v>
      </c>
      <c r="EPR617" s="5" t="s">
        <v>3728</v>
      </c>
      <c r="EPS617" s="17">
        <v>44925</v>
      </c>
      <c r="EPT617" s="5" t="s">
        <v>3728</v>
      </c>
      <c r="EPU617" s="17">
        <v>44925</v>
      </c>
      <c r="EPV617" s="5" t="s">
        <v>3728</v>
      </c>
      <c r="EPW617" s="17">
        <v>44925</v>
      </c>
      <c r="EPX617" s="5" t="s">
        <v>3728</v>
      </c>
      <c r="EPY617" s="17">
        <v>44925</v>
      </c>
      <c r="EPZ617" s="5" t="s">
        <v>3728</v>
      </c>
      <c r="EQA617" s="17">
        <v>44925</v>
      </c>
      <c r="EQB617" s="5" t="s">
        <v>3728</v>
      </c>
      <c r="EQC617" s="17">
        <v>44925</v>
      </c>
      <c r="EQD617" s="5" t="s">
        <v>3728</v>
      </c>
      <c r="EQE617" s="17">
        <v>44925</v>
      </c>
      <c r="EQF617" s="5" t="s">
        <v>3728</v>
      </c>
      <c r="EQG617" s="17">
        <v>44925</v>
      </c>
      <c r="EQH617" s="5" t="s">
        <v>3728</v>
      </c>
      <c r="EQI617" s="17">
        <v>44925</v>
      </c>
      <c r="EQJ617" s="5" t="s">
        <v>3728</v>
      </c>
      <c r="EQK617" s="17">
        <v>44925</v>
      </c>
      <c r="EQL617" s="5" t="s">
        <v>3728</v>
      </c>
      <c r="EQM617" s="17">
        <v>44925</v>
      </c>
      <c r="EQN617" s="5" t="s">
        <v>3728</v>
      </c>
      <c r="EQO617" s="17">
        <v>44925</v>
      </c>
      <c r="EQP617" s="5" t="s">
        <v>3728</v>
      </c>
      <c r="EQQ617" s="17">
        <v>44925</v>
      </c>
      <c r="EQR617" s="5" t="s">
        <v>3728</v>
      </c>
      <c r="EQS617" s="17">
        <v>44925</v>
      </c>
      <c r="EQT617" s="5" t="s">
        <v>3728</v>
      </c>
      <c r="EQU617" s="17">
        <v>44925</v>
      </c>
      <c r="EQV617" s="5" t="s">
        <v>3728</v>
      </c>
      <c r="EQW617" s="17">
        <v>44925</v>
      </c>
      <c r="EQX617" s="5" t="s">
        <v>3728</v>
      </c>
      <c r="EQY617" s="17">
        <v>44925</v>
      </c>
      <c r="EQZ617" s="5" t="s">
        <v>3728</v>
      </c>
      <c r="ERA617" s="17">
        <v>44925</v>
      </c>
      <c r="ERB617" s="5" t="s">
        <v>3728</v>
      </c>
      <c r="ERC617" s="17">
        <v>44925</v>
      </c>
      <c r="ERD617" s="5" t="s">
        <v>3728</v>
      </c>
      <c r="ERE617" s="17">
        <v>44925</v>
      </c>
      <c r="ERF617" s="5" t="s">
        <v>3728</v>
      </c>
      <c r="ERG617" s="17">
        <v>44925</v>
      </c>
      <c r="ERH617" s="5" t="s">
        <v>3728</v>
      </c>
      <c r="ERI617" s="17">
        <v>44925</v>
      </c>
      <c r="ERJ617" s="5" t="s">
        <v>3728</v>
      </c>
      <c r="ERK617" s="17">
        <v>44925</v>
      </c>
      <c r="ERL617" s="5" t="s">
        <v>3728</v>
      </c>
      <c r="ERM617" s="17">
        <v>44925</v>
      </c>
      <c r="ERN617" s="5" t="s">
        <v>3728</v>
      </c>
      <c r="ERO617" s="17">
        <v>44925</v>
      </c>
      <c r="ERP617" s="5" t="s">
        <v>3728</v>
      </c>
      <c r="ERQ617" s="17">
        <v>44925</v>
      </c>
      <c r="ERR617" s="5" t="s">
        <v>3728</v>
      </c>
      <c r="ERS617" s="17">
        <v>44925</v>
      </c>
      <c r="ERT617" s="5" t="s">
        <v>3728</v>
      </c>
      <c r="ERU617" s="17">
        <v>44925</v>
      </c>
      <c r="ERV617" s="5" t="s">
        <v>3728</v>
      </c>
      <c r="ERW617" s="17">
        <v>44925</v>
      </c>
      <c r="ERX617" s="5" t="s">
        <v>3728</v>
      </c>
      <c r="ERY617" s="17">
        <v>44925</v>
      </c>
      <c r="ERZ617" s="5" t="s">
        <v>3728</v>
      </c>
      <c r="ESA617" s="17">
        <v>44925</v>
      </c>
      <c r="ESB617" s="5" t="s">
        <v>3728</v>
      </c>
      <c r="ESC617" s="17">
        <v>44925</v>
      </c>
      <c r="ESD617" s="5" t="s">
        <v>3728</v>
      </c>
      <c r="ESE617" s="17">
        <v>44925</v>
      </c>
      <c r="ESF617" s="5" t="s">
        <v>3728</v>
      </c>
      <c r="ESG617" s="17">
        <v>44925</v>
      </c>
      <c r="ESH617" s="5" t="s">
        <v>3728</v>
      </c>
      <c r="ESI617" s="17">
        <v>44925</v>
      </c>
      <c r="ESJ617" s="5" t="s">
        <v>3728</v>
      </c>
      <c r="ESK617" s="17">
        <v>44925</v>
      </c>
      <c r="ESL617" s="5" t="s">
        <v>3728</v>
      </c>
      <c r="ESM617" s="17">
        <v>44925</v>
      </c>
      <c r="ESN617" s="5" t="s">
        <v>3728</v>
      </c>
      <c r="ESO617" s="17">
        <v>44925</v>
      </c>
      <c r="ESP617" s="5" t="s">
        <v>3728</v>
      </c>
      <c r="ESQ617" s="17">
        <v>44925</v>
      </c>
      <c r="ESR617" s="5" t="s">
        <v>3728</v>
      </c>
      <c r="ESS617" s="17">
        <v>44925</v>
      </c>
      <c r="EST617" s="5" t="s">
        <v>3728</v>
      </c>
      <c r="ESU617" s="17">
        <v>44925</v>
      </c>
      <c r="ESV617" s="5" t="s">
        <v>3728</v>
      </c>
      <c r="ESW617" s="17">
        <v>44925</v>
      </c>
      <c r="ESX617" s="5" t="s">
        <v>3728</v>
      </c>
      <c r="ESY617" s="17">
        <v>44925</v>
      </c>
      <c r="ESZ617" s="5" t="s">
        <v>3728</v>
      </c>
      <c r="ETA617" s="17">
        <v>44925</v>
      </c>
      <c r="ETB617" s="5" t="s">
        <v>3728</v>
      </c>
      <c r="ETC617" s="17">
        <v>44925</v>
      </c>
      <c r="ETD617" s="5" t="s">
        <v>3728</v>
      </c>
      <c r="ETE617" s="17">
        <v>44925</v>
      </c>
      <c r="ETF617" s="5" t="s">
        <v>3728</v>
      </c>
      <c r="ETG617" s="17">
        <v>44925</v>
      </c>
      <c r="ETH617" s="5" t="s">
        <v>3728</v>
      </c>
      <c r="ETI617" s="17">
        <v>44925</v>
      </c>
      <c r="ETJ617" s="5" t="s">
        <v>3728</v>
      </c>
      <c r="ETK617" s="17">
        <v>44925</v>
      </c>
      <c r="ETL617" s="5" t="s">
        <v>3728</v>
      </c>
      <c r="ETM617" s="17">
        <v>44925</v>
      </c>
      <c r="ETN617" s="5" t="s">
        <v>3728</v>
      </c>
      <c r="ETO617" s="17">
        <v>44925</v>
      </c>
      <c r="ETP617" s="5" t="s">
        <v>3728</v>
      </c>
      <c r="ETQ617" s="17">
        <v>44925</v>
      </c>
      <c r="ETR617" s="5" t="s">
        <v>3728</v>
      </c>
      <c r="ETS617" s="17">
        <v>44925</v>
      </c>
      <c r="ETT617" s="5" t="s">
        <v>3728</v>
      </c>
      <c r="ETU617" s="17">
        <v>44925</v>
      </c>
      <c r="ETV617" s="5" t="s">
        <v>3728</v>
      </c>
      <c r="ETW617" s="17">
        <v>44925</v>
      </c>
      <c r="ETX617" s="5" t="s">
        <v>3728</v>
      </c>
      <c r="ETY617" s="17">
        <v>44925</v>
      </c>
      <c r="ETZ617" s="5" t="s">
        <v>3728</v>
      </c>
      <c r="EUA617" s="17">
        <v>44925</v>
      </c>
      <c r="EUB617" s="5" t="s">
        <v>3728</v>
      </c>
      <c r="EUC617" s="17">
        <v>44925</v>
      </c>
      <c r="EUD617" s="5" t="s">
        <v>3728</v>
      </c>
      <c r="EUE617" s="17">
        <v>44925</v>
      </c>
      <c r="EUF617" s="5" t="s">
        <v>3728</v>
      </c>
      <c r="EUG617" s="17">
        <v>44925</v>
      </c>
      <c r="EUH617" s="5" t="s">
        <v>3728</v>
      </c>
      <c r="EUI617" s="17">
        <v>44925</v>
      </c>
      <c r="EUJ617" s="5" t="s">
        <v>3728</v>
      </c>
      <c r="EUK617" s="17">
        <v>44925</v>
      </c>
      <c r="EUL617" s="5" t="s">
        <v>3728</v>
      </c>
      <c r="EUM617" s="17">
        <v>44925</v>
      </c>
      <c r="EUN617" s="5" t="s">
        <v>3728</v>
      </c>
      <c r="EUO617" s="17">
        <v>44925</v>
      </c>
      <c r="EUP617" s="5" t="s">
        <v>3728</v>
      </c>
      <c r="EUQ617" s="17">
        <v>44925</v>
      </c>
      <c r="EUR617" s="5" t="s">
        <v>3728</v>
      </c>
      <c r="EUS617" s="17">
        <v>44925</v>
      </c>
      <c r="EUT617" s="5" t="s">
        <v>3728</v>
      </c>
      <c r="EUU617" s="17">
        <v>44925</v>
      </c>
      <c r="EUV617" s="5" t="s">
        <v>3728</v>
      </c>
      <c r="EUW617" s="17">
        <v>44925</v>
      </c>
      <c r="EUX617" s="5" t="s">
        <v>3728</v>
      </c>
      <c r="EUY617" s="17">
        <v>44925</v>
      </c>
      <c r="EUZ617" s="5" t="s">
        <v>3728</v>
      </c>
      <c r="EVA617" s="17">
        <v>44925</v>
      </c>
      <c r="EVB617" s="5" t="s">
        <v>3728</v>
      </c>
      <c r="EVC617" s="17">
        <v>44925</v>
      </c>
      <c r="EVD617" s="5" t="s">
        <v>3728</v>
      </c>
      <c r="EVE617" s="17">
        <v>44925</v>
      </c>
      <c r="EVF617" s="5" t="s">
        <v>3728</v>
      </c>
      <c r="EVG617" s="17">
        <v>44925</v>
      </c>
      <c r="EVH617" s="5" t="s">
        <v>3728</v>
      </c>
      <c r="EVI617" s="17">
        <v>44925</v>
      </c>
      <c r="EVJ617" s="5" t="s">
        <v>3728</v>
      </c>
      <c r="EVK617" s="17">
        <v>44925</v>
      </c>
      <c r="EVL617" s="5" t="s">
        <v>3728</v>
      </c>
      <c r="EVM617" s="17">
        <v>44925</v>
      </c>
      <c r="EVN617" s="5" t="s">
        <v>3728</v>
      </c>
      <c r="EVO617" s="17">
        <v>44925</v>
      </c>
      <c r="EVP617" s="5" t="s">
        <v>3728</v>
      </c>
      <c r="EVQ617" s="17">
        <v>44925</v>
      </c>
      <c r="EVR617" s="5" t="s">
        <v>3728</v>
      </c>
      <c r="EVS617" s="17">
        <v>44925</v>
      </c>
      <c r="EVT617" s="5" t="s">
        <v>3728</v>
      </c>
      <c r="EVU617" s="17">
        <v>44925</v>
      </c>
      <c r="EVV617" s="5" t="s">
        <v>3728</v>
      </c>
      <c r="EVW617" s="17">
        <v>44925</v>
      </c>
      <c r="EVX617" s="5" t="s">
        <v>3728</v>
      </c>
      <c r="EVY617" s="17">
        <v>44925</v>
      </c>
      <c r="EVZ617" s="5" t="s">
        <v>3728</v>
      </c>
      <c r="EWA617" s="17">
        <v>44925</v>
      </c>
      <c r="EWB617" s="5" t="s">
        <v>3728</v>
      </c>
      <c r="EWC617" s="17">
        <v>44925</v>
      </c>
      <c r="EWD617" s="5" t="s">
        <v>3728</v>
      </c>
      <c r="EWE617" s="17">
        <v>44925</v>
      </c>
      <c r="EWF617" s="5" t="s">
        <v>3728</v>
      </c>
      <c r="EWG617" s="17">
        <v>44925</v>
      </c>
      <c r="EWH617" s="5" t="s">
        <v>3728</v>
      </c>
      <c r="EWI617" s="17">
        <v>44925</v>
      </c>
      <c r="EWJ617" s="5" t="s">
        <v>3728</v>
      </c>
      <c r="EWK617" s="17">
        <v>44925</v>
      </c>
      <c r="EWL617" s="5" t="s">
        <v>3728</v>
      </c>
      <c r="EWM617" s="17">
        <v>44925</v>
      </c>
      <c r="EWN617" s="5" t="s">
        <v>3728</v>
      </c>
      <c r="EWO617" s="17">
        <v>44925</v>
      </c>
      <c r="EWP617" s="5" t="s">
        <v>3728</v>
      </c>
      <c r="EWQ617" s="17">
        <v>44925</v>
      </c>
      <c r="EWR617" s="5" t="s">
        <v>3728</v>
      </c>
      <c r="EWS617" s="17">
        <v>44925</v>
      </c>
      <c r="EWT617" s="5" t="s">
        <v>3728</v>
      </c>
      <c r="EWU617" s="17">
        <v>44925</v>
      </c>
      <c r="EWV617" s="5" t="s">
        <v>3728</v>
      </c>
      <c r="EWW617" s="17">
        <v>44925</v>
      </c>
      <c r="EWX617" s="5" t="s">
        <v>3728</v>
      </c>
      <c r="EWY617" s="17">
        <v>44925</v>
      </c>
      <c r="EWZ617" s="5" t="s">
        <v>3728</v>
      </c>
      <c r="EXA617" s="17">
        <v>44925</v>
      </c>
      <c r="EXB617" s="5" t="s">
        <v>3728</v>
      </c>
      <c r="EXC617" s="17">
        <v>44925</v>
      </c>
      <c r="EXD617" s="5" t="s">
        <v>3728</v>
      </c>
      <c r="EXE617" s="17">
        <v>44925</v>
      </c>
      <c r="EXF617" s="5" t="s">
        <v>3728</v>
      </c>
      <c r="EXG617" s="17">
        <v>44925</v>
      </c>
      <c r="EXH617" s="5" t="s">
        <v>3728</v>
      </c>
      <c r="EXI617" s="17">
        <v>44925</v>
      </c>
      <c r="EXJ617" s="5" t="s">
        <v>3728</v>
      </c>
      <c r="EXK617" s="17">
        <v>44925</v>
      </c>
      <c r="EXL617" s="5" t="s">
        <v>3728</v>
      </c>
      <c r="EXM617" s="17">
        <v>44925</v>
      </c>
      <c r="EXN617" s="5" t="s">
        <v>3728</v>
      </c>
      <c r="EXO617" s="17">
        <v>44925</v>
      </c>
      <c r="EXP617" s="5" t="s">
        <v>3728</v>
      </c>
      <c r="EXQ617" s="17">
        <v>44925</v>
      </c>
      <c r="EXR617" s="5" t="s">
        <v>3728</v>
      </c>
      <c r="EXS617" s="17">
        <v>44925</v>
      </c>
      <c r="EXT617" s="5" t="s">
        <v>3728</v>
      </c>
      <c r="EXU617" s="17">
        <v>44925</v>
      </c>
      <c r="EXV617" s="5" t="s">
        <v>3728</v>
      </c>
      <c r="EXW617" s="17">
        <v>44925</v>
      </c>
      <c r="EXX617" s="5" t="s">
        <v>3728</v>
      </c>
      <c r="EXY617" s="17">
        <v>44925</v>
      </c>
      <c r="EXZ617" s="5" t="s">
        <v>3728</v>
      </c>
      <c r="EYA617" s="17">
        <v>44925</v>
      </c>
      <c r="EYB617" s="5" t="s">
        <v>3728</v>
      </c>
      <c r="EYC617" s="17">
        <v>44925</v>
      </c>
      <c r="EYD617" s="5" t="s">
        <v>3728</v>
      </c>
      <c r="EYE617" s="17">
        <v>44925</v>
      </c>
      <c r="EYF617" s="5" t="s">
        <v>3728</v>
      </c>
      <c r="EYG617" s="17">
        <v>44925</v>
      </c>
      <c r="EYH617" s="5" t="s">
        <v>3728</v>
      </c>
      <c r="EYI617" s="17">
        <v>44925</v>
      </c>
      <c r="EYJ617" s="5" t="s">
        <v>3728</v>
      </c>
      <c r="EYK617" s="17">
        <v>44925</v>
      </c>
      <c r="EYL617" s="5" t="s">
        <v>3728</v>
      </c>
      <c r="EYM617" s="17">
        <v>44925</v>
      </c>
      <c r="EYN617" s="5" t="s">
        <v>3728</v>
      </c>
      <c r="EYO617" s="17">
        <v>44925</v>
      </c>
      <c r="EYP617" s="5" t="s">
        <v>3728</v>
      </c>
      <c r="EYQ617" s="17">
        <v>44925</v>
      </c>
      <c r="EYR617" s="5" t="s">
        <v>3728</v>
      </c>
      <c r="EYS617" s="17">
        <v>44925</v>
      </c>
      <c r="EYT617" s="5" t="s">
        <v>3728</v>
      </c>
      <c r="EYU617" s="17">
        <v>44925</v>
      </c>
      <c r="EYV617" s="5" t="s">
        <v>3728</v>
      </c>
      <c r="EYW617" s="17">
        <v>44925</v>
      </c>
      <c r="EYX617" s="5" t="s">
        <v>3728</v>
      </c>
      <c r="EYY617" s="17">
        <v>44925</v>
      </c>
      <c r="EYZ617" s="5" t="s">
        <v>3728</v>
      </c>
      <c r="EZA617" s="17">
        <v>44925</v>
      </c>
      <c r="EZB617" s="5" t="s">
        <v>3728</v>
      </c>
      <c r="EZC617" s="17">
        <v>44925</v>
      </c>
      <c r="EZD617" s="5" t="s">
        <v>3728</v>
      </c>
      <c r="EZE617" s="17">
        <v>44925</v>
      </c>
      <c r="EZF617" s="5" t="s">
        <v>3728</v>
      </c>
      <c r="EZG617" s="17">
        <v>44925</v>
      </c>
      <c r="EZH617" s="5" t="s">
        <v>3728</v>
      </c>
      <c r="EZI617" s="17">
        <v>44925</v>
      </c>
      <c r="EZJ617" s="5" t="s">
        <v>3728</v>
      </c>
      <c r="EZK617" s="17">
        <v>44925</v>
      </c>
      <c r="EZL617" s="5" t="s">
        <v>3728</v>
      </c>
      <c r="EZM617" s="17">
        <v>44925</v>
      </c>
      <c r="EZN617" s="5" t="s">
        <v>3728</v>
      </c>
      <c r="EZO617" s="17">
        <v>44925</v>
      </c>
      <c r="EZP617" s="5" t="s">
        <v>3728</v>
      </c>
      <c r="EZQ617" s="17">
        <v>44925</v>
      </c>
      <c r="EZR617" s="5" t="s">
        <v>3728</v>
      </c>
      <c r="EZS617" s="17">
        <v>44925</v>
      </c>
      <c r="EZT617" s="5" t="s">
        <v>3728</v>
      </c>
      <c r="EZU617" s="17">
        <v>44925</v>
      </c>
      <c r="EZV617" s="5" t="s">
        <v>3728</v>
      </c>
      <c r="EZW617" s="17">
        <v>44925</v>
      </c>
      <c r="EZX617" s="5" t="s">
        <v>3728</v>
      </c>
      <c r="EZY617" s="17">
        <v>44925</v>
      </c>
      <c r="EZZ617" s="5" t="s">
        <v>3728</v>
      </c>
      <c r="FAA617" s="17">
        <v>44925</v>
      </c>
      <c r="FAB617" s="5" t="s">
        <v>3728</v>
      </c>
      <c r="FAC617" s="17">
        <v>44925</v>
      </c>
      <c r="FAD617" s="5" t="s">
        <v>3728</v>
      </c>
      <c r="FAE617" s="17">
        <v>44925</v>
      </c>
      <c r="FAF617" s="5" t="s">
        <v>3728</v>
      </c>
      <c r="FAG617" s="17">
        <v>44925</v>
      </c>
      <c r="FAH617" s="5" t="s">
        <v>3728</v>
      </c>
      <c r="FAI617" s="17">
        <v>44925</v>
      </c>
      <c r="FAJ617" s="5" t="s">
        <v>3728</v>
      </c>
      <c r="FAK617" s="17">
        <v>44925</v>
      </c>
      <c r="FAL617" s="5" t="s">
        <v>3728</v>
      </c>
      <c r="FAM617" s="17">
        <v>44925</v>
      </c>
      <c r="FAN617" s="5" t="s">
        <v>3728</v>
      </c>
      <c r="FAO617" s="17">
        <v>44925</v>
      </c>
      <c r="FAP617" s="5" t="s">
        <v>3728</v>
      </c>
      <c r="FAQ617" s="17">
        <v>44925</v>
      </c>
      <c r="FAR617" s="5" t="s">
        <v>3728</v>
      </c>
      <c r="FAS617" s="17">
        <v>44925</v>
      </c>
      <c r="FAT617" s="5" t="s">
        <v>3728</v>
      </c>
      <c r="FAU617" s="17">
        <v>44925</v>
      </c>
      <c r="FAV617" s="5" t="s">
        <v>3728</v>
      </c>
      <c r="FAW617" s="17">
        <v>44925</v>
      </c>
      <c r="FAX617" s="5" t="s">
        <v>3728</v>
      </c>
      <c r="FAY617" s="17">
        <v>44925</v>
      </c>
      <c r="FAZ617" s="5" t="s">
        <v>3728</v>
      </c>
      <c r="FBA617" s="17">
        <v>44925</v>
      </c>
      <c r="FBB617" s="5" t="s">
        <v>3728</v>
      </c>
      <c r="FBC617" s="17">
        <v>44925</v>
      </c>
      <c r="FBD617" s="5" t="s">
        <v>3728</v>
      </c>
      <c r="FBE617" s="17">
        <v>44925</v>
      </c>
      <c r="FBF617" s="5" t="s">
        <v>3728</v>
      </c>
      <c r="FBG617" s="17">
        <v>44925</v>
      </c>
      <c r="FBH617" s="5" t="s">
        <v>3728</v>
      </c>
      <c r="FBI617" s="17">
        <v>44925</v>
      </c>
      <c r="FBJ617" s="5" t="s">
        <v>3728</v>
      </c>
      <c r="FBK617" s="17">
        <v>44925</v>
      </c>
      <c r="FBL617" s="5" t="s">
        <v>3728</v>
      </c>
      <c r="FBM617" s="17">
        <v>44925</v>
      </c>
      <c r="FBN617" s="5" t="s">
        <v>3728</v>
      </c>
      <c r="FBO617" s="17">
        <v>44925</v>
      </c>
      <c r="FBP617" s="5" t="s">
        <v>3728</v>
      </c>
      <c r="FBQ617" s="17">
        <v>44925</v>
      </c>
      <c r="FBR617" s="5" t="s">
        <v>3728</v>
      </c>
      <c r="FBS617" s="17">
        <v>44925</v>
      </c>
      <c r="FBT617" s="5" t="s">
        <v>3728</v>
      </c>
      <c r="FBU617" s="17">
        <v>44925</v>
      </c>
      <c r="FBV617" s="5" t="s">
        <v>3728</v>
      </c>
      <c r="FBW617" s="17">
        <v>44925</v>
      </c>
      <c r="FBX617" s="5" t="s">
        <v>3728</v>
      </c>
      <c r="FBY617" s="17">
        <v>44925</v>
      </c>
      <c r="FBZ617" s="5" t="s">
        <v>3728</v>
      </c>
      <c r="FCA617" s="17">
        <v>44925</v>
      </c>
      <c r="FCB617" s="5" t="s">
        <v>3728</v>
      </c>
      <c r="FCC617" s="17">
        <v>44925</v>
      </c>
      <c r="FCD617" s="5" t="s">
        <v>3728</v>
      </c>
      <c r="FCE617" s="17">
        <v>44925</v>
      </c>
      <c r="FCF617" s="5" t="s">
        <v>3728</v>
      </c>
      <c r="FCG617" s="17">
        <v>44925</v>
      </c>
      <c r="FCH617" s="5" t="s">
        <v>3728</v>
      </c>
      <c r="FCI617" s="17">
        <v>44925</v>
      </c>
      <c r="FCJ617" s="5" t="s">
        <v>3728</v>
      </c>
      <c r="FCK617" s="17">
        <v>44925</v>
      </c>
      <c r="FCL617" s="5" t="s">
        <v>3728</v>
      </c>
      <c r="FCM617" s="17">
        <v>44925</v>
      </c>
      <c r="FCN617" s="5" t="s">
        <v>3728</v>
      </c>
      <c r="FCO617" s="17">
        <v>44925</v>
      </c>
      <c r="FCP617" s="5" t="s">
        <v>3728</v>
      </c>
      <c r="FCQ617" s="17">
        <v>44925</v>
      </c>
      <c r="FCR617" s="5" t="s">
        <v>3728</v>
      </c>
      <c r="FCS617" s="17">
        <v>44925</v>
      </c>
      <c r="FCT617" s="5" t="s">
        <v>3728</v>
      </c>
      <c r="FCU617" s="17">
        <v>44925</v>
      </c>
      <c r="FCV617" s="5" t="s">
        <v>3728</v>
      </c>
      <c r="FCW617" s="17">
        <v>44925</v>
      </c>
      <c r="FCX617" s="5" t="s">
        <v>3728</v>
      </c>
      <c r="FCY617" s="17">
        <v>44925</v>
      </c>
      <c r="FCZ617" s="5" t="s">
        <v>3728</v>
      </c>
      <c r="FDA617" s="17">
        <v>44925</v>
      </c>
      <c r="FDB617" s="5" t="s">
        <v>3728</v>
      </c>
      <c r="FDC617" s="17">
        <v>44925</v>
      </c>
      <c r="FDD617" s="5" t="s">
        <v>3728</v>
      </c>
      <c r="FDE617" s="17">
        <v>44925</v>
      </c>
      <c r="FDF617" s="5" t="s">
        <v>3728</v>
      </c>
      <c r="FDG617" s="17">
        <v>44925</v>
      </c>
      <c r="FDH617" s="5" t="s">
        <v>3728</v>
      </c>
      <c r="FDI617" s="17">
        <v>44925</v>
      </c>
      <c r="FDJ617" s="5" t="s">
        <v>3728</v>
      </c>
      <c r="FDK617" s="17">
        <v>44925</v>
      </c>
      <c r="FDL617" s="5" t="s">
        <v>3728</v>
      </c>
      <c r="FDM617" s="17">
        <v>44925</v>
      </c>
      <c r="FDN617" s="5" t="s">
        <v>3728</v>
      </c>
      <c r="FDO617" s="17">
        <v>44925</v>
      </c>
      <c r="FDP617" s="5" t="s">
        <v>3728</v>
      </c>
      <c r="FDQ617" s="17">
        <v>44925</v>
      </c>
      <c r="FDR617" s="5" t="s">
        <v>3728</v>
      </c>
      <c r="FDS617" s="17">
        <v>44925</v>
      </c>
      <c r="FDT617" s="5" t="s">
        <v>3728</v>
      </c>
      <c r="FDU617" s="17">
        <v>44925</v>
      </c>
      <c r="FDV617" s="5" t="s">
        <v>3728</v>
      </c>
      <c r="FDW617" s="17">
        <v>44925</v>
      </c>
      <c r="FDX617" s="5" t="s">
        <v>3728</v>
      </c>
      <c r="FDY617" s="17">
        <v>44925</v>
      </c>
      <c r="FDZ617" s="5" t="s">
        <v>3728</v>
      </c>
      <c r="FEA617" s="17">
        <v>44925</v>
      </c>
      <c r="FEB617" s="5" t="s">
        <v>3728</v>
      </c>
      <c r="FEC617" s="17">
        <v>44925</v>
      </c>
      <c r="FED617" s="5" t="s">
        <v>3728</v>
      </c>
      <c r="FEE617" s="17">
        <v>44925</v>
      </c>
      <c r="FEF617" s="5" t="s">
        <v>3728</v>
      </c>
      <c r="FEG617" s="17">
        <v>44925</v>
      </c>
      <c r="FEH617" s="5" t="s">
        <v>3728</v>
      </c>
      <c r="FEI617" s="17">
        <v>44925</v>
      </c>
      <c r="FEJ617" s="5" t="s">
        <v>3728</v>
      </c>
      <c r="FEK617" s="17">
        <v>44925</v>
      </c>
      <c r="FEL617" s="5" t="s">
        <v>3728</v>
      </c>
      <c r="FEM617" s="17">
        <v>44925</v>
      </c>
      <c r="FEN617" s="5" t="s">
        <v>3728</v>
      </c>
      <c r="FEO617" s="17">
        <v>44925</v>
      </c>
      <c r="FEP617" s="5" t="s">
        <v>3728</v>
      </c>
      <c r="FEQ617" s="17">
        <v>44925</v>
      </c>
      <c r="FER617" s="5" t="s">
        <v>3728</v>
      </c>
      <c r="FES617" s="17">
        <v>44925</v>
      </c>
      <c r="FET617" s="5" t="s">
        <v>3728</v>
      </c>
      <c r="FEU617" s="17">
        <v>44925</v>
      </c>
      <c r="FEV617" s="5" t="s">
        <v>3728</v>
      </c>
      <c r="FEW617" s="17">
        <v>44925</v>
      </c>
      <c r="FEX617" s="5" t="s">
        <v>3728</v>
      </c>
      <c r="FEY617" s="17">
        <v>44925</v>
      </c>
      <c r="FEZ617" s="5" t="s">
        <v>3728</v>
      </c>
      <c r="FFA617" s="17">
        <v>44925</v>
      </c>
      <c r="FFB617" s="5" t="s">
        <v>3728</v>
      </c>
      <c r="FFC617" s="17">
        <v>44925</v>
      </c>
      <c r="FFD617" s="5" t="s">
        <v>3728</v>
      </c>
      <c r="FFE617" s="17">
        <v>44925</v>
      </c>
      <c r="FFF617" s="5" t="s">
        <v>3728</v>
      </c>
      <c r="FFG617" s="17">
        <v>44925</v>
      </c>
      <c r="FFH617" s="5" t="s">
        <v>3728</v>
      </c>
      <c r="FFI617" s="17">
        <v>44925</v>
      </c>
      <c r="FFJ617" s="5" t="s">
        <v>3728</v>
      </c>
      <c r="FFK617" s="17">
        <v>44925</v>
      </c>
      <c r="FFL617" s="5" t="s">
        <v>3728</v>
      </c>
      <c r="FFM617" s="17">
        <v>44925</v>
      </c>
      <c r="FFN617" s="5" t="s">
        <v>3728</v>
      </c>
      <c r="FFO617" s="17">
        <v>44925</v>
      </c>
      <c r="FFP617" s="5" t="s">
        <v>3728</v>
      </c>
      <c r="FFQ617" s="17">
        <v>44925</v>
      </c>
      <c r="FFR617" s="5" t="s">
        <v>3728</v>
      </c>
      <c r="FFS617" s="17">
        <v>44925</v>
      </c>
      <c r="FFT617" s="5" t="s">
        <v>3728</v>
      </c>
      <c r="FFU617" s="17">
        <v>44925</v>
      </c>
      <c r="FFV617" s="5" t="s">
        <v>3728</v>
      </c>
      <c r="FFW617" s="17">
        <v>44925</v>
      </c>
      <c r="FFX617" s="5" t="s">
        <v>3728</v>
      </c>
      <c r="FFY617" s="17">
        <v>44925</v>
      </c>
      <c r="FFZ617" s="5" t="s">
        <v>3728</v>
      </c>
      <c r="FGA617" s="17">
        <v>44925</v>
      </c>
      <c r="FGB617" s="5" t="s">
        <v>3728</v>
      </c>
      <c r="FGC617" s="17">
        <v>44925</v>
      </c>
      <c r="FGD617" s="5" t="s">
        <v>3728</v>
      </c>
      <c r="FGE617" s="17">
        <v>44925</v>
      </c>
      <c r="FGF617" s="5" t="s">
        <v>3728</v>
      </c>
      <c r="FGG617" s="17">
        <v>44925</v>
      </c>
      <c r="FGH617" s="5" t="s">
        <v>3728</v>
      </c>
      <c r="FGI617" s="17">
        <v>44925</v>
      </c>
      <c r="FGJ617" s="5" t="s">
        <v>3728</v>
      </c>
      <c r="FGK617" s="17">
        <v>44925</v>
      </c>
      <c r="FGL617" s="5" t="s">
        <v>3728</v>
      </c>
      <c r="FGM617" s="17">
        <v>44925</v>
      </c>
      <c r="FGN617" s="5" t="s">
        <v>3728</v>
      </c>
      <c r="FGO617" s="17">
        <v>44925</v>
      </c>
      <c r="FGP617" s="5" t="s">
        <v>3728</v>
      </c>
      <c r="FGQ617" s="17">
        <v>44925</v>
      </c>
      <c r="FGR617" s="5" t="s">
        <v>3728</v>
      </c>
      <c r="FGS617" s="17">
        <v>44925</v>
      </c>
      <c r="FGT617" s="5" t="s">
        <v>3728</v>
      </c>
      <c r="FGU617" s="17">
        <v>44925</v>
      </c>
      <c r="FGV617" s="5" t="s">
        <v>3728</v>
      </c>
      <c r="FGW617" s="17">
        <v>44925</v>
      </c>
      <c r="FGX617" s="5" t="s">
        <v>3728</v>
      </c>
      <c r="FGY617" s="17">
        <v>44925</v>
      </c>
      <c r="FGZ617" s="5" t="s">
        <v>3728</v>
      </c>
      <c r="FHA617" s="17">
        <v>44925</v>
      </c>
      <c r="FHB617" s="5" t="s">
        <v>3728</v>
      </c>
      <c r="FHC617" s="17">
        <v>44925</v>
      </c>
      <c r="FHD617" s="5" t="s">
        <v>3728</v>
      </c>
      <c r="FHE617" s="17">
        <v>44925</v>
      </c>
      <c r="FHF617" s="5" t="s">
        <v>3728</v>
      </c>
      <c r="FHG617" s="17">
        <v>44925</v>
      </c>
      <c r="FHH617" s="5" t="s">
        <v>3728</v>
      </c>
      <c r="FHI617" s="17">
        <v>44925</v>
      </c>
      <c r="FHJ617" s="5" t="s">
        <v>3728</v>
      </c>
      <c r="FHK617" s="17">
        <v>44925</v>
      </c>
      <c r="FHL617" s="5" t="s">
        <v>3728</v>
      </c>
      <c r="FHM617" s="17">
        <v>44925</v>
      </c>
      <c r="FHN617" s="5" t="s">
        <v>3728</v>
      </c>
      <c r="FHO617" s="17">
        <v>44925</v>
      </c>
      <c r="FHP617" s="5" t="s">
        <v>3728</v>
      </c>
      <c r="FHQ617" s="17">
        <v>44925</v>
      </c>
      <c r="FHR617" s="5" t="s">
        <v>3728</v>
      </c>
      <c r="FHS617" s="17">
        <v>44925</v>
      </c>
      <c r="FHT617" s="5" t="s">
        <v>3728</v>
      </c>
      <c r="FHU617" s="17">
        <v>44925</v>
      </c>
      <c r="FHV617" s="5" t="s">
        <v>3728</v>
      </c>
      <c r="FHW617" s="17">
        <v>44925</v>
      </c>
      <c r="FHX617" s="5" t="s">
        <v>3728</v>
      </c>
      <c r="FHY617" s="17">
        <v>44925</v>
      </c>
      <c r="FHZ617" s="5" t="s">
        <v>3728</v>
      </c>
      <c r="FIA617" s="17">
        <v>44925</v>
      </c>
      <c r="FIB617" s="5" t="s">
        <v>3728</v>
      </c>
      <c r="FIC617" s="17">
        <v>44925</v>
      </c>
      <c r="FID617" s="5" t="s">
        <v>3728</v>
      </c>
      <c r="FIE617" s="17">
        <v>44925</v>
      </c>
      <c r="FIF617" s="5" t="s">
        <v>3728</v>
      </c>
      <c r="FIG617" s="17">
        <v>44925</v>
      </c>
      <c r="FIH617" s="5" t="s">
        <v>3728</v>
      </c>
      <c r="FII617" s="17">
        <v>44925</v>
      </c>
      <c r="FIJ617" s="5" t="s">
        <v>3728</v>
      </c>
      <c r="FIK617" s="17">
        <v>44925</v>
      </c>
      <c r="FIL617" s="5" t="s">
        <v>3728</v>
      </c>
      <c r="FIM617" s="17">
        <v>44925</v>
      </c>
      <c r="FIN617" s="5" t="s">
        <v>3728</v>
      </c>
      <c r="FIO617" s="17">
        <v>44925</v>
      </c>
      <c r="FIP617" s="5" t="s">
        <v>3728</v>
      </c>
      <c r="FIQ617" s="17">
        <v>44925</v>
      </c>
      <c r="FIR617" s="5" t="s">
        <v>3728</v>
      </c>
      <c r="FIS617" s="17">
        <v>44925</v>
      </c>
      <c r="FIT617" s="5" t="s">
        <v>3728</v>
      </c>
      <c r="FIU617" s="17">
        <v>44925</v>
      </c>
      <c r="FIV617" s="5" t="s">
        <v>3728</v>
      </c>
      <c r="FIW617" s="17">
        <v>44925</v>
      </c>
      <c r="FIX617" s="5" t="s">
        <v>3728</v>
      </c>
      <c r="FIY617" s="17">
        <v>44925</v>
      </c>
      <c r="FIZ617" s="5" t="s">
        <v>3728</v>
      </c>
      <c r="FJA617" s="17">
        <v>44925</v>
      </c>
      <c r="FJB617" s="5" t="s">
        <v>3728</v>
      </c>
      <c r="FJC617" s="17">
        <v>44925</v>
      </c>
      <c r="FJD617" s="5" t="s">
        <v>3728</v>
      </c>
      <c r="FJE617" s="17">
        <v>44925</v>
      </c>
      <c r="FJF617" s="5" t="s">
        <v>3728</v>
      </c>
      <c r="FJG617" s="17">
        <v>44925</v>
      </c>
      <c r="FJH617" s="5" t="s">
        <v>3728</v>
      </c>
      <c r="FJI617" s="17">
        <v>44925</v>
      </c>
      <c r="FJJ617" s="5" t="s">
        <v>3728</v>
      </c>
      <c r="FJK617" s="17">
        <v>44925</v>
      </c>
      <c r="FJL617" s="5" t="s">
        <v>3728</v>
      </c>
      <c r="FJM617" s="17">
        <v>44925</v>
      </c>
      <c r="FJN617" s="5" t="s">
        <v>3728</v>
      </c>
      <c r="FJO617" s="17">
        <v>44925</v>
      </c>
      <c r="FJP617" s="5" t="s">
        <v>3728</v>
      </c>
      <c r="FJQ617" s="17">
        <v>44925</v>
      </c>
      <c r="FJR617" s="5" t="s">
        <v>3728</v>
      </c>
      <c r="FJS617" s="17">
        <v>44925</v>
      </c>
      <c r="FJT617" s="5" t="s">
        <v>3728</v>
      </c>
      <c r="FJU617" s="17">
        <v>44925</v>
      </c>
      <c r="FJV617" s="5" t="s">
        <v>3728</v>
      </c>
      <c r="FJW617" s="17">
        <v>44925</v>
      </c>
      <c r="FJX617" s="5" t="s">
        <v>3728</v>
      </c>
      <c r="FJY617" s="17">
        <v>44925</v>
      </c>
      <c r="FJZ617" s="5" t="s">
        <v>3728</v>
      </c>
      <c r="FKA617" s="17">
        <v>44925</v>
      </c>
      <c r="FKB617" s="5" t="s">
        <v>3728</v>
      </c>
      <c r="FKC617" s="17">
        <v>44925</v>
      </c>
      <c r="FKD617" s="5" t="s">
        <v>3728</v>
      </c>
      <c r="FKE617" s="17">
        <v>44925</v>
      </c>
      <c r="FKF617" s="5" t="s">
        <v>3728</v>
      </c>
      <c r="FKG617" s="17">
        <v>44925</v>
      </c>
      <c r="FKH617" s="5" t="s">
        <v>3728</v>
      </c>
      <c r="FKI617" s="17">
        <v>44925</v>
      </c>
      <c r="FKJ617" s="5" t="s">
        <v>3728</v>
      </c>
      <c r="FKK617" s="17">
        <v>44925</v>
      </c>
      <c r="FKL617" s="5" t="s">
        <v>3728</v>
      </c>
      <c r="FKM617" s="17">
        <v>44925</v>
      </c>
      <c r="FKN617" s="5" t="s">
        <v>3728</v>
      </c>
      <c r="FKO617" s="17">
        <v>44925</v>
      </c>
      <c r="FKP617" s="5" t="s">
        <v>3728</v>
      </c>
      <c r="FKQ617" s="17">
        <v>44925</v>
      </c>
      <c r="FKR617" s="5" t="s">
        <v>3728</v>
      </c>
      <c r="FKS617" s="17">
        <v>44925</v>
      </c>
      <c r="FKT617" s="5" t="s">
        <v>3728</v>
      </c>
      <c r="FKU617" s="17">
        <v>44925</v>
      </c>
      <c r="FKV617" s="5" t="s">
        <v>3728</v>
      </c>
      <c r="FKW617" s="17">
        <v>44925</v>
      </c>
      <c r="FKX617" s="5" t="s">
        <v>3728</v>
      </c>
      <c r="FKY617" s="17">
        <v>44925</v>
      </c>
      <c r="FKZ617" s="5" t="s">
        <v>3728</v>
      </c>
      <c r="FLA617" s="17">
        <v>44925</v>
      </c>
      <c r="FLB617" s="5" t="s">
        <v>3728</v>
      </c>
      <c r="FLC617" s="17">
        <v>44925</v>
      </c>
      <c r="FLD617" s="5" t="s">
        <v>3728</v>
      </c>
      <c r="FLE617" s="17">
        <v>44925</v>
      </c>
      <c r="FLF617" s="5" t="s">
        <v>3728</v>
      </c>
      <c r="FLG617" s="17">
        <v>44925</v>
      </c>
      <c r="FLH617" s="5" t="s">
        <v>3728</v>
      </c>
      <c r="FLI617" s="17">
        <v>44925</v>
      </c>
      <c r="FLJ617" s="5" t="s">
        <v>3728</v>
      </c>
      <c r="FLK617" s="17">
        <v>44925</v>
      </c>
      <c r="FLL617" s="5" t="s">
        <v>3728</v>
      </c>
      <c r="FLM617" s="17">
        <v>44925</v>
      </c>
      <c r="FLN617" s="5" t="s">
        <v>3728</v>
      </c>
      <c r="FLO617" s="17">
        <v>44925</v>
      </c>
      <c r="FLP617" s="5" t="s">
        <v>3728</v>
      </c>
      <c r="FLQ617" s="17">
        <v>44925</v>
      </c>
      <c r="FLR617" s="5" t="s">
        <v>3728</v>
      </c>
      <c r="FLS617" s="17">
        <v>44925</v>
      </c>
      <c r="FLT617" s="5" t="s">
        <v>3728</v>
      </c>
      <c r="FLU617" s="17">
        <v>44925</v>
      </c>
      <c r="FLV617" s="5" t="s">
        <v>3728</v>
      </c>
      <c r="FLW617" s="17">
        <v>44925</v>
      </c>
      <c r="FLX617" s="5" t="s">
        <v>3728</v>
      </c>
      <c r="FLY617" s="17">
        <v>44925</v>
      </c>
      <c r="FLZ617" s="5" t="s">
        <v>3728</v>
      </c>
      <c r="FMA617" s="17">
        <v>44925</v>
      </c>
      <c r="FMB617" s="5" t="s">
        <v>3728</v>
      </c>
      <c r="FMC617" s="17">
        <v>44925</v>
      </c>
      <c r="FMD617" s="5" t="s">
        <v>3728</v>
      </c>
      <c r="FME617" s="17">
        <v>44925</v>
      </c>
      <c r="FMF617" s="5" t="s">
        <v>3728</v>
      </c>
      <c r="FMG617" s="17">
        <v>44925</v>
      </c>
      <c r="FMH617" s="5" t="s">
        <v>3728</v>
      </c>
      <c r="FMI617" s="17">
        <v>44925</v>
      </c>
      <c r="FMJ617" s="5" t="s">
        <v>3728</v>
      </c>
      <c r="FMK617" s="17">
        <v>44925</v>
      </c>
      <c r="FML617" s="5" t="s">
        <v>3728</v>
      </c>
      <c r="FMM617" s="17">
        <v>44925</v>
      </c>
      <c r="FMN617" s="5" t="s">
        <v>3728</v>
      </c>
      <c r="FMO617" s="17">
        <v>44925</v>
      </c>
      <c r="FMP617" s="5" t="s">
        <v>3728</v>
      </c>
      <c r="FMQ617" s="17">
        <v>44925</v>
      </c>
      <c r="FMR617" s="5" t="s">
        <v>3728</v>
      </c>
      <c r="FMS617" s="17">
        <v>44925</v>
      </c>
      <c r="FMT617" s="5" t="s">
        <v>3728</v>
      </c>
      <c r="FMU617" s="17">
        <v>44925</v>
      </c>
      <c r="FMV617" s="5" t="s">
        <v>3728</v>
      </c>
      <c r="FMW617" s="17">
        <v>44925</v>
      </c>
      <c r="FMX617" s="5" t="s">
        <v>3728</v>
      </c>
      <c r="FMY617" s="17">
        <v>44925</v>
      </c>
      <c r="FMZ617" s="5" t="s">
        <v>3728</v>
      </c>
      <c r="FNA617" s="17">
        <v>44925</v>
      </c>
      <c r="FNB617" s="5" t="s">
        <v>3728</v>
      </c>
      <c r="FNC617" s="17">
        <v>44925</v>
      </c>
      <c r="FND617" s="5" t="s">
        <v>3728</v>
      </c>
      <c r="FNE617" s="17">
        <v>44925</v>
      </c>
      <c r="FNF617" s="5" t="s">
        <v>3728</v>
      </c>
      <c r="FNG617" s="17">
        <v>44925</v>
      </c>
      <c r="FNH617" s="5" t="s">
        <v>3728</v>
      </c>
      <c r="FNI617" s="17">
        <v>44925</v>
      </c>
      <c r="FNJ617" s="5" t="s">
        <v>3728</v>
      </c>
      <c r="FNK617" s="17">
        <v>44925</v>
      </c>
      <c r="FNL617" s="5" t="s">
        <v>3728</v>
      </c>
      <c r="FNM617" s="17">
        <v>44925</v>
      </c>
      <c r="FNN617" s="5" t="s">
        <v>3728</v>
      </c>
      <c r="FNO617" s="17">
        <v>44925</v>
      </c>
      <c r="FNP617" s="5" t="s">
        <v>3728</v>
      </c>
      <c r="FNQ617" s="17">
        <v>44925</v>
      </c>
      <c r="FNR617" s="5" t="s">
        <v>3728</v>
      </c>
      <c r="FNS617" s="17">
        <v>44925</v>
      </c>
      <c r="FNT617" s="5" t="s">
        <v>3728</v>
      </c>
      <c r="FNU617" s="17">
        <v>44925</v>
      </c>
      <c r="FNV617" s="5" t="s">
        <v>3728</v>
      </c>
      <c r="FNW617" s="17">
        <v>44925</v>
      </c>
      <c r="FNX617" s="5" t="s">
        <v>3728</v>
      </c>
      <c r="FNY617" s="17">
        <v>44925</v>
      </c>
      <c r="FNZ617" s="5" t="s">
        <v>3728</v>
      </c>
      <c r="FOA617" s="17">
        <v>44925</v>
      </c>
      <c r="FOB617" s="5" t="s">
        <v>3728</v>
      </c>
      <c r="FOC617" s="17">
        <v>44925</v>
      </c>
      <c r="FOD617" s="5" t="s">
        <v>3728</v>
      </c>
      <c r="FOE617" s="17">
        <v>44925</v>
      </c>
      <c r="FOF617" s="5" t="s">
        <v>3728</v>
      </c>
      <c r="FOG617" s="17">
        <v>44925</v>
      </c>
      <c r="FOH617" s="5" t="s">
        <v>3728</v>
      </c>
      <c r="FOI617" s="17">
        <v>44925</v>
      </c>
      <c r="FOJ617" s="5" t="s">
        <v>3728</v>
      </c>
      <c r="FOK617" s="17">
        <v>44925</v>
      </c>
      <c r="FOL617" s="5" t="s">
        <v>3728</v>
      </c>
      <c r="FOM617" s="17">
        <v>44925</v>
      </c>
      <c r="FON617" s="5" t="s">
        <v>3728</v>
      </c>
      <c r="FOO617" s="17">
        <v>44925</v>
      </c>
      <c r="FOP617" s="5" t="s">
        <v>3728</v>
      </c>
      <c r="FOQ617" s="17">
        <v>44925</v>
      </c>
      <c r="FOR617" s="5" t="s">
        <v>3728</v>
      </c>
      <c r="FOS617" s="17">
        <v>44925</v>
      </c>
      <c r="FOT617" s="5" t="s">
        <v>3728</v>
      </c>
      <c r="FOU617" s="17">
        <v>44925</v>
      </c>
      <c r="FOV617" s="5" t="s">
        <v>3728</v>
      </c>
      <c r="FOW617" s="17">
        <v>44925</v>
      </c>
      <c r="FOX617" s="5" t="s">
        <v>3728</v>
      </c>
      <c r="FOY617" s="17">
        <v>44925</v>
      </c>
      <c r="FOZ617" s="5" t="s">
        <v>3728</v>
      </c>
      <c r="FPA617" s="17">
        <v>44925</v>
      </c>
      <c r="FPB617" s="5" t="s">
        <v>3728</v>
      </c>
      <c r="FPC617" s="17">
        <v>44925</v>
      </c>
      <c r="FPD617" s="5" t="s">
        <v>3728</v>
      </c>
      <c r="FPE617" s="17">
        <v>44925</v>
      </c>
      <c r="FPF617" s="5" t="s">
        <v>3728</v>
      </c>
      <c r="FPG617" s="17">
        <v>44925</v>
      </c>
      <c r="FPH617" s="5" t="s">
        <v>3728</v>
      </c>
      <c r="FPI617" s="17">
        <v>44925</v>
      </c>
      <c r="FPJ617" s="5" t="s">
        <v>3728</v>
      </c>
      <c r="FPK617" s="17">
        <v>44925</v>
      </c>
      <c r="FPL617" s="5" t="s">
        <v>3728</v>
      </c>
      <c r="FPM617" s="17">
        <v>44925</v>
      </c>
      <c r="FPN617" s="5" t="s">
        <v>3728</v>
      </c>
      <c r="FPO617" s="17">
        <v>44925</v>
      </c>
      <c r="FPP617" s="5" t="s">
        <v>3728</v>
      </c>
      <c r="FPQ617" s="17">
        <v>44925</v>
      </c>
      <c r="FPR617" s="5" t="s">
        <v>3728</v>
      </c>
      <c r="FPS617" s="17">
        <v>44925</v>
      </c>
      <c r="FPT617" s="5" t="s">
        <v>3728</v>
      </c>
      <c r="FPU617" s="17">
        <v>44925</v>
      </c>
      <c r="FPV617" s="5" t="s">
        <v>3728</v>
      </c>
      <c r="FPW617" s="17">
        <v>44925</v>
      </c>
      <c r="FPX617" s="5" t="s">
        <v>3728</v>
      </c>
      <c r="FPY617" s="17">
        <v>44925</v>
      </c>
      <c r="FPZ617" s="5" t="s">
        <v>3728</v>
      </c>
      <c r="FQA617" s="17">
        <v>44925</v>
      </c>
      <c r="FQB617" s="5" t="s">
        <v>3728</v>
      </c>
      <c r="FQC617" s="17">
        <v>44925</v>
      </c>
      <c r="FQD617" s="5" t="s">
        <v>3728</v>
      </c>
      <c r="FQE617" s="17">
        <v>44925</v>
      </c>
      <c r="FQF617" s="5" t="s">
        <v>3728</v>
      </c>
      <c r="FQG617" s="17">
        <v>44925</v>
      </c>
      <c r="FQH617" s="5" t="s">
        <v>3728</v>
      </c>
      <c r="FQI617" s="17">
        <v>44925</v>
      </c>
      <c r="FQJ617" s="5" t="s">
        <v>3728</v>
      </c>
      <c r="FQK617" s="17">
        <v>44925</v>
      </c>
      <c r="FQL617" s="5" t="s">
        <v>3728</v>
      </c>
      <c r="FQM617" s="17">
        <v>44925</v>
      </c>
      <c r="FQN617" s="5" t="s">
        <v>3728</v>
      </c>
      <c r="FQO617" s="17">
        <v>44925</v>
      </c>
      <c r="FQP617" s="5" t="s">
        <v>3728</v>
      </c>
      <c r="FQQ617" s="17">
        <v>44925</v>
      </c>
      <c r="FQR617" s="5" t="s">
        <v>3728</v>
      </c>
      <c r="FQS617" s="17">
        <v>44925</v>
      </c>
      <c r="FQT617" s="5" t="s">
        <v>3728</v>
      </c>
      <c r="FQU617" s="17">
        <v>44925</v>
      </c>
      <c r="FQV617" s="5" t="s">
        <v>3728</v>
      </c>
      <c r="FQW617" s="17">
        <v>44925</v>
      </c>
      <c r="FQX617" s="5" t="s">
        <v>3728</v>
      </c>
      <c r="FQY617" s="17">
        <v>44925</v>
      </c>
      <c r="FQZ617" s="5" t="s">
        <v>3728</v>
      </c>
      <c r="FRA617" s="17">
        <v>44925</v>
      </c>
      <c r="FRB617" s="5" t="s">
        <v>3728</v>
      </c>
      <c r="FRC617" s="17">
        <v>44925</v>
      </c>
      <c r="FRD617" s="5" t="s">
        <v>3728</v>
      </c>
      <c r="FRE617" s="17">
        <v>44925</v>
      </c>
      <c r="FRF617" s="5" t="s">
        <v>3728</v>
      </c>
      <c r="FRG617" s="17">
        <v>44925</v>
      </c>
      <c r="FRH617" s="5" t="s">
        <v>3728</v>
      </c>
      <c r="FRI617" s="17">
        <v>44925</v>
      </c>
      <c r="FRJ617" s="5" t="s">
        <v>3728</v>
      </c>
      <c r="FRK617" s="17">
        <v>44925</v>
      </c>
      <c r="FRL617" s="5" t="s">
        <v>3728</v>
      </c>
      <c r="FRM617" s="17">
        <v>44925</v>
      </c>
      <c r="FRN617" s="5" t="s">
        <v>3728</v>
      </c>
      <c r="FRO617" s="17">
        <v>44925</v>
      </c>
      <c r="FRP617" s="5" t="s">
        <v>3728</v>
      </c>
      <c r="FRQ617" s="17">
        <v>44925</v>
      </c>
      <c r="FRR617" s="5" t="s">
        <v>3728</v>
      </c>
      <c r="FRS617" s="17">
        <v>44925</v>
      </c>
      <c r="FRT617" s="5" t="s">
        <v>3728</v>
      </c>
      <c r="FRU617" s="17">
        <v>44925</v>
      </c>
      <c r="FRV617" s="5" t="s">
        <v>3728</v>
      </c>
      <c r="FRW617" s="17">
        <v>44925</v>
      </c>
      <c r="FRX617" s="5" t="s">
        <v>3728</v>
      </c>
      <c r="FRY617" s="17">
        <v>44925</v>
      </c>
      <c r="FRZ617" s="5" t="s">
        <v>3728</v>
      </c>
      <c r="FSA617" s="17">
        <v>44925</v>
      </c>
      <c r="FSB617" s="5" t="s">
        <v>3728</v>
      </c>
      <c r="FSC617" s="17">
        <v>44925</v>
      </c>
      <c r="FSD617" s="5" t="s">
        <v>3728</v>
      </c>
      <c r="FSE617" s="17">
        <v>44925</v>
      </c>
      <c r="FSF617" s="5" t="s">
        <v>3728</v>
      </c>
      <c r="FSG617" s="17">
        <v>44925</v>
      </c>
      <c r="FSH617" s="5" t="s">
        <v>3728</v>
      </c>
      <c r="FSI617" s="17">
        <v>44925</v>
      </c>
      <c r="FSJ617" s="5" t="s">
        <v>3728</v>
      </c>
      <c r="FSK617" s="17">
        <v>44925</v>
      </c>
      <c r="FSL617" s="5" t="s">
        <v>3728</v>
      </c>
      <c r="FSM617" s="17">
        <v>44925</v>
      </c>
      <c r="FSN617" s="5" t="s">
        <v>3728</v>
      </c>
      <c r="FSO617" s="17">
        <v>44925</v>
      </c>
      <c r="FSP617" s="5" t="s">
        <v>3728</v>
      </c>
      <c r="FSQ617" s="17">
        <v>44925</v>
      </c>
      <c r="FSR617" s="5" t="s">
        <v>3728</v>
      </c>
      <c r="FSS617" s="17">
        <v>44925</v>
      </c>
      <c r="FST617" s="5" t="s">
        <v>3728</v>
      </c>
      <c r="FSU617" s="17">
        <v>44925</v>
      </c>
      <c r="FSV617" s="5" t="s">
        <v>3728</v>
      </c>
      <c r="FSW617" s="17">
        <v>44925</v>
      </c>
      <c r="FSX617" s="5" t="s">
        <v>3728</v>
      </c>
      <c r="FSY617" s="17">
        <v>44925</v>
      </c>
      <c r="FSZ617" s="5" t="s">
        <v>3728</v>
      </c>
      <c r="FTA617" s="17">
        <v>44925</v>
      </c>
      <c r="FTB617" s="5" t="s">
        <v>3728</v>
      </c>
      <c r="FTC617" s="17">
        <v>44925</v>
      </c>
      <c r="FTD617" s="5" t="s">
        <v>3728</v>
      </c>
      <c r="FTE617" s="17">
        <v>44925</v>
      </c>
      <c r="FTF617" s="5" t="s">
        <v>3728</v>
      </c>
      <c r="FTG617" s="17">
        <v>44925</v>
      </c>
      <c r="FTH617" s="5" t="s">
        <v>3728</v>
      </c>
      <c r="FTI617" s="17">
        <v>44925</v>
      </c>
      <c r="FTJ617" s="5" t="s">
        <v>3728</v>
      </c>
      <c r="FTK617" s="17">
        <v>44925</v>
      </c>
      <c r="FTL617" s="5" t="s">
        <v>3728</v>
      </c>
      <c r="FTM617" s="17">
        <v>44925</v>
      </c>
      <c r="FTN617" s="5" t="s">
        <v>3728</v>
      </c>
      <c r="FTO617" s="17">
        <v>44925</v>
      </c>
      <c r="FTP617" s="5" t="s">
        <v>3728</v>
      </c>
      <c r="FTQ617" s="17">
        <v>44925</v>
      </c>
      <c r="FTR617" s="5" t="s">
        <v>3728</v>
      </c>
      <c r="FTS617" s="17">
        <v>44925</v>
      </c>
      <c r="FTT617" s="5" t="s">
        <v>3728</v>
      </c>
      <c r="FTU617" s="17">
        <v>44925</v>
      </c>
      <c r="FTV617" s="5" t="s">
        <v>3728</v>
      </c>
      <c r="FTW617" s="17">
        <v>44925</v>
      </c>
      <c r="FTX617" s="5" t="s">
        <v>3728</v>
      </c>
      <c r="FTY617" s="17">
        <v>44925</v>
      </c>
      <c r="FTZ617" s="5" t="s">
        <v>3728</v>
      </c>
      <c r="FUA617" s="17">
        <v>44925</v>
      </c>
      <c r="FUB617" s="5" t="s">
        <v>3728</v>
      </c>
      <c r="FUC617" s="17">
        <v>44925</v>
      </c>
      <c r="FUD617" s="5" t="s">
        <v>3728</v>
      </c>
      <c r="FUE617" s="17">
        <v>44925</v>
      </c>
      <c r="FUF617" s="5" t="s">
        <v>3728</v>
      </c>
      <c r="FUG617" s="17">
        <v>44925</v>
      </c>
      <c r="FUH617" s="5" t="s">
        <v>3728</v>
      </c>
      <c r="FUI617" s="17">
        <v>44925</v>
      </c>
      <c r="FUJ617" s="5" t="s">
        <v>3728</v>
      </c>
      <c r="FUK617" s="17">
        <v>44925</v>
      </c>
      <c r="FUL617" s="5" t="s">
        <v>3728</v>
      </c>
      <c r="FUM617" s="17">
        <v>44925</v>
      </c>
      <c r="FUN617" s="5" t="s">
        <v>3728</v>
      </c>
      <c r="FUO617" s="17">
        <v>44925</v>
      </c>
      <c r="FUP617" s="5" t="s">
        <v>3728</v>
      </c>
      <c r="FUQ617" s="17">
        <v>44925</v>
      </c>
      <c r="FUR617" s="5" t="s">
        <v>3728</v>
      </c>
      <c r="FUS617" s="17">
        <v>44925</v>
      </c>
      <c r="FUT617" s="5" t="s">
        <v>3728</v>
      </c>
      <c r="FUU617" s="17">
        <v>44925</v>
      </c>
      <c r="FUV617" s="5" t="s">
        <v>3728</v>
      </c>
      <c r="FUW617" s="17">
        <v>44925</v>
      </c>
      <c r="FUX617" s="5" t="s">
        <v>3728</v>
      </c>
      <c r="FUY617" s="17">
        <v>44925</v>
      </c>
      <c r="FUZ617" s="5" t="s">
        <v>3728</v>
      </c>
      <c r="FVA617" s="17">
        <v>44925</v>
      </c>
      <c r="FVB617" s="5" t="s">
        <v>3728</v>
      </c>
      <c r="FVC617" s="17">
        <v>44925</v>
      </c>
      <c r="FVD617" s="5" t="s">
        <v>3728</v>
      </c>
      <c r="FVE617" s="17">
        <v>44925</v>
      </c>
      <c r="FVF617" s="5" t="s">
        <v>3728</v>
      </c>
      <c r="FVG617" s="17">
        <v>44925</v>
      </c>
      <c r="FVH617" s="5" t="s">
        <v>3728</v>
      </c>
      <c r="FVI617" s="17">
        <v>44925</v>
      </c>
      <c r="FVJ617" s="5" t="s">
        <v>3728</v>
      </c>
      <c r="FVK617" s="17">
        <v>44925</v>
      </c>
      <c r="FVL617" s="5" t="s">
        <v>3728</v>
      </c>
      <c r="FVM617" s="17">
        <v>44925</v>
      </c>
      <c r="FVN617" s="5" t="s">
        <v>3728</v>
      </c>
      <c r="FVO617" s="17">
        <v>44925</v>
      </c>
      <c r="FVP617" s="5" t="s">
        <v>3728</v>
      </c>
      <c r="FVQ617" s="17">
        <v>44925</v>
      </c>
      <c r="FVR617" s="5" t="s">
        <v>3728</v>
      </c>
      <c r="FVS617" s="17">
        <v>44925</v>
      </c>
      <c r="FVT617" s="5" t="s">
        <v>3728</v>
      </c>
      <c r="FVU617" s="17">
        <v>44925</v>
      </c>
      <c r="FVV617" s="5" t="s">
        <v>3728</v>
      </c>
      <c r="FVW617" s="17">
        <v>44925</v>
      </c>
      <c r="FVX617" s="5" t="s">
        <v>3728</v>
      </c>
      <c r="FVY617" s="17">
        <v>44925</v>
      </c>
      <c r="FVZ617" s="5" t="s">
        <v>3728</v>
      </c>
      <c r="FWA617" s="17">
        <v>44925</v>
      </c>
      <c r="FWB617" s="5" t="s">
        <v>3728</v>
      </c>
      <c r="FWC617" s="17">
        <v>44925</v>
      </c>
      <c r="FWD617" s="5" t="s">
        <v>3728</v>
      </c>
      <c r="FWE617" s="17">
        <v>44925</v>
      </c>
      <c r="FWF617" s="5" t="s">
        <v>3728</v>
      </c>
      <c r="FWG617" s="17">
        <v>44925</v>
      </c>
      <c r="FWH617" s="5" t="s">
        <v>3728</v>
      </c>
      <c r="FWI617" s="17">
        <v>44925</v>
      </c>
      <c r="FWJ617" s="5" t="s">
        <v>3728</v>
      </c>
      <c r="FWK617" s="17">
        <v>44925</v>
      </c>
      <c r="FWL617" s="5" t="s">
        <v>3728</v>
      </c>
      <c r="FWM617" s="17">
        <v>44925</v>
      </c>
      <c r="FWN617" s="5" t="s">
        <v>3728</v>
      </c>
      <c r="FWO617" s="17">
        <v>44925</v>
      </c>
      <c r="FWP617" s="5" t="s">
        <v>3728</v>
      </c>
      <c r="FWQ617" s="17">
        <v>44925</v>
      </c>
      <c r="FWR617" s="5" t="s">
        <v>3728</v>
      </c>
      <c r="FWS617" s="17">
        <v>44925</v>
      </c>
      <c r="FWT617" s="5" t="s">
        <v>3728</v>
      </c>
      <c r="FWU617" s="17">
        <v>44925</v>
      </c>
      <c r="FWV617" s="5" t="s">
        <v>3728</v>
      </c>
      <c r="FWW617" s="17">
        <v>44925</v>
      </c>
      <c r="FWX617" s="5" t="s">
        <v>3728</v>
      </c>
      <c r="FWY617" s="17">
        <v>44925</v>
      </c>
      <c r="FWZ617" s="5" t="s">
        <v>3728</v>
      </c>
      <c r="FXA617" s="17">
        <v>44925</v>
      </c>
      <c r="FXB617" s="5" t="s">
        <v>3728</v>
      </c>
      <c r="FXC617" s="17">
        <v>44925</v>
      </c>
      <c r="FXD617" s="5" t="s">
        <v>3728</v>
      </c>
      <c r="FXE617" s="17">
        <v>44925</v>
      </c>
      <c r="FXF617" s="5" t="s">
        <v>3728</v>
      </c>
      <c r="FXG617" s="17">
        <v>44925</v>
      </c>
      <c r="FXH617" s="5" t="s">
        <v>3728</v>
      </c>
      <c r="FXI617" s="17">
        <v>44925</v>
      </c>
      <c r="FXJ617" s="5" t="s">
        <v>3728</v>
      </c>
      <c r="FXK617" s="17">
        <v>44925</v>
      </c>
      <c r="FXL617" s="5" t="s">
        <v>3728</v>
      </c>
      <c r="FXM617" s="17">
        <v>44925</v>
      </c>
      <c r="FXN617" s="5" t="s">
        <v>3728</v>
      </c>
      <c r="FXO617" s="17">
        <v>44925</v>
      </c>
      <c r="FXP617" s="5" t="s">
        <v>3728</v>
      </c>
      <c r="FXQ617" s="17">
        <v>44925</v>
      </c>
      <c r="FXR617" s="5" t="s">
        <v>3728</v>
      </c>
      <c r="FXS617" s="17">
        <v>44925</v>
      </c>
      <c r="FXT617" s="5" t="s">
        <v>3728</v>
      </c>
      <c r="FXU617" s="17">
        <v>44925</v>
      </c>
      <c r="FXV617" s="5" t="s">
        <v>3728</v>
      </c>
      <c r="FXW617" s="17">
        <v>44925</v>
      </c>
      <c r="FXX617" s="5" t="s">
        <v>3728</v>
      </c>
      <c r="FXY617" s="17">
        <v>44925</v>
      </c>
      <c r="FXZ617" s="5" t="s">
        <v>3728</v>
      </c>
      <c r="FYA617" s="17">
        <v>44925</v>
      </c>
      <c r="FYB617" s="5" t="s">
        <v>3728</v>
      </c>
      <c r="FYC617" s="17">
        <v>44925</v>
      </c>
      <c r="FYD617" s="5" t="s">
        <v>3728</v>
      </c>
      <c r="FYE617" s="17">
        <v>44925</v>
      </c>
      <c r="FYF617" s="5" t="s">
        <v>3728</v>
      </c>
      <c r="FYG617" s="17">
        <v>44925</v>
      </c>
      <c r="FYH617" s="5" t="s">
        <v>3728</v>
      </c>
      <c r="FYI617" s="17">
        <v>44925</v>
      </c>
      <c r="FYJ617" s="5" t="s">
        <v>3728</v>
      </c>
      <c r="FYK617" s="17">
        <v>44925</v>
      </c>
      <c r="FYL617" s="5" t="s">
        <v>3728</v>
      </c>
      <c r="FYM617" s="17">
        <v>44925</v>
      </c>
      <c r="FYN617" s="5" t="s">
        <v>3728</v>
      </c>
      <c r="FYO617" s="17">
        <v>44925</v>
      </c>
      <c r="FYP617" s="5" t="s">
        <v>3728</v>
      </c>
      <c r="FYQ617" s="17">
        <v>44925</v>
      </c>
      <c r="FYR617" s="5" t="s">
        <v>3728</v>
      </c>
      <c r="FYS617" s="17">
        <v>44925</v>
      </c>
      <c r="FYT617" s="5" t="s">
        <v>3728</v>
      </c>
      <c r="FYU617" s="17">
        <v>44925</v>
      </c>
      <c r="FYV617" s="5" t="s">
        <v>3728</v>
      </c>
      <c r="FYW617" s="17">
        <v>44925</v>
      </c>
      <c r="FYX617" s="5" t="s">
        <v>3728</v>
      </c>
      <c r="FYY617" s="17">
        <v>44925</v>
      </c>
      <c r="FYZ617" s="5" t="s">
        <v>3728</v>
      </c>
      <c r="FZA617" s="17">
        <v>44925</v>
      </c>
      <c r="FZB617" s="5" t="s">
        <v>3728</v>
      </c>
      <c r="FZC617" s="17">
        <v>44925</v>
      </c>
      <c r="FZD617" s="5" t="s">
        <v>3728</v>
      </c>
      <c r="FZE617" s="17">
        <v>44925</v>
      </c>
      <c r="FZF617" s="5" t="s">
        <v>3728</v>
      </c>
      <c r="FZG617" s="17">
        <v>44925</v>
      </c>
      <c r="FZH617" s="5" t="s">
        <v>3728</v>
      </c>
      <c r="FZI617" s="17">
        <v>44925</v>
      </c>
      <c r="FZJ617" s="5" t="s">
        <v>3728</v>
      </c>
      <c r="FZK617" s="17">
        <v>44925</v>
      </c>
      <c r="FZL617" s="5" t="s">
        <v>3728</v>
      </c>
      <c r="FZM617" s="17">
        <v>44925</v>
      </c>
      <c r="FZN617" s="5" t="s">
        <v>3728</v>
      </c>
      <c r="FZO617" s="17">
        <v>44925</v>
      </c>
      <c r="FZP617" s="5" t="s">
        <v>3728</v>
      </c>
      <c r="FZQ617" s="17">
        <v>44925</v>
      </c>
      <c r="FZR617" s="5" t="s">
        <v>3728</v>
      </c>
      <c r="FZS617" s="17">
        <v>44925</v>
      </c>
      <c r="FZT617" s="5" t="s">
        <v>3728</v>
      </c>
      <c r="FZU617" s="17">
        <v>44925</v>
      </c>
      <c r="FZV617" s="5" t="s">
        <v>3728</v>
      </c>
      <c r="FZW617" s="17">
        <v>44925</v>
      </c>
      <c r="FZX617" s="5" t="s">
        <v>3728</v>
      </c>
      <c r="FZY617" s="17">
        <v>44925</v>
      </c>
      <c r="FZZ617" s="5" t="s">
        <v>3728</v>
      </c>
      <c r="GAA617" s="17">
        <v>44925</v>
      </c>
      <c r="GAB617" s="5" t="s">
        <v>3728</v>
      </c>
      <c r="GAC617" s="17">
        <v>44925</v>
      </c>
      <c r="GAD617" s="5" t="s">
        <v>3728</v>
      </c>
      <c r="GAE617" s="17">
        <v>44925</v>
      </c>
      <c r="GAF617" s="5" t="s">
        <v>3728</v>
      </c>
      <c r="GAG617" s="17">
        <v>44925</v>
      </c>
      <c r="GAH617" s="5" t="s">
        <v>3728</v>
      </c>
      <c r="GAI617" s="17">
        <v>44925</v>
      </c>
      <c r="GAJ617" s="5" t="s">
        <v>3728</v>
      </c>
      <c r="GAK617" s="17">
        <v>44925</v>
      </c>
      <c r="GAL617" s="5" t="s">
        <v>3728</v>
      </c>
      <c r="GAM617" s="17">
        <v>44925</v>
      </c>
      <c r="GAN617" s="5" t="s">
        <v>3728</v>
      </c>
      <c r="GAO617" s="17">
        <v>44925</v>
      </c>
      <c r="GAP617" s="5" t="s">
        <v>3728</v>
      </c>
      <c r="GAQ617" s="17">
        <v>44925</v>
      </c>
      <c r="GAR617" s="5" t="s">
        <v>3728</v>
      </c>
      <c r="GAS617" s="17">
        <v>44925</v>
      </c>
      <c r="GAT617" s="5" t="s">
        <v>3728</v>
      </c>
      <c r="GAU617" s="17">
        <v>44925</v>
      </c>
      <c r="GAV617" s="5" t="s">
        <v>3728</v>
      </c>
      <c r="GAW617" s="17">
        <v>44925</v>
      </c>
      <c r="GAX617" s="5" t="s">
        <v>3728</v>
      </c>
      <c r="GAY617" s="17">
        <v>44925</v>
      </c>
      <c r="GAZ617" s="5" t="s">
        <v>3728</v>
      </c>
      <c r="GBA617" s="17">
        <v>44925</v>
      </c>
      <c r="GBB617" s="5" t="s">
        <v>3728</v>
      </c>
      <c r="GBC617" s="17">
        <v>44925</v>
      </c>
      <c r="GBD617" s="5" t="s">
        <v>3728</v>
      </c>
      <c r="GBE617" s="17">
        <v>44925</v>
      </c>
      <c r="GBF617" s="5" t="s">
        <v>3728</v>
      </c>
      <c r="GBG617" s="17">
        <v>44925</v>
      </c>
      <c r="GBH617" s="5" t="s">
        <v>3728</v>
      </c>
      <c r="GBI617" s="17">
        <v>44925</v>
      </c>
      <c r="GBJ617" s="5" t="s">
        <v>3728</v>
      </c>
      <c r="GBK617" s="17">
        <v>44925</v>
      </c>
      <c r="GBL617" s="5" t="s">
        <v>3728</v>
      </c>
      <c r="GBM617" s="17">
        <v>44925</v>
      </c>
      <c r="GBN617" s="5" t="s">
        <v>3728</v>
      </c>
      <c r="GBO617" s="17">
        <v>44925</v>
      </c>
      <c r="GBP617" s="5" t="s">
        <v>3728</v>
      </c>
      <c r="GBQ617" s="17">
        <v>44925</v>
      </c>
      <c r="GBR617" s="5" t="s">
        <v>3728</v>
      </c>
      <c r="GBS617" s="17">
        <v>44925</v>
      </c>
      <c r="GBT617" s="5" t="s">
        <v>3728</v>
      </c>
      <c r="GBU617" s="17">
        <v>44925</v>
      </c>
      <c r="GBV617" s="5" t="s">
        <v>3728</v>
      </c>
      <c r="GBW617" s="17">
        <v>44925</v>
      </c>
      <c r="GBX617" s="5" t="s">
        <v>3728</v>
      </c>
      <c r="GBY617" s="17">
        <v>44925</v>
      </c>
      <c r="GBZ617" s="5" t="s">
        <v>3728</v>
      </c>
      <c r="GCA617" s="17">
        <v>44925</v>
      </c>
      <c r="GCB617" s="5" t="s">
        <v>3728</v>
      </c>
      <c r="GCC617" s="17">
        <v>44925</v>
      </c>
      <c r="GCD617" s="5" t="s">
        <v>3728</v>
      </c>
      <c r="GCE617" s="17">
        <v>44925</v>
      </c>
      <c r="GCF617" s="5" t="s">
        <v>3728</v>
      </c>
      <c r="GCG617" s="17">
        <v>44925</v>
      </c>
      <c r="GCH617" s="5" t="s">
        <v>3728</v>
      </c>
      <c r="GCI617" s="17">
        <v>44925</v>
      </c>
      <c r="GCJ617" s="5" t="s">
        <v>3728</v>
      </c>
      <c r="GCK617" s="17">
        <v>44925</v>
      </c>
      <c r="GCL617" s="5" t="s">
        <v>3728</v>
      </c>
      <c r="GCM617" s="17">
        <v>44925</v>
      </c>
      <c r="GCN617" s="5" t="s">
        <v>3728</v>
      </c>
      <c r="GCO617" s="17">
        <v>44925</v>
      </c>
      <c r="GCP617" s="5" t="s">
        <v>3728</v>
      </c>
      <c r="GCQ617" s="17">
        <v>44925</v>
      </c>
      <c r="GCR617" s="5" t="s">
        <v>3728</v>
      </c>
      <c r="GCS617" s="17">
        <v>44925</v>
      </c>
      <c r="GCT617" s="5" t="s">
        <v>3728</v>
      </c>
      <c r="GCU617" s="17">
        <v>44925</v>
      </c>
      <c r="GCV617" s="5" t="s">
        <v>3728</v>
      </c>
      <c r="GCW617" s="17">
        <v>44925</v>
      </c>
      <c r="GCX617" s="5" t="s">
        <v>3728</v>
      </c>
      <c r="GCY617" s="17">
        <v>44925</v>
      </c>
      <c r="GCZ617" s="5" t="s">
        <v>3728</v>
      </c>
      <c r="GDA617" s="17">
        <v>44925</v>
      </c>
      <c r="GDB617" s="5" t="s">
        <v>3728</v>
      </c>
      <c r="GDC617" s="17">
        <v>44925</v>
      </c>
      <c r="GDD617" s="5" t="s">
        <v>3728</v>
      </c>
      <c r="GDE617" s="17">
        <v>44925</v>
      </c>
      <c r="GDF617" s="5" t="s">
        <v>3728</v>
      </c>
      <c r="GDG617" s="17">
        <v>44925</v>
      </c>
      <c r="GDH617" s="5" t="s">
        <v>3728</v>
      </c>
      <c r="GDI617" s="17">
        <v>44925</v>
      </c>
      <c r="GDJ617" s="5" t="s">
        <v>3728</v>
      </c>
      <c r="GDK617" s="17">
        <v>44925</v>
      </c>
      <c r="GDL617" s="5" t="s">
        <v>3728</v>
      </c>
      <c r="GDM617" s="17">
        <v>44925</v>
      </c>
      <c r="GDN617" s="5" t="s">
        <v>3728</v>
      </c>
      <c r="GDO617" s="17">
        <v>44925</v>
      </c>
      <c r="GDP617" s="5" t="s">
        <v>3728</v>
      </c>
      <c r="GDQ617" s="17">
        <v>44925</v>
      </c>
      <c r="GDR617" s="5" t="s">
        <v>3728</v>
      </c>
      <c r="GDS617" s="17">
        <v>44925</v>
      </c>
      <c r="GDT617" s="5" t="s">
        <v>3728</v>
      </c>
      <c r="GDU617" s="17">
        <v>44925</v>
      </c>
      <c r="GDV617" s="5" t="s">
        <v>3728</v>
      </c>
      <c r="GDW617" s="17">
        <v>44925</v>
      </c>
      <c r="GDX617" s="5" t="s">
        <v>3728</v>
      </c>
      <c r="GDY617" s="17">
        <v>44925</v>
      </c>
      <c r="GDZ617" s="5" t="s">
        <v>3728</v>
      </c>
      <c r="GEA617" s="17">
        <v>44925</v>
      </c>
      <c r="GEB617" s="5" t="s">
        <v>3728</v>
      </c>
      <c r="GEC617" s="17">
        <v>44925</v>
      </c>
      <c r="GED617" s="5" t="s">
        <v>3728</v>
      </c>
      <c r="GEE617" s="17">
        <v>44925</v>
      </c>
      <c r="GEF617" s="5" t="s">
        <v>3728</v>
      </c>
      <c r="GEG617" s="17">
        <v>44925</v>
      </c>
      <c r="GEH617" s="5" t="s">
        <v>3728</v>
      </c>
      <c r="GEI617" s="17">
        <v>44925</v>
      </c>
      <c r="GEJ617" s="5" t="s">
        <v>3728</v>
      </c>
      <c r="GEK617" s="17">
        <v>44925</v>
      </c>
      <c r="GEL617" s="5" t="s">
        <v>3728</v>
      </c>
      <c r="GEM617" s="17">
        <v>44925</v>
      </c>
      <c r="GEN617" s="5" t="s">
        <v>3728</v>
      </c>
      <c r="GEO617" s="17">
        <v>44925</v>
      </c>
      <c r="GEP617" s="5" t="s">
        <v>3728</v>
      </c>
      <c r="GEQ617" s="17">
        <v>44925</v>
      </c>
      <c r="GER617" s="5" t="s">
        <v>3728</v>
      </c>
      <c r="GES617" s="17">
        <v>44925</v>
      </c>
      <c r="GET617" s="5" t="s">
        <v>3728</v>
      </c>
      <c r="GEU617" s="17">
        <v>44925</v>
      </c>
      <c r="GEV617" s="5" t="s">
        <v>3728</v>
      </c>
      <c r="GEW617" s="17">
        <v>44925</v>
      </c>
      <c r="GEX617" s="5" t="s">
        <v>3728</v>
      </c>
      <c r="GEY617" s="17">
        <v>44925</v>
      </c>
      <c r="GEZ617" s="5" t="s">
        <v>3728</v>
      </c>
      <c r="GFA617" s="17">
        <v>44925</v>
      </c>
      <c r="GFB617" s="5" t="s">
        <v>3728</v>
      </c>
      <c r="GFC617" s="17">
        <v>44925</v>
      </c>
      <c r="GFD617" s="5" t="s">
        <v>3728</v>
      </c>
      <c r="GFE617" s="17">
        <v>44925</v>
      </c>
      <c r="GFF617" s="5" t="s">
        <v>3728</v>
      </c>
      <c r="GFG617" s="17">
        <v>44925</v>
      </c>
      <c r="GFH617" s="5" t="s">
        <v>3728</v>
      </c>
      <c r="GFI617" s="17">
        <v>44925</v>
      </c>
      <c r="GFJ617" s="5" t="s">
        <v>3728</v>
      </c>
      <c r="GFK617" s="17">
        <v>44925</v>
      </c>
      <c r="GFL617" s="5" t="s">
        <v>3728</v>
      </c>
      <c r="GFM617" s="17">
        <v>44925</v>
      </c>
      <c r="GFN617" s="5" t="s">
        <v>3728</v>
      </c>
      <c r="GFO617" s="17">
        <v>44925</v>
      </c>
      <c r="GFP617" s="5" t="s">
        <v>3728</v>
      </c>
      <c r="GFQ617" s="17">
        <v>44925</v>
      </c>
      <c r="GFR617" s="5" t="s">
        <v>3728</v>
      </c>
      <c r="GFS617" s="17">
        <v>44925</v>
      </c>
      <c r="GFT617" s="5" t="s">
        <v>3728</v>
      </c>
      <c r="GFU617" s="17">
        <v>44925</v>
      </c>
      <c r="GFV617" s="5" t="s">
        <v>3728</v>
      </c>
      <c r="GFW617" s="17">
        <v>44925</v>
      </c>
      <c r="GFX617" s="5" t="s">
        <v>3728</v>
      </c>
      <c r="GFY617" s="17">
        <v>44925</v>
      </c>
      <c r="GFZ617" s="5" t="s">
        <v>3728</v>
      </c>
      <c r="GGA617" s="17">
        <v>44925</v>
      </c>
      <c r="GGB617" s="5" t="s">
        <v>3728</v>
      </c>
      <c r="GGC617" s="17">
        <v>44925</v>
      </c>
      <c r="GGD617" s="5" t="s">
        <v>3728</v>
      </c>
      <c r="GGE617" s="17">
        <v>44925</v>
      </c>
      <c r="GGF617" s="5" t="s">
        <v>3728</v>
      </c>
      <c r="GGG617" s="17">
        <v>44925</v>
      </c>
      <c r="GGH617" s="5" t="s">
        <v>3728</v>
      </c>
      <c r="GGI617" s="17">
        <v>44925</v>
      </c>
      <c r="GGJ617" s="5" t="s">
        <v>3728</v>
      </c>
      <c r="GGK617" s="17">
        <v>44925</v>
      </c>
      <c r="GGL617" s="5" t="s">
        <v>3728</v>
      </c>
      <c r="GGM617" s="17">
        <v>44925</v>
      </c>
      <c r="GGN617" s="5" t="s">
        <v>3728</v>
      </c>
      <c r="GGO617" s="17">
        <v>44925</v>
      </c>
      <c r="GGP617" s="5" t="s">
        <v>3728</v>
      </c>
      <c r="GGQ617" s="17">
        <v>44925</v>
      </c>
      <c r="GGR617" s="5" t="s">
        <v>3728</v>
      </c>
      <c r="GGS617" s="17">
        <v>44925</v>
      </c>
      <c r="GGT617" s="5" t="s">
        <v>3728</v>
      </c>
      <c r="GGU617" s="17">
        <v>44925</v>
      </c>
      <c r="GGV617" s="5" t="s">
        <v>3728</v>
      </c>
      <c r="GGW617" s="17">
        <v>44925</v>
      </c>
      <c r="GGX617" s="5" t="s">
        <v>3728</v>
      </c>
      <c r="GGY617" s="17">
        <v>44925</v>
      </c>
      <c r="GGZ617" s="5" t="s">
        <v>3728</v>
      </c>
      <c r="GHA617" s="17">
        <v>44925</v>
      </c>
      <c r="GHB617" s="5" t="s">
        <v>3728</v>
      </c>
      <c r="GHC617" s="17">
        <v>44925</v>
      </c>
      <c r="GHD617" s="5" t="s">
        <v>3728</v>
      </c>
      <c r="GHE617" s="17">
        <v>44925</v>
      </c>
      <c r="GHF617" s="5" t="s">
        <v>3728</v>
      </c>
      <c r="GHG617" s="17">
        <v>44925</v>
      </c>
      <c r="GHH617" s="5" t="s">
        <v>3728</v>
      </c>
      <c r="GHI617" s="17">
        <v>44925</v>
      </c>
      <c r="GHJ617" s="5" t="s">
        <v>3728</v>
      </c>
      <c r="GHK617" s="17">
        <v>44925</v>
      </c>
      <c r="GHL617" s="5" t="s">
        <v>3728</v>
      </c>
      <c r="GHM617" s="17">
        <v>44925</v>
      </c>
      <c r="GHN617" s="5" t="s">
        <v>3728</v>
      </c>
      <c r="GHO617" s="17">
        <v>44925</v>
      </c>
      <c r="GHP617" s="5" t="s">
        <v>3728</v>
      </c>
      <c r="GHQ617" s="17">
        <v>44925</v>
      </c>
      <c r="GHR617" s="5" t="s">
        <v>3728</v>
      </c>
      <c r="GHS617" s="17">
        <v>44925</v>
      </c>
      <c r="GHT617" s="5" t="s">
        <v>3728</v>
      </c>
      <c r="GHU617" s="17">
        <v>44925</v>
      </c>
      <c r="GHV617" s="5" t="s">
        <v>3728</v>
      </c>
      <c r="GHW617" s="17">
        <v>44925</v>
      </c>
      <c r="GHX617" s="5" t="s">
        <v>3728</v>
      </c>
      <c r="GHY617" s="17">
        <v>44925</v>
      </c>
      <c r="GHZ617" s="5" t="s">
        <v>3728</v>
      </c>
      <c r="GIA617" s="17">
        <v>44925</v>
      </c>
      <c r="GIB617" s="5" t="s">
        <v>3728</v>
      </c>
      <c r="GIC617" s="17">
        <v>44925</v>
      </c>
      <c r="GID617" s="5" t="s">
        <v>3728</v>
      </c>
      <c r="GIE617" s="17">
        <v>44925</v>
      </c>
      <c r="GIF617" s="5" t="s">
        <v>3728</v>
      </c>
      <c r="GIG617" s="17">
        <v>44925</v>
      </c>
      <c r="GIH617" s="5" t="s">
        <v>3728</v>
      </c>
      <c r="GII617" s="17">
        <v>44925</v>
      </c>
      <c r="GIJ617" s="5" t="s">
        <v>3728</v>
      </c>
      <c r="GIK617" s="17">
        <v>44925</v>
      </c>
      <c r="GIL617" s="5" t="s">
        <v>3728</v>
      </c>
      <c r="GIM617" s="17">
        <v>44925</v>
      </c>
      <c r="GIN617" s="5" t="s">
        <v>3728</v>
      </c>
      <c r="GIO617" s="17">
        <v>44925</v>
      </c>
      <c r="GIP617" s="5" t="s">
        <v>3728</v>
      </c>
      <c r="GIQ617" s="17">
        <v>44925</v>
      </c>
      <c r="GIR617" s="5" t="s">
        <v>3728</v>
      </c>
      <c r="GIS617" s="17">
        <v>44925</v>
      </c>
      <c r="GIT617" s="5" t="s">
        <v>3728</v>
      </c>
      <c r="GIU617" s="17">
        <v>44925</v>
      </c>
      <c r="GIV617" s="5" t="s">
        <v>3728</v>
      </c>
      <c r="GIW617" s="17">
        <v>44925</v>
      </c>
      <c r="GIX617" s="5" t="s">
        <v>3728</v>
      </c>
      <c r="GIY617" s="17">
        <v>44925</v>
      </c>
      <c r="GIZ617" s="5" t="s">
        <v>3728</v>
      </c>
      <c r="GJA617" s="17">
        <v>44925</v>
      </c>
      <c r="GJB617" s="5" t="s">
        <v>3728</v>
      </c>
      <c r="GJC617" s="17">
        <v>44925</v>
      </c>
      <c r="GJD617" s="5" t="s">
        <v>3728</v>
      </c>
      <c r="GJE617" s="17">
        <v>44925</v>
      </c>
      <c r="GJF617" s="5" t="s">
        <v>3728</v>
      </c>
      <c r="GJG617" s="17">
        <v>44925</v>
      </c>
      <c r="GJH617" s="5" t="s">
        <v>3728</v>
      </c>
      <c r="GJI617" s="17">
        <v>44925</v>
      </c>
      <c r="GJJ617" s="5" t="s">
        <v>3728</v>
      </c>
      <c r="GJK617" s="17">
        <v>44925</v>
      </c>
      <c r="GJL617" s="5" t="s">
        <v>3728</v>
      </c>
      <c r="GJM617" s="17">
        <v>44925</v>
      </c>
      <c r="GJN617" s="5" t="s">
        <v>3728</v>
      </c>
      <c r="GJO617" s="17">
        <v>44925</v>
      </c>
      <c r="GJP617" s="5" t="s">
        <v>3728</v>
      </c>
      <c r="GJQ617" s="17">
        <v>44925</v>
      </c>
      <c r="GJR617" s="5" t="s">
        <v>3728</v>
      </c>
      <c r="GJS617" s="17">
        <v>44925</v>
      </c>
      <c r="GJT617" s="5" t="s">
        <v>3728</v>
      </c>
      <c r="GJU617" s="17">
        <v>44925</v>
      </c>
      <c r="GJV617" s="5" t="s">
        <v>3728</v>
      </c>
      <c r="GJW617" s="17">
        <v>44925</v>
      </c>
      <c r="GJX617" s="5" t="s">
        <v>3728</v>
      </c>
      <c r="GJY617" s="17">
        <v>44925</v>
      </c>
      <c r="GJZ617" s="5" t="s">
        <v>3728</v>
      </c>
      <c r="GKA617" s="17">
        <v>44925</v>
      </c>
      <c r="GKB617" s="5" t="s">
        <v>3728</v>
      </c>
      <c r="GKC617" s="17">
        <v>44925</v>
      </c>
      <c r="GKD617" s="5" t="s">
        <v>3728</v>
      </c>
      <c r="GKE617" s="17">
        <v>44925</v>
      </c>
      <c r="GKF617" s="5" t="s">
        <v>3728</v>
      </c>
      <c r="GKG617" s="17">
        <v>44925</v>
      </c>
      <c r="GKH617" s="5" t="s">
        <v>3728</v>
      </c>
      <c r="GKI617" s="17">
        <v>44925</v>
      </c>
      <c r="GKJ617" s="5" t="s">
        <v>3728</v>
      </c>
      <c r="GKK617" s="17">
        <v>44925</v>
      </c>
      <c r="GKL617" s="5" t="s">
        <v>3728</v>
      </c>
      <c r="GKM617" s="17">
        <v>44925</v>
      </c>
      <c r="GKN617" s="5" t="s">
        <v>3728</v>
      </c>
      <c r="GKO617" s="17">
        <v>44925</v>
      </c>
      <c r="GKP617" s="5" t="s">
        <v>3728</v>
      </c>
      <c r="GKQ617" s="17">
        <v>44925</v>
      </c>
      <c r="GKR617" s="5" t="s">
        <v>3728</v>
      </c>
      <c r="GKS617" s="17">
        <v>44925</v>
      </c>
      <c r="GKT617" s="5" t="s">
        <v>3728</v>
      </c>
      <c r="GKU617" s="17">
        <v>44925</v>
      </c>
      <c r="GKV617" s="5" t="s">
        <v>3728</v>
      </c>
      <c r="GKW617" s="17">
        <v>44925</v>
      </c>
      <c r="GKX617" s="5" t="s">
        <v>3728</v>
      </c>
      <c r="GKY617" s="17">
        <v>44925</v>
      </c>
      <c r="GKZ617" s="5" t="s">
        <v>3728</v>
      </c>
      <c r="GLA617" s="17">
        <v>44925</v>
      </c>
      <c r="GLB617" s="5" t="s">
        <v>3728</v>
      </c>
      <c r="GLC617" s="17">
        <v>44925</v>
      </c>
      <c r="GLD617" s="5" t="s">
        <v>3728</v>
      </c>
      <c r="GLE617" s="17">
        <v>44925</v>
      </c>
      <c r="GLF617" s="5" t="s">
        <v>3728</v>
      </c>
      <c r="GLG617" s="17">
        <v>44925</v>
      </c>
      <c r="GLH617" s="5" t="s">
        <v>3728</v>
      </c>
      <c r="GLI617" s="17">
        <v>44925</v>
      </c>
      <c r="GLJ617" s="5" t="s">
        <v>3728</v>
      </c>
      <c r="GLK617" s="17">
        <v>44925</v>
      </c>
      <c r="GLL617" s="5" t="s">
        <v>3728</v>
      </c>
      <c r="GLM617" s="17">
        <v>44925</v>
      </c>
      <c r="GLN617" s="5" t="s">
        <v>3728</v>
      </c>
      <c r="GLO617" s="17">
        <v>44925</v>
      </c>
      <c r="GLP617" s="5" t="s">
        <v>3728</v>
      </c>
      <c r="GLQ617" s="17">
        <v>44925</v>
      </c>
      <c r="GLR617" s="5" t="s">
        <v>3728</v>
      </c>
      <c r="GLS617" s="17">
        <v>44925</v>
      </c>
      <c r="GLT617" s="5" t="s">
        <v>3728</v>
      </c>
      <c r="GLU617" s="17">
        <v>44925</v>
      </c>
      <c r="GLV617" s="5" t="s">
        <v>3728</v>
      </c>
      <c r="GLW617" s="17">
        <v>44925</v>
      </c>
      <c r="GLX617" s="5" t="s">
        <v>3728</v>
      </c>
      <c r="GLY617" s="17">
        <v>44925</v>
      </c>
      <c r="GLZ617" s="5" t="s">
        <v>3728</v>
      </c>
      <c r="GMA617" s="17">
        <v>44925</v>
      </c>
      <c r="GMB617" s="5" t="s">
        <v>3728</v>
      </c>
      <c r="GMC617" s="17">
        <v>44925</v>
      </c>
      <c r="GMD617" s="5" t="s">
        <v>3728</v>
      </c>
      <c r="GME617" s="17">
        <v>44925</v>
      </c>
      <c r="GMF617" s="5" t="s">
        <v>3728</v>
      </c>
      <c r="GMG617" s="17">
        <v>44925</v>
      </c>
      <c r="GMH617" s="5" t="s">
        <v>3728</v>
      </c>
      <c r="GMI617" s="17">
        <v>44925</v>
      </c>
      <c r="GMJ617" s="5" t="s">
        <v>3728</v>
      </c>
      <c r="GMK617" s="17">
        <v>44925</v>
      </c>
      <c r="GML617" s="5" t="s">
        <v>3728</v>
      </c>
      <c r="GMM617" s="17">
        <v>44925</v>
      </c>
      <c r="GMN617" s="5" t="s">
        <v>3728</v>
      </c>
      <c r="GMO617" s="17">
        <v>44925</v>
      </c>
      <c r="GMP617" s="5" t="s">
        <v>3728</v>
      </c>
      <c r="GMQ617" s="17">
        <v>44925</v>
      </c>
      <c r="GMR617" s="5" t="s">
        <v>3728</v>
      </c>
      <c r="GMS617" s="17">
        <v>44925</v>
      </c>
      <c r="GMT617" s="5" t="s">
        <v>3728</v>
      </c>
      <c r="GMU617" s="17">
        <v>44925</v>
      </c>
      <c r="GMV617" s="5" t="s">
        <v>3728</v>
      </c>
      <c r="GMW617" s="17">
        <v>44925</v>
      </c>
      <c r="GMX617" s="5" t="s">
        <v>3728</v>
      </c>
      <c r="GMY617" s="17">
        <v>44925</v>
      </c>
      <c r="GMZ617" s="5" t="s">
        <v>3728</v>
      </c>
      <c r="GNA617" s="17">
        <v>44925</v>
      </c>
      <c r="GNB617" s="5" t="s">
        <v>3728</v>
      </c>
      <c r="GNC617" s="17">
        <v>44925</v>
      </c>
      <c r="GND617" s="5" t="s">
        <v>3728</v>
      </c>
      <c r="GNE617" s="17">
        <v>44925</v>
      </c>
      <c r="GNF617" s="5" t="s">
        <v>3728</v>
      </c>
      <c r="GNG617" s="17">
        <v>44925</v>
      </c>
      <c r="GNH617" s="5" t="s">
        <v>3728</v>
      </c>
      <c r="GNI617" s="17">
        <v>44925</v>
      </c>
      <c r="GNJ617" s="5" t="s">
        <v>3728</v>
      </c>
      <c r="GNK617" s="17">
        <v>44925</v>
      </c>
      <c r="GNL617" s="5" t="s">
        <v>3728</v>
      </c>
      <c r="GNM617" s="17">
        <v>44925</v>
      </c>
      <c r="GNN617" s="5" t="s">
        <v>3728</v>
      </c>
      <c r="GNO617" s="17">
        <v>44925</v>
      </c>
      <c r="GNP617" s="5" t="s">
        <v>3728</v>
      </c>
      <c r="GNQ617" s="17">
        <v>44925</v>
      </c>
      <c r="GNR617" s="5" t="s">
        <v>3728</v>
      </c>
      <c r="GNS617" s="17">
        <v>44925</v>
      </c>
      <c r="GNT617" s="5" t="s">
        <v>3728</v>
      </c>
      <c r="GNU617" s="17">
        <v>44925</v>
      </c>
      <c r="GNV617" s="5" t="s">
        <v>3728</v>
      </c>
      <c r="GNW617" s="17">
        <v>44925</v>
      </c>
      <c r="GNX617" s="5" t="s">
        <v>3728</v>
      </c>
      <c r="GNY617" s="17">
        <v>44925</v>
      </c>
      <c r="GNZ617" s="5" t="s">
        <v>3728</v>
      </c>
      <c r="GOA617" s="17">
        <v>44925</v>
      </c>
      <c r="GOB617" s="5" t="s">
        <v>3728</v>
      </c>
      <c r="GOC617" s="17">
        <v>44925</v>
      </c>
      <c r="GOD617" s="5" t="s">
        <v>3728</v>
      </c>
      <c r="GOE617" s="17">
        <v>44925</v>
      </c>
      <c r="GOF617" s="5" t="s">
        <v>3728</v>
      </c>
      <c r="GOG617" s="17">
        <v>44925</v>
      </c>
      <c r="GOH617" s="5" t="s">
        <v>3728</v>
      </c>
      <c r="GOI617" s="17">
        <v>44925</v>
      </c>
      <c r="GOJ617" s="5" t="s">
        <v>3728</v>
      </c>
      <c r="GOK617" s="17">
        <v>44925</v>
      </c>
      <c r="GOL617" s="5" t="s">
        <v>3728</v>
      </c>
      <c r="GOM617" s="17">
        <v>44925</v>
      </c>
      <c r="GON617" s="5" t="s">
        <v>3728</v>
      </c>
      <c r="GOO617" s="17">
        <v>44925</v>
      </c>
      <c r="GOP617" s="5" t="s">
        <v>3728</v>
      </c>
      <c r="GOQ617" s="17">
        <v>44925</v>
      </c>
      <c r="GOR617" s="5" t="s">
        <v>3728</v>
      </c>
      <c r="GOS617" s="17">
        <v>44925</v>
      </c>
      <c r="GOT617" s="5" t="s">
        <v>3728</v>
      </c>
      <c r="GOU617" s="17">
        <v>44925</v>
      </c>
      <c r="GOV617" s="5" t="s">
        <v>3728</v>
      </c>
      <c r="GOW617" s="17">
        <v>44925</v>
      </c>
      <c r="GOX617" s="5" t="s">
        <v>3728</v>
      </c>
      <c r="GOY617" s="17">
        <v>44925</v>
      </c>
      <c r="GOZ617" s="5" t="s">
        <v>3728</v>
      </c>
      <c r="GPA617" s="17">
        <v>44925</v>
      </c>
      <c r="GPB617" s="5" t="s">
        <v>3728</v>
      </c>
      <c r="GPC617" s="17">
        <v>44925</v>
      </c>
      <c r="GPD617" s="5" t="s">
        <v>3728</v>
      </c>
      <c r="GPE617" s="17">
        <v>44925</v>
      </c>
      <c r="GPF617" s="5" t="s">
        <v>3728</v>
      </c>
      <c r="GPG617" s="17">
        <v>44925</v>
      </c>
      <c r="GPH617" s="5" t="s">
        <v>3728</v>
      </c>
      <c r="GPI617" s="17">
        <v>44925</v>
      </c>
      <c r="GPJ617" s="5" t="s">
        <v>3728</v>
      </c>
      <c r="GPK617" s="17">
        <v>44925</v>
      </c>
      <c r="GPL617" s="5" t="s">
        <v>3728</v>
      </c>
      <c r="GPM617" s="17">
        <v>44925</v>
      </c>
      <c r="GPN617" s="5" t="s">
        <v>3728</v>
      </c>
      <c r="GPO617" s="17">
        <v>44925</v>
      </c>
      <c r="GPP617" s="5" t="s">
        <v>3728</v>
      </c>
      <c r="GPQ617" s="17">
        <v>44925</v>
      </c>
      <c r="GPR617" s="5" t="s">
        <v>3728</v>
      </c>
      <c r="GPS617" s="17">
        <v>44925</v>
      </c>
      <c r="GPT617" s="5" t="s">
        <v>3728</v>
      </c>
      <c r="GPU617" s="17">
        <v>44925</v>
      </c>
      <c r="GPV617" s="5" t="s">
        <v>3728</v>
      </c>
      <c r="GPW617" s="17">
        <v>44925</v>
      </c>
      <c r="GPX617" s="5" t="s">
        <v>3728</v>
      </c>
      <c r="GPY617" s="17">
        <v>44925</v>
      </c>
      <c r="GPZ617" s="5" t="s">
        <v>3728</v>
      </c>
      <c r="GQA617" s="17">
        <v>44925</v>
      </c>
      <c r="GQB617" s="5" t="s">
        <v>3728</v>
      </c>
      <c r="GQC617" s="17">
        <v>44925</v>
      </c>
      <c r="GQD617" s="5" t="s">
        <v>3728</v>
      </c>
      <c r="GQE617" s="17">
        <v>44925</v>
      </c>
      <c r="GQF617" s="5" t="s">
        <v>3728</v>
      </c>
      <c r="GQG617" s="17">
        <v>44925</v>
      </c>
      <c r="GQH617" s="5" t="s">
        <v>3728</v>
      </c>
      <c r="GQI617" s="17">
        <v>44925</v>
      </c>
      <c r="GQJ617" s="5" t="s">
        <v>3728</v>
      </c>
      <c r="GQK617" s="17">
        <v>44925</v>
      </c>
      <c r="GQL617" s="5" t="s">
        <v>3728</v>
      </c>
      <c r="GQM617" s="17">
        <v>44925</v>
      </c>
      <c r="GQN617" s="5" t="s">
        <v>3728</v>
      </c>
      <c r="GQO617" s="17">
        <v>44925</v>
      </c>
      <c r="GQP617" s="5" t="s">
        <v>3728</v>
      </c>
      <c r="GQQ617" s="17">
        <v>44925</v>
      </c>
      <c r="GQR617" s="5" t="s">
        <v>3728</v>
      </c>
      <c r="GQS617" s="17">
        <v>44925</v>
      </c>
      <c r="GQT617" s="5" t="s">
        <v>3728</v>
      </c>
      <c r="GQU617" s="17">
        <v>44925</v>
      </c>
      <c r="GQV617" s="5" t="s">
        <v>3728</v>
      </c>
      <c r="GQW617" s="17">
        <v>44925</v>
      </c>
      <c r="GQX617" s="5" t="s">
        <v>3728</v>
      </c>
      <c r="GQY617" s="17">
        <v>44925</v>
      </c>
      <c r="GQZ617" s="5" t="s">
        <v>3728</v>
      </c>
      <c r="GRA617" s="17">
        <v>44925</v>
      </c>
      <c r="GRB617" s="5" t="s">
        <v>3728</v>
      </c>
      <c r="GRC617" s="17">
        <v>44925</v>
      </c>
      <c r="GRD617" s="5" t="s">
        <v>3728</v>
      </c>
      <c r="GRE617" s="17">
        <v>44925</v>
      </c>
      <c r="GRF617" s="5" t="s">
        <v>3728</v>
      </c>
      <c r="GRG617" s="17">
        <v>44925</v>
      </c>
      <c r="GRH617" s="5" t="s">
        <v>3728</v>
      </c>
      <c r="GRI617" s="17">
        <v>44925</v>
      </c>
      <c r="GRJ617" s="5" t="s">
        <v>3728</v>
      </c>
      <c r="GRK617" s="17">
        <v>44925</v>
      </c>
      <c r="GRL617" s="5" t="s">
        <v>3728</v>
      </c>
      <c r="GRM617" s="17">
        <v>44925</v>
      </c>
      <c r="GRN617" s="5" t="s">
        <v>3728</v>
      </c>
      <c r="GRO617" s="17">
        <v>44925</v>
      </c>
      <c r="GRP617" s="5" t="s">
        <v>3728</v>
      </c>
      <c r="GRQ617" s="17">
        <v>44925</v>
      </c>
      <c r="GRR617" s="5" t="s">
        <v>3728</v>
      </c>
      <c r="GRS617" s="17">
        <v>44925</v>
      </c>
      <c r="GRT617" s="5" t="s">
        <v>3728</v>
      </c>
      <c r="GRU617" s="17">
        <v>44925</v>
      </c>
      <c r="GRV617" s="5" t="s">
        <v>3728</v>
      </c>
      <c r="GRW617" s="17">
        <v>44925</v>
      </c>
      <c r="GRX617" s="5" t="s">
        <v>3728</v>
      </c>
      <c r="GRY617" s="17">
        <v>44925</v>
      </c>
      <c r="GRZ617" s="5" t="s">
        <v>3728</v>
      </c>
      <c r="GSA617" s="17">
        <v>44925</v>
      </c>
      <c r="GSB617" s="5" t="s">
        <v>3728</v>
      </c>
      <c r="GSC617" s="17">
        <v>44925</v>
      </c>
      <c r="GSD617" s="5" t="s">
        <v>3728</v>
      </c>
      <c r="GSE617" s="17">
        <v>44925</v>
      </c>
      <c r="GSF617" s="5" t="s">
        <v>3728</v>
      </c>
      <c r="GSG617" s="17">
        <v>44925</v>
      </c>
      <c r="GSH617" s="5" t="s">
        <v>3728</v>
      </c>
      <c r="GSI617" s="17">
        <v>44925</v>
      </c>
      <c r="GSJ617" s="5" t="s">
        <v>3728</v>
      </c>
      <c r="GSK617" s="17">
        <v>44925</v>
      </c>
      <c r="GSL617" s="5" t="s">
        <v>3728</v>
      </c>
      <c r="GSM617" s="17">
        <v>44925</v>
      </c>
      <c r="GSN617" s="5" t="s">
        <v>3728</v>
      </c>
      <c r="GSO617" s="17">
        <v>44925</v>
      </c>
      <c r="GSP617" s="5" t="s">
        <v>3728</v>
      </c>
      <c r="GSQ617" s="17">
        <v>44925</v>
      </c>
      <c r="GSR617" s="5" t="s">
        <v>3728</v>
      </c>
      <c r="GSS617" s="17">
        <v>44925</v>
      </c>
      <c r="GST617" s="5" t="s">
        <v>3728</v>
      </c>
      <c r="GSU617" s="17">
        <v>44925</v>
      </c>
      <c r="GSV617" s="5" t="s">
        <v>3728</v>
      </c>
      <c r="GSW617" s="17">
        <v>44925</v>
      </c>
      <c r="GSX617" s="5" t="s">
        <v>3728</v>
      </c>
      <c r="GSY617" s="17">
        <v>44925</v>
      </c>
      <c r="GSZ617" s="5" t="s">
        <v>3728</v>
      </c>
      <c r="GTA617" s="17">
        <v>44925</v>
      </c>
      <c r="GTB617" s="5" t="s">
        <v>3728</v>
      </c>
      <c r="GTC617" s="17">
        <v>44925</v>
      </c>
      <c r="GTD617" s="5" t="s">
        <v>3728</v>
      </c>
      <c r="GTE617" s="17">
        <v>44925</v>
      </c>
      <c r="GTF617" s="5" t="s">
        <v>3728</v>
      </c>
      <c r="GTG617" s="17">
        <v>44925</v>
      </c>
      <c r="GTH617" s="5" t="s">
        <v>3728</v>
      </c>
      <c r="GTI617" s="17">
        <v>44925</v>
      </c>
      <c r="GTJ617" s="5" t="s">
        <v>3728</v>
      </c>
      <c r="GTK617" s="17">
        <v>44925</v>
      </c>
      <c r="GTL617" s="5" t="s">
        <v>3728</v>
      </c>
      <c r="GTM617" s="17">
        <v>44925</v>
      </c>
      <c r="GTN617" s="5" t="s">
        <v>3728</v>
      </c>
      <c r="GTO617" s="17">
        <v>44925</v>
      </c>
      <c r="GTP617" s="5" t="s">
        <v>3728</v>
      </c>
      <c r="GTQ617" s="17">
        <v>44925</v>
      </c>
      <c r="GTR617" s="5" t="s">
        <v>3728</v>
      </c>
      <c r="GTS617" s="17">
        <v>44925</v>
      </c>
      <c r="GTT617" s="5" t="s">
        <v>3728</v>
      </c>
      <c r="GTU617" s="17">
        <v>44925</v>
      </c>
      <c r="GTV617" s="5" t="s">
        <v>3728</v>
      </c>
      <c r="GTW617" s="17">
        <v>44925</v>
      </c>
      <c r="GTX617" s="5" t="s">
        <v>3728</v>
      </c>
      <c r="GTY617" s="17">
        <v>44925</v>
      </c>
      <c r="GTZ617" s="5" t="s">
        <v>3728</v>
      </c>
      <c r="GUA617" s="17">
        <v>44925</v>
      </c>
      <c r="GUB617" s="5" t="s">
        <v>3728</v>
      </c>
      <c r="GUC617" s="17">
        <v>44925</v>
      </c>
      <c r="GUD617" s="5" t="s">
        <v>3728</v>
      </c>
      <c r="GUE617" s="17">
        <v>44925</v>
      </c>
      <c r="GUF617" s="5" t="s">
        <v>3728</v>
      </c>
      <c r="GUG617" s="17">
        <v>44925</v>
      </c>
      <c r="GUH617" s="5" t="s">
        <v>3728</v>
      </c>
      <c r="GUI617" s="17">
        <v>44925</v>
      </c>
      <c r="GUJ617" s="5" t="s">
        <v>3728</v>
      </c>
      <c r="GUK617" s="17">
        <v>44925</v>
      </c>
      <c r="GUL617" s="5" t="s">
        <v>3728</v>
      </c>
      <c r="GUM617" s="17">
        <v>44925</v>
      </c>
      <c r="GUN617" s="5" t="s">
        <v>3728</v>
      </c>
      <c r="GUO617" s="17">
        <v>44925</v>
      </c>
      <c r="GUP617" s="5" t="s">
        <v>3728</v>
      </c>
      <c r="GUQ617" s="17">
        <v>44925</v>
      </c>
      <c r="GUR617" s="5" t="s">
        <v>3728</v>
      </c>
      <c r="GUS617" s="17">
        <v>44925</v>
      </c>
      <c r="GUT617" s="5" t="s">
        <v>3728</v>
      </c>
      <c r="GUU617" s="17">
        <v>44925</v>
      </c>
      <c r="GUV617" s="5" t="s">
        <v>3728</v>
      </c>
      <c r="GUW617" s="17">
        <v>44925</v>
      </c>
      <c r="GUX617" s="5" t="s">
        <v>3728</v>
      </c>
      <c r="GUY617" s="17">
        <v>44925</v>
      </c>
      <c r="GUZ617" s="5" t="s">
        <v>3728</v>
      </c>
      <c r="GVA617" s="17">
        <v>44925</v>
      </c>
      <c r="GVB617" s="5" t="s">
        <v>3728</v>
      </c>
      <c r="GVC617" s="17">
        <v>44925</v>
      </c>
      <c r="GVD617" s="5" t="s">
        <v>3728</v>
      </c>
      <c r="GVE617" s="17">
        <v>44925</v>
      </c>
      <c r="GVF617" s="5" t="s">
        <v>3728</v>
      </c>
      <c r="GVG617" s="17">
        <v>44925</v>
      </c>
      <c r="GVH617" s="5" t="s">
        <v>3728</v>
      </c>
      <c r="GVI617" s="17">
        <v>44925</v>
      </c>
      <c r="GVJ617" s="5" t="s">
        <v>3728</v>
      </c>
      <c r="GVK617" s="17">
        <v>44925</v>
      </c>
      <c r="GVL617" s="5" t="s">
        <v>3728</v>
      </c>
      <c r="GVM617" s="17">
        <v>44925</v>
      </c>
      <c r="GVN617" s="5" t="s">
        <v>3728</v>
      </c>
      <c r="GVO617" s="17">
        <v>44925</v>
      </c>
      <c r="GVP617" s="5" t="s">
        <v>3728</v>
      </c>
      <c r="GVQ617" s="17">
        <v>44925</v>
      </c>
      <c r="GVR617" s="5" t="s">
        <v>3728</v>
      </c>
      <c r="GVS617" s="17">
        <v>44925</v>
      </c>
      <c r="GVT617" s="5" t="s">
        <v>3728</v>
      </c>
      <c r="GVU617" s="17">
        <v>44925</v>
      </c>
      <c r="GVV617" s="5" t="s">
        <v>3728</v>
      </c>
      <c r="GVW617" s="17">
        <v>44925</v>
      </c>
      <c r="GVX617" s="5" t="s">
        <v>3728</v>
      </c>
      <c r="GVY617" s="17">
        <v>44925</v>
      </c>
      <c r="GVZ617" s="5" t="s">
        <v>3728</v>
      </c>
      <c r="GWA617" s="17">
        <v>44925</v>
      </c>
      <c r="GWB617" s="5" t="s">
        <v>3728</v>
      </c>
      <c r="GWC617" s="17">
        <v>44925</v>
      </c>
      <c r="GWD617" s="5" t="s">
        <v>3728</v>
      </c>
      <c r="GWE617" s="17">
        <v>44925</v>
      </c>
      <c r="GWF617" s="5" t="s">
        <v>3728</v>
      </c>
      <c r="GWG617" s="17">
        <v>44925</v>
      </c>
      <c r="GWH617" s="5" t="s">
        <v>3728</v>
      </c>
      <c r="GWI617" s="17">
        <v>44925</v>
      </c>
      <c r="GWJ617" s="5" t="s">
        <v>3728</v>
      </c>
      <c r="GWK617" s="17">
        <v>44925</v>
      </c>
      <c r="GWL617" s="5" t="s">
        <v>3728</v>
      </c>
      <c r="GWM617" s="17">
        <v>44925</v>
      </c>
      <c r="GWN617" s="5" t="s">
        <v>3728</v>
      </c>
      <c r="GWO617" s="17">
        <v>44925</v>
      </c>
      <c r="GWP617" s="5" t="s">
        <v>3728</v>
      </c>
      <c r="GWQ617" s="17">
        <v>44925</v>
      </c>
      <c r="GWR617" s="5" t="s">
        <v>3728</v>
      </c>
      <c r="GWS617" s="17">
        <v>44925</v>
      </c>
      <c r="GWT617" s="5" t="s">
        <v>3728</v>
      </c>
      <c r="GWU617" s="17">
        <v>44925</v>
      </c>
      <c r="GWV617" s="5" t="s">
        <v>3728</v>
      </c>
      <c r="GWW617" s="17">
        <v>44925</v>
      </c>
      <c r="GWX617" s="5" t="s">
        <v>3728</v>
      </c>
      <c r="GWY617" s="17">
        <v>44925</v>
      </c>
      <c r="GWZ617" s="5" t="s">
        <v>3728</v>
      </c>
      <c r="GXA617" s="17">
        <v>44925</v>
      </c>
      <c r="GXB617" s="5" t="s">
        <v>3728</v>
      </c>
      <c r="GXC617" s="17">
        <v>44925</v>
      </c>
      <c r="GXD617" s="5" t="s">
        <v>3728</v>
      </c>
      <c r="GXE617" s="17">
        <v>44925</v>
      </c>
      <c r="GXF617" s="5" t="s">
        <v>3728</v>
      </c>
      <c r="GXG617" s="17">
        <v>44925</v>
      </c>
      <c r="GXH617" s="5" t="s">
        <v>3728</v>
      </c>
      <c r="GXI617" s="17">
        <v>44925</v>
      </c>
      <c r="GXJ617" s="5" t="s">
        <v>3728</v>
      </c>
      <c r="GXK617" s="17">
        <v>44925</v>
      </c>
      <c r="GXL617" s="5" t="s">
        <v>3728</v>
      </c>
      <c r="GXM617" s="17">
        <v>44925</v>
      </c>
      <c r="GXN617" s="5" t="s">
        <v>3728</v>
      </c>
      <c r="GXO617" s="17">
        <v>44925</v>
      </c>
      <c r="GXP617" s="5" t="s">
        <v>3728</v>
      </c>
      <c r="GXQ617" s="17">
        <v>44925</v>
      </c>
      <c r="GXR617" s="5" t="s">
        <v>3728</v>
      </c>
      <c r="GXS617" s="17">
        <v>44925</v>
      </c>
      <c r="GXT617" s="5" t="s">
        <v>3728</v>
      </c>
      <c r="GXU617" s="17">
        <v>44925</v>
      </c>
      <c r="GXV617" s="5" t="s">
        <v>3728</v>
      </c>
      <c r="GXW617" s="17">
        <v>44925</v>
      </c>
      <c r="GXX617" s="5" t="s">
        <v>3728</v>
      </c>
      <c r="GXY617" s="17">
        <v>44925</v>
      </c>
      <c r="GXZ617" s="5" t="s">
        <v>3728</v>
      </c>
      <c r="GYA617" s="17">
        <v>44925</v>
      </c>
      <c r="GYB617" s="5" t="s">
        <v>3728</v>
      </c>
      <c r="GYC617" s="17">
        <v>44925</v>
      </c>
      <c r="GYD617" s="5" t="s">
        <v>3728</v>
      </c>
      <c r="GYE617" s="17">
        <v>44925</v>
      </c>
      <c r="GYF617" s="5" t="s">
        <v>3728</v>
      </c>
      <c r="GYG617" s="17">
        <v>44925</v>
      </c>
      <c r="GYH617" s="5" t="s">
        <v>3728</v>
      </c>
      <c r="GYI617" s="17">
        <v>44925</v>
      </c>
      <c r="GYJ617" s="5" t="s">
        <v>3728</v>
      </c>
      <c r="GYK617" s="17">
        <v>44925</v>
      </c>
      <c r="GYL617" s="5" t="s">
        <v>3728</v>
      </c>
      <c r="GYM617" s="17">
        <v>44925</v>
      </c>
      <c r="GYN617" s="5" t="s">
        <v>3728</v>
      </c>
      <c r="GYO617" s="17">
        <v>44925</v>
      </c>
      <c r="GYP617" s="5" t="s">
        <v>3728</v>
      </c>
      <c r="GYQ617" s="17">
        <v>44925</v>
      </c>
      <c r="GYR617" s="5" t="s">
        <v>3728</v>
      </c>
      <c r="GYS617" s="17">
        <v>44925</v>
      </c>
      <c r="GYT617" s="5" t="s">
        <v>3728</v>
      </c>
      <c r="GYU617" s="17">
        <v>44925</v>
      </c>
      <c r="GYV617" s="5" t="s">
        <v>3728</v>
      </c>
      <c r="GYW617" s="17">
        <v>44925</v>
      </c>
      <c r="GYX617" s="5" t="s">
        <v>3728</v>
      </c>
      <c r="GYY617" s="17">
        <v>44925</v>
      </c>
      <c r="GYZ617" s="5" t="s">
        <v>3728</v>
      </c>
      <c r="GZA617" s="17">
        <v>44925</v>
      </c>
      <c r="GZB617" s="5" t="s">
        <v>3728</v>
      </c>
      <c r="GZC617" s="17">
        <v>44925</v>
      </c>
      <c r="GZD617" s="5" t="s">
        <v>3728</v>
      </c>
      <c r="GZE617" s="17">
        <v>44925</v>
      </c>
      <c r="GZF617" s="5" t="s">
        <v>3728</v>
      </c>
      <c r="GZG617" s="17">
        <v>44925</v>
      </c>
      <c r="GZH617" s="5" t="s">
        <v>3728</v>
      </c>
      <c r="GZI617" s="17">
        <v>44925</v>
      </c>
      <c r="GZJ617" s="5" t="s">
        <v>3728</v>
      </c>
      <c r="GZK617" s="17">
        <v>44925</v>
      </c>
      <c r="GZL617" s="5" t="s">
        <v>3728</v>
      </c>
      <c r="GZM617" s="17">
        <v>44925</v>
      </c>
      <c r="GZN617" s="5" t="s">
        <v>3728</v>
      </c>
      <c r="GZO617" s="17">
        <v>44925</v>
      </c>
      <c r="GZP617" s="5" t="s">
        <v>3728</v>
      </c>
      <c r="GZQ617" s="17">
        <v>44925</v>
      </c>
      <c r="GZR617" s="5" t="s">
        <v>3728</v>
      </c>
      <c r="GZS617" s="17">
        <v>44925</v>
      </c>
      <c r="GZT617" s="5" t="s">
        <v>3728</v>
      </c>
      <c r="GZU617" s="17">
        <v>44925</v>
      </c>
      <c r="GZV617" s="5" t="s">
        <v>3728</v>
      </c>
      <c r="GZW617" s="17">
        <v>44925</v>
      </c>
      <c r="GZX617" s="5" t="s">
        <v>3728</v>
      </c>
      <c r="GZY617" s="17">
        <v>44925</v>
      </c>
      <c r="GZZ617" s="5" t="s">
        <v>3728</v>
      </c>
      <c r="HAA617" s="17">
        <v>44925</v>
      </c>
      <c r="HAB617" s="5" t="s">
        <v>3728</v>
      </c>
      <c r="HAC617" s="17">
        <v>44925</v>
      </c>
      <c r="HAD617" s="5" t="s">
        <v>3728</v>
      </c>
      <c r="HAE617" s="17">
        <v>44925</v>
      </c>
      <c r="HAF617" s="5" t="s">
        <v>3728</v>
      </c>
      <c r="HAG617" s="17">
        <v>44925</v>
      </c>
      <c r="HAH617" s="5" t="s">
        <v>3728</v>
      </c>
      <c r="HAI617" s="17">
        <v>44925</v>
      </c>
      <c r="HAJ617" s="5" t="s">
        <v>3728</v>
      </c>
      <c r="HAK617" s="17">
        <v>44925</v>
      </c>
      <c r="HAL617" s="5" t="s">
        <v>3728</v>
      </c>
      <c r="HAM617" s="17">
        <v>44925</v>
      </c>
      <c r="HAN617" s="5" t="s">
        <v>3728</v>
      </c>
      <c r="HAO617" s="17">
        <v>44925</v>
      </c>
      <c r="HAP617" s="5" t="s">
        <v>3728</v>
      </c>
      <c r="HAQ617" s="17">
        <v>44925</v>
      </c>
      <c r="HAR617" s="5" t="s">
        <v>3728</v>
      </c>
      <c r="HAS617" s="17">
        <v>44925</v>
      </c>
      <c r="HAT617" s="5" t="s">
        <v>3728</v>
      </c>
      <c r="HAU617" s="17">
        <v>44925</v>
      </c>
      <c r="HAV617" s="5" t="s">
        <v>3728</v>
      </c>
      <c r="HAW617" s="17">
        <v>44925</v>
      </c>
      <c r="HAX617" s="5" t="s">
        <v>3728</v>
      </c>
      <c r="HAY617" s="17">
        <v>44925</v>
      </c>
      <c r="HAZ617" s="5" t="s">
        <v>3728</v>
      </c>
      <c r="HBA617" s="17">
        <v>44925</v>
      </c>
      <c r="HBB617" s="5" t="s">
        <v>3728</v>
      </c>
      <c r="HBC617" s="17">
        <v>44925</v>
      </c>
      <c r="HBD617" s="5" t="s">
        <v>3728</v>
      </c>
      <c r="HBE617" s="17">
        <v>44925</v>
      </c>
      <c r="HBF617" s="5" t="s">
        <v>3728</v>
      </c>
      <c r="HBG617" s="17">
        <v>44925</v>
      </c>
      <c r="HBH617" s="5" t="s">
        <v>3728</v>
      </c>
      <c r="HBI617" s="17">
        <v>44925</v>
      </c>
      <c r="HBJ617" s="5" t="s">
        <v>3728</v>
      </c>
      <c r="HBK617" s="17">
        <v>44925</v>
      </c>
      <c r="HBL617" s="5" t="s">
        <v>3728</v>
      </c>
      <c r="HBM617" s="17">
        <v>44925</v>
      </c>
      <c r="HBN617" s="5" t="s">
        <v>3728</v>
      </c>
      <c r="HBO617" s="17">
        <v>44925</v>
      </c>
      <c r="HBP617" s="5" t="s">
        <v>3728</v>
      </c>
      <c r="HBQ617" s="17">
        <v>44925</v>
      </c>
      <c r="HBR617" s="5" t="s">
        <v>3728</v>
      </c>
      <c r="HBS617" s="17">
        <v>44925</v>
      </c>
      <c r="HBT617" s="5" t="s">
        <v>3728</v>
      </c>
      <c r="HBU617" s="17">
        <v>44925</v>
      </c>
      <c r="HBV617" s="5" t="s">
        <v>3728</v>
      </c>
      <c r="HBW617" s="17">
        <v>44925</v>
      </c>
      <c r="HBX617" s="5" t="s">
        <v>3728</v>
      </c>
      <c r="HBY617" s="17">
        <v>44925</v>
      </c>
      <c r="HBZ617" s="5" t="s">
        <v>3728</v>
      </c>
      <c r="HCA617" s="17">
        <v>44925</v>
      </c>
      <c r="HCB617" s="5" t="s">
        <v>3728</v>
      </c>
      <c r="HCC617" s="17">
        <v>44925</v>
      </c>
      <c r="HCD617" s="5" t="s">
        <v>3728</v>
      </c>
      <c r="HCE617" s="17">
        <v>44925</v>
      </c>
      <c r="HCF617" s="5" t="s">
        <v>3728</v>
      </c>
      <c r="HCG617" s="17">
        <v>44925</v>
      </c>
      <c r="HCH617" s="5" t="s">
        <v>3728</v>
      </c>
      <c r="HCI617" s="17">
        <v>44925</v>
      </c>
      <c r="HCJ617" s="5" t="s">
        <v>3728</v>
      </c>
      <c r="HCK617" s="17">
        <v>44925</v>
      </c>
      <c r="HCL617" s="5" t="s">
        <v>3728</v>
      </c>
      <c r="HCM617" s="17">
        <v>44925</v>
      </c>
      <c r="HCN617" s="5" t="s">
        <v>3728</v>
      </c>
      <c r="HCO617" s="17">
        <v>44925</v>
      </c>
      <c r="HCP617" s="5" t="s">
        <v>3728</v>
      </c>
      <c r="HCQ617" s="17">
        <v>44925</v>
      </c>
      <c r="HCR617" s="5" t="s">
        <v>3728</v>
      </c>
      <c r="HCS617" s="17">
        <v>44925</v>
      </c>
      <c r="HCT617" s="5" t="s">
        <v>3728</v>
      </c>
      <c r="HCU617" s="17">
        <v>44925</v>
      </c>
      <c r="HCV617" s="5" t="s">
        <v>3728</v>
      </c>
      <c r="HCW617" s="17">
        <v>44925</v>
      </c>
      <c r="HCX617" s="5" t="s">
        <v>3728</v>
      </c>
      <c r="HCY617" s="17">
        <v>44925</v>
      </c>
      <c r="HCZ617" s="5" t="s">
        <v>3728</v>
      </c>
      <c r="HDA617" s="17">
        <v>44925</v>
      </c>
      <c r="HDB617" s="5" t="s">
        <v>3728</v>
      </c>
      <c r="HDC617" s="17">
        <v>44925</v>
      </c>
      <c r="HDD617" s="5" t="s">
        <v>3728</v>
      </c>
      <c r="HDE617" s="17">
        <v>44925</v>
      </c>
      <c r="HDF617" s="5" t="s">
        <v>3728</v>
      </c>
      <c r="HDG617" s="17">
        <v>44925</v>
      </c>
      <c r="HDH617" s="5" t="s">
        <v>3728</v>
      </c>
      <c r="HDI617" s="17">
        <v>44925</v>
      </c>
      <c r="HDJ617" s="5" t="s">
        <v>3728</v>
      </c>
      <c r="HDK617" s="17">
        <v>44925</v>
      </c>
      <c r="HDL617" s="5" t="s">
        <v>3728</v>
      </c>
      <c r="HDM617" s="17">
        <v>44925</v>
      </c>
      <c r="HDN617" s="5" t="s">
        <v>3728</v>
      </c>
      <c r="HDO617" s="17">
        <v>44925</v>
      </c>
      <c r="HDP617" s="5" t="s">
        <v>3728</v>
      </c>
      <c r="HDQ617" s="17">
        <v>44925</v>
      </c>
      <c r="HDR617" s="5" t="s">
        <v>3728</v>
      </c>
      <c r="HDS617" s="17">
        <v>44925</v>
      </c>
      <c r="HDT617" s="5" t="s">
        <v>3728</v>
      </c>
      <c r="HDU617" s="17">
        <v>44925</v>
      </c>
      <c r="HDV617" s="5" t="s">
        <v>3728</v>
      </c>
      <c r="HDW617" s="17">
        <v>44925</v>
      </c>
      <c r="HDX617" s="5" t="s">
        <v>3728</v>
      </c>
      <c r="HDY617" s="17">
        <v>44925</v>
      </c>
      <c r="HDZ617" s="5" t="s">
        <v>3728</v>
      </c>
      <c r="HEA617" s="17">
        <v>44925</v>
      </c>
      <c r="HEB617" s="5" t="s">
        <v>3728</v>
      </c>
      <c r="HEC617" s="17">
        <v>44925</v>
      </c>
      <c r="HED617" s="5" t="s">
        <v>3728</v>
      </c>
      <c r="HEE617" s="17">
        <v>44925</v>
      </c>
      <c r="HEF617" s="5" t="s">
        <v>3728</v>
      </c>
      <c r="HEG617" s="17">
        <v>44925</v>
      </c>
      <c r="HEH617" s="5" t="s">
        <v>3728</v>
      </c>
      <c r="HEI617" s="17">
        <v>44925</v>
      </c>
      <c r="HEJ617" s="5" t="s">
        <v>3728</v>
      </c>
      <c r="HEK617" s="17">
        <v>44925</v>
      </c>
      <c r="HEL617" s="5" t="s">
        <v>3728</v>
      </c>
      <c r="HEM617" s="17">
        <v>44925</v>
      </c>
      <c r="HEN617" s="5" t="s">
        <v>3728</v>
      </c>
      <c r="HEO617" s="17">
        <v>44925</v>
      </c>
      <c r="HEP617" s="5" t="s">
        <v>3728</v>
      </c>
      <c r="HEQ617" s="17">
        <v>44925</v>
      </c>
      <c r="HER617" s="5" t="s">
        <v>3728</v>
      </c>
      <c r="HES617" s="17">
        <v>44925</v>
      </c>
      <c r="HET617" s="5" t="s">
        <v>3728</v>
      </c>
      <c r="HEU617" s="17">
        <v>44925</v>
      </c>
      <c r="HEV617" s="5" t="s">
        <v>3728</v>
      </c>
      <c r="HEW617" s="17">
        <v>44925</v>
      </c>
      <c r="HEX617" s="5" t="s">
        <v>3728</v>
      </c>
      <c r="HEY617" s="17">
        <v>44925</v>
      </c>
      <c r="HEZ617" s="5" t="s">
        <v>3728</v>
      </c>
      <c r="HFA617" s="17">
        <v>44925</v>
      </c>
      <c r="HFB617" s="5" t="s">
        <v>3728</v>
      </c>
      <c r="HFC617" s="17">
        <v>44925</v>
      </c>
      <c r="HFD617" s="5" t="s">
        <v>3728</v>
      </c>
      <c r="HFE617" s="17">
        <v>44925</v>
      </c>
      <c r="HFF617" s="5" t="s">
        <v>3728</v>
      </c>
      <c r="HFG617" s="17">
        <v>44925</v>
      </c>
      <c r="HFH617" s="5" t="s">
        <v>3728</v>
      </c>
      <c r="HFI617" s="17">
        <v>44925</v>
      </c>
      <c r="HFJ617" s="5" t="s">
        <v>3728</v>
      </c>
      <c r="HFK617" s="17">
        <v>44925</v>
      </c>
      <c r="HFL617" s="5" t="s">
        <v>3728</v>
      </c>
      <c r="HFM617" s="17">
        <v>44925</v>
      </c>
      <c r="HFN617" s="5" t="s">
        <v>3728</v>
      </c>
      <c r="HFO617" s="17">
        <v>44925</v>
      </c>
      <c r="HFP617" s="5" t="s">
        <v>3728</v>
      </c>
      <c r="HFQ617" s="17">
        <v>44925</v>
      </c>
      <c r="HFR617" s="5" t="s">
        <v>3728</v>
      </c>
      <c r="HFS617" s="17">
        <v>44925</v>
      </c>
      <c r="HFT617" s="5" t="s">
        <v>3728</v>
      </c>
      <c r="HFU617" s="17">
        <v>44925</v>
      </c>
      <c r="HFV617" s="5" t="s">
        <v>3728</v>
      </c>
      <c r="HFW617" s="17">
        <v>44925</v>
      </c>
      <c r="HFX617" s="5" t="s">
        <v>3728</v>
      </c>
      <c r="HFY617" s="17">
        <v>44925</v>
      </c>
      <c r="HFZ617" s="5" t="s">
        <v>3728</v>
      </c>
      <c r="HGA617" s="17">
        <v>44925</v>
      </c>
      <c r="HGB617" s="5" t="s">
        <v>3728</v>
      </c>
      <c r="HGC617" s="17">
        <v>44925</v>
      </c>
      <c r="HGD617" s="5" t="s">
        <v>3728</v>
      </c>
      <c r="HGE617" s="17">
        <v>44925</v>
      </c>
      <c r="HGF617" s="5" t="s">
        <v>3728</v>
      </c>
      <c r="HGG617" s="17">
        <v>44925</v>
      </c>
      <c r="HGH617" s="5" t="s">
        <v>3728</v>
      </c>
      <c r="HGI617" s="17">
        <v>44925</v>
      </c>
      <c r="HGJ617" s="5" t="s">
        <v>3728</v>
      </c>
      <c r="HGK617" s="17">
        <v>44925</v>
      </c>
      <c r="HGL617" s="5" t="s">
        <v>3728</v>
      </c>
      <c r="HGM617" s="17">
        <v>44925</v>
      </c>
      <c r="HGN617" s="5" t="s">
        <v>3728</v>
      </c>
      <c r="HGO617" s="17">
        <v>44925</v>
      </c>
      <c r="HGP617" s="5" t="s">
        <v>3728</v>
      </c>
      <c r="HGQ617" s="17">
        <v>44925</v>
      </c>
      <c r="HGR617" s="5" t="s">
        <v>3728</v>
      </c>
      <c r="HGS617" s="17">
        <v>44925</v>
      </c>
      <c r="HGT617" s="5" t="s">
        <v>3728</v>
      </c>
      <c r="HGU617" s="17">
        <v>44925</v>
      </c>
      <c r="HGV617" s="5" t="s">
        <v>3728</v>
      </c>
      <c r="HGW617" s="17">
        <v>44925</v>
      </c>
      <c r="HGX617" s="5" t="s">
        <v>3728</v>
      </c>
      <c r="HGY617" s="17">
        <v>44925</v>
      </c>
      <c r="HGZ617" s="5" t="s">
        <v>3728</v>
      </c>
      <c r="HHA617" s="17">
        <v>44925</v>
      </c>
      <c r="HHB617" s="5" t="s">
        <v>3728</v>
      </c>
      <c r="HHC617" s="17">
        <v>44925</v>
      </c>
      <c r="HHD617" s="5" t="s">
        <v>3728</v>
      </c>
      <c r="HHE617" s="17">
        <v>44925</v>
      </c>
      <c r="HHF617" s="5" t="s">
        <v>3728</v>
      </c>
      <c r="HHG617" s="17">
        <v>44925</v>
      </c>
      <c r="HHH617" s="5" t="s">
        <v>3728</v>
      </c>
      <c r="HHI617" s="17">
        <v>44925</v>
      </c>
      <c r="HHJ617" s="5" t="s">
        <v>3728</v>
      </c>
      <c r="HHK617" s="17">
        <v>44925</v>
      </c>
      <c r="HHL617" s="5" t="s">
        <v>3728</v>
      </c>
      <c r="HHM617" s="17">
        <v>44925</v>
      </c>
      <c r="HHN617" s="5" t="s">
        <v>3728</v>
      </c>
      <c r="HHO617" s="17">
        <v>44925</v>
      </c>
      <c r="HHP617" s="5" t="s">
        <v>3728</v>
      </c>
      <c r="HHQ617" s="17">
        <v>44925</v>
      </c>
      <c r="HHR617" s="5" t="s">
        <v>3728</v>
      </c>
      <c r="HHS617" s="17">
        <v>44925</v>
      </c>
      <c r="HHT617" s="5" t="s">
        <v>3728</v>
      </c>
      <c r="HHU617" s="17">
        <v>44925</v>
      </c>
      <c r="HHV617" s="5" t="s">
        <v>3728</v>
      </c>
      <c r="HHW617" s="17">
        <v>44925</v>
      </c>
      <c r="HHX617" s="5" t="s">
        <v>3728</v>
      </c>
      <c r="HHY617" s="17">
        <v>44925</v>
      </c>
      <c r="HHZ617" s="5" t="s">
        <v>3728</v>
      </c>
      <c r="HIA617" s="17">
        <v>44925</v>
      </c>
      <c r="HIB617" s="5" t="s">
        <v>3728</v>
      </c>
      <c r="HIC617" s="17">
        <v>44925</v>
      </c>
      <c r="HID617" s="5" t="s">
        <v>3728</v>
      </c>
      <c r="HIE617" s="17">
        <v>44925</v>
      </c>
      <c r="HIF617" s="5" t="s">
        <v>3728</v>
      </c>
      <c r="HIG617" s="17">
        <v>44925</v>
      </c>
      <c r="HIH617" s="5" t="s">
        <v>3728</v>
      </c>
      <c r="HII617" s="17">
        <v>44925</v>
      </c>
      <c r="HIJ617" s="5" t="s">
        <v>3728</v>
      </c>
      <c r="HIK617" s="17">
        <v>44925</v>
      </c>
      <c r="HIL617" s="5" t="s">
        <v>3728</v>
      </c>
      <c r="HIM617" s="17">
        <v>44925</v>
      </c>
      <c r="HIN617" s="5" t="s">
        <v>3728</v>
      </c>
      <c r="HIO617" s="17">
        <v>44925</v>
      </c>
      <c r="HIP617" s="5" t="s">
        <v>3728</v>
      </c>
      <c r="HIQ617" s="17">
        <v>44925</v>
      </c>
      <c r="HIR617" s="5" t="s">
        <v>3728</v>
      </c>
      <c r="HIS617" s="17">
        <v>44925</v>
      </c>
      <c r="HIT617" s="5" t="s">
        <v>3728</v>
      </c>
      <c r="HIU617" s="17">
        <v>44925</v>
      </c>
      <c r="HIV617" s="5" t="s">
        <v>3728</v>
      </c>
      <c r="HIW617" s="17">
        <v>44925</v>
      </c>
      <c r="HIX617" s="5" t="s">
        <v>3728</v>
      </c>
      <c r="HIY617" s="17">
        <v>44925</v>
      </c>
      <c r="HIZ617" s="5" t="s">
        <v>3728</v>
      </c>
      <c r="HJA617" s="17">
        <v>44925</v>
      </c>
      <c r="HJB617" s="5" t="s">
        <v>3728</v>
      </c>
      <c r="HJC617" s="17">
        <v>44925</v>
      </c>
      <c r="HJD617" s="5" t="s">
        <v>3728</v>
      </c>
      <c r="HJE617" s="17">
        <v>44925</v>
      </c>
      <c r="HJF617" s="5" t="s">
        <v>3728</v>
      </c>
      <c r="HJG617" s="17">
        <v>44925</v>
      </c>
      <c r="HJH617" s="5" t="s">
        <v>3728</v>
      </c>
      <c r="HJI617" s="17">
        <v>44925</v>
      </c>
      <c r="HJJ617" s="5" t="s">
        <v>3728</v>
      </c>
      <c r="HJK617" s="17">
        <v>44925</v>
      </c>
      <c r="HJL617" s="5" t="s">
        <v>3728</v>
      </c>
      <c r="HJM617" s="17">
        <v>44925</v>
      </c>
      <c r="HJN617" s="5" t="s">
        <v>3728</v>
      </c>
      <c r="HJO617" s="17">
        <v>44925</v>
      </c>
      <c r="HJP617" s="5" t="s">
        <v>3728</v>
      </c>
      <c r="HJQ617" s="17">
        <v>44925</v>
      </c>
      <c r="HJR617" s="5" t="s">
        <v>3728</v>
      </c>
      <c r="HJS617" s="17">
        <v>44925</v>
      </c>
      <c r="HJT617" s="5" t="s">
        <v>3728</v>
      </c>
      <c r="HJU617" s="17">
        <v>44925</v>
      </c>
      <c r="HJV617" s="5" t="s">
        <v>3728</v>
      </c>
      <c r="HJW617" s="17">
        <v>44925</v>
      </c>
      <c r="HJX617" s="5" t="s">
        <v>3728</v>
      </c>
      <c r="HJY617" s="17">
        <v>44925</v>
      </c>
      <c r="HJZ617" s="5" t="s">
        <v>3728</v>
      </c>
      <c r="HKA617" s="17">
        <v>44925</v>
      </c>
      <c r="HKB617" s="5" t="s">
        <v>3728</v>
      </c>
      <c r="HKC617" s="17">
        <v>44925</v>
      </c>
      <c r="HKD617" s="5" t="s">
        <v>3728</v>
      </c>
      <c r="HKE617" s="17">
        <v>44925</v>
      </c>
      <c r="HKF617" s="5" t="s">
        <v>3728</v>
      </c>
      <c r="HKG617" s="17">
        <v>44925</v>
      </c>
      <c r="HKH617" s="5" t="s">
        <v>3728</v>
      </c>
      <c r="HKI617" s="17">
        <v>44925</v>
      </c>
      <c r="HKJ617" s="5" t="s">
        <v>3728</v>
      </c>
      <c r="HKK617" s="17">
        <v>44925</v>
      </c>
      <c r="HKL617" s="5" t="s">
        <v>3728</v>
      </c>
      <c r="HKM617" s="17">
        <v>44925</v>
      </c>
      <c r="HKN617" s="5" t="s">
        <v>3728</v>
      </c>
      <c r="HKO617" s="17">
        <v>44925</v>
      </c>
      <c r="HKP617" s="5" t="s">
        <v>3728</v>
      </c>
      <c r="HKQ617" s="17">
        <v>44925</v>
      </c>
      <c r="HKR617" s="5" t="s">
        <v>3728</v>
      </c>
      <c r="HKS617" s="17">
        <v>44925</v>
      </c>
      <c r="HKT617" s="5" t="s">
        <v>3728</v>
      </c>
      <c r="HKU617" s="17">
        <v>44925</v>
      </c>
      <c r="HKV617" s="5" t="s">
        <v>3728</v>
      </c>
      <c r="HKW617" s="17">
        <v>44925</v>
      </c>
      <c r="HKX617" s="5" t="s">
        <v>3728</v>
      </c>
      <c r="HKY617" s="17">
        <v>44925</v>
      </c>
      <c r="HKZ617" s="5" t="s">
        <v>3728</v>
      </c>
      <c r="HLA617" s="17">
        <v>44925</v>
      </c>
      <c r="HLB617" s="5" t="s">
        <v>3728</v>
      </c>
      <c r="HLC617" s="17">
        <v>44925</v>
      </c>
      <c r="HLD617" s="5" t="s">
        <v>3728</v>
      </c>
      <c r="HLE617" s="17">
        <v>44925</v>
      </c>
      <c r="HLF617" s="5" t="s">
        <v>3728</v>
      </c>
      <c r="HLG617" s="17">
        <v>44925</v>
      </c>
      <c r="HLH617" s="5" t="s">
        <v>3728</v>
      </c>
      <c r="HLI617" s="17">
        <v>44925</v>
      </c>
      <c r="HLJ617" s="5" t="s">
        <v>3728</v>
      </c>
      <c r="HLK617" s="17">
        <v>44925</v>
      </c>
      <c r="HLL617" s="5" t="s">
        <v>3728</v>
      </c>
      <c r="HLM617" s="17">
        <v>44925</v>
      </c>
      <c r="HLN617" s="5" t="s">
        <v>3728</v>
      </c>
      <c r="HLO617" s="17">
        <v>44925</v>
      </c>
      <c r="HLP617" s="5" t="s">
        <v>3728</v>
      </c>
      <c r="HLQ617" s="17">
        <v>44925</v>
      </c>
      <c r="HLR617" s="5" t="s">
        <v>3728</v>
      </c>
      <c r="HLS617" s="17">
        <v>44925</v>
      </c>
      <c r="HLT617" s="5" t="s">
        <v>3728</v>
      </c>
      <c r="HLU617" s="17">
        <v>44925</v>
      </c>
      <c r="HLV617" s="5" t="s">
        <v>3728</v>
      </c>
      <c r="HLW617" s="17">
        <v>44925</v>
      </c>
      <c r="HLX617" s="5" t="s">
        <v>3728</v>
      </c>
      <c r="HLY617" s="17">
        <v>44925</v>
      </c>
      <c r="HLZ617" s="5" t="s">
        <v>3728</v>
      </c>
      <c r="HMA617" s="17">
        <v>44925</v>
      </c>
      <c r="HMB617" s="5" t="s">
        <v>3728</v>
      </c>
      <c r="HMC617" s="17">
        <v>44925</v>
      </c>
      <c r="HMD617" s="5" t="s">
        <v>3728</v>
      </c>
      <c r="HME617" s="17">
        <v>44925</v>
      </c>
      <c r="HMF617" s="5" t="s">
        <v>3728</v>
      </c>
      <c r="HMG617" s="17">
        <v>44925</v>
      </c>
      <c r="HMH617" s="5" t="s">
        <v>3728</v>
      </c>
      <c r="HMI617" s="17">
        <v>44925</v>
      </c>
      <c r="HMJ617" s="5" t="s">
        <v>3728</v>
      </c>
      <c r="HMK617" s="17">
        <v>44925</v>
      </c>
      <c r="HML617" s="5" t="s">
        <v>3728</v>
      </c>
      <c r="HMM617" s="17">
        <v>44925</v>
      </c>
      <c r="HMN617" s="5" t="s">
        <v>3728</v>
      </c>
      <c r="HMO617" s="17">
        <v>44925</v>
      </c>
      <c r="HMP617" s="5" t="s">
        <v>3728</v>
      </c>
      <c r="HMQ617" s="17">
        <v>44925</v>
      </c>
      <c r="HMR617" s="5" t="s">
        <v>3728</v>
      </c>
      <c r="HMS617" s="17">
        <v>44925</v>
      </c>
      <c r="HMT617" s="5" t="s">
        <v>3728</v>
      </c>
      <c r="HMU617" s="17">
        <v>44925</v>
      </c>
      <c r="HMV617" s="5" t="s">
        <v>3728</v>
      </c>
      <c r="HMW617" s="17">
        <v>44925</v>
      </c>
      <c r="HMX617" s="5" t="s">
        <v>3728</v>
      </c>
      <c r="HMY617" s="17">
        <v>44925</v>
      </c>
      <c r="HMZ617" s="5" t="s">
        <v>3728</v>
      </c>
      <c r="HNA617" s="17">
        <v>44925</v>
      </c>
      <c r="HNB617" s="5" t="s">
        <v>3728</v>
      </c>
      <c r="HNC617" s="17">
        <v>44925</v>
      </c>
      <c r="HND617" s="5" t="s">
        <v>3728</v>
      </c>
      <c r="HNE617" s="17">
        <v>44925</v>
      </c>
      <c r="HNF617" s="5" t="s">
        <v>3728</v>
      </c>
      <c r="HNG617" s="17">
        <v>44925</v>
      </c>
      <c r="HNH617" s="5" t="s">
        <v>3728</v>
      </c>
      <c r="HNI617" s="17">
        <v>44925</v>
      </c>
      <c r="HNJ617" s="5" t="s">
        <v>3728</v>
      </c>
      <c r="HNK617" s="17">
        <v>44925</v>
      </c>
      <c r="HNL617" s="5" t="s">
        <v>3728</v>
      </c>
      <c r="HNM617" s="17">
        <v>44925</v>
      </c>
      <c r="HNN617" s="5" t="s">
        <v>3728</v>
      </c>
      <c r="HNO617" s="17">
        <v>44925</v>
      </c>
      <c r="HNP617" s="5" t="s">
        <v>3728</v>
      </c>
      <c r="HNQ617" s="17">
        <v>44925</v>
      </c>
      <c r="HNR617" s="5" t="s">
        <v>3728</v>
      </c>
      <c r="HNS617" s="17">
        <v>44925</v>
      </c>
      <c r="HNT617" s="5" t="s">
        <v>3728</v>
      </c>
      <c r="HNU617" s="17">
        <v>44925</v>
      </c>
      <c r="HNV617" s="5" t="s">
        <v>3728</v>
      </c>
      <c r="HNW617" s="17">
        <v>44925</v>
      </c>
      <c r="HNX617" s="5" t="s">
        <v>3728</v>
      </c>
      <c r="HNY617" s="17">
        <v>44925</v>
      </c>
      <c r="HNZ617" s="5" t="s">
        <v>3728</v>
      </c>
      <c r="HOA617" s="17">
        <v>44925</v>
      </c>
      <c r="HOB617" s="5" t="s">
        <v>3728</v>
      </c>
      <c r="HOC617" s="17">
        <v>44925</v>
      </c>
      <c r="HOD617" s="5" t="s">
        <v>3728</v>
      </c>
      <c r="HOE617" s="17">
        <v>44925</v>
      </c>
      <c r="HOF617" s="5" t="s">
        <v>3728</v>
      </c>
      <c r="HOG617" s="17">
        <v>44925</v>
      </c>
      <c r="HOH617" s="5" t="s">
        <v>3728</v>
      </c>
      <c r="HOI617" s="17">
        <v>44925</v>
      </c>
      <c r="HOJ617" s="5" t="s">
        <v>3728</v>
      </c>
      <c r="HOK617" s="17">
        <v>44925</v>
      </c>
      <c r="HOL617" s="5" t="s">
        <v>3728</v>
      </c>
      <c r="HOM617" s="17">
        <v>44925</v>
      </c>
      <c r="HON617" s="5" t="s">
        <v>3728</v>
      </c>
      <c r="HOO617" s="17">
        <v>44925</v>
      </c>
      <c r="HOP617" s="5" t="s">
        <v>3728</v>
      </c>
      <c r="HOQ617" s="17">
        <v>44925</v>
      </c>
      <c r="HOR617" s="5" t="s">
        <v>3728</v>
      </c>
      <c r="HOS617" s="17">
        <v>44925</v>
      </c>
      <c r="HOT617" s="5" t="s">
        <v>3728</v>
      </c>
      <c r="HOU617" s="17">
        <v>44925</v>
      </c>
      <c r="HOV617" s="5" t="s">
        <v>3728</v>
      </c>
      <c r="HOW617" s="17">
        <v>44925</v>
      </c>
      <c r="HOX617" s="5" t="s">
        <v>3728</v>
      </c>
      <c r="HOY617" s="17">
        <v>44925</v>
      </c>
      <c r="HOZ617" s="5" t="s">
        <v>3728</v>
      </c>
      <c r="HPA617" s="17">
        <v>44925</v>
      </c>
      <c r="HPB617" s="5" t="s">
        <v>3728</v>
      </c>
      <c r="HPC617" s="17">
        <v>44925</v>
      </c>
      <c r="HPD617" s="5" t="s">
        <v>3728</v>
      </c>
      <c r="HPE617" s="17">
        <v>44925</v>
      </c>
      <c r="HPF617" s="5" t="s">
        <v>3728</v>
      </c>
      <c r="HPG617" s="17">
        <v>44925</v>
      </c>
      <c r="HPH617" s="5" t="s">
        <v>3728</v>
      </c>
      <c r="HPI617" s="17">
        <v>44925</v>
      </c>
      <c r="HPJ617" s="5" t="s">
        <v>3728</v>
      </c>
      <c r="HPK617" s="17">
        <v>44925</v>
      </c>
      <c r="HPL617" s="5" t="s">
        <v>3728</v>
      </c>
      <c r="HPM617" s="17">
        <v>44925</v>
      </c>
      <c r="HPN617" s="5" t="s">
        <v>3728</v>
      </c>
      <c r="HPO617" s="17">
        <v>44925</v>
      </c>
      <c r="HPP617" s="5" t="s">
        <v>3728</v>
      </c>
      <c r="HPQ617" s="17">
        <v>44925</v>
      </c>
      <c r="HPR617" s="5" t="s">
        <v>3728</v>
      </c>
      <c r="HPS617" s="17">
        <v>44925</v>
      </c>
      <c r="HPT617" s="5" t="s">
        <v>3728</v>
      </c>
      <c r="HPU617" s="17">
        <v>44925</v>
      </c>
      <c r="HPV617" s="5" t="s">
        <v>3728</v>
      </c>
      <c r="HPW617" s="17">
        <v>44925</v>
      </c>
      <c r="HPX617" s="5" t="s">
        <v>3728</v>
      </c>
      <c r="HPY617" s="17">
        <v>44925</v>
      </c>
      <c r="HPZ617" s="5" t="s">
        <v>3728</v>
      </c>
      <c r="HQA617" s="17">
        <v>44925</v>
      </c>
      <c r="HQB617" s="5" t="s">
        <v>3728</v>
      </c>
      <c r="HQC617" s="17">
        <v>44925</v>
      </c>
      <c r="HQD617" s="5" t="s">
        <v>3728</v>
      </c>
      <c r="HQE617" s="17">
        <v>44925</v>
      </c>
      <c r="HQF617" s="5" t="s">
        <v>3728</v>
      </c>
      <c r="HQG617" s="17">
        <v>44925</v>
      </c>
      <c r="HQH617" s="5" t="s">
        <v>3728</v>
      </c>
      <c r="HQI617" s="17">
        <v>44925</v>
      </c>
      <c r="HQJ617" s="5" t="s">
        <v>3728</v>
      </c>
      <c r="HQK617" s="17">
        <v>44925</v>
      </c>
      <c r="HQL617" s="5" t="s">
        <v>3728</v>
      </c>
      <c r="HQM617" s="17">
        <v>44925</v>
      </c>
      <c r="HQN617" s="5" t="s">
        <v>3728</v>
      </c>
      <c r="HQO617" s="17">
        <v>44925</v>
      </c>
      <c r="HQP617" s="5" t="s">
        <v>3728</v>
      </c>
      <c r="HQQ617" s="17">
        <v>44925</v>
      </c>
      <c r="HQR617" s="5" t="s">
        <v>3728</v>
      </c>
      <c r="HQS617" s="17">
        <v>44925</v>
      </c>
      <c r="HQT617" s="5" t="s">
        <v>3728</v>
      </c>
      <c r="HQU617" s="17">
        <v>44925</v>
      </c>
      <c r="HQV617" s="5" t="s">
        <v>3728</v>
      </c>
      <c r="HQW617" s="17">
        <v>44925</v>
      </c>
      <c r="HQX617" s="5" t="s">
        <v>3728</v>
      </c>
      <c r="HQY617" s="17">
        <v>44925</v>
      </c>
      <c r="HQZ617" s="5" t="s">
        <v>3728</v>
      </c>
      <c r="HRA617" s="17">
        <v>44925</v>
      </c>
      <c r="HRB617" s="5" t="s">
        <v>3728</v>
      </c>
      <c r="HRC617" s="17">
        <v>44925</v>
      </c>
      <c r="HRD617" s="5" t="s">
        <v>3728</v>
      </c>
      <c r="HRE617" s="17">
        <v>44925</v>
      </c>
      <c r="HRF617" s="5" t="s">
        <v>3728</v>
      </c>
      <c r="HRG617" s="17">
        <v>44925</v>
      </c>
      <c r="HRH617" s="5" t="s">
        <v>3728</v>
      </c>
      <c r="HRI617" s="17">
        <v>44925</v>
      </c>
      <c r="HRJ617" s="5" t="s">
        <v>3728</v>
      </c>
      <c r="HRK617" s="17">
        <v>44925</v>
      </c>
      <c r="HRL617" s="5" t="s">
        <v>3728</v>
      </c>
      <c r="HRM617" s="17">
        <v>44925</v>
      </c>
      <c r="HRN617" s="5" t="s">
        <v>3728</v>
      </c>
      <c r="HRO617" s="17">
        <v>44925</v>
      </c>
      <c r="HRP617" s="5" t="s">
        <v>3728</v>
      </c>
      <c r="HRQ617" s="17">
        <v>44925</v>
      </c>
      <c r="HRR617" s="5" t="s">
        <v>3728</v>
      </c>
      <c r="HRS617" s="17">
        <v>44925</v>
      </c>
      <c r="HRT617" s="5" t="s">
        <v>3728</v>
      </c>
      <c r="HRU617" s="17">
        <v>44925</v>
      </c>
      <c r="HRV617" s="5" t="s">
        <v>3728</v>
      </c>
      <c r="HRW617" s="17">
        <v>44925</v>
      </c>
      <c r="HRX617" s="5" t="s">
        <v>3728</v>
      </c>
      <c r="HRY617" s="17">
        <v>44925</v>
      </c>
      <c r="HRZ617" s="5" t="s">
        <v>3728</v>
      </c>
      <c r="HSA617" s="17">
        <v>44925</v>
      </c>
      <c r="HSB617" s="5" t="s">
        <v>3728</v>
      </c>
      <c r="HSC617" s="17">
        <v>44925</v>
      </c>
      <c r="HSD617" s="5" t="s">
        <v>3728</v>
      </c>
      <c r="HSE617" s="17">
        <v>44925</v>
      </c>
      <c r="HSF617" s="5" t="s">
        <v>3728</v>
      </c>
      <c r="HSG617" s="17">
        <v>44925</v>
      </c>
      <c r="HSH617" s="5" t="s">
        <v>3728</v>
      </c>
      <c r="HSI617" s="17">
        <v>44925</v>
      </c>
      <c r="HSJ617" s="5" t="s">
        <v>3728</v>
      </c>
      <c r="HSK617" s="17">
        <v>44925</v>
      </c>
      <c r="HSL617" s="5" t="s">
        <v>3728</v>
      </c>
      <c r="HSM617" s="17">
        <v>44925</v>
      </c>
      <c r="HSN617" s="5" t="s">
        <v>3728</v>
      </c>
      <c r="HSO617" s="17">
        <v>44925</v>
      </c>
      <c r="HSP617" s="5" t="s">
        <v>3728</v>
      </c>
      <c r="HSQ617" s="17">
        <v>44925</v>
      </c>
      <c r="HSR617" s="5" t="s">
        <v>3728</v>
      </c>
      <c r="HSS617" s="17">
        <v>44925</v>
      </c>
      <c r="HST617" s="5" t="s">
        <v>3728</v>
      </c>
      <c r="HSU617" s="17">
        <v>44925</v>
      </c>
      <c r="HSV617" s="5" t="s">
        <v>3728</v>
      </c>
      <c r="HSW617" s="17">
        <v>44925</v>
      </c>
      <c r="HSX617" s="5" t="s">
        <v>3728</v>
      </c>
      <c r="HSY617" s="17">
        <v>44925</v>
      </c>
      <c r="HSZ617" s="5" t="s">
        <v>3728</v>
      </c>
      <c r="HTA617" s="17">
        <v>44925</v>
      </c>
      <c r="HTB617" s="5" t="s">
        <v>3728</v>
      </c>
      <c r="HTC617" s="17">
        <v>44925</v>
      </c>
      <c r="HTD617" s="5" t="s">
        <v>3728</v>
      </c>
      <c r="HTE617" s="17">
        <v>44925</v>
      </c>
      <c r="HTF617" s="5" t="s">
        <v>3728</v>
      </c>
      <c r="HTG617" s="17">
        <v>44925</v>
      </c>
      <c r="HTH617" s="5" t="s">
        <v>3728</v>
      </c>
      <c r="HTI617" s="17">
        <v>44925</v>
      </c>
      <c r="HTJ617" s="5" t="s">
        <v>3728</v>
      </c>
      <c r="HTK617" s="17">
        <v>44925</v>
      </c>
      <c r="HTL617" s="5" t="s">
        <v>3728</v>
      </c>
      <c r="HTM617" s="17">
        <v>44925</v>
      </c>
      <c r="HTN617" s="5" t="s">
        <v>3728</v>
      </c>
      <c r="HTO617" s="17">
        <v>44925</v>
      </c>
      <c r="HTP617" s="5" t="s">
        <v>3728</v>
      </c>
      <c r="HTQ617" s="17">
        <v>44925</v>
      </c>
      <c r="HTR617" s="5" t="s">
        <v>3728</v>
      </c>
      <c r="HTS617" s="17">
        <v>44925</v>
      </c>
      <c r="HTT617" s="5" t="s">
        <v>3728</v>
      </c>
      <c r="HTU617" s="17">
        <v>44925</v>
      </c>
      <c r="HTV617" s="5" t="s">
        <v>3728</v>
      </c>
      <c r="HTW617" s="17">
        <v>44925</v>
      </c>
      <c r="HTX617" s="5" t="s">
        <v>3728</v>
      </c>
      <c r="HTY617" s="17">
        <v>44925</v>
      </c>
      <c r="HTZ617" s="5" t="s">
        <v>3728</v>
      </c>
      <c r="HUA617" s="17">
        <v>44925</v>
      </c>
      <c r="HUB617" s="5" t="s">
        <v>3728</v>
      </c>
      <c r="HUC617" s="17">
        <v>44925</v>
      </c>
      <c r="HUD617" s="5" t="s">
        <v>3728</v>
      </c>
      <c r="HUE617" s="17">
        <v>44925</v>
      </c>
      <c r="HUF617" s="5" t="s">
        <v>3728</v>
      </c>
      <c r="HUG617" s="17">
        <v>44925</v>
      </c>
      <c r="HUH617" s="5" t="s">
        <v>3728</v>
      </c>
      <c r="HUI617" s="17">
        <v>44925</v>
      </c>
      <c r="HUJ617" s="5" t="s">
        <v>3728</v>
      </c>
      <c r="HUK617" s="17">
        <v>44925</v>
      </c>
      <c r="HUL617" s="5" t="s">
        <v>3728</v>
      </c>
      <c r="HUM617" s="17">
        <v>44925</v>
      </c>
      <c r="HUN617" s="5" t="s">
        <v>3728</v>
      </c>
      <c r="HUO617" s="17">
        <v>44925</v>
      </c>
      <c r="HUP617" s="5" t="s">
        <v>3728</v>
      </c>
      <c r="HUQ617" s="17">
        <v>44925</v>
      </c>
      <c r="HUR617" s="5" t="s">
        <v>3728</v>
      </c>
      <c r="HUS617" s="17">
        <v>44925</v>
      </c>
      <c r="HUT617" s="5" t="s">
        <v>3728</v>
      </c>
      <c r="HUU617" s="17">
        <v>44925</v>
      </c>
      <c r="HUV617" s="5" t="s">
        <v>3728</v>
      </c>
      <c r="HUW617" s="17">
        <v>44925</v>
      </c>
      <c r="HUX617" s="5" t="s">
        <v>3728</v>
      </c>
      <c r="HUY617" s="17">
        <v>44925</v>
      </c>
      <c r="HUZ617" s="5" t="s">
        <v>3728</v>
      </c>
      <c r="HVA617" s="17">
        <v>44925</v>
      </c>
      <c r="HVB617" s="5" t="s">
        <v>3728</v>
      </c>
      <c r="HVC617" s="17">
        <v>44925</v>
      </c>
      <c r="HVD617" s="5" t="s">
        <v>3728</v>
      </c>
      <c r="HVE617" s="17">
        <v>44925</v>
      </c>
      <c r="HVF617" s="5" t="s">
        <v>3728</v>
      </c>
      <c r="HVG617" s="17">
        <v>44925</v>
      </c>
      <c r="HVH617" s="5" t="s">
        <v>3728</v>
      </c>
      <c r="HVI617" s="17">
        <v>44925</v>
      </c>
      <c r="HVJ617" s="5" t="s">
        <v>3728</v>
      </c>
      <c r="HVK617" s="17">
        <v>44925</v>
      </c>
      <c r="HVL617" s="5" t="s">
        <v>3728</v>
      </c>
      <c r="HVM617" s="17">
        <v>44925</v>
      </c>
      <c r="HVN617" s="5" t="s">
        <v>3728</v>
      </c>
      <c r="HVO617" s="17">
        <v>44925</v>
      </c>
      <c r="HVP617" s="5" t="s">
        <v>3728</v>
      </c>
      <c r="HVQ617" s="17">
        <v>44925</v>
      </c>
      <c r="HVR617" s="5" t="s">
        <v>3728</v>
      </c>
      <c r="HVS617" s="17">
        <v>44925</v>
      </c>
      <c r="HVT617" s="5" t="s">
        <v>3728</v>
      </c>
      <c r="HVU617" s="17">
        <v>44925</v>
      </c>
      <c r="HVV617" s="5" t="s">
        <v>3728</v>
      </c>
      <c r="HVW617" s="17">
        <v>44925</v>
      </c>
      <c r="HVX617" s="5" t="s">
        <v>3728</v>
      </c>
      <c r="HVY617" s="17">
        <v>44925</v>
      </c>
      <c r="HVZ617" s="5" t="s">
        <v>3728</v>
      </c>
      <c r="HWA617" s="17">
        <v>44925</v>
      </c>
      <c r="HWB617" s="5" t="s">
        <v>3728</v>
      </c>
      <c r="HWC617" s="17">
        <v>44925</v>
      </c>
      <c r="HWD617" s="5" t="s">
        <v>3728</v>
      </c>
      <c r="HWE617" s="17">
        <v>44925</v>
      </c>
      <c r="HWF617" s="5" t="s">
        <v>3728</v>
      </c>
      <c r="HWG617" s="17">
        <v>44925</v>
      </c>
      <c r="HWH617" s="5" t="s">
        <v>3728</v>
      </c>
      <c r="HWI617" s="17">
        <v>44925</v>
      </c>
      <c r="HWJ617" s="5" t="s">
        <v>3728</v>
      </c>
      <c r="HWK617" s="17">
        <v>44925</v>
      </c>
      <c r="HWL617" s="5" t="s">
        <v>3728</v>
      </c>
      <c r="HWM617" s="17">
        <v>44925</v>
      </c>
      <c r="HWN617" s="5" t="s">
        <v>3728</v>
      </c>
      <c r="HWO617" s="17">
        <v>44925</v>
      </c>
      <c r="HWP617" s="5" t="s">
        <v>3728</v>
      </c>
      <c r="HWQ617" s="17">
        <v>44925</v>
      </c>
      <c r="HWR617" s="5" t="s">
        <v>3728</v>
      </c>
      <c r="HWS617" s="17">
        <v>44925</v>
      </c>
      <c r="HWT617" s="5" t="s">
        <v>3728</v>
      </c>
      <c r="HWU617" s="17">
        <v>44925</v>
      </c>
      <c r="HWV617" s="5" t="s">
        <v>3728</v>
      </c>
      <c r="HWW617" s="17">
        <v>44925</v>
      </c>
      <c r="HWX617" s="5" t="s">
        <v>3728</v>
      </c>
      <c r="HWY617" s="17">
        <v>44925</v>
      </c>
      <c r="HWZ617" s="5" t="s">
        <v>3728</v>
      </c>
      <c r="HXA617" s="17">
        <v>44925</v>
      </c>
      <c r="HXB617" s="5" t="s">
        <v>3728</v>
      </c>
      <c r="HXC617" s="17">
        <v>44925</v>
      </c>
      <c r="HXD617" s="5" t="s">
        <v>3728</v>
      </c>
      <c r="HXE617" s="17">
        <v>44925</v>
      </c>
      <c r="HXF617" s="5" t="s">
        <v>3728</v>
      </c>
      <c r="HXG617" s="17">
        <v>44925</v>
      </c>
      <c r="HXH617" s="5" t="s">
        <v>3728</v>
      </c>
      <c r="HXI617" s="17">
        <v>44925</v>
      </c>
      <c r="HXJ617" s="5" t="s">
        <v>3728</v>
      </c>
      <c r="HXK617" s="17">
        <v>44925</v>
      </c>
      <c r="HXL617" s="5" t="s">
        <v>3728</v>
      </c>
      <c r="HXM617" s="17">
        <v>44925</v>
      </c>
      <c r="HXN617" s="5" t="s">
        <v>3728</v>
      </c>
      <c r="HXO617" s="17">
        <v>44925</v>
      </c>
      <c r="HXP617" s="5" t="s">
        <v>3728</v>
      </c>
      <c r="HXQ617" s="17">
        <v>44925</v>
      </c>
      <c r="HXR617" s="5" t="s">
        <v>3728</v>
      </c>
      <c r="HXS617" s="17">
        <v>44925</v>
      </c>
      <c r="HXT617" s="5" t="s">
        <v>3728</v>
      </c>
      <c r="HXU617" s="17">
        <v>44925</v>
      </c>
      <c r="HXV617" s="5" t="s">
        <v>3728</v>
      </c>
      <c r="HXW617" s="17">
        <v>44925</v>
      </c>
      <c r="HXX617" s="5" t="s">
        <v>3728</v>
      </c>
      <c r="HXY617" s="17">
        <v>44925</v>
      </c>
      <c r="HXZ617" s="5" t="s">
        <v>3728</v>
      </c>
      <c r="HYA617" s="17">
        <v>44925</v>
      </c>
      <c r="HYB617" s="5" t="s">
        <v>3728</v>
      </c>
      <c r="HYC617" s="17">
        <v>44925</v>
      </c>
      <c r="HYD617" s="5" t="s">
        <v>3728</v>
      </c>
      <c r="HYE617" s="17">
        <v>44925</v>
      </c>
      <c r="HYF617" s="5" t="s">
        <v>3728</v>
      </c>
      <c r="HYG617" s="17">
        <v>44925</v>
      </c>
      <c r="HYH617" s="5" t="s">
        <v>3728</v>
      </c>
      <c r="HYI617" s="17">
        <v>44925</v>
      </c>
      <c r="HYJ617" s="5" t="s">
        <v>3728</v>
      </c>
      <c r="HYK617" s="17">
        <v>44925</v>
      </c>
      <c r="HYL617" s="5" t="s">
        <v>3728</v>
      </c>
      <c r="HYM617" s="17">
        <v>44925</v>
      </c>
      <c r="HYN617" s="5" t="s">
        <v>3728</v>
      </c>
      <c r="HYO617" s="17">
        <v>44925</v>
      </c>
      <c r="HYP617" s="5" t="s">
        <v>3728</v>
      </c>
      <c r="HYQ617" s="17">
        <v>44925</v>
      </c>
      <c r="HYR617" s="5" t="s">
        <v>3728</v>
      </c>
      <c r="HYS617" s="17">
        <v>44925</v>
      </c>
      <c r="HYT617" s="5" t="s">
        <v>3728</v>
      </c>
      <c r="HYU617" s="17">
        <v>44925</v>
      </c>
      <c r="HYV617" s="5" t="s">
        <v>3728</v>
      </c>
      <c r="HYW617" s="17">
        <v>44925</v>
      </c>
      <c r="HYX617" s="5" t="s">
        <v>3728</v>
      </c>
      <c r="HYY617" s="17">
        <v>44925</v>
      </c>
      <c r="HYZ617" s="5" t="s">
        <v>3728</v>
      </c>
      <c r="HZA617" s="17">
        <v>44925</v>
      </c>
      <c r="HZB617" s="5" t="s">
        <v>3728</v>
      </c>
      <c r="HZC617" s="17">
        <v>44925</v>
      </c>
      <c r="HZD617" s="5" t="s">
        <v>3728</v>
      </c>
      <c r="HZE617" s="17">
        <v>44925</v>
      </c>
      <c r="HZF617" s="5" t="s">
        <v>3728</v>
      </c>
      <c r="HZG617" s="17">
        <v>44925</v>
      </c>
      <c r="HZH617" s="5" t="s">
        <v>3728</v>
      </c>
      <c r="HZI617" s="17">
        <v>44925</v>
      </c>
      <c r="HZJ617" s="5" t="s">
        <v>3728</v>
      </c>
      <c r="HZK617" s="17">
        <v>44925</v>
      </c>
      <c r="HZL617" s="5" t="s">
        <v>3728</v>
      </c>
      <c r="HZM617" s="17">
        <v>44925</v>
      </c>
      <c r="HZN617" s="5" t="s">
        <v>3728</v>
      </c>
      <c r="HZO617" s="17">
        <v>44925</v>
      </c>
      <c r="HZP617" s="5" t="s">
        <v>3728</v>
      </c>
      <c r="HZQ617" s="17">
        <v>44925</v>
      </c>
      <c r="HZR617" s="5" t="s">
        <v>3728</v>
      </c>
      <c r="HZS617" s="17">
        <v>44925</v>
      </c>
      <c r="HZT617" s="5" t="s">
        <v>3728</v>
      </c>
      <c r="HZU617" s="17">
        <v>44925</v>
      </c>
      <c r="HZV617" s="5" t="s">
        <v>3728</v>
      </c>
      <c r="HZW617" s="17">
        <v>44925</v>
      </c>
      <c r="HZX617" s="5" t="s">
        <v>3728</v>
      </c>
      <c r="HZY617" s="17">
        <v>44925</v>
      </c>
      <c r="HZZ617" s="5" t="s">
        <v>3728</v>
      </c>
      <c r="IAA617" s="17">
        <v>44925</v>
      </c>
      <c r="IAB617" s="5" t="s">
        <v>3728</v>
      </c>
      <c r="IAC617" s="17">
        <v>44925</v>
      </c>
      <c r="IAD617" s="5" t="s">
        <v>3728</v>
      </c>
      <c r="IAE617" s="17">
        <v>44925</v>
      </c>
      <c r="IAF617" s="5" t="s">
        <v>3728</v>
      </c>
      <c r="IAG617" s="17">
        <v>44925</v>
      </c>
      <c r="IAH617" s="5" t="s">
        <v>3728</v>
      </c>
      <c r="IAI617" s="17">
        <v>44925</v>
      </c>
      <c r="IAJ617" s="5" t="s">
        <v>3728</v>
      </c>
      <c r="IAK617" s="17">
        <v>44925</v>
      </c>
      <c r="IAL617" s="5" t="s">
        <v>3728</v>
      </c>
      <c r="IAM617" s="17">
        <v>44925</v>
      </c>
      <c r="IAN617" s="5" t="s">
        <v>3728</v>
      </c>
      <c r="IAO617" s="17">
        <v>44925</v>
      </c>
      <c r="IAP617" s="5" t="s">
        <v>3728</v>
      </c>
      <c r="IAQ617" s="17">
        <v>44925</v>
      </c>
      <c r="IAR617" s="5" t="s">
        <v>3728</v>
      </c>
      <c r="IAS617" s="17">
        <v>44925</v>
      </c>
      <c r="IAT617" s="5" t="s">
        <v>3728</v>
      </c>
      <c r="IAU617" s="17">
        <v>44925</v>
      </c>
      <c r="IAV617" s="5" t="s">
        <v>3728</v>
      </c>
      <c r="IAW617" s="17">
        <v>44925</v>
      </c>
      <c r="IAX617" s="5" t="s">
        <v>3728</v>
      </c>
      <c r="IAY617" s="17">
        <v>44925</v>
      </c>
      <c r="IAZ617" s="5" t="s">
        <v>3728</v>
      </c>
      <c r="IBA617" s="17">
        <v>44925</v>
      </c>
      <c r="IBB617" s="5" t="s">
        <v>3728</v>
      </c>
      <c r="IBC617" s="17">
        <v>44925</v>
      </c>
      <c r="IBD617" s="5" t="s">
        <v>3728</v>
      </c>
      <c r="IBE617" s="17">
        <v>44925</v>
      </c>
      <c r="IBF617" s="5" t="s">
        <v>3728</v>
      </c>
      <c r="IBG617" s="17">
        <v>44925</v>
      </c>
      <c r="IBH617" s="5" t="s">
        <v>3728</v>
      </c>
      <c r="IBI617" s="17">
        <v>44925</v>
      </c>
      <c r="IBJ617" s="5" t="s">
        <v>3728</v>
      </c>
      <c r="IBK617" s="17">
        <v>44925</v>
      </c>
      <c r="IBL617" s="5" t="s">
        <v>3728</v>
      </c>
      <c r="IBM617" s="17">
        <v>44925</v>
      </c>
      <c r="IBN617" s="5" t="s">
        <v>3728</v>
      </c>
      <c r="IBO617" s="17">
        <v>44925</v>
      </c>
      <c r="IBP617" s="5" t="s">
        <v>3728</v>
      </c>
      <c r="IBQ617" s="17">
        <v>44925</v>
      </c>
      <c r="IBR617" s="5" t="s">
        <v>3728</v>
      </c>
      <c r="IBS617" s="17">
        <v>44925</v>
      </c>
      <c r="IBT617" s="5" t="s">
        <v>3728</v>
      </c>
      <c r="IBU617" s="17">
        <v>44925</v>
      </c>
      <c r="IBV617" s="5" t="s">
        <v>3728</v>
      </c>
      <c r="IBW617" s="17">
        <v>44925</v>
      </c>
      <c r="IBX617" s="5" t="s">
        <v>3728</v>
      </c>
      <c r="IBY617" s="17">
        <v>44925</v>
      </c>
      <c r="IBZ617" s="5" t="s">
        <v>3728</v>
      </c>
      <c r="ICA617" s="17">
        <v>44925</v>
      </c>
      <c r="ICB617" s="5" t="s">
        <v>3728</v>
      </c>
      <c r="ICC617" s="17">
        <v>44925</v>
      </c>
      <c r="ICD617" s="5" t="s">
        <v>3728</v>
      </c>
      <c r="ICE617" s="17">
        <v>44925</v>
      </c>
      <c r="ICF617" s="5" t="s">
        <v>3728</v>
      </c>
      <c r="ICG617" s="17">
        <v>44925</v>
      </c>
      <c r="ICH617" s="5" t="s">
        <v>3728</v>
      </c>
      <c r="ICI617" s="17">
        <v>44925</v>
      </c>
      <c r="ICJ617" s="5" t="s">
        <v>3728</v>
      </c>
      <c r="ICK617" s="17">
        <v>44925</v>
      </c>
      <c r="ICL617" s="5" t="s">
        <v>3728</v>
      </c>
      <c r="ICM617" s="17">
        <v>44925</v>
      </c>
      <c r="ICN617" s="5" t="s">
        <v>3728</v>
      </c>
      <c r="ICO617" s="17">
        <v>44925</v>
      </c>
      <c r="ICP617" s="5" t="s">
        <v>3728</v>
      </c>
      <c r="ICQ617" s="17">
        <v>44925</v>
      </c>
      <c r="ICR617" s="5" t="s">
        <v>3728</v>
      </c>
      <c r="ICS617" s="17">
        <v>44925</v>
      </c>
      <c r="ICT617" s="5" t="s">
        <v>3728</v>
      </c>
      <c r="ICU617" s="17">
        <v>44925</v>
      </c>
      <c r="ICV617" s="5" t="s">
        <v>3728</v>
      </c>
      <c r="ICW617" s="17">
        <v>44925</v>
      </c>
      <c r="ICX617" s="5" t="s">
        <v>3728</v>
      </c>
      <c r="ICY617" s="17">
        <v>44925</v>
      </c>
      <c r="ICZ617" s="5" t="s">
        <v>3728</v>
      </c>
      <c r="IDA617" s="17">
        <v>44925</v>
      </c>
      <c r="IDB617" s="5" t="s">
        <v>3728</v>
      </c>
      <c r="IDC617" s="17">
        <v>44925</v>
      </c>
      <c r="IDD617" s="5" t="s">
        <v>3728</v>
      </c>
      <c r="IDE617" s="17">
        <v>44925</v>
      </c>
      <c r="IDF617" s="5" t="s">
        <v>3728</v>
      </c>
      <c r="IDG617" s="17">
        <v>44925</v>
      </c>
      <c r="IDH617" s="5" t="s">
        <v>3728</v>
      </c>
      <c r="IDI617" s="17">
        <v>44925</v>
      </c>
      <c r="IDJ617" s="5" t="s">
        <v>3728</v>
      </c>
      <c r="IDK617" s="17">
        <v>44925</v>
      </c>
      <c r="IDL617" s="5" t="s">
        <v>3728</v>
      </c>
      <c r="IDM617" s="17">
        <v>44925</v>
      </c>
      <c r="IDN617" s="5" t="s">
        <v>3728</v>
      </c>
      <c r="IDO617" s="17">
        <v>44925</v>
      </c>
      <c r="IDP617" s="5" t="s">
        <v>3728</v>
      </c>
      <c r="IDQ617" s="17">
        <v>44925</v>
      </c>
      <c r="IDR617" s="5" t="s">
        <v>3728</v>
      </c>
      <c r="IDS617" s="17">
        <v>44925</v>
      </c>
      <c r="IDT617" s="5" t="s">
        <v>3728</v>
      </c>
      <c r="IDU617" s="17">
        <v>44925</v>
      </c>
      <c r="IDV617" s="5" t="s">
        <v>3728</v>
      </c>
      <c r="IDW617" s="17">
        <v>44925</v>
      </c>
      <c r="IDX617" s="5" t="s">
        <v>3728</v>
      </c>
      <c r="IDY617" s="17">
        <v>44925</v>
      </c>
      <c r="IDZ617" s="5" t="s">
        <v>3728</v>
      </c>
      <c r="IEA617" s="17">
        <v>44925</v>
      </c>
      <c r="IEB617" s="5" t="s">
        <v>3728</v>
      </c>
      <c r="IEC617" s="17">
        <v>44925</v>
      </c>
      <c r="IED617" s="5" t="s">
        <v>3728</v>
      </c>
      <c r="IEE617" s="17">
        <v>44925</v>
      </c>
      <c r="IEF617" s="5" t="s">
        <v>3728</v>
      </c>
      <c r="IEG617" s="17">
        <v>44925</v>
      </c>
      <c r="IEH617" s="5" t="s">
        <v>3728</v>
      </c>
      <c r="IEI617" s="17">
        <v>44925</v>
      </c>
      <c r="IEJ617" s="5" t="s">
        <v>3728</v>
      </c>
      <c r="IEK617" s="17">
        <v>44925</v>
      </c>
      <c r="IEL617" s="5" t="s">
        <v>3728</v>
      </c>
      <c r="IEM617" s="17">
        <v>44925</v>
      </c>
      <c r="IEN617" s="5" t="s">
        <v>3728</v>
      </c>
      <c r="IEO617" s="17">
        <v>44925</v>
      </c>
      <c r="IEP617" s="5" t="s">
        <v>3728</v>
      </c>
      <c r="IEQ617" s="17">
        <v>44925</v>
      </c>
      <c r="IER617" s="5" t="s">
        <v>3728</v>
      </c>
      <c r="IES617" s="17">
        <v>44925</v>
      </c>
      <c r="IET617" s="5" t="s">
        <v>3728</v>
      </c>
      <c r="IEU617" s="17">
        <v>44925</v>
      </c>
      <c r="IEV617" s="5" t="s">
        <v>3728</v>
      </c>
      <c r="IEW617" s="17">
        <v>44925</v>
      </c>
      <c r="IEX617" s="5" t="s">
        <v>3728</v>
      </c>
      <c r="IEY617" s="17">
        <v>44925</v>
      </c>
      <c r="IEZ617" s="5" t="s">
        <v>3728</v>
      </c>
      <c r="IFA617" s="17">
        <v>44925</v>
      </c>
      <c r="IFB617" s="5" t="s">
        <v>3728</v>
      </c>
      <c r="IFC617" s="17">
        <v>44925</v>
      </c>
      <c r="IFD617" s="5" t="s">
        <v>3728</v>
      </c>
      <c r="IFE617" s="17">
        <v>44925</v>
      </c>
      <c r="IFF617" s="5" t="s">
        <v>3728</v>
      </c>
      <c r="IFG617" s="17">
        <v>44925</v>
      </c>
      <c r="IFH617" s="5" t="s">
        <v>3728</v>
      </c>
      <c r="IFI617" s="17">
        <v>44925</v>
      </c>
      <c r="IFJ617" s="5" t="s">
        <v>3728</v>
      </c>
      <c r="IFK617" s="17">
        <v>44925</v>
      </c>
      <c r="IFL617" s="5" t="s">
        <v>3728</v>
      </c>
      <c r="IFM617" s="17">
        <v>44925</v>
      </c>
      <c r="IFN617" s="5" t="s">
        <v>3728</v>
      </c>
      <c r="IFO617" s="17">
        <v>44925</v>
      </c>
      <c r="IFP617" s="5" t="s">
        <v>3728</v>
      </c>
      <c r="IFQ617" s="17">
        <v>44925</v>
      </c>
      <c r="IFR617" s="5" t="s">
        <v>3728</v>
      </c>
      <c r="IFS617" s="17">
        <v>44925</v>
      </c>
      <c r="IFT617" s="5" t="s">
        <v>3728</v>
      </c>
      <c r="IFU617" s="17">
        <v>44925</v>
      </c>
      <c r="IFV617" s="5" t="s">
        <v>3728</v>
      </c>
      <c r="IFW617" s="17">
        <v>44925</v>
      </c>
      <c r="IFX617" s="5" t="s">
        <v>3728</v>
      </c>
      <c r="IFY617" s="17">
        <v>44925</v>
      </c>
      <c r="IFZ617" s="5" t="s">
        <v>3728</v>
      </c>
      <c r="IGA617" s="17">
        <v>44925</v>
      </c>
      <c r="IGB617" s="5" t="s">
        <v>3728</v>
      </c>
      <c r="IGC617" s="17">
        <v>44925</v>
      </c>
      <c r="IGD617" s="5" t="s">
        <v>3728</v>
      </c>
      <c r="IGE617" s="17">
        <v>44925</v>
      </c>
      <c r="IGF617" s="5" t="s">
        <v>3728</v>
      </c>
      <c r="IGG617" s="17">
        <v>44925</v>
      </c>
      <c r="IGH617" s="5" t="s">
        <v>3728</v>
      </c>
      <c r="IGI617" s="17">
        <v>44925</v>
      </c>
      <c r="IGJ617" s="5" t="s">
        <v>3728</v>
      </c>
      <c r="IGK617" s="17">
        <v>44925</v>
      </c>
      <c r="IGL617" s="5" t="s">
        <v>3728</v>
      </c>
      <c r="IGM617" s="17">
        <v>44925</v>
      </c>
      <c r="IGN617" s="5" t="s">
        <v>3728</v>
      </c>
      <c r="IGO617" s="17">
        <v>44925</v>
      </c>
      <c r="IGP617" s="5" t="s">
        <v>3728</v>
      </c>
      <c r="IGQ617" s="17">
        <v>44925</v>
      </c>
      <c r="IGR617" s="5" t="s">
        <v>3728</v>
      </c>
      <c r="IGS617" s="17">
        <v>44925</v>
      </c>
      <c r="IGT617" s="5" t="s">
        <v>3728</v>
      </c>
      <c r="IGU617" s="17">
        <v>44925</v>
      </c>
      <c r="IGV617" s="5" t="s">
        <v>3728</v>
      </c>
      <c r="IGW617" s="17">
        <v>44925</v>
      </c>
      <c r="IGX617" s="5" t="s">
        <v>3728</v>
      </c>
      <c r="IGY617" s="17">
        <v>44925</v>
      </c>
      <c r="IGZ617" s="5" t="s">
        <v>3728</v>
      </c>
      <c r="IHA617" s="17">
        <v>44925</v>
      </c>
      <c r="IHB617" s="5" t="s">
        <v>3728</v>
      </c>
      <c r="IHC617" s="17">
        <v>44925</v>
      </c>
      <c r="IHD617" s="5" t="s">
        <v>3728</v>
      </c>
      <c r="IHE617" s="17">
        <v>44925</v>
      </c>
      <c r="IHF617" s="5" t="s">
        <v>3728</v>
      </c>
      <c r="IHG617" s="17">
        <v>44925</v>
      </c>
      <c r="IHH617" s="5" t="s">
        <v>3728</v>
      </c>
      <c r="IHI617" s="17">
        <v>44925</v>
      </c>
      <c r="IHJ617" s="5" t="s">
        <v>3728</v>
      </c>
      <c r="IHK617" s="17">
        <v>44925</v>
      </c>
      <c r="IHL617" s="5" t="s">
        <v>3728</v>
      </c>
      <c r="IHM617" s="17">
        <v>44925</v>
      </c>
      <c r="IHN617" s="5" t="s">
        <v>3728</v>
      </c>
      <c r="IHO617" s="17">
        <v>44925</v>
      </c>
      <c r="IHP617" s="5" t="s">
        <v>3728</v>
      </c>
      <c r="IHQ617" s="17">
        <v>44925</v>
      </c>
      <c r="IHR617" s="5" t="s">
        <v>3728</v>
      </c>
      <c r="IHS617" s="17">
        <v>44925</v>
      </c>
      <c r="IHT617" s="5" t="s">
        <v>3728</v>
      </c>
      <c r="IHU617" s="17">
        <v>44925</v>
      </c>
      <c r="IHV617" s="5" t="s">
        <v>3728</v>
      </c>
      <c r="IHW617" s="17">
        <v>44925</v>
      </c>
      <c r="IHX617" s="5" t="s">
        <v>3728</v>
      </c>
      <c r="IHY617" s="17">
        <v>44925</v>
      </c>
      <c r="IHZ617" s="5" t="s">
        <v>3728</v>
      </c>
      <c r="IIA617" s="17">
        <v>44925</v>
      </c>
      <c r="IIB617" s="5" t="s">
        <v>3728</v>
      </c>
      <c r="IIC617" s="17">
        <v>44925</v>
      </c>
      <c r="IID617" s="5" t="s">
        <v>3728</v>
      </c>
      <c r="IIE617" s="17">
        <v>44925</v>
      </c>
      <c r="IIF617" s="5" t="s">
        <v>3728</v>
      </c>
      <c r="IIG617" s="17">
        <v>44925</v>
      </c>
      <c r="IIH617" s="5" t="s">
        <v>3728</v>
      </c>
      <c r="III617" s="17">
        <v>44925</v>
      </c>
      <c r="IIJ617" s="5" t="s">
        <v>3728</v>
      </c>
      <c r="IIK617" s="17">
        <v>44925</v>
      </c>
      <c r="IIL617" s="5" t="s">
        <v>3728</v>
      </c>
      <c r="IIM617" s="17">
        <v>44925</v>
      </c>
      <c r="IIN617" s="5" t="s">
        <v>3728</v>
      </c>
      <c r="IIO617" s="17">
        <v>44925</v>
      </c>
      <c r="IIP617" s="5" t="s">
        <v>3728</v>
      </c>
      <c r="IIQ617" s="17">
        <v>44925</v>
      </c>
      <c r="IIR617" s="5" t="s">
        <v>3728</v>
      </c>
      <c r="IIS617" s="17">
        <v>44925</v>
      </c>
      <c r="IIT617" s="5" t="s">
        <v>3728</v>
      </c>
      <c r="IIU617" s="17">
        <v>44925</v>
      </c>
      <c r="IIV617" s="5" t="s">
        <v>3728</v>
      </c>
      <c r="IIW617" s="17">
        <v>44925</v>
      </c>
      <c r="IIX617" s="5" t="s">
        <v>3728</v>
      </c>
      <c r="IIY617" s="17">
        <v>44925</v>
      </c>
      <c r="IIZ617" s="5" t="s">
        <v>3728</v>
      </c>
      <c r="IJA617" s="17">
        <v>44925</v>
      </c>
      <c r="IJB617" s="5" t="s">
        <v>3728</v>
      </c>
      <c r="IJC617" s="17">
        <v>44925</v>
      </c>
      <c r="IJD617" s="5" t="s">
        <v>3728</v>
      </c>
      <c r="IJE617" s="17">
        <v>44925</v>
      </c>
      <c r="IJF617" s="5" t="s">
        <v>3728</v>
      </c>
      <c r="IJG617" s="17">
        <v>44925</v>
      </c>
      <c r="IJH617" s="5" t="s">
        <v>3728</v>
      </c>
      <c r="IJI617" s="17">
        <v>44925</v>
      </c>
      <c r="IJJ617" s="5" t="s">
        <v>3728</v>
      </c>
      <c r="IJK617" s="17">
        <v>44925</v>
      </c>
      <c r="IJL617" s="5" t="s">
        <v>3728</v>
      </c>
      <c r="IJM617" s="17">
        <v>44925</v>
      </c>
      <c r="IJN617" s="5" t="s">
        <v>3728</v>
      </c>
      <c r="IJO617" s="17">
        <v>44925</v>
      </c>
      <c r="IJP617" s="5" t="s">
        <v>3728</v>
      </c>
      <c r="IJQ617" s="17">
        <v>44925</v>
      </c>
      <c r="IJR617" s="5" t="s">
        <v>3728</v>
      </c>
      <c r="IJS617" s="17">
        <v>44925</v>
      </c>
      <c r="IJT617" s="5" t="s">
        <v>3728</v>
      </c>
      <c r="IJU617" s="17">
        <v>44925</v>
      </c>
      <c r="IJV617" s="5" t="s">
        <v>3728</v>
      </c>
      <c r="IJW617" s="17">
        <v>44925</v>
      </c>
      <c r="IJX617" s="5" t="s">
        <v>3728</v>
      </c>
      <c r="IJY617" s="17">
        <v>44925</v>
      </c>
      <c r="IJZ617" s="5" t="s">
        <v>3728</v>
      </c>
      <c r="IKA617" s="17">
        <v>44925</v>
      </c>
      <c r="IKB617" s="5" t="s">
        <v>3728</v>
      </c>
      <c r="IKC617" s="17">
        <v>44925</v>
      </c>
      <c r="IKD617" s="5" t="s">
        <v>3728</v>
      </c>
      <c r="IKE617" s="17">
        <v>44925</v>
      </c>
      <c r="IKF617" s="5" t="s">
        <v>3728</v>
      </c>
      <c r="IKG617" s="17">
        <v>44925</v>
      </c>
      <c r="IKH617" s="5" t="s">
        <v>3728</v>
      </c>
      <c r="IKI617" s="17">
        <v>44925</v>
      </c>
      <c r="IKJ617" s="5" t="s">
        <v>3728</v>
      </c>
      <c r="IKK617" s="17">
        <v>44925</v>
      </c>
      <c r="IKL617" s="5" t="s">
        <v>3728</v>
      </c>
      <c r="IKM617" s="17">
        <v>44925</v>
      </c>
      <c r="IKN617" s="5" t="s">
        <v>3728</v>
      </c>
      <c r="IKO617" s="17">
        <v>44925</v>
      </c>
      <c r="IKP617" s="5" t="s">
        <v>3728</v>
      </c>
      <c r="IKQ617" s="17">
        <v>44925</v>
      </c>
      <c r="IKR617" s="5" t="s">
        <v>3728</v>
      </c>
      <c r="IKS617" s="17">
        <v>44925</v>
      </c>
      <c r="IKT617" s="5" t="s">
        <v>3728</v>
      </c>
      <c r="IKU617" s="17">
        <v>44925</v>
      </c>
      <c r="IKV617" s="5" t="s">
        <v>3728</v>
      </c>
      <c r="IKW617" s="17">
        <v>44925</v>
      </c>
      <c r="IKX617" s="5" t="s">
        <v>3728</v>
      </c>
      <c r="IKY617" s="17">
        <v>44925</v>
      </c>
      <c r="IKZ617" s="5" t="s">
        <v>3728</v>
      </c>
      <c r="ILA617" s="17">
        <v>44925</v>
      </c>
      <c r="ILB617" s="5" t="s">
        <v>3728</v>
      </c>
      <c r="ILC617" s="17">
        <v>44925</v>
      </c>
      <c r="ILD617" s="5" t="s">
        <v>3728</v>
      </c>
      <c r="ILE617" s="17">
        <v>44925</v>
      </c>
      <c r="ILF617" s="5" t="s">
        <v>3728</v>
      </c>
      <c r="ILG617" s="17">
        <v>44925</v>
      </c>
      <c r="ILH617" s="5" t="s">
        <v>3728</v>
      </c>
      <c r="ILI617" s="17">
        <v>44925</v>
      </c>
      <c r="ILJ617" s="5" t="s">
        <v>3728</v>
      </c>
      <c r="ILK617" s="17">
        <v>44925</v>
      </c>
      <c r="ILL617" s="5" t="s">
        <v>3728</v>
      </c>
      <c r="ILM617" s="17">
        <v>44925</v>
      </c>
      <c r="ILN617" s="5" t="s">
        <v>3728</v>
      </c>
      <c r="ILO617" s="17">
        <v>44925</v>
      </c>
      <c r="ILP617" s="5" t="s">
        <v>3728</v>
      </c>
      <c r="ILQ617" s="17">
        <v>44925</v>
      </c>
      <c r="ILR617" s="5" t="s">
        <v>3728</v>
      </c>
      <c r="ILS617" s="17">
        <v>44925</v>
      </c>
      <c r="ILT617" s="5" t="s">
        <v>3728</v>
      </c>
      <c r="ILU617" s="17">
        <v>44925</v>
      </c>
      <c r="ILV617" s="5" t="s">
        <v>3728</v>
      </c>
      <c r="ILW617" s="17">
        <v>44925</v>
      </c>
      <c r="ILX617" s="5" t="s">
        <v>3728</v>
      </c>
      <c r="ILY617" s="17">
        <v>44925</v>
      </c>
      <c r="ILZ617" s="5" t="s">
        <v>3728</v>
      </c>
      <c r="IMA617" s="17">
        <v>44925</v>
      </c>
      <c r="IMB617" s="5" t="s">
        <v>3728</v>
      </c>
      <c r="IMC617" s="17">
        <v>44925</v>
      </c>
      <c r="IMD617" s="5" t="s">
        <v>3728</v>
      </c>
      <c r="IME617" s="17">
        <v>44925</v>
      </c>
      <c r="IMF617" s="5" t="s">
        <v>3728</v>
      </c>
      <c r="IMG617" s="17">
        <v>44925</v>
      </c>
      <c r="IMH617" s="5" t="s">
        <v>3728</v>
      </c>
      <c r="IMI617" s="17">
        <v>44925</v>
      </c>
      <c r="IMJ617" s="5" t="s">
        <v>3728</v>
      </c>
      <c r="IMK617" s="17">
        <v>44925</v>
      </c>
      <c r="IML617" s="5" t="s">
        <v>3728</v>
      </c>
      <c r="IMM617" s="17">
        <v>44925</v>
      </c>
      <c r="IMN617" s="5" t="s">
        <v>3728</v>
      </c>
      <c r="IMO617" s="17">
        <v>44925</v>
      </c>
      <c r="IMP617" s="5" t="s">
        <v>3728</v>
      </c>
      <c r="IMQ617" s="17">
        <v>44925</v>
      </c>
      <c r="IMR617" s="5" t="s">
        <v>3728</v>
      </c>
      <c r="IMS617" s="17">
        <v>44925</v>
      </c>
      <c r="IMT617" s="5" t="s">
        <v>3728</v>
      </c>
      <c r="IMU617" s="17">
        <v>44925</v>
      </c>
      <c r="IMV617" s="5" t="s">
        <v>3728</v>
      </c>
      <c r="IMW617" s="17">
        <v>44925</v>
      </c>
      <c r="IMX617" s="5" t="s">
        <v>3728</v>
      </c>
      <c r="IMY617" s="17">
        <v>44925</v>
      </c>
      <c r="IMZ617" s="5" t="s">
        <v>3728</v>
      </c>
      <c r="INA617" s="17">
        <v>44925</v>
      </c>
      <c r="INB617" s="5" t="s">
        <v>3728</v>
      </c>
      <c r="INC617" s="17">
        <v>44925</v>
      </c>
      <c r="IND617" s="5" t="s">
        <v>3728</v>
      </c>
      <c r="INE617" s="17">
        <v>44925</v>
      </c>
      <c r="INF617" s="5" t="s">
        <v>3728</v>
      </c>
      <c r="ING617" s="17">
        <v>44925</v>
      </c>
      <c r="INH617" s="5" t="s">
        <v>3728</v>
      </c>
      <c r="INI617" s="17">
        <v>44925</v>
      </c>
      <c r="INJ617" s="5" t="s">
        <v>3728</v>
      </c>
      <c r="INK617" s="17">
        <v>44925</v>
      </c>
      <c r="INL617" s="5" t="s">
        <v>3728</v>
      </c>
      <c r="INM617" s="17">
        <v>44925</v>
      </c>
      <c r="INN617" s="5" t="s">
        <v>3728</v>
      </c>
      <c r="INO617" s="17">
        <v>44925</v>
      </c>
      <c r="INP617" s="5" t="s">
        <v>3728</v>
      </c>
      <c r="INQ617" s="17">
        <v>44925</v>
      </c>
      <c r="INR617" s="5" t="s">
        <v>3728</v>
      </c>
      <c r="INS617" s="17">
        <v>44925</v>
      </c>
      <c r="INT617" s="5" t="s">
        <v>3728</v>
      </c>
      <c r="INU617" s="17">
        <v>44925</v>
      </c>
      <c r="INV617" s="5" t="s">
        <v>3728</v>
      </c>
      <c r="INW617" s="17">
        <v>44925</v>
      </c>
      <c r="INX617" s="5" t="s">
        <v>3728</v>
      </c>
      <c r="INY617" s="17">
        <v>44925</v>
      </c>
      <c r="INZ617" s="5" t="s">
        <v>3728</v>
      </c>
      <c r="IOA617" s="17">
        <v>44925</v>
      </c>
      <c r="IOB617" s="5" t="s">
        <v>3728</v>
      </c>
      <c r="IOC617" s="17">
        <v>44925</v>
      </c>
      <c r="IOD617" s="5" t="s">
        <v>3728</v>
      </c>
      <c r="IOE617" s="17">
        <v>44925</v>
      </c>
      <c r="IOF617" s="5" t="s">
        <v>3728</v>
      </c>
      <c r="IOG617" s="17">
        <v>44925</v>
      </c>
      <c r="IOH617" s="5" t="s">
        <v>3728</v>
      </c>
      <c r="IOI617" s="17">
        <v>44925</v>
      </c>
      <c r="IOJ617" s="5" t="s">
        <v>3728</v>
      </c>
      <c r="IOK617" s="17">
        <v>44925</v>
      </c>
      <c r="IOL617" s="5" t="s">
        <v>3728</v>
      </c>
      <c r="IOM617" s="17">
        <v>44925</v>
      </c>
      <c r="ION617" s="5" t="s">
        <v>3728</v>
      </c>
      <c r="IOO617" s="17">
        <v>44925</v>
      </c>
      <c r="IOP617" s="5" t="s">
        <v>3728</v>
      </c>
      <c r="IOQ617" s="17">
        <v>44925</v>
      </c>
      <c r="IOR617" s="5" t="s">
        <v>3728</v>
      </c>
      <c r="IOS617" s="17">
        <v>44925</v>
      </c>
      <c r="IOT617" s="5" t="s">
        <v>3728</v>
      </c>
      <c r="IOU617" s="17">
        <v>44925</v>
      </c>
      <c r="IOV617" s="5" t="s">
        <v>3728</v>
      </c>
      <c r="IOW617" s="17">
        <v>44925</v>
      </c>
      <c r="IOX617" s="5" t="s">
        <v>3728</v>
      </c>
      <c r="IOY617" s="17">
        <v>44925</v>
      </c>
      <c r="IOZ617" s="5" t="s">
        <v>3728</v>
      </c>
      <c r="IPA617" s="17">
        <v>44925</v>
      </c>
      <c r="IPB617" s="5" t="s">
        <v>3728</v>
      </c>
      <c r="IPC617" s="17">
        <v>44925</v>
      </c>
      <c r="IPD617" s="5" t="s">
        <v>3728</v>
      </c>
      <c r="IPE617" s="17">
        <v>44925</v>
      </c>
      <c r="IPF617" s="5" t="s">
        <v>3728</v>
      </c>
      <c r="IPG617" s="17">
        <v>44925</v>
      </c>
      <c r="IPH617" s="5" t="s">
        <v>3728</v>
      </c>
      <c r="IPI617" s="17">
        <v>44925</v>
      </c>
      <c r="IPJ617" s="5" t="s">
        <v>3728</v>
      </c>
      <c r="IPK617" s="17">
        <v>44925</v>
      </c>
      <c r="IPL617" s="5" t="s">
        <v>3728</v>
      </c>
      <c r="IPM617" s="17">
        <v>44925</v>
      </c>
      <c r="IPN617" s="5" t="s">
        <v>3728</v>
      </c>
      <c r="IPO617" s="17">
        <v>44925</v>
      </c>
      <c r="IPP617" s="5" t="s">
        <v>3728</v>
      </c>
      <c r="IPQ617" s="17">
        <v>44925</v>
      </c>
      <c r="IPR617" s="5" t="s">
        <v>3728</v>
      </c>
      <c r="IPS617" s="17">
        <v>44925</v>
      </c>
      <c r="IPT617" s="5" t="s">
        <v>3728</v>
      </c>
      <c r="IPU617" s="17">
        <v>44925</v>
      </c>
      <c r="IPV617" s="5" t="s">
        <v>3728</v>
      </c>
      <c r="IPW617" s="17">
        <v>44925</v>
      </c>
      <c r="IPX617" s="5" t="s">
        <v>3728</v>
      </c>
      <c r="IPY617" s="17">
        <v>44925</v>
      </c>
      <c r="IPZ617" s="5" t="s">
        <v>3728</v>
      </c>
      <c r="IQA617" s="17">
        <v>44925</v>
      </c>
      <c r="IQB617" s="5" t="s">
        <v>3728</v>
      </c>
      <c r="IQC617" s="17">
        <v>44925</v>
      </c>
      <c r="IQD617" s="5" t="s">
        <v>3728</v>
      </c>
      <c r="IQE617" s="17">
        <v>44925</v>
      </c>
      <c r="IQF617" s="5" t="s">
        <v>3728</v>
      </c>
      <c r="IQG617" s="17">
        <v>44925</v>
      </c>
      <c r="IQH617" s="5" t="s">
        <v>3728</v>
      </c>
      <c r="IQI617" s="17">
        <v>44925</v>
      </c>
      <c r="IQJ617" s="5" t="s">
        <v>3728</v>
      </c>
      <c r="IQK617" s="17">
        <v>44925</v>
      </c>
      <c r="IQL617" s="5" t="s">
        <v>3728</v>
      </c>
      <c r="IQM617" s="17">
        <v>44925</v>
      </c>
      <c r="IQN617" s="5" t="s">
        <v>3728</v>
      </c>
      <c r="IQO617" s="17">
        <v>44925</v>
      </c>
      <c r="IQP617" s="5" t="s">
        <v>3728</v>
      </c>
      <c r="IQQ617" s="17">
        <v>44925</v>
      </c>
      <c r="IQR617" s="5" t="s">
        <v>3728</v>
      </c>
      <c r="IQS617" s="17">
        <v>44925</v>
      </c>
      <c r="IQT617" s="5" t="s">
        <v>3728</v>
      </c>
      <c r="IQU617" s="17">
        <v>44925</v>
      </c>
      <c r="IQV617" s="5" t="s">
        <v>3728</v>
      </c>
      <c r="IQW617" s="17">
        <v>44925</v>
      </c>
      <c r="IQX617" s="5" t="s">
        <v>3728</v>
      </c>
      <c r="IQY617" s="17">
        <v>44925</v>
      </c>
      <c r="IQZ617" s="5" t="s">
        <v>3728</v>
      </c>
      <c r="IRA617" s="17">
        <v>44925</v>
      </c>
      <c r="IRB617" s="5" t="s">
        <v>3728</v>
      </c>
      <c r="IRC617" s="17">
        <v>44925</v>
      </c>
      <c r="IRD617" s="5" t="s">
        <v>3728</v>
      </c>
      <c r="IRE617" s="17">
        <v>44925</v>
      </c>
      <c r="IRF617" s="5" t="s">
        <v>3728</v>
      </c>
      <c r="IRG617" s="17">
        <v>44925</v>
      </c>
      <c r="IRH617" s="5" t="s">
        <v>3728</v>
      </c>
      <c r="IRI617" s="17">
        <v>44925</v>
      </c>
      <c r="IRJ617" s="5" t="s">
        <v>3728</v>
      </c>
      <c r="IRK617" s="17">
        <v>44925</v>
      </c>
      <c r="IRL617" s="5" t="s">
        <v>3728</v>
      </c>
      <c r="IRM617" s="17">
        <v>44925</v>
      </c>
      <c r="IRN617" s="5" t="s">
        <v>3728</v>
      </c>
      <c r="IRO617" s="17">
        <v>44925</v>
      </c>
      <c r="IRP617" s="5" t="s">
        <v>3728</v>
      </c>
      <c r="IRQ617" s="17">
        <v>44925</v>
      </c>
      <c r="IRR617" s="5" t="s">
        <v>3728</v>
      </c>
      <c r="IRS617" s="17">
        <v>44925</v>
      </c>
      <c r="IRT617" s="5" t="s">
        <v>3728</v>
      </c>
      <c r="IRU617" s="17">
        <v>44925</v>
      </c>
      <c r="IRV617" s="5" t="s">
        <v>3728</v>
      </c>
      <c r="IRW617" s="17">
        <v>44925</v>
      </c>
      <c r="IRX617" s="5" t="s">
        <v>3728</v>
      </c>
      <c r="IRY617" s="17">
        <v>44925</v>
      </c>
      <c r="IRZ617" s="5" t="s">
        <v>3728</v>
      </c>
      <c r="ISA617" s="17">
        <v>44925</v>
      </c>
      <c r="ISB617" s="5" t="s">
        <v>3728</v>
      </c>
      <c r="ISC617" s="17">
        <v>44925</v>
      </c>
      <c r="ISD617" s="5" t="s">
        <v>3728</v>
      </c>
      <c r="ISE617" s="17">
        <v>44925</v>
      </c>
      <c r="ISF617" s="5" t="s">
        <v>3728</v>
      </c>
      <c r="ISG617" s="17">
        <v>44925</v>
      </c>
      <c r="ISH617" s="5" t="s">
        <v>3728</v>
      </c>
      <c r="ISI617" s="17">
        <v>44925</v>
      </c>
      <c r="ISJ617" s="5" t="s">
        <v>3728</v>
      </c>
      <c r="ISK617" s="17">
        <v>44925</v>
      </c>
      <c r="ISL617" s="5" t="s">
        <v>3728</v>
      </c>
      <c r="ISM617" s="17">
        <v>44925</v>
      </c>
      <c r="ISN617" s="5" t="s">
        <v>3728</v>
      </c>
      <c r="ISO617" s="17">
        <v>44925</v>
      </c>
      <c r="ISP617" s="5" t="s">
        <v>3728</v>
      </c>
      <c r="ISQ617" s="17">
        <v>44925</v>
      </c>
      <c r="ISR617" s="5" t="s">
        <v>3728</v>
      </c>
      <c r="ISS617" s="17">
        <v>44925</v>
      </c>
      <c r="IST617" s="5" t="s">
        <v>3728</v>
      </c>
      <c r="ISU617" s="17">
        <v>44925</v>
      </c>
      <c r="ISV617" s="5" t="s">
        <v>3728</v>
      </c>
      <c r="ISW617" s="17">
        <v>44925</v>
      </c>
      <c r="ISX617" s="5" t="s">
        <v>3728</v>
      </c>
      <c r="ISY617" s="17">
        <v>44925</v>
      </c>
      <c r="ISZ617" s="5" t="s">
        <v>3728</v>
      </c>
      <c r="ITA617" s="17">
        <v>44925</v>
      </c>
      <c r="ITB617" s="5" t="s">
        <v>3728</v>
      </c>
      <c r="ITC617" s="17">
        <v>44925</v>
      </c>
      <c r="ITD617" s="5" t="s">
        <v>3728</v>
      </c>
      <c r="ITE617" s="17">
        <v>44925</v>
      </c>
      <c r="ITF617" s="5" t="s">
        <v>3728</v>
      </c>
      <c r="ITG617" s="17">
        <v>44925</v>
      </c>
      <c r="ITH617" s="5" t="s">
        <v>3728</v>
      </c>
      <c r="ITI617" s="17">
        <v>44925</v>
      </c>
      <c r="ITJ617" s="5" t="s">
        <v>3728</v>
      </c>
      <c r="ITK617" s="17">
        <v>44925</v>
      </c>
      <c r="ITL617" s="5" t="s">
        <v>3728</v>
      </c>
      <c r="ITM617" s="17">
        <v>44925</v>
      </c>
      <c r="ITN617" s="5" t="s">
        <v>3728</v>
      </c>
      <c r="ITO617" s="17">
        <v>44925</v>
      </c>
      <c r="ITP617" s="5" t="s">
        <v>3728</v>
      </c>
      <c r="ITQ617" s="17">
        <v>44925</v>
      </c>
      <c r="ITR617" s="5" t="s">
        <v>3728</v>
      </c>
      <c r="ITS617" s="17">
        <v>44925</v>
      </c>
      <c r="ITT617" s="5" t="s">
        <v>3728</v>
      </c>
      <c r="ITU617" s="17">
        <v>44925</v>
      </c>
      <c r="ITV617" s="5" t="s">
        <v>3728</v>
      </c>
      <c r="ITW617" s="17">
        <v>44925</v>
      </c>
      <c r="ITX617" s="5" t="s">
        <v>3728</v>
      </c>
      <c r="ITY617" s="17">
        <v>44925</v>
      </c>
      <c r="ITZ617" s="5" t="s">
        <v>3728</v>
      </c>
      <c r="IUA617" s="17">
        <v>44925</v>
      </c>
      <c r="IUB617" s="5" t="s">
        <v>3728</v>
      </c>
      <c r="IUC617" s="17">
        <v>44925</v>
      </c>
      <c r="IUD617" s="5" t="s">
        <v>3728</v>
      </c>
      <c r="IUE617" s="17">
        <v>44925</v>
      </c>
      <c r="IUF617" s="5" t="s">
        <v>3728</v>
      </c>
      <c r="IUG617" s="17">
        <v>44925</v>
      </c>
      <c r="IUH617" s="5" t="s">
        <v>3728</v>
      </c>
      <c r="IUI617" s="17">
        <v>44925</v>
      </c>
      <c r="IUJ617" s="5" t="s">
        <v>3728</v>
      </c>
      <c r="IUK617" s="17">
        <v>44925</v>
      </c>
      <c r="IUL617" s="5" t="s">
        <v>3728</v>
      </c>
      <c r="IUM617" s="17">
        <v>44925</v>
      </c>
      <c r="IUN617" s="5" t="s">
        <v>3728</v>
      </c>
      <c r="IUO617" s="17">
        <v>44925</v>
      </c>
      <c r="IUP617" s="5" t="s">
        <v>3728</v>
      </c>
      <c r="IUQ617" s="17">
        <v>44925</v>
      </c>
      <c r="IUR617" s="5" t="s">
        <v>3728</v>
      </c>
      <c r="IUS617" s="17">
        <v>44925</v>
      </c>
      <c r="IUT617" s="5" t="s">
        <v>3728</v>
      </c>
      <c r="IUU617" s="17">
        <v>44925</v>
      </c>
      <c r="IUV617" s="5" t="s">
        <v>3728</v>
      </c>
      <c r="IUW617" s="17">
        <v>44925</v>
      </c>
      <c r="IUX617" s="5" t="s">
        <v>3728</v>
      </c>
      <c r="IUY617" s="17">
        <v>44925</v>
      </c>
      <c r="IUZ617" s="5" t="s">
        <v>3728</v>
      </c>
      <c r="IVA617" s="17">
        <v>44925</v>
      </c>
      <c r="IVB617" s="5" t="s">
        <v>3728</v>
      </c>
      <c r="IVC617" s="17">
        <v>44925</v>
      </c>
      <c r="IVD617" s="5" t="s">
        <v>3728</v>
      </c>
      <c r="IVE617" s="17">
        <v>44925</v>
      </c>
      <c r="IVF617" s="5" t="s">
        <v>3728</v>
      </c>
      <c r="IVG617" s="17">
        <v>44925</v>
      </c>
      <c r="IVH617" s="5" t="s">
        <v>3728</v>
      </c>
      <c r="IVI617" s="17">
        <v>44925</v>
      </c>
      <c r="IVJ617" s="5" t="s">
        <v>3728</v>
      </c>
      <c r="IVK617" s="17">
        <v>44925</v>
      </c>
      <c r="IVL617" s="5" t="s">
        <v>3728</v>
      </c>
      <c r="IVM617" s="17">
        <v>44925</v>
      </c>
      <c r="IVN617" s="5" t="s">
        <v>3728</v>
      </c>
      <c r="IVO617" s="17">
        <v>44925</v>
      </c>
      <c r="IVP617" s="5" t="s">
        <v>3728</v>
      </c>
      <c r="IVQ617" s="17">
        <v>44925</v>
      </c>
      <c r="IVR617" s="5" t="s">
        <v>3728</v>
      </c>
      <c r="IVS617" s="17">
        <v>44925</v>
      </c>
      <c r="IVT617" s="5" t="s">
        <v>3728</v>
      </c>
      <c r="IVU617" s="17">
        <v>44925</v>
      </c>
      <c r="IVV617" s="5" t="s">
        <v>3728</v>
      </c>
      <c r="IVW617" s="17">
        <v>44925</v>
      </c>
      <c r="IVX617" s="5" t="s">
        <v>3728</v>
      </c>
      <c r="IVY617" s="17">
        <v>44925</v>
      </c>
      <c r="IVZ617" s="5" t="s">
        <v>3728</v>
      </c>
      <c r="IWA617" s="17">
        <v>44925</v>
      </c>
      <c r="IWB617" s="5" t="s">
        <v>3728</v>
      </c>
      <c r="IWC617" s="17">
        <v>44925</v>
      </c>
      <c r="IWD617" s="5" t="s">
        <v>3728</v>
      </c>
      <c r="IWE617" s="17">
        <v>44925</v>
      </c>
      <c r="IWF617" s="5" t="s">
        <v>3728</v>
      </c>
      <c r="IWG617" s="17">
        <v>44925</v>
      </c>
      <c r="IWH617" s="5" t="s">
        <v>3728</v>
      </c>
      <c r="IWI617" s="17">
        <v>44925</v>
      </c>
      <c r="IWJ617" s="5" t="s">
        <v>3728</v>
      </c>
      <c r="IWK617" s="17">
        <v>44925</v>
      </c>
      <c r="IWL617" s="5" t="s">
        <v>3728</v>
      </c>
      <c r="IWM617" s="17">
        <v>44925</v>
      </c>
      <c r="IWN617" s="5" t="s">
        <v>3728</v>
      </c>
      <c r="IWO617" s="17">
        <v>44925</v>
      </c>
      <c r="IWP617" s="5" t="s">
        <v>3728</v>
      </c>
      <c r="IWQ617" s="17">
        <v>44925</v>
      </c>
      <c r="IWR617" s="5" t="s">
        <v>3728</v>
      </c>
      <c r="IWS617" s="17">
        <v>44925</v>
      </c>
      <c r="IWT617" s="5" t="s">
        <v>3728</v>
      </c>
      <c r="IWU617" s="17">
        <v>44925</v>
      </c>
      <c r="IWV617" s="5" t="s">
        <v>3728</v>
      </c>
      <c r="IWW617" s="17">
        <v>44925</v>
      </c>
      <c r="IWX617" s="5" t="s">
        <v>3728</v>
      </c>
      <c r="IWY617" s="17">
        <v>44925</v>
      </c>
      <c r="IWZ617" s="5" t="s">
        <v>3728</v>
      </c>
      <c r="IXA617" s="17">
        <v>44925</v>
      </c>
      <c r="IXB617" s="5" t="s">
        <v>3728</v>
      </c>
      <c r="IXC617" s="17">
        <v>44925</v>
      </c>
      <c r="IXD617" s="5" t="s">
        <v>3728</v>
      </c>
      <c r="IXE617" s="17">
        <v>44925</v>
      </c>
      <c r="IXF617" s="5" t="s">
        <v>3728</v>
      </c>
      <c r="IXG617" s="17">
        <v>44925</v>
      </c>
      <c r="IXH617" s="5" t="s">
        <v>3728</v>
      </c>
      <c r="IXI617" s="17">
        <v>44925</v>
      </c>
      <c r="IXJ617" s="5" t="s">
        <v>3728</v>
      </c>
      <c r="IXK617" s="17">
        <v>44925</v>
      </c>
      <c r="IXL617" s="5" t="s">
        <v>3728</v>
      </c>
      <c r="IXM617" s="17">
        <v>44925</v>
      </c>
      <c r="IXN617" s="5" t="s">
        <v>3728</v>
      </c>
      <c r="IXO617" s="17">
        <v>44925</v>
      </c>
      <c r="IXP617" s="5" t="s">
        <v>3728</v>
      </c>
      <c r="IXQ617" s="17">
        <v>44925</v>
      </c>
      <c r="IXR617" s="5" t="s">
        <v>3728</v>
      </c>
      <c r="IXS617" s="17">
        <v>44925</v>
      </c>
      <c r="IXT617" s="5" t="s">
        <v>3728</v>
      </c>
      <c r="IXU617" s="17">
        <v>44925</v>
      </c>
      <c r="IXV617" s="5" t="s">
        <v>3728</v>
      </c>
      <c r="IXW617" s="17">
        <v>44925</v>
      </c>
      <c r="IXX617" s="5" t="s">
        <v>3728</v>
      </c>
      <c r="IXY617" s="17">
        <v>44925</v>
      </c>
      <c r="IXZ617" s="5" t="s">
        <v>3728</v>
      </c>
      <c r="IYA617" s="17">
        <v>44925</v>
      </c>
      <c r="IYB617" s="5" t="s">
        <v>3728</v>
      </c>
      <c r="IYC617" s="17">
        <v>44925</v>
      </c>
      <c r="IYD617" s="5" t="s">
        <v>3728</v>
      </c>
      <c r="IYE617" s="17">
        <v>44925</v>
      </c>
      <c r="IYF617" s="5" t="s">
        <v>3728</v>
      </c>
      <c r="IYG617" s="17">
        <v>44925</v>
      </c>
      <c r="IYH617" s="5" t="s">
        <v>3728</v>
      </c>
      <c r="IYI617" s="17">
        <v>44925</v>
      </c>
      <c r="IYJ617" s="5" t="s">
        <v>3728</v>
      </c>
      <c r="IYK617" s="17">
        <v>44925</v>
      </c>
      <c r="IYL617" s="5" t="s">
        <v>3728</v>
      </c>
      <c r="IYM617" s="17">
        <v>44925</v>
      </c>
      <c r="IYN617" s="5" t="s">
        <v>3728</v>
      </c>
      <c r="IYO617" s="17">
        <v>44925</v>
      </c>
      <c r="IYP617" s="5" t="s">
        <v>3728</v>
      </c>
      <c r="IYQ617" s="17">
        <v>44925</v>
      </c>
      <c r="IYR617" s="5" t="s">
        <v>3728</v>
      </c>
      <c r="IYS617" s="17">
        <v>44925</v>
      </c>
      <c r="IYT617" s="5" t="s">
        <v>3728</v>
      </c>
      <c r="IYU617" s="17">
        <v>44925</v>
      </c>
      <c r="IYV617" s="5" t="s">
        <v>3728</v>
      </c>
      <c r="IYW617" s="17">
        <v>44925</v>
      </c>
      <c r="IYX617" s="5" t="s">
        <v>3728</v>
      </c>
      <c r="IYY617" s="17">
        <v>44925</v>
      </c>
      <c r="IYZ617" s="5" t="s">
        <v>3728</v>
      </c>
      <c r="IZA617" s="17">
        <v>44925</v>
      </c>
      <c r="IZB617" s="5" t="s">
        <v>3728</v>
      </c>
      <c r="IZC617" s="17">
        <v>44925</v>
      </c>
      <c r="IZD617" s="5" t="s">
        <v>3728</v>
      </c>
      <c r="IZE617" s="17">
        <v>44925</v>
      </c>
      <c r="IZF617" s="5" t="s">
        <v>3728</v>
      </c>
      <c r="IZG617" s="17">
        <v>44925</v>
      </c>
      <c r="IZH617" s="5" t="s">
        <v>3728</v>
      </c>
      <c r="IZI617" s="17">
        <v>44925</v>
      </c>
      <c r="IZJ617" s="5" t="s">
        <v>3728</v>
      </c>
      <c r="IZK617" s="17">
        <v>44925</v>
      </c>
      <c r="IZL617" s="5" t="s">
        <v>3728</v>
      </c>
      <c r="IZM617" s="17">
        <v>44925</v>
      </c>
      <c r="IZN617" s="5" t="s">
        <v>3728</v>
      </c>
      <c r="IZO617" s="17">
        <v>44925</v>
      </c>
      <c r="IZP617" s="5" t="s">
        <v>3728</v>
      </c>
      <c r="IZQ617" s="17">
        <v>44925</v>
      </c>
      <c r="IZR617" s="5" t="s">
        <v>3728</v>
      </c>
      <c r="IZS617" s="17">
        <v>44925</v>
      </c>
      <c r="IZT617" s="5" t="s">
        <v>3728</v>
      </c>
      <c r="IZU617" s="17">
        <v>44925</v>
      </c>
      <c r="IZV617" s="5" t="s">
        <v>3728</v>
      </c>
      <c r="IZW617" s="17">
        <v>44925</v>
      </c>
      <c r="IZX617" s="5" t="s">
        <v>3728</v>
      </c>
      <c r="IZY617" s="17">
        <v>44925</v>
      </c>
      <c r="IZZ617" s="5" t="s">
        <v>3728</v>
      </c>
      <c r="JAA617" s="17">
        <v>44925</v>
      </c>
      <c r="JAB617" s="5" t="s">
        <v>3728</v>
      </c>
      <c r="JAC617" s="17">
        <v>44925</v>
      </c>
      <c r="JAD617" s="5" t="s">
        <v>3728</v>
      </c>
      <c r="JAE617" s="17">
        <v>44925</v>
      </c>
      <c r="JAF617" s="5" t="s">
        <v>3728</v>
      </c>
      <c r="JAG617" s="17">
        <v>44925</v>
      </c>
      <c r="JAH617" s="5" t="s">
        <v>3728</v>
      </c>
      <c r="JAI617" s="17">
        <v>44925</v>
      </c>
      <c r="JAJ617" s="5" t="s">
        <v>3728</v>
      </c>
      <c r="JAK617" s="17">
        <v>44925</v>
      </c>
      <c r="JAL617" s="5" t="s">
        <v>3728</v>
      </c>
      <c r="JAM617" s="17">
        <v>44925</v>
      </c>
      <c r="JAN617" s="5" t="s">
        <v>3728</v>
      </c>
      <c r="JAO617" s="17">
        <v>44925</v>
      </c>
      <c r="JAP617" s="5" t="s">
        <v>3728</v>
      </c>
      <c r="JAQ617" s="17">
        <v>44925</v>
      </c>
      <c r="JAR617" s="5" t="s">
        <v>3728</v>
      </c>
      <c r="JAS617" s="17">
        <v>44925</v>
      </c>
      <c r="JAT617" s="5" t="s">
        <v>3728</v>
      </c>
      <c r="JAU617" s="17">
        <v>44925</v>
      </c>
      <c r="JAV617" s="5" t="s">
        <v>3728</v>
      </c>
      <c r="JAW617" s="17">
        <v>44925</v>
      </c>
      <c r="JAX617" s="5" t="s">
        <v>3728</v>
      </c>
      <c r="JAY617" s="17">
        <v>44925</v>
      </c>
      <c r="JAZ617" s="5" t="s">
        <v>3728</v>
      </c>
      <c r="JBA617" s="17">
        <v>44925</v>
      </c>
      <c r="JBB617" s="5" t="s">
        <v>3728</v>
      </c>
      <c r="JBC617" s="17">
        <v>44925</v>
      </c>
      <c r="JBD617" s="5" t="s">
        <v>3728</v>
      </c>
      <c r="JBE617" s="17">
        <v>44925</v>
      </c>
      <c r="JBF617" s="5" t="s">
        <v>3728</v>
      </c>
      <c r="JBG617" s="17">
        <v>44925</v>
      </c>
      <c r="JBH617" s="5" t="s">
        <v>3728</v>
      </c>
      <c r="JBI617" s="17">
        <v>44925</v>
      </c>
      <c r="JBJ617" s="5" t="s">
        <v>3728</v>
      </c>
      <c r="JBK617" s="17">
        <v>44925</v>
      </c>
      <c r="JBL617" s="5" t="s">
        <v>3728</v>
      </c>
      <c r="JBM617" s="17">
        <v>44925</v>
      </c>
      <c r="JBN617" s="5" t="s">
        <v>3728</v>
      </c>
      <c r="JBO617" s="17">
        <v>44925</v>
      </c>
      <c r="JBP617" s="5" t="s">
        <v>3728</v>
      </c>
      <c r="JBQ617" s="17">
        <v>44925</v>
      </c>
      <c r="JBR617" s="5" t="s">
        <v>3728</v>
      </c>
      <c r="JBS617" s="17">
        <v>44925</v>
      </c>
      <c r="JBT617" s="5" t="s">
        <v>3728</v>
      </c>
      <c r="JBU617" s="17">
        <v>44925</v>
      </c>
      <c r="JBV617" s="5" t="s">
        <v>3728</v>
      </c>
      <c r="JBW617" s="17">
        <v>44925</v>
      </c>
      <c r="JBX617" s="5" t="s">
        <v>3728</v>
      </c>
      <c r="JBY617" s="17">
        <v>44925</v>
      </c>
      <c r="JBZ617" s="5" t="s">
        <v>3728</v>
      </c>
      <c r="JCA617" s="17">
        <v>44925</v>
      </c>
      <c r="JCB617" s="5" t="s">
        <v>3728</v>
      </c>
      <c r="JCC617" s="17">
        <v>44925</v>
      </c>
      <c r="JCD617" s="5" t="s">
        <v>3728</v>
      </c>
      <c r="JCE617" s="17">
        <v>44925</v>
      </c>
      <c r="JCF617" s="5" t="s">
        <v>3728</v>
      </c>
      <c r="JCG617" s="17">
        <v>44925</v>
      </c>
      <c r="JCH617" s="5" t="s">
        <v>3728</v>
      </c>
      <c r="JCI617" s="17">
        <v>44925</v>
      </c>
      <c r="JCJ617" s="5" t="s">
        <v>3728</v>
      </c>
      <c r="JCK617" s="17">
        <v>44925</v>
      </c>
      <c r="JCL617" s="5" t="s">
        <v>3728</v>
      </c>
      <c r="JCM617" s="17">
        <v>44925</v>
      </c>
      <c r="JCN617" s="5" t="s">
        <v>3728</v>
      </c>
      <c r="JCO617" s="17">
        <v>44925</v>
      </c>
      <c r="JCP617" s="5" t="s">
        <v>3728</v>
      </c>
      <c r="JCQ617" s="17">
        <v>44925</v>
      </c>
      <c r="JCR617" s="5" t="s">
        <v>3728</v>
      </c>
      <c r="JCS617" s="17">
        <v>44925</v>
      </c>
      <c r="JCT617" s="5" t="s">
        <v>3728</v>
      </c>
      <c r="JCU617" s="17">
        <v>44925</v>
      </c>
      <c r="JCV617" s="5" t="s">
        <v>3728</v>
      </c>
      <c r="JCW617" s="17">
        <v>44925</v>
      </c>
      <c r="JCX617" s="5" t="s">
        <v>3728</v>
      </c>
      <c r="JCY617" s="17">
        <v>44925</v>
      </c>
      <c r="JCZ617" s="5" t="s">
        <v>3728</v>
      </c>
      <c r="JDA617" s="17">
        <v>44925</v>
      </c>
      <c r="JDB617" s="5" t="s">
        <v>3728</v>
      </c>
      <c r="JDC617" s="17">
        <v>44925</v>
      </c>
      <c r="JDD617" s="5" t="s">
        <v>3728</v>
      </c>
      <c r="JDE617" s="17">
        <v>44925</v>
      </c>
      <c r="JDF617" s="5" t="s">
        <v>3728</v>
      </c>
      <c r="JDG617" s="17">
        <v>44925</v>
      </c>
      <c r="JDH617" s="5" t="s">
        <v>3728</v>
      </c>
      <c r="JDI617" s="17">
        <v>44925</v>
      </c>
      <c r="JDJ617" s="5" t="s">
        <v>3728</v>
      </c>
      <c r="JDK617" s="17">
        <v>44925</v>
      </c>
      <c r="JDL617" s="5" t="s">
        <v>3728</v>
      </c>
      <c r="JDM617" s="17">
        <v>44925</v>
      </c>
      <c r="JDN617" s="5" t="s">
        <v>3728</v>
      </c>
      <c r="JDO617" s="17">
        <v>44925</v>
      </c>
      <c r="JDP617" s="5" t="s">
        <v>3728</v>
      </c>
      <c r="JDQ617" s="17">
        <v>44925</v>
      </c>
      <c r="JDR617" s="5" t="s">
        <v>3728</v>
      </c>
      <c r="JDS617" s="17">
        <v>44925</v>
      </c>
      <c r="JDT617" s="5" t="s">
        <v>3728</v>
      </c>
      <c r="JDU617" s="17">
        <v>44925</v>
      </c>
      <c r="JDV617" s="5" t="s">
        <v>3728</v>
      </c>
      <c r="JDW617" s="17">
        <v>44925</v>
      </c>
      <c r="JDX617" s="5" t="s">
        <v>3728</v>
      </c>
      <c r="JDY617" s="17">
        <v>44925</v>
      </c>
      <c r="JDZ617" s="5" t="s">
        <v>3728</v>
      </c>
      <c r="JEA617" s="17">
        <v>44925</v>
      </c>
      <c r="JEB617" s="5" t="s">
        <v>3728</v>
      </c>
      <c r="JEC617" s="17">
        <v>44925</v>
      </c>
      <c r="JED617" s="5" t="s">
        <v>3728</v>
      </c>
      <c r="JEE617" s="17">
        <v>44925</v>
      </c>
      <c r="JEF617" s="5" t="s">
        <v>3728</v>
      </c>
      <c r="JEG617" s="17">
        <v>44925</v>
      </c>
      <c r="JEH617" s="5" t="s">
        <v>3728</v>
      </c>
      <c r="JEI617" s="17">
        <v>44925</v>
      </c>
      <c r="JEJ617" s="5" t="s">
        <v>3728</v>
      </c>
      <c r="JEK617" s="17">
        <v>44925</v>
      </c>
      <c r="JEL617" s="5" t="s">
        <v>3728</v>
      </c>
      <c r="JEM617" s="17">
        <v>44925</v>
      </c>
      <c r="JEN617" s="5" t="s">
        <v>3728</v>
      </c>
      <c r="JEO617" s="17">
        <v>44925</v>
      </c>
      <c r="JEP617" s="5" t="s">
        <v>3728</v>
      </c>
      <c r="JEQ617" s="17">
        <v>44925</v>
      </c>
      <c r="JER617" s="5" t="s">
        <v>3728</v>
      </c>
      <c r="JES617" s="17">
        <v>44925</v>
      </c>
      <c r="JET617" s="5" t="s">
        <v>3728</v>
      </c>
      <c r="JEU617" s="17">
        <v>44925</v>
      </c>
      <c r="JEV617" s="5" t="s">
        <v>3728</v>
      </c>
      <c r="JEW617" s="17">
        <v>44925</v>
      </c>
      <c r="JEX617" s="5" t="s">
        <v>3728</v>
      </c>
      <c r="JEY617" s="17">
        <v>44925</v>
      </c>
      <c r="JEZ617" s="5" t="s">
        <v>3728</v>
      </c>
      <c r="JFA617" s="17">
        <v>44925</v>
      </c>
      <c r="JFB617" s="5" t="s">
        <v>3728</v>
      </c>
      <c r="JFC617" s="17">
        <v>44925</v>
      </c>
      <c r="JFD617" s="5" t="s">
        <v>3728</v>
      </c>
      <c r="JFE617" s="17">
        <v>44925</v>
      </c>
      <c r="JFF617" s="5" t="s">
        <v>3728</v>
      </c>
      <c r="JFG617" s="17">
        <v>44925</v>
      </c>
      <c r="JFH617" s="5" t="s">
        <v>3728</v>
      </c>
      <c r="JFI617" s="17">
        <v>44925</v>
      </c>
      <c r="JFJ617" s="5" t="s">
        <v>3728</v>
      </c>
      <c r="JFK617" s="17">
        <v>44925</v>
      </c>
      <c r="JFL617" s="5" t="s">
        <v>3728</v>
      </c>
      <c r="JFM617" s="17">
        <v>44925</v>
      </c>
      <c r="JFN617" s="5" t="s">
        <v>3728</v>
      </c>
      <c r="JFO617" s="17">
        <v>44925</v>
      </c>
      <c r="JFP617" s="5" t="s">
        <v>3728</v>
      </c>
      <c r="JFQ617" s="17">
        <v>44925</v>
      </c>
      <c r="JFR617" s="5" t="s">
        <v>3728</v>
      </c>
      <c r="JFS617" s="17">
        <v>44925</v>
      </c>
      <c r="JFT617" s="5" t="s">
        <v>3728</v>
      </c>
      <c r="JFU617" s="17">
        <v>44925</v>
      </c>
      <c r="JFV617" s="5" t="s">
        <v>3728</v>
      </c>
      <c r="JFW617" s="17">
        <v>44925</v>
      </c>
      <c r="JFX617" s="5" t="s">
        <v>3728</v>
      </c>
      <c r="JFY617" s="17">
        <v>44925</v>
      </c>
      <c r="JFZ617" s="5" t="s">
        <v>3728</v>
      </c>
      <c r="JGA617" s="17">
        <v>44925</v>
      </c>
      <c r="JGB617" s="5" t="s">
        <v>3728</v>
      </c>
      <c r="JGC617" s="17">
        <v>44925</v>
      </c>
      <c r="JGD617" s="5" t="s">
        <v>3728</v>
      </c>
      <c r="JGE617" s="17">
        <v>44925</v>
      </c>
      <c r="JGF617" s="5" t="s">
        <v>3728</v>
      </c>
      <c r="JGG617" s="17">
        <v>44925</v>
      </c>
      <c r="JGH617" s="5" t="s">
        <v>3728</v>
      </c>
      <c r="JGI617" s="17">
        <v>44925</v>
      </c>
      <c r="JGJ617" s="5" t="s">
        <v>3728</v>
      </c>
      <c r="JGK617" s="17">
        <v>44925</v>
      </c>
      <c r="JGL617" s="5" t="s">
        <v>3728</v>
      </c>
      <c r="JGM617" s="17">
        <v>44925</v>
      </c>
      <c r="JGN617" s="5" t="s">
        <v>3728</v>
      </c>
      <c r="JGO617" s="17">
        <v>44925</v>
      </c>
      <c r="JGP617" s="5" t="s">
        <v>3728</v>
      </c>
      <c r="JGQ617" s="17">
        <v>44925</v>
      </c>
      <c r="JGR617" s="5" t="s">
        <v>3728</v>
      </c>
      <c r="JGS617" s="17">
        <v>44925</v>
      </c>
      <c r="JGT617" s="5" t="s">
        <v>3728</v>
      </c>
      <c r="JGU617" s="17">
        <v>44925</v>
      </c>
      <c r="JGV617" s="5" t="s">
        <v>3728</v>
      </c>
      <c r="JGW617" s="17">
        <v>44925</v>
      </c>
      <c r="JGX617" s="5" t="s">
        <v>3728</v>
      </c>
      <c r="JGY617" s="17">
        <v>44925</v>
      </c>
      <c r="JGZ617" s="5" t="s">
        <v>3728</v>
      </c>
      <c r="JHA617" s="17">
        <v>44925</v>
      </c>
      <c r="JHB617" s="5" t="s">
        <v>3728</v>
      </c>
      <c r="JHC617" s="17">
        <v>44925</v>
      </c>
      <c r="JHD617" s="5" t="s">
        <v>3728</v>
      </c>
      <c r="JHE617" s="17">
        <v>44925</v>
      </c>
      <c r="JHF617" s="5" t="s">
        <v>3728</v>
      </c>
      <c r="JHG617" s="17">
        <v>44925</v>
      </c>
      <c r="JHH617" s="5" t="s">
        <v>3728</v>
      </c>
      <c r="JHI617" s="17">
        <v>44925</v>
      </c>
      <c r="JHJ617" s="5" t="s">
        <v>3728</v>
      </c>
      <c r="JHK617" s="17">
        <v>44925</v>
      </c>
      <c r="JHL617" s="5" t="s">
        <v>3728</v>
      </c>
      <c r="JHM617" s="17">
        <v>44925</v>
      </c>
      <c r="JHN617" s="5" t="s">
        <v>3728</v>
      </c>
      <c r="JHO617" s="17">
        <v>44925</v>
      </c>
      <c r="JHP617" s="5" t="s">
        <v>3728</v>
      </c>
      <c r="JHQ617" s="17">
        <v>44925</v>
      </c>
      <c r="JHR617" s="5" t="s">
        <v>3728</v>
      </c>
      <c r="JHS617" s="17">
        <v>44925</v>
      </c>
      <c r="JHT617" s="5" t="s">
        <v>3728</v>
      </c>
      <c r="JHU617" s="17">
        <v>44925</v>
      </c>
      <c r="JHV617" s="5" t="s">
        <v>3728</v>
      </c>
      <c r="JHW617" s="17">
        <v>44925</v>
      </c>
      <c r="JHX617" s="5" t="s">
        <v>3728</v>
      </c>
      <c r="JHY617" s="17">
        <v>44925</v>
      </c>
      <c r="JHZ617" s="5" t="s">
        <v>3728</v>
      </c>
      <c r="JIA617" s="17">
        <v>44925</v>
      </c>
      <c r="JIB617" s="5" t="s">
        <v>3728</v>
      </c>
      <c r="JIC617" s="17">
        <v>44925</v>
      </c>
      <c r="JID617" s="5" t="s">
        <v>3728</v>
      </c>
      <c r="JIE617" s="17">
        <v>44925</v>
      </c>
      <c r="JIF617" s="5" t="s">
        <v>3728</v>
      </c>
      <c r="JIG617" s="17">
        <v>44925</v>
      </c>
      <c r="JIH617" s="5" t="s">
        <v>3728</v>
      </c>
      <c r="JII617" s="17">
        <v>44925</v>
      </c>
      <c r="JIJ617" s="5" t="s">
        <v>3728</v>
      </c>
      <c r="JIK617" s="17">
        <v>44925</v>
      </c>
      <c r="JIL617" s="5" t="s">
        <v>3728</v>
      </c>
      <c r="JIM617" s="17">
        <v>44925</v>
      </c>
      <c r="JIN617" s="5" t="s">
        <v>3728</v>
      </c>
      <c r="JIO617" s="17">
        <v>44925</v>
      </c>
      <c r="JIP617" s="5" t="s">
        <v>3728</v>
      </c>
      <c r="JIQ617" s="17">
        <v>44925</v>
      </c>
      <c r="JIR617" s="5" t="s">
        <v>3728</v>
      </c>
      <c r="JIS617" s="17">
        <v>44925</v>
      </c>
      <c r="JIT617" s="5" t="s">
        <v>3728</v>
      </c>
      <c r="JIU617" s="17">
        <v>44925</v>
      </c>
      <c r="JIV617" s="5" t="s">
        <v>3728</v>
      </c>
      <c r="JIW617" s="17">
        <v>44925</v>
      </c>
      <c r="JIX617" s="5" t="s">
        <v>3728</v>
      </c>
      <c r="JIY617" s="17">
        <v>44925</v>
      </c>
      <c r="JIZ617" s="5" t="s">
        <v>3728</v>
      </c>
      <c r="JJA617" s="17">
        <v>44925</v>
      </c>
      <c r="JJB617" s="5" t="s">
        <v>3728</v>
      </c>
      <c r="JJC617" s="17">
        <v>44925</v>
      </c>
      <c r="JJD617" s="5" t="s">
        <v>3728</v>
      </c>
      <c r="JJE617" s="17">
        <v>44925</v>
      </c>
      <c r="JJF617" s="5" t="s">
        <v>3728</v>
      </c>
      <c r="JJG617" s="17">
        <v>44925</v>
      </c>
      <c r="JJH617" s="5" t="s">
        <v>3728</v>
      </c>
      <c r="JJI617" s="17">
        <v>44925</v>
      </c>
      <c r="JJJ617" s="5" t="s">
        <v>3728</v>
      </c>
      <c r="JJK617" s="17">
        <v>44925</v>
      </c>
      <c r="JJL617" s="5" t="s">
        <v>3728</v>
      </c>
      <c r="JJM617" s="17">
        <v>44925</v>
      </c>
      <c r="JJN617" s="5" t="s">
        <v>3728</v>
      </c>
      <c r="JJO617" s="17">
        <v>44925</v>
      </c>
      <c r="JJP617" s="5" t="s">
        <v>3728</v>
      </c>
      <c r="JJQ617" s="17">
        <v>44925</v>
      </c>
      <c r="JJR617" s="5" t="s">
        <v>3728</v>
      </c>
      <c r="JJS617" s="17">
        <v>44925</v>
      </c>
      <c r="JJT617" s="5" t="s">
        <v>3728</v>
      </c>
      <c r="JJU617" s="17">
        <v>44925</v>
      </c>
      <c r="JJV617" s="5" t="s">
        <v>3728</v>
      </c>
      <c r="JJW617" s="17">
        <v>44925</v>
      </c>
      <c r="JJX617" s="5" t="s">
        <v>3728</v>
      </c>
      <c r="JJY617" s="17">
        <v>44925</v>
      </c>
      <c r="JJZ617" s="5" t="s">
        <v>3728</v>
      </c>
      <c r="JKA617" s="17">
        <v>44925</v>
      </c>
      <c r="JKB617" s="5" t="s">
        <v>3728</v>
      </c>
      <c r="JKC617" s="17">
        <v>44925</v>
      </c>
      <c r="JKD617" s="5" t="s">
        <v>3728</v>
      </c>
      <c r="JKE617" s="17">
        <v>44925</v>
      </c>
      <c r="JKF617" s="5" t="s">
        <v>3728</v>
      </c>
      <c r="JKG617" s="17">
        <v>44925</v>
      </c>
      <c r="JKH617" s="5" t="s">
        <v>3728</v>
      </c>
      <c r="JKI617" s="17">
        <v>44925</v>
      </c>
      <c r="JKJ617" s="5" t="s">
        <v>3728</v>
      </c>
      <c r="JKK617" s="17">
        <v>44925</v>
      </c>
      <c r="JKL617" s="5" t="s">
        <v>3728</v>
      </c>
      <c r="JKM617" s="17">
        <v>44925</v>
      </c>
      <c r="JKN617" s="5" t="s">
        <v>3728</v>
      </c>
      <c r="JKO617" s="17">
        <v>44925</v>
      </c>
      <c r="JKP617" s="5" t="s">
        <v>3728</v>
      </c>
      <c r="JKQ617" s="17">
        <v>44925</v>
      </c>
      <c r="JKR617" s="5" t="s">
        <v>3728</v>
      </c>
      <c r="JKS617" s="17">
        <v>44925</v>
      </c>
      <c r="JKT617" s="5" t="s">
        <v>3728</v>
      </c>
      <c r="JKU617" s="17">
        <v>44925</v>
      </c>
      <c r="JKV617" s="5" t="s">
        <v>3728</v>
      </c>
      <c r="JKW617" s="17">
        <v>44925</v>
      </c>
      <c r="JKX617" s="5" t="s">
        <v>3728</v>
      </c>
      <c r="JKY617" s="17">
        <v>44925</v>
      </c>
      <c r="JKZ617" s="5" t="s">
        <v>3728</v>
      </c>
      <c r="JLA617" s="17">
        <v>44925</v>
      </c>
      <c r="JLB617" s="5" t="s">
        <v>3728</v>
      </c>
      <c r="JLC617" s="17">
        <v>44925</v>
      </c>
      <c r="JLD617" s="5" t="s">
        <v>3728</v>
      </c>
      <c r="JLE617" s="17">
        <v>44925</v>
      </c>
      <c r="JLF617" s="5" t="s">
        <v>3728</v>
      </c>
      <c r="JLG617" s="17">
        <v>44925</v>
      </c>
      <c r="JLH617" s="5" t="s">
        <v>3728</v>
      </c>
      <c r="JLI617" s="17">
        <v>44925</v>
      </c>
      <c r="JLJ617" s="5" t="s">
        <v>3728</v>
      </c>
      <c r="JLK617" s="17">
        <v>44925</v>
      </c>
      <c r="JLL617" s="5" t="s">
        <v>3728</v>
      </c>
      <c r="JLM617" s="17">
        <v>44925</v>
      </c>
      <c r="JLN617" s="5" t="s">
        <v>3728</v>
      </c>
      <c r="JLO617" s="17">
        <v>44925</v>
      </c>
      <c r="JLP617" s="5" t="s">
        <v>3728</v>
      </c>
      <c r="JLQ617" s="17">
        <v>44925</v>
      </c>
      <c r="JLR617" s="5" t="s">
        <v>3728</v>
      </c>
      <c r="JLS617" s="17">
        <v>44925</v>
      </c>
      <c r="JLT617" s="5" t="s">
        <v>3728</v>
      </c>
      <c r="JLU617" s="17">
        <v>44925</v>
      </c>
      <c r="JLV617" s="5" t="s">
        <v>3728</v>
      </c>
      <c r="JLW617" s="17">
        <v>44925</v>
      </c>
      <c r="JLX617" s="5" t="s">
        <v>3728</v>
      </c>
      <c r="JLY617" s="17">
        <v>44925</v>
      </c>
      <c r="JLZ617" s="5" t="s">
        <v>3728</v>
      </c>
      <c r="JMA617" s="17">
        <v>44925</v>
      </c>
      <c r="JMB617" s="5" t="s">
        <v>3728</v>
      </c>
      <c r="JMC617" s="17">
        <v>44925</v>
      </c>
      <c r="JMD617" s="5" t="s">
        <v>3728</v>
      </c>
      <c r="JME617" s="17">
        <v>44925</v>
      </c>
      <c r="JMF617" s="5" t="s">
        <v>3728</v>
      </c>
      <c r="JMG617" s="17">
        <v>44925</v>
      </c>
      <c r="JMH617" s="5" t="s">
        <v>3728</v>
      </c>
      <c r="JMI617" s="17">
        <v>44925</v>
      </c>
      <c r="JMJ617" s="5" t="s">
        <v>3728</v>
      </c>
      <c r="JMK617" s="17">
        <v>44925</v>
      </c>
      <c r="JML617" s="5" t="s">
        <v>3728</v>
      </c>
      <c r="JMM617" s="17">
        <v>44925</v>
      </c>
      <c r="JMN617" s="5" t="s">
        <v>3728</v>
      </c>
      <c r="JMO617" s="17">
        <v>44925</v>
      </c>
      <c r="JMP617" s="5" t="s">
        <v>3728</v>
      </c>
      <c r="JMQ617" s="17">
        <v>44925</v>
      </c>
      <c r="JMR617" s="5" t="s">
        <v>3728</v>
      </c>
      <c r="JMS617" s="17">
        <v>44925</v>
      </c>
      <c r="JMT617" s="5" t="s">
        <v>3728</v>
      </c>
      <c r="JMU617" s="17">
        <v>44925</v>
      </c>
      <c r="JMV617" s="5" t="s">
        <v>3728</v>
      </c>
      <c r="JMW617" s="17">
        <v>44925</v>
      </c>
      <c r="JMX617" s="5" t="s">
        <v>3728</v>
      </c>
      <c r="JMY617" s="17">
        <v>44925</v>
      </c>
      <c r="JMZ617" s="5" t="s">
        <v>3728</v>
      </c>
      <c r="JNA617" s="17">
        <v>44925</v>
      </c>
      <c r="JNB617" s="5" t="s">
        <v>3728</v>
      </c>
      <c r="JNC617" s="17">
        <v>44925</v>
      </c>
      <c r="JND617" s="5" t="s">
        <v>3728</v>
      </c>
      <c r="JNE617" s="17">
        <v>44925</v>
      </c>
      <c r="JNF617" s="5" t="s">
        <v>3728</v>
      </c>
      <c r="JNG617" s="17">
        <v>44925</v>
      </c>
      <c r="JNH617" s="5" t="s">
        <v>3728</v>
      </c>
      <c r="JNI617" s="17">
        <v>44925</v>
      </c>
      <c r="JNJ617" s="5" t="s">
        <v>3728</v>
      </c>
      <c r="JNK617" s="17">
        <v>44925</v>
      </c>
      <c r="JNL617" s="5" t="s">
        <v>3728</v>
      </c>
      <c r="JNM617" s="17">
        <v>44925</v>
      </c>
      <c r="JNN617" s="5" t="s">
        <v>3728</v>
      </c>
      <c r="JNO617" s="17">
        <v>44925</v>
      </c>
      <c r="JNP617" s="5" t="s">
        <v>3728</v>
      </c>
      <c r="JNQ617" s="17">
        <v>44925</v>
      </c>
      <c r="JNR617" s="5" t="s">
        <v>3728</v>
      </c>
      <c r="JNS617" s="17">
        <v>44925</v>
      </c>
      <c r="JNT617" s="5" t="s">
        <v>3728</v>
      </c>
      <c r="JNU617" s="17">
        <v>44925</v>
      </c>
      <c r="JNV617" s="5" t="s">
        <v>3728</v>
      </c>
      <c r="JNW617" s="17">
        <v>44925</v>
      </c>
      <c r="JNX617" s="5" t="s">
        <v>3728</v>
      </c>
      <c r="JNY617" s="17">
        <v>44925</v>
      </c>
      <c r="JNZ617" s="5" t="s">
        <v>3728</v>
      </c>
      <c r="JOA617" s="17">
        <v>44925</v>
      </c>
      <c r="JOB617" s="5" t="s">
        <v>3728</v>
      </c>
      <c r="JOC617" s="17">
        <v>44925</v>
      </c>
      <c r="JOD617" s="5" t="s">
        <v>3728</v>
      </c>
      <c r="JOE617" s="17">
        <v>44925</v>
      </c>
      <c r="JOF617" s="5" t="s">
        <v>3728</v>
      </c>
      <c r="JOG617" s="17">
        <v>44925</v>
      </c>
      <c r="JOH617" s="5" t="s">
        <v>3728</v>
      </c>
      <c r="JOI617" s="17">
        <v>44925</v>
      </c>
      <c r="JOJ617" s="5" t="s">
        <v>3728</v>
      </c>
      <c r="JOK617" s="17">
        <v>44925</v>
      </c>
      <c r="JOL617" s="5" t="s">
        <v>3728</v>
      </c>
      <c r="JOM617" s="17">
        <v>44925</v>
      </c>
      <c r="JON617" s="5" t="s">
        <v>3728</v>
      </c>
      <c r="JOO617" s="17">
        <v>44925</v>
      </c>
      <c r="JOP617" s="5" t="s">
        <v>3728</v>
      </c>
      <c r="JOQ617" s="17">
        <v>44925</v>
      </c>
      <c r="JOR617" s="5" t="s">
        <v>3728</v>
      </c>
      <c r="JOS617" s="17">
        <v>44925</v>
      </c>
      <c r="JOT617" s="5" t="s">
        <v>3728</v>
      </c>
      <c r="JOU617" s="17">
        <v>44925</v>
      </c>
      <c r="JOV617" s="5" t="s">
        <v>3728</v>
      </c>
      <c r="JOW617" s="17">
        <v>44925</v>
      </c>
      <c r="JOX617" s="5" t="s">
        <v>3728</v>
      </c>
      <c r="JOY617" s="17">
        <v>44925</v>
      </c>
      <c r="JOZ617" s="5" t="s">
        <v>3728</v>
      </c>
      <c r="JPA617" s="17">
        <v>44925</v>
      </c>
      <c r="JPB617" s="5" t="s">
        <v>3728</v>
      </c>
      <c r="JPC617" s="17">
        <v>44925</v>
      </c>
      <c r="JPD617" s="5" t="s">
        <v>3728</v>
      </c>
      <c r="JPE617" s="17">
        <v>44925</v>
      </c>
      <c r="JPF617" s="5" t="s">
        <v>3728</v>
      </c>
      <c r="JPG617" s="17">
        <v>44925</v>
      </c>
      <c r="JPH617" s="5" t="s">
        <v>3728</v>
      </c>
      <c r="JPI617" s="17">
        <v>44925</v>
      </c>
      <c r="JPJ617" s="5" t="s">
        <v>3728</v>
      </c>
      <c r="JPK617" s="17">
        <v>44925</v>
      </c>
      <c r="JPL617" s="5" t="s">
        <v>3728</v>
      </c>
      <c r="JPM617" s="17">
        <v>44925</v>
      </c>
      <c r="JPN617" s="5" t="s">
        <v>3728</v>
      </c>
      <c r="JPO617" s="17">
        <v>44925</v>
      </c>
      <c r="JPP617" s="5" t="s">
        <v>3728</v>
      </c>
      <c r="JPQ617" s="17">
        <v>44925</v>
      </c>
      <c r="JPR617" s="5" t="s">
        <v>3728</v>
      </c>
      <c r="JPS617" s="17">
        <v>44925</v>
      </c>
      <c r="JPT617" s="5" t="s">
        <v>3728</v>
      </c>
      <c r="JPU617" s="17">
        <v>44925</v>
      </c>
      <c r="JPV617" s="5" t="s">
        <v>3728</v>
      </c>
      <c r="JPW617" s="17">
        <v>44925</v>
      </c>
      <c r="JPX617" s="5" t="s">
        <v>3728</v>
      </c>
      <c r="JPY617" s="17">
        <v>44925</v>
      </c>
      <c r="JPZ617" s="5" t="s">
        <v>3728</v>
      </c>
      <c r="JQA617" s="17">
        <v>44925</v>
      </c>
      <c r="JQB617" s="5" t="s">
        <v>3728</v>
      </c>
      <c r="JQC617" s="17">
        <v>44925</v>
      </c>
      <c r="JQD617" s="5" t="s">
        <v>3728</v>
      </c>
      <c r="JQE617" s="17">
        <v>44925</v>
      </c>
      <c r="JQF617" s="5" t="s">
        <v>3728</v>
      </c>
      <c r="JQG617" s="17">
        <v>44925</v>
      </c>
      <c r="JQH617" s="5" t="s">
        <v>3728</v>
      </c>
      <c r="JQI617" s="17">
        <v>44925</v>
      </c>
      <c r="JQJ617" s="5" t="s">
        <v>3728</v>
      </c>
      <c r="JQK617" s="17">
        <v>44925</v>
      </c>
      <c r="JQL617" s="5" t="s">
        <v>3728</v>
      </c>
      <c r="JQM617" s="17">
        <v>44925</v>
      </c>
      <c r="JQN617" s="5" t="s">
        <v>3728</v>
      </c>
      <c r="JQO617" s="17">
        <v>44925</v>
      </c>
      <c r="JQP617" s="5" t="s">
        <v>3728</v>
      </c>
      <c r="JQQ617" s="17">
        <v>44925</v>
      </c>
      <c r="JQR617" s="5" t="s">
        <v>3728</v>
      </c>
      <c r="JQS617" s="17">
        <v>44925</v>
      </c>
      <c r="JQT617" s="5" t="s">
        <v>3728</v>
      </c>
      <c r="JQU617" s="17">
        <v>44925</v>
      </c>
      <c r="JQV617" s="5" t="s">
        <v>3728</v>
      </c>
      <c r="JQW617" s="17">
        <v>44925</v>
      </c>
      <c r="JQX617" s="5" t="s">
        <v>3728</v>
      </c>
      <c r="JQY617" s="17">
        <v>44925</v>
      </c>
      <c r="JQZ617" s="5" t="s">
        <v>3728</v>
      </c>
      <c r="JRA617" s="17">
        <v>44925</v>
      </c>
      <c r="JRB617" s="5" t="s">
        <v>3728</v>
      </c>
      <c r="JRC617" s="17">
        <v>44925</v>
      </c>
      <c r="JRD617" s="5" t="s">
        <v>3728</v>
      </c>
      <c r="JRE617" s="17">
        <v>44925</v>
      </c>
      <c r="JRF617" s="5" t="s">
        <v>3728</v>
      </c>
      <c r="JRG617" s="17">
        <v>44925</v>
      </c>
      <c r="JRH617" s="5" t="s">
        <v>3728</v>
      </c>
      <c r="JRI617" s="17">
        <v>44925</v>
      </c>
      <c r="JRJ617" s="5" t="s">
        <v>3728</v>
      </c>
      <c r="JRK617" s="17">
        <v>44925</v>
      </c>
      <c r="JRL617" s="5" t="s">
        <v>3728</v>
      </c>
      <c r="JRM617" s="17">
        <v>44925</v>
      </c>
      <c r="JRN617" s="5" t="s">
        <v>3728</v>
      </c>
      <c r="JRO617" s="17">
        <v>44925</v>
      </c>
      <c r="JRP617" s="5" t="s">
        <v>3728</v>
      </c>
      <c r="JRQ617" s="17">
        <v>44925</v>
      </c>
      <c r="JRR617" s="5" t="s">
        <v>3728</v>
      </c>
      <c r="JRS617" s="17">
        <v>44925</v>
      </c>
      <c r="JRT617" s="5" t="s">
        <v>3728</v>
      </c>
      <c r="JRU617" s="17">
        <v>44925</v>
      </c>
      <c r="JRV617" s="5" t="s">
        <v>3728</v>
      </c>
      <c r="JRW617" s="17">
        <v>44925</v>
      </c>
      <c r="JRX617" s="5" t="s">
        <v>3728</v>
      </c>
      <c r="JRY617" s="17">
        <v>44925</v>
      </c>
      <c r="JRZ617" s="5" t="s">
        <v>3728</v>
      </c>
      <c r="JSA617" s="17">
        <v>44925</v>
      </c>
      <c r="JSB617" s="5" t="s">
        <v>3728</v>
      </c>
      <c r="JSC617" s="17">
        <v>44925</v>
      </c>
      <c r="JSD617" s="5" t="s">
        <v>3728</v>
      </c>
      <c r="JSE617" s="17">
        <v>44925</v>
      </c>
      <c r="JSF617" s="5" t="s">
        <v>3728</v>
      </c>
      <c r="JSG617" s="17">
        <v>44925</v>
      </c>
      <c r="JSH617" s="5" t="s">
        <v>3728</v>
      </c>
      <c r="JSI617" s="17">
        <v>44925</v>
      </c>
      <c r="JSJ617" s="5" t="s">
        <v>3728</v>
      </c>
      <c r="JSK617" s="17">
        <v>44925</v>
      </c>
      <c r="JSL617" s="5" t="s">
        <v>3728</v>
      </c>
      <c r="JSM617" s="17">
        <v>44925</v>
      </c>
      <c r="JSN617" s="5" t="s">
        <v>3728</v>
      </c>
      <c r="JSO617" s="17">
        <v>44925</v>
      </c>
      <c r="JSP617" s="5" t="s">
        <v>3728</v>
      </c>
      <c r="JSQ617" s="17">
        <v>44925</v>
      </c>
      <c r="JSR617" s="5" t="s">
        <v>3728</v>
      </c>
      <c r="JSS617" s="17">
        <v>44925</v>
      </c>
      <c r="JST617" s="5" t="s">
        <v>3728</v>
      </c>
      <c r="JSU617" s="17">
        <v>44925</v>
      </c>
      <c r="JSV617" s="5" t="s">
        <v>3728</v>
      </c>
      <c r="JSW617" s="17">
        <v>44925</v>
      </c>
      <c r="JSX617" s="5" t="s">
        <v>3728</v>
      </c>
      <c r="JSY617" s="17">
        <v>44925</v>
      </c>
      <c r="JSZ617" s="5" t="s">
        <v>3728</v>
      </c>
      <c r="JTA617" s="17">
        <v>44925</v>
      </c>
      <c r="JTB617" s="5" t="s">
        <v>3728</v>
      </c>
      <c r="JTC617" s="17">
        <v>44925</v>
      </c>
      <c r="JTD617" s="5" t="s">
        <v>3728</v>
      </c>
      <c r="JTE617" s="17">
        <v>44925</v>
      </c>
      <c r="JTF617" s="5" t="s">
        <v>3728</v>
      </c>
      <c r="JTG617" s="17">
        <v>44925</v>
      </c>
      <c r="JTH617" s="5" t="s">
        <v>3728</v>
      </c>
      <c r="JTI617" s="17">
        <v>44925</v>
      </c>
      <c r="JTJ617" s="5" t="s">
        <v>3728</v>
      </c>
      <c r="JTK617" s="17">
        <v>44925</v>
      </c>
      <c r="JTL617" s="5" t="s">
        <v>3728</v>
      </c>
      <c r="JTM617" s="17">
        <v>44925</v>
      </c>
      <c r="JTN617" s="5" t="s">
        <v>3728</v>
      </c>
      <c r="JTO617" s="17">
        <v>44925</v>
      </c>
      <c r="JTP617" s="5" t="s">
        <v>3728</v>
      </c>
      <c r="JTQ617" s="17">
        <v>44925</v>
      </c>
      <c r="JTR617" s="5" t="s">
        <v>3728</v>
      </c>
      <c r="JTS617" s="17">
        <v>44925</v>
      </c>
      <c r="JTT617" s="5" t="s">
        <v>3728</v>
      </c>
      <c r="JTU617" s="17">
        <v>44925</v>
      </c>
      <c r="JTV617" s="5" t="s">
        <v>3728</v>
      </c>
      <c r="JTW617" s="17">
        <v>44925</v>
      </c>
      <c r="JTX617" s="5" t="s">
        <v>3728</v>
      </c>
      <c r="JTY617" s="17">
        <v>44925</v>
      </c>
      <c r="JTZ617" s="5" t="s">
        <v>3728</v>
      </c>
      <c r="JUA617" s="17">
        <v>44925</v>
      </c>
      <c r="JUB617" s="5" t="s">
        <v>3728</v>
      </c>
      <c r="JUC617" s="17">
        <v>44925</v>
      </c>
      <c r="JUD617" s="5" t="s">
        <v>3728</v>
      </c>
      <c r="JUE617" s="17">
        <v>44925</v>
      </c>
      <c r="JUF617" s="5" t="s">
        <v>3728</v>
      </c>
      <c r="JUG617" s="17">
        <v>44925</v>
      </c>
      <c r="JUH617" s="5" t="s">
        <v>3728</v>
      </c>
      <c r="JUI617" s="17">
        <v>44925</v>
      </c>
      <c r="JUJ617" s="5" t="s">
        <v>3728</v>
      </c>
      <c r="JUK617" s="17">
        <v>44925</v>
      </c>
      <c r="JUL617" s="5" t="s">
        <v>3728</v>
      </c>
      <c r="JUM617" s="17">
        <v>44925</v>
      </c>
      <c r="JUN617" s="5" t="s">
        <v>3728</v>
      </c>
      <c r="JUO617" s="17">
        <v>44925</v>
      </c>
      <c r="JUP617" s="5" t="s">
        <v>3728</v>
      </c>
      <c r="JUQ617" s="17">
        <v>44925</v>
      </c>
      <c r="JUR617" s="5" t="s">
        <v>3728</v>
      </c>
      <c r="JUS617" s="17">
        <v>44925</v>
      </c>
      <c r="JUT617" s="5" t="s">
        <v>3728</v>
      </c>
      <c r="JUU617" s="17">
        <v>44925</v>
      </c>
      <c r="JUV617" s="5" t="s">
        <v>3728</v>
      </c>
      <c r="JUW617" s="17">
        <v>44925</v>
      </c>
      <c r="JUX617" s="5" t="s">
        <v>3728</v>
      </c>
      <c r="JUY617" s="17">
        <v>44925</v>
      </c>
      <c r="JUZ617" s="5" t="s">
        <v>3728</v>
      </c>
      <c r="JVA617" s="17">
        <v>44925</v>
      </c>
      <c r="JVB617" s="5" t="s">
        <v>3728</v>
      </c>
      <c r="JVC617" s="17">
        <v>44925</v>
      </c>
      <c r="JVD617" s="5" t="s">
        <v>3728</v>
      </c>
      <c r="JVE617" s="17">
        <v>44925</v>
      </c>
      <c r="JVF617" s="5" t="s">
        <v>3728</v>
      </c>
      <c r="JVG617" s="17">
        <v>44925</v>
      </c>
      <c r="JVH617" s="5" t="s">
        <v>3728</v>
      </c>
      <c r="JVI617" s="17">
        <v>44925</v>
      </c>
      <c r="JVJ617" s="5" t="s">
        <v>3728</v>
      </c>
      <c r="JVK617" s="17">
        <v>44925</v>
      </c>
      <c r="JVL617" s="5" t="s">
        <v>3728</v>
      </c>
      <c r="JVM617" s="17">
        <v>44925</v>
      </c>
      <c r="JVN617" s="5" t="s">
        <v>3728</v>
      </c>
      <c r="JVO617" s="17">
        <v>44925</v>
      </c>
      <c r="JVP617" s="5" t="s">
        <v>3728</v>
      </c>
      <c r="JVQ617" s="17">
        <v>44925</v>
      </c>
      <c r="JVR617" s="5" t="s">
        <v>3728</v>
      </c>
      <c r="JVS617" s="17">
        <v>44925</v>
      </c>
      <c r="JVT617" s="5" t="s">
        <v>3728</v>
      </c>
      <c r="JVU617" s="17">
        <v>44925</v>
      </c>
      <c r="JVV617" s="5" t="s">
        <v>3728</v>
      </c>
      <c r="JVW617" s="17">
        <v>44925</v>
      </c>
      <c r="JVX617" s="5" t="s">
        <v>3728</v>
      </c>
      <c r="JVY617" s="17">
        <v>44925</v>
      </c>
      <c r="JVZ617" s="5" t="s">
        <v>3728</v>
      </c>
      <c r="JWA617" s="17">
        <v>44925</v>
      </c>
      <c r="JWB617" s="5" t="s">
        <v>3728</v>
      </c>
      <c r="JWC617" s="17">
        <v>44925</v>
      </c>
      <c r="JWD617" s="5" t="s">
        <v>3728</v>
      </c>
      <c r="JWE617" s="17">
        <v>44925</v>
      </c>
      <c r="JWF617" s="5" t="s">
        <v>3728</v>
      </c>
      <c r="JWG617" s="17">
        <v>44925</v>
      </c>
      <c r="JWH617" s="5" t="s">
        <v>3728</v>
      </c>
      <c r="JWI617" s="17">
        <v>44925</v>
      </c>
      <c r="JWJ617" s="5" t="s">
        <v>3728</v>
      </c>
      <c r="JWK617" s="17">
        <v>44925</v>
      </c>
      <c r="JWL617" s="5" t="s">
        <v>3728</v>
      </c>
      <c r="JWM617" s="17">
        <v>44925</v>
      </c>
      <c r="JWN617" s="5" t="s">
        <v>3728</v>
      </c>
      <c r="JWO617" s="17">
        <v>44925</v>
      </c>
      <c r="JWP617" s="5" t="s">
        <v>3728</v>
      </c>
      <c r="JWQ617" s="17">
        <v>44925</v>
      </c>
      <c r="JWR617" s="5" t="s">
        <v>3728</v>
      </c>
      <c r="JWS617" s="17">
        <v>44925</v>
      </c>
      <c r="JWT617" s="5" t="s">
        <v>3728</v>
      </c>
      <c r="JWU617" s="17">
        <v>44925</v>
      </c>
      <c r="JWV617" s="5" t="s">
        <v>3728</v>
      </c>
      <c r="JWW617" s="17">
        <v>44925</v>
      </c>
      <c r="JWX617" s="5" t="s">
        <v>3728</v>
      </c>
      <c r="JWY617" s="17">
        <v>44925</v>
      </c>
      <c r="JWZ617" s="5" t="s">
        <v>3728</v>
      </c>
      <c r="JXA617" s="17">
        <v>44925</v>
      </c>
      <c r="JXB617" s="5" t="s">
        <v>3728</v>
      </c>
      <c r="JXC617" s="17">
        <v>44925</v>
      </c>
      <c r="JXD617" s="5" t="s">
        <v>3728</v>
      </c>
      <c r="JXE617" s="17">
        <v>44925</v>
      </c>
      <c r="JXF617" s="5" t="s">
        <v>3728</v>
      </c>
      <c r="JXG617" s="17">
        <v>44925</v>
      </c>
      <c r="JXH617" s="5" t="s">
        <v>3728</v>
      </c>
      <c r="JXI617" s="17">
        <v>44925</v>
      </c>
      <c r="JXJ617" s="5" t="s">
        <v>3728</v>
      </c>
      <c r="JXK617" s="17">
        <v>44925</v>
      </c>
      <c r="JXL617" s="5" t="s">
        <v>3728</v>
      </c>
      <c r="JXM617" s="17">
        <v>44925</v>
      </c>
      <c r="JXN617" s="5" t="s">
        <v>3728</v>
      </c>
      <c r="JXO617" s="17">
        <v>44925</v>
      </c>
      <c r="JXP617" s="5" t="s">
        <v>3728</v>
      </c>
      <c r="JXQ617" s="17">
        <v>44925</v>
      </c>
      <c r="JXR617" s="5" t="s">
        <v>3728</v>
      </c>
      <c r="JXS617" s="17">
        <v>44925</v>
      </c>
      <c r="JXT617" s="5" t="s">
        <v>3728</v>
      </c>
      <c r="JXU617" s="17">
        <v>44925</v>
      </c>
      <c r="JXV617" s="5" t="s">
        <v>3728</v>
      </c>
      <c r="JXW617" s="17">
        <v>44925</v>
      </c>
      <c r="JXX617" s="5" t="s">
        <v>3728</v>
      </c>
      <c r="JXY617" s="17">
        <v>44925</v>
      </c>
      <c r="JXZ617" s="5" t="s">
        <v>3728</v>
      </c>
      <c r="JYA617" s="17">
        <v>44925</v>
      </c>
      <c r="JYB617" s="5" t="s">
        <v>3728</v>
      </c>
      <c r="JYC617" s="17">
        <v>44925</v>
      </c>
      <c r="JYD617" s="5" t="s">
        <v>3728</v>
      </c>
      <c r="JYE617" s="17">
        <v>44925</v>
      </c>
      <c r="JYF617" s="5" t="s">
        <v>3728</v>
      </c>
      <c r="JYG617" s="17">
        <v>44925</v>
      </c>
      <c r="JYH617" s="5" t="s">
        <v>3728</v>
      </c>
      <c r="JYI617" s="17">
        <v>44925</v>
      </c>
      <c r="JYJ617" s="5" t="s">
        <v>3728</v>
      </c>
      <c r="JYK617" s="17">
        <v>44925</v>
      </c>
      <c r="JYL617" s="5" t="s">
        <v>3728</v>
      </c>
      <c r="JYM617" s="17">
        <v>44925</v>
      </c>
      <c r="JYN617" s="5" t="s">
        <v>3728</v>
      </c>
      <c r="JYO617" s="17">
        <v>44925</v>
      </c>
      <c r="JYP617" s="5" t="s">
        <v>3728</v>
      </c>
      <c r="JYQ617" s="17">
        <v>44925</v>
      </c>
      <c r="JYR617" s="5" t="s">
        <v>3728</v>
      </c>
      <c r="JYS617" s="17">
        <v>44925</v>
      </c>
      <c r="JYT617" s="5" t="s">
        <v>3728</v>
      </c>
      <c r="JYU617" s="17">
        <v>44925</v>
      </c>
      <c r="JYV617" s="5" t="s">
        <v>3728</v>
      </c>
      <c r="JYW617" s="17">
        <v>44925</v>
      </c>
      <c r="JYX617" s="5" t="s">
        <v>3728</v>
      </c>
      <c r="JYY617" s="17">
        <v>44925</v>
      </c>
      <c r="JYZ617" s="5" t="s">
        <v>3728</v>
      </c>
      <c r="JZA617" s="17">
        <v>44925</v>
      </c>
      <c r="JZB617" s="5" t="s">
        <v>3728</v>
      </c>
      <c r="JZC617" s="17">
        <v>44925</v>
      </c>
      <c r="JZD617" s="5" t="s">
        <v>3728</v>
      </c>
      <c r="JZE617" s="17">
        <v>44925</v>
      </c>
      <c r="JZF617" s="5" t="s">
        <v>3728</v>
      </c>
      <c r="JZG617" s="17">
        <v>44925</v>
      </c>
      <c r="JZH617" s="5" t="s">
        <v>3728</v>
      </c>
      <c r="JZI617" s="17">
        <v>44925</v>
      </c>
      <c r="JZJ617" s="5" t="s">
        <v>3728</v>
      </c>
      <c r="JZK617" s="17">
        <v>44925</v>
      </c>
      <c r="JZL617" s="5" t="s">
        <v>3728</v>
      </c>
      <c r="JZM617" s="17">
        <v>44925</v>
      </c>
      <c r="JZN617" s="5" t="s">
        <v>3728</v>
      </c>
      <c r="JZO617" s="17">
        <v>44925</v>
      </c>
      <c r="JZP617" s="5" t="s">
        <v>3728</v>
      </c>
      <c r="JZQ617" s="17">
        <v>44925</v>
      </c>
      <c r="JZR617" s="5" t="s">
        <v>3728</v>
      </c>
      <c r="JZS617" s="17">
        <v>44925</v>
      </c>
      <c r="JZT617" s="5" t="s">
        <v>3728</v>
      </c>
      <c r="JZU617" s="17">
        <v>44925</v>
      </c>
      <c r="JZV617" s="5" t="s">
        <v>3728</v>
      </c>
      <c r="JZW617" s="17">
        <v>44925</v>
      </c>
      <c r="JZX617" s="5" t="s">
        <v>3728</v>
      </c>
      <c r="JZY617" s="17">
        <v>44925</v>
      </c>
      <c r="JZZ617" s="5" t="s">
        <v>3728</v>
      </c>
      <c r="KAA617" s="17">
        <v>44925</v>
      </c>
      <c r="KAB617" s="5" t="s">
        <v>3728</v>
      </c>
      <c r="KAC617" s="17">
        <v>44925</v>
      </c>
      <c r="KAD617" s="5" t="s">
        <v>3728</v>
      </c>
      <c r="KAE617" s="17">
        <v>44925</v>
      </c>
      <c r="KAF617" s="5" t="s">
        <v>3728</v>
      </c>
      <c r="KAG617" s="17">
        <v>44925</v>
      </c>
      <c r="KAH617" s="5" t="s">
        <v>3728</v>
      </c>
      <c r="KAI617" s="17">
        <v>44925</v>
      </c>
      <c r="KAJ617" s="5" t="s">
        <v>3728</v>
      </c>
      <c r="KAK617" s="17">
        <v>44925</v>
      </c>
      <c r="KAL617" s="5" t="s">
        <v>3728</v>
      </c>
      <c r="KAM617" s="17">
        <v>44925</v>
      </c>
      <c r="KAN617" s="5" t="s">
        <v>3728</v>
      </c>
      <c r="KAO617" s="17">
        <v>44925</v>
      </c>
      <c r="KAP617" s="5" t="s">
        <v>3728</v>
      </c>
      <c r="KAQ617" s="17">
        <v>44925</v>
      </c>
      <c r="KAR617" s="5" t="s">
        <v>3728</v>
      </c>
      <c r="KAS617" s="17">
        <v>44925</v>
      </c>
      <c r="KAT617" s="5" t="s">
        <v>3728</v>
      </c>
      <c r="KAU617" s="17">
        <v>44925</v>
      </c>
      <c r="KAV617" s="5" t="s">
        <v>3728</v>
      </c>
      <c r="KAW617" s="17">
        <v>44925</v>
      </c>
      <c r="KAX617" s="5" t="s">
        <v>3728</v>
      </c>
      <c r="KAY617" s="17">
        <v>44925</v>
      </c>
      <c r="KAZ617" s="5" t="s">
        <v>3728</v>
      </c>
      <c r="KBA617" s="17">
        <v>44925</v>
      </c>
      <c r="KBB617" s="5" t="s">
        <v>3728</v>
      </c>
      <c r="KBC617" s="17">
        <v>44925</v>
      </c>
      <c r="KBD617" s="5" t="s">
        <v>3728</v>
      </c>
      <c r="KBE617" s="17">
        <v>44925</v>
      </c>
      <c r="KBF617" s="5" t="s">
        <v>3728</v>
      </c>
      <c r="KBG617" s="17">
        <v>44925</v>
      </c>
      <c r="KBH617" s="5" t="s">
        <v>3728</v>
      </c>
      <c r="KBI617" s="17">
        <v>44925</v>
      </c>
      <c r="KBJ617" s="5" t="s">
        <v>3728</v>
      </c>
      <c r="KBK617" s="17">
        <v>44925</v>
      </c>
      <c r="KBL617" s="5" t="s">
        <v>3728</v>
      </c>
      <c r="KBM617" s="17">
        <v>44925</v>
      </c>
      <c r="KBN617" s="5" t="s">
        <v>3728</v>
      </c>
      <c r="KBO617" s="17">
        <v>44925</v>
      </c>
      <c r="KBP617" s="5" t="s">
        <v>3728</v>
      </c>
      <c r="KBQ617" s="17">
        <v>44925</v>
      </c>
      <c r="KBR617" s="5" t="s">
        <v>3728</v>
      </c>
      <c r="KBS617" s="17">
        <v>44925</v>
      </c>
      <c r="KBT617" s="5" t="s">
        <v>3728</v>
      </c>
      <c r="KBU617" s="17">
        <v>44925</v>
      </c>
      <c r="KBV617" s="5" t="s">
        <v>3728</v>
      </c>
      <c r="KBW617" s="17">
        <v>44925</v>
      </c>
      <c r="KBX617" s="5" t="s">
        <v>3728</v>
      </c>
      <c r="KBY617" s="17">
        <v>44925</v>
      </c>
      <c r="KBZ617" s="5" t="s">
        <v>3728</v>
      </c>
      <c r="KCA617" s="17">
        <v>44925</v>
      </c>
      <c r="KCB617" s="5" t="s">
        <v>3728</v>
      </c>
      <c r="KCC617" s="17">
        <v>44925</v>
      </c>
      <c r="KCD617" s="5" t="s">
        <v>3728</v>
      </c>
      <c r="KCE617" s="17">
        <v>44925</v>
      </c>
      <c r="KCF617" s="5" t="s">
        <v>3728</v>
      </c>
      <c r="KCG617" s="17">
        <v>44925</v>
      </c>
      <c r="KCH617" s="5" t="s">
        <v>3728</v>
      </c>
      <c r="KCI617" s="17">
        <v>44925</v>
      </c>
      <c r="KCJ617" s="5" t="s">
        <v>3728</v>
      </c>
      <c r="KCK617" s="17">
        <v>44925</v>
      </c>
      <c r="KCL617" s="5" t="s">
        <v>3728</v>
      </c>
      <c r="KCM617" s="17">
        <v>44925</v>
      </c>
      <c r="KCN617" s="5" t="s">
        <v>3728</v>
      </c>
      <c r="KCO617" s="17">
        <v>44925</v>
      </c>
      <c r="KCP617" s="5" t="s">
        <v>3728</v>
      </c>
      <c r="KCQ617" s="17">
        <v>44925</v>
      </c>
      <c r="KCR617" s="5" t="s">
        <v>3728</v>
      </c>
      <c r="KCS617" s="17">
        <v>44925</v>
      </c>
      <c r="KCT617" s="5" t="s">
        <v>3728</v>
      </c>
      <c r="KCU617" s="17">
        <v>44925</v>
      </c>
      <c r="KCV617" s="5" t="s">
        <v>3728</v>
      </c>
      <c r="KCW617" s="17">
        <v>44925</v>
      </c>
      <c r="KCX617" s="5" t="s">
        <v>3728</v>
      </c>
      <c r="KCY617" s="17">
        <v>44925</v>
      </c>
      <c r="KCZ617" s="5" t="s">
        <v>3728</v>
      </c>
      <c r="KDA617" s="17">
        <v>44925</v>
      </c>
      <c r="KDB617" s="5" t="s">
        <v>3728</v>
      </c>
      <c r="KDC617" s="17">
        <v>44925</v>
      </c>
      <c r="KDD617" s="5" t="s">
        <v>3728</v>
      </c>
      <c r="KDE617" s="17">
        <v>44925</v>
      </c>
      <c r="KDF617" s="5" t="s">
        <v>3728</v>
      </c>
      <c r="KDG617" s="17">
        <v>44925</v>
      </c>
      <c r="KDH617" s="5" t="s">
        <v>3728</v>
      </c>
      <c r="KDI617" s="17">
        <v>44925</v>
      </c>
      <c r="KDJ617" s="5" t="s">
        <v>3728</v>
      </c>
      <c r="KDK617" s="17">
        <v>44925</v>
      </c>
      <c r="KDL617" s="5" t="s">
        <v>3728</v>
      </c>
      <c r="KDM617" s="17">
        <v>44925</v>
      </c>
      <c r="KDN617" s="5" t="s">
        <v>3728</v>
      </c>
      <c r="KDO617" s="17">
        <v>44925</v>
      </c>
      <c r="KDP617" s="5" t="s">
        <v>3728</v>
      </c>
      <c r="KDQ617" s="17">
        <v>44925</v>
      </c>
      <c r="KDR617" s="5" t="s">
        <v>3728</v>
      </c>
      <c r="KDS617" s="17">
        <v>44925</v>
      </c>
      <c r="KDT617" s="5" t="s">
        <v>3728</v>
      </c>
      <c r="KDU617" s="17">
        <v>44925</v>
      </c>
      <c r="KDV617" s="5" t="s">
        <v>3728</v>
      </c>
      <c r="KDW617" s="17">
        <v>44925</v>
      </c>
      <c r="KDX617" s="5" t="s">
        <v>3728</v>
      </c>
      <c r="KDY617" s="17">
        <v>44925</v>
      </c>
      <c r="KDZ617" s="5" t="s">
        <v>3728</v>
      </c>
      <c r="KEA617" s="17">
        <v>44925</v>
      </c>
      <c r="KEB617" s="5" t="s">
        <v>3728</v>
      </c>
      <c r="KEC617" s="17">
        <v>44925</v>
      </c>
      <c r="KED617" s="5" t="s">
        <v>3728</v>
      </c>
      <c r="KEE617" s="17">
        <v>44925</v>
      </c>
      <c r="KEF617" s="5" t="s">
        <v>3728</v>
      </c>
      <c r="KEG617" s="17">
        <v>44925</v>
      </c>
      <c r="KEH617" s="5" t="s">
        <v>3728</v>
      </c>
      <c r="KEI617" s="17">
        <v>44925</v>
      </c>
      <c r="KEJ617" s="5" t="s">
        <v>3728</v>
      </c>
      <c r="KEK617" s="17">
        <v>44925</v>
      </c>
      <c r="KEL617" s="5" t="s">
        <v>3728</v>
      </c>
      <c r="KEM617" s="17">
        <v>44925</v>
      </c>
      <c r="KEN617" s="5" t="s">
        <v>3728</v>
      </c>
      <c r="KEO617" s="17">
        <v>44925</v>
      </c>
      <c r="KEP617" s="5" t="s">
        <v>3728</v>
      </c>
      <c r="KEQ617" s="17">
        <v>44925</v>
      </c>
      <c r="KER617" s="5" t="s">
        <v>3728</v>
      </c>
      <c r="KES617" s="17">
        <v>44925</v>
      </c>
      <c r="KET617" s="5" t="s">
        <v>3728</v>
      </c>
      <c r="KEU617" s="17">
        <v>44925</v>
      </c>
      <c r="KEV617" s="5" t="s">
        <v>3728</v>
      </c>
      <c r="KEW617" s="17">
        <v>44925</v>
      </c>
      <c r="KEX617" s="5" t="s">
        <v>3728</v>
      </c>
      <c r="KEY617" s="17">
        <v>44925</v>
      </c>
      <c r="KEZ617" s="5" t="s">
        <v>3728</v>
      </c>
      <c r="KFA617" s="17">
        <v>44925</v>
      </c>
      <c r="KFB617" s="5" t="s">
        <v>3728</v>
      </c>
      <c r="KFC617" s="17">
        <v>44925</v>
      </c>
      <c r="KFD617" s="5" t="s">
        <v>3728</v>
      </c>
      <c r="KFE617" s="17">
        <v>44925</v>
      </c>
      <c r="KFF617" s="5" t="s">
        <v>3728</v>
      </c>
      <c r="KFG617" s="17">
        <v>44925</v>
      </c>
      <c r="KFH617" s="5" t="s">
        <v>3728</v>
      </c>
      <c r="KFI617" s="17">
        <v>44925</v>
      </c>
      <c r="KFJ617" s="5" t="s">
        <v>3728</v>
      </c>
      <c r="KFK617" s="17">
        <v>44925</v>
      </c>
      <c r="KFL617" s="5" t="s">
        <v>3728</v>
      </c>
      <c r="KFM617" s="17">
        <v>44925</v>
      </c>
      <c r="KFN617" s="5" t="s">
        <v>3728</v>
      </c>
      <c r="KFO617" s="17">
        <v>44925</v>
      </c>
      <c r="KFP617" s="5" t="s">
        <v>3728</v>
      </c>
      <c r="KFQ617" s="17">
        <v>44925</v>
      </c>
      <c r="KFR617" s="5" t="s">
        <v>3728</v>
      </c>
      <c r="KFS617" s="17">
        <v>44925</v>
      </c>
      <c r="KFT617" s="5" t="s">
        <v>3728</v>
      </c>
      <c r="KFU617" s="17">
        <v>44925</v>
      </c>
      <c r="KFV617" s="5" t="s">
        <v>3728</v>
      </c>
      <c r="KFW617" s="17">
        <v>44925</v>
      </c>
      <c r="KFX617" s="5" t="s">
        <v>3728</v>
      </c>
      <c r="KFY617" s="17">
        <v>44925</v>
      </c>
      <c r="KFZ617" s="5" t="s">
        <v>3728</v>
      </c>
      <c r="KGA617" s="17">
        <v>44925</v>
      </c>
      <c r="KGB617" s="5" t="s">
        <v>3728</v>
      </c>
      <c r="KGC617" s="17">
        <v>44925</v>
      </c>
      <c r="KGD617" s="5" t="s">
        <v>3728</v>
      </c>
      <c r="KGE617" s="17">
        <v>44925</v>
      </c>
      <c r="KGF617" s="5" t="s">
        <v>3728</v>
      </c>
      <c r="KGG617" s="17">
        <v>44925</v>
      </c>
      <c r="KGH617" s="5" t="s">
        <v>3728</v>
      </c>
      <c r="KGI617" s="17">
        <v>44925</v>
      </c>
      <c r="KGJ617" s="5" t="s">
        <v>3728</v>
      </c>
      <c r="KGK617" s="17">
        <v>44925</v>
      </c>
      <c r="KGL617" s="5" t="s">
        <v>3728</v>
      </c>
      <c r="KGM617" s="17">
        <v>44925</v>
      </c>
      <c r="KGN617" s="5" t="s">
        <v>3728</v>
      </c>
      <c r="KGO617" s="17">
        <v>44925</v>
      </c>
      <c r="KGP617" s="5" t="s">
        <v>3728</v>
      </c>
      <c r="KGQ617" s="17">
        <v>44925</v>
      </c>
      <c r="KGR617" s="5" t="s">
        <v>3728</v>
      </c>
      <c r="KGS617" s="17">
        <v>44925</v>
      </c>
      <c r="KGT617" s="5" t="s">
        <v>3728</v>
      </c>
      <c r="KGU617" s="17">
        <v>44925</v>
      </c>
      <c r="KGV617" s="5" t="s">
        <v>3728</v>
      </c>
      <c r="KGW617" s="17">
        <v>44925</v>
      </c>
      <c r="KGX617" s="5" t="s">
        <v>3728</v>
      </c>
      <c r="KGY617" s="17">
        <v>44925</v>
      </c>
      <c r="KGZ617" s="5" t="s">
        <v>3728</v>
      </c>
      <c r="KHA617" s="17">
        <v>44925</v>
      </c>
      <c r="KHB617" s="5" t="s">
        <v>3728</v>
      </c>
      <c r="KHC617" s="17">
        <v>44925</v>
      </c>
      <c r="KHD617" s="5" t="s">
        <v>3728</v>
      </c>
      <c r="KHE617" s="17">
        <v>44925</v>
      </c>
      <c r="KHF617" s="5" t="s">
        <v>3728</v>
      </c>
      <c r="KHG617" s="17">
        <v>44925</v>
      </c>
      <c r="KHH617" s="5" t="s">
        <v>3728</v>
      </c>
      <c r="KHI617" s="17">
        <v>44925</v>
      </c>
      <c r="KHJ617" s="5" t="s">
        <v>3728</v>
      </c>
      <c r="KHK617" s="17">
        <v>44925</v>
      </c>
      <c r="KHL617" s="5" t="s">
        <v>3728</v>
      </c>
      <c r="KHM617" s="17">
        <v>44925</v>
      </c>
      <c r="KHN617" s="5" t="s">
        <v>3728</v>
      </c>
      <c r="KHO617" s="17">
        <v>44925</v>
      </c>
      <c r="KHP617" s="5" t="s">
        <v>3728</v>
      </c>
      <c r="KHQ617" s="17">
        <v>44925</v>
      </c>
      <c r="KHR617" s="5" t="s">
        <v>3728</v>
      </c>
      <c r="KHS617" s="17">
        <v>44925</v>
      </c>
      <c r="KHT617" s="5" t="s">
        <v>3728</v>
      </c>
      <c r="KHU617" s="17">
        <v>44925</v>
      </c>
      <c r="KHV617" s="5" t="s">
        <v>3728</v>
      </c>
      <c r="KHW617" s="17">
        <v>44925</v>
      </c>
      <c r="KHX617" s="5" t="s">
        <v>3728</v>
      </c>
      <c r="KHY617" s="17">
        <v>44925</v>
      </c>
      <c r="KHZ617" s="5" t="s">
        <v>3728</v>
      </c>
      <c r="KIA617" s="17">
        <v>44925</v>
      </c>
      <c r="KIB617" s="5" t="s">
        <v>3728</v>
      </c>
      <c r="KIC617" s="17">
        <v>44925</v>
      </c>
      <c r="KID617" s="5" t="s">
        <v>3728</v>
      </c>
      <c r="KIE617" s="17">
        <v>44925</v>
      </c>
      <c r="KIF617" s="5" t="s">
        <v>3728</v>
      </c>
      <c r="KIG617" s="17">
        <v>44925</v>
      </c>
      <c r="KIH617" s="5" t="s">
        <v>3728</v>
      </c>
      <c r="KII617" s="17">
        <v>44925</v>
      </c>
      <c r="KIJ617" s="5" t="s">
        <v>3728</v>
      </c>
      <c r="KIK617" s="17">
        <v>44925</v>
      </c>
      <c r="KIL617" s="5" t="s">
        <v>3728</v>
      </c>
      <c r="KIM617" s="17">
        <v>44925</v>
      </c>
      <c r="KIN617" s="5" t="s">
        <v>3728</v>
      </c>
      <c r="KIO617" s="17">
        <v>44925</v>
      </c>
      <c r="KIP617" s="5" t="s">
        <v>3728</v>
      </c>
      <c r="KIQ617" s="17">
        <v>44925</v>
      </c>
      <c r="KIR617" s="5" t="s">
        <v>3728</v>
      </c>
      <c r="KIS617" s="17">
        <v>44925</v>
      </c>
      <c r="KIT617" s="5" t="s">
        <v>3728</v>
      </c>
      <c r="KIU617" s="17">
        <v>44925</v>
      </c>
      <c r="KIV617" s="5" t="s">
        <v>3728</v>
      </c>
      <c r="KIW617" s="17">
        <v>44925</v>
      </c>
      <c r="KIX617" s="5" t="s">
        <v>3728</v>
      </c>
      <c r="KIY617" s="17">
        <v>44925</v>
      </c>
      <c r="KIZ617" s="5" t="s">
        <v>3728</v>
      </c>
      <c r="KJA617" s="17">
        <v>44925</v>
      </c>
      <c r="KJB617" s="5" t="s">
        <v>3728</v>
      </c>
      <c r="KJC617" s="17">
        <v>44925</v>
      </c>
      <c r="KJD617" s="5" t="s">
        <v>3728</v>
      </c>
      <c r="KJE617" s="17">
        <v>44925</v>
      </c>
      <c r="KJF617" s="5" t="s">
        <v>3728</v>
      </c>
      <c r="KJG617" s="17">
        <v>44925</v>
      </c>
      <c r="KJH617" s="5" t="s">
        <v>3728</v>
      </c>
      <c r="KJI617" s="17">
        <v>44925</v>
      </c>
      <c r="KJJ617" s="5" t="s">
        <v>3728</v>
      </c>
      <c r="KJK617" s="17">
        <v>44925</v>
      </c>
      <c r="KJL617" s="5" t="s">
        <v>3728</v>
      </c>
      <c r="KJM617" s="17">
        <v>44925</v>
      </c>
      <c r="KJN617" s="5" t="s">
        <v>3728</v>
      </c>
      <c r="KJO617" s="17">
        <v>44925</v>
      </c>
      <c r="KJP617" s="5" t="s">
        <v>3728</v>
      </c>
      <c r="KJQ617" s="17">
        <v>44925</v>
      </c>
      <c r="KJR617" s="5" t="s">
        <v>3728</v>
      </c>
      <c r="KJS617" s="17">
        <v>44925</v>
      </c>
      <c r="KJT617" s="5" t="s">
        <v>3728</v>
      </c>
      <c r="KJU617" s="17">
        <v>44925</v>
      </c>
      <c r="KJV617" s="5" t="s">
        <v>3728</v>
      </c>
      <c r="KJW617" s="17">
        <v>44925</v>
      </c>
      <c r="KJX617" s="5" t="s">
        <v>3728</v>
      </c>
      <c r="KJY617" s="17">
        <v>44925</v>
      </c>
      <c r="KJZ617" s="5" t="s">
        <v>3728</v>
      </c>
      <c r="KKA617" s="17">
        <v>44925</v>
      </c>
      <c r="KKB617" s="5" t="s">
        <v>3728</v>
      </c>
      <c r="KKC617" s="17">
        <v>44925</v>
      </c>
      <c r="KKD617" s="5" t="s">
        <v>3728</v>
      </c>
      <c r="KKE617" s="17">
        <v>44925</v>
      </c>
      <c r="KKF617" s="5" t="s">
        <v>3728</v>
      </c>
      <c r="KKG617" s="17">
        <v>44925</v>
      </c>
      <c r="KKH617" s="5" t="s">
        <v>3728</v>
      </c>
      <c r="KKI617" s="17">
        <v>44925</v>
      </c>
      <c r="KKJ617" s="5" t="s">
        <v>3728</v>
      </c>
      <c r="KKK617" s="17">
        <v>44925</v>
      </c>
      <c r="KKL617" s="5" t="s">
        <v>3728</v>
      </c>
      <c r="KKM617" s="17">
        <v>44925</v>
      </c>
      <c r="KKN617" s="5" t="s">
        <v>3728</v>
      </c>
      <c r="KKO617" s="17">
        <v>44925</v>
      </c>
      <c r="KKP617" s="5" t="s">
        <v>3728</v>
      </c>
      <c r="KKQ617" s="17">
        <v>44925</v>
      </c>
      <c r="KKR617" s="5" t="s">
        <v>3728</v>
      </c>
      <c r="KKS617" s="17">
        <v>44925</v>
      </c>
      <c r="KKT617" s="5" t="s">
        <v>3728</v>
      </c>
      <c r="KKU617" s="17">
        <v>44925</v>
      </c>
      <c r="KKV617" s="5" t="s">
        <v>3728</v>
      </c>
      <c r="KKW617" s="17">
        <v>44925</v>
      </c>
      <c r="KKX617" s="5" t="s">
        <v>3728</v>
      </c>
      <c r="KKY617" s="17">
        <v>44925</v>
      </c>
      <c r="KKZ617" s="5" t="s">
        <v>3728</v>
      </c>
      <c r="KLA617" s="17">
        <v>44925</v>
      </c>
      <c r="KLB617" s="5" t="s">
        <v>3728</v>
      </c>
      <c r="KLC617" s="17">
        <v>44925</v>
      </c>
      <c r="KLD617" s="5" t="s">
        <v>3728</v>
      </c>
      <c r="KLE617" s="17">
        <v>44925</v>
      </c>
      <c r="KLF617" s="5" t="s">
        <v>3728</v>
      </c>
      <c r="KLG617" s="17">
        <v>44925</v>
      </c>
      <c r="KLH617" s="5" t="s">
        <v>3728</v>
      </c>
      <c r="KLI617" s="17">
        <v>44925</v>
      </c>
      <c r="KLJ617" s="5" t="s">
        <v>3728</v>
      </c>
      <c r="KLK617" s="17">
        <v>44925</v>
      </c>
      <c r="KLL617" s="5" t="s">
        <v>3728</v>
      </c>
      <c r="KLM617" s="17">
        <v>44925</v>
      </c>
      <c r="KLN617" s="5" t="s">
        <v>3728</v>
      </c>
      <c r="KLO617" s="17">
        <v>44925</v>
      </c>
      <c r="KLP617" s="5" t="s">
        <v>3728</v>
      </c>
      <c r="KLQ617" s="17">
        <v>44925</v>
      </c>
      <c r="KLR617" s="5" t="s">
        <v>3728</v>
      </c>
      <c r="KLS617" s="17">
        <v>44925</v>
      </c>
      <c r="KLT617" s="5" t="s">
        <v>3728</v>
      </c>
      <c r="KLU617" s="17">
        <v>44925</v>
      </c>
      <c r="KLV617" s="5" t="s">
        <v>3728</v>
      </c>
      <c r="KLW617" s="17">
        <v>44925</v>
      </c>
      <c r="KLX617" s="5" t="s">
        <v>3728</v>
      </c>
      <c r="KLY617" s="17">
        <v>44925</v>
      </c>
      <c r="KLZ617" s="5" t="s">
        <v>3728</v>
      </c>
      <c r="KMA617" s="17">
        <v>44925</v>
      </c>
      <c r="KMB617" s="5" t="s">
        <v>3728</v>
      </c>
      <c r="KMC617" s="17">
        <v>44925</v>
      </c>
      <c r="KMD617" s="5" t="s">
        <v>3728</v>
      </c>
      <c r="KME617" s="17">
        <v>44925</v>
      </c>
      <c r="KMF617" s="5" t="s">
        <v>3728</v>
      </c>
      <c r="KMG617" s="17">
        <v>44925</v>
      </c>
      <c r="KMH617" s="5" t="s">
        <v>3728</v>
      </c>
      <c r="KMI617" s="17">
        <v>44925</v>
      </c>
      <c r="KMJ617" s="5" t="s">
        <v>3728</v>
      </c>
      <c r="KMK617" s="17">
        <v>44925</v>
      </c>
      <c r="KML617" s="5" t="s">
        <v>3728</v>
      </c>
      <c r="KMM617" s="17">
        <v>44925</v>
      </c>
      <c r="KMN617" s="5" t="s">
        <v>3728</v>
      </c>
      <c r="KMO617" s="17">
        <v>44925</v>
      </c>
      <c r="KMP617" s="5" t="s">
        <v>3728</v>
      </c>
      <c r="KMQ617" s="17">
        <v>44925</v>
      </c>
      <c r="KMR617" s="5" t="s">
        <v>3728</v>
      </c>
      <c r="KMS617" s="17">
        <v>44925</v>
      </c>
      <c r="KMT617" s="5" t="s">
        <v>3728</v>
      </c>
      <c r="KMU617" s="17">
        <v>44925</v>
      </c>
      <c r="KMV617" s="5" t="s">
        <v>3728</v>
      </c>
      <c r="KMW617" s="17">
        <v>44925</v>
      </c>
      <c r="KMX617" s="5" t="s">
        <v>3728</v>
      </c>
      <c r="KMY617" s="17">
        <v>44925</v>
      </c>
      <c r="KMZ617" s="5" t="s">
        <v>3728</v>
      </c>
      <c r="KNA617" s="17">
        <v>44925</v>
      </c>
      <c r="KNB617" s="5" t="s">
        <v>3728</v>
      </c>
      <c r="KNC617" s="17">
        <v>44925</v>
      </c>
      <c r="KND617" s="5" t="s">
        <v>3728</v>
      </c>
      <c r="KNE617" s="17">
        <v>44925</v>
      </c>
      <c r="KNF617" s="5" t="s">
        <v>3728</v>
      </c>
      <c r="KNG617" s="17">
        <v>44925</v>
      </c>
      <c r="KNH617" s="5" t="s">
        <v>3728</v>
      </c>
      <c r="KNI617" s="17">
        <v>44925</v>
      </c>
      <c r="KNJ617" s="5" t="s">
        <v>3728</v>
      </c>
      <c r="KNK617" s="17">
        <v>44925</v>
      </c>
      <c r="KNL617" s="5" t="s">
        <v>3728</v>
      </c>
      <c r="KNM617" s="17">
        <v>44925</v>
      </c>
      <c r="KNN617" s="5" t="s">
        <v>3728</v>
      </c>
      <c r="KNO617" s="17">
        <v>44925</v>
      </c>
      <c r="KNP617" s="5" t="s">
        <v>3728</v>
      </c>
      <c r="KNQ617" s="17">
        <v>44925</v>
      </c>
      <c r="KNR617" s="5" t="s">
        <v>3728</v>
      </c>
      <c r="KNS617" s="17">
        <v>44925</v>
      </c>
      <c r="KNT617" s="5" t="s">
        <v>3728</v>
      </c>
      <c r="KNU617" s="17">
        <v>44925</v>
      </c>
      <c r="KNV617" s="5" t="s">
        <v>3728</v>
      </c>
      <c r="KNW617" s="17">
        <v>44925</v>
      </c>
      <c r="KNX617" s="5" t="s">
        <v>3728</v>
      </c>
      <c r="KNY617" s="17">
        <v>44925</v>
      </c>
      <c r="KNZ617" s="5" t="s">
        <v>3728</v>
      </c>
      <c r="KOA617" s="17">
        <v>44925</v>
      </c>
      <c r="KOB617" s="5" t="s">
        <v>3728</v>
      </c>
      <c r="KOC617" s="17">
        <v>44925</v>
      </c>
      <c r="KOD617" s="5" t="s">
        <v>3728</v>
      </c>
      <c r="KOE617" s="17">
        <v>44925</v>
      </c>
      <c r="KOF617" s="5" t="s">
        <v>3728</v>
      </c>
      <c r="KOG617" s="17">
        <v>44925</v>
      </c>
      <c r="KOH617" s="5" t="s">
        <v>3728</v>
      </c>
      <c r="KOI617" s="17">
        <v>44925</v>
      </c>
      <c r="KOJ617" s="5" t="s">
        <v>3728</v>
      </c>
      <c r="KOK617" s="17">
        <v>44925</v>
      </c>
      <c r="KOL617" s="5" t="s">
        <v>3728</v>
      </c>
      <c r="KOM617" s="17">
        <v>44925</v>
      </c>
      <c r="KON617" s="5" t="s">
        <v>3728</v>
      </c>
      <c r="KOO617" s="17">
        <v>44925</v>
      </c>
      <c r="KOP617" s="5" t="s">
        <v>3728</v>
      </c>
      <c r="KOQ617" s="17">
        <v>44925</v>
      </c>
      <c r="KOR617" s="5" t="s">
        <v>3728</v>
      </c>
      <c r="KOS617" s="17">
        <v>44925</v>
      </c>
      <c r="KOT617" s="5" t="s">
        <v>3728</v>
      </c>
      <c r="KOU617" s="17">
        <v>44925</v>
      </c>
      <c r="KOV617" s="5" t="s">
        <v>3728</v>
      </c>
      <c r="KOW617" s="17">
        <v>44925</v>
      </c>
      <c r="KOX617" s="5" t="s">
        <v>3728</v>
      </c>
      <c r="KOY617" s="17">
        <v>44925</v>
      </c>
      <c r="KOZ617" s="5" t="s">
        <v>3728</v>
      </c>
      <c r="KPA617" s="17">
        <v>44925</v>
      </c>
      <c r="KPB617" s="5" t="s">
        <v>3728</v>
      </c>
      <c r="KPC617" s="17">
        <v>44925</v>
      </c>
      <c r="KPD617" s="5" t="s">
        <v>3728</v>
      </c>
      <c r="KPE617" s="17">
        <v>44925</v>
      </c>
      <c r="KPF617" s="5" t="s">
        <v>3728</v>
      </c>
      <c r="KPG617" s="17">
        <v>44925</v>
      </c>
      <c r="KPH617" s="5" t="s">
        <v>3728</v>
      </c>
      <c r="KPI617" s="17">
        <v>44925</v>
      </c>
      <c r="KPJ617" s="5" t="s">
        <v>3728</v>
      </c>
      <c r="KPK617" s="17">
        <v>44925</v>
      </c>
      <c r="KPL617" s="5" t="s">
        <v>3728</v>
      </c>
      <c r="KPM617" s="17">
        <v>44925</v>
      </c>
      <c r="KPN617" s="5" t="s">
        <v>3728</v>
      </c>
      <c r="KPO617" s="17">
        <v>44925</v>
      </c>
      <c r="KPP617" s="5" t="s">
        <v>3728</v>
      </c>
      <c r="KPQ617" s="17">
        <v>44925</v>
      </c>
      <c r="KPR617" s="5" t="s">
        <v>3728</v>
      </c>
      <c r="KPS617" s="17">
        <v>44925</v>
      </c>
      <c r="KPT617" s="5" t="s">
        <v>3728</v>
      </c>
      <c r="KPU617" s="17">
        <v>44925</v>
      </c>
      <c r="KPV617" s="5" t="s">
        <v>3728</v>
      </c>
      <c r="KPW617" s="17">
        <v>44925</v>
      </c>
      <c r="KPX617" s="5" t="s">
        <v>3728</v>
      </c>
      <c r="KPY617" s="17">
        <v>44925</v>
      </c>
      <c r="KPZ617" s="5" t="s">
        <v>3728</v>
      </c>
      <c r="KQA617" s="17">
        <v>44925</v>
      </c>
      <c r="KQB617" s="5" t="s">
        <v>3728</v>
      </c>
      <c r="KQC617" s="17">
        <v>44925</v>
      </c>
      <c r="KQD617" s="5" t="s">
        <v>3728</v>
      </c>
      <c r="KQE617" s="17">
        <v>44925</v>
      </c>
      <c r="KQF617" s="5" t="s">
        <v>3728</v>
      </c>
      <c r="KQG617" s="17">
        <v>44925</v>
      </c>
      <c r="KQH617" s="5" t="s">
        <v>3728</v>
      </c>
      <c r="KQI617" s="17">
        <v>44925</v>
      </c>
      <c r="KQJ617" s="5" t="s">
        <v>3728</v>
      </c>
      <c r="KQK617" s="17">
        <v>44925</v>
      </c>
      <c r="KQL617" s="5" t="s">
        <v>3728</v>
      </c>
      <c r="KQM617" s="17">
        <v>44925</v>
      </c>
      <c r="KQN617" s="5" t="s">
        <v>3728</v>
      </c>
      <c r="KQO617" s="17">
        <v>44925</v>
      </c>
      <c r="KQP617" s="5" t="s">
        <v>3728</v>
      </c>
      <c r="KQQ617" s="17">
        <v>44925</v>
      </c>
      <c r="KQR617" s="5" t="s">
        <v>3728</v>
      </c>
      <c r="KQS617" s="17">
        <v>44925</v>
      </c>
      <c r="KQT617" s="5" t="s">
        <v>3728</v>
      </c>
      <c r="KQU617" s="17">
        <v>44925</v>
      </c>
      <c r="KQV617" s="5" t="s">
        <v>3728</v>
      </c>
      <c r="KQW617" s="17">
        <v>44925</v>
      </c>
      <c r="KQX617" s="5" t="s">
        <v>3728</v>
      </c>
      <c r="KQY617" s="17">
        <v>44925</v>
      </c>
      <c r="KQZ617" s="5" t="s">
        <v>3728</v>
      </c>
      <c r="KRA617" s="17">
        <v>44925</v>
      </c>
      <c r="KRB617" s="5" t="s">
        <v>3728</v>
      </c>
      <c r="KRC617" s="17">
        <v>44925</v>
      </c>
      <c r="KRD617" s="5" t="s">
        <v>3728</v>
      </c>
      <c r="KRE617" s="17">
        <v>44925</v>
      </c>
      <c r="KRF617" s="5" t="s">
        <v>3728</v>
      </c>
      <c r="KRG617" s="17">
        <v>44925</v>
      </c>
      <c r="KRH617" s="5" t="s">
        <v>3728</v>
      </c>
      <c r="KRI617" s="17">
        <v>44925</v>
      </c>
      <c r="KRJ617" s="5" t="s">
        <v>3728</v>
      </c>
      <c r="KRK617" s="17">
        <v>44925</v>
      </c>
      <c r="KRL617" s="5" t="s">
        <v>3728</v>
      </c>
      <c r="KRM617" s="17">
        <v>44925</v>
      </c>
      <c r="KRN617" s="5" t="s">
        <v>3728</v>
      </c>
      <c r="KRO617" s="17">
        <v>44925</v>
      </c>
      <c r="KRP617" s="5" t="s">
        <v>3728</v>
      </c>
      <c r="KRQ617" s="17">
        <v>44925</v>
      </c>
      <c r="KRR617" s="5" t="s">
        <v>3728</v>
      </c>
      <c r="KRS617" s="17">
        <v>44925</v>
      </c>
      <c r="KRT617" s="5" t="s">
        <v>3728</v>
      </c>
      <c r="KRU617" s="17">
        <v>44925</v>
      </c>
      <c r="KRV617" s="5" t="s">
        <v>3728</v>
      </c>
      <c r="KRW617" s="17">
        <v>44925</v>
      </c>
      <c r="KRX617" s="5" t="s">
        <v>3728</v>
      </c>
      <c r="KRY617" s="17">
        <v>44925</v>
      </c>
      <c r="KRZ617" s="5" t="s">
        <v>3728</v>
      </c>
      <c r="KSA617" s="17">
        <v>44925</v>
      </c>
      <c r="KSB617" s="5" t="s">
        <v>3728</v>
      </c>
      <c r="KSC617" s="17">
        <v>44925</v>
      </c>
      <c r="KSD617" s="5" t="s">
        <v>3728</v>
      </c>
      <c r="KSE617" s="17">
        <v>44925</v>
      </c>
      <c r="KSF617" s="5" t="s">
        <v>3728</v>
      </c>
      <c r="KSG617" s="17">
        <v>44925</v>
      </c>
      <c r="KSH617" s="5" t="s">
        <v>3728</v>
      </c>
      <c r="KSI617" s="17">
        <v>44925</v>
      </c>
      <c r="KSJ617" s="5" t="s">
        <v>3728</v>
      </c>
      <c r="KSK617" s="17">
        <v>44925</v>
      </c>
      <c r="KSL617" s="5" t="s">
        <v>3728</v>
      </c>
      <c r="KSM617" s="17">
        <v>44925</v>
      </c>
      <c r="KSN617" s="5" t="s">
        <v>3728</v>
      </c>
      <c r="KSO617" s="17">
        <v>44925</v>
      </c>
      <c r="KSP617" s="5" t="s">
        <v>3728</v>
      </c>
      <c r="KSQ617" s="17">
        <v>44925</v>
      </c>
      <c r="KSR617" s="5" t="s">
        <v>3728</v>
      </c>
      <c r="KSS617" s="17">
        <v>44925</v>
      </c>
      <c r="KST617" s="5" t="s">
        <v>3728</v>
      </c>
      <c r="KSU617" s="17">
        <v>44925</v>
      </c>
      <c r="KSV617" s="5" t="s">
        <v>3728</v>
      </c>
      <c r="KSW617" s="17">
        <v>44925</v>
      </c>
      <c r="KSX617" s="5" t="s">
        <v>3728</v>
      </c>
      <c r="KSY617" s="17">
        <v>44925</v>
      </c>
      <c r="KSZ617" s="5" t="s">
        <v>3728</v>
      </c>
      <c r="KTA617" s="17">
        <v>44925</v>
      </c>
      <c r="KTB617" s="5" t="s">
        <v>3728</v>
      </c>
      <c r="KTC617" s="17">
        <v>44925</v>
      </c>
      <c r="KTD617" s="5" t="s">
        <v>3728</v>
      </c>
      <c r="KTE617" s="17">
        <v>44925</v>
      </c>
      <c r="KTF617" s="5" t="s">
        <v>3728</v>
      </c>
      <c r="KTG617" s="17">
        <v>44925</v>
      </c>
      <c r="KTH617" s="5" t="s">
        <v>3728</v>
      </c>
      <c r="KTI617" s="17">
        <v>44925</v>
      </c>
      <c r="KTJ617" s="5" t="s">
        <v>3728</v>
      </c>
      <c r="KTK617" s="17">
        <v>44925</v>
      </c>
      <c r="KTL617" s="5" t="s">
        <v>3728</v>
      </c>
      <c r="KTM617" s="17">
        <v>44925</v>
      </c>
      <c r="KTN617" s="5" t="s">
        <v>3728</v>
      </c>
      <c r="KTO617" s="17">
        <v>44925</v>
      </c>
      <c r="KTP617" s="5" t="s">
        <v>3728</v>
      </c>
      <c r="KTQ617" s="17">
        <v>44925</v>
      </c>
      <c r="KTR617" s="5" t="s">
        <v>3728</v>
      </c>
      <c r="KTS617" s="17">
        <v>44925</v>
      </c>
      <c r="KTT617" s="5" t="s">
        <v>3728</v>
      </c>
      <c r="KTU617" s="17">
        <v>44925</v>
      </c>
      <c r="KTV617" s="5" t="s">
        <v>3728</v>
      </c>
      <c r="KTW617" s="17">
        <v>44925</v>
      </c>
      <c r="KTX617" s="5" t="s">
        <v>3728</v>
      </c>
      <c r="KTY617" s="17">
        <v>44925</v>
      </c>
      <c r="KTZ617" s="5" t="s">
        <v>3728</v>
      </c>
      <c r="KUA617" s="17">
        <v>44925</v>
      </c>
      <c r="KUB617" s="5" t="s">
        <v>3728</v>
      </c>
      <c r="KUC617" s="17">
        <v>44925</v>
      </c>
      <c r="KUD617" s="5" t="s">
        <v>3728</v>
      </c>
      <c r="KUE617" s="17">
        <v>44925</v>
      </c>
      <c r="KUF617" s="5" t="s">
        <v>3728</v>
      </c>
      <c r="KUG617" s="17">
        <v>44925</v>
      </c>
      <c r="KUH617" s="5" t="s">
        <v>3728</v>
      </c>
      <c r="KUI617" s="17">
        <v>44925</v>
      </c>
      <c r="KUJ617" s="5" t="s">
        <v>3728</v>
      </c>
      <c r="KUK617" s="17">
        <v>44925</v>
      </c>
      <c r="KUL617" s="5" t="s">
        <v>3728</v>
      </c>
      <c r="KUM617" s="17">
        <v>44925</v>
      </c>
      <c r="KUN617" s="5" t="s">
        <v>3728</v>
      </c>
      <c r="KUO617" s="17">
        <v>44925</v>
      </c>
      <c r="KUP617" s="5" t="s">
        <v>3728</v>
      </c>
      <c r="KUQ617" s="17">
        <v>44925</v>
      </c>
      <c r="KUR617" s="5" t="s">
        <v>3728</v>
      </c>
      <c r="KUS617" s="17">
        <v>44925</v>
      </c>
      <c r="KUT617" s="5" t="s">
        <v>3728</v>
      </c>
      <c r="KUU617" s="17">
        <v>44925</v>
      </c>
      <c r="KUV617" s="5" t="s">
        <v>3728</v>
      </c>
      <c r="KUW617" s="17">
        <v>44925</v>
      </c>
      <c r="KUX617" s="5" t="s">
        <v>3728</v>
      </c>
      <c r="KUY617" s="17">
        <v>44925</v>
      </c>
      <c r="KUZ617" s="5" t="s">
        <v>3728</v>
      </c>
      <c r="KVA617" s="17">
        <v>44925</v>
      </c>
      <c r="KVB617" s="5" t="s">
        <v>3728</v>
      </c>
      <c r="KVC617" s="17">
        <v>44925</v>
      </c>
      <c r="KVD617" s="5" t="s">
        <v>3728</v>
      </c>
      <c r="KVE617" s="17">
        <v>44925</v>
      </c>
      <c r="KVF617" s="5" t="s">
        <v>3728</v>
      </c>
      <c r="KVG617" s="17">
        <v>44925</v>
      </c>
      <c r="KVH617" s="5" t="s">
        <v>3728</v>
      </c>
      <c r="KVI617" s="17">
        <v>44925</v>
      </c>
      <c r="KVJ617" s="5" t="s">
        <v>3728</v>
      </c>
      <c r="KVK617" s="17">
        <v>44925</v>
      </c>
      <c r="KVL617" s="5" t="s">
        <v>3728</v>
      </c>
      <c r="KVM617" s="17">
        <v>44925</v>
      </c>
      <c r="KVN617" s="5" t="s">
        <v>3728</v>
      </c>
      <c r="KVO617" s="17">
        <v>44925</v>
      </c>
      <c r="KVP617" s="5" t="s">
        <v>3728</v>
      </c>
      <c r="KVQ617" s="17">
        <v>44925</v>
      </c>
      <c r="KVR617" s="5" t="s">
        <v>3728</v>
      </c>
      <c r="KVS617" s="17">
        <v>44925</v>
      </c>
      <c r="KVT617" s="5" t="s">
        <v>3728</v>
      </c>
      <c r="KVU617" s="17">
        <v>44925</v>
      </c>
      <c r="KVV617" s="5" t="s">
        <v>3728</v>
      </c>
      <c r="KVW617" s="17">
        <v>44925</v>
      </c>
      <c r="KVX617" s="5" t="s">
        <v>3728</v>
      </c>
      <c r="KVY617" s="17">
        <v>44925</v>
      </c>
      <c r="KVZ617" s="5" t="s">
        <v>3728</v>
      </c>
      <c r="KWA617" s="17">
        <v>44925</v>
      </c>
      <c r="KWB617" s="5" t="s">
        <v>3728</v>
      </c>
      <c r="KWC617" s="17">
        <v>44925</v>
      </c>
      <c r="KWD617" s="5" t="s">
        <v>3728</v>
      </c>
      <c r="KWE617" s="17">
        <v>44925</v>
      </c>
      <c r="KWF617" s="5" t="s">
        <v>3728</v>
      </c>
      <c r="KWG617" s="17">
        <v>44925</v>
      </c>
      <c r="KWH617" s="5" t="s">
        <v>3728</v>
      </c>
      <c r="KWI617" s="17">
        <v>44925</v>
      </c>
      <c r="KWJ617" s="5" t="s">
        <v>3728</v>
      </c>
      <c r="KWK617" s="17">
        <v>44925</v>
      </c>
      <c r="KWL617" s="5" t="s">
        <v>3728</v>
      </c>
      <c r="KWM617" s="17">
        <v>44925</v>
      </c>
      <c r="KWN617" s="5" t="s">
        <v>3728</v>
      </c>
      <c r="KWO617" s="17">
        <v>44925</v>
      </c>
      <c r="KWP617" s="5" t="s">
        <v>3728</v>
      </c>
      <c r="KWQ617" s="17">
        <v>44925</v>
      </c>
      <c r="KWR617" s="5" t="s">
        <v>3728</v>
      </c>
      <c r="KWS617" s="17">
        <v>44925</v>
      </c>
      <c r="KWT617" s="5" t="s">
        <v>3728</v>
      </c>
      <c r="KWU617" s="17">
        <v>44925</v>
      </c>
      <c r="KWV617" s="5" t="s">
        <v>3728</v>
      </c>
      <c r="KWW617" s="17">
        <v>44925</v>
      </c>
      <c r="KWX617" s="5" t="s">
        <v>3728</v>
      </c>
      <c r="KWY617" s="17">
        <v>44925</v>
      </c>
      <c r="KWZ617" s="5" t="s">
        <v>3728</v>
      </c>
      <c r="KXA617" s="17">
        <v>44925</v>
      </c>
      <c r="KXB617" s="5" t="s">
        <v>3728</v>
      </c>
      <c r="KXC617" s="17">
        <v>44925</v>
      </c>
      <c r="KXD617" s="5" t="s">
        <v>3728</v>
      </c>
      <c r="KXE617" s="17">
        <v>44925</v>
      </c>
      <c r="KXF617" s="5" t="s">
        <v>3728</v>
      </c>
      <c r="KXG617" s="17">
        <v>44925</v>
      </c>
      <c r="KXH617" s="5" t="s">
        <v>3728</v>
      </c>
      <c r="KXI617" s="17">
        <v>44925</v>
      </c>
      <c r="KXJ617" s="5" t="s">
        <v>3728</v>
      </c>
      <c r="KXK617" s="17">
        <v>44925</v>
      </c>
      <c r="KXL617" s="5" t="s">
        <v>3728</v>
      </c>
      <c r="KXM617" s="17">
        <v>44925</v>
      </c>
      <c r="KXN617" s="5" t="s">
        <v>3728</v>
      </c>
      <c r="KXO617" s="17">
        <v>44925</v>
      </c>
      <c r="KXP617" s="5" t="s">
        <v>3728</v>
      </c>
      <c r="KXQ617" s="17">
        <v>44925</v>
      </c>
      <c r="KXR617" s="5" t="s">
        <v>3728</v>
      </c>
      <c r="KXS617" s="17">
        <v>44925</v>
      </c>
      <c r="KXT617" s="5" t="s">
        <v>3728</v>
      </c>
      <c r="KXU617" s="17">
        <v>44925</v>
      </c>
      <c r="KXV617" s="5" t="s">
        <v>3728</v>
      </c>
      <c r="KXW617" s="17">
        <v>44925</v>
      </c>
      <c r="KXX617" s="5" t="s">
        <v>3728</v>
      </c>
      <c r="KXY617" s="17">
        <v>44925</v>
      </c>
      <c r="KXZ617" s="5" t="s">
        <v>3728</v>
      </c>
      <c r="KYA617" s="17">
        <v>44925</v>
      </c>
      <c r="KYB617" s="5" t="s">
        <v>3728</v>
      </c>
      <c r="KYC617" s="17">
        <v>44925</v>
      </c>
      <c r="KYD617" s="5" t="s">
        <v>3728</v>
      </c>
      <c r="KYE617" s="17">
        <v>44925</v>
      </c>
      <c r="KYF617" s="5" t="s">
        <v>3728</v>
      </c>
      <c r="KYG617" s="17">
        <v>44925</v>
      </c>
      <c r="KYH617" s="5" t="s">
        <v>3728</v>
      </c>
      <c r="KYI617" s="17">
        <v>44925</v>
      </c>
      <c r="KYJ617" s="5" t="s">
        <v>3728</v>
      </c>
      <c r="KYK617" s="17">
        <v>44925</v>
      </c>
      <c r="KYL617" s="5" t="s">
        <v>3728</v>
      </c>
      <c r="KYM617" s="17">
        <v>44925</v>
      </c>
      <c r="KYN617" s="5" t="s">
        <v>3728</v>
      </c>
      <c r="KYO617" s="17">
        <v>44925</v>
      </c>
      <c r="KYP617" s="5" t="s">
        <v>3728</v>
      </c>
      <c r="KYQ617" s="17">
        <v>44925</v>
      </c>
      <c r="KYR617" s="5" t="s">
        <v>3728</v>
      </c>
      <c r="KYS617" s="17">
        <v>44925</v>
      </c>
      <c r="KYT617" s="5" t="s">
        <v>3728</v>
      </c>
      <c r="KYU617" s="17">
        <v>44925</v>
      </c>
      <c r="KYV617" s="5" t="s">
        <v>3728</v>
      </c>
      <c r="KYW617" s="17">
        <v>44925</v>
      </c>
      <c r="KYX617" s="5" t="s">
        <v>3728</v>
      </c>
      <c r="KYY617" s="17">
        <v>44925</v>
      </c>
      <c r="KYZ617" s="5" t="s">
        <v>3728</v>
      </c>
      <c r="KZA617" s="17">
        <v>44925</v>
      </c>
      <c r="KZB617" s="5" t="s">
        <v>3728</v>
      </c>
      <c r="KZC617" s="17">
        <v>44925</v>
      </c>
      <c r="KZD617" s="5" t="s">
        <v>3728</v>
      </c>
      <c r="KZE617" s="17">
        <v>44925</v>
      </c>
      <c r="KZF617" s="5" t="s">
        <v>3728</v>
      </c>
      <c r="KZG617" s="17">
        <v>44925</v>
      </c>
      <c r="KZH617" s="5" t="s">
        <v>3728</v>
      </c>
      <c r="KZI617" s="17">
        <v>44925</v>
      </c>
      <c r="KZJ617" s="5" t="s">
        <v>3728</v>
      </c>
      <c r="KZK617" s="17">
        <v>44925</v>
      </c>
      <c r="KZL617" s="5" t="s">
        <v>3728</v>
      </c>
      <c r="KZM617" s="17">
        <v>44925</v>
      </c>
      <c r="KZN617" s="5" t="s">
        <v>3728</v>
      </c>
      <c r="KZO617" s="17">
        <v>44925</v>
      </c>
      <c r="KZP617" s="5" t="s">
        <v>3728</v>
      </c>
      <c r="KZQ617" s="17">
        <v>44925</v>
      </c>
      <c r="KZR617" s="5" t="s">
        <v>3728</v>
      </c>
      <c r="KZS617" s="17">
        <v>44925</v>
      </c>
      <c r="KZT617" s="5" t="s">
        <v>3728</v>
      </c>
      <c r="KZU617" s="17">
        <v>44925</v>
      </c>
      <c r="KZV617" s="5" t="s">
        <v>3728</v>
      </c>
      <c r="KZW617" s="17">
        <v>44925</v>
      </c>
      <c r="KZX617" s="5" t="s">
        <v>3728</v>
      </c>
      <c r="KZY617" s="17">
        <v>44925</v>
      </c>
      <c r="KZZ617" s="5" t="s">
        <v>3728</v>
      </c>
      <c r="LAA617" s="17">
        <v>44925</v>
      </c>
      <c r="LAB617" s="5" t="s">
        <v>3728</v>
      </c>
      <c r="LAC617" s="17">
        <v>44925</v>
      </c>
      <c r="LAD617" s="5" t="s">
        <v>3728</v>
      </c>
      <c r="LAE617" s="17">
        <v>44925</v>
      </c>
      <c r="LAF617" s="5" t="s">
        <v>3728</v>
      </c>
      <c r="LAG617" s="17">
        <v>44925</v>
      </c>
      <c r="LAH617" s="5" t="s">
        <v>3728</v>
      </c>
      <c r="LAI617" s="17">
        <v>44925</v>
      </c>
      <c r="LAJ617" s="5" t="s">
        <v>3728</v>
      </c>
      <c r="LAK617" s="17">
        <v>44925</v>
      </c>
      <c r="LAL617" s="5" t="s">
        <v>3728</v>
      </c>
      <c r="LAM617" s="17">
        <v>44925</v>
      </c>
      <c r="LAN617" s="5" t="s">
        <v>3728</v>
      </c>
      <c r="LAO617" s="17">
        <v>44925</v>
      </c>
      <c r="LAP617" s="5" t="s">
        <v>3728</v>
      </c>
      <c r="LAQ617" s="17">
        <v>44925</v>
      </c>
      <c r="LAR617" s="5" t="s">
        <v>3728</v>
      </c>
      <c r="LAS617" s="17">
        <v>44925</v>
      </c>
      <c r="LAT617" s="5" t="s">
        <v>3728</v>
      </c>
      <c r="LAU617" s="17">
        <v>44925</v>
      </c>
      <c r="LAV617" s="5" t="s">
        <v>3728</v>
      </c>
      <c r="LAW617" s="17">
        <v>44925</v>
      </c>
      <c r="LAX617" s="5" t="s">
        <v>3728</v>
      </c>
      <c r="LAY617" s="17">
        <v>44925</v>
      </c>
      <c r="LAZ617" s="5" t="s">
        <v>3728</v>
      </c>
      <c r="LBA617" s="17">
        <v>44925</v>
      </c>
      <c r="LBB617" s="5" t="s">
        <v>3728</v>
      </c>
      <c r="LBC617" s="17">
        <v>44925</v>
      </c>
      <c r="LBD617" s="5" t="s">
        <v>3728</v>
      </c>
      <c r="LBE617" s="17">
        <v>44925</v>
      </c>
      <c r="LBF617" s="5" t="s">
        <v>3728</v>
      </c>
      <c r="LBG617" s="17">
        <v>44925</v>
      </c>
      <c r="LBH617" s="5" t="s">
        <v>3728</v>
      </c>
      <c r="LBI617" s="17">
        <v>44925</v>
      </c>
      <c r="LBJ617" s="5" t="s">
        <v>3728</v>
      </c>
      <c r="LBK617" s="17">
        <v>44925</v>
      </c>
      <c r="LBL617" s="5" t="s">
        <v>3728</v>
      </c>
      <c r="LBM617" s="17">
        <v>44925</v>
      </c>
      <c r="LBN617" s="5" t="s">
        <v>3728</v>
      </c>
      <c r="LBO617" s="17">
        <v>44925</v>
      </c>
      <c r="LBP617" s="5" t="s">
        <v>3728</v>
      </c>
      <c r="LBQ617" s="17">
        <v>44925</v>
      </c>
      <c r="LBR617" s="5" t="s">
        <v>3728</v>
      </c>
      <c r="LBS617" s="17">
        <v>44925</v>
      </c>
      <c r="LBT617" s="5" t="s">
        <v>3728</v>
      </c>
      <c r="LBU617" s="17">
        <v>44925</v>
      </c>
      <c r="LBV617" s="5" t="s">
        <v>3728</v>
      </c>
      <c r="LBW617" s="17">
        <v>44925</v>
      </c>
      <c r="LBX617" s="5" t="s">
        <v>3728</v>
      </c>
      <c r="LBY617" s="17">
        <v>44925</v>
      </c>
      <c r="LBZ617" s="5" t="s">
        <v>3728</v>
      </c>
      <c r="LCA617" s="17">
        <v>44925</v>
      </c>
      <c r="LCB617" s="5" t="s">
        <v>3728</v>
      </c>
      <c r="LCC617" s="17">
        <v>44925</v>
      </c>
      <c r="LCD617" s="5" t="s">
        <v>3728</v>
      </c>
      <c r="LCE617" s="17">
        <v>44925</v>
      </c>
      <c r="LCF617" s="5" t="s">
        <v>3728</v>
      </c>
      <c r="LCG617" s="17">
        <v>44925</v>
      </c>
      <c r="LCH617" s="5" t="s">
        <v>3728</v>
      </c>
      <c r="LCI617" s="17">
        <v>44925</v>
      </c>
      <c r="LCJ617" s="5" t="s">
        <v>3728</v>
      </c>
      <c r="LCK617" s="17">
        <v>44925</v>
      </c>
      <c r="LCL617" s="5" t="s">
        <v>3728</v>
      </c>
      <c r="LCM617" s="17">
        <v>44925</v>
      </c>
      <c r="LCN617" s="5" t="s">
        <v>3728</v>
      </c>
      <c r="LCO617" s="17">
        <v>44925</v>
      </c>
      <c r="LCP617" s="5" t="s">
        <v>3728</v>
      </c>
      <c r="LCQ617" s="17">
        <v>44925</v>
      </c>
      <c r="LCR617" s="5" t="s">
        <v>3728</v>
      </c>
      <c r="LCS617" s="17">
        <v>44925</v>
      </c>
      <c r="LCT617" s="5" t="s">
        <v>3728</v>
      </c>
      <c r="LCU617" s="17">
        <v>44925</v>
      </c>
      <c r="LCV617" s="5" t="s">
        <v>3728</v>
      </c>
      <c r="LCW617" s="17">
        <v>44925</v>
      </c>
      <c r="LCX617" s="5" t="s">
        <v>3728</v>
      </c>
      <c r="LCY617" s="17">
        <v>44925</v>
      </c>
      <c r="LCZ617" s="5" t="s">
        <v>3728</v>
      </c>
      <c r="LDA617" s="17">
        <v>44925</v>
      </c>
      <c r="LDB617" s="5" t="s">
        <v>3728</v>
      </c>
      <c r="LDC617" s="17">
        <v>44925</v>
      </c>
      <c r="LDD617" s="5" t="s">
        <v>3728</v>
      </c>
      <c r="LDE617" s="17">
        <v>44925</v>
      </c>
      <c r="LDF617" s="5" t="s">
        <v>3728</v>
      </c>
      <c r="LDG617" s="17">
        <v>44925</v>
      </c>
      <c r="LDH617" s="5" t="s">
        <v>3728</v>
      </c>
      <c r="LDI617" s="17">
        <v>44925</v>
      </c>
      <c r="LDJ617" s="5" t="s">
        <v>3728</v>
      </c>
      <c r="LDK617" s="17">
        <v>44925</v>
      </c>
      <c r="LDL617" s="5" t="s">
        <v>3728</v>
      </c>
      <c r="LDM617" s="17">
        <v>44925</v>
      </c>
      <c r="LDN617" s="5" t="s">
        <v>3728</v>
      </c>
      <c r="LDO617" s="17">
        <v>44925</v>
      </c>
      <c r="LDP617" s="5" t="s">
        <v>3728</v>
      </c>
      <c r="LDQ617" s="17">
        <v>44925</v>
      </c>
      <c r="LDR617" s="5" t="s">
        <v>3728</v>
      </c>
      <c r="LDS617" s="17">
        <v>44925</v>
      </c>
      <c r="LDT617" s="5" t="s">
        <v>3728</v>
      </c>
      <c r="LDU617" s="17">
        <v>44925</v>
      </c>
      <c r="LDV617" s="5" t="s">
        <v>3728</v>
      </c>
      <c r="LDW617" s="17">
        <v>44925</v>
      </c>
      <c r="LDX617" s="5" t="s">
        <v>3728</v>
      </c>
      <c r="LDY617" s="17">
        <v>44925</v>
      </c>
      <c r="LDZ617" s="5" t="s">
        <v>3728</v>
      </c>
      <c r="LEA617" s="17">
        <v>44925</v>
      </c>
      <c r="LEB617" s="5" t="s">
        <v>3728</v>
      </c>
      <c r="LEC617" s="17">
        <v>44925</v>
      </c>
      <c r="LED617" s="5" t="s">
        <v>3728</v>
      </c>
      <c r="LEE617" s="17">
        <v>44925</v>
      </c>
      <c r="LEF617" s="5" t="s">
        <v>3728</v>
      </c>
      <c r="LEG617" s="17">
        <v>44925</v>
      </c>
      <c r="LEH617" s="5" t="s">
        <v>3728</v>
      </c>
      <c r="LEI617" s="17">
        <v>44925</v>
      </c>
      <c r="LEJ617" s="5" t="s">
        <v>3728</v>
      </c>
      <c r="LEK617" s="17">
        <v>44925</v>
      </c>
      <c r="LEL617" s="5" t="s">
        <v>3728</v>
      </c>
      <c r="LEM617" s="17">
        <v>44925</v>
      </c>
      <c r="LEN617" s="5" t="s">
        <v>3728</v>
      </c>
      <c r="LEO617" s="17">
        <v>44925</v>
      </c>
      <c r="LEP617" s="5" t="s">
        <v>3728</v>
      </c>
      <c r="LEQ617" s="17">
        <v>44925</v>
      </c>
      <c r="LER617" s="5" t="s">
        <v>3728</v>
      </c>
      <c r="LES617" s="17">
        <v>44925</v>
      </c>
      <c r="LET617" s="5" t="s">
        <v>3728</v>
      </c>
      <c r="LEU617" s="17">
        <v>44925</v>
      </c>
      <c r="LEV617" s="5" t="s">
        <v>3728</v>
      </c>
      <c r="LEW617" s="17">
        <v>44925</v>
      </c>
      <c r="LEX617" s="5" t="s">
        <v>3728</v>
      </c>
      <c r="LEY617" s="17">
        <v>44925</v>
      </c>
      <c r="LEZ617" s="5" t="s">
        <v>3728</v>
      </c>
      <c r="LFA617" s="17">
        <v>44925</v>
      </c>
      <c r="LFB617" s="5" t="s">
        <v>3728</v>
      </c>
      <c r="LFC617" s="17">
        <v>44925</v>
      </c>
      <c r="LFD617" s="5" t="s">
        <v>3728</v>
      </c>
      <c r="LFE617" s="17">
        <v>44925</v>
      </c>
      <c r="LFF617" s="5" t="s">
        <v>3728</v>
      </c>
      <c r="LFG617" s="17">
        <v>44925</v>
      </c>
      <c r="LFH617" s="5" t="s">
        <v>3728</v>
      </c>
      <c r="LFI617" s="17">
        <v>44925</v>
      </c>
      <c r="LFJ617" s="5" t="s">
        <v>3728</v>
      </c>
      <c r="LFK617" s="17">
        <v>44925</v>
      </c>
      <c r="LFL617" s="5" t="s">
        <v>3728</v>
      </c>
      <c r="LFM617" s="17">
        <v>44925</v>
      </c>
      <c r="LFN617" s="5" t="s">
        <v>3728</v>
      </c>
      <c r="LFO617" s="17">
        <v>44925</v>
      </c>
      <c r="LFP617" s="5" t="s">
        <v>3728</v>
      </c>
      <c r="LFQ617" s="17">
        <v>44925</v>
      </c>
      <c r="LFR617" s="5" t="s">
        <v>3728</v>
      </c>
      <c r="LFS617" s="17">
        <v>44925</v>
      </c>
      <c r="LFT617" s="5" t="s">
        <v>3728</v>
      </c>
      <c r="LFU617" s="17">
        <v>44925</v>
      </c>
      <c r="LFV617" s="5" t="s">
        <v>3728</v>
      </c>
      <c r="LFW617" s="17">
        <v>44925</v>
      </c>
      <c r="LFX617" s="5" t="s">
        <v>3728</v>
      </c>
      <c r="LFY617" s="17">
        <v>44925</v>
      </c>
      <c r="LFZ617" s="5" t="s">
        <v>3728</v>
      </c>
      <c r="LGA617" s="17">
        <v>44925</v>
      </c>
      <c r="LGB617" s="5" t="s">
        <v>3728</v>
      </c>
      <c r="LGC617" s="17">
        <v>44925</v>
      </c>
      <c r="LGD617" s="5" t="s">
        <v>3728</v>
      </c>
      <c r="LGE617" s="17">
        <v>44925</v>
      </c>
      <c r="LGF617" s="5" t="s">
        <v>3728</v>
      </c>
      <c r="LGG617" s="17">
        <v>44925</v>
      </c>
      <c r="LGH617" s="5" t="s">
        <v>3728</v>
      </c>
      <c r="LGI617" s="17">
        <v>44925</v>
      </c>
      <c r="LGJ617" s="5" t="s">
        <v>3728</v>
      </c>
      <c r="LGK617" s="17">
        <v>44925</v>
      </c>
      <c r="LGL617" s="5" t="s">
        <v>3728</v>
      </c>
      <c r="LGM617" s="17">
        <v>44925</v>
      </c>
      <c r="LGN617" s="5" t="s">
        <v>3728</v>
      </c>
      <c r="LGO617" s="17">
        <v>44925</v>
      </c>
      <c r="LGP617" s="5" t="s">
        <v>3728</v>
      </c>
      <c r="LGQ617" s="17">
        <v>44925</v>
      </c>
      <c r="LGR617" s="5" t="s">
        <v>3728</v>
      </c>
      <c r="LGS617" s="17">
        <v>44925</v>
      </c>
      <c r="LGT617" s="5" t="s">
        <v>3728</v>
      </c>
      <c r="LGU617" s="17">
        <v>44925</v>
      </c>
      <c r="LGV617" s="5" t="s">
        <v>3728</v>
      </c>
      <c r="LGW617" s="17">
        <v>44925</v>
      </c>
      <c r="LGX617" s="5" t="s">
        <v>3728</v>
      </c>
      <c r="LGY617" s="17">
        <v>44925</v>
      </c>
      <c r="LGZ617" s="5" t="s">
        <v>3728</v>
      </c>
      <c r="LHA617" s="17">
        <v>44925</v>
      </c>
      <c r="LHB617" s="5" t="s">
        <v>3728</v>
      </c>
      <c r="LHC617" s="17">
        <v>44925</v>
      </c>
      <c r="LHD617" s="5" t="s">
        <v>3728</v>
      </c>
      <c r="LHE617" s="17">
        <v>44925</v>
      </c>
      <c r="LHF617" s="5" t="s">
        <v>3728</v>
      </c>
      <c r="LHG617" s="17">
        <v>44925</v>
      </c>
      <c r="LHH617" s="5" t="s">
        <v>3728</v>
      </c>
      <c r="LHI617" s="17">
        <v>44925</v>
      </c>
      <c r="LHJ617" s="5" t="s">
        <v>3728</v>
      </c>
      <c r="LHK617" s="17">
        <v>44925</v>
      </c>
      <c r="LHL617" s="5" t="s">
        <v>3728</v>
      </c>
      <c r="LHM617" s="17">
        <v>44925</v>
      </c>
      <c r="LHN617" s="5" t="s">
        <v>3728</v>
      </c>
      <c r="LHO617" s="17">
        <v>44925</v>
      </c>
      <c r="LHP617" s="5" t="s">
        <v>3728</v>
      </c>
      <c r="LHQ617" s="17">
        <v>44925</v>
      </c>
      <c r="LHR617" s="5" t="s">
        <v>3728</v>
      </c>
      <c r="LHS617" s="17">
        <v>44925</v>
      </c>
      <c r="LHT617" s="5" t="s">
        <v>3728</v>
      </c>
      <c r="LHU617" s="17">
        <v>44925</v>
      </c>
      <c r="LHV617" s="5" t="s">
        <v>3728</v>
      </c>
      <c r="LHW617" s="17">
        <v>44925</v>
      </c>
      <c r="LHX617" s="5" t="s">
        <v>3728</v>
      </c>
      <c r="LHY617" s="17">
        <v>44925</v>
      </c>
      <c r="LHZ617" s="5" t="s">
        <v>3728</v>
      </c>
      <c r="LIA617" s="17">
        <v>44925</v>
      </c>
      <c r="LIB617" s="5" t="s">
        <v>3728</v>
      </c>
      <c r="LIC617" s="17">
        <v>44925</v>
      </c>
      <c r="LID617" s="5" t="s">
        <v>3728</v>
      </c>
      <c r="LIE617" s="17">
        <v>44925</v>
      </c>
      <c r="LIF617" s="5" t="s">
        <v>3728</v>
      </c>
      <c r="LIG617" s="17">
        <v>44925</v>
      </c>
      <c r="LIH617" s="5" t="s">
        <v>3728</v>
      </c>
      <c r="LII617" s="17">
        <v>44925</v>
      </c>
      <c r="LIJ617" s="5" t="s">
        <v>3728</v>
      </c>
      <c r="LIK617" s="17">
        <v>44925</v>
      </c>
      <c r="LIL617" s="5" t="s">
        <v>3728</v>
      </c>
      <c r="LIM617" s="17">
        <v>44925</v>
      </c>
      <c r="LIN617" s="5" t="s">
        <v>3728</v>
      </c>
      <c r="LIO617" s="17">
        <v>44925</v>
      </c>
      <c r="LIP617" s="5" t="s">
        <v>3728</v>
      </c>
      <c r="LIQ617" s="17">
        <v>44925</v>
      </c>
      <c r="LIR617" s="5" t="s">
        <v>3728</v>
      </c>
      <c r="LIS617" s="17">
        <v>44925</v>
      </c>
      <c r="LIT617" s="5" t="s">
        <v>3728</v>
      </c>
      <c r="LIU617" s="17">
        <v>44925</v>
      </c>
      <c r="LIV617" s="5" t="s">
        <v>3728</v>
      </c>
      <c r="LIW617" s="17">
        <v>44925</v>
      </c>
      <c r="LIX617" s="5" t="s">
        <v>3728</v>
      </c>
      <c r="LIY617" s="17">
        <v>44925</v>
      </c>
      <c r="LIZ617" s="5" t="s">
        <v>3728</v>
      </c>
      <c r="LJA617" s="17">
        <v>44925</v>
      </c>
      <c r="LJB617" s="5" t="s">
        <v>3728</v>
      </c>
      <c r="LJC617" s="17">
        <v>44925</v>
      </c>
      <c r="LJD617" s="5" t="s">
        <v>3728</v>
      </c>
      <c r="LJE617" s="17">
        <v>44925</v>
      </c>
      <c r="LJF617" s="5" t="s">
        <v>3728</v>
      </c>
      <c r="LJG617" s="17">
        <v>44925</v>
      </c>
      <c r="LJH617" s="5" t="s">
        <v>3728</v>
      </c>
      <c r="LJI617" s="17">
        <v>44925</v>
      </c>
      <c r="LJJ617" s="5" t="s">
        <v>3728</v>
      </c>
      <c r="LJK617" s="17">
        <v>44925</v>
      </c>
      <c r="LJL617" s="5" t="s">
        <v>3728</v>
      </c>
      <c r="LJM617" s="17">
        <v>44925</v>
      </c>
      <c r="LJN617" s="5" t="s">
        <v>3728</v>
      </c>
      <c r="LJO617" s="17">
        <v>44925</v>
      </c>
      <c r="LJP617" s="5" t="s">
        <v>3728</v>
      </c>
      <c r="LJQ617" s="17">
        <v>44925</v>
      </c>
      <c r="LJR617" s="5" t="s">
        <v>3728</v>
      </c>
      <c r="LJS617" s="17">
        <v>44925</v>
      </c>
      <c r="LJT617" s="5" t="s">
        <v>3728</v>
      </c>
      <c r="LJU617" s="17">
        <v>44925</v>
      </c>
      <c r="LJV617" s="5" t="s">
        <v>3728</v>
      </c>
      <c r="LJW617" s="17">
        <v>44925</v>
      </c>
      <c r="LJX617" s="5" t="s">
        <v>3728</v>
      </c>
      <c r="LJY617" s="17">
        <v>44925</v>
      </c>
      <c r="LJZ617" s="5" t="s">
        <v>3728</v>
      </c>
      <c r="LKA617" s="17">
        <v>44925</v>
      </c>
      <c r="LKB617" s="5" t="s">
        <v>3728</v>
      </c>
      <c r="LKC617" s="17">
        <v>44925</v>
      </c>
      <c r="LKD617" s="5" t="s">
        <v>3728</v>
      </c>
      <c r="LKE617" s="17">
        <v>44925</v>
      </c>
      <c r="LKF617" s="5" t="s">
        <v>3728</v>
      </c>
      <c r="LKG617" s="17">
        <v>44925</v>
      </c>
      <c r="LKH617" s="5" t="s">
        <v>3728</v>
      </c>
      <c r="LKI617" s="17">
        <v>44925</v>
      </c>
      <c r="LKJ617" s="5" t="s">
        <v>3728</v>
      </c>
      <c r="LKK617" s="17">
        <v>44925</v>
      </c>
      <c r="LKL617" s="5" t="s">
        <v>3728</v>
      </c>
      <c r="LKM617" s="17">
        <v>44925</v>
      </c>
      <c r="LKN617" s="5" t="s">
        <v>3728</v>
      </c>
      <c r="LKO617" s="17">
        <v>44925</v>
      </c>
      <c r="LKP617" s="5" t="s">
        <v>3728</v>
      </c>
      <c r="LKQ617" s="17">
        <v>44925</v>
      </c>
      <c r="LKR617" s="5" t="s">
        <v>3728</v>
      </c>
      <c r="LKS617" s="17">
        <v>44925</v>
      </c>
      <c r="LKT617" s="5" t="s">
        <v>3728</v>
      </c>
      <c r="LKU617" s="17">
        <v>44925</v>
      </c>
      <c r="LKV617" s="5" t="s">
        <v>3728</v>
      </c>
      <c r="LKW617" s="17">
        <v>44925</v>
      </c>
      <c r="LKX617" s="5" t="s">
        <v>3728</v>
      </c>
      <c r="LKY617" s="17">
        <v>44925</v>
      </c>
      <c r="LKZ617" s="5" t="s">
        <v>3728</v>
      </c>
      <c r="LLA617" s="17">
        <v>44925</v>
      </c>
      <c r="LLB617" s="5" t="s">
        <v>3728</v>
      </c>
      <c r="LLC617" s="17">
        <v>44925</v>
      </c>
      <c r="LLD617" s="5" t="s">
        <v>3728</v>
      </c>
      <c r="LLE617" s="17">
        <v>44925</v>
      </c>
      <c r="LLF617" s="5" t="s">
        <v>3728</v>
      </c>
      <c r="LLG617" s="17">
        <v>44925</v>
      </c>
      <c r="LLH617" s="5" t="s">
        <v>3728</v>
      </c>
      <c r="LLI617" s="17">
        <v>44925</v>
      </c>
      <c r="LLJ617" s="5" t="s">
        <v>3728</v>
      </c>
      <c r="LLK617" s="17">
        <v>44925</v>
      </c>
      <c r="LLL617" s="5" t="s">
        <v>3728</v>
      </c>
      <c r="LLM617" s="17">
        <v>44925</v>
      </c>
      <c r="LLN617" s="5" t="s">
        <v>3728</v>
      </c>
      <c r="LLO617" s="17">
        <v>44925</v>
      </c>
      <c r="LLP617" s="5" t="s">
        <v>3728</v>
      </c>
      <c r="LLQ617" s="17">
        <v>44925</v>
      </c>
      <c r="LLR617" s="5" t="s">
        <v>3728</v>
      </c>
      <c r="LLS617" s="17">
        <v>44925</v>
      </c>
      <c r="LLT617" s="5" t="s">
        <v>3728</v>
      </c>
      <c r="LLU617" s="17">
        <v>44925</v>
      </c>
      <c r="LLV617" s="5" t="s">
        <v>3728</v>
      </c>
      <c r="LLW617" s="17">
        <v>44925</v>
      </c>
      <c r="LLX617" s="5" t="s">
        <v>3728</v>
      </c>
      <c r="LLY617" s="17">
        <v>44925</v>
      </c>
      <c r="LLZ617" s="5" t="s">
        <v>3728</v>
      </c>
      <c r="LMA617" s="17">
        <v>44925</v>
      </c>
      <c r="LMB617" s="5" t="s">
        <v>3728</v>
      </c>
      <c r="LMC617" s="17">
        <v>44925</v>
      </c>
      <c r="LMD617" s="5" t="s">
        <v>3728</v>
      </c>
      <c r="LME617" s="17">
        <v>44925</v>
      </c>
      <c r="LMF617" s="5" t="s">
        <v>3728</v>
      </c>
      <c r="LMG617" s="17">
        <v>44925</v>
      </c>
      <c r="LMH617" s="5" t="s">
        <v>3728</v>
      </c>
      <c r="LMI617" s="17">
        <v>44925</v>
      </c>
      <c r="LMJ617" s="5" t="s">
        <v>3728</v>
      </c>
      <c r="LMK617" s="17">
        <v>44925</v>
      </c>
      <c r="LML617" s="5" t="s">
        <v>3728</v>
      </c>
      <c r="LMM617" s="17">
        <v>44925</v>
      </c>
      <c r="LMN617" s="5" t="s">
        <v>3728</v>
      </c>
      <c r="LMO617" s="17">
        <v>44925</v>
      </c>
      <c r="LMP617" s="5" t="s">
        <v>3728</v>
      </c>
      <c r="LMQ617" s="17">
        <v>44925</v>
      </c>
      <c r="LMR617" s="5" t="s">
        <v>3728</v>
      </c>
      <c r="LMS617" s="17">
        <v>44925</v>
      </c>
      <c r="LMT617" s="5" t="s">
        <v>3728</v>
      </c>
      <c r="LMU617" s="17">
        <v>44925</v>
      </c>
      <c r="LMV617" s="5" t="s">
        <v>3728</v>
      </c>
      <c r="LMW617" s="17">
        <v>44925</v>
      </c>
      <c r="LMX617" s="5" t="s">
        <v>3728</v>
      </c>
      <c r="LMY617" s="17">
        <v>44925</v>
      </c>
      <c r="LMZ617" s="5" t="s">
        <v>3728</v>
      </c>
      <c r="LNA617" s="17">
        <v>44925</v>
      </c>
      <c r="LNB617" s="5" t="s">
        <v>3728</v>
      </c>
      <c r="LNC617" s="17">
        <v>44925</v>
      </c>
      <c r="LND617" s="5" t="s">
        <v>3728</v>
      </c>
      <c r="LNE617" s="17">
        <v>44925</v>
      </c>
      <c r="LNF617" s="5" t="s">
        <v>3728</v>
      </c>
      <c r="LNG617" s="17">
        <v>44925</v>
      </c>
      <c r="LNH617" s="5" t="s">
        <v>3728</v>
      </c>
      <c r="LNI617" s="17">
        <v>44925</v>
      </c>
      <c r="LNJ617" s="5" t="s">
        <v>3728</v>
      </c>
      <c r="LNK617" s="17">
        <v>44925</v>
      </c>
      <c r="LNL617" s="5" t="s">
        <v>3728</v>
      </c>
      <c r="LNM617" s="17">
        <v>44925</v>
      </c>
      <c r="LNN617" s="5" t="s">
        <v>3728</v>
      </c>
      <c r="LNO617" s="17">
        <v>44925</v>
      </c>
      <c r="LNP617" s="5" t="s">
        <v>3728</v>
      </c>
      <c r="LNQ617" s="17">
        <v>44925</v>
      </c>
      <c r="LNR617" s="5" t="s">
        <v>3728</v>
      </c>
      <c r="LNS617" s="17">
        <v>44925</v>
      </c>
      <c r="LNT617" s="5" t="s">
        <v>3728</v>
      </c>
      <c r="LNU617" s="17">
        <v>44925</v>
      </c>
      <c r="LNV617" s="5" t="s">
        <v>3728</v>
      </c>
      <c r="LNW617" s="17">
        <v>44925</v>
      </c>
      <c r="LNX617" s="5" t="s">
        <v>3728</v>
      </c>
      <c r="LNY617" s="17">
        <v>44925</v>
      </c>
      <c r="LNZ617" s="5" t="s">
        <v>3728</v>
      </c>
      <c r="LOA617" s="17">
        <v>44925</v>
      </c>
      <c r="LOB617" s="5" t="s">
        <v>3728</v>
      </c>
      <c r="LOC617" s="17">
        <v>44925</v>
      </c>
      <c r="LOD617" s="5" t="s">
        <v>3728</v>
      </c>
      <c r="LOE617" s="17">
        <v>44925</v>
      </c>
      <c r="LOF617" s="5" t="s">
        <v>3728</v>
      </c>
      <c r="LOG617" s="17">
        <v>44925</v>
      </c>
      <c r="LOH617" s="5" t="s">
        <v>3728</v>
      </c>
      <c r="LOI617" s="17">
        <v>44925</v>
      </c>
      <c r="LOJ617" s="5" t="s">
        <v>3728</v>
      </c>
      <c r="LOK617" s="17">
        <v>44925</v>
      </c>
      <c r="LOL617" s="5" t="s">
        <v>3728</v>
      </c>
      <c r="LOM617" s="17">
        <v>44925</v>
      </c>
      <c r="LON617" s="5" t="s">
        <v>3728</v>
      </c>
      <c r="LOO617" s="17">
        <v>44925</v>
      </c>
      <c r="LOP617" s="5" t="s">
        <v>3728</v>
      </c>
      <c r="LOQ617" s="17">
        <v>44925</v>
      </c>
      <c r="LOR617" s="5" t="s">
        <v>3728</v>
      </c>
      <c r="LOS617" s="17">
        <v>44925</v>
      </c>
      <c r="LOT617" s="5" t="s">
        <v>3728</v>
      </c>
      <c r="LOU617" s="17">
        <v>44925</v>
      </c>
      <c r="LOV617" s="5" t="s">
        <v>3728</v>
      </c>
      <c r="LOW617" s="17">
        <v>44925</v>
      </c>
      <c r="LOX617" s="5" t="s">
        <v>3728</v>
      </c>
      <c r="LOY617" s="17">
        <v>44925</v>
      </c>
      <c r="LOZ617" s="5" t="s">
        <v>3728</v>
      </c>
      <c r="LPA617" s="17">
        <v>44925</v>
      </c>
      <c r="LPB617" s="5" t="s">
        <v>3728</v>
      </c>
      <c r="LPC617" s="17">
        <v>44925</v>
      </c>
      <c r="LPD617" s="5" t="s">
        <v>3728</v>
      </c>
      <c r="LPE617" s="17">
        <v>44925</v>
      </c>
      <c r="LPF617" s="5" t="s">
        <v>3728</v>
      </c>
      <c r="LPG617" s="17">
        <v>44925</v>
      </c>
      <c r="LPH617" s="5" t="s">
        <v>3728</v>
      </c>
      <c r="LPI617" s="17">
        <v>44925</v>
      </c>
      <c r="LPJ617" s="5" t="s">
        <v>3728</v>
      </c>
      <c r="LPK617" s="17">
        <v>44925</v>
      </c>
      <c r="LPL617" s="5" t="s">
        <v>3728</v>
      </c>
      <c r="LPM617" s="17">
        <v>44925</v>
      </c>
      <c r="LPN617" s="5" t="s">
        <v>3728</v>
      </c>
      <c r="LPO617" s="17">
        <v>44925</v>
      </c>
      <c r="LPP617" s="5" t="s">
        <v>3728</v>
      </c>
      <c r="LPQ617" s="17">
        <v>44925</v>
      </c>
      <c r="LPR617" s="5" t="s">
        <v>3728</v>
      </c>
      <c r="LPS617" s="17">
        <v>44925</v>
      </c>
      <c r="LPT617" s="5" t="s">
        <v>3728</v>
      </c>
      <c r="LPU617" s="17">
        <v>44925</v>
      </c>
      <c r="LPV617" s="5" t="s">
        <v>3728</v>
      </c>
      <c r="LPW617" s="17">
        <v>44925</v>
      </c>
      <c r="LPX617" s="5" t="s">
        <v>3728</v>
      </c>
      <c r="LPY617" s="17">
        <v>44925</v>
      </c>
      <c r="LPZ617" s="5" t="s">
        <v>3728</v>
      </c>
      <c r="LQA617" s="17">
        <v>44925</v>
      </c>
      <c r="LQB617" s="5" t="s">
        <v>3728</v>
      </c>
      <c r="LQC617" s="17">
        <v>44925</v>
      </c>
      <c r="LQD617" s="5" t="s">
        <v>3728</v>
      </c>
      <c r="LQE617" s="17">
        <v>44925</v>
      </c>
      <c r="LQF617" s="5" t="s">
        <v>3728</v>
      </c>
      <c r="LQG617" s="17">
        <v>44925</v>
      </c>
      <c r="LQH617" s="5" t="s">
        <v>3728</v>
      </c>
      <c r="LQI617" s="17">
        <v>44925</v>
      </c>
      <c r="LQJ617" s="5" t="s">
        <v>3728</v>
      </c>
      <c r="LQK617" s="17">
        <v>44925</v>
      </c>
      <c r="LQL617" s="5" t="s">
        <v>3728</v>
      </c>
      <c r="LQM617" s="17">
        <v>44925</v>
      </c>
      <c r="LQN617" s="5" t="s">
        <v>3728</v>
      </c>
      <c r="LQO617" s="17">
        <v>44925</v>
      </c>
      <c r="LQP617" s="5" t="s">
        <v>3728</v>
      </c>
      <c r="LQQ617" s="17">
        <v>44925</v>
      </c>
      <c r="LQR617" s="5" t="s">
        <v>3728</v>
      </c>
      <c r="LQS617" s="17">
        <v>44925</v>
      </c>
      <c r="LQT617" s="5" t="s">
        <v>3728</v>
      </c>
      <c r="LQU617" s="17">
        <v>44925</v>
      </c>
      <c r="LQV617" s="5" t="s">
        <v>3728</v>
      </c>
      <c r="LQW617" s="17">
        <v>44925</v>
      </c>
      <c r="LQX617" s="5" t="s">
        <v>3728</v>
      </c>
      <c r="LQY617" s="17">
        <v>44925</v>
      </c>
      <c r="LQZ617" s="5" t="s">
        <v>3728</v>
      </c>
      <c r="LRA617" s="17">
        <v>44925</v>
      </c>
      <c r="LRB617" s="5" t="s">
        <v>3728</v>
      </c>
      <c r="LRC617" s="17">
        <v>44925</v>
      </c>
      <c r="LRD617" s="5" t="s">
        <v>3728</v>
      </c>
      <c r="LRE617" s="17">
        <v>44925</v>
      </c>
      <c r="LRF617" s="5" t="s">
        <v>3728</v>
      </c>
      <c r="LRG617" s="17">
        <v>44925</v>
      </c>
      <c r="LRH617" s="5" t="s">
        <v>3728</v>
      </c>
      <c r="LRI617" s="17">
        <v>44925</v>
      </c>
      <c r="LRJ617" s="5" t="s">
        <v>3728</v>
      </c>
      <c r="LRK617" s="17">
        <v>44925</v>
      </c>
      <c r="LRL617" s="5" t="s">
        <v>3728</v>
      </c>
      <c r="LRM617" s="17">
        <v>44925</v>
      </c>
      <c r="LRN617" s="5" t="s">
        <v>3728</v>
      </c>
      <c r="LRO617" s="17">
        <v>44925</v>
      </c>
      <c r="LRP617" s="5" t="s">
        <v>3728</v>
      </c>
      <c r="LRQ617" s="17">
        <v>44925</v>
      </c>
      <c r="LRR617" s="5" t="s">
        <v>3728</v>
      </c>
      <c r="LRS617" s="17">
        <v>44925</v>
      </c>
      <c r="LRT617" s="5" t="s">
        <v>3728</v>
      </c>
      <c r="LRU617" s="17">
        <v>44925</v>
      </c>
      <c r="LRV617" s="5" t="s">
        <v>3728</v>
      </c>
      <c r="LRW617" s="17">
        <v>44925</v>
      </c>
      <c r="LRX617" s="5" t="s">
        <v>3728</v>
      </c>
      <c r="LRY617" s="17">
        <v>44925</v>
      </c>
      <c r="LRZ617" s="5" t="s">
        <v>3728</v>
      </c>
      <c r="LSA617" s="17">
        <v>44925</v>
      </c>
      <c r="LSB617" s="5" t="s">
        <v>3728</v>
      </c>
      <c r="LSC617" s="17">
        <v>44925</v>
      </c>
      <c r="LSD617" s="5" t="s">
        <v>3728</v>
      </c>
      <c r="LSE617" s="17">
        <v>44925</v>
      </c>
      <c r="LSF617" s="5" t="s">
        <v>3728</v>
      </c>
      <c r="LSG617" s="17">
        <v>44925</v>
      </c>
      <c r="LSH617" s="5" t="s">
        <v>3728</v>
      </c>
      <c r="LSI617" s="17">
        <v>44925</v>
      </c>
      <c r="LSJ617" s="5" t="s">
        <v>3728</v>
      </c>
      <c r="LSK617" s="17">
        <v>44925</v>
      </c>
      <c r="LSL617" s="5" t="s">
        <v>3728</v>
      </c>
      <c r="LSM617" s="17">
        <v>44925</v>
      </c>
      <c r="LSN617" s="5" t="s">
        <v>3728</v>
      </c>
      <c r="LSO617" s="17">
        <v>44925</v>
      </c>
      <c r="LSP617" s="5" t="s">
        <v>3728</v>
      </c>
      <c r="LSQ617" s="17">
        <v>44925</v>
      </c>
      <c r="LSR617" s="5" t="s">
        <v>3728</v>
      </c>
      <c r="LSS617" s="17">
        <v>44925</v>
      </c>
      <c r="LST617" s="5" t="s">
        <v>3728</v>
      </c>
      <c r="LSU617" s="17">
        <v>44925</v>
      </c>
      <c r="LSV617" s="5" t="s">
        <v>3728</v>
      </c>
      <c r="LSW617" s="17">
        <v>44925</v>
      </c>
      <c r="LSX617" s="5" t="s">
        <v>3728</v>
      </c>
      <c r="LSY617" s="17">
        <v>44925</v>
      </c>
      <c r="LSZ617" s="5" t="s">
        <v>3728</v>
      </c>
      <c r="LTA617" s="17">
        <v>44925</v>
      </c>
      <c r="LTB617" s="5" t="s">
        <v>3728</v>
      </c>
      <c r="LTC617" s="17">
        <v>44925</v>
      </c>
      <c r="LTD617" s="5" t="s">
        <v>3728</v>
      </c>
      <c r="LTE617" s="17">
        <v>44925</v>
      </c>
      <c r="LTF617" s="5" t="s">
        <v>3728</v>
      </c>
      <c r="LTG617" s="17">
        <v>44925</v>
      </c>
      <c r="LTH617" s="5" t="s">
        <v>3728</v>
      </c>
      <c r="LTI617" s="17">
        <v>44925</v>
      </c>
      <c r="LTJ617" s="5" t="s">
        <v>3728</v>
      </c>
      <c r="LTK617" s="17">
        <v>44925</v>
      </c>
      <c r="LTL617" s="5" t="s">
        <v>3728</v>
      </c>
      <c r="LTM617" s="17">
        <v>44925</v>
      </c>
      <c r="LTN617" s="5" t="s">
        <v>3728</v>
      </c>
      <c r="LTO617" s="17">
        <v>44925</v>
      </c>
      <c r="LTP617" s="5" t="s">
        <v>3728</v>
      </c>
      <c r="LTQ617" s="17">
        <v>44925</v>
      </c>
      <c r="LTR617" s="5" t="s">
        <v>3728</v>
      </c>
      <c r="LTS617" s="17">
        <v>44925</v>
      </c>
      <c r="LTT617" s="5" t="s">
        <v>3728</v>
      </c>
      <c r="LTU617" s="17">
        <v>44925</v>
      </c>
      <c r="LTV617" s="5" t="s">
        <v>3728</v>
      </c>
      <c r="LTW617" s="17">
        <v>44925</v>
      </c>
      <c r="LTX617" s="5" t="s">
        <v>3728</v>
      </c>
      <c r="LTY617" s="17">
        <v>44925</v>
      </c>
      <c r="LTZ617" s="5" t="s">
        <v>3728</v>
      </c>
      <c r="LUA617" s="17">
        <v>44925</v>
      </c>
      <c r="LUB617" s="5" t="s">
        <v>3728</v>
      </c>
      <c r="LUC617" s="17">
        <v>44925</v>
      </c>
      <c r="LUD617" s="5" t="s">
        <v>3728</v>
      </c>
      <c r="LUE617" s="17">
        <v>44925</v>
      </c>
      <c r="LUF617" s="5" t="s">
        <v>3728</v>
      </c>
      <c r="LUG617" s="17">
        <v>44925</v>
      </c>
      <c r="LUH617" s="5" t="s">
        <v>3728</v>
      </c>
      <c r="LUI617" s="17">
        <v>44925</v>
      </c>
      <c r="LUJ617" s="5" t="s">
        <v>3728</v>
      </c>
      <c r="LUK617" s="17">
        <v>44925</v>
      </c>
      <c r="LUL617" s="5" t="s">
        <v>3728</v>
      </c>
      <c r="LUM617" s="17">
        <v>44925</v>
      </c>
      <c r="LUN617" s="5" t="s">
        <v>3728</v>
      </c>
      <c r="LUO617" s="17">
        <v>44925</v>
      </c>
      <c r="LUP617" s="5" t="s">
        <v>3728</v>
      </c>
      <c r="LUQ617" s="17">
        <v>44925</v>
      </c>
      <c r="LUR617" s="5" t="s">
        <v>3728</v>
      </c>
      <c r="LUS617" s="17">
        <v>44925</v>
      </c>
      <c r="LUT617" s="5" t="s">
        <v>3728</v>
      </c>
      <c r="LUU617" s="17">
        <v>44925</v>
      </c>
      <c r="LUV617" s="5" t="s">
        <v>3728</v>
      </c>
      <c r="LUW617" s="17">
        <v>44925</v>
      </c>
      <c r="LUX617" s="5" t="s">
        <v>3728</v>
      </c>
      <c r="LUY617" s="17">
        <v>44925</v>
      </c>
      <c r="LUZ617" s="5" t="s">
        <v>3728</v>
      </c>
      <c r="LVA617" s="17">
        <v>44925</v>
      </c>
      <c r="LVB617" s="5" t="s">
        <v>3728</v>
      </c>
      <c r="LVC617" s="17">
        <v>44925</v>
      </c>
      <c r="LVD617" s="5" t="s">
        <v>3728</v>
      </c>
      <c r="LVE617" s="17">
        <v>44925</v>
      </c>
      <c r="LVF617" s="5" t="s">
        <v>3728</v>
      </c>
      <c r="LVG617" s="17">
        <v>44925</v>
      </c>
      <c r="LVH617" s="5" t="s">
        <v>3728</v>
      </c>
      <c r="LVI617" s="17">
        <v>44925</v>
      </c>
      <c r="LVJ617" s="5" t="s">
        <v>3728</v>
      </c>
      <c r="LVK617" s="17">
        <v>44925</v>
      </c>
      <c r="LVL617" s="5" t="s">
        <v>3728</v>
      </c>
      <c r="LVM617" s="17">
        <v>44925</v>
      </c>
      <c r="LVN617" s="5" t="s">
        <v>3728</v>
      </c>
      <c r="LVO617" s="17">
        <v>44925</v>
      </c>
      <c r="LVP617" s="5" t="s">
        <v>3728</v>
      </c>
      <c r="LVQ617" s="17">
        <v>44925</v>
      </c>
      <c r="LVR617" s="5" t="s">
        <v>3728</v>
      </c>
      <c r="LVS617" s="17">
        <v>44925</v>
      </c>
      <c r="LVT617" s="5" t="s">
        <v>3728</v>
      </c>
      <c r="LVU617" s="17">
        <v>44925</v>
      </c>
      <c r="LVV617" s="5" t="s">
        <v>3728</v>
      </c>
      <c r="LVW617" s="17">
        <v>44925</v>
      </c>
      <c r="LVX617" s="5" t="s">
        <v>3728</v>
      </c>
      <c r="LVY617" s="17">
        <v>44925</v>
      </c>
      <c r="LVZ617" s="5" t="s">
        <v>3728</v>
      </c>
      <c r="LWA617" s="17">
        <v>44925</v>
      </c>
      <c r="LWB617" s="5" t="s">
        <v>3728</v>
      </c>
      <c r="LWC617" s="17">
        <v>44925</v>
      </c>
      <c r="LWD617" s="5" t="s">
        <v>3728</v>
      </c>
      <c r="LWE617" s="17">
        <v>44925</v>
      </c>
      <c r="LWF617" s="5" t="s">
        <v>3728</v>
      </c>
      <c r="LWG617" s="17">
        <v>44925</v>
      </c>
      <c r="LWH617" s="5" t="s">
        <v>3728</v>
      </c>
      <c r="LWI617" s="17">
        <v>44925</v>
      </c>
      <c r="LWJ617" s="5" t="s">
        <v>3728</v>
      </c>
      <c r="LWK617" s="17">
        <v>44925</v>
      </c>
      <c r="LWL617" s="5" t="s">
        <v>3728</v>
      </c>
      <c r="LWM617" s="17">
        <v>44925</v>
      </c>
      <c r="LWN617" s="5" t="s">
        <v>3728</v>
      </c>
      <c r="LWO617" s="17">
        <v>44925</v>
      </c>
      <c r="LWP617" s="5" t="s">
        <v>3728</v>
      </c>
      <c r="LWQ617" s="17">
        <v>44925</v>
      </c>
      <c r="LWR617" s="5" t="s">
        <v>3728</v>
      </c>
      <c r="LWS617" s="17">
        <v>44925</v>
      </c>
      <c r="LWT617" s="5" t="s">
        <v>3728</v>
      </c>
      <c r="LWU617" s="17">
        <v>44925</v>
      </c>
      <c r="LWV617" s="5" t="s">
        <v>3728</v>
      </c>
      <c r="LWW617" s="17">
        <v>44925</v>
      </c>
      <c r="LWX617" s="5" t="s">
        <v>3728</v>
      </c>
      <c r="LWY617" s="17">
        <v>44925</v>
      </c>
      <c r="LWZ617" s="5" t="s">
        <v>3728</v>
      </c>
      <c r="LXA617" s="17">
        <v>44925</v>
      </c>
      <c r="LXB617" s="5" t="s">
        <v>3728</v>
      </c>
      <c r="LXC617" s="17">
        <v>44925</v>
      </c>
      <c r="LXD617" s="5" t="s">
        <v>3728</v>
      </c>
      <c r="LXE617" s="17">
        <v>44925</v>
      </c>
      <c r="LXF617" s="5" t="s">
        <v>3728</v>
      </c>
      <c r="LXG617" s="17">
        <v>44925</v>
      </c>
      <c r="LXH617" s="5" t="s">
        <v>3728</v>
      </c>
      <c r="LXI617" s="17">
        <v>44925</v>
      </c>
      <c r="LXJ617" s="5" t="s">
        <v>3728</v>
      </c>
      <c r="LXK617" s="17">
        <v>44925</v>
      </c>
      <c r="LXL617" s="5" t="s">
        <v>3728</v>
      </c>
      <c r="LXM617" s="17">
        <v>44925</v>
      </c>
      <c r="LXN617" s="5" t="s">
        <v>3728</v>
      </c>
      <c r="LXO617" s="17">
        <v>44925</v>
      </c>
      <c r="LXP617" s="5" t="s">
        <v>3728</v>
      </c>
      <c r="LXQ617" s="17">
        <v>44925</v>
      </c>
      <c r="LXR617" s="5" t="s">
        <v>3728</v>
      </c>
      <c r="LXS617" s="17">
        <v>44925</v>
      </c>
      <c r="LXT617" s="5" t="s">
        <v>3728</v>
      </c>
      <c r="LXU617" s="17">
        <v>44925</v>
      </c>
      <c r="LXV617" s="5" t="s">
        <v>3728</v>
      </c>
      <c r="LXW617" s="17">
        <v>44925</v>
      </c>
      <c r="LXX617" s="5" t="s">
        <v>3728</v>
      </c>
      <c r="LXY617" s="17">
        <v>44925</v>
      </c>
      <c r="LXZ617" s="5" t="s">
        <v>3728</v>
      </c>
      <c r="LYA617" s="17">
        <v>44925</v>
      </c>
      <c r="LYB617" s="5" t="s">
        <v>3728</v>
      </c>
      <c r="LYC617" s="17">
        <v>44925</v>
      </c>
      <c r="LYD617" s="5" t="s">
        <v>3728</v>
      </c>
      <c r="LYE617" s="17">
        <v>44925</v>
      </c>
      <c r="LYF617" s="5" t="s">
        <v>3728</v>
      </c>
      <c r="LYG617" s="17">
        <v>44925</v>
      </c>
      <c r="LYH617" s="5" t="s">
        <v>3728</v>
      </c>
      <c r="LYI617" s="17">
        <v>44925</v>
      </c>
      <c r="LYJ617" s="5" t="s">
        <v>3728</v>
      </c>
      <c r="LYK617" s="17">
        <v>44925</v>
      </c>
      <c r="LYL617" s="5" t="s">
        <v>3728</v>
      </c>
      <c r="LYM617" s="17">
        <v>44925</v>
      </c>
      <c r="LYN617" s="5" t="s">
        <v>3728</v>
      </c>
      <c r="LYO617" s="17">
        <v>44925</v>
      </c>
      <c r="LYP617" s="5" t="s">
        <v>3728</v>
      </c>
      <c r="LYQ617" s="17">
        <v>44925</v>
      </c>
      <c r="LYR617" s="5" t="s">
        <v>3728</v>
      </c>
      <c r="LYS617" s="17">
        <v>44925</v>
      </c>
      <c r="LYT617" s="5" t="s">
        <v>3728</v>
      </c>
      <c r="LYU617" s="17">
        <v>44925</v>
      </c>
      <c r="LYV617" s="5" t="s">
        <v>3728</v>
      </c>
      <c r="LYW617" s="17">
        <v>44925</v>
      </c>
      <c r="LYX617" s="5" t="s">
        <v>3728</v>
      </c>
      <c r="LYY617" s="17">
        <v>44925</v>
      </c>
      <c r="LYZ617" s="5" t="s">
        <v>3728</v>
      </c>
      <c r="LZA617" s="17">
        <v>44925</v>
      </c>
      <c r="LZB617" s="5" t="s">
        <v>3728</v>
      </c>
      <c r="LZC617" s="17">
        <v>44925</v>
      </c>
      <c r="LZD617" s="5" t="s">
        <v>3728</v>
      </c>
      <c r="LZE617" s="17">
        <v>44925</v>
      </c>
      <c r="LZF617" s="5" t="s">
        <v>3728</v>
      </c>
      <c r="LZG617" s="17">
        <v>44925</v>
      </c>
      <c r="LZH617" s="5" t="s">
        <v>3728</v>
      </c>
      <c r="LZI617" s="17">
        <v>44925</v>
      </c>
      <c r="LZJ617" s="5" t="s">
        <v>3728</v>
      </c>
      <c r="LZK617" s="17">
        <v>44925</v>
      </c>
      <c r="LZL617" s="5" t="s">
        <v>3728</v>
      </c>
      <c r="LZM617" s="17">
        <v>44925</v>
      </c>
      <c r="LZN617" s="5" t="s">
        <v>3728</v>
      </c>
      <c r="LZO617" s="17">
        <v>44925</v>
      </c>
      <c r="LZP617" s="5" t="s">
        <v>3728</v>
      </c>
      <c r="LZQ617" s="17">
        <v>44925</v>
      </c>
      <c r="LZR617" s="5" t="s">
        <v>3728</v>
      </c>
      <c r="LZS617" s="17">
        <v>44925</v>
      </c>
      <c r="LZT617" s="5" t="s">
        <v>3728</v>
      </c>
      <c r="LZU617" s="17">
        <v>44925</v>
      </c>
      <c r="LZV617" s="5" t="s">
        <v>3728</v>
      </c>
      <c r="LZW617" s="17">
        <v>44925</v>
      </c>
      <c r="LZX617" s="5" t="s">
        <v>3728</v>
      </c>
      <c r="LZY617" s="17">
        <v>44925</v>
      </c>
      <c r="LZZ617" s="5" t="s">
        <v>3728</v>
      </c>
      <c r="MAA617" s="17">
        <v>44925</v>
      </c>
      <c r="MAB617" s="5" t="s">
        <v>3728</v>
      </c>
      <c r="MAC617" s="17">
        <v>44925</v>
      </c>
      <c r="MAD617" s="5" t="s">
        <v>3728</v>
      </c>
      <c r="MAE617" s="17">
        <v>44925</v>
      </c>
      <c r="MAF617" s="5" t="s">
        <v>3728</v>
      </c>
      <c r="MAG617" s="17">
        <v>44925</v>
      </c>
      <c r="MAH617" s="5" t="s">
        <v>3728</v>
      </c>
      <c r="MAI617" s="17">
        <v>44925</v>
      </c>
      <c r="MAJ617" s="5" t="s">
        <v>3728</v>
      </c>
      <c r="MAK617" s="17">
        <v>44925</v>
      </c>
      <c r="MAL617" s="5" t="s">
        <v>3728</v>
      </c>
      <c r="MAM617" s="17">
        <v>44925</v>
      </c>
      <c r="MAN617" s="5" t="s">
        <v>3728</v>
      </c>
      <c r="MAO617" s="17">
        <v>44925</v>
      </c>
      <c r="MAP617" s="5" t="s">
        <v>3728</v>
      </c>
      <c r="MAQ617" s="17">
        <v>44925</v>
      </c>
      <c r="MAR617" s="5" t="s">
        <v>3728</v>
      </c>
      <c r="MAS617" s="17">
        <v>44925</v>
      </c>
      <c r="MAT617" s="5" t="s">
        <v>3728</v>
      </c>
      <c r="MAU617" s="17">
        <v>44925</v>
      </c>
      <c r="MAV617" s="5" t="s">
        <v>3728</v>
      </c>
      <c r="MAW617" s="17">
        <v>44925</v>
      </c>
      <c r="MAX617" s="5" t="s">
        <v>3728</v>
      </c>
      <c r="MAY617" s="17">
        <v>44925</v>
      </c>
      <c r="MAZ617" s="5" t="s">
        <v>3728</v>
      </c>
      <c r="MBA617" s="17">
        <v>44925</v>
      </c>
      <c r="MBB617" s="5" t="s">
        <v>3728</v>
      </c>
      <c r="MBC617" s="17">
        <v>44925</v>
      </c>
      <c r="MBD617" s="5" t="s">
        <v>3728</v>
      </c>
      <c r="MBE617" s="17">
        <v>44925</v>
      </c>
      <c r="MBF617" s="5" t="s">
        <v>3728</v>
      </c>
      <c r="MBG617" s="17">
        <v>44925</v>
      </c>
      <c r="MBH617" s="5" t="s">
        <v>3728</v>
      </c>
      <c r="MBI617" s="17">
        <v>44925</v>
      </c>
      <c r="MBJ617" s="5" t="s">
        <v>3728</v>
      </c>
      <c r="MBK617" s="17">
        <v>44925</v>
      </c>
      <c r="MBL617" s="5" t="s">
        <v>3728</v>
      </c>
      <c r="MBM617" s="17">
        <v>44925</v>
      </c>
      <c r="MBN617" s="5" t="s">
        <v>3728</v>
      </c>
      <c r="MBO617" s="17">
        <v>44925</v>
      </c>
      <c r="MBP617" s="5" t="s">
        <v>3728</v>
      </c>
      <c r="MBQ617" s="17">
        <v>44925</v>
      </c>
      <c r="MBR617" s="5" t="s">
        <v>3728</v>
      </c>
      <c r="MBS617" s="17">
        <v>44925</v>
      </c>
      <c r="MBT617" s="5" t="s">
        <v>3728</v>
      </c>
      <c r="MBU617" s="17">
        <v>44925</v>
      </c>
      <c r="MBV617" s="5" t="s">
        <v>3728</v>
      </c>
      <c r="MBW617" s="17">
        <v>44925</v>
      </c>
      <c r="MBX617" s="5" t="s">
        <v>3728</v>
      </c>
      <c r="MBY617" s="17">
        <v>44925</v>
      </c>
      <c r="MBZ617" s="5" t="s">
        <v>3728</v>
      </c>
      <c r="MCA617" s="17">
        <v>44925</v>
      </c>
      <c r="MCB617" s="5" t="s">
        <v>3728</v>
      </c>
      <c r="MCC617" s="17">
        <v>44925</v>
      </c>
      <c r="MCD617" s="5" t="s">
        <v>3728</v>
      </c>
      <c r="MCE617" s="17">
        <v>44925</v>
      </c>
      <c r="MCF617" s="5" t="s">
        <v>3728</v>
      </c>
      <c r="MCG617" s="17">
        <v>44925</v>
      </c>
      <c r="MCH617" s="5" t="s">
        <v>3728</v>
      </c>
      <c r="MCI617" s="17">
        <v>44925</v>
      </c>
      <c r="MCJ617" s="5" t="s">
        <v>3728</v>
      </c>
      <c r="MCK617" s="17">
        <v>44925</v>
      </c>
      <c r="MCL617" s="5" t="s">
        <v>3728</v>
      </c>
      <c r="MCM617" s="17">
        <v>44925</v>
      </c>
      <c r="MCN617" s="5" t="s">
        <v>3728</v>
      </c>
      <c r="MCO617" s="17">
        <v>44925</v>
      </c>
      <c r="MCP617" s="5" t="s">
        <v>3728</v>
      </c>
      <c r="MCQ617" s="17">
        <v>44925</v>
      </c>
      <c r="MCR617" s="5" t="s">
        <v>3728</v>
      </c>
      <c r="MCS617" s="17">
        <v>44925</v>
      </c>
      <c r="MCT617" s="5" t="s">
        <v>3728</v>
      </c>
      <c r="MCU617" s="17">
        <v>44925</v>
      </c>
      <c r="MCV617" s="5" t="s">
        <v>3728</v>
      </c>
      <c r="MCW617" s="17">
        <v>44925</v>
      </c>
      <c r="MCX617" s="5" t="s">
        <v>3728</v>
      </c>
      <c r="MCY617" s="17">
        <v>44925</v>
      </c>
      <c r="MCZ617" s="5" t="s">
        <v>3728</v>
      </c>
      <c r="MDA617" s="17">
        <v>44925</v>
      </c>
      <c r="MDB617" s="5" t="s">
        <v>3728</v>
      </c>
      <c r="MDC617" s="17">
        <v>44925</v>
      </c>
      <c r="MDD617" s="5" t="s">
        <v>3728</v>
      </c>
      <c r="MDE617" s="17">
        <v>44925</v>
      </c>
      <c r="MDF617" s="5" t="s">
        <v>3728</v>
      </c>
      <c r="MDG617" s="17">
        <v>44925</v>
      </c>
      <c r="MDH617" s="5" t="s">
        <v>3728</v>
      </c>
      <c r="MDI617" s="17">
        <v>44925</v>
      </c>
      <c r="MDJ617" s="5" t="s">
        <v>3728</v>
      </c>
      <c r="MDK617" s="17">
        <v>44925</v>
      </c>
      <c r="MDL617" s="5" t="s">
        <v>3728</v>
      </c>
      <c r="MDM617" s="17">
        <v>44925</v>
      </c>
      <c r="MDN617" s="5" t="s">
        <v>3728</v>
      </c>
      <c r="MDO617" s="17">
        <v>44925</v>
      </c>
      <c r="MDP617" s="5" t="s">
        <v>3728</v>
      </c>
      <c r="MDQ617" s="17">
        <v>44925</v>
      </c>
      <c r="MDR617" s="5" t="s">
        <v>3728</v>
      </c>
      <c r="MDS617" s="17">
        <v>44925</v>
      </c>
      <c r="MDT617" s="5" t="s">
        <v>3728</v>
      </c>
      <c r="MDU617" s="17">
        <v>44925</v>
      </c>
      <c r="MDV617" s="5" t="s">
        <v>3728</v>
      </c>
      <c r="MDW617" s="17">
        <v>44925</v>
      </c>
      <c r="MDX617" s="5" t="s">
        <v>3728</v>
      </c>
      <c r="MDY617" s="17">
        <v>44925</v>
      </c>
      <c r="MDZ617" s="5" t="s">
        <v>3728</v>
      </c>
      <c r="MEA617" s="17">
        <v>44925</v>
      </c>
      <c r="MEB617" s="5" t="s">
        <v>3728</v>
      </c>
      <c r="MEC617" s="17">
        <v>44925</v>
      </c>
      <c r="MED617" s="5" t="s">
        <v>3728</v>
      </c>
      <c r="MEE617" s="17">
        <v>44925</v>
      </c>
      <c r="MEF617" s="5" t="s">
        <v>3728</v>
      </c>
      <c r="MEG617" s="17">
        <v>44925</v>
      </c>
      <c r="MEH617" s="5" t="s">
        <v>3728</v>
      </c>
      <c r="MEI617" s="17">
        <v>44925</v>
      </c>
      <c r="MEJ617" s="5" t="s">
        <v>3728</v>
      </c>
      <c r="MEK617" s="17">
        <v>44925</v>
      </c>
      <c r="MEL617" s="5" t="s">
        <v>3728</v>
      </c>
      <c r="MEM617" s="17">
        <v>44925</v>
      </c>
      <c r="MEN617" s="5" t="s">
        <v>3728</v>
      </c>
      <c r="MEO617" s="17">
        <v>44925</v>
      </c>
      <c r="MEP617" s="5" t="s">
        <v>3728</v>
      </c>
      <c r="MEQ617" s="17">
        <v>44925</v>
      </c>
      <c r="MER617" s="5" t="s">
        <v>3728</v>
      </c>
      <c r="MES617" s="17">
        <v>44925</v>
      </c>
      <c r="MET617" s="5" t="s">
        <v>3728</v>
      </c>
      <c r="MEU617" s="17">
        <v>44925</v>
      </c>
      <c r="MEV617" s="5" t="s">
        <v>3728</v>
      </c>
      <c r="MEW617" s="17">
        <v>44925</v>
      </c>
      <c r="MEX617" s="5" t="s">
        <v>3728</v>
      </c>
      <c r="MEY617" s="17">
        <v>44925</v>
      </c>
      <c r="MEZ617" s="5" t="s">
        <v>3728</v>
      </c>
      <c r="MFA617" s="17">
        <v>44925</v>
      </c>
      <c r="MFB617" s="5" t="s">
        <v>3728</v>
      </c>
      <c r="MFC617" s="17">
        <v>44925</v>
      </c>
      <c r="MFD617" s="5" t="s">
        <v>3728</v>
      </c>
      <c r="MFE617" s="17">
        <v>44925</v>
      </c>
      <c r="MFF617" s="5" t="s">
        <v>3728</v>
      </c>
      <c r="MFG617" s="17">
        <v>44925</v>
      </c>
      <c r="MFH617" s="5" t="s">
        <v>3728</v>
      </c>
      <c r="MFI617" s="17">
        <v>44925</v>
      </c>
      <c r="MFJ617" s="5" t="s">
        <v>3728</v>
      </c>
      <c r="MFK617" s="17">
        <v>44925</v>
      </c>
      <c r="MFL617" s="5" t="s">
        <v>3728</v>
      </c>
      <c r="MFM617" s="17">
        <v>44925</v>
      </c>
      <c r="MFN617" s="5" t="s">
        <v>3728</v>
      </c>
      <c r="MFO617" s="17">
        <v>44925</v>
      </c>
      <c r="MFP617" s="5" t="s">
        <v>3728</v>
      </c>
      <c r="MFQ617" s="17">
        <v>44925</v>
      </c>
      <c r="MFR617" s="5" t="s">
        <v>3728</v>
      </c>
      <c r="MFS617" s="17">
        <v>44925</v>
      </c>
      <c r="MFT617" s="5" t="s">
        <v>3728</v>
      </c>
      <c r="MFU617" s="17">
        <v>44925</v>
      </c>
      <c r="MFV617" s="5" t="s">
        <v>3728</v>
      </c>
      <c r="MFW617" s="17">
        <v>44925</v>
      </c>
      <c r="MFX617" s="5" t="s">
        <v>3728</v>
      </c>
      <c r="MFY617" s="17">
        <v>44925</v>
      </c>
      <c r="MFZ617" s="5" t="s">
        <v>3728</v>
      </c>
      <c r="MGA617" s="17">
        <v>44925</v>
      </c>
      <c r="MGB617" s="5" t="s">
        <v>3728</v>
      </c>
      <c r="MGC617" s="17">
        <v>44925</v>
      </c>
      <c r="MGD617" s="5" t="s">
        <v>3728</v>
      </c>
      <c r="MGE617" s="17">
        <v>44925</v>
      </c>
      <c r="MGF617" s="5" t="s">
        <v>3728</v>
      </c>
      <c r="MGG617" s="17">
        <v>44925</v>
      </c>
      <c r="MGH617" s="5" t="s">
        <v>3728</v>
      </c>
      <c r="MGI617" s="17">
        <v>44925</v>
      </c>
      <c r="MGJ617" s="5" t="s">
        <v>3728</v>
      </c>
      <c r="MGK617" s="17">
        <v>44925</v>
      </c>
      <c r="MGL617" s="5" t="s">
        <v>3728</v>
      </c>
      <c r="MGM617" s="17">
        <v>44925</v>
      </c>
      <c r="MGN617" s="5" t="s">
        <v>3728</v>
      </c>
      <c r="MGO617" s="17">
        <v>44925</v>
      </c>
      <c r="MGP617" s="5" t="s">
        <v>3728</v>
      </c>
      <c r="MGQ617" s="17">
        <v>44925</v>
      </c>
      <c r="MGR617" s="5" t="s">
        <v>3728</v>
      </c>
      <c r="MGS617" s="17">
        <v>44925</v>
      </c>
      <c r="MGT617" s="5" t="s">
        <v>3728</v>
      </c>
      <c r="MGU617" s="17">
        <v>44925</v>
      </c>
      <c r="MGV617" s="5" t="s">
        <v>3728</v>
      </c>
      <c r="MGW617" s="17">
        <v>44925</v>
      </c>
      <c r="MGX617" s="5" t="s">
        <v>3728</v>
      </c>
      <c r="MGY617" s="17">
        <v>44925</v>
      </c>
      <c r="MGZ617" s="5" t="s">
        <v>3728</v>
      </c>
      <c r="MHA617" s="17">
        <v>44925</v>
      </c>
      <c r="MHB617" s="5" t="s">
        <v>3728</v>
      </c>
      <c r="MHC617" s="17">
        <v>44925</v>
      </c>
      <c r="MHD617" s="5" t="s">
        <v>3728</v>
      </c>
      <c r="MHE617" s="17">
        <v>44925</v>
      </c>
      <c r="MHF617" s="5" t="s">
        <v>3728</v>
      </c>
      <c r="MHG617" s="17">
        <v>44925</v>
      </c>
      <c r="MHH617" s="5" t="s">
        <v>3728</v>
      </c>
      <c r="MHI617" s="17">
        <v>44925</v>
      </c>
      <c r="MHJ617" s="5" t="s">
        <v>3728</v>
      </c>
      <c r="MHK617" s="17">
        <v>44925</v>
      </c>
      <c r="MHL617" s="5" t="s">
        <v>3728</v>
      </c>
      <c r="MHM617" s="17">
        <v>44925</v>
      </c>
      <c r="MHN617" s="5" t="s">
        <v>3728</v>
      </c>
      <c r="MHO617" s="17">
        <v>44925</v>
      </c>
      <c r="MHP617" s="5" t="s">
        <v>3728</v>
      </c>
      <c r="MHQ617" s="17">
        <v>44925</v>
      </c>
      <c r="MHR617" s="5" t="s">
        <v>3728</v>
      </c>
      <c r="MHS617" s="17">
        <v>44925</v>
      </c>
      <c r="MHT617" s="5" t="s">
        <v>3728</v>
      </c>
      <c r="MHU617" s="17">
        <v>44925</v>
      </c>
      <c r="MHV617" s="5" t="s">
        <v>3728</v>
      </c>
      <c r="MHW617" s="17">
        <v>44925</v>
      </c>
      <c r="MHX617" s="5" t="s">
        <v>3728</v>
      </c>
      <c r="MHY617" s="17">
        <v>44925</v>
      </c>
      <c r="MHZ617" s="5" t="s">
        <v>3728</v>
      </c>
      <c r="MIA617" s="17">
        <v>44925</v>
      </c>
      <c r="MIB617" s="5" t="s">
        <v>3728</v>
      </c>
      <c r="MIC617" s="17">
        <v>44925</v>
      </c>
      <c r="MID617" s="5" t="s">
        <v>3728</v>
      </c>
      <c r="MIE617" s="17">
        <v>44925</v>
      </c>
      <c r="MIF617" s="5" t="s">
        <v>3728</v>
      </c>
      <c r="MIG617" s="17">
        <v>44925</v>
      </c>
      <c r="MIH617" s="5" t="s">
        <v>3728</v>
      </c>
      <c r="MII617" s="17">
        <v>44925</v>
      </c>
      <c r="MIJ617" s="5" t="s">
        <v>3728</v>
      </c>
      <c r="MIK617" s="17">
        <v>44925</v>
      </c>
      <c r="MIL617" s="5" t="s">
        <v>3728</v>
      </c>
      <c r="MIM617" s="17">
        <v>44925</v>
      </c>
      <c r="MIN617" s="5" t="s">
        <v>3728</v>
      </c>
      <c r="MIO617" s="17">
        <v>44925</v>
      </c>
      <c r="MIP617" s="5" t="s">
        <v>3728</v>
      </c>
      <c r="MIQ617" s="17">
        <v>44925</v>
      </c>
      <c r="MIR617" s="5" t="s">
        <v>3728</v>
      </c>
      <c r="MIS617" s="17">
        <v>44925</v>
      </c>
      <c r="MIT617" s="5" t="s">
        <v>3728</v>
      </c>
      <c r="MIU617" s="17">
        <v>44925</v>
      </c>
      <c r="MIV617" s="5" t="s">
        <v>3728</v>
      </c>
      <c r="MIW617" s="17">
        <v>44925</v>
      </c>
      <c r="MIX617" s="5" t="s">
        <v>3728</v>
      </c>
      <c r="MIY617" s="17">
        <v>44925</v>
      </c>
      <c r="MIZ617" s="5" t="s">
        <v>3728</v>
      </c>
      <c r="MJA617" s="17">
        <v>44925</v>
      </c>
      <c r="MJB617" s="5" t="s">
        <v>3728</v>
      </c>
      <c r="MJC617" s="17">
        <v>44925</v>
      </c>
      <c r="MJD617" s="5" t="s">
        <v>3728</v>
      </c>
      <c r="MJE617" s="17">
        <v>44925</v>
      </c>
      <c r="MJF617" s="5" t="s">
        <v>3728</v>
      </c>
      <c r="MJG617" s="17">
        <v>44925</v>
      </c>
      <c r="MJH617" s="5" t="s">
        <v>3728</v>
      </c>
      <c r="MJI617" s="17">
        <v>44925</v>
      </c>
      <c r="MJJ617" s="5" t="s">
        <v>3728</v>
      </c>
      <c r="MJK617" s="17">
        <v>44925</v>
      </c>
      <c r="MJL617" s="5" t="s">
        <v>3728</v>
      </c>
      <c r="MJM617" s="17">
        <v>44925</v>
      </c>
      <c r="MJN617" s="5" t="s">
        <v>3728</v>
      </c>
      <c r="MJO617" s="17">
        <v>44925</v>
      </c>
      <c r="MJP617" s="5" t="s">
        <v>3728</v>
      </c>
      <c r="MJQ617" s="17">
        <v>44925</v>
      </c>
      <c r="MJR617" s="5" t="s">
        <v>3728</v>
      </c>
      <c r="MJS617" s="17">
        <v>44925</v>
      </c>
      <c r="MJT617" s="5" t="s">
        <v>3728</v>
      </c>
      <c r="MJU617" s="17">
        <v>44925</v>
      </c>
      <c r="MJV617" s="5" t="s">
        <v>3728</v>
      </c>
      <c r="MJW617" s="17">
        <v>44925</v>
      </c>
      <c r="MJX617" s="5" t="s">
        <v>3728</v>
      </c>
      <c r="MJY617" s="17">
        <v>44925</v>
      </c>
      <c r="MJZ617" s="5" t="s">
        <v>3728</v>
      </c>
      <c r="MKA617" s="17">
        <v>44925</v>
      </c>
      <c r="MKB617" s="5" t="s">
        <v>3728</v>
      </c>
      <c r="MKC617" s="17">
        <v>44925</v>
      </c>
      <c r="MKD617" s="5" t="s">
        <v>3728</v>
      </c>
      <c r="MKE617" s="17">
        <v>44925</v>
      </c>
      <c r="MKF617" s="5" t="s">
        <v>3728</v>
      </c>
      <c r="MKG617" s="17">
        <v>44925</v>
      </c>
      <c r="MKH617" s="5" t="s">
        <v>3728</v>
      </c>
      <c r="MKI617" s="17">
        <v>44925</v>
      </c>
      <c r="MKJ617" s="5" t="s">
        <v>3728</v>
      </c>
      <c r="MKK617" s="17">
        <v>44925</v>
      </c>
      <c r="MKL617" s="5" t="s">
        <v>3728</v>
      </c>
      <c r="MKM617" s="17">
        <v>44925</v>
      </c>
      <c r="MKN617" s="5" t="s">
        <v>3728</v>
      </c>
      <c r="MKO617" s="17">
        <v>44925</v>
      </c>
      <c r="MKP617" s="5" t="s">
        <v>3728</v>
      </c>
      <c r="MKQ617" s="17">
        <v>44925</v>
      </c>
      <c r="MKR617" s="5" t="s">
        <v>3728</v>
      </c>
      <c r="MKS617" s="17">
        <v>44925</v>
      </c>
      <c r="MKT617" s="5" t="s">
        <v>3728</v>
      </c>
      <c r="MKU617" s="17">
        <v>44925</v>
      </c>
      <c r="MKV617" s="5" t="s">
        <v>3728</v>
      </c>
      <c r="MKW617" s="17">
        <v>44925</v>
      </c>
      <c r="MKX617" s="5" t="s">
        <v>3728</v>
      </c>
      <c r="MKY617" s="17">
        <v>44925</v>
      </c>
      <c r="MKZ617" s="5" t="s">
        <v>3728</v>
      </c>
      <c r="MLA617" s="17">
        <v>44925</v>
      </c>
      <c r="MLB617" s="5" t="s">
        <v>3728</v>
      </c>
      <c r="MLC617" s="17">
        <v>44925</v>
      </c>
      <c r="MLD617" s="5" t="s">
        <v>3728</v>
      </c>
      <c r="MLE617" s="17">
        <v>44925</v>
      </c>
      <c r="MLF617" s="5" t="s">
        <v>3728</v>
      </c>
      <c r="MLG617" s="17">
        <v>44925</v>
      </c>
      <c r="MLH617" s="5" t="s">
        <v>3728</v>
      </c>
      <c r="MLI617" s="17">
        <v>44925</v>
      </c>
      <c r="MLJ617" s="5" t="s">
        <v>3728</v>
      </c>
      <c r="MLK617" s="17">
        <v>44925</v>
      </c>
      <c r="MLL617" s="5" t="s">
        <v>3728</v>
      </c>
      <c r="MLM617" s="17">
        <v>44925</v>
      </c>
      <c r="MLN617" s="5" t="s">
        <v>3728</v>
      </c>
      <c r="MLO617" s="17">
        <v>44925</v>
      </c>
      <c r="MLP617" s="5" t="s">
        <v>3728</v>
      </c>
      <c r="MLQ617" s="17">
        <v>44925</v>
      </c>
      <c r="MLR617" s="5" t="s">
        <v>3728</v>
      </c>
      <c r="MLS617" s="17">
        <v>44925</v>
      </c>
      <c r="MLT617" s="5" t="s">
        <v>3728</v>
      </c>
      <c r="MLU617" s="17">
        <v>44925</v>
      </c>
      <c r="MLV617" s="5" t="s">
        <v>3728</v>
      </c>
      <c r="MLW617" s="17">
        <v>44925</v>
      </c>
      <c r="MLX617" s="5" t="s">
        <v>3728</v>
      </c>
      <c r="MLY617" s="17">
        <v>44925</v>
      </c>
      <c r="MLZ617" s="5" t="s">
        <v>3728</v>
      </c>
      <c r="MMA617" s="17">
        <v>44925</v>
      </c>
      <c r="MMB617" s="5" t="s">
        <v>3728</v>
      </c>
      <c r="MMC617" s="17">
        <v>44925</v>
      </c>
      <c r="MMD617" s="5" t="s">
        <v>3728</v>
      </c>
      <c r="MME617" s="17">
        <v>44925</v>
      </c>
      <c r="MMF617" s="5" t="s">
        <v>3728</v>
      </c>
      <c r="MMG617" s="17">
        <v>44925</v>
      </c>
      <c r="MMH617" s="5" t="s">
        <v>3728</v>
      </c>
      <c r="MMI617" s="17">
        <v>44925</v>
      </c>
      <c r="MMJ617" s="5" t="s">
        <v>3728</v>
      </c>
      <c r="MMK617" s="17">
        <v>44925</v>
      </c>
      <c r="MML617" s="5" t="s">
        <v>3728</v>
      </c>
      <c r="MMM617" s="17">
        <v>44925</v>
      </c>
      <c r="MMN617" s="5" t="s">
        <v>3728</v>
      </c>
      <c r="MMO617" s="17">
        <v>44925</v>
      </c>
      <c r="MMP617" s="5" t="s">
        <v>3728</v>
      </c>
      <c r="MMQ617" s="17">
        <v>44925</v>
      </c>
      <c r="MMR617" s="5" t="s">
        <v>3728</v>
      </c>
      <c r="MMS617" s="17">
        <v>44925</v>
      </c>
      <c r="MMT617" s="5" t="s">
        <v>3728</v>
      </c>
      <c r="MMU617" s="17">
        <v>44925</v>
      </c>
      <c r="MMV617" s="5" t="s">
        <v>3728</v>
      </c>
      <c r="MMW617" s="17">
        <v>44925</v>
      </c>
      <c r="MMX617" s="5" t="s">
        <v>3728</v>
      </c>
      <c r="MMY617" s="17">
        <v>44925</v>
      </c>
      <c r="MMZ617" s="5" t="s">
        <v>3728</v>
      </c>
      <c r="MNA617" s="17">
        <v>44925</v>
      </c>
      <c r="MNB617" s="5" t="s">
        <v>3728</v>
      </c>
      <c r="MNC617" s="17">
        <v>44925</v>
      </c>
      <c r="MND617" s="5" t="s">
        <v>3728</v>
      </c>
      <c r="MNE617" s="17">
        <v>44925</v>
      </c>
      <c r="MNF617" s="5" t="s">
        <v>3728</v>
      </c>
      <c r="MNG617" s="17">
        <v>44925</v>
      </c>
      <c r="MNH617" s="5" t="s">
        <v>3728</v>
      </c>
      <c r="MNI617" s="17">
        <v>44925</v>
      </c>
      <c r="MNJ617" s="5" t="s">
        <v>3728</v>
      </c>
      <c r="MNK617" s="17">
        <v>44925</v>
      </c>
      <c r="MNL617" s="5" t="s">
        <v>3728</v>
      </c>
      <c r="MNM617" s="17">
        <v>44925</v>
      </c>
      <c r="MNN617" s="5" t="s">
        <v>3728</v>
      </c>
      <c r="MNO617" s="17">
        <v>44925</v>
      </c>
      <c r="MNP617" s="5" t="s">
        <v>3728</v>
      </c>
      <c r="MNQ617" s="17">
        <v>44925</v>
      </c>
      <c r="MNR617" s="5" t="s">
        <v>3728</v>
      </c>
      <c r="MNS617" s="17">
        <v>44925</v>
      </c>
      <c r="MNT617" s="5" t="s">
        <v>3728</v>
      </c>
      <c r="MNU617" s="17">
        <v>44925</v>
      </c>
      <c r="MNV617" s="5" t="s">
        <v>3728</v>
      </c>
      <c r="MNW617" s="17">
        <v>44925</v>
      </c>
      <c r="MNX617" s="5" t="s">
        <v>3728</v>
      </c>
      <c r="MNY617" s="17">
        <v>44925</v>
      </c>
      <c r="MNZ617" s="5" t="s">
        <v>3728</v>
      </c>
      <c r="MOA617" s="17">
        <v>44925</v>
      </c>
      <c r="MOB617" s="5" t="s">
        <v>3728</v>
      </c>
      <c r="MOC617" s="17">
        <v>44925</v>
      </c>
      <c r="MOD617" s="5" t="s">
        <v>3728</v>
      </c>
      <c r="MOE617" s="17">
        <v>44925</v>
      </c>
      <c r="MOF617" s="5" t="s">
        <v>3728</v>
      </c>
      <c r="MOG617" s="17">
        <v>44925</v>
      </c>
      <c r="MOH617" s="5" t="s">
        <v>3728</v>
      </c>
      <c r="MOI617" s="17">
        <v>44925</v>
      </c>
      <c r="MOJ617" s="5" t="s">
        <v>3728</v>
      </c>
      <c r="MOK617" s="17">
        <v>44925</v>
      </c>
      <c r="MOL617" s="5" t="s">
        <v>3728</v>
      </c>
      <c r="MOM617" s="17">
        <v>44925</v>
      </c>
      <c r="MON617" s="5" t="s">
        <v>3728</v>
      </c>
      <c r="MOO617" s="17">
        <v>44925</v>
      </c>
      <c r="MOP617" s="5" t="s">
        <v>3728</v>
      </c>
      <c r="MOQ617" s="17">
        <v>44925</v>
      </c>
      <c r="MOR617" s="5" t="s">
        <v>3728</v>
      </c>
      <c r="MOS617" s="17">
        <v>44925</v>
      </c>
      <c r="MOT617" s="5" t="s">
        <v>3728</v>
      </c>
      <c r="MOU617" s="17">
        <v>44925</v>
      </c>
      <c r="MOV617" s="5" t="s">
        <v>3728</v>
      </c>
      <c r="MOW617" s="17">
        <v>44925</v>
      </c>
      <c r="MOX617" s="5" t="s">
        <v>3728</v>
      </c>
      <c r="MOY617" s="17">
        <v>44925</v>
      </c>
      <c r="MOZ617" s="5" t="s">
        <v>3728</v>
      </c>
      <c r="MPA617" s="17">
        <v>44925</v>
      </c>
      <c r="MPB617" s="5" t="s">
        <v>3728</v>
      </c>
      <c r="MPC617" s="17">
        <v>44925</v>
      </c>
      <c r="MPD617" s="5" t="s">
        <v>3728</v>
      </c>
      <c r="MPE617" s="17">
        <v>44925</v>
      </c>
      <c r="MPF617" s="5" t="s">
        <v>3728</v>
      </c>
      <c r="MPG617" s="17">
        <v>44925</v>
      </c>
      <c r="MPH617" s="5" t="s">
        <v>3728</v>
      </c>
      <c r="MPI617" s="17">
        <v>44925</v>
      </c>
      <c r="MPJ617" s="5" t="s">
        <v>3728</v>
      </c>
      <c r="MPK617" s="17">
        <v>44925</v>
      </c>
      <c r="MPL617" s="5" t="s">
        <v>3728</v>
      </c>
      <c r="MPM617" s="17">
        <v>44925</v>
      </c>
      <c r="MPN617" s="5" t="s">
        <v>3728</v>
      </c>
      <c r="MPO617" s="17">
        <v>44925</v>
      </c>
      <c r="MPP617" s="5" t="s">
        <v>3728</v>
      </c>
      <c r="MPQ617" s="17">
        <v>44925</v>
      </c>
      <c r="MPR617" s="5" t="s">
        <v>3728</v>
      </c>
      <c r="MPS617" s="17">
        <v>44925</v>
      </c>
      <c r="MPT617" s="5" t="s">
        <v>3728</v>
      </c>
      <c r="MPU617" s="17">
        <v>44925</v>
      </c>
      <c r="MPV617" s="5" t="s">
        <v>3728</v>
      </c>
      <c r="MPW617" s="17">
        <v>44925</v>
      </c>
      <c r="MPX617" s="5" t="s">
        <v>3728</v>
      </c>
      <c r="MPY617" s="17">
        <v>44925</v>
      </c>
      <c r="MPZ617" s="5" t="s">
        <v>3728</v>
      </c>
      <c r="MQA617" s="17">
        <v>44925</v>
      </c>
      <c r="MQB617" s="5" t="s">
        <v>3728</v>
      </c>
      <c r="MQC617" s="17">
        <v>44925</v>
      </c>
      <c r="MQD617" s="5" t="s">
        <v>3728</v>
      </c>
      <c r="MQE617" s="17">
        <v>44925</v>
      </c>
      <c r="MQF617" s="5" t="s">
        <v>3728</v>
      </c>
      <c r="MQG617" s="17">
        <v>44925</v>
      </c>
      <c r="MQH617" s="5" t="s">
        <v>3728</v>
      </c>
      <c r="MQI617" s="17">
        <v>44925</v>
      </c>
      <c r="MQJ617" s="5" t="s">
        <v>3728</v>
      </c>
      <c r="MQK617" s="17">
        <v>44925</v>
      </c>
      <c r="MQL617" s="5" t="s">
        <v>3728</v>
      </c>
      <c r="MQM617" s="17">
        <v>44925</v>
      </c>
      <c r="MQN617" s="5" t="s">
        <v>3728</v>
      </c>
      <c r="MQO617" s="17">
        <v>44925</v>
      </c>
      <c r="MQP617" s="5" t="s">
        <v>3728</v>
      </c>
      <c r="MQQ617" s="17">
        <v>44925</v>
      </c>
      <c r="MQR617" s="5" t="s">
        <v>3728</v>
      </c>
      <c r="MQS617" s="17">
        <v>44925</v>
      </c>
      <c r="MQT617" s="5" t="s">
        <v>3728</v>
      </c>
      <c r="MQU617" s="17">
        <v>44925</v>
      </c>
      <c r="MQV617" s="5" t="s">
        <v>3728</v>
      </c>
      <c r="MQW617" s="17">
        <v>44925</v>
      </c>
      <c r="MQX617" s="5" t="s">
        <v>3728</v>
      </c>
      <c r="MQY617" s="17">
        <v>44925</v>
      </c>
      <c r="MQZ617" s="5" t="s">
        <v>3728</v>
      </c>
      <c r="MRA617" s="17">
        <v>44925</v>
      </c>
      <c r="MRB617" s="5" t="s">
        <v>3728</v>
      </c>
      <c r="MRC617" s="17">
        <v>44925</v>
      </c>
      <c r="MRD617" s="5" t="s">
        <v>3728</v>
      </c>
      <c r="MRE617" s="17">
        <v>44925</v>
      </c>
      <c r="MRF617" s="5" t="s">
        <v>3728</v>
      </c>
      <c r="MRG617" s="17">
        <v>44925</v>
      </c>
      <c r="MRH617" s="5" t="s">
        <v>3728</v>
      </c>
      <c r="MRI617" s="17">
        <v>44925</v>
      </c>
      <c r="MRJ617" s="5" t="s">
        <v>3728</v>
      </c>
      <c r="MRK617" s="17">
        <v>44925</v>
      </c>
      <c r="MRL617" s="5" t="s">
        <v>3728</v>
      </c>
      <c r="MRM617" s="17">
        <v>44925</v>
      </c>
      <c r="MRN617" s="5" t="s">
        <v>3728</v>
      </c>
      <c r="MRO617" s="17">
        <v>44925</v>
      </c>
      <c r="MRP617" s="5" t="s">
        <v>3728</v>
      </c>
      <c r="MRQ617" s="17">
        <v>44925</v>
      </c>
      <c r="MRR617" s="5" t="s">
        <v>3728</v>
      </c>
      <c r="MRS617" s="17">
        <v>44925</v>
      </c>
      <c r="MRT617" s="5" t="s">
        <v>3728</v>
      </c>
      <c r="MRU617" s="17">
        <v>44925</v>
      </c>
      <c r="MRV617" s="5" t="s">
        <v>3728</v>
      </c>
      <c r="MRW617" s="17">
        <v>44925</v>
      </c>
      <c r="MRX617" s="5" t="s">
        <v>3728</v>
      </c>
      <c r="MRY617" s="17">
        <v>44925</v>
      </c>
      <c r="MRZ617" s="5" t="s">
        <v>3728</v>
      </c>
      <c r="MSA617" s="17">
        <v>44925</v>
      </c>
      <c r="MSB617" s="5" t="s">
        <v>3728</v>
      </c>
      <c r="MSC617" s="17">
        <v>44925</v>
      </c>
      <c r="MSD617" s="5" t="s">
        <v>3728</v>
      </c>
      <c r="MSE617" s="17">
        <v>44925</v>
      </c>
      <c r="MSF617" s="5" t="s">
        <v>3728</v>
      </c>
      <c r="MSG617" s="17">
        <v>44925</v>
      </c>
      <c r="MSH617" s="5" t="s">
        <v>3728</v>
      </c>
      <c r="MSI617" s="17">
        <v>44925</v>
      </c>
      <c r="MSJ617" s="5" t="s">
        <v>3728</v>
      </c>
      <c r="MSK617" s="17">
        <v>44925</v>
      </c>
      <c r="MSL617" s="5" t="s">
        <v>3728</v>
      </c>
      <c r="MSM617" s="17">
        <v>44925</v>
      </c>
      <c r="MSN617" s="5" t="s">
        <v>3728</v>
      </c>
      <c r="MSO617" s="17">
        <v>44925</v>
      </c>
      <c r="MSP617" s="5" t="s">
        <v>3728</v>
      </c>
      <c r="MSQ617" s="17">
        <v>44925</v>
      </c>
      <c r="MSR617" s="5" t="s">
        <v>3728</v>
      </c>
      <c r="MSS617" s="17">
        <v>44925</v>
      </c>
      <c r="MST617" s="5" t="s">
        <v>3728</v>
      </c>
      <c r="MSU617" s="17">
        <v>44925</v>
      </c>
      <c r="MSV617" s="5" t="s">
        <v>3728</v>
      </c>
      <c r="MSW617" s="17">
        <v>44925</v>
      </c>
      <c r="MSX617" s="5" t="s">
        <v>3728</v>
      </c>
      <c r="MSY617" s="17">
        <v>44925</v>
      </c>
      <c r="MSZ617" s="5" t="s">
        <v>3728</v>
      </c>
      <c r="MTA617" s="17">
        <v>44925</v>
      </c>
      <c r="MTB617" s="5" t="s">
        <v>3728</v>
      </c>
      <c r="MTC617" s="17">
        <v>44925</v>
      </c>
      <c r="MTD617" s="5" t="s">
        <v>3728</v>
      </c>
      <c r="MTE617" s="17">
        <v>44925</v>
      </c>
      <c r="MTF617" s="5" t="s">
        <v>3728</v>
      </c>
      <c r="MTG617" s="17">
        <v>44925</v>
      </c>
      <c r="MTH617" s="5" t="s">
        <v>3728</v>
      </c>
      <c r="MTI617" s="17">
        <v>44925</v>
      </c>
      <c r="MTJ617" s="5" t="s">
        <v>3728</v>
      </c>
      <c r="MTK617" s="17">
        <v>44925</v>
      </c>
      <c r="MTL617" s="5" t="s">
        <v>3728</v>
      </c>
      <c r="MTM617" s="17">
        <v>44925</v>
      </c>
      <c r="MTN617" s="5" t="s">
        <v>3728</v>
      </c>
      <c r="MTO617" s="17">
        <v>44925</v>
      </c>
      <c r="MTP617" s="5" t="s">
        <v>3728</v>
      </c>
      <c r="MTQ617" s="17">
        <v>44925</v>
      </c>
      <c r="MTR617" s="5" t="s">
        <v>3728</v>
      </c>
      <c r="MTS617" s="17">
        <v>44925</v>
      </c>
      <c r="MTT617" s="5" t="s">
        <v>3728</v>
      </c>
      <c r="MTU617" s="17">
        <v>44925</v>
      </c>
      <c r="MTV617" s="5" t="s">
        <v>3728</v>
      </c>
      <c r="MTW617" s="17">
        <v>44925</v>
      </c>
      <c r="MTX617" s="5" t="s">
        <v>3728</v>
      </c>
      <c r="MTY617" s="17">
        <v>44925</v>
      </c>
      <c r="MTZ617" s="5" t="s">
        <v>3728</v>
      </c>
      <c r="MUA617" s="17">
        <v>44925</v>
      </c>
      <c r="MUB617" s="5" t="s">
        <v>3728</v>
      </c>
      <c r="MUC617" s="17">
        <v>44925</v>
      </c>
      <c r="MUD617" s="5" t="s">
        <v>3728</v>
      </c>
      <c r="MUE617" s="17">
        <v>44925</v>
      </c>
      <c r="MUF617" s="5" t="s">
        <v>3728</v>
      </c>
      <c r="MUG617" s="17">
        <v>44925</v>
      </c>
      <c r="MUH617" s="5" t="s">
        <v>3728</v>
      </c>
      <c r="MUI617" s="17">
        <v>44925</v>
      </c>
      <c r="MUJ617" s="5" t="s">
        <v>3728</v>
      </c>
      <c r="MUK617" s="17">
        <v>44925</v>
      </c>
      <c r="MUL617" s="5" t="s">
        <v>3728</v>
      </c>
      <c r="MUM617" s="17">
        <v>44925</v>
      </c>
      <c r="MUN617" s="5" t="s">
        <v>3728</v>
      </c>
      <c r="MUO617" s="17">
        <v>44925</v>
      </c>
      <c r="MUP617" s="5" t="s">
        <v>3728</v>
      </c>
      <c r="MUQ617" s="17">
        <v>44925</v>
      </c>
      <c r="MUR617" s="5" t="s">
        <v>3728</v>
      </c>
      <c r="MUS617" s="17">
        <v>44925</v>
      </c>
      <c r="MUT617" s="5" t="s">
        <v>3728</v>
      </c>
      <c r="MUU617" s="17">
        <v>44925</v>
      </c>
      <c r="MUV617" s="5" t="s">
        <v>3728</v>
      </c>
      <c r="MUW617" s="17">
        <v>44925</v>
      </c>
      <c r="MUX617" s="5" t="s">
        <v>3728</v>
      </c>
      <c r="MUY617" s="17">
        <v>44925</v>
      </c>
      <c r="MUZ617" s="5" t="s">
        <v>3728</v>
      </c>
      <c r="MVA617" s="17">
        <v>44925</v>
      </c>
      <c r="MVB617" s="5" t="s">
        <v>3728</v>
      </c>
      <c r="MVC617" s="17">
        <v>44925</v>
      </c>
      <c r="MVD617" s="5" t="s">
        <v>3728</v>
      </c>
      <c r="MVE617" s="17">
        <v>44925</v>
      </c>
      <c r="MVF617" s="5" t="s">
        <v>3728</v>
      </c>
      <c r="MVG617" s="17">
        <v>44925</v>
      </c>
      <c r="MVH617" s="5" t="s">
        <v>3728</v>
      </c>
      <c r="MVI617" s="17">
        <v>44925</v>
      </c>
      <c r="MVJ617" s="5" t="s">
        <v>3728</v>
      </c>
      <c r="MVK617" s="17">
        <v>44925</v>
      </c>
      <c r="MVL617" s="5" t="s">
        <v>3728</v>
      </c>
      <c r="MVM617" s="17">
        <v>44925</v>
      </c>
      <c r="MVN617" s="5" t="s">
        <v>3728</v>
      </c>
      <c r="MVO617" s="17">
        <v>44925</v>
      </c>
      <c r="MVP617" s="5" t="s">
        <v>3728</v>
      </c>
      <c r="MVQ617" s="17">
        <v>44925</v>
      </c>
      <c r="MVR617" s="5" t="s">
        <v>3728</v>
      </c>
      <c r="MVS617" s="17">
        <v>44925</v>
      </c>
      <c r="MVT617" s="5" t="s">
        <v>3728</v>
      </c>
      <c r="MVU617" s="17">
        <v>44925</v>
      </c>
      <c r="MVV617" s="5" t="s">
        <v>3728</v>
      </c>
      <c r="MVW617" s="17">
        <v>44925</v>
      </c>
      <c r="MVX617" s="5" t="s">
        <v>3728</v>
      </c>
      <c r="MVY617" s="17">
        <v>44925</v>
      </c>
      <c r="MVZ617" s="5" t="s">
        <v>3728</v>
      </c>
      <c r="MWA617" s="17">
        <v>44925</v>
      </c>
      <c r="MWB617" s="5" t="s">
        <v>3728</v>
      </c>
      <c r="MWC617" s="17">
        <v>44925</v>
      </c>
      <c r="MWD617" s="5" t="s">
        <v>3728</v>
      </c>
      <c r="MWE617" s="17">
        <v>44925</v>
      </c>
      <c r="MWF617" s="5" t="s">
        <v>3728</v>
      </c>
      <c r="MWG617" s="17">
        <v>44925</v>
      </c>
      <c r="MWH617" s="5" t="s">
        <v>3728</v>
      </c>
      <c r="MWI617" s="17">
        <v>44925</v>
      </c>
      <c r="MWJ617" s="5" t="s">
        <v>3728</v>
      </c>
      <c r="MWK617" s="17">
        <v>44925</v>
      </c>
      <c r="MWL617" s="5" t="s">
        <v>3728</v>
      </c>
      <c r="MWM617" s="17">
        <v>44925</v>
      </c>
      <c r="MWN617" s="5" t="s">
        <v>3728</v>
      </c>
      <c r="MWO617" s="17">
        <v>44925</v>
      </c>
      <c r="MWP617" s="5" t="s">
        <v>3728</v>
      </c>
      <c r="MWQ617" s="17">
        <v>44925</v>
      </c>
      <c r="MWR617" s="5" t="s">
        <v>3728</v>
      </c>
      <c r="MWS617" s="17">
        <v>44925</v>
      </c>
      <c r="MWT617" s="5" t="s">
        <v>3728</v>
      </c>
      <c r="MWU617" s="17">
        <v>44925</v>
      </c>
      <c r="MWV617" s="5" t="s">
        <v>3728</v>
      </c>
      <c r="MWW617" s="17">
        <v>44925</v>
      </c>
      <c r="MWX617" s="5" t="s">
        <v>3728</v>
      </c>
      <c r="MWY617" s="17">
        <v>44925</v>
      </c>
      <c r="MWZ617" s="5" t="s">
        <v>3728</v>
      </c>
      <c r="MXA617" s="17">
        <v>44925</v>
      </c>
      <c r="MXB617" s="5" t="s">
        <v>3728</v>
      </c>
      <c r="MXC617" s="17">
        <v>44925</v>
      </c>
      <c r="MXD617" s="5" t="s">
        <v>3728</v>
      </c>
      <c r="MXE617" s="17">
        <v>44925</v>
      </c>
      <c r="MXF617" s="5" t="s">
        <v>3728</v>
      </c>
      <c r="MXG617" s="17">
        <v>44925</v>
      </c>
      <c r="MXH617" s="5" t="s">
        <v>3728</v>
      </c>
      <c r="MXI617" s="17">
        <v>44925</v>
      </c>
      <c r="MXJ617" s="5" t="s">
        <v>3728</v>
      </c>
      <c r="MXK617" s="17">
        <v>44925</v>
      </c>
      <c r="MXL617" s="5" t="s">
        <v>3728</v>
      </c>
      <c r="MXM617" s="17">
        <v>44925</v>
      </c>
      <c r="MXN617" s="5" t="s">
        <v>3728</v>
      </c>
      <c r="MXO617" s="17">
        <v>44925</v>
      </c>
      <c r="MXP617" s="5" t="s">
        <v>3728</v>
      </c>
      <c r="MXQ617" s="17">
        <v>44925</v>
      </c>
      <c r="MXR617" s="5" t="s">
        <v>3728</v>
      </c>
      <c r="MXS617" s="17">
        <v>44925</v>
      </c>
      <c r="MXT617" s="5" t="s">
        <v>3728</v>
      </c>
      <c r="MXU617" s="17">
        <v>44925</v>
      </c>
      <c r="MXV617" s="5" t="s">
        <v>3728</v>
      </c>
      <c r="MXW617" s="17">
        <v>44925</v>
      </c>
      <c r="MXX617" s="5" t="s">
        <v>3728</v>
      </c>
      <c r="MXY617" s="17">
        <v>44925</v>
      </c>
      <c r="MXZ617" s="5" t="s">
        <v>3728</v>
      </c>
      <c r="MYA617" s="17">
        <v>44925</v>
      </c>
      <c r="MYB617" s="5" t="s">
        <v>3728</v>
      </c>
      <c r="MYC617" s="17">
        <v>44925</v>
      </c>
      <c r="MYD617" s="5" t="s">
        <v>3728</v>
      </c>
      <c r="MYE617" s="17">
        <v>44925</v>
      </c>
      <c r="MYF617" s="5" t="s">
        <v>3728</v>
      </c>
      <c r="MYG617" s="17">
        <v>44925</v>
      </c>
      <c r="MYH617" s="5" t="s">
        <v>3728</v>
      </c>
      <c r="MYI617" s="17">
        <v>44925</v>
      </c>
      <c r="MYJ617" s="5" t="s">
        <v>3728</v>
      </c>
      <c r="MYK617" s="17">
        <v>44925</v>
      </c>
      <c r="MYL617" s="5" t="s">
        <v>3728</v>
      </c>
      <c r="MYM617" s="17">
        <v>44925</v>
      </c>
      <c r="MYN617" s="5" t="s">
        <v>3728</v>
      </c>
      <c r="MYO617" s="17">
        <v>44925</v>
      </c>
      <c r="MYP617" s="5" t="s">
        <v>3728</v>
      </c>
      <c r="MYQ617" s="17">
        <v>44925</v>
      </c>
      <c r="MYR617" s="5" t="s">
        <v>3728</v>
      </c>
      <c r="MYS617" s="17">
        <v>44925</v>
      </c>
      <c r="MYT617" s="5" t="s">
        <v>3728</v>
      </c>
      <c r="MYU617" s="17">
        <v>44925</v>
      </c>
      <c r="MYV617" s="5" t="s">
        <v>3728</v>
      </c>
      <c r="MYW617" s="17">
        <v>44925</v>
      </c>
      <c r="MYX617" s="5" t="s">
        <v>3728</v>
      </c>
      <c r="MYY617" s="17">
        <v>44925</v>
      </c>
      <c r="MYZ617" s="5" t="s">
        <v>3728</v>
      </c>
      <c r="MZA617" s="17">
        <v>44925</v>
      </c>
      <c r="MZB617" s="5" t="s">
        <v>3728</v>
      </c>
      <c r="MZC617" s="17">
        <v>44925</v>
      </c>
      <c r="MZD617" s="5" t="s">
        <v>3728</v>
      </c>
      <c r="MZE617" s="17">
        <v>44925</v>
      </c>
      <c r="MZF617" s="5" t="s">
        <v>3728</v>
      </c>
      <c r="MZG617" s="17">
        <v>44925</v>
      </c>
      <c r="MZH617" s="5" t="s">
        <v>3728</v>
      </c>
      <c r="MZI617" s="17">
        <v>44925</v>
      </c>
      <c r="MZJ617" s="5" t="s">
        <v>3728</v>
      </c>
      <c r="MZK617" s="17">
        <v>44925</v>
      </c>
      <c r="MZL617" s="5" t="s">
        <v>3728</v>
      </c>
      <c r="MZM617" s="17">
        <v>44925</v>
      </c>
      <c r="MZN617" s="5" t="s">
        <v>3728</v>
      </c>
      <c r="MZO617" s="17">
        <v>44925</v>
      </c>
      <c r="MZP617" s="5" t="s">
        <v>3728</v>
      </c>
      <c r="MZQ617" s="17">
        <v>44925</v>
      </c>
      <c r="MZR617" s="5" t="s">
        <v>3728</v>
      </c>
      <c r="MZS617" s="17">
        <v>44925</v>
      </c>
      <c r="MZT617" s="5" t="s">
        <v>3728</v>
      </c>
      <c r="MZU617" s="17">
        <v>44925</v>
      </c>
      <c r="MZV617" s="5" t="s">
        <v>3728</v>
      </c>
      <c r="MZW617" s="17">
        <v>44925</v>
      </c>
      <c r="MZX617" s="5" t="s">
        <v>3728</v>
      </c>
      <c r="MZY617" s="17">
        <v>44925</v>
      </c>
      <c r="MZZ617" s="5" t="s">
        <v>3728</v>
      </c>
      <c r="NAA617" s="17">
        <v>44925</v>
      </c>
      <c r="NAB617" s="5" t="s">
        <v>3728</v>
      </c>
      <c r="NAC617" s="17">
        <v>44925</v>
      </c>
      <c r="NAD617" s="5" t="s">
        <v>3728</v>
      </c>
      <c r="NAE617" s="17">
        <v>44925</v>
      </c>
      <c r="NAF617" s="5" t="s">
        <v>3728</v>
      </c>
      <c r="NAG617" s="17">
        <v>44925</v>
      </c>
      <c r="NAH617" s="5" t="s">
        <v>3728</v>
      </c>
      <c r="NAI617" s="17">
        <v>44925</v>
      </c>
      <c r="NAJ617" s="5" t="s">
        <v>3728</v>
      </c>
      <c r="NAK617" s="17">
        <v>44925</v>
      </c>
      <c r="NAL617" s="5" t="s">
        <v>3728</v>
      </c>
      <c r="NAM617" s="17">
        <v>44925</v>
      </c>
      <c r="NAN617" s="5" t="s">
        <v>3728</v>
      </c>
      <c r="NAO617" s="17">
        <v>44925</v>
      </c>
      <c r="NAP617" s="5" t="s">
        <v>3728</v>
      </c>
      <c r="NAQ617" s="17">
        <v>44925</v>
      </c>
      <c r="NAR617" s="5" t="s">
        <v>3728</v>
      </c>
      <c r="NAS617" s="17">
        <v>44925</v>
      </c>
      <c r="NAT617" s="5" t="s">
        <v>3728</v>
      </c>
      <c r="NAU617" s="17">
        <v>44925</v>
      </c>
      <c r="NAV617" s="5" t="s">
        <v>3728</v>
      </c>
      <c r="NAW617" s="17">
        <v>44925</v>
      </c>
      <c r="NAX617" s="5" t="s">
        <v>3728</v>
      </c>
      <c r="NAY617" s="17">
        <v>44925</v>
      </c>
      <c r="NAZ617" s="5" t="s">
        <v>3728</v>
      </c>
      <c r="NBA617" s="17">
        <v>44925</v>
      </c>
      <c r="NBB617" s="5" t="s">
        <v>3728</v>
      </c>
      <c r="NBC617" s="17">
        <v>44925</v>
      </c>
      <c r="NBD617" s="5" t="s">
        <v>3728</v>
      </c>
      <c r="NBE617" s="17">
        <v>44925</v>
      </c>
      <c r="NBF617" s="5" t="s">
        <v>3728</v>
      </c>
      <c r="NBG617" s="17">
        <v>44925</v>
      </c>
      <c r="NBH617" s="5" t="s">
        <v>3728</v>
      </c>
      <c r="NBI617" s="17">
        <v>44925</v>
      </c>
      <c r="NBJ617" s="5" t="s">
        <v>3728</v>
      </c>
      <c r="NBK617" s="17">
        <v>44925</v>
      </c>
      <c r="NBL617" s="5" t="s">
        <v>3728</v>
      </c>
      <c r="NBM617" s="17">
        <v>44925</v>
      </c>
      <c r="NBN617" s="5" t="s">
        <v>3728</v>
      </c>
      <c r="NBO617" s="17">
        <v>44925</v>
      </c>
      <c r="NBP617" s="5" t="s">
        <v>3728</v>
      </c>
      <c r="NBQ617" s="17">
        <v>44925</v>
      </c>
      <c r="NBR617" s="5" t="s">
        <v>3728</v>
      </c>
      <c r="NBS617" s="17">
        <v>44925</v>
      </c>
      <c r="NBT617" s="5" t="s">
        <v>3728</v>
      </c>
      <c r="NBU617" s="17">
        <v>44925</v>
      </c>
      <c r="NBV617" s="5" t="s">
        <v>3728</v>
      </c>
      <c r="NBW617" s="17">
        <v>44925</v>
      </c>
      <c r="NBX617" s="5" t="s">
        <v>3728</v>
      </c>
      <c r="NBY617" s="17">
        <v>44925</v>
      </c>
      <c r="NBZ617" s="5" t="s">
        <v>3728</v>
      </c>
      <c r="NCA617" s="17">
        <v>44925</v>
      </c>
      <c r="NCB617" s="5" t="s">
        <v>3728</v>
      </c>
      <c r="NCC617" s="17">
        <v>44925</v>
      </c>
      <c r="NCD617" s="5" t="s">
        <v>3728</v>
      </c>
      <c r="NCE617" s="17">
        <v>44925</v>
      </c>
      <c r="NCF617" s="5" t="s">
        <v>3728</v>
      </c>
      <c r="NCG617" s="17">
        <v>44925</v>
      </c>
      <c r="NCH617" s="5" t="s">
        <v>3728</v>
      </c>
      <c r="NCI617" s="17">
        <v>44925</v>
      </c>
      <c r="NCJ617" s="5" t="s">
        <v>3728</v>
      </c>
      <c r="NCK617" s="17">
        <v>44925</v>
      </c>
      <c r="NCL617" s="5" t="s">
        <v>3728</v>
      </c>
      <c r="NCM617" s="17">
        <v>44925</v>
      </c>
      <c r="NCN617" s="5" t="s">
        <v>3728</v>
      </c>
      <c r="NCO617" s="17">
        <v>44925</v>
      </c>
      <c r="NCP617" s="5" t="s">
        <v>3728</v>
      </c>
      <c r="NCQ617" s="17">
        <v>44925</v>
      </c>
      <c r="NCR617" s="5" t="s">
        <v>3728</v>
      </c>
      <c r="NCS617" s="17">
        <v>44925</v>
      </c>
      <c r="NCT617" s="5" t="s">
        <v>3728</v>
      </c>
      <c r="NCU617" s="17">
        <v>44925</v>
      </c>
      <c r="NCV617" s="5" t="s">
        <v>3728</v>
      </c>
      <c r="NCW617" s="17">
        <v>44925</v>
      </c>
      <c r="NCX617" s="5" t="s">
        <v>3728</v>
      </c>
      <c r="NCY617" s="17">
        <v>44925</v>
      </c>
      <c r="NCZ617" s="5" t="s">
        <v>3728</v>
      </c>
      <c r="NDA617" s="17">
        <v>44925</v>
      </c>
      <c r="NDB617" s="5" t="s">
        <v>3728</v>
      </c>
      <c r="NDC617" s="17">
        <v>44925</v>
      </c>
      <c r="NDD617" s="5" t="s">
        <v>3728</v>
      </c>
      <c r="NDE617" s="17">
        <v>44925</v>
      </c>
      <c r="NDF617" s="5" t="s">
        <v>3728</v>
      </c>
      <c r="NDG617" s="17">
        <v>44925</v>
      </c>
      <c r="NDH617" s="5" t="s">
        <v>3728</v>
      </c>
      <c r="NDI617" s="17">
        <v>44925</v>
      </c>
      <c r="NDJ617" s="5" t="s">
        <v>3728</v>
      </c>
      <c r="NDK617" s="17">
        <v>44925</v>
      </c>
      <c r="NDL617" s="5" t="s">
        <v>3728</v>
      </c>
      <c r="NDM617" s="17">
        <v>44925</v>
      </c>
      <c r="NDN617" s="5" t="s">
        <v>3728</v>
      </c>
      <c r="NDO617" s="17">
        <v>44925</v>
      </c>
      <c r="NDP617" s="5" t="s">
        <v>3728</v>
      </c>
      <c r="NDQ617" s="17">
        <v>44925</v>
      </c>
      <c r="NDR617" s="5" t="s">
        <v>3728</v>
      </c>
      <c r="NDS617" s="17">
        <v>44925</v>
      </c>
      <c r="NDT617" s="5" t="s">
        <v>3728</v>
      </c>
      <c r="NDU617" s="17">
        <v>44925</v>
      </c>
      <c r="NDV617" s="5" t="s">
        <v>3728</v>
      </c>
      <c r="NDW617" s="17">
        <v>44925</v>
      </c>
      <c r="NDX617" s="5" t="s">
        <v>3728</v>
      </c>
      <c r="NDY617" s="17">
        <v>44925</v>
      </c>
      <c r="NDZ617" s="5" t="s">
        <v>3728</v>
      </c>
      <c r="NEA617" s="17">
        <v>44925</v>
      </c>
      <c r="NEB617" s="5" t="s">
        <v>3728</v>
      </c>
      <c r="NEC617" s="17">
        <v>44925</v>
      </c>
      <c r="NED617" s="5" t="s">
        <v>3728</v>
      </c>
      <c r="NEE617" s="17">
        <v>44925</v>
      </c>
      <c r="NEF617" s="5" t="s">
        <v>3728</v>
      </c>
      <c r="NEG617" s="17">
        <v>44925</v>
      </c>
      <c r="NEH617" s="5" t="s">
        <v>3728</v>
      </c>
      <c r="NEI617" s="17">
        <v>44925</v>
      </c>
      <c r="NEJ617" s="5" t="s">
        <v>3728</v>
      </c>
      <c r="NEK617" s="17">
        <v>44925</v>
      </c>
      <c r="NEL617" s="5" t="s">
        <v>3728</v>
      </c>
      <c r="NEM617" s="17">
        <v>44925</v>
      </c>
      <c r="NEN617" s="5" t="s">
        <v>3728</v>
      </c>
      <c r="NEO617" s="17">
        <v>44925</v>
      </c>
      <c r="NEP617" s="5" t="s">
        <v>3728</v>
      </c>
      <c r="NEQ617" s="17">
        <v>44925</v>
      </c>
      <c r="NER617" s="5" t="s">
        <v>3728</v>
      </c>
      <c r="NES617" s="17">
        <v>44925</v>
      </c>
      <c r="NET617" s="5" t="s">
        <v>3728</v>
      </c>
      <c r="NEU617" s="17">
        <v>44925</v>
      </c>
      <c r="NEV617" s="5" t="s">
        <v>3728</v>
      </c>
      <c r="NEW617" s="17">
        <v>44925</v>
      </c>
      <c r="NEX617" s="5" t="s">
        <v>3728</v>
      </c>
      <c r="NEY617" s="17">
        <v>44925</v>
      </c>
      <c r="NEZ617" s="5" t="s">
        <v>3728</v>
      </c>
      <c r="NFA617" s="17">
        <v>44925</v>
      </c>
      <c r="NFB617" s="5" t="s">
        <v>3728</v>
      </c>
      <c r="NFC617" s="17">
        <v>44925</v>
      </c>
      <c r="NFD617" s="5" t="s">
        <v>3728</v>
      </c>
      <c r="NFE617" s="17">
        <v>44925</v>
      </c>
      <c r="NFF617" s="5" t="s">
        <v>3728</v>
      </c>
      <c r="NFG617" s="17">
        <v>44925</v>
      </c>
      <c r="NFH617" s="5" t="s">
        <v>3728</v>
      </c>
      <c r="NFI617" s="17">
        <v>44925</v>
      </c>
      <c r="NFJ617" s="5" t="s">
        <v>3728</v>
      </c>
      <c r="NFK617" s="17">
        <v>44925</v>
      </c>
      <c r="NFL617" s="5" t="s">
        <v>3728</v>
      </c>
      <c r="NFM617" s="17">
        <v>44925</v>
      </c>
      <c r="NFN617" s="5" t="s">
        <v>3728</v>
      </c>
      <c r="NFO617" s="17">
        <v>44925</v>
      </c>
      <c r="NFP617" s="5" t="s">
        <v>3728</v>
      </c>
      <c r="NFQ617" s="17">
        <v>44925</v>
      </c>
      <c r="NFR617" s="5" t="s">
        <v>3728</v>
      </c>
      <c r="NFS617" s="17">
        <v>44925</v>
      </c>
      <c r="NFT617" s="5" t="s">
        <v>3728</v>
      </c>
      <c r="NFU617" s="17">
        <v>44925</v>
      </c>
      <c r="NFV617" s="5" t="s">
        <v>3728</v>
      </c>
      <c r="NFW617" s="17">
        <v>44925</v>
      </c>
      <c r="NFX617" s="5" t="s">
        <v>3728</v>
      </c>
      <c r="NFY617" s="17">
        <v>44925</v>
      </c>
      <c r="NFZ617" s="5" t="s">
        <v>3728</v>
      </c>
      <c r="NGA617" s="17">
        <v>44925</v>
      </c>
      <c r="NGB617" s="5" t="s">
        <v>3728</v>
      </c>
      <c r="NGC617" s="17">
        <v>44925</v>
      </c>
      <c r="NGD617" s="5" t="s">
        <v>3728</v>
      </c>
      <c r="NGE617" s="17">
        <v>44925</v>
      </c>
      <c r="NGF617" s="5" t="s">
        <v>3728</v>
      </c>
      <c r="NGG617" s="17">
        <v>44925</v>
      </c>
      <c r="NGH617" s="5" t="s">
        <v>3728</v>
      </c>
      <c r="NGI617" s="17">
        <v>44925</v>
      </c>
      <c r="NGJ617" s="5" t="s">
        <v>3728</v>
      </c>
      <c r="NGK617" s="17">
        <v>44925</v>
      </c>
      <c r="NGL617" s="5" t="s">
        <v>3728</v>
      </c>
      <c r="NGM617" s="17">
        <v>44925</v>
      </c>
      <c r="NGN617" s="5" t="s">
        <v>3728</v>
      </c>
      <c r="NGO617" s="17">
        <v>44925</v>
      </c>
      <c r="NGP617" s="5" t="s">
        <v>3728</v>
      </c>
      <c r="NGQ617" s="17">
        <v>44925</v>
      </c>
      <c r="NGR617" s="5" t="s">
        <v>3728</v>
      </c>
      <c r="NGS617" s="17">
        <v>44925</v>
      </c>
      <c r="NGT617" s="5" t="s">
        <v>3728</v>
      </c>
      <c r="NGU617" s="17">
        <v>44925</v>
      </c>
      <c r="NGV617" s="5" t="s">
        <v>3728</v>
      </c>
      <c r="NGW617" s="17">
        <v>44925</v>
      </c>
      <c r="NGX617" s="5" t="s">
        <v>3728</v>
      </c>
      <c r="NGY617" s="17">
        <v>44925</v>
      </c>
      <c r="NGZ617" s="5" t="s">
        <v>3728</v>
      </c>
      <c r="NHA617" s="17">
        <v>44925</v>
      </c>
      <c r="NHB617" s="5" t="s">
        <v>3728</v>
      </c>
      <c r="NHC617" s="17">
        <v>44925</v>
      </c>
      <c r="NHD617" s="5" t="s">
        <v>3728</v>
      </c>
      <c r="NHE617" s="17">
        <v>44925</v>
      </c>
      <c r="NHF617" s="5" t="s">
        <v>3728</v>
      </c>
      <c r="NHG617" s="17">
        <v>44925</v>
      </c>
      <c r="NHH617" s="5" t="s">
        <v>3728</v>
      </c>
      <c r="NHI617" s="17">
        <v>44925</v>
      </c>
      <c r="NHJ617" s="5" t="s">
        <v>3728</v>
      </c>
      <c r="NHK617" s="17">
        <v>44925</v>
      </c>
      <c r="NHL617" s="5" t="s">
        <v>3728</v>
      </c>
      <c r="NHM617" s="17">
        <v>44925</v>
      </c>
      <c r="NHN617" s="5" t="s">
        <v>3728</v>
      </c>
      <c r="NHO617" s="17">
        <v>44925</v>
      </c>
      <c r="NHP617" s="5" t="s">
        <v>3728</v>
      </c>
      <c r="NHQ617" s="17">
        <v>44925</v>
      </c>
      <c r="NHR617" s="5" t="s">
        <v>3728</v>
      </c>
      <c r="NHS617" s="17">
        <v>44925</v>
      </c>
      <c r="NHT617" s="5" t="s">
        <v>3728</v>
      </c>
      <c r="NHU617" s="17">
        <v>44925</v>
      </c>
      <c r="NHV617" s="5" t="s">
        <v>3728</v>
      </c>
      <c r="NHW617" s="17">
        <v>44925</v>
      </c>
      <c r="NHX617" s="5" t="s">
        <v>3728</v>
      </c>
      <c r="NHY617" s="17">
        <v>44925</v>
      </c>
      <c r="NHZ617" s="5" t="s">
        <v>3728</v>
      </c>
      <c r="NIA617" s="17">
        <v>44925</v>
      </c>
      <c r="NIB617" s="5" t="s">
        <v>3728</v>
      </c>
      <c r="NIC617" s="17">
        <v>44925</v>
      </c>
      <c r="NID617" s="5" t="s">
        <v>3728</v>
      </c>
      <c r="NIE617" s="17">
        <v>44925</v>
      </c>
      <c r="NIF617" s="5" t="s">
        <v>3728</v>
      </c>
      <c r="NIG617" s="17">
        <v>44925</v>
      </c>
      <c r="NIH617" s="5" t="s">
        <v>3728</v>
      </c>
      <c r="NII617" s="17">
        <v>44925</v>
      </c>
      <c r="NIJ617" s="5" t="s">
        <v>3728</v>
      </c>
      <c r="NIK617" s="17">
        <v>44925</v>
      </c>
      <c r="NIL617" s="5" t="s">
        <v>3728</v>
      </c>
      <c r="NIM617" s="17">
        <v>44925</v>
      </c>
      <c r="NIN617" s="5" t="s">
        <v>3728</v>
      </c>
      <c r="NIO617" s="17">
        <v>44925</v>
      </c>
      <c r="NIP617" s="5" t="s">
        <v>3728</v>
      </c>
      <c r="NIQ617" s="17">
        <v>44925</v>
      </c>
      <c r="NIR617" s="5" t="s">
        <v>3728</v>
      </c>
      <c r="NIS617" s="17">
        <v>44925</v>
      </c>
      <c r="NIT617" s="5" t="s">
        <v>3728</v>
      </c>
      <c r="NIU617" s="17">
        <v>44925</v>
      </c>
      <c r="NIV617" s="5" t="s">
        <v>3728</v>
      </c>
      <c r="NIW617" s="17">
        <v>44925</v>
      </c>
      <c r="NIX617" s="5" t="s">
        <v>3728</v>
      </c>
      <c r="NIY617" s="17">
        <v>44925</v>
      </c>
      <c r="NIZ617" s="5" t="s">
        <v>3728</v>
      </c>
      <c r="NJA617" s="17">
        <v>44925</v>
      </c>
      <c r="NJB617" s="5" t="s">
        <v>3728</v>
      </c>
      <c r="NJC617" s="17">
        <v>44925</v>
      </c>
      <c r="NJD617" s="5" t="s">
        <v>3728</v>
      </c>
      <c r="NJE617" s="17">
        <v>44925</v>
      </c>
      <c r="NJF617" s="5" t="s">
        <v>3728</v>
      </c>
      <c r="NJG617" s="17">
        <v>44925</v>
      </c>
      <c r="NJH617" s="5" t="s">
        <v>3728</v>
      </c>
      <c r="NJI617" s="17">
        <v>44925</v>
      </c>
      <c r="NJJ617" s="5" t="s">
        <v>3728</v>
      </c>
      <c r="NJK617" s="17">
        <v>44925</v>
      </c>
      <c r="NJL617" s="5" t="s">
        <v>3728</v>
      </c>
      <c r="NJM617" s="17">
        <v>44925</v>
      </c>
      <c r="NJN617" s="5" t="s">
        <v>3728</v>
      </c>
      <c r="NJO617" s="17">
        <v>44925</v>
      </c>
      <c r="NJP617" s="5" t="s">
        <v>3728</v>
      </c>
      <c r="NJQ617" s="17">
        <v>44925</v>
      </c>
      <c r="NJR617" s="5" t="s">
        <v>3728</v>
      </c>
      <c r="NJS617" s="17">
        <v>44925</v>
      </c>
      <c r="NJT617" s="5" t="s">
        <v>3728</v>
      </c>
      <c r="NJU617" s="17">
        <v>44925</v>
      </c>
      <c r="NJV617" s="5" t="s">
        <v>3728</v>
      </c>
      <c r="NJW617" s="17">
        <v>44925</v>
      </c>
      <c r="NJX617" s="5" t="s">
        <v>3728</v>
      </c>
      <c r="NJY617" s="17">
        <v>44925</v>
      </c>
      <c r="NJZ617" s="5" t="s">
        <v>3728</v>
      </c>
      <c r="NKA617" s="17">
        <v>44925</v>
      </c>
      <c r="NKB617" s="5" t="s">
        <v>3728</v>
      </c>
      <c r="NKC617" s="17">
        <v>44925</v>
      </c>
      <c r="NKD617" s="5" t="s">
        <v>3728</v>
      </c>
      <c r="NKE617" s="17">
        <v>44925</v>
      </c>
      <c r="NKF617" s="5" t="s">
        <v>3728</v>
      </c>
      <c r="NKG617" s="17">
        <v>44925</v>
      </c>
      <c r="NKH617" s="5" t="s">
        <v>3728</v>
      </c>
      <c r="NKI617" s="17">
        <v>44925</v>
      </c>
      <c r="NKJ617" s="5" t="s">
        <v>3728</v>
      </c>
      <c r="NKK617" s="17">
        <v>44925</v>
      </c>
      <c r="NKL617" s="5" t="s">
        <v>3728</v>
      </c>
      <c r="NKM617" s="17">
        <v>44925</v>
      </c>
      <c r="NKN617" s="5" t="s">
        <v>3728</v>
      </c>
      <c r="NKO617" s="17">
        <v>44925</v>
      </c>
      <c r="NKP617" s="5" t="s">
        <v>3728</v>
      </c>
      <c r="NKQ617" s="17">
        <v>44925</v>
      </c>
      <c r="NKR617" s="5" t="s">
        <v>3728</v>
      </c>
      <c r="NKS617" s="17">
        <v>44925</v>
      </c>
      <c r="NKT617" s="5" t="s">
        <v>3728</v>
      </c>
      <c r="NKU617" s="17">
        <v>44925</v>
      </c>
      <c r="NKV617" s="5" t="s">
        <v>3728</v>
      </c>
      <c r="NKW617" s="17">
        <v>44925</v>
      </c>
      <c r="NKX617" s="5" t="s">
        <v>3728</v>
      </c>
      <c r="NKY617" s="17">
        <v>44925</v>
      </c>
      <c r="NKZ617" s="5" t="s">
        <v>3728</v>
      </c>
      <c r="NLA617" s="17">
        <v>44925</v>
      </c>
      <c r="NLB617" s="5" t="s">
        <v>3728</v>
      </c>
      <c r="NLC617" s="17">
        <v>44925</v>
      </c>
      <c r="NLD617" s="5" t="s">
        <v>3728</v>
      </c>
      <c r="NLE617" s="17">
        <v>44925</v>
      </c>
      <c r="NLF617" s="5" t="s">
        <v>3728</v>
      </c>
      <c r="NLG617" s="17">
        <v>44925</v>
      </c>
      <c r="NLH617" s="5" t="s">
        <v>3728</v>
      </c>
      <c r="NLI617" s="17">
        <v>44925</v>
      </c>
      <c r="NLJ617" s="5" t="s">
        <v>3728</v>
      </c>
      <c r="NLK617" s="17">
        <v>44925</v>
      </c>
      <c r="NLL617" s="5" t="s">
        <v>3728</v>
      </c>
      <c r="NLM617" s="17">
        <v>44925</v>
      </c>
      <c r="NLN617" s="5" t="s">
        <v>3728</v>
      </c>
      <c r="NLO617" s="17">
        <v>44925</v>
      </c>
      <c r="NLP617" s="5" t="s">
        <v>3728</v>
      </c>
      <c r="NLQ617" s="17">
        <v>44925</v>
      </c>
      <c r="NLR617" s="5" t="s">
        <v>3728</v>
      </c>
      <c r="NLS617" s="17">
        <v>44925</v>
      </c>
      <c r="NLT617" s="5" t="s">
        <v>3728</v>
      </c>
      <c r="NLU617" s="17">
        <v>44925</v>
      </c>
      <c r="NLV617" s="5" t="s">
        <v>3728</v>
      </c>
      <c r="NLW617" s="17">
        <v>44925</v>
      </c>
      <c r="NLX617" s="5" t="s">
        <v>3728</v>
      </c>
      <c r="NLY617" s="17">
        <v>44925</v>
      </c>
      <c r="NLZ617" s="5" t="s">
        <v>3728</v>
      </c>
      <c r="NMA617" s="17">
        <v>44925</v>
      </c>
      <c r="NMB617" s="5" t="s">
        <v>3728</v>
      </c>
      <c r="NMC617" s="17">
        <v>44925</v>
      </c>
      <c r="NMD617" s="5" t="s">
        <v>3728</v>
      </c>
      <c r="NME617" s="17">
        <v>44925</v>
      </c>
      <c r="NMF617" s="5" t="s">
        <v>3728</v>
      </c>
      <c r="NMG617" s="17">
        <v>44925</v>
      </c>
      <c r="NMH617" s="5" t="s">
        <v>3728</v>
      </c>
      <c r="NMI617" s="17">
        <v>44925</v>
      </c>
      <c r="NMJ617" s="5" t="s">
        <v>3728</v>
      </c>
      <c r="NMK617" s="17">
        <v>44925</v>
      </c>
      <c r="NML617" s="5" t="s">
        <v>3728</v>
      </c>
      <c r="NMM617" s="17">
        <v>44925</v>
      </c>
      <c r="NMN617" s="5" t="s">
        <v>3728</v>
      </c>
      <c r="NMO617" s="17">
        <v>44925</v>
      </c>
      <c r="NMP617" s="5" t="s">
        <v>3728</v>
      </c>
      <c r="NMQ617" s="17">
        <v>44925</v>
      </c>
      <c r="NMR617" s="5" t="s">
        <v>3728</v>
      </c>
      <c r="NMS617" s="17">
        <v>44925</v>
      </c>
      <c r="NMT617" s="5" t="s">
        <v>3728</v>
      </c>
      <c r="NMU617" s="17">
        <v>44925</v>
      </c>
      <c r="NMV617" s="5" t="s">
        <v>3728</v>
      </c>
      <c r="NMW617" s="17">
        <v>44925</v>
      </c>
      <c r="NMX617" s="5" t="s">
        <v>3728</v>
      </c>
      <c r="NMY617" s="17">
        <v>44925</v>
      </c>
      <c r="NMZ617" s="5" t="s">
        <v>3728</v>
      </c>
      <c r="NNA617" s="17">
        <v>44925</v>
      </c>
      <c r="NNB617" s="5" t="s">
        <v>3728</v>
      </c>
      <c r="NNC617" s="17">
        <v>44925</v>
      </c>
      <c r="NND617" s="5" t="s">
        <v>3728</v>
      </c>
      <c r="NNE617" s="17">
        <v>44925</v>
      </c>
      <c r="NNF617" s="5" t="s">
        <v>3728</v>
      </c>
      <c r="NNG617" s="17">
        <v>44925</v>
      </c>
      <c r="NNH617" s="5" t="s">
        <v>3728</v>
      </c>
      <c r="NNI617" s="17">
        <v>44925</v>
      </c>
      <c r="NNJ617" s="5" t="s">
        <v>3728</v>
      </c>
      <c r="NNK617" s="17">
        <v>44925</v>
      </c>
      <c r="NNL617" s="5" t="s">
        <v>3728</v>
      </c>
      <c r="NNM617" s="17">
        <v>44925</v>
      </c>
      <c r="NNN617" s="5" t="s">
        <v>3728</v>
      </c>
      <c r="NNO617" s="17">
        <v>44925</v>
      </c>
      <c r="NNP617" s="5" t="s">
        <v>3728</v>
      </c>
      <c r="NNQ617" s="17">
        <v>44925</v>
      </c>
      <c r="NNR617" s="5" t="s">
        <v>3728</v>
      </c>
      <c r="NNS617" s="17">
        <v>44925</v>
      </c>
      <c r="NNT617" s="5" t="s">
        <v>3728</v>
      </c>
      <c r="NNU617" s="17">
        <v>44925</v>
      </c>
      <c r="NNV617" s="5" t="s">
        <v>3728</v>
      </c>
      <c r="NNW617" s="17">
        <v>44925</v>
      </c>
      <c r="NNX617" s="5" t="s">
        <v>3728</v>
      </c>
      <c r="NNY617" s="17">
        <v>44925</v>
      </c>
      <c r="NNZ617" s="5" t="s">
        <v>3728</v>
      </c>
      <c r="NOA617" s="17">
        <v>44925</v>
      </c>
      <c r="NOB617" s="5" t="s">
        <v>3728</v>
      </c>
      <c r="NOC617" s="17">
        <v>44925</v>
      </c>
      <c r="NOD617" s="5" t="s">
        <v>3728</v>
      </c>
      <c r="NOE617" s="17">
        <v>44925</v>
      </c>
      <c r="NOF617" s="5" t="s">
        <v>3728</v>
      </c>
      <c r="NOG617" s="17">
        <v>44925</v>
      </c>
      <c r="NOH617" s="5" t="s">
        <v>3728</v>
      </c>
      <c r="NOI617" s="17">
        <v>44925</v>
      </c>
      <c r="NOJ617" s="5" t="s">
        <v>3728</v>
      </c>
      <c r="NOK617" s="17">
        <v>44925</v>
      </c>
      <c r="NOL617" s="5" t="s">
        <v>3728</v>
      </c>
      <c r="NOM617" s="17">
        <v>44925</v>
      </c>
      <c r="NON617" s="5" t="s">
        <v>3728</v>
      </c>
      <c r="NOO617" s="17">
        <v>44925</v>
      </c>
      <c r="NOP617" s="5" t="s">
        <v>3728</v>
      </c>
      <c r="NOQ617" s="17">
        <v>44925</v>
      </c>
      <c r="NOR617" s="5" t="s">
        <v>3728</v>
      </c>
      <c r="NOS617" s="17">
        <v>44925</v>
      </c>
      <c r="NOT617" s="5" t="s">
        <v>3728</v>
      </c>
      <c r="NOU617" s="17">
        <v>44925</v>
      </c>
      <c r="NOV617" s="5" t="s">
        <v>3728</v>
      </c>
      <c r="NOW617" s="17">
        <v>44925</v>
      </c>
      <c r="NOX617" s="5" t="s">
        <v>3728</v>
      </c>
      <c r="NOY617" s="17">
        <v>44925</v>
      </c>
      <c r="NOZ617" s="5" t="s">
        <v>3728</v>
      </c>
      <c r="NPA617" s="17">
        <v>44925</v>
      </c>
      <c r="NPB617" s="5" t="s">
        <v>3728</v>
      </c>
      <c r="NPC617" s="17">
        <v>44925</v>
      </c>
      <c r="NPD617" s="5" t="s">
        <v>3728</v>
      </c>
      <c r="NPE617" s="17">
        <v>44925</v>
      </c>
      <c r="NPF617" s="5" t="s">
        <v>3728</v>
      </c>
      <c r="NPG617" s="17">
        <v>44925</v>
      </c>
      <c r="NPH617" s="5" t="s">
        <v>3728</v>
      </c>
      <c r="NPI617" s="17">
        <v>44925</v>
      </c>
      <c r="NPJ617" s="5" t="s">
        <v>3728</v>
      </c>
      <c r="NPK617" s="17">
        <v>44925</v>
      </c>
      <c r="NPL617" s="5" t="s">
        <v>3728</v>
      </c>
      <c r="NPM617" s="17">
        <v>44925</v>
      </c>
      <c r="NPN617" s="5" t="s">
        <v>3728</v>
      </c>
      <c r="NPO617" s="17">
        <v>44925</v>
      </c>
      <c r="NPP617" s="5" t="s">
        <v>3728</v>
      </c>
      <c r="NPQ617" s="17">
        <v>44925</v>
      </c>
      <c r="NPR617" s="5" t="s">
        <v>3728</v>
      </c>
      <c r="NPS617" s="17">
        <v>44925</v>
      </c>
      <c r="NPT617" s="5" t="s">
        <v>3728</v>
      </c>
      <c r="NPU617" s="17">
        <v>44925</v>
      </c>
      <c r="NPV617" s="5" t="s">
        <v>3728</v>
      </c>
      <c r="NPW617" s="17">
        <v>44925</v>
      </c>
      <c r="NPX617" s="5" t="s">
        <v>3728</v>
      </c>
      <c r="NPY617" s="17">
        <v>44925</v>
      </c>
      <c r="NPZ617" s="5" t="s">
        <v>3728</v>
      </c>
      <c r="NQA617" s="17">
        <v>44925</v>
      </c>
      <c r="NQB617" s="5" t="s">
        <v>3728</v>
      </c>
      <c r="NQC617" s="17">
        <v>44925</v>
      </c>
      <c r="NQD617" s="5" t="s">
        <v>3728</v>
      </c>
      <c r="NQE617" s="17">
        <v>44925</v>
      </c>
      <c r="NQF617" s="5" t="s">
        <v>3728</v>
      </c>
      <c r="NQG617" s="17">
        <v>44925</v>
      </c>
      <c r="NQH617" s="5" t="s">
        <v>3728</v>
      </c>
      <c r="NQI617" s="17">
        <v>44925</v>
      </c>
      <c r="NQJ617" s="5" t="s">
        <v>3728</v>
      </c>
      <c r="NQK617" s="17">
        <v>44925</v>
      </c>
      <c r="NQL617" s="5" t="s">
        <v>3728</v>
      </c>
      <c r="NQM617" s="17">
        <v>44925</v>
      </c>
      <c r="NQN617" s="5" t="s">
        <v>3728</v>
      </c>
      <c r="NQO617" s="17">
        <v>44925</v>
      </c>
      <c r="NQP617" s="5" t="s">
        <v>3728</v>
      </c>
      <c r="NQQ617" s="17">
        <v>44925</v>
      </c>
      <c r="NQR617" s="5" t="s">
        <v>3728</v>
      </c>
      <c r="NQS617" s="17">
        <v>44925</v>
      </c>
      <c r="NQT617" s="5" t="s">
        <v>3728</v>
      </c>
      <c r="NQU617" s="17">
        <v>44925</v>
      </c>
      <c r="NQV617" s="5" t="s">
        <v>3728</v>
      </c>
      <c r="NQW617" s="17">
        <v>44925</v>
      </c>
      <c r="NQX617" s="5" t="s">
        <v>3728</v>
      </c>
      <c r="NQY617" s="17">
        <v>44925</v>
      </c>
      <c r="NQZ617" s="5" t="s">
        <v>3728</v>
      </c>
      <c r="NRA617" s="17">
        <v>44925</v>
      </c>
      <c r="NRB617" s="5" t="s">
        <v>3728</v>
      </c>
      <c r="NRC617" s="17">
        <v>44925</v>
      </c>
      <c r="NRD617" s="5" t="s">
        <v>3728</v>
      </c>
      <c r="NRE617" s="17">
        <v>44925</v>
      </c>
      <c r="NRF617" s="5" t="s">
        <v>3728</v>
      </c>
      <c r="NRG617" s="17">
        <v>44925</v>
      </c>
      <c r="NRH617" s="5" t="s">
        <v>3728</v>
      </c>
      <c r="NRI617" s="17">
        <v>44925</v>
      </c>
      <c r="NRJ617" s="5" t="s">
        <v>3728</v>
      </c>
      <c r="NRK617" s="17">
        <v>44925</v>
      </c>
      <c r="NRL617" s="5" t="s">
        <v>3728</v>
      </c>
      <c r="NRM617" s="17">
        <v>44925</v>
      </c>
      <c r="NRN617" s="5" t="s">
        <v>3728</v>
      </c>
      <c r="NRO617" s="17">
        <v>44925</v>
      </c>
      <c r="NRP617" s="5" t="s">
        <v>3728</v>
      </c>
      <c r="NRQ617" s="17">
        <v>44925</v>
      </c>
      <c r="NRR617" s="5" t="s">
        <v>3728</v>
      </c>
      <c r="NRS617" s="17">
        <v>44925</v>
      </c>
      <c r="NRT617" s="5" t="s">
        <v>3728</v>
      </c>
      <c r="NRU617" s="17">
        <v>44925</v>
      </c>
      <c r="NRV617" s="5" t="s">
        <v>3728</v>
      </c>
      <c r="NRW617" s="17">
        <v>44925</v>
      </c>
      <c r="NRX617" s="5" t="s">
        <v>3728</v>
      </c>
      <c r="NRY617" s="17">
        <v>44925</v>
      </c>
      <c r="NRZ617" s="5" t="s">
        <v>3728</v>
      </c>
      <c r="NSA617" s="17">
        <v>44925</v>
      </c>
      <c r="NSB617" s="5" t="s">
        <v>3728</v>
      </c>
      <c r="NSC617" s="17">
        <v>44925</v>
      </c>
      <c r="NSD617" s="5" t="s">
        <v>3728</v>
      </c>
      <c r="NSE617" s="17">
        <v>44925</v>
      </c>
      <c r="NSF617" s="5" t="s">
        <v>3728</v>
      </c>
      <c r="NSG617" s="17">
        <v>44925</v>
      </c>
      <c r="NSH617" s="5" t="s">
        <v>3728</v>
      </c>
      <c r="NSI617" s="17">
        <v>44925</v>
      </c>
      <c r="NSJ617" s="5" t="s">
        <v>3728</v>
      </c>
      <c r="NSK617" s="17">
        <v>44925</v>
      </c>
      <c r="NSL617" s="5" t="s">
        <v>3728</v>
      </c>
      <c r="NSM617" s="17">
        <v>44925</v>
      </c>
      <c r="NSN617" s="5" t="s">
        <v>3728</v>
      </c>
      <c r="NSO617" s="17">
        <v>44925</v>
      </c>
      <c r="NSP617" s="5" t="s">
        <v>3728</v>
      </c>
      <c r="NSQ617" s="17">
        <v>44925</v>
      </c>
      <c r="NSR617" s="5" t="s">
        <v>3728</v>
      </c>
      <c r="NSS617" s="17">
        <v>44925</v>
      </c>
      <c r="NST617" s="5" t="s">
        <v>3728</v>
      </c>
      <c r="NSU617" s="17">
        <v>44925</v>
      </c>
      <c r="NSV617" s="5" t="s">
        <v>3728</v>
      </c>
      <c r="NSW617" s="17">
        <v>44925</v>
      </c>
      <c r="NSX617" s="5" t="s">
        <v>3728</v>
      </c>
      <c r="NSY617" s="17">
        <v>44925</v>
      </c>
      <c r="NSZ617" s="5" t="s">
        <v>3728</v>
      </c>
      <c r="NTA617" s="17">
        <v>44925</v>
      </c>
      <c r="NTB617" s="5" t="s">
        <v>3728</v>
      </c>
      <c r="NTC617" s="17">
        <v>44925</v>
      </c>
      <c r="NTD617" s="5" t="s">
        <v>3728</v>
      </c>
      <c r="NTE617" s="17">
        <v>44925</v>
      </c>
      <c r="NTF617" s="5" t="s">
        <v>3728</v>
      </c>
      <c r="NTG617" s="17">
        <v>44925</v>
      </c>
      <c r="NTH617" s="5" t="s">
        <v>3728</v>
      </c>
      <c r="NTI617" s="17">
        <v>44925</v>
      </c>
      <c r="NTJ617" s="5" t="s">
        <v>3728</v>
      </c>
      <c r="NTK617" s="17">
        <v>44925</v>
      </c>
      <c r="NTL617" s="5" t="s">
        <v>3728</v>
      </c>
      <c r="NTM617" s="17">
        <v>44925</v>
      </c>
      <c r="NTN617" s="5" t="s">
        <v>3728</v>
      </c>
      <c r="NTO617" s="17">
        <v>44925</v>
      </c>
      <c r="NTP617" s="5" t="s">
        <v>3728</v>
      </c>
      <c r="NTQ617" s="17">
        <v>44925</v>
      </c>
      <c r="NTR617" s="5" t="s">
        <v>3728</v>
      </c>
      <c r="NTS617" s="17">
        <v>44925</v>
      </c>
      <c r="NTT617" s="5" t="s">
        <v>3728</v>
      </c>
      <c r="NTU617" s="17">
        <v>44925</v>
      </c>
      <c r="NTV617" s="5" t="s">
        <v>3728</v>
      </c>
      <c r="NTW617" s="17">
        <v>44925</v>
      </c>
      <c r="NTX617" s="5" t="s">
        <v>3728</v>
      </c>
      <c r="NTY617" s="17">
        <v>44925</v>
      </c>
      <c r="NTZ617" s="5" t="s">
        <v>3728</v>
      </c>
      <c r="NUA617" s="17">
        <v>44925</v>
      </c>
      <c r="NUB617" s="5" t="s">
        <v>3728</v>
      </c>
      <c r="NUC617" s="17">
        <v>44925</v>
      </c>
      <c r="NUD617" s="5" t="s">
        <v>3728</v>
      </c>
      <c r="NUE617" s="17">
        <v>44925</v>
      </c>
      <c r="NUF617" s="5" t="s">
        <v>3728</v>
      </c>
      <c r="NUG617" s="17">
        <v>44925</v>
      </c>
      <c r="NUH617" s="5" t="s">
        <v>3728</v>
      </c>
      <c r="NUI617" s="17">
        <v>44925</v>
      </c>
      <c r="NUJ617" s="5" t="s">
        <v>3728</v>
      </c>
      <c r="NUK617" s="17">
        <v>44925</v>
      </c>
      <c r="NUL617" s="5" t="s">
        <v>3728</v>
      </c>
      <c r="NUM617" s="17">
        <v>44925</v>
      </c>
      <c r="NUN617" s="5" t="s">
        <v>3728</v>
      </c>
      <c r="NUO617" s="17">
        <v>44925</v>
      </c>
      <c r="NUP617" s="5" t="s">
        <v>3728</v>
      </c>
      <c r="NUQ617" s="17">
        <v>44925</v>
      </c>
      <c r="NUR617" s="5" t="s">
        <v>3728</v>
      </c>
      <c r="NUS617" s="17">
        <v>44925</v>
      </c>
      <c r="NUT617" s="5" t="s">
        <v>3728</v>
      </c>
      <c r="NUU617" s="17">
        <v>44925</v>
      </c>
      <c r="NUV617" s="5" t="s">
        <v>3728</v>
      </c>
      <c r="NUW617" s="17">
        <v>44925</v>
      </c>
      <c r="NUX617" s="5" t="s">
        <v>3728</v>
      </c>
      <c r="NUY617" s="17">
        <v>44925</v>
      </c>
      <c r="NUZ617" s="5" t="s">
        <v>3728</v>
      </c>
      <c r="NVA617" s="17">
        <v>44925</v>
      </c>
      <c r="NVB617" s="5" t="s">
        <v>3728</v>
      </c>
      <c r="NVC617" s="17">
        <v>44925</v>
      </c>
      <c r="NVD617" s="5" t="s">
        <v>3728</v>
      </c>
      <c r="NVE617" s="17">
        <v>44925</v>
      </c>
      <c r="NVF617" s="5" t="s">
        <v>3728</v>
      </c>
      <c r="NVG617" s="17">
        <v>44925</v>
      </c>
      <c r="NVH617" s="5" t="s">
        <v>3728</v>
      </c>
      <c r="NVI617" s="17">
        <v>44925</v>
      </c>
      <c r="NVJ617" s="5" t="s">
        <v>3728</v>
      </c>
      <c r="NVK617" s="17">
        <v>44925</v>
      </c>
      <c r="NVL617" s="5" t="s">
        <v>3728</v>
      </c>
      <c r="NVM617" s="17">
        <v>44925</v>
      </c>
      <c r="NVN617" s="5" t="s">
        <v>3728</v>
      </c>
      <c r="NVO617" s="17">
        <v>44925</v>
      </c>
      <c r="NVP617" s="5" t="s">
        <v>3728</v>
      </c>
      <c r="NVQ617" s="17">
        <v>44925</v>
      </c>
      <c r="NVR617" s="5" t="s">
        <v>3728</v>
      </c>
      <c r="NVS617" s="17">
        <v>44925</v>
      </c>
      <c r="NVT617" s="5" t="s">
        <v>3728</v>
      </c>
      <c r="NVU617" s="17">
        <v>44925</v>
      </c>
      <c r="NVV617" s="5" t="s">
        <v>3728</v>
      </c>
      <c r="NVW617" s="17">
        <v>44925</v>
      </c>
      <c r="NVX617" s="5" t="s">
        <v>3728</v>
      </c>
      <c r="NVY617" s="17">
        <v>44925</v>
      </c>
      <c r="NVZ617" s="5" t="s">
        <v>3728</v>
      </c>
      <c r="NWA617" s="17">
        <v>44925</v>
      </c>
      <c r="NWB617" s="5" t="s">
        <v>3728</v>
      </c>
      <c r="NWC617" s="17">
        <v>44925</v>
      </c>
      <c r="NWD617" s="5" t="s">
        <v>3728</v>
      </c>
      <c r="NWE617" s="17">
        <v>44925</v>
      </c>
      <c r="NWF617" s="5" t="s">
        <v>3728</v>
      </c>
      <c r="NWG617" s="17">
        <v>44925</v>
      </c>
      <c r="NWH617" s="5" t="s">
        <v>3728</v>
      </c>
      <c r="NWI617" s="17">
        <v>44925</v>
      </c>
      <c r="NWJ617" s="5" t="s">
        <v>3728</v>
      </c>
      <c r="NWK617" s="17">
        <v>44925</v>
      </c>
      <c r="NWL617" s="5" t="s">
        <v>3728</v>
      </c>
      <c r="NWM617" s="17">
        <v>44925</v>
      </c>
      <c r="NWN617" s="5" t="s">
        <v>3728</v>
      </c>
      <c r="NWO617" s="17">
        <v>44925</v>
      </c>
      <c r="NWP617" s="5" t="s">
        <v>3728</v>
      </c>
      <c r="NWQ617" s="17">
        <v>44925</v>
      </c>
      <c r="NWR617" s="5" t="s">
        <v>3728</v>
      </c>
      <c r="NWS617" s="17">
        <v>44925</v>
      </c>
      <c r="NWT617" s="5" t="s">
        <v>3728</v>
      </c>
      <c r="NWU617" s="17">
        <v>44925</v>
      </c>
      <c r="NWV617" s="5" t="s">
        <v>3728</v>
      </c>
      <c r="NWW617" s="17">
        <v>44925</v>
      </c>
      <c r="NWX617" s="5" t="s">
        <v>3728</v>
      </c>
      <c r="NWY617" s="17">
        <v>44925</v>
      </c>
      <c r="NWZ617" s="5" t="s">
        <v>3728</v>
      </c>
      <c r="NXA617" s="17">
        <v>44925</v>
      </c>
      <c r="NXB617" s="5" t="s">
        <v>3728</v>
      </c>
      <c r="NXC617" s="17">
        <v>44925</v>
      </c>
      <c r="NXD617" s="5" t="s">
        <v>3728</v>
      </c>
      <c r="NXE617" s="17">
        <v>44925</v>
      </c>
      <c r="NXF617" s="5" t="s">
        <v>3728</v>
      </c>
      <c r="NXG617" s="17">
        <v>44925</v>
      </c>
      <c r="NXH617" s="5" t="s">
        <v>3728</v>
      </c>
      <c r="NXI617" s="17">
        <v>44925</v>
      </c>
      <c r="NXJ617" s="5" t="s">
        <v>3728</v>
      </c>
      <c r="NXK617" s="17">
        <v>44925</v>
      </c>
      <c r="NXL617" s="5" t="s">
        <v>3728</v>
      </c>
      <c r="NXM617" s="17">
        <v>44925</v>
      </c>
      <c r="NXN617" s="5" t="s">
        <v>3728</v>
      </c>
      <c r="NXO617" s="17">
        <v>44925</v>
      </c>
      <c r="NXP617" s="5" t="s">
        <v>3728</v>
      </c>
      <c r="NXQ617" s="17">
        <v>44925</v>
      </c>
      <c r="NXR617" s="5" t="s">
        <v>3728</v>
      </c>
      <c r="NXS617" s="17">
        <v>44925</v>
      </c>
      <c r="NXT617" s="5" t="s">
        <v>3728</v>
      </c>
      <c r="NXU617" s="17">
        <v>44925</v>
      </c>
      <c r="NXV617" s="5" t="s">
        <v>3728</v>
      </c>
      <c r="NXW617" s="17">
        <v>44925</v>
      </c>
      <c r="NXX617" s="5" t="s">
        <v>3728</v>
      </c>
      <c r="NXY617" s="17">
        <v>44925</v>
      </c>
      <c r="NXZ617" s="5" t="s">
        <v>3728</v>
      </c>
      <c r="NYA617" s="17">
        <v>44925</v>
      </c>
      <c r="NYB617" s="5" t="s">
        <v>3728</v>
      </c>
      <c r="NYC617" s="17">
        <v>44925</v>
      </c>
      <c r="NYD617" s="5" t="s">
        <v>3728</v>
      </c>
      <c r="NYE617" s="17">
        <v>44925</v>
      </c>
      <c r="NYF617" s="5" t="s">
        <v>3728</v>
      </c>
      <c r="NYG617" s="17">
        <v>44925</v>
      </c>
      <c r="NYH617" s="5" t="s">
        <v>3728</v>
      </c>
      <c r="NYI617" s="17">
        <v>44925</v>
      </c>
      <c r="NYJ617" s="5" t="s">
        <v>3728</v>
      </c>
      <c r="NYK617" s="17">
        <v>44925</v>
      </c>
      <c r="NYL617" s="5" t="s">
        <v>3728</v>
      </c>
      <c r="NYM617" s="17">
        <v>44925</v>
      </c>
      <c r="NYN617" s="5" t="s">
        <v>3728</v>
      </c>
      <c r="NYO617" s="17">
        <v>44925</v>
      </c>
      <c r="NYP617" s="5" t="s">
        <v>3728</v>
      </c>
      <c r="NYQ617" s="17">
        <v>44925</v>
      </c>
      <c r="NYR617" s="5" t="s">
        <v>3728</v>
      </c>
      <c r="NYS617" s="17">
        <v>44925</v>
      </c>
      <c r="NYT617" s="5" t="s">
        <v>3728</v>
      </c>
      <c r="NYU617" s="17">
        <v>44925</v>
      </c>
      <c r="NYV617" s="5" t="s">
        <v>3728</v>
      </c>
      <c r="NYW617" s="17">
        <v>44925</v>
      </c>
      <c r="NYX617" s="5" t="s">
        <v>3728</v>
      </c>
      <c r="NYY617" s="17">
        <v>44925</v>
      </c>
      <c r="NYZ617" s="5" t="s">
        <v>3728</v>
      </c>
      <c r="NZA617" s="17">
        <v>44925</v>
      </c>
      <c r="NZB617" s="5" t="s">
        <v>3728</v>
      </c>
      <c r="NZC617" s="17">
        <v>44925</v>
      </c>
      <c r="NZD617" s="5" t="s">
        <v>3728</v>
      </c>
      <c r="NZE617" s="17">
        <v>44925</v>
      </c>
      <c r="NZF617" s="5" t="s">
        <v>3728</v>
      </c>
      <c r="NZG617" s="17">
        <v>44925</v>
      </c>
      <c r="NZH617" s="5" t="s">
        <v>3728</v>
      </c>
      <c r="NZI617" s="17">
        <v>44925</v>
      </c>
      <c r="NZJ617" s="5" t="s">
        <v>3728</v>
      </c>
      <c r="NZK617" s="17">
        <v>44925</v>
      </c>
      <c r="NZL617" s="5" t="s">
        <v>3728</v>
      </c>
      <c r="NZM617" s="17">
        <v>44925</v>
      </c>
      <c r="NZN617" s="5" t="s">
        <v>3728</v>
      </c>
      <c r="NZO617" s="17">
        <v>44925</v>
      </c>
      <c r="NZP617" s="5" t="s">
        <v>3728</v>
      </c>
      <c r="NZQ617" s="17">
        <v>44925</v>
      </c>
      <c r="NZR617" s="5" t="s">
        <v>3728</v>
      </c>
      <c r="NZS617" s="17">
        <v>44925</v>
      </c>
      <c r="NZT617" s="5" t="s">
        <v>3728</v>
      </c>
      <c r="NZU617" s="17">
        <v>44925</v>
      </c>
      <c r="NZV617" s="5" t="s">
        <v>3728</v>
      </c>
      <c r="NZW617" s="17">
        <v>44925</v>
      </c>
      <c r="NZX617" s="5" t="s">
        <v>3728</v>
      </c>
      <c r="NZY617" s="17">
        <v>44925</v>
      </c>
      <c r="NZZ617" s="5" t="s">
        <v>3728</v>
      </c>
      <c r="OAA617" s="17">
        <v>44925</v>
      </c>
      <c r="OAB617" s="5" t="s">
        <v>3728</v>
      </c>
      <c r="OAC617" s="17">
        <v>44925</v>
      </c>
      <c r="OAD617" s="5" t="s">
        <v>3728</v>
      </c>
      <c r="OAE617" s="17">
        <v>44925</v>
      </c>
      <c r="OAF617" s="5" t="s">
        <v>3728</v>
      </c>
      <c r="OAG617" s="17">
        <v>44925</v>
      </c>
      <c r="OAH617" s="5" t="s">
        <v>3728</v>
      </c>
      <c r="OAI617" s="17">
        <v>44925</v>
      </c>
      <c r="OAJ617" s="5" t="s">
        <v>3728</v>
      </c>
      <c r="OAK617" s="17">
        <v>44925</v>
      </c>
      <c r="OAL617" s="5" t="s">
        <v>3728</v>
      </c>
      <c r="OAM617" s="17">
        <v>44925</v>
      </c>
      <c r="OAN617" s="5" t="s">
        <v>3728</v>
      </c>
      <c r="OAO617" s="17">
        <v>44925</v>
      </c>
      <c r="OAP617" s="5" t="s">
        <v>3728</v>
      </c>
      <c r="OAQ617" s="17">
        <v>44925</v>
      </c>
      <c r="OAR617" s="5" t="s">
        <v>3728</v>
      </c>
      <c r="OAS617" s="17">
        <v>44925</v>
      </c>
      <c r="OAT617" s="5" t="s">
        <v>3728</v>
      </c>
      <c r="OAU617" s="17">
        <v>44925</v>
      </c>
      <c r="OAV617" s="5" t="s">
        <v>3728</v>
      </c>
      <c r="OAW617" s="17">
        <v>44925</v>
      </c>
      <c r="OAX617" s="5" t="s">
        <v>3728</v>
      </c>
      <c r="OAY617" s="17">
        <v>44925</v>
      </c>
      <c r="OAZ617" s="5" t="s">
        <v>3728</v>
      </c>
      <c r="OBA617" s="17">
        <v>44925</v>
      </c>
      <c r="OBB617" s="5" t="s">
        <v>3728</v>
      </c>
      <c r="OBC617" s="17">
        <v>44925</v>
      </c>
      <c r="OBD617" s="5" t="s">
        <v>3728</v>
      </c>
      <c r="OBE617" s="17">
        <v>44925</v>
      </c>
      <c r="OBF617" s="5" t="s">
        <v>3728</v>
      </c>
      <c r="OBG617" s="17">
        <v>44925</v>
      </c>
      <c r="OBH617" s="5" t="s">
        <v>3728</v>
      </c>
      <c r="OBI617" s="17">
        <v>44925</v>
      </c>
      <c r="OBJ617" s="5" t="s">
        <v>3728</v>
      </c>
      <c r="OBK617" s="17">
        <v>44925</v>
      </c>
      <c r="OBL617" s="5" t="s">
        <v>3728</v>
      </c>
      <c r="OBM617" s="17">
        <v>44925</v>
      </c>
      <c r="OBN617" s="5" t="s">
        <v>3728</v>
      </c>
      <c r="OBO617" s="17">
        <v>44925</v>
      </c>
      <c r="OBP617" s="5" t="s">
        <v>3728</v>
      </c>
      <c r="OBQ617" s="17">
        <v>44925</v>
      </c>
      <c r="OBR617" s="5" t="s">
        <v>3728</v>
      </c>
      <c r="OBS617" s="17">
        <v>44925</v>
      </c>
      <c r="OBT617" s="5" t="s">
        <v>3728</v>
      </c>
      <c r="OBU617" s="17">
        <v>44925</v>
      </c>
      <c r="OBV617" s="5" t="s">
        <v>3728</v>
      </c>
      <c r="OBW617" s="17">
        <v>44925</v>
      </c>
      <c r="OBX617" s="5" t="s">
        <v>3728</v>
      </c>
      <c r="OBY617" s="17">
        <v>44925</v>
      </c>
      <c r="OBZ617" s="5" t="s">
        <v>3728</v>
      </c>
      <c r="OCA617" s="17">
        <v>44925</v>
      </c>
      <c r="OCB617" s="5" t="s">
        <v>3728</v>
      </c>
      <c r="OCC617" s="17">
        <v>44925</v>
      </c>
      <c r="OCD617" s="5" t="s">
        <v>3728</v>
      </c>
      <c r="OCE617" s="17">
        <v>44925</v>
      </c>
      <c r="OCF617" s="5" t="s">
        <v>3728</v>
      </c>
      <c r="OCG617" s="17">
        <v>44925</v>
      </c>
      <c r="OCH617" s="5" t="s">
        <v>3728</v>
      </c>
      <c r="OCI617" s="17">
        <v>44925</v>
      </c>
      <c r="OCJ617" s="5" t="s">
        <v>3728</v>
      </c>
      <c r="OCK617" s="17">
        <v>44925</v>
      </c>
      <c r="OCL617" s="5" t="s">
        <v>3728</v>
      </c>
      <c r="OCM617" s="17">
        <v>44925</v>
      </c>
      <c r="OCN617" s="5" t="s">
        <v>3728</v>
      </c>
      <c r="OCO617" s="17">
        <v>44925</v>
      </c>
      <c r="OCP617" s="5" t="s">
        <v>3728</v>
      </c>
      <c r="OCQ617" s="17">
        <v>44925</v>
      </c>
      <c r="OCR617" s="5" t="s">
        <v>3728</v>
      </c>
      <c r="OCS617" s="17">
        <v>44925</v>
      </c>
      <c r="OCT617" s="5" t="s">
        <v>3728</v>
      </c>
      <c r="OCU617" s="17">
        <v>44925</v>
      </c>
      <c r="OCV617" s="5" t="s">
        <v>3728</v>
      </c>
      <c r="OCW617" s="17">
        <v>44925</v>
      </c>
      <c r="OCX617" s="5" t="s">
        <v>3728</v>
      </c>
      <c r="OCY617" s="17">
        <v>44925</v>
      </c>
      <c r="OCZ617" s="5" t="s">
        <v>3728</v>
      </c>
      <c r="ODA617" s="17">
        <v>44925</v>
      </c>
      <c r="ODB617" s="5" t="s">
        <v>3728</v>
      </c>
      <c r="ODC617" s="17">
        <v>44925</v>
      </c>
      <c r="ODD617" s="5" t="s">
        <v>3728</v>
      </c>
      <c r="ODE617" s="17">
        <v>44925</v>
      </c>
      <c r="ODF617" s="5" t="s">
        <v>3728</v>
      </c>
      <c r="ODG617" s="17">
        <v>44925</v>
      </c>
      <c r="ODH617" s="5" t="s">
        <v>3728</v>
      </c>
      <c r="ODI617" s="17">
        <v>44925</v>
      </c>
      <c r="ODJ617" s="5" t="s">
        <v>3728</v>
      </c>
      <c r="ODK617" s="17">
        <v>44925</v>
      </c>
      <c r="ODL617" s="5" t="s">
        <v>3728</v>
      </c>
      <c r="ODM617" s="17">
        <v>44925</v>
      </c>
      <c r="ODN617" s="5" t="s">
        <v>3728</v>
      </c>
      <c r="ODO617" s="17">
        <v>44925</v>
      </c>
      <c r="ODP617" s="5" t="s">
        <v>3728</v>
      </c>
      <c r="ODQ617" s="17">
        <v>44925</v>
      </c>
      <c r="ODR617" s="5" t="s">
        <v>3728</v>
      </c>
      <c r="ODS617" s="17">
        <v>44925</v>
      </c>
      <c r="ODT617" s="5" t="s">
        <v>3728</v>
      </c>
      <c r="ODU617" s="17">
        <v>44925</v>
      </c>
      <c r="ODV617" s="5" t="s">
        <v>3728</v>
      </c>
      <c r="ODW617" s="17">
        <v>44925</v>
      </c>
      <c r="ODX617" s="5" t="s">
        <v>3728</v>
      </c>
      <c r="ODY617" s="17">
        <v>44925</v>
      </c>
      <c r="ODZ617" s="5" t="s">
        <v>3728</v>
      </c>
      <c r="OEA617" s="17">
        <v>44925</v>
      </c>
      <c r="OEB617" s="5" t="s">
        <v>3728</v>
      </c>
      <c r="OEC617" s="17">
        <v>44925</v>
      </c>
      <c r="OED617" s="5" t="s">
        <v>3728</v>
      </c>
      <c r="OEE617" s="17">
        <v>44925</v>
      </c>
      <c r="OEF617" s="5" t="s">
        <v>3728</v>
      </c>
      <c r="OEG617" s="17">
        <v>44925</v>
      </c>
      <c r="OEH617" s="5" t="s">
        <v>3728</v>
      </c>
      <c r="OEI617" s="17">
        <v>44925</v>
      </c>
      <c r="OEJ617" s="5" t="s">
        <v>3728</v>
      </c>
      <c r="OEK617" s="17">
        <v>44925</v>
      </c>
      <c r="OEL617" s="5" t="s">
        <v>3728</v>
      </c>
      <c r="OEM617" s="17">
        <v>44925</v>
      </c>
      <c r="OEN617" s="5" t="s">
        <v>3728</v>
      </c>
      <c r="OEO617" s="17">
        <v>44925</v>
      </c>
      <c r="OEP617" s="5" t="s">
        <v>3728</v>
      </c>
      <c r="OEQ617" s="17">
        <v>44925</v>
      </c>
      <c r="OER617" s="5" t="s">
        <v>3728</v>
      </c>
      <c r="OES617" s="17">
        <v>44925</v>
      </c>
      <c r="OET617" s="5" t="s">
        <v>3728</v>
      </c>
      <c r="OEU617" s="17">
        <v>44925</v>
      </c>
      <c r="OEV617" s="5" t="s">
        <v>3728</v>
      </c>
      <c r="OEW617" s="17">
        <v>44925</v>
      </c>
      <c r="OEX617" s="5" t="s">
        <v>3728</v>
      </c>
      <c r="OEY617" s="17">
        <v>44925</v>
      </c>
      <c r="OEZ617" s="5" t="s">
        <v>3728</v>
      </c>
      <c r="OFA617" s="17">
        <v>44925</v>
      </c>
      <c r="OFB617" s="5" t="s">
        <v>3728</v>
      </c>
      <c r="OFC617" s="17">
        <v>44925</v>
      </c>
      <c r="OFD617" s="5" t="s">
        <v>3728</v>
      </c>
      <c r="OFE617" s="17">
        <v>44925</v>
      </c>
      <c r="OFF617" s="5" t="s">
        <v>3728</v>
      </c>
      <c r="OFG617" s="17">
        <v>44925</v>
      </c>
      <c r="OFH617" s="5" t="s">
        <v>3728</v>
      </c>
      <c r="OFI617" s="17">
        <v>44925</v>
      </c>
      <c r="OFJ617" s="5" t="s">
        <v>3728</v>
      </c>
      <c r="OFK617" s="17">
        <v>44925</v>
      </c>
      <c r="OFL617" s="5" t="s">
        <v>3728</v>
      </c>
      <c r="OFM617" s="17">
        <v>44925</v>
      </c>
      <c r="OFN617" s="5" t="s">
        <v>3728</v>
      </c>
      <c r="OFO617" s="17">
        <v>44925</v>
      </c>
      <c r="OFP617" s="5" t="s">
        <v>3728</v>
      </c>
      <c r="OFQ617" s="17">
        <v>44925</v>
      </c>
      <c r="OFR617" s="5" t="s">
        <v>3728</v>
      </c>
      <c r="OFS617" s="17">
        <v>44925</v>
      </c>
      <c r="OFT617" s="5" t="s">
        <v>3728</v>
      </c>
      <c r="OFU617" s="17">
        <v>44925</v>
      </c>
      <c r="OFV617" s="5" t="s">
        <v>3728</v>
      </c>
      <c r="OFW617" s="17">
        <v>44925</v>
      </c>
      <c r="OFX617" s="5" t="s">
        <v>3728</v>
      </c>
      <c r="OFY617" s="17">
        <v>44925</v>
      </c>
      <c r="OFZ617" s="5" t="s">
        <v>3728</v>
      </c>
      <c r="OGA617" s="17">
        <v>44925</v>
      </c>
      <c r="OGB617" s="5" t="s">
        <v>3728</v>
      </c>
      <c r="OGC617" s="17">
        <v>44925</v>
      </c>
      <c r="OGD617" s="5" t="s">
        <v>3728</v>
      </c>
      <c r="OGE617" s="17">
        <v>44925</v>
      </c>
      <c r="OGF617" s="5" t="s">
        <v>3728</v>
      </c>
      <c r="OGG617" s="17">
        <v>44925</v>
      </c>
      <c r="OGH617" s="5" t="s">
        <v>3728</v>
      </c>
      <c r="OGI617" s="17">
        <v>44925</v>
      </c>
      <c r="OGJ617" s="5" t="s">
        <v>3728</v>
      </c>
      <c r="OGK617" s="17">
        <v>44925</v>
      </c>
      <c r="OGL617" s="5" t="s">
        <v>3728</v>
      </c>
      <c r="OGM617" s="17">
        <v>44925</v>
      </c>
      <c r="OGN617" s="5" t="s">
        <v>3728</v>
      </c>
      <c r="OGO617" s="17">
        <v>44925</v>
      </c>
      <c r="OGP617" s="5" t="s">
        <v>3728</v>
      </c>
      <c r="OGQ617" s="17">
        <v>44925</v>
      </c>
      <c r="OGR617" s="5" t="s">
        <v>3728</v>
      </c>
      <c r="OGS617" s="17">
        <v>44925</v>
      </c>
      <c r="OGT617" s="5" t="s">
        <v>3728</v>
      </c>
      <c r="OGU617" s="17">
        <v>44925</v>
      </c>
      <c r="OGV617" s="5" t="s">
        <v>3728</v>
      </c>
      <c r="OGW617" s="17">
        <v>44925</v>
      </c>
      <c r="OGX617" s="5" t="s">
        <v>3728</v>
      </c>
      <c r="OGY617" s="17">
        <v>44925</v>
      </c>
      <c r="OGZ617" s="5" t="s">
        <v>3728</v>
      </c>
      <c r="OHA617" s="17">
        <v>44925</v>
      </c>
      <c r="OHB617" s="5" t="s">
        <v>3728</v>
      </c>
      <c r="OHC617" s="17">
        <v>44925</v>
      </c>
      <c r="OHD617" s="5" t="s">
        <v>3728</v>
      </c>
      <c r="OHE617" s="17">
        <v>44925</v>
      </c>
      <c r="OHF617" s="5" t="s">
        <v>3728</v>
      </c>
      <c r="OHG617" s="17">
        <v>44925</v>
      </c>
      <c r="OHH617" s="5" t="s">
        <v>3728</v>
      </c>
      <c r="OHI617" s="17">
        <v>44925</v>
      </c>
      <c r="OHJ617" s="5" t="s">
        <v>3728</v>
      </c>
      <c r="OHK617" s="17">
        <v>44925</v>
      </c>
      <c r="OHL617" s="5" t="s">
        <v>3728</v>
      </c>
      <c r="OHM617" s="17">
        <v>44925</v>
      </c>
      <c r="OHN617" s="5" t="s">
        <v>3728</v>
      </c>
      <c r="OHO617" s="17">
        <v>44925</v>
      </c>
      <c r="OHP617" s="5" t="s">
        <v>3728</v>
      </c>
      <c r="OHQ617" s="17">
        <v>44925</v>
      </c>
      <c r="OHR617" s="5" t="s">
        <v>3728</v>
      </c>
      <c r="OHS617" s="17">
        <v>44925</v>
      </c>
      <c r="OHT617" s="5" t="s">
        <v>3728</v>
      </c>
      <c r="OHU617" s="17">
        <v>44925</v>
      </c>
      <c r="OHV617" s="5" t="s">
        <v>3728</v>
      </c>
      <c r="OHW617" s="17">
        <v>44925</v>
      </c>
      <c r="OHX617" s="5" t="s">
        <v>3728</v>
      </c>
      <c r="OHY617" s="17">
        <v>44925</v>
      </c>
      <c r="OHZ617" s="5" t="s">
        <v>3728</v>
      </c>
      <c r="OIA617" s="17">
        <v>44925</v>
      </c>
      <c r="OIB617" s="5" t="s">
        <v>3728</v>
      </c>
      <c r="OIC617" s="17">
        <v>44925</v>
      </c>
      <c r="OID617" s="5" t="s">
        <v>3728</v>
      </c>
      <c r="OIE617" s="17">
        <v>44925</v>
      </c>
      <c r="OIF617" s="5" t="s">
        <v>3728</v>
      </c>
      <c r="OIG617" s="17">
        <v>44925</v>
      </c>
      <c r="OIH617" s="5" t="s">
        <v>3728</v>
      </c>
      <c r="OII617" s="17">
        <v>44925</v>
      </c>
      <c r="OIJ617" s="5" t="s">
        <v>3728</v>
      </c>
      <c r="OIK617" s="17">
        <v>44925</v>
      </c>
      <c r="OIL617" s="5" t="s">
        <v>3728</v>
      </c>
      <c r="OIM617" s="17">
        <v>44925</v>
      </c>
      <c r="OIN617" s="5" t="s">
        <v>3728</v>
      </c>
      <c r="OIO617" s="17">
        <v>44925</v>
      </c>
      <c r="OIP617" s="5" t="s">
        <v>3728</v>
      </c>
      <c r="OIQ617" s="17">
        <v>44925</v>
      </c>
      <c r="OIR617" s="5" t="s">
        <v>3728</v>
      </c>
      <c r="OIS617" s="17">
        <v>44925</v>
      </c>
      <c r="OIT617" s="5" t="s">
        <v>3728</v>
      </c>
      <c r="OIU617" s="17">
        <v>44925</v>
      </c>
      <c r="OIV617" s="5" t="s">
        <v>3728</v>
      </c>
      <c r="OIW617" s="17">
        <v>44925</v>
      </c>
      <c r="OIX617" s="5" t="s">
        <v>3728</v>
      </c>
      <c r="OIY617" s="17">
        <v>44925</v>
      </c>
      <c r="OIZ617" s="5" t="s">
        <v>3728</v>
      </c>
      <c r="OJA617" s="17">
        <v>44925</v>
      </c>
      <c r="OJB617" s="5" t="s">
        <v>3728</v>
      </c>
      <c r="OJC617" s="17">
        <v>44925</v>
      </c>
      <c r="OJD617" s="5" t="s">
        <v>3728</v>
      </c>
      <c r="OJE617" s="17">
        <v>44925</v>
      </c>
      <c r="OJF617" s="5" t="s">
        <v>3728</v>
      </c>
      <c r="OJG617" s="17">
        <v>44925</v>
      </c>
      <c r="OJH617" s="5" t="s">
        <v>3728</v>
      </c>
      <c r="OJI617" s="17">
        <v>44925</v>
      </c>
      <c r="OJJ617" s="5" t="s">
        <v>3728</v>
      </c>
      <c r="OJK617" s="17">
        <v>44925</v>
      </c>
      <c r="OJL617" s="5" t="s">
        <v>3728</v>
      </c>
      <c r="OJM617" s="17">
        <v>44925</v>
      </c>
      <c r="OJN617" s="5" t="s">
        <v>3728</v>
      </c>
      <c r="OJO617" s="17">
        <v>44925</v>
      </c>
      <c r="OJP617" s="5" t="s">
        <v>3728</v>
      </c>
      <c r="OJQ617" s="17">
        <v>44925</v>
      </c>
      <c r="OJR617" s="5" t="s">
        <v>3728</v>
      </c>
      <c r="OJS617" s="17">
        <v>44925</v>
      </c>
      <c r="OJT617" s="5" t="s">
        <v>3728</v>
      </c>
      <c r="OJU617" s="17">
        <v>44925</v>
      </c>
      <c r="OJV617" s="5" t="s">
        <v>3728</v>
      </c>
      <c r="OJW617" s="17">
        <v>44925</v>
      </c>
      <c r="OJX617" s="5" t="s">
        <v>3728</v>
      </c>
      <c r="OJY617" s="17">
        <v>44925</v>
      </c>
      <c r="OJZ617" s="5" t="s">
        <v>3728</v>
      </c>
      <c r="OKA617" s="17">
        <v>44925</v>
      </c>
      <c r="OKB617" s="5" t="s">
        <v>3728</v>
      </c>
      <c r="OKC617" s="17">
        <v>44925</v>
      </c>
      <c r="OKD617" s="5" t="s">
        <v>3728</v>
      </c>
      <c r="OKE617" s="17">
        <v>44925</v>
      </c>
      <c r="OKF617" s="5" t="s">
        <v>3728</v>
      </c>
      <c r="OKG617" s="17">
        <v>44925</v>
      </c>
      <c r="OKH617" s="5" t="s">
        <v>3728</v>
      </c>
      <c r="OKI617" s="17">
        <v>44925</v>
      </c>
      <c r="OKJ617" s="5" t="s">
        <v>3728</v>
      </c>
      <c r="OKK617" s="17">
        <v>44925</v>
      </c>
      <c r="OKL617" s="5" t="s">
        <v>3728</v>
      </c>
      <c r="OKM617" s="17">
        <v>44925</v>
      </c>
      <c r="OKN617" s="5" t="s">
        <v>3728</v>
      </c>
      <c r="OKO617" s="17">
        <v>44925</v>
      </c>
      <c r="OKP617" s="5" t="s">
        <v>3728</v>
      </c>
      <c r="OKQ617" s="17">
        <v>44925</v>
      </c>
      <c r="OKR617" s="5" t="s">
        <v>3728</v>
      </c>
      <c r="OKS617" s="17">
        <v>44925</v>
      </c>
      <c r="OKT617" s="5" t="s">
        <v>3728</v>
      </c>
      <c r="OKU617" s="17">
        <v>44925</v>
      </c>
      <c r="OKV617" s="5" t="s">
        <v>3728</v>
      </c>
      <c r="OKW617" s="17">
        <v>44925</v>
      </c>
      <c r="OKX617" s="5" t="s">
        <v>3728</v>
      </c>
      <c r="OKY617" s="17">
        <v>44925</v>
      </c>
      <c r="OKZ617" s="5" t="s">
        <v>3728</v>
      </c>
      <c r="OLA617" s="17">
        <v>44925</v>
      </c>
      <c r="OLB617" s="5" t="s">
        <v>3728</v>
      </c>
      <c r="OLC617" s="17">
        <v>44925</v>
      </c>
      <c r="OLD617" s="5" t="s">
        <v>3728</v>
      </c>
      <c r="OLE617" s="17">
        <v>44925</v>
      </c>
      <c r="OLF617" s="5" t="s">
        <v>3728</v>
      </c>
      <c r="OLG617" s="17">
        <v>44925</v>
      </c>
      <c r="OLH617" s="5" t="s">
        <v>3728</v>
      </c>
      <c r="OLI617" s="17">
        <v>44925</v>
      </c>
      <c r="OLJ617" s="5" t="s">
        <v>3728</v>
      </c>
      <c r="OLK617" s="17">
        <v>44925</v>
      </c>
      <c r="OLL617" s="5" t="s">
        <v>3728</v>
      </c>
      <c r="OLM617" s="17">
        <v>44925</v>
      </c>
      <c r="OLN617" s="5" t="s">
        <v>3728</v>
      </c>
      <c r="OLO617" s="17">
        <v>44925</v>
      </c>
      <c r="OLP617" s="5" t="s">
        <v>3728</v>
      </c>
      <c r="OLQ617" s="17">
        <v>44925</v>
      </c>
      <c r="OLR617" s="5" t="s">
        <v>3728</v>
      </c>
      <c r="OLS617" s="17">
        <v>44925</v>
      </c>
      <c r="OLT617" s="5" t="s">
        <v>3728</v>
      </c>
      <c r="OLU617" s="17">
        <v>44925</v>
      </c>
      <c r="OLV617" s="5" t="s">
        <v>3728</v>
      </c>
      <c r="OLW617" s="17">
        <v>44925</v>
      </c>
      <c r="OLX617" s="5" t="s">
        <v>3728</v>
      </c>
      <c r="OLY617" s="17">
        <v>44925</v>
      </c>
      <c r="OLZ617" s="5" t="s">
        <v>3728</v>
      </c>
      <c r="OMA617" s="17">
        <v>44925</v>
      </c>
      <c r="OMB617" s="5" t="s">
        <v>3728</v>
      </c>
      <c r="OMC617" s="17">
        <v>44925</v>
      </c>
      <c r="OMD617" s="5" t="s">
        <v>3728</v>
      </c>
      <c r="OME617" s="17">
        <v>44925</v>
      </c>
      <c r="OMF617" s="5" t="s">
        <v>3728</v>
      </c>
      <c r="OMG617" s="17">
        <v>44925</v>
      </c>
      <c r="OMH617" s="5" t="s">
        <v>3728</v>
      </c>
      <c r="OMI617" s="17">
        <v>44925</v>
      </c>
      <c r="OMJ617" s="5" t="s">
        <v>3728</v>
      </c>
      <c r="OMK617" s="17">
        <v>44925</v>
      </c>
      <c r="OML617" s="5" t="s">
        <v>3728</v>
      </c>
      <c r="OMM617" s="17">
        <v>44925</v>
      </c>
      <c r="OMN617" s="5" t="s">
        <v>3728</v>
      </c>
      <c r="OMO617" s="17">
        <v>44925</v>
      </c>
      <c r="OMP617" s="5" t="s">
        <v>3728</v>
      </c>
      <c r="OMQ617" s="17">
        <v>44925</v>
      </c>
      <c r="OMR617" s="5" t="s">
        <v>3728</v>
      </c>
      <c r="OMS617" s="17">
        <v>44925</v>
      </c>
      <c r="OMT617" s="5" t="s">
        <v>3728</v>
      </c>
      <c r="OMU617" s="17">
        <v>44925</v>
      </c>
      <c r="OMV617" s="5" t="s">
        <v>3728</v>
      </c>
      <c r="OMW617" s="17">
        <v>44925</v>
      </c>
      <c r="OMX617" s="5" t="s">
        <v>3728</v>
      </c>
      <c r="OMY617" s="17">
        <v>44925</v>
      </c>
      <c r="OMZ617" s="5" t="s">
        <v>3728</v>
      </c>
      <c r="ONA617" s="17">
        <v>44925</v>
      </c>
      <c r="ONB617" s="5" t="s">
        <v>3728</v>
      </c>
      <c r="ONC617" s="17">
        <v>44925</v>
      </c>
      <c r="OND617" s="5" t="s">
        <v>3728</v>
      </c>
      <c r="ONE617" s="17">
        <v>44925</v>
      </c>
      <c r="ONF617" s="5" t="s">
        <v>3728</v>
      </c>
      <c r="ONG617" s="17">
        <v>44925</v>
      </c>
      <c r="ONH617" s="5" t="s">
        <v>3728</v>
      </c>
      <c r="ONI617" s="17">
        <v>44925</v>
      </c>
      <c r="ONJ617" s="5" t="s">
        <v>3728</v>
      </c>
      <c r="ONK617" s="17">
        <v>44925</v>
      </c>
      <c r="ONL617" s="5" t="s">
        <v>3728</v>
      </c>
      <c r="ONM617" s="17">
        <v>44925</v>
      </c>
      <c r="ONN617" s="5" t="s">
        <v>3728</v>
      </c>
      <c r="ONO617" s="17">
        <v>44925</v>
      </c>
      <c r="ONP617" s="5" t="s">
        <v>3728</v>
      </c>
      <c r="ONQ617" s="17">
        <v>44925</v>
      </c>
      <c r="ONR617" s="5" t="s">
        <v>3728</v>
      </c>
      <c r="ONS617" s="17">
        <v>44925</v>
      </c>
      <c r="ONT617" s="5" t="s">
        <v>3728</v>
      </c>
      <c r="ONU617" s="17">
        <v>44925</v>
      </c>
      <c r="ONV617" s="5" t="s">
        <v>3728</v>
      </c>
      <c r="ONW617" s="17">
        <v>44925</v>
      </c>
      <c r="ONX617" s="5" t="s">
        <v>3728</v>
      </c>
      <c r="ONY617" s="17">
        <v>44925</v>
      </c>
      <c r="ONZ617" s="5" t="s">
        <v>3728</v>
      </c>
      <c r="OOA617" s="17">
        <v>44925</v>
      </c>
      <c r="OOB617" s="5" t="s">
        <v>3728</v>
      </c>
      <c r="OOC617" s="17">
        <v>44925</v>
      </c>
      <c r="OOD617" s="5" t="s">
        <v>3728</v>
      </c>
      <c r="OOE617" s="17">
        <v>44925</v>
      </c>
      <c r="OOF617" s="5" t="s">
        <v>3728</v>
      </c>
      <c r="OOG617" s="17">
        <v>44925</v>
      </c>
      <c r="OOH617" s="5" t="s">
        <v>3728</v>
      </c>
      <c r="OOI617" s="17">
        <v>44925</v>
      </c>
      <c r="OOJ617" s="5" t="s">
        <v>3728</v>
      </c>
      <c r="OOK617" s="17">
        <v>44925</v>
      </c>
      <c r="OOL617" s="5" t="s">
        <v>3728</v>
      </c>
      <c r="OOM617" s="17">
        <v>44925</v>
      </c>
      <c r="OON617" s="5" t="s">
        <v>3728</v>
      </c>
      <c r="OOO617" s="17">
        <v>44925</v>
      </c>
      <c r="OOP617" s="5" t="s">
        <v>3728</v>
      </c>
      <c r="OOQ617" s="17">
        <v>44925</v>
      </c>
      <c r="OOR617" s="5" t="s">
        <v>3728</v>
      </c>
      <c r="OOS617" s="17">
        <v>44925</v>
      </c>
      <c r="OOT617" s="5" t="s">
        <v>3728</v>
      </c>
      <c r="OOU617" s="17">
        <v>44925</v>
      </c>
      <c r="OOV617" s="5" t="s">
        <v>3728</v>
      </c>
      <c r="OOW617" s="17">
        <v>44925</v>
      </c>
      <c r="OOX617" s="5" t="s">
        <v>3728</v>
      </c>
      <c r="OOY617" s="17">
        <v>44925</v>
      </c>
      <c r="OOZ617" s="5" t="s">
        <v>3728</v>
      </c>
      <c r="OPA617" s="17">
        <v>44925</v>
      </c>
      <c r="OPB617" s="5" t="s">
        <v>3728</v>
      </c>
      <c r="OPC617" s="17">
        <v>44925</v>
      </c>
      <c r="OPD617" s="5" t="s">
        <v>3728</v>
      </c>
      <c r="OPE617" s="17">
        <v>44925</v>
      </c>
      <c r="OPF617" s="5" t="s">
        <v>3728</v>
      </c>
      <c r="OPG617" s="17">
        <v>44925</v>
      </c>
      <c r="OPH617" s="5" t="s">
        <v>3728</v>
      </c>
      <c r="OPI617" s="17">
        <v>44925</v>
      </c>
      <c r="OPJ617" s="5" t="s">
        <v>3728</v>
      </c>
      <c r="OPK617" s="17">
        <v>44925</v>
      </c>
      <c r="OPL617" s="5" t="s">
        <v>3728</v>
      </c>
      <c r="OPM617" s="17">
        <v>44925</v>
      </c>
      <c r="OPN617" s="5" t="s">
        <v>3728</v>
      </c>
      <c r="OPO617" s="17">
        <v>44925</v>
      </c>
      <c r="OPP617" s="5" t="s">
        <v>3728</v>
      </c>
      <c r="OPQ617" s="17">
        <v>44925</v>
      </c>
      <c r="OPR617" s="5" t="s">
        <v>3728</v>
      </c>
      <c r="OPS617" s="17">
        <v>44925</v>
      </c>
      <c r="OPT617" s="5" t="s">
        <v>3728</v>
      </c>
      <c r="OPU617" s="17">
        <v>44925</v>
      </c>
      <c r="OPV617" s="5" t="s">
        <v>3728</v>
      </c>
      <c r="OPW617" s="17">
        <v>44925</v>
      </c>
      <c r="OPX617" s="5" t="s">
        <v>3728</v>
      </c>
      <c r="OPY617" s="17">
        <v>44925</v>
      </c>
      <c r="OPZ617" s="5" t="s">
        <v>3728</v>
      </c>
      <c r="OQA617" s="17">
        <v>44925</v>
      </c>
      <c r="OQB617" s="5" t="s">
        <v>3728</v>
      </c>
      <c r="OQC617" s="17">
        <v>44925</v>
      </c>
      <c r="OQD617" s="5" t="s">
        <v>3728</v>
      </c>
      <c r="OQE617" s="17">
        <v>44925</v>
      </c>
      <c r="OQF617" s="5" t="s">
        <v>3728</v>
      </c>
      <c r="OQG617" s="17">
        <v>44925</v>
      </c>
      <c r="OQH617" s="5" t="s">
        <v>3728</v>
      </c>
      <c r="OQI617" s="17">
        <v>44925</v>
      </c>
      <c r="OQJ617" s="5" t="s">
        <v>3728</v>
      </c>
      <c r="OQK617" s="17">
        <v>44925</v>
      </c>
      <c r="OQL617" s="5" t="s">
        <v>3728</v>
      </c>
      <c r="OQM617" s="17">
        <v>44925</v>
      </c>
      <c r="OQN617" s="5" t="s">
        <v>3728</v>
      </c>
      <c r="OQO617" s="17">
        <v>44925</v>
      </c>
      <c r="OQP617" s="5" t="s">
        <v>3728</v>
      </c>
      <c r="OQQ617" s="17">
        <v>44925</v>
      </c>
      <c r="OQR617" s="5" t="s">
        <v>3728</v>
      </c>
      <c r="OQS617" s="17">
        <v>44925</v>
      </c>
      <c r="OQT617" s="5" t="s">
        <v>3728</v>
      </c>
      <c r="OQU617" s="17">
        <v>44925</v>
      </c>
      <c r="OQV617" s="5" t="s">
        <v>3728</v>
      </c>
      <c r="OQW617" s="17">
        <v>44925</v>
      </c>
      <c r="OQX617" s="5" t="s">
        <v>3728</v>
      </c>
      <c r="OQY617" s="17">
        <v>44925</v>
      </c>
      <c r="OQZ617" s="5" t="s">
        <v>3728</v>
      </c>
      <c r="ORA617" s="17">
        <v>44925</v>
      </c>
      <c r="ORB617" s="5" t="s">
        <v>3728</v>
      </c>
      <c r="ORC617" s="17">
        <v>44925</v>
      </c>
      <c r="ORD617" s="5" t="s">
        <v>3728</v>
      </c>
      <c r="ORE617" s="17">
        <v>44925</v>
      </c>
      <c r="ORF617" s="5" t="s">
        <v>3728</v>
      </c>
      <c r="ORG617" s="17">
        <v>44925</v>
      </c>
      <c r="ORH617" s="5" t="s">
        <v>3728</v>
      </c>
      <c r="ORI617" s="17">
        <v>44925</v>
      </c>
      <c r="ORJ617" s="5" t="s">
        <v>3728</v>
      </c>
      <c r="ORK617" s="17">
        <v>44925</v>
      </c>
      <c r="ORL617" s="5" t="s">
        <v>3728</v>
      </c>
      <c r="ORM617" s="17">
        <v>44925</v>
      </c>
      <c r="ORN617" s="5" t="s">
        <v>3728</v>
      </c>
      <c r="ORO617" s="17">
        <v>44925</v>
      </c>
      <c r="ORP617" s="5" t="s">
        <v>3728</v>
      </c>
      <c r="ORQ617" s="17">
        <v>44925</v>
      </c>
      <c r="ORR617" s="5" t="s">
        <v>3728</v>
      </c>
      <c r="ORS617" s="17">
        <v>44925</v>
      </c>
      <c r="ORT617" s="5" t="s">
        <v>3728</v>
      </c>
      <c r="ORU617" s="17">
        <v>44925</v>
      </c>
      <c r="ORV617" s="5" t="s">
        <v>3728</v>
      </c>
      <c r="ORW617" s="17">
        <v>44925</v>
      </c>
      <c r="ORX617" s="5" t="s">
        <v>3728</v>
      </c>
      <c r="ORY617" s="17">
        <v>44925</v>
      </c>
      <c r="ORZ617" s="5" t="s">
        <v>3728</v>
      </c>
      <c r="OSA617" s="17">
        <v>44925</v>
      </c>
      <c r="OSB617" s="5" t="s">
        <v>3728</v>
      </c>
      <c r="OSC617" s="17">
        <v>44925</v>
      </c>
      <c r="OSD617" s="5" t="s">
        <v>3728</v>
      </c>
      <c r="OSE617" s="17">
        <v>44925</v>
      </c>
      <c r="OSF617" s="5" t="s">
        <v>3728</v>
      </c>
      <c r="OSG617" s="17">
        <v>44925</v>
      </c>
      <c r="OSH617" s="5" t="s">
        <v>3728</v>
      </c>
      <c r="OSI617" s="17">
        <v>44925</v>
      </c>
      <c r="OSJ617" s="5" t="s">
        <v>3728</v>
      </c>
      <c r="OSK617" s="17">
        <v>44925</v>
      </c>
      <c r="OSL617" s="5" t="s">
        <v>3728</v>
      </c>
      <c r="OSM617" s="17">
        <v>44925</v>
      </c>
      <c r="OSN617" s="5" t="s">
        <v>3728</v>
      </c>
      <c r="OSO617" s="17">
        <v>44925</v>
      </c>
      <c r="OSP617" s="5" t="s">
        <v>3728</v>
      </c>
      <c r="OSQ617" s="17">
        <v>44925</v>
      </c>
      <c r="OSR617" s="5" t="s">
        <v>3728</v>
      </c>
      <c r="OSS617" s="17">
        <v>44925</v>
      </c>
      <c r="OST617" s="5" t="s">
        <v>3728</v>
      </c>
      <c r="OSU617" s="17">
        <v>44925</v>
      </c>
      <c r="OSV617" s="5" t="s">
        <v>3728</v>
      </c>
      <c r="OSW617" s="17">
        <v>44925</v>
      </c>
      <c r="OSX617" s="5" t="s">
        <v>3728</v>
      </c>
      <c r="OSY617" s="17">
        <v>44925</v>
      </c>
      <c r="OSZ617" s="5" t="s">
        <v>3728</v>
      </c>
      <c r="OTA617" s="17">
        <v>44925</v>
      </c>
      <c r="OTB617" s="5" t="s">
        <v>3728</v>
      </c>
      <c r="OTC617" s="17">
        <v>44925</v>
      </c>
      <c r="OTD617" s="5" t="s">
        <v>3728</v>
      </c>
      <c r="OTE617" s="17">
        <v>44925</v>
      </c>
      <c r="OTF617" s="5" t="s">
        <v>3728</v>
      </c>
      <c r="OTG617" s="17">
        <v>44925</v>
      </c>
      <c r="OTH617" s="5" t="s">
        <v>3728</v>
      </c>
      <c r="OTI617" s="17">
        <v>44925</v>
      </c>
      <c r="OTJ617" s="5" t="s">
        <v>3728</v>
      </c>
      <c r="OTK617" s="17">
        <v>44925</v>
      </c>
      <c r="OTL617" s="5" t="s">
        <v>3728</v>
      </c>
      <c r="OTM617" s="17">
        <v>44925</v>
      </c>
      <c r="OTN617" s="5" t="s">
        <v>3728</v>
      </c>
      <c r="OTO617" s="17">
        <v>44925</v>
      </c>
      <c r="OTP617" s="5" t="s">
        <v>3728</v>
      </c>
      <c r="OTQ617" s="17">
        <v>44925</v>
      </c>
      <c r="OTR617" s="5" t="s">
        <v>3728</v>
      </c>
      <c r="OTS617" s="17">
        <v>44925</v>
      </c>
      <c r="OTT617" s="5" t="s">
        <v>3728</v>
      </c>
      <c r="OTU617" s="17">
        <v>44925</v>
      </c>
      <c r="OTV617" s="5" t="s">
        <v>3728</v>
      </c>
      <c r="OTW617" s="17">
        <v>44925</v>
      </c>
      <c r="OTX617" s="5" t="s">
        <v>3728</v>
      </c>
      <c r="OTY617" s="17">
        <v>44925</v>
      </c>
      <c r="OTZ617" s="5" t="s">
        <v>3728</v>
      </c>
      <c r="OUA617" s="17">
        <v>44925</v>
      </c>
      <c r="OUB617" s="5" t="s">
        <v>3728</v>
      </c>
      <c r="OUC617" s="17">
        <v>44925</v>
      </c>
      <c r="OUD617" s="5" t="s">
        <v>3728</v>
      </c>
      <c r="OUE617" s="17">
        <v>44925</v>
      </c>
      <c r="OUF617" s="5" t="s">
        <v>3728</v>
      </c>
      <c r="OUG617" s="17">
        <v>44925</v>
      </c>
      <c r="OUH617" s="5" t="s">
        <v>3728</v>
      </c>
      <c r="OUI617" s="17">
        <v>44925</v>
      </c>
      <c r="OUJ617" s="5" t="s">
        <v>3728</v>
      </c>
      <c r="OUK617" s="17">
        <v>44925</v>
      </c>
      <c r="OUL617" s="5" t="s">
        <v>3728</v>
      </c>
      <c r="OUM617" s="17">
        <v>44925</v>
      </c>
      <c r="OUN617" s="5" t="s">
        <v>3728</v>
      </c>
      <c r="OUO617" s="17">
        <v>44925</v>
      </c>
      <c r="OUP617" s="5" t="s">
        <v>3728</v>
      </c>
      <c r="OUQ617" s="17">
        <v>44925</v>
      </c>
      <c r="OUR617" s="5" t="s">
        <v>3728</v>
      </c>
      <c r="OUS617" s="17">
        <v>44925</v>
      </c>
      <c r="OUT617" s="5" t="s">
        <v>3728</v>
      </c>
      <c r="OUU617" s="17">
        <v>44925</v>
      </c>
      <c r="OUV617" s="5" t="s">
        <v>3728</v>
      </c>
      <c r="OUW617" s="17">
        <v>44925</v>
      </c>
      <c r="OUX617" s="5" t="s">
        <v>3728</v>
      </c>
      <c r="OUY617" s="17">
        <v>44925</v>
      </c>
      <c r="OUZ617" s="5" t="s">
        <v>3728</v>
      </c>
      <c r="OVA617" s="17">
        <v>44925</v>
      </c>
      <c r="OVB617" s="5" t="s">
        <v>3728</v>
      </c>
      <c r="OVC617" s="17">
        <v>44925</v>
      </c>
      <c r="OVD617" s="5" t="s">
        <v>3728</v>
      </c>
      <c r="OVE617" s="17">
        <v>44925</v>
      </c>
      <c r="OVF617" s="5" t="s">
        <v>3728</v>
      </c>
      <c r="OVG617" s="17">
        <v>44925</v>
      </c>
      <c r="OVH617" s="5" t="s">
        <v>3728</v>
      </c>
      <c r="OVI617" s="17">
        <v>44925</v>
      </c>
      <c r="OVJ617" s="5" t="s">
        <v>3728</v>
      </c>
      <c r="OVK617" s="17">
        <v>44925</v>
      </c>
      <c r="OVL617" s="5" t="s">
        <v>3728</v>
      </c>
      <c r="OVM617" s="17">
        <v>44925</v>
      </c>
      <c r="OVN617" s="5" t="s">
        <v>3728</v>
      </c>
      <c r="OVO617" s="17">
        <v>44925</v>
      </c>
      <c r="OVP617" s="5" t="s">
        <v>3728</v>
      </c>
      <c r="OVQ617" s="17">
        <v>44925</v>
      </c>
      <c r="OVR617" s="5" t="s">
        <v>3728</v>
      </c>
      <c r="OVS617" s="17">
        <v>44925</v>
      </c>
      <c r="OVT617" s="5" t="s">
        <v>3728</v>
      </c>
      <c r="OVU617" s="17">
        <v>44925</v>
      </c>
      <c r="OVV617" s="5" t="s">
        <v>3728</v>
      </c>
      <c r="OVW617" s="17">
        <v>44925</v>
      </c>
      <c r="OVX617" s="5" t="s">
        <v>3728</v>
      </c>
      <c r="OVY617" s="17">
        <v>44925</v>
      </c>
      <c r="OVZ617" s="5" t="s">
        <v>3728</v>
      </c>
      <c r="OWA617" s="17">
        <v>44925</v>
      </c>
      <c r="OWB617" s="5" t="s">
        <v>3728</v>
      </c>
      <c r="OWC617" s="17">
        <v>44925</v>
      </c>
      <c r="OWD617" s="5" t="s">
        <v>3728</v>
      </c>
      <c r="OWE617" s="17">
        <v>44925</v>
      </c>
      <c r="OWF617" s="5" t="s">
        <v>3728</v>
      </c>
      <c r="OWG617" s="17">
        <v>44925</v>
      </c>
      <c r="OWH617" s="5" t="s">
        <v>3728</v>
      </c>
      <c r="OWI617" s="17">
        <v>44925</v>
      </c>
      <c r="OWJ617" s="5" t="s">
        <v>3728</v>
      </c>
      <c r="OWK617" s="17">
        <v>44925</v>
      </c>
      <c r="OWL617" s="5" t="s">
        <v>3728</v>
      </c>
      <c r="OWM617" s="17">
        <v>44925</v>
      </c>
      <c r="OWN617" s="5" t="s">
        <v>3728</v>
      </c>
      <c r="OWO617" s="17">
        <v>44925</v>
      </c>
      <c r="OWP617" s="5" t="s">
        <v>3728</v>
      </c>
      <c r="OWQ617" s="17">
        <v>44925</v>
      </c>
      <c r="OWR617" s="5" t="s">
        <v>3728</v>
      </c>
      <c r="OWS617" s="17">
        <v>44925</v>
      </c>
      <c r="OWT617" s="5" t="s">
        <v>3728</v>
      </c>
      <c r="OWU617" s="17">
        <v>44925</v>
      </c>
      <c r="OWV617" s="5" t="s">
        <v>3728</v>
      </c>
      <c r="OWW617" s="17">
        <v>44925</v>
      </c>
      <c r="OWX617" s="5" t="s">
        <v>3728</v>
      </c>
      <c r="OWY617" s="17">
        <v>44925</v>
      </c>
      <c r="OWZ617" s="5" t="s">
        <v>3728</v>
      </c>
      <c r="OXA617" s="17">
        <v>44925</v>
      </c>
      <c r="OXB617" s="5" t="s">
        <v>3728</v>
      </c>
      <c r="OXC617" s="17">
        <v>44925</v>
      </c>
      <c r="OXD617" s="5" t="s">
        <v>3728</v>
      </c>
      <c r="OXE617" s="17">
        <v>44925</v>
      </c>
      <c r="OXF617" s="5" t="s">
        <v>3728</v>
      </c>
      <c r="OXG617" s="17">
        <v>44925</v>
      </c>
      <c r="OXH617" s="5" t="s">
        <v>3728</v>
      </c>
      <c r="OXI617" s="17">
        <v>44925</v>
      </c>
      <c r="OXJ617" s="5" t="s">
        <v>3728</v>
      </c>
      <c r="OXK617" s="17">
        <v>44925</v>
      </c>
      <c r="OXL617" s="5" t="s">
        <v>3728</v>
      </c>
      <c r="OXM617" s="17">
        <v>44925</v>
      </c>
      <c r="OXN617" s="5" t="s">
        <v>3728</v>
      </c>
      <c r="OXO617" s="17">
        <v>44925</v>
      </c>
      <c r="OXP617" s="5" t="s">
        <v>3728</v>
      </c>
      <c r="OXQ617" s="17">
        <v>44925</v>
      </c>
      <c r="OXR617" s="5" t="s">
        <v>3728</v>
      </c>
      <c r="OXS617" s="17">
        <v>44925</v>
      </c>
      <c r="OXT617" s="5" t="s">
        <v>3728</v>
      </c>
      <c r="OXU617" s="17">
        <v>44925</v>
      </c>
      <c r="OXV617" s="5" t="s">
        <v>3728</v>
      </c>
      <c r="OXW617" s="17">
        <v>44925</v>
      </c>
      <c r="OXX617" s="5" t="s">
        <v>3728</v>
      </c>
      <c r="OXY617" s="17">
        <v>44925</v>
      </c>
      <c r="OXZ617" s="5" t="s">
        <v>3728</v>
      </c>
      <c r="OYA617" s="17">
        <v>44925</v>
      </c>
      <c r="OYB617" s="5" t="s">
        <v>3728</v>
      </c>
      <c r="OYC617" s="17">
        <v>44925</v>
      </c>
      <c r="OYD617" s="5" t="s">
        <v>3728</v>
      </c>
      <c r="OYE617" s="17">
        <v>44925</v>
      </c>
      <c r="OYF617" s="5" t="s">
        <v>3728</v>
      </c>
      <c r="OYG617" s="17">
        <v>44925</v>
      </c>
      <c r="OYH617" s="5" t="s">
        <v>3728</v>
      </c>
      <c r="OYI617" s="17">
        <v>44925</v>
      </c>
      <c r="OYJ617" s="5" t="s">
        <v>3728</v>
      </c>
      <c r="OYK617" s="17">
        <v>44925</v>
      </c>
      <c r="OYL617" s="5" t="s">
        <v>3728</v>
      </c>
      <c r="OYM617" s="17">
        <v>44925</v>
      </c>
      <c r="OYN617" s="5" t="s">
        <v>3728</v>
      </c>
      <c r="OYO617" s="17">
        <v>44925</v>
      </c>
      <c r="OYP617" s="5" t="s">
        <v>3728</v>
      </c>
      <c r="OYQ617" s="17">
        <v>44925</v>
      </c>
      <c r="OYR617" s="5" t="s">
        <v>3728</v>
      </c>
      <c r="OYS617" s="17">
        <v>44925</v>
      </c>
      <c r="OYT617" s="5" t="s">
        <v>3728</v>
      </c>
      <c r="OYU617" s="17">
        <v>44925</v>
      </c>
      <c r="OYV617" s="5" t="s">
        <v>3728</v>
      </c>
      <c r="OYW617" s="17">
        <v>44925</v>
      </c>
      <c r="OYX617" s="5" t="s">
        <v>3728</v>
      </c>
      <c r="OYY617" s="17">
        <v>44925</v>
      </c>
      <c r="OYZ617" s="5" t="s">
        <v>3728</v>
      </c>
      <c r="OZA617" s="17">
        <v>44925</v>
      </c>
      <c r="OZB617" s="5" t="s">
        <v>3728</v>
      </c>
      <c r="OZC617" s="17">
        <v>44925</v>
      </c>
      <c r="OZD617" s="5" t="s">
        <v>3728</v>
      </c>
      <c r="OZE617" s="17">
        <v>44925</v>
      </c>
      <c r="OZF617" s="5" t="s">
        <v>3728</v>
      </c>
      <c r="OZG617" s="17">
        <v>44925</v>
      </c>
      <c r="OZH617" s="5" t="s">
        <v>3728</v>
      </c>
      <c r="OZI617" s="17">
        <v>44925</v>
      </c>
      <c r="OZJ617" s="5" t="s">
        <v>3728</v>
      </c>
      <c r="OZK617" s="17">
        <v>44925</v>
      </c>
      <c r="OZL617" s="5" t="s">
        <v>3728</v>
      </c>
      <c r="OZM617" s="17">
        <v>44925</v>
      </c>
      <c r="OZN617" s="5" t="s">
        <v>3728</v>
      </c>
      <c r="OZO617" s="17">
        <v>44925</v>
      </c>
      <c r="OZP617" s="5" t="s">
        <v>3728</v>
      </c>
      <c r="OZQ617" s="17">
        <v>44925</v>
      </c>
      <c r="OZR617" s="5" t="s">
        <v>3728</v>
      </c>
      <c r="OZS617" s="17">
        <v>44925</v>
      </c>
      <c r="OZT617" s="5" t="s">
        <v>3728</v>
      </c>
      <c r="OZU617" s="17">
        <v>44925</v>
      </c>
      <c r="OZV617" s="5" t="s">
        <v>3728</v>
      </c>
      <c r="OZW617" s="17">
        <v>44925</v>
      </c>
      <c r="OZX617" s="5" t="s">
        <v>3728</v>
      </c>
      <c r="OZY617" s="17">
        <v>44925</v>
      </c>
      <c r="OZZ617" s="5" t="s">
        <v>3728</v>
      </c>
      <c r="PAA617" s="17">
        <v>44925</v>
      </c>
      <c r="PAB617" s="5" t="s">
        <v>3728</v>
      </c>
      <c r="PAC617" s="17">
        <v>44925</v>
      </c>
      <c r="PAD617" s="5" t="s">
        <v>3728</v>
      </c>
      <c r="PAE617" s="17">
        <v>44925</v>
      </c>
      <c r="PAF617" s="5" t="s">
        <v>3728</v>
      </c>
      <c r="PAG617" s="17">
        <v>44925</v>
      </c>
      <c r="PAH617" s="5" t="s">
        <v>3728</v>
      </c>
      <c r="PAI617" s="17">
        <v>44925</v>
      </c>
      <c r="PAJ617" s="5" t="s">
        <v>3728</v>
      </c>
      <c r="PAK617" s="17">
        <v>44925</v>
      </c>
      <c r="PAL617" s="5" t="s">
        <v>3728</v>
      </c>
      <c r="PAM617" s="17">
        <v>44925</v>
      </c>
      <c r="PAN617" s="5" t="s">
        <v>3728</v>
      </c>
      <c r="PAO617" s="17">
        <v>44925</v>
      </c>
      <c r="PAP617" s="5" t="s">
        <v>3728</v>
      </c>
      <c r="PAQ617" s="17">
        <v>44925</v>
      </c>
      <c r="PAR617" s="5" t="s">
        <v>3728</v>
      </c>
      <c r="PAS617" s="17">
        <v>44925</v>
      </c>
      <c r="PAT617" s="5" t="s">
        <v>3728</v>
      </c>
      <c r="PAU617" s="17">
        <v>44925</v>
      </c>
      <c r="PAV617" s="5" t="s">
        <v>3728</v>
      </c>
      <c r="PAW617" s="17">
        <v>44925</v>
      </c>
      <c r="PAX617" s="5" t="s">
        <v>3728</v>
      </c>
      <c r="PAY617" s="17">
        <v>44925</v>
      </c>
      <c r="PAZ617" s="5" t="s">
        <v>3728</v>
      </c>
      <c r="PBA617" s="17">
        <v>44925</v>
      </c>
      <c r="PBB617" s="5" t="s">
        <v>3728</v>
      </c>
      <c r="PBC617" s="17">
        <v>44925</v>
      </c>
      <c r="PBD617" s="5" t="s">
        <v>3728</v>
      </c>
      <c r="PBE617" s="17">
        <v>44925</v>
      </c>
      <c r="PBF617" s="5" t="s">
        <v>3728</v>
      </c>
      <c r="PBG617" s="17">
        <v>44925</v>
      </c>
      <c r="PBH617" s="5" t="s">
        <v>3728</v>
      </c>
      <c r="PBI617" s="17">
        <v>44925</v>
      </c>
      <c r="PBJ617" s="5" t="s">
        <v>3728</v>
      </c>
      <c r="PBK617" s="17">
        <v>44925</v>
      </c>
      <c r="PBL617" s="5" t="s">
        <v>3728</v>
      </c>
      <c r="PBM617" s="17">
        <v>44925</v>
      </c>
      <c r="PBN617" s="5" t="s">
        <v>3728</v>
      </c>
      <c r="PBO617" s="17">
        <v>44925</v>
      </c>
      <c r="PBP617" s="5" t="s">
        <v>3728</v>
      </c>
      <c r="PBQ617" s="17">
        <v>44925</v>
      </c>
      <c r="PBR617" s="5" t="s">
        <v>3728</v>
      </c>
      <c r="PBS617" s="17">
        <v>44925</v>
      </c>
      <c r="PBT617" s="5" t="s">
        <v>3728</v>
      </c>
      <c r="PBU617" s="17">
        <v>44925</v>
      </c>
      <c r="PBV617" s="5" t="s">
        <v>3728</v>
      </c>
      <c r="PBW617" s="17">
        <v>44925</v>
      </c>
      <c r="PBX617" s="5" t="s">
        <v>3728</v>
      </c>
      <c r="PBY617" s="17">
        <v>44925</v>
      </c>
      <c r="PBZ617" s="5" t="s">
        <v>3728</v>
      </c>
      <c r="PCA617" s="17">
        <v>44925</v>
      </c>
      <c r="PCB617" s="5" t="s">
        <v>3728</v>
      </c>
      <c r="PCC617" s="17">
        <v>44925</v>
      </c>
      <c r="PCD617" s="5" t="s">
        <v>3728</v>
      </c>
      <c r="PCE617" s="17">
        <v>44925</v>
      </c>
      <c r="PCF617" s="5" t="s">
        <v>3728</v>
      </c>
      <c r="PCG617" s="17">
        <v>44925</v>
      </c>
      <c r="PCH617" s="5" t="s">
        <v>3728</v>
      </c>
      <c r="PCI617" s="17">
        <v>44925</v>
      </c>
      <c r="PCJ617" s="5" t="s">
        <v>3728</v>
      </c>
      <c r="PCK617" s="17">
        <v>44925</v>
      </c>
      <c r="PCL617" s="5" t="s">
        <v>3728</v>
      </c>
      <c r="PCM617" s="17">
        <v>44925</v>
      </c>
      <c r="PCN617" s="5" t="s">
        <v>3728</v>
      </c>
      <c r="PCO617" s="17">
        <v>44925</v>
      </c>
      <c r="PCP617" s="5" t="s">
        <v>3728</v>
      </c>
      <c r="PCQ617" s="17">
        <v>44925</v>
      </c>
      <c r="PCR617" s="5" t="s">
        <v>3728</v>
      </c>
      <c r="PCS617" s="17">
        <v>44925</v>
      </c>
      <c r="PCT617" s="5" t="s">
        <v>3728</v>
      </c>
      <c r="PCU617" s="17">
        <v>44925</v>
      </c>
      <c r="PCV617" s="5" t="s">
        <v>3728</v>
      </c>
      <c r="PCW617" s="17">
        <v>44925</v>
      </c>
      <c r="PCX617" s="5" t="s">
        <v>3728</v>
      </c>
      <c r="PCY617" s="17">
        <v>44925</v>
      </c>
      <c r="PCZ617" s="5" t="s">
        <v>3728</v>
      </c>
      <c r="PDA617" s="17">
        <v>44925</v>
      </c>
      <c r="PDB617" s="5" t="s">
        <v>3728</v>
      </c>
      <c r="PDC617" s="17">
        <v>44925</v>
      </c>
      <c r="PDD617" s="5" t="s">
        <v>3728</v>
      </c>
      <c r="PDE617" s="17">
        <v>44925</v>
      </c>
      <c r="PDF617" s="5" t="s">
        <v>3728</v>
      </c>
      <c r="PDG617" s="17">
        <v>44925</v>
      </c>
      <c r="PDH617" s="5" t="s">
        <v>3728</v>
      </c>
      <c r="PDI617" s="17">
        <v>44925</v>
      </c>
      <c r="PDJ617" s="5" t="s">
        <v>3728</v>
      </c>
      <c r="PDK617" s="17">
        <v>44925</v>
      </c>
      <c r="PDL617" s="5" t="s">
        <v>3728</v>
      </c>
      <c r="PDM617" s="17">
        <v>44925</v>
      </c>
      <c r="PDN617" s="5" t="s">
        <v>3728</v>
      </c>
      <c r="PDO617" s="17">
        <v>44925</v>
      </c>
      <c r="PDP617" s="5" t="s">
        <v>3728</v>
      </c>
      <c r="PDQ617" s="17">
        <v>44925</v>
      </c>
      <c r="PDR617" s="5" t="s">
        <v>3728</v>
      </c>
      <c r="PDS617" s="17">
        <v>44925</v>
      </c>
      <c r="PDT617" s="5" t="s">
        <v>3728</v>
      </c>
      <c r="PDU617" s="17">
        <v>44925</v>
      </c>
      <c r="PDV617" s="5" t="s">
        <v>3728</v>
      </c>
      <c r="PDW617" s="17">
        <v>44925</v>
      </c>
      <c r="PDX617" s="5" t="s">
        <v>3728</v>
      </c>
      <c r="PDY617" s="17">
        <v>44925</v>
      </c>
      <c r="PDZ617" s="5" t="s">
        <v>3728</v>
      </c>
      <c r="PEA617" s="17">
        <v>44925</v>
      </c>
      <c r="PEB617" s="5" t="s">
        <v>3728</v>
      </c>
      <c r="PEC617" s="17">
        <v>44925</v>
      </c>
      <c r="PED617" s="5" t="s">
        <v>3728</v>
      </c>
      <c r="PEE617" s="17">
        <v>44925</v>
      </c>
      <c r="PEF617" s="5" t="s">
        <v>3728</v>
      </c>
      <c r="PEG617" s="17">
        <v>44925</v>
      </c>
      <c r="PEH617" s="5" t="s">
        <v>3728</v>
      </c>
      <c r="PEI617" s="17">
        <v>44925</v>
      </c>
      <c r="PEJ617" s="5" t="s">
        <v>3728</v>
      </c>
      <c r="PEK617" s="17">
        <v>44925</v>
      </c>
      <c r="PEL617" s="5" t="s">
        <v>3728</v>
      </c>
      <c r="PEM617" s="17">
        <v>44925</v>
      </c>
      <c r="PEN617" s="5" t="s">
        <v>3728</v>
      </c>
      <c r="PEO617" s="17">
        <v>44925</v>
      </c>
      <c r="PEP617" s="5" t="s">
        <v>3728</v>
      </c>
      <c r="PEQ617" s="17">
        <v>44925</v>
      </c>
      <c r="PER617" s="5" t="s">
        <v>3728</v>
      </c>
      <c r="PES617" s="17">
        <v>44925</v>
      </c>
      <c r="PET617" s="5" t="s">
        <v>3728</v>
      </c>
      <c r="PEU617" s="17">
        <v>44925</v>
      </c>
      <c r="PEV617" s="5" t="s">
        <v>3728</v>
      </c>
      <c r="PEW617" s="17">
        <v>44925</v>
      </c>
      <c r="PEX617" s="5" t="s">
        <v>3728</v>
      </c>
      <c r="PEY617" s="17">
        <v>44925</v>
      </c>
      <c r="PEZ617" s="5" t="s">
        <v>3728</v>
      </c>
      <c r="PFA617" s="17">
        <v>44925</v>
      </c>
      <c r="PFB617" s="5" t="s">
        <v>3728</v>
      </c>
      <c r="PFC617" s="17">
        <v>44925</v>
      </c>
      <c r="PFD617" s="5" t="s">
        <v>3728</v>
      </c>
      <c r="PFE617" s="17">
        <v>44925</v>
      </c>
      <c r="PFF617" s="5" t="s">
        <v>3728</v>
      </c>
      <c r="PFG617" s="17">
        <v>44925</v>
      </c>
      <c r="PFH617" s="5" t="s">
        <v>3728</v>
      </c>
      <c r="PFI617" s="17">
        <v>44925</v>
      </c>
      <c r="PFJ617" s="5" t="s">
        <v>3728</v>
      </c>
      <c r="PFK617" s="17">
        <v>44925</v>
      </c>
      <c r="PFL617" s="5" t="s">
        <v>3728</v>
      </c>
      <c r="PFM617" s="17">
        <v>44925</v>
      </c>
      <c r="PFN617" s="5" t="s">
        <v>3728</v>
      </c>
      <c r="PFO617" s="17">
        <v>44925</v>
      </c>
      <c r="PFP617" s="5" t="s">
        <v>3728</v>
      </c>
      <c r="PFQ617" s="17">
        <v>44925</v>
      </c>
      <c r="PFR617" s="5" t="s">
        <v>3728</v>
      </c>
      <c r="PFS617" s="17">
        <v>44925</v>
      </c>
      <c r="PFT617" s="5" t="s">
        <v>3728</v>
      </c>
      <c r="PFU617" s="17">
        <v>44925</v>
      </c>
      <c r="PFV617" s="5" t="s">
        <v>3728</v>
      </c>
      <c r="PFW617" s="17">
        <v>44925</v>
      </c>
      <c r="PFX617" s="5" t="s">
        <v>3728</v>
      </c>
      <c r="PFY617" s="17">
        <v>44925</v>
      </c>
      <c r="PFZ617" s="5" t="s">
        <v>3728</v>
      </c>
      <c r="PGA617" s="17">
        <v>44925</v>
      </c>
      <c r="PGB617" s="5" t="s">
        <v>3728</v>
      </c>
      <c r="PGC617" s="17">
        <v>44925</v>
      </c>
      <c r="PGD617" s="5" t="s">
        <v>3728</v>
      </c>
      <c r="PGE617" s="17">
        <v>44925</v>
      </c>
      <c r="PGF617" s="5" t="s">
        <v>3728</v>
      </c>
      <c r="PGG617" s="17">
        <v>44925</v>
      </c>
      <c r="PGH617" s="5" t="s">
        <v>3728</v>
      </c>
      <c r="PGI617" s="17">
        <v>44925</v>
      </c>
      <c r="PGJ617" s="5" t="s">
        <v>3728</v>
      </c>
      <c r="PGK617" s="17">
        <v>44925</v>
      </c>
      <c r="PGL617" s="5" t="s">
        <v>3728</v>
      </c>
      <c r="PGM617" s="17">
        <v>44925</v>
      </c>
      <c r="PGN617" s="5" t="s">
        <v>3728</v>
      </c>
      <c r="PGO617" s="17">
        <v>44925</v>
      </c>
      <c r="PGP617" s="5" t="s">
        <v>3728</v>
      </c>
      <c r="PGQ617" s="17">
        <v>44925</v>
      </c>
      <c r="PGR617" s="5" t="s">
        <v>3728</v>
      </c>
      <c r="PGS617" s="17">
        <v>44925</v>
      </c>
      <c r="PGT617" s="5" t="s">
        <v>3728</v>
      </c>
      <c r="PGU617" s="17">
        <v>44925</v>
      </c>
      <c r="PGV617" s="5" t="s">
        <v>3728</v>
      </c>
      <c r="PGW617" s="17">
        <v>44925</v>
      </c>
      <c r="PGX617" s="5" t="s">
        <v>3728</v>
      </c>
      <c r="PGY617" s="17">
        <v>44925</v>
      </c>
      <c r="PGZ617" s="5" t="s">
        <v>3728</v>
      </c>
      <c r="PHA617" s="17">
        <v>44925</v>
      </c>
      <c r="PHB617" s="5" t="s">
        <v>3728</v>
      </c>
      <c r="PHC617" s="17">
        <v>44925</v>
      </c>
      <c r="PHD617" s="5" t="s">
        <v>3728</v>
      </c>
      <c r="PHE617" s="17">
        <v>44925</v>
      </c>
      <c r="PHF617" s="5" t="s">
        <v>3728</v>
      </c>
      <c r="PHG617" s="17">
        <v>44925</v>
      </c>
      <c r="PHH617" s="5" t="s">
        <v>3728</v>
      </c>
      <c r="PHI617" s="17">
        <v>44925</v>
      </c>
      <c r="PHJ617" s="5" t="s">
        <v>3728</v>
      </c>
      <c r="PHK617" s="17">
        <v>44925</v>
      </c>
      <c r="PHL617" s="5" t="s">
        <v>3728</v>
      </c>
      <c r="PHM617" s="17">
        <v>44925</v>
      </c>
      <c r="PHN617" s="5" t="s">
        <v>3728</v>
      </c>
      <c r="PHO617" s="17">
        <v>44925</v>
      </c>
      <c r="PHP617" s="5" t="s">
        <v>3728</v>
      </c>
      <c r="PHQ617" s="17">
        <v>44925</v>
      </c>
      <c r="PHR617" s="5" t="s">
        <v>3728</v>
      </c>
      <c r="PHS617" s="17">
        <v>44925</v>
      </c>
      <c r="PHT617" s="5" t="s">
        <v>3728</v>
      </c>
      <c r="PHU617" s="17">
        <v>44925</v>
      </c>
      <c r="PHV617" s="5" t="s">
        <v>3728</v>
      </c>
      <c r="PHW617" s="17">
        <v>44925</v>
      </c>
      <c r="PHX617" s="5" t="s">
        <v>3728</v>
      </c>
      <c r="PHY617" s="17">
        <v>44925</v>
      </c>
      <c r="PHZ617" s="5" t="s">
        <v>3728</v>
      </c>
      <c r="PIA617" s="17">
        <v>44925</v>
      </c>
      <c r="PIB617" s="5" t="s">
        <v>3728</v>
      </c>
      <c r="PIC617" s="17">
        <v>44925</v>
      </c>
      <c r="PID617" s="5" t="s">
        <v>3728</v>
      </c>
      <c r="PIE617" s="17">
        <v>44925</v>
      </c>
      <c r="PIF617" s="5" t="s">
        <v>3728</v>
      </c>
      <c r="PIG617" s="17">
        <v>44925</v>
      </c>
      <c r="PIH617" s="5" t="s">
        <v>3728</v>
      </c>
      <c r="PII617" s="17">
        <v>44925</v>
      </c>
      <c r="PIJ617" s="5" t="s">
        <v>3728</v>
      </c>
      <c r="PIK617" s="17">
        <v>44925</v>
      </c>
      <c r="PIL617" s="5" t="s">
        <v>3728</v>
      </c>
      <c r="PIM617" s="17">
        <v>44925</v>
      </c>
      <c r="PIN617" s="5" t="s">
        <v>3728</v>
      </c>
      <c r="PIO617" s="17">
        <v>44925</v>
      </c>
      <c r="PIP617" s="5" t="s">
        <v>3728</v>
      </c>
      <c r="PIQ617" s="17">
        <v>44925</v>
      </c>
      <c r="PIR617" s="5" t="s">
        <v>3728</v>
      </c>
      <c r="PIS617" s="17">
        <v>44925</v>
      </c>
      <c r="PIT617" s="5" t="s">
        <v>3728</v>
      </c>
      <c r="PIU617" s="17">
        <v>44925</v>
      </c>
      <c r="PIV617" s="5" t="s">
        <v>3728</v>
      </c>
      <c r="PIW617" s="17">
        <v>44925</v>
      </c>
      <c r="PIX617" s="5" t="s">
        <v>3728</v>
      </c>
      <c r="PIY617" s="17">
        <v>44925</v>
      </c>
      <c r="PIZ617" s="5" t="s">
        <v>3728</v>
      </c>
      <c r="PJA617" s="17">
        <v>44925</v>
      </c>
      <c r="PJB617" s="5" t="s">
        <v>3728</v>
      </c>
      <c r="PJC617" s="17">
        <v>44925</v>
      </c>
      <c r="PJD617" s="5" t="s">
        <v>3728</v>
      </c>
      <c r="PJE617" s="17">
        <v>44925</v>
      </c>
      <c r="PJF617" s="5" t="s">
        <v>3728</v>
      </c>
      <c r="PJG617" s="17">
        <v>44925</v>
      </c>
      <c r="PJH617" s="5" t="s">
        <v>3728</v>
      </c>
      <c r="PJI617" s="17">
        <v>44925</v>
      </c>
      <c r="PJJ617" s="5" t="s">
        <v>3728</v>
      </c>
      <c r="PJK617" s="17">
        <v>44925</v>
      </c>
      <c r="PJL617" s="5" t="s">
        <v>3728</v>
      </c>
      <c r="PJM617" s="17">
        <v>44925</v>
      </c>
      <c r="PJN617" s="5" t="s">
        <v>3728</v>
      </c>
      <c r="PJO617" s="17">
        <v>44925</v>
      </c>
      <c r="PJP617" s="5" t="s">
        <v>3728</v>
      </c>
      <c r="PJQ617" s="17">
        <v>44925</v>
      </c>
      <c r="PJR617" s="5" t="s">
        <v>3728</v>
      </c>
      <c r="PJS617" s="17">
        <v>44925</v>
      </c>
      <c r="PJT617" s="5" t="s">
        <v>3728</v>
      </c>
      <c r="PJU617" s="17">
        <v>44925</v>
      </c>
      <c r="PJV617" s="5" t="s">
        <v>3728</v>
      </c>
      <c r="PJW617" s="17">
        <v>44925</v>
      </c>
      <c r="PJX617" s="5" t="s">
        <v>3728</v>
      </c>
      <c r="PJY617" s="17">
        <v>44925</v>
      </c>
      <c r="PJZ617" s="5" t="s">
        <v>3728</v>
      </c>
      <c r="PKA617" s="17">
        <v>44925</v>
      </c>
      <c r="PKB617" s="5" t="s">
        <v>3728</v>
      </c>
      <c r="PKC617" s="17">
        <v>44925</v>
      </c>
      <c r="PKD617" s="5" t="s">
        <v>3728</v>
      </c>
      <c r="PKE617" s="17">
        <v>44925</v>
      </c>
      <c r="PKF617" s="5" t="s">
        <v>3728</v>
      </c>
      <c r="PKG617" s="17">
        <v>44925</v>
      </c>
      <c r="PKH617" s="5" t="s">
        <v>3728</v>
      </c>
      <c r="PKI617" s="17">
        <v>44925</v>
      </c>
      <c r="PKJ617" s="5" t="s">
        <v>3728</v>
      </c>
      <c r="PKK617" s="17">
        <v>44925</v>
      </c>
      <c r="PKL617" s="5" t="s">
        <v>3728</v>
      </c>
      <c r="PKM617" s="17">
        <v>44925</v>
      </c>
      <c r="PKN617" s="5" t="s">
        <v>3728</v>
      </c>
      <c r="PKO617" s="17">
        <v>44925</v>
      </c>
      <c r="PKP617" s="5" t="s">
        <v>3728</v>
      </c>
      <c r="PKQ617" s="17">
        <v>44925</v>
      </c>
      <c r="PKR617" s="5" t="s">
        <v>3728</v>
      </c>
      <c r="PKS617" s="17">
        <v>44925</v>
      </c>
      <c r="PKT617" s="5" t="s">
        <v>3728</v>
      </c>
      <c r="PKU617" s="17">
        <v>44925</v>
      </c>
      <c r="PKV617" s="5" t="s">
        <v>3728</v>
      </c>
      <c r="PKW617" s="17">
        <v>44925</v>
      </c>
      <c r="PKX617" s="5" t="s">
        <v>3728</v>
      </c>
      <c r="PKY617" s="17">
        <v>44925</v>
      </c>
      <c r="PKZ617" s="5" t="s">
        <v>3728</v>
      </c>
      <c r="PLA617" s="17">
        <v>44925</v>
      </c>
      <c r="PLB617" s="5" t="s">
        <v>3728</v>
      </c>
      <c r="PLC617" s="17">
        <v>44925</v>
      </c>
      <c r="PLD617" s="5" t="s">
        <v>3728</v>
      </c>
      <c r="PLE617" s="17">
        <v>44925</v>
      </c>
      <c r="PLF617" s="5" t="s">
        <v>3728</v>
      </c>
      <c r="PLG617" s="17">
        <v>44925</v>
      </c>
      <c r="PLH617" s="5" t="s">
        <v>3728</v>
      </c>
      <c r="PLI617" s="17">
        <v>44925</v>
      </c>
      <c r="PLJ617" s="5" t="s">
        <v>3728</v>
      </c>
      <c r="PLK617" s="17">
        <v>44925</v>
      </c>
      <c r="PLL617" s="5" t="s">
        <v>3728</v>
      </c>
      <c r="PLM617" s="17">
        <v>44925</v>
      </c>
      <c r="PLN617" s="5" t="s">
        <v>3728</v>
      </c>
      <c r="PLO617" s="17">
        <v>44925</v>
      </c>
      <c r="PLP617" s="5" t="s">
        <v>3728</v>
      </c>
      <c r="PLQ617" s="17">
        <v>44925</v>
      </c>
      <c r="PLR617" s="5" t="s">
        <v>3728</v>
      </c>
      <c r="PLS617" s="17">
        <v>44925</v>
      </c>
      <c r="PLT617" s="5" t="s">
        <v>3728</v>
      </c>
      <c r="PLU617" s="17">
        <v>44925</v>
      </c>
      <c r="PLV617" s="5" t="s">
        <v>3728</v>
      </c>
      <c r="PLW617" s="17">
        <v>44925</v>
      </c>
      <c r="PLX617" s="5" t="s">
        <v>3728</v>
      </c>
      <c r="PLY617" s="17">
        <v>44925</v>
      </c>
      <c r="PLZ617" s="5" t="s">
        <v>3728</v>
      </c>
      <c r="PMA617" s="17">
        <v>44925</v>
      </c>
      <c r="PMB617" s="5" t="s">
        <v>3728</v>
      </c>
      <c r="PMC617" s="17">
        <v>44925</v>
      </c>
      <c r="PMD617" s="5" t="s">
        <v>3728</v>
      </c>
      <c r="PME617" s="17">
        <v>44925</v>
      </c>
      <c r="PMF617" s="5" t="s">
        <v>3728</v>
      </c>
      <c r="PMG617" s="17">
        <v>44925</v>
      </c>
      <c r="PMH617" s="5" t="s">
        <v>3728</v>
      </c>
      <c r="PMI617" s="17">
        <v>44925</v>
      </c>
      <c r="PMJ617" s="5" t="s">
        <v>3728</v>
      </c>
      <c r="PMK617" s="17">
        <v>44925</v>
      </c>
      <c r="PML617" s="5" t="s">
        <v>3728</v>
      </c>
      <c r="PMM617" s="17">
        <v>44925</v>
      </c>
      <c r="PMN617" s="5" t="s">
        <v>3728</v>
      </c>
      <c r="PMO617" s="17">
        <v>44925</v>
      </c>
      <c r="PMP617" s="5" t="s">
        <v>3728</v>
      </c>
      <c r="PMQ617" s="17">
        <v>44925</v>
      </c>
      <c r="PMR617" s="5" t="s">
        <v>3728</v>
      </c>
      <c r="PMS617" s="17">
        <v>44925</v>
      </c>
      <c r="PMT617" s="5" t="s">
        <v>3728</v>
      </c>
      <c r="PMU617" s="17">
        <v>44925</v>
      </c>
      <c r="PMV617" s="5" t="s">
        <v>3728</v>
      </c>
      <c r="PMW617" s="17">
        <v>44925</v>
      </c>
      <c r="PMX617" s="5" t="s">
        <v>3728</v>
      </c>
      <c r="PMY617" s="17">
        <v>44925</v>
      </c>
      <c r="PMZ617" s="5" t="s">
        <v>3728</v>
      </c>
      <c r="PNA617" s="17">
        <v>44925</v>
      </c>
      <c r="PNB617" s="5" t="s">
        <v>3728</v>
      </c>
      <c r="PNC617" s="17">
        <v>44925</v>
      </c>
      <c r="PND617" s="5" t="s">
        <v>3728</v>
      </c>
      <c r="PNE617" s="17">
        <v>44925</v>
      </c>
      <c r="PNF617" s="5" t="s">
        <v>3728</v>
      </c>
      <c r="PNG617" s="17">
        <v>44925</v>
      </c>
      <c r="PNH617" s="5" t="s">
        <v>3728</v>
      </c>
      <c r="PNI617" s="17">
        <v>44925</v>
      </c>
      <c r="PNJ617" s="5" t="s">
        <v>3728</v>
      </c>
      <c r="PNK617" s="17">
        <v>44925</v>
      </c>
      <c r="PNL617" s="5" t="s">
        <v>3728</v>
      </c>
      <c r="PNM617" s="17">
        <v>44925</v>
      </c>
      <c r="PNN617" s="5" t="s">
        <v>3728</v>
      </c>
      <c r="PNO617" s="17">
        <v>44925</v>
      </c>
      <c r="PNP617" s="5" t="s">
        <v>3728</v>
      </c>
      <c r="PNQ617" s="17">
        <v>44925</v>
      </c>
      <c r="PNR617" s="5" t="s">
        <v>3728</v>
      </c>
      <c r="PNS617" s="17">
        <v>44925</v>
      </c>
      <c r="PNT617" s="5" t="s">
        <v>3728</v>
      </c>
      <c r="PNU617" s="17">
        <v>44925</v>
      </c>
      <c r="PNV617" s="5" t="s">
        <v>3728</v>
      </c>
      <c r="PNW617" s="17">
        <v>44925</v>
      </c>
      <c r="PNX617" s="5" t="s">
        <v>3728</v>
      </c>
      <c r="PNY617" s="17">
        <v>44925</v>
      </c>
      <c r="PNZ617" s="5" t="s">
        <v>3728</v>
      </c>
      <c r="POA617" s="17">
        <v>44925</v>
      </c>
      <c r="POB617" s="5" t="s">
        <v>3728</v>
      </c>
      <c r="POC617" s="17">
        <v>44925</v>
      </c>
      <c r="POD617" s="5" t="s">
        <v>3728</v>
      </c>
      <c r="POE617" s="17">
        <v>44925</v>
      </c>
      <c r="POF617" s="5" t="s">
        <v>3728</v>
      </c>
      <c r="POG617" s="17">
        <v>44925</v>
      </c>
      <c r="POH617" s="5" t="s">
        <v>3728</v>
      </c>
      <c r="POI617" s="17">
        <v>44925</v>
      </c>
      <c r="POJ617" s="5" t="s">
        <v>3728</v>
      </c>
      <c r="POK617" s="17">
        <v>44925</v>
      </c>
      <c r="POL617" s="5" t="s">
        <v>3728</v>
      </c>
      <c r="POM617" s="17">
        <v>44925</v>
      </c>
      <c r="PON617" s="5" t="s">
        <v>3728</v>
      </c>
      <c r="POO617" s="17">
        <v>44925</v>
      </c>
      <c r="POP617" s="5" t="s">
        <v>3728</v>
      </c>
      <c r="POQ617" s="17">
        <v>44925</v>
      </c>
      <c r="POR617" s="5" t="s">
        <v>3728</v>
      </c>
      <c r="POS617" s="17">
        <v>44925</v>
      </c>
      <c r="POT617" s="5" t="s">
        <v>3728</v>
      </c>
      <c r="POU617" s="17">
        <v>44925</v>
      </c>
      <c r="POV617" s="5" t="s">
        <v>3728</v>
      </c>
      <c r="POW617" s="17">
        <v>44925</v>
      </c>
      <c r="POX617" s="5" t="s">
        <v>3728</v>
      </c>
      <c r="POY617" s="17">
        <v>44925</v>
      </c>
      <c r="POZ617" s="5" t="s">
        <v>3728</v>
      </c>
      <c r="PPA617" s="17">
        <v>44925</v>
      </c>
      <c r="PPB617" s="5" t="s">
        <v>3728</v>
      </c>
      <c r="PPC617" s="17">
        <v>44925</v>
      </c>
      <c r="PPD617" s="5" t="s">
        <v>3728</v>
      </c>
      <c r="PPE617" s="17">
        <v>44925</v>
      </c>
      <c r="PPF617" s="5" t="s">
        <v>3728</v>
      </c>
      <c r="PPG617" s="17">
        <v>44925</v>
      </c>
      <c r="PPH617" s="5" t="s">
        <v>3728</v>
      </c>
      <c r="PPI617" s="17">
        <v>44925</v>
      </c>
      <c r="PPJ617" s="5" t="s">
        <v>3728</v>
      </c>
      <c r="PPK617" s="17">
        <v>44925</v>
      </c>
      <c r="PPL617" s="5" t="s">
        <v>3728</v>
      </c>
      <c r="PPM617" s="17">
        <v>44925</v>
      </c>
      <c r="PPN617" s="5" t="s">
        <v>3728</v>
      </c>
      <c r="PPO617" s="17">
        <v>44925</v>
      </c>
      <c r="PPP617" s="5" t="s">
        <v>3728</v>
      </c>
      <c r="PPQ617" s="17">
        <v>44925</v>
      </c>
      <c r="PPR617" s="5" t="s">
        <v>3728</v>
      </c>
      <c r="PPS617" s="17">
        <v>44925</v>
      </c>
      <c r="PPT617" s="5" t="s">
        <v>3728</v>
      </c>
      <c r="PPU617" s="17">
        <v>44925</v>
      </c>
      <c r="PPV617" s="5" t="s">
        <v>3728</v>
      </c>
      <c r="PPW617" s="17">
        <v>44925</v>
      </c>
      <c r="PPX617" s="5" t="s">
        <v>3728</v>
      </c>
      <c r="PPY617" s="17">
        <v>44925</v>
      </c>
      <c r="PPZ617" s="5" t="s">
        <v>3728</v>
      </c>
      <c r="PQA617" s="17">
        <v>44925</v>
      </c>
      <c r="PQB617" s="5" t="s">
        <v>3728</v>
      </c>
      <c r="PQC617" s="17">
        <v>44925</v>
      </c>
      <c r="PQD617" s="5" t="s">
        <v>3728</v>
      </c>
      <c r="PQE617" s="17">
        <v>44925</v>
      </c>
      <c r="PQF617" s="5" t="s">
        <v>3728</v>
      </c>
      <c r="PQG617" s="17">
        <v>44925</v>
      </c>
      <c r="PQH617" s="5" t="s">
        <v>3728</v>
      </c>
      <c r="PQI617" s="17">
        <v>44925</v>
      </c>
      <c r="PQJ617" s="5" t="s">
        <v>3728</v>
      </c>
      <c r="PQK617" s="17">
        <v>44925</v>
      </c>
      <c r="PQL617" s="5" t="s">
        <v>3728</v>
      </c>
      <c r="PQM617" s="17">
        <v>44925</v>
      </c>
      <c r="PQN617" s="5" t="s">
        <v>3728</v>
      </c>
      <c r="PQO617" s="17">
        <v>44925</v>
      </c>
      <c r="PQP617" s="5" t="s">
        <v>3728</v>
      </c>
      <c r="PQQ617" s="17">
        <v>44925</v>
      </c>
      <c r="PQR617" s="5" t="s">
        <v>3728</v>
      </c>
      <c r="PQS617" s="17">
        <v>44925</v>
      </c>
      <c r="PQT617" s="5" t="s">
        <v>3728</v>
      </c>
      <c r="PQU617" s="17">
        <v>44925</v>
      </c>
      <c r="PQV617" s="5" t="s">
        <v>3728</v>
      </c>
      <c r="PQW617" s="17">
        <v>44925</v>
      </c>
      <c r="PQX617" s="5" t="s">
        <v>3728</v>
      </c>
      <c r="PQY617" s="17">
        <v>44925</v>
      </c>
      <c r="PQZ617" s="5" t="s">
        <v>3728</v>
      </c>
      <c r="PRA617" s="17">
        <v>44925</v>
      </c>
      <c r="PRB617" s="5" t="s">
        <v>3728</v>
      </c>
      <c r="PRC617" s="17">
        <v>44925</v>
      </c>
      <c r="PRD617" s="5" t="s">
        <v>3728</v>
      </c>
      <c r="PRE617" s="17">
        <v>44925</v>
      </c>
      <c r="PRF617" s="5" t="s">
        <v>3728</v>
      </c>
      <c r="PRG617" s="17">
        <v>44925</v>
      </c>
      <c r="PRH617" s="5" t="s">
        <v>3728</v>
      </c>
      <c r="PRI617" s="17">
        <v>44925</v>
      </c>
      <c r="PRJ617" s="5" t="s">
        <v>3728</v>
      </c>
      <c r="PRK617" s="17">
        <v>44925</v>
      </c>
      <c r="PRL617" s="5" t="s">
        <v>3728</v>
      </c>
      <c r="PRM617" s="17">
        <v>44925</v>
      </c>
      <c r="PRN617" s="5" t="s">
        <v>3728</v>
      </c>
      <c r="PRO617" s="17">
        <v>44925</v>
      </c>
      <c r="PRP617" s="5" t="s">
        <v>3728</v>
      </c>
      <c r="PRQ617" s="17">
        <v>44925</v>
      </c>
      <c r="PRR617" s="5" t="s">
        <v>3728</v>
      </c>
      <c r="PRS617" s="17">
        <v>44925</v>
      </c>
      <c r="PRT617" s="5" t="s">
        <v>3728</v>
      </c>
      <c r="PRU617" s="17">
        <v>44925</v>
      </c>
      <c r="PRV617" s="5" t="s">
        <v>3728</v>
      </c>
      <c r="PRW617" s="17">
        <v>44925</v>
      </c>
      <c r="PRX617" s="5" t="s">
        <v>3728</v>
      </c>
      <c r="PRY617" s="17">
        <v>44925</v>
      </c>
      <c r="PRZ617" s="5" t="s">
        <v>3728</v>
      </c>
      <c r="PSA617" s="17">
        <v>44925</v>
      </c>
      <c r="PSB617" s="5" t="s">
        <v>3728</v>
      </c>
      <c r="PSC617" s="17">
        <v>44925</v>
      </c>
      <c r="PSD617" s="5" t="s">
        <v>3728</v>
      </c>
      <c r="PSE617" s="17">
        <v>44925</v>
      </c>
      <c r="PSF617" s="5" t="s">
        <v>3728</v>
      </c>
      <c r="PSG617" s="17">
        <v>44925</v>
      </c>
      <c r="PSH617" s="5" t="s">
        <v>3728</v>
      </c>
      <c r="PSI617" s="17">
        <v>44925</v>
      </c>
      <c r="PSJ617" s="5" t="s">
        <v>3728</v>
      </c>
      <c r="PSK617" s="17">
        <v>44925</v>
      </c>
      <c r="PSL617" s="5" t="s">
        <v>3728</v>
      </c>
      <c r="PSM617" s="17">
        <v>44925</v>
      </c>
      <c r="PSN617" s="5" t="s">
        <v>3728</v>
      </c>
      <c r="PSO617" s="17">
        <v>44925</v>
      </c>
      <c r="PSP617" s="5" t="s">
        <v>3728</v>
      </c>
      <c r="PSQ617" s="17">
        <v>44925</v>
      </c>
      <c r="PSR617" s="5" t="s">
        <v>3728</v>
      </c>
      <c r="PSS617" s="17">
        <v>44925</v>
      </c>
      <c r="PST617" s="5" t="s">
        <v>3728</v>
      </c>
      <c r="PSU617" s="17">
        <v>44925</v>
      </c>
      <c r="PSV617" s="5" t="s">
        <v>3728</v>
      </c>
      <c r="PSW617" s="17">
        <v>44925</v>
      </c>
      <c r="PSX617" s="5" t="s">
        <v>3728</v>
      </c>
      <c r="PSY617" s="17">
        <v>44925</v>
      </c>
      <c r="PSZ617" s="5" t="s">
        <v>3728</v>
      </c>
      <c r="PTA617" s="17">
        <v>44925</v>
      </c>
      <c r="PTB617" s="5" t="s">
        <v>3728</v>
      </c>
      <c r="PTC617" s="17">
        <v>44925</v>
      </c>
      <c r="PTD617" s="5" t="s">
        <v>3728</v>
      </c>
      <c r="PTE617" s="17">
        <v>44925</v>
      </c>
      <c r="PTF617" s="5" t="s">
        <v>3728</v>
      </c>
      <c r="PTG617" s="17">
        <v>44925</v>
      </c>
      <c r="PTH617" s="5" t="s">
        <v>3728</v>
      </c>
      <c r="PTI617" s="17">
        <v>44925</v>
      </c>
      <c r="PTJ617" s="5" t="s">
        <v>3728</v>
      </c>
      <c r="PTK617" s="17">
        <v>44925</v>
      </c>
      <c r="PTL617" s="5" t="s">
        <v>3728</v>
      </c>
      <c r="PTM617" s="17">
        <v>44925</v>
      </c>
      <c r="PTN617" s="5" t="s">
        <v>3728</v>
      </c>
      <c r="PTO617" s="17">
        <v>44925</v>
      </c>
      <c r="PTP617" s="5" t="s">
        <v>3728</v>
      </c>
      <c r="PTQ617" s="17">
        <v>44925</v>
      </c>
      <c r="PTR617" s="5" t="s">
        <v>3728</v>
      </c>
      <c r="PTS617" s="17">
        <v>44925</v>
      </c>
      <c r="PTT617" s="5" t="s">
        <v>3728</v>
      </c>
      <c r="PTU617" s="17">
        <v>44925</v>
      </c>
      <c r="PTV617" s="5" t="s">
        <v>3728</v>
      </c>
      <c r="PTW617" s="17">
        <v>44925</v>
      </c>
      <c r="PTX617" s="5" t="s">
        <v>3728</v>
      </c>
      <c r="PTY617" s="17">
        <v>44925</v>
      </c>
      <c r="PTZ617" s="5" t="s">
        <v>3728</v>
      </c>
      <c r="PUA617" s="17">
        <v>44925</v>
      </c>
      <c r="PUB617" s="5" t="s">
        <v>3728</v>
      </c>
      <c r="PUC617" s="17">
        <v>44925</v>
      </c>
      <c r="PUD617" s="5" t="s">
        <v>3728</v>
      </c>
      <c r="PUE617" s="17">
        <v>44925</v>
      </c>
      <c r="PUF617" s="5" t="s">
        <v>3728</v>
      </c>
      <c r="PUG617" s="17">
        <v>44925</v>
      </c>
      <c r="PUH617" s="5" t="s">
        <v>3728</v>
      </c>
      <c r="PUI617" s="17">
        <v>44925</v>
      </c>
      <c r="PUJ617" s="5" t="s">
        <v>3728</v>
      </c>
      <c r="PUK617" s="17">
        <v>44925</v>
      </c>
      <c r="PUL617" s="5" t="s">
        <v>3728</v>
      </c>
      <c r="PUM617" s="17">
        <v>44925</v>
      </c>
      <c r="PUN617" s="5" t="s">
        <v>3728</v>
      </c>
      <c r="PUO617" s="17">
        <v>44925</v>
      </c>
      <c r="PUP617" s="5" t="s">
        <v>3728</v>
      </c>
      <c r="PUQ617" s="17">
        <v>44925</v>
      </c>
      <c r="PUR617" s="5" t="s">
        <v>3728</v>
      </c>
      <c r="PUS617" s="17">
        <v>44925</v>
      </c>
      <c r="PUT617" s="5" t="s">
        <v>3728</v>
      </c>
      <c r="PUU617" s="17">
        <v>44925</v>
      </c>
      <c r="PUV617" s="5" t="s">
        <v>3728</v>
      </c>
      <c r="PUW617" s="17">
        <v>44925</v>
      </c>
      <c r="PUX617" s="5" t="s">
        <v>3728</v>
      </c>
      <c r="PUY617" s="17">
        <v>44925</v>
      </c>
      <c r="PUZ617" s="5" t="s">
        <v>3728</v>
      </c>
      <c r="PVA617" s="17">
        <v>44925</v>
      </c>
      <c r="PVB617" s="5" t="s">
        <v>3728</v>
      </c>
      <c r="PVC617" s="17">
        <v>44925</v>
      </c>
      <c r="PVD617" s="5" t="s">
        <v>3728</v>
      </c>
      <c r="PVE617" s="17">
        <v>44925</v>
      </c>
      <c r="PVF617" s="5" t="s">
        <v>3728</v>
      </c>
      <c r="PVG617" s="17">
        <v>44925</v>
      </c>
      <c r="PVH617" s="5" t="s">
        <v>3728</v>
      </c>
      <c r="PVI617" s="17">
        <v>44925</v>
      </c>
      <c r="PVJ617" s="5" t="s">
        <v>3728</v>
      </c>
      <c r="PVK617" s="17">
        <v>44925</v>
      </c>
      <c r="PVL617" s="5" t="s">
        <v>3728</v>
      </c>
      <c r="PVM617" s="17">
        <v>44925</v>
      </c>
      <c r="PVN617" s="5" t="s">
        <v>3728</v>
      </c>
      <c r="PVO617" s="17">
        <v>44925</v>
      </c>
      <c r="PVP617" s="5" t="s">
        <v>3728</v>
      </c>
      <c r="PVQ617" s="17">
        <v>44925</v>
      </c>
      <c r="PVR617" s="5" t="s">
        <v>3728</v>
      </c>
      <c r="PVS617" s="17">
        <v>44925</v>
      </c>
      <c r="PVT617" s="5" t="s">
        <v>3728</v>
      </c>
      <c r="PVU617" s="17">
        <v>44925</v>
      </c>
      <c r="PVV617" s="5" t="s">
        <v>3728</v>
      </c>
      <c r="PVW617" s="17">
        <v>44925</v>
      </c>
      <c r="PVX617" s="5" t="s">
        <v>3728</v>
      </c>
      <c r="PVY617" s="17">
        <v>44925</v>
      </c>
      <c r="PVZ617" s="5" t="s">
        <v>3728</v>
      </c>
      <c r="PWA617" s="17">
        <v>44925</v>
      </c>
      <c r="PWB617" s="5" t="s">
        <v>3728</v>
      </c>
      <c r="PWC617" s="17">
        <v>44925</v>
      </c>
      <c r="PWD617" s="5" t="s">
        <v>3728</v>
      </c>
      <c r="PWE617" s="17">
        <v>44925</v>
      </c>
      <c r="PWF617" s="5" t="s">
        <v>3728</v>
      </c>
      <c r="PWG617" s="17">
        <v>44925</v>
      </c>
      <c r="PWH617" s="5" t="s">
        <v>3728</v>
      </c>
      <c r="PWI617" s="17">
        <v>44925</v>
      </c>
      <c r="PWJ617" s="5" t="s">
        <v>3728</v>
      </c>
      <c r="PWK617" s="17">
        <v>44925</v>
      </c>
      <c r="PWL617" s="5" t="s">
        <v>3728</v>
      </c>
      <c r="PWM617" s="17">
        <v>44925</v>
      </c>
      <c r="PWN617" s="5" t="s">
        <v>3728</v>
      </c>
      <c r="PWO617" s="17">
        <v>44925</v>
      </c>
      <c r="PWP617" s="5" t="s">
        <v>3728</v>
      </c>
      <c r="PWQ617" s="17">
        <v>44925</v>
      </c>
      <c r="PWR617" s="5" t="s">
        <v>3728</v>
      </c>
      <c r="PWS617" s="17">
        <v>44925</v>
      </c>
      <c r="PWT617" s="5" t="s">
        <v>3728</v>
      </c>
      <c r="PWU617" s="17">
        <v>44925</v>
      </c>
      <c r="PWV617" s="5" t="s">
        <v>3728</v>
      </c>
      <c r="PWW617" s="17">
        <v>44925</v>
      </c>
      <c r="PWX617" s="5" t="s">
        <v>3728</v>
      </c>
      <c r="PWY617" s="17">
        <v>44925</v>
      </c>
      <c r="PWZ617" s="5" t="s">
        <v>3728</v>
      </c>
      <c r="PXA617" s="17">
        <v>44925</v>
      </c>
      <c r="PXB617" s="5" t="s">
        <v>3728</v>
      </c>
      <c r="PXC617" s="17">
        <v>44925</v>
      </c>
      <c r="PXD617" s="5" t="s">
        <v>3728</v>
      </c>
      <c r="PXE617" s="17">
        <v>44925</v>
      </c>
      <c r="PXF617" s="5" t="s">
        <v>3728</v>
      </c>
      <c r="PXG617" s="17">
        <v>44925</v>
      </c>
      <c r="PXH617" s="5" t="s">
        <v>3728</v>
      </c>
      <c r="PXI617" s="17">
        <v>44925</v>
      </c>
      <c r="PXJ617" s="5" t="s">
        <v>3728</v>
      </c>
      <c r="PXK617" s="17">
        <v>44925</v>
      </c>
      <c r="PXL617" s="5" t="s">
        <v>3728</v>
      </c>
      <c r="PXM617" s="17">
        <v>44925</v>
      </c>
      <c r="PXN617" s="5" t="s">
        <v>3728</v>
      </c>
      <c r="PXO617" s="17">
        <v>44925</v>
      </c>
      <c r="PXP617" s="5" t="s">
        <v>3728</v>
      </c>
      <c r="PXQ617" s="17">
        <v>44925</v>
      </c>
      <c r="PXR617" s="5" t="s">
        <v>3728</v>
      </c>
      <c r="PXS617" s="17">
        <v>44925</v>
      </c>
      <c r="PXT617" s="5" t="s">
        <v>3728</v>
      </c>
      <c r="PXU617" s="17">
        <v>44925</v>
      </c>
      <c r="PXV617" s="5" t="s">
        <v>3728</v>
      </c>
      <c r="PXW617" s="17">
        <v>44925</v>
      </c>
      <c r="PXX617" s="5" t="s">
        <v>3728</v>
      </c>
      <c r="PXY617" s="17">
        <v>44925</v>
      </c>
      <c r="PXZ617" s="5" t="s">
        <v>3728</v>
      </c>
      <c r="PYA617" s="17">
        <v>44925</v>
      </c>
      <c r="PYB617" s="5" t="s">
        <v>3728</v>
      </c>
      <c r="PYC617" s="17">
        <v>44925</v>
      </c>
      <c r="PYD617" s="5" t="s">
        <v>3728</v>
      </c>
      <c r="PYE617" s="17">
        <v>44925</v>
      </c>
      <c r="PYF617" s="5" t="s">
        <v>3728</v>
      </c>
      <c r="PYG617" s="17">
        <v>44925</v>
      </c>
      <c r="PYH617" s="5" t="s">
        <v>3728</v>
      </c>
      <c r="PYI617" s="17">
        <v>44925</v>
      </c>
      <c r="PYJ617" s="5" t="s">
        <v>3728</v>
      </c>
      <c r="PYK617" s="17">
        <v>44925</v>
      </c>
      <c r="PYL617" s="5" t="s">
        <v>3728</v>
      </c>
      <c r="PYM617" s="17">
        <v>44925</v>
      </c>
      <c r="PYN617" s="5" t="s">
        <v>3728</v>
      </c>
      <c r="PYO617" s="17">
        <v>44925</v>
      </c>
      <c r="PYP617" s="5" t="s">
        <v>3728</v>
      </c>
      <c r="PYQ617" s="17">
        <v>44925</v>
      </c>
      <c r="PYR617" s="5" t="s">
        <v>3728</v>
      </c>
      <c r="PYS617" s="17">
        <v>44925</v>
      </c>
      <c r="PYT617" s="5" t="s">
        <v>3728</v>
      </c>
      <c r="PYU617" s="17">
        <v>44925</v>
      </c>
      <c r="PYV617" s="5" t="s">
        <v>3728</v>
      </c>
      <c r="PYW617" s="17">
        <v>44925</v>
      </c>
      <c r="PYX617" s="5" t="s">
        <v>3728</v>
      </c>
      <c r="PYY617" s="17">
        <v>44925</v>
      </c>
      <c r="PYZ617" s="5" t="s">
        <v>3728</v>
      </c>
      <c r="PZA617" s="17">
        <v>44925</v>
      </c>
      <c r="PZB617" s="5" t="s">
        <v>3728</v>
      </c>
      <c r="PZC617" s="17">
        <v>44925</v>
      </c>
      <c r="PZD617" s="5" t="s">
        <v>3728</v>
      </c>
      <c r="PZE617" s="17">
        <v>44925</v>
      </c>
      <c r="PZF617" s="5" t="s">
        <v>3728</v>
      </c>
      <c r="PZG617" s="17">
        <v>44925</v>
      </c>
      <c r="PZH617" s="5" t="s">
        <v>3728</v>
      </c>
      <c r="PZI617" s="17">
        <v>44925</v>
      </c>
      <c r="PZJ617" s="5" t="s">
        <v>3728</v>
      </c>
      <c r="PZK617" s="17">
        <v>44925</v>
      </c>
      <c r="PZL617" s="5" t="s">
        <v>3728</v>
      </c>
      <c r="PZM617" s="17">
        <v>44925</v>
      </c>
      <c r="PZN617" s="5" t="s">
        <v>3728</v>
      </c>
      <c r="PZO617" s="17">
        <v>44925</v>
      </c>
      <c r="PZP617" s="5" t="s">
        <v>3728</v>
      </c>
      <c r="PZQ617" s="17">
        <v>44925</v>
      </c>
      <c r="PZR617" s="5" t="s">
        <v>3728</v>
      </c>
      <c r="PZS617" s="17">
        <v>44925</v>
      </c>
      <c r="PZT617" s="5" t="s">
        <v>3728</v>
      </c>
      <c r="PZU617" s="17">
        <v>44925</v>
      </c>
      <c r="PZV617" s="5" t="s">
        <v>3728</v>
      </c>
      <c r="PZW617" s="17">
        <v>44925</v>
      </c>
      <c r="PZX617" s="5" t="s">
        <v>3728</v>
      </c>
      <c r="PZY617" s="17">
        <v>44925</v>
      </c>
      <c r="PZZ617" s="5" t="s">
        <v>3728</v>
      </c>
      <c r="QAA617" s="17">
        <v>44925</v>
      </c>
      <c r="QAB617" s="5" t="s">
        <v>3728</v>
      </c>
      <c r="QAC617" s="17">
        <v>44925</v>
      </c>
      <c r="QAD617" s="5" t="s">
        <v>3728</v>
      </c>
      <c r="QAE617" s="17">
        <v>44925</v>
      </c>
      <c r="QAF617" s="5" t="s">
        <v>3728</v>
      </c>
      <c r="QAG617" s="17">
        <v>44925</v>
      </c>
      <c r="QAH617" s="5" t="s">
        <v>3728</v>
      </c>
      <c r="QAI617" s="17">
        <v>44925</v>
      </c>
      <c r="QAJ617" s="5" t="s">
        <v>3728</v>
      </c>
      <c r="QAK617" s="17">
        <v>44925</v>
      </c>
      <c r="QAL617" s="5" t="s">
        <v>3728</v>
      </c>
      <c r="QAM617" s="17">
        <v>44925</v>
      </c>
      <c r="QAN617" s="5" t="s">
        <v>3728</v>
      </c>
      <c r="QAO617" s="17">
        <v>44925</v>
      </c>
      <c r="QAP617" s="5" t="s">
        <v>3728</v>
      </c>
      <c r="QAQ617" s="17">
        <v>44925</v>
      </c>
      <c r="QAR617" s="5" t="s">
        <v>3728</v>
      </c>
      <c r="QAS617" s="17">
        <v>44925</v>
      </c>
      <c r="QAT617" s="5" t="s">
        <v>3728</v>
      </c>
      <c r="QAU617" s="17">
        <v>44925</v>
      </c>
      <c r="QAV617" s="5" t="s">
        <v>3728</v>
      </c>
      <c r="QAW617" s="17">
        <v>44925</v>
      </c>
      <c r="QAX617" s="5" t="s">
        <v>3728</v>
      </c>
      <c r="QAY617" s="17">
        <v>44925</v>
      </c>
      <c r="QAZ617" s="5" t="s">
        <v>3728</v>
      </c>
      <c r="QBA617" s="17">
        <v>44925</v>
      </c>
      <c r="QBB617" s="5" t="s">
        <v>3728</v>
      </c>
      <c r="QBC617" s="17">
        <v>44925</v>
      </c>
      <c r="QBD617" s="5" t="s">
        <v>3728</v>
      </c>
      <c r="QBE617" s="17">
        <v>44925</v>
      </c>
      <c r="QBF617" s="5" t="s">
        <v>3728</v>
      </c>
      <c r="QBG617" s="17">
        <v>44925</v>
      </c>
      <c r="QBH617" s="5" t="s">
        <v>3728</v>
      </c>
      <c r="QBI617" s="17">
        <v>44925</v>
      </c>
      <c r="QBJ617" s="5" t="s">
        <v>3728</v>
      </c>
      <c r="QBK617" s="17">
        <v>44925</v>
      </c>
      <c r="QBL617" s="5" t="s">
        <v>3728</v>
      </c>
      <c r="QBM617" s="17">
        <v>44925</v>
      </c>
      <c r="QBN617" s="5" t="s">
        <v>3728</v>
      </c>
      <c r="QBO617" s="17">
        <v>44925</v>
      </c>
      <c r="QBP617" s="5" t="s">
        <v>3728</v>
      </c>
      <c r="QBQ617" s="17">
        <v>44925</v>
      </c>
      <c r="QBR617" s="5" t="s">
        <v>3728</v>
      </c>
      <c r="QBS617" s="17">
        <v>44925</v>
      </c>
      <c r="QBT617" s="5" t="s">
        <v>3728</v>
      </c>
      <c r="QBU617" s="17">
        <v>44925</v>
      </c>
      <c r="QBV617" s="5" t="s">
        <v>3728</v>
      </c>
      <c r="QBW617" s="17">
        <v>44925</v>
      </c>
      <c r="QBX617" s="5" t="s">
        <v>3728</v>
      </c>
      <c r="QBY617" s="17">
        <v>44925</v>
      </c>
      <c r="QBZ617" s="5" t="s">
        <v>3728</v>
      </c>
      <c r="QCA617" s="17">
        <v>44925</v>
      </c>
      <c r="QCB617" s="5" t="s">
        <v>3728</v>
      </c>
      <c r="QCC617" s="17">
        <v>44925</v>
      </c>
      <c r="QCD617" s="5" t="s">
        <v>3728</v>
      </c>
      <c r="QCE617" s="17">
        <v>44925</v>
      </c>
      <c r="QCF617" s="5" t="s">
        <v>3728</v>
      </c>
      <c r="QCG617" s="17">
        <v>44925</v>
      </c>
      <c r="QCH617" s="5" t="s">
        <v>3728</v>
      </c>
      <c r="QCI617" s="17">
        <v>44925</v>
      </c>
      <c r="QCJ617" s="5" t="s">
        <v>3728</v>
      </c>
      <c r="QCK617" s="17">
        <v>44925</v>
      </c>
      <c r="QCL617" s="5" t="s">
        <v>3728</v>
      </c>
      <c r="QCM617" s="17">
        <v>44925</v>
      </c>
      <c r="QCN617" s="5" t="s">
        <v>3728</v>
      </c>
      <c r="QCO617" s="17">
        <v>44925</v>
      </c>
      <c r="QCP617" s="5" t="s">
        <v>3728</v>
      </c>
      <c r="QCQ617" s="17">
        <v>44925</v>
      </c>
      <c r="QCR617" s="5" t="s">
        <v>3728</v>
      </c>
      <c r="QCS617" s="17">
        <v>44925</v>
      </c>
      <c r="QCT617" s="5" t="s">
        <v>3728</v>
      </c>
      <c r="QCU617" s="17">
        <v>44925</v>
      </c>
      <c r="QCV617" s="5" t="s">
        <v>3728</v>
      </c>
      <c r="QCW617" s="17">
        <v>44925</v>
      </c>
      <c r="QCX617" s="5" t="s">
        <v>3728</v>
      </c>
      <c r="QCY617" s="17">
        <v>44925</v>
      </c>
      <c r="QCZ617" s="5" t="s">
        <v>3728</v>
      </c>
      <c r="QDA617" s="17">
        <v>44925</v>
      </c>
      <c r="QDB617" s="5" t="s">
        <v>3728</v>
      </c>
      <c r="QDC617" s="17">
        <v>44925</v>
      </c>
      <c r="QDD617" s="5" t="s">
        <v>3728</v>
      </c>
      <c r="QDE617" s="17">
        <v>44925</v>
      </c>
      <c r="QDF617" s="5" t="s">
        <v>3728</v>
      </c>
      <c r="QDG617" s="17">
        <v>44925</v>
      </c>
      <c r="QDH617" s="5" t="s">
        <v>3728</v>
      </c>
      <c r="QDI617" s="17">
        <v>44925</v>
      </c>
      <c r="QDJ617" s="5" t="s">
        <v>3728</v>
      </c>
      <c r="QDK617" s="17">
        <v>44925</v>
      </c>
      <c r="QDL617" s="5" t="s">
        <v>3728</v>
      </c>
      <c r="QDM617" s="17">
        <v>44925</v>
      </c>
      <c r="QDN617" s="5" t="s">
        <v>3728</v>
      </c>
      <c r="QDO617" s="17">
        <v>44925</v>
      </c>
      <c r="QDP617" s="5" t="s">
        <v>3728</v>
      </c>
      <c r="QDQ617" s="17">
        <v>44925</v>
      </c>
      <c r="QDR617" s="5" t="s">
        <v>3728</v>
      </c>
      <c r="QDS617" s="17">
        <v>44925</v>
      </c>
      <c r="QDT617" s="5" t="s">
        <v>3728</v>
      </c>
      <c r="QDU617" s="17">
        <v>44925</v>
      </c>
      <c r="QDV617" s="5" t="s">
        <v>3728</v>
      </c>
      <c r="QDW617" s="17">
        <v>44925</v>
      </c>
      <c r="QDX617" s="5" t="s">
        <v>3728</v>
      </c>
      <c r="QDY617" s="17">
        <v>44925</v>
      </c>
      <c r="QDZ617" s="5" t="s">
        <v>3728</v>
      </c>
      <c r="QEA617" s="17">
        <v>44925</v>
      </c>
      <c r="QEB617" s="5" t="s">
        <v>3728</v>
      </c>
      <c r="QEC617" s="17">
        <v>44925</v>
      </c>
      <c r="QED617" s="5" t="s">
        <v>3728</v>
      </c>
      <c r="QEE617" s="17">
        <v>44925</v>
      </c>
      <c r="QEF617" s="5" t="s">
        <v>3728</v>
      </c>
      <c r="QEG617" s="17">
        <v>44925</v>
      </c>
      <c r="QEH617" s="5" t="s">
        <v>3728</v>
      </c>
      <c r="QEI617" s="17">
        <v>44925</v>
      </c>
      <c r="QEJ617" s="5" t="s">
        <v>3728</v>
      </c>
      <c r="QEK617" s="17">
        <v>44925</v>
      </c>
      <c r="QEL617" s="5" t="s">
        <v>3728</v>
      </c>
      <c r="QEM617" s="17">
        <v>44925</v>
      </c>
      <c r="QEN617" s="5" t="s">
        <v>3728</v>
      </c>
      <c r="QEO617" s="17">
        <v>44925</v>
      </c>
      <c r="QEP617" s="5" t="s">
        <v>3728</v>
      </c>
      <c r="QEQ617" s="17">
        <v>44925</v>
      </c>
      <c r="QER617" s="5" t="s">
        <v>3728</v>
      </c>
      <c r="QES617" s="17">
        <v>44925</v>
      </c>
      <c r="QET617" s="5" t="s">
        <v>3728</v>
      </c>
      <c r="QEU617" s="17">
        <v>44925</v>
      </c>
      <c r="QEV617" s="5" t="s">
        <v>3728</v>
      </c>
      <c r="QEW617" s="17">
        <v>44925</v>
      </c>
      <c r="QEX617" s="5" t="s">
        <v>3728</v>
      </c>
      <c r="QEY617" s="17">
        <v>44925</v>
      </c>
      <c r="QEZ617" s="5" t="s">
        <v>3728</v>
      </c>
      <c r="QFA617" s="17">
        <v>44925</v>
      </c>
      <c r="QFB617" s="5" t="s">
        <v>3728</v>
      </c>
      <c r="QFC617" s="17">
        <v>44925</v>
      </c>
      <c r="QFD617" s="5" t="s">
        <v>3728</v>
      </c>
      <c r="QFE617" s="17">
        <v>44925</v>
      </c>
      <c r="QFF617" s="5" t="s">
        <v>3728</v>
      </c>
      <c r="QFG617" s="17">
        <v>44925</v>
      </c>
      <c r="QFH617" s="5" t="s">
        <v>3728</v>
      </c>
      <c r="QFI617" s="17">
        <v>44925</v>
      </c>
      <c r="QFJ617" s="5" t="s">
        <v>3728</v>
      </c>
      <c r="QFK617" s="17">
        <v>44925</v>
      </c>
      <c r="QFL617" s="5" t="s">
        <v>3728</v>
      </c>
      <c r="QFM617" s="17">
        <v>44925</v>
      </c>
      <c r="QFN617" s="5" t="s">
        <v>3728</v>
      </c>
      <c r="QFO617" s="17">
        <v>44925</v>
      </c>
      <c r="QFP617" s="5" t="s">
        <v>3728</v>
      </c>
      <c r="QFQ617" s="17">
        <v>44925</v>
      </c>
      <c r="QFR617" s="5" t="s">
        <v>3728</v>
      </c>
      <c r="QFS617" s="17">
        <v>44925</v>
      </c>
      <c r="QFT617" s="5" t="s">
        <v>3728</v>
      </c>
      <c r="QFU617" s="17">
        <v>44925</v>
      </c>
      <c r="QFV617" s="5" t="s">
        <v>3728</v>
      </c>
      <c r="QFW617" s="17">
        <v>44925</v>
      </c>
      <c r="QFX617" s="5" t="s">
        <v>3728</v>
      </c>
      <c r="QFY617" s="17">
        <v>44925</v>
      </c>
      <c r="QFZ617" s="5" t="s">
        <v>3728</v>
      </c>
      <c r="QGA617" s="17">
        <v>44925</v>
      </c>
      <c r="QGB617" s="5" t="s">
        <v>3728</v>
      </c>
      <c r="QGC617" s="17">
        <v>44925</v>
      </c>
      <c r="QGD617" s="5" t="s">
        <v>3728</v>
      </c>
      <c r="QGE617" s="17">
        <v>44925</v>
      </c>
      <c r="QGF617" s="5" t="s">
        <v>3728</v>
      </c>
      <c r="QGG617" s="17">
        <v>44925</v>
      </c>
      <c r="QGH617" s="5" t="s">
        <v>3728</v>
      </c>
      <c r="QGI617" s="17">
        <v>44925</v>
      </c>
      <c r="QGJ617" s="5" t="s">
        <v>3728</v>
      </c>
      <c r="QGK617" s="17">
        <v>44925</v>
      </c>
      <c r="QGL617" s="5" t="s">
        <v>3728</v>
      </c>
      <c r="QGM617" s="17">
        <v>44925</v>
      </c>
      <c r="QGN617" s="5" t="s">
        <v>3728</v>
      </c>
      <c r="QGO617" s="17">
        <v>44925</v>
      </c>
      <c r="QGP617" s="5" t="s">
        <v>3728</v>
      </c>
      <c r="QGQ617" s="17">
        <v>44925</v>
      </c>
      <c r="QGR617" s="5" t="s">
        <v>3728</v>
      </c>
      <c r="QGS617" s="17">
        <v>44925</v>
      </c>
      <c r="QGT617" s="5" t="s">
        <v>3728</v>
      </c>
      <c r="QGU617" s="17">
        <v>44925</v>
      </c>
      <c r="QGV617" s="5" t="s">
        <v>3728</v>
      </c>
      <c r="QGW617" s="17">
        <v>44925</v>
      </c>
      <c r="QGX617" s="5" t="s">
        <v>3728</v>
      </c>
      <c r="QGY617" s="17">
        <v>44925</v>
      </c>
      <c r="QGZ617" s="5" t="s">
        <v>3728</v>
      </c>
      <c r="QHA617" s="17">
        <v>44925</v>
      </c>
      <c r="QHB617" s="5" t="s">
        <v>3728</v>
      </c>
      <c r="QHC617" s="17">
        <v>44925</v>
      </c>
      <c r="QHD617" s="5" t="s">
        <v>3728</v>
      </c>
      <c r="QHE617" s="17">
        <v>44925</v>
      </c>
      <c r="QHF617" s="5" t="s">
        <v>3728</v>
      </c>
      <c r="QHG617" s="17">
        <v>44925</v>
      </c>
      <c r="QHH617" s="5" t="s">
        <v>3728</v>
      </c>
      <c r="QHI617" s="17">
        <v>44925</v>
      </c>
      <c r="QHJ617" s="5" t="s">
        <v>3728</v>
      </c>
      <c r="QHK617" s="17">
        <v>44925</v>
      </c>
      <c r="QHL617" s="5" t="s">
        <v>3728</v>
      </c>
      <c r="QHM617" s="17">
        <v>44925</v>
      </c>
      <c r="QHN617" s="5" t="s">
        <v>3728</v>
      </c>
      <c r="QHO617" s="17">
        <v>44925</v>
      </c>
      <c r="QHP617" s="5" t="s">
        <v>3728</v>
      </c>
      <c r="QHQ617" s="17">
        <v>44925</v>
      </c>
      <c r="QHR617" s="5" t="s">
        <v>3728</v>
      </c>
      <c r="QHS617" s="17">
        <v>44925</v>
      </c>
      <c r="QHT617" s="5" t="s">
        <v>3728</v>
      </c>
      <c r="QHU617" s="17">
        <v>44925</v>
      </c>
      <c r="QHV617" s="5" t="s">
        <v>3728</v>
      </c>
      <c r="QHW617" s="17">
        <v>44925</v>
      </c>
      <c r="QHX617" s="5" t="s">
        <v>3728</v>
      </c>
      <c r="QHY617" s="17">
        <v>44925</v>
      </c>
      <c r="QHZ617" s="5" t="s">
        <v>3728</v>
      </c>
      <c r="QIA617" s="17">
        <v>44925</v>
      </c>
      <c r="QIB617" s="5" t="s">
        <v>3728</v>
      </c>
      <c r="QIC617" s="17">
        <v>44925</v>
      </c>
      <c r="QID617" s="5" t="s">
        <v>3728</v>
      </c>
      <c r="QIE617" s="17">
        <v>44925</v>
      </c>
      <c r="QIF617" s="5" t="s">
        <v>3728</v>
      </c>
      <c r="QIG617" s="17">
        <v>44925</v>
      </c>
      <c r="QIH617" s="5" t="s">
        <v>3728</v>
      </c>
      <c r="QII617" s="17">
        <v>44925</v>
      </c>
      <c r="QIJ617" s="5" t="s">
        <v>3728</v>
      </c>
      <c r="QIK617" s="17">
        <v>44925</v>
      </c>
      <c r="QIL617" s="5" t="s">
        <v>3728</v>
      </c>
      <c r="QIM617" s="17">
        <v>44925</v>
      </c>
      <c r="QIN617" s="5" t="s">
        <v>3728</v>
      </c>
      <c r="QIO617" s="17">
        <v>44925</v>
      </c>
      <c r="QIP617" s="5" t="s">
        <v>3728</v>
      </c>
      <c r="QIQ617" s="17">
        <v>44925</v>
      </c>
      <c r="QIR617" s="5" t="s">
        <v>3728</v>
      </c>
      <c r="QIS617" s="17">
        <v>44925</v>
      </c>
      <c r="QIT617" s="5" t="s">
        <v>3728</v>
      </c>
      <c r="QIU617" s="17">
        <v>44925</v>
      </c>
      <c r="QIV617" s="5" t="s">
        <v>3728</v>
      </c>
      <c r="QIW617" s="17">
        <v>44925</v>
      </c>
      <c r="QIX617" s="5" t="s">
        <v>3728</v>
      </c>
      <c r="QIY617" s="17">
        <v>44925</v>
      </c>
      <c r="QIZ617" s="5" t="s">
        <v>3728</v>
      </c>
      <c r="QJA617" s="17">
        <v>44925</v>
      </c>
      <c r="QJB617" s="5" t="s">
        <v>3728</v>
      </c>
      <c r="QJC617" s="17">
        <v>44925</v>
      </c>
      <c r="QJD617" s="5" t="s">
        <v>3728</v>
      </c>
      <c r="QJE617" s="17">
        <v>44925</v>
      </c>
      <c r="QJF617" s="5" t="s">
        <v>3728</v>
      </c>
      <c r="QJG617" s="17">
        <v>44925</v>
      </c>
      <c r="QJH617" s="5" t="s">
        <v>3728</v>
      </c>
      <c r="QJI617" s="17">
        <v>44925</v>
      </c>
      <c r="QJJ617" s="5" t="s">
        <v>3728</v>
      </c>
      <c r="QJK617" s="17">
        <v>44925</v>
      </c>
      <c r="QJL617" s="5" t="s">
        <v>3728</v>
      </c>
      <c r="QJM617" s="17">
        <v>44925</v>
      </c>
      <c r="QJN617" s="5" t="s">
        <v>3728</v>
      </c>
      <c r="QJO617" s="17">
        <v>44925</v>
      </c>
      <c r="QJP617" s="5" t="s">
        <v>3728</v>
      </c>
      <c r="QJQ617" s="17">
        <v>44925</v>
      </c>
      <c r="QJR617" s="5" t="s">
        <v>3728</v>
      </c>
      <c r="QJS617" s="17">
        <v>44925</v>
      </c>
      <c r="QJT617" s="5" t="s">
        <v>3728</v>
      </c>
      <c r="QJU617" s="17">
        <v>44925</v>
      </c>
      <c r="QJV617" s="5" t="s">
        <v>3728</v>
      </c>
      <c r="QJW617" s="17">
        <v>44925</v>
      </c>
      <c r="QJX617" s="5" t="s">
        <v>3728</v>
      </c>
      <c r="QJY617" s="17">
        <v>44925</v>
      </c>
      <c r="QJZ617" s="5" t="s">
        <v>3728</v>
      </c>
      <c r="QKA617" s="17">
        <v>44925</v>
      </c>
      <c r="QKB617" s="5" t="s">
        <v>3728</v>
      </c>
      <c r="QKC617" s="17">
        <v>44925</v>
      </c>
      <c r="QKD617" s="5" t="s">
        <v>3728</v>
      </c>
      <c r="QKE617" s="17">
        <v>44925</v>
      </c>
      <c r="QKF617" s="5" t="s">
        <v>3728</v>
      </c>
      <c r="QKG617" s="17">
        <v>44925</v>
      </c>
      <c r="QKH617" s="5" t="s">
        <v>3728</v>
      </c>
      <c r="QKI617" s="17">
        <v>44925</v>
      </c>
      <c r="QKJ617" s="5" t="s">
        <v>3728</v>
      </c>
      <c r="QKK617" s="17">
        <v>44925</v>
      </c>
      <c r="QKL617" s="5" t="s">
        <v>3728</v>
      </c>
      <c r="QKM617" s="17">
        <v>44925</v>
      </c>
      <c r="QKN617" s="5" t="s">
        <v>3728</v>
      </c>
      <c r="QKO617" s="17">
        <v>44925</v>
      </c>
      <c r="QKP617" s="5" t="s">
        <v>3728</v>
      </c>
      <c r="QKQ617" s="17">
        <v>44925</v>
      </c>
      <c r="QKR617" s="5" t="s">
        <v>3728</v>
      </c>
      <c r="QKS617" s="17">
        <v>44925</v>
      </c>
      <c r="QKT617" s="5" t="s">
        <v>3728</v>
      </c>
      <c r="QKU617" s="17">
        <v>44925</v>
      </c>
      <c r="QKV617" s="5" t="s">
        <v>3728</v>
      </c>
      <c r="QKW617" s="17">
        <v>44925</v>
      </c>
      <c r="QKX617" s="5" t="s">
        <v>3728</v>
      </c>
      <c r="QKY617" s="17">
        <v>44925</v>
      </c>
      <c r="QKZ617" s="5" t="s">
        <v>3728</v>
      </c>
      <c r="QLA617" s="17">
        <v>44925</v>
      </c>
      <c r="QLB617" s="5" t="s">
        <v>3728</v>
      </c>
      <c r="QLC617" s="17">
        <v>44925</v>
      </c>
      <c r="QLD617" s="5" t="s">
        <v>3728</v>
      </c>
      <c r="QLE617" s="17">
        <v>44925</v>
      </c>
      <c r="QLF617" s="5" t="s">
        <v>3728</v>
      </c>
      <c r="QLG617" s="17">
        <v>44925</v>
      </c>
      <c r="QLH617" s="5" t="s">
        <v>3728</v>
      </c>
      <c r="QLI617" s="17">
        <v>44925</v>
      </c>
      <c r="QLJ617" s="5" t="s">
        <v>3728</v>
      </c>
      <c r="QLK617" s="17">
        <v>44925</v>
      </c>
      <c r="QLL617" s="5" t="s">
        <v>3728</v>
      </c>
      <c r="QLM617" s="17">
        <v>44925</v>
      </c>
      <c r="QLN617" s="5" t="s">
        <v>3728</v>
      </c>
      <c r="QLO617" s="17">
        <v>44925</v>
      </c>
      <c r="QLP617" s="5" t="s">
        <v>3728</v>
      </c>
      <c r="QLQ617" s="17">
        <v>44925</v>
      </c>
      <c r="QLR617" s="5" t="s">
        <v>3728</v>
      </c>
      <c r="QLS617" s="17">
        <v>44925</v>
      </c>
      <c r="QLT617" s="5" t="s">
        <v>3728</v>
      </c>
      <c r="QLU617" s="17">
        <v>44925</v>
      </c>
      <c r="QLV617" s="5" t="s">
        <v>3728</v>
      </c>
      <c r="QLW617" s="17">
        <v>44925</v>
      </c>
      <c r="QLX617" s="5" t="s">
        <v>3728</v>
      </c>
      <c r="QLY617" s="17">
        <v>44925</v>
      </c>
      <c r="QLZ617" s="5" t="s">
        <v>3728</v>
      </c>
      <c r="QMA617" s="17">
        <v>44925</v>
      </c>
      <c r="QMB617" s="5" t="s">
        <v>3728</v>
      </c>
      <c r="QMC617" s="17">
        <v>44925</v>
      </c>
      <c r="QMD617" s="5" t="s">
        <v>3728</v>
      </c>
      <c r="QME617" s="17">
        <v>44925</v>
      </c>
      <c r="QMF617" s="5" t="s">
        <v>3728</v>
      </c>
      <c r="QMG617" s="17">
        <v>44925</v>
      </c>
      <c r="QMH617" s="5" t="s">
        <v>3728</v>
      </c>
      <c r="QMI617" s="17">
        <v>44925</v>
      </c>
      <c r="QMJ617" s="5" t="s">
        <v>3728</v>
      </c>
      <c r="QMK617" s="17">
        <v>44925</v>
      </c>
      <c r="QML617" s="5" t="s">
        <v>3728</v>
      </c>
      <c r="QMM617" s="17">
        <v>44925</v>
      </c>
      <c r="QMN617" s="5" t="s">
        <v>3728</v>
      </c>
      <c r="QMO617" s="17">
        <v>44925</v>
      </c>
      <c r="QMP617" s="5" t="s">
        <v>3728</v>
      </c>
      <c r="QMQ617" s="17">
        <v>44925</v>
      </c>
      <c r="QMR617" s="5" t="s">
        <v>3728</v>
      </c>
      <c r="QMS617" s="17">
        <v>44925</v>
      </c>
      <c r="QMT617" s="5" t="s">
        <v>3728</v>
      </c>
      <c r="QMU617" s="17">
        <v>44925</v>
      </c>
      <c r="QMV617" s="5" t="s">
        <v>3728</v>
      </c>
      <c r="QMW617" s="17">
        <v>44925</v>
      </c>
      <c r="QMX617" s="5" t="s">
        <v>3728</v>
      </c>
      <c r="QMY617" s="17">
        <v>44925</v>
      </c>
      <c r="QMZ617" s="5" t="s">
        <v>3728</v>
      </c>
      <c r="QNA617" s="17">
        <v>44925</v>
      </c>
      <c r="QNB617" s="5" t="s">
        <v>3728</v>
      </c>
      <c r="QNC617" s="17">
        <v>44925</v>
      </c>
      <c r="QND617" s="5" t="s">
        <v>3728</v>
      </c>
      <c r="QNE617" s="17">
        <v>44925</v>
      </c>
      <c r="QNF617" s="5" t="s">
        <v>3728</v>
      </c>
      <c r="QNG617" s="17">
        <v>44925</v>
      </c>
      <c r="QNH617" s="5" t="s">
        <v>3728</v>
      </c>
      <c r="QNI617" s="17">
        <v>44925</v>
      </c>
      <c r="QNJ617" s="5" t="s">
        <v>3728</v>
      </c>
      <c r="QNK617" s="17">
        <v>44925</v>
      </c>
      <c r="QNL617" s="5" t="s">
        <v>3728</v>
      </c>
      <c r="QNM617" s="17">
        <v>44925</v>
      </c>
      <c r="QNN617" s="5" t="s">
        <v>3728</v>
      </c>
      <c r="QNO617" s="17">
        <v>44925</v>
      </c>
      <c r="QNP617" s="5" t="s">
        <v>3728</v>
      </c>
      <c r="QNQ617" s="17">
        <v>44925</v>
      </c>
      <c r="QNR617" s="5" t="s">
        <v>3728</v>
      </c>
      <c r="QNS617" s="17">
        <v>44925</v>
      </c>
      <c r="QNT617" s="5" t="s">
        <v>3728</v>
      </c>
      <c r="QNU617" s="17">
        <v>44925</v>
      </c>
      <c r="QNV617" s="5" t="s">
        <v>3728</v>
      </c>
      <c r="QNW617" s="17">
        <v>44925</v>
      </c>
      <c r="QNX617" s="5" t="s">
        <v>3728</v>
      </c>
      <c r="QNY617" s="17">
        <v>44925</v>
      </c>
      <c r="QNZ617" s="5" t="s">
        <v>3728</v>
      </c>
      <c r="QOA617" s="17">
        <v>44925</v>
      </c>
      <c r="QOB617" s="5" t="s">
        <v>3728</v>
      </c>
      <c r="QOC617" s="17">
        <v>44925</v>
      </c>
      <c r="QOD617" s="5" t="s">
        <v>3728</v>
      </c>
      <c r="QOE617" s="17">
        <v>44925</v>
      </c>
      <c r="QOF617" s="5" t="s">
        <v>3728</v>
      </c>
      <c r="QOG617" s="17">
        <v>44925</v>
      </c>
      <c r="QOH617" s="5" t="s">
        <v>3728</v>
      </c>
      <c r="QOI617" s="17">
        <v>44925</v>
      </c>
      <c r="QOJ617" s="5" t="s">
        <v>3728</v>
      </c>
      <c r="QOK617" s="17">
        <v>44925</v>
      </c>
      <c r="QOL617" s="5" t="s">
        <v>3728</v>
      </c>
      <c r="QOM617" s="17">
        <v>44925</v>
      </c>
      <c r="QON617" s="5" t="s">
        <v>3728</v>
      </c>
      <c r="QOO617" s="17">
        <v>44925</v>
      </c>
      <c r="QOP617" s="5" t="s">
        <v>3728</v>
      </c>
      <c r="QOQ617" s="17">
        <v>44925</v>
      </c>
      <c r="QOR617" s="5" t="s">
        <v>3728</v>
      </c>
      <c r="QOS617" s="17">
        <v>44925</v>
      </c>
      <c r="QOT617" s="5" t="s">
        <v>3728</v>
      </c>
      <c r="QOU617" s="17">
        <v>44925</v>
      </c>
      <c r="QOV617" s="5" t="s">
        <v>3728</v>
      </c>
      <c r="QOW617" s="17">
        <v>44925</v>
      </c>
      <c r="QOX617" s="5" t="s">
        <v>3728</v>
      </c>
      <c r="QOY617" s="17">
        <v>44925</v>
      </c>
      <c r="QOZ617" s="5" t="s">
        <v>3728</v>
      </c>
      <c r="QPA617" s="17">
        <v>44925</v>
      </c>
      <c r="QPB617" s="5" t="s">
        <v>3728</v>
      </c>
      <c r="QPC617" s="17">
        <v>44925</v>
      </c>
      <c r="QPD617" s="5" t="s">
        <v>3728</v>
      </c>
      <c r="QPE617" s="17">
        <v>44925</v>
      </c>
      <c r="QPF617" s="5" t="s">
        <v>3728</v>
      </c>
      <c r="QPG617" s="17">
        <v>44925</v>
      </c>
      <c r="QPH617" s="5" t="s">
        <v>3728</v>
      </c>
      <c r="QPI617" s="17">
        <v>44925</v>
      </c>
      <c r="QPJ617" s="5" t="s">
        <v>3728</v>
      </c>
      <c r="QPK617" s="17">
        <v>44925</v>
      </c>
      <c r="QPL617" s="5" t="s">
        <v>3728</v>
      </c>
      <c r="QPM617" s="17">
        <v>44925</v>
      </c>
      <c r="QPN617" s="5" t="s">
        <v>3728</v>
      </c>
      <c r="QPO617" s="17">
        <v>44925</v>
      </c>
      <c r="QPP617" s="5" t="s">
        <v>3728</v>
      </c>
      <c r="QPQ617" s="17">
        <v>44925</v>
      </c>
      <c r="QPR617" s="5" t="s">
        <v>3728</v>
      </c>
      <c r="QPS617" s="17">
        <v>44925</v>
      </c>
      <c r="QPT617" s="5" t="s">
        <v>3728</v>
      </c>
      <c r="QPU617" s="17">
        <v>44925</v>
      </c>
      <c r="QPV617" s="5" t="s">
        <v>3728</v>
      </c>
      <c r="QPW617" s="17">
        <v>44925</v>
      </c>
      <c r="QPX617" s="5" t="s">
        <v>3728</v>
      </c>
      <c r="QPY617" s="17">
        <v>44925</v>
      </c>
      <c r="QPZ617" s="5" t="s">
        <v>3728</v>
      </c>
      <c r="QQA617" s="17">
        <v>44925</v>
      </c>
      <c r="QQB617" s="5" t="s">
        <v>3728</v>
      </c>
      <c r="QQC617" s="17">
        <v>44925</v>
      </c>
      <c r="QQD617" s="5" t="s">
        <v>3728</v>
      </c>
      <c r="QQE617" s="17">
        <v>44925</v>
      </c>
      <c r="QQF617" s="5" t="s">
        <v>3728</v>
      </c>
      <c r="QQG617" s="17">
        <v>44925</v>
      </c>
      <c r="QQH617" s="5" t="s">
        <v>3728</v>
      </c>
      <c r="QQI617" s="17">
        <v>44925</v>
      </c>
      <c r="QQJ617" s="5" t="s">
        <v>3728</v>
      </c>
      <c r="QQK617" s="17">
        <v>44925</v>
      </c>
      <c r="QQL617" s="5" t="s">
        <v>3728</v>
      </c>
      <c r="QQM617" s="17">
        <v>44925</v>
      </c>
      <c r="QQN617" s="5" t="s">
        <v>3728</v>
      </c>
      <c r="QQO617" s="17">
        <v>44925</v>
      </c>
      <c r="QQP617" s="5" t="s">
        <v>3728</v>
      </c>
      <c r="QQQ617" s="17">
        <v>44925</v>
      </c>
      <c r="QQR617" s="5" t="s">
        <v>3728</v>
      </c>
      <c r="QQS617" s="17">
        <v>44925</v>
      </c>
      <c r="QQT617" s="5" t="s">
        <v>3728</v>
      </c>
      <c r="QQU617" s="17">
        <v>44925</v>
      </c>
      <c r="QQV617" s="5" t="s">
        <v>3728</v>
      </c>
      <c r="QQW617" s="17">
        <v>44925</v>
      </c>
      <c r="QQX617" s="5" t="s">
        <v>3728</v>
      </c>
      <c r="QQY617" s="17">
        <v>44925</v>
      </c>
      <c r="QQZ617" s="5" t="s">
        <v>3728</v>
      </c>
      <c r="QRA617" s="17">
        <v>44925</v>
      </c>
      <c r="QRB617" s="5" t="s">
        <v>3728</v>
      </c>
      <c r="QRC617" s="17">
        <v>44925</v>
      </c>
      <c r="QRD617" s="5" t="s">
        <v>3728</v>
      </c>
      <c r="QRE617" s="17">
        <v>44925</v>
      </c>
      <c r="QRF617" s="5" t="s">
        <v>3728</v>
      </c>
      <c r="QRG617" s="17">
        <v>44925</v>
      </c>
      <c r="QRH617" s="5" t="s">
        <v>3728</v>
      </c>
      <c r="QRI617" s="17">
        <v>44925</v>
      </c>
      <c r="QRJ617" s="5" t="s">
        <v>3728</v>
      </c>
      <c r="QRK617" s="17">
        <v>44925</v>
      </c>
      <c r="QRL617" s="5" t="s">
        <v>3728</v>
      </c>
      <c r="QRM617" s="17">
        <v>44925</v>
      </c>
      <c r="QRN617" s="5" t="s">
        <v>3728</v>
      </c>
      <c r="QRO617" s="17">
        <v>44925</v>
      </c>
      <c r="QRP617" s="5" t="s">
        <v>3728</v>
      </c>
      <c r="QRQ617" s="17">
        <v>44925</v>
      </c>
      <c r="QRR617" s="5" t="s">
        <v>3728</v>
      </c>
      <c r="QRS617" s="17">
        <v>44925</v>
      </c>
      <c r="QRT617" s="5" t="s">
        <v>3728</v>
      </c>
      <c r="QRU617" s="17">
        <v>44925</v>
      </c>
      <c r="QRV617" s="5" t="s">
        <v>3728</v>
      </c>
      <c r="QRW617" s="17">
        <v>44925</v>
      </c>
      <c r="QRX617" s="5" t="s">
        <v>3728</v>
      </c>
      <c r="QRY617" s="17">
        <v>44925</v>
      </c>
      <c r="QRZ617" s="5" t="s">
        <v>3728</v>
      </c>
      <c r="QSA617" s="17">
        <v>44925</v>
      </c>
      <c r="QSB617" s="5" t="s">
        <v>3728</v>
      </c>
      <c r="QSC617" s="17">
        <v>44925</v>
      </c>
      <c r="QSD617" s="5" t="s">
        <v>3728</v>
      </c>
      <c r="QSE617" s="17">
        <v>44925</v>
      </c>
      <c r="QSF617" s="5" t="s">
        <v>3728</v>
      </c>
      <c r="QSG617" s="17">
        <v>44925</v>
      </c>
      <c r="QSH617" s="5" t="s">
        <v>3728</v>
      </c>
      <c r="QSI617" s="17">
        <v>44925</v>
      </c>
      <c r="QSJ617" s="5" t="s">
        <v>3728</v>
      </c>
      <c r="QSK617" s="17">
        <v>44925</v>
      </c>
      <c r="QSL617" s="5" t="s">
        <v>3728</v>
      </c>
      <c r="QSM617" s="17">
        <v>44925</v>
      </c>
      <c r="QSN617" s="5" t="s">
        <v>3728</v>
      </c>
      <c r="QSO617" s="17">
        <v>44925</v>
      </c>
      <c r="QSP617" s="5" t="s">
        <v>3728</v>
      </c>
      <c r="QSQ617" s="17">
        <v>44925</v>
      </c>
      <c r="QSR617" s="5" t="s">
        <v>3728</v>
      </c>
      <c r="QSS617" s="17">
        <v>44925</v>
      </c>
      <c r="QST617" s="5" t="s">
        <v>3728</v>
      </c>
      <c r="QSU617" s="17">
        <v>44925</v>
      </c>
      <c r="QSV617" s="5" t="s">
        <v>3728</v>
      </c>
      <c r="QSW617" s="17">
        <v>44925</v>
      </c>
      <c r="QSX617" s="5" t="s">
        <v>3728</v>
      </c>
      <c r="QSY617" s="17">
        <v>44925</v>
      </c>
      <c r="QSZ617" s="5" t="s">
        <v>3728</v>
      </c>
      <c r="QTA617" s="17">
        <v>44925</v>
      </c>
      <c r="QTB617" s="5" t="s">
        <v>3728</v>
      </c>
      <c r="QTC617" s="17">
        <v>44925</v>
      </c>
      <c r="QTD617" s="5" t="s">
        <v>3728</v>
      </c>
      <c r="QTE617" s="17">
        <v>44925</v>
      </c>
      <c r="QTF617" s="5" t="s">
        <v>3728</v>
      </c>
      <c r="QTG617" s="17">
        <v>44925</v>
      </c>
      <c r="QTH617" s="5" t="s">
        <v>3728</v>
      </c>
      <c r="QTI617" s="17">
        <v>44925</v>
      </c>
      <c r="QTJ617" s="5" t="s">
        <v>3728</v>
      </c>
      <c r="QTK617" s="17">
        <v>44925</v>
      </c>
      <c r="QTL617" s="5" t="s">
        <v>3728</v>
      </c>
      <c r="QTM617" s="17">
        <v>44925</v>
      </c>
      <c r="QTN617" s="5" t="s">
        <v>3728</v>
      </c>
      <c r="QTO617" s="17">
        <v>44925</v>
      </c>
      <c r="QTP617" s="5" t="s">
        <v>3728</v>
      </c>
      <c r="QTQ617" s="17">
        <v>44925</v>
      </c>
      <c r="QTR617" s="5" t="s">
        <v>3728</v>
      </c>
      <c r="QTS617" s="17">
        <v>44925</v>
      </c>
      <c r="QTT617" s="5" t="s">
        <v>3728</v>
      </c>
      <c r="QTU617" s="17">
        <v>44925</v>
      </c>
      <c r="QTV617" s="5" t="s">
        <v>3728</v>
      </c>
      <c r="QTW617" s="17">
        <v>44925</v>
      </c>
      <c r="QTX617" s="5" t="s">
        <v>3728</v>
      </c>
      <c r="QTY617" s="17">
        <v>44925</v>
      </c>
      <c r="QTZ617" s="5" t="s">
        <v>3728</v>
      </c>
      <c r="QUA617" s="17">
        <v>44925</v>
      </c>
      <c r="QUB617" s="5" t="s">
        <v>3728</v>
      </c>
      <c r="QUC617" s="17">
        <v>44925</v>
      </c>
      <c r="QUD617" s="5" t="s">
        <v>3728</v>
      </c>
      <c r="QUE617" s="17">
        <v>44925</v>
      </c>
      <c r="QUF617" s="5" t="s">
        <v>3728</v>
      </c>
      <c r="QUG617" s="17">
        <v>44925</v>
      </c>
      <c r="QUH617" s="5" t="s">
        <v>3728</v>
      </c>
      <c r="QUI617" s="17">
        <v>44925</v>
      </c>
      <c r="QUJ617" s="5" t="s">
        <v>3728</v>
      </c>
      <c r="QUK617" s="17">
        <v>44925</v>
      </c>
      <c r="QUL617" s="5" t="s">
        <v>3728</v>
      </c>
      <c r="QUM617" s="17">
        <v>44925</v>
      </c>
      <c r="QUN617" s="5" t="s">
        <v>3728</v>
      </c>
      <c r="QUO617" s="17">
        <v>44925</v>
      </c>
      <c r="QUP617" s="5" t="s">
        <v>3728</v>
      </c>
      <c r="QUQ617" s="17">
        <v>44925</v>
      </c>
      <c r="QUR617" s="5" t="s">
        <v>3728</v>
      </c>
      <c r="QUS617" s="17">
        <v>44925</v>
      </c>
      <c r="QUT617" s="5" t="s">
        <v>3728</v>
      </c>
      <c r="QUU617" s="17">
        <v>44925</v>
      </c>
      <c r="QUV617" s="5" t="s">
        <v>3728</v>
      </c>
      <c r="QUW617" s="17">
        <v>44925</v>
      </c>
      <c r="QUX617" s="5" t="s">
        <v>3728</v>
      </c>
      <c r="QUY617" s="17">
        <v>44925</v>
      </c>
      <c r="QUZ617" s="5" t="s">
        <v>3728</v>
      </c>
      <c r="QVA617" s="17">
        <v>44925</v>
      </c>
      <c r="QVB617" s="5" t="s">
        <v>3728</v>
      </c>
      <c r="QVC617" s="17">
        <v>44925</v>
      </c>
      <c r="QVD617" s="5" t="s">
        <v>3728</v>
      </c>
      <c r="QVE617" s="17">
        <v>44925</v>
      </c>
      <c r="QVF617" s="5" t="s">
        <v>3728</v>
      </c>
      <c r="QVG617" s="17">
        <v>44925</v>
      </c>
      <c r="QVH617" s="5" t="s">
        <v>3728</v>
      </c>
      <c r="QVI617" s="17">
        <v>44925</v>
      </c>
      <c r="QVJ617" s="5" t="s">
        <v>3728</v>
      </c>
      <c r="QVK617" s="17">
        <v>44925</v>
      </c>
      <c r="QVL617" s="5" t="s">
        <v>3728</v>
      </c>
      <c r="QVM617" s="17">
        <v>44925</v>
      </c>
      <c r="QVN617" s="5" t="s">
        <v>3728</v>
      </c>
      <c r="QVO617" s="17">
        <v>44925</v>
      </c>
      <c r="QVP617" s="5" t="s">
        <v>3728</v>
      </c>
      <c r="QVQ617" s="17">
        <v>44925</v>
      </c>
      <c r="QVR617" s="5" t="s">
        <v>3728</v>
      </c>
      <c r="QVS617" s="17">
        <v>44925</v>
      </c>
      <c r="QVT617" s="5" t="s">
        <v>3728</v>
      </c>
      <c r="QVU617" s="17">
        <v>44925</v>
      </c>
      <c r="QVV617" s="5" t="s">
        <v>3728</v>
      </c>
      <c r="QVW617" s="17">
        <v>44925</v>
      </c>
      <c r="QVX617" s="5" t="s">
        <v>3728</v>
      </c>
      <c r="QVY617" s="17">
        <v>44925</v>
      </c>
      <c r="QVZ617" s="5" t="s">
        <v>3728</v>
      </c>
      <c r="QWA617" s="17">
        <v>44925</v>
      </c>
      <c r="QWB617" s="5" t="s">
        <v>3728</v>
      </c>
      <c r="QWC617" s="17">
        <v>44925</v>
      </c>
      <c r="QWD617" s="5" t="s">
        <v>3728</v>
      </c>
      <c r="QWE617" s="17">
        <v>44925</v>
      </c>
      <c r="QWF617" s="5" t="s">
        <v>3728</v>
      </c>
      <c r="QWG617" s="17">
        <v>44925</v>
      </c>
      <c r="QWH617" s="5" t="s">
        <v>3728</v>
      </c>
      <c r="QWI617" s="17">
        <v>44925</v>
      </c>
      <c r="QWJ617" s="5" t="s">
        <v>3728</v>
      </c>
      <c r="QWK617" s="17">
        <v>44925</v>
      </c>
      <c r="QWL617" s="5" t="s">
        <v>3728</v>
      </c>
      <c r="QWM617" s="17">
        <v>44925</v>
      </c>
      <c r="QWN617" s="5" t="s">
        <v>3728</v>
      </c>
      <c r="QWO617" s="17">
        <v>44925</v>
      </c>
      <c r="QWP617" s="5" t="s">
        <v>3728</v>
      </c>
      <c r="QWQ617" s="17">
        <v>44925</v>
      </c>
      <c r="QWR617" s="5" t="s">
        <v>3728</v>
      </c>
      <c r="QWS617" s="17">
        <v>44925</v>
      </c>
      <c r="QWT617" s="5" t="s">
        <v>3728</v>
      </c>
      <c r="QWU617" s="17">
        <v>44925</v>
      </c>
      <c r="QWV617" s="5" t="s">
        <v>3728</v>
      </c>
      <c r="QWW617" s="17">
        <v>44925</v>
      </c>
      <c r="QWX617" s="5" t="s">
        <v>3728</v>
      </c>
      <c r="QWY617" s="17">
        <v>44925</v>
      </c>
      <c r="QWZ617" s="5" t="s">
        <v>3728</v>
      </c>
      <c r="QXA617" s="17">
        <v>44925</v>
      </c>
      <c r="QXB617" s="5" t="s">
        <v>3728</v>
      </c>
      <c r="QXC617" s="17">
        <v>44925</v>
      </c>
      <c r="QXD617" s="5" t="s">
        <v>3728</v>
      </c>
      <c r="QXE617" s="17">
        <v>44925</v>
      </c>
      <c r="QXF617" s="5" t="s">
        <v>3728</v>
      </c>
      <c r="QXG617" s="17">
        <v>44925</v>
      </c>
      <c r="QXH617" s="5" t="s">
        <v>3728</v>
      </c>
      <c r="QXI617" s="17">
        <v>44925</v>
      </c>
      <c r="QXJ617" s="5" t="s">
        <v>3728</v>
      </c>
      <c r="QXK617" s="17">
        <v>44925</v>
      </c>
      <c r="QXL617" s="5" t="s">
        <v>3728</v>
      </c>
      <c r="QXM617" s="17">
        <v>44925</v>
      </c>
      <c r="QXN617" s="5" t="s">
        <v>3728</v>
      </c>
      <c r="QXO617" s="17">
        <v>44925</v>
      </c>
      <c r="QXP617" s="5" t="s">
        <v>3728</v>
      </c>
      <c r="QXQ617" s="17">
        <v>44925</v>
      </c>
      <c r="QXR617" s="5" t="s">
        <v>3728</v>
      </c>
      <c r="QXS617" s="17">
        <v>44925</v>
      </c>
      <c r="QXT617" s="5" t="s">
        <v>3728</v>
      </c>
      <c r="QXU617" s="17">
        <v>44925</v>
      </c>
      <c r="QXV617" s="5" t="s">
        <v>3728</v>
      </c>
      <c r="QXW617" s="17">
        <v>44925</v>
      </c>
      <c r="QXX617" s="5" t="s">
        <v>3728</v>
      </c>
      <c r="QXY617" s="17">
        <v>44925</v>
      </c>
      <c r="QXZ617" s="5" t="s">
        <v>3728</v>
      </c>
      <c r="QYA617" s="17">
        <v>44925</v>
      </c>
      <c r="QYB617" s="5" t="s">
        <v>3728</v>
      </c>
      <c r="QYC617" s="17">
        <v>44925</v>
      </c>
      <c r="QYD617" s="5" t="s">
        <v>3728</v>
      </c>
      <c r="QYE617" s="17">
        <v>44925</v>
      </c>
      <c r="QYF617" s="5" t="s">
        <v>3728</v>
      </c>
      <c r="QYG617" s="17">
        <v>44925</v>
      </c>
      <c r="QYH617" s="5" t="s">
        <v>3728</v>
      </c>
      <c r="QYI617" s="17">
        <v>44925</v>
      </c>
      <c r="QYJ617" s="5" t="s">
        <v>3728</v>
      </c>
      <c r="QYK617" s="17">
        <v>44925</v>
      </c>
      <c r="QYL617" s="5" t="s">
        <v>3728</v>
      </c>
      <c r="QYM617" s="17">
        <v>44925</v>
      </c>
      <c r="QYN617" s="5" t="s">
        <v>3728</v>
      </c>
      <c r="QYO617" s="17">
        <v>44925</v>
      </c>
      <c r="QYP617" s="5" t="s">
        <v>3728</v>
      </c>
      <c r="QYQ617" s="17">
        <v>44925</v>
      </c>
      <c r="QYR617" s="5" t="s">
        <v>3728</v>
      </c>
      <c r="QYS617" s="17">
        <v>44925</v>
      </c>
      <c r="QYT617" s="5" t="s">
        <v>3728</v>
      </c>
      <c r="QYU617" s="17">
        <v>44925</v>
      </c>
      <c r="QYV617" s="5" t="s">
        <v>3728</v>
      </c>
      <c r="QYW617" s="17">
        <v>44925</v>
      </c>
      <c r="QYX617" s="5" t="s">
        <v>3728</v>
      </c>
      <c r="QYY617" s="17">
        <v>44925</v>
      </c>
      <c r="QYZ617" s="5" t="s">
        <v>3728</v>
      </c>
      <c r="QZA617" s="17">
        <v>44925</v>
      </c>
      <c r="QZB617" s="5" t="s">
        <v>3728</v>
      </c>
      <c r="QZC617" s="17">
        <v>44925</v>
      </c>
      <c r="QZD617" s="5" t="s">
        <v>3728</v>
      </c>
      <c r="QZE617" s="17">
        <v>44925</v>
      </c>
      <c r="QZF617" s="5" t="s">
        <v>3728</v>
      </c>
      <c r="QZG617" s="17">
        <v>44925</v>
      </c>
      <c r="QZH617" s="5" t="s">
        <v>3728</v>
      </c>
      <c r="QZI617" s="17">
        <v>44925</v>
      </c>
      <c r="QZJ617" s="5" t="s">
        <v>3728</v>
      </c>
      <c r="QZK617" s="17">
        <v>44925</v>
      </c>
      <c r="QZL617" s="5" t="s">
        <v>3728</v>
      </c>
      <c r="QZM617" s="17">
        <v>44925</v>
      </c>
      <c r="QZN617" s="5" t="s">
        <v>3728</v>
      </c>
      <c r="QZO617" s="17">
        <v>44925</v>
      </c>
      <c r="QZP617" s="5" t="s">
        <v>3728</v>
      </c>
      <c r="QZQ617" s="17">
        <v>44925</v>
      </c>
      <c r="QZR617" s="5" t="s">
        <v>3728</v>
      </c>
      <c r="QZS617" s="17">
        <v>44925</v>
      </c>
      <c r="QZT617" s="5" t="s">
        <v>3728</v>
      </c>
      <c r="QZU617" s="17">
        <v>44925</v>
      </c>
      <c r="QZV617" s="5" t="s">
        <v>3728</v>
      </c>
      <c r="QZW617" s="17">
        <v>44925</v>
      </c>
      <c r="QZX617" s="5" t="s">
        <v>3728</v>
      </c>
      <c r="QZY617" s="17">
        <v>44925</v>
      </c>
      <c r="QZZ617" s="5" t="s">
        <v>3728</v>
      </c>
      <c r="RAA617" s="17">
        <v>44925</v>
      </c>
      <c r="RAB617" s="5" t="s">
        <v>3728</v>
      </c>
      <c r="RAC617" s="17">
        <v>44925</v>
      </c>
      <c r="RAD617" s="5" t="s">
        <v>3728</v>
      </c>
      <c r="RAE617" s="17">
        <v>44925</v>
      </c>
      <c r="RAF617" s="5" t="s">
        <v>3728</v>
      </c>
      <c r="RAG617" s="17">
        <v>44925</v>
      </c>
      <c r="RAH617" s="5" t="s">
        <v>3728</v>
      </c>
      <c r="RAI617" s="17">
        <v>44925</v>
      </c>
      <c r="RAJ617" s="5" t="s">
        <v>3728</v>
      </c>
      <c r="RAK617" s="17">
        <v>44925</v>
      </c>
      <c r="RAL617" s="5" t="s">
        <v>3728</v>
      </c>
      <c r="RAM617" s="17">
        <v>44925</v>
      </c>
      <c r="RAN617" s="5" t="s">
        <v>3728</v>
      </c>
      <c r="RAO617" s="17">
        <v>44925</v>
      </c>
      <c r="RAP617" s="5" t="s">
        <v>3728</v>
      </c>
      <c r="RAQ617" s="17">
        <v>44925</v>
      </c>
      <c r="RAR617" s="5" t="s">
        <v>3728</v>
      </c>
      <c r="RAS617" s="17">
        <v>44925</v>
      </c>
      <c r="RAT617" s="5" t="s">
        <v>3728</v>
      </c>
      <c r="RAU617" s="17">
        <v>44925</v>
      </c>
      <c r="RAV617" s="5" t="s">
        <v>3728</v>
      </c>
      <c r="RAW617" s="17">
        <v>44925</v>
      </c>
      <c r="RAX617" s="5" t="s">
        <v>3728</v>
      </c>
      <c r="RAY617" s="17">
        <v>44925</v>
      </c>
      <c r="RAZ617" s="5" t="s">
        <v>3728</v>
      </c>
      <c r="RBA617" s="17">
        <v>44925</v>
      </c>
      <c r="RBB617" s="5" t="s">
        <v>3728</v>
      </c>
      <c r="RBC617" s="17">
        <v>44925</v>
      </c>
      <c r="RBD617" s="5" t="s">
        <v>3728</v>
      </c>
      <c r="RBE617" s="17">
        <v>44925</v>
      </c>
      <c r="RBF617" s="5" t="s">
        <v>3728</v>
      </c>
      <c r="RBG617" s="17">
        <v>44925</v>
      </c>
      <c r="RBH617" s="5" t="s">
        <v>3728</v>
      </c>
      <c r="RBI617" s="17">
        <v>44925</v>
      </c>
      <c r="RBJ617" s="5" t="s">
        <v>3728</v>
      </c>
      <c r="RBK617" s="17">
        <v>44925</v>
      </c>
      <c r="RBL617" s="5" t="s">
        <v>3728</v>
      </c>
      <c r="RBM617" s="17">
        <v>44925</v>
      </c>
      <c r="RBN617" s="5" t="s">
        <v>3728</v>
      </c>
      <c r="RBO617" s="17">
        <v>44925</v>
      </c>
      <c r="RBP617" s="5" t="s">
        <v>3728</v>
      </c>
      <c r="RBQ617" s="17">
        <v>44925</v>
      </c>
      <c r="RBR617" s="5" t="s">
        <v>3728</v>
      </c>
      <c r="RBS617" s="17">
        <v>44925</v>
      </c>
      <c r="RBT617" s="5" t="s">
        <v>3728</v>
      </c>
      <c r="RBU617" s="17">
        <v>44925</v>
      </c>
      <c r="RBV617" s="5" t="s">
        <v>3728</v>
      </c>
      <c r="RBW617" s="17">
        <v>44925</v>
      </c>
      <c r="RBX617" s="5" t="s">
        <v>3728</v>
      </c>
      <c r="RBY617" s="17">
        <v>44925</v>
      </c>
      <c r="RBZ617" s="5" t="s">
        <v>3728</v>
      </c>
      <c r="RCA617" s="17">
        <v>44925</v>
      </c>
      <c r="RCB617" s="5" t="s">
        <v>3728</v>
      </c>
      <c r="RCC617" s="17">
        <v>44925</v>
      </c>
      <c r="RCD617" s="5" t="s">
        <v>3728</v>
      </c>
      <c r="RCE617" s="17">
        <v>44925</v>
      </c>
      <c r="RCF617" s="5" t="s">
        <v>3728</v>
      </c>
      <c r="RCG617" s="17">
        <v>44925</v>
      </c>
      <c r="RCH617" s="5" t="s">
        <v>3728</v>
      </c>
      <c r="RCI617" s="17">
        <v>44925</v>
      </c>
      <c r="RCJ617" s="5" t="s">
        <v>3728</v>
      </c>
      <c r="RCK617" s="17">
        <v>44925</v>
      </c>
      <c r="RCL617" s="5" t="s">
        <v>3728</v>
      </c>
      <c r="RCM617" s="17">
        <v>44925</v>
      </c>
      <c r="RCN617" s="5" t="s">
        <v>3728</v>
      </c>
      <c r="RCO617" s="17">
        <v>44925</v>
      </c>
      <c r="RCP617" s="5" t="s">
        <v>3728</v>
      </c>
      <c r="RCQ617" s="17">
        <v>44925</v>
      </c>
      <c r="RCR617" s="5" t="s">
        <v>3728</v>
      </c>
      <c r="RCS617" s="17">
        <v>44925</v>
      </c>
      <c r="RCT617" s="5" t="s">
        <v>3728</v>
      </c>
      <c r="RCU617" s="17">
        <v>44925</v>
      </c>
      <c r="RCV617" s="5" t="s">
        <v>3728</v>
      </c>
      <c r="RCW617" s="17">
        <v>44925</v>
      </c>
      <c r="RCX617" s="5" t="s">
        <v>3728</v>
      </c>
      <c r="RCY617" s="17">
        <v>44925</v>
      </c>
      <c r="RCZ617" s="5" t="s">
        <v>3728</v>
      </c>
      <c r="RDA617" s="17">
        <v>44925</v>
      </c>
      <c r="RDB617" s="5" t="s">
        <v>3728</v>
      </c>
      <c r="RDC617" s="17">
        <v>44925</v>
      </c>
      <c r="RDD617" s="5" t="s">
        <v>3728</v>
      </c>
      <c r="RDE617" s="17">
        <v>44925</v>
      </c>
      <c r="RDF617" s="5" t="s">
        <v>3728</v>
      </c>
      <c r="RDG617" s="17">
        <v>44925</v>
      </c>
      <c r="RDH617" s="5" t="s">
        <v>3728</v>
      </c>
      <c r="RDI617" s="17">
        <v>44925</v>
      </c>
      <c r="RDJ617" s="5" t="s">
        <v>3728</v>
      </c>
      <c r="RDK617" s="17">
        <v>44925</v>
      </c>
      <c r="RDL617" s="5" t="s">
        <v>3728</v>
      </c>
      <c r="RDM617" s="17">
        <v>44925</v>
      </c>
      <c r="RDN617" s="5" t="s">
        <v>3728</v>
      </c>
      <c r="RDO617" s="17">
        <v>44925</v>
      </c>
      <c r="RDP617" s="5" t="s">
        <v>3728</v>
      </c>
      <c r="RDQ617" s="17">
        <v>44925</v>
      </c>
      <c r="RDR617" s="5" t="s">
        <v>3728</v>
      </c>
      <c r="RDS617" s="17">
        <v>44925</v>
      </c>
      <c r="RDT617" s="5" t="s">
        <v>3728</v>
      </c>
      <c r="RDU617" s="17">
        <v>44925</v>
      </c>
      <c r="RDV617" s="5" t="s">
        <v>3728</v>
      </c>
      <c r="RDW617" s="17">
        <v>44925</v>
      </c>
      <c r="RDX617" s="5" t="s">
        <v>3728</v>
      </c>
      <c r="RDY617" s="17">
        <v>44925</v>
      </c>
      <c r="RDZ617" s="5" t="s">
        <v>3728</v>
      </c>
      <c r="REA617" s="17">
        <v>44925</v>
      </c>
      <c r="REB617" s="5" t="s">
        <v>3728</v>
      </c>
      <c r="REC617" s="17">
        <v>44925</v>
      </c>
      <c r="RED617" s="5" t="s">
        <v>3728</v>
      </c>
      <c r="REE617" s="17">
        <v>44925</v>
      </c>
      <c r="REF617" s="5" t="s">
        <v>3728</v>
      </c>
      <c r="REG617" s="17">
        <v>44925</v>
      </c>
      <c r="REH617" s="5" t="s">
        <v>3728</v>
      </c>
      <c r="REI617" s="17">
        <v>44925</v>
      </c>
      <c r="REJ617" s="5" t="s">
        <v>3728</v>
      </c>
      <c r="REK617" s="17">
        <v>44925</v>
      </c>
      <c r="REL617" s="5" t="s">
        <v>3728</v>
      </c>
      <c r="REM617" s="17">
        <v>44925</v>
      </c>
      <c r="REN617" s="5" t="s">
        <v>3728</v>
      </c>
      <c r="REO617" s="17">
        <v>44925</v>
      </c>
      <c r="REP617" s="5" t="s">
        <v>3728</v>
      </c>
      <c r="REQ617" s="17">
        <v>44925</v>
      </c>
      <c r="RER617" s="5" t="s">
        <v>3728</v>
      </c>
      <c r="RES617" s="17">
        <v>44925</v>
      </c>
      <c r="RET617" s="5" t="s">
        <v>3728</v>
      </c>
      <c r="REU617" s="17">
        <v>44925</v>
      </c>
      <c r="REV617" s="5" t="s">
        <v>3728</v>
      </c>
      <c r="REW617" s="17">
        <v>44925</v>
      </c>
      <c r="REX617" s="5" t="s">
        <v>3728</v>
      </c>
      <c r="REY617" s="17">
        <v>44925</v>
      </c>
      <c r="REZ617" s="5" t="s">
        <v>3728</v>
      </c>
      <c r="RFA617" s="17">
        <v>44925</v>
      </c>
      <c r="RFB617" s="5" t="s">
        <v>3728</v>
      </c>
      <c r="RFC617" s="17">
        <v>44925</v>
      </c>
      <c r="RFD617" s="5" t="s">
        <v>3728</v>
      </c>
      <c r="RFE617" s="17">
        <v>44925</v>
      </c>
      <c r="RFF617" s="5" t="s">
        <v>3728</v>
      </c>
      <c r="RFG617" s="17">
        <v>44925</v>
      </c>
      <c r="RFH617" s="5" t="s">
        <v>3728</v>
      </c>
      <c r="RFI617" s="17">
        <v>44925</v>
      </c>
      <c r="RFJ617" s="5" t="s">
        <v>3728</v>
      </c>
      <c r="RFK617" s="17">
        <v>44925</v>
      </c>
      <c r="RFL617" s="5" t="s">
        <v>3728</v>
      </c>
      <c r="RFM617" s="17">
        <v>44925</v>
      </c>
      <c r="RFN617" s="5" t="s">
        <v>3728</v>
      </c>
      <c r="RFO617" s="17">
        <v>44925</v>
      </c>
      <c r="RFP617" s="5" t="s">
        <v>3728</v>
      </c>
      <c r="RFQ617" s="17">
        <v>44925</v>
      </c>
      <c r="RFR617" s="5" t="s">
        <v>3728</v>
      </c>
      <c r="RFS617" s="17">
        <v>44925</v>
      </c>
      <c r="RFT617" s="5" t="s">
        <v>3728</v>
      </c>
      <c r="RFU617" s="17">
        <v>44925</v>
      </c>
      <c r="RFV617" s="5" t="s">
        <v>3728</v>
      </c>
      <c r="RFW617" s="17">
        <v>44925</v>
      </c>
      <c r="RFX617" s="5" t="s">
        <v>3728</v>
      </c>
      <c r="RFY617" s="17">
        <v>44925</v>
      </c>
      <c r="RFZ617" s="5" t="s">
        <v>3728</v>
      </c>
      <c r="RGA617" s="17">
        <v>44925</v>
      </c>
      <c r="RGB617" s="5" t="s">
        <v>3728</v>
      </c>
      <c r="RGC617" s="17">
        <v>44925</v>
      </c>
      <c r="RGD617" s="5" t="s">
        <v>3728</v>
      </c>
      <c r="RGE617" s="17">
        <v>44925</v>
      </c>
      <c r="RGF617" s="5" t="s">
        <v>3728</v>
      </c>
      <c r="RGG617" s="17">
        <v>44925</v>
      </c>
      <c r="RGH617" s="5" t="s">
        <v>3728</v>
      </c>
      <c r="RGI617" s="17">
        <v>44925</v>
      </c>
      <c r="RGJ617" s="5" t="s">
        <v>3728</v>
      </c>
      <c r="RGK617" s="17">
        <v>44925</v>
      </c>
      <c r="RGL617" s="5" t="s">
        <v>3728</v>
      </c>
      <c r="RGM617" s="17">
        <v>44925</v>
      </c>
      <c r="RGN617" s="5" t="s">
        <v>3728</v>
      </c>
      <c r="RGO617" s="17">
        <v>44925</v>
      </c>
      <c r="RGP617" s="5" t="s">
        <v>3728</v>
      </c>
      <c r="RGQ617" s="17">
        <v>44925</v>
      </c>
      <c r="RGR617" s="5" t="s">
        <v>3728</v>
      </c>
      <c r="RGS617" s="17">
        <v>44925</v>
      </c>
      <c r="RGT617" s="5" t="s">
        <v>3728</v>
      </c>
      <c r="RGU617" s="17">
        <v>44925</v>
      </c>
      <c r="RGV617" s="5" t="s">
        <v>3728</v>
      </c>
      <c r="RGW617" s="17">
        <v>44925</v>
      </c>
      <c r="RGX617" s="5" t="s">
        <v>3728</v>
      </c>
      <c r="RGY617" s="17">
        <v>44925</v>
      </c>
      <c r="RGZ617" s="5" t="s">
        <v>3728</v>
      </c>
      <c r="RHA617" s="17">
        <v>44925</v>
      </c>
      <c r="RHB617" s="5" t="s">
        <v>3728</v>
      </c>
      <c r="RHC617" s="17">
        <v>44925</v>
      </c>
      <c r="RHD617" s="5" t="s">
        <v>3728</v>
      </c>
      <c r="RHE617" s="17">
        <v>44925</v>
      </c>
      <c r="RHF617" s="5" t="s">
        <v>3728</v>
      </c>
      <c r="RHG617" s="17">
        <v>44925</v>
      </c>
      <c r="RHH617" s="5" t="s">
        <v>3728</v>
      </c>
      <c r="RHI617" s="17">
        <v>44925</v>
      </c>
      <c r="RHJ617" s="5" t="s">
        <v>3728</v>
      </c>
      <c r="RHK617" s="17">
        <v>44925</v>
      </c>
      <c r="RHL617" s="5" t="s">
        <v>3728</v>
      </c>
      <c r="RHM617" s="17">
        <v>44925</v>
      </c>
      <c r="RHN617" s="5" t="s">
        <v>3728</v>
      </c>
      <c r="RHO617" s="17">
        <v>44925</v>
      </c>
      <c r="RHP617" s="5" t="s">
        <v>3728</v>
      </c>
      <c r="RHQ617" s="17">
        <v>44925</v>
      </c>
      <c r="RHR617" s="5" t="s">
        <v>3728</v>
      </c>
      <c r="RHS617" s="17">
        <v>44925</v>
      </c>
      <c r="RHT617" s="5" t="s">
        <v>3728</v>
      </c>
      <c r="RHU617" s="17">
        <v>44925</v>
      </c>
      <c r="RHV617" s="5" t="s">
        <v>3728</v>
      </c>
      <c r="RHW617" s="17">
        <v>44925</v>
      </c>
      <c r="RHX617" s="5" t="s">
        <v>3728</v>
      </c>
      <c r="RHY617" s="17">
        <v>44925</v>
      </c>
      <c r="RHZ617" s="5" t="s">
        <v>3728</v>
      </c>
      <c r="RIA617" s="17">
        <v>44925</v>
      </c>
      <c r="RIB617" s="5" t="s">
        <v>3728</v>
      </c>
      <c r="RIC617" s="17">
        <v>44925</v>
      </c>
      <c r="RID617" s="5" t="s">
        <v>3728</v>
      </c>
      <c r="RIE617" s="17">
        <v>44925</v>
      </c>
      <c r="RIF617" s="5" t="s">
        <v>3728</v>
      </c>
      <c r="RIG617" s="17">
        <v>44925</v>
      </c>
      <c r="RIH617" s="5" t="s">
        <v>3728</v>
      </c>
      <c r="RII617" s="17">
        <v>44925</v>
      </c>
      <c r="RIJ617" s="5" t="s">
        <v>3728</v>
      </c>
      <c r="RIK617" s="17">
        <v>44925</v>
      </c>
      <c r="RIL617" s="5" t="s">
        <v>3728</v>
      </c>
      <c r="RIM617" s="17">
        <v>44925</v>
      </c>
      <c r="RIN617" s="5" t="s">
        <v>3728</v>
      </c>
      <c r="RIO617" s="17">
        <v>44925</v>
      </c>
      <c r="RIP617" s="5" t="s">
        <v>3728</v>
      </c>
      <c r="RIQ617" s="17">
        <v>44925</v>
      </c>
      <c r="RIR617" s="5" t="s">
        <v>3728</v>
      </c>
      <c r="RIS617" s="17">
        <v>44925</v>
      </c>
      <c r="RIT617" s="5" t="s">
        <v>3728</v>
      </c>
      <c r="RIU617" s="17">
        <v>44925</v>
      </c>
      <c r="RIV617" s="5" t="s">
        <v>3728</v>
      </c>
      <c r="RIW617" s="17">
        <v>44925</v>
      </c>
      <c r="RIX617" s="5" t="s">
        <v>3728</v>
      </c>
      <c r="RIY617" s="17">
        <v>44925</v>
      </c>
      <c r="RIZ617" s="5" t="s">
        <v>3728</v>
      </c>
      <c r="RJA617" s="17">
        <v>44925</v>
      </c>
      <c r="RJB617" s="5" t="s">
        <v>3728</v>
      </c>
      <c r="RJC617" s="17">
        <v>44925</v>
      </c>
      <c r="RJD617" s="5" t="s">
        <v>3728</v>
      </c>
      <c r="RJE617" s="17">
        <v>44925</v>
      </c>
      <c r="RJF617" s="5" t="s">
        <v>3728</v>
      </c>
      <c r="RJG617" s="17">
        <v>44925</v>
      </c>
      <c r="RJH617" s="5" t="s">
        <v>3728</v>
      </c>
      <c r="RJI617" s="17">
        <v>44925</v>
      </c>
      <c r="RJJ617" s="5" t="s">
        <v>3728</v>
      </c>
      <c r="RJK617" s="17">
        <v>44925</v>
      </c>
      <c r="RJL617" s="5" t="s">
        <v>3728</v>
      </c>
      <c r="RJM617" s="17">
        <v>44925</v>
      </c>
      <c r="RJN617" s="5" t="s">
        <v>3728</v>
      </c>
      <c r="RJO617" s="17">
        <v>44925</v>
      </c>
      <c r="RJP617" s="5" t="s">
        <v>3728</v>
      </c>
      <c r="RJQ617" s="17">
        <v>44925</v>
      </c>
      <c r="RJR617" s="5" t="s">
        <v>3728</v>
      </c>
      <c r="RJS617" s="17">
        <v>44925</v>
      </c>
      <c r="RJT617" s="5" t="s">
        <v>3728</v>
      </c>
      <c r="RJU617" s="17">
        <v>44925</v>
      </c>
      <c r="RJV617" s="5" t="s">
        <v>3728</v>
      </c>
      <c r="RJW617" s="17">
        <v>44925</v>
      </c>
      <c r="RJX617" s="5" t="s">
        <v>3728</v>
      </c>
      <c r="RJY617" s="17">
        <v>44925</v>
      </c>
      <c r="RJZ617" s="5" t="s">
        <v>3728</v>
      </c>
      <c r="RKA617" s="17">
        <v>44925</v>
      </c>
      <c r="RKB617" s="5" t="s">
        <v>3728</v>
      </c>
      <c r="RKC617" s="17">
        <v>44925</v>
      </c>
      <c r="RKD617" s="5" t="s">
        <v>3728</v>
      </c>
      <c r="RKE617" s="17">
        <v>44925</v>
      </c>
      <c r="RKF617" s="5" t="s">
        <v>3728</v>
      </c>
      <c r="RKG617" s="17">
        <v>44925</v>
      </c>
      <c r="RKH617" s="5" t="s">
        <v>3728</v>
      </c>
      <c r="RKI617" s="17">
        <v>44925</v>
      </c>
      <c r="RKJ617" s="5" t="s">
        <v>3728</v>
      </c>
      <c r="RKK617" s="17">
        <v>44925</v>
      </c>
      <c r="RKL617" s="5" t="s">
        <v>3728</v>
      </c>
      <c r="RKM617" s="17">
        <v>44925</v>
      </c>
      <c r="RKN617" s="5" t="s">
        <v>3728</v>
      </c>
      <c r="RKO617" s="17">
        <v>44925</v>
      </c>
      <c r="RKP617" s="5" t="s">
        <v>3728</v>
      </c>
      <c r="RKQ617" s="17">
        <v>44925</v>
      </c>
      <c r="RKR617" s="5" t="s">
        <v>3728</v>
      </c>
      <c r="RKS617" s="17">
        <v>44925</v>
      </c>
      <c r="RKT617" s="5" t="s">
        <v>3728</v>
      </c>
      <c r="RKU617" s="17">
        <v>44925</v>
      </c>
      <c r="RKV617" s="5" t="s">
        <v>3728</v>
      </c>
      <c r="RKW617" s="17">
        <v>44925</v>
      </c>
      <c r="RKX617" s="5" t="s">
        <v>3728</v>
      </c>
      <c r="RKY617" s="17">
        <v>44925</v>
      </c>
      <c r="RKZ617" s="5" t="s">
        <v>3728</v>
      </c>
      <c r="RLA617" s="17">
        <v>44925</v>
      </c>
      <c r="RLB617" s="5" t="s">
        <v>3728</v>
      </c>
      <c r="RLC617" s="17">
        <v>44925</v>
      </c>
      <c r="RLD617" s="5" t="s">
        <v>3728</v>
      </c>
      <c r="RLE617" s="17">
        <v>44925</v>
      </c>
      <c r="RLF617" s="5" t="s">
        <v>3728</v>
      </c>
      <c r="RLG617" s="17">
        <v>44925</v>
      </c>
      <c r="RLH617" s="5" t="s">
        <v>3728</v>
      </c>
      <c r="RLI617" s="17">
        <v>44925</v>
      </c>
      <c r="RLJ617" s="5" t="s">
        <v>3728</v>
      </c>
      <c r="RLK617" s="17">
        <v>44925</v>
      </c>
      <c r="RLL617" s="5" t="s">
        <v>3728</v>
      </c>
      <c r="RLM617" s="17">
        <v>44925</v>
      </c>
      <c r="RLN617" s="5" t="s">
        <v>3728</v>
      </c>
      <c r="RLO617" s="17">
        <v>44925</v>
      </c>
      <c r="RLP617" s="5" t="s">
        <v>3728</v>
      </c>
      <c r="RLQ617" s="17">
        <v>44925</v>
      </c>
      <c r="RLR617" s="5" t="s">
        <v>3728</v>
      </c>
      <c r="RLS617" s="17">
        <v>44925</v>
      </c>
      <c r="RLT617" s="5" t="s">
        <v>3728</v>
      </c>
      <c r="RLU617" s="17">
        <v>44925</v>
      </c>
      <c r="RLV617" s="5" t="s">
        <v>3728</v>
      </c>
      <c r="RLW617" s="17">
        <v>44925</v>
      </c>
      <c r="RLX617" s="5" t="s">
        <v>3728</v>
      </c>
      <c r="RLY617" s="17">
        <v>44925</v>
      </c>
      <c r="RLZ617" s="5" t="s">
        <v>3728</v>
      </c>
      <c r="RMA617" s="17">
        <v>44925</v>
      </c>
      <c r="RMB617" s="5" t="s">
        <v>3728</v>
      </c>
      <c r="RMC617" s="17">
        <v>44925</v>
      </c>
      <c r="RMD617" s="5" t="s">
        <v>3728</v>
      </c>
      <c r="RME617" s="17">
        <v>44925</v>
      </c>
      <c r="RMF617" s="5" t="s">
        <v>3728</v>
      </c>
      <c r="RMG617" s="17">
        <v>44925</v>
      </c>
      <c r="RMH617" s="5" t="s">
        <v>3728</v>
      </c>
      <c r="RMI617" s="17">
        <v>44925</v>
      </c>
      <c r="RMJ617" s="5" t="s">
        <v>3728</v>
      </c>
      <c r="RMK617" s="17">
        <v>44925</v>
      </c>
      <c r="RML617" s="5" t="s">
        <v>3728</v>
      </c>
      <c r="RMM617" s="17">
        <v>44925</v>
      </c>
      <c r="RMN617" s="5" t="s">
        <v>3728</v>
      </c>
      <c r="RMO617" s="17">
        <v>44925</v>
      </c>
      <c r="RMP617" s="5" t="s">
        <v>3728</v>
      </c>
      <c r="RMQ617" s="17">
        <v>44925</v>
      </c>
      <c r="RMR617" s="5" t="s">
        <v>3728</v>
      </c>
      <c r="RMS617" s="17">
        <v>44925</v>
      </c>
      <c r="RMT617" s="5" t="s">
        <v>3728</v>
      </c>
      <c r="RMU617" s="17">
        <v>44925</v>
      </c>
      <c r="RMV617" s="5" t="s">
        <v>3728</v>
      </c>
      <c r="RMW617" s="17">
        <v>44925</v>
      </c>
      <c r="RMX617" s="5" t="s">
        <v>3728</v>
      </c>
      <c r="RMY617" s="17">
        <v>44925</v>
      </c>
      <c r="RMZ617" s="5" t="s">
        <v>3728</v>
      </c>
      <c r="RNA617" s="17">
        <v>44925</v>
      </c>
      <c r="RNB617" s="5" t="s">
        <v>3728</v>
      </c>
      <c r="RNC617" s="17">
        <v>44925</v>
      </c>
      <c r="RND617" s="5" t="s">
        <v>3728</v>
      </c>
      <c r="RNE617" s="17">
        <v>44925</v>
      </c>
      <c r="RNF617" s="5" t="s">
        <v>3728</v>
      </c>
      <c r="RNG617" s="17">
        <v>44925</v>
      </c>
      <c r="RNH617" s="5" t="s">
        <v>3728</v>
      </c>
      <c r="RNI617" s="17">
        <v>44925</v>
      </c>
      <c r="RNJ617" s="5" t="s">
        <v>3728</v>
      </c>
      <c r="RNK617" s="17">
        <v>44925</v>
      </c>
      <c r="RNL617" s="5" t="s">
        <v>3728</v>
      </c>
      <c r="RNM617" s="17">
        <v>44925</v>
      </c>
      <c r="RNN617" s="5" t="s">
        <v>3728</v>
      </c>
      <c r="RNO617" s="17">
        <v>44925</v>
      </c>
      <c r="RNP617" s="5" t="s">
        <v>3728</v>
      </c>
      <c r="RNQ617" s="17">
        <v>44925</v>
      </c>
      <c r="RNR617" s="5" t="s">
        <v>3728</v>
      </c>
      <c r="RNS617" s="17">
        <v>44925</v>
      </c>
      <c r="RNT617" s="5" t="s">
        <v>3728</v>
      </c>
      <c r="RNU617" s="17">
        <v>44925</v>
      </c>
      <c r="RNV617" s="5" t="s">
        <v>3728</v>
      </c>
      <c r="RNW617" s="17">
        <v>44925</v>
      </c>
      <c r="RNX617" s="5" t="s">
        <v>3728</v>
      </c>
      <c r="RNY617" s="17">
        <v>44925</v>
      </c>
      <c r="RNZ617" s="5" t="s">
        <v>3728</v>
      </c>
      <c r="ROA617" s="17">
        <v>44925</v>
      </c>
      <c r="ROB617" s="5" t="s">
        <v>3728</v>
      </c>
      <c r="ROC617" s="17">
        <v>44925</v>
      </c>
      <c r="ROD617" s="5" t="s">
        <v>3728</v>
      </c>
      <c r="ROE617" s="17">
        <v>44925</v>
      </c>
      <c r="ROF617" s="5" t="s">
        <v>3728</v>
      </c>
      <c r="ROG617" s="17">
        <v>44925</v>
      </c>
      <c r="ROH617" s="5" t="s">
        <v>3728</v>
      </c>
      <c r="ROI617" s="17">
        <v>44925</v>
      </c>
      <c r="ROJ617" s="5" t="s">
        <v>3728</v>
      </c>
      <c r="ROK617" s="17">
        <v>44925</v>
      </c>
      <c r="ROL617" s="5" t="s">
        <v>3728</v>
      </c>
      <c r="ROM617" s="17">
        <v>44925</v>
      </c>
      <c r="RON617" s="5" t="s">
        <v>3728</v>
      </c>
      <c r="ROO617" s="17">
        <v>44925</v>
      </c>
      <c r="ROP617" s="5" t="s">
        <v>3728</v>
      </c>
      <c r="ROQ617" s="17">
        <v>44925</v>
      </c>
      <c r="ROR617" s="5" t="s">
        <v>3728</v>
      </c>
      <c r="ROS617" s="17">
        <v>44925</v>
      </c>
      <c r="ROT617" s="5" t="s">
        <v>3728</v>
      </c>
      <c r="ROU617" s="17">
        <v>44925</v>
      </c>
      <c r="ROV617" s="5" t="s">
        <v>3728</v>
      </c>
      <c r="ROW617" s="17">
        <v>44925</v>
      </c>
      <c r="ROX617" s="5" t="s">
        <v>3728</v>
      </c>
      <c r="ROY617" s="17">
        <v>44925</v>
      </c>
      <c r="ROZ617" s="5" t="s">
        <v>3728</v>
      </c>
      <c r="RPA617" s="17">
        <v>44925</v>
      </c>
      <c r="RPB617" s="5" t="s">
        <v>3728</v>
      </c>
      <c r="RPC617" s="17">
        <v>44925</v>
      </c>
      <c r="RPD617" s="5" t="s">
        <v>3728</v>
      </c>
      <c r="RPE617" s="17">
        <v>44925</v>
      </c>
      <c r="RPF617" s="5" t="s">
        <v>3728</v>
      </c>
      <c r="RPG617" s="17">
        <v>44925</v>
      </c>
      <c r="RPH617" s="5" t="s">
        <v>3728</v>
      </c>
      <c r="RPI617" s="17">
        <v>44925</v>
      </c>
      <c r="RPJ617" s="5" t="s">
        <v>3728</v>
      </c>
      <c r="RPK617" s="17">
        <v>44925</v>
      </c>
      <c r="RPL617" s="5" t="s">
        <v>3728</v>
      </c>
      <c r="RPM617" s="17">
        <v>44925</v>
      </c>
      <c r="RPN617" s="5" t="s">
        <v>3728</v>
      </c>
      <c r="RPO617" s="17">
        <v>44925</v>
      </c>
      <c r="RPP617" s="5" t="s">
        <v>3728</v>
      </c>
      <c r="RPQ617" s="17">
        <v>44925</v>
      </c>
      <c r="RPR617" s="5" t="s">
        <v>3728</v>
      </c>
      <c r="RPS617" s="17">
        <v>44925</v>
      </c>
      <c r="RPT617" s="5" t="s">
        <v>3728</v>
      </c>
      <c r="RPU617" s="17">
        <v>44925</v>
      </c>
      <c r="RPV617" s="5" t="s">
        <v>3728</v>
      </c>
      <c r="RPW617" s="17">
        <v>44925</v>
      </c>
      <c r="RPX617" s="5" t="s">
        <v>3728</v>
      </c>
      <c r="RPY617" s="17">
        <v>44925</v>
      </c>
      <c r="RPZ617" s="5" t="s">
        <v>3728</v>
      </c>
      <c r="RQA617" s="17">
        <v>44925</v>
      </c>
      <c r="RQB617" s="5" t="s">
        <v>3728</v>
      </c>
      <c r="RQC617" s="17">
        <v>44925</v>
      </c>
      <c r="RQD617" s="5" t="s">
        <v>3728</v>
      </c>
      <c r="RQE617" s="17">
        <v>44925</v>
      </c>
      <c r="RQF617" s="5" t="s">
        <v>3728</v>
      </c>
      <c r="RQG617" s="17">
        <v>44925</v>
      </c>
      <c r="RQH617" s="5" t="s">
        <v>3728</v>
      </c>
      <c r="RQI617" s="17">
        <v>44925</v>
      </c>
      <c r="RQJ617" s="5" t="s">
        <v>3728</v>
      </c>
      <c r="RQK617" s="17">
        <v>44925</v>
      </c>
      <c r="RQL617" s="5" t="s">
        <v>3728</v>
      </c>
      <c r="RQM617" s="17">
        <v>44925</v>
      </c>
      <c r="RQN617" s="5" t="s">
        <v>3728</v>
      </c>
      <c r="RQO617" s="17">
        <v>44925</v>
      </c>
      <c r="RQP617" s="5" t="s">
        <v>3728</v>
      </c>
      <c r="RQQ617" s="17">
        <v>44925</v>
      </c>
      <c r="RQR617" s="5" t="s">
        <v>3728</v>
      </c>
      <c r="RQS617" s="17">
        <v>44925</v>
      </c>
      <c r="RQT617" s="5" t="s">
        <v>3728</v>
      </c>
      <c r="RQU617" s="17">
        <v>44925</v>
      </c>
      <c r="RQV617" s="5" t="s">
        <v>3728</v>
      </c>
      <c r="RQW617" s="17">
        <v>44925</v>
      </c>
      <c r="RQX617" s="5" t="s">
        <v>3728</v>
      </c>
      <c r="RQY617" s="17">
        <v>44925</v>
      </c>
      <c r="RQZ617" s="5" t="s">
        <v>3728</v>
      </c>
      <c r="RRA617" s="17">
        <v>44925</v>
      </c>
      <c r="RRB617" s="5" t="s">
        <v>3728</v>
      </c>
      <c r="RRC617" s="17">
        <v>44925</v>
      </c>
      <c r="RRD617" s="5" t="s">
        <v>3728</v>
      </c>
      <c r="RRE617" s="17">
        <v>44925</v>
      </c>
      <c r="RRF617" s="5" t="s">
        <v>3728</v>
      </c>
      <c r="RRG617" s="17">
        <v>44925</v>
      </c>
      <c r="RRH617" s="5" t="s">
        <v>3728</v>
      </c>
      <c r="RRI617" s="17">
        <v>44925</v>
      </c>
      <c r="RRJ617" s="5" t="s">
        <v>3728</v>
      </c>
      <c r="RRK617" s="17">
        <v>44925</v>
      </c>
      <c r="RRL617" s="5" t="s">
        <v>3728</v>
      </c>
      <c r="RRM617" s="17">
        <v>44925</v>
      </c>
      <c r="RRN617" s="5" t="s">
        <v>3728</v>
      </c>
      <c r="RRO617" s="17">
        <v>44925</v>
      </c>
      <c r="RRP617" s="5" t="s">
        <v>3728</v>
      </c>
      <c r="RRQ617" s="17">
        <v>44925</v>
      </c>
      <c r="RRR617" s="5" t="s">
        <v>3728</v>
      </c>
      <c r="RRS617" s="17">
        <v>44925</v>
      </c>
      <c r="RRT617" s="5" t="s">
        <v>3728</v>
      </c>
      <c r="RRU617" s="17">
        <v>44925</v>
      </c>
      <c r="RRV617" s="5" t="s">
        <v>3728</v>
      </c>
      <c r="RRW617" s="17">
        <v>44925</v>
      </c>
      <c r="RRX617" s="5" t="s">
        <v>3728</v>
      </c>
      <c r="RRY617" s="17">
        <v>44925</v>
      </c>
      <c r="RRZ617" s="5" t="s">
        <v>3728</v>
      </c>
      <c r="RSA617" s="17">
        <v>44925</v>
      </c>
      <c r="RSB617" s="5" t="s">
        <v>3728</v>
      </c>
      <c r="RSC617" s="17">
        <v>44925</v>
      </c>
      <c r="RSD617" s="5" t="s">
        <v>3728</v>
      </c>
      <c r="RSE617" s="17">
        <v>44925</v>
      </c>
      <c r="RSF617" s="5" t="s">
        <v>3728</v>
      </c>
      <c r="RSG617" s="17">
        <v>44925</v>
      </c>
      <c r="RSH617" s="5" t="s">
        <v>3728</v>
      </c>
      <c r="RSI617" s="17">
        <v>44925</v>
      </c>
      <c r="RSJ617" s="5" t="s">
        <v>3728</v>
      </c>
      <c r="RSK617" s="17">
        <v>44925</v>
      </c>
      <c r="RSL617" s="5" t="s">
        <v>3728</v>
      </c>
      <c r="RSM617" s="17">
        <v>44925</v>
      </c>
      <c r="RSN617" s="5" t="s">
        <v>3728</v>
      </c>
      <c r="RSO617" s="17">
        <v>44925</v>
      </c>
      <c r="RSP617" s="5" t="s">
        <v>3728</v>
      </c>
      <c r="RSQ617" s="17">
        <v>44925</v>
      </c>
      <c r="RSR617" s="5" t="s">
        <v>3728</v>
      </c>
      <c r="RSS617" s="17">
        <v>44925</v>
      </c>
      <c r="RST617" s="5" t="s">
        <v>3728</v>
      </c>
      <c r="RSU617" s="17">
        <v>44925</v>
      </c>
      <c r="RSV617" s="5" t="s">
        <v>3728</v>
      </c>
      <c r="RSW617" s="17">
        <v>44925</v>
      </c>
      <c r="RSX617" s="5" t="s">
        <v>3728</v>
      </c>
      <c r="RSY617" s="17">
        <v>44925</v>
      </c>
      <c r="RSZ617" s="5" t="s">
        <v>3728</v>
      </c>
      <c r="RTA617" s="17">
        <v>44925</v>
      </c>
      <c r="RTB617" s="5" t="s">
        <v>3728</v>
      </c>
      <c r="RTC617" s="17">
        <v>44925</v>
      </c>
      <c r="RTD617" s="5" t="s">
        <v>3728</v>
      </c>
      <c r="RTE617" s="17">
        <v>44925</v>
      </c>
      <c r="RTF617" s="5" t="s">
        <v>3728</v>
      </c>
      <c r="RTG617" s="17">
        <v>44925</v>
      </c>
      <c r="RTH617" s="5" t="s">
        <v>3728</v>
      </c>
      <c r="RTI617" s="17">
        <v>44925</v>
      </c>
      <c r="RTJ617" s="5" t="s">
        <v>3728</v>
      </c>
      <c r="RTK617" s="17">
        <v>44925</v>
      </c>
      <c r="RTL617" s="5" t="s">
        <v>3728</v>
      </c>
      <c r="RTM617" s="17">
        <v>44925</v>
      </c>
      <c r="RTN617" s="5" t="s">
        <v>3728</v>
      </c>
      <c r="RTO617" s="17">
        <v>44925</v>
      </c>
      <c r="RTP617" s="5" t="s">
        <v>3728</v>
      </c>
      <c r="RTQ617" s="17">
        <v>44925</v>
      </c>
      <c r="RTR617" s="5" t="s">
        <v>3728</v>
      </c>
      <c r="RTS617" s="17">
        <v>44925</v>
      </c>
      <c r="RTT617" s="5" t="s">
        <v>3728</v>
      </c>
      <c r="RTU617" s="17">
        <v>44925</v>
      </c>
      <c r="RTV617" s="5" t="s">
        <v>3728</v>
      </c>
      <c r="RTW617" s="17">
        <v>44925</v>
      </c>
      <c r="RTX617" s="5" t="s">
        <v>3728</v>
      </c>
      <c r="RTY617" s="17">
        <v>44925</v>
      </c>
      <c r="RTZ617" s="5" t="s">
        <v>3728</v>
      </c>
      <c r="RUA617" s="17">
        <v>44925</v>
      </c>
      <c r="RUB617" s="5" t="s">
        <v>3728</v>
      </c>
      <c r="RUC617" s="17">
        <v>44925</v>
      </c>
      <c r="RUD617" s="5" t="s">
        <v>3728</v>
      </c>
      <c r="RUE617" s="17">
        <v>44925</v>
      </c>
      <c r="RUF617" s="5" t="s">
        <v>3728</v>
      </c>
      <c r="RUG617" s="17">
        <v>44925</v>
      </c>
      <c r="RUH617" s="5" t="s">
        <v>3728</v>
      </c>
      <c r="RUI617" s="17">
        <v>44925</v>
      </c>
      <c r="RUJ617" s="5" t="s">
        <v>3728</v>
      </c>
      <c r="RUK617" s="17">
        <v>44925</v>
      </c>
      <c r="RUL617" s="5" t="s">
        <v>3728</v>
      </c>
      <c r="RUM617" s="17">
        <v>44925</v>
      </c>
      <c r="RUN617" s="5" t="s">
        <v>3728</v>
      </c>
      <c r="RUO617" s="17">
        <v>44925</v>
      </c>
      <c r="RUP617" s="5" t="s">
        <v>3728</v>
      </c>
      <c r="RUQ617" s="17">
        <v>44925</v>
      </c>
      <c r="RUR617" s="5" t="s">
        <v>3728</v>
      </c>
      <c r="RUS617" s="17">
        <v>44925</v>
      </c>
      <c r="RUT617" s="5" t="s">
        <v>3728</v>
      </c>
      <c r="RUU617" s="17">
        <v>44925</v>
      </c>
      <c r="RUV617" s="5" t="s">
        <v>3728</v>
      </c>
      <c r="RUW617" s="17">
        <v>44925</v>
      </c>
      <c r="RUX617" s="5" t="s">
        <v>3728</v>
      </c>
      <c r="RUY617" s="17">
        <v>44925</v>
      </c>
      <c r="RUZ617" s="5" t="s">
        <v>3728</v>
      </c>
      <c r="RVA617" s="17">
        <v>44925</v>
      </c>
      <c r="RVB617" s="5" t="s">
        <v>3728</v>
      </c>
      <c r="RVC617" s="17">
        <v>44925</v>
      </c>
      <c r="RVD617" s="5" t="s">
        <v>3728</v>
      </c>
      <c r="RVE617" s="17">
        <v>44925</v>
      </c>
      <c r="RVF617" s="5" t="s">
        <v>3728</v>
      </c>
      <c r="RVG617" s="17">
        <v>44925</v>
      </c>
      <c r="RVH617" s="5" t="s">
        <v>3728</v>
      </c>
      <c r="RVI617" s="17">
        <v>44925</v>
      </c>
      <c r="RVJ617" s="5" t="s">
        <v>3728</v>
      </c>
      <c r="RVK617" s="17">
        <v>44925</v>
      </c>
      <c r="RVL617" s="5" t="s">
        <v>3728</v>
      </c>
      <c r="RVM617" s="17">
        <v>44925</v>
      </c>
      <c r="RVN617" s="5" t="s">
        <v>3728</v>
      </c>
      <c r="RVO617" s="17">
        <v>44925</v>
      </c>
      <c r="RVP617" s="5" t="s">
        <v>3728</v>
      </c>
      <c r="RVQ617" s="17">
        <v>44925</v>
      </c>
      <c r="RVR617" s="5" t="s">
        <v>3728</v>
      </c>
      <c r="RVS617" s="17">
        <v>44925</v>
      </c>
      <c r="RVT617" s="5" t="s">
        <v>3728</v>
      </c>
      <c r="RVU617" s="17">
        <v>44925</v>
      </c>
      <c r="RVV617" s="5" t="s">
        <v>3728</v>
      </c>
      <c r="RVW617" s="17">
        <v>44925</v>
      </c>
      <c r="RVX617" s="5" t="s">
        <v>3728</v>
      </c>
      <c r="RVY617" s="17">
        <v>44925</v>
      </c>
      <c r="RVZ617" s="5" t="s">
        <v>3728</v>
      </c>
      <c r="RWA617" s="17">
        <v>44925</v>
      </c>
      <c r="RWB617" s="5" t="s">
        <v>3728</v>
      </c>
      <c r="RWC617" s="17">
        <v>44925</v>
      </c>
      <c r="RWD617" s="5" t="s">
        <v>3728</v>
      </c>
      <c r="RWE617" s="17">
        <v>44925</v>
      </c>
      <c r="RWF617" s="5" t="s">
        <v>3728</v>
      </c>
      <c r="RWG617" s="17">
        <v>44925</v>
      </c>
      <c r="RWH617" s="5" t="s">
        <v>3728</v>
      </c>
      <c r="RWI617" s="17">
        <v>44925</v>
      </c>
      <c r="RWJ617" s="5" t="s">
        <v>3728</v>
      </c>
      <c r="RWK617" s="17">
        <v>44925</v>
      </c>
      <c r="RWL617" s="5" t="s">
        <v>3728</v>
      </c>
      <c r="RWM617" s="17">
        <v>44925</v>
      </c>
      <c r="RWN617" s="5" t="s">
        <v>3728</v>
      </c>
      <c r="RWO617" s="17">
        <v>44925</v>
      </c>
      <c r="RWP617" s="5" t="s">
        <v>3728</v>
      </c>
      <c r="RWQ617" s="17">
        <v>44925</v>
      </c>
      <c r="RWR617" s="5" t="s">
        <v>3728</v>
      </c>
      <c r="RWS617" s="17">
        <v>44925</v>
      </c>
      <c r="RWT617" s="5" t="s">
        <v>3728</v>
      </c>
      <c r="RWU617" s="17">
        <v>44925</v>
      </c>
      <c r="RWV617" s="5" t="s">
        <v>3728</v>
      </c>
      <c r="RWW617" s="17">
        <v>44925</v>
      </c>
      <c r="RWX617" s="5" t="s">
        <v>3728</v>
      </c>
      <c r="RWY617" s="17">
        <v>44925</v>
      </c>
      <c r="RWZ617" s="5" t="s">
        <v>3728</v>
      </c>
      <c r="RXA617" s="17">
        <v>44925</v>
      </c>
      <c r="RXB617" s="5" t="s">
        <v>3728</v>
      </c>
      <c r="RXC617" s="17">
        <v>44925</v>
      </c>
      <c r="RXD617" s="5" t="s">
        <v>3728</v>
      </c>
      <c r="RXE617" s="17">
        <v>44925</v>
      </c>
      <c r="RXF617" s="5" t="s">
        <v>3728</v>
      </c>
      <c r="RXG617" s="17">
        <v>44925</v>
      </c>
      <c r="RXH617" s="5" t="s">
        <v>3728</v>
      </c>
      <c r="RXI617" s="17">
        <v>44925</v>
      </c>
      <c r="RXJ617" s="5" t="s">
        <v>3728</v>
      </c>
      <c r="RXK617" s="17">
        <v>44925</v>
      </c>
      <c r="RXL617" s="5" t="s">
        <v>3728</v>
      </c>
      <c r="RXM617" s="17">
        <v>44925</v>
      </c>
      <c r="RXN617" s="5" t="s">
        <v>3728</v>
      </c>
      <c r="RXO617" s="17">
        <v>44925</v>
      </c>
      <c r="RXP617" s="5" t="s">
        <v>3728</v>
      </c>
      <c r="RXQ617" s="17">
        <v>44925</v>
      </c>
      <c r="RXR617" s="5" t="s">
        <v>3728</v>
      </c>
      <c r="RXS617" s="17">
        <v>44925</v>
      </c>
      <c r="RXT617" s="5" t="s">
        <v>3728</v>
      </c>
      <c r="RXU617" s="17">
        <v>44925</v>
      </c>
      <c r="RXV617" s="5" t="s">
        <v>3728</v>
      </c>
      <c r="RXW617" s="17">
        <v>44925</v>
      </c>
      <c r="RXX617" s="5" t="s">
        <v>3728</v>
      </c>
      <c r="RXY617" s="17">
        <v>44925</v>
      </c>
      <c r="RXZ617" s="5" t="s">
        <v>3728</v>
      </c>
      <c r="RYA617" s="17">
        <v>44925</v>
      </c>
      <c r="RYB617" s="5" t="s">
        <v>3728</v>
      </c>
      <c r="RYC617" s="17">
        <v>44925</v>
      </c>
      <c r="RYD617" s="5" t="s">
        <v>3728</v>
      </c>
      <c r="RYE617" s="17">
        <v>44925</v>
      </c>
      <c r="RYF617" s="5" t="s">
        <v>3728</v>
      </c>
      <c r="RYG617" s="17">
        <v>44925</v>
      </c>
      <c r="RYH617" s="5" t="s">
        <v>3728</v>
      </c>
      <c r="RYI617" s="17">
        <v>44925</v>
      </c>
      <c r="RYJ617" s="5" t="s">
        <v>3728</v>
      </c>
      <c r="RYK617" s="17">
        <v>44925</v>
      </c>
      <c r="RYL617" s="5" t="s">
        <v>3728</v>
      </c>
      <c r="RYM617" s="17">
        <v>44925</v>
      </c>
      <c r="RYN617" s="5" t="s">
        <v>3728</v>
      </c>
      <c r="RYO617" s="17">
        <v>44925</v>
      </c>
      <c r="RYP617" s="5" t="s">
        <v>3728</v>
      </c>
      <c r="RYQ617" s="17">
        <v>44925</v>
      </c>
      <c r="RYR617" s="5" t="s">
        <v>3728</v>
      </c>
      <c r="RYS617" s="17">
        <v>44925</v>
      </c>
      <c r="RYT617" s="5" t="s">
        <v>3728</v>
      </c>
      <c r="RYU617" s="17">
        <v>44925</v>
      </c>
      <c r="RYV617" s="5" t="s">
        <v>3728</v>
      </c>
      <c r="RYW617" s="17">
        <v>44925</v>
      </c>
      <c r="RYX617" s="5" t="s">
        <v>3728</v>
      </c>
      <c r="RYY617" s="17">
        <v>44925</v>
      </c>
      <c r="RYZ617" s="5" t="s">
        <v>3728</v>
      </c>
      <c r="RZA617" s="17">
        <v>44925</v>
      </c>
      <c r="RZB617" s="5" t="s">
        <v>3728</v>
      </c>
      <c r="RZC617" s="17">
        <v>44925</v>
      </c>
      <c r="RZD617" s="5" t="s">
        <v>3728</v>
      </c>
      <c r="RZE617" s="17">
        <v>44925</v>
      </c>
      <c r="RZF617" s="5" t="s">
        <v>3728</v>
      </c>
      <c r="RZG617" s="17">
        <v>44925</v>
      </c>
      <c r="RZH617" s="5" t="s">
        <v>3728</v>
      </c>
      <c r="RZI617" s="17">
        <v>44925</v>
      </c>
      <c r="RZJ617" s="5" t="s">
        <v>3728</v>
      </c>
      <c r="RZK617" s="17">
        <v>44925</v>
      </c>
      <c r="RZL617" s="5" t="s">
        <v>3728</v>
      </c>
      <c r="RZM617" s="17">
        <v>44925</v>
      </c>
      <c r="RZN617" s="5" t="s">
        <v>3728</v>
      </c>
      <c r="RZO617" s="17">
        <v>44925</v>
      </c>
      <c r="RZP617" s="5" t="s">
        <v>3728</v>
      </c>
      <c r="RZQ617" s="17">
        <v>44925</v>
      </c>
      <c r="RZR617" s="5" t="s">
        <v>3728</v>
      </c>
      <c r="RZS617" s="17">
        <v>44925</v>
      </c>
      <c r="RZT617" s="5" t="s">
        <v>3728</v>
      </c>
      <c r="RZU617" s="17">
        <v>44925</v>
      </c>
      <c r="RZV617" s="5" t="s">
        <v>3728</v>
      </c>
      <c r="RZW617" s="17">
        <v>44925</v>
      </c>
      <c r="RZX617" s="5" t="s">
        <v>3728</v>
      </c>
      <c r="RZY617" s="17">
        <v>44925</v>
      </c>
      <c r="RZZ617" s="5" t="s">
        <v>3728</v>
      </c>
      <c r="SAA617" s="17">
        <v>44925</v>
      </c>
      <c r="SAB617" s="5" t="s">
        <v>3728</v>
      </c>
      <c r="SAC617" s="17">
        <v>44925</v>
      </c>
      <c r="SAD617" s="5" t="s">
        <v>3728</v>
      </c>
      <c r="SAE617" s="17">
        <v>44925</v>
      </c>
      <c r="SAF617" s="5" t="s">
        <v>3728</v>
      </c>
      <c r="SAG617" s="17">
        <v>44925</v>
      </c>
      <c r="SAH617" s="5" t="s">
        <v>3728</v>
      </c>
      <c r="SAI617" s="17">
        <v>44925</v>
      </c>
      <c r="SAJ617" s="5" t="s">
        <v>3728</v>
      </c>
      <c r="SAK617" s="17">
        <v>44925</v>
      </c>
      <c r="SAL617" s="5" t="s">
        <v>3728</v>
      </c>
      <c r="SAM617" s="17">
        <v>44925</v>
      </c>
      <c r="SAN617" s="5" t="s">
        <v>3728</v>
      </c>
      <c r="SAO617" s="17">
        <v>44925</v>
      </c>
      <c r="SAP617" s="5" t="s">
        <v>3728</v>
      </c>
      <c r="SAQ617" s="17">
        <v>44925</v>
      </c>
      <c r="SAR617" s="5" t="s">
        <v>3728</v>
      </c>
      <c r="SAS617" s="17">
        <v>44925</v>
      </c>
      <c r="SAT617" s="5" t="s">
        <v>3728</v>
      </c>
      <c r="SAU617" s="17">
        <v>44925</v>
      </c>
      <c r="SAV617" s="5" t="s">
        <v>3728</v>
      </c>
      <c r="SAW617" s="17">
        <v>44925</v>
      </c>
      <c r="SAX617" s="5" t="s">
        <v>3728</v>
      </c>
      <c r="SAY617" s="17">
        <v>44925</v>
      </c>
      <c r="SAZ617" s="5" t="s">
        <v>3728</v>
      </c>
      <c r="SBA617" s="17">
        <v>44925</v>
      </c>
      <c r="SBB617" s="5" t="s">
        <v>3728</v>
      </c>
      <c r="SBC617" s="17">
        <v>44925</v>
      </c>
      <c r="SBD617" s="5" t="s">
        <v>3728</v>
      </c>
      <c r="SBE617" s="17">
        <v>44925</v>
      </c>
      <c r="SBF617" s="5" t="s">
        <v>3728</v>
      </c>
      <c r="SBG617" s="17">
        <v>44925</v>
      </c>
      <c r="SBH617" s="5" t="s">
        <v>3728</v>
      </c>
      <c r="SBI617" s="17">
        <v>44925</v>
      </c>
      <c r="SBJ617" s="5" t="s">
        <v>3728</v>
      </c>
      <c r="SBK617" s="17">
        <v>44925</v>
      </c>
      <c r="SBL617" s="5" t="s">
        <v>3728</v>
      </c>
      <c r="SBM617" s="17">
        <v>44925</v>
      </c>
      <c r="SBN617" s="5" t="s">
        <v>3728</v>
      </c>
      <c r="SBO617" s="17">
        <v>44925</v>
      </c>
      <c r="SBP617" s="5" t="s">
        <v>3728</v>
      </c>
      <c r="SBQ617" s="17">
        <v>44925</v>
      </c>
      <c r="SBR617" s="5" t="s">
        <v>3728</v>
      </c>
      <c r="SBS617" s="17">
        <v>44925</v>
      </c>
      <c r="SBT617" s="5" t="s">
        <v>3728</v>
      </c>
      <c r="SBU617" s="17">
        <v>44925</v>
      </c>
      <c r="SBV617" s="5" t="s">
        <v>3728</v>
      </c>
      <c r="SBW617" s="17">
        <v>44925</v>
      </c>
      <c r="SBX617" s="5" t="s">
        <v>3728</v>
      </c>
      <c r="SBY617" s="17">
        <v>44925</v>
      </c>
      <c r="SBZ617" s="5" t="s">
        <v>3728</v>
      </c>
      <c r="SCA617" s="17">
        <v>44925</v>
      </c>
      <c r="SCB617" s="5" t="s">
        <v>3728</v>
      </c>
      <c r="SCC617" s="17">
        <v>44925</v>
      </c>
      <c r="SCD617" s="5" t="s">
        <v>3728</v>
      </c>
      <c r="SCE617" s="17">
        <v>44925</v>
      </c>
      <c r="SCF617" s="5" t="s">
        <v>3728</v>
      </c>
      <c r="SCG617" s="17">
        <v>44925</v>
      </c>
      <c r="SCH617" s="5" t="s">
        <v>3728</v>
      </c>
      <c r="SCI617" s="17">
        <v>44925</v>
      </c>
      <c r="SCJ617" s="5" t="s">
        <v>3728</v>
      </c>
      <c r="SCK617" s="17">
        <v>44925</v>
      </c>
      <c r="SCL617" s="5" t="s">
        <v>3728</v>
      </c>
      <c r="SCM617" s="17">
        <v>44925</v>
      </c>
      <c r="SCN617" s="5" t="s">
        <v>3728</v>
      </c>
      <c r="SCO617" s="17">
        <v>44925</v>
      </c>
      <c r="SCP617" s="5" t="s">
        <v>3728</v>
      </c>
      <c r="SCQ617" s="17">
        <v>44925</v>
      </c>
      <c r="SCR617" s="5" t="s">
        <v>3728</v>
      </c>
      <c r="SCS617" s="17">
        <v>44925</v>
      </c>
      <c r="SCT617" s="5" t="s">
        <v>3728</v>
      </c>
      <c r="SCU617" s="17">
        <v>44925</v>
      </c>
      <c r="SCV617" s="5" t="s">
        <v>3728</v>
      </c>
      <c r="SCW617" s="17">
        <v>44925</v>
      </c>
      <c r="SCX617" s="5" t="s">
        <v>3728</v>
      </c>
      <c r="SCY617" s="17">
        <v>44925</v>
      </c>
      <c r="SCZ617" s="5" t="s">
        <v>3728</v>
      </c>
      <c r="SDA617" s="17">
        <v>44925</v>
      </c>
      <c r="SDB617" s="5" t="s">
        <v>3728</v>
      </c>
      <c r="SDC617" s="17">
        <v>44925</v>
      </c>
      <c r="SDD617" s="5" t="s">
        <v>3728</v>
      </c>
      <c r="SDE617" s="17">
        <v>44925</v>
      </c>
      <c r="SDF617" s="5" t="s">
        <v>3728</v>
      </c>
      <c r="SDG617" s="17">
        <v>44925</v>
      </c>
      <c r="SDH617" s="5" t="s">
        <v>3728</v>
      </c>
      <c r="SDI617" s="17">
        <v>44925</v>
      </c>
      <c r="SDJ617" s="5" t="s">
        <v>3728</v>
      </c>
      <c r="SDK617" s="17">
        <v>44925</v>
      </c>
      <c r="SDL617" s="5" t="s">
        <v>3728</v>
      </c>
      <c r="SDM617" s="17">
        <v>44925</v>
      </c>
      <c r="SDN617" s="5" t="s">
        <v>3728</v>
      </c>
      <c r="SDO617" s="17">
        <v>44925</v>
      </c>
      <c r="SDP617" s="5" t="s">
        <v>3728</v>
      </c>
      <c r="SDQ617" s="17">
        <v>44925</v>
      </c>
      <c r="SDR617" s="5" t="s">
        <v>3728</v>
      </c>
      <c r="SDS617" s="17">
        <v>44925</v>
      </c>
      <c r="SDT617" s="5" t="s">
        <v>3728</v>
      </c>
      <c r="SDU617" s="17">
        <v>44925</v>
      </c>
      <c r="SDV617" s="5" t="s">
        <v>3728</v>
      </c>
      <c r="SDW617" s="17">
        <v>44925</v>
      </c>
      <c r="SDX617" s="5" t="s">
        <v>3728</v>
      </c>
      <c r="SDY617" s="17">
        <v>44925</v>
      </c>
      <c r="SDZ617" s="5" t="s">
        <v>3728</v>
      </c>
      <c r="SEA617" s="17">
        <v>44925</v>
      </c>
      <c r="SEB617" s="5" t="s">
        <v>3728</v>
      </c>
      <c r="SEC617" s="17">
        <v>44925</v>
      </c>
      <c r="SED617" s="5" t="s">
        <v>3728</v>
      </c>
      <c r="SEE617" s="17">
        <v>44925</v>
      </c>
      <c r="SEF617" s="5" t="s">
        <v>3728</v>
      </c>
      <c r="SEG617" s="17">
        <v>44925</v>
      </c>
      <c r="SEH617" s="5" t="s">
        <v>3728</v>
      </c>
      <c r="SEI617" s="17">
        <v>44925</v>
      </c>
      <c r="SEJ617" s="5" t="s">
        <v>3728</v>
      </c>
      <c r="SEK617" s="17">
        <v>44925</v>
      </c>
      <c r="SEL617" s="5" t="s">
        <v>3728</v>
      </c>
      <c r="SEM617" s="17">
        <v>44925</v>
      </c>
      <c r="SEN617" s="5" t="s">
        <v>3728</v>
      </c>
      <c r="SEO617" s="17">
        <v>44925</v>
      </c>
      <c r="SEP617" s="5" t="s">
        <v>3728</v>
      </c>
      <c r="SEQ617" s="17">
        <v>44925</v>
      </c>
      <c r="SER617" s="5" t="s">
        <v>3728</v>
      </c>
      <c r="SES617" s="17">
        <v>44925</v>
      </c>
      <c r="SET617" s="5" t="s">
        <v>3728</v>
      </c>
      <c r="SEU617" s="17">
        <v>44925</v>
      </c>
      <c r="SEV617" s="5" t="s">
        <v>3728</v>
      </c>
      <c r="SEW617" s="17">
        <v>44925</v>
      </c>
      <c r="SEX617" s="5" t="s">
        <v>3728</v>
      </c>
      <c r="SEY617" s="17">
        <v>44925</v>
      </c>
      <c r="SEZ617" s="5" t="s">
        <v>3728</v>
      </c>
      <c r="SFA617" s="17">
        <v>44925</v>
      </c>
      <c r="SFB617" s="5" t="s">
        <v>3728</v>
      </c>
      <c r="SFC617" s="17">
        <v>44925</v>
      </c>
      <c r="SFD617" s="5" t="s">
        <v>3728</v>
      </c>
      <c r="SFE617" s="17">
        <v>44925</v>
      </c>
      <c r="SFF617" s="5" t="s">
        <v>3728</v>
      </c>
      <c r="SFG617" s="17">
        <v>44925</v>
      </c>
      <c r="SFH617" s="5" t="s">
        <v>3728</v>
      </c>
      <c r="SFI617" s="17">
        <v>44925</v>
      </c>
      <c r="SFJ617" s="5" t="s">
        <v>3728</v>
      </c>
      <c r="SFK617" s="17">
        <v>44925</v>
      </c>
      <c r="SFL617" s="5" t="s">
        <v>3728</v>
      </c>
      <c r="SFM617" s="17">
        <v>44925</v>
      </c>
      <c r="SFN617" s="5" t="s">
        <v>3728</v>
      </c>
      <c r="SFO617" s="17">
        <v>44925</v>
      </c>
      <c r="SFP617" s="5" t="s">
        <v>3728</v>
      </c>
      <c r="SFQ617" s="17">
        <v>44925</v>
      </c>
      <c r="SFR617" s="5" t="s">
        <v>3728</v>
      </c>
      <c r="SFS617" s="17">
        <v>44925</v>
      </c>
      <c r="SFT617" s="5" t="s">
        <v>3728</v>
      </c>
      <c r="SFU617" s="17">
        <v>44925</v>
      </c>
      <c r="SFV617" s="5" t="s">
        <v>3728</v>
      </c>
      <c r="SFW617" s="17">
        <v>44925</v>
      </c>
      <c r="SFX617" s="5" t="s">
        <v>3728</v>
      </c>
      <c r="SFY617" s="17">
        <v>44925</v>
      </c>
      <c r="SFZ617" s="5" t="s">
        <v>3728</v>
      </c>
      <c r="SGA617" s="17">
        <v>44925</v>
      </c>
      <c r="SGB617" s="5" t="s">
        <v>3728</v>
      </c>
      <c r="SGC617" s="17">
        <v>44925</v>
      </c>
      <c r="SGD617" s="5" t="s">
        <v>3728</v>
      </c>
      <c r="SGE617" s="17">
        <v>44925</v>
      </c>
      <c r="SGF617" s="5" t="s">
        <v>3728</v>
      </c>
      <c r="SGG617" s="17">
        <v>44925</v>
      </c>
      <c r="SGH617" s="5" t="s">
        <v>3728</v>
      </c>
      <c r="SGI617" s="17">
        <v>44925</v>
      </c>
      <c r="SGJ617" s="5" t="s">
        <v>3728</v>
      </c>
      <c r="SGK617" s="17">
        <v>44925</v>
      </c>
      <c r="SGL617" s="5" t="s">
        <v>3728</v>
      </c>
      <c r="SGM617" s="17">
        <v>44925</v>
      </c>
      <c r="SGN617" s="5" t="s">
        <v>3728</v>
      </c>
      <c r="SGO617" s="17">
        <v>44925</v>
      </c>
      <c r="SGP617" s="5" t="s">
        <v>3728</v>
      </c>
      <c r="SGQ617" s="17">
        <v>44925</v>
      </c>
      <c r="SGR617" s="5" t="s">
        <v>3728</v>
      </c>
      <c r="SGS617" s="17">
        <v>44925</v>
      </c>
      <c r="SGT617" s="5" t="s">
        <v>3728</v>
      </c>
      <c r="SGU617" s="17">
        <v>44925</v>
      </c>
      <c r="SGV617" s="5" t="s">
        <v>3728</v>
      </c>
      <c r="SGW617" s="17">
        <v>44925</v>
      </c>
      <c r="SGX617" s="5" t="s">
        <v>3728</v>
      </c>
      <c r="SGY617" s="17">
        <v>44925</v>
      </c>
      <c r="SGZ617" s="5" t="s">
        <v>3728</v>
      </c>
      <c r="SHA617" s="17">
        <v>44925</v>
      </c>
      <c r="SHB617" s="5" t="s">
        <v>3728</v>
      </c>
      <c r="SHC617" s="17">
        <v>44925</v>
      </c>
      <c r="SHD617" s="5" t="s">
        <v>3728</v>
      </c>
      <c r="SHE617" s="17">
        <v>44925</v>
      </c>
      <c r="SHF617" s="5" t="s">
        <v>3728</v>
      </c>
      <c r="SHG617" s="17">
        <v>44925</v>
      </c>
      <c r="SHH617" s="5" t="s">
        <v>3728</v>
      </c>
      <c r="SHI617" s="17">
        <v>44925</v>
      </c>
      <c r="SHJ617" s="5" t="s">
        <v>3728</v>
      </c>
      <c r="SHK617" s="17">
        <v>44925</v>
      </c>
      <c r="SHL617" s="5" t="s">
        <v>3728</v>
      </c>
      <c r="SHM617" s="17">
        <v>44925</v>
      </c>
      <c r="SHN617" s="5" t="s">
        <v>3728</v>
      </c>
      <c r="SHO617" s="17">
        <v>44925</v>
      </c>
      <c r="SHP617" s="5" t="s">
        <v>3728</v>
      </c>
      <c r="SHQ617" s="17">
        <v>44925</v>
      </c>
      <c r="SHR617" s="5" t="s">
        <v>3728</v>
      </c>
      <c r="SHS617" s="17">
        <v>44925</v>
      </c>
      <c r="SHT617" s="5" t="s">
        <v>3728</v>
      </c>
      <c r="SHU617" s="17">
        <v>44925</v>
      </c>
      <c r="SHV617" s="5" t="s">
        <v>3728</v>
      </c>
      <c r="SHW617" s="17">
        <v>44925</v>
      </c>
      <c r="SHX617" s="5" t="s">
        <v>3728</v>
      </c>
      <c r="SHY617" s="17">
        <v>44925</v>
      </c>
      <c r="SHZ617" s="5" t="s">
        <v>3728</v>
      </c>
      <c r="SIA617" s="17">
        <v>44925</v>
      </c>
      <c r="SIB617" s="5" t="s">
        <v>3728</v>
      </c>
      <c r="SIC617" s="17">
        <v>44925</v>
      </c>
      <c r="SID617" s="5" t="s">
        <v>3728</v>
      </c>
      <c r="SIE617" s="17">
        <v>44925</v>
      </c>
      <c r="SIF617" s="5" t="s">
        <v>3728</v>
      </c>
      <c r="SIG617" s="17">
        <v>44925</v>
      </c>
      <c r="SIH617" s="5" t="s">
        <v>3728</v>
      </c>
      <c r="SII617" s="17">
        <v>44925</v>
      </c>
      <c r="SIJ617" s="5" t="s">
        <v>3728</v>
      </c>
      <c r="SIK617" s="17">
        <v>44925</v>
      </c>
      <c r="SIL617" s="5" t="s">
        <v>3728</v>
      </c>
      <c r="SIM617" s="17">
        <v>44925</v>
      </c>
      <c r="SIN617" s="5" t="s">
        <v>3728</v>
      </c>
      <c r="SIO617" s="17">
        <v>44925</v>
      </c>
      <c r="SIP617" s="5" t="s">
        <v>3728</v>
      </c>
      <c r="SIQ617" s="17">
        <v>44925</v>
      </c>
      <c r="SIR617" s="5" t="s">
        <v>3728</v>
      </c>
      <c r="SIS617" s="17">
        <v>44925</v>
      </c>
      <c r="SIT617" s="5" t="s">
        <v>3728</v>
      </c>
      <c r="SIU617" s="17">
        <v>44925</v>
      </c>
      <c r="SIV617" s="5" t="s">
        <v>3728</v>
      </c>
      <c r="SIW617" s="17">
        <v>44925</v>
      </c>
      <c r="SIX617" s="5" t="s">
        <v>3728</v>
      </c>
      <c r="SIY617" s="17">
        <v>44925</v>
      </c>
      <c r="SIZ617" s="5" t="s">
        <v>3728</v>
      </c>
      <c r="SJA617" s="17">
        <v>44925</v>
      </c>
      <c r="SJB617" s="5" t="s">
        <v>3728</v>
      </c>
      <c r="SJC617" s="17">
        <v>44925</v>
      </c>
      <c r="SJD617" s="5" t="s">
        <v>3728</v>
      </c>
      <c r="SJE617" s="17">
        <v>44925</v>
      </c>
      <c r="SJF617" s="5" t="s">
        <v>3728</v>
      </c>
      <c r="SJG617" s="17">
        <v>44925</v>
      </c>
      <c r="SJH617" s="5" t="s">
        <v>3728</v>
      </c>
      <c r="SJI617" s="17">
        <v>44925</v>
      </c>
      <c r="SJJ617" s="5" t="s">
        <v>3728</v>
      </c>
      <c r="SJK617" s="17">
        <v>44925</v>
      </c>
      <c r="SJL617" s="5" t="s">
        <v>3728</v>
      </c>
      <c r="SJM617" s="17">
        <v>44925</v>
      </c>
      <c r="SJN617" s="5" t="s">
        <v>3728</v>
      </c>
      <c r="SJO617" s="17">
        <v>44925</v>
      </c>
      <c r="SJP617" s="5" t="s">
        <v>3728</v>
      </c>
      <c r="SJQ617" s="17">
        <v>44925</v>
      </c>
      <c r="SJR617" s="5" t="s">
        <v>3728</v>
      </c>
      <c r="SJS617" s="17">
        <v>44925</v>
      </c>
      <c r="SJT617" s="5" t="s">
        <v>3728</v>
      </c>
      <c r="SJU617" s="17">
        <v>44925</v>
      </c>
      <c r="SJV617" s="5" t="s">
        <v>3728</v>
      </c>
      <c r="SJW617" s="17">
        <v>44925</v>
      </c>
      <c r="SJX617" s="5" t="s">
        <v>3728</v>
      </c>
      <c r="SJY617" s="17">
        <v>44925</v>
      </c>
      <c r="SJZ617" s="5" t="s">
        <v>3728</v>
      </c>
      <c r="SKA617" s="17">
        <v>44925</v>
      </c>
      <c r="SKB617" s="5" t="s">
        <v>3728</v>
      </c>
      <c r="SKC617" s="17">
        <v>44925</v>
      </c>
      <c r="SKD617" s="5" t="s">
        <v>3728</v>
      </c>
      <c r="SKE617" s="17">
        <v>44925</v>
      </c>
      <c r="SKF617" s="5" t="s">
        <v>3728</v>
      </c>
      <c r="SKG617" s="17">
        <v>44925</v>
      </c>
      <c r="SKH617" s="5" t="s">
        <v>3728</v>
      </c>
      <c r="SKI617" s="17">
        <v>44925</v>
      </c>
      <c r="SKJ617" s="5" t="s">
        <v>3728</v>
      </c>
      <c r="SKK617" s="17">
        <v>44925</v>
      </c>
      <c r="SKL617" s="5" t="s">
        <v>3728</v>
      </c>
      <c r="SKM617" s="17">
        <v>44925</v>
      </c>
      <c r="SKN617" s="5" t="s">
        <v>3728</v>
      </c>
      <c r="SKO617" s="17">
        <v>44925</v>
      </c>
      <c r="SKP617" s="5" t="s">
        <v>3728</v>
      </c>
      <c r="SKQ617" s="17">
        <v>44925</v>
      </c>
      <c r="SKR617" s="5" t="s">
        <v>3728</v>
      </c>
      <c r="SKS617" s="17">
        <v>44925</v>
      </c>
      <c r="SKT617" s="5" t="s">
        <v>3728</v>
      </c>
      <c r="SKU617" s="17">
        <v>44925</v>
      </c>
      <c r="SKV617" s="5" t="s">
        <v>3728</v>
      </c>
      <c r="SKW617" s="17">
        <v>44925</v>
      </c>
      <c r="SKX617" s="5" t="s">
        <v>3728</v>
      </c>
      <c r="SKY617" s="17">
        <v>44925</v>
      </c>
      <c r="SKZ617" s="5" t="s">
        <v>3728</v>
      </c>
      <c r="SLA617" s="17">
        <v>44925</v>
      </c>
      <c r="SLB617" s="5" t="s">
        <v>3728</v>
      </c>
      <c r="SLC617" s="17">
        <v>44925</v>
      </c>
      <c r="SLD617" s="5" t="s">
        <v>3728</v>
      </c>
      <c r="SLE617" s="17">
        <v>44925</v>
      </c>
      <c r="SLF617" s="5" t="s">
        <v>3728</v>
      </c>
      <c r="SLG617" s="17">
        <v>44925</v>
      </c>
      <c r="SLH617" s="5" t="s">
        <v>3728</v>
      </c>
      <c r="SLI617" s="17">
        <v>44925</v>
      </c>
      <c r="SLJ617" s="5" t="s">
        <v>3728</v>
      </c>
      <c r="SLK617" s="17">
        <v>44925</v>
      </c>
      <c r="SLL617" s="5" t="s">
        <v>3728</v>
      </c>
      <c r="SLM617" s="17">
        <v>44925</v>
      </c>
      <c r="SLN617" s="5" t="s">
        <v>3728</v>
      </c>
      <c r="SLO617" s="17">
        <v>44925</v>
      </c>
      <c r="SLP617" s="5" t="s">
        <v>3728</v>
      </c>
      <c r="SLQ617" s="17">
        <v>44925</v>
      </c>
      <c r="SLR617" s="5" t="s">
        <v>3728</v>
      </c>
      <c r="SLS617" s="17">
        <v>44925</v>
      </c>
      <c r="SLT617" s="5" t="s">
        <v>3728</v>
      </c>
      <c r="SLU617" s="17">
        <v>44925</v>
      </c>
      <c r="SLV617" s="5" t="s">
        <v>3728</v>
      </c>
      <c r="SLW617" s="17">
        <v>44925</v>
      </c>
      <c r="SLX617" s="5" t="s">
        <v>3728</v>
      </c>
      <c r="SLY617" s="17">
        <v>44925</v>
      </c>
      <c r="SLZ617" s="5" t="s">
        <v>3728</v>
      </c>
      <c r="SMA617" s="17">
        <v>44925</v>
      </c>
      <c r="SMB617" s="5" t="s">
        <v>3728</v>
      </c>
      <c r="SMC617" s="17">
        <v>44925</v>
      </c>
      <c r="SMD617" s="5" t="s">
        <v>3728</v>
      </c>
      <c r="SME617" s="17">
        <v>44925</v>
      </c>
      <c r="SMF617" s="5" t="s">
        <v>3728</v>
      </c>
      <c r="SMG617" s="17">
        <v>44925</v>
      </c>
      <c r="SMH617" s="5" t="s">
        <v>3728</v>
      </c>
      <c r="SMI617" s="17">
        <v>44925</v>
      </c>
      <c r="SMJ617" s="5" t="s">
        <v>3728</v>
      </c>
      <c r="SMK617" s="17">
        <v>44925</v>
      </c>
      <c r="SML617" s="5" t="s">
        <v>3728</v>
      </c>
      <c r="SMM617" s="17">
        <v>44925</v>
      </c>
      <c r="SMN617" s="5" t="s">
        <v>3728</v>
      </c>
      <c r="SMO617" s="17">
        <v>44925</v>
      </c>
      <c r="SMP617" s="5" t="s">
        <v>3728</v>
      </c>
      <c r="SMQ617" s="17">
        <v>44925</v>
      </c>
      <c r="SMR617" s="5" t="s">
        <v>3728</v>
      </c>
      <c r="SMS617" s="17">
        <v>44925</v>
      </c>
      <c r="SMT617" s="5" t="s">
        <v>3728</v>
      </c>
      <c r="SMU617" s="17">
        <v>44925</v>
      </c>
      <c r="SMV617" s="5" t="s">
        <v>3728</v>
      </c>
      <c r="SMW617" s="17">
        <v>44925</v>
      </c>
      <c r="SMX617" s="5" t="s">
        <v>3728</v>
      </c>
      <c r="SMY617" s="17">
        <v>44925</v>
      </c>
      <c r="SMZ617" s="5" t="s">
        <v>3728</v>
      </c>
      <c r="SNA617" s="17">
        <v>44925</v>
      </c>
      <c r="SNB617" s="5" t="s">
        <v>3728</v>
      </c>
      <c r="SNC617" s="17">
        <v>44925</v>
      </c>
      <c r="SND617" s="5" t="s">
        <v>3728</v>
      </c>
      <c r="SNE617" s="17">
        <v>44925</v>
      </c>
      <c r="SNF617" s="5" t="s">
        <v>3728</v>
      </c>
      <c r="SNG617" s="17">
        <v>44925</v>
      </c>
      <c r="SNH617" s="5" t="s">
        <v>3728</v>
      </c>
      <c r="SNI617" s="17">
        <v>44925</v>
      </c>
      <c r="SNJ617" s="5" t="s">
        <v>3728</v>
      </c>
      <c r="SNK617" s="17">
        <v>44925</v>
      </c>
      <c r="SNL617" s="5" t="s">
        <v>3728</v>
      </c>
      <c r="SNM617" s="17">
        <v>44925</v>
      </c>
      <c r="SNN617" s="5" t="s">
        <v>3728</v>
      </c>
      <c r="SNO617" s="17">
        <v>44925</v>
      </c>
      <c r="SNP617" s="5" t="s">
        <v>3728</v>
      </c>
      <c r="SNQ617" s="17">
        <v>44925</v>
      </c>
      <c r="SNR617" s="5" t="s">
        <v>3728</v>
      </c>
      <c r="SNS617" s="17">
        <v>44925</v>
      </c>
      <c r="SNT617" s="5" t="s">
        <v>3728</v>
      </c>
      <c r="SNU617" s="17">
        <v>44925</v>
      </c>
      <c r="SNV617" s="5" t="s">
        <v>3728</v>
      </c>
      <c r="SNW617" s="17">
        <v>44925</v>
      </c>
      <c r="SNX617" s="5" t="s">
        <v>3728</v>
      </c>
      <c r="SNY617" s="17">
        <v>44925</v>
      </c>
      <c r="SNZ617" s="5" t="s">
        <v>3728</v>
      </c>
      <c r="SOA617" s="17">
        <v>44925</v>
      </c>
      <c r="SOB617" s="5" t="s">
        <v>3728</v>
      </c>
      <c r="SOC617" s="17">
        <v>44925</v>
      </c>
      <c r="SOD617" s="5" t="s">
        <v>3728</v>
      </c>
      <c r="SOE617" s="17">
        <v>44925</v>
      </c>
      <c r="SOF617" s="5" t="s">
        <v>3728</v>
      </c>
      <c r="SOG617" s="17">
        <v>44925</v>
      </c>
      <c r="SOH617" s="5" t="s">
        <v>3728</v>
      </c>
      <c r="SOI617" s="17">
        <v>44925</v>
      </c>
      <c r="SOJ617" s="5" t="s">
        <v>3728</v>
      </c>
      <c r="SOK617" s="17">
        <v>44925</v>
      </c>
      <c r="SOL617" s="5" t="s">
        <v>3728</v>
      </c>
      <c r="SOM617" s="17">
        <v>44925</v>
      </c>
      <c r="SON617" s="5" t="s">
        <v>3728</v>
      </c>
      <c r="SOO617" s="17">
        <v>44925</v>
      </c>
      <c r="SOP617" s="5" t="s">
        <v>3728</v>
      </c>
      <c r="SOQ617" s="17">
        <v>44925</v>
      </c>
      <c r="SOR617" s="5" t="s">
        <v>3728</v>
      </c>
      <c r="SOS617" s="17">
        <v>44925</v>
      </c>
      <c r="SOT617" s="5" t="s">
        <v>3728</v>
      </c>
      <c r="SOU617" s="17">
        <v>44925</v>
      </c>
      <c r="SOV617" s="5" t="s">
        <v>3728</v>
      </c>
      <c r="SOW617" s="17">
        <v>44925</v>
      </c>
      <c r="SOX617" s="5" t="s">
        <v>3728</v>
      </c>
      <c r="SOY617" s="17">
        <v>44925</v>
      </c>
      <c r="SOZ617" s="5" t="s">
        <v>3728</v>
      </c>
      <c r="SPA617" s="17">
        <v>44925</v>
      </c>
      <c r="SPB617" s="5" t="s">
        <v>3728</v>
      </c>
      <c r="SPC617" s="17">
        <v>44925</v>
      </c>
      <c r="SPD617" s="5" t="s">
        <v>3728</v>
      </c>
      <c r="SPE617" s="17">
        <v>44925</v>
      </c>
      <c r="SPF617" s="5" t="s">
        <v>3728</v>
      </c>
      <c r="SPG617" s="17">
        <v>44925</v>
      </c>
      <c r="SPH617" s="5" t="s">
        <v>3728</v>
      </c>
      <c r="SPI617" s="17">
        <v>44925</v>
      </c>
      <c r="SPJ617" s="5" t="s">
        <v>3728</v>
      </c>
      <c r="SPK617" s="17">
        <v>44925</v>
      </c>
      <c r="SPL617" s="5" t="s">
        <v>3728</v>
      </c>
      <c r="SPM617" s="17">
        <v>44925</v>
      </c>
      <c r="SPN617" s="5" t="s">
        <v>3728</v>
      </c>
      <c r="SPO617" s="17">
        <v>44925</v>
      </c>
      <c r="SPP617" s="5" t="s">
        <v>3728</v>
      </c>
      <c r="SPQ617" s="17">
        <v>44925</v>
      </c>
      <c r="SPR617" s="5" t="s">
        <v>3728</v>
      </c>
      <c r="SPS617" s="17">
        <v>44925</v>
      </c>
      <c r="SPT617" s="5" t="s">
        <v>3728</v>
      </c>
      <c r="SPU617" s="17">
        <v>44925</v>
      </c>
      <c r="SPV617" s="5" t="s">
        <v>3728</v>
      </c>
      <c r="SPW617" s="17">
        <v>44925</v>
      </c>
      <c r="SPX617" s="5" t="s">
        <v>3728</v>
      </c>
      <c r="SPY617" s="17">
        <v>44925</v>
      </c>
      <c r="SPZ617" s="5" t="s">
        <v>3728</v>
      </c>
      <c r="SQA617" s="17">
        <v>44925</v>
      </c>
      <c r="SQB617" s="5" t="s">
        <v>3728</v>
      </c>
      <c r="SQC617" s="17">
        <v>44925</v>
      </c>
      <c r="SQD617" s="5" t="s">
        <v>3728</v>
      </c>
      <c r="SQE617" s="17">
        <v>44925</v>
      </c>
      <c r="SQF617" s="5" t="s">
        <v>3728</v>
      </c>
      <c r="SQG617" s="17">
        <v>44925</v>
      </c>
      <c r="SQH617" s="5" t="s">
        <v>3728</v>
      </c>
      <c r="SQI617" s="17">
        <v>44925</v>
      </c>
      <c r="SQJ617" s="5" t="s">
        <v>3728</v>
      </c>
      <c r="SQK617" s="17">
        <v>44925</v>
      </c>
      <c r="SQL617" s="5" t="s">
        <v>3728</v>
      </c>
      <c r="SQM617" s="17">
        <v>44925</v>
      </c>
      <c r="SQN617" s="5" t="s">
        <v>3728</v>
      </c>
      <c r="SQO617" s="17">
        <v>44925</v>
      </c>
      <c r="SQP617" s="5" t="s">
        <v>3728</v>
      </c>
      <c r="SQQ617" s="17">
        <v>44925</v>
      </c>
      <c r="SQR617" s="5" t="s">
        <v>3728</v>
      </c>
      <c r="SQS617" s="17">
        <v>44925</v>
      </c>
      <c r="SQT617" s="5" t="s">
        <v>3728</v>
      </c>
      <c r="SQU617" s="17">
        <v>44925</v>
      </c>
      <c r="SQV617" s="5" t="s">
        <v>3728</v>
      </c>
      <c r="SQW617" s="17">
        <v>44925</v>
      </c>
      <c r="SQX617" s="5" t="s">
        <v>3728</v>
      </c>
      <c r="SQY617" s="17">
        <v>44925</v>
      </c>
      <c r="SQZ617" s="5" t="s">
        <v>3728</v>
      </c>
      <c r="SRA617" s="17">
        <v>44925</v>
      </c>
      <c r="SRB617" s="5" t="s">
        <v>3728</v>
      </c>
      <c r="SRC617" s="17">
        <v>44925</v>
      </c>
      <c r="SRD617" s="5" t="s">
        <v>3728</v>
      </c>
      <c r="SRE617" s="17">
        <v>44925</v>
      </c>
      <c r="SRF617" s="5" t="s">
        <v>3728</v>
      </c>
      <c r="SRG617" s="17">
        <v>44925</v>
      </c>
      <c r="SRH617" s="5" t="s">
        <v>3728</v>
      </c>
      <c r="SRI617" s="17">
        <v>44925</v>
      </c>
      <c r="SRJ617" s="5" t="s">
        <v>3728</v>
      </c>
      <c r="SRK617" s="17">
        <v>44925</v>
      </c>
      <c r="SRL617" s="5" t="s">
        <v>3728</v>
      </c>
      <c r="SRM617" s="17">
        <v>44925</v>
      </c>
      <c r="SRN617" s="5" t="s">
        <v>3728</v>
      </c>
      <c r="SRO617" s="17">
        <v>44925</v>
      </c>
      <c r="SRP617" s="5" t="s">
        <v>3728</v>
      </c>
      <c r="SRQ617" s="17">
        <v>44925</v>
      </c>
      <c r="SRR617" s="5" t="s">
        <v>3728</v>
      </c>
      <c r="SRS617" s="17">
        <v>44925</v>
      </c>
      <c r="SRT617" s="5" t="s">
        <v>3728</v>
      </c>
      <c r="SRU617" s="17">
        <v>44925</v>
      </c>
      <c r="SRV617" s="5" t="s">
        <v>3728</v>
      </c>
      <c r="SRW617" s="17">
        <v>44925</v>
      </c>
      <c r="SRX617" s="5" t="s">
        <v>3728</v>
      </c>
      <c r="SRY617" s="17">
        <v>44925</v>
      </c>
      <c r="SRZ617" s="5" t="s">
        <v>3728</v>
      </c>
      <c r="SSA617" s="17">
        <v>44925</v>
      </c>
      <c r="SSB617" s="5" t="s">
        <v>3728</v>
      </c>
      <c r="SSC617" s="17">
        <v>44925</v>
      </c>
      <c r="SSD617" s="5" t="s">
        <v>3728</v>
      </c>
      <c r="SSE617" s="17">
        <v>44925</v>
      </c>
      <c r="SSF617" s="5" t="s">
        <v>3728</v>
      </c>
      <c r="SSG617" s="17">
        <v>44925</v>
      </c>
      <c r="SSH617" s="5" t="s">
        <v>3728</v>
      </c>
      <c r="SSI617" s="17">
        <v>44925</v>
      </c>
      <c r="SSJ617" s="5" t="s">
        <v>3728</v>
      </c>
      <c r="SSK617" s="17">
        <v>44925</v>
      </c>
      <c r="SSL617" s="5" t="s">
        <v>3728</v>
      </c>
      <c r="SSM617" s="17">
        <v>44925</v>
      </c>
      <c r="SSN617" s="5" t="s">
        <v>3728</v>
      </c>
      <c r="SSO617" s="17">
        <v>44925</v>
      </c>
      <c r="SSP617" s="5" t="s">
        <v>3728</v>
      </c>
      <c r="SSQ617" s="17">
        <v>44925</v>
      </c>
      <c r="SSR617" s="5" t="s">
        <v>3728</v>
      </c>
      <c r="SSS617" s="17">
        <v>44925</v>
      </c>
      <c r="SST617" s="5" t="s">
        <v>3728</v>
      </c>
      <c r="SSU617" s="17">
        <v>44925</v>
      </c>
      <c r="SSV617" s="5" t="s">
        <v>3728</v>
      </c>
      <c r="SSW617" s="17">
        <v>44925</v>
      </c>
      <c r="SSX617" s="5" t="s">
        <v>3728</v>
      </c>
      <c r="SSY617" s="17">
        <v>44925</v>
      </c>
      <c r="SSZ617" s="5" t="s">
        <v>3728</v>
      </c>
      <c r="STA617" s="17">
        <v>44925</v>
      </c>
      <c r="STB617" s="5" t="s">
        <v>3728</v>
      </c>
      <c r="STC617" s="17">
        <v>44925</v>
      </c>
      <c r="STD617" s="5" t="s">
        <v>3728</v>
      </c>
      <c r="STE617" s="17">
        <v>44925</v>
      </c>
      <c r="STF617" s="5" t="s">
        <v>3728</v>
      </c>
      <c r="STG617" s="17">
        <v>44925</v>
      </c>
      <c r="STH617" s="5" t="s">
        <v>3728</v>
      </c>
      <c r="STI617" s="17">
        <v>44925</v>
      </c>
      <c r="STJ617" s="5" t="s">
        <v>3728</v>
      </c>
      <c r="STK617" s="17">
        <v>44925</v>
      </c>
      <c r="STL617" s="5" t="s">
        <v>3728</v>
      </c>
      <c r="STM617" s="17">
        <v>44925</v>
      </c>
      <c r="STN617" s="5" t="s">
        <v>3728</v>
      </c>
      <c r="STO617" s="17">
        <v>44925</v>
      </c>
      <c r="STP617" s="5" t="s">
        <v>3728</v>
      </c>
      <c r="STQ617" s="17">
        <v>44925</v>
      </c>
      <c r="STR617" s="5" t="s">
        <v>3728</v>
      </c>
      <c r="STS617" s="17">
        <v>44925</v>
      </c>
      <c r="STT617" s="5" t="s">
        <v>3728</v>
      </c>
      <c r="STU617" s="17">
        <v>44925</v>
      </c>
      <c r="STV617" s="5" t="s">
        <v>3728</v>
      </c>
      <c r="STW617" s="17">
        <v>44925</v>
      </c>
      <c r="STX617" s="5" t="s">
        <v>3728</v>
      </c>
      <c r="STY617" s="17">
        <v>44925</v>
      </c>
      <c r="STZ617" s="5" t="s">
        <v>3728</v>
      </c>
      <c r="SUA617" s="17">
        <v>44925</v>
      </c>
      <c r="SUB617" s="5" t="s">
        <v>3728</v>
      </c>
      <c r="SUC617" s="17">
        <v>44925</v>
      </c>
      <c r="SUD617" s="5" t="s">
        <v>3728</v>
      </c>
      <c r="SUE617" s="17">
        <v>44925</v>
      </c>
      <c r="SUF617" s="5" t="s">
        <v>3728</v>
      </c>
      <c r="SUG617" s="17">
        <v>44925</v>
      </c>
      <c r="SUH617" s="5" t="s">
        <v>3728</v>
      </c>
      <c r="SUI617" s="17">
        <v>44925</v>
      </c>
      <c r="SUJ617" s="5" t="s">
        <v>3728</v>
      </c>
      <c r="SUK617" s="17">
        <v>44925</v>
      </c>
      <c r="SUL617" s="5" t="s">
        <v>3728</v>
      </c>
      <c r="SUM617" s="17">
        <v>44925</v>
      </c>
      <c r="SUN617" s="5" t="s">
        <v>3728</v>
      </c>
      <c r="SUO617" s="17">
        <v>44925</v>
      </c>
      <c r="SUP617" s="5" t="s">
        <v>3728</v>
      </c>
      <c r="SUQ617" s="17">
        <v>44925</v>
      </c>
      <c r="SUR617" s="5" t="s">
        <v>3728</v>
      </c>
      <c r="SUS617" s="17">
        <v>44925</v>
      </c>
      <c r="SUT617" s="5" t="s">
        <v>3728</v>
      </c>
      <c r="SUU617" s="17">
        <v>44925</v>
      </c>
      <c r="SUV617" s="5" t="s">
        <v>3728</v>
      </c>
      <c r="SUW617" s="17">
        <v>44925</v>
      </c>
      <c r="SUX617" s="5" t="s">
        <v>3728</v>
      </c>
      <c r="SUY617" s="17">
        <v>44925</v>
      </c>
      <c r="SUZ617" s="5" t="s">
        <v>3728</v>
      </c>
      <c r="SVA617" s="17">
        <v>44925</v>
      </c>
      <c r="SVB617" s="5" t="s">
        <v>3728</v>
      </c>
      <c r="SVC617" s="17">
        <v>44925</v>
      </c>
      <c r="SVD617" s="5" t="s">
        <v>3728</v>
      </c>
      <c r="SVE617" s="17">
        <v>44925</v>
      </c>
      <c r="SVF617" s="5" t="s">
        <v>3728</v>
      </c>
      <c r="SVG617" s="17">
        <v>44925</v>
      </c>
      <c r="SVH617" s="5" t="s">
        <v>3728</v>
      </c>
      <c r="SVI617" s="17">
        <v>44925</v>
      </c>
      <c r="SVJ617" s="5" t="s">
        <v>3728</v>
      </c>
      <c r="SVK617" s="17">
        <v>44925</v>
      </c>
      <c r="SVL617" s="5" t="s">
        <v>3728</v>
      </c>
      <c r="SVM617" s="17">
        <v>44925</v>
      </c>
      <c r="SVN617" s="5" t="s">
        <v>3728</v>
      </c>
      <c r="SVO617" s="17">
        <v>44925</v>
      </c>
      <c r="SVP617" s="5" t="s">
        <v>3728</v>
      </c>
      <c r="SVQ617" s="17">
        <v>44925</v>
      </c>
      <c r="SVR617" s="5" t="s">
        <v>3728</v>
      </c>
      <c r="SVS617" s="17">
        <v>44925</v>
      </c>
      <c r="SVT617" s="5" t="s">
        <v>3728</v>
      </c>
      <c r="SVU617" s="17">
        <v>44925</v>
      </c>
      <c r="SVV617" s="5" t="s">
        <v>3728</v>
      </c>
      <c r="SVW617" s="17">
        <v>44925</v>
      </c>
      <c r="SVX617" s="5" t="s">
        <v>3728</v>
      </c>
      <c r="SVY617" s="17">
        <v>44925</v>
      </c>
      <c r="SVZ617" s="5" t="s">
        <v>3728</v>
      </c>
      <c r="SWA617" s="17">
        <v>44925</v>
      </c>
      <c r="SWB617" s="5" t="s">
        <v>3728</v>
      </c>
      <c r="SWC617" s="17">
        <v>44925</v>
      </c>
      <c r="SWD617" s="5" t="s">
        <v>3728</v>
      </c>
      <c r="SWE617" s="17">
        <v>44925</v>
      </c>
      <c r="SWF617" s="5" t="s">
        <v>3728</v>
      </c>
      <c r="SWG617" s="17">
        <v>44925</v>
      </c>
      <c r="SWH617" s="5" t="s">
        <v>3728</v>
      </c>
      <c r="SWI617" s="17">
        <v>44925</v>
      </c>
      <c r="SWJ617" s="5" t="s">
        <v>3728</v>
      </c>
      <c r="SWK617" s="17">
        <v>44925</v>
      </c>
      <c r="SWL617" s="5" t="s">
        <v>3728</v>
      </c>
      <c r="SWM617" s="17">
        <v>44925</v>
      </c>
      <c r="SWN617" s="5" t="s">
        <v>3728</v>
      </c>
      <c r="SWO617" s="17">
        <v>44925</v>
      </c>
      <c r="SWP617" s="5" t="s">
        <v>3728</v>
      </c>
      <c r="SWQ617" s="17">
        <v>44925</v>
      </c>
      <c r="SWR617" s="5" t="s">
        <v>3728</v>
      </c>
      <c r="SWS617" s="17">
        <v>44925</v>
      </c>
      <c r="SWT617" s="5" t="s">
        <v>3728</v>
      </c>
      <c r="SWU617" s="17">
        <v>44925</v>
      </c>
      <c r="SWV617" s="5" t="s">
        <v>3728</v>
      </c>
      <c r="SWW617" s="17">
        <v>44925</v>
      </c>
      <c r="SWX617" s="5" t="s">
        <v>3728</v>
      </c>
      <c r="SWY617" s="17">
        <v>44925</v>
      </c>
      <c r="SWZ617" s="5" t="s">
        <v>3728</v>
      </c>
      <c r="SXA617" s="17">
        <v>44925</v>
      </c>
      <c r="SXB617" s="5" t="s">
        <v>3728</v>
      </c>
      <c r="SXC617" s="17">
        <v>44925</v>
      </c>
      <c r="SXD617" s="5" t="s">
        <v>3728</v>
      </c>
      <c r="SXE617" s="17">
        <v>44925</v>
      </c>
      <c r="SXF617" s="5" t="s">
        <v>3728</v>
      </c>
      <c r="SXG617" s="17">
        <v>44925</v>
      </c>
      <c r="SXH617" s="5" t="s">
        <v>3728</v>
      </c>
      <c r="SXI617" s="17">
        <v>44925</v>
      </c>
      <c r="SXJ617" s="5" t="s">
        <v>3728</v>
      </c>
      <c r="SXK617" s="17">
        <v>44925</v>
      </c>
      <c r="SXL617" s="5" t="s">
        <v>3728</v>
      </c>
      <c r="SXM617" s="17">
        <v>44925</v>
      </c>
      <c r="SXN617" s="5" t="s">
        <v>3728</v>
      </c>
      <c r="SXO617" s="17">
        <v>44925</v>
      </c>
      <c r="SXP617" s="5" t="s">
        <v>3728</v>
      </c>
      <c r="SXQ617" s="17">
        <v>44925</v>
      </c>
      <c r="SXR617" s="5" t="s">
        <v>3728</v>
      </c>
      <c r="SXS617" s="17">
        <v>44925</v>
      </c>
      <c r="SXT617" s="5" t="s">
        <v>3728</v>
      </c>
      <c r="SXU617" s="17">
        <v>44925</v>
      </c>
      <c r="SXV617" s="5" t="s">
        <v>3728</v>
      </c>
      <c r="SXW617" s="17">
        <v>44925</v>
      </c>
      <c r="SXX617" s="5" t="s">
        <v>3728</v>
      </c>
      <c r="SXY617" s="17">
        <v>44925</v>
      </c>
      <c r="SXZ617" s="5" t="s">
        <v>3728</v>
      </c>
      <c r="SYA617" s="17">
        <v>44925</v>
      </c>
      <c r="SYB617" s="5" t="s">
        <v>3728</v>
      </c>
      <c r="SYC617" s="17">
        <v>44925</v>
      </c>
      <c r="SYD617" s="5" t="s">
        <v>3728</v>
      </c>
      <c r="SYE617" s="17">
        <v>44925</v>
      </c>
      <c r="SYF617" s="5" t="s">
        <v>3728</v>
      </c>
      <c r="SYG617" s="17">
        <v>44925</v>
      </c>
      <c r="SYH617" s="5" t="s">
        <v>3728</v>
      </c>
      <c r="SYI617" s="17">
        <v>44925</v>
      </c>
      <c r="SYJ617" s="5" t="s">
        <v>3728</v>
      </c>
      <c r="SYK617" s="17">
        <v>44925</v>
      </c>
      <c r="SYL617" s="5" t="s">
        <v>3728</v>
      </c>
      <c r="SYM617" s="17">
        <v>44925</v>
      </c>
      <c r="SYN617" s="5" t="s">
        <v>3728</v>
      </c>
      <c r="SYO617" s="17">
        <v>44925</v>
      </c>
      <c r="SYP617" s="5" t="s">
        <v>3728</v>
      </c>
      <c r="SYQ617" s="17">
        <v>44925</v>
      </c>
      <c r="SYR617" s="5" t="s">
        <v>3728</v>
      </c>
      <c r="SYS617" s="17">
        <v>44925</v>
      </c>
      <c r="SYT617" s="5" t="s">
        <v>3728</v>
      </c>
      <c r="SYU617" s="17">
        <v>44925</v>
      </c>
      <c r="SYV617" s="5" t="s">
        <v>3728</v>
      </c>
      <c r="SYW617" s="17">
        <v>44925</v>
      </c>
      <c r="SYX617" s="5" t="s">
        <v>3728</v>
      </c>
      <c r="SYY617" s="17">
        <v>44925</v>
      </c>
      <c r="SYZ617" s="5" t="s">
        <v>3728</v>
      </c>
      <c r="SZA617" s="17">
        <v>44925</v>
      </c>
      <c r="SZB617" s="5" t="s">
        <v>3728</v>
      </c>
      <c r="SZC617" s="17">
        <v>44925</v>
      </c>
      <c r="SZD617" s="5" t="s">
        <v>3728</v>
      </c>
      <c r="SZE617" s="17">
        <v>44925</v>
      </c>
      <c r="SZF617" s="5" t="s">
        <v>3728</v>
      </c>
      <c r="SZG617" s="17">
        <v>44925</v>
      </c>
      <c r="SZH617" s="5" t="s">
        <v>3728</v>
      </c>
      <c r="SZI617" s="17">
        <v>44925</v>
      </c>
      <c r="SZJ617" s="5" t="s">
        <v>3728</v>
      </c>
      <c r="SZK617" s="17">
        <v>44925</v>
      </c>
      <c r="SZL617" s="5" t="s">
        <v>3728</v>
      </c>
      <c r="SZM617" s="17">
        <v>44925</v>
      </c>
      <c r="SZN617" s="5" t="s">
        <v>3728</v>
      </c>
      <c r="SZO617" s="17">
        <v>44925</v>
      </c>
      <c r="SZP617" s="5" t="s">
        <v>3728</v>
      </c>
      <c r="SZQ617" s="17">
        <v>44925</v>
      </c>
      <c r="SZR617" s="5" t="s">
        <v>3728</v>
      </c>
      <c r="SZS617" s="17">
        <v>44925</v>
      </c>
      <c r="SZT617" s="5" t="s">
        <v>3728</v>
      </c>
      <c r="SZU617" s="17">
        <v>44925</v>
      </c>
      <c r="SZV617" s="5" t="s">
        <v>3728</v>
      </c>
      <c r="SZW617" s="17">
        <v>44925</v>
      </c>
      <c r="SZX617" s="5" t="s">
        <v>3728</v>
      </c>
      <c r="SZY617" s="17">
        <v>44925</v>
      </c>
      <c r="SZZ617" s="5" t="s">
        <v>3728</v>
      </c>
      <c r="TAA617" s="17">
        <v>44925</v>
      </c>
      <c r="TAB617" s="5" t="s">
        <v>3728</v>
      </c>
      <c r="TAC617" s="17">
        <v>44925</v>
      </c>
      <c r="TAD617" s="5" t="s">
        <v>3728</v>
      </c>
      <c r="TAE617" s="17">
        <v>44925</v>
      </c>
      <c r="TAF617" s="5" t="s">
        <v>3728</v>
      </c>
      <c r="TAG617" s="17">
        <v>44925</v>
      </c>
      <c r="TAH617" s="5" t="s">
        <v>3728</v>
      </c>
      <c r="TAI617" s="17">
        <v>44925</v>
      </c>
      <c r="TAJ617" s="5" t="s">
        <v>3728</v>
      </c>
      <c r="TAK617" s="17">
        <v>44925</v>
      </c>
      <c r="TAL617" s="5" t="s">
        <v>3728</v>
      </c>
      <c r="TAM617" s="17">
        <v>44925</v>
      </c>
      <c r="TAN617" s="5" t="s">
        <v>3728</v>
      </c>
      <c r="TAO617" s="17">
        <v>44925</v>
      </c>
      <c r="TAP617" s="5" t="s">
        <v>3728</v>
      </c>
      <c r="TAQ617" s="17">
        <v>44925</v>
      </c>
      <c r="TAR617" s="5" t="s">
        <v>3728</v>
      </c>
      <c r="TAS617" s="17">
        <v>44925</v>
      </c>
      <c r="TAT617" s="5" t="s">
        <v>3728</v>
      </c>
      <c r="TAU617" s="17">
        <v>44925</v>
      </c>
      <c r="TAV617" s="5" t="s">
        <v>3728</v>
      </c>
      <c r="TAW617" s="17">
        <v>44925</v>
      </c>
      <c r="TAX617" s="5" t="s">
        <v>3728</v>
      </c>
      <c r="TAY617" s="17">
        <v>44925</v>
      </c>
      <c r="TAZ617" s="5" t="s">
        <v>3728</v>
      </c>
      <c r="TBA617" s="17">
        <v>44925</v>
      </c>
      <c r="TBB617" s="5" t="s">
        <v>3728</v>
      </c>
      <c r="TBC617" s="17">
        <v>44925</v>
      </c>
      <c r="TBD617" s="5" t="s">
        <v>3728</v>
      </c>
      <c r="TBE617" s="17">
        <v>44925</v>
      </c>
      <c r="TBF617" s="5" t="s">
        <v>3728</v>
      </c>
      <c r="TBG617" s="17">
        <v>44925</v>
      </c>
      <c r="TBH617" s="5" t="s">
        <v>3728</v>
      </c>
      <c r="TBI617" s="17">
        <v>44925</v>
      </c>
      <c r="TBJ617" s="5" t="s">
        <v>3728</v>
      </c>
      <c r="TBK617" s="17">
        <v>44925</v>
      </c>
      <c r="TBL617" s="5" t="s">
        <v>3728</v>
      </c>
      <c r="TBM617" s="17">
        <v>44925</v>
      </c>
      <c r="TBN617" s="5" t="s">
        <v>3728</v>
      </c>
      <c r="TBO617" s="17">
        <v>44925</v>
      </c>
      <c r="TBP617" s="5" t="s">
        <v>3728</v>
      </c>
      <c r="TBQ617" s="17">
        <v>44925</v>
      </c>
      <c r="TBR617" s="5" t="s">
        <v>3728</v>
      </c>
      <c r="TBS617" s="17">
        <v>44925</v>
      </c>
      <c r="TBT617" s="5" t="s">
        <v>3728</v>
      </c>
      <c r="TBU617" s="17">
        <v>44925</v>
      </c>
      <c r="TBV617" s="5" t="s">
        <v>3728</v>
      </c>
      <c r="TBW617" s="17">
        <v>44925</v>
      </c>
      <c r="TBX617" s="5" t="s">
        <v>3728</v>
      </c>
      <c r="TBY617" s="17">
        <v>44925</v>
      </c>
      <c r="TBZ617" s="5" t="s">
        <v>3728</v>
      </c>
      <c r="TCA617" s="17">
        <v>44925</v>
      </c>
      <c r="TCB617" s="5" t="s">
        <v>3728</v>
      </c>
      <c r="TCC617" s="17">
        <v>44925</v>
      </c>
      <c r="TCD617" s="5" t="s">
        <v>3728</v>
      </c>
      <c r="TCE617" s="17">
        <v>44925</v>
      </c>
      <c r="TCF617" s="5" t="s">
        <v>3728</v>
      </c>
      <c r="TCG617" s="17">
        <v>44925</v>
      </c>
      <c r="TCH617" s="5" t="s">
        <v>3728</v>
      </c>
      <c r="TCI617" s="17">
        <v>44925</v>
      </c>
      <c r="TCJ617" s="5" t="s">
        <v>3728</v>
      </c>
      <c r="TCK617" s="17">
        <v>44925</v>
      </c>
      <c r="TCL617" s="5" t="s">
        <v>3728</v>
      </c>
      <c r="TCM617" s="17">
        <v>44925</v>
      </c>
      <c r="TCN617" s="5" t="s">
        <v>3728</v>
      </c>
      <c r="TCO617" s="17">
        <v>44925</v>
      </c>
      <c r="TCP617" s="5" t="s">
        <v>3728</v>
      </c>
      <c r="TCQ617" s="17">
        <v>44925</v>
      </c>
      <c r="TCR617" s="5" t="s">
        <v>3728</v>
      </c>
      <c r="TCS617" s="17">
        <v>44925</v>
      </c>
      <c r="TCT617" s="5" t="s">
        <v>3728</v>
      </c>
      <c r="TCU617" s="17">
        <v>44925</v>
      </c>
      <c r="TCV617" s="5" t="s">
        <v>3728</v>
      </c>
      <c r="TCW617" s="17">
        <v>44925</v>
      </c>
      <c r="TCX617" s="5" t="s">
        <v>3728</v>
      </c>
      <c r="TCY617" s="17">
        <v>44925</v>
      </c>
      <c r="TCZ617" s="5" t="s">
        <v>3728</v>
      </c>
      <c r="TDA617" s="17">
        <v>44925</v>
      </c>
      <c r="TDB617" s="5" t="s">
        <v>3728</v>
      </c>
      <c r="TDC617" s="17">
        <v>44925</v>
      </c>
      <c r="TDD617" s="5" t="s">
        <v>3728</v>
      </c>
      <c r="TDE617" s="17">
        <v>44925</v>
      </c>
      <c r="TDF617" s="5" t="s">
        <v>3728</v>
      </c>
      <c r="TDG617" s="17">
        <v>44925</v>
      </c>
      <c r="TDH617" s="5" t="s">
        <v>3728</v>
      </c>
      <c r="TDI617" s="17">
        <v>44925</v>
      </c>
      <c r="TDJ617" s="5" t="s">
        <v>3728</v>
      </c>
      <c r="TDK617" s="17">
        <v>44925</v>
      </c>
      <c r="TDL617" s="5" t="s">
        <v>3728</v>
      </c>
      <c r="TDM617" s="17">
        <v>44925</v>
      </c>
      <c r="TDN617" s="5" t="s">
        <v>3728</v>
      </c>
      <c r="TDO617" s="17">
        <v>44925</v>
      </c>
      <c r="TDP617" s="5" t="s">
        <v>3728</v>
      </c>
      <c r="TDQ617" s="17">
        <v>44925</v>
      </c>
      <c r="TDR617" s="5" t="s">
        <v>3728</v>
      </c>
      <c r="TDS617" s="17">
        <v>44925</v>
      </c>
      <c r="TDT617" s="5" t="s">
        <v>3728</v>
      </c>
      <c r="TDU617" s="17">
        <v>44925</v>
      </c>
      <c r="TDV617" s="5" t="s">
        <v>3728</v>
      </c>
      <c r="TDW617" s="17">
        <v>44925</v>
      </c>
      <c r="TDX617" s="5" t="s">
        <v>3728</v>
      </c>
      <c r="TDY617" s="17">
        <v>44925</v>
      </c>
      <c r="TDZ617" s="5" t="s">
        <v>3728</v>
      </c>
      <c r="TEA617" s="17">
        <v>44925</v>
      </c>
      <c r="TEB617" s="5" t="s">
        <v>3728</v>
      </c>
      <c r="TEC617" s="17">
        <v>44925</v>
      </c>
      <c r="TED617" s="5" t="s">
        <v>3728</v>
      </c>
      <c r="TEE617" s="17">
        <v>44925</v>
      </c>
      <c r="TEF617" s="5" t="s">
        <v>3728</v>
      </c>
      <c r="TEG617" s="17">
        <v>44925</v>
      </c>
      <c r="TEH617" s="5" t="s">
        <v>3728</v>
      </c>
      <c r="TEI617" s="17">
        <v>44925</v>
      </c>
      <c r="TEJ617" s="5" t="s">
        <v>3728</v>
      </c>
      <c r="TEK617" s="17">
        <v>44925</v>
      </c>
      <c r="TEL617" s="5" t="s">
        <v>3728</v>
      </c>
      <c r="TEM617" s="17">
        <v>44925</v>
      </c>
      <c r="TEN617" s="5" t="s">
        <v>3728</v>
      </c>
      <c r="TEO617" s="17">
        <v>44925</v>
      </c>
      <c r="TEP617" s="5" t="s">
        <v>3728</v>
      </c>
      <c r="TEQ617" s="17">
        <v>44925</v>
      </c>
      <c r="TER617" s="5" t="s">
        <v>3728</v>
      </c>
      <c r="TES617" s="17">
        <v>44925</v>
      </c>
      <c r="TET617" s="5" t="s">
        <v>3728</v>
      </c>
      <c r="TEU617" s="17">
        <v>44925</v>
      </c>
      <c r="TEV617" s="5" t="s">
        <v>3728</v>
      </c>
      <c r="TEW617" s="17">
        <v>44925</v>
      </c>
      <c r="TEX617" s="5" t="s">
        <v>3728</v>
      </c>
      <c r="TEY617" s="17">
        <v>44925</v>
      </c>
      <c r="TEZ617" s="5" t="s">
        <v>3728</v>
      </c>
      <c r="TFA617" s="17">
        <v>44925</v>
      </c>
      <c r="TFB617" s="5" t="s">
        <v>3728</v>
      </c>
      <c r="TFC617" s="17">
        <v>44925</v>
      </c>
      <c r="TFD617" s="5" t="s">
        <v>3728</v>
      </c>
      <c r="TFE617" s="17">
        <v>44925</v>
      </c>
      <c r="TFF617" s="5" t="s">
        <v>3728</v>
      </c>
      <c r="TFG617" s="17">
        <v>44925</v>
      </c>
      <c r="TFH617" s="5" t="s">
        <v>3728</v>
      </c>
      <c r="TFI617" s="17">
        <v>44925</v>
      </c>
      <c r="TFJ617" s="5" t="s">
        <v>3728</v>
      </c>
      <c r="TFK617" s="17">
        <v>44925</v>
      </c>
      <c r="TFL617" s="5" t="s">
        <v>3728</v>
      </c>
      <c r="TFM617" s="17">
        <v>44925</v>
      </c>
      <c r="TFN617" s="5" t="s">
        <v>3728</v>
      </c>
      <c r="TFO617" s="17">
        <v>44925</v>
      </c>
      <c r="TFP617" s="5" t="s">
        <v>3728</v>
      </c>
      <c r="TFQ617" s="17">
        <v>44925</v>
      </c>
      <c r="TFR617" s="5" t="s">
        <v>3728</v>
      </c>
      <c r="TFS617" s="17">
        <v>44925</v>
      </c>
      <c r="TFT617" s="5" t="s">
        <v>3728</v>
      </c>
      <c r="TFU617" s="17">
        <v>44925</v>
      </c>
      <c r="TFV617" s="5" t="s">
        <v>3728</v>
      </c>
      <c r="TFW617" s="17">
        <v>44925</v>
      </c>
      <c r="TFX617" s="5" t="s">
        <v>3728</v>
      </c>
      <c r="TFY617" s="17">
        <v>44925</v>
      </c>
      <c r="TFZ617" s="5" t="s">
        <v>3728</v>
      </c>
      <c r="TGA617" s="17">
        <v>44925</v>
      </c>
      <c r="TGB617" s="5" t="s">
        <v>3728</v>
      </c>
      <c r="TGC617" s="17">
        <v>44925</v>
      </c>
      <c r="TGD617" s="5" t="s">
        <v>3728</v>
      </c>
      <c r="TGE617" s="17">
        <v>44925</v>
      </c>
      <c r="TGF617" s="5" t="s">
        <v>3728</v>
      </c>
      <c r="TGG617" s="17">
        <v>44925</v>
      </c>
      <c r="TGH617" s="5" t="s">
        <v>3728</v>
      </c>
      <c r="TGI617" s="17">
        <v>44925</v>
      </c>
      <c r="TGJ617" s="5" t="s">
        <v>3728</v>
      </c>
      <c r="TGK617" s="17">
        <v>44925</v>
      </c>
      <c r="TGL617" s="5" t="s">
        <v>3728</v>
      </c>
      <c r="TGM617" s="17">
        <v>44925</v>
      </c>
      <c r="TGN617" s="5" t="s">
        <v>3728</v>
      </c>
      <c r="TGO617" s="17">
        <v>44925</v>
      </c>
      <c r="TGP617" s="5" t="s">
        <v>3728</v>
      </c>
      <c r="TGQ617" s="17">
        <v>44925</v>
      </c>
      <c r="TGR617" s="5" t="s">
        <v>3728</v>
      </c>
      <c r="TGS617" s="17">
        <v>44925</v>
      </c>
      <c r="TGT617" s="5" t="s">
        <v>3728</v>
      </c>
      <c r="TGU617" s="17">
        <v>44925</v>
      </c>
      <c r="TGV617" s="5" t="s">
        <v>3728</v>
      </c>
      <c r="TGW617" s="17">
        <v>44925</v>
      </c>
      <c r="TGX617" s="5" t="s">
        <v>3728</v>
      </c>
      <c r="TGY617" s="17">
        <v>44925</v>
      </c>
      <c r="TGZ617" s="5" t="s">
        <v>3728</v>
      </c>
      <c r="THA617" s="17">
        <v>44925</v>
      </c>
      <c r="THB617" s="5" t="s">
        <v>3728</v>
      </c>
      <c r="THC617" s="17">
        <v>44925</v>
      </c>
      <c r="THD617" s="5" t="s">
        <v>3728</v>
      </c>
      <c r="THE617" s="17">
        <v>44925</v>
      </c>
      <c r="THF617" s="5" t="s">
        <v>3728</v>
      </c>
      <c r="THG617" s="17">
        <v>44925</v>
      </c>
      <c r="THH617" s="5" t="s">
        <v>3728</v>
      </c>
      <c r="THI617" s="17">
        <v>44925</v>
      </c>
      <c r="THJ617" s="5" t="s">
        <v>3728</v>
      </c>
      <c r="THK617" s="17">
        <v>44925</v>
      </c>
      <c r="THL617" s="5" t="s">
        <v>3728</v>
      </c>
      <c r="THM617" s="17">
        <v>44925</v>
      </c>
      <c r="THN617" s="5" t="s">
        <v>3728</v>
      </c>
      <c r="THO617" s="17">
        <v>44925</v>
      </c>
      <c r="THP617" s="5" t="s">
        <v>3728</v>
      </c>
      <c r="THQ617" s="17">
        <v>44925</v>
      </c>
      <c r="THR617" s="5" t="s">
        <v>3728</v>
      </c>
      <c r="THS617" s="17">
        <v>44925</v>
      </c>
      <c r="THT617" s="5" t="s">
        <v>3728</v>
      </c>
      <c r="THU617" s="17">
        <v>44925</v>
      </c>
      <c r="THV617" s="5" t="s">
        <v>3728</v>
      </c>
      <c r="THW617" s="17">
        <v>44925</v>
      </c>
      <c r="THX617" s="5" t="s">
        <v>3728</v>
      </c>
      <c r="THY617" s="17">
        <v>44925</v>
      </c>
      <c r="THZ617" s="5" t="s">
        <v>3728</v>
      </c>
      <c r="TIA617" s="17">
        <v>44925</v>
      </c>
      <c r="TIB617" s="5" t="s">
        <v>3728</v>
      </c>
      <c r="TIC617" s="17">
        <v>44925</v>
      </c>
      <c r="TID617" s="5" t="s">
        <v>3728</v>
      </c>
      <c r="TIE617" s="17">
        <v>44925</v>
      </c>
      <c r="TIF617" s="5" t="s">
        <v>3728</v>
      </c>
      <c r="TIG617" s="17">
        <v>44925</v>
      </c>
      <c r="TIH617" s="5" t="s">
        <v>3728</v>
      </c>
      <c r="TII617" s="17">
        <v>44925</v>
      </c>
      <c r="TIJ617" s="5" t="s">
        <v>3728</v>
      </c>
      <c r="TIK617" s="17">
        <v>44925</v>
      </c>
      <c r="TIL617" s="5" t="s">
        <v>3728</v>
      </c>
      <c r="TIM617" s="17">
        <v>44925</v>
      </c>
      <c r="TIN617" s="5" t="s">
        <v>3728</v>
      </c>
      <c r="TIO617" s="17">
        <v>44925</v>
      </c>
      <c r="TIP617" s="5" t="s">
        <v>3728</v>
      </c>
      <c r="TIQ617" s="17">
        <v>44925</v>
      </c>
      <c r="TIR617" s="5" t="s">
        <v>3728</v>
      </c>
      <c r="TIS617" s="17">
        <v>44925</v>
      </c>
      <c r="TIT617" s="5" t="s">
        <v>3728</v>
      </c>
      <c r="TIU617" s="17">
        <v>44925</v>
      </c>
      <c r="TIV617" s="5" t="s">
        <v>3728</v>
      </c>
      <c r="TIW617" s="17">
        <v>44925</v>
      </c>
      <c r="TIX617" s="5" t="s">
        <v>3728</v>
      </c>
      <c r="TIY617" s="17">
        <v>44925</v>
      </c>
      <c r="TIZ617" s="5" t="s">
        <v>3728</v>
      </c>
      <c r="TJA617" s="17">
        <v>44925</v>
      </c>
      <c r="TJB617" s="5" t="s">
        <v>3728</v>
      </c>
      <c r="TJC617" s="17">
        <v>44925</v>
      </c>
      <c r="TJD617" s="5" t="s">
        <v>3728</v>
      </c>
      <c r="TJE617" s="17">
        <v>44925</v>
      </c>
      <c r="TJF617" s="5" t="s">
        <v>3728</v>
      </c>
      <c r="TJG617" s="17">
        <v>44925</v>
      </c>
      <c r="TJH617" s="5" t="s">
        <v>3728</v>
      </c>
      <c r="TJI617" s="17">
        <v>44925</v>
      </c>
      <c r="TJJ617" s="5" t="s">
        <v>3728</v>
      </c>
      <c r="TJK617" s="17">
        <v>44925</v>
      </c>
      <c r="TJL617" s="5" t="s">
        <v>3728</v>
      </c>
      <c r="TJM617" s="17">
        <v>44925</v>
      </c>
      <c r="TJN617" s="5" t="s">
        <v>3728</v>
      </c>
      <c r="TJO617" s="17">
        <v>44925</v>
      </c>
      <c r="TJP617" s="5" t="s">
        <v>3728</v>
      </c>
      <c r="TJQ617" s="17">
        <v>44925</v>
      </c>
      <c r="TJR617" s="5" t="s">
        <v>3728</v>
      </c>
      <c r="TJS617" s="17">
        <v>44925</v>
      </c>
      <c r="TJT617" s="5" t="s">
        <v>3728</v>
      </c>
      <c r="TJU617" s="17">
        <v>44925</v>
      </c>
      <c r="TJV617" s="5" t="s">
        <v>3728</v>
      </c>
      <c r="TJW617" s="17">
        <v>44925</v>
      </c>
      <c r="TJX617" s="5" t="s">
        <v>3728</v>
      </c>
      <c r="TJY617" s="17">
        <v>44925</v>
      </c>
      <c r="TJZ617" s="5" t="s">
        <v>3728</v>
      </c>
      <c r="TKA617" s="17">
        <v>44925</v>
      </c>
      <c r="TKB617" s="5" t="s">
        <v>3728</v>
      </c>
      <c r="TKC617" s="17">
        <v>44925</v>
      </c>
      <c r="TKD617" s="5" t="s">
        <v>3728</v>
      </c>
      <c r="TKE617" s="17">
        <v>44925</v>
      </c>
      <c r="TKF617" s="5" t="s">
        <v>3728</v>
      </c>
      <c r="TKG617" s="17">
        <v>44925</v>
      </c>
      <c r="TKH617" s="5" t="s">
        <v>3728</v>
      </c>
      <c r="TKI617" s="17">
        <v>44925</v>
      </c>
      <c r="TKJ617" s="5" t="s">
        <v>3728</v>
      </c>
      <c r="TKK617" s="17">
        <v>44925</v>
      </c>
      <c r="TKL617" s="5" t="s">
        <v>3728</v>
      </c>
      <c r="TKM617" s="17">
        <v>44925</v>
      </c>
      <c r="TKN617" s="5" t="s">
        <v>3728</v>
      </c>
      <c r="TKO617" s="17">
        <v>44925</v>
      </c>
      <c r="TKP617" s="5" t="s">
        <v>3728</v>
      </c>
      <c r="TKQ617" s="17">
        <v>44925</v>
      </c>
      <c r="TKR617" s="5" t="s">
        <v>3728</v>
      </c>
      <c r="TKS617" s="17">
        <v>44925</v>
      </c>
      <c r="TKT617" s="5" t="s">
        <v>3728</v>
      </c>
      <c r="TKU617" s="17">
        <v>44925</v>
      </c>
      <c r="TKV617" s="5" t="s">
        <v>3728</v>
      </c>
      <c r="TKW617" s="17">
        <v>44925</v>
      </c>
      <c r="TKX617" s="5" t="s">
        <v>3728</v>
      </c>
      <c r="TKY617" s="17">
        <v>44925</v>
      </c>
      <c r="TKZ617" s="5" t="s">
        <v>3728</v>
      </c>
      <c r="TLA617" s="17">
        <v>44925</v>
      </c>
      <c r="TLB617" s="5" t="s">
        <v>3728</v>
      </c>
      <c r="TLC617" s="17">
        <v>44925</v>
      </c>
      <c r="TLD617" s="5" t="s">
        <v>3728</v>
      </c>
      <c r="TLE617" s="17">
        <v>44925</v>
      </c>
      <c r="TLF617" s="5" t="s">
        <v>3728</v>
      </c>
      <c r="TLG617" s="17">
        <v>44925</v>
      </c>
      <c r="TLH617" s="5" t="s">
        <v>3728</v>
      </c>
      <c r="TLI617" s="17">
        <v>44925</v>
      </c>
      <c r="TLJ617" s="5" t="s">
        <v>3728</v>
      </c>
      <c r="TLK617" s="17">
        <v>44925</v>
      </c>
      <c r="TLL617" s="5" t="s">
        <v>3728</v>
      </c>
      <c r="TLM617" s="17">
        <v>44925</v>
      </c>
      <c r="TLN617" s="5" t="s">
        <v>3728</v>
      </c>
      <c r="TLO617" s="17">
        <v>44925</v>
      </c>
      <c r="TLP617" s="5" t="s">
        <v>3728</v>
      </c>
      <c r="TLQ617" s="17">
        <v>44925</v>
      </c>
      <c r="TLR617" s="5" t="s">
        <v>3728</v>
      </c>
      <c r="TLS617" s="17">
        <v>44925</v>
      </c>
      <c r="TLT617" s="5" t="s">
        <v>3728</v>
      </c>
      <c r="TLU617" s="17">
        <v>44925</v>
      </c>
      <c r="TLV617" s="5" t="s">
        <v>3728</v>
      </c>
      <c r="TLW617" s="17">
        <v>44925</v>
      </c>
      <c r="TLX617" s="5" t="s">
        <v>3728</v>
      </c>
      <c r="TLY617" s="17">
        <v>44925</v>
      </c>
      <c r="TLZ617" s="5" t="s">
        <v>3728</v>
      </c>
      <c r="TMA617" s="17">
        <v>44925</v>
      </c>
      <c r="TMB617" s="5" t="s">
        <v>3728</v>
      </c>
      <c r="TMC617" s="17">
        <v>44925</v>
      </c>
      <c r="TMD617" s="5" t="s">
        <v>3728</v>
      </c>
      <c r="TME617" s="17">
        <v>44925</v>
      </c>
      <c r="TMF617" s="5" t="s">
        <v>3728</v>
      </c>
      <c r="TMG617" s="17">
        <v>44925</v>
      </c>
      <c r="TMH617" s="5" t="s">
        <v>3728</v>
      </c>
      <c r="TMI617" s="17">
        <v>44925</v>
      </c>
      <c r="TMJ617" s="5" t="s">
        <v>3728</v>
      </c>
      <c r="TMK617" s="17">
        <v>44925</v>
      </c>
      <c r="TML617" s="5" t="s">
        <v>3728</v>
      </c>
      <c r="TMM617" s="17">
        <v>44925</v>
      </c>
      <c r="TMN617" s="5" t="s">
        <v>3728</v>
      </c>
      <c r="TMO617" s="17">
        <v>44925</v>
      </c>
      <c r="TMP617" s="5" t="s">
        <v>3728</v>
      </c>
      <c r="TMQ617" s="17">
        <v>44925</v>
      </c>
      <c r="TMR617" s="5" t="s">
        <v>3728</v>
      </c>
      <c r="TMS617" s="17">
        <v>44925</v>
      </c>
      <c r="TMT617" s="5" t="s">
        <v>3728</v>
      </c>
      <c r="TMU617" s="17">
        <v>44925</v>
      </c>
      <c r="TMV617" s="5" t="s">
        <v>3728</v>
      </c>
      <c r="TMW617" s="17">
        <v>44925</v>
      </c>
      <c r="TMX617" s="5" t="s">
        <v>3728</v>
      </c>
      <c r="TMY617" s="17">
        <v>44925</v>
      </c>
      <c r="TMZ617" s="5" t="s">
        <v>3728</v>
      </c>
      <c r="TNA617" s="17">
        <v>44925</v>
      </c>
      <c r="TNB617" s="5" t="s">
        <v>3728</v>
      </c>
      <c r="TNC617" s="17">
        <v>44925</v>
      </c>
      <c r="TND617" s="5" t="s">
        <v>3728</v>
      </c>
      <c r="TNE617" s="17">
        <v>44925</v>
      </c>
      <c r="TNF617" s="5" t="s">
        <v>3728</v>
      </c>
      <c r="TNG617" s="17">
        <v>44925</v>
      </c>
      <c r="TNH617" s="5" t="s">
        <v>3728</v>
      </c>
      <c r="TNI617" s="17">
        <v>44925</v>
      </c>
      <c r="TNJ617" s="5" t="s">
        <v>3728</v>
      </c>
      <c r="TNK617" s="17">
        <v>44925</v>
      </c>
      <c r="TNL617" s="5" t="s">
        <v>3728</v>
      </c>
      <c r="TNM617" s="17">
        <v>44925</v>
      </c>
      <c r="TNN617" s="5" t="s">
        <v>3728</v>
      </c>
      <c r="TNO617" s="17">
        <v>44925</v>
      </c>
      <c r="TNP617" s="5" t="s">
        <v>3728</v>
      </c>
      <c r="TNQ617" s="17">
        <v>44925</v>
      </c>
      <c r="TNR617" s="5" t="s">
        <v>3728</v>
      </c>
      <c r="TNS617" s="17">
        <v>44925</v>
      </c>
      <c r="TNT617" s="5" t="s">
        <v>3728</v>
      </c>
      <c r="TNU617" s="17">
        <v>44925</v>
      </c>
      <c r="TNV617" s="5" t="s">
        <v>3728</v>
      </c>
      <c r="TNW617" s="17">
        <v>44925</v>
      </c>
      <c r="TNX617" s="5" t="s">
        <v>3728</v>
      </c>
      <c r="TNY617" s="17">
        <v>44925</v>
      </c>
      <c r="TNZ617" s="5" t="s">
        <v>3728</v>
      </c>
      <c r="TOA617" s="17">
        <v>44925</v>
      </c>
      <c r="TOB617" s="5" t="s">
        <v>3728</v>
      </c>
      <c r="TOC617" s="17">
        <v>44925</v>
      </c>
      <c r="TOD617" s="5" t="s">
        <v>3728</v>
      </c>
      <c r="TOE617" s="17">
        <v>44925</v>
      </c>
      <c r="TOF617" s="5" t="s">
        <v>3728</v>
      </c>
      <c r="TOG617" s="17">
        <v>44925</v>
      </c>
      <c r="TOH617" s="5" t="s">
        <v>3728</v>
      </c>
      <c r="TOI617" s="17">
        <v>44925</v>
      </c>
      <c r="TOJ617" s="5" t="s">
        <v>3728</v>
      </c>
      <c r="TOK617" s="17">
        <v>44925</v>
      </c>
      <c r="TOL617" s="5" t="s">
        <v>3728</v>
      </c>
      <c r="TOM617" s="17">
        <v>44925</v>
      </c>
      <c r="TON617" s="5" t="s">
        <v>3728</v>
      </c>
      <c r="TOO617" s="17">
        <v>44925</v>
      </c>
      <c r="TOP617" s="5" t="s">
        <v>3728</v>
      </c>
      <c r="TOQ617" s="17">
        <v>44925</v>
      </c>
      <c r="TOR617" s="5" t="s">
        <v>3728</v>
      </c>
      <c r="TOS617" s="17">
        <v>44925</v>
      </c>
      <c r="TOT617" s="5" t="s">
        <v>3728</v>
      </c>
      <c r="TOU617" s="17">
        <v>44925</v>
      </c>
      <c r="TOV617" s="5" t="s">
        <v>3728</v>
      </c>
      <c r="TOW617" s="17">
        <v>44925</v>
      </c>
      <c r="TOX617" s="5" t="s">
        <v>3728</v>
      </c>
      <c r="TOY617" s="17">
        <v>44925</v>
      </c>
      <c r="TOZ617" s="5" t="s">
        <v>3728</v>
      </c>
      <c r="TPA617" s="17">
        <v>44925</v>
      </c>
      <c r="TPB617" s="5" t="s">
        <v>3728</v>
      </c>
      <c r="TPC617" s="17">
        <v>44925</v>
      </c>
      <c r="TPD617" s="5" t="s">
        <v>3728</v>
      </c>
      <c r="TPE617" s="17">
        <v>44925</v>
      </c>
      <c r="TPF617" s="5" t="s">
        <v>3728</v>
      </c>
      <c r="TPG617" s="17">
        <v>44925</v>
      </c>
      <c r="TPH617" s="5" t="s">
        <v>3728</v>
      </c>
      <c r="TPI617" s="17">
        <v>44925</v>
      </c>
      <c r="TPJ617" s="5" t="s">
        <v>3728</v>
      </c>
      <c r="TPK617" s="17">
        <v>44925</v>
      </c>
      <c r="TPL617" s="5" t="s">
        <v>3728</v>
      </c>
      <c r="TPM617" s="17">
        <v>44925</v>
      </c>
      <c r="TPN617" s="5" t="s">
        <v>3728</v>
      </c>
      <c r="TPO617" s="17">
        <v>44925</v>
      </c>
      <c r="TPP617" s="5" t="s">
        <v>3728</v>
      </c>
      <c r="TPQ617" s="17">
        <v>44925</v>
      </c>
      <c r="TPR617" s="5" t="s">
        <v>3728</v>
      </c>
      <c r="TPS617" s="17">
        <v>44925</v>
      </c>
      <c r="TPT617" s="5" t="s">
        <v>3728</v>
      </c>
      <c r="TPU617" s="17">
        <v>44925</v>
      </c>
      <c r="TPV617" s="5" t="s">
        <v>3728</v>
      </c>
      <c r="TPW617" s="17">
        <v>44925</v>
      </c>
      <c r="TPX617" s="5" t="s">
        <v>3728</v>
      </c>
      <c r="TPY617" s="17">
        <v>44925</v>
      </c>
      <c r="TPZ617" s="5" t="s">
        <v>3728</v>
      </c>
      <c r="TQA617" s="17">
        <v>44925</v>
      </c>
      <c r="TQB617" s="5" t="s">
        <v>3728</v>
      </c>
      <c r="TQC617" s="17">
        <v>44925</v>
      </c>
      <c r="TQD617" s="5" t="s">
        <v>3728</v>
      </c>
      <c r="TQE617" s="17">
        <v>44925</v>
      </c>
      <c r="TQF617" s="5" t="s">
        <v>3728</v>
      </c>
      <c r="TQG617" s="17">
        <v>44925</v>
      </c>
      <c r="TQH617" s="5" t="s">
        <v>3728</v>
      </c>
      <c r="TQI617" s="17">
        <v>44925</v>
      </c>
      <c r="TQJ617" s="5" t="s">
        <v>3728</v>
      </c>
      <c r="TQK617" s="17">
        <v>44925</v>
      </c>
      <c r="TQL617" s="5" t="s">
        <v>3728</v>
      </c>
      <c r="TQM617" s="17">
        <v>44925</v>
      </c>
      <c r="TQN617" s="5" t="s">
        <v>3728</v>
      </c>
      <c r="TQO617" s="17">
        <v>44925</v>
      </c>
      <c r="TQP617" s="5" t="s">
        <v>3728</v>
      </c>
      <c r="TQQ617" s="17">
        <v>44925</v>
      </c>
      <c r="TQR617" s="5" t="s">
        <v>3728</v>
      </c>
      <c r="TQS617" s="17">
        <v>44925</v>
      </c>
      <c r="TQT617" s="5" t="s">
        <v>3728</v>
      </c>
      <c r="TQU617" s="17">
        <v>44925</v>
      </c>
      <c r="TQV617" s="5" t="s">
        <v>3728</v>
      </c>
      <c r="TQW617" s="17">
        <v>44925</v>
      </c>
      <c r="TQX617" s="5" t="s">
        <v>3728</v>
      </c>
      <c r="TQY617" s="17">
        <v>44925</v>
      </c>
      <c r="TQZ617" s="5" t="s">
        <v>3728</v>
      </c>
      <c r="TRA617" s="17">
        <v>44925</v>
      </c>
      <c r="TRB617" s="5" t="s">
        <v>3728</v>
      </c>
      <c r="TRC617" s="17">
        <v>44925</v>
      </c>
      <c r="TRD617" s="5" t="s">
        <v>3728</v>
      </c>
      <c r="TRE617" s="17">
        <v>44925</v>
      </c>
      <c r="TRF617" s="5" t="s">
        <v>3728</v>
      </c>
      <c r="TRG617" s="17">
        <v>44925</v>
      </c>
      <c r="TRH617" s="5" t="s">
        <v>3728</v>
      </c>
      <c r="TRI617" s="17">
        <v>44925</v>
      </c>
      <c r="TRJ617" s="5" t="s">
        <v>3728</v>
      </c>
      <c r="TRK617" s="17">
        <v>44925</v>
      </c>
      <c r="TRL617" s="5" t="s">
        <v>3728</v>
      </c>
      <c r="TRM617" s="17">
        <v>44925</v>
      </c>
      <c r="TRN617" s="5" t="s">
        <v>3728</v>
      </c>
      <c r="TRO617" s="17">
        <v>44925</v>
      </c>
      <c r="TRP617" s="5" t="s">
        <v>3728</v>
      </c>
      <c r="TRQ617" s="17">
        <v>44925</v>
      </c>
      <c r="TRR617" s="5" t="s">
        <v>3728</v>
      </c>
      <c r="TRS617" s="17">
        <v>44925</v>
      </c>
      <c r="TRT617" s="5" t="s">
        <v>3728</v>
      </c>
      <c r="TRU617" s="17">
        <v>44925</v>
      </c>
      <c r="TRV617" s="5" t="s">
        <v>3728</v>
      </c>
      <c r="TRW617" s="17">
        <v>44925</v>
      </c>
      <c r="TRX617" s="5" t="s">
        <v>3728</v>
      </c>
      <c r="TRY617" s="17">
        <v>44925</v>
      </c>
      <c r="TRZ617" s="5" t="s">
        <v>3728</v>
      </c>
      <c r="TSA617" s="17">
        <v>44925</v>
      </c>
      <c r="TSB617" s="5" t="s">
        <v>3728</v>
      </c>
      <c r="TSC617" s="17">
        <v>44925</v>
      </c>
      <c r="TSD617" s="5" t="s">
        <v>3728</v>
      </c>
      <c r="TSE617" s="17">
        <v>44925</v>
      </c>
      <c r="TSF617" s="5" t="s">
        <v>3728</v>
      </c>
      <c r="TSG617" s="17">
        <v>44925</v>
      </c>
      <c r="TSH617" s="5" t="s">
        <v>3728</v>
      </c>
      <c r="TSI617" s="17">
        <v>44925</v>
      </c>
      <c r="TSJ617" s="5" t="s">
        <v>3728</v>
      </c>
      <c r="TSK617" s="17">
        <v>44925</v>
      </c>
      <c r="TSL617" s="5" t="s">
        <v>3728</v>
      </c>
      <c r="TSM617" s="17">
        <v>44925</v>
      </c>
      <c r="TSN617" s="5" t="s">
        <v>3728</v>
      </c>
      <c r="TSO617" s="17">
        <v>44925</v>
      </c>
      <c r="TSP617" s="5" t="s">
        <v>3728</v>
      </c>
      <c r="TSQ617" s="17">
        <v>44925</v>
      </c>
      <c r="TSR617" s="5" t="s">
        <v>3728</v>
      </c>
      <c r="TSS617" s="17">
        <v>44925</v>
      </c>
      <c r="TST617" s="5" t="s">
        <v>3728</v>
      </c>
      <c r="TSU617" s="17">
        <v>44925</v>
      </c>
      <c r="TSV617" s="5" t="s">
        <v>3728</v>
      </c>
      <c r="TSW617" s="17">
        <v>44925</v>
      </c>
      <c r="TSX617" s="5" t="s">
        <v>3728</v>
      </c>
      <c r="TSY617" s="17">
        <v>44925</v>
      </c>
      <c r="TSZ617" s="5" t="s">
        <v>3728</v>
      </c>
      <c r="TTA617" s="17">
        <v>44925</v>
      </c>
      <c r="TTB617" s="5" t="s">
        <v>3728</v>
      </c>
      <c r="TTC617" s="17">
        <v>44925</v>
      </c>
      <c r="TTD617" s="5" t="s">
        <v>3728</v>
      </c>
      <c r="TTE617" s="17">
        <v>44925</v>
      </c>
      <c r="TTF617" s="5" t="s">
        <v>3728</v>
      </c>
      <c r="TTG617" s="17">
        <v>44925</v>
      </c>
      <c r="TTH617" s="5" t="s">
        <v>3728</v>
      </c>
      <c r="TTI617" s="17">
        <v>44925</v>
      </c>
      <c r="TTJ617" s="5" t="s">
        <v>3728</v>
      </c>
      <c r="TTK617" s="17">
        <v>44925</v>
      </c>
      <c r="TTL617" s="5" t="s">
        <v>3728</v>
      </c>
      <c r="TTM617" s="17">
        <v>44925</v>
      </c>
      <c r="TTN617" s="5" t="s">
        <v>3728</v>
      </c>
      <c r="TTO617" s="17">
        <v>44925</v>
      </c>
      <c r="TTP617" s="5" t="s">
        <v>3728</v>
      </c>
      <c r="TTQ617" s="17">
        <v>44925</v>
      </c>
      <c r="TTR617" s="5" t="s">
        <v>3728</v>
      </c>
      <c r="TTS617" s="17">
        <v>44925</v>
      </c>
      <c r="TTT617" s="5" t="s">
        <v>3728</v>
      </c>
      <c r="TTU617" s="17">
        <v>44925</v>
      </c>
      <c r="TTV617" s="5" t="s">
        <v>3728</v>
      </c>
      <c r="TTW617" s="17">
        <v>44925</v>
      </c>
      <c r="TTX617" s="5" t="s">
        <v>3728</v>
      </c>
      <c r="TTY617" s="17">
        <v>44925</v>
      </c>
      <c r="TTZ617" s="5" t="s">
        <v>3728</v>
      </c>
      <c r="TUA617" s="17">
        <v>44925</v>
      </c>
      <c r="TUB617" s="5" t="s">
        <v>3728</v>
      </c>
      <c r="TUC617" s="17">
        <v>44925</v>
      </c>
      <c r="TUD617" s="5" t="s">
        <v>3728</v>
      </c>
      <c r="TUE617" s="17">
        <v>44925</v>
      </c>
      <c r="TUF617" s="5" t="s">
        <v>3728</v>
      </c>
      <c r="TUG617" s="17">
        <v>44925</v>
      </c>
      <c r="TUH617" s="5" t="s">
        <v>3728</v>
      </c>
      <c r="TUI617" s="17">
        <v>44925</v>
      </c>
      <c r="TUJ617" s="5" t="s">
        <v>3728</v>
      </c>
      <c r="TUK617" s="17">
        <v>44925</v>
      </c>
      <c r="TUL617" s="5" t="s">
        <v>3728</v>
      </c>
      <c r="TUM617" s="17">
        <v>44925</v>
      </c>
      <c r="TUN617" s="5" t="s">
        <v>3728</v>
      </c>
      <c r="TUO617" s="17">
        <v>44925</v>
      </c>
      <c r="TUP617" s="5" t="s">
        <v>3728</v>
      </c>
      <c r="TUQ617" s="17">
        <v>44925</v>
      </c>
      <c r="TUR617" s="5" t="s">
        <v>3728</v>
      </c>
      <c r="TUS617" s="17">
        <v>44925</v>
      </c>
      <c r="TUT617" s="5" t="s">
        <v>3728</v>
      </c>
      <c r="TUU617" s="17">
        <v>44925</v>
      </c>
      <c r="TUV617" s="5" t="s">
        <v>3728</v>
      </c>
      <c r="TUW617" s="17">
        <v>44925</v>
      </c>
      <c r="TUX617" s="5" t="s">
        <v>3728</v>
      </c>
      <c r="TUY617" s="17">
        <v>44925</v>
      </c>
      <c r="TUZ617" s="5" t="s">
        <v>3728</v>
      </c>
      <c r="TVA617" s="17">
        <v>44925</v>
      </c>
      <c r="TVB617" s="5" t="s">
        <v>3728</v>
      </c>
      <c r="TVC617" s="17">
        <v>44925</v>
      </c>
      <c r="TVD617" s="5" t="s">
        <v>3728</v>
      </c>
      <c r="TVE617" s="17">
        <v>44925</v>
      </c>
      <c r="TVF617" s="5" t="s">
        <v>3728</v>
      </c>
      <c r="TVG617" s="17">
        <v>44925</v>
      </c>
      <c r="TVH617" s="5" t="s">
        <v>3728</v>
      </c>
      <c r="TVI617" s="17">
        <v>44925</v>
      </c>
      <c r="TVJ617" s="5" t="s">
        <v>3728</v>
      </c>
      <c r="TVK617" s="17">
        <v>44925</v>
      </c>
      <c r="TVL617" s="5" t="s">
        <v>3728</v>
      </c>
      <c r="TVM617" s="17">
        <v>44925</v>
      </c>
      <c r="TVN617" s="5" t="s">
        <v>3728</v>
      </c>
      <c r="TVO617" s="17">
        <v>44925</v>
      </c>
      <c r="TVP617" s="5" t="s">
        <v>3728</v>
      </c>
      <c r="TVQ617" s="17">
        <v>44925</v>
      </c>
      <c r="TVR617" s="5" t="s">
        <v>3728</v>
      </c>
      <c r="TVS617" s="17">
        <v>44925</v>
      </c>
      <c r="TVT617" s="5" t="s">
        <v>3728</v>
      </c>
      <c r="TVU617" s="17">
        <v>44925</v>
      </c>
      <c r="TVV617" s="5" t="s">
        <v>3728</v>
      </c>
      <c r="TVW617" s="17">
        <v>44925</v>
      </c>
      <c r="TVX617" s="5" t="s">
        <v>3728</v>
      </c>
      <c r="TVY617" s="17">
        <v>44925</v>
      </c>
      <c r="TVZ617" s="5" t="s">
        <v>3728</v>
      </c>
      <c r="TWA617" s="17">
        <v>44925</v>
      </c>
      <c r="TWB617" s="5" t="s">
        <v>3728</v>
      </c>
      <c r="TWC617" s="17">
        <v>44925</v>
      </c>
      <c r="TWD617" s="5" t="s">
        <v>3728</v>
      </c>
      <c r="TWE617" s="17">
        <v>44925</v>
      </c>
      <c r="TWF617" s="5" t="s">
        <v>3728</v>
      </c>
      <c r="TWG617" s="17">
        <v>44925</v>
      </c>
      <c r="TWH617" s="5" t="s">
        <v>3728</v>
      </c>
      <c r="TWI617" s="17">
        <v>44925</v>
      </c>
      <c r="TWJ617" s="5" t="s">
        <v>3728</v>
      </c>
      <c r="TWK617" s="17">
        <v>44925</v>
      </c>
      <c r="TWL617" s="5" t="s">
        <v>3728</v>
      </c>
      <c r="TWM617" s="17">
        <v>44925</v>
      </c>
      <c r="TWN617" s="5" t="s">
        <v>3728</v>
      </c>
      <c r="TWO617" s="17">
        <v>44925</v>
      </c>
      <c r="TWP617" s="5" t="s">
        <v>3728</v>
      </c>
      <c r="TWQ617" s="17">
        <v>44925</v>
      </c>
      <c r="TWR617" s="5" t="s">
        <v>3728</v>
      </c>
      <c r="TWS617" s="17">
        <v>44925</v>
      </c>
      <c r="TWT617" s="5" t="s">
        <v>3728</v>
      </c>
      <c r="TWU617" s="17">
        <v>44925</v>
      </c>
      <c r="TWV617" s="5" t="s">
        <v>3728</v>
      </c>
      <c r="TWW617" s="17">
        <v>44925</v>
      </c>
      <c r="TWX617" s="5" t="s">
        <v>3728</v>
      </c>
      <c r="TWY617" s="17">
        <v>44925</v>
      </c>
      <c r="TWZ617" s="5" t="s">
        <v>3728</v>
      </c>
      <c r="TXA617" s="17">
        <v>44925</v>
      </c>
      <c r="TXB617" s="5" t="s">
        <v>3728</v>
      </c>
      <c r="TXC617" s="17">
        <v>44925</v>
      </c>
      <c r="TXD617" s="5" t="s">
        <v>3728</v>
      </c>
      <c r="TXE617" s="17">
        <v>44925</v>
      </c>
      <c r="TXF617" s="5" t="s">
        <v>3728</v>
      </c>
      <c r="TXG617" s="17">
        <v>44925</v>
      </c>
      <c r="TXH617" s="5" t="s">
        <v>3728</v>
      </c>
      <c r="TXI617" s="17">
        <v>44925</v>
      </c>
      <c r="TXJ617" s="5" t="s">
        <v>3728</v>
      </c>
      <c r="TXK617" s="17">
        <v>44925</v>
      </c>
      <c r="TXL617" s="5" t="s">
        <v>3728</v>
      </c>
      <c r="TXM617" s="17">
        <v>44925</v>
      </c>
      <c r="TXN617" s="5" t="s">
        <v>3728</v>
      </c>
      <c r="TXO617" s="17">
        <v>44925</v>
      </c>
      <c r="TXP617" s="5" t="s">
        <v>3728</v>
      </c>
      <c r="TXQ617" s="17">
        <v>44925</v>
      </c>
      <c r="TXR617" s="5" t="s">
        <v>3728</v>
      </c>
      <c r="TXS617" s="17">
        <v>44925</v>
      </c>
      <c r="TXT617" s="5" t="s">
        <v>3728</v>
      </c>
      <c r="TXU617" s="17">
        <v>44925</v>
      </c>
      <c r="TXV617" s="5" t="s">
        <v>3728</v>
      </c>
      <c r="TXW617" s="17">
        <v>44925</v>
      </c>
      <c r="TXX617" s="5" t="s">
        <v>3728</v>
      </c>
      <c r="TXY617" s="17">
        <v>44925</v>
      </c>
      <c r="TXZ617" s="5" t="s">
        <v>3728</v>
      </c>
      <c r="TYA617" s="17">
        <v>44925</v>
      </c>
      <c r="TYB617" s="5" t="s">
        <v>3728</v>
      </c>
      <c r="TYC617" s="17">
        <v>44925</v>
      </c>
      <c r="TYD617" s="5" t="s">
        <v>3728</v>
      </c>
      <c r="TYE617" s="17">
        <v>44925</v>
      </c>
      <c r="TYF617" s="5" t="s">
        <v>3728</v>
      </c>
      <c r="TYG617" s="17">
        <v>44925</v>
      </c>
      <c r="TYH617" s="5" t="s">
        <v>3728</v>
      </c>
      <c r="TYI617" s="17">
        <v>44925</v>
      </c>
      <c r="TYJ617" s="5" t="s">
        <v>3728</v>
      </c>
      <c r="TYK617" s="17">
        <v>44925</v>
      </c>
      <c r="TYL617" s="5" t="s">
        <v>3728</v>
      </c>
      <c r="TYM617" s="17">
        <v>44925</v>
      </c>
      <c r="TYN617" s="5" t="s">
        <v>3728</v>
      </c>
      <c r="TYO617" s="17">
        <v>44925</v>
      </c>
      <c r="TYP617" s="5" t="s">
        <v>3728</v>
      </c>
      <c r="TYQ617" s="17">
        <v>44925</v>
      </c>
      <c r="TYR617" s="5" t="s">
        <v>3728</v>
      </c>
      <c r="TYS617" s="17">
        <v>44925</v>
      </c>
      <c r="TYT617" s="5" t="s">
        <v>3728</v>
      </c>
      <c r="TYU617" s="17">
        <v>44925</v>
      </c>
      <c r="TYV617" s="5" t="s">
        <v>3728</v>
      </c>
      <c r="TYW617" s="17">
        <v>44925</v>
      </c>
      <c r="TYX617" s="5" t="s">
        <v>3728</v>
      </c>
      <c r="TYY617" s="17">
        <v>44925</v>
      </c>
      <c r="TYZ617" s="5" t="s">
        <v>3728</v>
      </c>
      <c r="TZA617" s="17">
        <v>44925</v>
      </c>
      <c r="TZB617" s="5" t="s">
        <v>3728</v>
      </c>
      <c r="TZC617" s="17">
        <v>44925</v>
      </c>
      <c r="TZD617" s="5" t="s">
        <v>3728</v>
      </c>
      <c r="TZE617" s="17">
        <v>44925</v>
      </c>
      <c r="TZF617" s="5" t="s">
        <v>3728</v>
      </c>
      <c r="TZG617" s="17">
        <v>44925</v>
      </c>
      <c r="TZH617" s="5" t="s">
        <v>3728</v>
      </c>
      <c r="TZI617" s="17">
        <v>44925</v>
      </c>
      <c r="TZJ617" s="5" t="s">
        <v>3728</v>
      </c>
      <c r="TZK617" s="17">
        <v>44925</v>
      </c>
      <c r="TZL617" s="5" t="s">
        <v>3728</v>
      </c>
      <c r="TZM617" s="17">
        <v>44925</v>
      </c>
      <c r="TZN617" s="5" t="s">
        <v>3728</v>
      </c>
      <c r="TZO617" s="17">
        <v>44925</v>
      </c>
      <c r="TZP617" s="5" t="s">
        <v>3728</v>
      </c>
      <c r="TZQ617" s="17">
        <v>44925</v>
      </c>
      <c r="TZR617" s="5" t="s">
        <v>3728</v>
      </c>
      <c r="TZS617" s="17">
        <v>44925</v>
      </c>
      <c r="TZT617" s="5" t="s">
        <v>3728</v>
      </c>
      <c r="TZU617" s="17">
        <v>44925</v>
      </c>
      <c r="TZV617" s="5" t="s">
        <v>3728</v>
      </c>
      <c r="TZW617" s="17">
        <v>44925</v>
      </c>
      <c r="TZX617" s="5" t="s">
        <v>3728</v>
      </c>
      <c r="TZY617" s="17">
        <v>44925</v>
      </c>
      <c r="TZZ617" s="5" t="s">
        <v>3728</v>
      </c>
      <c r="UAA617" s="17">
        <v>44925</v>
      </c>
      <c r="UAB617" s="5" t="s">
        <v>3728</v>
      </c>
      <c r="UAC617" s="17">
        <v>44925</v>
      </c>
      <c r="UAD617" s="5" t="s">
        <v>3728</v>
      </c>
      <c r="UAE617" s="17">
        <v>44925</v>
      </c>
      <c r="UAF617" s="5" t="s">
        <v>3728</v>
      </c>
      <c r="UAG617" s="17">
        <v>44925</v>
      </c>
      <c r="UAH617" s="5" t="s">
        <v>3728</v>
      </c>
      <c r="UAI617" s="17">
        <v>44925</v>
      </c>
      <c r="UAJ617" s="5" t="s">
        <v>3728</v>
      </c>
      <c r="UAK617" s="17">
        <v>44925</v>
      </c>
      <c r="UAL617" s="5" t="s">
        <v>3728</v>
      </c>
      <c r="UAM617" s="17">
        <v>44925</v>
      </c>
      <c r="UAN617" s="5" t="s">
        <v>3728</v>
      </c>
      <c r="UAO617" s="17">
        <v>44925</v>
      </c>
      <c r="UAP617" s="5" t="s">
        <v>3728</v>
      </c>
      <c r="UAQ617" s="17">
        <v>44925</v>
      </c>
      <c r="UAR617" s="5" t="s">
        <v>3728</v>
      </c>
      <c r="UAS617" s="17">
        <v>44925</v>
      </c>
      <c r="UAT617" s="5" t="s">
        <v>3728</v>
      </c>
      <c r="UAU617" s="17">
        <v>44925</v>
      </c>
      <c r="UAV617" s="5" t="s">
        <v>3728</v>
      </c>
      <c r="UAW617" s="17">
        <v>44925</v>
      </c>
      <c r="UAX617" s="5" t="s">
        <v>3728</v>
      </c>
      <c r="UAY617" s="17">
        <v>44925</v>
      </c>
      <c r="UAZ617" s="5" t="s">
        <v>3728</v>
      </c>
      <c r="UBA617" s="17">
        <v>44925</v>
      </c>
      <c r="UBB617" s="5" t="s">
        <v>3728</v>
      </c>
      <c r="UBC617" s="17">
        <v>44925</v>
      </c>
      <c r="UBD617" s="5" t="s">
        <v>3728</v>
      </c>
      <c r="UBE617" s="17">
        <v>44925</v>
      </c>
      <c r="UBF617" s="5" t="s">
        <v>3728</v>
      </c>
      <c r="UBG617" s="17">
        <v>44925</v>
      </c>
      <c r="UBH617" s="5" t="s">
        <v>3728</v>
      </c>
      <c r="UBI617" s="17">
        <v>44925</v>
      </c>
      <c r="UBJ617" s="5" t="s">
        <v>3728</v>
      </c>
      <c r="UBK617" s="17">
        <v>44925</v>
      </c>
      <c r="UBL617" s="5" t="s">
        <v>3728</v>
      </c>
      <c r="UBM617" s="17">
        <v>44925</v>
      </c>
      <c r="UBN617" s="5" t="s">
        <v>3728</v>
      </c>
      <c r="UBO617" s="17">
        <v>44925</v>
      </c>
      <c r="UBP617" s="5" t="s">
        <v>3728</v>
      </c>
      <c r="UBQ617" s="17">
        <v>44925</v>
      </c>
      <c r="UBR617" s="5" t="s">
        <v>3728</v>
      </c>
      <c r="UBS617" s="17">
        <v>44925</v>
      </c>
      <c r="UBT617" s="5" t="s">
        <v>3728</v>
      </c>
      <c r="UBU617" s="17">
        <v>44925</v>
      </c>
      <c r="UBV617" s="5" t="s">
        <v>3728</v>
      </c>
      <c r="UBW617" s="17">
        <v>44925</v>
      </c>
      <c r="UBX617" s="5" t="s">
        <v>3728</v>
      </c>
      <c r="UBY617" s="17">
        <v>44925</v>
      </c>
      <c r="UBZ617" s="5" t="s">
        <v>3728</v>
      </c>
      <c r="UCA617" s="17">
        <v>44925</v>
      </c>
      <c r="UCB617" s="5" t="s">
        <v>3728</v>
      </c>
      <c r="UCC617" s="17">
        <v>44925</v>
      </c>
      <c r="UCD617" s="5" t="s">
        <v>3728</v>
      </c>
      <c r="UCE617" s="17">
        <v>44925</v>
      </c>
      <c r="UCF617" s="5" t="s">
        <v>3728</v>
      </c>
      <c r="UCG617" s="17">
        <v>44925</v>
      </c>
      <c r="UCH617" s="5" t="s">
        <v>3728</v>
      </c>
      <c r="UCI617" s="17">
        <v>44925</v>
      </c>
      <c r="UCJ617" s="5" t="s">
        <v>3728</v>
      </c>
      <c r="UCK617" s="17">
        <v>44925</v>
      </c>
      <c r="UCL617" s="5" t="s">
        <v>3728</v>
      </c>
      <c r="UCM617" s="17">
        <v>44925</v>
      </c>
      <c r="UCN617" s="5" t="s">
        <v>3728</v>
      </c>
      <c r="UCO617" s="17">
        <v>44925</v>
      </c>
      <c r="UCP617" s="5" t="s">
        <v>3728</v>
      </c>
      <c r="UCQ617" s="17">
        <v>44925</v>
      </c>
      <c r="UCR617" s="5" t="s">
        <v>3728</v>
      </c>
      <c r="UCS617" s="17">
        <v>44925</v>
      </c>
      <c r="UCT617" s="5" t="s">
        <v>3728</v>
      </c>
      <c r="UCU617" s="17">
        <v>44925</v>
      </c>
      <c r="UCV617" s="5" t="s">
        <v>3728</v>
      </c>
      <c r="UCW617" s="17">
        <v>44925</v>
      </c>
      <c r="UCX617" s="5" t="s">
        <v>3728</v>
      </c>
      <c r="UCY617" s="17">
        <v>44925</v>
      </c>
      <c r="UCZ617" s="5" t="s">
        <v>3728</v>
      </c>
      <c r="UDA617" s="17">
        <v>44925</v>
      </c>
      <c r="UDB617" s="5" t="s">
        <v>3728</v>
      </c>
      <c r="UDC617" s="17">
        <v>44925</v>
      </c>
      <c r="UDD617" s="5" t="s">
        <v>3728</v>
      </c>
      <c r="UDE617" s="17">
        <v>44925</v>
      </c>
      <c r="UDF617" s="5" t="s">
        <v>3728</v>
      </c>
      <c r="UDG617" s="17">
        <v>44925</v>
      </c>
      <c r="UDH617" s="5" t="s">
        <v>3728</v>
      </c>
      <c r="UDI617" s="17">
        <v>44925</v>
      </c>
      <c r="UDJ617" s="5" t="s">
        <v>3728</v>
      </c>
      <c r="UDK617" s="17">
        <v>44925</v>
      </c>
      <c r="UDL617" s="5" t="s">
        <v>3728</v>
      </c>
      <c r="UDM617" s="17">
        <v>44925</v>
      </c>
      <c r="UDN617" s="5" t="s">
        <v>3728</v>
      </c>
      <c r="UDO617" s="17">
        <v>44925</v>
      </c>
      <c r="UDP617" s="5" t="s">
        <v>3728</v>
      </c>
      <c r="UDQ617" s="17">
        <v>44925</v>
      </c>
      <c r="UDR617" s="5" t="s">
        <v>3728</v>
      </c>
      <c r="UDS617" s="17">
        <v>44925</v>
      </c>
      <c r="UDT617" s="5" t="s">
        <v>3728</v>
      </c>
      <c r="UDU617" s="17">
        <v>44925</v>
      </c>
      <c r="UDV617" s="5" t="s">
        <v>3728</v>
      </c>
      <c r="UDW617" s="17">
        <v>44925</v>
      </c>
      <c r="UDX617" s="5" t="s">
        <v>3728</v>
      </c>
      <c r="UDY617" s="17">
        <v>44925</v>
      </c>
      <c r="UDZ617" s="5" t="s">
        <v>3728</v>
      </c>
      <c r="UEA617" s="17">
        <v>44925</v>
      </c>
      <c r="UEB617" s="5" t="s">
        <v>3728</v>
      </c>
      <c r="UEC617" s="17">
        <v>44925</v>
      </c>
      <c r="UED617" s="5" t="s">
        <v>3728</v>
      </c>
      <c r="UEE617" s="17">
        <v>44925</v>
      </c>
      <c r="UEF617" s="5" t="s">
        <v>3728</v>
      </c>
      <c r="UEG617" s="17">
        <v>44925</v>
      </c>
      <c r="UEH617" s="5" t="s">
        <v>3728</v>
      </c>
      <c r="UEI617" s="17">
        <v>44925</v>
      </c>
      <c r="UEJ617" s="5" t="s">
        <v>3728</v>
      </c>
      <c r="UEK617" s="17">
        <v>44925</v>
      </c>
      <c r="UEL617" s="5" t="s">
        <v>3728</v>
      </c>
      <c r="UEM617" s="17">
        <v>44925</v>
      </c>
      <c r="UEN617" s="5" t="s">
        <v>3728</v>
      </c>
      <c r="UEO617" s="17">
        <v>44925</v>
      </c>
      <c r="UEP617" s="5" t="s">
        <v>3728</v>
      </c>
      <c r="UEQ617" s="17">
        <v>44925</v>
      </c>
      <c r="UER617" s="5" t="s">
        <v>3728</v>
      </c>
      <c r="UES617" s="17">
        <v>44925</v>
      </c>
      <c r="UET617" s="5" t="s">
        <v>3728</v>
      </c>
      <c r="UEU617" s="17">
        <v>44925</v>
      </c>
      <c r="UEV617" s="5" t="s">
        <v>3728</v>
      </c>
      <c r="UEW617" s="17">
        <v>44925</v>
      </c>
      <c r="UEX617" s="5" t="s">
        <v>3728</v>
      </c>
      <c r="UEY617" s="17">
        <v>44925</v>
      </c>
      <c r="UEZ617" s="5" t="s">
        <v>3728</v>
      </c>
      <c r="UFA617" s="17">
        <v>44925</v>
      </c>
      <c r="UFB617" s="5" t="s">
        <v>3728</v>
      </c>
      <c r="UFC617" s="17">
        <v>44925</v>
      </c>
      <c r="UFD617" s="5" t="s">
        <v>3728</v>
      </c>
      <c r="UFE617" s="17">
        <v>44925</v>
      </c>
      <c r="UFF617" s="5" t="s">
        <v>3728</v>
      </c>
      <c r="UFG617" s="17">
        <v>44925</v>
      </c>
      <c r="UFH617" s="5" t="s">
        <v>3728</v>
      </c>
      <c r="UFI617" s="17">
        <v>44925</v>
      </c>
      <c r="UFJ617" s="5" t="s">
        <v>3728</v>
      </c>
      <c r="UFK617" s="17">
        <v>44925</v>
      </c>
      <c r="UFL617" s="5" t="s">
        <v>3728</v>
      </c>
      <c r="UFM617" s="17">
        <v>44925</v>
      </c>
      <c r="UFN617" s="5" t="s">
        <v>3728</v>
      </c>
      <c r="UFO617" s="17">
        <v>44925</v>
      </c>
      <c r="UFP617" s="5" t="s">
        <v>3728</v>
      </c>
      <c r="UFQ617" s="17">
        <v>44925</v>
      </c>
      <c r="UFR617" s="5" t="s">
        <v>3728</v>
      </c>
      <c r="UFS617" s="17">
        <v>44925</v>
      </c>
      <c r="UFT617" s="5" t="s">
        <v>3728</v>
      </c>
      <c r="UFU617" s="17">
        <v>44925</v>
      </c>
      <c r="UFV617" s="5" t="s">
        <v>3728</v>
      </c>
      <c r="UFW617" s="17">
        <v>44925</v>
      </c>
      <c r="UFX617" s="5" t="s">
        <v>3728</v>
      </c>
      <c r="UFY617" s="17">
        <v>44925</v>
      </c>
      <c r="UFZ617" s="5" t="s">
        <v>3728</v>
      </c>
      <c r="UGA617" s="17">
        <v>44925</v>
      </c>
      <c r="UGB617" s="5" t="s">
        <v>3728</v>
      </c>
      <c r="UGC617" s="17">
        <v>44925</v>
      </c>
      <c r="UGD617" s="5" t="s">
        <v>3728</v>
      </c>
      <c r="UGE617" s="17">
        <v>44925</v>
      </c>
      <c r="UGF617" s="5" t="s">
        <v>3728</v>
      </c>
      <c r="UGG617" s="17">
        <v>44925</v>
      </c>
      <c r="UGH617" s="5" t="s">
        <v>3728</v>
      </c>
      <c r="UGI617" s="17">
        <v>44925</v>
      </c>
      <c r="UGJ617" s="5" t="s">
        <v>3728</v>
      </c>
      <c r="UGK617" s="17">
        <v>44925</v>
      </c>
      <c r="UGL617" s="5" t="s">
        <v>3728</v>
      </c>
      <c r="UGM617" s="17">
        <v>44925</v>
      </c>
      <c r="UGN617" s="5" t="s">
        <v>3728</v>
      </c>
      <c r="UGO617" s="17">
        <v>44925</v>
      </c>
      <c r="UGP617" s="5" t="s">
        <v>3728</v>
      </c>
      <c r="UGQ617" s="17">
        <v>44925</v>
      </c>
      <c r="UGR617" s="5" t="s">
        <v>3728</v>
      </c>
      <c r="UGS617" s="17">
        <v>44925</v>
      </c>
      <c r="UGT617" s="5" t="s">
        <v>3728</v>
      </c>
      <c r="UGU617" s="17">
        <v>44925</v>
      </c>
      <c r="UGV617" s="5" t="s">
        <v>3728</v>
      </c>
      <c r="UGW617" s="17">
        <v>44925</v>
      </c>
      <c r="UGX617" s="5" t="s">
        <v>3728</v>
      </c>
      <c r="UGY617" s="17">
        <v>44925</v>
      </c>
      <c r="UGZ617" s="5" t="s">
        <v>3728</v>
      </c>
      <c r="UHA617" s="17">
        <v>44925</v>
      </c>
      <c r="UHB617" s="5" t="s">
        <v>3728</v>
      </c>
      <c r="UHC617" s="17">
        <v>44925</v>
      </c>
      <c r="UHD617" s="5" t="s">
        <v>3728</v>
      </c>
      <c r="UHE617" s="17">
        <v>44925</v>
      </c>
      <c r="UHF617" s="5" t="s">
        <v>3728</v>
      </c>
      <c r="UHG617" s="17">
        <v>44925</v>
      </c>
      <c r="UHH617" s="5" t="s">
        <v>3728</v>
      </c>
      <c r="UHI617" s="17">
        <v>44925</v>
      </c>
      <c r="UHJ617" s="5" t="s">
        <v>3728</v>
      </c>
      <c r="UHK617" s="17">
        <v>44925</v>
      </c>
      <c r="UHL617" s="5" t="s">
        <v>3728</v>
      </c>
      <c r="UHM617" s="17">
        <v>44925</v>
      </c>
      <c r="UHN617" s="5" t="s">
        <v>3728</v>
      </c>
      <c r="UHO617" s="17">
        <v>44925</v>
      </c>
      <c r="UHP617" s="5" t="s">
        <v>3728</v>
      </c>
      <c r="UHQ617" s="17">
        <v>44925</v>
      </c>
      <c r="UHR617" s="5" t="s">
        <v>3728</v>
      </c>
      <c r="UHS617" s="17">
        <v>44925</v>
      </c>
      <c r="UHT617" s="5" t="s">
        <v>3728</v>
      </c>
      <c r="UHU617" s="17">
        <v>44925</v>
      </c>
      <c r="UHV617" s="5" t="s">
        <v>3728</v>
      </c>
      <c r="UHW617" s="17">
        <v>44925</v>
      </c>
      <c r="UHX617" s="5" t="s">
        <v>3728</v>
      </c>
      <c r="UHY617" s="17">
        <v>44925</v>
      </c>
      <c r="UHZ617" s="5" t="s">
        <v>3728</v>
      </c>
      <c r="UIA617" s="17">
        <v>44925</v>
      </c>
      <c r="UIB617" s="5" t="s">
        <v>3728</v>
      </c>
      <c r="UIC617" s="17">
        <v>44925</v>
      </c>
      <c r="UID617" s="5" t="s">
        <v>3728</v>
      </c>
      <c r="UIE617" s="17">
        <v>44925</v>
      </c>
      <c r="UIF617" s="5" t="s">
        <v>3728</v>
      </c>
      <c r="UIG617" s="17">
        <v>44925</v>
      </c>
      <c r="UIH617" s="5" t="s">
        <v>3728</v>
      </c>
      <c r="UII617" s="17">
        <v>44925</v>
      </c>
      <c r="UIJ617" s="5" t="s">
        <v>3728</v>
      </c>
      <c r="UIK617" s="17">
        <v>44925</v>
      </c>
      <c r="UIL617" s="5" t="s">
        <v>3728</v>
      </c>
      <c r="UIM617" s="17">
        <v>44925</v>
      </c>
      <c r="UIN617" s="5" t="s">
        <v>3728</v>
      </c>
      <c r="UIO617" s="17">
        <v>44925</v>
      </c>
      <c r="UIP617" s="5" t="s">
        <v>3728</v>
      </c>
      <c r="UIQ617" s="17">
        <v>44925</v>
      </c>
      <c r="UIR617" s="5" t="s">
        <v>3728</v>
      </c>
      <c r="UIS617" s="17">
        <v>44925</v>
      </c>
      <c r="UIT617" s="5" t="s">
        <v>3728</v>
      </c>
      <c r="UIU617" s="17">
        <v>44925</v>
      </c>
      <c r="UIV617" s="5" t="s">
        <v>3728</v>
      </c>
      <c r="UIW617" s="17">
        <v>44925</v>
      </c>
      <c r="UIX617" s="5" t="s">
        <v>3728</v>
      </c>
      <c r="UIY617" s="17">
        <v>44925</v>
      </c>
      <c r="UIZ617" s="5" t="s">
        <v>3728</v>
      </c>
      <c r="UJA617" s="17">
        <v>44925</v>
      </c>
      <c r="UJB617" s="5" t="s">
        <v>3728</v>
      </c>
      <c r="UJC617" s="17">
        <v>44925</v>
      </c>
      <c r="UJD617" s="5" t="s">
        <v>3728</v>
      </c>
      <c r="UJE617" s="17">
        <v>44925</v>
      </c>
      <c r="UJF617" s="5" t="s">
        <v>3728</v>
      </c>
      <c r="UJG617" s="17">
        <v>44925</v>
      </c>
      <c r="UJH617" s="5" t="s">
        <v>3728</v>
      </c>
      <c r="UJI617" s="17">
        <v>44925</v>
      </c>
      <c r="UJJ617" s="5" t="s">
        <v>3728</v>
      </c>
      <c r="UJK617" s="17">
        <v>44925</v>
      </c>
      <c r="UJL617" s="5" t="s">
        <v>3728</v>
      </c>
      <c r="UJM617" s="17">
        <v>44925</v>
      </c>
      <c r="UJN617" s="5" t="s">
        <v>3728</v>
      </c>
      <c r="UJO617" s="17">
        <v>44925</v>
      </c>
      <c r="UJP617" s="5" t="s">
        <v>3728</v>
      </c>
      <c r="UJQ617" s="17">
        <v>44925</v>
      </c>
      <c r="UJR617" s="5" t="s">
        <v>3728</v>
      </c>
      <c r="UJS617" s="17">
        <v>44925</v>
      </c>
      <c r="UJT617" s="5" t="s">
        <v>3728</v>
      </c>
      <c r="UJU617" s="17">
        <v>44925</v>
      </c>
      <c r="UJV617" s="5" t="s">
        <v>3728</v>
      </c>
      <c r="UJW617" s="17">
        <v>44925</v>
      </c>
      <c r="UJX617" s="5" t="s">
        <v>3728</v>
      </c>
      <c r="UJY617" s="17">
        <v>44925</v>
      </c>
      <c r="UJZ617" s="5" t="s">
        <v>3728</v>
      </c>
      <c r="UKA617" s="17">
        <v>44925</v>
      </c>
      <c r="UKB617" s="5" t="s">
        <v>3728</v>
      </c>
      <c r="UKC617" s="17">
        <v>44925</v>
      </c>
      <c r="UKD617" s="5" t="s">
        <v>3728</v>
      </c>
      <c r="UKE617" s="17">
        <v>44925</v>
      </c>
      <c r="UKF617" s="5" t="s">
        <v>3728</v>
      </c>
      <c r="UKG617" s="17">
        <v>44925</v>
      </c>
      <c r="UKH617" s="5" t="s">
        <v>3728</v>
      </c>
      <c r="UKI617" s="17">
        <v>44925</v>
      </c>
      <c r="UKJ617" s="5" t="s">
        <v>3728</v>
      </c>
      <c r="UKK617" s="17">
        <v>44925</v>
      </c>
      <c r="UKL617" s="5" t="s">
        <v>3728</v>
      </c>
      <c r="UKM617" s="17">
        <v>44925</v>
      </c>
      <c r="UKN617" s="5" t="s">
        <v>3728</v>
      </c>
      <c r="UKO617" s="17">
        <v>44925</v>
      </c>
      <c r="UKP617" s="5" t="s">
        <v>3728</v>
      </c>
      <c r="UKQ617" s="17">
        <v>44925</v>
      </c>
      <c r="UKR617" s="5" t="s">
        <v>3728</v>
      </c>
      <c r="UKS617" s="17">
        <v>44925</v>
      </c>
      <c r="UKT617" s="5" t="s">
        <v>3728</v>
      </c>
      <c r="UKU617" s="17">
        <v>44925</v>
      </c>
      <c r="UKV617" s="5" t="s">
        <v>3728</v>
      </c>
      <c r="UKW617" s="17">
        <v>44925</v>
      </c>
      <c r="UKX617" s="5" t="s">
        <v>3728</v>
      </c>
      <c r="UKY617" s="17">
        <v>44925</v>
      </c>
      <c r="UKZ617" s="5" t="s">
        <v>3728</v>
      </c>
      <c r="ULA617" s="17">
        <v>44925</v>
      </c>
      <c r="ULB617" s="5" t="s">
        <v>3728</v>
      </c>
      <c r="ULC617" s="17">
        <v>44925</v>
      </c>
      <c r="ULD617" s="5" t="s">
        <v>3728</v>
      </c>
      <c r="ULE617" s="17">
        <v>44925</v>
      </c>
      <c r="ULF617" s="5" t="s">
        <v>3728</v>
      </c>
      <c r="ULG617" s="17">
        <v>44925</v>
      </c>
      <c r="ULH617" s="5" t="s">
        <v>3728</v>
      </c>
      <c r="ULI617" s="17">
        <v>44925</v>
      </c>
      <c r="ULJ617" s="5" t="s">
        <v>3728</v>
      </c>
      <c r="ULK617" s="17">
        <v>44925</v>
      </c>
      <c r="ULL617" s="5" t="s">
        <v>3728</v>
      </c>
      <c r="ULM617" s="17">
        <v>44925</v>
      </c>
      <c r="ULN617" s="5" t="s">
        <v>3728</v>
      </c>
      <c r="ULO617" s="17">
        <v>44925</v>
      </c>
      <c r="ULP617" s="5" t="s">
        <v>3728</v>
      </c>
      <c r="ULQ617" s="17">
        <v>44925</v>
      </c>
      <c r="ULR617" s="5" t="s">
        <v>3728</v>
      </c>
      <c r="ULS617" s="17">
        <v>44925</v>
      </c>
      <c r="ULT617" s="5" t="s">
        <v>3728</v>
      </c>
      <c r="ULU617" s="17">
        <v>44925</v>
      </c>
      <c r="ULV617" s="5" t="s">
        <v>3728</v>
      </c>
      <c r="ULW617" s="17">
        <v>44925</v>
      </c>
      <c r="ULX617" s="5" t="s">
        <v>3728</v>
      </c>
      <c r="ULY617" s="17">
        <v>44925</v>
      </c>
      <c r="ULZ617" s="5" t="s">
        <v>3728</v>
      </c>
      <c r="UMA617" s="17">
        <v>44925</v>
      </c>
      <c r="UMB617" s="5" t="s">
        <v>3728</v>
      </c>
      <c r="UMC617" s="17">
        <v>44925</v>
      </c>
      <c r="UMD617" s="5" t="s">
        <v>3728</v>
      </c>
      <c r="UME617" s="17">
        <v>44925</v>
      </c>
      <c r="UMF617" s="5" t="s">
        <v>3728</v>
      </c>
      <c r="UMG617" s="17">
        <v>44925</v>
      </c>
      <c r="UMH617" s="5" t="s">
        <v>3728</v>
      </c>
      <c r="UMI617" s="17">
        <v>44925</v>
      </c>
      <c r="UMJ617" s="5" t="s">
        <v>3728</v>
      </c>
      <c r="UMK617" s="17">
        <v>44925</v>
      </c>
      <c r="UML617" s="5" t="s">
        <v>3728</v>
      </c>
      <c r="UMM617" s="17">
        <v>44925</v>
      </c>
      <c r="UMN617" s="5" t="s">
        <v>3728</v>
      </c>
      <c r="UMO617" s="17">
        <v>44925</v>
      </c>
      <c r="UMP617" s="5" t="s">
        <v>3728</v>
      </c>
      <c r="UMQ617" s="17">
        <v>44925</v>
      </c>
      <c r="UMR617" s="5" t="s">
        <v>3728</v>
      </c>
      <c r="UMS617" s="17">
        <v>44925</v>
      </c>
      <c r="UMT617" s="5" t="s">
        <v>3728</v>
      </c>
      <c r="UMU617" s="17">
        <v>44925</v>
      </c>
      <c r="UMV617" s="5" t="s">
        <v>3728</v>
      </c>
      <c r="UMW617" s="17">
        <v>44925</v>
      </c>
      <c r="UMX617" s="5" t="s">
        <v>3728</v>
      </c>
      <c r="UMY617" s="17">
        <v>44925</v>
      </c>
      <c r="UMZ617" s="5" t="s">
        <v>3728</v>
      </c>
      <c r="UNA617" s="17">
        <v>44925</v>
      </c>
      <c r="UNB617" s="5" t="s">
        <v>3728</v>
      </c>
      <c r="UNC617" s="17">
        <v>44925</v>
      </c>
      <c r="UND617" s="5" t="s">
        <v>3728</v>
      </c>
      <c r="UNE617" s="17">
        <v>44925</v>
      </c>
      <c r="UNF617" s="5" t="s">
        <v>3728</v>
      </c>
      <c r="UNG617" s="17">
        <v>44925</v>
      </c>
      <c r="UNH617" s="5" t="s">
        <v>3728</v>
      </c>
      <c r="UNI617" s="17">
        <v>44925</v>
      </c>
      <c r="UNJ617" s="5" t="s">
        <v>3728</v>
      </c>
      <c r="UNK617" s="17">
        <v>44925</v>
      </c>
      <c r="UNL617" s="5" t="s">
        <v>3728</v>
      </c>
      <c r="UNM617" s="17">
        <v>44925</v>
      </c>
      <c r="UNN617" s="5" t="s">
        <v>3728</v>
      </c>
      <c r="UNO617" s="17">
        <v>44925</v>
      </c>
      <c r="UNP617" s="5" t="s">
        <v>3728</v>
      </c>
      <c r="UNQ617" s="17">
        <v>44925</v>
      </c>
      <c r="UNR617" s="5" t="s">
        <v>3728</v>
      </c>
      <c r="UNS617" s="17">
        <v>44925</v>
      </c>
      <c r="UNT617" s="5" t="s">
        <v>3728</v>
      </c>
      <c r="UNU617" s="17">
        <v>44925</v>
      </c>
      <c r="UNV617" s="5" t="s">
        <v>3728</v>
      </c>
      <c r="UNW617" s="17">
        <v>44925</v>
      </c>
      <c r="UNX617" s="5" t="s">
        <v>3728</v>
      </c>
      <c r="UNY617" s="17">
        <v>44925</v>
      </c>
      <c r="UNZ617" s="5" t="s">
        <v>3728</v>
      </c>
      <c r="UOA617" s="17">
        <v>44925</v>
      </c>
      <c r="UOB617" s="5" t="s">
        <v>3728</v>
      </c>
      <c r="UOC617" s="17">
        <v>44925</v>
      </c>
      <c r="UOD617" s="5" t="s">
        <v>3728</v>
      </c>
      <c r="UOE617" s="17">
        <v>44925</v>
      </c>
      <c r="UOF617" s="5" t="s">
        <v>3728</v>
      </c>
      <c r="UOG617" s="17">
        <v>44925</v>
      </c>
      <c r="UOH617" s="5" t="s">
        <v>3728</v>
      </c>
      <c r="UOI617" s="17">
        <v>44925</v>
      </c>
      <c r="UOJ617" s="5" t="s">
        <v>3728</v>
      </c>
      <c r="UOK617" s="17">
        <v>44925</v>
      </c>
      <c r="UOL617" s="5" t="s">
        <v>3728</v>
      </c>
      <c r="UOM617" s="17">
        <v>44925</v>
      </c>
      <c r="UON617" s="5" t="s">
        <v>3728</v>
      </c>
      <c r="UOO617" s="17">
        <v>44925</v>
      </c>
      <c r="UOP617" s="5" t="s">
        <v>3728</v>
      </c>
      <c r="UOQ617" s="17">
        <v>44925</v>
      </c>
      <c r="UOR617" s="5" t="s">
        <v>3728</v>
      </c>
      <c r="UOS617" s="17">
        <v>44925</v>
      </c>
      <c r="UOT617" s="5" t="s">
        <v>3728</v>
      </c>
      <c r="UOU617" s="17">
        <v>44925</v>
      </c>
      <c r="UOV617" s="5" t="s">
        <v>3728</v>
      </c>
      <c r="UOW617" s="17">
        <v>44925</v>
      </c>
      <c r="UOX617" s="5" t="s">
        <v>3728</v>
      </c>
      <c r="UOY617" s="17">
        <v>44925</v>
      </c>
      <c r="UOZ617" s="5" t="s">
        <v>3728</v>
      </c>
      <c r="UPA617" s="17">
        <v>44925</v>
      </c>
      <c r="UPB617" s="5" t="s">
        <v>3728</v>
      </c>
      <c r="UPC617" s="17">
        <v>44925</v>
      </c>
      <c r="UPD617" s="5" t="s">
        <v>3728</v>
      </c>
      <c r="UPE617" s="17">
        <v>44925</v>
      </c>
      <c r="UPF617" s="5" t="s">
        <v>3728</v>
      </c>
      <c r="UPG617" s="17">
        <v>44925</v>
      </c>
      <c r="UPH617" s="5" t="s">
        <v>3728</v>
      </c>
      <c r="UPI617" s="17">
        <v>44925</v>
      </c>
      <c r="UPJ617" s="5" t="s">
        <v>3728</v>
      </c>
      <c r="UPK617" s="17">
        <v>44925</v>
      </c>
      <c r="UPL617" s="5" t="s">
        <v>3728</v>
      </c>
      <c r="UPM617" s="17">
        <v>44925</v>
      </c>
      <c r="UPN617" s="5" t="s">
        <v>3728</v>
      </c>
      <c r="UPO617" s="17">
        <v>44925</v>
      </c>
      <c r="UPP617" s="5" t="s">
        <v>3728</v>
      </c>
      <c r="UPQ617" s="17">
        <v>44925</v>
      </c>
      <c r="UPR617" s="5" t="s">
        <v>3728</v>
      </c>
      <c r="UPS617" s="17">
        <v>44925</v>
      </c>
      <c r="UPT617" s="5" t="s">
        <v>3728</v>
      </c>
      <c r="UPU617" s="17">
        <v>44925</v>
      </c>
      <c r="UPV617" s="5" t="s">
        <v>3728</v>
      </c>
      <c r="UPW617" s="17">
        <v>44925</v>
      </c>
      <c r="UPX617" s="5" t="s">
        <v>3728</v>
      </c>
      <c r="UPY617" s="17">
        <v>44925</v>
      </c>
      <c r="UPZ617" s="5" t="s">
        <v>3728</v>
      </c>
      <c r="UQA617" s="17">
        <v>44925</v>
      </c>
      <c r="UQB617" s="5" t="s">
        <v>3728</v>
      </c>
      <c r="UQC617" s="17">
        <v>44925</v>
      </c>
      <c r="UQD617" s="5" t="s">
        <v>3728</v>
      </c>
      <c r="UQE617" s="17">
        <v>44925</v>
      </c>
      <c r="UQF617" s="5" t="s">
        <v>3728</v>
      </c>
      <c r="UQG617" s="17">
        <v>44925</v>
      </c>
      <c r="UQH617" s="5" t="s">
        <v>3728</v>
      </c>
      <c r="UQI617" s="17">
        <v>44925</v>
      </c>
      <c r="UQJ617" s="5" t="s">
        <v>3728</v>
      </c>
      <c r="UQK617" s="17">
        <v>44925</v>
      </c>
      <c r="UQL617" s="5" t="s">
        <v>3728</v>
      </c>
      <c r="UQM617" s="17">
        <v>44925</v>
      </c>
      <c r="UQN617" s="5" t="s">
        <v>3728</v>
      </c>
      <c r="UQO617" s="17">
        <v>44925</v>
      </c>
      <c r="UQP617" s="5" t="s">
        <v>3728</v>
      </c>
      <c r="UQQ617" s="17">
        <v>44925</v>
      </c>
      <c r="UQR617" s="5" t="s">
        <v>3728</v>
      </c>
      <c r="UQS617" s="17">
        <v>44925</v>
      </c>
      <c r="UQT617" s="5" t="s">
        <v>3728</v>
      </c>
      <c r="UQU617" s="17">
        <v>44925</v>
      </c>
      <c r="UQV617" s="5" t="s">
        <v>3728</v>
      </c>
      <c r="UQW617" s="17">
        <v>44925</v>
      </c>
      <c r="UQX617" s="5" t="s">
        <v>3728</v>
      </c>
      <c r="UQY617" s="17">
        <v>44925</v>
      </c>
      <c r="UQZ617" s="5" t="s">
        <v>3728</v>
      </c>
      <c r="URA617" s="17">
        <v>44925</v>
      </c>
      <c r="URB617" s="5" t="s">
        <v>3728</v>
      </c>
      <c r="URC617" s="17">
        <v>44925</v>
      </c>
      <c r="URD617" s="5" t="s">
        <v>3728</v>
      </c>
      <c r="URE617" s="17">
        <v>44925</v>
      </c>
      <c r="URF617" s="5" t="s">
        <v>3728</v>
      </c>
      <c r="URG617" s="17">
        <v>44925</v>
      </c>
      <c r="URH617" s="5" t="s">
        <v>3728</v>
      </c>
      <c r="URI617" s="17">
        <v>44925</v>
      </c>
      <c r="URJ617" s="5" t="s">
        <v>3728</v>
      </c>
      <c r="URK617" s="17">
        <v>44925</v>
      </c>
      <c r="URL617" s="5" t="s">
        <v>3728</v>
      </c>
      <c r="URM617" s="17">
        <v>44925</v>
      </c>
      <c r="URN617" s="5" t="s">
        <v>3728</v>
      </c>
      <c r="URO617" s="17">
        <v>44925</v>
      </c>
      <c r="URP617" s="5" t="s">
        <v>3728</v>
      </c>
      <c r="URQ617" s="17">
        <v>44925</v>
      </c>
      <c r="URR617" s="5" t="s">
        <v>3728</v>
      </c>
      <c r="URS617" s="17">
        <v>44925</v>
      </c>
      <c r="URT617" s="5" t="s">
        <v>3728</v>
      </c>
      <c r="URU617" s="17">
        <v>44925</v>
      </c>
      <c r="URV617" s="5" t="s">
        <v>3728</v>
      </c>
      <c r="URW617" s="17">
        <v>44925</v>
      </c>
      <c r="URX617" s="5" t="s">
        <v>3728</v>
      </c>
      <c r="URY617" s="17">
        <v>44925</v>
      </c>
      <c r="URZ617" s="5" t="s">
        <v>3728</v>
      </c>
      <c r="USA617" s="17">
        <v>44925</v>
      </c>
      <c r="USB617" s="5" t="s">
        <v>3728</v>
      </c>
      <c r="USC617" s="17">
        <v>44925</v>
      </c>
      <c r="USD617" s="5" t="s">
        <v>3728</v>
      </c>
      <c r="USE617" s="17">
        <v>44925</v>
      </c>
      <c r="USF617" s="5" t="s">
        <v>3728</v>
      </c>
      <c r="USG617" s="17">
        <v>44925</v>
      </c>
      <c r="USH617" s="5" t="s">
        <v>3728</v>
      </c>
      <c r="USI617" s="17">
        <v>44925</v>
      </c>
      <c r="USJ617" s="5" t="s">
        <v>3728</v>
      </c>
      <c r="USK617" s="17">
        <v>44925</v>
      </c>
      <c r="USL617" s="5" t="s">
        <v>3728</v>
      </c>
      <c r="USM617" s="17">
        <v>44925</v>
      </c>
      <c r="USN617" s="5" t="s">
        <v>3728</v>
      </c>
      <c r="USO617" s="17">
        <v>44925</v>
      </c>
      <c r="USP617" s="5" t="s">
        <v>3728</v>
      </c>
      <c r="USQ617" s="17">
        <v>44925</v>
      </c>
      <c r="USR617" s="5" t="s">
        <v>3728</v>
      </c>
      <c r="USS617" s="17">
        <v>44925</v>
      </c>
      <c r="UST617" s="5" t="s">
        <v>3728</v>
      </c>
      <c r="USU617" s="17">
        <v>44925</v>
      </c>
      <c r="USV617" s="5" t="s">
        <v>3728</v>
      </c>
      <c r="USW617" s="17">
        <v>44925</v>
      </c>
      <c r="USX617" s="5" t="s">
        <v>3728</v>
      </c>
      <c r="USY617" s="17">
        <v>44925</v>
      </c>
      <c r="USZ617" s="5" t="s">
        <v>3728</v>
      </c>
      <c r="UTA617" s="17">
        <v>44925</v>
      </c>
      <c r="UTB617" s="5" t="s">
        <v>3728</v>
      </c>
      <c r="UTC617" s="17">
        <v>44925</v>
      </c>
      <c r="UTD617" s="5" t="s">
        <v>3728</v>
      </c>
      <c r="UTE617" s="17">
        <v>44925</v>
      </c>
      <c r="UTF617" s="5" t="s">
        <v>3728</v>
      </c>
      <c r="UTG617" s="17">
        <v>44925</v>
      </c>
      <c r="UTH617" s="5" t="s">
        <v>3728</v>
      </c>
      <c r="UTI617" s="17">
        <v>44925</v>
      </c>
      <c r="UTJ617" s="5" t="s">
        <v>3728</v>
      </c>
      <c r="UTK617" s="17">
        <v>44925</v>
      </c>
      <c r="UTL617" s="5" t="s">
        <v>3728</v>
      </c>
      <c r="UTM617" s="17">
        <v>44925</v>
      </c>
      <c r="UTN617" s="5" t="s">
        <v>3728</v>
      </c>
      <c r="UTO617" s="17">
        <v>44925</v>
      </c>
      <c r="UTP617" s="5" t="s">
        <v>3728</v>
      </c>
      <c r="UTQ617" s="17">
        <v>44925</v>
      </c>
      <c r="UTR617" s="5" t="s">
        <v>3728</v>
      </c>
      <c r="UTS617" s="17">
        <v>44925</v>
      </c>
      <c r="UTT617" s="5" t="s">
        <v>3728</v>
      </c>
      <c r="UTU617" s="17">
        <v>44925</v>
      </c>
      <c r="UTV617" s="5" t="s">
        <v>3728</v>
      </c>
      <c r="UTW617" s="17">
        <v>44925</v>
      </c>
      <c r="UTX617" s="5" t="s">
        <v>3728</v>
      </c>
      <c r="UTY617" s="17">
        <v>44925</v>
      </c>
      <c r="UTZ617" s="5" t="s">
        <v>3728</v>
      </c>
      <c r="UUA617" s="17">
        <v>44925</v>
      </c>
      <c r="UUB617" s="5" t="s">
        <v>3728</v>
      </c>
      <c r="UUC617" s="17">
        <v>44925</v>
      </c>
      <c r="UUD617" s="5" t="s">
        <v>3728</v>
      </c>
      <c r="UUE617" s="17">
        <v>44925</v>
      </c>
      <c r="UUF617" s="5" t="s">
        <v>3728</v>
      </c>
      <c r="UUG617" s="17">
        <v>44925</v>
      </c>
      <c r="UUH617" s="5" t="s">
        <v>3728</v>
      </c>
      <c r="UUI617" s="17">
        <v>44925</v>
      </c>
      <c r="UUJ617" s="5" t="s">
        <v>3728</v>
      </c>
      <c r="UUK617" s="17">
        <v>44925</v>
      </c>
      <c r="UUL617" s="5" t="s">
        <v>3728</v>
      </c>
      <c r="UUM617" s="17">
        <v>44925</v>
      </c>
      <c r="UUN617" s="5" t="s">
        <v>3728</v>
      </c>
      <c r="UUO617" s="17">
        <v>44925</v>
      </c>
      <c r="UUP617" s="5" t="s">
        <v>3728</v>
      </c>
      <c r="UUQ617" s="17">
        <v>44925</v>
      </c>
      <c r="UUR617" s="5" t="s">
        <v>3728</v>
      </c>
      <c r="UUS617" s="17">
        <v>44925</v>
      </c>
      <c r="UUT617" s="5" t="s">
        <v>3728</v>
      </c>
      <c r="UUU617" s="17">
        <v>44925</v>
      </c>
      <c r="UUV617" s="5" t="s">
        <v>3728</v>
      </c>
      <c r="UUW617" s="17">
        <v>44925</v>
      </c>
      <c r="UUX617" s="5" t="s">
        <v>3728</v>
      </c>
      <c r="UUY617" s="17">
        <v>44925</v>
      </c>
      <c r="UUZ617" s="5" t="s">
        <v>3728</v>
      </c>
      <c r="UVA617" s="17">
        <v>44925</v>
      </c>
      <c r="UVB617" s="5" t="s">
        <v>3728</v>
      </c>
      <c r="UVC617" s="17">
        <v>44925</v>
      </c>
      <c r="UVD617" s="5" t="s">
        <v>3728</v>
      </c>
      <c r="UVE617" s="17">
        <v>44925</v>
      </c>
      <c r="UVF617" s="5" t="s">
        <v>3728</v>
      </c>
      <c r="UVG617" s="17">
        <v>44925</v>
      </c>
      <c r="UVH617" s="5" t="s">
        <v>3728</v>
      </c>
      <c r="UVI617" s="17">
        <v>44925</v>
      </c>
      <c r="UVJ617" s="5" t="s">
        <v>3728</v>
      </c>
      <c r="UVK617" s="17">
        <v>44925</v>
      </c>
      <c r="UVL617" s="5" t="s">
        <v>3728</v>
      </c>
      <c r="UVM617" s="17">
        <v>44925</v>
      </c>
      <c r="UVN617" s="5" t="s">
        <v>3728</v>
      </c>
      <c r="UVO617" s="17">
        <v>44925</v>
      </c>
      <c r="UVP617" s="5" t="s">
        <v>3728</v>
      </c>
      <c r="UVQ617" s="17">
        <v>44925</v>
      </c>
      <c r="UVR617" s="5" t="s">
        <v>3728</v>
      </c>
      <c r="UVS617" s="17">
        <v>44925</v>
      </c>
      <c r="UVT617" s="5" t="s">
        <v>3728</v>
      </c>
      <c r="UVU617" s="17">
        <v>44925</v>
      </c>
      <c r="UVV617" s="5" t="s">
        <v>3728</v>
      </c>
      <c r="UVW617" s="17">
        <v>44925</v>
      </c>
      <c r="UVX617" s="5" t="s">
        <v>3728</v>
      </c>
      <c r="UVY617" s="17">
        <v>44925</v>
      </c>
      <c r="UVZ617" s="5" t="s">
        <v>3728</v>
      </c>
      <c r="UWA617" s="17">
        <v>44925</v>
      </c>
      <c r="UWB617" s="5" t="s">
        <v>3728</v>
      </c>
      <c r="UWC617" s="17">
        <v>44925</v>
      </c>
      <c r="UWD617" s="5" t="s">
        <v>3728</v>
      </c>
      <c r="UWE617" s="17">
        <v>44925</v>
      </c>
      <c r="UWF617" s="5" t="s">
        <v>3728</v>
      </c>
      <c r="UWG617" s="17">
        <v>44925</v>
      </c>
      <c r="UWH617" s="5" t="s">
        <v>3728</v>
      </c>
      <c r="UWI617" s="17">
        <v>44925</v>
      </c>
      <c r="UWJ617" s="5" t="s">
        <v>3728</v>
      </c>
      <c r="UWK617" s="17">
        <v>44925</v>
      </c>
      <c r="UWL617" s="5" t="s">
        <v>3728</v>
      </c>
      <c r="UWM617" s="17">
        <v>44925</v>
      </c>
      <c r="UWN617" s="5" t="s">
        <v>3728</v>
      </c>
      <c r="UWO617" s="17">
        <v>44925</v>
      </c>
      <c r="UWP617" s="5" t="s">
        <v>3728</v>
      </c>
      <c r="UWQ617" s="17">
        <v>44925</v>
      </c>
      <c r="UWR617" s="5" t="s">
        <v>3728</v>
      </c>
      <c r="UWS617" s="17">
        <v>44925</v>
      </c>
      <c r="UWT617" s="5" t="s">
        <v>3728</v>
      </c>
      <c r="UWU617" s="17">
        <v>44925</v>
      </c>
      <c r="UWV617" s="5" t="s">
        <v>3728</v>
      </c>
      <c r="UWW617" s="17">
        <v>44925</v>
      </c>
      <c r="UWX617" s="5" t="s">
        <v>3728</v>
      </c>
      <c r="UWY617" s="17">
        <v>44925</v>
      </c>
      <c r="UWZ617" s="5" t="s">
        <v>3728</v>
      </c>
      <c r="UXA617" s="17">
        <v>44925</v>
      </c>
      <c r="UXB617" s="5" t="s">
        <v>3728</v>
      </c>
      <c r="UXC617" s="17">
        <v>44925</v>
      </c>
      <c r="UXD617" s="5" t="s">
        <v>3728</v>
      </c>
      <c r="UXE617" s="17">
        <v>44925</v>
      </c>
      <c r="UXF617" s="5" t="s">
        <v>3728</v>
      </c>
      <c r="UXG617" s="17">
        <v>44925</v>
      </c>
      <c r="UXH617" s="5" t="s">
        <v>3728</v>
      </c>
      <c r="UXI617" s="17">
        <v>44925</v>
      </c>
      <c r="UXJ617" s="5" t="s">
        <v>3728</v>
      </c>
      <c r="UXK617" s="17">
        <v>44925</v>
      </c>
      <c r="UXL617" s="5" t="s">
        <v>3728</v>
      </c>
      <c r="UXM617" s="17">
        <v>44925</v>
      </c>
      <c r="UXN617" s="5" t="s">
        <v>3728</v>
      </c>
      <c r="UXO617" s="17">
        <v>44925</v>
      </c>
      <c r="UXP617" s="5" t="s">
        <v>3728</v>
      </c>
      <c r="UXQ617" s="17">
        <v>44925</v>
      </c>
      <c r="UXR617" s="5" t="s">
        <v>3728</v>
      </c>
      <c r="UXS617" s="17">
        <v>44925</v>
      </c>
      <c r="UXT617" s="5" t="s">
        <v>3728</v>
      </c>
      <c r="UXU617" s="17">
        <v>44925</v>
      </c>
      <c r="UXV617" s="5" t="s">
        <v>3728</v>
      </c>
      <c r="UXW617" s="17">
        <v>44925</v>
      </c>
      <c r="UXX617" s="5" t="s">
        <v>3728</v>
      </c>
      <c r="UXY617" s="17">
        <v>44925</v>
      </c>
      <c r="UXZ617" s="5" t="s">
        <v>3728</v>
      </c>
      <c r="UYA617" s="17">
        <v>44925</v>
      </c>
      <c r="UYB617" s="5" t="s">
        <v>3728</v>
      </c>
      <c r="UYC617" s="17">
        <v>44925</v>
      </c>
      <c r="UYD617" s="5" t="s">
        <v>3728</v>
      </c>
      <c r="UYE617" s="17">
        <v>44925</v>
      </c>
      <c r="UYF617" s="5" t="s">
        <v>3728</v>
      </c>
      <c r="UYG617" s="17">
        <v>44925</v>
      </c>
      <c r="UYH617" s="5" t="s">
        <v>3728</v>
      </c>
      <c r="UYI617" s="17">
        <v>44925</v>
      </c>
      <c r="UYJ617" s="5" t="s">
        <v>3728</v>
      </c>
      <c r="UYK617" s="17">
        <v>44925</v>
      </c>
      <c r="UYL617" s="5" t="s">
        <v>3728</v>
      </c>
      <c r="UYM617" s="17">
        <v>44925</v>
      </c>
      <c r="UYN617" s="5" t="s">
        <v>3728</v>
      </c>
      <c r="UYO617" s="17">
        <v>44925</v>
      </c>
      <c r="UYP617" s="5" t="s">
        <v>3728</v>
      </c>
      <c r="UYQ617" s="17">
        <v>44925</v>
      </c>
      <c r="UYR617" s="5" t="s">
        <v>3728</v>
      </c>
      <c r="UYS617" s="17">
        <v>44925</v>
      </c>
      <c r="UYT617" s="5" t="s">
        <v>3728</v>
      </c>
      <c r="UYU617" s="17">
        <v>44925</v>
      </c>
      <c r="UYV617" s="5" t="s">
        <v>3728</v>
      </c>
      <c r="UYW617" s="17">
        <v>44925</v>
      </c>
      <c r="UYX617" s="5" t="s">
        <v>3728</v>
      </c>
      <c r="UYY617" s="17">
        <v>44925</v>
      </c>
      <c r="UYZ617" s="5" t="s">
        <v>3728</v>
      </c>
      <c r="UZA617" s="17">
        <v>44925</v>
      </c>
      <c r="UZB617" s="5" t="s">
        <v>3728</v>
      </c>
      <c r="UZC617" s="17">
        <v>44925</v>
      </c>
      <c r="UZD617" s="5" t="s">
        <v>3728</v>
      </c>
      <c r="UZE617" s="17">
        <v>44925</v>
      </c>
      <c r="UZF617" s="5" t="s">
        <v>3728</v>
      </c>
      <c r="UZG617" s="17">
        <v>44925</v>
      </c>
      <c r="UZH617" s="5" t="s">
        <v>3728</v>
      </c>
      <c r="UZI617" s="17">
        <v>44925</v>
      </c>
      <c r="UZJ617" s="5" t="s">
        <v>3728</v>
      </c>
      <c r="UZK617" s="17">
        <v>44925</v>
      </c>
      <c r="UZL617" s="5" t="s">
        <v>3728</v>
      </c>
      <c r="UZM617" s="17">
        <v>44925</v>
      </c>
      <c r="UZN617" s="5" t="s">
        <v>3728</v>
      </c>
      <c r="UZO617" s="17">
        <v>44925</v>
      </c>
      <c r="UZP617" s="5" t="s">
        <v>3728</v>
      </c>
      <c r="UZQ617" s="17">
        <v>44925</v>
      </c>
      <c r="UZR617" s="5" t="s">
        <v>3728</v>
      </c>
      <c r="UZS617" s="17">
        <v>44925</v>
      </c>
      <c r="UZT617" s="5" t="s">
        <v>3728</v>
      </c>
      <c r="UZU617" s="17">
        <v>44925</v>
      </c>
      <c r="UZV617" s="5" t="s">
        <v>3728</v>
      </c>
      <c r="UZW617" s="17">
        <v>44925</v>
      </c>
      <c r="UZX617" s="5" t="s">
        <v>3728</v>
      </c>
      <c r="UZY617" s="17">
        <v>44925</v>
      </c>
      <c r="UZZ617" s="5" t="s">
        <v>3728</v>
      </c>
      <c r="VAA617" s="17">
        <v>44925</v>
      </c>
      <c r="VAB617" s="5" t="s">
        <v>3728</v>
      </c>
      <c r="VAC617" s="17">
        <v>44925</v>
      </c>
      <c r="VAD617" s="5" t="s">
        <v>3728</v>
      </c>
      <c r="VAE617" s="17">
        <v>44925</v>
      </c>
      <c r="VAF617" s="5" t="s">
        <v>3728</v>
      </c>
      <c r="VAG617" s="17">
        <v>44925</v>
      </c>
      <c r="VAH617" s="5" t="s">
        <v>3728</v>
      </c>
      <c r="VAI617" s="17">
        <v>44925</v>
      </c>
      <c r="VAJ617" s="5" t="s">
        <v>3728</v>
      </c>
      <c r="VAK617" s="17">
        <v>44925</v>
      </c>
      <c r="VAL617" s="5" t="s">
        <v>3728</v>
      </c>
      <c r="VAM617" s="17">
        <v>44925</v>
      </c>
      <c r="VAN617" s="5" t="s">
        <v>3728</v>
      </c>
      <c r="VAO617" s="17">
        <v>44925</v>
      </c>
      <c r="VAP617" s="5" t="s">
        <v>3728</v>
      </c>
      <c r="VAQ617" s="17">
        <v>44925</v>
      </c>
      <c r="VAR617" s="5" t="s">
        <v>3728</v>
      </c>
      <c r="VAS617" s="17">
        <v>44925</v>
      </c>
      <c r="VAT617" s="5" t="s">
        <v>3728</v>
      </c>
      <c r="VAU617" s="17">
        <v>44925</v>
      </c>
      <c r="VAV617" s="5" t="s">
        <v>3728</v>
      </c>
      <c r="VAW617" s="17">
        <v>44925</v>
      </c>
      <c r="VAX617" s="5" t="s">
        <v>3728</v>
      </c>
      <c r="VAY617" s="17">
        <v>44925</v>
      </c>
      <c r="VAZ617" s="5" t="s">
        <v>3728</v>
      </c>
      <c r="VBA617" s="17">
        <v>44925</v>
      </c>
      <c r="VBB617" s="5" t="s">
        <v>3728</v>
      </c>
      <c r="VBC617" s="17">
        <v>44925</v>
      </c>
      <c r="VBD617" s="5" t="s">
        <v>3728</v>
      </c>
      <c r="VBE617" s="17">
        <v>44925</v>
      </c>
      <c r="VBF617" s="5" t="s">
        <v>3728</v>
      </c>
      <c r="VBG617" s="17">
        <v>44925</v>
      </c>
      <c r="VBH617" s="5" t="s">
        <v>3728</v>
      </c>
      <c r="VBI617" s="17">
        <v>44925</v>
      </c>
      <c r="VBJ617" s="5" t="s">
        <v>3728</v>
      </c>
      <c r="VBK617" s="17">
        <v>44925</v>
      </c>
      <c r="VBL617" s="5" t="s">
        <v>3728</v>
      </c>
      <c r="VBM617" s="17">
        <v>44925</v>
      </c>
      <c r="VBN617" s="5" t="s">
        <v>3728</v>
      </c>
      <c r="VBO617" s="17">
        <v>44925</v>
      </c>
      <c r="VBP617" s="5" t="s">
        <v>3728</v>
      </c>
      <c r="VBQ617" s="17">
        <v>44925</v>
      </c>
      <c r="VBR617" s="5" t="s">
        <v>3728</v>
      </c>
      <c r="VBS617" s="17">
        <v>44925</v>
      </c>
      <c r="VBT617" s="5" t="s">
        <v>3728</v>
      </c>
      <c r="VBU617" s="17">
        <v>44925</v>
      </c>
      <c r="VBV617" s="5" t="s">
        <v>3728</v>
      </c>
      <c r="VBW617" s="17">
        <v>44925</v>
      </c>
      <c r="VBX617" s="5" t="s">
        <v>3728</v>
      </c>
      <c r="VBY617" s="17">
        <v>44925</v>
      </c>
      <c r="VBZ617" s="5" t="s">
        <v>3728</v>
      </c>
      <c r="VCA617" s="17">
        <v>44925</v>
      </c>
      <c r="VCB617" s="5" t="s">
        <v>3728</v>
      </c>
      <c r="VCC617" s="17">
        <v>44925</v>
      </c>
      <c r="VCD617" s="5" t="s">
        <v>3728</v>
      </c>
      <c r="VCE617" s="17">
        <v>44925</v>
      </c>
      <c r="VCF617" s="5" t="s">
        <v>3728</v>
      </c>
      <c r="VCG617" s="17">
        <v>44925</v>
      </c>
      <c r="VCH617" s="5" t="s">
        <v>3728</v>
      </c>
      <c r="VCI617" s="17">
        <v>44925</v>
      </c>
      <c r="VCJ617" s="5" t="s">
        <v>3728</v>
      </c>
      <c r="VCK617" s="17">
        <v>44925</v>
      </c>
      <c r="VCL617" s="5" t="s">
        <v>3728</v>
      </c>
      <c r="VCM617" s="17">
        <v>44925</v>
      </c>
      <c r="VCN617" s="5" t="s">
        <v>3728</v>
      </c>
      <c r="VCO617" s="17">
        <v>44925</v>
      </c>
      <c r="VCP617" s="5" t="s">
        <v>3728</v>
      </c>
      <c r="VCQ617" s="17">
        <v>44925</v>
      </c>
      <c r="VCR617" s="5" t="s">
        <v>3728</v>
      </c>
      <c r="VCS617" s="17">
        <v>44925</v>
      </c>
      <c r="VCT617" s="5" t="s">
        <v>3728</v>
      </c>
      <c r="VCU617" s="17">
        <v>44925</v>
      </c>
      <c r="VCV617" s="5" t="s">
        <v>3728</v>
      </c>
      <c r="VCW617" s="17">
        <v>44925</v>
      </c>
      <c r="VCX617" s="5" t="s">
        <v>3728</v>
      </c>
      <c r="VCY617" s="17">
        <v>44925</v>
      </c>
      <c r="VCZ617" s="5" t="s">
        <v>3728</v>
      </c>
      <c r="VDA617" s="17">
        <v>44925</v>
      </c>
      <c r="VDB617" s="5" t="s">
        <v>3728</v>
      </c>
      <c r="VDC617" s="17">
        <v>44925</v>
      </c>
      <c r="VDD617" s="5" t="s">
        <v>3728</v>
      </c>
      <c r="VDE617" s="17">
        <v>44925</v>
      </c>
      <c r="VDF617" s="5" t="s">
        <v>3728</v>
      </c>
      <c r="VDG617" s="17">
        <v>44925</v>
      </c>
      <c r="VDH617" s="5" t="s">
        <v>3728</v>
      </c>
      <c r="VDI617" s="17">
        <v>44925</v>
      </c>
      <c r="VDJ617" s="5" t="s">
        <v>3728</v>
      </c>
      <c r="VDK617" s="17">
        <v>44925</v>
      </c>
      <c r="VDL617" s="5" t="s">
        <v>3728</v>
      </c>
      <c r="VDM617" s="17">
        <v>44925</v>
      </c>
      <c r="VDN617" s="5" t="s">
        <v>3728</v>
      </c>
      <c r="VDO617" s="17">
        <v>44925</v>
      </c>
      <c r="VDP617" s="5" t="s">
        <v>3728</v>
      </c>
      <c r="VDQ617" s="17">
        <v>44925</v>
      </c>
      <c r="VDR617" s="5" t="s">
        <v>3728</v>
      </c>
      <c r="VDS617" s="17">
        <v>44925</v>
      </c>
      <c r="VDT617" s="5" t="s">
        <v>3728</v>
      </c>
      <c r="VDU617" s="17">
        <v>44925</v>
      </c>
      <c r="VDV617" s="5" t="s">
        <v>3728</v>
      </c>
      <c r="VDW617" s="17">
        <v>44925</v>
      </c>
      <c r="VDX617" s="5" t="s">
        <v>3728</v>
      </c>
      <c r="VDY617" s="17">
        <v>44925</v>
      </c>
      <c r="VDZ617" s="5" t="s">
        <v>3728</v>
      </c>
      <c r="VEA617" s="17">
        <v>44925</v>
      </c>
      <c r="VEB617" s="5" t="s">
        <v>3728</v>
      </c>
      <c r="VEC617" s="17">
        <v>44925</v>
      </c>
      <c r="VED617" s="5" t="s">
        <v>3728</v>
      </c>
      <c r="VEE617" s="17">
        <v>44925</v>
      </c>
      <c r="VEF617" s="5" t="s">
        <v>3728</v>
      </c>
      <c r="VEG617" s="17">
        <v>44925</v>
      </c>
      <c r="VEH617" s="5" t="s">
        <v>3728</v>
      </c>
      <c r="VEI617" s="17">
        <v>44925</v>
      </c>
      <c r="VEJ617" s="5" t="s">
        <v>3728</v>
      </c>
      <c r="VEK617" s="17">
        <v>44925</v>
      </c>
      <c r="VEL617" s="5" t="s">
        <v>3728</v>
      </c>
      <c r="VEM617" s="17">
        <v>44925</v>
      </c>
      <c r="VEN617" s="5" t="s">
        <v>3728</v>
      </c>
      <c r="VEO617" s="17">
        <v>44925</v>
      </c>
      <c r="VEP617" s="5" t="s">
        <v>3728</v>
      </c>
      <c r="VEQ617" s="17">
        <v>44925</v>
      </c>
      <c r="VER617" s="5" t="s">
        <v>3728</v>
      </c>
      <c r="VES617" s="17">
        <v>44925</v>
      </c>
      <c r="VET617" s="5" t="s">
        <v>3728</v>
      </c>
      <c r="VEU617" s="17">
        <v>44925</v>
      </c>
      <c r="VEV617" s="5" t="s">
        <v>3728</v>
      </c>
      <c r="VEW617" s="17">
        <v>44925</v>
      </c>
      <c r="VEX617" s="5" t="s">
        <v>3728</v>
      </c>
      <c r="VEY617" s="17">
        <v>44925</v>
      </c>
      <c r="VEZ617" s="5" t="s">
        <v>3728</v>
      </c>
      <c r="VFA617" s="17">
        <v>44925</v>
      </c>
      <c r="VFB617" s="5" t="s">
        <v>3728</v>
      </c>
      <c r="VFC617" s="17">
        <v>44925</v>
      </c>
      <c r="VFD617" s="5" t="s">
        <v>3728</v>
      </c>
      <c r="VFE617" s="17">
        <v>44925</v>
      </c>
      <c r="VFF617" s="5" t="s">
        <v>3728</v>
      </c>
      <c r="VFG617" s="17">
        <v>44925</v>
      </c>
      <c r="VFH617" s="5" t="s">
        <v>3728</v>
      </c>
      <c r="VFI617" s="17">
        <v>44925</v>
      </c>
      <c r="VFJ617" s="5" t="s">
        <v>3728</v>
      </c>
      <c r="VFK617" s="17">
        <v>44925</v>
      </c>
      <c r="VFL617" s="5" t="s">
        <v>3728</v>
      </c>
      <c r="VFM617" s="17">
        <v>44925</v>
      </c>
      <c r="VFN617" s="5" t="s">
        <v>3728</v>
      </c>
      <c r="VFO617" s="17">
        <v>44925</v>
      </c>
      <c r="VFP617" s="5" t="s">
        <v>3728</v>
      </c>
      <c r="VFQ617" s="17">
        <v>44925</v>
      </c>
      <c r="VFR617" s="5" t="s">
        <v>3728</v>
      </c>
      <c r="VFS617" s="17">
        <v>44925</v>
      </c>
      <c r="VFT617" s="5" t="s">
        <v>3728</v>
      </c>
      <c r="VFU617" s="17">
        <v>44925</v>
      </c>
      <c r="VFV617" s="5" t="s">
        <v>3728</v>
      </c>
      <c r="VFW617" s="17">
        <v>44925</v>
      </c>
      <c r="VFX617" s="5" t="s">
        <v>3728</v>
      </c>
      <c r="VFY617" s="17">
        <v>44925</v>
      </c>
      <c r="VFZ617" s="5" t="s">
        <v>3728</v>
      </c>
      <c r="VGA617" s="17">
        <v>44925</v>
      </c>
      <c r="VGB617" s="5" t="s">
        <v>3728</v>
      </c>
      <c r="VGC617" s="17">
        <v>44925</v>
      </c>
      <c r="VGD617" s="5" t="s">
        <v>3728</v>
      </c>
      <c r="VGE617" s="17">
        <v>44925</v>
      </c>
      <c r="VGF617" s="5" t="s">
        <v>3728</v>
      </c>
      <c r="VGG617" s="17">
        <v>44925</v>
      </c>
      <c r="VGH617" s="5" t="s">
        <v>3728</v>
      </c>
      <c r="VGI617" s="17">
        <v>44925</v>
      </c>
      <c r="VGJ617" s="5" t="s">
        <v>3728</v>
      </c>
      <c r="VGK617" s="17">
        <v>44925</v>
      </c>
      <c r="VGL617" s="5" t="s">
        <v>3728</v>
      </c>
      <c r="VGM617" s="17">
        <v>44925</v>
      </c>
      <c r="VGN617" s="5" t="s">
        <v>3728</v>
      </c>
      <c r="VGO617" s="17">
        <v>44925</v>
      </c>
      <c r="VGP617" s="5" t="s">
        <v>3728</v>
      </c>
      <c r="VGQ617" s="17">
        <v>44925</v>
      </c>
      <c r="VGR617" s="5" t="s">
        <v>3728</v>
      </c>
      <c r="VGS617" s="17">
        <v>44925</v>
      </c>
      <c r="VGT617" s="5" t="s">
        <v>3728</v>
      </c>
      <c r="VGU617" s="17">
        <v>44925</v>
      </c>
      <c r="VGV617" s="5" t="s">
        <v>3728</v>
      </c>
      <c r="VGW617" s="17">
        <v>44925</v>
      </c>
      <c r="VGX617" s="5" t="s">
        <v>3728</v>
      </c>
      <c r="VGY617" s="17">
        <v>44925</v>
      </c>
      <c r="VGZ617" s="5" t="s">
        <v>3728</v>
      </c>
      <c r="VHA617" s="17">
        <v>44925</v>
      </c>
      <c r="VHB617" s="5" t="s">
        <v>3728</v>
      </c>
      <c r="VHC617" s="17">
        <v>44925</v>
      </c>
      <c r="VHD617" s="5" t="s">
        <v>3728</v>
      </c>
      <c r="VHE617" s="17">
        <v>44925</v>
      </c>
      <c r="VHF617" s="5" t="s">
        <v>3728</v>
      </c>
      <c r="VHG617" s="17">
        <v>44925</v>
      </c>
      <c r="VHH617" s="5" t="s">
        <v>3728</v>
      </c>
      <c r="VHI617" s="17">
        <v>44925</v>
      </c>
      <c r="VHJ617" s="5" t="s">
        <v>3728</v>
      </c>
      <c r="VHK617" s="17">
        <v>44925</v>
      </c>
      <c r="VHL617" s="5" t="s">
        <v>3728</v>
      </c>
      <c r="VHM617" s="17">
        <v>44925</v>
      </c>
      <c r="VHN617" s="5" t="s">
        <v>3728</v>
      </c>
      <c r="VHO617" s="17">
        <v>44925</v>
      </c>
      <c r="VHP617" s="5" t="s">
        <v>3728</v>
      </c>
      <c r="VHQ617" s="17">
        <v>44925</v>
      </c>
      <c r="VHR617" s="5" t="s">
        <v>3728</v>
      </c>
      <c r="VHS617" s="17">
        <v>44925</v>
      </c>
      <c r="VHT617" s="5" t="s">
        <v>3728</v>
      </c>
      <c r="VHU617" s="17">
        <v>44925</v>
      </c>
      <c r="VHV617" s="5" t="s">
        <v>3728</v>
      </c>
      <c r="VHW617" s="17">
        <v>44925</v>
      </c>
      <c r="VHX617" s="5" t="s">
        <v>3728</v>
      </c>
      <c r="VHY617" s="17">
        <v>44925</v>
      </c>
      <c r="VHZ617" s="5" t="s">
        <v>3728</v>
      </c>
      <c r="VIA617" s="17">
        <v>44925</v>
      </c>
      <c r="VIB617" s="5" t="s">
        <v>3728</v>
      </c>
      <c r="VIC617" s="17">
        <v>44925</v>
      </c>
      <c r="VID617" s="5" t="s">
        <v>3728</v>
      </c>
      <c r="VIE617" s="17">
        <v>44925</v>
      </c>
      <c r="VIF617" s="5" t="s">
        <v>3728</v>
      </c>
      <c r="VIG617" s="17">
        <v>44925</v>
      </c>
      <c r="VIH617" s="5" t="s">
        <v>3728</v>
      </c>
      <c r="VII617" s="17">
        <v>44925</v>
      </c>
      <c r="VIJ617" s="5" t="s">
        <v>3728</v>
      </c>
      <c r="VIK617" s="17">
        <v>44925</v>
      </c>
      <c r="VIL617" s="5" t="s">
        <v>3728</v>
      </c>
      <c r="VIM617" s="17">
        <v>44925</v>
      </c>
      <c r="VIN617" s="5" t="s">
        <v>3728</v>
      </c>
      <c r="VIO617" s="17">
        <v>44925</v>
      </c>
      <c r="VIP617" s="5" t="s">
        <v>3728</v>
      </c>
      <c r="VIQ617" s="17">
        <v>44925</v>
      </c>
      <c r="VIR617" s="5" t="s">
        <v>3728</v>
      </c>
      <c r="VIS617" s="17">
        <v>44925</v>
      </c>
      <c r="VIT617" s="5" t="s">
        <v>3728</v>
      </c>
      <c r="VIU617" s="17">
        <v>44925</v>
      </c>
      <c r="VIV617" s="5" t="s">
        <v>3728</v>
      </c>
      <c r="VIW617" s="17">
        <v>44925</v>
      </c>
      <c r="VIX617" s="5" t="s">
        <v>3728</v>
      </c>
      <c r="VIY617" s="17">
        <v>44925</v>
      </c>
      <c r="VIZ617" s="5" t="s">
        <v>3728</v>
      </c>
      <c r="VJA617" s="17">
        <v>44925</v>
      </c>
      <c r="VJB617" s="5" t="s">
        <v>3728</v>
      </c>
      <c r="VJC617" s="17">
        <v>44925</v>
      </c>
      <c r="VJD617" s="5" t="s">
        <v>3728</v>
      </c>
      <c r="VJE617" s="17">
        <v>44925</v>
      </c>
      <c r="VJF617" s="5" t="s">
        <v>3728</v>
      </c>
      <c r="VJG617" s="17">
        <v>44925</v>
      </c>
      <c r="VJH617" s="5" t="s">
        <v>3728</v>
      </c>
      <c r="VJI617" s="17">
        <v>44925</v>
      </c>
      <c r="VJJ617" s="5" t="s">
        <v>3728</v>
      </c>
      <c r="VJK617" s="17">
        <v>44925</v>
      </c>
      <c r="VJL617" s="5" t="s">
        <v>3728</v>
      </c>
      <c r="VJM617" s="17">
        <v>44925</v>
      </c>
      <c r="VJN617" s="5" t="s">
        <v>3728</v>
      </c>
      <c r="VJO617" s="17">
        <v>44925</v>
      </c>
      <c r="VJP617" s="5" t="s">
        <v>3728</v>
      </c>
      <c r="VJQ617" s="17">
        <v>44925</v>
      </c>
      <c r="VJR617" s="5" t="s">
        <v>3728</v>
      </c>
      <c r="VJS617" s="17">
        <v>44925</v>
      </c>
      <c r="VJT617" s="5" t="s">
        <v>3728</v>
      </c>
      <c r="VJU617" s="17">
        <v>44925</v>
      </c>
      <c r="VJV617" s="5" t="s">
        <v>3728</v>
      </c>
      <c r="VJW617" s="17">
        <v>44925</v>
      </c>
      <c r="VJX617" s="5" t="s">
        <v>3728</v>
      </c>
      <c r="VJY617" s="17">
        <v>44925</v>
      </c>
      <c r="VJZ617" s="5" t="s">
        <v>3728</v>
      </c>
      <c r="VKA617" s="17">
        <v>44925</v>
      </c>
      <c r="VKB617" s="5" t="s">
        <v>3728</v>
      </c>
      <c r="VKC617" s="17">
        <v>44925</v>
      </c>
      <c r="VKD617" s="5" t="s">
        <v>3728</v>
      </c>
      <c r="VKE617" s="17">
        <v>44925</v>
      </c>
      <c r="VKF617" s="5" t="s">
        <v>3728</v>
      </c>
      <c r="VKG617" s="17">
        <v>44925</v>
      </c>
      <c r="VKH617" s="5" t="s">
        <v>3728</v>
      </c>
      <c r="VKI617" s="17">
        <v>44925</v>
      </c>
      <c r="VKJ617" s="5" t="s">
        <v>3728</v>
      </c>
      <c r="VKK617" s="17">
        <v>44925</v>
      </c>
      <c r="VKL617" s="5" t="s">
        <v>3728</v>
      </c>
      <c r="VKM617" s="17">
        <v>44925</v>
      </c>
      <c r="VKN617" s="5" t="s">
        <v>3728</v>
      </c>
      <c r="VKO617" s="17">
        <v>44925</v>
      </c>
      <c r="VKP617" s="5" t="s">
        <v>3728</v>
      </c>
      <c r="VKQ617" s="17">
        <v>44925</v>
      </c>
      <c r="VKR617" s="5" t="s">
        <v>3728</v>
      </c>
      <c r="VKS617" s="17">
        <v>44925</v>
      </c>
      <c r="VKT617" s="5" t="s">
        <v>3728</v>
      </c>
      <c r="VKU617" s="17">
        <v>44925</v>
      </c>
      <c r="VKV617" s="5" t="s">
        <v>3728</v>
      </c>
      <c r="VKW617" s="17">
        <v>44925</v>
      </c>
      <c r="VKX617" s="5" t="s">
        <v>3728</v>
      </c>
      <c r="VKY617" s="17">
        <v>44925</v>
      </c>
      <c r="VKZ617" s="5" t="s">
        <v>3728</v>
      </c>
      <c r="VLA617" s="17">
        <v>44925</v>
      </c>
      <c r="VLB617" s="5" t="s">
        <v>3728</v>
      </c>
      <c r="VLC617" s="17">
        <v>44925</v>
      </c>
      <c r="VLD617" s="5" t="s">
        <v>3728</v>
      </c>
      <c r="VLE617" s="17">
        <v>44925</v>
      </c>
      <c r="VLF617" s="5" t="s">
        <v>3728</v>
      </c>
      <c r="VLG617" s="17">
        <v>44925</v>
      </c>
      <c r="VLH617" s="5" t="s">
        <v>3728</v>
      </c>
      <c r="VLI617" s="17">
        <v>44925</v>
      </c>
      <c r="VLJ617" s="5" t="s">
        <v>3728</v>
      </c>
      <c r="VLK617" s="17">
        <v>44925</v>
      </c>
      <c r="VLL617" s="5" t="s">
        <v>3728</v>
      </c>
      <c r="VLM617" s="17">
        <v>44925</v>
      </c>
      <c r="VLN617" s="5" t="s">
        <v>3728</v>
      </c>
      <c r="VLO617" s="17">
        <v>44925</v>
      </c>
      <c r="VLP617" s="5" t="s">
        <v>3728</v>
      </c>
      <c r="VLQ617" s="17">
        <v>44925</v>
      </c>
      <c r="VLR617" s="5" t="s">
        <v>3728</v>
      </c>
      <c r="VLS617" s="17">
        <v>44925</v>
      </c>
      <c r="VLT617" s="5" t="s">
        <v>3728</v>
      </c>
      <c r="VLU617" s="17">
        <v>44925</v>
      </c>
      <c r="VLV617" s="5" t="s">
        <v>3728</v>
      </c>
      <c r="VLW617" s="17">
        <v>44925</v>
      </c>
      <c r="VLX617" s="5" t="s">
        <v>3728</v>
      </c>
      <c r="VLY617" s="17">
        <v>44925</v>
      </c>
      <c r="VLZ617" s="5" t="s">
        <v>3728</v>
      </c>
      <c r="VMA617" s="17">
        <v>44925</v>
      </c>
      <c r="VMB617" s="5" t="s">
        <v>3728</v>
      </c>
      <c r="VMC617" s="17">
        <v>44925</v>
      </c>
      <c r="VMD617" s="5" t="s">
        <v>3728</v>
      </c>
      <c r="VME617" s="17">
        <v>44925</v>
      </c>
      <c r="VMF617" s="5" t="s">
        <v>3728</v>
      </c>
      <c r="VMG617" s="17">
        <v>44925</v>
      </c>
      <c r="VMH617" s="5" t="s">
        <v>3728</v>
      </c>
      <c r="VMI617" s="17">
        <v>44925</v>
      </c>
      <c r="VMJ617" s="5" t="s">
        <v>3728</v>
      </c>
      <c r="VMK617" s="17">
        <v>44925</v>
      </c>
      <c r="VML617" s="5" t="s">
        <v>3728</v>
      </c>
      <c r="VMM617" s="17">
        <v>44925</v>
      </c>
      <c r="VMN617" s="5" t="s">
        <v>3728</v>
      </c>
      <c r="VMO617" s="17">
        <v>44925</v>
      </c>
      <c r="VMP617" s="5" t="s">
        <v>3728</v>
      </c>
      <c r="VMQ617" s="17">
        <v>44925</v>
      </c>
      <c r="VMR617" s="5" t="s">
        <v>3728</v>
      </c>
      <c r="VMS617" s="17">
        <v>44925</v>
      </c>
      <c r="VMT617" s="5" t="s">
        <v>3728</v>
      </c>
      <c r="VMU617" s="17">
        <v>44925</v>
      </c>
      <c r="VMV617" s="5" t="s">
        <v>3728</v>
      </c>
      <c r="VMW617" s="17">
        <v>44925</v>
      </c>
      <c r="VMX617" s="5" t="s">
        <v>3728</v>
      </c>
      <c r="VMY617" s="17">
        <v>44925</v>
      </c>
      <c r="VMZ617" s="5" t="s">
        <v>3728</v>
      </c>
      <c r="VNA617" s="17">
        <v>44925</v>
      </c>
      <c r="VNB617" s="5" t="s">
        <v>3728</v>
      </c>
      <c r="VNC617" s="17">
        <v>44925</v>
      </c>
      <c r="VND617" s="5" t="s">
        <v>3728</v>
      </c>
      <c r="VNE617" s="17">
        <v>44925</v>
      </c>
      <c r="VNF617" s="5" t="s">
        <v>3728</v>
      </c>
      <c r="VNG617" s="17">
        <v>44925</v>
      </c>
      <c r="VNH617" s="5" t="s">
        <v>3728</v>
      </c>
      <c r="VNI617" s="17">
        <v>44925</v>
      </c>
      <c r="VNJ617" s="5" t="s">
        <v>3728</v>
      </c>
      <c r="VNK617" s="17">
        <v>44925</v>
      </c>
      <c r="VNL617" s="5" t="s">
        <v>3728</v>
      </c>
      <c r="VNM617" s="17">
        <v>44925</v>
      </c>
      <c r="VNN617" s="5" t="s">
        <v>3728</v>
      </c>
      <c r="VNO617" s="17">
        <v>44925</v>
      </c>
      <c r="VNP617" s="5" t="s">
        <v>3728</v>
      </c>
      <c r="VNQ617" s="17">
        <v>44925</v>
      </c>
      <c r="VNR617" s="5" t="s">
        <v>3728</v>
      </c>
      <c r="VNS617" s="17">
        <v>44925</v>
      </c>
      <c r="VNT617" s="5" t="s">
        <v>3728</v>
      </c>
      <c r="VNU617" s="17">
        <v>44925</v>
      </c>
      <c r="VNV617" s="5" t="s">
        <v>3728</v>
      </c>
      <c r="VNW617" s="17">
        <v>44925</v>
      </c>
      <c r="VNX617" s="5" t="s">
        <v>3728</v>
      </c>
      <c r="VNY617" s="17">
        <v>44925</v>
      </c>
      <c r="VNZ617" s="5" t="s">
        <v>3728</v>
      </c>
      <c r="VOA617" s="17">
        <v>44925</v>
      </c>
      <c r="VOB617" s="5" t="s">
        <v>3728</v>
      </c>
      <c r="VOC617" s="17">
        <v>44925</v>
      </c>
      <c r="VOD617" s="5" t="s">
        <v>3728</v>
      </c>
      <c r="VOE617" s="17">
        <v>44925</v>
      </c>
      <c r="VOF617" s="5" t="s">
        <v>3728</v>
      </c>
      <c r="VOG617" s="17">
        <v>44925</v>
      </c>
      <c r="VOH617" s="5" t="s">
        <v>3728</v>
      </c>
      <c r="VOI617" s="17">
        <v>44925</v>
      </c>
      <c r="VOJ617" s="5" t="s">
        <v>3728</v>
      </c>
      <c r="VOK617" s="17">
        <v>44925</v>
      </c>
      <c r="VOL617" s="5" t="s">
        <v>3728</v>
      </c>
      <c r="VOM617" s="17">
        <v>44925</v>
      </c>
      <c r="VON617" s="5" t="s">
        <v>3728</v>
      </c>
      <c r="VOO617" s="17">
        <v>44925</v>
      </c>
      <c r="VOP617" s="5" t="s">
        <v>3728</v>
      </c>
      <c r="VOQ617" s="17">
        <v>44925</v>
      </c>
      <c r="VOR617" s="5" t="s">
        <v>3728</v>
      </c>
      <c r="VOS617" s="17">
        <v>44925</v>
      </c>
      <c r="VOT617" s="5" t="s">
        <v>3728</v>
      </c>
      <c r="VOU617" s="17">
        <v>44925</v>
      </c>
      <c r="VOV617" s="5" t="s">
        <v>3728</v>
      </c>
      <c r="VOW617" s="17">
        <v>44925</v>
      </c>
      <c r="VOX617" s="5" t="s">
        <v>3728</v>
      </c>
      <c r="VOY617" s="17">
        <v>44925</v>
      </c>
      <c r="VOZ617" s="5" t="s">
        <v>3728</v>
      </c>
      <c r="VPA617" s="17">
        <v>44925</v>
      </c>
      <c r="VPB617" s="5" t="s">
        <v>3728</v>
      </c>
      <c r="VPC617" s="17">
        <v>44925</v>
      </c>
      <c r="VPD617" s="5" t="s">
        <v>3728</v>
      </c>
      <c r="VPE617" s="17">
        <v>44925</v>
      </c>
      <c r="VPF617" s="5" t="s">
        <v>3728</v>
      </c>
      <c r="VPG617" s="17">
        <v>44925</v>
      </c>
      <c r="VPH617" s="5" t="s">
        <v>3728</v>
      </c>
      <c r="VPI617" s="17">
        <v>44925</v>
      </c>
      <c r="VPJ617" s="5" t="s">
        <v>3728</v>
      </c>
      <c r="VPK617" s="17">
        <v>44925</v>
      </c>
      <c r="VPL617" s="5" t="s">
        <v>3728</v>
      </c>
      <c r="VPM617" s="17">
        <v>44925</v>
      </c>
      <c r="VPN617" s="5" t="s">
        <v>3728</v>
      </c>
      <c r="VPO617" s="17">
        <v>44925</v>
      </c>
      <c r="VPP617" s="5" t="s">
        <v>3728</v>
      </c>
      <c r="VPQ617" s="17">
        <v>44925</v>
      </c>
      <c r="VPR617" s="5" t="s">
        <v>3728</v>
      </c>
      <c r="VPS617" s="17">
        <v>44925</v>
      </c>
      <c r="VPT617" s="5" t="s">
        <v>3728</v>
      </c>
      <c r="VPU617" s="17">
        <v>44925</v>
      </c>
      <c r="VPV617" s="5" t="s">
        <v>3728</v>
      </c>
      <c r="VPW617" s="17">
        <v>44925</v>
      </c>
      <c r="VPX617" s="5" t="s">
        <v>3728</v>
      </c>
      <c r="VPY617" s="17">
        <v>44925</v>
      </c>
      <c r="VPZ617" s="5" t="s">
        <v>3728</v>
      </c>
      <c r="VQA617" s="17">
        <v>44925</v>
      </c>
      <c r="VQB617" s="5" t="s">
        <v>3728</v>
      </c>
      <c r="VQC617" s="17">
        <v>44925</v>
      </c>
      <c r="VQD617" s="5" t="s">
        <v>3728</v>
      </c>
      <c r="VQE617" s="17">
        <v>44925</v>
      </c>
      <c r="VQF617" s="5" t="s">
        <v>3728</v>
      </c>
      <c r="VQG617" s="17">
        <v>44925</v>
      </c>
      <c r="VQH617" s="5" t="s">
        <v>3728</v>
      </c>
      <c r="VQI617" s="17">
        <v>44925</v>
      </c>
      <c r="VQJ617" s="5" t="s">
        <v>3728</v>
      </c>
      <c r="VQK617" s="17">
        <v>44925</v>
      </c>
      <c r="VQL617" s="5" t="s">
        <v>3728</v>
      </c>
      <c r="VQM617" s="17">
        <v>44925</v>
      </c>
      <c r="VQN617" s="5" t="s">
        <v>3728</v>
      </c>
      <c r="VQO617" s="17">
        <v>44925</v>
      </c>
      <c r="VQP617" s="5" t="s">
        <v>3728</v>
      </c>
      <c r="VQQ617" s="17">
        <v>44925</v>
      </c>
      <c r="VQR617" s="5" t="s">
        <v>3728</v>
      </c>
      <c r="VQS617" s="17">
        <v>44925</v>
      </c>
      <c r="VQT617" s="5" t="s">
        <v>3728</v>
      </c>
      <c r="VQU617" s="17">
        <v>44925</v>
      </c>
      <c r="VQV617" s="5" t="s">
        <v>3728</v>
      </c>
      <c r="VQW617" s="17">
        <v>44925</v>
      </c>
      <c r="VQX617" s="5" t="s">
        <v>3728</v>
      </c>
      <c r="VQY617" s="17">
        <v>44925</v>
      </c>
      <c r="VQZ617" s="5" t="s">
        <v>3728</v>
      </c>
      <c r="VRA617" s="17">
        <v>44925</v>
      </c>
      <c r="VRB617" s="5" t="s">
        <v>3728</v>
      </c>
      <c r="VRC617" s="17">
        <v>44925</v>
      </c>
      <c r="VRD617" s="5" t="s">
        <v>3728</v>
      </c>
      <c r="VRE617" s="17">
        <v>44925</v>
      </c>
      <c r="VRF617" s="5" t="s">
        <v>3728</v>
      </c>
      <c r="VRG617" s="17">
        <v>44925</v>
      </c>
      <c r="VRH617" s="5" t="s">
        <v>3728</v>
      </c>
      <c r="VRI617" s="17">
        <v>44925</v>
      </c>
      <c r="VRJ617" s="5" t="s">
        <v>3728</v>
      </c>
      <c r="VRK617" s="17">
        <v>44925</v>
      </c>
      <c r="VRL617" s="5" t="s">
        <v>3728</v>
      </c>
      <c r="VRM617" s="17">
        <v>44925</v>
      </c>
      <c r="VRN617" s="5" t="s">
        <v>3728</v>
      </c>
      <c r="VRO617" s="17">
        <v>44925</v>
      </c>
      <c r="VRP617" s="5" t="s">
        <v>3728</v>
      </c>
      <c r="VRQ617" s="17">
        <v>44925</v>
      </c>
      <c r="VRR617" s="5" t="s">
        <v>3728</v>
      </c>
      <c r="VRS617" s="17">
        <v>44925</v>
      </c>
      <c r="VRT617" s="5" t="s">
        <v>3728</v>
      </c>
      <c r="VRU617" s="17">
        <v>44925</v>
      </c>
      <c r="VRV617" s="5" t="s">
        <v>3728</v>
      </c>
      <c r="VRW617" s="17">
        <v>44925</v>
      </c>
      <c r="VRX617" s="5" t="s">
        <v>3728</v>
      </c>
      <c r="VRY617" s="17">
        <v>44925</v>
      </c>
      <c r="VRZ617" s="5" t="s">
        <v>3728</v>
      </c>
      <c r="VSA617" s="17">
        <v>44925</v>
      </c>
      <c r="VSB617" s="5" t="s">
        <v>3728</v>
      </c>
      <c r="VSC617" s="17">
        <v>44925</v>
      </c>
      <c r="VSD617" s="5" t="s">
        <v>3728</v>
      </c>
      <c r="VSE617" s="17">
        <v>44925</v>
      </c>
      <c r="VSF617" s="5" t="s">
        <v>3728</v>
      </c>
      <c r="VSG617" s="17">
        <v>44925</v>
      </c>
      <c r="VSH617" s="5" t="s">
        <v>3728</v>
      </c>
      <c r="VSI617" s="17">
        <v>44925</v>
      </c>
      <c r="VSJ617" s="5" t="s">
        <v>3728</v>
      </c>
      <c r="VSK617" s="17">
        <v>44925</v>
      </c>
      <c r="VSL617" s="5" t="s">
        <v>3728</v>
      </c>
      <c r="VSM617" s="17">
        <v>44925</v>
      </c>
      <c r="VSN617" s="5" t="s">
        <v>3728</v>
      </c>
      <c r="VSO617" s="17">
        <v>44925</v>
      </c>
      <c r="VSP617" s="5" t="s">
        <v>3728</v>
      </c>
      <c r="VSQ617" s="17">
        <v>44925</v>
      </c>
      <c r="VSR617" s="5" t="s">
        <v>3728</v>
      </c>
      <c r="VSS617" s="17">
        <v>44925</v>
      </c>
      <c r="VST617" s="5" t="s">
        <v>3728</v>
      </c>
      <c r="VSU617" s="17">
        <v>44925</v>
      </c>
      <c r="VSV617" s="5" t="s">
        <v>3728</v>
      </c>
      <c r="VSW617" s="17">
        <v>44925</v>
      </c>
      <c r="VSX617" s="5" t="s">
        <v>3728</v>
      </c>
      <c r="VSY617" s="17">
        <v>44925</v>
      </c>
      <c r="VSZ617" s="5" t="s">
        <v>3728</v>
      </c>
      <c r="VTA617" s="17">
        <v>44925</v>
      </c>
      <c r="VTB617" s="5" t="s">
        <v>3728</v>
      </c>
      <c r="VTC617" s="17">
        <v>44925</v>
      </c>
      <c r="VTD617" s="5" t="s">
        <v>3728</v>
      </c>
      <c r="VTE617" s="17">
        <v>44925</v>
      </c>
      <c r="VTF617" s="5" t="s">
        <v>3728</v>
      </c>
      <c r="VTG617" s="17">
        <v>44925</v>
      </c>
      <c r="VTH617" s="5" t="s">
        <v>3728</v>
      </c>
      <c r="VTI617" s="17">
        <v>44925</v>
      </c>
      <c r="VTJ617" s="5" t="s">
        <v>3728</v>
      </c>
      <c r="VTK617" s="17">
        <v>44925</v>
      </c>
      <c r="VTL617" s="5" t="s">
        <v>3728</v>
      </c>
      <c r="VTM617" s="17">
        <v>44925</v>
      </c>
      <c r="VTN617" s="5" t="s">
        <v>3728</v>
      </c>
      <c r="VTO617" s="17">
        <v>44925</v>
      </c>
      <c r="VTP617" s="5" t="s">
        <v>3728</v>
      </c>
      <c r="VTQ617" s="17">
        <v>44925</v>
      </c>
      <c r="VTR617" s="5" t="s">
        <v>3728</v>
      </c>
      <c r="VTS617" s="17">
        <v>44925</v>
      </c>
      <c r="VTT617" s="5" t="s">
        <v>3728</v>
      </c>
      <c r="VTU617" s="17">
        <v>44925</v>
      </c>
      <c r="VTV617" s="5" t="s">
        <v>3728</v>
      </c>
      <c r="VTW617" s="17">
        <v>44925</v>
      </c>
      <c r="VTX617" s="5" t="s">
        <v>3728</v>
      </c>
      <c r="VTY617" s="17">
        <v>44925</v>
      </c>
      <c r="VTZ617" s="5" t="s">
        <v>3728</v>
      </c>
      <c r="VUA617" s="17">
        <v>44925</v>
      </c>
      <c r="VUB617" s="5" t="s">
        <v>3728</v>
      </c>
      <c r="VUC617" s="17">
        <v>44925</v>
      </c>
      <c r="VUD617" s="5" t="s">
        <v>3728</v>
      </c>
      <c r="VUE617" s="17">
        <v>44925</v>
      </c>
      <c r="VUF617" s="5" t="s">
        <v>3728</v>
      </c>
      <c r="VUG617" s="17">
        <v>44925</v>
      </c>
      <c r="VUH617" s="5" t="s">
        <v>3728</v>
      </c>
      <c r="VUI617" s="17">
        <v>44925</v>
      </c>
      <c r="VUJ617" s="5" t="s">
        <v>3728</v>
      </c>
      <c r="VUK617" s="17">
        <v>44925</v>
      </c>
      <c r="VUL617" s="5" t="s">
        <v>3728</v>
      </c>
      <c r="VUM617" s="17">
        <v>44925</v>
      </c>
      <c r="VUN617" s="5" t="s">
        <v>3728</v>
      </c>
      <c r="VUO617" s="17">
        <v>44925</v>
      </c>
      <c r="VUP617" s="5" t="s">
        <v>3728</v>
      </c>
      <c r="VUQ617" s="17">
        <v>44925</v>
      </c>
      <c r="VUR617" s="5" t="s">
        <v>3728</v>
      </c>
      <c r="VUS617" s="17">
        <v>44925</v>
      </c>
      <c r="VUT617" s="5" t="s">
        <v>3728</v>
      </c>
      <c r="VUU617" s="17">
        <v>44925</v>
      </c>
      <c r="VUV617" s="5" t="s">
        <v>3728</v>
      </c>
      <c r="VUW617" s="17">
        <v>44925</v>
      </c>
      <c r="VUX617" s="5" t="s">
        <v>3728</v>
      </c>
      <c r="VUY617" s="17">
        <v>44925</v>
      </c>
      <c r="VUZ617" s="5" t="s">
        <v>3728</v>
      </c>
      <c r="VVA617" s="17">
        <v>44925</v>
      </c>
      <c r="VVB617" s="5" t="s">
        <v>3728</v>
      </c>
      <c r="VVC617" s="17">
        <v>44925</v>
      </c>
      <c r="VVD617" s="5" t="s">
        <v>3728</v>
      </c>
      <c r="VVE617" s="17">
        <v>44925</v>
      </c>
      <c r="VVF617" s="5" t="s">
        <v>3728</v>
      </c>
      <c r="VVG617" s="17">
        <v>44925</v>
      </c>
      <c r="VVH617" s="5" t="s">
        <v>3728</v>
      </c>
      <c r="VVI617" s="17">
        <v>44925</v>
      </c>
      <c r="VVJ617" s="5" t="s">
        <v>3728</v>
      </c>
      <c r="VVK617" s="17">
        <v>44925</v>
      </c>
      <c r="VVL617" s="5" t="s">
        <v>3728</v>
      </c>
      <c r="VVM617" s="17">
        <v>44925</v>
      </c>
      <c r="VVN617" s="5" t="s">
        <v>3728</v>
      </c>
      <c r="VVO617" s="17">
        <v>44925</v>
      </c>
      <c r="VVP617" s="5" t="s">
        <v>3728</v>
      </c>
      <c r="VVQ617" s="17">
        <v>44925</v>
      </c>
      <c r="VVR617" s="5" t="s">
        <v>3728</v>
      </c>
      <c r="VVS617" s="17">
        <v>44925</v>
      </c>
      <c r="VVT617" s="5" t="s">
        <v>3728</v>
      </c>
      <c r="VVU617" s="17">
        <v>44925</v>
      </c>
      <c r="VVV617" s="5" t="s">
        <v>3728</v>
      </c>
      <c r="VVW617" s="17">
        <v>44925</v>
      </c>
      <c r="VVX617" s="5" t="s">
        <v>3728</v>
      </c>
      <c r="VVY617" s="17">
        <v>44925</v>
      </c>
      <c r="VVZ617" s="5" t="s">
        <v>3728</v>
      </c>
      <c r="VWA617" s="17">
        <v>44925</v>
      </c>
      <c r="VWB617" s="5" t="s">
        <v>3728</v>
      </c>
      <c r="VWC617" s="17">
        <v>44925</v>
      </c>
      <c r="VWD617" s="5" t="s">
        <v>3728</v>
      </c>
      <c r="VWE617" s="17">
        <v>44925</v>
      </c>
      <c r="VWF617" s="5" t="s">
        <v>3728</v>
      </c>
      <c r="VWG617" s="17">
        <v>44925</v>
      </c>
      <c r="VWH617" s="5" t="s">
        <v>3728</v>
      </c>
      <c r="VWI617" s="17">
        <v>44925</v>
      </c>
      <c r="VWJ617" s="5" t="s">
        <v>3728</v>
      </c>
      <c r="VWK617" s="17">
        <v>44925</v>
      </c>
      <c r="VWL617" s="5" t="s">
        <v>3728</v>
      </c>
      <c r="VWM617" s="17">
        <v>44925</v>
      </c>
      <c r="VWN617" s="5" t="s">
        <v>3728</v>
      </c>
      <c r="VWO617" s="17">
        <v>44925</v>
      </c>
      <c r="VWP617" s="5" t="s">
        <v>3728</v>
      </c>
      <c r="VWQ617" s="17">
        <v>44925</v>
      </c>
      <c r="VWR617" s="5" t="s">
        <v>3728</v>
      </c>
      <c r="VWS617" s="17">
        <v>44925</v>
      </c>
      <c r="VWT617" s="5" t="s">
        <v>3728</v>
      </c>
      <c r="VWU617" s="17">
        <v>44925</v>
      </c>
      <c r="VWV617" s="5" t="s">
        <v>3728</v>
      </c>
      <c r="VWW617" s="17">
        <v>44925</v>
      </c>
      <c r="VWX617" s="5" t="s">
        <v>3728</v>
      </c>
      <c r="VWY617" s="17">
        <v>44925</v>
      </c>
      <c r="VWZ617" s="5" t="s">
        <v>3728</v>
      </c>
      <c r="VXA617" s="17">
        <v>44925</v>
      </c>
      <c r="VXB617" s="5" t="s">
        <v>3728</v>
      </c>
      <c r="VXC617" s="17">
        <v>44925</v>
      </c>
      <c r="VXD617" s="5" t="s">
        <v>3728</v>
      </c>
      <c r="VXE617" s="17">
        <v>44925</v>
      </c>
      <c r="VXF617" s="5" t="s">
        <v>3728</v>
      </c>
      <c r="VXG617" s="17">
        <v>44925</v>
      </c>
      <c r="VXH617" s="5" t="s">
        <v>3728</v>
      </c>
      <c r="VXI617" s="17">
        <v>44925</v>
      </c>
      <c r="VXJ617" s="5" t="s">
        <v>3728</v>
      </c>
      <c r="VXK617" s="17">
        <v>44925</v>
      </c>
      <c r="VXL617" s="5" t="s">
        <v>3728</v>
      </c>
      <c r="VXM617" s="17">
        <v>44925</v>
      </c>
      <c r="VXN617" s="5" t="s">
        <v>3728</v>
      </c>
      <c r="VXO617" s="17">
        <v>44925</v>
      </c>
      <c r="VXP617" s="5" t="s">
        <v>3728</v>
      </c>
      <c r="VXQ617" s="17">
        <v>44925</v>
      </c>
      <c r="VXR617" s="5" t="s">
        <v>3728</v>
      </c>
      <c r="VXS617" s="17">
        <v>44925</v>
      </c>
      <c r="VXT617" s="5" t="s">
        <v>3728</v>
      </c>
      <c r="VXU617" s="17">
        <v>44925</v>
      </c>
      <c r="VXV617" s="5" t="s">
        <v>3728</v>
      </c>
      <c r="VXW617" s="17">
        <v>44925</v>
      </c>
      <c r="VXX617" s="5" t="s">
        <v>3728</v>
      </c>
      <c r="VXY617" s="17">
        <v>44925</v>
      </c>
      <c r="VXZ617" s="5" t="s">
        <v>3728</v>
      </c>
      <c r="VYA617" s="17">
        <v>44925</v>
      </c>
      <c r="VYB617" s="5" t="s">
        <v>3728</v>
      </c>
      <c r="VYC617" s="17">
        <v>44925</v>
      </c>
      <c r="VYD617" s="5" t="s">
        <v>3728</v>
      </c>
      <c r="VYE617" s="17">
        <v>44925</v>
      </c>
      <c r="VYF617" s="5" t="s">
        <v>3728</v>
      </c>
      <c r="VYG617" s="17">
        <v>44925</v>
      </c>
      <c r="VYH617" s="5" t="s">
        <v>3728</v>
      </c>
      <c r="VYI617" s="17">
        <v>44925</v>
      </c>
      <c r="VYJ617" s="5" t="s">
        <v>3728</v>
      </c>
      <c r="VYK617" s="17">
        <v>44925</v>
      </c>
      <c r="VYL617" s="5" t="s">
        <v>3728</v>
      </c>
      <c r="VYM617" s="17">
        <v>44925</v>
      </c>
      <c r="VYN617" s="5" t="s">
        <v>3728</v>
      </c>
      <c r="VYO617" s="17">
        <v>44925</v>
      </c>
      <c r="VYP617" s="5" t="s">
        <v>3728</v>
      </c>
      <c r="VYQ617" s="17">
        <v>44925</v>
      </c>
      <c r="VYR617" s="5" t="s">
        <v>3728</v>
      </c>
      <c r="VYS617" s="17">
        <v>44925</v>
      </c>
      <c r="VYT617" s="5" t="s">
        <v>3728</v>
      </c>
      <c r="VYU617" s="17">
        <v>44925</v>
      </c>
      <c r="VYV617" s="5" t="s">
        <v>3728</v>
      </c>
      <c r="VYW617" s="17">
        <v>44925</v>
      </c>
      <c r="VYX617" s="5" t="s">
        <v>3728</v>
      </c>
      <c r="VYY617" s="17">
        <v>44925</v>
      </c>
      <c r="VYZ617" s="5" t="s">
        <v>3728</v>
      </c>
      <c r="VZA617" s="17">
        <v>44925</v>
      </c>
      <c r="VZB617" s="5" t="s">
        <v>3728</v>
      </c>
      <c r="VZC617" s="17">
        <v>44925</v>
      </c>
      <c r="VZD617" s="5" t="s">
        <v>3728</v>
      </c>
      <c r="VZE617" s="17">
        <v>44925</v>
      </c>
      <c r="VZF617" s="5" t="s">
        <v>3728</v>
      </c>
      <c r="VZG617" s="17">
        <v>44925</v>
      </c>
      <c r="VZH617" s="5" t="s">
        <v>3728</v>
      </c>
      <c r="VZI617" s="17">
        <v>44925</v>
      </c>
      <c r="VZJ617" s="5" t="s">
        <v>3728</v>
      </c>
      <c r="VZK617" s="17">
        <v>44925</v>
      </c>
      <c r="VZL617" s="5" t="s">
        <v>3728</v>
      </c>
      <c r="VZM617" s="17">
        <v>44925</v>
      </c>
      <c r="VZN617" s="5" t="s">
        <v>3728</v>
      </c>
      <c r="VZO617" s="17">
        <v>44925</v>
      </c>
      <c r="VZP617" s="5" t="s">
        <v>3728</v>
      </c>
      <c r="VZQ617" s="17">
        <v>44925</v>
      </c>
      <c r="VZR617" s="5" t="s">
        <v>3728</v>
      </c>
      <c r="VZS617" s="17">
        <v>44925</v>
      </c>
      <c r="VZT617" s="5" t="s">
        <v>3728</v>
      </c>
      <c r="VZU617" s="17">
        <v>44925</v>
      </c>
      <c r="VZV617" s="5" t="s">
        <v>3728</v>
      </c>
      <c r="VZW617" s="17">
        <v>44925</v>
      </c>
      <c r="VZX617" s="5" t="s">
        <v>3728</v>
      </c>
      <c r="VZY617" s="17">
        <v>44925</v>
      </c>
      <c r="VZZ617" s="5" t="s">
        <v>3728</v>
      </c>
      <c r="WAA617" s="17">
        <v>44925</v>
      </c>
      <c r="WAB617" s="5" t="s">
        <v>3728</v>
      </c>
      <c r="WAC617" s="17">
        <v>44925</v>
      </c>
      <c r="WAD617" s="5" t="s">
        <v>3728</v>
      </c>
      <c r="WAE617" s="17">
        <v>44925</v>
      </c>
      <c r="WAF617" s="5" t="s">
        <v>3728</v>
      </c>
      <c r="WAG617" s="17">
        <v>44925</v>
      </c>
      <c r="WAH617" s="5" t="s">
        <v>3728</v>
      </c>
      <c r="WAI617" s="17">
        <v>44925</v>
      </c>
      <c r="WAJ617" s="5" t="s">
        <v>3728</v>
      </c>
      <c r="WAK617" s="17">
        <v>44925</v>
      </c>
      <c r="WAL617" s="5" t="s">
        <v>3728</v>
      </c>
      <c r="WAM617" s="17">
        <v>44925</v>
      </c>
      <c r="WAN617" s="5" t="s">
        <v>3728</v>
      </c>
      <c r="WAO617" s="17">
        <v>44925</v>
      </c>
      <c r="WAP617" s="5" t="s">
        <v>3728</v>
      </c>
      <c r="WAQ617" s="17">
        <v>44925</v>
      </c>
      <c r="WAR617" s="5" t="s">
        <v>3728</v>
      </c>
      <c r="WAS617" s="17">
        <v>44925</v>
      </c>
      <c r="WAT617" s="5" t="s">
        <v>3728</v>
      </c>
      <c r="WAU617" s="17">
        <v>44925</v>
      </c>
      <c r="WAV617" s="5" t="s">
        <v>3728</v>
      </c>
      <c r="WAW617" s="17">
        <v>44925</v>
      </c>
      <c r="WAX617" s="5" t="s">
        <v>3728</v>
      </c>
      <c r="WAY617" s="17">
        <v>44925</v>
      </c>
      <c r="WAZ617" s="5" t="s">
        <v>3728</v>
      </c>
      <c r="WBA617" s="17">
        <v>44925</v>
      </c>
      <c r="WBB617" s="5" t="s">
        <v>3728</v>
      </c>
      <c r="WBC617" s="17">
        <v>44925</v>
      </c>
      <c r="WBD617" s="5" t="s">
        <v>3728</v>
      </c>
      <c r="WBE617" s="17">
        <v>44925</v>
      </c>
      <c r="WBF617" s="5" t="s">
        <v>3728</v>
      </c>
      <c r="WBG617" s="17">
        <v>44925</v>
      </c>
      <c r="WBH617" s="5" t="s">
        <v>3728</v>
      </c>
      <c r="WBI617" s="17">
        <v>44925</v>
      </c>
      <c r="WBJ617" s="5" t="s">
        <v>3728</v>
      </c>
      <c r="WBK617" s="17">
        <v>44925</v>
      </c>
      <c r="WBL617" s="5" t="s">
        <v>3728</v>
      </c>
      <c r="WBM617" s="17">
        <v>44925</v>
      </c>
      <c r="WBN617" s="5" t="s">
        <v>3728</v>
      </c>
      <c r="WBO617" s="17">
        <v>44925</v>
      </c>
      <c r="WBP617" s="5" t="s">
        <v>3728</v>
      </c>
      <c r="WBQ617" s="17">
        <v>44925</v>
      </c>
      <c r="WBR617" s="5" t="s">
        <v>3728</v>
      </c>
      <c r="WBS617" s="17">
        <v>44925</v>
      </c>
      <c r="WBT617" s="5" t="s">
        <v>3728</v>
      </c>
      <c r="WBU617" s="17">
        <v>44925</v>
      </c>
      <c r="WBV617" s="5" t="s">
        <v>3728</v>
      </c>
      <c r="WBW617" s="17">
        <v>44925</v>
      </c>
      <c r="WBX617" s="5" t="s">
        <v>3728</v>
      </c>
      <c r="WBY617" s="17">
        <v>44925</v>
      </c>
      <c r="WBZ617" s="5" t="s">
        <v>3728</v>
      </c>
      <c r="WCA617" s="17">
        <v>44925</v>
      </c>
      <c r="WCB617" s="5" t="s">
        <v>3728</v>
      </c>
      <c r="WCC617" s="17">
        <v>44925</v>
      </c>
      <c r="WCD617" s="5" t="s">
        <v>3728</v>
      </c>
      <c r="WCE617" s="17">
        <v>44925</v>
      </c>
      <c r="WCF617" s="5" t="s">
        <v>3728</v>
      </c>
      <c r="WCG617" s="17">
        <v>44925</v>
      </c>
      <c r="WCH617" s="5" t="s">
        <v>3728</v>
      </c>
      <c r="WCI617" s="17">
        <v>44925</v>
      </c>
      <c r="WCJ617" s="5" t="s">
        <v>3728</v>
      </c>
      <c r="WCK617" s="17">
        <v>44925</v>
      </c>
      <c r="WCL617" s="5" t="s">
        <v>3728</v>
      </c>
      <c r="WCM617" s="17">
        <v>44925</v>
      </c>
      <c r="WCN617" s="5" t="s">
        <v>3728</v>
      </c>
      <c r="WCO617" s="17">
        <v>44925</v>
      </c>
      <c r="WCP617" s="5" t="s">
        <v>3728</v>
      </c>
      <c r="WCQ617" s="17">
        <v>44925</v>
      </c>
      <c r="WCR617" s="5" t="s">
        <v>3728</v>
      </c>
      <c r="WCS617" s="17">
        <v>44925</v>
      </c>
      <c r="WCT617" s="5" t="s">
        <v>3728</v>
      </c>
      <c r="WCU617" s="17">
        <v>44925</v>
      </c>
      <c r="WCV617" s="5" t="s">
        <v>3728</v>
      </c>
      <c r="WCW617" s="17">
        <v>44925</v>
      </c>
      <c r="WCX617" s="5" t="s">
        <v>3728</v>
      </c>
      <c r="WCY617" s="17">
        <v>44925</v>
      </c>
      <c r="WCZ617" s="5" t="s">
        <v>3728</v>
      </c>
      <c r="WDA617" s="17">
        <v>44925</v>
      </c>
      <c r="WDB617" s="5" t="s">
        <v>3728</v>
      </c>
      <c r="WDC617" s="17">
        <v>44925</v>
      </c>
      <c r="WDD617" s="5" t="s">
        <v>3728</v>
      </c>
      <c r="WDE617" s="17">
        <v>44925</v>
      </c>
      <c r="WDF617" s="5" t="s">
        <v>3728</v>
      </c>
      <c r="WDG617" s="17">
        <v>44925</v>
      </c>
      <c r="WDH617" s="5" t="s">
        <v>3728</v>
      </c>
      <c r="WDI617" s="17">
        <v>44925</v>
      </c>
      <c r="WDJ617" s="5" t="s">
        <v>3728</v>
      </c>
      <c r="WDK617" s="17">
        <v>44925</v>
      </c>
      <c r="WDL617" s="5" t="s">
        <v>3728</v>
      </c>
      <c r="WDM617" s="17">
        <v>44925</v>
      </c>
      <c r="WDN617" s="5" t="s">
        <v>3728</v>
      </c>
      <c r="WDO617" s="17">
        <v>44925</v>
      </c>
      <c r="WDP617" s="5" t="s">
        <v>3728</v>
      </c>
      <c r="WDQ617" s="17">
        <v>44925</v>
      </c>
      <c r="WDR617" s="5" t="s">
        <v>3728</v>
      </c>
      <c r="WDS617" s="17">
        <v>44925</v>
      </c>
      <c r="WDT617" s="5" t="s">
        <v>3728</v>
      </c>
      <c r="WDU617" s="17">
        <v>44925</v>
      </c>
      <c r="WDV617" s="5" t="s">
        <v>3728</v>
      </c>
      <c r="WDW617" s="17">
        <v>44925</v>
      </c>
      <c r="WDX617" s="5" t="s">
        <v>3728</v>
      </c>
      <c r="WDY617" s="17">
        <v>44925</v>
      </c>
      <c r="WDZ617" s="5" t="s">
        <v>3728</v>
      </c>
      <c r="WEA617" s="17">
        <v>44925</v>
      </c>
      <c r="WEB617" s="5" t="s">
        <v>3728</v>
      </c>
      <c r="WEC617" s="17">
        <v>44925</v>
      </c>
      <c r="WED617" s="5" t="s">
        <v>3728</v>
      </c>
      <c r="WEE617" s="17">
        <v>44925</v>
      </c>
      <c r="WEF617" s="5" t="s">
        <v>3728</v>
      </c>
      <c r="WEG617" s="17">
        <v>44925</v>
      </c>
      <c r="WEH617" s="5" t="s">
        <v>3728</v>
      </c>
      <c r="WEI617" s="17">
        <v>44925</v>
      </c>
      <c r="WEJ617" s="5" t="s">
        <v>3728</v>
      </c>
      <c r="WEK617" s="17">
        <v>44925</v>
      </c>
      <c r="WEL617" s="5" t="s">
        <v>3728</v>
      </c>
      <c r="WEM617" s="17">
        <v>44925</v>
      </c>
      <c r="WEN617" s="5" t="s">
        <v>3728</v>
      </c>
      <c r="WEO617" s="17">
        <v>44925</v>
      </c>
      <c r="WEP617" s="5" t="s">
        <v>3728</v>
      </c>
      <c r="WEQ617" s="17">
        <v>44925</v>
      </c>
      <c r="WER617" s="5" t="s">
        <v>3728</v>
      </c>
      <c r="WES617" s="17">
        <v>44925</v>
      </c>
      <c r="WET617" s="5" t="s">
        <v>3728</v>
      </c>
      <c r="WEU617" s="17">
        <v>44925</v>
      </c>
      <c r="WEV617" s="5" t="s">
        <v>3728</v>
      </c>
      <c r="WEW617" s="17">
        <v>44925</v>
      </c>
      <c r="WEX617" s="5" t="s">
        <v>3728</v>
      </c>
      <c r="WEY617" s="17">
        <v>44925</v>
      </c>
      <c r="WEZ617" s="5" t="s">
        <v>3728</v>
      </c>
      <c r="WFA617" s="17">
        <v>44925</v>
      </c>
      <c r="WFB617" s="5" t="s">
        <v>3728</v>
      </c>
      <c r="WFC617" s="17">
        <v>44925</v>
      </c>
      <c r="WFD617" s="5" t="s">
        <v>3728</v>
      </c>
      <c r="WFE617" s="17">
        <v>44925</v>
      </c>
      <c r="WFF617" s="5" t="s">
        <v>3728</v>
      </c>
      <c r="WFG617" s="17">
        <v>44925</v>
      </c>
      <c r="WFH617" s="5" t="s">
        <v>3728</v>
      </c>
      <c r="WFI617" s="17">
        <v>44925</v>
      </c>
      <c r="WFJ617" s="5" t="s">
        <v>3728</v>
      </c>
      <c r="WFK617" s="17">
        <v>44925</v>
      </c>
      <c r="WFL617" s="5" t="s">
        <v>3728</v>
      </c>
      <c r="WFM617" s="17">
        <v>44925</v>
      </c>
      <c r="WFN617" s="5" t="s">
        <v>3728</v>
      </c>
      <c r="WFO617" s="17">
        <v>44925</v>
      </c>
      <c r="WFP617" s="5" t="s">
        <v>3728</v>
      </c>
      <c r="WFQ617" s="17">
        <v>44925</v>
      </c>
      <c r="WFR617" s="5" t="s">
        <v>3728</v>
      </c>
      <c r="WFS617" s="17">
        <v>44925</v>
      </c>
      <c r="WFT617" s="5" t="s">
        <v>3728</v>
      </c>
      <c r="WFU617" s="17">
        <v>44925</v>
      </c>
      <c r="WFV617" s="5" t="s">
        <v>3728</v>
      </c>
      <c r="WFW617" s="17">
        <v>44925</v>
      </c>
      <c r="WFX617" s="5" t="s">
        <v>3728</v>
      </c>
      <c r="WFY617" s="17">
        <v>44925</v>
      </c>
      <c r="WFZ617" s="5" t="s">
        <v>3728</v>
      </c>
      <c r="WGA617" s="17">
        <v>44925</v>
      </c>
      <c r="WGB617" s="5" t="s">
        <v>3728</v>
      </c>
      <c r="WGC617" s="17">
        <v>44925</v>
      </c>
      <c r="WGD617" s="5" t="s">
        <v>3728</v>
      </c>
      <c r="WGE617" s="17">
        <v>44925</v>
      </c>
      <c r="WGF617" s="5" t="s">
        <v>3728</v>
      </c>
      <c r="WGG617" s="17">
        <v>44925</v>
      </c>
      <c r="WGH617" s="5" t="s">
        <v>3728</v>
      </c>
      <c r="WGI617" s="17">
        <v>44925</v>
      </c>
      <c r="WGJ617" s="5" t="s">
        <v>3728</v>
      </c>
      <c r="WGK617" s="17">
        <v>44925</v>
      </c>
      <c r="WGL617" s="5" t="s">
        <v>3728</v>
      </c>
      <c r="WGM617" s="17">
        <v>44925</v>
      </c>
      <c r="WGN617" s="5" t="s">
        <v>3728</v>
      </c>
      <c r="WGO617" s="17">
        <v>44925</v>
      </c>
      <c r="WGP617" s="5" t="s">
        <v>3728</v>
      </c>
      <c r="WGQ617" s="17">
        <v>44925</v>
      </c>
      <c r="WGR617" s="5" t="s">
        <v>3728</v>
      </c>
      <c r="WGS617" s="17">
        <v>44925</v>
      </c>
      <c r="WGT617" s="5" t="s">
        <v>3728</v>
      </c>
      <c r="WGU617" s="17">
        <v>44925</v>
      </c>
      <c r="WGV617" s="5" t="s">
        <v>3728</v>
      </c>
      <c r="WGW617" s="17">
        <v>44925</v>
      </c>
      <c r="WGX617" s="5" t="s">
        <v>3728</v>
      </c>
      <c r="WGY617" s="17">
        <v>44925</v>
      </c>
      <c r="WGZ617" s="5" t="s">
        <v>3728</v>
      </c>
      <c r="WHA617" s="17">
        <v>44925</v>
      </c>
      <c r="WHB617" s="5" t="s">
        <v>3728</v>
      </c>
      <c r="WHC617" s="17">
        <v>44925</v>
      </c>
      <c r="WHD617" s="5" t="s">
        <v>3728</v>
      </c>
      <c r="WHE617" s="17">
        <v>44925</v>
      </c>
      <c r="WHF617" s="5" t="s">
        <v>3728</v>
      </c>
      <c r="WHG617" s="17">
        <v>44925</v>
      </c>
      <c r="WHH617" s="5" t="s">
        <v>3728</v>
      </c>
      <c r="WHI617" s="17">
        <v>44925</v>
      </c>
      <c r="WHJ617" s="5" t="s">
        <v>3728</v>
      </c>
      <c r="WHK617" s="17">
        <v>44925</v>
      </c>
      <c r="WHL617" s="5" t="s">
        <v>3728</v>
      </c>
      <c r="WHM617" s="17">
        <v>44925</v>
      </c>
      <c r="WHN617" s="5" t="s">
        <v>3728</v>
      </c>
      <c r="WHO617" s="17">
        <v>44925</v>
      </c>
      <c r="WHP617" s="5" t="s">
        <v>3728</v>
      </c>
      <c r="WHQ617" s="17">
        <v>44925</v>
      </c>
      <c r="WHR617" s="5" t="s">
        <v>3728</v>
      </c>
      <c r="WHS617" s="17">
        <v>44925</v>
      </c>
      <c r="WHT617" s="5" t="s">
        <v>3728</v>
      </c>
      <c r="WHU617" s="17">
        <v>44925</v>
      </c>
      <c r="WHV617" s="5" t="s">
        <v>3728</v>
      </c>
      <c r="WHW617" s="17">
        <v>44925</v>
      </c>
      <c r="WHX617" s="5" t="s">
        <v>3728</v>
      </c>
      <c r="WHY617" s="17">
        <v>44925</v>
      </c>
      <c r="WHZ617" s="5" t="s">
        <v>3728</v>
      </c>
      <c r="WIA617" s="17">
        <v>44925</v>
      </c>
      <c r="WIB617" s="5" t="s">
        <v>3728</v>
      </c>
      <c r="WIC617" s="17">
        <v>44925</v>
      </c>
      <c r="WID617" s="5" t="s">
        <v>3728</v>
      </c>
      <c r="WIE617" s="17">
        <v>44925</v>
      </c>
      <c r="WIF617" s="5" t="s">
        <v>3728</v>
      </c>
      <c r="WIG617" s="17">
        <v>44925</v>
      </c>
      <c r="WIH617" s="5" t="s">
        <v>3728</v>
      </c>
      <c r="WII617" s="17">
        <v>44925</v>
      </c>
      <c r="WIJ617" s="5" t="s">
        <v>3728</v>
      </c>
      <c r="WIK617" s="17">
        <v>44925</v>
      </c>
      <c r="WIL617" s="5" t="s">
        <v>3728</v>
      </c>
      <c r="WIM617" s="17">
        <v>44925</v>
      </c>
      <c r="WIN617" s="5" t="s">
        <v>3728</v>
      </c>
      <c r="WIO617" s="17">
        <v>44925</v>
      </c>
      <c r="WIP617" s="5" t="s">
        <v>3728</v>
      </c>
      <c r="WIQ617" s="17">
        <v>44925</v>
      </c>
      <c r="WIR617" s="5" t="s">
        <v>3728</v>
      </c>
      <c r="WIS617" s="17">
        <v>44925</v>
      </c>
      <c r="WIT617" s="5" t="s">
        <v>3728</v>
      </c>
      <c r="WIU617" s="17">
        <v>44925</v>
      </c>
      <c r="WIV617" s="5" t="s">
        <v>3728</v>
      </c>
      <c r="WIW617" s="17">
        <v>44925</v>
      </c>
      <c r="WIX617" s="5" t="s">
        <v>3728</v>
      </c>
      <c r="WIY617" s="17">
        <v>44925</v>
      </c>
      <c r="WIZ617" s="5" t="s">
        <v>3728</v>
      </c>
      <c r="WJA617" s="17">
        <v>44925</v>
      </c>
      <c r="WJB617" s="5" t="s">
        <v>3728</v>
      </c>
      <c r="WJC617" s="17">
        <v>44925</v>
      </c>
      <c r="WJD617" s="5" t="s">
        <v>3728</v>
      </c>
      <c r="WJE617" s="17">
        <v>44925</v>
      </c>
      <c r="WJF617" s="5" t="s">
        <v>3728</v>
      </c>
      <c r="WJG617" s="17">
        <v>44925</v>
      </c>
      <c r="WJH617" s="5" t="s">
        <v>3728</v>
      </c>
      <c r="WJI617" s="17">
        <v>44925</v>
      </c>
      <c r="WJJ617" s="5" t="s">
        <v>3728</v>
      </c>
      <c r="WJK617" s="17">
        <v>44925</v>
      </c>
      <c r="WJL617" s="5" t="s">
        <v>3728</v>
      </c>
      <c r="WJM617" s="17">
        <v>44925</v>
      </c>
      <c r="WJN617" s="5" t="s">
        <v>3728</v>
      </c>
      <c r="WJO617" s="17">
        <v>44925</v>
      </c>
      <c r="WJP617" s="5" t="s">
        <v>3728</v>
      </c>
      <c r="WJQ617" s="17">
        <v>44925</v>
      </c>
      <c r="WJR617" s="5" t="s">
        <v>3728</v>
      </c>
      <c r="WJS617" s="17">
        <v>44925</v>
      </c>
      <c r="WJT617" s="5" t="s">
        <v>3728</v>
      </c>
      <c r="WJU617" s="17">
        <v>44925</v>
      </c>
      <c r="WJV617" s="5" t="s">
        <v>3728</v>
      </c>
      <c r="WJW617" s="17">
        <v>44925</v>
      </c>
      <c r="WJX617" s="5" t="s">
        <v>3728</v>
      </c>
      <c r="WJY617" s="17">
        <v>44925</v>
      </c>
      <c r="WJZ617" s="5" t="s">
        <v>3728</v>
      </c>
      <c r="WKA617" s="17">
        <v>44925</v>
      </c>
      <c r="WKB617" s="5" t="s">
        <v>3728</v>
      </c>
      <c r="WKC617" s="17">
        <v>44925</v>
      </c>
      <c r="WKD617" s="5" t="s">
        <v>3728</v>
      </c>
      <c r="WKE617" s="17">
        <v>44925</v>
      </c>
      <c r="WKF617" s="5" t="s">
        <v>3728</v>
      </c>
      <c r="WKG617" s="17">
        <v>44925</v>
      </c>
      <c r="WKH617" s="5" t="s">
        <v>3728</v>
      </c>
      <c r="WKI617" s="17">
        <v>44925</v>
      </c>
      <c r="WKJ617" s="5" t="s">
        <v>3728</v>
      </c>
      <c r="WKK617" s="17">
        <v>44925</v>
      </c>
      <c r="WKL617" s="5" t="s">
        <v>3728</v>
      </c>
      <c r="WKM617" s="17">
        <v>44925</v>
      </c>
      <c r="WKN617" s="5" t="s">
        <v>3728</v>
      </c>
      <c r="WKO617" s="17">
        <v>44925</v>
      </c>
      <c r="WKP617" s="5" t="s">
        <v>3728</v>
      </c>
      <c r="WKQ617" s="17">
        <v>44925</v>
      </c>
      <c r="WKR617" s="5" t="s">
        <v>3728</v>
      </c>
      <c r="WKS617" s="17">
        <v>44925</v>
      </c>
      <c r="WKT617" s="5" t="s">
        <v>3728</v>
      </c>
      <c r="WKU617" s="17">
        <v>44925</v>
      </c>
      <c r="WKV617" s="5" t="s">
        <v>3728</v>
      </c>
      <c r="WKW617" s="17">
        <v>44925</v>
      </c>
      <c r="WKX617" s="5" t="s">
        <v>3728</v>
      </c>
      <c r="WKY617" s="17">
        <v>44925</v>
      </c>
      <c r="WKZ617" s="5" t="s">
        <v>3728</v>
      </c>
      <c r="WLA617" s="17">
        <v>44925</v>
      </c>
      <c r="WLB617" s="5" t="s">
        <v>3728</v>
      </c>
      <c r="WLC617" s="17">
        <v>44925</v>
      </c>
      <c r="WLD617" s="5" t="s">
        <v>3728</v>
      </c>
      <c r="WLE617" s="17">
        <v>44925</v>
      </c>
      <c r="WLF617" s="5" t="s">
        <v>3728</v>
      </c>
      <c r="WLG617" s="17">
        <v>44925</v>
      </c>
      <c r="WLH617" s="5" t="s">
        <v>3728</v>
      </c>
      <c r="WLI617" s="17">
        <v>44925</v>
      </c>
      <c r="WLJ617" s="5" t="s">
        <v>3728</v>
      </c>
      <c r="WLK617" s="17">
        <v>44925</v>
      </c>
      <c r="WLL617" s="5" t="s">
        <v>3728</v>
      </c>
      <c r="WLM617" s="17">
        <v>44925</v>
      </c>
      <c r="WLN617" s="5" t="s">
        <v>3728</v>
      </c>
      <c r="WLO617" s="17">
        <v>44925</v>
      </c>
      <c r="WLP617" s="5" t="s">
        <v>3728</v>
      </c>
      <c r="WLQ617" s="17">
        <v>44925</v>
      </c>
      <c r="WLR617" s="5" t="s">
        <v>3728</v>
      </c>
      <c r="WLS617" s="17">
        <v>44925</v>
      </c>
      <c r="WLT617" s="5" t="s">
        <v>3728</v>
      </c>
      <c r="WLU617" s="17">
        <v>44925</v>
      </c>
      <c r="WLV617" s="5" t="s">
        <v>3728</v>
      </c>
      <c r="WLW617" s="17">
        <v>44925</v>
      </c>
      <c r="WLX617" s="5" t="s">
        <v>3728</v>
      </c>
      <c r="WLY617" s="17">
        <v>44925</v>
      </c>
      <c r="WLZ617" s="5" t="s">
        <v>3728</v>
      </c>
      <c r="WMA617" s="17">
        <v>44925</v>
      </c>
      <c r="WMB617" s="5" t="s">
        <v>3728</v>
      </c>
      <c r="WMC617" s="17">
        <v>44925</v>
      </c>
      <c r="WMD617" s="5" t="s">
        <v>3728</v>
      </c>
      <c r="WME617" s="17">
        <v>44925</v>
      </c>
      <c r="WMF617" s="5" t="s">
        <v>3728</v>
      </c>
      <c r="WMG617" s="17">
        <v>44925</v>
      </c>
      <c r="WMH617" s="5" t="s">
        <v>3728</v>
      </c>
      <c r="WMI617" s="17">
        <v>44925</v>
      </c>
      <c r="WMJ617" s="5" t="s">
        <v>3728</v>
      </c>
      <c r="WMK617" s="17">
        <v>44925</v>
      </c>
      <c r="WML617" s="5" t="s">
        <v>3728</v>
      </c>
      <c r="WMM617" s="17">
        <v>44925</v>
      </c>
      <c r="WMN617" s="5" t="s">
        <v>3728</v>
      </c>
      <c r="WMO617" s="17">
        <v>44925</v>
      </c>
      <c r="WMP617" s="5" t="s">
        <v>3728</v>
      </c>
      <c r="WMQ617" s="17">
        <v>44925</v>
      </c>
      <c r="WMR617" s="5" t="s">
        <v>3728</v>
      </c>
      <c r="WMS617" s="17">
        <v>44925</v>
      </c>
      <c r="WMT617" s="5" t="s">
        <v>3728</v>
      </c>
      <c r="WMU617" s="17">
        <v>44925</v>
      </c>
      <c r="WMV617" s="5" t="s">
        <v>3728</v>
      </c>
      <c r="WMW617" s="17">
        <v>44925</v>
      </c>
      <c r="WMX617" s="5" t="s">
        <v>3728</v>
      </c>
      <c r="WMY617" s="17">
        <v>44925</v>
      </c>
      <c r="WMZ617" s="5" t="s">
        <v>3728</v>
      </c>
      <c r="WNA617" s="17">
        <v>44925</v>
      </c>
      <c r="WNB617" s="5" t="s">
        <v>3728</v>
      </c>
      <c r="WNC617" s="17">
        <v>44925</v>
      </c>
      <c r="WND617" s="5" t="s">
        <v>3728</v>
      </c>
      <c r="WNE617" s="17">
        <v>44925</v>
      </c>
      <c r="WNF617" s="5" t="s">
        <v>3728</v>
      </c>
      <c r="WNG617" s="17">
        <v>44925</v>
      </c>
      <c r="WNH617" s="5" t="s">
        <v>3728</v>
      </c>
      <c r="WNI617" s="17">
        <v>44925</v>
      </c>
      <c r="WNJ617" s="5" t="s">
        <v>3728</v>
      </c>
      <c r="WNK617" s="17">
        <v>44925</v>
      </c>
      <c r="WNL617" s="5" t="s">
        <v>3728</v>
      </c>
      <c r="WNM617" s="17">
        <v>44925</v>
      </c>
      <c r="WNN617" s="5" t="s">
        <v>3728</v>
      </c>
      <c r="WNO617" s="17">
        <v>44925</v>
      </c>
      <c r="WNP617" s="5" t="s">
        <v>3728</v>
      </c>
      <c r="WNQ617" s="17">
        <v>44925</v>
      </c>
      <c r="WNR617" s="5" t="s">
        <v>3728</v>
      </c>
      <c r="WNS617" s="17">
        <v>44925</v>
      </c>
      <c r="WNT617" s="5" t="s">
        <v>3728</v>
      </c>
      <c r="WNU617" s="17">
        <v>44925</v>
      </c>
      <c r="WNV617" s="5" t="s">
        <v>3728</v>
      </c>
      <c r="WNW617" s="17">
        <v>44925</v>
      </c>
      <c r="WNX617" s="5" t="s">
        <v>3728</v>
      </c>
      <c r="WNY617" s="17">
        <v>44925</v>
      </c>
      <c r="WNZ617" s="5" t="s">
        <v>3728</v>
      </c>
      <c r="WOA617" s="17">
        <v>44925</v>
      </c>
      <c r="WOB617" s="5" t="s">
        <v>3728</v>
      </c>
      <c r="WOC617" s="17">
        <v>44925</v>
      </c>
      <c r="WOD617" s="5" t="s">
        <v>3728</v>
      </c>
      <c r="WOE617" s="17">
        <v>44925</v>
      </c>
      <c r="WOF617" s="5" t="s">
        <v>3728</v>
      </c>
      <c r="WOG617" s="17">
        <v>44925</v>
      </c>
      <c r="WOH617" s="5" t="s">
        <v>3728</v>
      </c>
      <c r="WOI617" s="17">
        <v>44925</v>
      </c>
      <c r="WOJ617" s="5" t="s">
        <v>3728</v>
      </c>
      <c r="WOK617" s="17">
        <v>44925</v>
      </c>
      <c r="WOL617" s="5" t="s">
        <v>3728</v>
      </c>
      <c r="WOM617" s="17">
        <v>44925</v>
      </c>
      <c r="WON617" s="5" t="s">
        <v>3728</v>
      </c>
      <c r="WOO617" s="17">
        <v>44925</v>
      </c>
      <c r="WOP617" s="5" t="s">
        <v>3728</v>
      </c>
      <c r="WOQ617" s="17">
        <v>44925</v>
      </c>
      <c r="WOR617" s="5" t="s">
        <v>3728</v>
      </c>
      <c r="WOS617" s="17">
        <v>44925</v>
      </c>
      <c r="WOT617" s="5" t="s">
        <v>3728</v>
      </c>
      <c r="WOU617" s="17">
        <v>44925</v>
      </c>
      <c r="WOV617" s="5" t="s">
        <v>3728</v>
      </c>
      <c r="WOW617" s="17">
        <v>44925</v>
      </c>
      <c r="WOX617" s="5" t="s">
        <v>3728</v>
      </c>
      <c r="WOY617" s="17">
        <v>44925</v>
      </c>
      <c r="WOZ617" s="5" t="s">
        <v>3728</v>
      </c>
      <c r="WPA617" s="17">
        <v>44925</v>
      </c>
      <c r="WPB617" s="5" t="s">
        <v>3728</v>
      </c>
      <c r="WPC617" s="17">
        <v>44925</v>
      </c>
      <c r="WPD617" s="5" t="s">
        <v>3728</v>
      </c>
      <c r="WPE617" s="17">
        <v>44925</v>
      </c>
      <c r="WPF617" s="5" t="s">
        <v>3728</v>
      </c>
      <c r="WPG617" s="17">
        <v>44925</v>
      </c>
      <c r="WPH617" s="5" t="s">
        <v>3728</v>
      </c>
      <c r="WPI617" s="17">
        <v>44925</v>
      </c>
      <c r="WPJ617" s="5" t="s">
        <v>3728</v>
      </c>
      <c r="WPK617" s="17">
        <v>44925</v>
      </c>
      <c r="WPL617" s="5" t="s">
        <v>3728</v>
      </c>
      <c r="WPM617" s="17">
        <v>44925</v>
      </c>
      <c r="WPN617" s="5" t="s">
        <v>3728</v>
      </c>
      <c r="WPO617" s="17">
        <v>44925</v>
      </c>
      <c r="WPP617" s="5" t="s">
        <v>3728</v>
      </c>
      <c r="WPQ617" s="17">
        <v>44925</v>
      </c>
      <c r="WPR617" s="5" t="s">
        <v>3728</v>
      </c>
      <c r="WPS617" s="17">
        <v>44925</v>
      </c>
      <c r="WPT617" s="5" t="s">
        <v>3728</v>
      </c>
      <c r="WPU617" s="17">
        <v>44925</v>
      </c>
      <c r="WPV617" s="5" t="s">
        <v>3728</v>
      </c>
      <c r="WPW617" s="17">
        <v>44925</v>
      </c>
      <c r="WPX617" s="5" t="s">
        <v>3728</v>
      </c>
      <c r="WPY617" s="17">
        <v>44925</v>
      </c>
      <c r="WPZ617" s="5" t="s">
        <v>3728</v>
      </c>
      <c r="WQA617" s="17">
        <v>44925</v>
      </c>
      <c r="WQB617" s="5" t="s">
        <v>3728</v>
      </c>
      <c r="WQC617" s="17">
        <v>44925</v>
      </c>
      <c r="WQD617" s="5" t="s">
        <v>3728</v>
      </c>
      <c r="WQE617" s="17">
        <v>44925</v>
      </c>
      <c r="WQF617" s="5" t="s">
        <v>3728</v>
      </c>
      <c r="WQG617" s="17">
        <v>44925</v>
      </c>
      <c r="WQH617" s="5" t="s">
        <v>3728</v>
      </c>
      <c r="WQI617" s="17">
        <v>44925</v>
      </c>
      <c r="WQJ617" s="5" t="s">
        <v>3728</v>
      </c>
      <c r="WQK617" s="17">
        <v>44925</v>
      </c>
      <c r="WQL617" s="5" t="s">
        <v>3728</v>
      </c>
      <c r="WQM617" s="17">
        <v>44925</v>
      </c>
      <c r="WQN617" s="5" t="s">
        <v>3728</v>
      </c>
      <c r="WQO617" s="17">
        <v>44925</v>
      </c>
      <c r="WQP617" s="5" t="s">
        <v>3728</v>
      </c>
      <c r="WQQ617" s="17">
        <v>44925</v>
      </c>
      <c r="WQR617" s="5" t="s">
        <v>3728</v>
      </c>
      <c r="WQS617" s="17">
        <v>44925</v>
      </c>
      <c r="WQT617" s="5" t="s">
        <v>3728</v>
      </c>
      <c r="WQU617" s="17">
        <v>44925</v>
      </c>
      <c r="WQV617" s="5" t="s">
        <v>3728</v>
      </c>
      <c r="WQW617" s="17">
        <v>44925</v>
      </c>
      <c r="WQX617" s="5" t="s">
        <v>3728</v>
      </c>
      <c r="WQY617" s="17">
        <v>44925</v>
      </c>
      <c r="WQZ617" s="5" t="s">
        <v>3728</v>
      </c>
      <c r="WRA617" s="17">
        <v>44925</v>
      </c>
      <c r="WRB617" s="5" t="s">
        <v>3728</v>
      </c>
      <c r="WRC617" s="17">
        <v>44925</v>
      </c>
      <c r="WRD617" s="5" t="s">
        <v>3728</v>
      </c>
      <c r="WRE617" s="17">
        <v>44925</v>
      </c>
      <c r="WRF617" s="5" t="s">
        <v>3728</v>
      </c>
      <c r="WRG617" s="17">
        <v>44925</v>
      </c>
      <c r="WRH617" s="5" t="s">
        <v>3728</v>
      </c>
      <c r="WRI617" s="17">
        <v>44925</v>
      </c>
      <c r="WRJ617" s="5" t="s">
        <v>3728</v>
      </c>
      <c r="WRK617" s="17">
        <v>44925</v>
      </c>
      <c r="WRL617" s="5" t="s">
        <v>3728</v>
      </c>
      <c r="WRM617" s="17">
        <v>44925</v>
      </c>
      <c r="WRN617" s="5" t="s">
        <v>3728</v>
      </c>
      <c r="WRO617" s="17">
        <v>44925</v>
      </c>
      <c r="WRP617" s="5" t="s">
        <v>3728</v>
      </c>
      <c r="WRQ617" s="17">
        <v>44925</v>
      </c>
      <c r="WRR617" s="5" t="s">
        <v>3728</v>
      </c>
      <c r="WRS617" s="17">
        <v>44925</v>
      </c>
      <c r="WRT617" s="5" t="s">
        <v>3728</v>
      </c>
      <c r="WRU617" s="17">
        <v>44925</v>
      </c>
      <c r="WRV617" s="5" t="s">
        <v>3728</v>
      </c>
      <c r="WRW617" s="17">
        <v>44925</v>
      </c>
      <c r="WRX617" s="5" t="s">
        <v>3728</v>
      </c>
      <c r="WRY617" s="17">
        <v>44925</v>
      </c>
      <c r="WRZ617" s="5" t="s">
        <v>3728</v>
      </c>
      <c r="WSA617" s="17">
        <v>44925</v>
      </c>
      <c r="WSB617" s="5" t="s">
        <v>3728</v>
      </c>
      <c r="WSC617" s="17">
        <v>44925</v>
      </c>
      <c r="WSD617" s="5" t="s">
        <v>3728</v>
      </c>
      <c r="WSE617" s="17">
        <v>44925</v>
      </c>
      <c r="WSF617" s="5" t="s">
        <v>3728</v>
      </c>
      <c r="WSG617" s="17">
        <v>44925</v>
      </c>
      <c r="WSH617" s="5" t="s">
        <v>3728</v>
      </c>
      <c r="WSI617" s="17">
        <v>44925</v>
      </c>
      <c r="WSJ617" s="5" t="s">
        <v>3728</v>
      </c>
      <c r="WSK617" s="17">
        <v>44925</v>
      </c>
      <c r="WSL617" s="5" t="s">
        <v>3728</v>
      </c>
      <c r="WSM617" s="17">
        <v>44925</v>
      </c>
      <c r="WSN617" s="5" t="s">
        <v>3728</v>
      </c>
      <c r="WSO617" s="17">
        <v>44925</v>
      </c>
      <c r="WSP617" s="5" t="s">
        <v>3728</v>
      </c>
      <c r="WSQ617" s="17">
        <v>44925</v>
      </c>
      <c r="WSR617" s="5" t="s">
        <v>3728</v>
      </c>
      <c r="WSS617" s="17">
        <v>44925</v>
      </c>
      <c r="WST617" s="5" t="s">
        <v>3728</v>
      </c>
      <c r="WSU617" s="17">
        <v>44925</v>
      </c>
      <c r="WSV617" s="5" t="s">
        <v>3728</v>
      </c>
      <c r="WSW617" s="17">
        <v>44925</v>
      </c>
      <c r="WSX617" s="5" t="s">
        <v>3728</v>
      </c>
      <c r="WSY617" s="17">
        <v>44925</v>
      </c>
      <c r="WSZ617" s="5" t="s">
        <v>3728</v>
      </c>
      <c r="WTA617" s="17">
        <v>44925</v>
      </c>
      <c r="WTB617" s="5" t="s">
        <v>3728</v>
      </c>
      <c r="WTC617" s="17">
        <v>44925</v>
      </c>
      <c r="WTD617" s="5" t="s">
        <v>3728</v>
      </c>
      <c r="WTE617" s="17">
        <v>44925</v>
      </c>
      <c r="WTF617" s="5" t="s">
        <v>3728</v>
      </c>
      <c r="WTG617" s="17">
        <v>44925</v>
      </c>
      <c r="WTH617" s="5" t="s">
        <v>3728</v>
      </c>
      <c r="WTI617" s="17">
        <v>44925</v>
      </c>
      <c r="WTJ617" s="5" t="s">
        <v>3728</v>
      </c>
      <c r="WTK617" s="17">
        <v>44925</v>
      </c>
      <c r="WTL617" s="5" t="s">
        <v>3728</v>
      </c>
      <c r="WTM617" s="17">
        <v>44925</v>
      </c>
      <c r="WTN617" s="5" t="s">
        <v>3728</v>
      </c>
      <c r="WTO617" s="17">
        <v>44925</v>
      </c>
      <c r="WTP617" s="5" t="s">
        <v>3728</v>
      </c>
      <c r="WTQ617" s="17">
        <v>44925</v>
      </c>
      <c r="WTR617" s="5" t="s">
        <v>3728</v>
      </c>
      <c r="WTS617" s="17">
        <v>44925</v>
      </c>
      <c r="WTT617" s="5" t="s">
        <v>3728</v>
      </c>
      <c r="WTU617" s="17">
        <v>44925</v>
      </c>
      <c r="WTV617" s="5" t="s">
        <v>3728</v>
      </c>
      <c r="WTW617" s="17">
        <v>44925</v>
      </c>
      <c r="WTX617" s="5" t="s">
        <v>3728</v>
      </c>
      <c r="WTY617" s="17">
        <v>44925</v>
      </c>
      <c r="WTZ617" s="5" t="s">
        <v>3728</v>
      </c>
      <c r="WUA617" s="17">
        <v>44925</v>
      </c>
      <c r="WUB617" s="5" t="s">
        <v>3728</v>
      </c>
      <c r="WUC617" s="17">
        <v>44925</v>
      </c>
      <c r="WUD617" s="5" t="s">
        <v>3728</v>
      </c>
      <c r="WUE617" s="17">
        <v>44925</v>
      </c>
      <c r="WUF617" s="5" t="s">
        <v>3728</v>
      </c>
      <c r="WUG617" s="17">
        <v>44925</v>
      </c>
      <c r="WUH617" s="5" t="s">
        <v>3728</v>
      </c>
      <c r="WUI617" s="17">
        <v>44925</v>
      </c>
      <c r="WUJ617" s="5" t="s">
        <v>3728</v>
      </c>
      <c r="WUK617" s="17">
        <v>44925</v>
      </c>
      <c r="WUL617" s="5" t="s">
        <v>3728</v>
      </c>
      <c r="WUM617" s="17">
        <v>44925</v>
      </c>
      <c r="WUN617" s="5" t="s">
        <v>3728</v>
      </c>
      <c r="WUO617" s="17">
        <v>44925</v>
      </c>
      <c r="WUP617" s="5" t="s">
        <v>3728</v>
      </c>
      <c r="WUQ617" s="17">
        <v>44925</v>
      </c>
      <c r="WUR617" s="5" t="s">
        <v>3728</v>
      </c>
      <c r="WUS617" s="17">
        <v>44925</v>
      </c>
      <c r="WUT617" s="5" t="s">
        <v>3728</v>
      </c>
      <c r="WUU617" s="17">
        <v>44925</v>
      </c>
      <c r="WUV617" s="5" t="s">
        <v>3728</v>
      </c>
      <c r="WUW617" s="17">
        <v>44925</v>
      </c>
      <c r="WUX617" s="5" t="s">
        <v>3728</v>
      </c>
      <c r="WUY617" s="17">
        <v>44925</v>
      </c>
      <c r="WUZ617" s="5" t="s">
        <v>3728</v>
      </c>
      <c r="WVA617" s="17">
        <v>44925</v>
      </c>
      <c r="WVB617" s="5" t="s">
        <v>3728</v>
      </c>
      <c r="WVC617" s="17">
        <v>44925</v>
      </c>
      <c r="WVD617" s="5" t="s">
        <v>3728</v>
      </c>
      <c r="WVE617" s="17">
        <v>44925</v>
      </c>
      <c r="WVF617" s="5" t="s">
        <v>3728</v>
      </c>
      <c r="WVG617" s="17">
        <v>44925</v>
      </c>
      <c r="WVH617" s="5" t="s">
        <v>3728</v>
      </c>
      <c r="WVI617" s="17">
        <v>44925</v>
      </c>
      <c r="WVJ617" s="5" t="s">
        <v>3728</v>
      </c>
      <c r="WVK617" s="17">
        <v>44925</v>
      </c>
      <c r="WVL617" s="5" t="s">
        <v>3728</v>
      </c>
      <c r="WVM617" s="17">
        <v>44925</v>
      </c>
      <c r="WVN617" s="5" t="s">
        <v>3728</v>
      </c>
      <c r="WVO617" s="17">
        <v>44925</v>
      </c>
      <c r="WVP617" s="5" t="s">
        <v>3728</v>
      </c>
      <c r="WVQ617" s="17">
        <v>44925</v>
      </c>
      <c r="WVR617" s="5" t="s">
        <v>3728</v>
      </c>
      <c r="WVS617" s="17">
        <v>44925</v>
      </c>
      <c r="WVT617" s="5" t="s">
        <v>3728</v>
      </c>
      <c r="WVU617" s="17">
        <v>44925</v>
      </c>
      <c r="WVV617" s="5" t="s">
        <v>3728</v>
      </c>
      <c r="WVW617" s="17">
        <v>44925</v>
      </c>
      <c r="WVX617" s="5" t="s">
        <v>3728</v>
      </c>
      <c r="WVY617" s="17">
        <v>44925</v>
      </c>
      <c r="WVZ617" s="5" t="s">
        <v>3728</v>
      </c>
      <c r="WWA617" s="17">
        <v>44925</v>
      </c>
      <c r="WWB617" s="5" t="s">
        <v>3728</v>
      </c>
      <c r="WWC617" s="17">
        <v>44925</v>
      </c>
      <c r="WWD617" s="5" t="s">
        <v>3728</v>
      </c>
      <c r="WWE617" s="17">
        <v>44925</v>
      </c>
      <c r="WWF617" s="5" t="s">
        <v>3728</v>
      </c>
      <c r="WWG617" s="17">
        <v>44925</v>
      </c>
      <c r="WWH617" s="5" t="s">
        <v>3728</v>
      </c>
      <c r="WWI617" s="17">
        <v>44925</v>
      </c>
      <c r="WWJ617" s="5" t="s">
        <v>3728</v>
      </c>
      <c r="WWK617" s="17">
        <v>44925</v>
      </c>
      <c r="WWL617" s="5" t="s">
        <v>3728</v>
      </c>
      <c r="WWM617" s="17">
        <v>44925</v>
      </c>
      <c r="WWN617" s="5" t="s">
        <v>3728</v>
      </c>
      <c r="WWO617" s="17">
        <v>44925</v>
      </c>
      <c r="WWP617" s="5" t="s">
        <v>3728</v>
      </c>
      <c r="WWQ617" s="17">
        <v>44925</v>
      </c>
      <c r="WWR617" s="5" t="s">
        <v>3728</v>
      </c>
      <c r="WWS617" s="17">
        <v>44925</v>
      </c>
      <c r="WWT617" s="5" t="s">
        <v>3728</v>
      </c>
      <c r="WWU617" s="17">
        <v>44925</v>
      </c>
      <c r="WWV617" s="5" t="s">
        <v>3728</v>
      </c>
      <c r="WWW617" s="17">
        <v>44925</v>
      </c>
      <c r="WWX617" s="5" t="s">
        <v>3728</v>
      </c>
      <c r="WWY617" s="17">
        <v>44925</v>
      </c>
      <c r="WWZ617" s="5" t="s">
        <v>3728</v>
      </c>
      <c r="WXA617" s="17">
        <v>44925</v>
      </c>
      <c r="WXB617" s="5" t="s">
        <v>3728</v>
      </c>
      <c r="WXC617" s="17">
        <v>44925</v>
      </c>
      <c r="WXD617" s="5" t="s">
        <v>3728</v>
      </c>
      <c r="WXE617" s="17">
        <v>44925</v>
      </c>
      <c r="WXF617" s="5" t="s">
        <v>3728</v>
      </c>
      <c r="WXG617" s="17">
        <v>44925</v>
      </c>
      <c r="WXH617" s="5" t="s">
        <v>3728</v>
      </c>
      <c r="WXI617" s="17">
        <v>44925</v>
      </c>
      <c r="WXJ617" s="5" t="s">
        <v>3728</v>
      </c>
      <c r="WXK617" s="17">
        <v>44925</v>
      </c>
      <c r="WXL617" s="5" t="s">
        <v>3728</v>
      </c>
      <c r="WXM617" s="17">
        <v>44925</v>
      </c>
      <c r="WXN617" s="5" t="s">
        <v>3728</v>
      </c>
      <c r="WXO617" s="17">
        <v>44925</v>
      </c>
      <c r="WXP617" s="5" t="s">
        <v>3728</v>
      </c>
      <c r="WXQ617" s="17">
        <v>44925</v>
      </c>
      <c r="WXR617" s="5" t="s">
        <v>3728</v>
      </c>
      <c r="WXS617" s="17">
        <v>44925</v>
      </c>
      <c r="WXT617" s="5" t="s">
        <v>3728</v>
      </c>
      <c r="WXU617" s="17">
        <v>44925</v>
      </c>
      <c r="WXV617" s="5" t="s">
        <v>3728</v>
      </c>
      <c r="WXW617" s="17">
        <v>44925</v>
      </c>
      <c r="WXX617" s="5" t="s">
        <v>3728</v>
      </c>
      <c r="WXY617" s="17">
        <v>44925</v>
      </c>
      <c r="WXZ617" s="5" t="s">
        <v>3728</v>
      </c>
      <c r="WYA617" s="17">
        <v>44925</v>
      </c>
      <c r="WYB617" s="5" t="s">
        <v>3728</v>
      </c>
      <c r="WYC617" s="17">
        <v>44925</v>
      </c>
      <c r="WYD617" s="5" t="s">
        <v>3728</v>
      </c>
      <c r="WYE617" s="17">
        <v>44925</v>
      </c>
      <c r="WYF617" s="5" t="s">
        <v>3728</v>
      </c>
      <c r="WYG617" s="17">
        <v>44925</v>
      </c>
      <c r="WYH617" s="5" t="s">
        <v>3728</v>
      </c>
      <c r="WYI617" s="17">
        <v>44925</v>
      </c>
      <c r="WYJ617" s="5" t="s">
        <v>3728</v>
      </c>
      <c r="WYK617" s="17">
        <v>44925</v>
      </c>
      <c r="WYL617" s="5" t="s">
        <v>3728</v>
      </c>
      <c r="WYM617" s="17">
        <v>44925</v>
      </c>
      <c r="WYN617" s="5" t="s">
        <v>3728</v>
      </c>
      <c r="WYO617" s="17">
        <v>44925</v>
      </c>
      <c r="WYP617" s="5" t="s">
        <v>3728</v>
      </c>
      <c r="WYQ617" s="17">
        <v>44925</v>
      </c>
      <c r="WYR617" s="5" t="s">
        <v>3728</v>
      </c>
      <c r="WYS617" s="17">
        <v>44925</v>
      </c>
      <c r="WYT617" s="5" t="s">
        <v>3728</v>
      </c>
      <c r="WYU617" s="17">
        <v>44925</v>
      </c>
      <c r="WYV617" s="5" t="s">
        <v>3728</v>
      </c>
      <c r="WYW617" s="17">
        <v>44925</v>
      </c>
      <c r="WYX617" s="5" t="s">
        <v>3728</v>
      </c>
      <c r="WYY617" s="17">
        <v>44925</v>
      </c>
      <c r="WYZ617" s="5" t="s">
        <v>3728</v>
      </c>
      <c r="WZA617" s="17">
        <v>44925</v>
      </c>
      <c r="WZB617" s="5" t="s">
        <v>3728</v>
      </c>
      <c r="WZC617" s="17">
        <v>44925</v>
      </c>
      <c r="WZD617" s="5" t="s">
        <v>3728</v>
      </c>
      <c r="WZE617" s="17">
        <v>44925</v>
      </c>
      <c r="WZF617" s="5" t="s">
        <v>3728</v>
      </c>
      <c r="WZG617" s="17">
        <v>44925</v>
      </c>
      <c r="WZH617" s="5" t="s">
        <v>3728</v>
      </c>
      <c r="WZI617" s="17">
        <v>44925</v>
      </c>
      <c r="WZJ617" s="5" t="s">
        <v>3728</v>
      </c>
      <c r="WZK617" s="17">
        <v>44925</v>
      </c>
      <c r="WZL617" s="5" t="s">
        <v>3728</v>
      </c>
      <c r="WZM617" s="17">
        <v>44925</v>
      </c>
      <c r="WZN617" s="5" t="s">
        <v>3728</v>
      </c>
      <c r="WZO617" s="17">
        <v>44925</v>
      </c>
      <c r="WZP617" s="5" t="s">
        <v>3728</v>
      </c>
      <c r="WZQ617" s="17">
        <v>44925</v>
      </c>
      <c r="WZR617" s="5" t="s">
        <v>3728</v>
      </c>
      <c r="WZS617" s="17">
        <v>44925</v>
      </c>
      <c r="WZT617" s="5" t="s">
        <v>3728</v>
      </c>
      <c r="WZU617" s="17">
        <v>44925</v>
      </c>
      <c r="WZV617" s="5" t="s">
        <v>3728</v>
      </c>
      <c r="WZW617" s="17">
        <v>44925</v>
      </c>
      <c r="WZX617" s="5" t="s">
        <v>3728</v>
      </c>
      <c r="WZY617" s="17">
        <v>44925</v>
      </c>
      <c r="WZZ617" s="5" t="s">
        <v>3728</v>
      </c>
      <c r="XAA617" s="17">
        <v>44925</v>
      </c>
      <c r="XAB617" s="5" t="s">
        <v>3728</v>
      </c>
      <c r="XAC617" s="17">
        <v>44925</v>
      </c>
      <c r="XAD617" s="5" t="s">
        <v>3728</v>
      </c>
      <c r="XAE617" s="17">
        <v>44925</v>
      </c>
      <c r="XAF617" s="5" t="s">
        <v>3728</v>
      </c>
      <c r="XAG617" s="17">
        <v>44925</v>
      </c>
      <c r="XAH617" s="5" t="s">
        <v>3728</v>
      </c>
      <c r="XAI617" s="17">
        <v>44925</v>
      </c>
      <c r="XAJ617" s="5" t="s">
        <v>3728</v>
      </c>
      <c r="XAK617" s="17">
        <v>44925</v>
      </c>
      <c r="XAL617" s="5" t="s">
        <v>3728</v>
      </c>
      <c r="XAM617" s="17">
        <v>44925</v>
      </c>
      <c r="XAN617" s="5" t="s">
        <v>3728</v>
      </c>
      <c r="XAO617" s="17">
        <v>44925</v>
      </c>
      <c r="XAP617" s="5" t="s">
        <v>3728</v>
      </c>
      <c r="XAQ617" s="17">
        <v>44925</v>
      </c>
      <c r="XAR617" s="5" t="s">
        <v>3728</v>
      </c>
      <c r="XAS617" s="17">
        <v>44925</v>
      </c>
      <c r="XAT617" s="5" t="s">
        <v>3728</v>
      </c>
      <c r="XAU617" s="17">
        <v>44925</v>
      </c>
      <c r="XAV617" s="5" t="s">
        <v>3728</v>
      </c>
      <c r="XAW617" s="17">
        <v>44925</v>
      </c>
      <c r="XAX617" s="5" t="s">
        <v>3728</v>
      </c>
      <c r="XAY617" s="17">
        <v>44925</v>
      </c>
      <c r="XAZ617" s="5" t="s">
        <v>3728</v>
      </c>
      <c r="XBA617" s="17">
        <v>44925</v>
      </c>
      <c r="XBB617" s="5" t="s">
        <v>3728</v>
      </c>
      <c r="XBC617" s="17">
        <v>44925</v>
      </c>
      <c r="XBD617" s="5" t="s">
        <v>3728</v>
      </c>
      <c r="XBE617" s="17">
        <v>44925</v>
      </c>
      <c r="XBF617" s="5" t="s">
        <v>3728</v>
      </c>
      <c r="XBG617" s="17">
        <v>44925</v>
      </c>
      <c r="XBH617" s="5" t="s">
        <v>3728</v>
      </c>
      <c r="XBI617" s="17">
        <v>44925</v>
      </c>
      <c r="XBJ617" s="5" t="s">
        <v>3728</v>
      </c>
      <c r="XBK617" s="17">
        <v>44925</v>
      </c>
      <c r="XBL617" s="5" t="s">
        <v>3728</v>
      </c>
      <c r="XBM617" s="17">
        <v>44925</v>
      </c>
      <c r="XBN617" s="5" t="s">
        <v>3728</v>
      </c>
      <c r="XBO617" s="17">
        <v>44925</v>
      </c>
      <c r="XBP617" s="5" t="s">
        <v>3728</v>
      </c>
      <c r="XBQ617" s="17">
        <v>44925</v>
      </c>
      <c r="XBR617" s="5" t="s">
        <v>3728</v>
      </c>
      <c r="XBS617" s="17">
        <v>44925</v>
      </c>
      <c r="XBT617" s="5" t="s">
        <v>3728</v>
      </c>
      <c r="XBU617" s="17">
        <v>44925</v>
      </c>
      <c r="XBV617" s="5" t="s">
        <v>3728</v>
      </c>
      <c r="XBW617" s="17">
        <v>44925</v>
      </c>
      <c r="XBX617" s="5" t="s">
        <v>3728</v>
      </c>
      <c r="XBY617" s="17">
        <v>44925</v>
      </c>
      <c r="XBZ617" s="5" t="s">
        <v>3728</v>
      </c>
      <c r="XCA617" s="17">
        <v>44925</v>
      </c>
      <c r="XCB617" s="5" t="s">
        <v>3728</v>
      </c>
      <c r="XCC617" s="17">
        <v>44925</v>
      </c>
      <c r="XCD617" s="5" t="s">
        <v>3728</v>
      </c>
      <c r="XCE617" s="17">
        <v>44925</v>
      </c>
      <c r="XCF617" s="5" t="s">
        <v>3728</v>
      </c>
      <c r="XCG617" s="17">
        <v>44925</v>
      </c>
      <c r="XCH617" s="5" t="s">
        <v>3728</v>
      </c>
      <c r="XCI617" s="17">
        <v>44925</v>
      </c>
      <c r="XCJ617" s="5" t="s">
        <v>3728</v>
      </c>
      <c r="XCK617" s="17">
        <v>44925</v>
      </c>
      <c r="XCL617" s="5" t="s">
        <v>3728</v>
      </c>
      <c r="XCM617" s="17">
        <v>44925</v>
      </c>
      <c r="XCN617" s="5" t="s">
        <v>3728</v>
      </c>
      <c r="XCO617" s="17">
        <v>44925</v>
      </c>
      <c r="XCP617" s="5" t="s">
        <v>3728</v>
      </c>
      <c r="XCQ617" s="17">
        <v>44925</v>
      </c>
      <c r="XCR617" s="5" t="s">
        <v>3728</v>
      </c>
      <c r="XCS617" s="17">
        <v>44925</v>
      </c>
      <c r="XCT617" s="5" t="s">
        <v>3728</v>
      </c>
      <c r="XCU617" s="17">
        <v>44925</v>
      </c>
      <c r="XCV617" s="5" t="s">
        <v>3728</v>
      </c>
      <c r="XCW617" s="17">
        <v>44925</v>
      </c>
      <c r="XCX617" s="5" t="s">
        <v>3728</v>
      </c>
      <c r="XCY617" s="17">
        <v>44925</v>
      </c>
      <c r="XCZ617" s="5" t="s">
        <v>3728</v>
      </c>
      <c r="XDA617" s="17">
        <v>44925</v>
      </c>
      <c r="XDB617" s="5" t="s">
        <v>3728</v>
      </c>
      <c r="XDC617" s="17">
        <v>44925</v>
      </c>
      <c r="XDD617" s="5" t="s">
        <v>3728</v>
      </c>
      <c r="XDE617" s="17">
        <v>44925</v>
      </c>
      <c r="XDF617" s="5" t="s">
        <v>3728</v>
      </c>
      <c r="XDG617" s="17">
        <v>44925</v>
      </c>
      <c r="XDH617" s="5" t="s">
        <v>3728</v>
      </c>
      <c r="XDI617" s="17">
        <v>44925</v>
      </c>
      <c r="XDJ617" s="5" t="s">
        <v>3728</v>
      </c>
      <c r="XDK617" s="17">
        <v>44925</v>
      </c>
      <c r="XDL617" s="5" t="s">
        <v>3728</v>
      </c>
      <c r="XDM617" s="17">
        <v>44925</v>
      </c>
      <c r="XDN617" s="5" t="s">
        <v>3728</v>
      </c>
      <c r="XDO617" s="17">
        <v>44925</v>
      </c>
      <c r="XDP617" s="5" t="s">
        <v>3728</v>
      </c>
      <c r="XDQ617" s="17">
        <v>44925</v>
      </c>
      <c r="XDR617" s="5" t="s">
        <v>3728</v>
      </c>
      <c r="XDS617" s="17">
        <v>44925</v>
      </c>
      <c r="XDT617" s="5" t="s">
        <v>3728</v>
      </c>
      <c r="XDU617" s="17">
        <v>44925</v>
      </c>
      <c r="XDV617" s="5" t="s">
        <v>3728</v>
      </c>
      <c r="XDW617" s="17">
        <v>44925</v>
      </c>
      <c r="XDX617" s="5" t="s">
        <v>3728</v>
      </c>
      <c r="XDY617" s="17">
        <v>44925</v>
      </c>
      <c r="XDZ617" s="5" t="s">
        <v>3728</v>
      </c>
      <c r="XEA617" s="17">
        <v>44925</v>
      </c>
      <c r="XEB617" s="5" t="s">
        <v>3728</v>
      </c>
      <c r="XEC617" s="17">
        <v>44925</v>
      </c>
      <c r="XED617" s="5" t="s">
        <v>3728</v>
      </c>
      <c r="XEE617" s="17">
        <v>44925</v>
      </c>
      <c r="XEF617" s="5" t="s">
        <v>3728</v>
      </c>
      <c r="XEG617" s="17">
        <v>44925</v>
      </c>
      <c r="XEH617" s="5" t="s">
        <v>3728</v>
      </c>
      <c r="XEI617" s="17">
        <v>44925</v>
      </c>
      <c r="XEJ617" s="5" t="s">
        <v>3728</v>
      </c>
      <c r="XEK617" s="17">
        <v>44925</v>
      </c>
      <c r="XEL617" s="5" t="s">
        <v>3728</v>
      </c>
      <c r="XEM617" s="17">
        <v>44925</v>
      </c>
      <c r="XEN617" s="5" t="s">
        <v>3728</v>
      </c>
      <c r="XEO617" s="17">
        <v>44925</v>
      </c>
      <c r="XEP617" s="5" t="s">
        <v>3728</v>
      </c>
      <c r="XEQ617" s="17">
        <v>44925</v>
      </c>
      <c r="XER617" s="5" t="s">
        <v>3728</v>
      </c>
      <c r="XES617" s="17">
        <v>44925</v>
      </c>
      <c r="XET617" s="5" t="s">
        <v>3728</v>
      </c>
      <c r="XEU617" s="17">
        <v>44925</v>
      </c>
      <c r="XEV617" s="5" t="s">
        <v>3728</v>
      </c>
      <c r="XEW617" s="17">
        <v>44925</v>
      </c>
      <c r="XEX617" s="5" t="s">
        <v>3728</v>
      </c>
      <c r="XEY617" s="17">
        <v>44925</v>
      </c>
      <c r="XEZ617" s="5" t="s">
        <v>3728</v>
      </c>
      <c r="XFA617" s="17">
        <v>44925</v>
      </c>
      <c r="XFB617" s="5" t="s">
        <v>3728</v>
      </c>
    </row>
    <row r="618" spans="1:16382" ht="17.25" customHeight="1" x14ac:dyDescent="0.3">
      <c r="A618" s="169">
        <f t="shared" si="66"/>
        <v>532</v>
      </c>
      <c r="B618" s="21" t="s">
        <v>618</v>
      </c>
      <c r="C618" s="5">
        <v>1956</v>
      </c>
      <c r="D618" s="3"/>
      <c r="E618" s="15" t="s">
        <v>3645</v>
      </c>
      <c r="F618" s="15">
        <v>2</v>
      </c>
      <c r="G618" s="100"/>
      <c r="H618" s="15">
        <v>595.1</v>
      </c>
      <c r="I618" s="15">
        <v>23</v>
      </c>
      <c r="J618" s="19">
        <f t="shared" si="70"/>
        <v>116445.05</v>
      </c>
      <c r="K618" s="105"/>
      <c r="L618" s="105"/>
      <c r="M618" s="105"/>
      <c r="N618" s="19">
        <f>SUMIF('2020'!B:B,B618,'2020'!C:C)+SUMIF('2021'!B:B,B618,'2021'!C:C)+SUMIF('2022'!B:B,B618,'2022'!C:C)</f>
        <v>116445.05</v>
      </c>
      <c r="O618" s="17">
        <v>44925</v>
      </c>
      <c r="P618" s="5" t="s">
        <v>3728</v>
      </c>
      <c r="Q618" s="17">
        <v>44925</v>
      </c>
      <c r="R618" s="5" t="s">
        <v>3728</v>
      </c>
      <c r="S618" s="17">
        <v>44925</v>
      </c>
      <c r="T618" s="5" t="s">
        <v>3728</v>
      </c>
      <c r="U618" s="17">
        <v>44925</v>
      </c>
      <c r="V618" s="5" t="s">
        <v>3728</v>
      </c>
      <c r="W618" s="17">
        <v>44925</v>
      </c>
      <c r="X618" s="5" t="s">
        <v>3728</v>
      </c>
      <c r="Y618" s="17">
        <v>44925</v>
      </c>
      <c r="Z618" s="5" t="s">
        <v>3728</v>
      </c>
      <c r="AA618" s="17">
        <v>44925</v>
      </c>
      <c r="AB618" s="5" t="s">
        <v>3728</v>
      </c>
      <c r="AC618" s="17">
        <v>44925</v>
      </c>
      <c r="AD618" s="5" t="s">
        <v>3728</v>
      </c>
      <c r="AE618" s="17">
        <v>44925</v>
      </c>
      <c r="AF618" s="5" t="s">
        <v>3728</v>
      </c>
      <c r="AG618" s="17">
        <v>44925</v>
      </c>
      <c r="AH618" s="5" t="s">
        <v>3728</v>
      </c>
      <c r="AI618" s="17">
        <v>44925</v>
      </c>
      <c r="AJ618" s="5" t="s">
        <v>3728</v>
      </c>
      <c r="AK618" s="17">
        <v>44925</v>
      </c>
      <c r="AL618" s="5" t="s">
        <v>3728</v>
      </c>
      <c r="AM618" s="17">
        <v>44925</v>
      </c>
      <c r="AN618" s="5" t="s">
        <v>3728</v>
      </c>
      <c r="AO618" s="17">
        <v>44925</v>
      </c>
      <c r="AP618" s="5" t="s">
        <v>3728</v>
      </c>
      <c r="AQ618" s="17">
        <v>44925</v>
      </c>
      <c r="AR618" s="5" t="s">
        <v>3728</v>
      </c>
      <c r="AS618" s="17">
        <v>44925</v>
      </c>
      <c r="AT618" s="5" t="s">
        <v>3728</v>
      </c>
      <c r="AU618" s="17">
        <v>44925</v>
      </c>
      <c r="AV618" s="5" t="s">
        <v>3728</v>
      </c>
      <c r="AW618" s="17">
        <v>44925</v>
      </c>
      <c r="AX618" s="5" t="s">
        <v>3728</v>
      </c>
      <c r="AY618" s="17">
        <v>44925</v>
      </c>
      <c r="AZ618" s="5" t="s">
        <v>3728</v>
      </c>
      <c r="BA618" s="17">
        <v>44925</v>
      </c>
      <c r="BB618" s="5" t="s">
        <v>3728</v>
      </c>
      <c r="BC618" s="17">
        <v>44925</v>
      </c>
      <c r="BD618" s="5" t="s">
        <v>3728</v>
      </c>
      <c r="BE618" s="17">
        <v>44925</v>
      </c>
      <c r="BF618" s="5" t="s">
        <v>3728</v>
      </c>
      <c r="BG618" s="17">
        <v>44925</v>
      </c>
      <c r="BH618" s="5" t="s">
        <v>3728</v>
      </c>
      <c r="BI618" s="17">
        <v>44925</v>
      </c>
      <c r="BJ618" s="5" t="s">
        <v>3728</v>
      </c>
      <c r="BK618" s="17">
        <v>44925</v>
      </c>
      <c r="BL618" s="5" t="s">
        <v>3728</v>
      </c>
      <c r="BM618" s="17">
        <v>44925</v>
      </c>
      <c r="BN618" s="5" t="s">
        <v>3728</v>
      </c>
      <c r="BO618" s="17">
        <v>44925</v>
      </c>
      <c r="BP618" s="5" t="s">
        <v>3728</v>
      </c>
      <c r="BQ618" s="17">
        <v>44925</v>
      </c>
      <c r="BR618" s="5" t="s">
        <v>3728</v>
      </c>
      <c r="BS618" s="17">
        <v>44925</v>
      </c>
      <c r="BT618" s="5" t="s">
        <v>3728</v>
      </c>
      <c r="BU618" s="17">
        <v>44925</v>
      </c>
      <c r="BV618" s="5" t="s">
        <v>3728</v>
      </c>
      <c r="BW618" s="17">
        <v>44925</v>
      </c>
      <c r="BX618" s="5" t="s">
        <v>3728</v>
      </c>
      <c r="BY618" s="17">
        <v>44925</v>
      </c>
      <c r="BZ618" s="5" t="s">
        <v>3728</v>
      </c>
      <c r="CA618" s="17">
        <v>44925</v>
      </c>
      <c r="CB618" s="5" t="s">
        <v>3728</v>
      </c>
      <c r="CC618" s="17">
        <v>44925</v>
      </c>
      <c r="CD618" s="5" t="s">
        <v>3728</v>
      </c>
      <c r="CE618" s="17">
        <v>44925</v>
      </c>
      <c r="CF618" s="5" t="s">
        <v>3728</v>
      </c>
      <c r="CG618" s="17">
        <v>44925</v>
      </c>
      <c r="CH618" s="5" t="s">
        <v>3728</v>
      </c>
      <c r="CI618" s="17">
        <v>44925</v>
      </c>
      <c r="CJ618" s="5" t="s">
        <v>3728</v>
      </c>
      <c r="CK618" s="17">
        <v>44925</v>
      </c>
      <c r="CL618" s="5" t="s">
        <v>3728</v>
      </c>
      <c r="CM618" s="17">
        <v>44925</v>
      </c>
      <c r="CN618" s="5" t="s">
        <v>3728</v>
      </c>
      <c r="CO618" s="17">
        <v>44925</v>
      </c>
      <c r="CP618" s="5" t="s">
        <v>3728</v>
      </c>
      <c r="CQ618" s="17">
        <v>44925</v>
      </c>
      <c r="CR618" s="5" t="s">
        <v>3728</v>
      </c>
      <c r="CS618" s="17">
        <v>44925</v>
      </c>
      <c r="CT618" s="5" t="s">
        <v>3728</v>
      </c>
      <c r="CU618" s="17">
        <v>44925</v>
      </c>
      <c r="CV618" s="5" t="s">
        <v>3728</v>
      </c>
      <c r="CW618" s="17">
        <v>44925</v>
      </c>
      <c r="CX618" s="5" t="s">
        <v>3728</v>
      </c>
      <c r="CY618" s="17">
        <v>44925</v>
      </c>
      <c r="CZ618" s="5" t="s">
        <v>3728</v>
      </c>
      <c r="DA618" s="17">
        <v>44925</v>
      </c>
      <c r="DB618" s="5" t="s">
        <v>3728</v>
      </c>
      <c r="DC618" s="17">
        <v>44925</v>
      </c>
      <c r="DD618" s="5" t="s">
        <v>3728</v>
      </c>
      <c r="DE618" s="17">
        <v>44925</v>
      </c>
      <c r="DF618" s="5" t="s">
        <v>3728</v>
      </c>
      <c r="DG618" s="17">
        <v>44925</v>
      </c>
      <c r="DH618" s="5" t="s">
        <v>3728</v>
      </c>
      <c r="DI618" s="17">
        <v>44925</v>
      </c>
      <c r="DJ618" s="5" t="s">
        <v>3728</v>
      </c>
      <c r="DK618" s="17">
        <v>44925</v>
      </c>
      <c r="DL618" s="5" t="s">
        <v>3728</v>
      </c>
      <c r="DM618" s="17">
        <v>44925</v>
      </c>
      <c r="DN618" s="5" t="s">
        <v>3728</v>
      </c>
      <c r="DO618" s="17">
        <v>44925</v>
      </c>
      <c r="DP618" s="5" t="s">
        <v>3728</v>
      </c>
      <c r="DQ618" s="17">
        <v>44925</v>
      </c>
      <c r="DR618" s="5" t="s">
        <v>3728</v>
      </c>
      <c r="DS618" s="17">
        <v>44925</v>
      </c>
      <c r="DT618" s="5" t="s">
        <v>3728</v>
      </c>
      <c r="DU618" s="17">
        <v>44925</v>
      </c>
      <c r="DV618" s="5" t="s">
        <v>3728</v>
      </c>
      <c r="DW618" s="17">
        <v>44925</v>
      </c>
      <c r="DX618" s="5" t="s">
        <v>3728</v>
      </c>
      <c r="DY618" s="17">
        <v>44925</v>
      </c>
      <c r="DZ618" s="5" t="s">
        <v>3728</v>
      </c>
      <c r="EA618" s="17">
        <v>44925</v>
      </c>
      <c r="EB618" s="5" t="s">
        <v>3728</v>
      </c>
      <c r="EC618" s="17">
        <v>44925</v>
      </c>
      <c r="ED618" s="5" t="s">
        <v>3728</v>
      </c>
      <c r="EE618" s="17">
        <v>44925</v>
      </c>
      <c r="EF618" s="5" t="s">
        <v>3728</v>
      </c>
      <c r="EG618" s="17">
        <v>44925</v>
      </c>
      <c r="EH618" s="5" t="s">
        <v>3728</v>
      </c>
      <c r="EI618" s="17">
        <v>44925</v>
      </c>
      <c r="EJ618" s="5" t="s">
        <v>3728</v>
      </c>
      <c r="EK618" s="17">
        <v>44925</v>
      </c>
      <c r="EL618" s="5" t="s">
        <v>3728</v>
      </c>
      <c r="EM618" s="17">
        <v>44925</v>
      </c>
      <c r="EN618" s="5" t="s">
        <v>3728</v>
      </c>
      <c r="EO618" s="17">
        <v>44925</v>
      </c>
      <c r="EP618" s="5" t="s">
        <v>3728</v>
      </c>
      <c r="EQ618" s="17">
        <v>44925</v>
      </c>
      <c r="ER618" s="5" t="s">
        <v>3728</v>
      </c>
      <c r="ES618" s="17">
        <v>44925</v>
      </c>
      <c r="ET618" s="5" t="s">
        <v>3728</v>
      </c>
      <c r="EU618" s="17">
        <v>44925</v>
      </c>
      <c r="EV618" s="5" t="s">
        <v>3728</v>
      </c>
      <c r="EW618" s="17">
        <v>44925</v>
      </c>
      <c r="EX618" s="5" t="s">
        <v>3728</v>
      </c>
      <c r="EY618" s="17">
        <v>44925</v>
      </c>
      <c r="EZ618" s="5" t="s">
        <v>3728</v>
      </c>
      <c r="FA618" s="17">
        <v>44925</v>
      </c>
      <c r="FB618" s="5" t="s">
        <v>3728</v>
      </c>
      <c r="FC618" s="17">
        <v>44925</v>
      </c>
      <c r="FD618" s="5" t="s">
        <v>3728</v>
      </c>
      <c r="FE618" s="17">
        <v>44925</v>
      </c>
      <c r="FF618" s="5" t="s">
        <v>3728</v>
      </c>
      <c r="FG618" s="17">
        <v>44925</v>
      </c>
      <c r="FH618" s="5" t="s">
        <v>3728</v>
      </c>
      <c r="FI618" s="17">
        <v>44925</v>
      </c>
      <c r="FJ618" s="5" t="s">
        <v>3728</v>
      </c>
      <c r="FK618" s="17">
        <v>44925</v>
      </c>
      <c r="FL618" s="5" t="s">
        <v>3728</v>
      </c>
      <c r="FM618" s="17">
        <v>44925</v>
      </c>
      <c r="FN618" s="5" t="s">
        <v>3728</v>
      </c>
      <c r="FO618" s="17">
        <v>44925</v>
      </c>
      <c r="FP618" s="5" t="s">
        <v>3728</v>
      </c>
      <c r="FQ618" s="17">
        <v>44925</v>
      </c>
      <c r="FR618" s="5" t="s">
        <v>3728</v>
      </c>
      <c r="FS618" s="17">
        <v>44925</v>
      </c>
      <c r="FT618" s="5" t="s">
        <v>3728</v>
      </c>
      <c r="FU618" s="17">
        <v>44925</v>
      </c>
      <c r="FV618" s="5" t="s">
        <v>3728</v>
      </c>
      <c r="FW618" s="17">
        <v>44925</v>
      </c>
      <c r="FX618" s="5" t="s">
        <v>3728</v>
      </c>
      <c r="FY618" s="17">
        <v>44925</v>
      </c>
      <c r="FZ618" s="5" t="s">
        <v>3728</v>
      </c>
      <c r="GA618" s="17">
        <v>44925</v>
      </c>
      <c r="GB618" s="5" t="s">
        <v>3728</v>
      </c>
      <c r="GC618" s="17">
        <v>44925</v>
      </c>
      <c r="GD618" s="5" t="s">
        <v>3728</v>
      </c>
      <c r="GE618" s="17">
        <v>44925</v>
      </c>
      <c r="GF618" s="5" t="s">
        <v>3728</v>
      </c>
      <c r="GG618" s="17">
        <v>44925</v>
      </c>
      <c r="GH618" s="5" t="s">
        <v>3728</v>
      </c>
      <c r="GI618" s="17">
        <v>44925</v>
      </c>
      <c r="GJ618" s="5" t="s">
        <v>3728</v>
      </c>
      <c r="GK618" s="17">
        <v>44925</v>
      </c>
      <c r="GL618" s="5" t="s">
        <v>3728</v>
      </c>
      <c r="GM618" s="17">
        <v>44925</v>
      </c>
      <c r="GN618" s="5" t="s">
        <v>3728</v>
      </c>
      <c r="GO618" s="17">
        <v>44925</v>
      </c>
      <c r="GP618" s="5" t="s">
        <v>3728</v>
      </c>
      <c r="GQ618" s="17">
        <v>44925</v>
      </c>
      <c r="GR618" s="5" t="s">
        <v>3728</v>
      </c>
      <c r="GS618" s="17">
        <v>44925</v>
      </c>
      <c r="GT618" s="5" t="s">
        <v>3728</v>
      </c>
      <c r="GU618" s="17">
        <v>44925</v>
      </c>
      <c r="GV618" s="5" t="s">
        <v>3728</v>
      </c>
      <c r="GW618" s="17">
        <v>44925</v>
      </c>
      <c r="GX618" s="5" t="s">
        <v>3728</v>
      </c>
      <c r="GY618" s="17">
        <v>44925</v>
      </c>
      <c r="GZ618" s="5" t="s">
        <v>3728</v>
      </c>
      <c r="HA618" s="17">
        <v>44925</v>
      </c>
      <c r="HB618" s="5" t="s">
        <v>3728</v>
      </c>
      <c r="HC618" s="17">
        <v>44925</v>
      </c>
      <c r="HD618" s="5" t="s">
        <v>3728</v>
      </c>
      <c r="HE618" s="17">
        <v>44925</v>
      </c>
      <c r="HF618" s="5" t="s">
        <v>3728</v>
      </c>
      <c r="HG618" s="17">
        <v>44925</v>
      </c>
      <c r="HH618" s="5" t="s">
        <v>3728</v>
      </c>
      <c r="HI618" s="17">
        <v>44925</v>
      </c>
      <c r="HJ618" s="5" t="s">
        <v>3728</v>
      </c>
      <c r="HK618" s="17">
        <v>44925</v>
      </c>
      <c r="HL618" s="5" t="s">
        <v>3728</v>
      </c>
      <c r="HM618" s="17">
        <v>44925</v>
      </c>
      <c r="HN618" s="5" t="s">
        <v>3728</v>
      </c>
      <c r="HO618" s="17">
        <v>44925</v>
      </c>
      <c r="HP618" s="5" t="s">
        <v>3728</v>
      </c>
      <c r="HQ618" s="17">
        <v>44925</v>
      </c>
      <c r="HR618" s="5" t="s">
        <v>3728</v>
      </c>
      <c r="HS618" s="17">
        <v>44925</v>
      </c>
      <c r="HT618" s="5" t="s">
        <v>3728</v>
      </c>
      <c r="HU618" s="17">
        <v>44925</v>
      </c>
      <c r="HV618" s="5" t="s">
        <v>3728</v>
      </c>
      <c r="HW618" s="17">
        <v>44925</v>
      </c>
      <c r="HX618" s="5" t="s">
        <v>3728</v>
      </c>
      <c r="HY618" s="17">
        <v>44925</v>
      </c>
      <c r="HZ618" s="5" t="s">
        <v>3728</v>
      </c>
      <c r="IA618" s="17">
        <v>44925</v>
      </c>
      <c r="IB618" s="5" t="s">
        <v>3728</v>
      </c>
      <c r="IC618" s="17">
        <v>44925</v>
      </c>
      <c r="ID618" s="5" t="s">
        <v>3728</v>
      </c>
      <c r="IE618" s="17">
        <v>44925</v>
      </c>
      <c r="IF618" s="5" t="s">
        <v>3728</v>
      </c>
      <c r="IG618" s="17">
        <v>44925</v>
      </c>
      <c r="IH618" s="5" t="s">
        <v>3728</v>
      </c>
      <c r="II618" s="17">
        <v>44925</v>
      </c>
      <c r="IJ618" s="5" t="s">
        <v>3728</v>
      </c>
      <c r="IK618" s="17">
        <v>44925</v>
      </c>
      <c r="IL618" s="5" t="s">
        <v>3728</v>
      </c>
      <c r="IM618" s="17">
        <v>44925</v>
      </c>
      <c r="IN618" s="5" t="s">
        <v>3728</v>
      </c>
      <c r="IO618" s="17">
        <v>44925</v>
      </c>
      <c r="IP618" s="5" t="s">
        <v>3728</v>
      </c>
      <c r="IQ618" s="17">
        <v>44925</v>
      </c>
      <c r="IR618" s="5" t="s">
        <v>3728</v>
      </c>
      <c r="IS618" s="17">
        <v>44925</v>
      </c>
      <c r="IT618" s="5" t="s">
        <v>3728</v>
      </c>
      <c r="IU618" s="17">
        <v>44925</v>
      </c>
      <c r="IV618" s="5" t="s">
        <v>3728</v>
      </c>
      <c r="IW618" s="17">
        <v>44925</v>
      </c>
      <c r="IX618" s="5" t="s">
        <v>3728</v>
      </c>
      <c r="IY618" s="17">
        <v>44925</v>
      </c>
      <c r="IZ618" s="5" t="s">
        <v>3728</v>
      </c>
      <c r="JA618" s="17">
        <v>44925</v>
      </c>
      <c r="JB618" s="5" t="s">
        <v>3728</v>
      </c>
      <c r="JC618" s="17">
        <v>44925</v>
      </c>
      <c r="JD618" s="5" t="s">
        <v>3728</v>
      </c>
      <c r="JE618" s="17">
        <v>44925</v>
      </c>
      <c r="JF618" s="5" t="s">
        <v>3728</v>
      </c>
      <c r="JG618" s="17">
        <v>44925</v>
      </c>
      <c r="JH618" s="5" t="s">
        <v>3728</v>
      </c>
      <c r="JI618" s="17">
        <v>44925</v>
      </c>
      <c r="JJ618" s="5" t="s">
        <v>3728</v>
      </c>
      <c r="JK618" s="17">
        <v>44925</v>
      </c>
      <c r="JL618" s="5" t="s">
        <v>3728</v>
      </c>
      <c r="JM618" s="17">
        <v>44925</v>
      </c>
      <c r="JN618" s="5" t="s">
        <v>3728</v>
      </c>
      <c r="JO618" s="17">
        <v>44925</v>
      </c>
      <c r="JP618" s="5" t="s">
        <v>3728</v>
      </c>
      <c r="JQ618" s="17">
        <v>44925</v>
      </c>
      <c r="JR618" s="5" t="s">
        <v>3728</v>
      </c>
      <c r="JS618" s="17">
        <v>44925</v>
      </c>
      <c r="JT618" s="5" t="s">
        <v>3728</v>
      </c>
      <c r="JU618" s="17">
        <v>44925</v>
      </c>
      <c r="JV618" s="5" t="s">
        <v>3728</v>
      </c>
      <c r="JW618" s="17">
        <v>44925</v>
      </c>
      <c r="JX618" s="5" t="s">
        <v>3728</v>
      </c>
      <c r="JY618" s="17">
        <v>44925</v>
      </c>
      <c r="JZ618" s="5" t="s">
        <v>3728</v>
      </c>
      <c r="KA618" s="17">
        <v>44925</v>
      </c>
      <c r="KB618" s="5" t="s">
        <v>3728</v>
      </c>
      <c r="KC618" s="17">
        <v>44925</v>
      </c>
      <c r="KD618" s="5" t="s">
        <v>3728</v>
      </c>
      <c r="KE618" s="17">
        <v>44925</v>
      </c>
      <c r="KF618" s="5" t="s">
        <v>3728</v>
      </c>
      <c r="KG618" s="17">
        <v>44925</v>
      </c>
      <c r="KH618" s="5" t="s">
        <v>3728</v>
      </c>
      <c r="KI618" s="17">
        <v>44925</v>
      </c>
      <c r="KJ618" s="5" t="s">
        <v>3728</v>
      </c>
      <c r="KK618" s="17">
        <v>44925</v>
      </c>
      <c r="KL618" s="5" t="s">
        <v>3728</v>
      </c>
      <c r="KM618" s="17">
        <v>44925</v>
      </c>
      <c r="KN618" s="5" t="s">
        <v>3728</v>
      </c>
      <c r="KO618" s="17">
        <v>44925</v>
      </c>
      <c r="KP618" s="5" t="s">
        <v>3728</v>
      </c>
      <c r="KQ618" s="17">
        <v>44925</v>
      </c>
      <c r="KR618" s="5" t="s">
        <v>3728</v>
      </c>
      <c r="KS618" s="17">
        <v>44925</v>
      </c>
      <c r="KT618" s="5" t="s">
        <v>3728</v>
      </c>
      <c r="KU618" s="17">
        <v>44925</v>
      </c>
      <c r="KV618" s="5" t="s">
        <v>3728</v>
      </c>
      <c r="KW618" s="17">
        <v>44925</v>
      </c>
      <c r="KX618" s="5" t="s">
        <v>3728</v>
      </c>
      <c r="KY618" s="17">
        <v>44925</v>
      </c>
      <c r="KZ618" s="5" t="s">
        <v>3728</v>
      </c>
      <c r="LA618" s="17">
        <v>44925</v>
      </c>
      <c r="LB618" s="5" t="s">
        <v>3728</v>
      </c>
      <c r="LC618" s="17">
        <v>44925</v>
      </c>
      <c r="LD618" s="5" t="s">
        <v>3728</v>
      </c>
      <c r="LE618" s="17">
        <v>44925</v>
      </c>
      <c r="LF618" s="5" t="s">
        <v>3728</v>
      </c>
      <c r="LG618" s="17">
        <v>44925</v>
      </c>
      <c r="LH618" s="5" t="s">
        <v>3728</v>
      </c>
      <c r="LI618" s="17">
        <v>44925</v>
      </c>
      <c r="LJ618" s="5" t="s">
        <v>3728</v>
      </c>
      <c r="LK618" s="17">
        <v>44925</v>
      </c>
      <c r="LL618" s="5" t="s">
        <v>3728</v>
      </c>
      <c r="LM618" s="17">
        <v>44925</v>
      </c>
      <c r="LN618" s="5" t="s">
        <v>3728</v>
      </c>
      <c r="LO618" s="17">
        <v>44925</v>
      </c>
      <c r="LP618" s="5" t="s">
        <v>3728</v>
      </c>
      <c r="LQ618" s="17">
        <v>44925</v>
      </c>
      <c r="LR618" s="5" t="s">
        <v>3728</v>
      </c>
      <c r="LS618" s="17">
        <v>44925</v>
      </c>
      <c r="LT618" s="5" t="s">
        <v>3728</v>
      </c>
      <c r="LU618" s="17">
        <v>44925</v>
      </c>
      <c r="LV618" s="5" t="s">
        <v>3728</v>
      </c>
      <c r="LW618" s="17">
        <v>44925</v>
      </c>
      <c r="LX618" s="5" t="s">
        <v>3728</v>
      </c>
      <c r="LY618" s="17">
        <v>44925</v>
      </c>
      <c r="LZ618" s="5" t="s">
        <v>3728</v>
      </c>
      <c r="MA618" s="17">
        <v>44925</v>
      </c>
      <c r="MB618" s="5" t="s">
        <v>3728</v>
      </c>
      <c r="MC618" s="17">
        <v>44925</v>
      </c>
      <c r="MD618" s="5" t="s">
        <v>3728</v>
      </c>
      <c r="ME618" s="17">
        <v>44925</v>
      </c>
      <c r="MF618" s="5" t="s">
        <v>3728</v>
      </c>
      <c r="MG618" s="17">
        <v>44925</v>
      </c>
      <c r="MH618" s="5" t="s">
        <v>3728</v>
      </c>
      <c r="MI618" s="17">
        <v>44925</v>
      </c>
      <c r="MJ618" s="5" t="s">
        <v>3728</v>
      </c>
      <c r="MK618" s="17">
        <v>44925</v>
      </c>
      <c r="ML618" s="5" t="s">
        <v>3728</v>
      </c>
      <c r="MM618" s="17">
        <v>44925</v>
      </c>
      <c r="MN618" s="5" t="s">
        <v>3728</v>
      </c>
      <c r="MO618" s="17">
        <v>44925</v>
      </c>
      <c r="MP618" s="5" t="s">
        <v>3728</v>
      </c>
      <c r="MQ618" s="17">
        <v>44925</v>
      </c>
      <c r="MR618" s="5" t="s">
        <v>3728</v>
      </c>
      <c r="MS618" s="17">
        <v>44925</v>
      </c>
      <c r="MT618" s="5" t="s">
        <v>3728</v>
      </c>
      <c r="MU618" s="17">
        <v>44925</v>
      </c>
      <c r="MV618" s="5" t="s">
        <v>3728</v>
      </c>
      <c r="MW618" s="17">
        <v>44925</v>
      </c>
      <c r="MX618" s="5" t="s">
        <v>3728</v>
      </c>
      <c r="MY618" s="17">
        <v>44925</v>
      </c>
      <c r="MZ618" s="5" t="s">
        <v>3728</v>
      </c>
      <c r="NA618" s="17">
        <v>44925</v>
      </c>
      <c r="NB618" s="5" t="s">
        <v>3728</v>
      </c>
      <c r="NC618" s="17">
        <v>44925</v>
      </c>
      <c r="ND618" s="5" t="s">
        <v>3728</v>
      </c>
      <c r="NE618" s="17">
        <v>44925</v>
      </c>
      <c r="NF618" s="5" t="s">
        <v>3728</v>
      </c>
      <c r="NG618" s="17">
        <v>44925</v>
      </c>
      <c r="NH618" s="5" t="s">
        <v>3728</v>
      </c>
      <c r="NI618" s="17">
        <v>44925</v>
      </c>
      <c r="NJ618" s="5" t="s">
        <v>3728</v>
      </c>
      <c r="NK618" s="17">
        <v>44925</v>
      </c>
      <c r="NL618" s="5" t="s">
        <v>3728</v>
      </c>
      <c r="NM618" s="17">
        <v>44925</v>
      </c>
      <c r="NN618" s="5" t="s">
        <v>3728</v>
      </c>
      <c r="NO618" s="17">
        <v>44925</v>
      </c>
      <c r="NP618" s="5" t="s">
        <v>3728</v>
      </c>
      <c r="NQ618" s="17">
        <v>44925</v>
      </c>
      <c r="NR618" s="5" t="s">
        <v>3728</v>
      </c>
      <c r="NS618" s="17">
        <v>44925</v>
      </c>
      <c r="NT618" s="5" t="s">
        <v>3728</v>
      </c>
      <c r="NU618" s="17">
        <v>44925</v>
      </c>
      <c r="NV618" s="5" t="s">
        <v>3728</v>
      </c>
      <c r="NW618" s="17">
        <v>44925</v>
      </c>
      <c r="NX618" s="5" t="s">
        <v>3728</v>
      </c>
      <c r="NY618" s="17">
        <v>44925</v>
      </c>
      <c r="NZ618" s="5" t="s">
        <v>3728</v>
      </c>
      <c r="OA618" s="17">
        <v>44925</v>
      </c>
      <c r="OB618" s="5" t="s">
        <v>3728</v>
      </c>
      <c r="OC618" s="17">
        <v>44925</v>
      </c>
      <c r="OD618" s="5" t="s">
        <v>3728</v>
      </c>
      <c r="OE618" s="17">
        <v>44925</v>
      </c>
      <c r="OF618" s="5" t="s">
        <v>3728</v>
      </c>
      <c r="OG618" s="17">
        <v>44925</v>
      </c>
      <c r="OH618" s="5" t="s">
        <v>3728</v>
      </c>
      <c r="OI618" s="17">
        <v>44925</v>
      </c>
      <c r="OJ618" s="5" t="s">
        <v>3728</v>
      </c>
      <c r="OK618" s="17">
        <v>44925</v>
      </c>
      <c r="OL618" s="5" t="s">
        <v>3728</v>
      </c>
      <c r="OM618" s="17">
        <v>44925</v>
      </c>
      <c r="ON618" s="5" t="s">
        <v>3728</v>
      </c>
      <c r="OO618" s="17">
        <v>44925</v>
      </c>
      <c r="OP618" s="5" t="s">
        <v>3728</v>
      </c>
      <c r="OQ618" s="17">
        <v>44925</v>
      </c>
      <c r="OR618" s="5" t="s">
        <v>3728</v>
      </c>
      <c r="OS618" s="17">
        <v>44925</v>
      </c>
      <c r="OT618" s="5" t="s">
        <v>3728</v>
      </c>
      <c r="OU618" s="17">
        <v>44925</v>
      </c>
      <c r="OV618" s="5" t="s">
        <v>3728</v>
      </c>
      <c r="OW618" s="17">
        <v>44925</v>
      </c>
      <c r="OX618" s="5" t="s">
        <v>3728</v>
      </c>
      <c r="OY618" s="17">
        <v>44925</v>
      </c>
      <c r="OZ618" s="5" t="s">
        <v>3728</v>
      </c>
      <c r="PA618" s="17">
        <v>44925</v>
      </c>
      <c r="PB618" s="5" t="s">
        <v>3728</v>
      </c>
      <c r="PC618" s="17">
        <v>44925</v>
      </c>
      <c r="PD618" s="5" t="s">
        <v>3728</v>
      </c>
      <c r="PE618" s="17">
        <v>44925</v>
      </c>
      <c r="PF618" s="5" t="s">
        <v>3728</v>
      </c>
      <c r="PG618" s="17">
        <v>44925</v>
      </c>
      <c r="PH618" s="5" t="s">
        <v>3728</v>
      </c>
      <c r="PI618" s="17">
        <v>44925</v>
      </c>
      <c r="PJ618" s="5" t="s">
        <v>3728</v>
      </c>
      <c r="PK618" s="17">
        <v>44925</v>
      </c>
      <c r="PL618" s="5" t="s">
        <v>3728</v>
      </c>
      <c r="PM618" s="17">
        <v>44925</v>
      </c>
      <c r="PN618" s="5" t="s">
        <v>3728</v>
      </c>
      <c r="PO618" s="17">
        <v>44925</v>
      </c>
      <c r="PP618" s="5" t="s">
        <v>3728</v>
      </c>
      <c r="PQ618" s="17">
        <v>44925</v>
      </c>
      <c r="PR618" s="5" t="s">
        <v>3728</v>
      </c>
      <c r="PS618" s="17">
        <v>44925</v>
      </c>
      <c r="PT618" s="5" t="s">
        <v>3728</v>
      </c>
      <c r="PU618" s="17">
        <v>44925</v>
      </c>
      <c r="PV618" s="5" t="s">
        <v>3728</v>
      </c>
      <c r="PW618" s="17">
        <v>44925</v>
      </c>
      <c r="PX618" s="5" t="s">
        <v>3728</v>
      </c>
      <c r="PY618" s="17">
        <v>44925</v>
      </c>
      <c r="PZ618" s="5" t="s">
        <v>3728</v>
      </c>
      <c r="QA618" s="17">
        <v>44925</v>
      </c>
      <c r="QB618" s="5" t="s">
        <v>3728</v>
      </c>
      <c r="QC618" s="17">
        <v>44925</v>
      </c>
      <c r="QD618" s="5" t="s">
        <v>3728</v>
      </c>
      <c r="QE618" s="17">
        <v>44925</v>
      </c>
      <c r="QF618" s="5" t="s">
        <v>3728</v>
      </c>
      <c r="QG618" s="17">
        <v>44925</v>
      </c>
      <c r="QH618" s="5" t="s">
        <v>3728</v>
      </c>
      <c r="QI618" s="17">
        <v>44925</v>
      </c>
      <c r="QJ618" s="5" t="s">
        <v>3728</v>
      </c>
      <c r="QK618" s="17">
        <v>44925</v>
      </c>
      <c r="QL618" s="5" t="s">
        <v>3728</v>
      </c>
      <c r="QM618" s="17">
        <v>44925</v>
      </c>
      <c r="QN618" s="5" t="s">
        <v>3728</v>
      </c>
      <c r="QO618" s="17">
        <v>44925</v>
      </c>
      <c r="QP618" s="5" t="s">
        <v>3728</v>
      </c>
      <c r="QQ618" s="17">
        <v>44925</v>
      </c>
      <c r="QR618" s="5" t="s">
        <v>3728</v>
      </c>
      <c r="QS618" s="17">
        <v>44925</v>
      </c>
      <c r="QT618" s="5" t="s">
        <v>3728</v>
      </c>
      <c r="QU618" s="17">
        <v>44925</v>
      </c>
      <c r="QV618" s="5" t="s">
        <v>3728</v>
      </c>
      <c r="QW618" s="17">
        <v>44925</v>
      </c>
      <c r="QX618" s="5" t="s">
        <v>3728</v>
      </c>
      <c r="QY618" s="17">
        <v>44925</v>
      </c>
      <c r="QZ618" s="5" t="s">
        <v>3728</v>
      </c>
      <c r="RA618" s="17">
        <v>44925</v>
      </c>
      <c r="RB618" s="5" t="s">
        <v>3728</v>
      </c>
      <c r="RC618" s="17">
        <v>44925</v>
      </c>
      <c r="RD618" s="5" t="s">
        <v>3728</v>
      </c>
      <c r="RE618" s="17">
        <v>44925</v>
      </c>
      <c r="RF618" s="5" t="s">
        <v>3728</v>
      </c>
      <c r="RG618" s="17">
        <v>44925</v>
      </c>
      <c r="RH618" s="5" t="s">
        <v>3728</v>
      </c>
      <c r="RI618" s="17">
        <v>44925</v>
      </c>
      <c r="RJ618" s="5" t="s">
        <v>3728</v>
      </c>
      <c r="RK618" s="17">
        <v>44925</v>
      </c>
      <c r="RL618" s="5" t="s">
        <v>3728</v>
      </c>
      <c r="RM618" s="17">
        <v>44925</v>
      </c>
      <c r="RN618" s="5" t="s">
        <v>3728</v>
      </c>
      <c r="RO618" s="17">
        <v>44925</v>
      </c>
      <c r="RP618" s="5" t="s">
        <v>3728</v>
      </c>
      <c r="RQ618" s="17">
        <v>44925</v>
      </c>
      <c r="RR618" s="5" t="s">
        <v>3728</v>
      </c>
      <c r="RS618" s="17">
        <v>44925</v>
      </c>
      <c r="RT618" s="5" t="s">
        <v>3728</v>
      </c>
      <c r="RU618" s="17">
        <v>44925</v>
      </c>
      <c r="RV618" s="5" t="s">
        <v>3728</v>
      </c>
      <c r="RW618" s="17">
        <v>44925</v>
      </c>
      <c r="RX618" s="5" t="s">
        <v>3728</v>
      </c>
      <c r="RY618" s="17">
        <v>44925</v>
      </c>
      <c r="RZ618" s="5" t="s">
        <v>3728</v>
      </c>
      <c r="SA618" s="17">
        <v>44925</v>
      </c>
      <c r="SB618" s="5" t="s">
        <v>3728</v>
      </c>
      <c r="SC618" s="17">
        <v>44925</v>
      </c>
      <c r="SD618" s="5" t="s">
        <v>3728</v>
      </c>
      <c r="SE618" s="17">
        <v>44925</v>
      </c>
      <c r="SF618" s="5" t="s">
        <v>3728</v>
      </c>
      <c r="SG618" s="17">
        <v>44925</v>
      </c>
      <c r="SH618" s="5" t="s">
        <v>3728</v>
      </c>
      <c r="SI618" s="17">
        <v>44925</v>
      </c>
      <c r="SJ618" s="5" t="s">
        <v>3728</v>
      </c>
      <c r="SK618" s="17">
        <v>44925</v>
      </c>
      <c r="SL618" s="5" t="s">
        <v>3728</v>
      </c>
      <c r="SM618" s="17">
        <v>44925</v>
      </c>
      <c r="SN618" s="5" t="s">
        <v>3728</v>
      </c>
      <c r="SO618" s="17">
        <v>44925</v>
      </c>
      <c r="SP618" s="5" t="s">
        <v>3728</v>
      </c>
      <c r="SQ618" s="17">
        <v>44925</v>
      </c>
      <c r="SR618" s="5" t="s">
        <v>3728</v>
      </c>
      <c r="SS618" s="17">
        <v>44925</v>
      </c>
      <c r="ST618" s="5" t="s">
        <v>3728</v>
      </c>
      <c r="SU618" s="17">
        <v>44925</v>
      </c>
      <c r="SV618" s="5" t="s">
        <v>3728</v>
      </c>
      <c r="SW618" s="17">
        <v>44925</v>
      </c>
      <c r="SX618" s="5" t="s">
        <v>3728</v>
      </c>
      <c r="SY618" s="17">
        <v>44925</v>
      </c>
      <c r="SZ618" s="5" t="s">
        <v>3728</v>
      </c>
      <c r="TA618" s="17">
        <v>44925</v>
      </c>
      <c r="TB618" s="5" t="s">
        <v>3728</v>
      </c>
      <c r="TC618" s="17">
        <v>44925</v>
      </c>
      <c r="TD618" s="5" t="s">
        <v>3728</v>
      </c>
      <c r="TE618" s="17">
        <v>44925</v>
      </c>
      <c r="TF618" s="5" t="s">
        <v>3728</v>
      </c>
      <c r="TG618" s="17">
        <v>44925</v>
      </c>
      <c r="TH618" s="5" t="s">
        <v>3728</v>
      </c>
      <c r="TI618" s="17">
        <v>44925</v>
      </c>
      <c r="TJ618" s="5" t="s">
        <v>3728</v>
      </c>
      <c r="TK618" s="17">
        <v>44925</v>
      </c>
      <c r="TL618" s="5" t="s">
        <v>3728</v>
      </c>
      <c r="TM618" s="17">
        <v>44925</v>
      </c>
      <c r="TN618" s="5" t="s">
        <v>3728</v>
      </c>
      <c r="TO618" s="17">
        <v>44925</v>
      </c>
      <c r="TP618" s="5" t="s">
        <v>3728</v>
      </c>
      <c r="TQ618" s="17">
        <v>44925</v>
      </c>
      <c r="TR618" s="5" t="s">
        <v>3728</v>
      </c>
      <c r="TS618" s="17">
        <v>44925</v>
      </c>
      <c r="TT618" s="5" t="s">
        <v>3728</v>
      </c>
      <c r="TU618" s="17">
        <v>44925</v>
      </c>
      <c r="TV618" s="5" t="s">
        <v>3728</v>
      </c>
      <c r="TW618" s="17">
        <v>44925</v>
      </c>
      <c r="TX618" s="5" t="s">
        <v>3728</v>
      </c>
      <c r="TY618" s="17">
        <v>44925</v>
      </c>
      <c r="TZ618" s="5" t="s">
        <v>3728</v>
      </c>
      <c r="UA618" s="17">
        <v>44925</v>
      </c>
      <c r="UB618" s="5" t="s">
        <v>3728</v>
      </c>
      <c r="UC618" s="17">
        <v>44925</v>
      </c>
      <c r="UD618" s="5" t="s">
        <v>3728</v>
      </c>
      <c r="UE618" s="17">
        <v>44925</v>
      </c>
      <c r="UF618" s="5" t="s">
        <v>3728</v>
      </c>
      <c r="UG618" s="17">
        <v>44925</v>
      </c>
      <c r="UH618" s="5" t="s">
        <v>3728</v>
      </c>
      <c r="UI618" s="17">
        <v>44925</v>
      </c>
      <c r="UJ618" s="5" t="s">
        <v>3728</v>
      </c>
      <c r="UK618" s="17">
        <v>44925</v>
      </c>
      <c r="UL618" s="5" t="s">
        <v>3728</v>
      </c>
      <c r="UM618" s="17">
        <v>44925</v>
      </c>
      <c r="UN618" s="5" t="s">
        <v>3728</v>
      </c>
      <c r="UO618" s="17">
        <v>44925</v>
      </c>
      <c r="UP618" s="5" t="s">
        <v>3728</v>
      </c>
      <c r="UQ618" s="17">
        <v>44925</v>
      </c>
      <c r="UR618" s="5" t="s">
        <v>3728</v>
      </c>
      <c r="US618" s="17">
        <v>44925</v>
      </c>
      <c r="UT618" s="5" t="s">
        <v>3728</v>
      </c>
      <c r="UU618" s="17">
        <v>44925</v>
      </c>
      <c r="UV618" s="5" t="s">
        <v>3728</v>
      </c>
      <c r="UW618" s="17">
        <v>44925</v>
      </c>
      <c r="UX618" s="5" t="s">
        <v>3728</v>
      </c>
      <c r="UY618" s="17">
        <v>44925</v>
      </c>
      <c r="UZ618" s="5" t="s">
        <v>3728</v>
      </c>
      <c r="VA618" s="17">
        <v>44925</v>
      </c>
      <c r="VB618" s="5" t="s">
        <v>3728</v>
      </c>
      <c r="VC618" s="17">
        <v>44925</v>
      </c>
      <c r="VD618" s="5" t="s">
        <v>3728</v>
      </c>
      <c r="VE618" s="17">
        <v>44925</v>
      </c>
      <c r="VF618" s="5" t="s">
        <v>3728</v>
      </c>
      <c r="VG618" s="17">
        <v>44925</v>
      </c>
      <c r="VH618" s="5" t="s">
        <v>3728</v>
      </c>
      <c r="VI618" s="17">
        <v>44925</v>
      </c>
      <c r="VJ618" s="5" t="s">
        <v>3728</v>
      </c>
      <c r="VK618" s="17">
        <v>44925</v>
      </c>
      <c r="VL618" s="5" t="s">
        <v>3728</v>
      </c>
      <c r="VM618" s="17">
        <v>44925</v>
      </c>
      <c r="VN618" s="5" t="s">
        <v>3728</v>
      </c>
      <c r="VO618" s="17">
        <v>44925</v>
      </c>
      <c r="VP618" s="5" t="s">
        <v>3728</v>
      </c>
      <c r="VQ618" s="17">
        <v>44925</v>
      </c>
      <c r="VR618" s="5" t="s">
        <v>3728</v>
      </c>
      <c r="VS618" s="17">
        <v>44925</v>
      </c>
      <c r="VT618" s="5" t="s">
        <v>3728</v>
      </c>
      <c r="VU618" s="17">
        <v>44925</v>
      </c>
      <c r="VV618" s="5" t="s">
        <v>3728</v>
      </c>
      <c r="VW618" s="17">
        <v>44925</v>
      </c>
      <c r="VX618" s="5" t="s">
        <v>3728</v>
      </c>
      <c r="VY618" s="17">
        <v>44925</v>
      </c>
      <c r="VZ618" s="5" t="s">
        <v>3728</v>
      </c>
      <c r="WA618" s="17">
        <v>44925</v>
      </c>
      <c r="WB618" s="5" t="s">
        <v>3728</v>
      </c>
      <c r="WC618" s="17">
        <v>44925</v>
      </c>
      <c r="WD618" s="5" t="s">
        <v>3728</v>
      </c>
      <c r="WE618" s="17">
        <v>44925</v>
      </c>
      <c r="WF618" s="5" t="s">
        <v>3728</v>
      </c>
      <c r="WG618" s="17">
        <v>44925</v>
      </c>
      <c r="WH618" s="5" t="s">
        <v>3728</v>
      </c>
      <c r="WI618" s="17">
        <v>44925</v>
      </c>
      <c r="WJ618" s="5" t="s">
        <v>3728</v>
      </c>
      <c r="WK618" s="17">
        <v>44925</v>
      </c>
      <c r="WL618" s="5" t="s">
        <v>3728</v>
      </c>
      <c r="WM618" s="17">
        <v>44925</v>
      </c>
      <c r="WN618" s="5" t="s">
        <v>3728</v>
      </c>
      <c r="WO618" s="17">
        <v>44925</v>
      </c>
      <c r="WP618" s="5" t="s">
        <v>3728</v>
      </c>
      <c r="WQ618" s="17">
        <v>44925</v>
      </c>
      <c r="WR618" s="5" t="s">
        <v>3728</v>
      </c>
      <c r="WS618" s="17">
        <v>44925</v>
      </c>
      <c r="WT618" s="5" t="s">
        <v>3728</v>
      </c>
      <c r="WU618" s="17">
        <v>44925</v>
      </c>
      <c r="WV618" s="5" t="s">
        <v>3728</v>
      </c>
      <c r="WW618" s="17">
        <v>44925</v>
      </c>
      <c r="WX618" s="5" t="s">
        <v>3728</v>
      </c>
      <c r="WY618" s="17">
        <v>44925</v>
      </c>
      <c r="WZ618" s="5" t="s">
        <v>3728</v>
      </c>
      <c r="XA618" s="17">
        <v>44925</v>
      </c>
      <c r="XB618" s="5" t="s">
        <v>3728</v>
      </c>
      <c r="XC618" s="17">
        <v>44925</v>
      </c>
      <c r="XD618" s="5" t="s">
        <v>3728</v>
      </c>
      <c r="XE618" s="17">
        <v>44925</v>
      </c>
      <c r="XF618" s="5" t="s">
        <v>3728</v>
      </c>
      <c r="XG618" s="17">
        <v>44925</v>
      </c>
      <c r="XH618" s="5" t="s">
        <v>3728</v>
      </c>
      <c r="XI618" s="17">
        <v>44925</v>
      </c>
      <c r="XJ618" s="5" t="s">
        <v>3728</v>
      </c>
      <c r="XK618" s="17">
        <v>44925</v>
      </c>
      <c r="XL618" s="5" t="s">
        <v>3728</v>
      </c>
      <c r="XM618" s="17">
        <v>44925</v>
      </c>
      <c r="XN618" s="5" t="s">
        <v>3728</v>
      </c>
      <c r="XO618" s="17">
        <v>44925</v>
      </c>
      <c r="XP618" s="5" t="s">
        <v>3728</v>
      </c>
      <c r="XQ618" s="17">
        <v>44925</v>
      </c>
      <c r="XR618" s="5" t="s">
        <v>3728</v>
      </c>
      <c r="XS618" s="17">
        <v>44925</v>
      </c>
      <c r="XT618" s="5" t="s">
        <v>3728</v>
      </c>
      <c r="XU618" s="17">
        <v>44925</v>
      </c>
      <c r="XV618" s="5" t="s">
        <v>3728</v>
      </c>
      <c r="XW618" s="17">
        <v>44925</v>
      </c>
      <c r="XX618" s="5" t="s">
        <v>3728</v>
      </c>
      <c r="XY618" s="17">
        <v>44925</v>
      </c>
      <c r="XZ618" s="5" t="s">
        <v>3728</v>
      </c>
      <c r="YA618" s="17">
        <v>44925</v>
      </c>
      <c r="YB618" s="5" t="s">
        <v>3728</v>
      </c>
      <c r="YC618" s="17">
        <v>44925</v>
      </c>
      <c r="YD618" s="5" t="s">
        <v>3728</v>
      </c>
      <c r="YE618" s="17">
        <v>44925</v>
      </c>
      <c r="YF618" s="5" t="s">
        <v>3728</v>
      </c>
      <c r="YG618" s="17">
        <v>44925</v>
      </c>
      <c r="YH618" s="5" t="s">
        <v>3728</v>
      </c>
      <c r="YI618" s="17">
        <v>44925</v>
      </c>
      <c r="YJ618" s="5" t="s">
        <v>3728</v>
      </c>
      <c r="YK618" s="17">
        <v>44925</v>
      </c>
      <c r="YL618" s="5" t="s">
        <v>3728</v>
      </c>
      <c r="YM618" s="17">
        <v>44925</v>
      </c>
      <c r="YN618" s="5" t="s">
        <v>3728</v>
      </c>
      <c r="YO618" s="17">
        <v>44925</v>
      </c>
      <c r="YP618" s="5" t="s">
        <v>3728</v>
      </c>
      <c r="YQ618" s="17">
        <v>44925</v>
      </c>
      <c r="YR618" s="5" t="s">
        <v>3728</v>
      </c>
      <c r="YS618" s="17">
        <v>44925</v>
      </c>
      <c r="YT618" s="5" t="s">
        <v>3728</v>
      </c>
      <c r="YU618" s="17">
        <v>44925</v>
      </c>
      <c r="YV618" s="5" t="s">
        <v>3728</v>
      </c>
      <c r="YW618" s="17">
        <v>44925</v>
      </c>
      <c r="YX618" s="5" t="s">
        <v>3728</v>
      </c>
      <c r="YY618" s="17">
        <v>44925</v>
      </c>
      <c r="YZ618" s="5" t="s">
        <v>3728</v>
      </c>
      <c r="ZA618" s="17">
        <v>44925</v>
      </c>
      <c r="ZB618" s="5" t="s">
        <v>3728</v>
      </c>
      <c r="ZC618" s="17">
        <v>44925</v>
      </c>
      <c r="ZD618" s="5" t="s">
        <v>3728</v>
      </c>
      <c r="ZE618" s="17">
        <v>44925</v>
      </c>
      <c r="ZF618" s="5" t="s">
        <v>3728</v>
      </c>
      <c r="ZG618" s="17">
        <v>44925</v>
      </c>
      <c r="ZH618" s="5" t="s">
        <v>3728</v>
      </c>
      <c r="ZI618" s="17">
        <v>44925</v>
      </c>
      <c r="ZJ618" s="5" t="s">
        <v>3728</v>
      </c>
      <c r="ZK618" s="17">
        <v>44925</v>
      </c>
      <c r="ZL618" s="5" t="s">
        <v>3728</v>
      </c>
      <c r="ZM618" s="17">
        <v>44925</v>
      </c>
      <c r="ZN618" s="5" t="s">
        <v>3728</v>
      </c>
      <c r="ZO618" s="17">
        <v>44925</v>
      </c>
      <c r="ZP618" s="5" t="s">
        <v>3728</v>
      </c>
      <c r="ZQ618" s="17">
        <v>44925</v>
      </c>
      <c r="ZR618" s="5" t="s">
        <v>3728</v>
      </c>
      <c r="ZS618" s="17">
        <v>44925</v>
      </c>
      <c r="ZT618" s="5" t="s">
        <v>3728</v>
      </c>
      <c r="ZU618" s="17">
        <v>44925</v>
      </c>
      <c r="ZV618" s="5" t="s">
        <v>3728</v>
      </c>
      <c r="ZW618" s="17">
        <v>44925</v>
      </c>
      <c r="ZX618" s="5" t="s">
        <v>3728</v>
      </c>
      <c r="ZY618" s="17">
        <v>44925</v>
      </c>
      <c r="ZZ618" s="5" t="s">
        <v>3728</v>
      </c>
      <c r="AAA618" s="17">
        <v>44925</v>
      </c>
      <c r="AAB618" s="5" t="s">
        <v>3728</v>
      </c>
      <c r="AAC618" s="17">
        <v>44925</v>
      </c>
      <c r="AAD618" s="5" t="s">
        <v>3728</v>
      </c>
      <c r="AAE618" s="17">
        <v>44925</v>
      </c>
      <c r="AAF618" s="5" t="s">
        <v>3728</v>
      </c>
      <c r="AAG618" s="17">
        <v>44925</v>
      </c>
      <c r="AAH618" s="5" t="s">
        <v>3728</v>
      </c>
      <c r="AAI618" s="17">
        <v>44925</v>
      </c>
      <c r="AAJ618" s="5" t="s">
        <v>3728</v>
      </c>
      <c r="AAK618" s="17">
        <v>44925</v>
      </c>
      <c r="AAL618" s="5" t="s">
        <v>3728</v>
      </c>
      <c r="AAM618" s="17">
        <v>44925</v>
      </c>
      <c r="AAN618" s="5" t="s">
        <v>3728</v>
      </c>
      <c r="AAO618" s="17">
        <v>44925</v>
      </c>
      <c r="AAP618" s="5" t="s">
        <v>3728</v>
      </c>
      <c r="AAQ618" s="17">
        <v>44925</v>
      </c>
      <c r="AAR618" s="5" t="s">
        <v>3728</v>
      </c>
      <c r="AAS618" s="17">
        <v>44925</v>
      </c>
      <c r="AAT618" s="5" t="s">
        <v>3728</v>
      </c>
      <c r="AAU618" s="17">
        <v>44925</v>
      </c>
      <c r="AAV618" s="5" t="s">
        <v>3728</v>
      </c>
      <c r="AAW618" s="17">
        <v>44925</v>
      </c>
      <c r="AAX618" s="5" t="s">
        <v>3728</v>
      </c>
      <c r="AAY618" s="17">
        <v>44925</v>
      </c>
      <c r="AAZ618" s="5" t="s">
        <v>3728</v>
      </c>
      <c r="ABA618" s="17">
        <v>44925</v>
      </c>
      <c r="ABB618" s="5" t="s">
        <v>3728</v>
      </c>
      <c r="ABC618" s="17">
        <v>44925</v>
      </c>
      <c r="ABD618" s="5" t="s">
        <v>3728</v>
      </c>
      <c r="ABE618" s="17">
        <v>44925</v>
      </c>
      <c r="ABF618" s="5" t="s">
        <v>3728</v>
      </c>
      <c r="ABG618" s="17">
        <v>44925</v>
      </c>
      <c r="ABH618" s="5" t="s">
        <v>3728</v>
      </c>
      <c r="ABI618" s="17">
        <v>44925</v>
      </c>
      <c r="ABJ618" s="5" t="s">
        <v>3728</v>
      </c>
      <c r="ABK618" s="17">
        <v>44925</v>
      </c>
      <c r="ABL618" s="5" t="s">
        <v>3728</v>
      </c>
      <c r="ABM618" s="17">
        <v>44925</v>
      </c>
      <c r="ABN618" s="5" t="s">
        <v>3728</v>
      </c>
      <c r="ABO618" s="17">
        <v>44925</v>
      </c>
      <c r="ABP618" s="5" t="s">
        <v>3728</v>
      </c>
      <c r="ABQ618" s="17">
        <v>44925</v>
      </c>
      <c r="ABR618" s="5" t="s">
        <v>3728</v>
      </c>
      <c r="ABS618" s="17">
        <v>44925</v>
      </c>
      <c r="ABT618" s="5" t="s">
        <v>3728</v>
      </c>
      <c r="ABU618" s="17">
        <v>44925</v>
      </c>
      <c r="ABV618" s="5" t="s">
        <v>3728</v>
      </c>
      <c r="ABW618" s="17">
        <v>44925</v>
      </c>
      <c r="ABX618" s="5" t="s">
        <v>3728</v>
      </c>
      <c r="ABY618" s="17">
        <v>44925</v>
      </c>
      <c r="ABZ618" s="5" t="s">
        <v>3728</v>
      </c>
      <c r="ACA618" s="17">
        <v>44925</v>
      </c>
      <c r="ACB618" s="5" t="s">
        <v>3728</v>
      </c>
      <c r="ACC618" s="17">
        <v>44925</v>
      </c>
      <c r="ACD618" s="5" t="s">
        <v>3728</v>
      </c>
      <c r="ACE618" s="17">
        <v>44925</v>
      </c>
      <c r="ACF618" s="5" t="s">
        <v>3728</v>
      </c>
      <c r="ACG618" s="17">
        <v>44925</v>
      </c>
      <c r="ACH618" s="5" t="s">
        <v>3728</v>
      </c>
      <c r="ACI618" s="17">
        <v>44925</v>
      </c>
      <c r="ACJ618" s="5" t="s">
        <v>3728</v>
      </c>
      <c r="ACK618" s="17">
        <v>44925</v>
      </c>
      <c r="ACL618" s="5" t="s">
        <v>3728</v>
      </c>
      <c r="ACM618" s="17">
        <v>44925</v>
      </c>
      <c r="ACN618" s="5" t="s">
        <v>3728</v>
      </c>
      <c r="ACO618" s="17">
        <v>44925</v>
      </c>
      <c r="ACP618" s="5" t="s">
        <v>3728</v>
      </c>
      <c r="ACQ618" s="17">
        <v>44925</v>
      </c>
      <c r="ACR618" s="5" t="s">
        <v>3728</v>
      </c>
      <c r="ACS618" s="17">
        <v>44925</v>
      </c>
      <c r="ACT618" s="5" t="s">
        <v>3728</v>
      </c>
      <c r="ACU618" s="17">
        <v>44925</v>
      </c>
      <c r="ACV618" s="5" t="s">
        <v>3728</v>
      </c>
      <c r="ACW618" s="17">
        <v>44925</v>
      </c>
      <c r="ACX618" s="5" t="s">
        <v>3728</v>
      </c>
      <c r="ACY618" s="17">
        <v>44925</v>
      </c>
      <c r="ACZ618" s="5" t="s">
        <v>3728</v>
      </c>
      <c r="ADA618" s="17">
        <v>44925</v>
      </c>
      <c r="ADB618" s="5" t="s">
        <v>3728</v>
      </c>
      <c r="ADC618" s="17">
        <v>44925</v>
      </c>
      <c r="ADD618" s="5" t="s">
        <v>3728</v>
      </c>
      <c r="ADE618" s="17">
        <v>44925</v>
      </c>
      <c r="ADF618" s="5" t="s">
        <v>3728</v>
      </c>
      <c r="ADG618" s="17">
        <v>44925</v>
      </c>
      <c r="ADH618" s="5" t="s">
        <v>3728</v>
      </c>
      <c r="ADI618" s="17">
        <v>44925</v>
      </c>
      <c r="ADJ618" s="5" t="s">
        <v>3728</v>
      </c>
      <c r="ADK618" s="17">
        <v>44925</v>
      </c>
      <c r="ADL618" s="5" t="s">
        <v>3728</v>
      </c>
      <c r="ADM618" s="17">
        <v>44925</v>
      </c>
      <c r="ADN618" s="5" t="s">
        <v>3728</v>
      </c>
      <c r="ADO618" s="17">
        <v>44925</v>
      </c>
      <c r="ADP618" s="5" t="s">
        <v>3728</v>
      </c>
      <c r="ADQ618" s="17">
        <v>44925</v>
      </c>
      <c r="ADR618" s="5" t="s">
        <v>3728</v>
      </c>
      <c r="ADS618" s="17">
        <v>44925</v>
      </c>
      <c r="ADT618" s="5" t="s">
        <v>3728</v>
      </c>
      <c r="ADU618" s="17">
        <v>44925</v>
      </c>
      <c r="ADV618" s="5" t="s">
        <v>3728</v>
      </c>
      <c r="ADW618" s="17">
        <v>44925</v>
      </c>
      <c r="ADX618" s="5" t="s">
        <v>3728</v>
      </c>
      <c r="ADY618" s="17">
        <v>44925</v>
      </c>
      <c r="ADZ618" s="5" t="s">
        <v>3728</v>
      </c>
      <c r="AEA618" s="17">
        <v>44925</v>
      </c>
      <c r="AEB618" s="5" t="s">
        <v>3728</v>
      </c>
      <c r="AEC618" s="17">
        <v>44925</v>
      </c>
      <c r="AED618" s="5" t="s">
        <v>3728</v>
      </c>
      <c r="AEE618" s="17">
        <v>44925</v>
      </c>
      <c r="AEF618" s="5" t="s">
        <v>3728</v>
      </c>
      <c r="AEG618" s="17">
        <v>44925</v>
      </c>
      <c r="AEH618" s="5" t="s">
        <v>3728</v>
      </c>
      <c r="AEI618" s="17">
        <v>44925</v>
      </c>
      <c r="AEJ618" s="5" t="s">
        <v>3728</v>
      </c>
      <c r="AEK618" s="17">
        <v>44925</v>
      </c>
      <c r="AEL618" s="5" t="s">
        <v>3728</v>
      </c>
      <c r="AEM618" s="17">
        <v>44925</v>
      </c>
      <c r="AEN618" s="5" t="s">
        <v>3728</v>
      </c>
      <c r="AEO618" s="17">
        <v>44925</v>
      </c>
      <c r="AEP618" s="5" t="s">
        <v>3728</v>
      </c>
      <c r="AEQ618" s="17">
        <v>44925</v>
      </c>
      <c r="AER618" s="5" t="s">
        <v>3728</v>
      </c>
      <c r="AES618" s="17">
        <v>44925</v>
      </c>
      <c r="AET618" s="5" t="s">
        <v>3728</v>
      </c>
      <c r="AEU618" s="17">
        <v>44925</v>
      </c>
      <c r="AEV618" s="5" t="s">
        <v>3728</v>
      </c>
      <c r="AEW618" s="17">
        <v>44925</v>
      </c>
      <c r="AEX618" s="5" t="s">
        <v>3728</v>
      </c>
      <c r="AEY618" s="17">
        <v>44925</v>
      </c>
      <c r="AEZ618" s="5" t="s">
        <v>3728</v>
      </c>
      <c r="AFA618" s="17">
        <v>44925</v>
      </c>
      <c r="AFB618" s="5" t="s">
        <v>3728</v>
      </c>
      <c r="AFC618" s="17">
        <v>44925</v>
      </c>
      <c r="AFD618" s="5" t="s">
        <v>3728</v>
      </c>
      <c r="AFE618" s="17">
        <v>44925</v>
      </c>
      <c r="AFF618" s="5" t="s">
        <v>3728</v>
      </c>
      <c r="AFG618" s="17">
        <v>44925</v>
      </c>
      <c r="AFH618" s="5" t="s">
        <v>3728</v>
      </c>
      <c r="AFI618" s="17">
        <v>44925</v>
      </c>
      <c r="AFJ618" s="5" t="s">
        <v>3728</v>
      </c>
      <c r="AFK618" s="17">
        <v>44925</v>
      </c>
      <c r="AFL618" s="5" t="s">
        <v>3728</v>
      </c>
      <c r="AFM618" s="17">
        <v>44925</v>
      </c>
      <c r="AFN618" s="5" t="s">
        <v>3728</v>
      </c>
      <c r="AFO618" s="17">
        <v>44925</v>
      </c>
      <c r="AFP618" s="5" t="s">
        <v>3728</v>
      </c>
      <c r="AFQ618" s="17">
        <v>44925</v>
      </c>
      <c r="AFR618" s="5" t="s">
        <v>3728</v>
      </c>
      <c r="AFS618" s="17">
        <v>44925</v>
      </c>
      <c r="AFT618" s="5" t="s">
        <v>3728</v>
      </c>
      <c r="AFU618" s="17">
        <v>44925</v>
      </c>
      <c r="AFV618" s="5" t="s">
        <v>3728</v>
      </c>
      <c r="AFW618" s="17">
        <v>44925</v>
      </c>
      <c r="AFX618" s="5" t="s">
        <v>3728</v>
      </c>
      <c r="AFY618" s="17">
        <v>44925</v>
      </c>
      <c r="AFZ618" s="5" t="s">
        <v>3728</v>
      </c>
      <c r="AGA618" s="17">
        <v>44925</v>
      </c>
      <c r="AGB618" s="5" t="s">
        <v>3728</v>
      </c>
      <c r="AGC618" s="17">
        <v>44925</v>
      </c>
      <c r="AGD618" s="5" t="s">
        <v>3728</v>
      </c>
      <c r="AGE618" s="17">
        <v>44925</v>
      </c>
      <c r="AGF618" s="5" t="s">
        <v>3728</v>
      </c>
      <c r="AGG618" s="17">
        <v>44925</v>
      </c>
      <c r="AGH618" s="5" t="s">
        <v>3728</v>
      </c>
      <c r="AGI618" s="17">
        <v>44925</v>
      </c>
      <c r="AGJ618" s="5" t="s">
        <v>3728</v>
      </c>
      <c r="AGK618" s="17">
        <v>44925</v>
      </c>
      <c r="AGL618" s="5" t="s">
        <v>3728</v>
      </c>
      <c r="AGM618" s="17">
        <v>44925</v>
      </c>
      <c r="AGN618" s="5" t="s">
        <v>3728</v>
      </c>
      <c r="AGO618" s="17">
        <v>44925</v>
      </c>
      <c r="AGP618" s="5" t="s">
        <v>3728</v>
      </c>
      <c r="AGQ618" s="17">
        <v>44925</v>
      </c>
      <c r="AGR618" s="5" t="s">
        <v>3728</v>
      </c>
      <c r="AGS618" s="17">
        <v>44925</v>
      </c>
      <c r="AGT618" s="5" t="s">
        <v>3728</v>
      </c>
      <c r="AGU618" s="17">
        <v>44925</v>
      </c>
      <c r="AGV618" s="5" t="s">
        <v>3728</v>
      </c>
      <c r="AGW618" s="17">
        <v>44925</v>
      </c>
      <c r="AGX618" s="5" t="s">
        <v>3728</v>
      </c>
      <c r="AGY618" s="17">
        <v>44925</v>
      </c>
      <c r="AGZ618" s="5" t="s">
        <v>3728</v>
      </c>
      <c r="AHA618" s="17">
        <v>44925</v>
      </c>
      <c r="AHB618" s="5" t="s">
        <v>3728</v>
      </c>
      <c r="AHC618" s="17">
        <v>44925</v>
      </c>
      <c r="AHD618" s="5" t="s">
        <v>3728</v>
      </c>
      <c r="AHE618" s="17">
        <v>44925</v>
      </c>
      <c r="AHF618" s="5" t="s">
        <v>3728</v>
      </c>
      <c r="AHG618" s="17">
        <v>44925</v>
      </c>
      <c r="AHH618" s="5" t="s">
        <v>3728</v>
      </c>
      <c r="AHI618" s="17">
        <v>44925</v>
      </c>
      <c r="AHJ618" s="5" t="s">
        <v>3728</v>
      </c>
      <c r="AHK618" s="17">
        <v>44925</v>
      </c>
      <c r="AHL618" s="5" t="s">
        <v>3728</v>
      </c>
      <c r="AHM618" s="17">
        <v>44925</v>
      </c>
      <c r="AHN618" s="5" t="s">
        <v>3728</v>
      </c>
      <c r="AHO618" s="17">
        <v>44925</v>
      </c>
      <c r="AHP618" s="5" t="s">
        <v>3728</v>
      </c>
      <c r="AHQ618" s="17">
        <v>44925</v>
      </c>
      <c r="AHR618" s="5" t="s">
        <v>3728</v>
      </c>
      <c r="AHS618" s="17">
        <v>44925</v>
      </c>
      <c r="AHT618" s="5" t="s">
        <v>3728</v>
      </c>
      <c r="AHU618" s="17">
        <v>44925</v>
      </c>
      <c r="AHV618" s="5" t="s">
        <v>3728</v>
      </c>
      <c r="AHW618" s="17">
        <v>44925</v>
      </c>
      <c r="AHX618" s="5" t="s">
        <v>3728</v>
      </c>
      <c r="AHY618" s="17">
        <v>44925</v>
      </c>
      <c r="AHZ618" s="5" t="s">
        <v>3728</v>
      </c>
      <c r="AIA618" s="17">
        <v>44925</v>
      </c>
      <c r="AIB618" s="5" t="s">
        <v>3728</v>
      </c>
      <c r="AIC618" s="17">
        <v>44925</v>
      </c>
      <c r="AID618" s="5" t="s">
        <v>3728</v>
      </c>
      <c r="AIE618" s="17">
        <v>44925</v>
      </c>
      <c r="AIF618" s="5" t="s">
        <v>3728</v>
      </c>
      <c r="AIG618" s="17">
        <v>44925</v>
      </c>
      <c r="AIH618" s="5" t="s">
        <v>3728</v>
      </c>
      <c r="AII618" s="17">
        <v>44925</v>
      </c>
      <c r="AIJ618" s="5" t="s">
        <v>3728</v>
      </c>
      <c r="AIK618" s="17">
        <v>44925</v>
      </c>
      <c r="AIL618" s="5" t="s">
        <v>3728</v>
      </c>
      <c r="AIM618" s="17">
        <v>44925</v>
      </c>
      <c r="AIN618" s="5" t="s">
        <v>3728</v>
      </c>
      <c r="AIO618" s="17">
        <v>44925</v>
      </c>
      <c r="AIP618" s="5" t="s">
        <v>3728</v>
      </c>
      <c r="AIQ618" s="17">
        <v>44925</v>
      </c>
      <c r="AIR618" s="5" t="s">
        <v>3728</v>
      </c>
      <c r="AIS618" s="17">
        <v>44925</v>
      </c>
      <c r="AIT618" s="5" t="s">
        <v>3728</v>
      </c>
      <c r="AIU618" s="17">
        <v>44925</v>
      </c>
      <c r="AIV618" s="5" t="s">
        <v>3728</v>
      </c>
      <c r="AIW618" s="17">
        <v>44925</v>
      </c>
      <c r="AIX618" s="5" t="s">
        <v>3728</v>
      </c>
      <c r="AIY618" s="17">
        <v>44925</v>
      </c>
      <c r="AIZ618" s="5" t="s">
        <v>3728</v>
      </c>
      <c r="AJA618" s="17">
        <v>44925</v>
      </c>
      <c r="AJB618" s="5" t="s">
        <v>3728</v>
      </c>
      <c r="AJC618" s="17">
        <v>44925</v>
      </c>
      <c r="AJD618" s="5" t="s">
        <v>3728</v>
      </c>
      <c r="AJE618" s="17">
        <v>44925</v>
      </c>
      <c r="AJF618" s="5" t="s">
        <v>3728</v>
      </c>
      <c r="AJG618" s="17">
        <v>44925</v>
      </c>
      <c r="AJH618" s="5" t="s">
        <v>3728</v>
      </c>
      <c r="AJI618" s="17">
        <v>44925</v>
      </c>
      <c r="AJJ618" s="5" t="s">
        <v>3728</v>
      </c>
      <c r="AJK618" s="17">
        <v>44925</v>
      </c>
      <c r="AJL618" s="5" t="s">
        <v>3728</v>
      </c>
      <c r="AJM618" s="17">
        <v>44925</v>
      </c>
      <c r="AJN618" s="5" t="s">
        <v>3728</v>
      </c>
      <c r="AJO618" s="17">
        <v>44925</v>
      </c>
      <c r="AJP618" s="5" t="s">
        <v>3728</v>
      </c>
      <c r="AJQ618" s="17">
        <v>44925</v>
      </c>
      <c r="AJR618" s="5" t="s">
        <v>3728</v>
      </c>
      <c r="AJS618" s="17">
        <v>44925</v>
      </c>
      <c r="AJT618" s="5" t="s">
        <v>3728</v>
      </c>
      <c r="AJU618" s="17">
        <v>44925</v>
      </c>
      <c r="AJV618" s="5" t="s">
        <v>3728</v>
      </c>
      <c r="AJW618" s="17">
        <v>44925</v>
      </c>
      <c r="AJX618" s="5" t="s">
        <v>3728</v>
      </c>
      <c r="AJY618" s="17">
        <v>44925</v>
      </c>
      <c r="AJZ618" s="5" t="s">
        <v>3728</v>
      </c>
      <c r="AKA618" s="17">
        <v>44925</v>
      </c>
      <c r="AKB618" s="5" t="s">
        <v>3728</v>
      </c>
      <c r="AKC618" s="17">
        <v>44925</v>
      </c>
      <c r="AKD618" s="5" t="s">
        <v>3728</v>
      </c>
      <c r="AKE618" s="17">
        <v>44925</v>
      </c>
      <c r="AKF618" s="5" t="s">
        <v>3728</v>
      </c>
      <c r="AKG618" s="17">
        <v>44925</v>
      </c>
      <c r="AKH618" s="5" t="s">
        <v>3728</v>
      </c>
      <c r="AKI618" s="17">
        <v>44925</v>
      </c>
      <c r="AKJ618" s="5" t="s">
        <v>3728</v>
      </c>
      <c r="AKK618" s="17">
        <v>44925</v>
      </c>
      <c r="AKL618" s="5" t="s">
        <v>3728</v>
      </c>
      <c r="AKM618" s="17">
        <v>44925</v>
      </c>
      <c r="AKN618" s="5" t="s">
        <v>3728</v>
      </c>
      <c r="AKO618" s="17">
        <v>44925</v>
      </c>
      <c r="AKP618" s="5" t="s">
        <v>3728</v>
      </c>
      <c r="AKQ618" s="17">
        <v>44925</v>
      </c>
      <c r="AKR618" s="5" t="s">
        <v>3728</v>
      </c>
      <c r="AKS618" s="17">
        <v>44925</v>
      </c>
      <c r="AKT618" s="5" t="s">
        <v>3728</v>
      </c>
      <c r="AKU618" s="17">
        <v>44925</v>
      </c>
      <c r="AKV618" s="5" t="s">
        <v>3728</v>
      </c>
      <c r="AKW618" s="17">
        <v>44925</v>
      </c>
      <c r="AKX618" s="5" t="s">
        <v>3728</v>
      </c>
      <c r="AKY618" s="17">
        <v>44925</v>
      </c>
      <c r="AKZ618" s="5" t="s">
        <v>3728</v>
      </c>
      <c r="ALA618" s="17">
        <v>44925</v>
      </c>
      <c r="ALB618" s="5" t="s">
        <v>3728</v>
      </c>
      <c r="ALC618" s="17">
        <v>44925</v>
      </c>
      <c r="ALD618" s="5" t="s">
        <v>3728</v>
      </c>
      <c r="ALE618" s="17">
        <v>44925</v>
      </c>
      <c r="ALF618" s="5" t="s">
        <v>3728</v>
      </c>
      <c r="ALG618" s="17">
        <v>44925</v>
      </c>
      <c r="ALH618" s="5" t="s">
        <v>3728</v>
      </c>
      <c r="ALI618" s="17">
        <v>44925</v>
      </c>
      <c r="ALJ618" s="5" t="s">
        <v>3728</v>
      </c>
      <c r="ALK618" s="17">
        <v>44925</v>
      </c>
      <c r="ALL618" s="5" t="s">
        <v>3728</v>
      </c>
      <c r="ALM618" s="17">
        <v>44925</v>
      </c>
      <c r="ALN618" s="5" t="s">
        <v>3728</v>
      </c>
      <c r="ALO618" s="17">
        <v>44925</v>
      </c>
      <c r="ALP618" s="5" t="s">
        <v>3728</v>
      </c>
      <c r="ALQ618" s="17">
        <v>44925</v>
      </c>
      <c r="ALR618" s="5" t="s">
        <v>3728</v>
      </c>
      <c r="ALS618" s="17">
        <v>44925</v>
      </c>
      <c r="ALT618" s="5" t="s">
        <v>3728</v>
      </c>
      <c r="ALU618" s="17">
        <v>44925</v>
      </c>
      <c r="ALV618" s="5" t="s">
        <v>3728</v>
      </c>
      <c r="ALW618" s="17">
        <v>44925</v>
      </c>
      <c r="ALX618" s="5" t="s">
        <v>3728</v>
      </c>
      <c r="ALY618" s="17">
        <v>44925</v>
      </c>
      <c r="ALZ618" s="5" t="s">
        <v>3728</v>
      </c>
      <c r="AMA618" s="17">
        <v>44925</v>
      </c>
      <c r="AMB618" s="5" t="s">
        <v>3728</v>
      </c>
      <c r="AMC618" s="17">
        <v>44925</v>
      </c>
      <c r="AMD618" s="5" t="s">
        <v>3728</v>
      </c>
      <c r="AME618" s="17">
        <v>44925</v>
      </c>
      <c r="AMF618" s="5" t="s">
        <v>3728</v>
      </c>
      <c r="AMG618" s="17">
        <v>44925</v>
      </c>
      <c r="AMH618" s="5" t="s">
        <v>3728</v>
      </c>
      <c r="AMI618" s="17">
        <v>44925</v>
      </c>
      <c r="AMJ618" s="5" t="s">
        <v>3728</v>
      </c>
      <c r="AMK618" s="17">
        <v>44925</v>
      </c>
      <c r="AML618" s="5" t="s">
        <v>3728</v>
      </c>
      <c r="AMM618" s="17">
        <v>44925</v>
      </c>
      <c r="AMN618" s="5" t="s">
        <v>3728</v>
      </c>
      <c r="AMO618" s="17">
        <v>44925</v>
      </c>
      <c r="AMP618" s="5" t="s">
        <v>3728</v>
      </c>
      <c r="AMQ618" s="17">
        <v>44925</v>
      </c>
      <c r="AMR618" s="5" t="s">
        <v>3728</v>
      </c>
      <c r="AMS618" s="17">
        <v>44925</v>
      </c>
      <c r="AMT618" s="5" t="s">
        <v>3728</v>
      </c>
      <c r="AMU618" s="17">
        <v>44925</v>
      </c>
      <c r="AMV618" s="5" t="s">
        <v>3728</v>
      </c>
      <c r="AMW618" s="17">
        <v>44925</v>
      </c>
      <c r="AMX618" s="5" t="s">
        <v>3728</v>
      </c>
      <c r="AMY618" s="17">
        <v>44925</v>
      </c>
      <c r="AMZ618" s="5" t="s">
        <v>3728</v>
      </c>
      <c r="ANA618" s="17">
        <v>44925</v>
      </c>
      <c r="ANB618" s="5" t="s">
        <v>3728</v>
      </c>
      <c r="ANC618" s="17">
        <v>44925</v>
      </c>
      <c r="AND618" s="5" t="s">
        <v>3728</v>
      </c>
      <c r="ANE618" s="17">
        <v>44925</v>
      </c>
      <c r="ANF618" s="5" t="s">
        <v>3728</v>
      </c>
      <c r="ANG618" s="17">
        <v>44925</v>
      </c>
      <c r="ANH618" s="5" t="s">
        <v>3728</v>
      </c>
      <c r="ANI618" s="17">
        <v>44925</v>
      </c>
      <c r="ANJ618" s="5" t="s">
        <v>3728</v>
      </c>
      <c r="ANK618" s="17">
        <v>44925</v>
      </c>
      <c r="ANL618" s="5" t="s">
        <v>3728</v>
      </c>
      <c r="ANM618" s="17">
        <v>44925</v>
      </c>
      <c r="ANN618" s="5" t="s">
        <v>3728</v>
      </c>
      <c r="ANO618" s="17">
        <v>44925</v>
      </c>
      <c r="ANP618" s="5" t="s">
        <v>3728</v>
      </c>
      <c r="ANQ618" s="17">
        <v>44925</v>
      </c>
      <c r="ANR618" s="5" t="s">
        <v>3728</v>
      </c>
      <c r="ANS618" s="17">
        <v>44925</v>
      </c>
      <c r="ANT618" s="5" t="s">
        <v>3728</v>
      </c>
      <c r="ANU618" s="17">
        <v>44925</v>
      </c>
      <c r="ANV618" s="5" t="s">
        <v>3728</v>
      </c>
      <c r="ANW618" s="17">
        <v>44925</v>
      </c>
      <c r="ANX618" s="5" t="s">
        <v>3728</v>
      </c>
      <c r="ANY618" s="17">
        <v>44925</v>
      </c>
      <c r="ANZ618" s="5" t="s">
        <v>3728</v>
      </c>
      <c r="AOA618" s="17">
        <v>44925</v>
      </c>
      <c r="AOB618" s="5" t="s">
        <v>3728</v>
      </c>
      <c r="AOC618" s="17">
        <v>44925</v>
      </c>
      <c r="AOD618" s="5" t="s">
        <v>3728</v>
      </c>
      <c r="AOE618" s="17">
        <v>44925</v>
      </c>
      <c r="AOF618" s="5" t="s">
        <v>3728</v>
      </c>
      <c r="AOG618" s="17">
        <v>44925</v>
      </c>
      <c r="AOH618" s="5" t="s">
        <v>3728</v>
      </c>
      <c r="AOI618" s="17">
        <v>44925</v>
      </c>
      <c r="AOJ618" s="5" t="s">
        <v>3728</v>
      </c>
      <c r="AOK618" s="17">
        <v>44925</v>
      </c>
      <c r="AOL618" s="5" t="s">
        <v>3728</v>
      </c>
      <c r="AOM618" s="17">
        <v>44925</v>
      </c>
      <c r="AON618" s="5" t="s">
        <v>3728</v>
      </c>
      <c r="AOO618" s="17">
        <v>44925</v>
      </c>
      <c r="AOP618" s="5" t="s">
        <v>3728</v>
      </c>
      <c r="AOQ618" s="17">
        <v>44925</v>
      </c>
      <c r="AOR618" s="5" t="s">
        <v>3728</v>
      </c>
      <c r="AOS618" s="17">
        <v>44925</v>
      </c>
      <c r="AOT618" s="5" t="s">
        <v>3728</v>
      </c>
      <c r="AOU618" s="17">
        <v>44925</v>
      </c>
      <c r="AOV618" s="5" t="s">
        <v>3728</v>
      </c>
      <c r="AOW618" s="17">
        <v>44925</v>
      </c>
      <c r="AOX618" s="5" t="s">
        <v>3728</v>
      </c>
      <c r="AOY618" s="17">
        <v>44925</v>
      </c>
      <c r="AOZ618" s="5" t="s">
        <v>3728</v>
      </c>
      <c r="APA618" s="17">
        <v>44925</v>
      </c>
      <c r="APB618" s="5" t="s">
        <v>3728</v>
      </c>
      <c r="APC618" s="17">
        <v>44925</v>
      </c>
      <c r="APD618" s="5" t="s">
        <v>3728</v>
      </c>
      <c r="APE618" s="17">
        <v>44925</v>
      </c>
      <c r="APF618" s="5" t="s">
        <v>3728</v>
      </c>
      <c r="APG618" s="17">
        <v>44925</v>
      </c>
      <c r="APH618" s="5" t="s">
        <v>3728</v>
      </c>
      <c r="API618" s="17">
        <v>44925</v>
      </c>
      <c r="APJ618" s="5" t="s">
        <v>3728</v>
      </c>
      <c r="APK618" s="17">
        <v>44925</v>
      </c>
      <c r="APL618" s="5" t="s">
        <v>3728</v>
      </c>
      <c r="APM618" s="17">
        <v>44925</v>
      </c>
      <c r="APN618" s="5" t="s">
        <v>3728</v>
      </c>
      <c r="APO618" s="17">
        <v>44925</v>
      </c>
      <c r="APP618" s="5" t="s">
        <v>3728</v>
      </c>
      <c r="APQ618" s="17">
        <v>44925</v>
      </c>
      <c r="APR618" s="5" t="s">
        <v>3728</v>
      </c>
      <c r="APS618" s="17">
        <v>44925</v>
      </c>
      <c r="APT618" s="5" t="s">
        <v>3728</v>
      </c>
      <c r="APU618" s="17">
        <v>44925</v>
      </c>
      <c r="APV618" s="5" t="s">
        <v>3728</v>
      </c>
      <c r="APW618" s="17">
        <v>44925</v>
      </c>
      <c r="APX618" s="5" t="s">
        <v>3728</v>
      </c>
      <c r="APY618" s="17">
        <v>44925</v>
      </c>
      <c r="APZ618" s="5" t="s">
        <v>3728</v>
      </c>
      <c r="AQA618" s="17">
        <v>44925</v>
      </c>
      <c r="AQB618" s="5" t="s">
        <v>3728</v>
      </c>
      <c r="AQC618" s="17">
        <v>44925</v>
      </c>
      <c r="AQD618" s="5" t="s">
        <v>3728</v>
      </c>
      <c r="AQE618" s="17">
        <v>44925</v>
      </c>
      <c r="AQF618" s="5" t="s">
        <v>3728</v>
      </c>
      <c r="AQG618" s="17">
        <v>44925</v>
      </c>
      <c r="AQH618" s="5" t="s">
        <v>3728</v>
      </c>
      <c r="AQI618" s="17">
        <v>44925</v>
      </c>
      <c r="AQJ618" s="5" t="s">
        <v>3728</v>
      </c>
      <c r="AQK618" s="17">
        <v>44925</v>
      </c>
      <c r="AQL618" s="5" t="s">
        <v>3728</v>
      </c>
      <c r="AQM618" s="17">
        <v>44925</v>
      </c>
      <c r="AQN618" s="5" t="s">
        <v>3728</v>
      </c>
      <c r="AQO618" s="17">
        <v>44925</v>
      </c>
      <c r="AQP618" s="5" t="s">
        <v>3728</v>
      </c>
      <c r="AQQ618" s="17">
        <v>44925</v>
      </c>
      <c r="AQR618" s="5" t="s">
        <v>3728</v>
      </c>
      <c r="AQS618" s="17">
        <v>44925</v>
      </c>
      <c r="AQT618" s="5" t="s">
        <v>3728</v>
      </c>
      <c r="AQU618" s="17">
        <v>44925</v>
      </c>
      <c r="AQV618" s="5" t="s">
        <v>3728</v>
      </c>
      <c r="AQW618" s="17">
        <v>44925</v>
      </c>
      <c r="AQX618" s="5" t="s">
        <v>3728</v>
      </c>
      <c r="AQY618" s="17">
        <v>44925</v>
      </c>
      <c r="AQZ618" s="5" t="s">
        <v>3728</v>
      </c>
      <c r="ARA618" s="17">
        <v>44925</v>
      </c>
      <c r="ARB618" s="5" t="s">
        <v>3728</v>
      </c>
      <c r="ARC618" s="17">
        <v>44925</v>
      </c>
      <c r="ARD618" s="5" t="s">
        <v>3728</v>
      </c>
      <c r="ARE618" s="17">
        <v>44925</v>
      </c>
      <c r="ARF618" s="5" t="s">
        <v>3728</v>
      </c>
      <c r="ARG618" s="17">
        <v>44925</v>
      </c>
      <c r="ARH618" s="5" t="s">
        <v>3728</v>
      </c>
      <c r="ARI618" s="17">
        <v>44925</v>
      </c>
      <c r="ARJ618" s="5" t="s">
        <v>3728</v>
      </c>
      <c r="ARK618" s="17">
        <v>44925</v>
      </c>
      <c r="ARL618" s="5" t="s">
        <v>3728</v>
      </c>
      <c r="ARM618" s="17">
        <v>44925</v>
      </c>
      <c r="ARN618" s="5" t="s">
        <v>3728</v>
      </c>
      <c r="ARO618" s="17">
        <v>44925</v>
      </c>
      <c r="ARP618" s="5" t="s">
        <v>3728</v>
      </c>
      <c r="ARQ618" s="17">
        <v>44925</v>
      </c>
      <c r="ARR618" s="5" t="s">
        <v>3728</v>
      </c>
      <c r="ARS618" s="17">
        <v>44925</v>
      </c>
      <c r="ART618" s="5" t="s">
        <v>3728</v>
      </c>
      <c r="ARU618" s="17">
        <v>44925</v>
      </c>
      <c r="ARV618" s="5" t="s">
        <v>3728</v>
      </c>
      <c r="ARW618" s="17">
        <v>44925</v>
      </c>
      <c r="ARX618" s="5" t="s">
        <v>3728</v>
      </c>
      <c r="ARY618" s="17">
        <v>44925</v>
      </c>
      <c r="ARZ618" s="5" t="s">
        <v>3728</v>
      </c>
      <c r="ASA618" s="17">
        <v>44925</v>
      </c>
      <c r="ASB618" s="5" t="s">
        <v>3728</v>
      </c>
      <c r="ASC618" s="17">
        <v>44925</v>
      </c>
      <c r="ASD618" s="5" t="s">
        <v>3728</v>
      </c>
      <c r="ASE618" s="17">
        <v>44925</v>
      </c>
      <c r="ASF618" s="5" t="s">
        <v>3728</v>
      </c>
      <c r="ASG618" s="17">
        <v>44925</v>
      </c>
      <c r="ASH618" s="5" t="s">
        <v>3728</v>
      </c>
      <c r="ASI618" s="17">
        <v>44925</v>
      </c>
      <c r="ASJ618" s="5" t="s">
        <v>3728</v>
      </c>
      <c r="ASK618" s="17">
        <v>44925</v>
      </c>
      <c r="ASL618" s="5" t="s">
        <v>3728</v>
      </c>
      <c r="ASM618" s="17">
        <v>44925</v>
      </c>
      <c r="ASN618" s="5" t="s">
        <v>3728</v>
      </c>
      <c r="ASO618" s="17">
        <v>44925</v>
      </c>
      <c r="ASP618" s="5" t="s">
        <v>3728</v>
      </c>
      <c r="ASQ618" s="17">
        <v>44925</v>
      </c>
      <c r="ASR618" s="5" t="s">
        <v>3728</v>
      </c>
      <c r="ASS618" s="17">
        <v>44925</v>
      </c>
      <c r="AST618" s="5" t="s">
        <v>3728</v>
      </c>
      <c r="ASU618" s="17">
        <v>44925</v>
      </c>
      <c r="ASV618" s="5" t="s">
        <v>3728</v>
      </c>
      <c r="ASW618" s="17">
        <v>44925</v>
      </c>
      <c r="ASX618" s="5" t="s">
        <v>3728</v>
      </c>
      <c r="ASY618" s="17">
        <v>44925</v>
      </c>
      <c r="ASZ618" s="5" t="s">
        <v>3728</v>
      </c>
      <c r="ATA618" s="17">
        <v>44925</v>
      </c>
      <c r="ATB618" s="5" t="s">
        <v>3728</v>
      </c>
      <c r="ATC618" s="17">
        <v>44925</v>
      </c>
      <c r="ATD618" s="5" t="s">
        <v>3728</v>
      </c>
      <c r="ATE618" s="17">
        <v>44925</v>
      </c>
      <c r="ATF618" s="5" t="s">
        <v>3728</v>
      </c>
      <c r="ATG618" s="17">
        <v>44925</v>
      </c>
      <c r="ATH618" s="5" t="s">
        <v>3728</v>
      </c>
      <c r="ATI618" s="17">
        <v>44925</v>
      </c>
      <c r="ATJ618" s="5" t="s">
        <v>3728</v>
      </c>
      <c r="ATK618" s="17">
        <v>44925</v>
      </c>
      <c r="ATL618" s="5" t="s">
        <v>3728</v>
      </c>
      <c r="ATM618" s="17">
        <v>44925</v>
      </c>
      <c r="ATN618" s="5" t="s">
        <v>3728</v>
      </c>
      <c r="ATO618" s="17">
        <v>44925</v>
      </c>
      <c r="ATP618" s="5" t="s">
        <v>3728</v>
      </c>
      <c r="ATQ618" s="17">
        <v>44925</v>
      </c>
      <c r="ATR618" s="5" t="s">
        <v>3728</v>
      </c>
      <c r="ATS618" s="17">
        <v>44925</v>
      </c>
      <c r="ATT618" s="5" t="s">
        <v>3728</v>
      </c>
      <c r="ATU618" s="17">
        <v>44925</v>
      </c>
      <c r="ATV618" s="5" t="s">
        <v>3728</v>
      </c>
      <c r="ATW618" s="17">
        <v>44925</v>
      </c>
      <c r="ATX618" s="5" t="s">
        <v>3728</v>
      </c>
      <c r="ATY618" s="17">
        <v>44925</v>
      </c>
      <c r="ATZ618" s="5" t="s">
        <v>3728</v>
      </c>
      <c r="AUA618" s="17">
        <v>44925</v>
      </c>
      <c r="AUB618" s="5" t="s">
        <v>3728</v>
      </c>
      <c r="AUC618" s="17">
        <v>44925</v>
      </c>
      <c r="AUD618" s="5" t="s">
        <v>3728</v>
      </c>
      <c r="AUE618" s="17">
        <v>44925</v>
      </c>
      <c r="AUF618" s="5" t="s">
        <v>3728</v>
      </c>
      <c r="AUG618" s="17">
        <v>44925</v>
      </c>
      <c r="AUH618" s="5" t="s">
        <v>3728</v>
      </c>
      <c r="AUI618" s="17">
        <v>44925</v>
      </c>
      <c r="AUJ618" s="5" t="s">
        <v>3728</v>
      </c>
      <c r="AUK618" s="17">
        <v>44925</v>
      </c>
      <c r="AUL618" s="5" t="s">
        <v>3728</v>
      </c>
      <c r="AUM618" s="17">
        <v>44925</v>
      </c>
      <c r="AUN618" s="5" t="s">
        <v>3728</v>
      </c>
      <c r="AUO618" s="17">
        <v>44925</v>
      </c>
      <c r="AUP618" s="5" t="s">
        <v>3728</v>
      </c>
      <c r="AUQ618" s="17">
        <v>44925</v>
      </c>
      <c r="AUR618" s="5" t="s">
        <v>3728</v>
      </c>
      <c r="AUS618" s="17">
        <v>44925</v>
      </c>
      <c r="AUT618" s="5" t="s">
        <v>3728</v>
      </c>
      <c r="AUU618" s="17">
        <v>44925</v>
      </c>
      <c r="AUV618" s="5" t="s">
        <v>3728</v>
      </c>
      <c r="AUW618" s="17">
        <v>44925</v>
      </c>
      <c r="AUX618" s="5" t="s">
        <v>3728</v>
      </c>
      <c r="AUY618" s="17">
        <v>44925</v>
      </c>
      <c r="AUZ618" s="5" t="s">
        <v>3728</v>
      </c>
      <c r="AVA618" s="17">
        <v>44925</v>
      </c>
      <c r="AVB618" s="5" t="s">
        <v>3728</v>
      </c>
      <c r="AVC618" s="17">
        <v>44925</v>
      </c>
      <c r="AVD618" s="5" t="s">
        <v>3728</v>
      </c>
      <c r="AVE618" s="17">
        <v>44925</v>
      </c>
      <c r="AVF618" s="5" t="s">
        <v>3728</v>
      </c>
      <c r="AVG618" s="17">
        <v>44925</v>
      </c>
      <c r="AVH618" s="5" t="s">
        <v>3728</v>
      </c>
      <c r="AVI618" s="17">
        <v>44925</v>
      </c>
      <c r="AVJ618" s="5" t="s">
        <v>3728</v>
      </c>
      <c r="AVK618" s="17">
        <v>44925</v>
      </c>
      <c r="AVL618" s="5" t="s">
        <v>3728</v>
      </c>
      <c r="AVM618" s="17">
        <v>44925</v>
      </c>
      <c r="AVN618" s="5" t="s">
        <v>3728</v>
      </c>
      <c r="AVO618" s="17">
        <v>44925</v>
      </c>
      <c r="AVP618" s="5" t="s">
        <v>3728</v>
      </c>
      <c r="AVQ618" s="17">
        <v>44925</v>
      </c>
      <c r="AVR618" s="5" t="s">
        <v>3728</v>
      </c>
      <c r="AVS618" s="17">
        <v>44925</v>
      </c>
      <c r="AVT618" s="5" t="s">
        <v>3728</v>
      </c>
      <c r="AVU618" s="17">
        <v>44925</v>
      </c>
      <c r="AVV618" s="5" t="s">
        <v>3728</v>
      </c>
      <c r="AVW618" s="17">
        <v>44925</v>
      </c>
      <c r="AVX618" s="5" t="s">
        <v>3728</v>
      </c>
      <c r="AVY618" s="17">
        <v>44925</v>
      </c>
      <c r="AVZ618" s="5" t="s">
        <v>3728</v>
      </c>
      <c r="AWA618" s="17">
        <v>44925</v>
      </c>
      <c r="AWB618" s="5" t="s">
        <v>3728</v>
      </c>
      <c r="AWC618" s="17">
        <v>44925</v>
      </c>
      <c r="AWD618" s="5" t="s">
        <v>3728</v>
      </c>
      <c r="AWE618" s="17">
        <v>44925</v>
      </c>
      <c r="AWF618" s="5" t="s">
        <v>3728</v>
      </c>
      <c r="AWG618" s="17">
        <v>44925</v>
      </c>
      <c r="AWH618" s="5" t="s">
        <v>3728</v>
      </c>
      <c r="AWI618" s="17">
        <v>44925</v>
      </c>
      <c r="AWJ618" s="5" t="s">
        <v>3728</v>
      </c>
      <c r="AWK618" s="17">
        <v>44925</v>
      </c>
      <c r="AWL618" s="5" t="s">
        <v>3728</v>
      </c>
      <c r="AWM618" s="17">
        <v>44925</v>
      </c>
      <c r="AWN618" s="5" t="s">
        <v>3728</v>
      </c>
      <c r="AWO618" s="17">
        <v>44925</v>
      </c>
      <c r="AWP618" s="5" t="s">
        <v>3728</v>
      </c>
      <c r="AWQ618" s="17">
        <v>44925</v>
      </c>
      <c r="AWR618" s="5" t="s">
        <v>3728</v>
      </c>
      <c r="AWS618" s="17">
        <v>44925</v>
      </c>
      <c r="AWT618" s="5" t="s">
        <v>3728</v>
      </c>
      <c r="AWU618" s="17">
        <v>44925</v>
      </c>
      <c r="AWV618" s="5" t="s">
        <v>3728</v>
      </c>
      <c r="AWW618" s="17">
        <v>44925</v>
      </c>
      <c r="AWX618" s="5" t="s">
        <v>3728</v>
      </c>
      <c r="AWY618" s="17">
        <v>44925</v>
      </c>
      <c r="AWZ618" s="5" t="s">
        <v>3728</v>
      </c>
      <c r="AXA618" s="17">
        <v>44925</v>
      </c>
      <c r="AXB618" s="5" t="s">
        <v>3728</v>
      </c>
      <c r="AXC618" s="17">
        <v>44925</v>
      </c>
      <c r="AXD618" s="5" t="s">
        <v>3728</v>
      </c>
      <c r="AXE618" s="17">
        <v>44925</v>
      </c>
      <c r="AXF618" s="5" t="s">
        <v>3728</v>
      </c>
      <c r="AXG618" s="17">
        <v>44925</v>
      </c>
      <c r="AXH618" s="5" t="s">
        <v>3728</v>
      </c>
      <c r="AXI618" s="17">
        <v>44925</v>
      </c>
      <c r="AXJ618" s="5" t="s">
        <v>3728</v>
      </c>
      <c r="AXK618" s="17">
        <v>44925</v>
      </c>
      <c r="AXL618" s="5" t="s">
        <v>3728</v>
      </c>
      <c r="AXM618" s="17">
        <v>44925</v>
      </c>
      <c r="AXN618" s="5" t="s">
        <v>3728</v>
      </c>
      <c r="AXO618" s="17">
        <v>44925</v>
      </c>
      <c r="AXP618" s="5" t="s">
        <v>3728</v>
      </c>
      <c r="AXQ618" s="17">
        <v>44925</v>
      </c>
      <c r="AXR618" s="5" t="s">
        <v>3728</v>
      </c>
      <c r="AXS618" s="17">
        <v>44925</v>
      </c>
      <c r="AXT618" s="5" t="s">
        <v>3728</v>
      </c>
      <c r="AXU618" s="17">
        <v>44925</v>
      </c>
      <c r="AXV618" s="5" t="s">
        <v>3728</v>
      </c>
      <c r="AXW618" s="17">
        <v>44925</v>
      </c>
      <c r="AXX618" s="5" t="s">
        <v>3728</v>
      </c>
      <c r="AXY618" s="17">
        <v>44925</v>
      </c>
      <c r="AXZ618" s="5" t="s">
        <v>3728</v>
      </c>
      <c r="AYA618" s="17">
        <v>44925</v>
      </c>
      <c r="AYB618" s="5" t="s">
        <v>3728</v>
      </c>
      <c r="AYC618" s="17">
        <v>44925</v>
      </c>
      <c r="AYD618" s="5" t="s">
        <v>3728</v>
      </c>
      <c r="AYE618" s="17">
        <v>44925</v>
      </c>
      <c r="AYF618" s="5" t="s">
        <v>3728</v>
      </c>
      <c r="AYG618" s="17">
        <v>44925</v>
      </c>
      <c r="AYH618" s="5" t="s">
        <v>3728</v>
      </c>
      <c r="AYI618" s="17">
        <v>44925</v>
      </c>
      <c r="AYJ618" s="5" t="s">
        <v>3728</v>
      </c>
      <c r="AYK618" s="17">
        <v>44925</v>
      </c>
      <c r="AYL618" s="5" t="s">
        <v>3728</v>
      </c>
      <c r="AYM618" s="17">
        <v>44925</v>
      </c>
      <c r="AYN618" s="5" t="s">
        <v>3728</v>
      </c>
      <c r="AYO618" s="17">
        <v>44925</v>
      </c>
      <c r="AYP618" s="5" t="s">
        <v>3728</v>
      </c>
      <c r="AYQ618" s="17">
        <v>44925</v>
      </c>
      <c r="AYR618" s="5" t="s">
        <v>3728</v>
      </c>
      <c r="AYS618" s="17">
        <v>44925</v>
      </c>
      <c r="AYT618" s="5" t="s">
        <v>3728</v>
      </c>
      <c r="AYU618" s="17">
        <v>44925</v>
      </c>
      <c r="AYV618" s="5" t="s">
        <v>3728</v>
      </c>
      <c r="AYW618" s="17">
        <v>44925</v>
      </c>
      <c r="AYX618" s="5" t="s">
        <v>3728</v>
      </c>
      <c r="AYY618" s="17">
        <v>44925</v>
      </c>
      <c r="AYZ618" s="5" t="s">
        <v>3728</v>
      </c>
      <c r="AZA618" s="17">
        <v>44925</v>
      </c>
      <c r="AZB618" s="5" t="s">
        <v>3728</v>
      </c>
      <c r="AZC618" s="17">
        <v>44925</v>
      </c>
      <c r="AZD618" s="5" t="s">
        <v>3728</v>
      </c>
      <c r="AZE618" s="17">
        <v>44925</v>
      </c>
      <c r="AZF618" s="5" t="s">
        <v>3728</v>
      </c>
      <c r="AZG618" s="17">
        <v>44925</v>
      </c>
      <c r="AZH618" s="5" t="s">
        <v>3728</v>
      </c>
      <c r="AZI618" s="17">
        <v>44925</v>
      </c>
      <c r="AZJ618" s="5" t="s">
        <v>3728</v>
      </c>
      <c r="AZK618" s="17">
        <v>44925</v>
      </c>
      <c r="AZL618" s="5" t="s">
        <v>3728</v>
      </c>
      <c r="AZM618" s="17">
        <v>44925</v>
      </c>
      <c r="AZN618" s="5" t="s">
        <v>3728</v>
      </c>
      <c r="AZO618" s="17">
        <v>44925</v>
      </c>
      <c r="AZP618" s="5" t="s">
        <v>3728</v>
      </c>
      <c r="AZQ618" s="17">
        <v>44925</v>
      </c>
      <c r="AZR618" s="5" t="s">
        <v>3728</v>
      </c>
      <c r="AZS618" s="17">
        <v>44925</v>
      </c>
      <c r="AZT618" s="5" t="s">
        <v>3728</v>
      </c>
      <c r="AZU618" s="17">
        <v>44925</v>
      </c>
      <c r="AZV618" s="5" t="s">
        <v>3728</v>
      </c>
      <c r="AZW618" s="17">
        <v>44925</v>
      </c>
      <c r="AZX618" s="5" t="s">
        <v>3728</v>
      </c>
      <c r="AZY618" s="17">
        <v>44925</v>
      </c>
      <c r="AZZ618" s="5" t="s">
        <v>3728</v>
      </c>
      <c r="BAA618" s="17">
        <v>44925</v>
      </c>
      <c r="BAB618" s="5" t="s">
        <v>3728</v>
      </c>
      <c r="BAC618" s="17">
        <v>44925</v>
      </c>
      <c r="BAD618" s="5" t="s">
        <v>3728</v>
      </c>
      <c r="BAE618" s="17">
        <v>44925</v>
      </c>
      <c r="BAF618" s="5" t="s">
        <v>3728</v>
      </c>
      <c r="BAG618" s="17">
        <v>44925</v>
      </c>
      <c r="BAH618" s="5" t="s">
        <v>3728</v>
      </c>
      <c r="BAI618" s="17">
        <v>44925</v>
      </c>
      <c r="BAJ618" s="5" t="s">
        <v>3728</v>
      </c>
      <c r="BAK618" s="17">
        <v>44925</v>
      </c>
      <c r="BAL618" s="5" t="s">
        <v>3728</v>
      </c>
      <c r="BAM618" s="17">
        <v>44925</v>
      </c>
      <c r="BAN618" s="5" t="s">
        <v>3728</v>
      </c>
      <c r="BAO618" s="17">
        <v>44925</v>
      </c>
      <c r="BAP618" s="5" t="s">
        <v>3728</v>
      </c>
      <c r="BAQ618" s="17">
        <v>44925</v>
      </c>
      <c r="BAR618" s="5" t="s">
        <v>3728</v>
      </c>
      <c r="BAS618" s="17">
        <v>44925</v>
      </c>
      <c r="BAT618" s="5" t="s">
        <v>3728</v>
      </c>
      <c r="BAU618" s="17">
        <v>44925</v>
      </c>
      <c r="BAV618" s="5" t="s">
        <v>3728</v>
      </c>
      <c r="BAW618" s="17">
        <v>44925</v>
      </c>
      <c r="BAX618" s="5" t="s">
        <v>3728</v>
      </c>
      <c r="BAY618" s="17">
        <v>44925</v>
      </c>
      <c r="BAZ618" s="5" t="s">
        <v>3728</v>
      </c>
      <c r="BBA618" s="17">
        <v>44925</v>
      </c>
      <c r="BBB618" s="5" t="s">
        <v>3728</v>
      </c>
      <c r="BBC618" s="17">
        <v>44925</v>
      </c>
      <c r="BBD618" s="5" t="s">
        <v>3728</v>
      </c>
      <c r="BBE618" s="17">
        <v>44925</v>
      </c>
      <c r="BBF618" s="5" t="s">
        <v>3728</v>
      </c>
      <c r="BBG618" s="17">
        <v>44925</v>
      </c>
      <c r="BBH618" s="5" t="s">
        <v>3728</v>
      </c>
      <c r="BBI618" s="17">
        <v>44925</v>
      </c>
      <c r="BBJ618" s="5" t="s">
        <v>3728</v>
      </c>
      <c r="BBK618" s="17">
        <v>44925</v>
      </c>
      <c r="BBL618" s="5" t="s">
        <v>3728</v>
      </c>
      <c r="BBM618" s="17">
        <v>44925</v>
      </c>
      <c r="BBN618" s="5" t="s">
        <v>3728</v>
      </c>
      <c r="BBO618" s="17">
        <v>44925</v>
      </c>
      <c r="BBP618" s="5" t="s">
        <v>3728</v>
      </c>
      <c r="BBQ618" s="17">
        <v>44925</v>
      </c>
      <c r="BBR618" s="5" t="s">
        <v>3728</v>
      </c>
      <c r="BBS618" s="17">
        <v>44925</v>
      </c>
      <c r="BBT618" s="5" t="s">
        <v>3728</v>
      </c>
      <c r="BBU618" s="17">
        <v>44925</v>
      </c>
      <c r="BBV618" s="5" t="s">
        <v>3728</v>
      </c>
      <c r="BBW618" s="17">
        <v>44925</v>
      </c>
      <c r="BBX618" s="5" t="s">
        <v>3728</v>
      </c>
      <c r="BBY618" s="17">
        <v>44925</v>
      </c>
      <c r="BBZ618" s="5" t="s">
        <v>3728</v>
      </c>
      <c r="BCA618" s="17">
        <v>44925</v>
      </c>
      <c r="BCB618" s="5" t="s">
        <v>3728</v>
      </c>
      <c r="BCC618" s="17">
        <v>44925</v>
      </c>
      <c r="BCD618" s="5" t="s">
        <v>3728</v>
      </c>
      <c r="BCE618" s="17">
        <v>44925</v>
      </c>
      <c r="BCF618" s="5" t="s">
        <v>3728</v>
      </c>
      <c r="BCG618" s="17">
        <v>44925</v>
      </c>
      <c r="BCH618" s="5" t="s">
        <v>3728</v>
      </c>
      <c r="BCI618" s="17">
        <v>44925</v>
      </c>
      <c r="BCJ618" s="5" t="s">
        <v>3728</v>
      </c>
      <c r="BCK618" s="17">
        <v>44925</v>
      </c>
      <c r="BCL618" s="5" t="s">
        <v>3728</v>
      </c>
      <c r="BCM618" s="17">
        <v>44925</v>
      </c>
      <c r="BCN618" s="5" t="s">
        <v>3728</v>
      </c>
      <c r="BCO618" s="17">
        <v>44925</v>
      </c>
      <c r="BCP618" s="5" t="s">
        <v>3728</v>
      </c>
      <c r="BCQ618" s="17">
        <v>44925</v>
      </c>
      <c r="BCR618" s="5" t="s">
        <v>3728</v>
      </c>
      <c r="BCS618" s="17">
        <v>44925</v>
      </c>
      <c r="BCT618" s="5" t="s">
        <v>3728</v>
      </c>
      <c r="BCU618" s="17">
        <v>44925</v>
      </c>
      <c r="BCV618" s="5" t="s">
        <v>3728</v>
      </c>
      <c r="BCW618" s="17">
        <v>44925</v>
      </c>
      <c r="BCX618" s="5" t="s">
        <v>3728</v>
      </c>
      <c r="BCY618" s="17">
        <v>44925</v>
      </c>
      <c r="BCZ618" s="5" t="s">
        <v>3728</v>
      </c>
      <c r="BDA618" s="17">
        <v>44925</v>
      </c>
      <c r="BDB618" s="5" t="s">
        <v>3728</v>
      </c>
      <c r="BDC618" s="17">
        <v>44925</v>
      </c>
      <c r="BDD618" s="5" t="s">
        <v>3728</v>
      </c>
      <c r="BDE618" s="17">
        <v>44925</v>
      </c>
      <c r="BDF618" s="5" t="s">
        <v>3728</v>
      </c>
      <c r="BDG618" s="17">
        <v>44925</v>
      </c>
      <c r="BDH618" s="5" t="s">
        <v>3728</v>
      </c>
      <c r="BDI618" s="17">
        <v>44925</v>
      </c>
      <c r="BDJ618" s="5" t="s">
        <v>3728</v>
      </c>
      <c r="BDK618" s="17">
        <v>44925</v>
      </c>
      <c r="BDL618" s="5" t="s">
        <v>3728</v>
      </c>
      <c r="BDM618" s="17">
        <v>44925</v>
      </c>
      <c r="BDN618" s="5" t="s">
        <v>3728</v>
      </c>
      <c r="BDO618" s="17">
        <v>44925</v>
      </c>
      <c r="BDP618" s="5" t="s">
        <v>3728</v>
      </c>
      <c r="BDQ618" s="17">
        <v>44925</v>
      </c>
      <c r="BDR618" s="5" t="s">
        <v>3728</v>
      </c>
      <c r="BDS618" s="17">
        <v>44925</v>
      </c>
      <c r="BDT618" s="5" t="s">
        <v>3728</v>
      </c>
      <c r="BDU618" s="17">
        <v>44925</v>
      </c>
      <c r="BDV618" s="5" t="s">
        <v>3728</v>
      </c>
      <c r="BDW618" s="17">
        <v>44925</v>
      </c>
      <c r="BDX618" s="5" t="s">
        <v>3728</v>
      </c>
      <c r="BDY618" s="17">
        <v>44925</v>
      </c>
      <c r="BDZ618" s="5" t="s">
        <v>3728</v>
      </c>
      <c r="BEA618" s="17">
        <v>44925</v>
      </c>
      <c r="BEB618" s="5" t="s">
        <v>3728</v>
      </c>
      <c r="BEC618" s="17">
        <v>44925</v>
      </c>
      <c r="BED618" s="5" t="s">
        <v>3728</v>
      </c>
      <c r="BEE618" s="17">
        <v>44925</v>
      </c>
      <c r="BEF618" s="5" t="s">
        <v>3728</v>
      </c>
      <c r="BEG618" s="17">
        <v>44925</v>
      </c>
      <c r="BEH618" s="5" t="s">
        <v>3728</v>
      </c>
      <c r="BEI618" s="17">
        <v>44925</v>
      </c>
      <c r="BEJ618" s="5" t="s">
        <v>3728</v>
      </c>
      <c r="BEK618" s="17">
        <v>44925</v>
      </c>
      <c r="BEL618" s="5" t="s">
        <v>3728</v>
      </c>
      <c r="BEM618" s="17">
        <v>44925</v>
      </c>
      <c r="BEN618" s="5" t="s">
        <v>3728</v>
      </c>
      <c r="BEO618" s="17">
        <v>44925</v>
      </c>
      <c r="BEP618" s="5" t="s">
        <v>3728</v>
      </c>
      <c r="BEQ618" s="17">
        <v>44925</v>
      </c>
      <c r="BER618" s="5" t="s">
        <v>3728</v>
      </c>
      <c r="BES618" s="17">
        <v>44925</v>
      </c>
      <c r="BET618" s="5" t="s">
        <v>3728</v>
      </c>
      <c r="BEU618" s="17">
        <v>44925</v>
      </c>
      <c r="BEV618" s="5" t="s">
        <v>3728</v>
      </c>
      <c r="BEW618" s="17">
        <v>44925</v>
      </c>
      <c r="BEX618" s="5" t="s">
        <v>3728</v>
      </c>
      <c r="BEY618" s="17">
        <v>44925</v>
      </c>
      <c r="BEZ618" s="5" t="s">
        <v>3728</v>
      </c>
      <c r="BFA618" s="17">
        <v>44925</v>
      </c>
      <c r="BFB618" s="5" t="s">
        <v>3728</v>
      </c>
      <c r="BFC618" s="17">
        <v>44925</v>
      </c>
      <c r="BFD618" s="5" t="s">
        <v>3728</v>
      </c>
      <c r="BFE618" s="17">
        <v>44925</v>
      </c>
      <c r="BFF618" s="5" t="s">
        <v>3728</v>
      </c>
      <c r="BFG618" s="17">
        <v>44925</v>
      </c>
      <c r="BFH618" s="5" t="s">
        <v>3728</v>
      </c>
      <c r="BFI618" s="17">
        <v>44925</v>
      </c>
      <c r="BFJ618" s="5" t="s">
        <v>3728</v>
      </c>
      <c r="BFK618" s="17">
        <v>44925</v>
      </c>
      <c r="BFL618" s="5" t="s">
        <v>3728</v>
      </c>
      <c r="BFM618" s="17">
        <v>44925</v>
      </c>
      <c r="BFN618" s="5" t="s">
        <v>3728</v>
      </c>
      <c r="BFO618" s="17">
        <v>44925</v>
      </c>
      <c r="BFP618" s="5" t="s">
        <v>3728</v>
      </c>
      <c r="BFQ618" s="17">
        <v>44925</v>
      </c>
      <c r="BFR618" s="5" t="s">
        <v>3728</v>
      </c>
      <c r="BFS618" s="17">
        <v>44925</v>
      </c>
      <c r="BFT618" s="5" t="s">
        <v>3728</v>
      </c>
      <c r="BFU618" s="17">
        <v>44925</v>
      </c>
      <c r="BFV618" s="5" t="s">
        <v>3728</v>
      </c>
      <c r="BFW618" s="17">
        <v>44925</v>
      </c>
      <c r="BFX618" s="5" t="s">
        <v>3728</v>
      </c>
      <c r="BFY618" s="17">
        <v>44925</v>
      </c>
      <c r="BFZ618" s="5" t="s">
        <v>3728</v>
      </c>
      <c r="BGA618" s="17">
        <v>44925</v>
      </c>
      <c r="BGB618" s="5" t="s">
        <v>3728</v>
      </c>
      <c r="BGC618" s="17">
        <v>44925</v>
      </c>
      <c r="BGD618" s="5" t="s">
        <v>3728</v>
      </c>
      <c r="BGE618" s="17">
        <v>44925</v>
      </c>
      <c r="BGF618" s="5" t="s">
        <v>3728</v>
      </c>
      <c r="BGG618" s="17">
        <v>44925</v>
      </c>
      <c r="BGH618" s="5" t="s">
        <v>3728</v>
      </c>
      <c r="BGI618" s="17">
        <v>44925</v>
      </c>
      <c r="BGJ618" s="5" t="s">
        <v>3728</v>
      </c>
      <c r="BGK618" s="17">
        <v>44925</v>
      </c>
      <c r="BGL618" s="5" t="s">
        <v>3728</v>
      </c>
      <c r="BGM618" s="17">
        <v>44925</v>
      </c>
      <c r="BGN618" s="5" t="s">
        <v>3728</v>
      </c>
      <c r="BGO618" s="17">
        <v>44925</v>
      </c>
      <c r="BGP618" s="5" t="s">
        <v>3728</v>
      </c>
      <c r="BGQ618" s="17">
        <v>44925</v>
      </c>
      <c r="BGR618" s="5" t="s">
        <v>3728</v>
      </c>
      <c r="BGS618" s="17">
        <v>44925</v>
      </c>
      <c r="BGT618" s="5" t="s">
        <v>3728</v>
      </c>
      <c r="BGU618" s="17">
        <v>44925</v>
      </c>
      <c r="BGV618" s="5" t="s">
        <v>3728</v>
      </c>
      <c r="BGW618" s="17">
        <v>44925</v>
      </c>
      <c r="BGX618" s="5" t="s">
        <v>3728</v>
      </c>
      <c r="BGY618" s="17">
        <v>44925</v>
      </c>
      <c r="BGZ618" s="5" t="s">
        <v>3728</v>
      </c>
      <c r="BHA618" s="17">
        <v>44925</v>
      </c>
      <c r="BHB618" s="5" t="s">
        <v>3728</v>
      </c>
      <c r="BHC618" s="17">
        <v>44925</v>
      </c>
      <c r="BHD618" s="5" t="s">
        <v>3728</v>
      </c>
      <c r="BHE618" s="17">
        <v>44925</v>
      </c>
      <c r="BHF618" s="5" t="s">
        <v>3728</v>
      </c>
      <c r="BHG618" s="17">
        <v>44925</v>
      </c>
      <c r="BHH618" s="5" t="s">
        <v>3728</v>
      </c>
      <c r="BHI618" s="17">
        <v>44925</v>
      </c>
      <c r="BHJ618" s="5" t="s">
        <v>3728</v>
      </c>
      <c r="BHK618" s="17">
        <v>44925</v>
      </c>
      <c r="BHL618" s="5" t="s">
        <v>3728</v>
      </c>
      <c r="BHM618" s="17">
        <v>44925</v>
      </c>
      <c r="BHN618" s="5" t="s">
        <v>3728</v>
      </c>
      <c r="BHO618" s="17">
        <v>44925</v>
      </c>
      <c r="BHP618" s="5" t="s">
        <v>3728</v>
      </c>
      <c r="BHQ618" s="17">
        <v>44925</v>
      </c>
      <c r="BHR618" s="5" t="s">
        <v>3728</v>
      </c>
      <c r="BHS618" s="17">
        <v>44925</v>
      </c>
      <c r="BHT618" s="5" t="s">
        <v>3728</v>
      </c>
      <c r="BHU618" s="17">
        <v>44925</v>
      </c>
      <c r="BHV618" s="5" t="s">
        <v>3728</v>
      </c>
      <c r="BHW618" s="17">
        <v>44925</v>
      </c>
      <c r="BHX618" s="5" t="s">
        <v>3728</v>
      </c>
      <c r="BHY618" s="17">
        <v>44925</v>
      </c>
      <c r="BHZ618" s="5" t="s">
        <v>3728</v>
      </c>
      <c r="BIA618" s="17">
        <v>44925</v>
      </c>
      <c r="BIB618" s="5" t="s">
        <v>3728</v>
      </c>
      <c r="BIC618" s="17">
        <v>44925</v>
      </c>
      <c r="BID618" s="5" t="s">
        <v>3728</v>
      </c>
      <c r="BIE618" s="17">
        <v>44925</v>
      </c>
      <c r="BIF618" s="5" t="s">
        <v>3728</v>
      </c>
      <c r="BIG618" s="17">
        <v>44925</v>
      </c>
      <c r="BIH618" s="5" t="s">
        <v>3728</v>
      </c>
      <c r="BII618" s="17">
        <v>44925</v>
      </c>
      <c r="BIJ618" s="5" t="s">
        <v>3728</v>
      </c>
      <c r="BIK618" s="17">
        <v>44925</v>
      </c>
      <c r="BIL618" s="5" t="s">
        <v>3728</v>
      </c>
      <c r="BIM618" s="17">
        <v>44925</v>
      </c>
      <c r="BIN618" s="5" t="s">
        <v>3728</v>
      </c>
      <c r="BIO618" s="17">
        <v>44925</v>
      </c>
      <c r="BIP618" s="5" t="s">
        <v>3728</v>
      </c>
      <c r="BIQ618" s="17">
        <v>44925</v>
      </c>
      <c r="BIR618" s="5" t="s">
        <v>3728</v>
      </c>
      <c r="BIS618" s="17">
        <v>44925</v>
      </c>
      <c r="BIT618" s="5" t="s">
        <v>3728</v>
      </c>
      <c r="BIU618" s="17">
        <v>44925</v>
      </c>
      <c r="BIV618" s="5" t="s">
        <v>3728</v>
      </c>
      <c r="BIW618" s="17">
        <v>44925</v>
      </c>
      <c r="BIX618" s="5" t="s">
        <v>3728</v>
      </c>
      <c r="BIY618" s="17">
        <v>44925</v>
      </c>
      <c r="BIZ618" s="5" t="s">
        <v>3728</v>
      </c>
      <c r="BJA618" s="17">
        <v>44925</v>
      </c>
      <c r="BJB618" s="5" t="s">
        <v>3728</v>
      </c>
      <c r="BJC618" s="17">
        <v>44925</v>
      </c>
      <c r="BJD618" s="5" t="s">
        <v>3728</v>
      </c>
      <c r="BJE618" s="17">
        <v>44925</v>
      </c>
      <c r="BJF618" s="5" t="s">
        <v>3728</v>
      </c>
      <c r="BJG618" s="17">
        <v>44925</v>
      </c>
      <c r="BJH618" s="5" t="s">
        <v>3728</v>
      </c>
      <c r="BJI618" s="17">
        <v>44925</v>
      </c>
      <c r="BJJ618" s="5" t="s">
        <v>3728</v>
      </c>
      <c r="BJK618" s="17">
        <v>44925</v>
      </c>
      <c r="BJL618" s="5" t="s">
        <v>3728</v>
      </c>
      <c r="BJM618" s="17">
        <v>44925</v>
      </c>
      <c r="BJN618" s="5" t="s">
        <v>3728</v>
      </c>
      <c r="BJO618" s="17">
        <v>44925</v>
      </c>
      <c r="BJP618" s="5" t="s">
        <v>3728</v>
      </c>
      <c r="BJQ618" s="17">
        <v>44925</v>
      </c>
      <c r="BJR618" s="5" t="s">
        <v>3728</v>
      </c>
      <c r="BJS618" s="17">
        <v>44925</v>
      </c>
      <c r="BJT618" s="5" t="s">
        <v>3728</v>
      </c>
      <c r="BJU618" s="17">
        <v>44925</v>
      </c>
      <c r="BJV618" s="5" t="s">
        <v>3728</v>
      </c>
      <c r="BJW618" s="17">
        <v>44925</v>
      </c>
      <c r="BJX618" s="5" t="s">
        <v>3728</v>
      </c>
      <c r="BJY618" s="17">
        <v>44925</v>
      </c>
      <c r="BJZ618" s="5" t="s">
        <v>3728</v>
      </c>
      <c r="BKA618" s="17">
        <v>44925</v>
      </c>
      <c r="BKB618" s="5" t="s">
        <v>3728</v>
      </c>
      <c r="BKC618" s="17">
        <v>44925</v>
      </c>
      <c r="BKD618" s="5" t="s">
        <v>3728</v>
      </c>
      <c r="BKE618" s="17">
        <v>44925</v>
      </c>
      <c r="BKF618" s="5" t="s">
        <v>3728</v>
      </c>
      <c r="BKG618" s="17">
        <v>44925</v>
      </c>
      <c r="BKH618" s="5" t="s">
        <v>3728</v>
      </c>
      <c r="BKI618" s="17">
        <v>44925</v>
      </c>
      <c r="BKJ618" s="5" t="s">
        <v>3728</v>
      </c>
      <c r="BKK618" s="17">
        <v>44925</v>
      </c>
      <c r="BKL618" s="5" t="s">
        <v>3728</v>
      </c>
      <c r="BKM618" s="17">
        <v>44925</v>
      </c>
      <c r="BKN618" s="5" t="s">
        <v>3728</v>
      </c>
      <c r="BKO618" s="17">
        <v>44925</v>
      </c>
      <c r="BKP618" s="5" t="s">
        <v>3728</v>
      </c>
      <c r="BKQ618" s="17">
        <v>44925</v>
      </c>
      <c r="BKR618" s="5" t="s">
        <v>3728</v>
      </c>
      <c r="BKS618" s="17">
        <v>44925</v>
      </c>
      <c r="BKT618" s="5" t="s">
        <v>3728</v>
      </c>
      <c r="BKU618" s="17">
        <v>44925</v>
      </c>
      <c r="BKV618" s="5" t="s">
        <v>3728</v>
      </c>
      <c r="BKW618" s="17">
        <v>44925</v>
      </c>
      <c r="BKX618" s="5" t="s">
        <v>3728</v>
      </c>
      <c r="BKY618" s="17">
        <v>44925</v>
      </c>
      <c r="BKZ618" s="5" t="s">
        <v>3728</v>
      </c>
      <c r="BLA618" s="17">
        <v>44925</v>
      </c>
      <c r="BLB618" s="5" t="s">
        <v>3728</v>
      </c>
      <c r="BLC618" s="17">
        <v>44925</v>
      </c>
      <c r="BLD618" s="5" t="s">
        <v>3728</v>
      </c>
      <c r="BLE618" s="17">
        <v>44925</v>
      </c>
      <c r="BLF618" s="5" t="s">
        <v>3728</v>
      </c>
      <c r="BLG618" s="17">
        <v>44925</v>
      </c>
      <c r="BLH618" s="5" t="s">
        <v>3728</v>
      </c>
      <c r="BLI618" s="17">
        <v>44925</v>
      </c>
      <c r="BLJ618" s="5" t="s">
        <v>3728</v>
      </c>
      <c r="BLK618" s="17">
        <v>44925</v>
      </c>
      <c r="BLL618" s="5" t="s">
        <v>3728</v>
      </c>
      <c r="BLM618" s="17">
        <v>44925</v>
      </c>
      <c r="BLN618" s="5" t="s">
        <v>3728</v>
      </c>
      <c r="BLO618" s="17">
        <v>44925</v>
      </c>
      <c r="BLP618" s="5" t="s">
        <v>3728</v>
      </c>
      <c r="BLQ618" s="17">
        <v>44925</v>
      </c>
      <c r="BLR618" s="5" t="s">
        <v>3728</v>
      </c>
      <c r="BLS618" s="17">
        <v>44925</v>
      </c>
      <c r="BLT618" s="5" t="s">
        <v>3728</v>
      </c>
      <c r="BLU618" s="17">
        <v>44925</v>
      </c>
      <c r="BLV618" s="5" t="s">
        <v>3728</v>
      </c>
      <c r="BLW618" s="17">
        <v>44925</v>
      </c>
      <c r="BLX618" s="5" t="s">
        <v>3728</v>
      </c>
      <c r="BLY618" s="17">
        <v>44925</v>
      </c>
      <c r="BLZ618" s="5" t="s">
        <v>3728</v>
      </c>
      <c r="BMA618" s="17">
        <v>44925</v>
      </c>
      <c r="BMB618" s="5" t="s">
        <v>3728</v>
      </c>
      <c r="BMC618" s="17">
        <v>44925</v>
      </c>
      <c r="BMD618" s="5" t="s">
        <v>3728</v>
      </c>
      <c r="BME618" s="17">
        <v>44925</v>
      </c>
      <c r="BMF618" s="5" t="s">
        <v>3728</v>
      </c>
      <c r="BMG618" s="17">
        <v>44925</v>
      </c>
      <c r="BMH618" s="5" t="s">
        <v>3728</v>
      </c>
      <c r="BMI618" s="17">
        <v>44925</v>
      </c>
      <c r="BMJ618" s="5" t="s">
        <v>3728</v>
      </c>
      <c r="BMK618" s="17">
        <v>44925</v>
      </c>
      <c r="BML618" s="5" t="s">
        <v>3728</v>
      </c>
      <c r="BMM618" s="17">
        <v>44925</v>
      </c>
      <c r="BMN618" s="5" t="s">
        <v>3728</v>
      </c>
      <c r="BMO618" s="17">
        <v>44925</v>
      </c>
      <c r="BMP618" s="5" t="s">
        <v>3728</v>
      </c>
      <c r="BMQ618" s="17">
        <v>44925</v>
      </c>
      <c r="BMR618" s="5" t="s">
        <v>3728</v>
      </c>
      <c r="BMS618" s="17">
        <v>44925</v>
      </c>
      <c r="BMT618" s="5" t="s">
        <v>3728</v>
      </c>
      <c r="BMU618" s="17">
        <v>44925</v>
      </c>
      <c r="BMV618" s="5" t="s">
        <v>3728</v>
      </c>
      <c r="BMW618" s="17">
        <v>44925</v>
      </c>
      <c r="BMX618" s="5" t="s">
        <v>3728</v>
      </c>
      <c r="BMY618" s="17">
        <v>44925</v>
      </c>
      <c r="BMZ618" s="5" t="s">
        <v>3728</v>
      </c>
      <c r="BNA618" s="17">
        <v>44925</v>
      </c>
      <c r="BNB618" s="5" t="s">
        <v>3728</v>
      </c>
      <c r="BNC618" s="17">
        <v>44925</v>
      </c>
      <c r="BND618" s="5" t="s">
        <v>3728</v>
      </c>
      <c r="BNE618" s="17">
        <v>44925</v>
      </c>
      <c r="BNF618" s="5" t="s">
        <v>3728</v>
      </c>
      <c r="BNG618" s="17">
        <v>44925</v>
      </c>
      <c r="BNH618" s="5" t="s">
        <v>3728</v>
      </c>
      <c r="BNI618" s="17">
        <v>44925</v>
      </c>
      <c r="BNJ618" s="5" t="s">
        <v>3728</v>
      </c>
      <c r="BNK618" s="17">
        <v>44925</v>
      </c>
      <c r="BNL618" s="5" t="s">
        <v>3728</v>
      </c>
      <c r="BNM618" s="17">
        <v>44925</v>
      </c>
      <c r="BNN618" s="5" t="s">
        <v>3728</v>
      </c>
      <c r="BNO618" s="17">
        <v>44925</v>
      </c>
      <c r="BNP618" s="5" t="s">
        <v>3728</v>
      </c>
      <c r="BNQ618" s="17">
        <v>44925</v>
      </c>
      <c r="BNR618" s="5" t="s">
        <v>3728</v>
      </c>
      <c r="BNS618" s="17">
        <v>44925</v>
      </c>
      <c r="BNT618" s="5" t="s">
        <v>3728</v>
      </c>
      <c r="BNU618" s="17">
        <v>44925</v>
      </c>
      <c r="BNV618" s="5" t="s">
        <v>3728</v>
      </c>
      <c r="BNW618" s="17">
        <v>44925</v>
      </c>
      <c r="BNX618" s="5" t="s">
        <v>3728</v>
      </c>
      <c r="BNY618" s="17">
        <v>44925</v>
      </c>
      <c r="BNZ618" s="5" t="s">
        <v>3728</v>
      </c>
      <c r="BOA618" s="17">
        <v>44925</v>
      </c>
      <c r="BOB618" s="5" t="s">
        <v>3728</v>
      </c>
      <c r="BOC618" s="17">
        <v>44925</v>
      </c>
      <c r="BOD618" s="5" t="s">
        <v>3728</v>
      </c>
      <c r="BOE618" s="17">
        <v>44925</v>
      </c>
      <c r="BOF618" s="5" t="s">
        <v>3728</v>
      </c>
      <c r="BOG618" s="17">
        <v>44925</v>
      </c>
      <c r="BOH618" s="5" t="s">
        <v>3728</v>
      </c>
      <c r="BOI618" s="17">
        <v>44925</v>
      </c>
      <c r="BOJ618" s="5" t="s">
        <v>3728</v>
      </c>
      <c r="BOK618" s="17">
        <v>44925</v>
      </c>
      <c r="BOL618" s="5" t="s">
        <v>3728</v>
      </c>
      <c r="BOM618" s="17">
        <v>44925</v>
      </c>
      <c r="BON618" s="5" t="s">
        <v>3728</v>
      </c>
      <c r="BOO618" s="17">
        <v>44925</v>
      </c>
      <c r="BOP618" s="5" t="s">
        <v>3728</v>
      </c>
      <c r="BOQ618" s="17">
        <v>44925</v>
      </c>
      <c r="BOR618" s="5" t="s">
        <v>3728</v>
      </c>
      <c r="BOS618" s="17">
        <v>44925</v>
      </c>
      <c r="BOT618" s="5" t="s">
        <v>3728</v>
      </c>
      <c r="BOU618" s="17">
        <v>44925</v>
      </c>
      <c r="BOV618" s="5" t="s">
        <v>3728</v>
      </c>
      <c r="BOW618" s="17">
        <v>44925</v>
      </c>
      <c r="BOX618" s="5" t="s">
        <v>3728</v>
      </c>
      <c r="BOY618" s="17">
        <v>44925</v>
      </c>
      <c r="BOZ618" s="5" t="s">
        <v>3728</v>
      </c>
      <c r="BPA618" s="17">
        <v>44925</v>
      </c>
      <c r="BPB618" s="5" t="s">
        <v>3728</v>
      </c>
      <c r="BPC618" s="17">
        <v>44925</v>
      </c>
      <c r="BPD618" s="5" t="s">
        <v>3728</v>
      </c>
      <c r="BPE618" s="17">
        <v>44925</v>
      </c>
      <c r="BPF618" s="5" t="s">
        <v>3728</v>
      </c>
      <c r="BPG618" s="17">
        <v>44925</v>
      </c>
      <c r="BPH618" s="5" t="s">
        <v>3728</v>
      </c>
      <c r="BPI618" s="17">
        <v>44925</v>
      </c>
      <c r="BPJ618" s="5" t="s">
        <v>3728</v>
      </c>
      <c r="BPK618" s="17">
        <v>44925</v>
      </c>
      <c r="BPL618" s="5" t="s">
        <v>3728</v>
      </c>
      <c r="BPM618" s="17">
        <v>44925</v>
      </c>
      <c r="BPN618" s="5" t="s">
        <v>3728</v>
      </c>
      <c r="BPO618" s="17">
        <v>44925</v>
      </c>
      <c r="BPP618" s="5" t="s">
        <v>3728</v>
      </c>
      <c r="BPQ618" s="17">
        <v>44925</v>
      </c>
      <c r="BPR618" s="5" t="s">
        <v>3728</v>
      </c>
      <c r="BPS618" s="17">
        <v>44925</v>
      </c>
      <c r="BPT618" s="5" t="s">
        <v>3728</v>
      </c>
      <c r="BPU618" s="17">
        <v>44925</v>
      </c>
      <c r="BPV618" s="5" t="s">
        <v>3728</v>
      </c>
      <c r="BPW618" s="17">
        <v>44925</v>
      </c>
      <c r="BPX618" s="5" t="s">
        <v>3728</v>
      </c>
      <c r="BPY618" s="17">
        <v>44925</v>
      </c>
      <c r="BPZ618" s="5" t="s">
        <v>3728</v>
      </c>
      <c r="BQA618" s="17">
        <v>44925</v>
      </c>
      <c r="BQB618" s="5" t="s">
        <v>3728</v>
      </c>
      <c r="BQC618" s="17">
        <v>44925</v>
      </c>
      <c r="BQD618" s="5" t="s">
        <v>3728</v>
      </c>
      <c r="BQE618" s="17">
        <v>44925</v>
      </c>
      <c r="BQF618" s="5" t="s">
        <v>3728</v>
      </c>
      <c r="BQG618" s="17">
        <v>44925</v>
      </c>
      <c r="BQH618" s="5" t="s">
        <v>3728</v>
      </c>
      <c r="BQI618" s="17">
        <v>44925</v>
      </c>
      <c r="BQJ618" s="5" t="s">
        <v>3728</v>
      </c>
      <c r="BQK618" s="17">
        <v>44925</v>
      </c>
      <c r="BQL618" s="5" t="s">
        <v>3728</v>
      </c>
      <c r="BQM618" s="17">
        <v>44925</v>
      </c>
      <c r="BQN618" s="5" t="s">
        <v>3728</v>
      </c>
      <c r="BQO618" s="17">
        <v>44925</v>
      </c>
      <c r="BQP618" s="5" t="s">
        <v>3728</v>
      </c>
      <c r="BQQ618" s="17">
        <v>44925</v>
      </c>
      <c r="BQR618" s="5" t="s">
        <v>3728</v>
      </c>
      <c r="BQS618" s="17">
        <v>44925</v>
      </c>
      <c r="BQT618" s="5" t="s">
        <v>3728</v>
      </c>
      <c r="BQU618" s="17">
        <v>44925</v>
      </c>
      <c r="BQV618" s="5" t="s">
        <v>3728</v>
      </c>
      <c r="BQW618" s="17">
        <v>44925</v>
      </c>
      <c r="BQX618" s="5" t="s">
        <v>3728</v>
      </c>
      <c r="BQY618" s="17">
        <v>44925</v>
      </c>
      <c r="BQZ618" s="5" t="s">
        <v>3728</v>
      </c>
      <c r="BRA618" s="17">
        <v>44925</v>
      </c>
      <c r="BRB618" s="5" t="s">
        <v>3728</v>
      </c>
      <c r="BRC618" s="17">
        <v>44925</v>
      </c>
      <c r="BRD618" s="5" t="s">
        <v>3728</v>
      </c>
      <c r="BRE618" s="17">
        <v>44925</v>
      </c>
      <c r="BRF618" s="5" t="s">
        <v>3728</v>
      </c>
      <c r="BRG618" s="17">
        <v>44925</v>
      </c>
      <c r="BRH618" s="5" t="s">
        <v>3728</v>
      </c>
      <c r="BRI618" s="17">
        <v>44925</v>
      </c>
      <c r="BRJ618" s="5" t="s">
        <v>3728</v>
      </c>
      <c r="BRK618" s="17">
        <v>44925</v>
      </c>
      <c r="BRL618" s="5" t="s">
        <v>3728</v>
      </c>
      <c r="BRM618" s="17">
        <v>44925</v>
      </c>
      <c r="BRN618" s="5" t="s">
        <v>3728</v>
      </c>
      <c r="BRO618" s="17">
        <v>44925</v>
      </c>
      <c r="BRP618" s="5" t="s">
        <v>3728</v>
      </c>
      <c r="BRQ618" s="17">
        <v>44925</v>
      </c>
      <c r="BRR618" s="5" t="s">
        <v>3728</v>
      </c>
      <c r="BRS618" s="17">
        <v>44925</v>
      </c>
      <c r="BRT618" s="5" t="s">
        <v>3728</v>
      </c>
      <c r="BRU618" s="17">
        <v>44925</v>
      </c>
      <c r="BRV618" s="5" t="s">
        <v>3728</v>
      </c>
      <c r="BRW618" s="17">
        <v>44925</v>
      </c>
      <c r="BRX618" s="5" t="s">
        <v>3728</v>
      </c>
      <c r="BRY618" s="17">
        <v>44925</v>
      </c>
      <c r="BRZ618" s="5" t="s">
        <v>3728</v>
      </c>
      <c r="BSA618" s="17">
        <v>44925</v>
      </c>
      <c r="BSB618" s="5" t="s">
        <v>3728</v>
      </c>
      <c r="BSC618" s="17">
        <v>44925</v>
      </c>
      <c r="BSD618" s="5" t="s">
        <v>3728</v>
      </c>
      <c r="BSE618" s="17">
        <v>44925</v>
      </c>
      <c r="BSF618" s="5" t="s">
        <v>3728</v>
      </c>
      <c r="BSG618" s="17">
        <v>44925</v>
      </c>
      <c r="BSH618" s="5" t="s">
        <v>3728</v>
      </c>
      <c r="BSI618" s="17">
        <v>44925</v>
      </c>
      <c r="BSJ618" s="5" t="s">
        <v>3728</v>
      </c>
      <c r="BSK618" s="17">
        <v>44925</v>
      </c>
      <c r="BSL618" s="5" t="s">
        <v>3728</v>
      </c>
      <c r="BSM618" s="17">
        <v>44925</v>
      </c>
      <c r="BSN618" s="5" t="s">
        <v>3728</v>
      </c>
      <c r="BSO618" s="17">
        <v>44925</v>
      </c>
      <c r="BSP618" s="5" t="s">
        <v>3728</v>
      </c>
      <c r="BSQ618" s="17">
        <v>44925</v>
      </c>
      <c r="BSR618" s="5" t="s">
        <v>3728</v>
      </c>
      <c r="BSS618" s="17">
        <v>44925</v>
      </c>
      <c r="BST618" s="5" t="s">
        <v>3728</v>
      </c>
      <c r="BSU618" s="17">
        <v>44925</v>
      </c>
      <c r="BSV618" s="5" t="s">
        <v>3728</v>
      </c>
      <c r="BSW618" s="17">
        <v>44925</v>
      </c>
      <c r="BSX618" s="5" t="s">
        <v>3728</v>
      </c>
      <c r="BSY618" s="17">
        <v>44925</v>
      </c>
      <c r="BSZ618" s="5" t="s">
        <v>3728</v>
      </c>
      <c r="BTA618" s="17">
        <v>44925</v>
      </c>
      <c r="BTB618" s="5" t="s">
        <v>3728</v>
      </c>
      <c r="BTC618" s="17">
        <v>44925</v>
      </c>
      <c r="BTD618" s="5" t="s">
        <v>3728</v>
      </c>
      <c r="BTE618" s="17">
        <v>44925</v>
      </c>
      <c r="BTF618" s="5" t="s">
        <v>3728</v>
      </c>
      <c r="BTG618" s="17">
        <v>44925</v>
      </c>
      <c r="BTH618" s="5" t="s">
        <v>3728</v>
      </c>
      <c r="BTI618" s="17">
        <v>44925</v>
      </c>
      <c r="BTJ618" s="5" t="s">
        <v>3728</v>
      </c>
      <c r="BTK618" s="17">
        <v>44925</v>
      </c>
      <c r="BTL618" s="5" t="s">
        <v>3728</v>
      </c>
      <c r="BTM618" s="17">
        <v>44925</v>
      </c>
      <c r="BTN618" s="5" t="s">
        <v>3728</v>
      </c>
      <c r="BTO618" s="17">
        <v>44925</v>
      </c>
      <c r="BTP618" s="5" t="s">
        <v>3728</v>
      </c>
      <c r="BTQ618" s="17">
        <v>44925</v>
      </c>
      <c r="BTR618" s="5" t="s">
        <v>3728</v>
      </c>
      <c r="BTS618" s="17">
        <v>44925</v>
      </c>
      <c r="BTT618" s="5" t="s">
        <v>3728</v>
      </c>
      <c r="BTU618" s="17">
        <v>44925</v>
      </c>
      <c r="BTV618" s="5" t="s">
        <v>3728</v>
      </c>
      <c r="BTW618" s="17">
        <v>44925</v>
      </c>
      <c r="BTX618" s="5" t="s">
        <v>3728</v>
      </c>
      <c r="BTY618" s="17">
        <v>44925</v>
      </c>
      <c r="BTZ618" s="5" t="s">
        <v>3728</v>
      </c>
      <c r="BUA618" s="17">
        <v>44925</v>
      </c>
      <c r="BUB618" s="5" t="s">
        <v>3728</v>
      </c>
      <c r="BUC618" s="17">
        <v>44925</v>
      </c>
      <c r="BUD618" s="5" t="s">
        <v>3728</v>
      </c>
      <c r="BUE618" s="17">
        <v>44925</v>
      </c>
      <c r="BUF618" s="5" t="s">
        <v>3728</v>
      </c>
      <c r="BUG618" s="17">
        <v>44925</v>
      </c>
      <c r="BUH618" s="5" t="s">
        <v>3728</v>
      </c>
      <c r="BUI618" s="17">
        <v>44925</v>
      </c>
      <c r="BUJ618" s="5" t="s">
        <v>3728</v>
      </c>
      <c r="BUK618" s="17">
        <v>44925</v>
      </c>
      <c r="BUL618" s="5" t="s">
        <v>3728</v>
      </c>
      <c r="BUM618" s="17">
        <v>44925</v>
      </c>
      <c r="BUN618" s="5" t="s">
        <v>3728</v>
      </c>
      <c r="BUO618" s="17">
        <v>44925</v>
      </c>
      <c r="BUP618" s="5" t="s">
        <v>3728</v>
      </c>
      <c r="BUQ618" s="17">
        <v>44925</v>
      </c>
      <c r="BUR618" s="5" t="s">
        <v>3728</v>
      </c>
      <c r="BUS618" s="17">
        <v>44925</v>
      </c>
      <c r="BUT618" s="5" t="s">
        <v>3728</v>
      </c>
      <c r="BUU618" s="17">
        <v>44925</v>
      </c>
      <c r="BUV618" s="5" t="s">
        <v>3728</v>
      </c>
      <c r="BUW618" s="17">
        <v>44925</v>
      </c>
      <c r="BUX618" s="5" t="s">
        <v>3728</v>
      </c>
      <c r="BUY618" s="17">
        <v>44925</v>
      </c>
      <c r="BUZ618" s="5" t="s">
        <v>3728</v>
      </c>
      <c r="BVA618" s="17">
        <v>44925</v>
      </c>
      <c r="BVB618" s="5" t="s">
        <v>3728</v>
      </c>
      <c r="BVC618" s="17">
        <v>44925</v>
      </c>
      <c r="BVD618" s="5" t="s">
        <v>3728</v>
      </c>
      <c r="BVE618" s="17">
        <v>44925</v>
      </c>
      <c r="BVF618" s="5" t="s">
        <v>3728</v>
      </c>
      <c r="BVG618" s="17">
        <v>44925</v>
      </c>
      <c r="BVH618" s="5" t="s">
        <v>3728</v>
      </c>
      <c r="BVI618" s="17">
        <v>44925</v>
      </c>
      <c r="BVJ618" s="5" t="s">
        <v>3728</v>
      </c>
      <c r="BVK618" s="17">
        <v>44925</v>
      </c>
      <c r="BVL618" s="5" t="s">
        <v>3728</v>
      </c>
      <c r="BVM618" s="17">
        <v>44925</v>
      </c>
      <c r="BVN618" s="5" t="s">
        <v>3728</v>
      </c>
      <c r="BVO618" s="17">
        <v>44925</v>
      </c>
      <c r="BVP618" s="5" t="s">
        <v>3728</v>
      </c>
      <c r="BVQ618" s="17">
        <v>44925</v>
      </c>
      <c r="BVR618" s="5" t="s">
        <v>3728</v>
      </c>
      <c r="BVS618" s="17">
        <v>44925</v>
      </c>
      <c r="BVT618" s="5" t="s">
        <v>3728</v>
      </c>
      <c r="BVU618" s="17">
        <v>44925</v>
      </c>
      <c r="BVV618" s="5" t="s">
        <v>3728</v>
      </c>
      <c r="BVW618" s="17">
        <v>44925</v>
      </c>
      <c r="BVX618" s="5" t="s">
        <v>3728</v>
      </c>
      <c r="BVY618" s="17">
        <v>44925</v>
      </c>
      <c r="BVZ618" s="5" t="s">
        <v>3728</v>
      </c>
      <c r="BWA618" s="17">
        <v>44925</v>
      </c>
      <c r="BWB618" s="5" t="s">
        <v>3728</v>
      </c>
      <c r="BWC618" s="17">
        <v>44925</v>
      </c>
      <c r="BWD618" s="5" t="s">
        <v>3728</v>
      </c>
      <c r="BWE618" s="17">
        <v>44925</v>
      </c>
      <c r="BWF618" s="5" t="s">
        <v>3728</v>
      </c>
      <c r="BWG618" s="17">
        <v>44925</v>
      </c>
      <c r="BWH618" s="5" t="s">
        <v>3728</v>
      </c>
      <c r="BWI618" s="17">
        <v>44925</v>
      </c>
      <c r="BWJ618" s="5" t="s">
        <v>3728</v>
      </c>
      <c r="BWK618" s="17">
        <v>44925</v>
      </c>
      <c r="BWL618" s="5" t="s">
        <v>3728</v>
      </c>
      <c r="BWM618" s="17">
        <v>44925</v>
      </c>
      <c r="BWN618" s="5" t="s">
        <v>3728</v>
      </c>
      <c r="BWO618" s="17">
        <v>44925</v>
      </c>
      <c r="BWP618" s="5" t="s">
        <v>3728</v>
      </c>
      <c r="BWQ618" s="17">
        <v>44925</v>
      </c>
      <c r="BWR618" s="5" t="s">
        <v>3728</v>
      </c>
      <c r="BWS618" s="17">
        <v>44925</v>
      </c>
      <c r="BWT618" s="5" t="s">
        <v>3728</v>
      </c>
      <c r="BWU618" s="17">
        <v>44925</v>
      </c>
      <c r="BWV618" s="5" t="s">
        <v>3728</v>
      </c>
      <c r="BWW618" s="17">
        <v>44925</v>
      </c>
      <c r="BWX618" s="5" t="s">
        <v>3728</v>
      </c>
      <c r="BWY618" s="17">
        <v>44925</v>
      </c>
      <c r="BWZ618" s="5" t="s">
        <v>3728</v>
      </c>
      <c r="BXA618" s="17">
        <v>44925</v>
      </c>
      <c r="BXB618" s="5" t="s">
        <v>3728</v>
      </c>
      <c r="BXC618" s="17">
        <v>44925</v>
      </c>
      <c r="BXD618" s="5" t="s">
        <v>3728</v>
      </c>
      <c r="BXE618" s="17">
        <v>44925</v>
      </c>
      <c r="BXF618" s="5" t="s">
        <v>3728</v>
      </c>
      <c r="BXG618" s="17">
        <v>44925</v>
      </c>
      <c r="BXH618" s="5" t="s">
        <v>3728</v>
      </c>
      <c r="BXI618" s="17">
        <v>44925</v>
      </c>
      <c r="BXJ618" s="5" t="s">
        <v>3728</v>
      </c>
      <c r="BXK618" s="17">
        <v>44925</v>
      </c>
      <c r="BXL618" s="5" t="s">
        <v>3728</v>
      </c>
      <c r="BXM618" s="17">
        <v>44925</v>
      </c>
      <c r="BXN618" s="5" t="s">
        <v>3728</v>
      </c>
      <c r="BXO618" s="17">
        <v>44925</v>
      </c>
      <c r="BXP618" s="5" t="s">
        <v>3728</v>
      </c>
      <c r="BXQ618" s="17">
        <v>44925</v>
      </c>
      <c r="BXR618" s="5" t="s">
        <v>3728</v>
      </c>
      <c r="BXS618" s="17">
        <v>44925</v>
      </c>
      <c r="BXT618" s="5" t="s">
        <v>3728</v>
      </c>
      <c r="BXU618" s="17">
        <v>44925</v>
      </c>
      <c r="BXV618" s="5" t="s">
        <v>3728</v>
      </c>
      <c r="BXW618" s="17">
        <v>44925</v>
      </c>
      <c r="BXX618" s="5" t="s">
        <v>3728</v>
      </c>
      <c r="BXY618" s="17">
        <v>44925</v>
      </c>
      <c r="BXZ618" s="5" t="s">
        <v>3728</v>
      </c>
      <c r="BYA618" s="17">
        <v>44925</v>
      </c>
      <c r="BYB618" s="5" t="s">
        <v>3728</v>
      </c>
      <c r="BYC618" s="17">
        <v>44925</v>
      </c>
      <c r="BYD618" s="5" t="s">
        <v>3728</v>
      </c>
      <c r="BYE618" s="17">
        <v>44925</v>
      </c>
      <c r="BYF618" s="5" t="s">
        <v>3728</v>
      </c>
      <c r="BYG618" s="17">
        <v>44925</v>
      </c>
      <c r="BYH618" s="5" t="s">
        <v>3728</v>
      </c>
      <c r="BYI618" s="17">
        <v>44925</v>
      </c>
      <c r="BYJ618" s="5" t="s">
        <v>3728</v>
      </c>
      <c r="BYK618" s="17">
        <v>44925</v>
      </c>
      <c r="BYL618" s="5" t="s">
        <v>3728</v>
      </c>
      <c r="BYM618" s="17">
        <v>44925</v>
      </c>
      <c r="BYN618" s="5" t="s">
        <v>3728</v>
      </c>
      <c r="BYO618" s="17">
        <v>44925</v>
      </c>
      <c r="BYP618" s="5" t="s">
        <v>3728</v>
      </c>
      <c r="BYQ618" s="17">
        <v>44925</v>
      </c>
      <c r="BYR618" s="5" t="s">
        <v>3728</v>
      </c>
      <c r="BYS618" s="17">
        <v>44925</v>
      </c>
      <c r="BYT618" s="5" t="s">
        <v>3728</v>
      </c>
      <c r="BYU618" s="17">
        <v>44925</v>
      </c>
      <c r="BYV618" s="5" t="s">
        <v>3728</v>
      </c>
      <c r="BYW618" s="17">
        <v>44925</v>
      </c>
      <c r="BYX618" s="5" t="s">
        <v>3728</v>
      </c>
      <c r="BYY618" s="17">
        <v>44925</v>
      </c>
      <c r="BYZ618" s="5" t="s">
        <v>3728</v>
      </c>
      <c r="BZA618" s="17">
        <v>44925</v>
      </c>
      <c r="BZB618" s="5" t="s">
        <v>3728</v>
      </c>
      <c r="BZC618" s="17">
        <v>44925</v>
      </c>
      <c r="BZD618" s="5" t="s">
        <v>3728</v>
      </c>
      <c r="BZE618" s="17">
        <v>44925</v>
      </c>
      <c r="BZF618" s="5" t="s">
        <v>3728</v>
      </c>
      <c r="BZG618" s="17">
        <v>44925</v>
      </c>
      <c r="BZH618" s="5" t="s">
        <v>3728</v>
      </c>
      <c r="BZI618" s="17">
        <v>44925</v>
      </c>
      <c r="BZJ618" s="5" t="s">
        <v>3728</v>
      </c>
      <c r="BZK618" s="17">
        <v>44925</v>
      </c>
      <c r="BZL618" s="5" t="s">
        <v>3728</v>
      </c>
      <c r="BZM618" s="17">
        <v>44925</v>
      </c>
      <c r="BZN618" s="5" t="s">
        <v>3728</v>
      </c>
      <c r="BZO618" s="17">
        <v>44925</v>
      </c>
      <c r="BZP618" s="5" t="s">
        <v>3728</v>
      </c>
      <c r="BZQ618" s="17">
        <v>44925</v>
      </c>
      <c r="BZR618" s="5" t="s">
        <v>3728</v>
      </c>
      <c r="BZS618" s="17">
        <v>44925</v>
      </c>
      <c r="BZT618" s="5" t="s">
        <v>3728</v>
      </c>
      <c r="BZU618" s="17">
        <v>44925</v>
      </c>
      <c r="BZV618" s="5" t="s">
        <v>3728</v>
      </c>
      <c r="BZW618" s="17">
        <v>44925</v>
      </c>
      <c r="BZX618" s="5" t="s">
        <v>3728</v>
      </c>
      <c r="BZY618" s="17">
        <v>44925</v>
      </c>
      <c r="BZZ618" s="5" t="s">
        <v>3728</v>
      </c>
      <c r="CAA618" s="17">
        <v>44925</v>
      </c>
      <c r="CAB618" s="5" t="s">
        <v>3728</v>
      </c>
      <c r="CAC618" s="17">
        <v>44925</v>
      </c>
      <c r="CAD618" s="5" t="s">
        <v>3728</v>
      </c>
      <c r="CAE618" s="17">
        <v>44925</v>
      </c>
      <c r="CAF618" s="5" t="s">
        <v>3728</v>
      </c>
      <c r="CAG618" s="17">
        <v>44925</v>
      </c>
      <c r="CAH618" s="5" t="s">
        <v>3728</v>
      </c>
      <c r="CAI618" s="17">
        <v>44925</v>
      </c>
      <c r="CAJ618" s="5" t="s">
        <v>3728</v>
      </c>
      <c r="CAK618" s="17">
        <v>44925</v>
      </c>
      <c r="CAL618" s="5" t="s">
        <v>3728</v>
      </c>
      <c r="CAM618" s="17">
        <v>44925</v>
      </c>
      <c r="CAN618" s="5" t="s">
        <v>3728</v>
      </c>
      <c r="CAO618" s="17">
        <v>44925</v>
      </c>
      <c r="CAP618" s="5" t="s">
        <v>3728</v>
      </c>
      <c r="CAQ618" s="17">
        <v>44925</v>
      </c>
      <c r="CAR618" s="5" t="s">
        <v>3728</v>
      </c>
      <c r="CAS618" s="17">
        <v>44925</v>
      </c>
      <c r="CAT618" s="5" t="s">
        <v>3728</v>
      </c>
      <c r="CAU618" s="17">
        <v>44925</v>
      </c>
      <c r="CAV618" s="5" t="s">
        <v>3728</v>
      </c>
      <c r="CAW618" s="17">
        <v>44925</v>
      </c>
      <c r="CAX618" s="5" t="s">
        <v>3728</v>
      </c>
      <c r="CAY618" s="17">
        <v>44925</v>
      </c>
      <c r="CAZ618" s="5" t="s">
        <v>3728</v>
      </c>
      <c r="CBA618" s="17">
        <v>44925</v>
      </c>
      <c r="CBB618" s="5" t="s">
        <v>3728</v>
      </c>
      <c r="CBC618" s="17">
        <v>44925</v>
      </c>
      <c r="CBD618" s="5" t="s">
        <v>3728</v>
      </c>
      <c r="CBE618" s="17">
        <v>44925</v>
      </c>
      <c r="CBF618" s="5" t="s">
        <v>3728</v>
      </c>
      <c r="CBG618" s="17">
        <v>44925</v>
      </c>
      <c r="CBH618" s="5" t="s">
        <v>3728</v>
      </c>
      <c r="CBI618" s="17">
        <v>44925</v>
      </c>
      <c r="CBJ618" s="5" t="s">
        <v>3728</v>
      </c>
      <c r="CBK618" s="17">
        <v>44925</v>
      </c>
      <c r="CBL618" s="5" t="s">
        <v>3728</v>
      </c>
      <c r="CBM618" s="17">
        <v>44925</v>
      </c>
      <c r="CBN618" s="5" t="s">
        <v>3728</v>
      </c>
      <c r="CBO618" s="17">
        <v>44925</v>
      </c>
      <c r="CBP618" s="5" t="s">
        <v>3728</v>
      </c>
      <c r="CBQ618" s="17">
        <v>44925</v>
      </c>
      <c r="CBR618" s="5" t="s">
        <v>3728</v>
      </c>
      <c r="CBS618" s="17">
        <v>44925</v>
      </c>
      <c r="CBT618" s="5" t="s">
        <v>3728</v>
      </c>
      <c r="CBU618" s="17">
        <v>44925</v>
      </c>
      <c r="CBV618" s="5" t="s">
        <v>3728</v>
      </c>
      <c r="CBW618" s="17">
        <v>44925</v>
      </c>
      <c r="CBX618" s="5" t="s">
        <v>3728</v>
      </c>
      <c r="CBY618" s="17">
        <v>44925</v>
      </c>
      <c r="CBZ618" s="5" t="s">
        <v>3728</v>
      </c>
      <c r="CCA618" s="17">
        <v>44925</v>
      </c>
      <c r="CCB618" s="5" t="s">
        <v>3728</v>
      </c>
      <c r="CCC618" s="17">
        <v>44925</v>
      </c>
      <c r="CCD618" s="5" t="s">
        <v>3728</v>
      </c>
      <c r="CCE618" s="17">
        <v>44925</v>
      </c>
      <c r="CCF618" s="5" t="s">
        <v>3728</v>
      </c>
      <c r="CCG618" s="17">
        <v>44925</v>
      </c>
      <c r="CCH618" s="5" t="s">
        <v>3728</v>
      </c>
      <c r="CCI618" s="17">
        <v>44925</v>
      </c>
      <c r="CCJ618" s="5" t="s">
        <v>3728</v>
      </c>
      <c r="CCK618" s="17">
        <v>44925</v>
      </c>
      <c r="CCL618" s="5" t="s">
        <v>3728</v>
      </c>
      <c r="CCM618" s="17">
        <v>44925</v>
      </c>
      <c r="CCN618" s="5" t="s">
        <v>3728</v>
      </c>
      <c r="CCO618" s="17">
        <v>44925</v>
      </c>
      <c r="CCP618" s="5" t="s">
        <v>3728</v>
      </c>
      <c r="CCQ618" s="17">
        <v>44925</v>
      </c>
      <c r="CCR618" s="5" t="s">
        <v>3728</v>
      </c>
      <c r="CCS618" s="17">
        <v>44925</v>
      </c>
      <c r="CCT618" s="5" t="s">
        <v>3728</v>
      </c>
      <c r="CCU618" s="17">
        <v>44925</v>
      </c>
      <c r="CCV618" s="5" t="s">
        <v>3728</v>
      </c>
      <c r="CCW618" s="17">
        <v>44925</v>
      </c>
      <c r="CCX618" s="5" t="s">
        <v>3728</v>
      </c>
      <c r="CCY618" s="17">
        <v>44925</v>
      </c>
      <c r="CCZ618" s="5" t="s">
        <v>3728</v>
      </c>
      <c r="CDA618" s="17">
        <v>44925</v>
      </c>
      <c r="CDB618" s="5" t="s">
        <v>3728</v>
      </c>
      <c r="CDC618" s="17">
        <v>44925</v>
      </c>
      <c r="CDD618" s="5" t="s">
        <v>3728</v>
      </c>
      <c r="CDE618" s="17">
        <v>44925</v>
      </c>
      <c r="CDF618" s="5" t="s">
        <v>3728</v>
      </c>
      <c r="CDG618" s="17">
        <v>44925</v>
      </c>
      <c r="CDH618" s="5" t="s">
        <v>3728</v>
      </c>
      <c r="CDI618" s="17">
        <v>44925</v>
      </c>
      <c r="CDJ618" s="5" t="s">
        <v>3728</v>
      </c>
      <c r="CDK618" s="17">
        <v>44925</v>
      </c>
      <c r="CDL618" s="5" t="s">
        <v>3728</v>
      </c>
      <c r="CDM618" s="17">
        <v>44925</v>
      </c>
      <c r="CDN618" s="5" t="s">
        <v>3728</v>
      </c>
      <c r="CDO618" s="17">
        <v>44925</v>
      </c>
      <c r="CDP618" s="5" t="s">
        <v>3728</v>
      </c>
      <c r="CDQ618" s="17">
        <v>44925</v>
      </c>
      <c r="CDR618" s="5" t="s">
        <v>3728</v>
      </c>
      <c r="CDS618" s="17">
        <v>44925</v>
      </c>
      <c r="CDT618" s="5" t="s">
        <v>3728</v>
      </c>
      <c r="CDU618" s="17">
        <v>44925</v>
      </c>
      <c r="CDV618" s="5" t="s">
        <v>3728</v>
      </c>
      <c r="CDW618" s="17">
        <v>44925</v>
      </c>
      <c r="CDX618" s="5" t="s">
        <v>3728</v>
      </c>
      <c r="CDY618" s="17">
        <v>44925</v>
      </c>
      <c r="CDZ618" s="5" t="s">
        <v>3728</v>
      </c>
      <c r="CEA618" s="17">
        <v>44925</v>
      </c>
      <c r="CEB618" s="5" t="s">
        <v>3728</v>
      </c>
      <c r="CEC618" s="17">
        <v>44925</v>
      </c>
      <c r="CED618" s="5" t="s">
        <v>3728</v>
      </c>
      <c r="CEE618" s="17">
        <v>44925</v>
      </c>
      <c r="CEF618" s="5" t="s">
        <v>3728</v>
      </c>
      <c r="CEG618" s="17">
        <v>44925</v>
      </c>
      <c r="CEH618" s="5" t="s">
        <v>3728</v>
      </c>
      <c r="CEI618" s="17">
        <v>44925</v>
      </c>
      <c r="CEJ618" s="5" t="s">
        <v>3728</v>
      </c>
      <c r="CEK618" s="17">
        <v>44925</v>
      </c>
      <c r="CEL618" s="5" t="s">
        <v>3728</v>
      </c>
      <c r="CEM618" s="17">
        <v>44925</v>
      </c>
      <c r="CEN618" s="5" t="s">
        <v>3728</v>
      </c>
      <c r="CEO618" s="17">
        <v>44925</v>
      </c>
      <c r="CEP618" s="5" t="s">
        <v>3728</v>
      </c>
      <c r="CEQ618" s="17">
        <v>44925</v>
      </c>
      <c r="CER618" s="5" t="s">
        <v>3728</v>
      </c>
      <c r="CES618" s="17">
        <v>44925</v>
      </c>
      <c r="CET618" s="5" t="s">
        <v>3728</v>
      </c>
      <c r="CEU618" s="17">
        <v>44925</v>
      </c>
      <c r="CEV618" s="5" t="s">
        <v>3728</v>
      </c>
      <c r="CEW618" s="17">
        <v>44925</v>
      </c>
      <c r="CEX618" s="5" t="s">
        <v>3728</v>
      </c>
      <c r="CEY618" s="17">
        <v>44925</v>
      </c>
      <c r="CEZ618" s="5" t="s">
        <v>3728</v>
      </c>
      <c r="CFA618" s="17">
        <v>44925</v>
      </c>
      <c r="CFB618" s="5" t="s">
        <v>3728</v>
      </c>
      <c r="CFC618" s="17">
        <v>44925</v>
      </c>
      <c r="CFD618" s="5" t="s">
        <v>3728</v>
      </c>
      <c r="CFE618" s="17">
        <v>44925</v>
      </c>
      <c r="CFF618" s="5" t="s">
        <v>3728</v>
      </c>
      <c r="CFG618" s="17">
        <v>44925</v>
      </c>
      <c r="CFH618" s="5" t="s">
        <v>3728</v>
      </c>
      <c r="CFI618" s="17">
        <v>44925</v>
      </c>
      <c r="CFJ618" s="5" t="s">
        <v>3728</v>
      </c>
      <c r="CFK618" s="17">
        <v>44925</v>
      </c>
      <c r="CFL618" s="5" t="s">
        <v>3728</v>
      </c>
      <c r="CFM618" s="17">
        <v>44925</v>
      </c>
      <c r="CFN618" s="5" t="s">
        <v>3728</v>
      </c>
      <c r="CFO618" s="17">
        <v>44925</v>
      </c>
      <c r="CFP618" s="5" t="s">
        <v>3728</v>
      </c>
      <c r="CFQ618" s="17">
        <v>44925</v>
      </c>
      <c r="CFR618" s="5" t="s">
        <v>3728</v>
      </c>
      <c r="CFS618" s="17">
        <v>44925</v>
      </c>
      <c r="CFT618" s="5" t="s">
        <v>3728</v>
      </c>
      <c r="CFU618" s="17">
        <v>44925</v>
      </c>
      <c r="CFV618" s="5" t="s">
        <v>3728</v>
      </c>
      <c r="CFW618" s="17">
        <v>44925</v>
      </c>
      <c r="CFX618" s="5" t="s">
        <v>3728</v>
      </c>
      <c r="CFY618" s="17">
        <v>44925</v>
      </c>
      <c r="CFZ618" s="5" t="s">
        <v>3728</v>
      </c>
      <c r="CGA618" s="17">
        <v>44925</v>
      </c>
      <c r="CGB618" s="5" t="s">
        <v>3728</v>
      </c>
      <c r="CGC618" s="17">
        <v>44925</v>
      </c>
      <c r="CGD618" s="5" t="s">
        <v>3728</v>
      </c>
      <c r="CGE618" s="17">
        <v>44925</v>
      </c>
      <c r="CGF618" s="5" t="s">
        <v>3728</v>
      </c>
      <c r="CGG618" s="17">
        <v>44925</v>
      </c>
      <c r="CGH618" s="5" t="s">
        <v>3728</v>
      </c>
      <c r="CGI618" s="17">
        <v>44925</v>
      </c>
      <c r="CGJ618" s="5" t="s">
        <v>3728</v>
      </c>
      <c r="CGK618" s="17">
        <v>44925</v>
      </c>
      <c r="CGL618" s="5" t="s">
        <v>3728</v>
      </c>
      <c r="CGM618" s="17">
        <v>44925</v>
      </c>
      <c r="CGN618" s="5" t="s">
        <v>3728</v>
      </c>
      <c r="CGO618" s="17">
        <v>44925</v>
      </c>
      <c r="CGP618" s="5" t="s">
        <v>3728</v>
      </c>
      <c r="CGQ618" s="17">
        <v>44925</v>
      </c>
      <c r="CGR618" s="5" t="s">
        <v>3728</v>
      </c>
      <c r="CGS618" s="17">
        <v>44925</v>
      </c>
      <c r="CGT618" s="5" t="s">
        <v>3728</v>
      </c>
      <c r="CGU618" s="17">
        <v>44925</v>
      </c>
      <c r="CGV618" s="5" t="s">
        <v>3728</v>
      </c>
      <c r="CGW618" s="17">
        <v>44925</v>
      </c>
      <c r="CGX618" s="5" t="s">
        <v>3728</v>
      </c>
      <c r="CGY618" s="17">
        <v>44925</v>
      </c>
      <c r="CGZ618" s="5" t="s">
        <v>3728</v>
      </c>
      <c r="CHA618" s="17">
        <v>44925</v>
      </c>
      <c r="CHB618" s="5" t="s">
        <v>3728</v>
      </c>
      <c r="CHC618" s="17">
        <v>44925</v>
      </c>
      <c r="CHD618" s="5" t="s">
        <v>3728</v>
      </c>
      <c r="CHE618" s="17">
        <v>44925</v>
      </c>
      <c r="CHF618" s="5" t="s">
        <v>3728</v>
      </c>
      <c r="CHG618" s="17">
        <v>44925</v>
      </c>
      <c r="CHH618" s="5" t="s">
        <v>3728</v>
      </c>
      <c r="CHI618" s="17">
        <v>44925</v>
      </c>
      <c r="CHJ618" s="5" t="s">
        <v>3728</v>
      </c>
      <c r="CHK618" s="17">
        <v>44925</v>
      </c>
      <c r="CHL618" s="5" t="s">
        <v>3728</v>
      </c>
      <c r="CHM618" s="17">
        <v>44925</v>
      </c>
      <c r="CHN618" s="5" t="s">
        <v>3728</v>
      </c>
      <c r="CHO618" s="17">
        <v>44925</v>
      </c>
      <c r="CHP618" s="5" t="s">
        <v>3728</v>
      </c>
      <c r="CHQ618" s="17">
        <v>44925</v>
      </c>
      <c r="CHR618" s="5" t="s">
        <v>3728</v>
      </c>
      <c r="CHS618" s="17">
        <v>44925</v>
      </c>
      <c r="CHT618" s="5" t="s">
        <v>3728</v>
      </c>
      <c r="CHU618" s="17">
        <v>44925</v>
      </c>
      <c r="CHV618" s="5" t="s">
        <v>3728</v>
      </c>
      <c r="CHW618" s="17">
        <v>44925</v>
      </c>
      <c r="CHX618" s="5" t="s">
        <v>3728</v>
      </c>
      <c r="CHY618" s="17">
        <v>44925</v>
      </c>
      <c r="CHZ618" s="5" t="s">
        <v>3728</v>
      </c>
      <c r="CIA618" s="17">
        <v>44925</v>
      </c>
      <c r="CIB618" s="5" t="s">
        <v>3728</v>
      </c>
      <c r="CIC618" s="17">
        <v>44925</v>
      </c>
      <c r="CID618" s="5" t="s">
        <v>3728</v>
      </c>
      <c r="CIE618" s="17">
        <v>44925</v>
      </c>
      <c r="CIF618" s="5" t="s">
        <v>3728</v>
      </c>
      <c r="CIG618" s="17">
        <v>44925</v>
      </c>
      <c r="CIH618" s="5" t="s">
        <v>3728</v>
      </c>
      <c r="CII618" s="17">
        <v>44925</v>
      </c>
      <c r="CIJ618" s="5" t="s">
        <v>3728</v>
      </c>
      <c r="CIK618" s="17">
        <v>44925</v>
      </c>
      <c r="CIL618" s="5" t="s">
        <v>3728</v>
      </c>
      <c r="CIM618" s="17">
        <v>44925</v>
      </c>
      <c r="CIN618" s="5" t="s">
        <v>3728</v>
      </c>
      <c r="CIO618" s="17">
        <v>44925</v>
      </c>
      <c r="CIP618" s="5" t="s">
        <v>3728</v>
      </c>
      <c r="CIQ618" s="17">
        <v>44925</v>
      </c>
      <c r="CIR618" s="5" t="s">
        <v>3728</v>
      </c>
      <c r="CIS618" s="17">
        <v>44925</v>
      </c>
      <c r="CIT618" s="5" t="s">
        <v>3728</v>
      </c>
      <c r="CIU618" s="17">
        <v>44925</v>
      </c>
      <c r="CIV618" s="5" t="s">
        <v>3728</v>
      </c>
      <c r="CIW618" s="17">
        <v>44925</v>
      </c>
      <c r="CIX618" s="5" t="s">
        <v>3728</v>
      </c>
      <c r="CIY618" s="17">
        <v>44925</v>
      </c>
      <c r="CIZ618" s="5" t="s">
        <v>3728</v>
      </c>
      <c r="CJA618" s="17">
        <v>44925</v>
      </c>
      <c r="CJB618" s="5" t="s">
        <v>3728</v>
      </c>
      <c r="CJC618" s="17">
        <v>44925</v>
      </c>
      <c r="CJD618" s="5" t="s">
        <v>3728</v>
      </c>
      <c r="CJE618" s="17">
        <v>44925</v>
      </c>
      <c r="CJF618" s="5" t="s">
        <v>3728</v>
      </c>
      <c r="CJG618" s="17">
        <v>44925</v>
      </c>
      <c r="CJH618" s="5" t="s">
        <v>3728</v>
      </c>
      <c r="CJI618" s="17">
        <v>44925</v>
      </c>
      <c r="CJJ618" s="5" t="s">
        <v>3728</v>
      </c>
      <c r="CJK618" s="17">
        <v>44925</v>
      </c>
      <c r="CJL618" s="5" t="s">
        <v>3728</v>
      </c>
      <c r="CJM618" s="17">
        <v>44925</v>
      </c>
      <c r="CJN618" s="5" t="s">
        <v>3728</v>
      </c>
      <c r="CJO618" s="17">
        <v>44925</v>
      </c>
      <c r="CJP618" s="5" t="s">
        <v>3728</v>
      </c>
      <c r="CJQ618" s="17">
        <v>44925</v>
      </c>
      <c r="CJR618" s="5" t="s">
        <v>3728</v>
      </c>
      <c r="CJS618" s="17">
        <v>44925</v>
      </c>
      <c r="CJT618" s="5" t="s">
        <v>3728</v>
      </c>
      <c r="CJU618" s="17">
        <v>44925</v>
      </c>
      <c r="CJV618" s="5" t="s">
        <v>3728</v>
      </c>
      <c r="CJW618" s="17">
        <v>44925</v>
      </c>
      <c r="CJX618" s="5" t="s">
        <v>3728</v>
      </c>
      <c r="CJY618" s="17">
        <v>44925</v>
      </c>
      <c r="CJZ618" s="5" t="s">
        <v>3728</v>
      </c>
      <c r="CKA618" s="17">
        <v>44925</v>
      </c>
      <c r="CKB618" s="5" t="s">
        <v>3728</v>
      </c>
      <c r="CKC618" s="17">
        <v>44925</v>
      </c>
      <c r="CKD618" s="5" t="s">
        <v>3728</v>
      </c>
      <c r="CKE618" s="17">
        <v>44925</v>
      </c>
      <c r="CKF618" s="5" t="s">
        <v>3728</v>
      </c>
      <c r="CKG618" s="17">
        <v>44925</v>
      </c>
      <c r="CKH618" s="5" t="s">
        <v>3728</v>
      </c>
      <c r="CKI618" s="17">
        <v>44925</v>
      </c>
      <c r="CKJ618" s="5" t="s">
        <v>3728</v>
      </c>
      <c r="CKK618" s="17">
        <v>44925</v>
      </c>
      <c r="CKL618" s="5" t="s">
        <v>3728</v>
      </c>
      <c r="CKM618" s="17">
        <v>44925</v>
      </c>
      <c r="CKN618" s="5" t="s">
        <v>3728</v>
      </c>
      <c r="CKO618" s="17">
        <v>44925</v>
      </c>
      <c r="CKP618" s="5" t="s">
        <v>3728</v>
      </c>
      <c r="CKQ618" s="17">
        <v>44925</v>
      </c>
      <c r="CKR618" s="5" t="s">
        <v>3728</v>
      </c>
      <c r="CKS618" s="17">
        <v>44925</v>
      </c>
      <c r="CKT618" s="5" t="s">
        <v>3728</v>
      </c>
      <c r="CKU618" s="17">
        <v>44925</v>
      </c>
      <c r="CKV618" s="5" t="s">
        <v>3728</v>
      </c>
      <c r="CKW618" s="17">
        <v>44925</v>
      </c>
      <c r="CKX618" s="5" t="s">
        <v>3728</v>
      </c>
      <c r="CKY618" s="17">
        <v>44925</v>
      </c>
      <c r="CKZ618" s="5" t="s">
        <v>3728</v>
      </c>
      <c r="CLA618" s="17">
        <v>44925</v>
      </c>
      <c r="CLB618" s="5" t="s">
        <v>3728</v>
      </c>
      <c r="CLC618" s="17">
        <v>44925</v>
      </c>
      <c r="CLD618" s="5" t="s">
        <v>3728</v>
      </c>
      <c r="CLE618" s="17">
        <v>44925</v>
      </c>
      <c r="CLF618" s="5" t="s">
        <v>3728</v>
      </c>
      <c r="CLG618" s="17">
        <v>44925</v>
      </c>
      <c r="CLH618" s="5" t="s">
        <v>3728</v>
      </c>
      <c r="CLI618" s="17">
        <v>44925</v>
      </c>
      <c r="CLJ618" s="5" t="s">
        <v>3728</v>
      </c>
      <c r="CLK618" s="17">
        <v>44925</v>
      </c>
      <c r="CLL618" s="5" t="s">
        <v>3728</v>
      </c>
      <c r="CLM618" s="17">
        <v>44925</v>
      </c>
      <c r="CLN618" s="5" t="s">
        <v>3728</v>
      </c>
      <c r="CLO618" s="17">
        <v>44925</v>
      </c>
      <c r="CLP618" s="5" t="s">
        <v>3728</v>
      </c>
      <c r="CLQ618" s="17">
        <v>44925</v>
      </c>
      <c r="CLR618" s="5" t="s">
        <v>3728</v>
      </c>
      <c r="CLS618" s="17">
        <v>44925</v>
      </c>
      <c r="CLT618" s="5" t="s">
        <v>3728</v>
      </c>
      <c r="CLU618" s="17">
        <v>44925</v>
      </c>
      <c r="CLV618" s="5" t="s">
        <v>3728</v>
      </c>
      <c r="CLW618" s="17">
        <v>44925</v>
      </c>
      <c r="CLX618" s="5" t="s">
        <v>3728</v>
      </c>
      <c r="CLY618" s="17">
        <v>44925</v>
      </c>
      <c r="CLZ618" s="5" t="s">
        <v>3728</v>
      </c>
      <c r="CMA618" s="17">
        <v>44925</v>
      </c>
      <c r="CMB618" s="5" t="s">
        <v>3728</v>
      </c>
      <c r="CMC618" s="17">
        <v>44925</v>
      </c>
      <c r="CMD618" s="5" t="s">
        <v>3728</v>
      </c>
      <c r="CME618" s="17">
        <v>44925</v>
      </c>
      <c r="CMF618" s="5" t="s">
        <v>3728</v>
      </c>
      <c r="CMG618" s="17">
        <v>44925</v>
      </c>
      <c r="CMH618" s="5" t="s">
        <v>3728</v>
      </c>
      <c r="CMI618" s="17">
        <v>44925</v>
      </c>
      <c r="CMJ618" s="5" t="s">
        <v>3728</v>
      </c>
      <c r="CMK618" s="17">
        <v>44925</v>
      </c>
      <c r="CML618" s="5" t="s">
        <v>3728</v>
      </c>
      <c r="CMM618" s="17">
        <v>44925</v>
      </c>
      <c r="CMN618" s="5" t="s">
        <v>3728</v>
      </c>
      <c r="CMO618" s="17">
        <v>44925</v>
      </c>
      <c r="CMP618" s="5" t="s">
        <v>3728</v>
      </c>
      <c r="CMQ618" s="17">
        <v>44925</v>
      </c>
      <c r="CMR618" s="5" t="s">
        <v>3728</v>
      </c>
      <c r="CMS618" s="17">
        <v>44925</v>
      </c>
      <c r="CMT618" s="5" t="s">
        <v>3728</v>
      </c>
      <c r="CMU618" s="17">
        <v>44925</v>
      </c>
      <c r="CMV618" s="5" t="s">
        <v>3728</v>
      </c>
      <c r="CMW618" s="17">
        <v>44925</v>
      </c>
      <c r="CMX618" s="5" t="s">
        <v>3728</v>
      </c>
      <c r="CMY618" s="17">
        <v>44925</v>
      </c>
      <c r="CMZ618" s="5" t="s">
        <v>3728</v>
      </c>
      <c r="CNA618" s="17">
        <v>44925</v>
      </c>
      <c r="CNB618" s="5" t="s">
        <v>3728</v>
      </c>
      <c r="CNC618" s="17">
        <v>44925</v>
      </c>
      <c r="CND618" s="5" t="s">
        <v>3728</v>
      </c>
      <c r="CNE618" s="17">
        <v>44925</v>
      </c>
      <c r="CNF618" s="5" t="s">
        <v>3728</v>
      </c>
      <c r="CNG618" s="17">
        <v>44925</v>
      </c>
      <c r="CNH618" s="5" t="s">
        <v>3728</v>
      </c>
      <c r="CNI618" s="17">
        <v>44925</v>
      </c>
      <c r="CNJ618" s="5" t="s">
        <v>3728</v>
      </c>
      <c r="CNK618" s="17">
        <v>44925</v>
      </c>
      <c r="CNL618" s="5" t="s">
        <v>3728</v>
      </c>
      <c r="CNM618" s="17">
        <v>44925</v>
      </c>
      <c r="CNN618" s="5" t="s">
        <v>3728</v>
      </c>
      <c r="CNO618" s="17">
        <v>44925</v>
      </c>
      <c r="CNP618" s="5" t="s">
        <v>3728</v>
      </c>
      <c r="CNQ618" s="17">
        <v>44925</v>
      </c>
      <c r="CNR618" s="5" t="s">
        <v>3728</v>
      </c>
      <c r="CNS618" s="17">
        <v>44925</v>
      </c>
      <c r="CNT618" s="5" t="s">
        <v>3728</v>
      </c>
      <c r="CNU618" s="17">
        <v>44925</v>
      </c>
      <c r="CNV618" s="5" t="s">
        <v>3728</v>
      </c>
      <c r="CNW618" s="17">
        <v>44925</v>
      </c>
      <c r="CNX618" s="5" t="s">
        <v>3728</v>
      </c>
      <c r="CNY618" s="17">
        <v>44925</v>
      </c>
      <c r="CNZ618" s="5" t="s">
        <v>3728</v>
      </c>
      <c r="COA618" s="17">
        <v>44925</v>
      </c>
      <c r="COB618" s="5" t="s">
        <v>3728</v>
      </c>
      <c r="COC618" s="17">
        <v>44925</v>
      </c>
      <c r="COD618" s="5" t="s">
        <v>3728</v>
      </c>
      <c r="COE618" s="17">
        <v>44925</v>
      </c>
      <c r="COF618" s="5" t="s">
        <v>3728</v>
      </c>
      <c r="COG618" s="17">
        <v>44925</v>
      </c>
      <c r="COH618" s="5" t="s">
        <v>3728</v>
      </c>
      <c r="COI618" s="17">
        <v>44925</v>
      </c>
      <c r="COJ618" s="5" t="s">
        <v>3728</v>
      </c>
      <c r="COK618" s="17">
        <v>44925</v>
      </c>
      <c r="COL618" s="5" t="s">
        <v>3728</v>
      </c>
      <c r="COM618" s="17">
        <v>44925</v>
      </c>
      <c r="CON618" s="5" t="s">
        <v>3728</v>
      </c>
      <c r="COO618" s="17">
        <v>44925</v>
      </c>
      <c r="COP618" s="5" t="s">
        <v>3728</v>
      </c>
      <c r="COQ618" s="17">
        <v>44925</v>
      </c>
      <c r="COR618" s="5" t="s">
        <v>3728</v>
      </c>
      <c r="COS618" s="17">
        <v>44925</v>
      </c>
      <c r="COT618" s="5" t="s">
        <v>3728</v>
      </c>
      <c r="COU618" s="17">
        <v>44925</v>
      </c>
      <c r="COV618" s="5" t="s">
        <v>3728</v>
      </c>
      <c r="COW618" s="17">
        <v>44925</v>
      </c>
      <c r="COX618" s="5" t="s">
        <v>3728</v>
      </c>
      <c r="COY618" s="17">
        <v>44925</v>
      </c>
      <c r="COZ618" s="5" t="s">
        <v>3728</v>
      </c>
      <c r="CPA618" s="17">
        <v>44925</v>
      </c>
      <c r="CPB618" s="5" t="s">
        <v>3728</v>
      </c>
      <c r="CPC618" s="17">
        <v>44925</v>
      </c>
      <c r="CPD618" s="5" t="s">
        <v>3728</v>
      </c>
      <c r="CPE618" s="17">
        <v>44925</v>
      </c>
      <c r="CPF618" s="5" t="s">
        <v>3728</v>
      </c>
      <c r="CPG618" s="17">
        <v>44925</v>
      </c>
      <c r="CPH618" s="5" t="s">
        <v>3728</v>
      </c>
      <c r="CPI618" s="17">
        <v>44925</v>
      </c>
      <c r="CPJ618" s="5" t="s">
        <v>3728</v>
      </c>
      <c r="CPK618" s="17">
        <v>44925</v>
      </c>
      <c r="CPL618" s="5" t="s">
        <v>3728</v>
      </c>
      <c r="CPM618" s="17">
        <v>44925</v>
      </c>
      <c r="CPN618" s="5" t="s">
        <v>3728</v>
      </c>
      <c r="CPO618" s="17">
        <v>44925</v>
      </c>
      <c r="CPP618" s="5" t="s">
        <v>3728</v>
      </c>
      <c r="CPQ618" s="17">
        <v>44925</v>
      </c>
      <c r="CPR618" s="5" t="s">
        <v>3728</v>
      </c>
      <c r="CPS618" s="17">
        <v>44925</v>
      </c>
      <c r="CPT618" s="5" t="s">
        <v>3728</v>
      </c>
      <c r="CPU618" s="17">
        <v>44925</v>
      </c>
      <c r="CPV618" s="5" t="s">
        <v>3728</v>
      </c>
      <c r="CPW618" s="17">
        <v>44925</v>
      </c>
      <c r="CPX618" s="5" t="s">
        <v>3728</v>
      </c>
      <c r="CPY618" s="17">
        <v>44925</v>
      </c>
      <c r="CPZ618" s="5" t="s">
        <v>3728</v>
      </c>
      <c r="CQA618" s="17">
        <v>44925</v>
      </c>
      <c r="CQB618" s="5" t="s">
        <v>3728</v>
      </c>
      <c r="CQC618" s="17">
        <v>44925</v>
      </c>
      <c r="CQD618" s="5" t="s">
        <v>3728</v>
      </c>
      <c r="CQE618" s="17">
        <v>44925</v>
      </c>
      <c r="CQF618" s="5" t="s">
        <v>3728</v>
      </c>
      <c r="CQG618" s="17">
        <v>44925</v>
      </c>
      <c r="CQH618" s="5" t="s">
        <v>3728</v>
      </c>
      <c r="CQI618" s="17">
        <v>44925</v>
      </c>
      <c r="CQJ618" s="5" t="s">
        <v>3728</v>
      </c>
      <c r="CQK618" s="17">
        <v>44925</v>
      </c>
      <c r="CQL618" s="5" t="s">
        <v>3728</v>
      </c>
      <c r="CQM618" s="17">
        <v>44925</v>
      </c>
      <c r="CQN618" s="5" t="s">
        <v>3728</v>
      </c>
      <c r="CQO618" s="17">
        <v>44925</v>
      </c>
      <c r="CQP618" s="5" t="s">
        <v>3728</v>
      </c>
      <c r="CQQ618" s="17">
        <v>44925</v>
      </c>
      <c r="CQR618" s="5" t="s">
        <v>3728</v>
      </c>
      <c r="CQS618" s="17">
        <v>44925</v>
      </c>
      <c r="CQT618" s="5" t="s">
        <v>3728</v>
      </c>
      <c r="CQU618" s="17">
        <v>44925</v>
      </c>
      <c r="CQV618" s="5" t="s">
        <v>3728</v>
      </c>
      <c r="CQW618" s="17">
        <v>44925</v>
      </c>
      <c r="CQX618" s="5" t="s">
        <v>3728</v>
      </c>
      <c r="CQY618" s="17">
        <v>44925</v>
      </c>
      <c r="CQZ618" s="5" t="s">
        <v>3728</v>
      </c>
      <c r="CRA618" s="17">
        <v>44925</v>
      </c>
      <c r="CRB618" s="5" t="s">
        <v>3728</v>
      </c>
      <c r="CRC618" s="17">
        <v>44925</v>
      </c>
      <c r="CRD618" s="5" t="s">
        <v>3728</v>
      </c>
      <c r="CRE618" s="17">
        <v>44925</v>
      </c>
      <c r="CRF618" s="5" t="s">
        <v>3728</v>
      </c>
      <c r="CRG618" s="17">
        <v>44925</v>
      </c>
      <c r="CRH618" s="5" t="s">
        <v>3728</v>
      </c>
      <c r="CRI618" s="17">
        <v>44925</v>
      </c>
      <c r="CRJ618" s="5" t="s">
        <v>3728</v>
      </c>
      <c r="CRK618" s="17">
        <v>44925</v>
      </c>
      <c r="CRL618" s="5" t="s">
        <v>3728</v>
      </c>
      <c r="CRM618" s="17">
        <v>44925</v>
      </c>
      <c r="CRN618" s="5" t="s">
        <v>3728</v>
      </c>
      <c r="CRO618" s="17">
        <v>44925</v>
      </c>
      <c r="CRP618" s="5" t="s">
        <v>3728</v>
      </c>
      <c r="CRQ618" s="17">
        <v>44925</v>
      </c>
      <c r="CRR618" s="5" t="s">
        <v>3728</v>
      </c>
      <c r="CRS618" s="17">
        <v>44925</v>
      </c>
      <c r="CRT618" s="5" t="s">
        <v>3728</v>
      </c>
      <c r="CRU618" s="17">
        <v>44925</v>
      </c>
      <c r="CRV618" s="5" t="s">
        <v>3728</v>
      </c>
      <c r="CRW618" s="17">
        <v>44925</v>
      </c>
      <c r="CRX618" s="5" t="s">
        <v>3728</v>
      </c>
      <c r="CRY618" s="17">
        <v>44925</v>
      </c>
      <c r="CRZ618" s="5" t="s">
        <v>3728</v>
      </c>
      <c r="CSA618" s="17">
        <v>44925</v>
      </c>
      <c r="CSB618" s="5" t="s">
        <v>3728</v>
      </c>
      <c r="CSC618" s="17">
        <v>44925</v>
      </c>
      <c r="CSD618" s="5" t="s">
        <v>3728</v>
      </c>
      <c r="CSE618" s="17">
        <v>44925</v>
      </c>
      <c r="CSF618" s="5" t="s">
        <v>3728</v>
      </c>
      <c r="CSG618" s="17">
        <v>44925</v>
      </c>
      <c r="CSH618" s="5" t="s">
        <v>3728</v>
      </c>
      <c r="CSI618" s="17">
        <v>44925</v>
      </c>
      <c r="CSJ618" s="5" t="s">
        <v>3728</v>
      </c>
      <c r="CSK618" s="17">
        <v>44925</v>
      </c>
      <c r="CSL618" s="5" t="s">
        <v>3728</v>
      </c>
      <c r="CSM618" s="17">
        <v>44925</v>
      </c>
      <c r="CSN618" s="5" t="s">
        <v>3728</v>
      </c>
      <c r="CSO618" s="17">
        <v>44925</v>
      </c>
      <c r="CSP618" s="5" t="s">
        <v>3728</v>
      </c>
      <c r="CSQ618" s="17">
        <v>44925</v>
      </c>
      <c r="CSR618" s="5" t="s">
        <v>3728</v>
      </c>
      <c r="CSS618" s="17">
        <v>44925</v>
      </c>
      <c r="CST618" s="5" t="s">
        <v>3728</v>
      </c>
      <c r="CSU618" s="17">
        <v>44925</v>
      </c>
      <c r="CSV618" s="5" t="s">
        <v>3728</v>
      </c>
      <c r="CSW618" s="17">
        <v>44925</v>
      </c>
      <c r="CSX618" s="5" t="s">
        <v>3728</v>
      </c>
      <c r="CSY618" s="17">
        <v>44925</v>
      </c>
      <c r="CSZ618" s="5" t="s">
        <v>3728</v>
      </c>
      <c r="CTA618" s="17">
        <v>44925</v>
      </c>
      <c r="CTB618" s="5" t="s">
        <v>3728</v>
      </c>
      <c r="CTC618" s="17">
        <v>44925</v>
      </c>
      <c r="CTD618" s="5" t="s">
        <v>3728</v>
      </c>
      <c r="CTE618" s="17">
        <v>44925</v>
      </c>
      <c r="CTF618" s="5" t="s">
        <v>3728</v>
      </c>
      <c r="CTG618" s="17">
        <v>44925</v>
      </c>
      <c r="CTH618" s="5" t="s">
        <v>3728</v>
      </c>
      <c r="CTI618" s="17">
        <v>44925</v>
      </c>
      <c r="CTJ618" s="5" t="s">
        <v>3728</v>
      </c>
      <c r="CTK618" s="17">
        <v>44925</v>
      </c>
      <c r="CTL618" s="5" t="s">
        <v>3728</v>
      </c>
      <c r="CTM618" s="17">
        <v>44925</v>
      </c>
      <c r="CTN618" s="5" t="s">
        <v>3728</v>
      </c>
      <c r="CTO618" s="17">
        <v>44925</v>
      </c>
      <c r="CTP618" s="5" t="s">
        <v>3728</v>
      </c>
      <c r="CTQ618" s="17">
        <v>44925</v>
      </c>
      <c r="CTR618" s="5" t="s">
        <v>3728</v>
      </c>
      <c r="CTS618" s="17">
        <v>44925</v>
      </c>
      <c r="CTT618" s="5" t="s">
        <v>3728</v>
      </c>
      <c r="CTU618" s="17">
        <v>44925</v>
      </c>
      <c r="CTV618" s="5" t="s">
        <v>3728</v>
      </c>
      <c r="CTW618" s="17">
        <v>44925</v>
      </c>
      <c r="CTX618" s="5" t="s">
        <v>3728</v>
      </c>
      <c r="CTY618" s="17">
        <v>44925</v>
      </c>
      <c r="CTZ618" s="5" t="s">
        <v>3728</v>
      </c>
      <c r="CUA618" s="17">
        <v>44925</v>
      </c>
      <c r="CUB618" s="5" t="s">
        <v>3728</v>
      </c>
      <c r="CUC618" s="17">
        <v>44925</v>
      </c>
      <c r="CUD618" s="5" t="s">
        <v>3728</v>
      </c>
      <c r="CUE618" s="17">
        <v>44925</v>
      </c>
      <c r="CUF618" s="5" t="s">
        <v>3728</v>
      </c>
      <c r="CUG618" s="17">
        <v>44925</v>
      </c>
      <c r="CUH618" s="5" t="s">
        <v>3728</v>
      </c>
      <c r="CUI618" s="17">
        <v>44925</v>
      </c>
      <c r="CUJ618" s="5" t="s">
        <v>3728</v>
      </c>
      <c r="CUK618" s="17">
        <v>44925</v>
      </c>
      <c r="CUL618" s="5" t="s">
        <v>3728</v>
      </c>
      <c r="CUM618" s="17">
        <v>44925</v>
      </c>
      <c r="CUN618" s="5" t="s">
        <v>3728</v>
      </c>
      <c r="CUO618" s="17">
        <v>44925</v>
      </c>
      <c r="CUP618" s="5" t="s">
        <v>3728</v>
      </c>
      <c r="CUQ618" s="17">
        <v>44925</v>
      </c>
      <c r="CUR618" s="5" t="s">
        <v>3728</v>
      </c>
      <c r="CUS618" s="17">
        <v>44925</v>
      </c>
      <c r="CUT618" s="5" t="s">
        <v>3728</v>
      </c>
      <c r="CUU618" s="17">
        <v>44925</v>
      </c>
      <c r="CUV618" s="5" t="s">
        <v>3728</v>
      </c>
      <c r="CUW618" s="17">
        <v>44925</v>
      </c>
      <c r="CUX618" s="5" t="s">
        <v>3728</v>
      </c>
      <c r="CUY618" s="17">
        <v>44925</v>
      </c>
      <c r="CUZ618" s="5" t="s">
        <v>3728</v>
      </c>
      <c r="CVA618" s="17">
        <v>44925</v>
      </c>
      <c r="CVB618" s="5" t="s">
        <v>3728</v>
      </c>
      <c r="CVC618" s="17">
        <v>44925</v>
      </c>
      <c r="CVD618" s="5" t="s">
        <v>3728</v>
      </c>
      <c r="CVE618" s="17">
        <v>44925</v>
      </c>
      <c r="CVF618" s="5" t="s">
        <v>3728</v>
      </c>
      <c r="CVG618" s="17">
        <v>44925</v>
      </c>
      <c r="CVH618" s="5" t="s">
        <v>3728</v>
      </c>
      <c r="CVI618" s="17">
        <v>44925</v>
      </c>
      <c r="CVJ618" s="5" t="s">
        <v>3728</v>
      </c>
      <c r="CVK618" s="17">
        <v>44925</v>
      </c>
      <c r="CVL618" s="5" t="s">
        <v>3728</v>
      </c>
      <c r="CVM618" s="17">
        <v>44925</v>
      </c>
      <c r="CVN618" s="5" t="s">
        <v>3728</v>
      </c>
      <c r="CVO618" s="17">
        <v>44925</v>
      </c>
      <c r="CVP618" s="5" t="s">
        <v>3728</v>
      </c>
      <c r="CVQ618" s="17">
        <v>44925</v>
      </c>
      <c r="CVR618" s="5" t="s">
        <v>3728</v>
      </c>
      <c r="CVS618" s="17">
        <v>44925</v>
      </c>
      <c r="CVT618" s="5" t="s">
        <v>3728</v>
      </c>
      <c r="CVU618" s="17">
        <v>44925</v>
      </c>
      <c r="CVV618" s="5" t="s">
        <v>3728</v>
      </c>
      <c r="CVW618" s="17">
        <v>44925</v>
      </c>
      <c r="CVX618" s="5" t="s">
        <v>3728</v>
      </c>
      <c r="CVY618" s="17">
        <v>44925</v>
      </c>
      <c r="CVZ618" s="5" t="s">
        <v>3728</v>
      </c>
      <c r="CWA618" s="17">
        <v>44925</v>
      </c>
      <c r="CWB618" s="5" t="s">
        <v>3728</v>
      </c>
      <c r="CWC618" s="17">
        <v>44925</v>
      </c>
      <c r="CWD618" s="5" t="s">
        <v>3728</v>
      </c>
      <c r="CWE618" s="17">
        <v>44925</v>
      </c>
      <c r="CWF618" s="5" t="s">
        <v>3728</v>
      </c>
      <c r="CWG618" s="17">
        <v>44925</v>
      </c>
      <c r="CWH618" s="5" t="s">
        <v>3728</v>
      </c>
      <c r="CWI618" s="17">
        <v>44925</v>
      </c>
      <c r="CWJ618" s="5" t="s">
        <v>3728</v>
      </c>
      <c r="CWK618" s="17">
        <v>44925</v>
      </c>
      <c r="CWL618" s="5" t="s">
        <v>3728</v>
      </c>
      <c r="CWM618" s="17">
        <v>44925</v>
      </c>
      <c r="CWN618" s="5" t="s">
        <v>3728</v>
      </c>
      <c r="CWO618" s="17">
        <v>44925</v>
      </c>
      <c r="CWP618" s="5" t="s">
        <v>3728</v>
      </c>
      <c r="CWQ618" s="17">
        <v>44925</v>
      </c>
      <c r="CWR618" s="5" t="s">
        <v>3728</v>
      </c>
      <c r="CWS618" s="17">
        <v>44925</v>
      </c>
      <c r="CWT618" s="5" t="s">
        <v>3728</v>
      </c>
      <c r="CWU618" s="17">
        <v>44925</v>
      </c>
      <c r="CWV618" s="5" t="s">
        <v>3728</v>
      </c>
      <c r="CWW618" s="17">
        <v>44925</v>
      </c>
      <c r="CWX618" s="5" t="s">
        <v>3728</v>
      </c>
      <c r="CWY618" s="17">
        <v>44925</v>
      </c>
      <c r="CWZ618" s="5" t="s">
        <v>3728</v>
      </c>
      <c r="CXA618" s="17">
        <v>44925</v>
      </c>
      <c r="CXB618" s="5" t="s">
        <v>3728</v>
      </c>
      <c r="CXC618" s="17">
        <v>44925</v>
      </c>
      <c r="CXD618" s="5" t="s">
        <v>3728</v>
      </c>
      <c r="CXE618" s="17">
        <v>44925</v>
      </c>
      <c r="CXF618" s="5" t="s">
        <v>3728</v>
      </c>
      <c r="CXG618" s="17">
        <v>44925</v>
      </c>
      <c r="CXH618" s="5" t="s">
        <v>3728</v>
      </c>
      <c r="CXI618" s="17">
        <v>44925</v>
      </c>
      <c r="CXJ618" s="5" t="s">
        <v>3728</v>
      </c>
      <c r="CXK618" s="17">
        <v>44925</v>
      </c>
      <c r="CXL618" s="5" t="s">
        <v>3728</v>
      </c>
      <c r="CXM618" s="17">
        <v>44925</v>
      </c>
      <c r="CXN618" s="5" t="s">
        <v>3728</v>
      </c>
      <c r="CXO618" s="17">
        <v>44925</v>
      </c>
      <c r="CXP618" s="5" t="s">
        <v>3728</v>
      </c>
      <c r="CXQ618" s="17">
        <v>44925</v>
      </c>
      <c r="CXR618" s="5" t="s">
        <v>3728</v>
      </c>
      <c r="CXS618" s="17">
        <v>44925</v>
      </c>
      <c r="CXT618" s="5" t="s">
        <v>3728</v>
      </c>
      <c r="CXU618" s="17">
        <v>44925</v>
      </c>
      <c r="CXV618" s="5" t="s">
        <v>3728</v>
      </c>
      <c r="CXW618" s="17">
        <v>44925</v>
      </c>
      <c r="CXX618" s="5" t="s">
        <v>3728</v>
      </c>
      <c r="CXY618" s="17">
        <v>44925</v>
      </c>
      <c r="CXZ618" s="5" t="s">
        <v>3728</v>
      </c>
      <c r="CYA618" s="17">
        <v>44925</v>
      </c>
      <c r="CYB618" s="5" t="s">
        <v>3728</v>
      </c>
      <c r="CYC618" s="17">
        <v>44925</v>
      </c>
      <c r="CYD618" s="5" t="s">
        <v>3728</v>
      </c>
      <c r="CYE618" s="17">
        <v>44925</v>
      </c>
      <c r="CYF618" s="5" t="s">
        <v>3728</v>
      </c>
      <c r="CYG618" s="17">
        <v>44925</v>
      </c>
      <c r="CYH618" s="5" t="s">
        <v>3728</v>
      </c>
      <c r="CYI618" s="17">
        <v>44925</v>
      </c>
      <c r="CYJ618" s="5" t="s">
        <v>3728</v>
      </c>
      <c r="CYK618" s="17">
        <v>44925</v>
      </c>
      <c r="CYL618" s="5" t="s">
        <v>3728</v>
      </c>
      <c r="CYM618" s="17">
        <v>44925</v>
      </c>
      <c r="CYN618" s="5" t="s">
        <v>3728</v>
      </c>
      <c r="CYO618" s="17">
        <v>44925</v>
      </c>
      <c r="CYP618" s="5" t="s">
        <v>3728</v>
      </c>
      <c r="CYQ618" s="17">
        <v>44925</v>
      </c>
      <c r="CYR618" s="5" t="s">
        <v>3728</v>
      </c>
      <c r="CYS618" s="17">
        <v>44925</v>
      </c>
      <c r="CYT618" s="5" t="s">
        <v>3728</v>
      </c>
      <c r="CYU618" s="17">
        <v>44925</v>
      </c>
      <c r="CYV618" s="5" t="s">
        <v>3728</v>
      </c>
      <c r="CYW618" s="17">
        <v>44925</v>
      </c>
      <c r="CYX618" s="5" t="s">
        <v>3728</v>
      </c>
      <c r="CYY618" s="17">
        <v>44925</v>
      </c>
      <c r="CYZ618" s="5" t="s">
        <v>3728</v>
      </c>
      <c r="CZA618" s="17">
        <v>44925</v>
      </c>
      <c r="CZB618" s="5" t="s">
        <v>3728</v>
      </c>
      <c r="CZC618" s="17">
        <v>44925</v>
      </c>
      <c r="CZD618" s="5" t="s">
        <v>3728</v>
      </c>
      <c r="CZE618" s="17">
        <v>44925</v>
      </c>
      <c r="CZF618" s="5" t="s">
        <v>3728</v>
      </c>
      <c r="CZG618" s="17">
        <v>44925</v>
      </c>
      <c r="CZH618" s="5" t="s">
        <v>3728</v>
      </c>
      <c r="CZI618" s="17">
        <v>44925</v>
      </c>
      <c r="CZJ618" s="5" t="s">
        <v>3728</v>
      </c>
      <c r="CZK618" s="17">
        <v>44925</v>
      </c>
      <c r="CZL618" s="5" t="s">
        <v>3728</v>
      </c>
      <c r="CZM618" s="17">
        <v>44925</v>
      </c>
      <c r="CZN618" s="5" t="s">
        <v>3728</v>
      </c>
      <c r="CZO618" s="17">
        <v>44925</v>
      </c>
      <c r="CZP618" s="5" t="s">
        <v>3728</v>
      </c>
      <c r="CZQ618" s="17">
        <v>44925</v>
      </c>
      <c r="CZR618" s="5" t="s">
        <v>3728</v>
      </c>
      <c r="CZS618" s="17">
        <v>44925</v>
      </c>
      <c r="CZT618" s="5" t="s">
        <v>3728</v>
      </c>
      <c r="CZU618" s="17">
        <v>44925</v>
      </c>
      <c r="CZV618" s="5" t="s">
        <v>3728</v>
      </c>
      <c r="CZW618" s="17">
        <v>44925</v>
      </c>
      <c r="CZX618" s="5" t="s">
        <v>3728</v>
      </c>
      <c r="CZY618" s="17">
        <v>44925</v>
      </c>
      <c r="CZZ618" s="5" t="s">
        <v>3728</v>
      </c>
      <c r="DAA618" s="17">
        <v>44925</v>
      </c>
      <c r="DAB618" s="5" t="s">
        <v>3728</v>
      </c>
      <c r="DAC618" s="17">
        <v>44925</v>
      </c>
      <c r="DAD618" s="5" t="s">
        <v>3728</v>
      </c>
      <c r="DAE618" s="17">
        <v>44925</v>
      </c>
      <c r="DAF618" s="5" t="s">
        <v>3728</v>
      </c>
      <c r="DAG618" s="17">
        <v>44925</v>
      </c>
      <c r="DAH618" s="5" t="s">
        <v>3728</v>
      </c>
      <c r="DAI618" s="17">
        <v>44925</v>
      </c>
      <c r="DAJ618" s="5" t="s">
        <v>3728</v>
      </c>
      <c r="DAK618" s="17">
        <v>44925</v>
      </c>
      <c r="DAL618" s="5" t="s">
        <v>3728</v>
      </c>
      <c r="DAM618" s="17">
        <v>44925</v>
      </c>
      <c r="DAN618" s="5" t="s">
        <v>3728</v>
      </c>
      <c r="DAO618" s="17">
        <v>44925</v>
      </c>
      <c r="DAP618" s="5" t="s">
        <v>3728</v>
      </c>
      <c r="DAQ618" s="17">
        <v>44925</v>
      </c>
      <c r="DAR618" s="5" t="s">
        <v>3728</v>
      </c>
      <c r="DAS618" s="17">
        <v>44925</v>
      </c>
      <c r="DAT618" s="5" t="s">
        <v>3728</v>
      </c>
      <c r="DAU618" s="17">
        <v>44925</v>
      </c>
      <c r="DAV618" s="5" t="s">
        <v>3728</v>
      </c>
      <c r="DAW618" s="17">
        <v>44925</v>
      </c>
      <c r="DAX618" s="5" t="s">
        <v>3728</v>
      </c>
      <c r="DAY618" s="17">
        <v>44925</v>
      </c>
      <c r="DAZ618" s="5" t="s">
        <v>3728</v>
      </c>
      <c r="DBA618" s="17">
        <v>44925</v>
      </c>
      <c r="DBB618" s="5" t="s">
        <v>3728</v>
      </c>
      <c r="DBC618" s="17">
        <v>44925</v>
      </c>
      <c r="DBD618" s="5" t="s">
        <v>3728</v>
      </c>
      <c r="DBE618" s="17">
        <v>44925</v>
      </c>
      <c r="DBF618" s="5" t="s">
        <v>3728</v>
      </c>
      <c r="DBG618" s="17">
        <v>44925</v>
      </c>
      <c r="DBH618" s="5" t="s">
        <v>3728</v>
      </c>
      <c r="DBI618" s="17">
        <v>44925</v>
      </c>
      <c r="DBJ618" s="5" t="s">
        <v>3728</v>
      </c>
      <c r="DBK618" s="17">
        <v>44925</v>
      </c>
      <c r="DBL618" s="5" t="s">
        <v>3728</v>
      </c>
      <c r="DBM618" s="17">
        <v>44925</v>
      </c>
      <c r="DBN618" s="5" t="s">
        <v>3728</v>
      </c>
      <c r="DBO618" s="17">
        <v>44925</v>
      </c>
      <c r="DBP618" s="5" t="s">
        <v>3728</v>
      </c>
      <c r="DBQ618" s="17">
        <v>44925</v>
      </c>
      <c r="DBR618" s="5" t="s">
        <v>3728</v>
      </c>
      <c r="DBS618" s="17">
        <v>44925</v>
      </c>
      <c r="DBT618" s="5" t="s">
        <v>3728</v>
      </c>
      <c r="DBU618" s="17">
        <v>44925</v>
      </c>
      <c r="DBV618" s="5" t="s">
        <v>3728</v>
      </c>
      <c r="DBW618" s="17">
        <v>44925</v>
      </c>
      <c r="DBX618" s="5" t="s">
        <v>3728</v>
      </c>
      <c r="DBY618" s="17">
        <v>44925</v>
      </c>
      <c r="DBZ618" s="5" t="s">
        <v>3728</v>
      </c>
      <c r="DCA618" s="17">
        <v>44925</v>
      </c>
      <c r="DCB618" s="5" t="s">
        <v>3728</v>
      </c>
      <c r="DCC618" s="17">
        <v>44925</v>
      </c>
      <c r="DCD618" s="5" t="s">
        <v>3728</v>
      </c>
      <c r="DCE618" s="17">
        <v>44925</v>
      </c>
      <c r="DCF618" s="5" t="s">
        <v>3728</v>
      </c>
      <c r="DCG618" s="17">
        <v>44925</v>
      </c>
      <c r="DCH618" s="5" t="s">
        <v>3728</v>
      </c>
      <c r="DCI618" s="17">
        <v>44925</v>
      </c>
      <c r="DCJ618" s="5" t="s">
        <v>3728</v>
      </c>
      <c r="DCK618" s="17">
        <v>44925</v>
      </c>
      <c r="DCL618" s="5" t="s">
        <v>3728</v>
      </c>
      <c r="DCM618" s="17">
        <v>44925</v>
      </c>
      <c r="DCN618" s="5" t="s">
        <v>3728</v>
      </c>
      <c r="DCO618" s="17">
        <v>44925</v>
      </c>
      <c r="DCP618" s="5" t="s">
        <v>3728</v>
      </c>
      <c r="DCQ618" s="17">
        <v>44925</v>
      </c>
      <c r="DCR618" s="5" t="s">
        <v>3728</v>
      </c>
      <c r="DCS618" s="17">
        <v>44925</v>
      </c>
      <c r="DCT618" s="5" t="s">
        <v>3728</v>
      </c>
      <c r="DCU618" s="17">
        <v>44925</v>
      </c>
      <c r="DCV618" s="5" t="s">
        <v>3728</v>
      </c>
      <c r="DCW618" s="17">
        <v>44925</v>
      </c>
      <c r="DCX618" s="5" t="s">
        <v>3728</v>
      </c>
      <c r="DCY618" s="17">
        <v>44925</v>
      </c>
      <c r="DCZ618" s="5" t="s">
        <v>3728</v>
      </c>
      <c r="DDA618" s="17">
        <v>44925</v>
      </c>
      <c r="DDB618" s="5" t="s">
        <v>3728</v>
      </c>
      <c r="DDC618" s="17">
        <v>44925</v>
      </c>
      <c r="DDD618" s="5" t="s">
        <v>3728</v>
      </c>
      <c r="DDE618" s="17">
        <v>44925</v>
      </c>
      <c r="DDF618" s="5" t="s">
        <v>3728</v>
      </c>
      <c r="DDG618" s="17">
        <v>44925</v>
      </c>
      <c r="DDH618" s="5" t="s">
        <v>3728</v>
      </c>
      <c r="DDI618" s="17">
        <v>44925</v>
      </c>
      <c r="DDJ618" s="5" t="s">
        <v>3728</v>
      </c>
      <c r="DDK618" s="17">
        <v>44925</v>
      </c>
      <c r="DDL618" s="5" t="s">
        <v>3728</v>
      </c>
      <c r="DDM618" s="17">
        <v>44925</v>
      </c>
      <c r="DDN618" s="5" t="s">
        <v>3728</v>
      </c>
      <c r="DDO618" s="17">
        <v>44925</v>
      </c>
      <c r="DDP618" s="5" t="s">
        <v>3728</v>
      </c>
      <c r="DDQ618" s="17">
        <v>44925</v>
      </c>
      <c r="DDR618" s="5" t="s">
        <v>3728</v>
      </c>
      <c r="DDS618" s="17">
        <v>44925</v>
      </c>
      <c r="DDT618" s="5" t="s">
        <v>3728</v>
      </c>
      <c r="DDU618" s="17">
        <v>44925</v>
      </c>
      <c r="DDV618" s="5" t="s">
        <v>3728</v>
      </c>
      <c r="DDW618" s="17">
        <v>44925</v>
      </c>
      <c r="DDX618" s="5" t="s">
        <v>3728</v>
      </c>
      <c r="DDY618" s="17">
        <v>44925</v>
      </c>
      <c r="DDZ618" s="5" t="s">
        <v>3728</v>
      </c>
      <c r="DEA618" s="17">
        <v>44925</v>
      </c>
      <c r="DEB618" s="5" t="s">
        <v>3728</v>
      </c>
      <c r="DEC618" s="17">
        <v>44925</v>
      </c>
      <c r="DED618" s="5" t="s">
        <v>3728</v>
      </c>
      <c r="DEE618" s="17">
        <v>44925</v>
      </c>
      <c r="DEF618" s="5" t="s">
        <v>3728</v>
      </c>
      <c r="DEG618" s="17">
        <v>44925</v>
      </c>
      <c r="DEH618" s="5" t="s">
        <v>3728</v>
      </c>
      <c r="DEI618" s="17">
        <v>44925</v>
      </c>
      <c r="DEJ618" s="5" t="s">
        <v>3728</v>
      </c>
      <c r="DEK618" s="17">
        <v>44925</v>
      </c>
      <c r="DEL618" s="5" t="s">
        <v>3728</v>
      </c>
      <c r="DEM618" s="17">
        <v>44925</v>
      </c>
      <c r="DEN618" s="5" t="s">
        <v>3728</v>
      </c>
      <c r="DEO618" s="17">
        <v>44925</v>
      </c>
      <c r="DEP618" s="5" t="s">
        <v>3728</v>
      </c>
      <c r="DEQ618" s="17">
        <v>44925</v>
      </c>
      <c r="DER618" s="5" t="s">
        <v>3728</v>
      </c>
      <c r="DES618" s="17">
        <v>44925</v>
      </c>
      <c r="DET618" s="5" t="s">
        <v>3728</v>
      </c>
      <c r="DEU618" s="17">
        <v>44925</v>
      </c>
      <c r="DEV618" s="5" t="s">
        <v>3728</v>
      </c>
      <c r="DEW618" s="17">
        <v>44925</v>
      </c>
      <c r="DEX618" s="5" t="s">
        <v>3728</v>
      </c>
      <c r="DEY618" s="17">
        <v>44925</v>
      </c>
      <c r="DEZ618" s="5" t="s">
        <v>3728</v>
      </c>
      <c r="DFA618" s="17">
        <v>44925</v>
      </c>
      <c r="DFB618" s="5" t="s">
        <v>3728</v>
      </c>
      <c r="DFC618" s="17">
        <v>44925</v>
      </c>
      <c r="DFD618" s="5" t="s">
        <v>3728</v>
      </c>
      <c r="DFE618" s="17">
        <v>44925</v>
      </c>
      <c r="DFF618" s="5" t="s">
        <v>3728</v>
      </c>
      <c r="DFG618" s="17">
        <v>44925</v>
      </c>
      <c r="DFH618" s="5" t="s">
        <v>3728</v>
      </c>
      <c r="DFI618" s="17">
        <v>44925</v>
      </c>
      <c r="DFJ618" s="5" t="s">
        <v>3728</v>
      </c>
      <c r="DFK618" s="17">
        <v>44925</v>
      </c>
      <c r="DFL618" s="5" t="s">
        <v>3728</v>
      </c>
      <c r="DFM618" s="17">
        <v>44925</v>
      </c>
      <c r="DFN618" s="5" t="s">
        <v>3728</v>
      </c>
      <c r="DFO618" s="17">
        <v>44925</v>
      </c>
      <c r="DFP618" s="5" t="s">
        <v>3728</v>
      </c>
      <c r="DFQ618" s="17">
        <v>44925</v>
      </c>
      <c r="DFR618" s="5" t="s">
        <v>3728</v>
      </c>
      <c r="DFS618" s="17">
        <v>44925</v>
      </c>
      <c r="DFT618" s="5" t="s">
        <v>3728</v>
      </c>
      <c r="DFU618" s="17">
        <v>44925</v>
      </c>
      <c r="DFV618" s="5" t="s">
        <v>3728</v>
      </c>
      <c r="DFW618" s="17">
        <v>44925</v>
      </c>
      <c r="DFX618" s="5" t="s">
        <v>3728</v>
      </c>
      <c r="DFY618" s="17">
        <v>44925</v>
      </c>
      <c r="DFZ618" s="5" t="s">
        <v>3728</v>
      </c>
      <c r="DGA618" s="17">
        <v>44925</v>
      </c>
      <c r="DGB618" s="5" t="s">
        <v>3728</v>
      </c>
      <c r="DGC618" s="17">
        <v>44925</v>
      </c>
      <c r="DGD618" s="5" t="s">
        <v>3728</v>
      </c>
      <c r="DGE618" s="17">
        <v>44925</v>
      </c>
      <c r="DGF618" s="5" t="s">
        <v>3728</v>
      </c>
      <c r="DGG618" s="17">
        <v>44925</v>
      </c>
      <c r="DGH618" s="5" t="s">
        <v>3728</v>
      </c>
      <c r="DGI618" s="17">
        <v>44925</v>
      </c>
      <c r="DGJ618" s="5" t="s">
        <v>3728</v>
      </c>
      <c r="DGK618" s="17">
        <v>44925</v>
      </c>
      <c r="DGL618" s="5" t="s">
        <v>3728</v>
      </c>
      <c r="DGM618" s="17">
        <v>44925</v>
      </c>
      <c r="DGN618" s="5" t="s">
        <v>3728</v>
      </c>
      <c r="DGO618" s="17">
        <v>44925</v>
      </c>
      <c r="DGP618" s="5" t="s">
        <v>3728</v>
      </c>
      <c r="DGQ618" s="17">
        <v>44925</v>
      </c>
      <c r="DGR618" s="5" t="s">
        <v>3728</v>
      </c>
      <c r="DGS618" s="17">
        <v>44925</v>
      </c>
      <c r="DGT618" s="5" t="s">
        <v>3728</v>
      </c>
      <c r="DGU618" s="17">
        <v>44925</v>
      </c>
      <c r="DGV618" s="5" t="s">
        <v>3728</v>
      </c>
      <c r="DGW618" s="17">
        <v>44925</v>
      </c>
      <c r="DGX618" s="5" t="s">
        <v>3728</v>
      </c>
      <c r="DGY618" s="17">
        <v>44925</v>
      </c>
      <c r="DGZ618" s="5" t="s">
        <v>3728</v>
      </c>
      <c r="DHA618" s="17">
        <v>44925</v>
      </c>
      <c r="DHB618" s="5" t="s">
        <v>3728</v>
      </c>
      <c r="DHC618" s="17">
        <v>44925</v>
      </c>
      <c r="DHD618" s="5" t="s">
        <v>3728</v>
      </c>
      <c r="DHE618" s="17">
        <v>44925</v>
      </c>
      <c r="DHF618" s="5" t="s">
        <v>3728</v>
      </c>
      <c r="DHG618" s="17">
        <v>44925</v>
      </c>
      <c r="DHH618" s="5" t="s">
        <v>3728</v>
      </c>
      <c r="DHI618" s="17">
        <v>44925</v>
      </c>
      <c r="DHJ618" s="5" t="s">
        <v>3728</v>
      </c>
      <c r="DHK618" s="17">
        <v>44925</v>
      </c>
      <c r="DHL618" s="5" t="s">
        <v>3728</v>
      </c>
      <c r="DHM618" s="17">
        <v>44925</v>
      </c>
      <c r="DHN618" s="5" t="s">
        <v>3728</v>
      </c>
      <c r="DHO618" s="17">
        <v>44925</v>
      </c>
      <c r="DHP618" s="5" t="s">
        <v>3728</v>
      </c>
      <c r="DHQ618" s="17">
        <v>44925</v>
      </c>
      <c r="DHR618" s="5" t="s">
        <v>3728</v>
      </c>
      <c r="DHS618" s="17">
        <v>44925</v>
      </c>
      <c r="DHT618" s="5" t="s">
        <v>3728</v>
      </c>
      <c r="DHU618" s="17">
        <v>44925</v>
      </c>
      <c r="DHV618" s="5" t="s">
        <v>3728</v>
      </c>
      <c r="DHW618" s="17">
        <v>44925</v>
      </c>
      <c r="DHX618" s="5" t="s">
        <v>3728</v>
      </c>
      <c r="DHY618" s="17">
        <v>44925</v>
      </c>
      <c r="DHZ618" s="5" t="s">
        <v>3728</v>
      </c>
      <c r="DIA618" s="17">
        <v>44925</v>
      </c>
      <c r="DIB618" s="5" t="s">
        <v>3728</v>
      </c>
      <c r="DIC618" s="17">
        <v>44925</v>
      </c>
      <c r="DID618" s="5" t="s">
        <v>3728</v>
      </c>
      <c r="DIE618" s="17">
        <v>44925</v>
      </c>
      <c r="DIF618" s="5" t="s">
        <v>3728</v>
      </c>
      <c r="DIG618" s="17">
        <v>44925</v>
      </c>
      <c r="DIH618" s="5" t="s">
        <v>3728</v>
      </c>
      <c r="DII618" s="17">
        <v>44925</v>
      </c>
      <c r="DIJ618" s="5" t="s">
        <v>3728</v>
      </c>
      <c r="DIK618" s="17">
        <v>44925</v>
      </c>
      <c r="DIL618" s="5" t="s">
        <v>3728</v>
      </c>
      <c r="DIM618" s="17">
        <v>44925</v>
      </c>
      <c r="DIN618" s="5" t="s">
        <v>3728</v>
      </c>
      <c r="DIO618" s="17">
        <v>44925</v>
      </c>
      <c r="DIP618" s="5" t="s">
        <v>3728</v>
      </c>
      <c r="DIQ618" s="17">
        <v>44925</v>
      </c>
      <c r="DIR618" s="5" t="s">
        <v>3728</v>
      </c>
      <c r="DIS618" s="17">
        <v>44925</v>
      </c>
      <c r="DIT618" s="5" t="s">
        <v>3728</v>
      </c>
      <c r="DIU618" s="17">
        <v>44925</v>
      </c>
      <c r="DIV618" s="5" t="s">
        <v>3728</v>
      </c>
      <c r="DIW618" s="17">
        <v>44925</v>
      </c>
      <c r="DIX618" s="5" t="s">
        <v>3728</v>
      </c>
      <c r="DIY618" s="17">
        <v>44925</v>
      </c>
      <c r="DIZ618" s="5" t="s">
        <v>3728</v>
      </c>
      <c r="DJA618" s="17">
        <v>44925</v>
      </c>
      <c r="DJB618" s="5" t="s">
        <v>3728</v>
      </c>
      <c r="DJC618" s="17">
        <v>44925</v>
      </c>
      <c r="DJD618" s="5" t="s">
        <v>3728</v>
      </c>
      <c r="DJE618" s="17">
        <v>44925</v>
      </c>
      <c r="DJF618" s="5" t="s">
        <v>3728</v>
      </c>
      <c r="DJG618" s="17">
        <v>44925</v>
      </c>
      <c r="DJH618" s="5" t="s">
        <v>3728</v>
      </c>
      <c r="DJI618" s="17">
        <v>44925</v>
      </c>
      <c r="DJJ618" s="5" t="s">
        <v>3728</v>
      </c>
      <c r="DJK618" s="17">
        <v>44925</v>
      </c>
      <c r="DJL618" s="5" t="s">
        <v>3728</v>
      </c>
      <c r="DJM618" s="17">
        <v>44925</v>
      </c>
      <c r="DJN618" s="5" t="s">
        <v>3728</v>
      </c>
      <c r="DJO618" s="17">
        <v>44925</v>
      </c>
      <c r="DJP618" s="5" t="s">
        <v>3728</v>
      </c>
      <c r="DJQ618" s="17">
        <v>44925</v>
      </c>
      <c r="DJR618" s="5" t="s">
        <v>3728</v>
      </c>
      <c r="DJS618" s="17">
        <v>44925</v>
      </c>
      <c r="DJT618" s="5" t="s">
        <v>3728</v>
      </c>
      <c r="DJU618" s="17">
        <v>44925</v>
      </c>
      <c r="DJV618" s="5" t="s">
        <v>3728</v>
      </c>
      <c r="DJW618" s="17">
        <v>44925</v>
      </c>
      <c r="DJX618" s="5" t="s">
        <v>3728</v>
      </c>
      <c r="DJY618" s="17">
        <v>44925</v>
      </c>
      <c r="DJZ618" s="5" t="s">
        <v>3728</v>
      </c>
      <c r="DKA618" s="17">
        <v>44925</v>
      </c>
      <c r="DKB618" s="5" t="s">
        <v>3728</v>
      </c>
      <c r="DKC618" s="17">
        <v>44925</v>
      </c>
      <c r="DKD618" s="5" t="s">
        <v>3728</v>
      </c>
      <c r="DKE618" s="17">
        <v>44925</v>
      </c>
      <c r="DKF618" s="5" t="s">
        <v>3728</v>
      </c>
      <c r="DKG618" s="17">
        <v>44925</v>
      </c>
      <c r="DKH618" s="5" t="s">
        <v>3728</v>
      </c>
      <c r="DKI618" s="17">
        <v>44925</v>
      </c>
      <c r="DKJ618" s="5" t="s">
        <v>3728</v>
      </c>
      <c r="DKK618" s="17">
        <v>44925</v>
      </c>
      <c r="DKL618" s="5" t="s">
        <v>3728</v>
      </c>
      <c r="DKM618" s="17">
        <v>44925</v>
      </c>
      <c r="DKN618" s="5" t="s">
        <v>3728</v>
      </c>
      <c r="DKO618" s="17">
        <v>44925</v>
      </c>
      <c r="DKP618" s="5" t="s">
        <v>3728</v>
      </c>
      <c r="DKQ618" s="17">
        <v>44925</v>
      </c>
      <c r="DKR618" s="5" t="s">
        <v>3728</v>
      </c>
      <c r="DKS618" s="17">
        <v>44925</v>
      </c>
      <c r="DKT618" s="5" t="s">
        <v>3728</v>
      </c>
      <c r="DKU618" s="17">
        <v>44925</v>
      </c>
      <c r="DKV618" s="5" t="s">
        <v>3728</v>
      </c>
      <c r="DKW618" s="17">
        <v>44925</v>
      </c>
      <c r="DKX618" s="5" t="s">
        <v>3728</v>
      </c>
      <c r="DKY618" s="17">
        <v>44925</v>
      </c>
      <c r="DKZ618" s="5" t="s">
        <v>3728</v>
      </c>
      <c r="DLA618" s="17">
        <v>44925</v>
      </c>
      <c r="DLB618" s="5" t="s">
        <v>3728</v>
      </c>
      <c r="DLC618" s="17">
        <v>44925</v>
      </c>
      <c r="DLD618" s="5" t="s">
        <v>3728</v>
      </c>
      <c r="DLE618" s="17">
        <v>44925</v>
      </c>
      <c r="DLF618" s="5" t="s">
        <v>3728</v>
      </c>
      <c r="DLG618" s="17">
        <v>44925</v>
      </c>
      <c r="DLH618" s="5" t="s">
        <v>3728</v>
      </c>
      <c r="DLI618" s="17">
        <v>44925</v>
      </c>
      <c r="DLJ618" s="5" t="s">
        <v>3728</v>
      </c>
      <c r="DLK618" s="17">
        <v>44925</v>
      </c>
      <c r="DLL618" s="5" t="s">
        <v>3728</v>
      </c>
      <c r="DLM618" s="17">
        <v>44925</v>
      </c>
      <c r="DLN618" s="5" t="s">
        <v>3728</v>
      </c>
      <c r="DLO618" s="17">
        <v>44925</v>
      </c>
      <c r="DLP618" s="5" t="s">
        <v>3728</v>
      </c>
      <c r="DLQ618" s="17">
        <v>44925</v>
      </c>
      <c r="DLR618" s="5" t="s">
        <v>3728</v>
      </c>
      <c r="DLS618" s="17">
        <v>44925</v>
      </c>
      <c r="DLT618" s="5" t="s">
        <v>3728</v>
      </c>
      <c r="DLU618" s="17">
        <v>44925</v>
      </c>
      <c r="DLV618" s="5" t="s">
        <v>3728</v>
      </c>
      <c r="DLW618" s="17">
        <v>44925</v>
      </c>
      <c r="DLX618" s="5" t="s">
        <v>3728</v>
      </c>
      <c r="DLY618" s="17">
        <v>44925</v>
      </c>
      <c r="DLZ618" s="5" t="s">
        <v>3728</v>
      </c>
      <c r="DMA618" s="17">
        <v>44925</v>
      </c>
      <c r="DMB618" s="5" t="s">
        <v>3728</v>
      </c>
      <c r="DMC618" s="17">
        <v>44925</v>
      </c>
      <c r="DMD618" s="5" t="s">
        <v>3728</v>
      </c>
      <c r="DME618" s="17">
        <v>44925</v>
      </c>
      <c r="DMF618" s="5" t="s">
        <v>3728</v>
      </c>
      <c r="DMG618" s="17">
        <v>44925</v>
      </c>
      <c r="DMH618" s="5" t="s">
        <v>3728</v>
      </c>
      <c r="DMI618" s="17">
        <v>44925</v>
      </c>
      <c r="DMJ618" s="5" t="s">
        <v>3728</v>
      </c>
      <c r="DMK618" s="17">
        <v>44925</v>
      </c>
      <c r="DML618" s="5" t="s">
        <v>3728</v>
      </c>
      <c r="DMM618" s="17">
        <v>44925</v>
      </c>
      <c r="DMN618" s="5" t="s">
        <v>3728</v>
      </c>
      <c r="DMO618" s="17">
        <v>44925</v>
      </c>
      <c r="DMP618" s="5" t="s">
        <v>3728</v>
      </c>
      <c r="DMQ618" s="17">
        <v>44925</v>
      </c>
      <c r="DMR618" s="5" t="s">
        <v>3728</v>
      </c>
      <c r="DMS618" s="17">
        <v>44925</v>
      </c>
      <c r="DMT618" s="5" t="s">
        <v>3728</v>
      </c>
      <c r="DMU618" s="17">
        <v>44925</v>
      </c>
      <c r="DMV618" s="5" t="s">
        <v>3728</v>
      </c>
      <c r="DMW618" s="17">
        <v>44925</v>
      </c>
      <c r="DMX618" s="5" t="s">
        <v>3728</v>
      </c>
      <c r="DMY618" s="17">
        <v>44925</v>
      </c>
      <c r="DMZ618" s="5" t="s">
        <v>3728</v>
      </c>
      <c r="DNA618" s="17">
        <v>44925</v>
      </c>
      <c r="DNB618" s="5" t="s">
        <v>3728</v>
      </c>
      <c r="DNC618" s="17">
        <v>44925</v>
      </c>
      <c r="DND618" s="5" t="s">
        <v>3728</v>
      </c>
      <c r="DNE618" s="17">
        <v>44925</v>
      </c>
      <c r="DNF618" s="5" t="s">
        <v>3728</v>
      </c>
      <c r="DNG618" s="17">
        <v>44925</v>
      </c>
      <c r="DNH618" s="5" t="s">
        <v>3728</v>
      </c>
      <c r="DNI618" s="17">
        <v>44925</v>
      </c>
      <c r="DNJ618" s="5" t="s">
        <v>3728</v>
      </c>
      <c r="DNK618" s="17">
        <v>44925</v>
      </c>
      <c r="DNL618" s="5" t="s">
        <v>3728</v>
      </c>
      <c r="DNM618" s="17">
        <v>44925</v>
      </c>
      <c r="DNN618" s="5" t="s">
        <v>3728</v>
      </c>
      <c r="DNO618" s="17">
        <v>44925</v>
      </c>
      <c r="DNP618" s="5" t="s">
        <v>3728</v>
      </c>
      <c r="DNQ618" s="17">
        <v>44925</v>
      </c>
      <c r="DNR618" s="5" t="s">
        <v>3728</v>
      </c>
      <c r="DNS618" s="17">
        <v>44925</v>
      </c>
      <c r="DNT618" s="5" t="s">
        <v>3728</v>
      </c>
      <c r="DNU618" s="17">
        <v>44925</v>
      </c>
      <c r="DNV618" s="5" t="s">
        <v>3728</v>
      </c>
      <c r="DNW618" s="17">
        <v>44925</v>
      </c>
      <c r="DNX618" s="5" t="s">
        <v>3728</v>
      </c>
      <c r="DNY618" s="17">
        <v>44925</v>
      </c>
      <c r="DNZ618" s="5" t="s">
        <v>3728</v>
      </c>
      <c r="DOA618" s="17">
        <v>44925</v>
      </c>
      <c r="DOB618" s="5" t="s">
        <v>3728</v>
      </c>
      <c r="DOC618" s="17">
        <v>44925</v>
      </c>
      <c r="DOD618" s="5" t="s">
        <v>3728</v>
      </c>
      <c r="DOE618" s="17">
        <v>44925</v>
      </c>
      <c r="DOF618" s="5" t="s">
        <v>3728</v>
      </c>
      <c r="DOG618" s="17">
        <v>44925</v>
      </c>
      <c r="DOH618" s="5" t="s">
        <v>3728</v>
      </c>
      <c r="DOI618" s="17">
        <v>44925</v>
      </c>
      <c r="DOJ618" s="5" t="s">
        <v>3728</v>
      </c>
      <c r="DOK618" s="17">
        <v>44925</v>
      </c>
      <c r="DOL618" s="5" t="s">
        <v>3728</v>
      </c>
      <c r="DOM618" s="17">
        <v>44925</v>
      </c>
      <c r="DON618" s="5" t="s">
        <v>3728</v>
      </c>
      <c r="DOO618" s="17">
        <v>44925</v>
      </c>
      <c r="DOP618" s="5" t="s">
        <v>3728</v>
      </c>
      <c r="DOQ618" s="17">
        <v>44925</v>
      </c>
      <c r="DOR618" s="5" t="s">
        <v>3728</v>
      </c>
      <c r="DOS618" s="17">
        <v>44925</v>
      </c>
      <c r="DOT618" s="5" t="s">
        <v>3728</v>
      </c>
      <c r="DOU618" s="17">
        <v>44925</v>
      </c>
      <c r="DOV618" s="5" t="s">
        <v>3728</v>
      </c>
      <c r="DOW618" s="17">
        <v>44925</v>
      </c>
      <c r="DOX618" s="5" t="s">
        <v>3728</v>
      </c>
      <c r="DOY618" s="17">
        <v>44925</v>
      </c>
      <c r="DOZ618" s="5" t="s">
        <v>3728</v>
      </c>
      <c r="DPA618" s="17">
        <v>44925</v>
      </c>
      <c r="DPB618" s="5" t="s">
        <v>3728</v>
      </c>
      <c r="DPC618" s="17">
        <v>44925</v>
      </c>
      <c r="DPD618" s="5" t="s">
        <v>3728</v>
      </c>
      <c r="DPE618" s="17">
        <v>44925</v>
      </c>
      <c r="DPF618" s="5" t="s">
        <v>3728</v>
      </c>
      <c r="DPG618" s="17">
        <v>44925</v>
      </c>
      <c r="DPH618" s="5" t="s">
        <v>3728</v>
      </c>
      <c r="DPI618" s="17">
        <v>44925</v>
      </c>
      <c r="DPJ618" s="5" t="s">
        <v>3728</v>
      </c>
      <c r="DPK618" s="17">
        <v>44925</v>
      </c>
      <c r="DPL618" s="5" t="s">
        <v>3728</v>
      </c>
      <c r="DPM618" s="17">
        <v>44925</v>
      </c>
      <c r="DPN618" s="5" t="s">
        <v>3728</v>
      </c>
      <c r="DPO618" s="17">
        <v>44925</v>
      </c>
      <c r="DPP618" s="5" t="s">
        <v>3728</v>
      </c>
      <c r="DPQ618" s="17">
        <v>44925</v>
      </c>
      <c r="DPR618" s="5" t="s">
        <v>3728</v>
      </c>
      <c r="DPS618" s="17">
        <v>44925</v>
      </c>
      <c r="DPT618" s="5" t="s">
        <v>3728</v>
      </c>
      <c r="DPU618" s="17">
        <v>44925</v>
      </c>
      <c r="DPV618" s="5" t="s">
        <v>3728</v>
      </c>
      <c r="DPW618" s="17">
        <v>44925</v>
      </c>
      <c r="DPX618" s="5" t="s">
        <v>3728</v>
      </c>
      <c r="DPY618" s="17">
        <v>44925</v>
      </c>
      <c r="DPZ618" s="5" t="s">
        <v>3728</v>
      </c>
      <c r="DQA618" s="17">
        <v>44925</v>
      </c>
      <c r="DQB618" s="5" t="s">
        <v>3728</v>
      </c>
      <c r="DQC618" s="17">
        <v>44925</v>
      </c>
      <c r="DQD618" s="5" t="s">
        <v>3728</v>
      </c>
      <c r="DQE618" s="17">
        <v>44925</v>
      </c>
      <c r="DQF618" s="5" t="s">
        <v>3728</v>
      </c>
      <c r="DQG618" s="17">
        <v>44925</v>
      </c>
      <c r="DQH618" s="5" t="s">
        <v>3728</v>
      </c>
      <c r="DQI618" s="17">
        <v>44925</v>
      </c>
      <c r="DQJ618" s="5" t="s">
        <v>3728</v>
      </c>
      <c r="DQK618" s="17">
        <v>44925</v>
      </c>
      <c r="DQL618" s="5" t="s">
        <v>3728</v>
      </c>
      <c r="DQM618" s="17">
        <v>44925</v>
      </c>
      <c r="DQN618" s="5" t="s">
        <v>3728</v>
      </c>
      <c r="DQO618" s="17">
        <v>44925</v>
      </c>
      <c r="DQP618" s="5" t="s">
        <v>3728</v>
      </c>
      <c r="DQQ618" s="17">
        <v>44925</v>
      </c>
      <c r="DQR618" s="5" t="s">
        <v>3728</v>
      </c>
      <c r="DQS618" s="17">
        <v>44925</v>
      </c>
      <c r="DQT618" s="5" t="s">
        <v>3728</v>
      </c>
      <c r="DQU618" s="17">
        <v>44925</v>
      </c>
      <c r="DQV618" s="5" t="s">
        <v>3728</v>
      </c>
      <c r="DQW618" s="17">
        <v>44925</v>
      </c>
      <c r="DQX618" s="5" t="s">
        <v>3728</v>
      </c>
      <c r="DQY618" s="17">
        <v>44925</v>
      </c>
      <c r="DQZ618" s="5" t="s">
        <v>3728</v>
      </c>
      <c r="DRA618" s="17">
        <v>44925</v>
      </c>
      <c r="DRB618" s="5" t="s">
        <v>3728</v>
      </c>
      <c r="DRC618" s="17">
        <v>44925</v>
      </c>
      <c r="DRD618" s="5" t="s">
        <v>3728</v>
      </c>
      <c r="DRE618" s="17">
        <v>44925</v>
      </c>
      <c r="DRF618" s="5" t="s">
        <v>3728</v>
      </c>
      <c r="DRG618" s="17">
        <v>44925</v>
      </c>
      <c r="DRH618" s="5" t="s">
        <v>3728</v>
      </c>
      <c r="DRI618" s="17">
        <v>44925</v>
      </c>
      <c r="DRJ618" s="5" t="s">
        <v>3728</v>
      </c>
      <c r="DRK618" s="17">
        <v>44925</v>
      </c>
      <c r="DRL618" s="5" t="s">
        <v>3728</v>
      </c>
      <c r="DRM618" s="17">
        <v>44925</v>
      </c>
      <c r="DRN618" s="5" t="s">
        <v>3728</v>
      </c>
      <c r="DRO618" s="17">
        <v>44925</v>
      </c>
      <c r="DRP618" s="5" t="s">
        <v>3728</v>
      </c>
      <c r="DRQ618" s="17">
        <v>44925</v>
      </c>
      <c r="DRR618" s="5" t="s">
        <v>3728</v>
      </c>
      <c r="DRS618" s="17">
        <v>44925</v>
      </c>
      <c r="DRT618" s="5" t="s">
        <v>3728</v>
      </c>
      <c r="DRU618" s="17">
        <v>44925</v>
      </c>
      <c r="DRV618" s="5" t="s">
        <v>3728</v>
      </c>
      <c r="DRW618" s="17">
        <v>44925</v>
      </c>
      <c r="DRX618" s="5" t="s">
        <v>3728</v>
      </c>
      <c r="DRY618" s="17">
        <v>44925</v>
      </c>
      <c r="DRZ618" s="5" t="s">
        <v>3728</v>
      </c>
      <c r="DSA618" s="17">
        <v>44925</v>
      </c>
      <c r="DSB618" s="5" t="s">
        <v>3728</v>
      </c>
      <c r="DSC618" s="17">
        <v>44925</v>
      </c>
      <c r="DSD618" s="5" t="s">
        <v>3728</v>
      </c>
      <c r="DSE618" s="17">
        <v>44925</v>
      </c>
      <c r="DSF618" s="5" t="s">
        <v>3728</v>
      </c>
      <c r="DSG618" s="17">
        <v>44925</v>
      </c>
      <c r="DSH618" s="5" t="s">
        <v>3728</v>
      </c>
      <c r="DSI618" s="17">
        <v>44925</v>
      </c>
      <c r="DSJ618" s="5" t="s">
        <v>3728</v>
      </c>
      <c r="DSK618" s="17">
        <v>44925</v>
      </c>
      <c r="DSL618" s="5" t="s">
        <v>3728</v>
      </c>
      <c r="DSM618" s="17">
        <v>44925</v>
      </c>
      <c r="DSN618" s="5" t="s">
        <v>3728</v>
      </c>
      <c r="DSO618" s="17">
        <v>44925</v>
      </c>
      <c r="DSP618" s="5" t="s">
        <v>3728</v>
      </c>
      <c r="DSQ618" s="17">
        <v>44925</v>
      </c>
      <c r="DSR618" s="5" t="s">
        <v>3728</v>
      </c>
      <c r="DSS618" s="17">
        <v>44925</v>
      </c>
      <c r="DST618" s="5" t="s">
        <v>3728</v>
      </c>
      <c r="DSU618" s="17">
        <v>44925</v>
      </c>
      <c r="DSV618" s="5" t="s">
        <v>3728</v>
      </c>
      <c r="DSW618" s="17">
        <v>44925</v>
      </c>
      <c r="DSX618" s="5" t="s">
        <v>3728</v>
      </c>
      <c r="DSY618" s="17">
        <v>44925</v>
      </c>
      <c r="DSZ618" s="5" t="s">
        <v>3728</v>
      </c>
      <c r="DTA618" s="17">
        <v>44925</v>
      </c>
      <c r="DTB618" s="5" t="s">
        <v>3728</v>
      </c>
      <c r="DTC618" s="17">
        <v>44925</v>
      </c>
      <c r="DTD618" s="5" t="s">
        <v>3728</v>
      </c>
      <c r="DTE618" s="17">
        <v>44925</v>
      </c>
      <c r="DTF618" s="5" t="s">
        <v>3728</v>
      </c>
      <c r="DTG618" s="17">
        <v>44925</v>
      </c>
      <c r="DTH618" s="5" t="s">
        <v>3728</v>
      </c>
      <c r="DTI618" s="17">
        <v>44925</v>
      </c>
      <c r="DTJ618" s="5" t="s">
        <v>3728</v>
      </c>
      <c r="DTK618" s="17">
        <v>44925</v>
      </c>
      <c r="DTL618" s="5" t="s">
        <v>3728</v>
      </c>
      <c r="DTM618" s="17">
        <v>44925</v>
      </c>
      <c r="DTN618" s="5" t="s">
        <v>3728</v>
      </c>
      <c r="DTO618" s="17">
        <v>44925</v>
      </c>
      <c r="DTP618" s="5" t="s">
        <v>3728</v>
      </c>
      <c r="DTQ618" s="17">
        <v>44925</v>
      </c>
      <c r="DTR618" s="5" t="s">
        <v>3728</v>
      </c>
      <c r="DTS618" s="17">
        <v>44925</v>
      </c>
      <c r="DTT618" s="5" t="s">
        <v>3728</v>
      </c>
      <c r="DTU618" s="17">
        <v>44925</v>
      </c>
      <c r="DTV618" s="5" t="s">
        <v>3728</v>
      </c>
      <c r="DTW618" s="17">
        <v>44925</v>
      </c>
      <c r="DTX618" s="5" t="s">
        <v>3728</v>
      </c>
      <c r="DTY618" s="17">
        <v>44925</v>
      </c>
      <c r="DTZ618" s="5" t="s">
        <v>3728</v>
      </c>
      <c r="DUA618" s="17">
        <v>44925</v>
      </c>
      <c r="DUB618" s="5" t="s">
        <v>3728</v>
      </c>
      <c r="DUC618" s="17">
        <v>44925</v>
      </c>
      <c r="DUD618" s="5" t="s">
        <v>3728</v>
      </c>
      <c r="DUE618" s="17">
        <v>44925</v>
      </c>
      <c r="DUF618" s="5" t="s">
        <v>3728</v>
      </c>
      <c r="DUG618" s="17">
        <v>44925</v>
      </c>
      <c r="DUH618" s="5" t="s">
        <v>3728</v>
      </c>
      <c r="DUI618" s="17">
        <v>44925</v>
      </c>
      <c r="DUJ618" s="5" t="s">
        <v>3728</v>
      </c>
      <c r="DUK618" s="17">
        <v>44925</v>
      </c>
      <c r="DUL618" s="5" t="s">
        <v>3728</v>
      </c>
      <c r="DUM618" s="17">
        <v>44925</v>
      </c>
      <c r="DUN618" s="5" t="s">
        <v>3728</v>
      </c>
      <c r="DUO618" s="17">
        <v>44925</v>
      </c>
      <c r="DUP618" s="5" t="s">
        <v>3728</v>
      </c>
      <c r="DUQ618" s="17">
        <v>44925</v>
      </c>
      <c r="DUR618" s="5" t="s">
        <v>3728</v>
      </c>
      <c r="DUS618" s="17">
        <v>44925</v>
      </c>
      <c r="DUT618" s="5" t="s">
        <v>3728</v>
      </c>
      <c r="DUU618" s="17">
        <v>44925</v>
      </c>
      <c r="DUV618" s="5" t="s">
        <v>3728</v>
      </c>
      <c r="DUW618" s="17">
        <v>44925</v>
      </c>
      <c r="DUX618" s="5" t="s">
        <v>3728</v>
      </c>
      <c r="DUY618" s="17">
        <v>44925</v>
      </c>
      <c r="DUZ618" s="5" t="s">
        <v>3728</v>
      </c>
      <c r="DVA618" s="17">
        <v>44925</v>
      </c>
      <c r="DVB618" s="5" t="s">
        <v>3728</v>
      </c>
      <c r="DVC618" s="17">
        <v>44925</v>
      </c>
      <c r="DVD618" s="5" t="s">
        <v>3728</v>
      </c>
      <c r="DVE618" s="17">
        <v>44925</v>
      </c>
      <c r="DVF618" s="5" t="s">
        <v>3728</v>
      </c>
      <c r="DVG618" s="17">
        <v>44925</v>
      </c>
      <c r="DVH618" s="5" t="s">
        <v>3728</v>
      </c>
      <c r="DVI618" s="17">
        <v>44925</v>
      </c>
      <c r="DVJ618" s="5" t="s">
        <v>3728</v>
      </c>
      <c r="DVK618" s="17">
        <v>44925</v>
      </c>
      <c r="DVL618" s="5" t="s">
        <v>3728</v>
      </c>
      <c r="DVM618" s="17">
        <v>44925</v>
      </c>
      <c r="DVN618" s="5" t="s">
        <v>3728</v>
      </c>
      <c r="DVO618" s="17">
        <v>44925</v>
      </c>
      <c r="DVP618" s="5" t="s">
        <v>3728</v>
      </c>
      <c r="DVQ618" s="17">
        <v>44925</v>
      </c>
      <c r="DVR618" s="5" t="s">
        <v>3728</v>
      </c>
      <c r="DVS618" s="17">
        <v>44925</v>
      </c>
      <c r="DVT618" s="5" t="s">
        <v>3728</v>
      </c>
      <c r="DVU618" s="17">
        <v>44925</v>
      </c>
      <c r="DVV618" s="5" t="s">
        <v>3728</v>
      </c>
      <c r="DVW618" s="17">
        <v>44925</v>
      </c>
      <c r="DVX618" s="5" t="s">
        <v>3728</v>
      </c>
      <c r="DVY618" s="17">
        <v>44925</v>
      </c>
      <c r="DVZ618" s="5" t="s">
        <v>3728</v>
      </c>
      <c r="DWA618" s="17">
        <v>44925</v>
      </c>
      <c r="DWB618" s="5" t="s">
        <v>3728</v>
      </c>
      <c r="DWC618" s="17">
        <v>44925</v>
      </c>
      <c r="DWD618" s="5" t="s">
        <v>3728</v>
      </c>
      <c r="DWE618" s="17">
        <v>44925</v>
      </c>
      <c r="DWF618" s="5" t="s">
        <v>3728</v>
      </c>
      <c r="DWG618" s="17">
        <v>44925</v>
      </c>
      <c r="DWH618" s="5" t="s">
        <v>3728</v>
      </c>
      <c r="DWI618" s="17">
        <v>44925</v>
      </c>
      <c r="DWJ618" s="5" t="s">
        <v>3728</v>
      </c>
      <c r="DWK618" s="17">
        <v>44925</v>
      </c>
      <c r="DWL618" s="5" t="s">
        <v>3728</v>
      </c>
      <c r="DWM618" s="17">
        <v>44925</v>
      </c>
      <c r="DWN618" s="5" t="s">
        <v>3728</v>
      </c>
      <c r="DWO618" s="17">
        <v>44925</v>
      </c>
      <c r="DWP618" s="5" t="s">
        <v>3728</v>
      </c>
      <c r="DWQ618" s="17">
        <v>44925</v>
      </c>
      <c r="DWR618" s="5" t="s">
        <v>3728</v>
      </c>
      <c r="DWS618" s="17">
        <v>44925</v>
      </c>
      <c r="DWT618" s="5" t="s">
        <v>3728</v>
      </c>
      <c r="DWU618" s="17">
        <v>44925</v>
      </c>
      <c r="DWV618" s="5" t="s">
        <v>3728</v>
      </c>
      <c r="DWW618" s="17">
        <v>44925</v>
      </c>
      <c r="DWX618" s="5" t="s">
        <v>3728</v>
      </c>
      <c r="DWY618" s="17">
        <v>44925</v>
      </c>
      <c r="DWZ618" s="5" t="s">
        <v>3728</v>
      </c>
      <c r="DXA618" s="17">
        <v>44925</v>
      </c>
      <c r="DXB618" s="5" t="s">
        <v>3728</v>
      </c>
      <c r="DXC618" s="17">
        <v>44925</v>
      </c>
      <c r="DXD618" s="5" t="s">
        <v>3728</v>
      </c>
      <c r="DXE618" s="17">
        <v>44925</v>
      </c>
      <c r="DXF618" s="5" t="s">
        <v>3728</v>
      </c>
      <c r="DXG618" s="17">
        <v>44925</v>
      </c>
      <c r="DXH618" s="5" t="s">
        <v>3728</v>
      </c>
      <c r="DXI618" s="17">
        <v>44925</v>
      </c>
      <c r="DXJ618" s="5" t="s">
        <v>3728</v>
      </c>
      <c r="DXK618" s="17">
        <v>44925</v>
      </c>
      <c r="DXL618" s="5" t="s">
        <v>3728</v>
      </c>
      <c r="DXM618" s="17">
        <v>44925</v>
      </c>
      <c r="DXN618" s="5" t="s">
        <v>3728</v>
      </c>
      <c r="DXO618" s="17">
        <v>44925</v>
      </c>
      <c r="DXP618" s="5" t="s">
        <v>3728</v>
      </c>
      <c r="DXQ618" s="17">
        <v>44925</v>
      </c>
      <c r="DXR618" s="5" t="s">
        <v>3728</v>
      </c>
      <c r="DXS618" s="17">
        <v>44925</v>
      </c>
      <c r="DXT618" s="5" t="s">
        <v>3728</v>
      </c>
      <c r="DXU618" s="17">
        <v>44925</v>
      </c>
      <c r="DXV618" s="5" t="s">
        <v>3728</v>
      </c>
      <c r="DXW618" s="17">
        <v>44925</v>
      </c>
      <c r="DXX618" s="5" t="s">
        <v>3728</v>
      </c>
      <c r="DXY618" s="17">
        <v>44925</v>
      </c>
      <c r="DXZ618" s="5" t="s">
        <v>3728</v>
      </c>
      <c r="DYA618" s="17">
        <v>44925</v>
      </c>
      <c r="DYB618" s="5" t="s">
        <v>3728</v>
      </c>
      <c r="DYC618" s="17">
        <v>44925</v>
      </c>
      <c r="DYD618" s="5" t="s">
        <v>3728</v>
      </c>
      <c r="DYE618" s="17">
        <v>44925</v>
      </c>
      <c r="DYF618" s="5" t="s">
        <v>3728</v>
      </c>
      <c r="DYG618" s="17">
        <v>44925</v>
      </c>
      <c r="DYH618" s="5" t="s">
        <v>3728</v>
      </c>
      <c r="DYI618" s="17">
        <v>44925</v>
      </c>
      <c r="DYJ618" s="5" t="s">
        <v>3728</v>
      </c>
      <c r="DYK618" s="17">
        <v>44925</v>
      </c>
      <c r="DYL618" s="5" t="s">
        <v>3728</v>
      </c>
      <c r="DYM618" s="17">
        <v>44925</v>
      </c>
      <c r="DYN618" s="5" t="s">
        <v>3728</v>
      </c>
      <c r="DYO618" s="17">
        <v>44925</v>
      </c>
      <c r="DYP618" s="5" t="s">
        <v>3728</v>
      </c>
      <c r="DYQ618" s="17">
        <v>44925</v>
      </c>
      <c r="DYR618" s="5" t="s">
        <v>3728</v>
      </c>
      <c r="DYS618" s="17">
        <v>44925</v>
      </c>
      <c r="DYT618" s="5" t="s">
        <v>3728</v>
      </c>
      <c r="DYU618" s="17">
        <v>44925</v>
      </c>
      <c r="DYV618" s="5" t="s">
        <v>3728</v>
      </c>
      <c r="DYW618" s="17">
        <v>44925</v>
      </c>
      <c r="DYX618" s="5" t="s">
        <v>3728</v>
      </c>
      <c r="DYY618" s="17">
        <v>44925</v>
      </c>
      <c r="DYZ618" s="5" t="s">
        <v>3728</v>
      </c>
      <c r="DZA618" s="17">
        <v>44925</v>
      </c>
      <c r="DZB618" s="5" t="s">
        <v>3728</v>
      </c>
      <c r="DZC618" s="17">
        <v>44925</v>
      </c>
      <c r="DZD618" s="5" t="s">
        <v>3728</v>
      </c>
      <c r="DZE618" s="17">
        <v>44925</v>
      </c>
      <c r="DZF618" s="5" t="s">
        <v>3728</v>
      </c>
      <c r="DZG618" s="17">
        <v>44925</v>
      </c>
      <c r="DZH618" s="5" t="s">
        <v>3728</v>
      </c>
      <c r="DZI618" s="17">
        <v>44925</v>
      </c>
      <c r="DZJ618" s="5" t="s">
        <v>3728</v>
      </c>
      <c r="DZK618" s="17">
        <v>44925</v>
      </c>
      <c r="DZL618" s="5" t="s">
        <v>3728</v>
      </c>
      <c r="DZM618" s="17">
        <v>44925</v>
      </c>
      <c r="DZN618" s="5" t="s">
        <v>3728</v>
      </c>
      <c r="DZO618" s="17">
        <v>44925</v>
      </c>
      <c r="DZP618" s="5" t="s">
        <v>3728</v>
      </c>
      <c r="DZQ618" s="17">
        <v>44925</v>
      </c>
      <c r="DZR618" s="5" t="s">
        <v>3728</v>
      </c>
      <c r="DZS618" s="17">
        <v>44925</v>
      </c>
      <c r="DZT618" s="5" t="s">
        <v>3728</v>
      </c>
      <c r="DZU618" s="17">
        <v>44925</v>
      </c>
      <c r="DZV618" s="5" t="s">
        <v>3728</v>
      </c>
      <c r="DZW618" s="17">
        <v>44925</v>
      </c>
      <c r="DZX618" s="5" t="s">
        <v>3728</v>
      </c>
      <c r="DZY618" s="17">
        <v>44925</v>
      </c>
      <c r="DZZ618" s="5" t="s">
        <v>3728</v>
      </c>
      <c r="EAA618" s="17">
        <v>44925</v>
      </c>
      <c r="EAB618" s="5" t="s">
        <v>3728</v>
      </c>
      <c r="EAC618" s="17">
        <v>44925</v>
      </c>
      <c r="EAD618" s="5" t="s">
        <v>3728</v>
      </c>
      <c r="EAE618" s="17">
        <v>44925</v>
      </c>
      <c r="EAF618" s="5" t="s">
        <v>3728</v>
      </c>
      <c r="EAG618" s="17">
        <v>44925</v>
      </c>
      <c r="EAH618" s="5" t="s">
        <v>3728</v>
      </c>
      <c r="EAI618" s="17">
        <v>44925</v>
      </c>
      <c r="EAJ618" s="5" t="s">
        <v>3728</v>
      </c>
      <c r="EAK618" s="17">
        <v>44925</v>
      </c>
      <c r="EAL618" s="5" t="s">
        <v>3728</v>
      </c>
      <c r="EAM618" s="17">
        <v>44925</v>
      </c>
      <c r="EAN618" s="5" t="s">
        <v>3728</v>
      </c>
      <c r="EAO618" s="17">
        <v>44925</v>
      </c>
      <c r="EAP618" s="5" t="s">
        <v>3728</v>
      </c>
      <c r="EAQ618" s="17">
        <v>44925</v>
      </c>
      <c r="EAR618" s="5" t="s">
        <v>3728</v>
      </c>
      <c r="EAS618" s="17">
        <v>44925</v>
      </c>
      <c r="EAT618" s="5" t="s">
        <v>3728</v>
      </c>
      <c r="EAU618" s="17">
        <v>44925</v>
      </c>
      <c r="EAV618" s="5" t="s">
        <v>3728</v>
      </c>
      <c r="EAW618" s="17">
        <v>44925</v>
      </c>
      <c r="EAX618" s="5" t="s">
        <v>3728</v>
      </c>
      <c r="EAY618" s="17">
        <v>44925</v>
      </c>
      <c r="EAZ618" s="5" t="s">
        <v>3728</v>
      </c>
      <c r="EBA618" s="17">
        <v>44925</v>
      </c>
      <c r="EBB618" s="5" t="s">
        <v>3728</v>
      </c>
      <c r="EBC618" s="17">
        <v>44925</v>
      </c>
      <c r="EBD618" s="5" t="s">
        <v>3728</v>
      </c>
      <c r="EBE618" s="17">
        <v>44925</v>
      </c>
      <c r="EBF618" s="5" t="s">
        <v>3728</v>
      </c>
      <c r="EBG618" s="17">
        <v>44925</v>
      </c>
      <c r="EBH618" s="5" t="s">
        <v>3728</v>
      </c>
      <c r="EBI618" s="17">
        <v>44925</v>
      </c>
      <c r="EBJ618" s="5" t="s">
        <v>3728</v>
      </c>
      <c r="EBK618" s="17">
        <v>44925</v>
      </c>
      <c r="EBL618" s="5" t="s">
        <v>3728</v>
      </c>
      <c r="EBM618" s="17">
        <v>44925</v>
      </c>
      <c r="EBN618" s="5" t="s">
        <v>3728</v>
      </c>
      <c r="EBO618" s="17">
        <v>44925</v>
      </c>
      <c r="EBP618" s="5" t="s">
        <v>3728</v>
      </c>
      <c r="EBQ618" s="17">
        <v>44925</v>
      </c>
      <c r="EBR618" s="5" t="s">
        <v>3728</v>
      </c>
      <c r="EBS618" s="17">
        <v>44925</v>
      </c>
      <c r="EBT618" s="5" t="s">
        <v>3728</v>
      </c>
      <c r="EBU618" s="17">
        <v>44925</v>
      </c>
      <c r="EBV618" s="5" t="s">
        <v>3728</v>
      </c>
      <c r="EBW618" s="17">
        <v>44925</v>
      </c>
      <c r="EBX618" s="5" t="s">
        <v>3728</v>
      </c>
      <c r="EBY618" s="17">
        <v>44925</v>
      </c>
      <c r="EBZ618" s="5" t="s">
        <v>3728</v>
      </c>
      <c r="ECA618" s="17">
        <v>44925</v>
      </c>
      <c r="ECB618" s="5" t="s">
        <v>3728</v>
      </c>
      <c r="ECC618" s="17">
        <v>44925</v>
      </c>
      <c r="ECD618" s="5" t="s">
        <v>3728</v>
      </c>
      <c r="ECE618" s="17">
        <v>44925</v>
      </c>
      <c r="ECF618" s="5" t="s">
        <v>3728</v>
      </c>
      <c r="ECG618" s="17">
        <v>44925</v>
      </c>
      <c r="ECH618" s="5" t="s">
        <v>3728</v>
      </c>
      <c r="ECI618" s="17">
        <v>44925</v>
      </c>
      <c r="ECJ618" s="5" t="s">
        <v>3728</v>
      </c>
      <c r="ECK618" s="17">
        <v>44925</v>
      </c>
      <c r="ECL618" s="5" t="s">
        <v>3728</v>
      </c>
      <c r="ECM618" s="17">
        <v>44925</v>
      </c>
      <c r="ECN618" s="5" t="s">
        <v>3728</v>
      </c>
      <c r="ECO618" s="17">
        <v>44925</v>
      </c>
      <c r="ECP618" s="5" t="s">
        <v>3728</v>
      </c>
      <c r="ECQ618" s="17">
        <v>44925</v>
      </c>
      <c r="ECR618" s="5" t="s">
        <v>3728</v>
      </c>
      <c r="ECS618" s="17">
        <v>44925</v>
      </c>
      <c r="ECT618" s="5" t="s">
        <v>3728</v>
      </c>
      <c r="ECU618" s="17">
        <v>44925</v>
      </c>
      <c r="ECV618" s="5" t="s">
        <v>3728</v>
      </c>
      <c r="ECW618" s="17">
        <v>44925</v>
      </c>
      <c r="ECX618" s="5" t="s">
        <v>3728</v>
      </c>
      <c r="ECY618" s="17">
        <v>44925</v>
      </c>
      <c r="ECZ618" s="5" t="s">
        <v>3728</v>
      </c>
      <c r="EDA618" s="17">
        <v>44925</v>
      </c>
      <c r="EDB618" s="5" t="s">
        <v>3728</v>
      </c>
      <c r="EDC618" s="17">
        <v>44925</v>
      </c>
      <c r="EDD618" s="5" t="s">
        <v>3728</v>
      </c>
      <c r="EDE618" s="17">
        <v>44925</v>
      </c>
      <c r="EDF618" s="5" t="s">
        <v>3728</v>
      </c>
      <c r="EDG618" s="17">
        <v>44925</v>
      </c>
      <c r="EDH618" s="5" t="s">
        <v>3728</v>
      </c>
      <c r="EDI618" s="17">
        <v>44925</v>
      </c>
      <c r="EDJ618" s="5" t="s">
        <v>3728</v>
      </c>
      <c r="EDK618" s="17">
        <v>44925</v>
      </c>
      <c r="EDL618" s="5" t="s">
        <v>3728</v>
      </c>
      <c r="EDM618" s="17">
        <v>44925</v>
      </c>
      <c r="EDN618" s="5" t="s">
        <v>3728</v>
      </c>
      <c r="EDO618" s="17">
        <v>44925</v>
      </c>
      <c r="EDP618" s="5" t="s">
        <v>3728</v>
      </c>
      <c r="EDQ618" s="17">
        <v>44925</v>
      </c>
      <c r="EDR618" s="5" t="s">
        <v>3728</v>
      </c>
      <c r="EDS618" s="17">
        <v>44925</v>
      </c>
      <c r="EDT618" s="5" t="s">
        <v>3728</v>
      </c>
      <c r="EDU618" s="17">
        <v>44925</v>
      </c>
      <c r="EDV618" s="5" t="s">
        <v>3728</v>
      </c>
      <c r="EDW618" s="17">
        <v>44925</v>
      </c>
      <c r="EDX618" s="5" t="s">
        <v>3728</v>
      </c>
      <c r="EDY618" s="17">
        <v>44925</v>
      </c>
      <c r="EDZ618" s="5" t="s">
        <v>3728</v>
      </c>
      <c r="EEA618" s="17">
        <v>44925</v>
      </c>
      <c r="EEB618" s="5" t="s">
        <v>3728</v>
      </c>
      <c r="EEC618" s="17">
        <v>44925</v>
      </c>
      <c r="EED618" s="5" t="s">
        <v>3728</v>
      </c>
      <c r="EEE618" s="17">
        <v>44925</v>
      </c>
      <c r="EEF618" s="5" t="s">
        <v>3728</v>
      </c>
      <c r="EEG618" s="17">
        <v>44925</v>
      </c>
      <c r="EEH618" s="5" t="s">
        <v>3728</v>
      </c>
      <c r="EEI618" s="17">
        <v>44925</v>
      </c>
      <c r="EEJ618" s="5" t="s">
        <v>3728</v>
      </c>
      <c r="EEK618" s="17">
        <v>44925</v>
      </c>
      <c r="EEL618" s="5" t="s">
        <v>3728</v>
      </c>
      <c r="EEM618" s="17">
        <v>44925</v>
      </c>
      <c r="EEN618" s="5" t="s">
        <v>3728</v>
      </c>
      <c r="EEO618" s="17">
        <v>44925</v>
      </c>
      <c r="EEP618" s="5" t="s">
        <v>3728</v>
      </c>
      <c r="EEQ618" s="17">
        <v>44925</v>
      </c>
      <c r="EER618" s="5" t="s">
        <v>3728</v>
      </c>
      <c r="EES618" s="17">
        <v>44925</v>
      </c>
      <c r="EET618" s="5" t="s">
        <v>3728</v>
      </c>
      <c r="EEU618" s="17">
        <v>44925</v>
      </c>
      <c r="EEV618" s="5" t="s">
        <v>3728</v>
      </c>
      <c r="EEW618" s="17">
        <v>44925</v>
      </c>
      <c r="EEX618" s="5" t="s">
        <v>3728</v>
      </c>
      <c r="EEY618" s="17">
        <v>44925</v>
      </c>
      <c r="EEZ618" s="5" t="s">
        <v>3728</v>
      </c>
      <c r="EFA618" s="17">
        <v>44925</v>
      </c>
      <c r="EFB618" s="5" t="s">
        <v>3728</v>
      </c>
      <c r="EFC618" s="17">
        <v>44925</v>
      </c>
      <c r="EFD618" s="5" t="s">
        <v>3728</v>
      </c>
      <c r="EFE618" s="17">
        <v>44925</v>
      </c>
      <c r="EFF618" s="5" t="s">
        <v>3728</v>
      </c>
      <c r="EFG618" s="17">
        <v>44925</v>
      </c>
      <c r="EFH618" s="5" t="s">
        <v>3728</v>
      </c>
      <c r="EFI618" s="17">
        <v>44925</v>
      </c>
      <c r="EFJ618" s="5" t="s">
        <v>3728</v>
      </c>
      <c r="EFK618" s="17">
        <v>44925</v>
      </c>
      <c r="EFL618" s="5" t="s">
        <v>3728</v>
      </c>
      <c r="EFM618" s="17">
        <v>44925</v>
      </c>
      <c r="EFN618" s="5" t="s">
        <v>3728</v>
      </c>
      <c r="EFO618" s="17">
        <v>44925</v>
      </c>
      <c r="EFP618" s="5" t="s">
        <v>3728</v>
      </c>
      <c r="EFQ618" s="17">
        <v>44925</v>
      </c>
      <c r="EFR618" s="5" t="s">
        <v>3728</v>
      </c>
      <c r="EFS618" s="17">
        <v>44925</v>
      </c>
      <c r="EFT618" s="5" t="s">
        <v>3728</v>
      </c>
      <c r="EFU618" s="17">
        <v>44925</v>
      </c>
      <c r="EFV618" s="5" t="s">
        <v>3728</v>
      </c>
      <c r="EFW618" s="17">
        <v>44925</v>
      </c>
      <c r="EFX618" s="5" t="s">
        <v>3728</v>
      </c>
      <c r="EFY618" s="17">
        <v>44925</v>
      </c>
      <c r="EFZ618" s="5" t="s">
        <v>3728</v>
      </c>
      <c r="EGA618" s="17">
        <v>44925</v>
      </c>
      <c r="EGB618" s="5" t="s">
        <v>3728</v>
      </c>
      <c r="EGC618" s="17">
        <v>44925</v>
      </c>
      <c r="EGD618" s="5" t="s">
        <v>3728</v>
      </c>
      <c r="EGE618" s="17">
        <v>44925</v>
      </c>
      <c r="EGF618" s="5" t="s">
        <v>3728</v>
      </c>
      <c r="EGG618" s="17">
        <v>44925</v>
      </c>
      <c r="EGH618" s="5" t="s">
        <v>3728</v>
      </c>
      <c r="EGI618" s="17">
        <v>44925</v>
      </c>
      <c r="EGJ618" s="5" t="s">
        <v>3728</v>
      </c>
      <c r="EGK618" s="17">
        <v>44925</v>
      </c>
      <c r="EGL618" s="5" t="s">
        <v>3728</v>
      </c>
      <c r="EGM618" s="17">
        <v>44925</v>
      </c>
      <c r="EGN618" s="5" t="s">
        <v>3728</v>
      </c>
      <c r="EGO618" s="17">
        <v>44925</v>
      </c>
      <c r="EGP618" s="5" t="s">
        <v>3728</v>
      </c>
      <c r="EGQ618" s="17">
        <v>44925</v>
      </c>
      <c r="EGR618" s="5" t="s">
        <v>3728</v>
      </c>
      <c r="EGS618" s="17">
        <v>44925</v>
      </c>
      <c r="EGT618" s="5" t="s">
        <v>3728</v>
      </c>
      <c r="EGU618" s="17">
        <v>44925</v>
      </c>
      <c r="EGV618" s="5" t="s">
        <v>3728</v>
      </c>
      <c r="EGW618" s="17">
        <v>44925</v>
      </c>
      <c r="EGX618" s="5" t="s">
        <v>3728</v>
      </c>
      <c r="EGY618" s="17">
        <v>44925</v>
      </c>
      <c r="EGZ618" s="5" t="s">
        <v>3728</v>
      </c>
      <c r="EHA618" s="17">
        <v>44925</v>
      </c>
      <c r="EHB618" s="5" t="s">
        <v>3728</v>
      </c>
      <c r="EHC618" s="17">
        <v>44925</v>
      </c>
      <c r="EHD618" s="5" t="s">
        <v>3728</v>
      </c>
      <c r="EHE618" s="17">
        <v>44925</v>
      </c>
      <c r="EHF618" s="5" t="s">
        <v>3728</v>
      </c>
      <c r="EHG618" s="17">
        <v>44925</v>
      </c>
      <c r="EHH618" s="5" t="s">
        <v>3728</v>
      </c>
      <c r="EHI618" s="17">
        <v>44925</v>
      </c>
      <c r="EHJ618" s="5" t="s">
        <v>3728</v>
      </c>
      <c r="EHK618" s="17">
        <v>44925</v>
      </c>
      <c r="EHL618" s="5" t="s">
        <v>3728</v>
      </c>
      <c r="EHM618" s="17">
        <v>44925</v>
      </c>
      <c r="EHN618" s="5" t="s">
        <v>3728</v>
      </c>
      <c r="EHO618" s="17">
        <v>44925</v>
      </c>
      <c r="EHP618" s="5" t="s">
        <v>3728</v>
      </c>
      <c r="EHQ618" s="17">
        <v>44925</v>
      </c>
      <c r="EHR618" s="5" t="s">
        <v>3728</v>
      </c>
      <c r="EHS618" s="17">
        <v>44925</v>
      </c>
      <c r="EHT618" s="5" t="s">
        <v>3728</v>
      </c>
      <c r="EHU618" s="17">
        <v>44925</v>
      </c>
      <c r="EHV618" s="5" t="s">
        <v>3728</v>
      </c>
      <c r="EHW618" s="17">
        <v>44925</v>
      </c>
      <c r="EHX618" s="5" t="s">
        <v>3728</v>
      </c>
      <c r="EHY618" s="17">
        <v>44925</v>
      </c>
      <c r="EHZ618" s="5" t="s">
        <v>3728</v>
      </c>
      <c r="EIA618" s="17">
        <v>44925</v>
      </c>
      <c r="EIB618" s="5" t="s">
        <v>3728</v>
      </c>
      <c r="EIC618" s="17">
        <v>44925</v>
      </c>
      <c r="EID618" s="5" t="s">
        <v>3728</v>
      </c>
      <c r="EIE618" s="17">
        <v>44925</v>
      </c>
      <c r="EIF618" s="5" t="s">
        <v>3728</v>
      </c>
      <c r="EIG618" s="17">
        <v>44925</v>
      </c>
      <c r="EIH618" s="5" t="s">
        <v>3728</v>
      </c>
      <c r="EII618" s="17">
        <v>44925</v>
      </c>
      <c r="EIJ618" s="5" t="s">
        <v>3728</v>
      </c>
      <c r="EIK618" s="17">
        <v>44925</v>
      </c>
      <c r="EIL618" s="5" t="s">
        <v>3728</v>
      </c>
      <c r="EIM618" s="17">
        <v>44925</v>
      </c>
      <c r="EIN618" s="5" t="s">
        <v>3728</v>
      </c>
      <c r="EIO618" s="17">
        <v>44925</v>
      </c>
      <c r="EIP618" s="5" t="s">
        <v>3728</v>
      </c>
      <c r="EIQ618" s="17">
        <v>44925</v>
      </c>
      <c r="EIR618" s="5" t="s">
        <v>3728</v>
      </c>
      <c r="EIS618" s="17">
        <v>44925</v>
      </c>
      <c r="EIT618" s="5" t="s">
        <v>3728</v>
      </c>
      <c r="EIU618" s="17">
        <v>44925</v>
      </c>
      <c r="EIV618" s="5" t="s">
        <v>3728</v>
      </c>
      <c r="EIW618" s="17">
        <v>44925</v>
      </c>
      <c r="EIX618" s="5" t="s">
        <v>3728</v>
      </c>
      <c r="EIY618" s="17">
        <v>44925</v>
      </c>
      <c r="EIZ618" s="5" t="s">
        <v>3728</v>
      </c>
      <c r="EJA618" s="17">
        <v>44925</v>
      </c>
      <c r="EJB618" s="5" t="s">
        <v>3728</v>
      </c>
      <c r="EJC618" s="17">
        <v>44925</v>
      </c>
      <c r="EJD618" s="5" t="s">
        <v>3728</v>
      </c>
      <c r="EJE618" s="17">
        <v>44925</v>
      </c>
      <c r="EJF618" s="5" t="s">
        <v>3728</v>
      </c>
      <c r="EJG618" s="17">
        <v>44925</v>
      </c>
      <c r="EJH618" s="5" t="s">
        <v>3728</v>
      </c>
      <c r="EJI618" s="17">
        <v>44925</v>
      </c>
      <c r="EJJ618" s="5" t="s">
        <v>3728</v>
      </c>
      <c r="EJK618" s="17">
        <v>44925</v>
      </c>
      <c r="EJL618" s="5" t="s">
        <v>3728</v>
      </c>
      <c r="EJM618" s="17">
        <v>44925</v>
      </c>
      <c r="EJN618" s="5" t="s">
        <v>3728</v>
      </c>
      <c r="EJO618" s="17">
        <v>44925</v>
      </c>
      <c r="EJP618" s="5" t="s">
        <v>3728</v>
      </c>
      <c r="EJQ618" s="17">
        <v>44925</v>
      </c>
      <c r="EJR618" s="5" t="s">
        <v>3728</v>
      </c>
      <c r="EJS618" s="17">
        <v>44925</v>
      </c>
      <c r="EJT618" s="5" t="s">
        <v>3728</v>
      </c>
      <c r="EJU618" s="17">
        <v>44925</v>
      </c>
      <c r="EJV618" s="5" t="s">
        <v>3728</v>
      </c>
      <c r="EJW618" s="17">
        <v>44925</v>
      </c>
      <c r="EJX618" s="5" t="s">
        <v>3728</v>
      </c>
      <c r="EJY618" s="17">
        <v>44925</v>
      </c>
      <c r="EJZ618" s="5" t="s">
        <v>3728</v>
      </c>
      <c r="EKA618" s="17">
        <v>44925</v>
      </c>
      <c r="EKB618" s="5" t="s">
        <v>3728</v>
      </c>
      <c r="EKC618" s="17">
        <v>44925</v>
      </c>
      <c r="EKD618" s="5" t="s">
        <v>3728</v>
      </c>
      <c r="EKE618" s="17">
        <v>44925</v>
      </c>
      <c r="EKF618" s="5" t="s">
        <v>3728</v>
      </c>
      <c r="EKG618" s="17">
        <v>44925</v>
      </c>
      <c r="EKH618" s="5" t="s">
        <v>3728</v>
      </c>
      <c r="EKI618" s="17">
        <v>44925</v>
      </c>
      <c r="EKJ618" s="5" t="s">
        <v>3728</v>
      </c>
      <c r="EKK618" s="17">
        <v>44925</v>
      </c>
      <c r="EKL618" s="5" t="s">
        <v>3728</v>
      </c>
      <c r="EKM618" s="17">
        <v>44925</v>
      </c>
      <c r="EKN618" s="5" t="s">
        <v>3728</v>
      </c>
      <c r="EKO618" s="17">
        <v>44925</v>
      </c>
      <c r="EKP618" s="5" t="s">
        <v>3728</v>
      </c>
      <c r="EKQ618" s="17">
        <v>44925</v>
      </c>
      <c r="EKR618" s="5" t="s">
        <v>3728</v>
      </c>
      <c r="EKS618" s="17">
        <v>44925</v>
      </c>
      <c r="EKT618" s="5" t="s">
        <v>3728</v>
      </c>
      <c r="EKU618" s="17">
        <v>44925</v>
      </c>
      <c r="EKV618" s="5" t="s">
        <v>3728</v>
      </c>
      <c r="EKW618" s="17">
        <v>44925</v>
      </c>
      <c r="EKX618" s="5" t="s">
        <v>3728</v>
      </c>
      <c r="EKY618" s="17">
        <v>44925</v>
      </c>
      <c r="EKZ618" s="5" t="s">
        <v>3728</v>
      </c>
      <c r="ELA618" s="17">
        <v>44925</v>
      </c>
      <c r="ELB618" s="5" t="s">
        <v>3728</v>
      </c>
      <c r="ELC618" s="17">
        <v>44925</v>
      </c>
      <c r="ELD618" s="5" t="s">
        <v>3728</v>
      </c>
      <c r="ELE618" s="17">
        <v>44925</v>
      </c>
      <c r="ELF618" s="5" t="s">
        <v>3728</v>
      </c>
      <c r="ELG618" s="17">
        <v>44925</v>
      </c>
      <c r="ELH618" s="5" t="s">
        <v>3728</v>
      </c>
      <c r="ELI618" s="17">
        <v>44925</v>
      </c>
      <c r="ELJ618" s="5" t="s">
        <v>3728</v>
      </c>
      <c r="ELK618" s="17">
        <v>44925</v>
      </c>
      <c r="ELL618" s="5" t="s">
        <v>3728</v>
      </c>
      <c r="ELM618" s="17">
        <v>44925</v>
      </c>
      <c r="ELN618" s="5" t="s">
        <v>3728</v>
      </c>
      <c r="ELO618" s="17">
        <v>44925</v>
      </c>
      <c r="ELP618" s="5" t="s">
        <v>3728</v>
      </c>
      <c r="ELQ618" s="17">
        <v>44925</v>
      </c>
      <c r="ELR618" s="5" t="s">
        <v>3728</v>
      </c>
      <c r="ELS618" s="17">
        <v>44925</v>
      </c>
      <c r="ELT618" s="5" t="s">
        <v>3728</v>
      </c>
      <c r="ELU618" s="17">
        <v>44925</v>
      </c>
      <c r="ELV618" s="5" t="s">
        <v>3728</v>
      </c>
      <c r="ELW618" s="17">
        <v>44925</v>
      </c>
      <c r="ELX618" s="5" t="s">
        <v>3728</v>
      </c>
      <c r="ELY618" s="17">
        <v>44925</v>
      </c>
      <c r="ELZ618" s="5" t="s">
        <v>3728</v>
      </c>
      <c r="EMA618" s="17">
        <v>44925</v>
      </c>
      <c r="EMB618" s="5" t="s">
        <v>3728</v>
      </c>
      <c r="EMC618" s="17">
        <v>44925</v>
      </c>
      <c r="EMD618" s="5" t="s">
        <v>3728</v>
      </c>
      <c r="EME618" s="17">
        <v>44925</v>
      </c>
      <c r="EMF618" s="5" t="s">
        <v>3728</v>
      </c>
      <c r="EMG618" s="17">
        <v>44925</v>
      </c>
      <c r="EMH618" s="5" t="s">
        <v>3728</v>
      </c>
      <c r="EMI618" s="17">
        <v>44925</v>
      </c>
      <c r="EMJ618" s="5" t="s">
        <v>3728</v>
      </c>
      <c r="EMK618" s="17">
        <v>44925</v>
      </c>
      <c r="EML618" s="5" t="s">
        <v>3728</v>
      </c>
      <c r="EMM618" s="17">
        <v>44925</v>
      </c>
      <c r="EMN618" s="5" t="s">
        <v>3728</v>
      </c>
      <c r="EMO618" s="17">
        <v>44925</v>
      </c>
      <c r="EMP618" s="5" t="s">
        <v>3728</v>
      </c>
      <c r="EMQ618" s="17">
        <v>44925</v>
      </c>
      <c r="EMR618" s="5" t="s">
        <v>3728</v>
      </c>
      <c r="EMS618" s="17">
        <v>44925</v>
      </c>
      <c r="EMT618" s="5" t="s">
        <v>3728</v>
      </c>
      <c r="EMU618" s="17">
        <v>44925</v>
      </c>
      <c r="EMV618" s="5" t="s">
        <v>3728</v>
      </c>
      <c r="EMW618" s="17">
        <v>44925</v>
      </c>
      <c r="EMX618" s="5" t="s">
        <v>3728</v>
      </c>
      <c r="EMY618" s="17">
        <v>44925</v>
      </c>
      <c r="EMZ618" s="5" t="s">
        <v>3728</v>
      </c>
      <c r="ENA618" s="17">
        <v>44925</v>
      </c>
      <c r="ENB618" s="5" t="s">
        <v>3728</v>
      </c>
      <c r="ENC618" s="17">
        <v>44925</v>
      </c>
      <c r="END618" s="5" t="s">
        <v>3728</v>
      </c>
      <c r="ENE618" s="17">
        <v>44925</v>
      </c>
      <c r="ENF618" s="5" t="s">
        <v>3728</v>
      </c>
      <c r="ENG618" s="17">
        <v>44925</v>
      </c>
      <c r="ENH618" s="5" t="s">
        <v>3728</v>
      </c>
      <c r="ENI618" s="17">
        <v>44925</v>
      </c>
      <c r="ENJ618" s="5" t="s">
        <v>3728</v>
      </c>
      <c r="ENK618" s="17">
        <v>44925</v>
      </c>
      <c r="ENL618" s="5" t="s">
        <v>3728</v>
      </c>
      <c r="ENM618" s="17">
        <v>44925</v>
      </c>
      <c r="ENN618" s="5" t="s">
        <v>3728</v>
      </c>
      <c r="ENO618" s="17">
        <v>44925</v>
      </c>
      <c r="ENP618" s="5" t="s">
        <v>3728</v>
      </c>
      <c r="ENQ618" s="17">
        <v>44925</v>
      </c>
      <c r="ENR618" s="5" t="s">
        <v>3728</v>
      </c>
      <c r="ENS618" s="17">
        <v>44925</v>
      </c>
      <c r="ENT618" s="5" t="s">
        <v>3728</v>
      </c>
      <c r="ENU618" s="17">
        <v>44925</v>
      </c>
      <c r="ENV618" s="5" t="s">
        <v>3728</v>
      </c>
      <c r="ENW618" s="17">
        <v>44925</v>
      </c>
      <c r="ENX618" s="5" t="s">
        <v>3728</v>
      </c>
      <c r="ENY618" s="17">
        <v>44925</v>
      </c>
      <c r="ENZ618" s="5" t="s">
        <v>3728</v>
      </c>
      <c r="EOA618" s="17">
        <v>44925</v>
      </c>
      <c r="EOB618" s="5" t="s">
        <v>3728</v>
      </c>
      <c r="EOC618" s="17">
        <v>44925</v>
      </c>
      <c r="EOD618" s="5" t="s">
        <v>3728</v>
      </c>
      <c r="EOE618" s="17">
        <v>44925</v>
      </c>
      <c r="EOF618" s="5" t="s">
        <v>3728</v>
      </c>
      <c r="EOG618" s="17">
        <v>44925</v>
      </c>
      <c r="EOH618" s="5" t="s">
        <v>3728</v>
      </c>
      <c r="EOI618" s="17">
        <v>44925</v>
      </c>
      <c r="EOJ618" s="5" t="s">
        <v>3728</v>
      </c>
      <c r="EOK618" s="17">
        <v>44925</v>
      </c>
      <c r="EOL618" s="5" t="s">
        <v>3728</v>
      </c>
      <c r="EOM618" s="17">
        <v>44925</v>
      </c>
      <c r="EON618" s="5" t="s">
        <v>3728</v>
      </c>
      <c r="EOO618" s="17">
        <v>44925</v>
      </c>
      <c r="EOP618" s="5" t="s">
        <v>3728</v>
      </c>
      <c r="EOQ618" s="17">
        <v>44925</v>
      </c>
      <c r="EOR618" s="5" t="s">
        <v>3728</v>
      </c>
      <c r="EOS618" s="17">
        <v>44925</v>
      </c>
      <c r="EOT618" s="5" t="s">
        <v>3728</v>
      </c>
      <c r="EOU618" s="17">
        <v>44925</v>
      </c>
      <c r="EOV618" s="5" t="s">
        <v>3728</v>
      </c>
      <c r="EOW618" s="17">
        <v>44925</v>
      </c>
      <c r="EOX618" s="5" t="s">
        <v>3728</v>
      </c>
      <c r="EOY618" s="17">
        <v>44925</v>
      </c>
      <c r="EOZ618" s="5" t="s">
        <v>3728</v>
      </c>
      <c r="EPA618" s="17">
        <v>44925</v>
      </c>
      <c r="EPB618" s="5" t="s">
        <v>3728</v>
      </c>
      <c r="EPC618" s="17">
        <v>44925</v>
      </c>
      <c r="EPD618" s="5" t="s">
        <v>3728</v>
      </c>
      <c r="EPE618" s="17">
        <v>44925</v>
      </c>
      <c r="EPF618" s="5" t="s">
        <v>3728</v>
      </c>
      <c r="EPG618" s="17">
        <v>44925</v>
      </c>
      <c r="EPH618" s="5" t="s">
        <v>3728</v>
      </c>
      <c r="EPI618" s="17">
        <v>44925</v>
      </c>
      <c r="EPJ618" s="5" t="s">
        <v>3728</v>
      </c>
      <c r="EPK618" s="17">
        <v>44925</v>
      </c>
      <c r="EPL618" s="5" t="s">
        <v>3728</v>
      </c>
      <c r="EPM618" s="17">
        <v>44925</v>
      </c>
      <c r="EPN618" s="5" t="s">
        <v>3728</v>
      </c>
      <c r="EPO618" s="17">
        <v>44925</v>
      </c>
      <c r="EPP618" s="5" t="s">
        <v>3728</v>
      </c>
      <c r="EPQ618" s="17">
        <v>44925</v>
      </c>
      <c r="EPR618" s="5" t="s">
        <v>3728</v>
      </c>
      <c r="EPS618" s="17">
        <v>44925</v>
      </c>
      <c r="EPT618" s="5" t="s">
        <v>3728</v>
      </c>
      <c r="EPU618" s="17">
        <v>44925</v>
      </c>
      <c r="EPV618" s="5" t="s">
        <v>3728</v>
      </c>
      <c r="EPW618" s="17">
        <v>44925</v>
      </c>
      <c r="EPX618" s="5" t="s">
        <v>3728</v>
      </c>
      <c r="EPY618" s="17">
        <v>44925</v>
      </c>
      <c r="EPZ618" s="5" t="s">
        <v>3728</v>
      </c>
      <c r="EQA618" s="17">
        <v>44925</v>
      </c>
      <c r="EQB618" s="5" t="s">
        <v>3728</v>
      </c>
      <c r="EQC618" s="17">
        <v>44925</v>
      </c>
      <c r="EQD618" s="5" t="s">
        <v>3728</v>
      </c>
      <c r="EQE618" s="17">
        <v>44925</v>
      </c>
      <c r="EQF618" s="5" t="s">
        <v>3728</v>
      </c>
      <c r="EQG618" s="17">
        <v>44925</v>
      </c>
      <c r="EQH618" s="5" t="s">
        <v>3728</v>
      </c>
      <c r="EQI618" s="17">
        <v>44925</v>
      </c>
      <c r="EQJ618" s="5" t="s">
        <v>3728</v>
      </c>
      <c r="EQK618" s="17">
        <v>44925</v>
      </c>
      <c r="EQL618" s="5" t="s">
        <v>3728</v>
      </c>
      <c r="EQM618" s="17">
        <v>44925</v>
      </c>
      <c r="EQN618" s="5" t="s">
        <v>3728</v>
      </c>
      <c r="EQO618" s="17">
        <v>44925</v>
      </c>
      <c r="EQP618" s="5" t="s">
        <v>3728</v>
      </c>
      <c r="EQQ618" s="17">
        <v>44925</v>
      </c>
      <c r="EQR618" s="5" t="s">
        <v>3728</v>
      </c>
      <c r="EQS618" s="17">
        <v>44925</v>
      </c>
      <c r="EQT618" s="5" t="s">
        <v>3728</v>
      </c>
      <c r="EQU618" s="17">
        <v>44925</v>
      </c>
      <c r="EQV618" s="5" t="s">
        <v>3728</v>
      </c>
      <c r="EQW618" s="17">
        <v>44925</v>
      </c>
      <c r="EQX618" s="5" t="s">
        <v>3728</v>
      </c>
      <c r="EQY618" s="17">
        <v>44925</v>
      </c>
      <c r="EQZ618" s="5" t="s">
        <v>3728</v>
      </c>
      <c r="ERA618" s="17">
        <v>44925</v>
      </c>
      <c r="ERB618" s="5" t="s">
        <v>3728</v>
      </c>
      <c r="ERC618" s="17">
        <v>44925</v>
      </c>
      <c r="ERD618" s="5" t="s">
        <v>3728</v>
      </c>
      <c r="ERE618" s="17">
        <v>44925</v>
      </c>
      <c r="ERF618" s="5" t="s">
        <v>3728</v>
      </c>
      <c r="ERG618" s="17">
        <v>44925</v>
      </c>
      <c r="ERH618" s="5" t="s">
        <v>3728</v>
      </c>
      <c r="ERI618" s="17">
        <v>44925</v>
      </c>
      <c r="ERJ618" s="5" t="s">
        <v>3728</v>
      </c>
      <c r="ERK618" s="17">
        <v>44925</v>
      </c>
      <c r="ERL618" s="5" t="s">
        <v>3728</v>
      </c>
      <c r="ERM618" s="17">
        <v>44925</v>
      </c>
      <c r="ERN618" s="5" t="s">
        <v>3728</v>
      </c>
      <c r="ERO618" s="17">
        <v>44925</v>
      </c>
      <c r="ERP618" s="5" t="s">
        <v>3728</v>
      </c>
      <c r="ERQ618" s="17">
        <v>44925</v>
      </c>
      <c r="ERR618" s="5" t="s">
        <v>3728</v>
      </c>
      <c r="ERS618" s="17">
        <v>44925</v>
      </c>
      <c r="ERT618" s="5" t="s">
        <v>3728</v>
      </c>
      <c r="ERU618" s="17">
        <v>44925</v>
      </c>
      <c r="ERV618" s="5" t="s">
        <v>3728</v>
      </c>
      <c r="ERW618" s="17">
        <v>44925</v>
      </c>
      <c r="ERX618" s="5" t="s">
        <v>3728</v>
      </c>
      <c r="ERY618" s="17">
        <v>44925</v>
      </c>
      <c r="ERZ618" s="5" t="s">
        <v>3728</v>
      </c>
      <c r="ESA618" s="17">
        <v>44925</v>
      </c>
      <c r="ESB618" s="5" t="s">
        <v>3728</v>
      </c>
      <c r="ESC618" s="17">
        <v>44925</v>
      </c>
      <c r="ESD618" s="5" t="s">
        <v>3728</v>
      </c>
      <c r="ESE618" s="17">
        <v>44925</v>
      </c>
      <c r="ESF618" s="5" t="s">
        <v>3728</v>
      </c>
      <c r="ESG618" s="17">
        <v>44925</v>
      </c>
      <c r="ESH618" s="5" t="s">
        <v>3728</v>
      </c>
      <c r="ESI618" s="17">
        <v>44925</v>
      </c>
      <c r="ESJ618" s="5" t="s">
        <v>3728</v>
      </c>
      <c r="ESK618" s="17">
        <v>44925</v>
      </c>
      <c r="ESL618" s="5" t="s">
        <v>3728</v>
      </c>
      <c r="ESM618" s="17">
        <v>44925</v>
      </c>
      <c r="ESN618" s="5" t="s">
        <v>3728</v>
      </c>
      <c r="ESO618" s="17">
        <v>44925</v>
      </c>
      <c r="ESP618" s="5" t="s">
        <v>3728</v>
      </c>
      <c r="ESQ618" s="17">
        <v>44925</v>
      </c>
      <c r="ESR618" s="5" t="s">
        <v>3728</v>
      </c>
      <c r="ESS618" s="17">
        <v>44925</v>
      </c>
      <c r="EST618" s="5" t="s">
        <v>3728</v>
      </c>
      <c r="ESU618" s="17">
        <v>44925</v>
      </c>
      <c r="ESV618" s="5" t="s">
        <v>3728</v>
      </c>
      <c r="ESW618" s="17">
        <v>44925</v>
      </c>
      <c r="ESX618" s="5" t="s">
        <v>3728</v>
      </c>
      <c r="ESY618" s="17">
        <v>44925</v>
      </c>
      <c r="ESZ618" s="5" t="s">
        <v>3728</v>
      </c>
      <c r="ETA618" s="17">
        <v>44925</v>
      </c>
      <c r="ETB618" s="5" t="s">
        <v>3728</v>
      </c>
      <c r="ETC618" s="17">
        <v>44925</v>
      </c>
      <c r="ETD618" s="5" t="s">
        <v>3728</v>
      </c>
      <c r="ETE618" s="17">
        <v>44925</v>
      </c>
      <c r="ETF618" s="5" t="s">
        <v>3728</v>
      </c>
      <c r="ETG618" s="17">
        <v>44925</v>
      </c>
      <c r="ETH618" s="5" t="s">
        <v>3728</v>
      </c>
      <c r="ETI618" s="17">
        <v>44925</v>
      </c>
      <c r="ETJ618" s="5" t="s">
        <v>3728</v>
      </c>
      <c r="ETK618" s="17">
        <v>44925</v>
      </c>
      <c r="ETL618" s="5" t="s">
        <v>3728</v>
      </c>
      <c r="ETM618" s="17">
        <v>44925</v>
      </c>
      <c r="ETN618" s="5" t="s">
        <v>3728</v>
      </c>
      <c r="ETO618" s="17">
        <v>44925</v>
      </c>
      <c r="ETP618" s="5" t="s">
        <v>3728</v>
      </c>
      <c r="ETQ618" s="17">
        <v>44925</v>
      </c>
      <c r="ETR618" s="5" t="s">
        <v>3728</v>
      </c>
      <c r="ETS618" s="17">
        <v>44925</v>
      </c>
      <c r="ETT618" s="5" t="s">
        <v>3728</v>
      </c>
      <c r="ETU618" s="17">
        <v>44925</v>
      </c>
      <c r="ETV618" s="5" t="s">
        <v>3728</v>
      </c>
      <c r="ETW618" s="17">
        <v>44925</v>
      </c>
      <c r="ETX618" s="5" t="s">
        <v>3728</v>
      </c>
      <c r="ETY618" s="17">
        <v>44925</v>
      </c>
      <c r="ETZ618" s="5" t="s">
        <v>3728</v>
      </c>
      <c r="EUA618" s="17">
        <v>44925</v>
      </c>
      <c r="EUB618" s="5" t="s">
        <v>3728</v>
      </c>
      <c r="EUC618" s="17">
        <v>44925</v>
      </c>
      <c r="EUD618" s="5" t="s">
        <v>3728</v>
      </c>
      <c r="EUE618" s="17">
        <v>44925</v>
      </c>
      <c r="EUF618" s="5" t="s">
        <v>3728</v>
      </c>
      <c r="EUG618" s="17">
        <v>44925</v>
      </c>
      <c r="EUH618" s="5" t="s">
        <v>3728</v>
      </c>
      <c r="EUI618" s="17">
        <v>44925</v>
      </c>
      <c r="EUJ618" s="5" t="s">
        <v>3728</v>
      </c>
      <c r="EUK618" s="17">
        <v>44925</v>
      </c>
      <c r="EUL618" s="5" t="s">
        <v>3728</v>
      </c>
      <c r="EUM618" s="17">
        <v>44925</v>
      </c>
      <c r="EUN618" s="5" t="s">
        <v>3728</v>
      </c>
      <c r="EUO618" s="17">
        <v>44925</v>
      </c>
      <c r="EUP618" s="5" t="s">
        <v>3728</v>
      </c>
      <c r="EUQ618" s="17">
        <v>44925</v>
      </c>
      <c r="EUR618" s="5" t="s">
        <v>3728</v>
      </c>
      <c r="EUS618" s="17">
        <v>44925</v>
      </c>
      <c r="EUT618" s="5" t="s">
        <v>3728</v>
      </c>
      <c r="EUU618" s="17">
        <v>44925</v>
      </c>
      <c r="EUV618" s="5" t="s">
        <v>3728</v>
      </c>
      <c r="EUW618" s="17">
        <v>44925</v>
      </c>
      <c r="EUX618" s="5" t="s">
        <v>3728</v>
      </c>
      <c r="EUY618" s="17">
        <v>44925</v>
      </c>
      <c r="EUZ618" s="5" t="s">
        <v>3728</v>
      </c>
      <c r="EVA618" s="17">
        <v>44925</v>
      </c>
      <c r="EVB618" s="5" t="s">
        <v>3728</v>
      </c>
      <c r="EVC618" s="17">
        <v>44925</v>
      </c>
      <c r="EVD618" s="5" t="s">
        <v>3728</v>
      </c>
      <c r="EVE618" s="17">
        <v>44925</v>
      </c>
      <c r="EVF618" s="5" t="s">
        <v>3728</v>
      </c>
      <c r="EVG618" s="17">
        <v>44925</v>
      </c>
      <c r="EVH618" s="5" t="s">
        <v>3728</v>
      </c>
      <c r="EVI618" s="17">
        <v>44925</v>
      </c>
      <c r="EVJ618" s="5" t="s">
        <v>3728</v>
      </c>
      <c r="EVK618" s="17">
        <v>44925</v>
      </c>
      <c r="EVL618" s="5" t="s">
        <v>3728</v>
      </c>
      <c r="EVM618" s="17">
        <v>44925</v>
      </c>
      <c r="EVN618" s="5" t="s">
        <v>3728</v>
      </c>
      <c r="EVO618" s="17">
        <v>44925</v>
      </c>
      <c r="EVP618" s="5" t="s">
        <v>3728</v>
      </c>
      <c r="EVQ618" s="17">
        <v>44925</v>
      </c>
      <c r="EVR618" s="5" t="s">
        <v>3728</v>
      </c>
      <c r="EVS618" s="17">
        <v>44925</v>
      </c>
      <c r="EVT618" s="5" t="s">
        <v>3728</v>
      </c>
      <c r="EVU618" s="17">
        <v>44925</v>
      </c>
      <c r="EVV618" s="5" t="s">
        <v>3728</v>
      </c>
      <c r="EVW618" s="17">
        <v>44925</v>
      </c>
      <c r="EVX618" s="5" t="s">
        <v>3728</v>
      </c>
      <c r="EVY618" s="17">
        <v>44925</v>
      </c>
      <c r="EVZ618" s="5" t="s">
        <v>3728</v>
      </c>
      <c r="EWA618" s="17">
        <v>44925</v>
      </c>
      <c r="EWB618" s="5" t="s">
        <v>3728</v>
      </c>
      <c r="EWC618" s="17">
        <v>44925</v>
      </c>
      <c r="EWD618" s="5" t="s">
        <v>3728</v>
      </c>
      <c r="EWE618" s="17">
        <v>44925</v>
      </c>
      <c r="EWF618" s="5" t="s">
        <v>3728</v>
      </c>
      <c r="EWG618" s="17">
        <v>44925</v>
      </c>
      <c r="EWH618" s="5" t="s">
        <v>3728</v>
      </c>
      <c r="EWI618" s="17">
        <v>44925</v>
      </c>
      <c r="EWJ618" s="5" t="s">
        <v>3728</v>
      </c>
      <c r="EWK618" s="17">
        <v>44925</v>
      </c>
      <c r="EWL618" s="5" t="s">
        <v>3728</v>
      </c>
      <c r="EWM618" s="17">
        <v>44925</v>
      </c>
      <c r="EWN618" s="5" t="s">
        <v>3728</v>
      </c>
      <c r="EWO618" s="17">
        <v>44925</v>
      </c>
      <c r="EWP618" s="5" t="s">
        <v>3728</v>
      </c>
      <c r="EWQ618" s="17">
        <v>44925</v>
      </c>
      <c r="EWR618" s="5" t="s">
        <v>3728</v>
      </c>
      <c r="EWS618" s="17">
        <v>44925</v>
      </c>
      <c r="EWT618" s="5" t="s">
        <v>3728</v>
      </c>
      <c r="EWU618" s="17">
        <v>44925</v>
      </c>
      <c r="EWV618" s="5" t="s">
        <v>3728</v>
      </c>
      <c r="EWW618" s="17">
        <v>44925</v>
      </c>
      <c r="EWX618" s="5" t="s">
        <v>3728</v>
      </c>
      <c r="EWY618" s="17">
        <v>44925</v>
      </c>
      <c r="EWZ618" s="5" t="s">
        <v>3728</v>
      </c>
      <c r="EXA618" s="17">
        <v>44925</v>
      </c>
      <c r="EXB618" s="5" t="s">
        <v>3728</v>
      </c>
      <c r="EXC618" s="17">
        <v>44925</v>
      </c>
      <c r="EXD618" s="5" t="s">
        <v>3728</v>
      </c>
      <c r="EXE618" s="17">
        <v>44925</v>
      </c>
      <c r="EXF618" s="5" t="s">
        <v>3728</v>
      </c>
      <c r="EXG618" s="17">
        <v>44925</v>
      </c>
      <c r="EXH618" s="5" t="s">
        <v>3728</v>
      </c>
      <c r="EXI618" s="17">
        <v>44925</v>
      </c>
      <c r="EXJ618" s="5" t="s">
        <v>3728</v>
      </c>
      <c r="EXK618" s="17">
        <v>44925</v>
      </c>
      <c r="EXL618" s="5" t="s">
        <v>3728</v>
      </c>
      <c r="EXM618" s="17">
        <v>44925</v>
      </c>
      <c r="EXN618" s="5" t="s">
        <v>3728</v>
      </c>
      <c r="EXO618" s="17">
        <v>44925</v>
      </c>
      <c r="EXP618" s="5" t="s">
        <v>3728</v>
      </c>
      <c r="EXQ618" s="17">
        <v>44925</v>
      </c>
      <c r="EXR618" s="5" t="s">
        <v>3728</v>
      </c>
      <c r="EXS618" s="17">
        <v>44925</v>
      </c>
      <c r="EXT618" s="5" t="s">
        <v>3728</v>
      </c>
      <c r="EXU618" s="17">
        <v>44925</v>
      </c>
      <c r="EXV618" s="5" t="s">
        <v>3728</v>
      </c>
      <c r="EXW618" s="17">
        <v>44925</v>
      </c>
      <c r="EXX618" s="5" t="s">
        <v>3728</v>
      </c>
      <c r="EXY618" s="17">
        <v>44925</v>
      </c>
      <c r="EXZ618" s="5" t="s">
        <v>3728</v>
      </c>
      <c r="EYA618" s="17">
        <v>44925</v>
      </c>
      <c r="EYB618" s="5" t="s">
        <v>3728</v>
      </c>
      <c r="EYC618" s="17">
        <v>44925</v>
      </c>
      <c r="EYD618" s="5" t="s">
        <v>3728</v>
      </c>
      <c r="EYE618" s="17">
        <v>44925</v>
      </c>
      <c r="EYF618" s="5" t="s">
        <v>3728</v>
      </c>
      <c r="EYG618" s="17">
        <v>44925</v>
      </c>
      <c r="EYH618" s="5" t="s">
        <v>3728</v>
      </c>
      <c r="EYI618" s="17">
        <v>44925</v>
      </c>
      <c r="EYJ618" s="5" t="s">
        <v>3728</v>
      </c>
      <c r="EYK618" s="17">
        <v>44925</v>
      </c>
      <c r="EYL618" s="5" t="s">
        <v>3728</v>
      </c>
      <c r="EYM618" s="17">
        <v>44925</v>
      </c>
      <c r="EYN618" s="5" t="s">
        <v>3728</v>
      </c>
      <c r="EYO618" s="17">
        <v>44925</v>
      </c>
      <c r="EYP618" s="5" t="s">
        <v>3728</v>
      </c>
      <c r="EYQ618" s="17">
        <v>44925</v>
      </c>
      <c r="EYR618" s="5" t="s">
        <v>3728</v>
      </c>
      <c r="EYS618" s="17">
        <v>44925</v>
      </c>
      <c r="EYT618" s="5" t="s">
        <v>3728</v>
      </c>
      <c r="EYU618" s="17">
        <v>44925</v>
      </c>
      <c r="EYV618" s="5" t="s">
        <v>3728</v>
      </c>
      <c r="EYW618" s="17">
        <v>44925</v>
      </c>
      <c r="EYX618" s="5" t="s">
        <v>3728</v>
      </c>
      <c r="EYY618" s="17">
        <v>44925</v>
      </c>
      <c r="EYZ618" s="5" t="s">
        <v>3728</v>
      </c>
      <c r="EZA618" s="17">
        <v>44925</v>
      </c>
      <c r="EZB618" s="5" t="s">
        <v>3728</v>
      </c>
      <c r="EZC618" s="17">
        <v>44925</v>
      </c>
      <c r="EZD618" s="5" t="s">
        <v>3728</v>
      </c>
      <c r="EZE618" s="17">
        <v>44925</v>
      </c>
      <c r="EZF618" s="5" t="s">
        <v>3728</v>
      </c>
      <c r="EZG618" s="17">
        <v>44925</v>
      </c>
      <c r="EZH618" s="5" t="s">
        <v>3728</v>
      </c>
      <c r="EZI618" s="17">
        <v>44925</v>
      </c>
      <c r="EZJ618" s="5" t="s">
        <v>3728</v>
      </c>
      <c r="EZK618" s="17">
        <v>44925</v>
      </c>
      <c r="EZL618" s="5" t="s">
        <v>3728</v>
      </c>
      <c r="EZM618" s="17">
        <v>44925</v>
      </c>
      <c r="EZN618" s="5" t="s">
        <v>3728</v>
      </c>
      <c r="EZO618" s="17">
        <v>44925</v>
      </c>
      <c r="EZP618" s="5" t="s">
        <v>3728</v>
      </c>
      <c r="EZQ618" s="17">
        <v>44925</v>
      </c>
      <c r="EZR618" s="5" t="s">
        <v>3728</v>
      </c>
      <c r="EZS618" s="17">
        <v>44925</v>
      </c>
      <c r="EZT618" s="5" t="s">
        <v>3728</v>
      </c>
      <c r="EZU618" s="17">
        <v>44925</v>
      </c>
      <c r="EZV618" s="5" t="s">
        <v>3728</v>
      </c>
      <c r="EZW618" s="17">
        <v>44925</v>
      </c>
      <c r="EZX618" s="5" t="s">
        <v>3728</v>
      </c>
      <c r="EZY618" s="17">
        <v>44925</v>
      </c>
      <c r="EZZ618" s="5" t="s">
        <v>3728</v>
      </c>
      <c r="FAA618" s="17">
        <v>44925</v>
      </c>
      <c r="FAB618" s="5" t="s">
        <v>3728</v>
      </c>
      <c r="FAC618" s="17">
        <v>44925</v>
      </c>
      <c r="FAD618" s="5" t="s">
        <v>3728</v>
      </c>
      <c r="FAE618" s="17">
        <v>44925</v>
      </c>
      <c r="FAF618" s="5" t="s">
        <v>3728</v>
      </c>
      <c r="FAG618" s="17">
        <v>44925</v>
      </c>
      <c r="FAH618" s="5" t="s">
        <v>3728</v>
      </c>
      <c r="FAI618" s="17">
        <v>44925</v>
      </c>
      <c r="FAJ618" s="5" t="s">
        <v>3728</v>
      </c>
      <c r="FAK618" s="17">
        <v>44925</v>
      </c>
      <c r="FAL618" s="5" t="s">
        <v>3728</v>
      </c>
      <c r="FAM618" s="17">
        <v>44925</v>
      </c>
      <c r="FAN618" s="5" t="s">
        <v>3728</v>
      </c>
      <c r="FAO618" s="17">
        <v>44925</v>
      </c>
      <c r="FAP618" s="5" t="s">
        <v>3728</v>
      </c>
      <c r="FAQ618" s="17">
        <v>44925</v>
      </c>
      <c r="FAR618" s="5" t="s">
        <v>3728</v>
      </c>
      <c r="FAS618" s="17">
        <v>44925</v>
      </c>
      <c r="FAT618" s="5" t="s">
        <v>3728</v>
      </c>
      <c r="FAU618" s="17">
        <v>44925</v>
      </c>
      <c r="FAV618" s="5" t="s">
        <v>3728</v>
      </c>
      <c r="FAW618" s="17">
        <v>44925</v>
      </c>
      <c r="FAX618" s="5" t="s">
        <v>3728</v>
      </c>
      <c r="FAY618" s="17">
        <v>44925</v>
      </c>
      <c r="FAZ618" s="5" t="s">
        <v>3728</v>
      </c>
      <c r="FBA618" s="17">
        <v>44925</v>
      </c>
      <c r="FBB618" s="5" t="s">
        <v>3728</v>
      </c>
      <c r="FBC618" s="17">
        <v>44925</v>
      </c>
      <c r="FBD618" s="5" t="s">
        <v>3728</v>
      </c>
      <c r="FBE618" s="17">
        <v>44925</v>
      </c>
      <c r="FBF618" s="5" t="s">
        <v>3728</v>
      </c>
      <c r="FBG618" s="17">
        <v>44925</v>
      </c>
      <c r="FBH618" s="5" t="s">
        <v>3728</v>
      </c>
      <c r="FBI618" s="17">
        <v>44925</v>
      </c>
      <c r="FBJ618" s="5" t="s">
        <v>3728</v>
      </c>
      <c r="FBK618" s="17">
        <v>44925</v>
      </c>
      <c r="FBL618" s="5" t="s">
        <v>3728</v>
      </c>
      <c r="FBM618" s="17">
        <v>44925</v>
      </c>
      <c r="FBN618" s="5" t="s">
        <v>3728</v>
      </c>
      <c r="FBO618" s="17">
        <v>44925</v>
      </c>
      <c r="FBP618" s="5" t="s">
        <v>3728</v>
      </c>
      <c r="FBQ618" s="17">
        <v>44925</v>
      </c>
      <c r="FBR618" s="5" t="s">
        <v>3728</v>
      </c>
      <c r="FBS618" s="17">
        <v>44925</v>
      </c>
      <c r="FBT618" s="5" t="s">
        <v>3728</v>
      </c>
      <c r="FBU618" s="17">
        <v>44925</v>
      </c>
      <c r="FBV618" s="5" t="s">
        <v>3728</v>
      </c>
      <c r="FBW618" s="17">
        <v>44925</v>
      </c>
      <c r="FBX618" s="5" t="s">
        <v>3728</v>
      </c>
      <c r="FBY618" s="17">
        <v>44925</v>
      </c>
      <c r="FBZ618" s="5" t="s">
        <v>3728</v>
      </c>
      <c r="FCA618" s="17">
        <v>44925</v>
      </c>
      <c r="FCB618" s="5" t="s">
        <v>3728</v>
      </c>
      <c r="FCC618" s="17">
        <v>44925</v>
      </c>
      <c r="FCD618" s="5" t="s">
        <v>3728</v>
      </c>
      <c r="FCE618" s="17">
        <v>44925</v>
      </c>
      <c r="FCF618" s="5" t="s">
        <v>3728</v>
      </c>
      <c r="FCG618" s="17">
        <v>44925</v>
      </c>
      <c r="FCH618" s="5" t="s">
        <v>3728</v>
      </c>
      <c r="FCI618" s="17">
        <v>44925</v>
      </c>
      <c r="FCJ618" s="5" t="s">
        <v>3728</v>
      </c>
      <c r="FCK618" s="17">
        <v>44925</v>
      </c>
      <c r="FCL618" s="5" t="s">
        <v>3728</v>
      </c>
      <c r="FCM618" s="17">
        <v>44925</v>
      </c>
      <c r="FCN618" s="5" t="s">
        <v>3728</v>
      </c>
      <c r="FCO618" s="17">
        <v>44925</v>
      </c>
      <c r="FCP618" s="5" t="s">
        <v>3728</v>
      </c>
      <c r="FCQ618" s="17">
        <v>44925</v>
      </c>
      <c r="FCR618" s="5" t="s">
        <v>3728</v>
      </c>
      <c r="FCS618" s="17">
        <v>44925</v>
      </c>
      <c r="FCT618" s="5" t="s">
        <v>3728</v>
      </c>
      <c r="FCU618" s="17">
        <v>44925</v>
      </c>
      <c r="FCV618" s="5" t="s">
        <v>3728</v>
      </c>
      <c r="FCW618" s="17">
        <v>44925</v>
      </c>
      <c r="FCX618" s="5" t="s">
        <v>3728</v>
      </c>
      <c r="FCY618" s="17">
        <v>44925</v>
      </c>
      <c r="FCZ618" s="5" t="s">
        <v>3728</v>
      </c>
      <c r="FDA618" s="17">
        <v>44925</v>
      </c>
      <c r="FDB618" s="5" t="s">
        <v>3728</v>
      </c>
      <c r="FDC618" s="17">
        <v>44925</v>
      </c>
      <c r="FDD618" s="5" t="s">
        <v>3728</v>
      </c>
      <c r="FDE618" s="17">
        <v>44925</v>
      </c>
      <c r="FDF618" s="5" t="s">
        <v>3728</v>
      </c>
      <c r="FDG618" s="17">
        <v>44925</v>
      </c>
      <c r="FDH618" s="5" t="s">
        <v>3728</v>
      </c>
      <c r="FDI618" s="17">
        <v>44925</v>
      </c>
      <c r="FDJ618" s="5" t="s">
        <v>3728</v>
      </c>
      <c r="FDK618" s="17">
        <v>44925</v>
      </c>
      <c r="FDL618" s="5" t="s">
        <v>3728</v>
      </c>
      <c r="FDM618" s="17">
        <v>44925</v>
      </c>
      <c r="FDN618" s="5" t="s">
        <v>3728</v>
      </c>
      <c r="FDO618" s="17">
        <v>44925</v>
      </c>
      <c r="FDP618" s="5" t="s">
        <v>3728</v>
      </c>
      <c r="FDQ618" s="17">
        <v>44925</v>
      </c>
      <c r="FDR618" s="5" t="s">
        <v>3728</v>
      </c>
      <c r="FDS618" s="17">
        <v>44925</v>
      </c>
      <c r="FDT618" s="5" t="s">
        <v>3728</v>
      </c>
      <c r="FDU618" s="17">
        <v>44925</v>
      </c>
      <c r="FDV618" s="5" t="s">
        <v>3728</v>
      </c>
      <c r="FDW618" s="17">
        <v>44925</v>
      </c>
      <c r="FDX618" s="5" t="s">
        <v>3728</v>
      </c>
      <c r="FDY618" s="17">
        <v>44925</v>
      </c>
      <c r="FDZ618" s="5" t="s">
        <v>3728</v>
      </c>
      <c r="FEA618" s="17">
        <v>44925</v>
      </c>
      <c r="FEB618" s="5" t="s">
        <v>3728</v>
      </c>
      <c r="FEC618" s="17">
        <v>44925</v>
      </c>
      <c r="FED618" s="5" t="s">
        <v>3728</v>
      </c>
      <c r="FEE618" s="17">
        <v>44925</v>
      </c>
      <c r="FEF618" s="5" t="s">
        <v>3728</v>
      </c>
      <c r="FEG618" s="17">
        <v>44925</v>
      </c>
      <c r="FEH618" s="5" t="s">
        <v>3728</v>
      </c>
      <c r="FEI618" s="17">
        <v>44925</v>
      </c>
      <c r="FEJ618" s="5" t="s">
        <v>3728</v>
      </c>
      <c r="FEK618" s="17">
        <v>44925</v>
      </c>
      <c r="FEL618" s="5" t="s">
        <v>3728</v>
      </c>
      <c r="FEM618" s="17">
        <v>44925</v>
      </c>
      <c r="FEN618" s="5" t="s">
        <v>3728</v>
      </c>
      <c r="FEO618" s="17">
        <v>44925</v>
      </c>
      <c r="FEP618" s="5" t="s">
        <v>3728</v>
      </c>
      <c r="FEQ618" s="17">
        <v>44925</v>
      </c>
      <c r="FER618" s="5" t="s">
        <v>3728</v>
      </c>
      <c r="FES618" s="17">
        <v>44925</v>
      </c>
      <c r="FET618" s="5" t="s">
        <v>3728</v>
      </c>
      <c r="FEU618" s="17">
        <v>44925</v>
      </c>
      <c r="FEV618" s="5" t="s">
        <v>3728</v>
      </c>
      <c r="FEW618" s="17">
        <v>44925</v>
      </c>
      <c r="FEX618" s="5" t="s">
        <v>3728</v>
      </c>
      <c r="FEY618" s="17">
        <v>44925</v>
      </c>
      <c r="FEZ618" s="5" t="s">
        <v>3728</v>
      </c>
      <c r="FFA618" s="17">
        <v>44925</v>
      </c>
      <c r="FFB618" s="5" t="s">
        <v>3728</v>
      </c>
      <c r="FFC618" s="17">
        <v>44925</v>
      </c>
      <c r="FFD618" s="5" t="s">
        <v>3728</v>
      </c>
      <c r="FFE618" s="17">
        <v>44925</v>
      </c>
      <c r="FFF618" s="5" t="s">
        <v>3728</v>
      </c>
      <c r="FFG618" s="17">
        <v>44925</v>
      </c>
      <c r="FFH618" s="5" t="s">
        <v>3728</v>
      </c>
      <c r="FFI618" s="17">
        <v>44925</v>
      </c>
      <c r="FFJ618" s="5" t="s">
        <v>3728</v>
      </c>
      <c r="FFK618" s="17">
        <v>44925</v>
      </c>
      <c r="FFL618" s="5" t="s">
        <v>3728</v>
      </c>
      <c r="FFM618" s="17">
        <v>44925</v>
      </c>
      <c r="FFN618" s="5" t="s">
        <v>3728</v>
      </c>
      <c r="FFO618" s="17">
        <v>44925</v>
      </c>
      <c r="FFP618" s="5" t="s">
        <v>3728</v>
      </c>
      <c r="FFQ618" s="17">
        <v>44925</v>
      </c>
      <c r="FFR618" s="5" t="s">
        <v>3728</v>
      </c>
      <c r="FFS618" s="17">
        <v>44925</v>
      </c>
      <c r="FFT618" s="5" t="s">
        <v>3728</v>
      </c>
      <c r="FFU618" s="17">
        <v>44925</v>
      </c>
      <c r="FFV618" s="5" t="s">
        <v>3728</v>
      </c>
      <c r="FFW618" s="17">
        <v>44925</v>
      </c>
      <c r="FFX618" s="5" t="s">
        <v>3728</v>
      </c>
      <c r="FFY618" s="17">
        <v>44925</v>
      </c>
      <c r="FFZ618" s="5" t="s">
        <v>3728</v>
      </c>
      <c r="FGA618" s="17">
        <v>44925</v>
      </c>
      <c r="FGB618" s="5" t="s">
        <v>3728</v>
      </c>
      <c r="FGC618" s="17">
        <v>44925</v>
      </c>
      <c r="FGD618" s="5" t="s">
        <v>3728</v>
      </c>
      <c r="FGE618" s="17">
        <v>44925</v>
      </c>
      <c r="FGF618" s="5" t="s">
        <v>3728</v>
      </c>
      <c r="FGG618" s="17">
        <v>44925</v>
      </c>
      <c r="FGH618" s="5" t="s">
        <v>3728</v>
      </c>
      <c r="FGI618" s="17">
        <v>44925</v>
      </c>
      <c r="FGJ618" s="5" t="s">
        <v>3728</v>
      </c>
      <c r="FGK618" s="17">
        <v>44925</v>
      </c>
      <c r="FGL618" s="5" t="s">
        <v>3728</v>
      </c>
      <c r="FGM618" s="17">
        <v>44925</v>
      </c>
      <c r="FGN618" s="5" t="s">
        <v>3728</v>
      </c>
      <c r="FGO618" s="17">
        <v>44925</v>
      </c>
      <c r="FGP618" s="5" t="s">
        <v>3728</v>
      </c>
      <c r="FGQ618" s="17">
        <v>44925</v>
      </c>
      <c r="FGR618" s="5" t="s">
        <v>3728</v>
      </c>
      <c r="FGS618" s="17">
        <v>44925</v>
      </c>
      <c r="FGT618" s="5" t="s">
        <v>3728</v>
      </c>
      <c r="FGU618" s="17">
        <v>44925</v>
      </c>
      <c r="FGV618" s="5" t="s">
        <v>3728</v>
      </c>
      <c r="FGW618" s="17">
        <v>44925</v>
      </c>
      <c r="FGX618" s="5" t="s">
        <v>3728</v>
      </c>
      <c r="FGY618" s="17">
        <v>44925</v>
      </c>
      <c r="FGZ618" s="5" t="s">
        <v>3728</v>
      </c>
      <c r="FHA618" s="17">
        <v>44925</v>
      </c>
      <c r="FHB618" s="5" t="s">
        <v>3728</v>
      </c>
      <c r="FHC618" s="17">
        <v>44925</v>
      </c>
      <c r="FHD618" s="5" t="s">
        <v>3728</v>
      </c>
      <c r="FHE618" s="17">
        <v>44925</v>
      </c>
      <c r="FHF618" s="5" t="s">
        <v>3728</v>
      </c>
      <c r="FHG618" s="17">
        <v>44925</v>
      </c>
      <c r="FHH618" s="5" t="s">
        <v>3728</v>
      </c>
      <c r="FHI618" s="17">
        <v>44925</v>
      </c>
      <c r="FHJ618" s="5" t="s">
        <v>3728</v>
      </c>
      <c r="FHK618" s="17">
        <v>44925</v>
      </c>
      <c r="FHL618" s="5" t="s">
        <v>3728</v>
      </c>
      <c r="FHM618" s="17">
        <v>44925</v>
      </c>
      <c r="FHN618" s="5" t="s">
        <v>3728</v>
      </c>
      <c r="FHO618" s="17">
        <v>44925</v>
      </c>
      <c r="FHP618" s="5" t="s">
        <v>3728</v>
      </c>
      <c r="FHQ618" s="17">
        <v>44925</v>
      </c>
      <c r="FHR618" s="5" t="s">
        <v>3728</v>
      </c>
      <c r="FHS618" s="17">
        <v>44925</v>
      </c>
      <c r="FHT618" s="5" t="s">
        <v>3728</v>
      </c>
      <c r="FHU618" s="17">
        <v>44925</v>
      </c>
      <c r="FHV618" s="5" t="s">
        <v>3728</v>
      </c>
      <c r="FHW618" s="17">
        <v>44925</v>
      </c>
      <c r="FHX618" s="5" t="s">
        <v>3728</v>
      </c>
      <c r="FHY618" s="17">
        <v>44925</v>
      </c>
      <c r="FHZ618" s="5" t="s">
        <v>3728</v>
      </c>
      <c r="FIA618" s="17">
        <v>44925</v>
      </c>
      <c r="FIB618" s="5" t="s">
        <v>3728</v>
      </c>
      <c r="FIC618" s="17">
        <v>44925</v>
      </c>
      <c r="FID618" s="5" t="s">
        <v>3728</v>
      </c>
      <c r="FIE618" s="17">
        <v>44925</v>
      </c>
      <c r="FIF618" s="5" t="s">
        <v>3728</v>
      </c>
      <c r="FIG618" s="17">
        <v>44925</v>
      </c>
      <c r="FIH618" s="5" t="s">
        <v>3728</v>
      </c>
      <c r="FII618" s="17">
        <v>44925</v>
      </c>
      <c r="FIJ618" s="5" t="s">
        <v>3728</v>
      </c>
      <c r="FIK618" s="17">
        <v>44925</v>
      </c>
      <c r="FIL618" s="5" t="s">
        <v>3728</v>
      </c>
      <c r="FIM618" s="17">
        <v>44925</v>
      </c>
      <c r="FIN618" s="5" t="s">
        <v>3728</v>
      </c>
      <c r="FIO618" s="17">
        <v>44925</v>
      </c>
      <c r="FIP618" s="5" t="s">
        <v>3728</v>
      </c>
      <c r="FIQ618" s="17">
        <v>44925</v>
      </c>
      <c r="FIR618" s="5" t="s">
        <v>3728</v>
      </c>
      <c r="FIS618" s="17">
        <v>44925</v>
      </c>
      <c r="FIT618" s="5" t="s">
        <v>3728</v>
      </c>
      <c r="FIU618" s="17">
        <v>44925</v>
      </c>
      <c r="FIV618" s="5" t="s">
        <v>3728</v>
      </c>
      <c r="FIW618" s="17">
        <v>44925</v>
      </c>
      <c r="FIX618" s="5" t="s">
        <v>3728</v>
      </c>
      <c r="FIY618" s="17">
        <v>44925</v>
      </c>
      <c r="FIZ618" s="5" t="s">
        <v>3728</v>
      </c>
      <c r="FJA618" s="17">
        <v>44925</v>
      </c>
      <c r="FJB618" s="5" t="s">
        <v>3728</v>
      </c>
      <c r="FJC618" s="17">
        <v>44925</v>
      </c>
      <c r="FJD618" s="5" t="s">
        <v>3728</v>
      </c>
      <c r="FJE618" s="17">
        <v>44925</v>
      </c>
      <c r="FJF618" s="5" t="s">
        <v>3728</v>
      </c>
      <c r="FJG618" s="17">
        <v>44925</v>
      </c>
      <c r="FJH618" s="5" t="s">
        <v>3728</v>
      </c>
      <c r="FJI618" s="17">
        <v>44925</v>
      </c>
      <c r="FJJ618" s="5" t="s">
        <v>3728</v>
      </c>
      <c r="FJK618" s="17">
        <v>44925</v>
      </c>
      <c r="FJL618" s="5" t="s">
        <v>3728</v>
      </c>
      <c r="FJM618" s="17">
        <v>44925</v>
      </c>
      <c r="FJN618" s="5" t="s">
        <v>3728</v>
      </c>
      <c r="FJO618" s="17">
        <v>44925</v>
      </c>
      <c r="FJP618" s="5" t="s">
        <v>3728</v>
      </c>
      <c r="FJQ618" s="17">
        <v>44925</v>
      </c>
      <c r="FJR618" s="5" t="s">
        <v>3728</v>
      </c>
      <c r="FJS618" s="17">
        <v>44925</v>
      </c>
      <c r="FJT618" s="5" t="s">
        <v>3728</v>
      </c>
      <c r="FJU618" s="17">
        <v>44925</v>
      </c>
      <c r="FJV618" s="5" t="s">
        <v>3728</v>
      </c>
      <c r="FJW618" s="17">
        <v>44925</v>
      </c>
      <c r="FJX618" s="5" t="s">
        <v>3728</v>
      </c>
      <c r="FJY618" s="17">
        <v>44925</v>
      </c>
      <c r="FJZ618" s="5" t="s">
        <v>3728</v>
      </c>
      <c r="FKA618" s="17">
        <v>44925</v>
      </c>
      <c r="FKB618" s="5" t="s">
        <v>3728</v>
      </c>
      <c r="FKC618" s="17">
        <v>44925</v>
      </c>
      <c r="FKD618" s="5" t="s">
        <v>3728</v>
      </c>
      <c r="FKE618" s="17">
        <v>44925</v>
      </c>
      <c r="FKF618" s="5" t="s">
        <v>3728</v>
      </c>
      <c r="FKG618" s="17">
        <v>44925</v>
      </c>
      <c r="FKH618" s="5" t="s">
        <v>3728</v>
      </c>
      <c r="FKI618" s="17">
        <v>44925</v>
      </c>
      <c r="FKJ618" s="5" t="s">
        <v>3728</v>
      </c>
      <c r="FKK618" s="17">
        <v>44925</v>
      </c>
      <c r="FKL618" s="5" t="s">
        <v>3728</v>
      </c>
      <c r="FKM618" s="17">
        <v>44925</v>
      </c>
      <c r="FKN618" s="5" t="s">
        <v>3728</v>
      </c>
      <c r="FKO618" s="17">
        <v>44925</v>
      </c>
      <c r="FKP618" s="5" t="s">
        <v>3728</v>
      </c>
      <c r="FKQ618" s="17">
        <v>44925</v>
      </c>
      <c r="FKR618" s="5" t="s">
        <v>3728</v>
      </c>
      <c r="FKS618" s="17">
        <v>44925</v>
      </c>
      <c r="FKT618" s="5" t="s">
        <v>3728</v>
      </c>
      <c r="FKU618" s="17">
        <v>44925</v>
      </c>
      <c r="FKV618" s="5" t="s">
        <v>3728</v>
      </c>
      <c r="FKW618" s="17">
        <v>44925</v>
      </c>
      <c r="FKX618" s="5" t="s">
        <v>3728</v>
      </c>
      <c r="FKY618" s="17">
        <v>44925</v>
      </c>
      <c r="FKZ618" s="5" t="s">
        <v>3728</v>
      </c>
      <c r="FLA618" s="17">
        <v>44925</v>
      </c>
      <c r="FLB618" s="5" t="s">
        <v>3728</v>
      </c>
      <c r="FLC618" s="17">
        <v>44925</v>
      </c>
      <c r="FLD618" s="5" t="s">
        <v>3728</v>
      </c>
      <c r="FLE618" s="17">
        <v>44925</v>
      </c>
      <c r="FLF618" s="5" t="s">
        <v>3728</v>
      </c>
      <c r="FLG618" s="17">
        <v>44925</v>
      </c>
      <c r="FLH618" s="5" t="s">
        <v>3728</v>
      </c>
      <c r="FLI618" s="17">
        <v>44925</v>
      </c>
      <c r="FLJ618" s="5" t="s">
        <v>3728</v>
      </c>
      <c r="FLK618" s="17">
        <v>44925</v>
      </c>
      <c r="FLL618" s="5" t="s">
        <v>3728</v>
      </c>
      <c r="FLM618" s="17">
        <v>44925</v>
      </c>
      <c r="FLN618" s="5" t="s">
        <v>3728</v>
      </c>
      <c r="FLO618" s="17">
        <v>44925</v>
      </c>
      <c r="FLP618" s="5" t="s">
        <v>3728</v>
      </c>
      <c r="FLQ618" s="17">
        <v>44925</v>
      </c>
      <c r="FLR618" s="5" t="s">
        <v>3728</v>
      </c>
      <c r="FLS618" s="17">
        <v>44925</v>
      </c>
      <c r="FLT618" s="5" t="s">
        <v>3728</v>
      </c>
      <c r="FLU618" s="17">
        <v>44925</v>
      </c>
      <c r="FLV618" s="5" t="s">
        <v>3728</v>
      </c>
      <c r="FLW618" s="17">
        <v>44925</v>
      </c>
      <c r="FLX618" s="5" t="s">
        <v>3728</v>
      </c>
      <c r="FLY618" s="17">
        <v>44925</v>
      </c>
      <c r="FLZ618" s="5" t="s">
        <v>3728</v>
      </c>
      <c r="FMA618" s="17">
        <v>44925</v>
      </c>
      <c r="FMB618" s="5" t="s">
        <v>3728</v>
      </c>
      <c r="FMC618" s="17">
        <v>44925</v>
      </c>
      <c r="FMD618" s="5" t="s">
        <v>3728</v>
      </c>
      <c r="FME618" s="17">
        <v>44925</v>
      </c>
      <c r="FMF618" s="5" t="s">
        <v>3728</v>
      </c>
      <c r="FMG618" s="17">
        <v>44925</v>
      </c>
      <c r="FMH618" s="5" t="s">
        <v>3728</v>
      </c>
      <c r="FMI618" s="17">
        <v>44925</v>
      </c>
      <c r="FMJ618" s="5" t="s">
        <v>3728</v>
      </c>
      <c r="FMK618" s="17">
        <v>44925</v>
      </c>
      <c r="FML618" s="5" t="s">
        <v>3728</v>
      </c>
      <c r="FMM618" s="17">
        <v>44925</v>
      </c>
      <c r="FMN618" s="5" t="s">
        <v>3728</v>
      </c>
      <c r="FMO618" s="17">
        <v>44925</v>
      </c>
      <c r="FMP618" s="5" t="s">
        <v>3728</v>
      </c>
      <c r="FMQ618" s="17">
        <v>44925</v>
      </c>
      <c r="FMR618" s="5" t="s">
        <v>3728</v>
      </c>
      <c r="FMS618" s="17">
        <v>44925</v>
      </c>
      <c r="FMT618" s="5" t="s">
        <v>3728</v>
      </c>
      <c r="FMU618" s="17">
        <v>44925</v>
      </c>
      <c r="FMV618" s="5" t="s">
        <v>3728</v>
      </c>
      <c r="FMW618" s="17">
        <v>44925</v>
      </c>
      <c r="FMX618" s="5" t="s">
        <v>3728</v>
      </c>
      <c r="FMY618" s="17">
        <v>44925</v>
      </c>
      <c r="FMZ618" s="5" t="s">
        <v>3728</v>
      </c>
      <c r="FNA618" s="17">
        <v>44925</v>
      </c>
      <c r="FNB618" s="5" t="s">
        <v>3728</v>
      </c>
      <c r="FNC618" s="17">
        <v>44925</v>
      </c>
      <c r="FND618" s="5" t="s">
        <v>3728</v>
      </c>
      <c r="FNE618" s="17">
        <v>44925</v>
      </c>
      <c r="FNF618" s="5" t="s">
        <v>3728</v>
      </c>
      <c r="FNG618" s="17">
        <v>44925</v>
      </c>
      <c r="FNH618" s="5" t="s">
        <v>3728</v>
      </c>
      <c r="FNI618" s="17">
        <v>44925</v>
      </c>
      <c r="FNJ618" s="5" t="s">
        <v>3728</v>
      </c>
      <c r="FNK618" s="17">
        <v>44925</v>
      </c>
      <c r="FNL618" s="5" t="s">
        <v>3728</v>
      </c>
      <c r="FNM618" s="17">
        <v>44925</v>
      </c>
      <c r="FNN618" s="5" t="s">
        <v>3728</v>
      </c>
      <c r="FNO618" s="17">
        <v>44925</v>
      </c>
      <c r="FNP618" s="5" t="s">
        <v>3728</v>
      </c>
      <c r="FNQ618" s="17">
        <v>44925</v>
      </c>
      <c r="FNR618" s="5" t="s">
        <v>3728</v>
      </c>
      <c r="FNS618" s="17">
        <v>44925</v>
      </c>
      <c r="FNT618" s="5" t="s">
        <v>3728</v>
      </c>
      <c r="FNU618" s="17">
        <v>44925</v>
      </c>
      <c r="FNV618" s="5" t="s">
        <v>3728</v>
      </c>
      <c r="FNW618" s="17">
        <v>44925</v>
      </c>
      <c r="FNX618" s="5" t="s">
        <v>3728</v>
      </c>
      <c r="FNY618" s="17">
        <v>44925</v>
      </c>
      <c r="FNZ618" s="5" t="s">
        <v>3728</v>
      </c>
      <c r="FOA618" s="17">
        <v>44925</v>
      </c>
      <c r="FOB618" s="5" t="s">
        <v>3728</v>
      </c>
      <c r="FOC618" s="17">
        <v>44925</v>
      </c>
      <c r="FOD618" s="5" t="s">
        <v>3728</v>
      </c>
      <c r="FOE618" s="17">
        <v>44925</v>
      </c>
      <c r="FOF618" s="5" t="s">
        <v>3728</v>
      </c>
      <c r="FOG618" s="17">
        <v>44925</v>
      </c>
      <c r="FOH618" s="5" t="s">
        <v>3728</v>
      </c>
      <c r="FOI618" s="17">
        <v>44925</v>
      </c>
      <c r="FOJ618" s="5" t="s">
        <v>3728</v>
      </c>
      <c r="FOK618" s="17">
        <v>44925</v>
      </c>
      <c r="FOL618" s="5" t="s">
        <v>3728</v>
      </c>
      <c r="FOM618" s="17">
        <v>44925</v>
      </c>
      <c r="FON618" s="5" t="s">
        <v>3728</v>
      </c>
      <c r="FOO618" s="17">
        <v>44925</v>
      </c>
      <c r="FOP618" s="5" t="s">
        <v>3728</v>
      </c>
      <c r="FOQ618" s="17">
        <v>44925</v>
      </c>
      <c r="FOR618" s="5" t="s">
        <v>3728</v>
      </c>
      <c r="FOS618" s="17">
        <v>44925</v>
      </c>
      <c r="FOT618" s="5" t="s">
        <v>3728</v>
      </c>
      <c r="FOU618" s="17">
        <v>44925</v>
      </c>
      <c r="FOV618" s="5" t="s">
        <v>3728</v>
      </c>
      <c r="FOW618" s="17">
        <v>44925</v>
      </c>
      <c r="FOX618" s="5" t="s">
        <v>3728</v>
      </c>
      <c r="FOY618" s="17">
        <v>44925</v>
      </c>
      <c r="FOZ618" s="5" t="s">
        <v>3728</v>
      </c>
      <c r="FPA618" s="17">
        <v>44925</v>
      </c>
      <c r="FPB618" s="5" t="s">
        <v>3728</v>
      </c>
      <c r="FPC618" s="17">
        <v>44925</v>
      </c>
      <c r="FPD618" s="5" t="s">
        <v>3728</v>
      </c>
      <c r="FPE618" s="17">
        <v>44925</v>
      </c>
      <c r="FPF618" s="5" t="s">
        <v>3728</v>
      </c>
      <c r="FPG618" s="17">
        <v>44925</v>
      </c>
      <c r="FPH618" s="5" t="s">
        <v>3728</v>
      </c>
      <c r="FPI618" s="17">
        <v>44925</v>
      </c>
      <c r="FPJ618" s="5" t="s">
        <v>3728</v>
      </c>
      <c r="FPK618" s="17">
        <v>44925</v>
      </c>
      <c r="FPL618" s="5" t="s">
        <v>3728</v>
      </c>
      <c r="FPM618" s="17">
        <v>44925</v>
      </c>
      <c r="FPN618" s="5" t="s">
        <v>3728</v>
      </c>
      <c r="FPO618" s="17">
        <v>44925</v>
      </c>
      <c r="FPP618" s="5" t="s">
        <v>3728</v>
      </c>
      <c r="FPQ618" s="17">
        <v>44925</v>
      </c>
      <c r="FPR618" s="5" t="s">
        <v>3728</v>
      </c>
      <c r="FPS618" s="17">
        <v>44925</v>
      </c>
      <c r="FPT618" s="5" t="s">
        <v>3728</v>
      </c>
      <c r="FPU618" s="17">
        <v>44925</v>
      </c>
      <c r="FPV618" s="5" t="s">
        <v>3728</v>
      </c>
      <c r="FPW618" s="17">
        <v>44925</v>
      </c>
      <c r="FPX618" s="5" t="s">
        <v>3728</v>
      </c>
      <c r="FPY618" s="17">
        <v>44925</v>
      </c>
      <c r="FPZ618" s="5" t="s">
        <v>3728</v>
      </c>
      <c r="FQA618" s="17">
        <v>44925</v>
      </c>
      <c r="FQB618" s="5" t="s">
        <v>3728</v>
      </c>
      <c r="FQC618" s="17">
        <v>44925</v>
      </c>
      <c r="FQD618" s="5" t="s">
        <v>3728</v>
      </c>
      <c r="FQE618" s="17">
        <v>44925</v>
      </c>
      <c r="FQF618" s="5" t="s">
        <v>3728</v>
      </c>
      <c r="FQG618" s="17">
        <v>44925</v>
      </c>
      <c r="FQH618" s="5" t="s">
        <v>3728</v>
      </c>
      <c r="FQI618" s="17">
        <v>44925</v>
      </c>
      <c r="FQJ618" s="5" t="s">
        <v>3728</v>
      </c>
      <c r="FQK618" s="17">
        <v>44925</v>
      </c>
      <c r="FQL618" s="5" t="s">
        <v>3728</v>
      </c>
      <c r="FQM618" s="17">
        <v>44925</v>
      </c>
      <c r="FQN618" s="5" t="s">
        <v>3728</v>
      </c>
      <c r="FQO618" s="17">
        <v>44925</v>
      </c>
      <c r="FQP618" s="5" t="s">
        <v>3728</v>
      </c>
      <c r="FQQ618" s="17">
        <v>44925</v>
      </c>
      <c r="FQR618" s="5" t="s">
        <v>3728</v>
      </c>
      <c r="FQS618" s="17">
        <v>44925</v>
      </c>
      <c r="FQT618" s="5" t="s">
        <v>3728</v>
      </c>
      <c r="FQU618" s="17">
        <v>44925</v>
      </c>
      <c r="FQV618" s="5" t="s">
        <v>3728</v>
      </c>
      <c r="FQW618" s="17">
        <v>44925</v>
      </c>
      <c r="FQX618" s="5" t="s">
        <v>3728</v>
      </c>
      <c r="FQY618" s="17">
        <v>44925</v>
      </c>
      <c r="FQZ618" s="5" t="s">
        <v>3728</v>
      </c>
      <c r="FRA618" s="17">
        <v>44925</v>
      </c>
      <c r="FRB618" s="5" t="s">
        <v>3728</v>
      </c>
      <c r="FRC618" s="17">
        <v>44925</v>
      </c>
      <c r="FRD618" s="5" t="s">
        <v>3728</v>
      </c>
      <c r="FRE618" s="17">
        <v>44925</v>
      </c>
      <c r="FRF618" s="5" t="s">
        <v>3728</v>
      </c>
      <c r="FRG618" s="17">
        <v>44925</v>
      </c>
      <c r="FRH618" s="5" t="s">
        <v>3728</v>
      </c>
      <c r="FRI618" s="17">
        <v>44925</v>
      </c>
      <c r="FRJ618" s="5" t="s">
        <v>3728</v>
      </c>
      <c r="FRK618" s="17">
        <v>44925</v>
      </c>
      <c r="FRL618" s="5" t="s">
        <v>3728</v>
      </c>
      <c r="FRM618" s="17">
        <v>44925</v>
      </c>
      <c r="FRN618" s="5" t="s">
        <v>3728</v>
      </c>
      <c r="FRO618" s="17">
        <v>44925</v>
      </c>
      <c r="FRP618" s="5" t="s">
        <v>3728</v>
      </c>
      <c r="FRQ618" s="17">
        <v>44925</v>
      </c>
      <c r="FRR618" s="5" t="s">
        <v>3728</v>
      </c>
      <c r="FRS618" s="17">
        <v>44925</v>
      </c>
      <c r="FRT618" s="5" t="s">
        <v>3728</v>
      </c>
      <c r="FRU618" s="17">
        <v>44925</v>
      </c>
      <c r="FRV618" s="5" t="s">
        <v>3728</v>
      </c>
      <c r="FRW618" s="17">
        <v>44925</v>
      </c>
      <c r="FRX618" s="5" t="s">
        <v>3728</v>
      </c>
      <c r="FRY618" s="17">
        <v>44925</v>
      </c>
      <c r="FRZ618" s="5" t="s">
        <v>3728</v>
      </c>
      <c r="FSA618" s="17">
        <v>44925</v>
      </c>
      <c r="FSB618" s="5" t="s">
        <v>3728</v>
      </c>
      <c r="FSC618" s="17">
        <v>44925</v>
      </c>
      <c r="FSD618" s="5" t="s">
        <v>3728</v>
      </c>
      <c r="FSE618" s="17">
        <v>44925</v>
      </c>
      <c r="FSF618" s="5" t="s">
        <v>3728</v>
      </c>
      <c r="FSG618" s="17">
        <v>44925</v>
      </c>
      <c r="FSH618" s="5" t="s">
        <v>3728</v>
      </c>
      <c r="FSI618" s="17">
        <v>44925</v>
      </c>
      <c r="FSJ618" s="5" t="s">
        <v>3728</v>
      </c>
      <c r="FSK618" s="17">
        <v>44925</v>
      </c>
      <c r="FSL618" s="5" t="s">
        <v>3728</v>
      </c>
      <c r="FSM618" s="17">
        <v>44925</v>
      </c>
      <c r="FSN618" s="5" t="s">
        <v>3728</v>
      </c>
      <c r="FSO618" s="17">
        <v>44925</v>
      </c>
      <c r="FSP618" s="5" t="s">
        <v>3728</v>
      </c>
      <c r="FSQ618" s="17">
        <v>44925</v>
      </c>
      <c r="FSR618" s="5" t="s">
        <v>3728</v>
      </c>
      <c r="FSS618" s="17">
        <v>44925</v>
      </c>
      <c r="FST618" s="5" t="s">
        <v>3728</v>
      </c>
      <c r="FSU618" s="17">
        <v>44925</v>
      </c>
      <c r="FSV618" s="5" t="s">
        <v>3728</v>
      </c>
      <c r="FSW618" s="17">
        <v>44925</v>
      </c>
      <c r="FSX618" s="5" t="s">
        <v>3728</v>
      </c>
      <c r="FSY618" s="17">
        <v>44925</v>
      </c>
      <c r="FSZ618" s="5" t="s">
        <v>3728</v>
      </c>
      <c r="FTA618" s="17">
        <v>44925</v>
      </c>
      <c r="FTB618" s="5" t="s">
        <v>3728</v>
      </c>
      <c r="FTC618" s="17">
        <v>44925</v>
      </c>
      <c r="FTD618" s="5" t="s">
        <v>3728</v>
      </c>
      <c r="FTE618" s="17">
        <v>44925</v>
      </c>
      <c r="FTF618" s="5" t="s">
        <v>3728</v>
      </c>
      <c r="FTG618" s="17">
        <v>44925</v>
      </c>
      <c r="FTH618" s="5" t="s">
        <v>3728</v>
      </c>
      <c r="FTI618" s="17">
        <v>44925</v>
      </c>
      <c r="FTJ618" s="5" t="s">
        <v>3728</v>
      </c>
      <c r="FTK618" s="17">
        <v>44925</v>
      </c>
      <c r="FTL618" s="5" t="s">
        <v>3728</v>
      </c>
      <c r="FTM618" s="17">
        <v>44925</v>
      </c>
      <c r="FTN618" s="5" t="s">
        <v>3728</v>
      </c>
      <c r="FTO618" s="17">
        <v>44925</v>
      </c>
      <c r="FTP618" s="5" t="s">
        <v>3728</v>
      </c>
      <c r="FTQ618" s="17">
        <v>44925</v>
      </c>
      <c r="FTR618" s="5" t="s">
        <v>3728</v>
      </c>
      <c r="FTS618" s="17">
        <v>44925</v>
      </c>
      <c r="FTT618" s="5" t="s">
        <v>3728</v>
      </c>
      <c r="FTU618" s="17">
        <v>44925</v>
      </c>
      <c r="FTV618" s="5" t="s">
        <v>3728</v>
      </c>
      <c r="FTW618" s="17">
        <v>44925</v>
      </c>
      <c r="FTX618" s="5" t="s">
        <v>3728</v>
      </c>
      <c r="FTY618" s="17">
        <v>44925</v>
      </c>
      <c r="FTZ618" s="5" t="s">
        <v>3728</v>
      </c>
      <c r="FUA618" s="17">
        <v>44925</v>
      </c>
      <c r="FUB618" s="5" t="s">
        <v>3728</v>
      </c>
      <c r="FUC618" s="17">
        <v>44925</v>
      </c>
      <c r="FUD618" s="5" t="s">
        <v>3728</v>
      </c>
      <c r="FUE618" s="17">
        <v>44925</v>
      </c>
      <c r="FUF618" s="5" t="s">
        <v>3728</v>
      </c>
      <c r="FUG618" s="17">
        <v>44925</v>
      </c>
      <c r="FUH618" s="5" t="s">
        <v>3728</v>
      </c>
      <c r="FUI618" s="17">
        <v>44925</v>
      </c>
      <c r="FUJ618" s="5" t="s">
        <v>3728</v>
      </c>
      <c r="FUK618" s="17">
        <v>44925</v>
      </c>
      <c r="FUL618" s="5" t="s">
        <v>3728</v>
      </c>
      <c r="FUM618" s="17">
        <v>44925</v>
      </c>
      <c r="FUN618" s="5" t="s">
        <v>3728</v>
      </c>
      <c r="FUO618" s="17">
        <v>44925</v>
      </c>
      <c r="FUP618" s="5" t="s">
        <v>3728</v>
      </c>
      <c r="FUQ618" s="17">
        <v>44925</v>
      </c>
      <c r="FUR618" s="5" t="s">
        <v>3728</v>
      </c>
      <c r="FUS618" s="17">
        <v>44925</v>
      </c>
      <c r="FUT618" s="5" t="s">
        <v>3728</v>
      </c>
      <c r="FUU618" s="17">
        <v>44925</v>
      </c>
      <c r="FUV618" s="5" t="s">
        <v>3728</v>
      </c>
      <c r="FUW618" s="17">
        <v>44925</v>
      </c>
      <c r="FUX618" s="5" t="s">
        <v>3728</v>
      </c>
      <c r="FUY618" s="17">
        <v>44925</v>
      </c>
      <c r="FUZ618" s="5" t="s">
        <v>3728</v>
      </c>
      <c r="FVA618" s="17">
        <v>44925</v>
      </c>
      <c r="FVB618" s="5" t="s">
        <v>3728</v>
      </c>
      <c r="FVC618" s="17">
        <v>44925</v>
      </c>
      <c r="FVD618" s="5" t="s">
        <v>3728</v>
      </c>
      <c r="FVE618" s="17">
        <v>44925</v>
      </c>
      <c r="FVF618" s="5" t="s">
        <v>3728</v>
      </c>
      <c r="FVG618" s="17">
        <v>44925</v>
      </c>
      <c r="FVH618" s="5" t="s">
        <v>3728</v>
      </c>
      <c r="FVI618" s="17">
        <v>44925</v>
      </c>
      <c r="FVJ618" s="5" t="s">
        <v>3728</v>
      </c>
      <c r="FVK618" s="17">
        <v>44925</v>
      </c>
      <c r="FVL618" s="5" t="s">
        <v>3728</v>
      </c>
      <c r="FVM618" s="17">
        <v>44925</v>
      </c>
      <c r="FVN618" s="5" t="s">
        <v>3728</v>
      </c>
      <c r="FVO618" s="17">
        <v>44925</v>
      </c>
      <c r="FVP618" s="5" t="s">
        <v>3728</v>
      </c>
      <c r="FVQ618" s="17">
        <v>44925</v>
      </c>
      <c r="FVR618" s="5" t="s">
        <v>3728</v>
      </c>
      <c r="FVS618" s="17">
        <v>44925</v>
      </c>
      <c r="FVT618" s="5" t="s">
        <v>3728</v>
      </c>
      <c r="FVU618" s="17">
        <v>44925</v>
      </c>
      <c r="FVV618" s="5" t="s">
        <v>3728</v>
      </c>
      <c r="FVW618" s="17">
        <v>44925</v>
      </c>
      <c r="FVX618" s="5" t="s">
        <v>3728</v>
      </c>
      <c r="FVY618" s="17">
        <v>44925</v>
      </c>
      <c r="FVZ618" s="5" t="s">
        <v>3728</v>
      </c>
      <c r="FWA618" s="17">
        <v>44925</v>
      </c>
      <c r="FWB618" s="5" t="s">
        <v>3728</v>
      </c>
      <c r="FWC618" s="17">
        <v>44925</v>
      </c>
      <c r="FWD618" s="5" t="s">
        <v>3728</v>
      </c>
      <c r="FWE618" s="17">
        <v>44925</v>
      </c>
      <c r="FWF618" s="5" t="s">
        <v>3728</v>
      </c>
      <c r="FWG618" s="17">
        <v>44925</v>
      </c>
      <c r="FWH618" s="5" t="s">
        <v>3728</v>
      </c>
      <c r="FWI618" s="17">
        <v>44925</v>
      </c>
      <c r="FWJ618" s="5" t="s">
        <v>3728</v>
      </c>
      <c r="FWK618" s="17">
        <v>44925</v>
      </c>
      <c r="FWL618" s="5" t="s">
        <v>3728</v>
      </c>
      <c r="FWM618" s="17">
        <v>44925</v>
      </c>
      <c r="FWN618" s="5" t="s">
        <v>3728</v>
      </c>
      <c r="FWO618" s="17">
        <v>44925</v>
      </c>
      <c r="FWP618" s="5" t="s">
        <v>3728</v>
      </c>
      <c r="FWQ618" s="17">
        <v>44925</v>
      </c>
      <c r="FWR618" s="5" t="s">
        <v>3728</v>
      </c>
      <c r="FWS618" s="17">
        <v>44925</v>
      </c>
      <c r="FWT618" s="5" t="s">
        <v>3728</v>
      </c>
      <c r="FWU618" s="17">
        <v>44925</v>
      </c>
      <c r="FWV618" s="5" t="s">
        <v>3728</v>
      </c>
      <c r="FWW618" s="17">
        <v>44925</v>
      </c>
      <c r="FWX618" s="5" t="s">
        <v>3728</v>
      </c>
      <c r="FWY618" s="17">
        <v>44925</v>
      </c>
      <c r="FWZ618" s="5" t="s">
        <v>3728</v>
      </c>
      <c r="FXA618" s="17">
        <v>44925</v>
      </c>
      <c r="FXB618" s="5" t="s">
        <v>3728</v>
      </c>
      <c r="FXC618" s="17">
        <v>44925</v>
      </c>
      <c r="FXD618" s="5" t="s">
        <v>3728</v>
      </c>
      <c r="FXE618" s="17">
        <v>44925</v>
      </c>
      <c r="FXF618" s="5" t="s">
        <v>3728</v>
      </c>
      <c r="FXG618" s="17">
        <v>44925</v>
      </c>
      <c r="FXH618" s="5" t="s">
        <v>3728</v>
      </c>
      <c r="FXI618" s="17">
        <v>44925</v>
      </c>
      <c r="FXJ618" s="5" t="s">
        <v>3728</v>
      </c>
      <c r="FXK618" s="17">
        <v>44925</v>
      </c>
      <c r="FXL618" s="5" t="s">
        <v>3728</v>
      </c>
      <c r="FXM618" s="17">
        <v>44925</v>
      </c>
      <c r="FXN618" s="5" t="s">
        <v>3728</v>
      </c>
      <c r="FXO618" s="17">
        <v>44925</v>
      </c>
      <c r="FXP618" s="5" t="s">
        <v>3728</v>
      </c>
      <c r="FXQ618" s="17">
        <v>44925</v>
      </c>
      <c r="FXR618" s="5" t="s">
        <v>3728</v>
      </c>
      <c r="FXS618" s="17">
        <v>44925</v>
      </c>
      <c r="FXT618" s="5" t="s">
        <v>3728</v>
      </c>
      <c r="FXU618" s="17">
        <v>44925</v>
      </c>
      <c r="FXV618" s="5" t="s">
        <v>3728</v>
      </c>
      <c r="FXW618" s="17">
        <v>44925</v>
      </c>
      <c r="FXX618" s="5" t="s">
        <v>3728</v>
      </c>
      <c r="FXY618" s="17">
        <v>44925</v>
      </c>
      <c r="FXZ618" s="5" t="s">
        <v>3728</v>
      </c>
      <c r="FYA618" s="17">
        <v>44925</v>
      </c>
      <c r="FYB618" s="5" t="s">
        <v>3728</v>
      </c>
      <c r="FYC618" s="17">
        <v>44925</v>
      </c>
      <c r="FYD618" s="5" t="s">
        <v>3728</v>
      </c>
      <c r="FYE618" s="17">
        <v>44925</v>
      </c>
      <c r="FYF618" s="5" t="s">
        <v>3728</v>
      </c>
      <c r="FYG618" s="17">
        <v>44925</v>
      </c>
      <c r="FYH618" s="5" t="s">
        <v>3728</v>
      </c>
      <c r="FYI618" s="17">
        <v>44925</v>
      </c>
      <c r="FYJ618" s="5" t="s">
        <v>3728</v>
      </c>
      <c r="FYK618" s="17">
        <v>44925</v>
      </c>
      <c r="FYL618" s="5" t="s">
        <v>3728</v>
      </c>
      <c r="FYM618" s="17">
        <v>44925</v>
      </c>
      <c r="FYN618" s="5" t="s">
        <v>3728</v>
      </c>
      <c r="FYO618" s="17">
        <v>44925</v>
      </c>
      <c r="FYP618" s="5" t="s">
        <v>3728</v>
      </c>
      <c r="FYQ618" s="17">
        <v>44925</v>
      </c>
      <c r="FYR618" s="5" t="s">
        <v>3728</v>
      </c>
      <c r="FYS618" s="17">
        <v>44925</v>
      </c>
      <c r="FYT618" s="5" t="s">
        <v>3728</v>
      </c>
      <c r="FYU618" s="17">
        <v>44925</v>
      </c>
      <c r="FYV618" s="5" t="s">
        <v>3728</v>
      </c>
      <c r="FYW618" s="17">
        <v>44925</v>
      </c>
      <c r="FYX618" s="5" t="s">
        <v>3728</v>
      </c>
      <c r="FYY618" s="17">
        <v>44925</v>
      </c>
      <c r="FYZ618" s="5" t="s">
        <v>3728</v>
      </c>
      <c r="FZA618" s="17">
        <v>44925</v>
      </c>
      <c r="FZB618" s="5" t="s">
        <v>3728</v>
      </c>
      <c r="FZC618" s="17">
        <v>44925</v>
      </c>
      <c r="FZD618" s="5" t="s">
        <v>3728</v>
      </c>
      <c r="FZE618" s="17">
        <v>44925</v>
      </c>
      <c r="FZF618" s="5" t="s">
        <v>3728</v>
      </c>
      <c r="FZG618" s="17">
        <v>44925</v>
      </c>
      <c r="FZH618" s="5" t="s">
        <v>3728</v>
      </c>
      <c r="FZI618" s="17">
        <v>44925</v>
      </c>
      <c r="FZJ618" s="5" t="s">
        <v>3728</v>
      </c>
      <c r="FZK618" s="17">
        <v>44925</v>
      </c>
      <c r="FZL618" s="5" t="s">
        <v>3728</v>
      </c>
      <c r="FZM618" s="17">
        <v>44925</v>
      </c>
      <c r="FZN618" s="5" t="s">
        <v>3728</v>
      </c>
      <c r="FZO618" s="17">
        <v>44925</v>
      </c>
      <c r="FZP618" s="5" t="s">
        <v>3728</v>
      </c>
      <c r="FZQ618" s="17">
        <v>44925</v>
      </c>
      <c r="FZR618" s="5" t="s">
        <v>3728</v>
      </c>
      <c r="FZS618" s="17">
        <v>44925</v>
      </c>
      <c r="FZT618" s="5" t="s">
        <v>3728</v>
      </c>
      <c r="FZU618" s="17">
        <v>44925</v>
      </c>
      <c r="FZV618" s="5" t="s">
        <v>3728</v>
      </c>
      <c r="FZW618" s="17">
        <v>44925</v>
      </c>
      <c r="FZX618" s="5" t="s">
        <v>3728</v>
      </c>
      <c r="FZY618" s="17">
        <v>44925</v>
      </c>
      <c r="FZZ618" s="5" t="s">
        <v>3728</v>
      </c>
      <c r="GAA618" s="17">
        <v>44925</v>
      </c>
      <c r="GAB618" s="5" t="s">
        <v>3728</v>
      </c>
      <c r="GAC618" s="17">
        <v>44925</v>
      </c>
      <c r="GAD618" s="5" t="s">
        <v>3728</v>
      </c>
      <c r="GAE618" s="17">
        <v>44925</v>
      </c>
      <c r="GAF618" s="5" t="s">
        <v>3728</v>
      </c>
      <c r="GAG618" s="17">
        <v>44925</v>
      </c>
      <c r="GAH618" s="5" t="s">
        <v>3728</v>
      </c>
      <c r="GAI618" s="17">
        <v>44925</v>
      </c>
      <c r="GAJ618" s="5" t="s">
        <v>3728</v>
      </c>
      <c r="GAK618" s="17">
        <v>44925</v>
      </c>
      <c r="GAL618" s="5" t="s">
        <v>3728</v>
      </c>
      <c r="GAM618" s="17">
        <v>44925</v>
      </c>
      <c r="GAN618" s="5" t="s">
        <v>3728</v>
      </c>
      <c r="GAO618" s="17">
        <v>44925</v>
      </c>
      <c r="GAP618" s="5" t="s">
        <v>3728</v>
      </c>
      <c r="GAQ618" s="17">
        <v>44925</v>
      </c>
      <c r="GAR618" s="5" t="s">
        <v>3728</v>
      </c>
      <c r="GAS618" s="17">
        <v>44925</v>
      </c>
      <c r="GAT618" s="5" t="s">
        <v>3728</v>
      </c>
      <c r="GAU618" s="17">
        <v>44925</v>
      </c>
      <c r="GAV618" s="5" t="s">
        <v>3728</v>
      </c>
      <c r="GAW618" s="17">
        <v>44925</v>
      </c>
      <c r="GAX618" s="5" t="s">
        <v>3728</v>
      </c>
      <c r="GAY618" s="17">
        <v>44925</v>
      </c>
      <c r="GAZ618" s="5" t="s">
        <v>3728</v>
      </c>
      <c r="GBA618" s="17">
        <v>44925</v>
      </c>
      <c r="GBB618" s="5" t="s">
        <v>3728</v>
      </c>
      <c r="GBC618" s="17">
        <v>44925</v>
      </c>
      <c r="GBD618" s="5" t="s">
        <v>3728</v>
      </c>
      <c r="GBE618" s="17">
        <v>44925</v>
      </c>
      <c r="GBF618" s="5" t="s">
        <v>3728</v>
      </c>
      <c r="GBG618" s="17">
        <v>44925</v>
      </c>
      <c r="GBH618" s="5" t="s">
        <v>3728</v>
      </c>
      <c r="GBI618" s="17">
        <v>44925</v>
      </c>
      <c r="GBJ618" s="5" t="s">
        <v>3728</v>
      </c>
      <c r="GBK618" s="17">
        <v>44925</v>
      </c>
      <c r="GBL618" s="5" t="s">
        <v>3728</v>
      </c>
      <c r="GBM618" s="17">
        <v>44925</v>
      </c>
      <c r="GBN618" s="5" t="s">
        <v>3728</v>
      </c>
      <c r="GBO618" s="17">
        <v>44925</v>
      </c>
      <c r="GBP618" s="5" t="s">
        <v>3728</v>
      </c>
      <c r="GBQ618" s="17">
        <v>44925</v>
      </c>
      <c r="GBR618" s="5" t="s">
        <v>3728</v>
      </c>
      <c r="GBS618" s="17">
        <v>44925</v>
      </c>
      <c r="GBT618" s="5" t="s">
        <v>3728</v>
      </c>
      <c r="GBU618" s="17">
        <v>44925</v>
      </c>
      <c r="GBV618" s="5" t="s">
        <v>3728</v>
      </c>
      <c r="GBW618" s="17">
        <v>44925</v>
      </c>
      <c r="GBX618" s="5" t="s">
        <v>3728</v>
      </c>
      <c r="GBY618" s="17">
        <v>44925</v>
      </c>
      <c r="GBZ618" s="5" t="s">
        <v>3728</v>
      </c>
      <c r="GCA618" s="17">
        <v>44925</v>
      </c>
      <c r="GCB618" s="5" t="s">
        <v>3728</v>
      </c>
      <c r="GCC618" s="17">
        <v>44925</v>
      </c>
      <c r="GCD618" s="5" t="s">
        <v>3728</v>
      </c>
      <c r="GCE618" s="17">
        <v>44925</v>
      </c>
      <c r="GCF618" s="5" t="s">
        <v>3728</v>
      </c>
      <c r="GCG618" s="17">
        <v>44925</v>
      </c>
      <c r="GCH618" s="5" t="s">
        <v>3728</v>
      </c>
      <c r="GCI618" s="17">
        <v>44925</v>
      </c>
      <c r="GCJ618" s="5" t="s">
        <v>3728</v>
      </c>
      <c r="GCK618" s="17">
        <v>44925</v>
      </c>
      <c r="GCL618" s="5" t="s">
        <v>3728</v>
      </c>
      <c r="GCM618" s="17">
        <v>44925</v>
      </c>
      <c r="GCN618" s="5" t="s">
        <v>3728</v>
      </c>
      <c r="GCO618" s="17">
        <v>44925</v>
      </c>
      <c r="GCP618" s="5" t="s">
        <v>3728</v>
      </c>
      <c r="GCQ618" s="17">
        <v>44925</v>
      </c>
      <c r="GCR618" s="5" t="s">
        <v>3728</v>
      </c>
      <c r="GCS618" s="17">
        <v>44925</v>
      </c>
      <c r="GCT618" s="5" t="s">
        <v>3728</v>
      </c>
      <c r="GCU618" s="17">
        <v>44925</v>
      </c>
      <c r="GCV618" s="5" t="s">
        <v>3728</v>
      </c>
      <c r="GCW618" s="17">
        <v>44925</v>
      </c>
      <c r="GCX618" s="5" t="s">
        <v>3728</v>
      </c>
      <c r="GCY618" s="17">
        <v>44925</v>
      </c>
      <c r="GCZ618" s="5" t="s">
        <v>3728</v>
      </c>
      <c r="GDA618" s="17">
        <v>44925</v>
      </c>
      <c r="GDB618" s="5" t="s">
        <v>3728</v>
      </c>
      <c r="GDC618" s="17">
        <v>44925</v>
      </c>
      <c r="GDD618" s="5" t="s">
        <v>3728</v>
      </c>
      <c r="GDE618" s="17">
        <v>44925</v>
      </c>
      <c r="GDF618" s="5" t="s">
        <v>3728</v>
      </c>
      <c r="GDG618" s="17">
        <v>44925</v>
      </c>
      <c r="GDH618" s="5" t="s">
        <v>3728</v>
      </c>
      <c r="GDI618" s="17">
        <v>44925</v>
      </c>
      <c r="GDJ618" s="5" t="s">
        <v>3728</v>
      </c>
      <c r="GDK618" s="17">
        <v>44925</v>
      </c>
      <c r="GDL618" s="5" t="s">
        <v>3728</v>
      </c>
      <c r="GDM618" s="17">
        <v>44925</v>
      </c>
      <c r="GDN618" s="5" t="s">
        <v>3728</v>
      </c>
      <c r="GDO618" s="17">
        <v>44925</v>
      </c>
      <c r="GDP618" s="5" t="s">
        <v>3728</v>
      </c>
      <c r="GDQ618" s="17">
        <v>44925</v>
      </c>
      <c r="GDR618" s="5" t="s">
        <v>3728</v>
      </c>
      <c r="GDS618" s="17">
        <v>44925</v>
      </c>
      <c r="GDT618" s="5" t="s">
        <v>3728</v>
      </c>
      <c r="GDU618" s="17">
        <v>44925</v>
      </c>
      <c r="GDV618" s="5" t="s">
        <v>3728</v>
      </c>
      <c r="GDW618" s="17">
        <v>44925</v>
      </c>
      <c r="GDX618" s="5" t="s">
        <v>3728</v>
      </c>
      <c r="GDY618" s="17">
        <v>44925</v>
      </c>
      <c r="GDZ618" s="5" t="s">
        <v>3728</v>
      </c>
      <c r="GEA618" s="17">
        <v>44925</v>
      </c>
      <c r="GEB618" s="5" t="s">
        <v>3728</v>
      </c>
      <c r="GEC618" s="17">
        <v>44925</v>
      </c>
      <c r="GED618" s="5" t="s">
        <v>3728</v>
      </c>
      <c r="GEE618" s="17">
        <v>44925</v>
      </c>
      <c r="GEF618" s="5" t="s">
        <v>3728</v>
      </c>
      <c r="GEG618" s="17">
        <v>44925</v>
      </c>
      <c r="GEH618" s="5" t="s">
        <v>3728</v>
      </c>
      <c r="GEI618" s="17">
        <v>44925</v>
      </c>
      <c r="GEJ618" s="5" t="s">
        <v>3728</v>
      </c>
      <c r="GEK618" s="17">
        <v>44925</v>
      </c>
      <c r="GEL618" s="5" t="s">
        <v>3728</v>
      </c>
      <c r="GEM618" s="17">
        <v>44925</v>
      </c>
      <c r="GEN618" s="5" t="s">
        <v>3728</v>
      </c>
      <c r="GEO618" s="17">
        <v>44925</v>
      </c>
      <c r="GEP618" s="5" t="s">
        <v>3728</v>
      </c>
      <c r="GEQ618" s="17">
        <v>44925</v>
      </c>
      <c r="GER618" s="5" t="s">
        <v>3728</v>
      </c>
      <c r="GES618" s="17">
        <v>44925</v>
      </c>
      <c r="GET618" s="5" t="s">
        <v>3728</v>
      </c>
      <c r="GEU618" s="17">
        <v>44925</v>
      </c>
      <c r="GEV618" s="5" t="s">
        <v>3728</v>
      </c>
      <c r="GEW618" s="17">
        <v>44925</v>
      </c>
      <c r="GEX618" s="5" t="s">
        <v>3728</v>
      </c>
      <c r="GEY618" s="17">
        <v>44925</v>
      </c>
      <c r="GEZ618" s="5" t="s">
        <v>3728</v>
      </c>
      <c r="GFA618" s="17">
        <v>44925</v>
      </c>
      <c r="GFB618" s="5" t="s">
        <v>3728</v>
      </c>
      <c r="GFC618" s="17">
        <v>44925</v>
      </c>
      <c r="GFD618" s="5" t="s">
        <v>3728</v>
      </c>
      <c r="GFE618" s="17">
        <v>44925</v>
      </c>
      <c r="GFF618" s="5" t="s">
        <v>3728</v>
      </c>
      <c r="GFG618" s="17">
        <v>44925</v>
      </c>
      <c r="GFH618" s="5" t="s">
        <v>3728</v>
      </c>
      <c r="GFI618" s="17">
        <v>44925</v>
      </c>
      <c r="GFJ618" s="5" t="s">
        <v>3728</v>
      </c>
      <c r="GFK618" s="17">
        <v>44925</v>
      </c>
      <c r="GFL618" s="5" t="s">
        <v>3728</v>
      </c>
      <c r="GFM618" s="17">
        <v>44925</v>
      </c>
      <c r="GFN618" s="5" t="s">
        <v>3728</v>
      </c>
      <c r="GFO618" s="17">
        <v>44925</v>
      </c>
      <c r="GFP618" s="5" t="s">
        <v>3728</v>
      </c>
      <c r="GFQ618" s="17">
        <v>44925</v>
      </c>
      <c r="GFR618" s="5" t="s">
        <v>3728</v>
      </c>
      <c r="GFS618" s="17">
        <v>44925</v>
      </c>
      <c r="GFT618" s="5" t="s">
        <v>3728</v>
      </c>
      <c r="GFU618" s="17">
        <v>44925</v>
      </c>
      <c r="GFV618" s="5" t="s">
        <v>3728</v>
      </c>
      <c r="GFW618" s="17">
        <v>44925</v>
      </c>
      <c r="GFX618" s="5" t="s">
        <v>3728</v>
      </c>
      <c r="GFY618" s="17">
        <v>44925</v>
      </c>
      <c r="GFZ618" s="5" t="s">
        <v>3728</v>
      </c>
      <c r="GGA618" s="17">
        <v>44925</v>
      </c>
      <c r="GGB618" s="5" t="s">
        <v>3728</v>
      </c>
      <c r="GGC618" s="17">
        <v>44925</v>
      </c>
      <c r="GGD618" s="5" t="s">
        <v>3728</v>
      </c>
      <c r="GGE618" s="17">
        <v>44925</v>
      </c>
      <c r="GGF618" s="5" t="s">
        <v>3728</v>
      </c>
      <c r="GGG618" s="17">
        <v>44925</v>
      </c>
      <c r="GGH618" s="5" t="s">
        <v>3728</v>
      </c>
      <c r="GGI618" s="17">
        <v>44925</v>
      </c>
      <c r="GGJ618" s="5" t="s">
        <v>3728</v>
      </c>
      <c r="GGK618" s="17">
        <v>44925</v>
      </c>
      <c r="GGL618" s="5" t="s">
        <v>3728</v>
      </c>
      <c r="GGM618" s="17">
        <v>44925</v>
      </c>
      <c r="GGN618" s="5" t="s">
        <v>3728</v>
      </c>
      <c r="GGO618" s="17">
        <v>44925</v>
      </c>
      <c r="GGP618" s="5" t="s">
        <v>3728</v>
      </c>
      <c r="GGQ618" s="17">
        <v>44925</v>
      </c>
      <c r="GGR618" s="5" t="s">
        <v>3728</v>
      </c>
      <c r="GGS618" s="17">
        <v>44925</v>
      </c>
      <c r="GGT618" s="5" t="s">
        <v>3728</v>
      </c>
      <c r="GGU618" s="17">
        <v>44925</v>
      </c>
      <c r="GGV618" s="5" t="s">
        <v>3728</v>
      </c>
      <c r="GGW618" s="17">
        <v>44925</v>
      </c>
      <c r="GGX618" s="5" t="s">
        <v>3728</v>
      </c>
      <c r="GGY618" s="17">
        <v>44925</v>
      </c>
      <c r="GGZ618" s="5" t="s">
        <v>3728</v>
      </c>
      <c r="GHA618" s="17">
        <v>44925</v>
      </c>
      <c r="GHB618" s="5" t="s">
        <v>3728</v>
      </c>
      <c r="GHC618" s="17">
        <v>44925</v>
      </c>
      <c r="GHD618" s="5" t="s">
        <v>3728</v>
      </c>
      <c r="GHE618" s="17">
        <v>44925</v>
      </c>
      <c r="GHF618" s="5" t="s">
        <v>3728</v>
      </c>
      <c r="GHG618" s="17">
        <v>44925</v>
      </c>
      <c r="GHH618" s="5" t="s">
        <v>3728</v>
      </c>
      <c r="GHI618" s="17">
        <v>44925</v>
      </c>
      <c r="GHJ618" s="5" t="s">
        <v>3728</v>
      </c>
      <c r="GHK618" s="17">
        <v>44925</v>
      </c>
      <c r="GHL618" s="5" t="s">
        <v>3728</v>
      </c>
      <c r="GHM618" s="17">
        <v>44925</v>
      </c>
      <c r="GHN618" s="5" t="s">
        <v>3728</v>
      </c>
      <c r="GHO618" s="17">
        <v>44925</v>
      </c>
      <c r="GHP618" s="5" t="s">
        <v>3728</v>
      </c>
      <c r="GHQ618" s="17">
        <v>44925</v>
      </c>
      <c r="GHR618" s="5" t="s">
        <v>3728</v>
      </c>
      <c r="GHS618" s="17">
        <v>44925</v>
      </c>
      <c r="GHT618" s="5" t="s">
        <v>3728</v>
      </c>
      <c r="GHU618" s="17">
        <v>44925</v>
      </c>
      <c r="GHV618" s="5" t="s">
        <v>3728</v>
      </c>
      <c r="GHW618" s="17">
        <v>44925</v>
      </c>
      <c r="GHX618" s="5" t="s">
        <v>3728</v>
      </c>
      <c r="GHY618" s="17">
        <v>44925</v>
      </c>
      <c r="GHZ618" s="5" t="s">
        <v>3728</v>
      </c>
      <c r="GIA618" s="17">
        <v>44925</v>
      </c>
      <c r="GIB618" s="5" t="s">
        <v>3728</v>
      </c>
      <c r="GIC618" s="17">
        <v>44925</v>
      </c>
      <c r="GID618" s="5" t="s">
        <v>3728</v>
      </c>
      <c r="GIE618" s="17">
        <v>44925</v>
      </c>
      <c r="GIF618" s="5" t="s">
        <v>3728</v>
      </c>
      <c r="GIG618" s="17">
        <v>44925</v>
      </c>
      <c r="GIH618" s="5" t="s">
        <v>3728</v>
      </c>
      <c r="GII618" s="17">
        <v>44925</v>
      </c>
      <c r="GIJ618" s="5" t="s">
        <v>3728</v>
      </c>
      <c r="GIK618" s="17">
        <v>44925</v>
      </c>
      <c r="GIL618" s="5" t="s">
        <v>3728</v>
      </c>
      <c r="GIM618" s="17">
        <v>44925</v>
      </c>
      <c r="GIN618" s="5" t="s">
        <v>3728</v>
      </c>
      <c r="GIO618" s="17">
        <v>44925</v>
      </c>
      <c r="GIP618" s="5" t="s">
        <v>3728</v>
      </c>
      <c r="GIQ618" s="17">
        <v>44925</v>
      </c>
      <c r="GIR618" s="5" t="s">
        <v>3728</v>
      </c>
      <c r="GIS618" s="17">
        <v>44925</v>
      </c>
      <c r="GIT618" s="5" t="s">
        <v>3728</v>
      </c>
      <c r="GIU618" s="17">
        <v>44925</v>
      </c>
      <c r="GIV618" s="5" t="s">
        <v>3728</v>
      </c>
      <c r="GIW618" s="17">
        <v>44925</v>
      </c>
      <c r="GIX618" s="5" t="s">
        <v>3728</v>
      </c>
      <c r="GIY618" s="17">
        <v>44925</v>
      </c>
      <c r="GIZ618" s="5" t="s">
        <v>3728</v>
      </c>
      <c r="GJA618" s="17">
        <v>44925</v>
      </c>
      <c r="GJB618" s="5" t="s">
        <v>3728</v>
      </c>
      <c r="GJC618" s="17">
        <v>44925</v>
      </c>
      <c r="GJD618" s="5" t="s">
        <v>3728</v>
      </c>
      <c r="GJE618" s="17">
        <v>44925</v>
      </c>
      <c r="GJF618" s="5" t="s">
        <v>3728</v>
      </c>
      <c r="GJG618" s="17">
        <v>44925</v>
      </c>
      <c r="GJH618" s="5" t="s">
        <v>3728</v>
      </c>
      <c r="GJI618" s="17">
        <v>44925</v>
      </c>
      <c r="GJJ618" s="5" t="s">
        <v>3728</v>
      </c>
      <c r="GJK618" s="17">
        <v>44925</v>
      </c>
      <c r="GJL618" s="5" t="s">
        <v>3728</v>
      </c>
      <c r="GJM618" s="17">
        <v>44925</v>
      </c>
      <c r="GJN618" s="5" t="s">
        <v>3728</v>
      </c>
      <c r="GJO618" s="17">
        <v>44925</v>
      </c>
      <c r="GJP618" s="5" t="s">
        <v>3728</v>
      </c>
      <c r="GJQ618" s="17">
        <v>44925</v>
      </c>
      <c r="GJR618" s="5" t="s">
        <v>3728</v>
      </c>
      <c r="GJS618" s="17">
        <v>44925</v>
      </c>
      <c r="GJT618" s="5" t="s">
        <v>3728</v>
      </c>
      <c r="GJU618" s="17">
        <v>44925</v>
      </c>
      <c r="GJV618" s="5" t="s">
        <v>3728</v>
      </c>
      <c r="GJW618" s="17">
        <v>44925</v>
      </c>
      <c r="GJX618" s="5" t="s">
        <v>3728</v>
      </c>
      <c r="GJY618" s="17">
        <v>44925</v>
      </c>
      <c r="GJZ618" s="5" t="s">
        <v>3728</v>
      </c>
      <c r="GKA618" s="17">
        <v>44925</v>
      </c>
      <c r="GKB618" s="5" t="s">
        <v>3728</v>
      </c>
      <c r="GKC618" s="17">
        <v>44925</v>
      </c>
      <c r="GKD618" s="5" t="s">
        <v>3728</v>
      </c>
      <c r="GKE618" s="17">
        <v>44925</v>
      </c>
      <c r="GKF618" s="5" t="s">
        <v>3728</v>
      </c>
      <c r="GKG618" s="17">
        <v>44925</v>
      </c>
      <c r="GKH618" s="5" t="s">
        <v>3728</v>
      </c>
      <c r="GKI618" s="17">
        <v>44925</v>
      </c>
      <c r="GKJ618" s="5" t="s">
        <v>3728</v>
      </c>
      <c r="GKK618" s="17">
        <v>44925</v>
      </c>
      <c r="GKL618" s="5" t="s">
        <v>3728</v>
      </c>
      <c r="GKM618" s="17">
        <v>44925</v>
      </c>
      <c r="GKN618" s="5" t="s">
        <v>3728</v>
      </c>
      <c r="GKO618" s="17">
        <v>44925</v>
      </c>
      <c r="GKP618" s="5" t="s">
        <v>3728</v>
      </c>
      <c r="GKQ618" s="17">
        <v>44925</v>
      </c>
      <c r="GKR618" s="5" t="s">
        <v>3728</v>
      </c>
      <c r="GKS618" s="17">
        <v>44925</v>
      </c>
      <c r="GKT618" s="5" t="s">
        <v>3728</v>
      </c>
      <c r="GKU618" s="17">
        <v>44925</v>
      </c>
      <c r="GKV618" s="5" t="s">
        <v>3728</v>
      </c>
      <c r="GKW618" s="17">
        <v>44925</v>
      </c>
      <c r="GKX618" s="5" t="s">
        <v>3728</v>
      </c>
      <c r="GKY618" s="17">
        <v>44925</v>
      </c>
      <c r="GKZ618" s="5" t="s">
        <v>3728</v>
      </c>
      <c r="GLA618" s="17">
        <v>44925</v>
      </c>
      <c r="GLB618" s="5" t="s">
        <v>3728</v>
      </c>
      <c r="GLC618" s="17">
        <v>44925</v>
      </c>
      <c r="GLD618" s="5" t="s">
        <v>3728</v>
      </c>
      <c r="GLE618" s="17">
        <v>44925</v>
      </c>
      <c r="GLF618" s="5" t="s">
        <v>3728</v>
      </c>
      <c r="GLG618" s="17">
        <v>44925</v>
      </c>
      <c r="GLH618" s="5" t="s">
        <v>3728</v>
      </c>
      <c r="GLI618" s="17">
        <v>44925</v>
      </c>
      <c r="GLJ618" s="5" t="s">
        <v>3728</v>
      </c>
      <c r="GLK618" s="17">
        <v>44925</v>
      </c>
      <c r="GLL618" s="5" t="s">
        <v>3728</v>
      </c>
      <c r="GLM618" s="17">
        <v>44925</v>
      </c>
      <c r="GLN618" s="5" t="s">
        <v>3728</v>
      </c>
      <c r="GLO618" s="17">
        <v>44925</v>
      </c>
      <c r="GLP618" s="5" t="s">
        <v>3728</v>
      </c>
      <c r="GLQ618" s="17">
        <v>44925</v>
      </c>
      <c r="GLR618" s="5" t="s">
        <v>3728</v>
      </c>
      <c r="GLS618" s="17">
        <v>44925</v>
      </c>
      <c r="GLT618" s="5" t="s">
        <v>3728</v>
      </c>
      <c r="GLU618" s="17">
        <v>44925</v>
      </c>
      <c r="GLV618" s="5" t="s">
        <v>3728</v>
      </c>
      <c r="GLW618" s="17">
        <v>44925</v>
      </c>
      <c r="GLX618" s="5" t="s">
        <v>3728</v>
      </c>
      <c r="GLY618" s="17">
        <v>44925</v>
      </c>
      <c r="GLZ618" s="5" t="s">
        <v>3728</v>
      </c>
      <c r="GMA618" s="17">
        <v>44925</v>
      </c>
      <c r="GMB618" s="5" t="s">
        <v>3728</v>
      </c>
      <c r="GMC618" s="17">
        <v>44925</v>
      </c>
      <c r="GMD618" s="5" t="s">
        <v>3728</v>
      </c>
      <c r="GME618" s="17">
        <v>44925</v>
      </c>
      <c r="GMF618" s="5" t="s">
        <v>3728</v>
      </c>
      <c r="GMG618" s="17">
        <v>44925</v>
      </c>
      <c r="GMH618" s="5" t="s">
        <v>3728</v>
      </c>
      <c r="GMI618" s="17">
        <v>44925</v>
      </c>
      <c r="GMJ618" s="5" t="s">
        <v>3728</v>
      </c>
      <c r="GMK618" s="17">
        <v>44925</v>
      </c>
      <c r="GML618" s="5" t="s">
        <v>3728</v>
      </c>
      <c r="GMM618" s="17">
        <v>44925</v>
      </c>
      <c r="GMN618" s="5" t="s">
        <v>3728</v>
      </c>
      <c r="GMO618" s="17">
        <v>44925</v>
      </c>
      <c r="GMP618" s="5" t="s">
        <v>3728</v>
      </c>
      <c r="GMQ618" s="17">
        <v>44925</v>
      </c>
      <c r="GMR618" s="5" t="s">
        <v>3728</v>
      </c>
      <c r="GMS618" s="17">
        <v>44925</v>
      </c>
      <c r="GMT618" s="5" t="s">
        <v>3728</v>
      </c>
      <c r="GMU618" s="17">
        <v>44925</v>
      </c>
      <c r="GMV618" s="5" t="s">
        <v>3728</v>
      </c>
      <c r="GMW618" s="17">
        <v>44925</v>
      </c>
      <c r="GMX618" s="5" t="s">
        <v>3728</v>
      </c>
      <c r="GMY618" s="17">
        <v>44925</v>
      </c>
      <c r="GMZ618" s="5" t="s">
        <v>3728</v>
      </c>
      <c r="GNA618" s="17">
        <v>44925</v>
      </c>
      <c r="GNB618" s="5" t="s">
        <v>3728</v>
      </c>
      <c r="GNC618" s="17">
        <v>44925</v>
      </c>
      <c r="GND618" s="5" t="s">
        <v>3728</v>
      </c>
      <c r="GNE618" s="17">
        <v>44925</v>
      </c>
      <c r="GNF618" s="5" t="s">
        <v>3728</v>
      </c>
      <c r="GNG618" s="17">
        <v>44925</v>
      </c>
      <c r="GNH618" s="5" t="s">
        <v>3728</v>
      </c>
      <c r="GNI618" s="17">
        <v>44925</v>
      </c>
      <c r="GNJ618" s="5" t="s">
        <v>3728</v>
      </c>
      <c r="GNK618" s="17">
        <v>44925</v>
      </c>
      <c r="GNL618" s="5" t="s">
        <v>3728</v>
      </c>
      <c r="GNM618" s="17">
        <v>44925</v>
      </c>
      <c r="GNN618" s="5" t="s">
        <v>3728</v>
      </c>
      <c r="GNO618" s="17">
        <v>44925</v>
      </c>
      <c r="GNP618" s="5" t="s">
        <v>3728</v>
      </c>
      <c r="GNQ618" s="17">
        <v>44925</v>
      </c>
      <c r="GNR618" s="5" t="s">
        <v>3728</v>
      </c>
      <c r="GNS618" s="17">
        <v>44925</v>
      </c>
      <c r="GNT618" s="5" t="s">
        <v>3728</v>
      </c>
      <c r="GNU618" s="17">
        <v>44925</v>
      </c>
      <c r="GNV618" s="5" t="s">
        <v>3728</v>
      </c>
      <c r="GNW618" s="17">
        <v>44925</v>
      </c>
      <c r="GNX618" s="5" t="s">
        <v>3728</v>
      </c>
      <c r="GNY618" s="17">
        <v>44925</v>
      </c>
      <c r="GNZ618" s="5" t="s">
        <v>3728</v>
      </c>
      <c r="GOA618" s="17">
        <v>44925</v>
      </c>
      <c r="GOB618" s="5" t="s">
        <v>3728</v>
      </c>
      <c r="GOC618" s="17">
        <v>44925</v>
      </c>
      <c r="GOD618" s="5" t="s">
        <v>3728</v>
      </c>
      <c r="GOE618" s="17">
        <v>44925</v>
      </c>
      <c r="GOF618" s="5" t="s">
        <v>3728</v>
      </c>
      <c r="GOG618" s="17">
        <v>44925</v>
      </c>
      <c r="GOH618" s="5" t="s">
        <v>3728</v>
      </c>
      <c r="GOI618" s="17">
        <v>44925</v>
      </c>
      <c r="GOJ618" s="5" t="s">
        <v>3728</v>
      </c>
      <c r="GOK618" s="17">
        <v>44925</v>
      </c>
      <c r="GOL618" s="5" t="s">
        <v>3728</v>
      </c>
      <c r="GOM618" s="17">
        <v>44925</v>
      </c>
      <c r="GON618" s="5" t="s">
        <v>3728</v>
      </c>
      <c r="GOO618" s="17">
        <v>44925</v>
      </c>
      <c r="GOP618" s="5" t="s">
        <v>3728</v>
      </c>
      <c r="GOQ618" s="17">
        <v>44925</v>
      </c>
      <c r="GOR618" s="5" t="s">
        <v>3728</v>
      </c>
      <c r="GOS618" s="17">
        <v>44925</v>
      </c>
      <c r="GOT618" s="5" t="s">
        <v>3728</v>
      </c>
      <c r="GOU618" s="17">
        <v>44925</v>
      </c>
      <c r="GOV618" s="5" t="s">
        <v>3728</v>
      </c>
      <c r="GOW618" s="17">
        <v>44925</v>
      </c>
      <c r="GOX618" s="5" t="s">
        <v>3728</v>
      </c>
      <c r="GOY618" s="17">
        <v>44925</v>
      </c>
      <c r="GOZ618" s="5" t="s">
        <v>3728</v>
      </c>
      <c r="GPA618" s="17">
        <v>44925</v>
      </c>
      <c r="GPB618" s="5" t="s">
        <v>3728</v>
      </c>
      <c r="GPC618" s="17">
        <v>44925</v>
      </c>
      <c r="GPD618" s="5" t="s">
        <v>3728</v>
      </c>
      <c r="GPE618" s="17">
        <v>44925</v>
      </c>
      <c r="GPF618" s="5" t="s">
        <v>3728</v>
      </c>
      <c r="GPG618" s="17">
        <v>44925</v>
      </c>
      <c r="GPH618" s="5" t="s">
        <v>3728</v>
      </c>
      <c r="GPI618" s="17">
        <v>44925</v>
      </c>
      <c r="GPJ618" s="5" t="s">
        <v>3728</v>
      </c>
      <c r="GPK618" s="17">
        <v>44925</v>
      </c>
      <c r="GPL618" s="5" t="s">
        <v>3728</v>
      </c>
      <c r="GPM618" s="17">
        <v>44925</v>
      </c>
      <c r="GPN618" s="5" t="s">
        <v>3728</v>
      </c>
      <c r="GPO618" s="17">
        <v>44925</v>
      </c>
      <c r="GPP618" s="5" t="s">
        <v>3728</v>
      </c>
      <c r="GPQ618" s="17">
        <v>44925</v>
      </c>
      <c r="GPR618" s="5" t="s">
        <v>3728</v>
      </c>
      <c r="GPS618" s="17">
        <v>44925</v>
      </c>
      <c r="GPT618" s="5" t="s">
        <v>3728</v>
      </c>
      <c r="GPU618" s="17">
        <v>44925</v>
      </c>
      <c r="GPV618" s="5" t="s">
        <v>3728</v>
      </c>
      <c r="GPW618" s="17">
        <v>44925</v>
      </c>
      <c r="GPX618" s="5" t="s">
        <v>3728</v>
      </c>
      <c r="GPY618" s="17">
        <v>44925</v>
      </c>
      <c r="GPZ618" s="5" t="s">
        <v>3728</v>
      </c>
      <c r="GQA618" s="17">
        <v>44925</v>
      </c>
      <c r="GQB618" s="5" t="s">
        <v>3728</v>
      </c>
      <c r="GQC618" s="17">
        <v>44925</v>
      </c>
      <c r="GQD618" s="5" t="s">
        <v>3728</v>
      </c>
      <c r="GQE618" s="17">
        <v>44925</v>
      </c>
      <c r="GQF618" s="5" t="s">
        <v>3728</v>
      </c>
      <c r="GQG618" s="17">
        <v>44925</v>
      </c>
      <c r="GQH618" s="5" t="s">
        <v>3728</v>
      </c>
      <c r="GQI618" s="17">
        <v>44925</v>
      </c>
      <c r="GQJ618" s="5" t="s">
        <v>3728</v>
      </c>
      <c r="GQK618" s="17">
        <v>44925</v>
      </c>
      <c r="GQL618" s="5" t="s">
        <v>3728</v>
      </c>
      <c r="GQM618" s="17">
        <v>44925</v>
      </c>
      <c r="GQN618" s="5" t="s">
        <v>3728</v>
      </c>
      <c r="GQO618" s="17">
        <v>44925</v>
      </c>
      <c r="GQP618" s="5" t="s">
        <v>3728</v>
      </c>
      <c r="GQQ618" s="17">
        <v>44925</v>
      </c>
      <c r="GQR618" s="5" t="s">
        <v>3728</v>
      </c>
      <c r="GQS618" s="17">
        <v>44925</v>
      </c>
      <c r="GQT618" s="5" t="s">
        <v>3728</v>
      </c>
      <c r="GQU618" s="17">
        <v>44925</v>
      </c>
      <c r="GQV618" s="5" t="s">
        <v>3728</v>
      </c>
      <c r="GQW618" s="17">
        <v>44925</v>
      </c>
      <c r="GQX618" s="5" t="s">
        <v>3728</v>
      </c>
      <c r="GQY618" s="17">
        <v>44925</v>
      </c>
      <c r="GQZ618" s="5" t="s">
        <v>3728</v>
      </c>
      <c r="GRA618" s="17">
        <v>44925</v>
      </c>
      <c r="GRB618" s="5" t="s">
        <v>3728</v>
      </c>
      <c r="GRC618" s="17">
        <v>44925</v>
      </c>
      <c r="GRD618" s="5" t="s">
        <v>3728</v>
      </c>
      <c r="GRE618" s="17">
        <v>44925</v>
      </c>
      <c r="GRF618" s="5" t="s">
        <v>3728</v>
      </c>
      <c r="GRG618" s="17">
        <v>44925</v>
      </c>
      <c r="GRH618" s="5" t="s">
        <v>3728</v>
      </c>
      <c r="GRI618" s="17">
        <v>44925</v>
      </c>
      <c r="GRJ618" s="5" t="s">
        <v>3728</v>
      </c>
      <c r="GRK618" s="17">
        <v>44925</v>
      </c>
      <c r="GRL618" s="5" t="s">
        <v>3728</v>
      </c>
      <c r="GRM618" s="17">
        <v>44925</v>
      </c>
      <c r="GRN618" s="5" t="s">
        <v>3728</v>
      </c>
      <c r="GRO618" s="17">
        <v>44925</v>
      </c>
      <c r="GRP618" s="5" t="s">
        <v>3728</v>
      </c>
      <c r="GRQ618" s="17">
        <v>44925</v>
      </c>
      <c r="GRR618" s="5" t="s">
        <v>3728</v>
      </c>
      <c r="GRS618" s="17">
        <v>44925</v>
      </c>
      <c r="GRT618" s="5" t="s">
        <v>3728</v>
      </c>
      <c r="GRU618" s="17">
        <v>44925</v>
      </c>
      <c r="GRV618" s="5" t="s">
        <v>3728</v>
      </c>
      <c r="GRW618" s="17">
        <v>44925</v>
      </c>
      <c r="GRX618" s="5" t="s">
        <v>3728</v>
      </c>
      <c r="GRY618" s="17">
        <v>44925</v>
      </c>
      <c r="GRZ618" s="5" t="s">
        <v>3728</v>
      </c>
      <c r="GSA618" s="17">
        <v>44925</v>
      </c>
      <c r="GSB618" s="5" t="s">
        <v>3728</v>
      </c>
      <c r="GSC618" s="17">
        <v>44925</v>
      </c>
      <c r="GSD618" s="5" t="s">
        <v>3728</v>
      </c>
      <c r="GSE618" s="17">
        <v>44925</v>
      </c>
      <c r="GSF618" s="5" t="s">
        <v>3728</v>
      </c>
      <c r="GSG618" s="17">
        <v>44925</v>
      </c>
      <c r="GSH618" s="5" t="s">
        <v>3728</v>
      </c>
      <c r="GSI618" s="17">
        <v>44925</v>
      </c>
      <c r="GSJ618" s="5" t="s">
        <v>3728</v>
      </c>
      <c r="GSK618" s="17">
        <v>44925</v>
      </c>
      <c r="GSL618" s="5" t="s">
        <v>3728</v>
      </c>
      <c r="GSM618" s="17">
        <v>44925</v>
      </c>
      <c r="GSN618" s="5" t="s">
        <v>3728</v>
      </c>
      <c r="GSO618" s="17">
        <v>44925</v>
      </c>
      <c r="GSP618" s="5" t="s">
        <v>3728</v>
      </c>
      <c r="GSQ618" s="17">
        <v>44925</v>
      </c>
      <c r="GSR618" s="5" t="s">
        <v>3728</v>
      </c>
      <c r="GSS618" s="17">
        <v>44925</v>
      </c>
      <c r="GST618" s="5" t="s">
        <v>3728</v>
      </c>
      <c r="GSU618" s="17">
        <v>44925</v>
      </c>
      <c r="GSV618" s="5" t="s">
        <v>3728</v>
      </c>
      <c r="GSW618" s="17">
        <v>44925</v>
      </c>
      <c r="GSX618" s="5" t="s">
        <v>3728</v>
      </c>
      <c r="GSY618" s="17">
        <v>44925</v>
      </c>
      <c r="GSZ618" s="5" t="s">
        <v>3728</v>
      </c>
      <c r="GTA618" s="17">
        <v>44925</v>
      </c>
      <c r="GTB618" s="5" t="s">
        <v>3728</v>
      </c>
      <c r="GTC618" s="17">
        <v>44925</v>
      </c>
      <c r="GTD618" s="5" t="s">
        <v>3728</v>
      </c>
      <c r="GTE618" s="17">
        <v>44925</v>
      </c>
      <c r="GTF618" s="5" t="s">
        <v>3728</v>
      </c>
      <c r="GTG618" s="17">
        <v>44925</v>
      </c>
      <c r="GTH618" s="5" t="s">
        <v>3728</v>
      </c>
      <c r="GTI618" s="17">
        <v>44925</v>
      </c>
      <c r="GTJ618" s="5" t="s">
        <v>3728</v>
      </c>
      <c r="GTK618" s="17">
        <v>44925</v>
      </c>
      <c r="GTL618" s="5" t="s">
        <v>3728</v>
      </c>
      <c r="GTM618" s="17">
        <v>44925</v>
      </c>
      <c r="GTN618" s="5" t="s">
        <v>3728</v>
      </c>
      <c r="GTO618" s="17">
        <v>44925</v>
      </c>
      <c r="GTP618" s="5" t="s">
        <v>3728</v>
      </c>
      <c r="GTQ618" s="17">
        <v>44925</v>
      </c>
      <c r="GTR618" s="5" t="s">
        <v>3728</v>
      </c>
      <c r="GTS618" s="17">
        <v>44925</v>
      </c>
      <c r="GTT618" s="5" t="s">
        <v>3728</v>
      </c>
      <c r="GTU618" s="17">
        <v>44925</v>
      </c>
      <c r="GTV618" s="5" t="s">
        <v>3728</v>
      </c>
      <c r="GTW618" s="17">
        <v>44925</v>
      </c>
      <c r="GTX618" s="5" t="s">
        <v>3728</v>
      </c>
      <c r="GTY618" s="17">
        <v>44925</v>
      </c>
      <c r="GTZ618" s="5" t="s">
        <v>3728</v>
      </c>
      <c r="GUA618" s="17">
        <v>44925</v>
      </c>
      <c r="GUB618" s="5" t="s">
        <v>3728</v>
      </c>
      <c r="GUC618" s="17">
        <v>44925</v>
      </c>
      <c r="GUD618" s="5" t="s">
        <v>3728</v>
      </c>
      <c r="GUE618" s="17">
        <v>44925</v>
      </c>
      <c r="GUF618" s="5" t="s">
        <v>3728</v>
      </c>
      <c r="GUG618" s="17">
        <v>44925</v>
      </c>
      <c r="GUH618" s="5" t="s">
        <v>3728</v>
      </c>
      <c r="GUI618" s="17">
        <v>44925</v>
      </c>
      <c r="GUJ618" s="5" t="s">
        <v>3728</v>
      </c>
      <c r="GUK618" s="17">
        <v>44925</v>
      </c>
      <c r="GUL618" s="5" t="s">
        <v>3728</v>
      </c>
      <c r="GUM618" s="17">
        <v>44925</v>
      </c>
      <c r="GUN618" s="5" t="s">
        <v>3728</v>
      </c>
      <c r="GUO618" s="17">
        <v>44925</v>
      </c>
      <c r="GUP618" s="5" t="s">
        <v>3728</v>
      </c>
      <c r="GUQ618" s="17">
        <v>44925</v>
      </c>
      <c r="GUR618" s="5" t="s">
        <v>3728</v>
      </c>
      <c r="GUS618" s="17">
        <v>44925</v>
      </c>
      <c r="GUT618" s="5" t="s">
        <v>3728</v>
      </c>
      <c r="GUU618" s="17">
        <v>44925</v>
      </c>
      <c r="GUV618" s="5" t="s">
        <v>3728</v>
      </c>
      <c r="GUW618" s="17">
        <v>44925</v>
      </c>
      <c r="GUX618" s="5" t="s">
        <v>3728</v>
      </c>
      <c r="GUY618" s="17">
        <v>44925</v>
      </c>
      <c r="GUZ618" s="5" t="s">
        <v>3728</v>
      </c>
      <c r="GVA618" s="17">
        <v>44925</v>
      </c>
      <c r="GVB618" s="5" t="s">
        <v>3728</v>
      </c>
      <c r="GVC618" s="17">
        <v>44925</v>
      </c>
      <c r="GVD618" s="5" t="s">
        <v>3728</v>
      </c>
      <c r="GVE618" s="17">
        <v>44925</v>
      </c>
      <c r="GVF618" s="5" t="s">
        <v>3728</v>
      </c>
      <c r="GVG618" s="17">
        <v>44925</v>
      </c>
      <c r="GVH618" s="5" t="s">
        <v>3728</v>
      </c>
      <c r="GVI618" s="17">
        <v>44925</v>
      </c>
      <c r="GVJ618" s="5" t="s">
        <v>3728</v>
      </c>
      <c r="GVK618" s="17">
        <v>44925</v>
      </c>
      <c r="GVL618" s="5" t="s">
        <v>3728</v>
      </c>
      <c r="GVM618" s="17">
        <v>44925</v>
      </c>
      <c r="GVN618" s="5" t="s">
        <v>3728</v>
      </c>
      <c r="GVO618" s="17">
        <v>44925</v>
      </c>
      <c r="GVP618" s="5" t="s">
        <v>3728</v>
      </c>
      <c r="GVQ618" s="17">
        <v>44925</v>
      </c>
      <c r="GVR618" s="5" t="s">
        <v>3728</v>
      </c>
      <c r="GVS618" s="17">
        <v>44925</v>
      </c>
      <c r="GVT618" s="5" t="s">
        <v>3728</v>
      </c>
      <c r="GVU618" s="17">
        <v>44925</v>
      </c>
      <c r="GVV618" s="5" t="s">
        <v>3728</v>
      </c>
      <c r="GVW618" s="17">
        <v>44925</v>
      </c>
      <c r="GVX618" s="5" t="s">
        <v>3728</v>
      </c>
      <c r="GVY618" s="17">
        <v>44925</v>
      </c>
      <c r="GVZ618" s="5" t="s">
        <v>3728</v>
      </c>
      <c r="GWA618" s="17">
        <v>44925</v>
      </c>
      <c r="GWB618" s="5" t="s">
        <v>3728</v>
      </c>
      <c r="GWC618" s="17">
        <v>44925</v>
      </c>
      <c r="GWD618" s="5" t="s">
        <v>3728</v>
      </c>
      <c r="GWE618" s="17">
        <v>44925</v>
      </c>
      <c r="GWF618" s="5" t="s">
        <v>3728</v>
      </c>
      <c r="GWG618" s="17">
        <v>44925</v>
      </c>
      <c r="GWH618" s="5" t="s">
        <v>3728</v>
      </c>
      <c r="GWI618" s="17">
        <v>44925</v>
      </c>
      <c r="GWJ618" s="5" t="s">
        <v>3728</v>
      </c>
      <c r="GWK618" s="17">
        <v>44925</v>
      </c>
      <c r="GWL618" s="5" t="s">
        <v>3728</v>
      </c>
      <c r="GWM618" s="17">
        <v>44925</v>
      </c>
      <c r="GWN618" s="5" t="s">
        <v>3728</v>
      </c>
      <c r="GWO618" s="17">
        <v>44925</v>
      </c>
      <c r="GWP618" s="5" t="s">
        <v>3728</v>
      </c>
      <c r="GWQ618" s="17">
        <v>44925</v>
      </c>
      <c r="GWR618" s="5" t="s">
        <v>3728</v>
      </c>
      <c r="GWS618" s="17">
        <v>44925</v>
      </c>
      <c r="GWT618" s="5" t="s">
        <v>3728</v>
      </c>
      <c r="GWU618" s="17">
        <v>44925</v>
      </c>
      <c r="GWV618" s="5" t="s">
        <v>3728</v>
      </c>
      <c r="GWW618" s="17">
        <v>44925</v>
      </c>
      <c r="GWX618" s="5" t="s">
        <v>3728</v>
      </c>
      <c r="GWY618" s="17">
        <v>44925</v>
      </c>
      <c r="GWZ618" s="5" t="s">
        <v>3728</v>
      </c>
      <c r="GXA618" s="17">
        <v>44925</v>
      </c>
      <c r="GXB618" s="5" t="s">
        <v>3728</v>
      </c>
      <c r="GXC618" s="17">
        <v>44925</v>
      </c>
      <c r="GXD618" s="5" t="s">
        <v>3728</v>
      </c>
      <c r="GXE618" s="17">
        <v>44925</v>
      </c>
      <c r="GXF618" s="5" t="s">
        <v>3728</v>
      </c>
      <c r="GXG618" s="17">
        <v>44925</v>
      </c>
      <c r="GXH618" s="5" t="s">
        <v>3728</v>
      </c>
      <c r="GXI618" s="17">
        <v>44925</v>
      </c>
      <c r="GXJ618" s="5" t="s">
        <v>3728</v>
      </c>
      <c r="GXK618" s="17">
        <v>44925</v>
      </c>
      <c r="GXL618" s="5" t="s">
        <v>3728</v>
      </c>
      <c r="GXM618" s="17">
        <v>44925</v>
      </c>
      <c r="GXN618" s="5" t="s">
        <v>3728</v>
      </c>
      <c r="GXO618" s="17">
        <v>44925</v>
      </c>
      <c r="GXP618" s="5" t="s">
        <v>3728</v>
      </c>
      <c r="GXQ618" s="17">
        <v>44925</v>
      </c>
      <c r="GXR618" s="5" t="s">
        <v>3728</v>
      </c>
      <c r="GXS618" s="17">
        <v>44925</v>
      </c>
      <c r="GXT618" s="5" t="s">
        <v>3728</v>
      </c>
      <c r="GXU618" s="17">
        <v>44925</v>
      </c>
      <c r="GXV618" s="5" t="s">
        <v>3728</v>
      </c>
      <c r="GXW618" s="17">
        <v>44925</v>
      </c>
      <c r="GXX618" s="5" t="s">
        <v>3728</v>
      </c>
      <c r="GXY618" s="17">
        <v>44925</v>
      </c>
      <c r="GXZ618" s="5" t="s">
        <v>3728</v>
      </c>
      <c r="GYA618" s="17">
        <v>44925</v>
      </c>
      <c r="GYB618" s="5" t="s">
        <v>3728</v>
      </c>
      <c r="GYC618" s="17">
        <v>44925</v>
      </c>
      <c r="GYD618" s="5" t="s">
        <v>3728</v>
      </c>
      <c r="GYE618" s="17">
        <v>44925</v>
      </c>
      <c r="GYF618" s="5" t="s">
        <v>3728</v>
      </c>
      <c r="GYG618" s="17">
        <v>44925</v>
      </c>
      <c r="GYH618" s="5" t="s">
        <v>3728</v>
      </c>
      <c r="GYI618" s="17">
        <v>44925</v>
      </c>
      <c r="GYJ618" s="5" t="s">
        <v>3728</v>
      </c>
      <c r="GYK618" s="17">
        <v>44925</v>
      </c>
      <c r="GYL618" s="5" t="s">
        <v>3728</v>
      </c>
      <c r="GYM618" s="17">
        <v>44925</v>
      </c>
      <c r="GYN618" s="5" t="s">
        <v>3728</v>
      </c>
      <c r="GYO618" s="17">
        <v>44925</v>
      </c>
      <c r="GYP618" s="5" t="s">
        <v>3728</v>
      </c>
      <c r="GYQ618" s="17">
        <v>44925</v>
      </c>
      <c r="GYR618" s="5" t="s">
        <v>3728</v>
      </c>
      <c r="GYS618" s="17">
        <v>44925</v>
      </c>
      <c r="GYT618" s="5" t="s">
        <v>3728</v>
      </c>
      <c r="GYU618" s="17">
        <v>44925</v>
      </c>
      <c r="GYV618" s="5" t="s">
        <v>3728</v>
      </c>
      <c r="GYW618" s="17">
        <v>44925</v>
      </c>
      <c r="GYX618" s="5" t="s">
        <v>3728</v>
      </c>
      <c r="GYY618" s="17">
        <v>44925</v>
      </c>
      <c r="GYZ618" s="5" t="s">
        <v>3728</v>
      </c>
      <c r="GZA618" s="17">
        <v>44925</v>
      </c>
      <c r="GZB618" s="5" t="s">
        <v>3728</v>
      </c>
      <c r="GZC618" s="17">
        <v>44925</v>
      </c>
      <c r="GZD618" s="5" t="s">
        <v>3728</v>
      </c>
      <c r="GZE618" s="17">
        <v>44925</v>
      </c>
      <c r="GZF618" s="5" t="s">
        <v>3728</v>
      </c>
      <c r="GZG618" s="17">
        <v>44925</v>
      </c>
      <c r="GZH618" s="5" t="s">
        <v>3728</v>
      </c>
      <c r="GZI618" s="17">
        <v>44925</v>
      </c>
      <c r="GZJ618" s="5" t="s">
        <v>3728</v>
      </c>
      <c r="GZK618" s="17">
        <v>44925</v>
      </c>
      <c r="GZL618" s="5" t="s">
        <v>3728</v>
      </c>
      <c r="GZM618" s="17">
        <v>44925</v>
      </c>
      <c r="GZN618" s="5" t="s">
        <v>3728</v>
      </c>
      <c r="GZO618" s="17">
        <v>44925</v>
      </c>
      <c r="GZP618" s="5" t="s">
        <v>3728</v>
      </c>
      <c r="GZQ618" s="17">
        <v>44925</v>
      </c>
      <c r="GZR618" s="5" t="s">
        <v>3728</v>
      </c>
      <c r="GZS618" s="17">
        <v>44925</v>
      </c>
      <c r="GZT618" s="5" t="s">
        <v>3728</v>
      </c>
      <c r="GZU618" s="17">
        <v>44925</v>
      </c>
      <c r="GZV618" s="5" t="s">
        <v>3728</v>
      </c>
      <c r="GZW618" s="17">
        <v>44925</v>
      </c>
      <c r="GZX618" s="5" t="s">
        <v>3728</v>
      </c>
      <c r="GZY618" s="17">
        <v>44925</v>
      </c>
      <c r="GZZ618" s="5" t="s">
        <v>3728</v>
      </c>
      <c r="HAA618" s="17">
        <v>44925</v>
      </c>
      <c r="HAB618" s="5" t="s">
        <v>3728</v>
      </c>
      <c r="HAC618" s="17">
        <v>44925</v>
      </c>
      <c r="HAD618" s="5" t="s">
        <v>3728</v>
      </c>
      <c r="HAE618" s="17">
        <v>44925</v>
      </c>
      <c r="HAF618" s="5" t="s">
        <v>3728</v>
      </c>
      <c r="HAG618" s="17">
        <v>44925</v>
      </c>
      <c r="HAH618" s="5" t="s">
        <v>3728</v>
      </c>
      <c r="HAI618" s="17">
        <v>44925</v>
      </c>
      <c r="HAJ618" s="5" t="s">
        <v>3728</v>
      </c>
      <c r="HAK618" s="17">
        <v>44925</v>
      </c>
      <c r="HAL618" s="5" t="s">
        <v>3728</v>
      </c>
      <c r="HAM618" s="17">
        <v>44925</v>
      </c>
      <c r="HAN618" s="5" t="s">
        <v>3728</v>
      </c>
      <c r="HAO618" s="17">
        <v>44925</v>
      </c>
      <c r="HAP618" s="5" t="s">
        <v>3728</v>
      </c>
      <c r="HAQ618" s="17">
        <v>44925</v>
      </c>
      <c r="HAR618" s="5" t="s">
        <v>3728</v>
      </c>
      <c r="HAS618" s="17">
        <v>44925</v>
      </c>
      <c r="HAT618" s="5" t="s">
        <v>3728</v>
      </c>
      <c r="HAU618" s="17">
        <v>44925</v>
      </c>
      <c r="HAV618" s="5" t="s">
        <v>3728</v>
      </c>
      <c r="HAW618" s="17">
        <v>44925</v>
      </c>
      <c r="HAX618" s="5" t="s">
        <v>3728</v>
      </c>
      <c r="HAY618" s="17">
        <v>44925</v>
      </c>
      <c r="HAZ618" s="5" t="s">
        <v>3728</v>
      </c>
      <c r="HBA618" s="17">
        <v>44925</v>
      </c>
      <c r="HBB618" s="5" t="s">
        <v>3728</v>
      </c>
      <c r="HBC618" s="17">
        <v>44925</v>
      </c>
      <c r="HBD618" s="5" t="s">
        <v>3728</v>
      </c>
      <c r="HBE618" s="17">
        <v>44925</v>
      </c>
      <c r="HBF618" s="5" t="s">
        <v>3728</v>
      </c>
      <c r="HBG618" s="17">
        <v>44925</v>
      </c>
      <c r="HBH618" s="5" t="s">
        <v>3728</v>
      </c>
      <c r="HBI618" s="17">
        <v>44925</v>
      </c>
      <c r="HBJ618" s="5" t="s">
        <v>3728</v>
      </c>
      <c r="HBK618" s="17">
        <v>44925</v>
      </c>
      <c r="HBL618" s="5" t="s">
        <v>3728</v>
      </c>
      <c r="HBM618" s="17">
        <v>44925</v>
      </c>
      <c r="HBN618" s="5" t="s">
        <v>3728</v>
      </c>
      <c r="HBO618" s="17">
        <v>44925</v>
      </c>
      <c r="HBP618" s="5" t="s">
        <v>3728</v>
      </c>
      <c r="HBQ618" s="17">
        <v>44925</v>
      </c>
      <c r="HBR618" s="5" t="s">
        <v>3728</v>
      </c>
      <c r="HBS618" s="17">
        <v>44925</v>
      </c>
      <c r="HBT618" s="5" t="s">
        <v>3728</v>
      </c>
      <c r="HBU618" s="17">
        <v>44925</v>
      </c>
      <c r="HBV618" s="5" t="s">
        <v>3728</v>
      </c>
      <c r="HBW618" s="17">
        <v>44925</v>
      </c>
      <c r="HBX618" s="5" t="s">
        <v>3728</v>
      </c>
      <c r="HBY618" s="17">
        <v>44925</v>
      </c>
      <c r="HBZ618" s="5" t="s">
        <v>3728</v>
      </c>
      <c r="HCA618" s="17">
        <v>44925</v>
      </c>
      <c r="HCB618" s="5" t="s">
        <v>3728</v>
      </c>
      <c r="HCC618" s="17">
        <v>44925</v>
      </c>
      <c r="HCD618" s="5" t="s">
        <v>3728</v>
      </c>
      <c r="HCE618" s="17">
        <v>44925</v>
      </c>
      <c r="HCF618" s="5" t="s">
        <v>3728</v>
      </c>
      <c r="HCG618" s="17">
        <v>44925</v>
      </c>
      <c r="HCH618" s="5" t="s">
        <v>3728</v>
      </c>
      <c r="HCI618" s="17">
        <v>44925</v>
      </c>
      <c r="HCJ618" s="5" t="s">
        <v>3728</v>
      </c>
      <c r="HCK618" s="17">
        <v>44925</v>
      </c>
      <c r="HCL618" s="5" t="s">
        <v>3728</v>
      </c>
      <c r="HCM618" s="17">
        <v>44925</v>
      </c>
      <c r="HCN618" s="5" t="s">
        <v>3728</v>
      </c>
      <c r="HCO618" s="17">
        <v>44925</v>
      </c>
      <c r="HCP618" s="5" t="s">
        <v>3728</v>
      </c>
      <c r="HCQ618" s="17">
        <v>44925</v>
      </c>
      <c r="HCR618" s="5" t="s">
        <v>3728</v>
      </c>
      <c r="HCS618" s="17">
        <v>44925</v>
      </c>
      <c r="HCT618" s="5" t="s">
        <v>3728</v>
      </c>
      <c r="HCU618" s="17">
        <v>44925</v>
      </c>
      <c r="HCV618" s="5" t="s">
        <v>3728</v>
      </c>
      <c r="HCW618" s="17">
        <v>44925</v>
      </c>
      <c r="HCX618" s="5" t="s">
        <v>3728</v>
      </c>
      <c r="HCY618" s="17">
        <v>44925</v>
      </c>
      <c r="HCZ618" s="5" t="s">
        <v>3728</v>
      </c>
      <c r="HDA618" s="17">
        <v>44925</v>
      </c>
      <c r="HDB618" s="5" t="s">
        <v>3728</v>
      </c>
      <c r="HDC618" s="17">
        <v>44925</v>
      </c>
      <c r="HDD618" s="5" t="s">
        <v>3728</v>
      </c>
      <c r="HDE618" s="17">
        <v>44925</v>
      </c>
      <c r="HDF618" s="5" t="s">
        <v>3728</v>
      </c>
      <c r="HDG618" s="17">
        <v>44925</v>
      </c>
      <c r="HDH618" s="5" t="s">
        <v>3728</v>
      </c>
      <c r="HDI618" s="17">
        <v>44925</v>
      </c>
      <c r="HDJ618" s="5" t="s">
        <v>3728</v>
      </c>
      <c r="HDK618" s="17">
        <v>44925</v>
      </c>
      <c r="HDL618" s="5" t="s">
        <v>3728</v>
      </c>
      <c r="HDM618" s="17">
        <v>44925</v>
      </c>
      <c r="HDN618" s="5" t="s">
        <v>3728</v>
      </c>
      <c r="HDO618" s="17">
        <v>44925</v>
      </c>
      <c r="HDP618" s="5" t="s">
        <v>3728</v>
      </c>
      <c r="HDQ618" s="17">
        <v>44925</v>
      </c>
      <c r="HDR618" s="5" t="s">
        <v>3728</v>
      </c>
      <c r="HDS618" s="17">
        <v>44925</v>
      </c>
      <c r="HDT618" s="5" t="s">
        <v>3728</v>
      </c>
      <c r="HDU618" s="17">
        <v>44925</v>
      </c>
      <c r="HDV618" s="5" t="s">
        <v>3728</v>
      </c>
      <c r="HDW618" s="17">
        <v>44925</v>
      </c>
      <c r="HDX618" s="5" t="s">
        <v>3728</v>
      </c>
      <c r="HDY618" s="17">
        <v>44925</v>
      </c>
      <c r="HDZ618" s="5" t="s">
        <v>3728</v>
      </c>
      <c r="HEA618" s="17">
        <v>44925</v>
      </c>
      <c r="HEB618" s="5" t="s">
        <v>3728</v>
      </c>
      <c r="HEC618" s="17">
        <v>44925</v>
      </c>
      <c r="HED618" s="5" t="s">
        <v>3728</v>
      </c>
      <c r="HEE618" s="17">
        <v>44925</v>
      </c>
      <c r="HEF618" s="5" t="s">
        <v>3728</v>
      </c>
      <c r="HEG618" s="17">
        <v>44925</v>
      </c>
      <c r="HEH618" s="5" t="s">
        <v>3728</v>
      </c>
      <c r="HEI618" s="17">
        <v>44925</v>
      </c>
      <c r="HEJ618" s="5" t="s">
        <v>3728</v>
      </c>
      <c r="HEK618" s="17">
        <v>44925</v>
      </c>
      <c r="HEL618" s="5" t="s">
        <v>3728</v>
      </c>
      <c r="HEM618" s="17">
        <v>44925</v>
      </c>
      <c r="HEN618" s="5" t="s">
        <v>3728</v>
      </c>
      <c r="HEO618" s="17">
        <v>44925</v>
      </c>
      <c r="HEP618" s="5" t="s">
        <v>3728</v>
      </c>
      <c r="HEQ618" s="17">
        <v>44925</v>
      </c>
      <c r="HER618" s="5" t="s">
        <v>3728</v>
      </c>
      <c r="HES618" s="17">
        <v>44925</v>
      </c>
      <c r="HET618" s="5" t="s">
        <v>3728</v>
      </c>
      <c r="HEU618" s="17">
        <v>44925</v>
      </c>
      <c r="HEV618" s="5" t="s">
        <v>3728</v>
      </c>
      <c r="HEW618" s="17">
        <v>44925</v>
      </c>
      <c r="HEX618" s="5" t="s">
        <v>3728</v>
      </c>
      <c r="HEY618" s="17">
        <v>44925</v>
      </c>
      <c r="HEZ618" s="5" t="s">
        <v>3728</v>
      </c>
      <c r="HFA618" s="17">
        <v>44925</v>
      </c>
      <c r="HFB618" s="5" t="s">
        <v>3728</v>
      </c>
      <c r="HFC618" s="17">
        <v>44925</v>
      </c>
      <c r="HFD618" s="5" t="s">
        <v>3728</v>
      </c>
      <c r="HFE618" s="17">
        <v>44925</v>
      </c>
      <c r="HFF618" s="5" t="s">
        <v>3728</v>
      </c>
      <c r="HFG618" s="17">
        <v>44925</v>
      </c>
      <c r="HFH618" s="5" t="s">
        <v>3728</v>
      </c>
      <c r="HFI618" s="17">
        <v>44925</v>
      </c>
      <c r="HFJ618" s="5" t="s">
        <v>3728</v>
      </c>
      <c r="HFK618" s="17">
        <v>44925</v>
      </c>
      <c r="HFL618" s="5" t="s">
        <v>3728</v>
      </c>
      <c r="HFM618" s="17">
        <v>44925</v>
      </c>
      <c r="HFN618" s="5" t="s">
        <v>3728</v>
      </c>
      <c r="HFO618" s="17">
        <v>44925</v>
      </c>
      <c r="HFP618" s="5" t="s">
        <v>3728</v>
      </c>
      <c r="HFQ618" s="17">
        <v>44925</v>
      </c>
      <c r="HFR618" s="5" t="s">
        <v>3728</v>
      </c>
      <c r="HFS618" s="17">
        <v>44925</v>
      </c>
      <c r="HFT618" s="5" t="s">
        <v>3728</v>
      </c>
      <c r="HFU618" s="17">
        <v>44925</v>
      </c>
      <c r="HFV618" s="5" t="s">
        <v>3728</v>
      </c>
      <c r="HFW618" s="17">
        <v>44925</v>
      </c>
      <c r="HFX618" s="5" t="s">
        <v>3728</v>
      </c>
      <c r="HFY618" s="17">
        <v>44925</v>
      </c>
      <c r="HFZ618" s="5" t="s">
        <v>3728</v>
      </c>
      <c r="HGA618" s="17">
        <v>44925</v>
      </c>
      <c r="HGB618" s="5" t="s">
        <v>3728</v>
      </c>
      <c r="HGC618" s="17">
        <v>44925</v>
      </c>
      <c r="HGD618" s="5" t="s">
        <v>3728</v>
      </c>
      <c r="HGE618" s="17">
        <v>44925</v>
      </c>
      <c r="HGF618" s="5" t="s">
        <v>3728</v>
      </c>
      <c r="HGG618" s="17">
        <v>44925</v>
      </c>
      <c r="HGH618" s="5" t="s">
        <v>3728</v>
      </c>
      <c r="HGI618" s="17">
        <v>44925</v>
      </c>
      <c r="HGJ618" s="5" t="s">
        <v>3728</v>
      </c>
      <c r="HGK618" s="17">
        <v>44925</v>
      </c>
      <c r="HGL618" s="5" t="s">
        <v>3728</v>
      </c>
      <c r="HGM618" s="17">
        <v>44925</v>
      </c>
      <c r="HGN618" s="5" t="s">
        <v>3728</v>
      </c>
      <c r="HGO618" s="17">
        <v>44925</v>
      </c>
      <c r="HGP618" s="5" t="s">
        <v>3728</v>
      </c>
      <c r="HGQ618" s="17">
        <v>44925</v>
      </c>
      <c r="HGR618" s="5" t="s">
        <v>3728</v>
      </c>
      <c r="HGS618" s="17">
        <v>44925</v>
      </c>
      <c r="HGT618" s="5" t="s">
        <v>3728</v>
      </c>
      <c r="HGU618" s="17">
        <v>44925</v>
      </c>
      <c r="HGV618" s="5" t="s">
        <v>3728</v>
      </c>
      <c r="HGW618" s="17">
        <v>44925</v>
      </c>
      <c r="HGX618" s="5" t="s">
        <v>3728</v>
      </c>
      <c r="HGY618" s="17">
        <v>44925</v>
      </c>
      <c r="HGZ618" s="5" t="s">
        <v>3728</v>
      </c>
      <c r="HHA618" s="17">
        <v>44925</v>
      </c>
      <c r="HHB618" s="5" t="s">
        <v>3728</v>
      </c>
      <c r="HHC618" s="17">
        <v>44925</v>
      </c>
      <c r="HHD618" s="5" t="s">
        <v>3728</v>
      </c>
      <c r="HHE618" s="17">
        <v>44925</v>
      </c>
      <c r="HHF618" s="5" t="s">
        <v>3728</v>
      </c>
      <c r="HHG618" s="17">
        <v>44925</v>
      </c>
      <c r="HHH618" s="5" t="s">
        <v>3728</v>
      </c>
      <c r="HHI618" s="17">
        <v>44925</v>
      </c>
      <c r="HHJ618" s="5" t="s">
        <v>3728</v>
      </c>
      <c r="HHK618" s="17">
        <v>44925</v>
      </c>
      <c r="HHL618" s="5" t="s">
        <v>3728</v>
      </c>
      <c r="HHM618" s="17">
        <v>44925</v>
      </c>
      <c r="HHN618" s="5" t="s">
        <v>3728</v>
      </c>
      <c r="HHO618" s="17">
        <v>44925</v>
      </c>
      <c r="HHP618" s="5" t="s">
        <v>3728</v>
      </c>
      <c r="HHQ618" s="17">
        <v>44925</v>
      </c>
      <c r="HHR618" s="5" t="s">
        <v>3728</v>
      </c>
      <c r="HHS618" s="17">
        <v>44925</v>
      </c>
      <c r="HHT618" s="5" t="s">
        <v>3728</v>
      </c>
      <c r="HHU618" s="17">
        <v>44925</v>
      </c>
      <c r="HHV618" s="5" t="s">
        <v>3728</v>
      </c>
      <c r="HHW618" s="17">
        <v>44925</v>
      </c>
      <c r="HHX618" s="5" t="s">
        <v>3728</v>
      </c>
      <c r="HHY618" s="17">
        <v>44925</v>
      </c>
      <c r="HHZ618" s="5" t="s">
        <v>3728</v>
      </c>
      <c r="HIA618" s="17">
        <v>44925</v>
      </c>
      <c r="HIB618" s="5" t="s">
        <v>3728</v>
      </c>
      <c r="HIC618" s="17">
        <v>44925</v>
      </c>
      <c r="HID618" s="5" t="s">
        <v>3728</v>
      </c>
      <c r="HIE618" s="17">
        <v>44925</v>
      </c>
      <c r="HIF618" s="5" t="s">
        <v>3728</v>
      </c>
      <c r="HIG618" s="17">
        <v>44925</v>
      </c>
      <c r="HIH618" s="5" t="s">
        <v>3728</v>
      </c>
      <c r="HII618" s="17">
        <v>44925</v>
      </c>
      <c r="HIJ618" s="5" t="s">
        <v>3728</v>
      </c>
      <c r="HIK618" s="17">
        <v>44925</v>
      </c>
      <c r="HIL618" s="5" t="s">
        <v>3728</v>
      </c>
      <c r="HIM618" s="17">
        <v>44925</v>
      </c>
      <c r="HIN618" s="5" t="s">
        <v>3728</v>
      </c>
      <c r="HIO618" s="17">
        <v>44925</v>
      </c>
      <c r="HIP618" s="5" t="s">
        <v>3728</v>
      </c>
      <c r="HIQ618" s="17">
        <v>44925</v>
      </c>
      <c r="HIR618" s="5" t="s">
        <v>3728</v>
      </c>
      <c r="HIS618" s="17">
        <v>44925</v>
      </c>
      <c r="HIT618" s="5" t="s">
        <v>3728</v>
      </c>
      <c r="HIU618" s="17">
        <v>44925</v>
      </c>
      <c r="HIV618" s="5" t="s">
        <v>3728</v>
      </c>
      <c r="HIW618" s="17">
        <v>44925</v>
      </c>
      <c r="HIX618" s="5" t="s">
        <v>3728</v>
      </c>
      <c r="HIY618" s="17">
        <v>44925</v>
      </c>
      <c r="HIZ618" s="5" t="s">
        <v>3728</v>
      </c>
      <c r="HJA618" s="17">
        <v>44925</v>
      </c>
      <c r="HJB618" s="5" t="s">
        <v>3728</v>
      </c>
      <c r="HJC618" s="17">
        <v>44925</v>
      </c>
      <c r="HJD618" s="5" t="s">
        <v>3728</v>
      </c>
      <c r="HJE618" s="17">
        <v>44925</v>
      </c>
      <c r="HJF618" s="5" t="s">
        <v>3728</v>
      </c>
      <c r="HJG618" s="17">
        <v>44925</v>
      </c>
      <c r="HJH618" s="5" t="s">
        <v>3728</v>
      </c>
      <c r="HJI618" s="17">
        <v>44925</v>
      </c>
      <c r="HJJ618" s="5" t="s">
        <v>3728</v>
      </c>
      <c r="HJK618" s="17">
        <v>44925</v>
      </c>
      <c r="HJL618" s="5" t="s">
        <v>3728</v>
      </c>
      <c r="HJM618" s="17">
        <v>44925</v>
      </c>
      <c r="HJN618" s="5" t="s">
        <v>3728</v>
      </c>
      <c r="HJO618" s="17">
        <v>44925</v>
      </c>
      <c r="HJP618" s="5" t="s">
        <v>3728</v>
      </c>
      <c r="HJQ618" s="17">
        <v>44925</v>
      </c>
      <c r="HJR618" s="5" t="s">
        <v>3728</v>
      </c>
      <c r="HJS618" s="17">
        <v>44925</v>
      </c>
      <c r="HJT618" s="5" t="s">
        <v>3728</v>
      </c>
      <c r="HJU618" s="17">
        <v>44925</v>
      </c>
      <c r="HJV618" s="5" t="s">
        <v>3728</v>
      </c>
      <c r="HJW618" s="17">
        <v>44925</v>
      </c>
      <c r="HJX618" s="5" t="s">
        <v>3728</v>
      </c>
      <c r="HJY618" s="17">
        <v>44925</v>
      </c>
      <c r="HJZ618" s="5" t="s">
        <v>3728</v>
      </c>
      <c r="HKA618" s="17">
        <v>44925</v>
      </c>
      <c r="HKB618" s="5" t="s">
        <v>3728</v>
      </c>
      <c r="HKC618" s="17">
        <v>44925</v>
      </c>
      <c r="HKD618" s="5" t="s">
        <v>3728</v>
      </c>
      <c r="HKE618" s="17">
        <v>44925</v>
      </c>
      <c r="HKF618" s="5" t="s">
        <v>3728</v>
      </c>
      <c r="HKG618" s="17">
        <v>44925</v>
      </c>
      <c r="HKH618" s="5" t="s">
        <v>3728</v>
      </c>
      <c r="HKI618" s="17">
        <v>44925</v>
      </c>
      <c r="HKJ618" s="5" t="s">
        <v>3728</v>
      </c>
      <c r="HKK618" s="17">
        <v>44925</v>
      </c>
      <c r="HKL618" s="5" t="s">
        <v>3728</v>
      </c>
      <c r="HKM618" s="17">
        <v>44925</v>
      </c>
      <c r="HKN618" s="5" t="s">
        <v>3728</v>
      </c>
      <c r="HKO618" s="17">
        <v>44925</v>
      </c>
      <c r="HKP618" s="5" t="s">
        <v>3728</v>
      </c>
      <c r="HKQ618" s="17">
        <v>44925</v>
      </c>
      <c r="HKR618" s="5" t="s">
        <v>3728</v>
      </c>
      <c r="HKS618" s="17">
        <v>44925</v>
      </c>
      <c r="HKT618" s="5" t="s">
        <v>3728</v>
      </c>
      <c r="HKU618" s="17">
        <v>44925</v>
      </c>
      <c r="HKV618" s="5" t="s">
        <v>3728</v>
      </c>
      <c r="HKW618" s="17">
        <v>44925</v>
      </c>
      <c r="HKX618" s="5" t="s">
        <v>3728</v>
      </c>
      <c r="HKY618" s="17">
        <v>44925</v>
      </c>
      <c r="HKZ618" s="5" t="s">
        <v>3728</v>
      </c>
      <c r="HLA618" s="17">
        <v>44925</v>
      </c>
      <c r="HLB618" s="5" t="s">
        <v>3728</v>
      </c>
      <c r="HLC618" s="17">
        <v>44925</v>
      </c>
      <c r="HLD618" s="5" t="s">
        <v>3728</v>
      </c>
      <c r="HLE618" s="17">
        <v>44925</v>
      </c>
      <c r="HLF618" s="5" t="s">
        <v>3728</v>
      </c>
      <c r="HLG618" s="17">
        <v>44925</v>
      </c>
      <c r="HLH618" s="5" t="s">
        <v>3728</v>
      </c>
      <c r="HLI618" s="17">
        <v>44925</v>
      </c>
      <c r="HLJ618" s="5" t="s">
        <v>3728</v>
      </c>
      <c r="HLK618" s="17">
        <v>44925</v>
      </c>
      <c r="HLL618" s="5" t="s">
        <v>3728</v>
      </c>
      <c r="HLM618" s="17">
        <v>44925</v>
      </c>
      <c r="HLN618" s="5" t="s">
        <v>3728</v>
      </c>
      <c r="HLO618" s="17">
        <v>44925</v>
      </c>
      <c r="HLP618" s="5" t="s">
        <v>3728</v>
      </c>
      <c r="HLQ618" s="17">
        <v>44925</v>
      </c>
      <c r="HLR618" s="5" t="s">
        <v>3728</v>
      </c>
      <c r="HLS618" s="17">
        <v>44925</v>
      </c>
      <c r="HLT618" s="5" t="s">
        <v>3728</v>
      </c>
      <c r="HLU618" s="17">
        <v>44925</v>
      </c>
      <c r="HLV618" s="5" t="s">
        <v>3728</v>
      </c>
      <c r="HLW618" s="17">
        <v>44925</v>
      </c>
      <c r="HLX618" s="5" t="s">
        <v>3728</v>
      </c>
      <c r="HLY618" s="17">
        <v>44925</v>
      </c>
      <c r="HLZ618" s="5" t="s">
        <v>3728</v>
      </c>
      <c r="HMA618" s="17">
        <v>44925</v>
      </c>
      <c r="HMB618" s="5" t="s">
        <v>3728</v>
      </c>
      <c r="HMC618" s="17">
        <v>44925</v>
      </c>
      <c r="HMD618" s="5" t="s">
        <v>3728</v>
      </c>
      <c r="HME618" s="17">
        <v>44925</v>
      </c>
      <c r="HMF618" s="5" t="s">
        <v>3728</v>
      </c>
      <c r="HMG618" s="17">
        <v>44925</v>
      </c>
      <c r="HMH618" s="5" t="s">
        <v>3728</v>
      </c>
      <c r="HMI618" s="17">
        <v>44925</v>
      </c>
      <c r="HMJ618" s="5" t="s">
        <v>3728</v>
      </c>
      <c r="HMK618" s="17">
        <v>44925</v>
      </c>
      <c r="HML618" s="5" t="s">
        <v>3728</v>
      </c>
      <c r="HMM618" s="17">
        <v>44925</v>
      </c>
      <c r="HMN618" s="5" t="s">
        <v>3728</v>
      </c>
      <c r="HMO618" s="17">
        <v>44925</v>
      </c>
      <c r="HMP618" s="5" t="s">
        <v>3728</v>
      </c>
      <c r="HMQ618" s="17">
        <v>44925</v>
      </c>
      <c r="HMR618" s="5" t="s">
        <v>3728</v>
      </c>
      <c r="HMS618" s="17">
        <v>44925</v>
      </c>
      <c r="HMT618" s="5" t="s">
        <v>3728</v>
      </c>
      <c r="HMU618" s="17">
        <v>44925</v>
      </c>
      <c r="HMV618" s="5" t="s">
        <v>3728</v>
      </c>
      <c r="HMW618" s="17">
        <v>44925</v>
      </c>
      <c r="HMX618" s="5" t="s">
        <v>3728</v>
      </c>
      <c r="HMY618" s="17">
        <v>44925</v>
      </c>
      <c r="HMZ618" s="5" t="s">
        <v>3728</v>
      </c>
      <c r="HNA618" s="17">
        <v>44925</v>
      </c>
      <c r="HNB618" s="5" t="s">
        <v>3728</v>
      </c>
      <c r="HNC618" s="17">
        <v>44925</v>
      </c>
      <c r="HND618" s="5" t="s">
        <v>3728</v>
      </c>
      <c r="HNE618" s="17">
        <v>44925</v>
      </c>
      <c r="HNF618" s="5" t="s">
        <v>3728</v>
      </c>
      <c r="HNG618" s="17">
        <v>44925</v>
      </c>
      <c r="HNH618" s="5" t="s">
        <v>3728</v>
      </c>
      <c r="HNI618" s="17">
        <v>44925</v>
      </c>
      <c r="HNJ618" s="5" t="s">
        <v>3728</v>
      </c>
      <c r="HNK618" s="17">
        <v>44925</v>
      </c>
      <c r="HNL618" s="5" t="s">
        <v>3728</v>
      </c>
      <c r="HNM618" s="17">
        <v>44925</v>
      </c>
      <c r="HNN618" s="5" t="s">
        <v>3728</v>
      </c>
      <c r="HNO618" s="17">
        <v>44925</v>
      </c>
      <c r="HNP618" s="5" t="s">
        <v>3728</v>
      </c>
      <c r="HNQ618" s="17">
        <v>44925</v>
      </c>
      <c r="HNR618" s="5" t="s">
        <v>3728</v>
      </c>
      <c r="HNS618" s="17">
        <v>44925</v>
      </c>
      <c r="HNT618" s="5" t="s">
        <v>3728</v>
      </c>
      <c r="HNU618" s="17">
        <v>44925</v>
      </c>
      <c r="HNV618" s="5" t="s">
        <v>3728</v>
      </c>
      <c r="HNW618" s="17">
        <v>44925</v>
      </c>
      <c r="HNX618" s="5" t="s">
        <v>3728</v>
      </c>
      <c r="HNY618" s="17">
        <v>44925</v>
      </c>
      <c r="HNZ618" s="5" t="s">
        <v>3728</v>
      </c>
      <c r="HOA618" s="17">
        <v>44925</v>
      </c>
      <c r="HOB618" s="5" t="s">
        <v>3728</v>
      </c>
      <c r="HOC618" s="17">
        <v>44925</v>
      </c>
      <c r="HOD618" s="5" t="s">
        <v>3728</v>
      </c>
      <c r="HOE618" s="17">
        <v>44925</v>
      </c>
      <c r="HOF618" s="5" t="s">
        <v>3728</v>
      </c>
      <c r="HOG618" s="17">
        <v>44925</v>
      </c>
      <c r="HOH618" s="5" t="s">
        <v>3728</v>
      </c>
      <c r="HOI618" s="17">
        <v>44925</v>
      </c>
      <c r="HOJ618" s="5" t="s">
        <v>3728</v>
      </c>
      <c r="HOK618" s="17">
        <v>44925</v>
      </c>
      <c r="HOL618" s="5" t="s">
        <v>3728</v>
      </c>
      <c r="HOM618" s="17">
        <v>44925</v>
      </c>
      <c r="HON618" s="5" t="s">
        <v>3728</v>
      </c>
      <c r="HOO618" s="17">
        <v>44925</v>
      </c>
      <c r="HOP618" s="5" t="s">
        <v>3728</v>
      </c>
      <c r="HOQ618" s="17">
        <v>44925</v>
      </c>
      <c r="HOR618" s="5" t="s">
        <v>3728</v>
      </c>
      <c r="HOS618" s="17">
        <v>44925</v>
      </c>
      <c r="HOT618" s="5" t="s">
        <v>3728</v>
      </c>
      <c r="HOU618" s="17">
        <v>44925</v>
      </c>
      <c r="HOV618" s="5" t="s">
        <v>3728</v>
      </c>
      <c r="HOW618" s="17">
        <v>44925</v>
      </c>
      <c r="HOX618" s="5" t="s">
        <v>3728</v>
      </c>
      <c r="HOY618" s="17">
        <v>44925</v>
      </c>
      <c r="HOZ618" s="5" t="s">
        <v>3728</v>
      </c>
      <c r="HPA618" s="17">
        <v>44925</v>
      </c>
      <c r="HPB618" s="5" t="s">
        <v>3728</v>
      </c>
      <c r="HPC618" s="17">
        <v>44925</v>
      </c>
      <c r="HPD618" s="5" t="s">
        <v>3728</v>
      </c>
      <c r="HPE618" s="17">
        <v>44925</v>
      </c>
      <c r="HPF618" s="5" t="s">
        <v>3728</v>
      </c>
      <c r="HPG618" s="17">
        <v>44925</v>
      </c>
      <c r="HPH618" s="5" t="s">
        <v>3728</v>
      </c>
      <c r="HPI618" s="17">
        <v>44925</v>
      </c>
      <c r="HPJ618" s="5" t="s">
        <v>3728</v>
      </c>
      <c r="HPK618" s="17">
        <v>44925</v>
      </c>
      <c r="HPL618" s="5" t="s">
        <v>3728</v>
      </c>
      <c r="HPM618" s="17">
        <v>44925</v>
      </c>
      <c r="HPN618" s="5" t="s">
        <v>3728</v>
      </c>
      <c r="HPO618" s="17">
        <v>44925</v>
      </c>
      <c r="HPP618" s="5" t="s">
        <v>3728</v>
      </c>
      <c r="HPQ618" s="17">
        <v>44925</v>
      </c>
      <c r="HPR618" s="5" t="s">
        <v>3728</v>
      </c>
      <c r="HPS618" s="17">
        <v>44925</v>
      </c>
      <c r="HPT618" s="5" t="s">
        <v>3728</v>
      </c>
      <c r="HPU618" s="17">
        <v>44925</v>
      </c>
      <c r="HPV618" s="5" t="s">
        <v>3728</v>
      </c>
      <c r="HPW618" s="17">
        <v>44925</v>
      </c>
      <c r="HPX618" s="5" t="s">
        <v>3728</v>
      </c>
      <c r="HPY618" s="17">
        <v>44925</v>
      </c>
      <c r="HPZ618" s="5" t="s">
        <v>3728</v>
      </c>
      <c r="HQA618" s="17">
        <v>44925</v>
      </c>
      <c r="HQB618" s="5" t="s">
        <v>3728</v>
      </c>
      <c r="HQC618" s="17">
        <v>44925</v>
      </c>
      <c r="HQD618" s="5" t="s">
        <v>3728</v>
      </c>
      <c r="HQE618" s="17">
        <v>44925</v>
      </c>
      <c r="HQF618" s="5" t="s">
        <v>3728</v>
      </c>
      <c r="HQG618" s="17">
        <v>44925</v>
      </c>
      <c r="HQH618" s="5" t="s">
        <v>3728</v>
      </c>
      <c r="HQI618" s="17">
        <v>44925</v>
      </c>
      <c r="HQJ618" s="5" t="s">
        <v>3728</v>
      </c>
      <c r="HQK618" s="17">
        <v>44925</v>
      </c>
      <c r="HQL618" s="5" t="s">
        <v>3728</v>
      </c>
      <c r="HQM618" s="17">
        <v>44925</v>
      </c>
      <c r="HQN618" s="5" t="s">
        <v>3728</v>
      </c>
      <c r="HQO618" s="17">
        <v>44925</v>
      </c>
      <c r="HQP618" s="5" t="s">
        <v>3728</v>
      </c>
      <c r="HQQ618" s="17">
        <v>44925</v>
      </c>
      <c r="HQR618" s="5" t="s">
        <v>3728</v>
      </c>
      <c r="HQS618" s="17">
        <v>44925</v>
      </c>
      <c r="HQT618" s="5" t="s">
        <v>3728</v>
      </c>
      <c r="HQU618" s="17">
        <v>44925</v>
      </c>
      <c r="HQV618" s="5" t="s">
        <v>3728</v>
      </c>
      <c r="HQW618" s="17">
        <v>44925</v>
      </c>
      <c r="HQX618" s="5" t="s">
        <v>3728</v>
      </c>
      <c r="HQY618" s="17">
        <v>44925</v>
      </c>
      <c r="HQZ618" s="5" t="s">
        <v>3728</v>
      </c>
      <c r="HRA618" s="17">
        <v>44925</v>
      </c>
      <c r="HRB618" s="5" t="s">
        <v>3728</v>
      </c>
      <c r="HRC618" s="17">
        <v>44925</v>
      </c>
      <c r="HRD618" s="5" t="s">
        <v>3728</v>
      </c>
      <c r="HRE618" s="17">
        <v>44925</v>
      </c>
      <c r="HRF618" s="5" t="s">
        <v>3728</v>
      </c>
      <c r="HRG618" s="17">
        <v>44925</v>
      </c>
      <c r="HRH618" s="5" t="s">
        <v>3728</v>
      </c>
      <c r="HRI618" s="17">
        <v>44925</v>
      </c>
      <c r="HRJ618" s="5" t="s">
        <v>3728</v>
      </c>
      <c r="HRK618" s="17">
        <v>44925</v>
      </c>
      <c r="HRL618" s="5" t="s">
        <v>3728</v>
      </c>
      <c r="HRM618" s="17">
        <v>44925</v>
      </c>
      <c r="HRN618" s="5" t="s">
        <v>3728</v>
      </c>
      <c r="HRO618" s="17">
        <v>44925</v>
      </c>
      <c r="HRP618" s="5" t="s">
        <v>3728</v>
      </c>
      <c r="HRQ618" s="17">
        <v>44925</v>
      </c>
      <c r="HRR618" s="5" t="s">
        <v>3728</v>
      </c>
      <c r="HRS618" s="17">
        <v>44925</v>
      </c>
      <c r="HRT618" s="5" t="s">
        <v>3728</v>
      </c>
      <c r="HRU618" s="17">
        <v>44925</v>
      </c>
      <c r="HRV618" s="5" t="s">
        <v>3728</v>
      </c>
      <c r="HRW618" s="17">
        <v>44925</v>
      </c>
      <c r="HRX618" s="5" t="s">
        <v>3728</v>
      </c>
      <c r="HRY618" s="17">
        <v>44925</v>
      </c>
      <c r="HRZ618" s="5" t="s">
        <v>3728</v>
      </c>
      <c r="HSA618" s="17">
        <v>44925</v>
      </c>
      <c r="HSB618" s="5" t="s">
        <v>3728</v>
      </c>
      <c r="HSC618" s="17">
        <v>44925</v>
      </c>
      <c r="HSD618" s="5" t="s">
        <v>3728</v>
      </c>
      <c r="HSE618" s="17">
        <v>44925</v>
      </c>
      <c r="HSF618" s="5" t="s">
        <v>3728</v>
      </c>
      <c r="HSG618" s="17">
        <v>44925</v>
      </c>
      <c r="HSH618" s="5" t="s">
        <v>3728</v>
      </c>
      <c r="HSI618" s="17">
        <v>44925</v>
      </c>
      <c r="HSJ618" s="5" t="s">
        <v>3728</v>
      </c>
      <c r="HSK618" s="17">
        <v>44925</v>
      </c>
      <c r="HSL618" s="5" t="s">
        <v>3728</v>
      </c>
      <c r="HSM618" s="17">
        <v>44925</v>
      </c>
      <c r="HSN618" s="5" t="s">
        <v>3728</v>
      </c>
      <c r="HSO618" s="17">
        <v>44925</v>
      </c>
      <c r="HSP618" s="5" t="s">
        <v>3728</v>
      </c>
      <c r="HSQ618" s="17">
        <v>44925</v>
      </c>
      <c r="HSR618" s="5" t="s">
        <v>3728</v>
      </c>
      <c r="HSS618" s="17">
        <v>44925</v>
      </c>
      <c r="HST618" s="5" t="s">
        <v>3728</v>
      </c>
      <c r="HSU618" s="17">
        <v>44925</v>
      </c>
      <c r="HSV618" s="5" t="s">
        <v>3728</v>
      </c>
      <c r="HSW618" s="17">
        <v>44925</v>
      </c>
      <c r="HSX618" s="5" t="s">
        <v>3728</v>
      </c>
      <c r="HSY618" s="17">
        <v>44925</v>
      </c>
      <c r="HSZ618" s="5" t="s">
        <v>3728</v>
      </c>
      <c r="HTA618" s="17">
        <v>44925</v>
      </c>
      <c r="HTB618" s="5" t="s">
        <v>3728</v>
      </c>
      <c r="HTC618" s="17">
        <v>44925</v>
      </c>
      <c r="HTD618" s="5" t="s">
        <v>3728</v>
      </c>
      <c r="HTE618" s="17">
        <v>44925</v>
      </c>
      <c r="HTF618" s="5" t="s">
        <v>3728</v>
      </c>
      <c r="HTG618" s="17">
        <v>44925</v>
      </c>
      <c r="HTH618" s="5" t="s">
        <v>3728</v>
      </c>
      <c r="HTI618" s="17">
        <v>44925</v>
      </c>
      <c r="HTJ618" s="5" t="s">
        <v>3728</v>
      </c>
      <c r="HTK618" s="17">
        <v>44925</v>
      </c>
      <c r="HTL618" s="5" t="s">
        <v>3728</v>
      </c>
      <c r="HTM618" s="17">
        <v>44925</v>
      </c>
      <c r="HTN618" s="5" t="s">
        <v>3728</v>
      </c>
      <c r="HTO618" s="17">
        <v>44925</v>
      </c>
      <c r="HTP618" s="5" t="s">
        <v>3728</v>
      </c>
      <c r="HTQ618" s="17">
        <v>44925</v>
      </c>
      <c r="HTR618" s="5" t="s">
        <v>3728</v>
      </c>
      <c r="HTS618" s="17">
        <v>44925</v>
      </c>
      <c r="HTT618" s="5" t="s">
        <v>3728</v>
      </c>
      <c r="HTU618" s="17">
        <v>44925</v>
      </c>
      <c r="HTV618" s="5" t="s">
        <v>3728</v>
      </c>
      <c r="HTW618" s="17">
        <v>44925</v>
      </c>
      <c r="HTX618" s="5" t="s">
        <v>3728</v>
      </c>
      <c r="HTY618" s="17">
        <v>44925</v>
      </c>
      <c r="HTZ618" s="5" t="s">
        <v>3728</v>
      </c>
      <c r="HUA618" s="17">
        <v>44925</v>
      </c>
      <c r="HUB618" s="5" t="s">
        <v>3728</v>
      </c>
      <c r="HUC618" s="17">
        <v>44925</v>
      </c>
      <c r="HUD618" s="5" t="s">
        <v>3728</v>
      </c>
      <c r="HUE618" s="17">
        <v>44925</v>
      </c>
      <c r="HUF618" s="5" t="s">
        <v>3728</v>
      </c>
      <c r="HUG618" s="17">
        <v>44925</v>
      </c>
      <c r="HUH618" s="5" t="s">
        <v>3728</v>
      </c>
      <c r="HUI618" s="17">
        <v>44925</v>
      </c>
      <c r="HUJ618" s="5" t="s">
        <v>3728</v>
      </c>
      <c r="HUK618" s="17">
        <v>44925</v>
      </c>
      <c r="HUL618" s="5" t="s">
        <v>3728</v>
      </c>
      <c r="HUM618" s="17">
        <v>44925</v>
      </c>
      <c r="HUN618" s="5" t="s">
        <v>3728</v>
      </c>
      <c r="HUO618" s="17">
        <v>44925</v>
      </c>
      <c r="HUP618" s="5" t="s">
        <v>3728</v>
      </c>
      <c r="HUQ618" s="17">
        <v>44925</v>
      </c>
      <c r="HUR618" s="5" t="s">
        <v>3728</v>
      </c>
      <c r="HUS618" s="17">
        <v>44925</v>
      </c>
      <c r="HUT618" s="5" t="s">
        <v>3728</v>
      </c>
      <c r="HUU618" s="17">
        <v>44925</v>
      </c>
      <c r="HUV618" s="5" t="s">
        <v>3728</v>
      </c>
      <c r="HUW618" s="17">
        <v>44925</v>
      </c>
      <c r="HUX618" s="5" t="s">
        <v>3728</v>
      </c>
      <c r="HUY618" s="17">
        <v>44925</v>
      </c>
      <c r="HUZ618" s="5" t="s">
        <v>3728</v>
      </c>
      <c r="HVA618" s="17">
        <v>44925</v>
      </c>
      <c r="HVB618" s="5" t="s">
        <v>3728</v>
      </c>
      <c r="HVC618" s="17">
        <v>44925</v>
      </c>
      <c r="HVD618" s="5" t="s">
        <v>3728</v>
      </c>
      <c r="HVE618" s="17">
        <v>44925</v>
      </c>
      <c r="HVF618" s="5" t="s">
        <v>3728</v>
      </c>
      <c r="HVG618" s="17">
        <v>44925</v>
      </c>
      <c r="HVH618" s="5" t="s">
        <v>3728</v>
      </c>
      <c r="HVI618" s="17">
        <v>44925</v>
      </c>
      <c r="HVJ618" s="5" t="s">
        <v>3728</v>
      </c>
      <c r="HVK618" s="17">
        <v>44925</v>
      </c>
      <c r="HVL618" s="5" t="s">
        <v>3728</v>
      </c>
      <c r="HVM618" s="17">
        <v>44925</v>
      </c>
      <c r="HVN618" s="5" t="s">
        <v>3728</v>
      </c>
      <c r="HVO618" s="17">
        <v>44925</v>
      </c>
      <c r="HVP618" s="5" t="s">
        <v>3728</v>
      </c>
      <c r="HVQ618" s="17">
        <v>44925</v>
      </c>
      <c r="HVR618" s="5" t="s">
        <v>3728</v>
      </c>
      <c r="HVS618" s="17">
        <v>44925</v>
      </c>
      <c r="HVT618" s="5" t="s">
        <v>3728</v>
      </c>
      <c r="HVU618" s="17">
        <v>44925</v>
      </c>
      <c r="HVV618" s="5" t="s">
        <v>3728</v>
      </c>
      <c r="HVW618" s="17">
        <v>44925</v>
      </c>
      <c r="HVX618" s="5" t="s">
        <v>3728</v>
      </c>
      <c r="HVY618" s="17">
        <v>44925</v>
      </c>
      <c r="HVZ618" s="5" t="s">
        <v>3728</v>
      </c>
      <c r="HWA618" s="17">
        <v>44925</v>
      </c>
      <c r="HWB618" s="5" t="s">
        <v>3728</v>
      </c>
      <c r="HWC618" s="17">
        <v>44925</v>
      </c>
      <c r="HWD618" s="5" t="s">
        <v>3728</v>
      </c>
      <c r="HWE618" s="17">
        <v>44925</v>
      </c>
      <c r="HWF618" s="5" t="s">
        <v>3728</v>
      </c>
      <c r="HWG618" s="17">
        <v>44925</v>
      </c>
      <c r="HWH618" s="5" t="s">
        <v>3728</v>
      </c>
      <c r="HWI618" s="17">
        <v>44925</v>
      </c>
      <c r="HWJ618" s="5" t="s">
        <v>3728</v>
      </c>
      <c r="HWK618" s="17">
        <v>44925</v>
      </c>
      <c r="HWL618" s="5" t="s">
        <v>3728</v>
      </c>
      <c r="HWM618" s="17">
        <v>44925</v>
      </c>
      <c r="HWN618" s="5" t="s">
        <v>3728</v>
      </c>
      <c r="HWO618" s="17">
        <v>44925</v>
      </c>
      <c r="HWP618" s="5" t="s">
        <v>3728</v>
      </c>
      <c r="HWQ618" s="17">
        <v>44925</v>
      </c>
      <c r="HWR618" s="5" t="s">
        <v>3728</v>
      </c>
      <c r="HWS618" s="17">
        <v>44925</v>
      </c>
      <c r="HWT618" s="5" t="s">
        <v>3728</v>
      </c>
      <c r="HWU618" s="17">
        <v>44925</v>
      </c>
      <c r="HWV618" s="5" t="s">
        <v>3728</v>
      </c>
      <c r="HWW618" s="17">
        <v>44925</v>
      </c>
      <c r="HWX618" s="5" t="s">
        <v>3728</v>
      </c>
      <c r="HWY618" s="17">
        <v>44925</v>
      </c>
      <c r="HWZ618" s="5" t="s">
        <v>3728</v>
      </c>
      <c r="HXA618" s="17">
        <v>44925</v>
      </c>
      <c r="HXB618" s="5" t="s">
        <v>3728</v>
      </c>
      <c r="HXC618" s="17">
        <v>44925</v>
      </c>
      <c r="HXD618" s="5" t="s">
        <v>3728</v>
      </c>
      <c r="HXE618" s="17">
        <v>44925</v>
      </c>
      <c r="HXF618" s="5" t="s">
        <v>3728</v>
      </c>
      <c r="HXG618" s="17">
        <v>44925</v>
      </c>
      <c r="HXH618" s="5" t="s">
        <v>3728</v>
      </c>
      <c r="HXI618" s="17">
        <v>44925</v>
      </c>
      <c r="HXJ618" s="5" t="s">
        <v>3728</v>
      </c>
      <c r="HXK618" s="17">
        <v>44925</v>
      </c>
      <c r="HXL618" s="5" t="s">
        <v>3728</v>
      </c>
      <c r="HXM618" s="17">
        <v>44925</v>
      </c>
      <c r="HXN618" s="5" t="s">
        <v>3728</v>
      </c>
      <c r="HXO618" s="17">
        <v>44925</v>
      </c>
      <c r="HXP618" s="5" t="s">
        <v>3728</v>
      </c>
      <c r="HXQ618" s="17">
        <v>44925</v>
      </c>
      <c r="HXR618" s="5" t="s">
        <v>3728</v>
      </c>
      <c r="HXS618" s="17">
        <v>44925</v>
      </c>
      <c r="HXT618" s="5" t="s">
        <v>3728</v>
      </c>
      <c r="HXU618" s="17">
        <v>44925</v>
      </c>
      <c r="HXV618" s="5" t="s">
        <v>3728</v>
      </c>
      <c r="HXW618" s="17">
        <v>44925</v>
      </c>
      <c r="HXX618" s="5" t="s">
        <v>3728</v>
      </c>
      <c r="HXY618" s="17">
        <v>44925</v>
      </c>
      <c r="HXZ618" s="5" t="s">
        <v>3728</v>
      </c>
      <c r="HYA618" s="17">
        <v>44925</v>
      </c>
      <c r="HYB618" s="5" t="s">
        <v>3728</v>
      </c>
      <c r="HYC618" s="17">
        <v>44925</v>
      </c>
      <c r="HYD618" s="5" t="s">
        <v>3728</v>
      </c>
      <c r="HYE618" s="17">
        <v>44925</v>
      </c>
      <c r="HYF618" s="5" t="s">
        <v>3728</v>
      </c>
      <c r="HYG618" s="17">
        <v>44925</v>
      </c>
      <c r="HYH618" s="5" t="s">
        <v>3728</v>
      </c>
      <c r="HYI618" s="17">
        <v>44925</v>
      </c>
      <c r="HYJ618" s="5" t="s">
        <v>3728</v>
      </c>
      <c r="HYK618" s="17">
        <v>44925</v>
      </c>
      <c r="HYL618" s="5" t="s">
        <v>3728</v>
      </c>
      <c r="HYM618" s="17">
        <v>44925</v>
      </c>
      <c r="HYN618" s="5" t="s">
        <v>3728</v>
      </c>
      <c r="HYO618" s="17">
        <v>44925</v>
      </c>
      <c r="HYP618" s="5" t="s">
        <v>3728</v>
      </c>
      <c r="HYQ618" s="17">
        <v>44925</v>
      </c>
      <c r="HYR618" s="5" t="s">
        <v>3728</v>
      </c>
      <c r="HYS618" s="17">
        <v>44925</v>
      </c>
      <c r="HYT618" s="5" t="s">
        <v>3728</v>
      </c>
      <c r="HYU618" s="17">
        <v>44925</v>
      </c>
      <c r="HYV618" s="5" t="s">
        <v>3728</v>
      </c>
      <c r="HYW618" s="17">
        <v>44925</v>
      </c>
      <c r="HYX618" s="5" t="s">
        <v>3728</v>
      </c>
      <c r="HYY618" s="17">
        <v>44925</v>
      </c>
      <c r="HYZ618" s="5" t="s">
        <v>3728</v>
      </c>
      <c r="HZA618" s="17">
        <v>44925</v>
      </c>
      <c r="HZB618" s="5" t="s">
        <v>3728</v>
      </c>
      <c r="HZC618" s="17">
        <v>44925</v>
      </c>
      <c r="HZD618" s="5" t="s">
        <v>3728</v>
      </c>
      <c r="HZE618" s="17">
        <v>44925</v>
      </c>
      <c r="HZF618" s="5" t="s">
        <v>3728</v>
      </c>
      <c r="HZG618" s="17">
        <v>44925</v>
      </c>
      <c r="HZH618" s="5" t="s">
        <v>3728</v>
      </c>
      <c r="HZI618" s="17">
        <v>44925</v>
      </c>
      <c r="HZJ618" s="5" t="s">
        <v>3728</v>
      </c>
      <c r="HZK618" s="17">
        <v>44925</v>
      </c>
      <c r="HZL618" s="5" t="s">
        <v>3728</v>
      </c>
      <c r="HZM618" s="17">
        <v>44925</v>
      </c>
      <c r="HZN618" s="5" t="s">
        <v>3728</v>
      </c>
      <c r="HZO618" s="17">
        <v>44925</v>
      </c>
      <c r="HZP618" s="5" t="s">
        <v>3728</v>
      </c>
      <c r="HZQ618" s="17">
        <v>44925</v>
      </c>
      <c r="HZR618" s="5" t="s">
        <v>3728</v>
      </c>
      <c r="HZS618" s="17">
        <v>44925</v>
      </c>
      <c r="HZT618" s="5" t="s">
        <v>3728</v>
      </c>
      <c r="HZU618" s="17">
        <v>44925</v>
      </c>
      <c r="HZV618" s="5" t="s">
        <v>3728</v>
      </c>
      <c r="HZW618" s="17">
        <v>44925</v>
      </c>
      <c r="HZX618" s="5" t="s">
        <v>3728</v>
      </c>
      <c r="HZY618" s="17">
        <v>44925</v>
      </c>
      <c r="HZZ618" s="5" t="s">
        <v>3728</v>
      </c>
      <c r="IAA618" s="17">
        <v>44925</v>
      </c>
      <c r="IAB618" s="5" t="s">
        <v>3728</v>
      </c>
      <c r="IAC618" s="17">
        <v>44925</v>
      </c>
      <c r="IAD618" s="5" t="s">
        <v>3728</v>
      </c>
      <c r="IAE618" s="17">
        <v>44925</v>
      </c>
      <c r="IAF618" s="5" t="s">
        <v>3728</v>
      </c>
      <c r="IAG618" s="17">
        <v>44925</v>
      </c>
      <c r="IAH618" s="5" t="s">
        <v>3728</v>
      </c>
      <c r="IAI618" s="17">
        <v>44925</v>
      </c>
      <c r="IAJ618" s="5" t="s">
        <v>3728</v>
      </c>
      <c r="IAK618" s="17">
        <v>44925</v>
      </c>
      <c r="IAL618" s="5" t="s">
        <v>3728</v>
      </c>
      <c r="IAM618" s="17">
        <v>44925</v>
      </c>
      <c r="IAN618" s="5" t="s">
        <v>3728</v>
      </c>
      <c r="IAO618" s="17">
        <v>44925</v>
      </c>
      <c r="IAP618" s="5" t="s">
        <v>3728</v>
      </c>
      <c r="IAQ618" s="17">
        <v>44925</v>
      </c>
      <c r="IAR618" s="5" t="s">
        <v>3728</v>
      </c>
      <c r="IAS618" s="17">
        <v>44925</v>
      </c>
      <c r="IAT618" s="5" t="s">
        <v>3728</v>
      </c>
      <c r="IAU618" s="17">
        <v>44925</v>
      </c>
      <c r="IAV618" s="5" t="s">
        <v>3728</v>
      </c>
      <c r="IAW618" s="17">
        <v>44925</v>
      </c>
      <c r="IAX618" s="5" t="s">
        <v>3728</v>
      </c>
      <c r="IAY618" s="17">
        <v>44925</v>
      </c>
      <c r="IAZ618" s="5" t="s">
        <v>3728</v>
      </c>
      <c r="IBA618" s="17">
        <v>44925</v>
      </c>
      <c r="IBB618" s="5" t="s">
        <v>3728</v>
      </c>
      <c r="IBC618" s="17">
        <v>44925</v>
      </c>
      <c r="IBD618" s="5" t="s">
        <v>3728</v>
      </c>
      <c r="IBE618" s="17">
        <v>44925</v>
      </c>
      <c r="IBF618" s="5" t="s">
        <v>3728</v>
      </c>
      <c r="IBG618" s="17">
        <v>44925</v>
      </c>
      <c r="IBH618" s="5" t="s">
        <v>3728</v>
      </c>
      <c r="IBI618" s="17">
        <v>44925</v>
      </c>
      <c r="IBJ618" s="5" t="s">
        <v>3728</v>
      </c>
      <c r="IBK618" s="17">
        <v>44925</v>
      </c>
      <c r="IBL618" s="5" t="s">
        <v>3728</v>
      </c>
      <c r="IBM618" s="17">
        <v>44925</v>
      </c>
      <c r="IBN618" s="5" t="s">
        <v>3728</v>
      </c>
      <c r="IBO618" s="17">
        <v>44925</v>
      </c>
      <c r="IBP618" s="5" t="s">
        <v>3728</v>
      </c>
      <c r="IBQ618" s="17">
        <v>44925</v>
      </c>
      <c r="IBR618" s="5" t="s">
        <v>3728</v>
      </c>
      <c r="IBS618" s="17">
        <v>44925</v>
      </c>
      <c r="IBT618" s="5" t="s">
        <v>3728</v>
      </c>
      <c r="IBU618" s="17">
        <v>44925</v>
      </c>
      <c r="IBV618" s="5" t="s">
        <v>3728</v>
      </c>
      <c r="IBW618" s="17">
        <v>44925</v>
      </c>
      <c r="IBX618" s="5" t="s">
        <v>3728</v>
      </c>
      <c r="IBY618" s="17">
        <v>44925</v>
      </c>
      <c r="IBZ618" s="5" t="s">
        <v>3728</v>
      </c>
      <c r="ICA618" s="17">
        <v>44925</v>
      </c>
      <c r="ICB618" s="5" t="s">
        <v>3728</v>
      </c>
      <c r="ICC618" s="17">
        <v>44925</v>
      </c>
      <c r="ICD618" s="5" t="s">
        <v>3728</v>
      </c>
      <c r="ICE618" s="17">
        <v>44925</v>
      </c>
      <c r="ICF618" s="5" t="s">
        <v>3728</v>
      </c>
      <c r="ICG618" s="17">
        <v>44925</v>
      </c>
      <c r="ICH618" s="5" t="s">
        <v>3728</v>
      </c>
      <c r="ICI618" s="17">
        <v>44925</v>
      </c>
      <c r="ICJ618" s="5" t="s">
        <v>3728</v>
      </c>
      <c r="ICK618" s="17">
        <v>44925</v>
      </c>
      <c r="ICL618" s="5" t="s">
        <v>3728</v>
      </c>
      <c r="ICM618" s="17">
        <v>44925</v>
      </c>
      <c r="ICN618" s="5" t="s">
        <v>3728</v>
      </c>
      <c r="ICO618" s="17">
        <v>44925</v>
      </c>
      <c r="ICP618" s="5" t="s">
        <v>3728</v>
      </c>
      <c r="ICQ618" s="17">
        <v>44925</v>
      </c>
      <c r="ICR618" s="5" t="s">
        <v>3728</v>
      </c>
      <c r="ICS618" s="17">
        <v>44925</v>
      </c>
      <c r="ICT618" s="5" t="s">
        <v>3728</v>
      </c>
      <c r="ICU618" s="17">
        <v>44925</v>
      </c>
      <c r="ICV618" s="5" t="s">
        <v>3728</v>
      </c>
      <c r="ICW618" s="17">
        <v>44925</v>
      </c>
      <c r="ICX618" s="5" t="s">
        <v>3728</v>
      </c>
      <c r="ICY618" s="17">
        <v>44925</v>
      </c>
      <c r="ICZ618" s="5" t="s">
        <v>3728</v>
      </c>
      <c r="IDA618" s="17">
        <v>44925</v>
      </c>
      <c r="IDB618" s="5" t="s">
        <v>3728</v>
      </c>
      <c r="IDC618" s="17">
        <v>44925</v>
      </c>
      <c r="IDD618" s="5" t="s">
        <v>3728</v>
      </c>
      <c r="IDE618" s="17">
        <v>44925</v>
      </c>
      <c r="IDF618" s="5" t="s">
        <v>3728</v>
      </c>
      <c r="IDG618" s="17">
        <v>44925</v>
      </c>
      <c r="IDH618" s="5" t="s">
        <v>3728</v>
      </c>
      <c r="IDI618" s="17">
        <v>44925</v>
      </c>
      <c r="IDJ618" s="5" t="s">
        <v>3728</v>
      </c>
      <c r="IDK618" s="17">
        <v>44925</v>
      </c>
      <c r="IDL618" s="5" t="s">
        <v>3728</v>
      </c>
      <c r="IDM618" s="17">
        <v>44925</v>
      </c>
      <c r="IDN618" s="5" t="s">
        <v>3728</v>
      </c>
      <c r="IDO618" s="17">
        <v>44925</v>
      </c>
      <c r="IDP618" s="5" t="s">
        <v>3728</v>
      </c>
      <c r="IDQ618" s="17">
        <v>44925</v>
      </c>
      <c r="IDR618" s="5" t="s">
        <v>3728</v>
      </c>
      <c r="IDS618" s="17">
        <v>44925</v>
      </c>
      <c r="IDT618" s="5" t="s">
        <v>3728</v>
      </c>
      <c r="IDU618" s="17">
        <v>44925</v>
      </c>
      <c r="IDV618" s="5" t="s">
        <v>3728</v>
      </c>
      <c r="IDW618" s="17">
        <v>44925</v>
      </c>
      <c r="IDX618" s="5" t="s">
        <v>3728</v>
      </c>
      <c r="IDY618" s="17">
        <v>44925</v>
      </c>
      <c r="IDZ618" s="5" t="s">
        <v>3728</v>
      </c>
      <c r="IEA618" s="17">
        <v>44925</v>
      </c>
      <c r="IEB618" s="5" t="s">
        <v>3728</v>
      </c>
      <c r="IEC618" s="17">
        <v>44925</v>
      </c>
      <c r="IED618" s="5" t="s">
        <v>3728</v>
      </c>
      <c r="IEE618" s="17">
        <v>44925</v>
      </c>
      <c r="IEF618" s="5" t="s">
        <v>3728</v>
      </c>
      <c r="IEG618" s="17">
        <v>44925</v>
      </c>
      <c r="IEH618" s="5" t="s">
        <v>3728</v>
      </c>
      <c r="IEI618" s="17">
        <v>44925</v>
      </c>
      <c r="IEJ618" s="5" t="s">
        <v>3728</v>
      </c>
      <c r="IEK618" s="17">
        <v>44925</v>
      </c>
      <c r="IEL618" s="5" t="s">
        <v>3728</v>
      </c>
      <c r="IEM618" s="17">
        <v>44925</v>
      </c>
      <c r="IEN618" s="5" t="s">
        <v>3728</v>
      </c>
      <c r="IEO618" s="17">
        <v>44925</v>
      </c>
      <c r="IEP618" s="5" t="s">
        <v>3728</v>
      </c>
      <c r="IEQ618" s="17">
        <v>44925</v>
      </c>
      <c r="IER618" s="5" t="s">
        <v>3728</v>
      </c>
      <c r="IES618" s="17">
        <v>44925</v>
      </c>
      <c r="IET618" s="5" t="s">
        <v>3728</v>
      </c>
      <c r="IEU618" s="17">
        <v>44925</v>
      </c>
      <c r="IEV618" s="5" t="s">
        <v>3728</v>
      </c>
      <c r="IEW618" s="17">
        <v>44925</v>
      </c>
      <c r="IEX618" s="5" t="s">
        <v>3728</v>
      </c>
      <c r="IEY618" s="17">
        <v>44925</v>
      </c>
      <c r="IEZ618" s="5" t="s">
        <v>3728</v>
      </c>
      <c r="IFA618" s="17">
        <v>44925</v>
      </c>
      <c r="IFB618" s="5" t="s">
        <v>3728</v>
      </c>
      <c r="IFC618" s="17">
        <v>44925</v>
      </c>
      <c r="IFD618" s="5" t="s">
        <v>3728</v>
      </c>
      <c r="IFE618" s="17">
        <v>44925</v>
      </c>
      <c r="IFF618" s="5" t="s">
        <v>3728</v>
      </c>
      <c r="IFG618" s="17">
        <v>44925</v>
      </c>
      <c r="IFH618" s="5" t="s">
        <v>3728</v>
      </c>
      <c r="IFI618" s="17">
        <v>44925</v>
      </c>
      <c r="IFJ618" s="5" t="s">
        <v>3728</v>
      </c>
      <c r="IFK618" s="17">
        <v>44925</v>
      </c>
      <c r="IFL618" s="5" t="s">
        <v>3728</v>
      </c>
      <c r="IFM618" s="17">
        <v>44925</v>
      </c>
      <c r="IFN618" s="5" t="s">
        <v>3728</v>
      </c>
      <c r="IFO618" s="17">
        <v>44925</v>
      </c>
      <c r="IFP618" s="5" t="s">
        <v>3728</v>
      </c>
      <c r="IFQ618" s="17">
        <v>44925</v>
      </c>
      <c r="IFR618" s="5" t="s">
        <v>3728</v>
      </c>
      <c r="IFS618" s="17">
        <v>44925</v>
      </c>
      <c r="IFT618" s="5" t="s">
        <v>3728</v>
      </c>
      <c r="IFU618" s="17">
        <v>44925</v>
      </c>
      <c r="IFV618" s="5" t="s">
        <v>3728</v>
      </c>
      <c r="IFW618" s="17">
        <v>44925</v>
      </c>
      <c r="IFX618" s="5" t="s">
        <v>3728</v>
      </c>
      <c r="IFY618" s="17">
        <v>44925</v>
      </c>
      <c r="IFZ618" s="5" t="s">
        <v>3728</v>
      </c>
      <c r="IGA618" s="17">
        <v>44925</v>
      </c>
      <c r="IGB618" s="5" t="s">
        <v>3728</v>
      </c>
      <c r="IGC618" s="17">
        <v>44925</v>
      </c>
      <c r="IGD618" s="5" t="s">
        <v>3728</v>
      </c>
      <c r="IGE618" s="17">
        <v>44925</v>
      </c>
      <c r="IGF618" s="5" t="s">
        <v>3728</v>
      </c>
      <c r="IGG618" s="17">
        <v>44925</v>
      </c>
      <c r="IGH618" s="5" t="s">
        <v>3728</v>
      </c>
      <c r="IGI618" s="17">
        <v>44925</v>
      </c>
      <c r="IGJ618" s="5" t="s">
        <v>3728</v>
      </c>
      <c r="IGK618" s="17">
        <v>44925</v>
      </c>
      <c r="IGL618" s="5" t="s">
        <v>3728</v>
      </c>
      <c r="IGM618" s="17">
        <v>44925</v>
      </c>
      <c r="IGN618" s="5" t="s">
        <v>3728</v>
      </c>
      <c r="IGO618" s="17">
        <v>44925</v>
      </c>
      <c r="IGP618" s="5" t="s">
        <v>3728</v>
      </c>
      <c r="IGQ618" s="17">
        <v>44925</v>
      </c>
      <c r="IGR618" s="5" t="s">
        <v>3728</v>
      </c>
      <c r="IGS618" s="17">
        <v>44925</v>
      </c>
      <c r="IGT618" s="5" t="s">
        <v>3728</v>
      </c>
      <c r="IGU618" s="17">
        <v>44925</v>
      </c>
      <c r="IGV618" s="5" t="s">
        <v>3728</v>
      </c>
      <c r="IGW618" s="17">
        <v>44925</v>
      </c>
      <c r="IGX618" s="5" t="s">
        <v>3728</v>
      </c>
      <c r="IGY618" s="17">
        <v>44925</v>
      </c>
      <c r="IGZ618" s="5" t="s">
        <v>3728</v>
      </c>
      <c r="IHA618" s="17">
        <v>44925</v>
      </c>
      <c r="IHB618" s="5" t="s">
        <v>3728</v>
      </c>
      <c r="IHC618" s="17">
        <v>44925</v>
      </c>
      <c r="IHD618" s="5" t="s">
        <v>3728</v>
      </c>
      <c r="IHE618" s="17">
        <v>44925</v>
      </c>
      <c r="IHF618" s="5" t="s">
        <v>3728</v>
      </c>
      <c r="IHG618" s="17">
        <v>44925</v>
      </c>
      <c r="IHH618" s="5" t="s">
        <v>3728</v>
      </c>
      <c r="IHI618" s="17">
        <v>44925</v>
      </c>
      <c r="IHJ618" s="5" t="s">
        <v>3728</v>
      </c>
      <c r="IHK618" s="17">
        <v>44925</v>
      </c>
      <c r="IHL618" s="5" t="s">
        <v>3728</v>
      </c>
      <c r="IHM618" s="17">
        <v>44925</v>
      </c>
      <c r="IHN618" s="5" t="s">
        <v>3728</v>
      </c>
      <c r="IHO618" s="17">
        <v>44925</v>
      </c>
      <c r="IHP618" s="5" t="s">
        <v>3728</v>
      </c>
      <c r="IHQ618" s="17">
        <v>44925</v>
      </c>
      <c r="IHR618" s="5" t="s">
        <v>3728</v>
      </c>
      <c r="IHS618" s="17">
        <v>44925</v>
      </c>
      <c r="IHT618" s="5" t="s">
        <v>3728</v>
      </c>
      <c r="IHU618" s="17">
        <v>44925</v>
      </c>
      <c r="IHV618" s="5" t="s">
        <v>3728</v>
      </c>
      <c r="IHW618" s="17">
        <v>44925</v>
      </c>
      <c r="IHX618" s="5" t="s">
        <v>3728</v>
      </c>
      <c r="IHY618" s="17">
        <v>44925</v>
      </c>
      <c r="IHZ618" s="5" t="s">
        <v>3728</v>
      </c>
      <c r="IIA618" s="17">
        <v>44925</v>
      </c>
      <c r="IIB618" s="5" t="s">
        <v>3728</v>
      </c>
      <c r="IIC618" s="17">
        <v>44925</v>
      </c>
      <c r="IID618" s="5" t="s">
        <v>3728</v>
      </c>
      <c r="IIE618" s="17">
        <v>44925</v>
      </c>
      <c r="IIF618" s="5" t="s">
        <v>3728</v>
      </c>
      <c r="IIG618" s="17">
        <v>44925</v>
      </c>
      <c r="IIH618" s="5" t="s">
        <v>3728</v>
      </c>
      <c r="III618" s="17">
        <v>44925</v>
      </c>
      <c r="IIJ618" s="5" t="s">
        <v>3728</v>
      </c>
      <c r="IIK618" s="17">
        <v>44925</v>
      </c>
      <c r="IIL618" s="5" t="s">
        <v>3728</v>
      </c>
      <c r="IIM618" s="17">
        <v>44925</v>
      </c>
      <c r="IIN618" s="5" t="s">
        <v>3728</v>
      </c>
      <c r="IIO618" s="17">
        <v>44925</v>
      </c>
      <c r="IIP618" s="5" t="s">
        <v>3728</v>
      </c>
      <c r="IIQ618" s="17">
        <v>44925</v>
      </c>
      <c r="IIR618" s="5" t="s">
        <v>3728</v>
      </c>
      <c r="IIS618" s="17">
        <v>44925</v>
      </c>
      <c r="IIT618" s="5" t="s">
        <v>3728</v>
      </c>
      <c r="IIU618" s="17">
        <v>44925</v>
      </c>
      <c r="IIV618" s="5" t="s">
        <v>3728</v>
      </c>
      <c r="IIW618" s="17">
        <v>44925</v>
      </c>
      <c r="IIX618" s="5" t="s">
        <v>3728</v>
      </c>
      <c r="IIY618" s="17">
        <v>44925</v>
      </c>
      <c r="IIZ618" s="5" t="s">
        <v>3728</v>
      </c>
      <c r="IJA618" s="17">
        <v>44925</v>
      </c>
      <c r="IJB618" s="5" t="s">
        <v>3728</v>
      </c>
      <c r="IJC618" s="17">
        <v>44925</v>
      </c>
      <c r="IJD618" s="5" t="s">
        <v>3728</v>
      </c>
      <c r="IJE618" s="17">
        <v>44925</v>
      </c>
      <c r="IJF618" s="5" t="s">
        <v>3728</v>
      </c>
      <c r="IJG618" s="17">
        <v>44925</v>
      </c>
      <c r="IJH618" s="5" t="s">
        <v>3728</v>
      </c>
      <c r="IJI618" s="17">
        <v>44925</v>
      </c>
      <c r="IJJ618" s="5" t="s">
        <v>3728</v>
      </c>
      <c r="IJK618" s="17">
        <v>44925</v>
      </c>
      <c r="IJL618" s="5" t="s">
        <v>3728</v>
      </c>
      <c r="IJM618" s="17">
        <v>44925</v>
      </c>
      <c r="IJN618" s="5" t="s">
        <v>3728</v>
      </c>
      <c r="IJO618" s="17">
        <v>44925</v>
      </c>
      <c r="IJP618" s="5" t="s">
        <v>3728</v>
      </c>
      <c r="IJQ618" s="17">
        <v>44925</v>
      </c>
      <c r="IJR618" s="5" t="s">
        <v>3728</v>
      </c>
      <c r="IJS618" s="17">
        <v>44925</v>
      </c>
      <c r="IJT618" s="5" t="s">
        <v>3728</v>
      </c>
      <c r="IJU618" s="17">
        <v>44925</v>
      </c>
      <c r="IJV618" s="5" t="s">
        <v>3728</v>
      </c>
      <c r="IJW618" s="17">
        <v>44925</v>
      </c>
      <c r="IJX618" s="5" t="s">
        <v>3728</v>
      </c>
      <c r="IJY618" s="17">
        <v>44925</v>
      </c>
      <c r="IJZ618" s="5" t="s">
        <v>3728</v>
      </c>
      <c r="IKA618" s="17">
        <v>44925</v>
      </c>
      <c r="IKB618" s="5" t="s">
        <v>3728</v>
      </c>
      <c r="IKC618" s="17">
        <v>44925</v>
      </c>
      <c r="IKD618" s="5" t="s">
        <v>3728</v>
      </c>
      <c r="IKE618" s="17">
        <v>44925</v>
      </c>
      <c r="IKF618" s="5" t="s">
        <v>3728</v>
      </c>
      <c r="IKG618" s="17">
        <v>44925</v>
      </c>
      <c r="IKH618" s="5" t="s">
        <v>3728</v>
      </c>
      <c r="IKI618" s="17">
        <v>44925</v>
      </c>
      <c r="IKJ618" s="5" t="s">
        <v>3728</v>
      </c>
      <c r="IKK618" s="17">
        <v>44925</v>
      </c>
      <c r="IKL618" s="5" t="s">
        <v>3728</v>
      </c>
      <c r="IKM618" s="17">
        <v>44925</v>
      </c>
      <c r="IKN618" s="5" t="s">
        <v>3728</v>
      </c>
      <c r="IKO618" s="17">
        <v>44925</v>
      </c>
      <c r="IKP618" s="5" t="s">
        <v>3728</v>
      </c>
      <c r="IKQ618" s="17">
        <v>44925</v>
      </c>
      <c r="IKR618" s="5" t="s">
        <v>3728</v>
      </c>
      <c r="IKS618" s="17">
        <v>44925</v>
      </c>
      <c r="IKT618" s="5" t="s">
        <v>3728</v>
      </c>
      <c r="IKU618" s="17">
        <v>44925</v>
      </c>
      <c r="IKV618" s="5" t="s">
        <v>3728</v>
      </c>
      <c r="IKW618" s="17">
        <v>44925</v>
      </c>
      <c r="IKX618" s="5" t="s">
        <v>3728</v>
      </c>
      <c r="IKY618" s="17">
        <v>44925</v>
      </c>
      <c r="IKZ618" s="5" t="s">
        <v>3728</v>
      </c>
      <c r="ILA618" s="17">
        <v>44925</v>
      </c>
      <c r="ILB618" s="5" t="s">
        <v>3728</v>
      </c>
      <c r="ILC618" s="17">
        <v>44925</v>
      </c>
      <c r="ILD618" s="5" t="s">
        <v>3728</v>
      </c>
      <c r="ILE618" s="17">
        <v>44925</v>
      </c>
      <c r="ILF618" s="5" t="s">
        <v>3728</v>
      </c>
      <c r="ILG618" s="17">
        <v>44925</v>
      </c>
      <c r="ILH618" s="5" t="s">
        <v>3728</v>
      </c>
      <c r="ILI618" s="17">
        <v>44925</v>
      </c>
      <c r="ILJ618" s="5" t="s">
        <v>3728</v>
      </c>
      <c r="ILK618" s="17">
        <v>44925</v>
      </c>
      <c r="ILL618" s="5" t="s">
        <v>3728</v>
      </c>
      <c r="ILM618" s="17">
        <v>44925</v>
      </c>
      <c r="ILN618" s="5" t="s">
        <v>3728</v>
      </c>
      <c r="ILO618" s="17">
        <v>44925</v>
      </c>
      <c r="ILP618" s="5" t="s">
        <v>3728</v>
      </c>
      <c r="ILQ618" s="17">
        <v>44925</v>
      </c>
      <c r="ILR618" s="5" t="s">
        <v>3728</v>
      </c>
      <c r="ILS618" s="17">
        <v>44925</v>
      </c>
      <c r="ILT618" s="5" t="s">
        <v>3728</v>
      </c>
      <c r="ILU618" s="17">
        <v>44925</v>
      </c>
      <c r="ILV618" s="5" t="s">
        <v>3728</v>
      </c>
      <c r="ILW618" s="17">
        <v>44925</v>
      </c>
      <c r="ILX618" s="5" t="s">
        <v>3728</v>
      </c>
      <c r="ILY618" s="17">
        <v>44925</v>
      </c>
      <c r="ILZ618" s="5" t="s">
        <v>3728</v>
      </c>
      <c r="IMA618" s="17">
        <v>44925</v>
      </c>
      <c r="IMB618" s="5" t="s">
        <v>3728</v>
      </c>
      <c r="IMC618" s="17">
        <v>44925</v>
      </c>
      <c r="IMD618" s="5" t="s">
        <v>3728</v>
      </c>
      <c r="IME618" s="17">
        <v>44925</v>
      </c>
      <c r="IMF618" s="5" t="s">
        <v>3728</v>
      </c>
      <c r="IMG618" s="17">
        <v>44925</v>
      </c>
      <c r="IMH618" s="5" t="s">
        <v>3728</v>
      </c>
      <c r="IMI618" s="17">
        <v>44925</v>
      </c>
      <c r="IMJ618" s="5" t="s">
        <v>3728</v>
      </c>
      <c r="IMK618" s="17">
        <v>44925</v>
      </c>
      <c r="IML618" s="5" t="s">
        <v>3728</v>
      </c>
      <c r="IMM618" s="17">
        <v>44925</v>
      </c>
      <c r="IMN618" s="5" t="s">
        <v>3728</v>
      </c>
      <c r="IMO618" s="17">
        <v>44925</v>
      </c>
      <c r="IMP618" s="5" t="s">
        <v>3728</v>
      </c>
      <c r="IMQ618" s="17">
        <v>44925</v>
      </c>
      <c r="IMR618" s="5" t="s">
        <v>3728</v>
      </c>
      <c r="IMS618" s="17">
        <v>44925</v>
      </c>
      <c r="IMT618" s="5" t="s">
        <v>3728</v>
      </c>
      <c r="IMU618" s="17">
        <v>44925</v>
      </c>
      <c r="IMV618" s="5" t="s">
        <v>3728</v>
      </c>
      <c r="IMW618" s="17">
        <v>44925</v>
      </c>
      <c r="IMX618" s="5" t="s">
        <v>3728</v>
      </c>
      <c r="IMY618" s="17">
        <v>44925</v>
      </c>
      <c r="IMZ618" s="5" t="s">
        <v>3728</v>
      </c>
      <c r="INA618" s="17">
        <v>44925</v>
      </c>
      <c r="INB618" s="5" t="s">
        <v>3728</v>
      </c>
      <c r="INC618" s="17">
        <v>44925</v>
      </c>
      <c r="IND618" s="5" t="s">
        <v>3728</v>
      </c>
      <c r="INE618" s="17">
        <v>44925</v>
      </c>
      <c r="INF618" s="5" t="s">
        <v>3728</v>
      </c>
      <c r="ING618" s="17">
        <v>44925</v>
      </c>
      <c r="INH618" s="5" t="s">
        <v>3728</v>
      </c>
      <c r="INI618" s="17">
        <v>44925</v>
      </c>
      <c r="INJ618" s="5" t="s">
        <v>3728</v>
      </c>
      <c r="INK618" s="17">
        <v>44925</v>
      </c>
      <c r="INL618" s="5" t="s">
        <v>3728</v>
      </c>
      <c r="INM618" s="17">
        <v>44925</v>
      </c>
      <c r="INN618" s="5" t="s">
        <v>3728</v>
      </c>
      <c r="INO618" s="17">
        <v>44925</v>
      </c>
      <c r="INP618" s="5" t="s">
        <v>3728</v>
      </c>
      <c r="INQ618" s="17">
        <v>44925</v>
      </c>
      <c r="INR618" s="5" t="s">
        <v>3728</v>
      </c>
      <c r="INS618" s="17">
        <v>44925</v>
      </c>
      <c r="INT618" s="5" t="s">
        <v>3728</v>
      </c>
      <c r="INU618" s="17">
        <v>44925</v>
      </c>
      <c r="INV618" s="5" t="s">
        <v>3728</v>
      </c>
      <c r="INW618" s="17">
        <v>44925</v>
      </c>
      <c r="INX618" s="5" t="s">
        <v>3728</v>
      </c>
      <c r="INY618" s="17">
        <v>44925</v>
      </c>
      <c r="INZ618" s="5" t="s">
        <v>3728</v>
      </c>
      <c r="IOA618" s="17">
        <v>44925</v>
      </c>
      <c r="IOB618" s="5" t="s">
        <v>3728</v>
      </c>
      <c r="IOC618" s="17">
        <v>44925</v>
      </c>
      <c r="IOD618" s="5" t="s">
        <v>3728</v>
      </c>
      <c r="IOE618" s="17">
        <v>44925</v>
      </c>
      <c r="IOF618" s="5" t="s">
        <v>3728</v>
      </c>
      <c r="IOG618" s="17">
        <v>44925</v>
      </c>
      <c r="IOH618" s="5" t="s">
        <v>3728</v>
      </c>
      <c r="IOI618" s="17">
        <v>44925</v>
      </c>
      <c r="IOJ618" s="5" t="s">
        <v>3728</v>
      </c>
      <c r="IOK618" s="17">
        <v>44925</v>
      </c>
      <c r="IOL618" s="5" t="s">
        <v>3728</v>
      </c>
      <c r="IOM618" s="17">
        <v>44925</v>
      </c>
      <c r="ION618" s="5" t="s">
        <v>3728</v>
      </c>
      <c r="IOO618" s="17">
        <v>44925</v>
      </c>
      <c r="IOP618" s="5" t="s">
        <v>3728</v>
      </c>
      <c r="IOQ618" s="17">
        <v>44925</v>
      </c>
      <c r="IOR618" s="5" t="s">
        <v>3728</v>
      </c>
      <c r="IOS618" s="17">
        <v>44925</v>
      </c>
      <c r="IOT618" s="5" t="s">
        <v>3728</v>
      </c>
      <c r="IOU618" s="17">
        <v>44925</v>
      </c>
      <c r="IOV618" s="5" t="s">
        <v>3728</v>
      </c>
      <c r="IOW618" s="17">
        <v>44925</v>
      </c>
      <c r="IOX618" s="5" t="s">
        <v>3728</v>
      </c>
      <c r="IOY618" s="17">
        <v>44925</v>
      </c>
      <c r="IOZ618" s="5" t="s">
        <v>3728</v>
      </c>
      <c r="IPA618" s="17">
        <v>44925</v>
      </c>
      <c r="IPB618" s="5" t="s">
        <v>3728</v>
      </c>
      <c r="IPC618" s="17">
        <v>44925</v>
      </c>
      <c r="IPD618" s="5" t="s">
        <v>3728</v>
      </c>
      <c r="IPE618" s="17">
        <v>44925</v>
      </c>
      <c r="IPF618" s="5" t="s">
        <v>3728</v>
      </c>
      <c r="IPG618" s="17">
        <v>44925</v>
      </c>
      <c r="IPH618" s="5" t="s">
        <v>3728</v>
      </c>
      <c r="IPI618" s="17">
        <v>44925</v>
      </c>
      <c r="IPJ618" s="5" t="s">
        <v>3728</v>
      </c>
      <c r="IPK618" s="17">
        <v>44925</v>
      </c>
      <c r="IPL618" s="5" t="s">
        <v>3728</v>
      </c>
      <c r="IPM618" s="17">
        <v>44925</v>
      </c>
      <c r="IPN618" s="5" t="s">
        <v>3728</v>
      </c>
      <c r="IPO618" s="17">
        <v>44925</v>
      </c>
      <c r="IPP618" s="5" t="s">
        <v>3728</v>
      </c>
      <c r="IPQ618" s="17">
        <v>44925</v>
      </c>
      <c r="IPR618" s="5" t="s">
        <v>3728</v>
      </c>
      <c r="IPS618" s="17">
        <v>44925</v>
      </c>
      <c r="IPT618" s="5" t="s">
        <v>3728</v>
      </c>
      <c r="IPU618" s="17">
        <v>44925</v>
      </c>
      <c r="IPV618" s="5" t="s">
        <v>3728</v>
      </c>
      <c r="IPW618" s="17">
        <v>44925</v>
      </c>
      <c r="IPX618" s="5" t="s">
        <v>3728</v>
      </c>
      <c r="IPY618" s="17">
        <v>44925</v>
      </c>
      <c r="IPZ618" s="5" t="s">
        <v>3728</v>
      </c>
      <c r="IQA618" s="17">
        <v>44925</v>
      </c>
      <c r="IQB618" s="5" t="s">
        <v>3728</v>
      </c>
      <c r="IQC618" s="17">
        <v>44925</v>
      </c>
      <c r="IQD618" s="5" t="s">
        <v>3728</v>
      </c>
      <c r="IQE618" s="17">
        <v>44925</v>
      </c>
      <c r="IQF618" s="5" t="s">
        <v>3728</v>
      </c>
      <c r="IQG618" s="17">
        <v>44925</v>
      </c>
      <c r="IQH618" s="5" t="s">
        <v>3728</v>
      </c>
      <c r="IQI618" s="17">
        <v>44925</v>
      </c>
      <c r="IQJ618" s="5" t="s">
        <v>3728</v>
      </c>
      <c r="IQK618" s="17">
        <v>44925</v>
      </c>
      <c r="IQL618" s="5" t="s">
        <v>3728</v>
      </c>
      <c r="IQM618" s="17">
        <v>44925</v>
      </c>
      <c r="IQN618" s="5" t="s">
        <v>3728</v>
      </c>
      <c r="IQO618" s="17">
        <v>44925</v>
      </c>
      <c r="IQP618" s="5" t="s">
        <v>3728</v>
      </c>
      <c r="IQQ618" s="17">
        <v>44925</v>
      </c>
      <c r="IQR618" s="5" t="s">
        <v>3728</v>
      </c>
      <c r="IQS618" s="17">
        <v>44925</v>
      </c>
      <c r="IQT618" s="5" t="s">
        <v>3728</v>
      </c>
      <c r="IQU618" s="17">
        <v>44925</v>
      </c>
      <c r="IQV618" s="5" t="s">
        <v>3728</v>
      </c>
      <c r="IQW618" s="17">
        <v>44925</v>
      </c>
      <c r="IQX618" s="5" t="s">
        <v>3728</v>
      </c>
      <c r="IQY618" s="17">
        <v>44925</v>
      </c>
      <c r="IQZ618" s="5" t="s">
        <v>3728</v>
      </c>
      <c r="IRA618" s="17">
        <v>44925</v>
      </c>
      <c r="IRB618" s="5" t="s">
        <v>3728</v>
      </c>
      <c r="IRC618" s="17">
        <v>44925</v>
      </c>
      <c r="IRD618" s="5" t="s">
        <v>3728</v>
      </c>
      <c r="IRE618" s="17">
        <v>44925</v>
      </c>
      <c r="IRF618" s="5" t="s">
        <v>3728</v>
      </c>
      <c r="IRG618" s="17">
        <v>44925</v>
      </c>
      <c r="IRH618" s="5" t="s">
        <v>3728</v>
      </c>
      <c r="IRI618" s="17">
        <v>44925</v>
      </c>
      <c r="IRJ618" s="5" t="s">
        <v>3728</v>
      </c>
      <c r="IRK618" s="17">
        <v>44925</v>
      </c>
      <c r="IRL618" s="5" t="s">
        <v>3728</v>
      </c>
      <c r="IRM618" s="17">
        <v>44925</v>
      </c>
      <c r="IRN618" s="5" t="s">
        <v>3728</v>
      </c>
      <c r="IRO618" s="17">
        <v>44925</v>
      </c>
      <c r="IRP618" s="5" t="s">
        <v>3728</v>
      </c>
      <c r="IRQ618" s="17">
        <v>44925</v>
      </c>
      <c r="IRR618" s="5" t="s">
        <v>3728</v>
      </c>
      <c r="IRS618" s="17">
        <v>44925</v>
      </c>
      <c r="IRT618" s="5" t="s">
        <v>3728</v>
      </c>
      <c r="IRU618" s="17">
        <v>44925</v>
      </c>
      <c r="IRV618" s="5" t="s">
        <v>3728</v>
      </c>
      <c r="IRW618" s="17">
        <v>44925</v>
      </c>
      <c r="IRX618" s="5" t="s">
        <v>3728</v>
      </c>
      <c r="IRY618" s="17">
        <v>44925</v>
      </c>
      <c r="IRZ618" s="5" t="s">
        <v>3728</v>
      </c>
      <c r="ISA618" s="17">
        <v>44925</v>
      </c>
      <c r="ISB618" s="5" t="s">
        <v>3728</v>
      </c>
      <c r="ISC618" s="17">
        <v>44925</v>
      </c>
      <c r="ISD618" s="5" t="s">
        <v>3728</v>
      </c>
      <c r="ISE618" s="17">
        <v>44925</v>
      </c>
      <c r="ISF618" s="5" t="s">
        <v>3728</v>
      </c>
      <c r="ISG618" s="17">
        <v>44925</v>
      </c>
      <c r="ISH618" s="5" t="s">
        <v>3728</v>
      </c>
      <c r="ISI618" s="17">
        <v>44925</v>
      </c>
      <c r="ISJ618" s="5" t="s">
        <v>3728</v>
      </c>
      <c r="ISK618" s="17">
        <v>44925</v>
      </c>
      <c r="ISL618" s="5" t="s">
        <v>3728</v>
      </c>
      <c r="ISM618" s="17">
        <v>44925</v>
      </c>
      <c r="ISN618" s="5" t="s">
        <v>3728</v>
      </c>
      <c r="ISO618" s="17">
        <v>44925</v>
      </c>
      <c r="ISP618" s="5" t="s">
        <v>3728</v>
      </c>
      <c r="ISQ618" s="17">
        <v>44925</v>
      </c>
      <c r="ISR618" s="5" t="s">
        <v>3728</v>
      </c>
      <c r="ISS618" s="17">
        <v>44925</v>
      </c>
      <c r="IST618" s="5" t="s">
        <v>3728</v>
      </c>
      <c r="ISU618" s="17">
        <v>44925</v>
      </c>
      <c r="ISV618" s="5" t="s">
        <v>3728</v>
      </c>
      <c r="ISW618" s="17">
        <v>44925</v>
      </c>
      <c r="ISX618" s="5" t="s">
        <v>3728</v>
      </c>
      <c r="ISY618" s="17">
        <v>44925</v>
      </c>
      <c r="ISZ618" s="5" t="s">
        <v>3728</v>
      </c>
      <c r="ITA618" s="17">
        <v>44925</v>
      </c>
      <c r="ITB618" s="5" t="s">
        <v>3728</v>
      </c>
      <c r="ITC618" s="17">
        <v>44925</v>
      </c>
      <c r="ITD618" s="5" t="s">
        <v>3728</v>
      </c>
      <c r="ITE618" s="17">
        <v>44925</v>
      </c>
      <c r="ITF618" s="5" t="s">
        <v>3728</v>
      </c>
      <c r="ITG618" s="17">
        <v>44925</v>
      </c>
      <c r="ITH618" s="5" t="s">
        <v>3728</v>
      </c>
      <c r="ITI618" s="17">
        <v>44925</v>
      </c>
      <c r="ITJ618" s="5" t="s">
        <v>3728</v>
      </c>
      <c r="ITK618" s="17">
        <v>44925</v>
      </c>
      <c r="ITL618" s="5" t="s">
        <v>3728</v>
      </c>
      <c r="ITM618" s="17">
        <v>44925</v>
      </c>
      <c r="ITN618" s="5" t="s">
        <v>3728</v>
      </c>
      <c r="ITO618" s="17">
        <v>44925</v>
      </c>
      <c r="ITP618" s="5" t="s">
        <v>3728</v>
      </c>
      <c r="ITQ618" s="17">
        <v>44925</v>
      </c>
      <c r="ITR618" s="5" t="s">
        <v>3728</v>
      </c>
      <c r="ITS618" s="17">
        <v>44925</v>
      </c>
      <c r="ITT618" s="5" t="s">
        <v>3728</v>
      </c>
      <c r="ITU618" s="17">
        <v>44925</v>
      </c>
      <c r="ITV618" s="5" t="s">
        <v>3728</v>
      </c>
      <c r="ITW618" s="17">
        <v>44925</v>
      </c>
      <c r="ITX618" s="5" t="s">
        <v>3728</v>
      </c>
      <c r="ITY618" s="17">
        <v>44925</v>
      </c>
      <c r="ITZ618" s="5" t="s">
        <v>3728</v>
      </c>
      <c r="IUA618" s="17">
        <v>44925</v>
      </c>
      <c r="IUB618" s="5" t="s">
        <v>3728</v>
      </c>
      <c r="IUC618" s="17">
        <v>44925</v>
      </c>
      <c r="IUD618" s="5" t="s">
        <v>3728</v>
      </c>
      <c r="IUE618" s="17">
        <v>44925</v>
      </c>
      <c r="IUF618" s="5" t="s">
        <v>3728</v>
      </c>
      <c r="IUG618" s="17">
        <v>44925</v>
      </c>
      <c r="IUH618" s="5" t="s">
        <v>3728</v>
      </c>
      <c r="IUI618" s="17">
        <v>44925</v>
      </c>
      <c r="IUJ618" s="5" t="s">
        <v>3728</v>
      </c>
      <c r="IUK618" s="17">
        <v>44925</v>
      </c>
      <c r="IUL618" s="5" t="s">
        <v>3728</v>
      </c>
      <c r="IUM618" s="17">
        <v>44925</v>
      </c>
      <c r="IUN618" s="5" t="s">
        <v>3728</v>
      </c>
      <c r="IUO618" s="17">
        <v>44925</v>
      </c>
      <c r="IUP618" s="5" t="s">
        <v>3728</v>
      </c>
      <c r="IUQ618" s="17">
        <v>44925</v>
      </c>
      <c r="IUR618" s="5" t="s">
        <v>3728</v>
      </c>
      <c r="IUS618" s="17">
        <v>44925</v>
      </c>
      <c r="IUT618" s="5" t="s">
        <v>3728</v>
      </c>
      <c r="IUU618" s="17">
        <v>44925</v>
      </c>
      <c r="IUV618" s="5" t="s">
        <v>3728</v>
      </c>
      <c r="IUW618" s="17">
        <v>44925</v>
      </c>
      <c r="IUX618" s="5" t="s">
        <v>3728</v>
      </c>
      <c r="IUY618" s="17">
        <v>44925</v>
      </c>
      <c r="IUZ618" s="5" t="s">
        <v>3728</v>
      </c>
      <c r="IVA618" s="17">
        <v>44925</v>
      </c>
      <c r="IVB618" s="5" t="s">
        <v>3728</v>
      </c>
      <c r="IVC618" s="17">
        <v>44925</v>
      </c>
      <c r="IVD618" s="5" t="s">
        <v>3728</v>
      </c>
      <c r="IVE618" s="17">
        <v>44925</v>
      </c>
      <c r="IVF618" s="5" t="s">
        <v>3728</v>
      </c>
      <c r="IVG618" s="17">
        <v>44925</v>
      </c>
      <c r="IVH618" s="5" t="s">
        <v>3728</v>
      </c>
      <c r="IVI618" s="17">
        <v>44925</v>
      </c>
      <c r="IVJ618" s="5" t="s">
        <v>3728</v>
      </c>
      <c r="IVK618" s="17">
        <v>44925</v>
      </c>
      <c r="IVL618" s="5" t="s">
        <v>3728</v>
      </c>
      <c r="IVM618" s="17">
        <v>44925</v>
      </c>
      <c r="IVN618" s="5" t="s">
        <v>3728</v>
      </c>
      <c r="IVO618" s="17">
        <v>44925</v>
      </c>
      <c r="IVP618" s="5" t="s">
        <v>3728</v>
      </c>
      <c r="IVQ618" s="17">
        <v>44925</v>
      </c>
      <c r="IVR618" s="5" t="s">
        <v>3728</v>
      </c>
      <c r="IVS618" s="17">
        <v>44925</v>
      </c>
      <c r="IVT618" s="5" t="s">
        <v>3728</v>
      </c>
      <c r="IVU618" s="17">
        <v>44925</v>
      </c>
      <c r="IVV618" s="5" t="s">
        <v>3728</v>
      </c>
      <c r="IVW618" s="17">
        <v>44925</v>
      </c>
      <c r="IVX618" s="5" t="s">
        <v>3728</v>
      </c>
      <c r="IVY618" s="17">
        <v>44925</v>
      </c>
      <c r="IVZ618" s="5" t="s">
        <v>3728</v>
      </c>
      <c r="IWA618" s="17">
        <v>44925</v>
      </c>
      <c r="IWB618" s="5" t="s">
        <v>3728</v>
      </c>
      <c r="IWC618" s="17">
        <v>44925</v>
      </c>
      <c r="IWD618" s="5" t="s">
        <v>3728</v>
      </c>
      <c r="IWE618" s="17">
        <v>44925</v>
      </c>
      <c r="IWF618" s="5" t="s">
        <v>3728</v>
      </c>
      <c r="IWG618" s="17">
        <v>44925</v>
      </c>
      <c r="IWH618" s="5" t="s">
        <v>3728</v>
      </c>
      <c r="IWI618" s="17">
        <v>44925</v>
      </c>
      <c r="IWJ618" s="5" t="s">
        <v>3728</v>
      </c>
      <c r="IWK618" s="17">
        <v>44925</v>
      </c>
      <c r="IWL618" s="5" t="s">
        <v>3728</v>
      </c>
      <c r="IWM618" s="17">
        <v>44925</v>
      </c>
      <c r="IWN618" s="5" t="s">
        <v>3728</v>
      </c>
      <c r="IWO618" s="17">
        <v>44925</v>
      </c>
      <c r="IWP618" s="5" t="s">
        <v>3728</v>
      </c>
      <c r="IWQ618" s="17">
        <v>44925</v>
      </c>
      <c r="IWR618" s="5" t="s">
        <v>3728</v>
      </c>
      <c r="IWS618" s="17">
        <v>44925</v>
      </c>
      <c r="IWT618" s="5" t="s">
        <v>3728</v>
      </c>
      <c r="IWU618" s="17">
        <v>44925</v>
      </c>
      <c r="IWV618" s="5" t="s">
        <v>3728</v>
      </c>
      <c r="IWW618" s="17">
        <v>44925</v>
      </c>
      <c r="IWX618" s="5" t="s">
        <v>3728</v>
      </c>
      <c r="IWY618" s="17">
        <v>44925</v>
      </c>
      <c r="IWZ618" s="5" t="s">
        <v>3728</v>
      </c>
      <c r="IXA618" s="17">
        <v>44925</v>
      </c>
      <c r="IXB618" s="5" t="s">
        <v>3728</v>
      </c>
      <c r="IXC618" s="17">
        <v>44925</v>
      </c>
      <c r="IXD618" s="5" t="s">
        <v>3728</v>
      </c>
      <c r="IXE618" s="17">
        <v>44925</v>
      </c>
      <c r="IXF618" s="5" t="s">
        <v>3728</v>
      </c>
      <c r="IXG618" s="17">
        <v>44925</v>
      </c>
      <c r="IXH618" s="5" t="s">
        <v>3728</v>
      </c>
      <c r="IXI618" s="17">
        <v>44925</v>
      </c>
      <c r="IXJ618" s="5" t="s">
        <v>3728</v>
      </c>
      <c r="IXK618" s="17">
        <v>44925</v>
      </c>
      <c r="IXL618" s="5" t="s">
        <v>3728</v>
      </c>
      <c r="IXM618" s="17">
        <v>44925</v>
      </c>
      <c r="IXN618" s="5" t="s">
        <v>3728</v>
      </c>
      <c r="IXO618" s="17">
        <v>44925</v>
      </c>
      <c r="IXP618" s="5" t="s">
        <v>3728</v>
      </c>
      <c r="IXQ618" s="17">
        <v>44925</v>
      </c>
      <c r="IXR618" s="5" t="s">
        <v>3728</v>
      </c>
      <c r="IXS618" s="17">
        <v>44925</v>
      </c>
      <c r="IXT618" s="5" t="s">
        <v>3728</v>
      </c>
      <c r="IXU618" s="17">
        <v>44925</v>
      </c>
      <c r="IXV618" s="5" t="s">
        <v>3728</v>
      </c>
      <c r="IXW618" s="17">
        <v>44925</v>
      </c>
      <c r="IXX618" s="5" t="s">
        <v>3728</v>
      </c>
      <c r="IXY618" s="17">
        <v>44925</v>
      </c>
      <c r="IXZ618" s="5" t="s">
        <v>3728</v>
      </c>
      <c r="IYA618" s="17">
        <v>44925</v>
      </c>
      <c r="IYB618" s="5" t="s">
        <v>3728</v>
      </c>
      <c r="IYC618" s="17">
        <v>44925</v>
      </c>
      <c r="IYD618" s="5" t="s">
        <v>3728</v>
      </c>
      <c r="IYE618" s="17">
        <v>44925</v>
      </c>
      <c r="IYF618" s="5" t="s">
        <v>3728</v>
      </c>
      <c r="IYG618" s="17">
        <v>44925</v>
      </c>
      <c r="IYH618" s="5" t="s">
        <v>3728</v>
      </c>
      <c r="IYI618" s="17">
        <v>44925</v>
      </c>
      <c r="IYJ618" s="5" t="s">
        <v>3728</v>
      </c>
      <c r="IYK618" s="17">
        <v>44925</v>
      </c>
      <c r="IYL618" s="5" t="s">
        <v>3728</v>
      </c>
      <c r="IYM618" s="17">
        <v>44925</v>
      </c>
      <c r="IYN618" s="5" t="s">
        <v>3728</v>
      </c>
      <c r="IYO618" s="17">
        <v>44925</v>
      </c>
      <c r="IYP618" s="5" t="s">
        <v>3728</v>
      </c>
      <c r="IYQ618" s="17">
        <v>44925</v>
      </c>
      <c r="IYR618" s="5" t="s">
        <v>3728</v>
      </c>
      <c r="IYS618" s="17">
        <v>44925</v>
      </c>
      <c r="IYT618" s="5" t="s">
        <v>3728</v>
      </c>
      <c r="IYU618" s="17">
        <v>44925</v>
      </c>
      <c r="IYV618" s="5" t="s">
        <v>3728</v>
      </c>
      <c r="IYW618" s="17">
        <v>44925</v>
      </c>
      <c r="IYX618" s="5" t="s">
        <v>3728</v>
      </c>
      <c r="IYY618" s="17">
        <v>44925</v>
      </c>
      <c r="IYZ618" s="5" t="s">
        <v>3728</v>
      </c>
      <c r="IZA618" s="17">
        <v>44925</v>
      </c>
      <c r="IZB618" s="5" t="s">
        <v>3728</v>
      </c>
      <c r="IZC618" s="17">
        <v>44925</v>
      </c>
      <c r="IZD618" s="5" t="s">
        <v>3728</v>
      </c>
      <c r="IZE618" s="17">
        <v>44925</v>
      </c>
      <c r="IZF618" s="5" t="s">
        <v>3728</v>
      </c>
      <c r="IZG618" s="17">
        <v>44925</v>
      </c>
      <c r="IZH618" s="5" t="s">
        <v>3728</v>
      </c>
      <c r="IZI618" s="17">
        <v>44925</v>
      </c>
      <c r="IZJ618" s="5" t="s">
        <v>3728</v>
      </c>
      <c r="IZK618" s="17">
        <v>44925</v>
      </c>
      <c r="IZL618" s="5" t="s">
        <v>3728</v>
      </c>
      <c r="IZM618" s="17">
        <v>44925</v>
      </c>
      <c r="IZN618" s="5" t="s">
        <v>3728</v>
      </c>
      <c r="IZO618" s="17">
        <v>44925</v>
      </c>
      <c r="IZP618" s="5" t="s">
        <v>3728</v>
      </c>
      <c r="IZQ618" s="17">
        <v>44925</v>
      </c>
      <c r="IZR618" s="5" t="s">
        <v>3728</v>
      </c>
      <c r="IZS618" s="17">
        <v>44925</v>
      </c>
      <c r="IZT618" s="5" t="s">
        <v>3728</v>
      </c>
      <c r="IZU618" s="17">
        <v>44925</v>
      </c>
      <c r="IZV618" s="5" t="s">
        <v>3728</v>
      </c>
      <c r="IZW618" s="17">
        <v>44925</v>
      </c>
      <c r="IZX618" s="5" t="s">
        <v>3728</v>
      </c>
      <c r="IZY618" s="17">
        <v>44925</v>
      </c>
      <c r="IZZ618" s="5" t="s">
        <v>3728</v>
      </c>
      <c r="JAA618" s="17">
        <v>44925</v>
      </c>
      <c r="JAB618" s="5" t="s">
        <v>3728</v>
      </c>
      <c r="JAC618" s="17">
        <v>44925</v>
      </c>
      <c r="JAD618" s="5" t="s">
        <v>3728</v>
      </c>
      <c r="JAE618" s="17">
        <v>44925</v>
      </c>
      <c r="JAF618" s="5" t="s">
        <v>3728</v>
      </c>
      <c r="JAG618" s="17">
        <v>44925</v>
      </c>
      <c r="JAH618" s="5" t="s">
        <v>3728</v>
      </c>
      <c r="JAI618" s="17">
        <v>44925</v>
      </c>
      <c r="JAJ618" s="5" t="s">
        <v>3728</v>
      </c>
      <c r="JAK618" s="17">
        <v>44925</v>
      </c>
      <c r="JAL618" s="5" t="s">
        <v>3728</v>
      </c>
      <c r="JAM618" s="17">
        <v>44925</v>
      </c>
      <c r="JAN618" s="5" t="s">
        <v>3728</v>
      </c>
      <c r="JAO618" s="17">
        <v>44925</v>
      </c>
      <c r="JAP618" s="5" t="s">
        <v>3728</v>
      </c>
      <c r="JAQ618" s="17">
        <v>44925</v>
      </c>
      <c r="JAR618" s="5" t="s">
        <v>3728</v>
      </c>
      <c r="JAS618" s="17">
        <v>44925</v>
      </c>
      <c r="JAT618" s="5" t="s">
        <v>3728</v>
      </c>
      <c r="JAU618" s="17">
        <v>44925</v>
      </c>
      <c r="JAV618" s="5" t="s">
        <v>3728</v>
      </c>
      <c r="JAW618" s="17">
        <v>44925</v>
      </c>
      <c r="JAX618" s="5" t="s">
        <v>3728</v>
      </c>
      <c r="JAY618" s="17">
        <v>44925</v>
      </c>
      <c r="JAZ618" s="5" t="s">
        <v>3728</v>
      </c>
      <c r="JBA618" s="17">
        <v>44925</v>
      </c>
      <c r="JBB618" s="5" t="s">
        <v>3728</v>
      </c>
      <c r="JBC618" s="17">
        <v>44925</v>
      </c>
      <c r="JBD618" s="5" t="s">
        <v>3728</v>
      </c>
      <c r="JBE618" s="17">
        <v>44925</v>
      </c>
      <c r="JBF618" s="5" t="s">
        <v>3728</v>
      </c>
      <c r="JBG618" s="17">
        <v>44925</v>
      </c>
      <c r="JBH618" s="5" t="s">
        <v>3728</v>
      </c>
      <c r="JBI618" s="17">
        <v>44925</v>
      </c>
      <c r="JBJ618" s="5" t="s">
        <v>3728</v>
      </c>
      <c r="JBK618" s="17">
        <v>44925</v>
      </c>
      <c r="JBL618" s="5" t="s">
        <v>3728</v>
      </c>
      <c r="JBM618" s="17">
        <v>44925</v>
      </c>
      <c r="JBN618" s="5" t="s">
        <v>3728</v>
      </c>
      <c r="JBO618" s="17">
        <v>44925</v>
      </c>
      <c r="JBP618" s="5" t="s">
        <v>3728</v>
      </c>
      <c r="JBQ618" s="17">
        <v>44925</v>
      </c>
      <c r="JBR618" s="5" t="s">
        <v>3728</v>
      </c>
      <c r="JBS618" s="17">
        <v>44925</v>
      </c>
      <c r="JBT618" s="5" t="s">
        <v>3728</v>
      </c>
      <c r="JBU618" s="17">
        <v>44925</v>
      </c>
      <c r="JBV618" s="5" t="s">
        <v>3728</v>
      </c>
      <c r="JBW618" s="17">
        <v>44925</v>
      </c>
      <c r="JBX618" s="5" t="s">
        <v>3728</v>
      </c>
      <c r="JBY618" s="17">
        <v>44925</v>
      </c>
      <c r="JBZ618" s="5" t="s">
        <v>3728</v>
      </c>
      <c r="JCA618" s="17">
        <v>44925</v>
      </c>
      <c r="JCB618" s="5" t="s">
        <v>3728</v>
      </c>
      <c r="JCC618" s="17">
        <v>44925</v>
      </c>
      <c r="JCD618" s="5" t="s">
        <v>3728</v>
      </c>
      <c r="JCE618" s="17">
        <v>44925</v>
      </c>
      <c r="JCF618" s="5" t="s">
        <v>3728</v>
      </c>
      <c r="JCG618" s="17">
        <v>44925</v>
      </c>
      <c r="JCH618" s="5" t="s">
        <v>3728</v>
      </c>
      <c r="JCI618" s="17">
        <v>44925</v>
      </c>
      <c r="JCJ618" s="5" t="s">
        <v>3728</v>
      </c>
      <c r="JCK618" s="17">
        <v>44925</v>
      </c>
      <c r="JCL618" s="5" t="s">
        <v>3728</v>
      </c>
      <c r="JCM618" s="17">
        <v>44925</v>
      </c>
      <c r="JCN618" s="5" t="s">
        <v>3728</v>
      </c>
      <c r="JCO618" s="17">
        <v>44925</v>
      </c>
      <c r="JCP618" s="5" t="s">
        <v>3728</v>
      </c>
      <c r="JCQ618" s="17">
        <v>44925</v>
      </c>
      <c r="JCR618" s="5" t="s">
        <v>3728</v>
      </c>
      <c r="JCS618" s="17">
        <v>44925</v>
      </c>
      <c r="JCT618" s="5" t="s">
        <v>3728</v>
      </c>
      <c r="JCU618" s="17">
        <v>44925</v>
      </c>
      <c r="JCV618" s="5" t="s">
        <v>3728</v>
      </c>
      <c r="JCW618" s="17">
        <v>44925</v>
      </c>
      <c r="JCX618" s="5" t="s">
        <v>3728</v>
      </c>
      <c r="JCY618" s="17">
        <v>44925</v>
      </c>
      <c r="JCZ618" s="5" t="s">
        <v>3728</v>
      </c>
      <c r="JDA618" s="17">
        <v>44925</v>
      </c>
      <c r="JDB618" s="5" t="s">
        <v>3728</v>
      </c>
      <c r="JDC618" s="17">
        <v>44925</v>
      </c>
      <c r="JDD618" s="5" t="s">
        <v>3728</v>
      </c>
      <c r="JDE618" s="17">
        <v>44925</v>
      </c>
      <c r="JDF618" s="5" t="s">
        <v>3728</v>
      </c>
      <c r="JDG618" s="17">
        <v>44925</v>
      </c>
      <c r="JDH618" s="5" t="s">
        <v>3728</v>
      </c>
      <c r="JDI618" s="17">
        <v>44925</v>
      </c>
      <c r="JDJ618" s="5" t="s">
        <v>3728</v>
      </c>
      <c r="JDK618" s="17">
        <v>44925</v>
      </c>
      <c r="JDL618" s="5" t="s">
        <v>3728</v>
      </c>
      <c r="JDM618" s="17">
        <v>44925</v>
      </c>
      <c r="JDN618" s="5" t="s">
        <v>3728</v>
      </c>
      <c r="JDO618" s="17">
        <v>44925</v>
      </c>
      <c r="JDP618" s="5" t="s">
        <v>3728</v>
      </c>
      <c r="JDQ618" s="17">
        <v>44925</v>
      </c>
      <c r="JDR618" s="5" t="s">
        <v>3728</v>
      </c>
      <c r="JDS618" s="17">
        <v>44925</v>
      </c>
      <c r="JDT618" s="5" t="s">
        <v>3728</v>
      </c>
      <c r="JDU618" s="17">
        <v>44925</v>
      </c>
      <c r="JDV618" s="5" t="s">
        <v>3728</v>
      </c>
      <c r="JDW618" s="17">
        <v>44925</v>
      </c>
      <c r="JDX618" s="5" t="s">
        <v>3728</v>
      </c>
      <c r="JDY618" s="17">
        <v>44925</v>
      </c>
      <c r="JDZ618" s="5" t="s">
        <v>3728</v>
      </c>
      <c r="JEA618" s="17">
        <v>44925</v>
      </c>
      <c r="JEB618" s="5" t="s">
        <v>3728</v>
      </c>
      <c r="JEC618" s="17">
        <v>44925</v>
      </c>
      <c r="JED618" s="5" t="s">
        <v>3728</v>
      </c>
      <c r="JEE618" s="17">
        <v>44925</v>
      </c>
      <c r="JEF618" s="5" t="s">
        <v>3728</v>
      </c>
      <c r="JEG618" s="17">
        <v>44925</v>
      </c>
      <c r="JEH618" s="5" t="s">
        <v>3728</v>
      </c>
      <c r="JEI618" s="17">
        <v>44925</v>
      </c>
      <c r="JEJ618" s="5" t="s">
        <v>3728</v>
      </c>
      <c r="JEK618" s="17">
        <v>44925</v>
      </c>
      <c r="JEL618" s="5" t="s">
        <v>3728</v>
      </c>
      <c r="JEM618" s="17">
        <v>44925</v>
      </c>
      <c r="JEN618" s="5" t="s">
        <v>3728</v>
      </c>
      <c r="JEO618" s="17">
        <v>44925</v>
      </c>
      <c r="JEP618" s="5" t="s">
        <v>3728</v>
      </c>
      <c r="JEQ618" s="17">
        <v>44925</v>
      </c>
      <c r="JER618" s="5" t="s">
        <v>3728</v>
      </c>
      <c r="JES618" s="17">
        <v>44925</v>
      </c>
      <c r="JET618" s="5" t="s">
        <v>3728</v>
      </c>
      <c r="JEU618" s="17">
        <v>44925</v>
      </c>
      <c r="JEV618" s="5" t="s">
        <v>3728</v>
      </c>
      <c r="JEW618" s="17">
        <v>44925</v>
      </c>
      <c r="JEX618" s="5" t="s">
        <v>3728</v>
      </c>
      <c r="JEY618" s="17">
        <v>44925</v>
      </c>
      <c r="JEZ618" s="5" t="s">
        <v>3728</v>
      </c>
      <c r="JFA618" s="17">
        <v>44925</v>
      </c>
      <c r="JFB618" s="5" t="s">
        <v>3728</v>
      </c>
      <c r="JFC618" s="17">
        <v>44925</v>
      </c>
      <c r="JFD618" s="5" t="s">
        <v>3728</v>
      </c>
      <c r="JFE618" s="17">
        <v>44925</v>
      </c>
      <c r="JFF618" s="5" t="s">
        <v>3728</v>
      </c>
      <c r="JFG618" s="17">
        <v>44925</v>
      </c>
      <c r="JFH618" s="5" t="s">
        <v>3728</v>
      </c>
      <c r="JFI618" s="17">
        <v>44925</v>
      </c>
      <c r="JFJ618" s="5" t="s">
        <v>3728</v>
      </c>
      <c r="JFK618" s="17">
        <v>44925</v>
      </c>
      <c r="JFL618" s="5" t="s">
        <v>3728</v>
      </c>
      <c r="JFM618" s="17">
        <v>44925</v>
      </c>
      <c r="JFN618" s="5" t="s">
        <v>3728</v>
      </c>
      <c r="JFO618" s="17">
        <v>44925</v>
      </c>
      <c r="JFP618" s="5" t="s">
        <v>3728</v>
      </c>
      <c r="JFQ618" s="17">
        <v>44925</v>
      </c>
      <c r="JFR618" s="5" t="s">
        <v>3728</v>
      </c>
      <c r="JFS618" s="17">
        <v>44925</v>
      </c>
      <c r="JFT618" s="5" t="s">
        <v>3728</v>
      </c>
      <c r="JFU618" s="17">
        <v>44925</v>
      </c>
      <c r="JFV618" s="5" t="s">
        <v>3728</v>
      </c>
      <c r="JFW618" s="17">
        <v>44925</v>
      </c>
      <c r="JFX618" s="5" t="s">
        <v>3728</v>
      </c>
      <c r="JFY618" s="17">
        <v>44925</v>
      </c>
      <c r="JFZ618" s="5" t="s">
        <v>3728</v>
      </c>
      <c r="JGA618" s="17">
        <v>44925</v>
      </c>
      <c r="JGB618" s="5" t="s">
        <v>3728</v>
      </c>
      <c r="JGC618" s="17">
        <v>44925</v>
      </c>
      <c r="JGD618" s="5" t="s">
        <v>3728</v>
      </c>
      <c r="JGE618" s="17">
        <v>44925</v>
      </c>
      <c r="JGF618" s="5" t="s">
        <v>3728</v>
      </c>
      <c r="JGG618" s="17">
        <v>44925</v>
      </c>
      <c r="JGH618" s="5" t="s">
        <v>3728</v>
      </c>
      <c r="JGI618" s="17">
        <v>44925</v>
      </c>
      <c r="JGJ618" s="5" t="s">
        <v>3728</v>
      </c>
      <c r="JGK618" s="17">
        <v>44925</v>
      </c>
      <c r="JGL618" s="5" t="s">
        <v>3728</v>
      </c>
      <c r="JGM618" s="17">
        <v>44925</v>
      </c>
      <c r="JGN618" s="5" t="s">
        <v>3728</v>
      </c>
      <c r="JGO618" s="17">
        <v>44925</v>
      </c>
      <c r="JGP618" s="5" t="s">
        <v>3728</v>
      </c>
      <c r="JGQ618" s="17">
        <v>44925</v>
      </c>
      <c r="JGR618" s="5" t="s">
        <v>3728</v>
      </c>
      <c r="JGS618" s="17">
        <v>44925</v>
      </c>
      <c r="JGT618" s="5" t="s">
        <v>3728</v>
      </c>
      <c r="JGU618" s="17">
        <v>44925</v>
      </c>
      <c r="JGV618" s="5" t="s">
        <v>3728</v>
      </c>
      <c r="JGW618" s="17">
        <v>44925</v>
      </c>
      <c r="JGX618" s="5" t="s">
        <v>3728</v>
      </c>
      <c r="JGY618" s="17">
        <v>44925</v>
      </c>
      <c r="JGZ618" s="5" t="s">
        <v>3728</v>
      </c>
      <c r="JHA618" s="17">
        <v>44925</v>
      </c>
      <c r="JHB618" s="5" t="s">
        <v>3728</v>
      </c>
      <c r="JHC618" s="17">
        <v>44925</v>
      </c>
      <c r="JHD618" s="5" t="s">
        <v>3728</v>
      </c>
      <c r="JHE618" s="17">
        <v>44925</v>
      </c>
      <c r="JHF618" s="5" t="s">
        <v>3728</v>
      </c>
      <c r="JHG618" s="17">
        <v>44925</v>
      </c>
      <c r="JHH618" s="5" t="s">
        <v>3728</v>
      </c>
      <c r="JHI618" s="17">
        <v>44925</v>
      </c>
      <c r="JHJ618" s="5" t="s">
        <v>3728</v>
      </c>
      <c r="JHK618" s="17">
        <v>44925</v>
      </c>
      <c r="JHL618" s="5" t="s">
        <v>3728</v>
      </c>
      <c r="JHM618" s="17">
        <v>44925</v>
      </c>
      <c r="JHN618" s="5" t="s">
        <v>3728</v>
      </c>
      <c r="JHO618" s="17">
        <v>44925</v>
      </c>
      <c r="JHP618" s="5" t="s">
        <v>3728</v>
      </c>
      <c r="JHQ618" s="17">
        <v>44925</v>
      </c>
      <c r="JHR618" s="5" t="s">
        <v>3728</v>
      </c>
      <c r="JHS618" s="17">
        <v>44925</v>
      </c>
      <c r="JHT618" s="5" t="s">
        <v>3728</v>
      </c>
      <c r="JHU618" s="17">
        <v>44925</v>
      </c>
      <c r="JHV618" s="5" t="s">
        <v>3728</v>
      </c>
      <c r="JHW618" s="17">
        <v>44925</v>
      </c>
      <c r="JHX618" s="5" t="s">
        <v>3728</v>
      </c>
      <c r="JHY618" s="17">
        <v>44925</v>
      </c>
      <c r="JHZ618" s="5" t="s">
        <v>3728</v>
      </c>
      <c r="JIA618" s="17">
        <v>44925</v>
      </c>
      <c r="JIB618" s="5" t="s">
        <v>3728</v>
      </c>
      <c r="JIC618" s="17">
        <v>44925</v>
      </c>
      <c r="JID618" s="5" t="s">
        <v>3728</v>
      </c>
      <c r="JIE618" s="17">
        <v>44925</v>
      </c>
      <c r="JIF618" s="5" t="s">
        <v>3728</v>
      </c>
      <c r="JIG618" s="17">
        <v>44925</v>
      </c>
      <c r="JIH618" s="5" t="s">
        <v>3728</v>
      </c>
      <c r="JII618" s="17">
        <v>44925</v>
      </c>
      <c r="JIJ618" s="5" t="s">
        <v>3728</v>
      </c>
      <c r="JIK618" s="17">
        <v>44925</v>
      </c>
      <c r="JIL618" s="5" t="s">
        <v>3728</v>
      </c>
      <c r="JIM618" s="17">
        <v>44925</v>
      </c>
      <c r="JIN618" s="5" t="s">
        <v>3728</v>
      </c>
      <c r="JIO618" s="17">
        <v>44925</v>
      </c>
      <c r="JIP618" s="5" t="s">
        <v>3728</v>
      </c>
      <c r="JIQ618" s="17">
        <v>44925</v>
      </c>
      <c r="JIR618" s="5" t="s">
        <v>3728</v>
      </c>
      <c r="JIS618" s="17">
        <v>44925</v>
      </c>
      <c r="JIT618" s="5" t="s">
        <v>3728</v>
      </c>
      <c r="JIU618" s="17">
        <v>44925</v>
      </c>
      <c r="JIV618" s="5" t="s">
        <v>3728</v>
      </c>
      <c r="JIW618" s="17">
        <v>44925</v>
      </c>
      <c r="JIX618" s="5" t="s">
        <v>3728</v>
      </c>
      <c r="JIY618" s="17">
        <v>44925</v>
      </c>
      <c r="JIZ618" s="5" t="s">
        <v>3728</v>
      </c>
      <c r="JJA618" s="17">
        <v>44925</v>
      </c>
      <c r="JJB618" s="5" t="s">
        <v>3728</v>
      </c>
      <c r="JJC618" s="17">
        <v>44925</v>
      </c>
      <c r="JJD618" s="5" t="s">
        <v>3728</v>
      </c>
      <c r="JJE618" s="17">
        <v>44925</v>
      </c>
      <c r="JJF618" s="5" t="s">
        <v>3728</v>
      </c>
      <c r="JJG618" s="17">
        <v>44925</v>
      </c>
      <c r="JJH618" s="5" t="s">
        <v>3728</v>
      </c>
      <c r="JJI618" s="17">
        <v>44925</v>
      </c>
      <c r="JJJ618" s="5" t="s">
        <v>3728</v>
      </c>
      <c r="JJK618" s="17">
        <v>44925</v>
      </c>
      <c r="JJL618" s="5" t="s">
        <v>3728</v>
      </c>
      <c r="JJM618" s="17">
        <v>44925</v>
      </c>
      <c r="JJN618" s="5" t="s">
        <v>3728</v>
      </c>
      <c r="JJO618" s="17">
        <v>44925</v>
      </c>
      <c r="JJP618" s="5" t="s">
        <v>3728</v>
      </c>
      <c r="JJQ618" s="17">
        <v>44925</v>
      </c>
      <c r="JJR618" s="5" t="s">
        <v>3728</v>
      </c>
      <c r="JJS618" s="17">
        <v>44925</v>
      </c>
      <c r="JJT618" s="5" t="s">
        <v>3728</v>
      </c>
      <c r="JJU618" s="17">
        <v>44925</v>
      </c>
      <c r="JJV618" s="5" t="s">
        <v>3728</v>
      </c>
      <c r="JJW618" s="17">
        <v>44925</v>
      </c>
      <c r="JJX618" s="5" t="s">
        <v>3728</v>
      </c>
      <c r="JJY618" s="17">
        <v>44925</v>
      </c>
      <c r="JJZ618" s="5" t="s">
        <v>3728</v>
      </c>
      <c r="JKA618" s="17">
        <v>44925</v>
      </c>
      <c r="JKB618" s="5" t="s">
        <v>3728</v>
      </c>
      <c r="JKC618" s="17">
        <v>44925</v>
      </c>
      <c r="JKD618" s="5" t="s">
        <v>3728</v>
      </c>
      <c r="JKE618" s="17">
        <v>44925</v>
      </c>
      <c r="JKF618" s="5" t="s">
        <v>3728</v>
      </c>
      <c r="JKG618" s="17">
        <v>44925</v>
      </c>
      <c r="JKH618" s="5" t="s">
        <v>3728</v>
      </c>
      <c r="JKI618" s="17">
        <v>44925</v>
      </c>
      <c r="JKJ618" s="5" t="s">
        <v>3728</v>
      </c>
      <c r="JKK618" s="17">
        <v>44925</v>
      </c>
      <c r="JKL618" s="5" t="s">
        <v>3728</v>
      </c>
      <c r="JKM618" s="17">
        <v>44925</v>
      </c>
      <c r="JKN618" s="5" t="s">
        <v>3728</v>
      </c>
      <c r="JKO618" s="17">
        <v>44925</v>
      </c>
      <c r="JKP618" s="5" t="s">
        <v>3728</v>
      </c>
      <c r="JKQ618" s="17">
        <v>44925</v>
      </c>
      <c r="JKR618" s="5" t="s">
        <v>3728</v>
      </c>
      <c r="JKS618" s="17">
        <v>44925</v>
      </c>
      <c r="JKT618" s="5" t="s">
        <v>3728</v>
      </c>
      <c r="JKU618" s="17">
        <v>44925</v>
      </c>
      <c r="JKV618" s="5" t="s">
        <v>3728</v>
      </c>
      <c r="JKW618" s="17">
        <v>44925</v>
      </c>
      <c r="JKX618" s="5" t="s">
        <v>3728</v>
      </c>
      <c r="JKY618" s="17">
        <v>44925</v>
      </c>
      <c r="JKZ618" s="5" t="s">
        <v>3728</v>
      </c>
      <c r="JLA618" s="17">
        <v>44925</v>
      </c>
      <c r="JLB618" s="5" t="s">
        <v>3728</v>
      </c>
      <c r="JLC618" s="17">
        <v>44925</v>
      </c>
      <c r="JLD618" s="5" t="s">
        <v>3728</v>
      </c>
      <c r="JLE618" s="17">
        <v>44925</v>
      </c>
      <c r="JLF618" s="5" t="s">
        <v>3728</v>
      </c>
      <c r="JLG618" s="17">
        <v>44925</v>
      </c>
      <c r="JLH618" s="5" t="s">
        <v>3728</v>
      </c>
      <c r="JLI618" s="17">
        <v>44925</v>
      </c>
      <c r="JLJ618" s="5" t="s">
        <v>3728</v>
      </c>
      <c r="JLK618" s="17">
        <v>44925</v>
      </c>
      <c r="JLL618" s="5" t="s">
        <v>3728</v>
      </c>
      <c r="JLM618" s="17">
        <v>44925</v>
      </c>
      <c r="JLN618" s="5" t="s">
        <v>3728</v>
      </c>
      <c r="JLO618" s="17">
        <v>44925</v>
      </c>
      <c r="JLP618" s="5" t="s">
        <v>3728</v>
      </c>
      <c r="JLQ618" s="17">
        <v>44925</v>
      </c>
      <c r="JLR618" s="5" t="s">
        <v>3728</v>
      </c>
      <c r="JLS618" s="17">
        <v>44925</v>
      </c>
      <c r="JLT618" s="5" t="s">
        <v>3728</v>
      </c>
      <c r="JLU618" s="17">
        <v>44925</v>
      </c>
      <c r="JLV618" s="5" t="s">
        <v>3728</v>
      </c>
      <c r="JLW618" s="17">
        <v>44925</v>
      </c>
      <c r="JLX618" s="5" t="s">
        <v>3728</v>
      </c>
      <c r="JLY618" s="17">
        <v>44925</v>
      </c>
      <c r="JLZ618" s="5" t="s">
        <v>3728</v>
      </c>
      <c r="JMA618" s="17">
        <v>44925</v>
      </c>
      <c r="JMB618" s="5" t="s">
        <v>3728</v>
      </c>
      <c r="JMC618" s="17">
        <v>44925</v>
      </c>
      <c r="JMD618" s="5" t="s">
        <v>3728</v>
      </c>
      <c r="JME618" s="17">
        <v>44925</v>
      </c>
      <c r="JMF618" s="5" t="s">
        <v>3728</v>
      </c>
      <c r="JMG618" s="17">
        <v>44925</v>
      </c>
      <c r="JMH618" s="5" t="s">
        <v>3728</v>
      </c>
      <c r="JMI618" s="17">
        <v>44925</v>
      </c>
      <c r="JMJ618" s="5" t="s">
        <v>3728</v>
      </c>
      <c r="JMK618" s="17">
        <v>44925</v>
      </c>
      <c r="JML618" s="5" t="s">
        <v>3728</v>
      </c>
      <c r="JMM618" s="17">
        <v>44925</v>
      </c>
      <c r="JMN618" s="5" t="s">
        <v>3728</v>
      </c>
      <c r="JMO618" s="17">
        <v>44925</v>
      </c>
      <c r="JMP618" s="5" t="s">
        <v>3728</v>
      </c>
      <c r="JMQ618" s="17">
        <v>44925</v>
      </c>
      <c r="JMR618" s="5" t="s">
        <v>3728</v>
      </c>
      <c r="JMS618" s="17">
        <v>44925</v>
      </c>
      <c r="JMT618" s="5" t="s">
        <v>3728</v>
      </c>
      <c r="JMU618" s="17">
        <v>44925</v>
      </c>
      <c r="JMV618" s="5" t="s">
        <v>3728</v>
      </c>
      <c r="JMW618" s="17">
        <v>44925</v>
      </c>
      <c r="JMX618" s="5" t="s">
        <v>3728</v>
      </c>
      <c r="JMY618" s="17">
        <v>44925</v>
      </c>
      <c r="JMZ618" s="5" t="s">
        <v>3728</v>
      </c>
      <c r="JNA618" s="17">
        <v>44925</v>
      </c>
      <c r="JNB618" s="5" t="s">
        <v>3728</v>
      </c>
      <c r="JNC618" s="17">
        <v>44925</v>
      </c>
      <c r="JND618" s="5" t="s">
        <v>3728</v>
      </c>
      <c r="JNE618" s="17">
        <v>44925</v>
      </c>
      <c r="JNF618" s="5" t="s">
        <v>3728</v>
      </c>
      <c r="JNG618" s="17">
        <v>44925</v>
      </c>
      <c r="JNH618" s="5" t="s">
        <v>3728</v>
      </c>
      <c r="JNI618" s="17">
        <v>44925</v>
      </c>
      <c r="JNJ618" s="5" t="s">
        <v>3728</v>
      </c>
      <c r="JNK618" s="17">
        <v>44925</v>
      </c>
      <c r="JNL618" s="5" t="s">
        <v>3728</v>
      </c>
      <c r="JNM618" s="17">
        <v>44925</v>
      </c>
      <c r="JNN618" s="5" t="s">
        <v>3728</v>
      </c>
      <c r="JNO618" s="17">
        <v>44925</v>
      </c>
      <c r="JNP618" s="5" t="s">
        <v>3728</v>
      </c>
      <c r="JNQ618" s="17">
        <v>44925</v>
      </c>
      <c r="JNR618" s="5" t="s">
        <v>3728</v>
      </c>
      <c r="JNS618" s="17">
        <v>44925</v>
      </c>
      <c r="JNT618" s="5" t="s">
        <v>3728</v>
      </c>
      <c r="JNU618" s="17">
        <v>44925</v>
      </c>
      <c r="JNV618" s="5" t="s">
        <v>3728</v>
      </c>
      <c r="JNW618" s="17">
        <v>44925</v>
      </c>
      <c r="JNX618" s="5" t="s">
        <v>3728</v>
      </c>
      <c r="JNY618" s="17">
        <v>44925</v>
      </c>
      <c r="JNZ618" s="5" t="s">
        <v>3728</v>
      </c>
      <c r="JOA618" s="17">
        <v>44925</v>
      </c>
      <c r="JOB618" s="5" t="s">
        <v>3728</v>
      </c>
      <c r="JOC618" s="17">
        <v>44925</v>
      </c>
      <c r="JOD618" s="5" t="s">
        <v>3728</v>
      </c>
      <c r="JOE618" s="17">
        <v>44925</v>
      </c>
      <c r="JOF618" s="5" t="s">
        <v>3728</v>
      </c>
      <c r="JOG618" s="17">
        <v>44925</v>
      </c>
      <c r="JOH618" s="5" t="s">
        <v>3728</v>
      </c>
      <c r="JOI618" s="17">
        <v>44925</v>
      </c>
      <c r="JOJ618" s="5" t="s">
        <v>3728</v>
      </c>
      <c r="JOK618" s="17">
        <v>44925</v>
      </c>
      <c r="JOL618" s="5" t="s">
        <v>3728</v>
      </c>
      <c r="JOM618" s="17">
        <v>44925</v>
      </c>
      <c r="JON618" s="5" t="s">
        <v>3728</v>
      </c>
      <c r="JOO618" s="17">
        <v>44925</v>
      </c>
      <c r="JOP618" s="5" t="s">
        <v>3728</v>
      </c>
      <c r="JOQ618" s="17">
        <v>44925</v>
      </c>
      <c r="JOR618" s="5" t="s">
        <v>3728</v>
      </c>
      <c r="JOS618" s="17">
        <v>44925</v>
      </c>
      <c r="JOT618" s="5" t="s">
        <v>3728</v>
      </c>
      <c r="JOU618" s="17">
        <v>44925</v>
      </c>
      <c r="JOV618" s="5" t="s">
        <v>3728</v>
      </c>
      <c r="JOW618" s="17">
        <v>44925</v>
      </c>
      <c r="JOX618" s="5" t="s">
        <v>3728</v>
      </c>
      <c r="JOY618" s="17">
        <v>44925</v>
      </c>
      <c r="JOZ618" s="5" t="s">
        <v>3728</v>
      </c>
      <c r="JPA618" s="17">
        <v>44925</v>
      </c>
      <c r="JPB618" s="5" t="s">
        <v>3728</v>
      </c>
      <c r="JPC618" s="17">
        <v>44925</v>
      </c>
      <c r="JPD618" s="5" t="s">
        <v>3728</v>
      </c>
      <c r="JPE618" s="17">
        <v>44925</v>
      </c>
      <c r="JPF618" s="5" t="s">
        <v>3728</v>
      </c>
      <c r="JPG618" s="17">
        <v>44925</v>
      </c>
      <c r="JPH618" s="5" t="s">
        <v>3728</v>
      </c>
      <c r="JPI618" s="17">
        <v>44925</v>
      </c>
      <c r="JPJ618" s="5" t="s">
        <v>3728</v>
      </c>
      <c r="JPK618" s="17">
        <v>44925</v>
      </c>
      <c r="JPL618" s="5" t="s">
        <v>3728</v>
      </c>
      <c r="JPM618" s="17">
        <v>44925</v>
      </c>
      <c r="JPN618" s="5" t="s">
        <v>3728</v>
      </c>
      <c r="JPO618" s="17">
        <v>44925</v>
      </c>
      <c r="JPP618" s="5" t="s">
        <v>3728</v>
      </c>
      <c r="JPQ618" s="17">
        <v>44925</v>
      </c>
      <c r="JPR618" s="5" t="s">
        <v>3728</v>
      </c>
      <c r="JPS618" s="17">
        <v>44925</v>
      </c>
      <c r="JPT618" s="5" t="s">
        <v>3728</v>
      </c>
      <c r="JPU618" s="17">
        <v>44925</v>
      </c>
      <c r="JPV618" s="5" t="s">
        <v>3728</v>
      </c>
      <c r="JPW618" s="17">
        <v>44925</v>
      </c>
      <c r="JPX618" s="5" t="s">
        <v>3728</v>
      </c>
      <c r="JPY618" s="17">
        <v>44925</v>
      </c>
      <c r="JPZ618" s="5" t="s">
        <v>3728</v>
      </c>
      <c r="JQA618" s="17">
        <v>44925</v>
      </c>
      <c r="JQB618" s="5" t="s">
        <v>3728</v>
      </c>
      <c r="JQC618" s="17">
        <v>44925</v>
      </c>
      <c r="JQD618" s="5" t="s">
        <v>3728</v>
      </c>
      <c r="JQE618" s="17">
        <v>44925</v>
      </c>
      <c r="JQF618" s="5" t="s">
        <v>3728</v>
      </c>
      <c r="JQG618" s="17">
        <v>44925</v>
      </c>
      <c r="JQH618" s="5" t="s">
        <v>3728</v>
      </c>
      <c r="JQI618" s="17">
        <v>44925</v>
      </c>
      <c r="JQJ618" s="5" t="s">
        <v>3728</v>
      </c>
      <c r="JQK618" s="17">
        <v>44925</v>
      </c>
      <c r="JQL618" s="5" t="s">
        <v>3728</v>
      </c>
      <c r="JQM618" s="17">
        <v>44925</v>
      </c>
      <c r="JQN618" s="5" t="s">
        <v>3728</v>
      </c>
      <c r="JQO618" s="17">
        <v>44925</v>
      </c>
      <c r="JQP618" s="5" t="s">
        <v>3728</v>
      </c>
      <c r="JQQ618" s="17">
        <v>44925</v>
      </c>
      <c r="JQR618" s="5" t="s">
        <v>3728</v>
      </c>
      <c r="JQS618" s="17">
        <v>44925</v>
      </c>
      <c r="JQT618" s="5" t="s">
        <v>3728</v>
      </c>
      <c r="JQU618" s="17">
        <v>44925</v>
      </c>
      <c r="JQV618" s="5" t="s">
        <v>3728</v>
      </c>
      <c r="JQW618" s="17">
        <v>44925</v>
      </c>
      <c r="JQX618" s="5" t="s">
        <v>3728</v>
      </c>
      <c r="JQY618" s="17">
        <v>44925</v>
      </c>
      <c r="JQZ618" s="5" t="s">
        <v>3728</v>
      </c>
      <c r="JRA618" s="17">
        <v>44925</v>
      </c>
      <c r="JRB618" s="5" t="s">
        <v>3728</v>
      </c>
      <c r="JRC618" s="17">
        <v>44925</v>
      </c>
      <c r="JRD618" s="5" t="s">
        <v>3728</v>
      </c>
      <c r="JRE618" s="17">
        <v>44925</v>
      </c>
      <c r="JRF618" s="5" t="s">
        <v>3728</v>
      </c>
      <c r="JRG618" s="17">
        <v>44925</v>
      </c>
      <c r="JRH618" s="5" t="s">
        <v>3728</v>
      </c>
      <c r="JRI618" s="17">
        <v>44925</v>
      </c>
      <c r="JRJ618" s="5" t="s">
        <v>3728</v>
      </c>
      <c r="JRK618" s="17">
        <v>44925</v>
      </c>
      <c r="JRL618" s="5" t="s">
        <v>3728</v>
      </c>
      <c r="JRM618" s="17">
        <v>44925</v>
      </c>
      <c r="JRN618" s="5" t="s">
        <v>3728</v>
      </c>
      <c r="JRO618" s="17">
        <v>44925</v>
      </c>
      <c r="JRP618" s="5" t="s">
        <v>3728</v>
      </c>
      <c r="JRQ618" s="17">
        <v>44925</v>
      </c>
      <c r="JRR618" s="5" t="s">
        <v>3728</v>
      </c>
      <c r="JRS618" s="17">
        <v>44925</v>
      </c>
      <c r="JRT618" s="5" t="s">
        <v>3728</v>
      </c>
      <c r="JRU618" s="17">
        <v>44925</v>
      </c>
      <c r="JRV618" s="5" t="s">
        <v>3728</v>
      </c>
      <c r="JRW618" s="17">
        <v>44925</v>
      </c>
      <c r="JRX618" s="5" t="s">
        <v>3728</v>
      </c>
      <c r="JRY618" s="17">
        <v>44925</v>
      </c>
      <c r="JRZ618" s="5" t="s">
        <v>3728</v>
      </c>
      <c r="JSA618" s="17">
        <v>44925</v>
      </c>
      <c r="JSB618" s="5" t="s">
        <v>3728</v>
      </c>
      <c r="JSC618" s="17">
        <v>44925</v>
      </c>
      <c r="JSD618" s="5" t="s">
        <v>3728</v>
      </c>
      <c r="JSE618" s="17">
        <v>44925</v>
      </c>
      <c r="JSF618" s="5" t="s">
        <v>3728</v>
      </c>
      <c r="JSG618" s="17">
        <v>44925</v>
      </c>
      <c r="JSH618" s="5" t="s">
        <v>3728</v>
      </c>
      <c r="JSI618" s="17">
        <v>44925</v>
      </c>
      <c r="JSJ618" s="5" t="s">
        <v>3728</v>
      </c>
      <c r="JSK618" s="17">
        <v>44925</v>
      </c>
      <c r="JSL618" s="5" t="s">
        <v>3728</v>
      </c>
      <c r="JSM618" s="17">
        <v>44925</v>
      </c>
      <c r="JSN618" s="5" t="s">
        <v>3728</v>
      </c>
      <c r="JSO618" s="17">
        <v>44925</v>
      </c>
      <c r="JSP618" s="5" t="s">
        <v>3728</v>
      </c>
      <c r="JSQ618" s="17">
        <v>44925</v>
      </c>
      <c r="JSR618" s="5" t="s">
        <v>3728</v>
      </c>
      <c r="JSS618" s="17">
        <v>44925</v>
      </c>
      <c r="JST618" s="5" t="s">
        <v>3728</v>
      </c>
      <c r="JSU618" s="17">
        <v>44925</v>
      </c>
      <c r="JSV618" s="5" t="s">
        <v>3728</v>
      </c>
      <c r="JSW618" s="17">
        <v>44925</v>
      </c>
      <c r="JSX618" s="5" t="s">
        <v>3728</v>
      </c>
      <c r="JSY618" s="17">
        <v>44925</v>
      </c>
      <c r="JSZ618" s="5" t="s">
        <v>3728</v>
      </c>
      <c r="JTA618" s="17">
        <v>44925</v>
      </c>
      <c r="JTB618" s="5" t="s">
        <v>3728</v>
      </c>
      <c r="JTC618" s="17">
        <v>44925</v>
      </c>
      <c r="JTD618" s="5" t="s">
        <v>3728</v>
      </c>
      <c r="JTE618" s="17">
        <v>44925</v>
      </c>
      <c r="JTF618" s="5" t="s">
        <v>3728</v>
      </c>
      <c r="JTG618" s="17">
        <v>44925</v>
      </c>
      <c r="JTH618" s="5" t="s">
        <v>3728</v>
      </c>
      <c r="JTI618" s="17">
        <v>44925</v>
      </c>
      <c r="JTJ618" s="5" t="s">
        <v>3728</v>
      </c>
      <c r="JTK618" s="17">
        <v>44925</v>
      </c>
      <c r="JTL618" s="5" t="s">
        <v>3728</v>
      </c>
      <c r="JTM618" s="17">
        <v>44925</v>
      </c>
      <c r="JTN618" s="5" t="s">
        <v>3728</v>
      </c>
      <c r="JTO618" s="17">
        <v>44925</v>
      </c>
      <c r="JTP618" s="5" t="s">
        <v>3728</v>
      </c>
      <c r="JTQ618" s="17">
        <v>44925</v>
      </c>
      <c r="JTR618" s="5" t="s">
        <v>3728</v>
      </c>
      <c r="JTS618" s="17">
        <v>44925</v>
      </c>
      <c r="JTT618" s="5" t="s">
        <v>3728</v>
      </c>
      <c r="JTU618" s="17">
        <v>44925</v>
      </c>
      <c r="JTV618" s="5" t="s">
        <v>3728</v>
      </c>
      <c r="JTW618" s="17">
        <v>44925</v>
      </c>
      <c r="JTX618" s="5" t="s">
        <v>3728</v>
      </c>
      <c r="JTY618" s="17">
        <v>44925</v>
      </c>
      <c r="JTZ618" s="5" t="s">
        <v>3728</v>
      </c>
      <c r="JUA618" s="17">
        <v>44925</v>
      </c>
      <c r="JUB618" s="5" t="s">
        <v>3728</v>
      </c>
      <c r="JUC618" s="17">
        <v>44925</v>
      </c>
      <c r="JUD618" s="5" t="s">
        <v>3728</v>
      </c>
      <c r="JUE618" s="17">
        <v>44925</v>
      </c>
      <c r="JUF618" s="5" t="s">
        <v>3728</v>
      </c>
      <c r="JUG618" s="17">
        <v>44925</v>
      </c>
      <c r="JUH618" s="5" t="s">
        <v>3728</v>
      </c>
      <c r="JUI618" s="17">
        <v>44925</v>
      </c>
      <c r="JUJ618" s="5" t="s">
        <v>3728</v>
      </c>
      <c r="JUK618" s="17">
        <v>44925</v>
      </c>
      <c r="JUL618" s="5" t="s">
        <v>3728</v>
      </c>
      <c r="JUM618" s="17">
        <v>44925</v>
      </c>
      <c r="JUN618" s="5" t="s">
        <v>3728</v>
      </c>
      <c r="JUO618" s="17">
        <v>44925</v>
      </c>
      <c r="JUP618" s="5" t="s">
        <v>3728</v>
      </c>
      <c r="JUQ618" s="17">
        <v>44925</v>
      </c>
      <c r="JUR618" s="5" t="s">
        <v>3728</v>
      </c>
      <c r="JUS618" s="17">
        <v>44925</v>
      </c>
      <c r="JUT618" s="5" t="s">
        <v>3728</v>
      </c>
      <c r="JUU618" s="17">
        <v>44925</v>
      </c>
      <c r="JUV618" s="5" t="s">
        <v>3728</v>
      </c>
      <c r="JUW618" s="17">
        <v>44925</v>
      </c>
      <c r="JUX618" s="5" t="s">
        <v>3728</v>
      </c>
      <c r="JUY618" s="17">
        <v>44925</v>
      </c>
      <c r="JUZ618" s="5" t="s">
        <v>3728</v>
      </c>
      <c r="JVA618" s="17">
        <v>44925</v>
      </c>
      <c r="JVB618" s="5" t="s">
        <v>3728</v>
      </c>
      <c r="JVC618" s="17">
        <v>44925</v>
      </c>
      <c r="JVD618" s="5" t="s">
        <v>3728</v>
      </c>
      <c r="JVE618" s="17">
        <v>44925</v>
      </c>
      <c r="JVF618" s="5" t="s">
        <v>3728</v>
      </c>
      <c r="JVG618" s="17">
        <v>44925</v>
      </c>
      <c r="JVH618" s="5" t="s">
        <v>3728</v>
      </c>
      <c r="JVI618" s="17">
        <v>44925</v>
      </c>
      <c r="JVJ618" s="5" t="s">
        <v>3728</v>
      </c>
      <c r="JVK618" s="17">
        <v>44925</v>
      </c>
      <c r="JVL618" s="5" t="s">
        <v>3728</v>
      </c>
      <c r="JVM618" s="17">
        <v>44925</v>
      </c>
      <c r="JVN618" s="5" t="s">
        <v>3728</v>
      </c>
      <c r="JVO618" s="17">
        <v>44925</v>
      </c>
      <c r="JVP618" s="5" t="s">
        <v>3728</v>
      </c>
      <c r="JVQ618" s="17">
        <v>44925</v>
      </c>
      <c r="JVR618" s="5" t="s">
        <v>3728</v>
      </c>
      <c r="JVS618" s="17">
        <v>44925</v>
      </c>
      <c r="JVT618" s="5" t="s">
        <v>3728</v>
      </c>
      <c r="JVU618" s="17">
        <v>44925</v>
      </c>
      <c r="JVV618" s="5" t="s">
        <v>3728</v>
      </c>
      <c r="JVW618" s="17">
        <v>44925</v>
      </c>
      <c r="JVX618" s="5" t="s">
        <v>3728</v>
      </c>
      <c r="JVY618" s="17">
        <v>44925</v>
      </c>
      <c r="JVZ618" s="5" t="s">
        <v>3728</v>
      </c>
      <c r="JWA618" s="17">
        <v>44925</v>
      </c>
      <c r="JWB618" s="5" t="s">
        <v>3728</v>
      </c>
      <c r="JWC618" s="17">
        <v>44925</v>
      </c>
      <c r="JWD618" s="5" t="s">
        <v>3728</v>
      </c>
      <c r="JWE618" s="17">
        <v>44925</v>
      </c>
      <c r="JWF618" s="5" t="s">
        <v>3728</v>
      </c>
      <c r="JWG618" s="17">
        <v>44925</v>
      </c>
      <c r="JWH618" s="5" t="s">
        <v>3728</v>
      </c>
      <c r="JWI618" s="17">
        <v>44925</v>
      </c>
      <c r="JWJ618" s="5" t="s">
        <v>3728</v>
      </c>
      <c r="JWK618" s="17">
        <v>44925</v>
      </c>
      <c r="JWL618" s="5" t="s">
        <v>3728</v>
      </c>
      <c r="JWM618" s="17">
        <v>44925</v>
      </c>
      <c r="JWN618" s="5" t="s">
        <v>3728</v>
      </c>
      <c r="JWO618" s="17">
        <v>44925</v>
      </c>
      <c r="JWP618" s="5" t="s">
        <v>3728</v>
      </c>
      <c r="JWQ618" s="17">
        <v>44925</v>
      </c>
      <c r="JWR618" s="5" t="s">
        <v>3728</v>
      </c>
      <c r="JWS618" s="17">
        <v>44925</v>
      </c>
      <c r="JWT618" s="5" t="s">
        <v>3728</v>
      </c>
      <c r="JWU618" s="17">
        <v>44925</v>
      </c>
      <c r="JWV618" s="5" t="s">
        <v>3728</v>
      </c>
      <c r="JWW618" s="17">
        <v>44925</v>
      </c>
      <c r="JWX618" s="5" t="s">
        <v>3728</v>
      </c>
      <c r="JWY618" s="17">
        <v>44925</v>
      </c>
      <c r="JWZ618" s="5" t="s">
        <v>3728</v>
      </c>
      <c r="JXA618" s="17">
        <v>44925</v>
      </c>
      <c r="JXB618" s="5" t="s">
        <v>3728</v>
      </c>
      <c r="JXC618" s="17">
        <v>44925</v>
      </c>
      <c r="JXD618" s="5" t="s">
        <v>3728</v>
      </c>
      <c r="JXE618" s="17">
        <v>44925</v>
      </c>
      <c r="JXF618" s="5" t="s">
        <v>3728</v>
      </c>
      <c r="JXG618" s="17">
        <v>44925</v>
      </c>
      <c r="JXH618" s="5" t="s">
        <v>3728</v>
      </c>
      <c r="JXI618" s="17">
        <v>44925</v>
      </c>
      <c r="JXJ618" s="5" t="s">
        <v>3728</v>
      </c>
      <c r="JXK618" s="17">
        <v>44925</v>
      </c>
      <c r="JXL618" s="5" t="s">
        <v>3728</v>
      </c>
      <c r="JXM618" s="17">
        <v>44925</v>
      </c>
      <c r="JXN618" s="5" t="s">
        <v>3728</v>
      </c>
      <c r="JXO618" s="17">
        <v>44925</v>
      </c>
      <c r="JXP618" s="5" t="s">
        <v>3728</v>
      </c>
      <c r="JXQ618" s="17">
        <v>44925</v>
      </c>
      <c r="JXR618" s="5" t="s">
        <v>3728</v>
      </c>
      <c r="JXS618" s="17">
        <v>44925</v>
      </c>
      <c r="JXT618" s="5" t="s">
        <v>3728</v>
      </c>
      <c r="JXU618" s="17">
        <v>44925</v>
      </c>
      <c r="JXV618" s="5" t="s">
        <v>3728</v>
      </c>
      <c r="JXW618" s="17">
        <v>44925</v>
      </c>
      <c r="JXX618" s="5" t="s">
        <v>3728</v>
      </c>
      <c r="JXY618" s="17">
        <v>44925</v>
      </c>
      <c r="JXZ618" s="5" t="s">
        <v>3728</v>
      </c>
      <c r="JYA618" s="17">
        <v>44925</v>
      </c>
      <c r="JYB618" s="5" t="s">
        <v>3728</v>
      </c>
      <c r="JYC618" s="17">
        <v>44925</v>
      </c>
      <c r="JYD618" s="5" t="s">
        <v>3728</v>
      </c>
      <c r="JYE618" s="17">
        <v>44925</v>
      </c>
      <c r="JYF618" s="5" t="s">
        <v>3728</v>
      </c>
      <c r="JYG618" s="17">
        <v>44925</v>
      </c>
      <c r="JYH618" s="5" t="s">
        <v>3728</v>
      </c>
      <c r="JYI618" s="17">
        <v>44925</v>
      </c>
      <c r="JYJ618" s="5" t="s">
        <v>3728</v>
      </c>
      <c r="JYK618" s="17">
        <v>44925</v>
      </c>
      <c r="JYL618" s="5" t="s">
        <v>3728</v>
      </c>
      <c r="JYM618" s="17">
        <v>44925</v>
      </c>
      <c r="JYN618" s="5" t="s">
        <v>3728</v>
      </c>
      <c r="JYO618" s="17">
        <v>44925</v>
      </c>
      <c r="JYP618" s="5" t="s">
        <v>3728</v>
      </c>
      <c r="JYQ618" s="17">
        <v>44925</v>
      </c>
      <c r="JYR618" s="5" t="s">
        <v>3728</v>
      </c>
      <c r="JYS618" s="17">
        <v>44925</v>
      </c>
      <c r="JYT618" s="5" t="s">
        <v>3728</v>
      </c>
      <c r="JYU618" s="17">
        <v>44925</v>
      </c>
      <c r="JYV618" s="5" t="s">
        <v>3728</v>
      </c>
      <c r="JYW618" s="17">
        <v>44925</v>
      </c>
      <c r="JYX618" s="5" t="s">
        <v>3728</v>
      </c>
      <c r="JYY618" s="17">
        <v>44925</v>
      </c>
      <c r="JYZ618" s="5" t="s">
        <v>3728</v>
      </c>
      <c r="JZA618" s="17">
        <v>44925</v>
      </c>
      <c r="JZB618" s="5" t="s">
        <v>3728</v>
      </c>
      <c r="JZC618" s="17">
        <v>44925</v>
      </c>
      <c r="JZD618" s="5" t="s">
        <v>3728</v>
      </c>
      <c r="JZE618" s="17">
        <v>44925</v>
      </c>
      <c r="JZF618" s="5" t="s">
        <v>3728</v>
      </c>
      <c r="JZG618" s="17">
        <v>44925</v>
      </c>
      <c r="JZH618" s="5" t="s">
        <v>3728</v>
      </c>
      <c r="JZI618" s="17">
        <v>44925</v>
      </c>
      <c r="JZJ618" s="5" t="s">
        <v>3728</v>
      </c>
      <c r="JZK618" s="17">
        <v>44925</v>
      </c>
      <c r="JZL618" s="5" t="s">
        <v>3728</v>
      </c>
      <c r="JZM618" s="17">
        <v>44925</v>
      </c>
      <c r="JZN618" s="5" t="s">
        <v>3728</v>
      </c>
      <c r="JZO618" s="17">
        <v>44925</v>
      </c>
      <c r="JZP618" s="5" t="s">
        <v>3728</v>
      </c>
      <c r="JZQ618" s="17">
        <v>44925</v>
      </c>
      <c r="JZR618" s="5" t="s">
        <v>3728</v>
      </c>
      <c r="JZS618" s="17">
        <v>44925</v>
      </c>
      <c r="JZT618" s="5" t="s">
        <v>3728</v>
      </c>
      <c r="JZU618" s="17">
        <v>44925</v>
      </c>
      <c r="JZV618" s="5" t="s">
        <v>3728</v>
      </c>
      <c r="JZW618" s="17">
        <v>44925</v>
      </c>
      <c r="JZX618" s="5" t="s">
        <v>3728</v>
      </c>
      <c r="JZY618" s="17">
        <v>44925</v>
      </c>
      <c r="JZZ618" s="5" t="s">
        <v>3728</v>
      </c>
      <c r="KAA618" s="17">
        <v>44925</v>
      </c>
      <c r="KAB618" s="5" t="s">
        <v>3728</v>
      </c>
      <c r="KAC618" s="17">
        <v>44925</v>
      </c>
      <c r="KAD618" s="5" t="s">
        <v>3728</v>
      </c>
      <c r="KAE618" s="17">
        <v>44925</v>
      </c>
      <c r="KAF618" s="5" t="s">
        <v>3728</v>
      </c>
      <c r="KAG618" s="17">
        <v>44925</v>
      </c>
      <c r="KAH618" s="5" t="s">
        <v>3728</v>
      </c>
      <c r="KAI618" s="17">
        <v>44925</v>
      </c>
      <c r="KAJ618" s="5" t="s">
        <v>3728</v>
      </c>
      <c r="KAK618" s="17">
        <v>44925</v>
      </c>
      <c r="KAL618" s="5" t="s">
        <v>3728</v>
      </c>
      <c r="KAM618" s="17">
        <v>44925</v>
      </c>
      <c r="KAN618" s="5" t="s">
        <v>3728</v>
      </c>
      <c r="KAO618" s="17">
        <v>44925</v>
      </c>
      <c r="KAP618" s="5" t="s">
        <v>3728</v>
      </c>
      <c r="KAQ618" s="17">
        <v>44925</v>
      </c>
      <c r="KAR618" s="5" t="s">
        <v>3728</v>
      </c>
      <c r="KAS618" s="17">
        <v>44925</v>
      </c>
      <c r="KAT618" s="5" t="s">
        <v>3728</v>
      </c>
      <c r="KAU618" s="17">
        <v>44925</v>
      </c>
      <c r="KAV618" s="5" t="s">
        <v>3728</v>
      </c>
      <c r="KAW618" s="17">
        <v>44925</v>
      </c>
      <c r="KAX618" s="5" t="s">
        <v>3728</v>
      </c>
      <c r="KAY618" s="17">
        <v>44925</v>
      </c>
      <c r="KAZ618" s="5" t="s">
        <v>3728</v>
      </c>
      <c r="KBA618" s="17">
        <v>44925</v>
      </c>
      <c r="KBB618" s="5" t="s">
        <v>3728</v>
      </c>
      <c r="KBC618" s="17">
        <v>44925</v>
      </c>
      <c r="KBD618" s="5" t="s">
        <v>3728</v>
      </c>
      <c r="KBE618" s="17">
        <v>44925</v>
      </c>
      <c r="KBF618" s="5" t="s">
        <v>3728</v>
      </c>
      <c r="KBG618" s="17">
        <v>44925</v>
      </c>
      <c r="KBH618" s="5" t="s">
        <v>3728</v>
      </c>
      <c r="KBI618" s="17">
        <v>44925</v>
      </c>
      <c r="KBJ618" s="5" t="s">
        <v>3728</v>
      </c>
      <c r="KBK618" s="17">
        <v>44925</v>
      </c>
      <c r="KBL618" s="5" t="s">
        <v>3728</v>
      </c>
      <c r="KBM618" s="17">
        <v>44925</v>
      </c>
      <c r="KBN618" s="5" t="s">
        <v>3728</v>
      </c>
      <c r="KBO618" s="17">
        <v>44925</v>
      </c>
      <c r="KBP618" s="5" t="s">
        <v>3728</v>
      </c>
      <c r="KBQ618" s="17">
        <v>44925</v>
      </c>
      <c r="KBR618" s="5" t="s">
        <v>3728</v>
      </c>
      <c r="KBS618" s="17">
        <v>44925</v>
      </c>
      <c r="KBT618" s="5" t="s">
        <v>3728</v>
      </c>
      <c r="KBU618" s="17">
        <v>44925</v>
      </c>
      <c r="KBV618" s="5" t="s">
        <v>3728</v>
      </c>
      <c r="KBW618" s="17">
        <v>44925</v>
      </c>
      <c r="KBX618" s="5" t="s">
        <v>3728</v>
      </c>
      <c r="KBY618" s="17">
        <v>44925</v>
      </c>
      <c r="KBZ618" s="5" t="s">
        <v>3728</v>
      </c>
      <c r="KCA618" s="17">
        <v>44925</v>
      </c>
      <c r="KCB618" s="5" t="s">
        <v>3728</v>
      </c>
      <c r="KCC618" s="17">
        <v>44925</v>
      </c>
      <c r="KCD618" s="5" t="s">
        <v>3728</v>
      </c>
      <c r="KCE618" s="17">
        <v>44925</v>
      </c>
      <c r="KCF618" s="5" t="s">
        <v>3728</v>
      </c>
      <c r="KCG618" s="17">
        <v>44925</v>
      </c>
      <c r="KCH618" s="5" t="s">
        <v>3728</v>
      </c>
      <c r="KCI618" s="17">
        <v>44925</v>
      </c>
      <c r="KCJ618" s="5" t="s">
        <v>3728</v>
      </c>
      <c r="KCK618" s="17">
        <v>44925</v>
      </c>
      <c r="KCL618" s="5" t="s">
        <v>3728</v>
      </c>
      <c r="KCM618" s="17">
        <v>44925</v>
      </c>
      <c r="KCN618" s="5" t="s">
        <v>3728</v>
      </c>
      <c r="KCO618" s="17">
        <v>44925</v>
      </c>
      <c r="KCP618" s="5" t="s">
        <v>3728</v>
      </c>
      <c r="KCQ618" s="17">
        <v>44925</v>
      </c>
      <c r="KCR618" s="5" t="s">
        <v>3728</v>
      </c>
      <c r="KCS618" s="17">
        <v>44925</v>
      </c>
      <c r="KCT618" s="5" t="s">
        <v>3728</v>
      </c>
      <c r="KCU618" s="17">
        <v>44925</v>
      </c>
      <c r="KCV618" s="5" t="s">
        <v>3728</v>
      </c>
      <c r="KCW618" s="17">
        <v>44925</v>
      </c>
      <c r="KCX618" s="5" t="s">
        <v>3728</v>
      </c>
      <c r="KCY618" s="17">
        <v>44925</v>
      </c>
      <c r="KCZ618" s="5" t="s">
        <v>3728</v>
      </c>
      <c r="KDA618" s="17">
        <v>44925</v>
      </c>
      <c r="KDB618" s="5" t="s">
        <v>3728</v>
      </c>
      <c r="KDC618" s="17">
        <v>44925</v>
      </c>
      <c r="KDD618" s="5" t="s">
        <v>3728</v>
      </c>
      <c r="KDE618" s="17">
        <v>44925</v>
      </c>
      <c r="KDF618" s="5" t="s">
        <v>3728</v>
      </c>
      <c r="KDG618" s="17">
        <v>44925</v>
      </c>
      <c r="KDH618" s="5" t="s">
        <v>3728</v>
      </c>
      <c r="KDI618" s="17">
        <v>44925</v>
      </c>
      <c r="KDJ618" s="5" t="s">
        <v>3728</v>
      </c>
      <c r="KDK618" s="17">
        <v>44925</v>
      </c>
      <c r="KDL618" s="5" t="s">
        <v>3728</v>
      </c>
      <c r="KDM618" s="17">
        <v>44925</v>
      </c>
      <c r="KDN618" s="5" t="s">
        <v>3728</v>
      </c>
      <c r="KDO618" s="17">
        <v>44925</v>
      </c>
      <c r="KDP618" s="5" t="s">
        <v>3728</v>
      </c>
      <c r="KDQ618" s="17">
        <v>44925</v>
      </c>
      <c r="KDR618" s="5" t="s">
        <v>3728</v>
      </c>
      <c r="KDS618" s="17">
        <v>44925</v>
      </c>
      <c r="KDT618" s="5" t="s">
        <v>3728</v>
      </c>
      <c r="KDU618" s="17">
        <v>44925</v>
      </c>
      <c r="KDV618" s="5" t="s">
        <v>3728</v>
      </c>
      <c r="KDW618" s="17">
        <v>44925</v>
      </c>
      <c r="KDX618" s="5" t="s">
        <v>3728</v>
      </c>
      <c r="KDY618" s="17">
        <v>44925</v>
      </c>
      <c r="KDZ618" s="5" t="s">
        <v>3728</v>
      </c>
      <c r="KEA618" s="17">
        <v>44925</v>
      </c>
      <c r="KEB618" s="5" t="s">
        <v>3728</v>
      </c>
      <c r="KEC618" s="17">
        <v>44925</v>
      </c>
      <c r="KED618" s="5" t="s">
        <v>3728</v>
      </c>
      <c r="KEE618" s="17">
        <v>44925</v>
      </c>
      <c r="KEF618" s="5" t="s">
        <v>3728</v>
      </c>
      <c r="KEG618" s="17">
        <v>44925</v>
      </c>
      <c r="KEH618" s="5" t="s">
        <v>3728</v>
      </c>
      <c r="KEI618" s="17">
        <v>44925</v>
      </c>
      <c r="KEJ618" s="5" t="s">
        <v>3728</v>
      </c>
      <c r="KEK618" s="17">
        <v>44925</v>
      </c>
      <c r="KEL618" s="5" t="s">
        <v>3728</v>
      </c>
      <c r="KEM618" s="17">
        <v>44925</v>
      </c>
      <c r="KEN618" s="5" t="s">
        <v>3728</v>
      </c>
      <c r="KEO618" s="17">
        <v>44925</v>
      </c>
      <c r="KEP618" s="5" t="s">
        <v>3728</v>
      </c>
      <c r="KEQ618" s="17">
        <v>44925</v>
      </c>
      <c r="KER618" s="5" t="s">
        <v>3728</v>
      </c>
      <c r="KES618" s="17">
        <v>44925</v>
      </c>
      <c r="KET618" s="5" t="s">
        <v>3728</v>
      </c>
      <c r="KEU618" s="17">
        <v>44925</v>
      </c>
      <c r="KEV618" s="5" t="s">
        <v>3728</v>
      </c>
      <c r="KEW618" s="17">
        <v>44925</v>
      </c>
      <c r="KEX618" s="5" t="s">
        <v>3728</v>
      </c>
      <c r="KEY618" s="17">
        <v>44925</v>
      </c>
      <c r="KEZ618" s="5" t="s">
        <v>3728</v>
      </c>
      <c r="KFA618" s="17">
        <v>44925</v>
      </c>
      <c r="KFB618" s="5" t="s">
        <v>3728</v>
      </c>
      <c r="KFC618" s="17">
        <v>44925</v>
      </c>
      <c r="KFD618" s="5" t="s">
        <v>3728</v>
      </c>
      <c r="KFE618" s="17">
        <v>44925</v>
      </c>
      <c r="KFF618" s="5" t="s">
        <v>3728</v>
      </c>
      <c r="KFG618" s="17">
        <v>44925</v>
      </c>
      <c r="KFH618" s="5" t="s">
        <v>3728</v>
      </c>
      <c r="KFI618" s="17">
        <v>44925</v>
      </c>
      <c r="KFJ618" s="5" t="s">
        <v>3728</v>
      </c>
      <c r="KFK618" s="17">
        <v>44925</v>
      </c>
      <c r="KFL618" s="5" t="s">
        <v>3728</v>
      </c>
      <c r="KFM618" s="17">
        <v>44925</v>
      </c>
      <c r="KFN618" s="5" t="s">
        <v>3728</v>
      </c>
      <c r="KFO618" s="17">
        <v>44925</v>
      </c>
      <c r="KFP618" s="5" t="s">
        <v>3728</v>
      </c>
      <c r="KFQ618" s="17">
        <v>44925</v>
      </c>
      <c r="KFR618" s="5" t="s">
        <v>3728</v>
      </c>
      <c r="KFS618" s="17">
        <v>44925</v>
      </c>
      <c r="KFT618" s="5" t="s">
        <v>3728</v>
      </c>
      <c r="KFU618" s="17">
        <v>44925</v>
      </c>
      <c r="KFV618" s="5" t="s">
        <v>3728</v>
      </c>
      <c r="KFW618" s="17">
        <v>44925</v>
      </c>
      <c r="KFX618" s="5" t="s">
        <v>3728</v>
      </c>
      <c r="KFY618" s="17">
        <v>44925</v>
      </c>
      <c r="KFZ618" s="5" t="s">
        <v>3728</v>
      </c>
      <c r="KGA618" s="17">
        <v>44925</v>
      </c>
      <c r="KGB618" s="5" t="s">
        <v>3728</v>
      </c>
      <c r="KGC618" s="17">
        <v>44925</v>
      </c>
      <c r="KGD618" s="5" t="s">
        <v>3728</v>
      </c>
      <c r="KGE618" s="17">
        <v>44925</v>
      </c>
      <c r="KGF618" s="5" t="s">
        <v>3728</v>
      </c>
      <c r="KGG618" s="17">
        <v>44925</v>
      </c>
      <c r="KGH618" s="5" t="s">
        <v>3728</v>
      </c>
      <c r="KGI618" s="17">
        <v>44925</v>
      </c>
      <c r="KGJ618" s="5" t="s">
        <v>3728</v>
      </c>
      <c r="KGK618" s="17">
        <v>44925</v>
      </c>
      <c r="KGL618" s="5" t="s">
        <v>3728</v>
      </c>
      <c r="KGM618" s="17">
        <v>44925</v>
      </c>
      <c r="KGN618" s="5" t="s">
        <v>3728</v>
      </c>
      <c r="KGO618" s="17">
        <v>44925</v>
      </c>
      <c r="KGP618" s="5" t="s">
        <v>3728</v>
      </c>
      <c r="KGQ618" s="17">
        <v>44925</v>
      </c>
      <c r="KGR618" s="5" t="s">
        <v>3728</v>
      </c>
      <c r="KGS618" s="17">
        <v>44925</v>
      </c>
      <c r="KGT618" s="5" t="s">
        <v>3728</v>
      </c>
      <c r="KGU618" s="17">
        <v>44925</v>
      </c>
      <c r="KGV618" s="5" t="s">
        <v>3728</v>
      </c>
      <c r="KGW618" s="17">
        <v>44925</v>
      </c>
      <c r="KGX618" s="5" t="s">
        <v>3728</v>
      </c>
      <c r="KGY618" s="17">
        <v>44925</v>
      </c>
      <c r="KGZ618" s="5" t="s">
        <v>3728</v>
      </c>
      <c r="KHA618" s="17">
        <v>44925</v>
      </c>
      <c r="KHB618" s="5" t="s">
        <v>3728</v>
      </c>
      <c r="KHC618" s="17">
        <v>44925</v>
      </c>
      <c r="KHD618" s="5" t="s">
        <v>3728</v>
      </c>
      <c r="KHE618" s="17">
        <v>44925</v>
      </c>
      <c r="KHF618" s="5" t="s">
        <v>3728</v>
      </c>
      <c r="KHG618" s="17">
        <v>44925</v>
      </c>
      <c r="KHH618" s="5" t="s">
        <v>3728</v>
      </c>
      <c r="KHI618" s="17">
        <v>44925</v>
      </c>
      <c r="KHJ618" s="5" t="s">
        <v>3728</v>
      </c>
      <c r="KHK618" s="17">
        <v>44925</v>
      </c>
      <c r="KHL618" s="5" t="s">
        <v>3728</v>
      </c>
      <c r="KHM618" s="17">
        <v>44925</v>
      </c>
      <c r="KHN618" s="5" t="s">
        <v>3728</v>
      </c>
      <c r="KHO618" s="17">
        <v>44925</v>
      </c>
      <c r="KHP618" s="5" t="s">
        <v>3728</v>
      </c>
      <c r="KHQ618" s="17">
        <v>44925</v>
      </c>
      <c r="KHR618" s="5" t="s">
        <v>3728</v>
      </c>
      <c r="KHS618" s="17">
        <v>44925</v>
      </c>
      <c r="KHT618" s="5" t="s">
        <v>3728</v>
      </c>
      <c r="KHU618" s="17">
        <v>44925</v>
      </c>
      <c r="KHV618" s="5" t="s">
        <v>3728</v>
      </c>
      <c r="KHW618" s="17">
        <v>44925</v>
      </c>
      <c r="KHX618" s="5" t="s">
        <v>3728</v>
      </c>
      <c r="KHY618" s="17">
        <v>44925</v>
      </c>
      <c r="KHZ618" s="5" t="s">
        <v>3728</v>
      </c>
      <c r="KIA618" s="17">
        <v>44925</v>
      </c>
      <c r="KIB618" s="5" t="s">
        <v>3728</v>
      </c>
      <c r="KIC618" s="17">
        <v>44925</v>
      </c>
      <c r="KID618" s="5" t="s">
        <v>3728</v>
      </c>
      <c r="KIE618" s="17">
        <v>44925</v>
      </c>
      <c r="KIF618" s="5" t="s">
        <v>3728</v>
      </c>
      <c r="KIG618" s="17">
        <v>44925</v>
      </c>
      <c r="KIH618" s="5" t="s">
        <v>3728</v>
      </c>
      <c r="KII618" s="17">
        <v>44925</v>
      </c>
      <c r="KIJ618" s="5" t="s">
        <v>3728</v>
      </c>
      <c r="KIK618" s="17">
        <v>44925</v>
      </c>
      <c r="KIL618" s="5" t="s">
        <v>3728</v>
      </c>
      <c r="KIM618" s="17">
        <v>44925</v>
      </c>
      <c r="KIN618" s="5" t="s">
        <v>3728</v>
      </c>
      <c r="KIO618" s="17">
        <v>44925</v>
      </c>
      <c r="KIP618" s="5" t="s">
        <v>3728</v>
      </c>
      <c r="KIQ618" s="17">
        <v>44925</v>
      </c>
      <c r="KIR618" s="5" t="s">
        <v>3728</v>
      </c>
      <c r="KIS618" s="17">
        <v>44925</v>
      </c>
      <c r="KIT618" s="5" t="s">
        <v>3728</v>
      </c>
      <c r="KIU618" s="17">
        <v>44925</v>
      </c>
      <c r="KIV618" s="5" t="s">
        <v>3728</v>
      </c>
      <c r="KIW618" s="17">
        <v>44925</v>
      </c>
      <c r="KIX618" s="5" t="s">
        <v>3728</v>
      </c>
      <c r="KIY618" s="17">
        <v>44925</v>
      </c>
      <c r="KIZ618" s="5" t="s">
        <v>3728</v>
      </c>
      <c r="KJA618" s="17">
        <v>44925</v>
      </c>
      <c r="KJB618" s="5" t="s">
        <v>3728</v>
      </c>
      <c r="KJC618" s="17">
        <v>44925</v>
      </c>
      <c r="KJD618" s="5" t="s">
        <v>3728</v>
      </c>
      <c r="KJE618" s="17">
        <v>44925</v>
      </c>
      <c r="KJF618" s="5" t="s">
        <v>3728</v>
      </c>
      <c r="KJG618" s="17">
        <v>44925</v>
      </c>
      <c r="KJH618" s="5" t="s">
        <v>3728</v>
      </c>
      <c r="KJI618" s="17">
        <v>44925</v>
      </c>
      <c r="KJJ618" s="5" t="s">
        <v>3728</v>
      </c>
      <c r="KJK618" s="17">
        <v>44925</v>
      </c>
      <c r="KJL618" s="5" t="s">
        <v>3728</v>
      </c>
      <c r="KJM618" s="17">
        <v>44925</v>
      </c>
      <c r="KJN618" s="5" t="s">
        <v>3728</v>
      </c>
      <c r="KJO618" s="17">
        <v>44925</v>
      </c>
      <c r="KJP618" s="5" t="s">
        <v>3728</v>
      </c>
      <c r="KJQ618" s="17">
        <v>44925</v>
      </c>
      <c r="KJR618" s="5" t="s">
        <v>3728</v>
      </c>
      <c r="KJS618" s="17">
        <v>44925</v>
      </c>
      <c r="KJT618" s="5" t="s">
        <v>3728</v>
      </c>
      <c r="KJU618" s="17">
        <v>44925</v>
      </c>
      <c r="KJV618" s="5" t="s">
        <v>3728</v>
      </c>
      <c r="KJW618" s="17">
        <v>44925</v>
      </c>
      <c r="KJX618" s="5" t="s">
        <v>3728</v>
      </c>
      <c r="KJY618" s="17">
        <v>44925</v>
      </c>
      <c r="KJZ618" s="5" t="s">
        <v>3728</v>
      </c>
      <c r="KKA618" s="17">
        <v>44925</v>
      </c>
      <c r="KKB618" s="5" t="s">
        <v>3728</v>
      </c>
      <c r="KKC618" s="17">
        <v>44925</v>
      </c>
      <c r="KKD618" s="5" t="s">
        <v>3728</v>
      </c>
      <c r="KKE618" s="17">
        <v>44925</v>
      </c>
      <c r="KKF618" s="5" t="s">
        <v>3728</v>
      </c>
      <c r="KKG618" s="17">
        <v>44925</v>
      </c>
      <c r="KKH618" s="5" t="s">
        <v>3728</v>
      </c>
      <c r="KKI618" s="17">
        <v>44925</v>
      </c>
      <c r="KKJ618" s="5" t="s">
        <v>3728</v>
      </c>
      <c r="KKK618" s="17">
        <v>44925</v>
      </c>
      <c r="KKL618" s="5" t="s">
        <v>3728</v>
      </c>
      <c r="KKM618" s="17">
        <v>44925</v>
      </c>
      <c r="KKN618" s="5" t="s">
        <v>3728</v>
      </c>
      <c r="KKO618" s="17">
        <v>44925</v>
      </c>
      <c r="KKP618" s="5" t="s">
        <v>3728</v>
      </c>
      <c r="KKQ618" s="17">
        <v>44925</v>
      </c>
      <c r="KKR618" s="5" t="s">
        <v>3728</v>
      </c>
      <c r="KKS618" s="17">
        <v>44925</v>
      </c>
      <c r="KKT618" s="5" t="s">
        <v>3728</v>
      </c>
      <c r="KKU618" s="17">
        <v>44925</v>
      </c>
      <c r="KKV618" s="5" t="s">
        <v>3728</v>
      </c>
      <c r="KKW618" s="17">
        <v>44925</v>
      </c>
      <c r="KKX618" s="5" t="s">
        <v>3728</v>
      </c>
      <c r="KKY618" s="17">
        <v>44925</v>
      </c>
      <c r="KKZ618" s="5" t="s">
        <v>3728</v>
      </c>
      <c r="KLA618" s="17">
        <v>44925</v>
      </c>
      <c r="KLB618" s="5" t="s">
        <v>3728</v>
      </c>
      <c r="KLC618" s="17">
        <v>44925</v>
      </c>
      <c r="KLD618" s="5" t="s">
        <v>3728</v>
      </c>
      <c r="KLE618" s="17">
        <v>44925</v>
      </c>
      <c r="KLF618" s="5" t="s">
        <v>3728</v>
      </c>
      <c r="KLG618" s="17">
        <v>44925</v>
      </c>
      <c r="KLH618" s="5" t="s">
        <v>3728</v>
      </c>
      <c r="KLI618" s="17">
        <v>44925</v>
      </c>
      <c r="KLJ618" s="5" t="s">
        <v>3728</v>
      </c>
      <c r="KLK618" s="17">
        <v>44925</v>
      </c>
      <c r="KLL618" s="5" t="s">
        <v>3728</v>
      </c>
      <c r="KLM618" s="17">
        <v>44925</v>
      </c>
      <c r="KLN618" s="5" t="s">
        <v>3728</v>
      </c>
      <c r="KLO618" s="17">
        <v>44925</v>
      </c>
      <c r="KLP618" s="5" t="s">
        <v>3728</v>
      </c>
      <c r="KLQ618" s="17">
        <v>44925</v>
      </c>
      <c r="KLR618" s="5" t="s">
        <v>3728</v>
      </c>
      <c r="KLS618" s="17">
        <v>44925</v>
      </c>
      <c r="KLT618" s="5" t="s">
        <v>3728</v>
      </c>
      <c r="KLU618" s="17">
        <v>44925</v>
      </c>
      <c r="KLV618" s="5" t="s">
        <v>3728</v>
      </c>
      <c r="KLW618" s="17">
        <v>44925</v>
      </c>
      <c r="KLX618" s="5" t="s">
        <v>3728</v>
      </c>
      <c r="KLY618" s="17">
        <v>44925</v>
      </c>
      <c r="KLZ618" s="5" t="s">
        <v>3728</v>
      </c>
      <c r="KMA618" s="17">
        <v>44925</v>
      </c>
      <c r="KMB618" s="5" t="s">
        <v>3728</v>
      </c>
      <c r="KMC618" s="17">
        <v>44925</v>
      </c>
      <c r="KMD618" s="5" t="s">
        <v>3728</v>
      </c>
      <c r="KME618" s="17">
        <v>44925</v>
      </c>
      <c r="KMF618" s="5" t="s">
        <v>3728</v>
      </c>
      <c r="KMG618" s="17">
        <v>44925</v>
      </c>
      <c r="KMH618" s="5" t="s">
        <v>3728</v>
      </c>
      <c r="KMI618" s="17">
        <v>44925</v>
      </c>
      <c r="KMJ618" s="5" t="s">
        <v>3728</v>
      </c>
      <c r="KMK618" s="17">
        <v>44925</v>
      </c>
      <c r="KML618" s="5" t="s">
        <v>3728</v>
      </c>
      <c r="KMM618" s="17">
        <v>44925</v>
      </c>
      <c r="KMN618" s="5" t="s">
        <v>3728</v>
      </c>
      <c r="KMO618" s="17">
        <v>44925</v>
      </c>
      <c r="KMP618" s="5" t="s">
        <v>3728</v>
      </c>
      <c r="KMQ618" s="17">
        <v>44925</v>
      </c>
      <c r="KMR618" s="5" t="s">
        <v>3728</v>
      </c>
      <c r="KMS618" s="17">
        <v>44925</v>
      </c>
      <c r="KMT618" s="5" t="s">
        <v>3728</v>
      </c>
      <c r="KMU618" s="17">
        <v>44925</v>
      </c>
      <c r="KMV618" s="5" t="s">
        <v>3728</v>
      </c>
      <c r="KMW618" s="17">
        <v>44925</v>
      </c>
      <c r="KMX618" s="5" t="s">
        <v>3728</v>
      </c>
      <c r="KMY618" s="17">
        <v>44925</v>
      </c>
      <c r="KMZ618" s="5" t="s">
        <v>3728</v>
      </c>
      <c r="KNA618" s="17">
        <v>44925</v>
      </c>
      <c r="KNB618" s="5" t="s">
        <v>3728</v>
      </c>
      <c r="KNC618" s="17">
        <v>44925</v>
      </c>
      <c r="KND618" s="5" t="s">
        <v>3728</v>
      </c>
      <c r="KNE618" s="17">
        <v>44925</v>
      </c>
      <c r="KNF618" s="5" t="s">
        <v>3728</v>
      </c>
      <c r="KNG618" s="17">
        <v>44925</v>
      </c>
      <c r="KNH618" s="5" t="s">
        <v>3728</v>
      </c>
      <c r="KNI618" s="17">
        <v>44925</v>
      </c>
      <c r="KNJ618" s="5" t="s">
        <v>3728</v>
      </c>
      <c r="KNK618" s="17">
        <v>44925</v>
      </c>
      <c r="KNL618" s="5" t="s">
        <v>3728</v>
      </c>
      <c r="KNM618" s="17">
        <v>44925</v>
      </c>
      <c r="KNN618" s="5" t="s">
        <v>3728</v>
      </c>
      <c r="KNO618" s="17">
        <v>44925</v>
      </c>
      <c r="KNP618" s="5" t="s">
        <v>3728</v>
      </c>
      <c r="KNQ618" s="17">
        <v>44925</v>
      </c>
      <c r="KNR618" s="5" t="s">
        <v>3728</v>
      </c>
      <c r="KNS618" s="17">
        <v>44925</v>
      </c>
      <c r="KNT618" s="5" t="s">
        <v>3728</v>
      </c>
      <c r="KNU618" s="17">
        <v>44925</v>
      </c>
      <c r="KNV618" s="5" t="s">
        <v>3728</v>
      </c>
      <c r="KNW618" s="17">
        <v>44925</v>
      </c>
      <c r="KNX618" s="5" t="s">
        <v>3728</v>
      </c>
      <c r="KNY618" s="17">
        <v>44925</v>
      </c>
      <c r="KNZ618" s="5" t="s">
        <v>3728</v>
      </c>
      <c r="KOA618" s="17">
        <v>44925</v>
      </c>
      <c r="KOB618" s="5" t="s">
        <v>3728</v>
      </c>
      <c r="KOC618" s="17">
        <v>44925</v>
      </c>
      <c r="KOD618" s="5" t="s">
        <v>3728</v>
      </c>
      <c r="KOE618" s="17">
        <v>44925</v>
      </c>
      <c r="KOF618" s="5" t="s">
        <v>3728</v>
      </c>
      <c r="KOG618" s="17">
        <v>44925</v>
      </c>
      <c r="KOH618" s="5" t="s">
        <v>3728</v>
      </c>
      <c r="KOI618" s="17">
        <v>44925</v>
      </c>
      <c r="KOJ618" s="5" t="s">
        <v>3728</v>
      </c>
      <c r="KOK618" s="17">
        <v>44925</v>
      </c>
      <c r="KOL618" s="5" t="s">
        <v>3728</v>
      </c>
      <c r="KOM618" s="17">
        <v>44925</v>
      </c>
      <c r="KON618" s="5" t="s">
        <v>3728</v>
      </c>
      <c r="KOO618" s="17">
        <v>44925</v>
      </c>
      <c r="KOP618" s="5" t="s">
        <v>3728</v>
      </c>
      <c r="KOQ618" s="17">
        <v>44925</v>
      </c>
      <c r="KOR618" s="5" t="s">
        <v>3728</v>
      </c>
      <c r="KOS618" s="17">
        <v>44925</v>
      </c>
      <c r="KOT618" s="5" t="s">
        <v>3728</v>
      </c>
      <c r="KOU618" s="17">
        <v>44925</v>
      </c>
      <c r="KOV618" s="5" t="s">
        <v>3728</v>
      </c>
      <c r="KOW618" s="17">
        <v>44925</v>
      </c>
      <c r="KOX618" s="5" t="s">
        <v>3728</v>
      </c>
      <c r="KOY618" s="17">
        <v>44925</v>
      </c>
      <c r="KOZ618" s="5" t="s">
        <v>3728</v>
      </c>
      <c r="KPA618" s="17">
        <v>44925</v>
      </c>
      <c r="KPB618" s="5" t="s">
        <v>3728</v>
      </c>
      <c r="KPC618" s="17">
        <v>44925</v>
      </c>
      <c r="KPD618" s="5" t="s">
        <v>3728</v>
      </c>
      <c r="KPE618" s="17">
        <v>44925</v>
      </c>
      <c r="KPF618" s="5" t="s">
        <v>3728</v>
      </c>
      <c r="KPG618" s="17">
        <v>44925</v>
      </c>
      <c r="KPH618" s="5" t="s">
        <v>3728</v>
      </c>
      <c r="KPI618" s="17">
        <v>44925</v>
      </c>
      <c r="KPJ618" s="5" t="s">
        <v>3728</v>
      </c>
      <c r="KPK618" s="17">
        <v>44925</v>
      </c>
      <c r="KPL618" s="5" t="s">
        <v>3728</v>
      </c>
      <c r="KPM618" s="17">
        <v>44925</v>
      </c>
      <c r="KPN618" s="5" t="s">
        <v>3728</v>
      </c>
      <c r="KPO618" s="17">
        <v>44925</v>
      </c>
      <c r="KPP618" s="5" t="s">
        <v>3728</v>
      </c>
      <c r="KPQ618" s="17">
        <v>44925</v>
      </c>
      <c r="KPR618" s="5" t="s">
        <v>3728</v>
      </c>
      <c r="KPS618" s="17">
        <v>44925</v>
      </c>
      <c r="KPT618" s="5" t="s">
        <v>3728</v>
      </c>
      <c r="KPU618" s="17">
        <v>44925</v>
      </c>
      <c r="KPV618" s="5" t="s">
        <v>3728</v>
      </c>
      <c r="KPW618" s="17">
        <v>44925</v>
      </c>
      <c r="KPX618" s="5" t="s">
        <v>3728</v>
      </c>
      <c r="KPY618" s="17">
        <v>44925</v>
      </c>
      <c r="KPZ618" s="5" t="s">
        <v>3728</v>
      </c>
      <c r="KQA618" s="17">
        <v>44925</v>
      </c>
      <c r="KQB618" s="5" t="s">
        <v>3728</v>
      </c>
      <c r="KQC618" s="17">
        <v>44925</v>
      </c>
      <c r="KQD618" s="5" t="s">
        <v>3728</v>
      </c>
      <c r="KQE618" s="17">
        <v>44925</v>
      </c>
      <c r="KQF618" s="5" t="s">
        <v>3728</v>
      </c>
      <c r="KQG618" s="17">
        <v>44925</v>
      </c>
      <c r="KQH618" s="5" t="s">
        <v>3728</v>
      </c>
      <c r="KQI618" s="17">
        <v>44925</v>
      </c>
      <c r="KQJ618" s="5" t="s">
        <v>3728</v>
      </c>
      <c r="KQK618" s="17">
        <v>44925</v>
      </c>
      <c r="KQL618" s="5" t="s">
        <v>3728</v>
      </c>
      <c r="KQM618" s="17">
        <v>44925</v>
      </c>
      <c r="KQN618" s="5" t="s">
        <v>3728</v>
      </c>
      <c r="KQO618" s="17">
        <v>44925</v>
      </c>
      <c r="KQP618" s="5" t="s">
        <v>3728</v>
      </c>
      <c r="KQQ618" s="17">
        <v>44925</v>
      </c>
      <c r="KQR618" s="5" t="s">
        <v>3728</v>
      </c>
      <c r="KQS618" s="17">
        <v>44925</v>
      </c>
      <c r="KQT618" s="5" t="s">
        <v>3728</v>
      </c>
      <c r="KQU618" s="17">
        <v>44925</v>
      </c>
      <c r="KQV618" s="5" t="s">
        <v>3728</v>
      </c>
      <c r="KQW618" s="17">
        <v>44925</v>
      </c>
      <c r="KQX618" s="5" t="s">
        <v>3728</v>
      </c>
      <c r="KQY618" s="17">
        <v>44925</v>
      </c>
      <c r="KQZ618" s="5" t="s">
        <v>3728</v>
      </c>
      <c r="KRA618" s="17">
        <v>44925</v>
      </c>
      <c r="KRB618" s="5" t="s">
        <v>3728</v>
      </c>
      <c r="KRC618" s="17">
        <v>44925</v>
      </c>
      <c r="KRD618" s="5" t="s">
        <v>3728</v>
      </c>
      <c r="KRE618" s="17">
        <v>44925</v>
      </c>
      <c r="KRF618" s="5" t="s">
        <v>3728</v>
      </c>
      <c r="KRG618" s="17">
        <v>44925</v>
      </c>
      <c r="KRH618" s="5" t="s">
        <v>3728</v>
      </c>
      <c r="KRI618" s="17">
        <v>44925</v>
      </c>
      <c r="KRJ618" s="5" t="s">
        <v>3728</v>
      </c>
      <c r="KRK618" s="17">
        <v>44925</v>
      </c>
      <c r="KRL618" s="5" t="s">
        <v>3728</v>
      </c>
      <c r="KRM618" s="17">
        <v>44925</v>
      </c>
      <c r="KRN618" s="5" t="s">
        <v>3728</v>
      </c>
      <c r="KRO618" s="17">
        <v>44925</v>
      </c>
      <c r="KRP618" s="5" t="s">
        <v>3728</v>
      </c>
      <c r="KRQ618" s="17">
        <v>44925</v>
      </c>
      <c r="KRR618" s="5" t="s">
        <v>3728</v>
      </c>
      <c r="KRS618" s="17">
        <v>44925</v>
      </c>
      <c r="KRT618" s="5" t="s">
        <v>3728</v>
      </c>
      <c r="KRU618" s="17">
        <v>44925</v>
      </c>
      <c r="KRV618" s="5" t="s">
        <v>3728</v>
      </c>
      <c r="KRW618" s="17">
        <v>44925</v>
      </c>
      <c r="KRX618" s="5" t="s">
        <v>3728</v>
      </c>
      <c r="KRY618" s="17">
        <v>44925</v>
      </c>
      <c r="KRZ618" s="5" t="s">
        <v>3728</v>
      </c>
      <c r="KSA618" s="17">
        <v>44925</v>
      </c>
      <c r="KSB618" s="5" t="s">
        <v>3728</v>
      </c>
      <c r="KSC618" s="17">
        <v>44925</v>
      </c>
      <c r="KSD618" s="5" t="s">
        <v>3728</v>
      </c>
      <c r="KSE618" s="17">
        <v>44925</v>
      </c>
      <c r="KSF618" s="5" t="s">
        <v>3728</v>
      </c>
      <c r="KSG618" s="17">
        <v>44925</v>
      </c>
      <c r="KSH618" s="5" t="s">
        <v>3728</v>
      </c>
      <c r="KSI618" s="17">
        <v>44925</v>
      </c>
      <c r="KSJ618" s="5" t="s">
        <v>3728</v>
      </c>
      <c r="KSK618" s="17">
        <v>44925</v>
      </c>
      <c r="KSL618" s="5" t="s">
        <v>3728</v>
      </c>
      <c r="KSM618" s="17">
        <v>44925</v>
      </c>
      <c r="KSN618" s="5" t="s">
        <v>3728</v>
      </c>
      <c r="KSO618" s="17">
        <v>44925</v>
      </c>
      <c r="KSP618" s="5" t="s">
        <v>3728</v>
      </c>
      <c r="KSQ618" s="17">
        <v>44925</v>
      </c>
      <c r="KSR618" s="5" t="s">
        <v>3728</v>
      </c>
      <c r="KSS618" s="17">
        <v>44925</v>
      </c>
      <c r="KST618" s="5" t="s">
        <v>3728</v>
      </c>
      <c r="KSU618" s="17">
        <v>44925</v>
      </c>
      <c r="KSV618" s="5" t="s">
        <v>3728</v>
      </c>
      <c r="KSW618" s="17">
        <v>44925</v>
      </c>
      <c r="KSX618" s="5" t="s">
        <v>3728</v>
      </c>
      <c r="KSY618" s="17">
        <v>44925</v>
      </c>
      <c r="KSZ618" s="5" t="s">
        <v>3728</v>
      </c>
      <c r="KTA618" s="17">
        <v>44925</v>
      </c>
      <c r="KTB618" s="5" t="s">
        <v>3728</v>
      </c>
      <c r="KTC618" s="17">
        <v>44925</v>
      </c>
      <c r="KTD618" s="5" t="s">
        <v>3728</v>
      </c>
      <c r="KTE618" s="17">
        <v>44925</v>
      </c>
      <c r="KTF618" s="5" t="s">
        <v>3728</v>
      </c>
      <c r="KTG618" s="17">
        <v>44925</v>
      </c>
      <c r="KTH618" s="5" t="s">
        <v>3728</v>
      </c>
      <c r="KTI618" s="17">
        <v>44925</v>
      </c>
      <c r="KTJ618" s="5" t="s">
        <v>3728</v>
      </c>
      <c r="KTK618" s="17">
        <v>44925</v>
      </c>
      <c r="KTL618" s="5" t="s">
        <v>3728</v>
      </c>
      <c r="KTM618" s="17">
        <v>44925</v>
      </c>
      <c r="KTN618" s="5" t="s">
        <v>3728</v>
      </c>
      <c r="KTO618" s="17">
        <v>44925</v>
      </c>
      <c r="KTP618" s="5" t="s">
        <v>3728</v>
      </c>
      <c r="KTQ618" s="17">
        <v>44925</v>
      </c>
      <c r="KTR618" s="5" t="s">
        <v>3728</v>
      </c>
      <c r="KTS618" s="17">
        <v>44925</v>
      </c>
      <c r="KTT618" s="5" t="s">
        <v>3728</v>
      </c>
      <c r="KTU618" s="17">
        <v>44925</v>
      </c>
      <c r="KTV618" s="5" t="s">
        <v>3728</v>
      </c>
      <c r="KTW618" s="17">
        <v>44925</v>
      </c>
      <c r="KTX618" s="5" t="s">
        <v>3728</v>
      </c>
      <c r="KTY618" s="17">
        <v>44925</v>
      </c>
      <c r="KTZ618" s="5" t="s">
        <v>3728</v>
      </c>
      <c r="KUA618" s="17">
        <v>44925</v>
      </c>
      <c r="KUB618" s="5" t="s">
        <v>3728</v>
      </c>
      <c r="KUC618" s="17">
        <v>44925</v>
      </c>
      <c r="KUD618" s="5" t="s">
        <v>3728</v>
      </c>
      <c r="KUE618" s="17">
        <v>44925</v>
      </c>
      <c r="KUF618" s="5" t="s">
        <v>3728</v>
      </c>
      <c r="KUG618" s="17">
        <v>44925</v>
      </c>
      <c r="KUH618" s="5" t="s">
        <v>3728</v>
      </c>
      <c r="KUI618" s="17">
        <v>44925</v>
      </c>
      <c r="KUJ618" s="5" t="s">
        <v>3728</v>
      </c>
      <c r="KUK618" s="17">
        <v>44925</v>
      </c>
      <c r="KUL618" s="5" t="s">
        <v>3728</v>
      </c>
      <c r="KUM618" s="17">
        <v>44925</v>
      </c>
      <c r="KUN618" s="5" t="s">
        <v>3728</v>
      </c>
      <c r="KUO618" s="17">
        <v>44925</v>
      </c>
      <c r="KUP618" s="5" t="s">
        <v>3728</v>
      </c>
      <c r="KUQ618" s="17">
        <v>44925</v>
      </c>
      <c r="KUR618" s="5" t="s">
        <v>3728</v>
      </c>
      <c r="KUS618" s="17">
        <v>44925</v>
      </c>
      <c r="KUT618" s="5" t="s">
        <v>3728</v>
      </c>
      <c r="KUU618" s="17">
        <v>44925</v>
      </c>
      <c r="KUV618" s="5" t="s">
        <v>3728</v>
      </c>
      <c r="KUW618" s="17">
        <v>44925</v>
      </c>
      <c r="KUX618" s="5" t="s">
        <v>3728</v>
      </c>
      <c r="KUY618" s="17">
        <v>44925</v>
      </c>
      <c r="KUZ618" s="5" t="s">
        <v>3728</v>
      </c>
      <c r="KVA618" s="17">
        <v>44925</v>
      </c>
      <c r="KVB618" s="5" t="s">
        <v>3728</v>
      </c>
      <c r="KVC618" s="17">
        <v>44925</v>
      </c>
      <c r="KVD618" s="5" t="s">
        <v>3728</v>
      </c>
      <c r="KVE618" s="17">
        <v>44925</v>
      </c>
      <c r="KVF618" s="5" t="s">
        <v>3728</v>
      </c>
      <c r="KVG618" s="17">
        <v>44925</v>
      </c>
      <c r="KVH618" s="5" t="s">
        <v>3728</v>
      </c>
      <c r="KVI618" s="17">
        <v>44925</v>
      </c>
      <c r="KVJ618" s="5" t="s">
        <v>3728</v>
      </c>
      <c r="KVK618" s="17">
        <v>44925</v>
      </c>
      <c r="KVL618" s="5" t="s">
        <v>3728</v>
      </c>
      <c r="KVM618" s="17">
        <v>44925</v>
      </c>
      <c r="KVN618" s="5" t="s">
        <v>3728</v>
      </c>
      <c r="KVO618" s="17">
        <v>44925</v>
      </c>
      <c r="KVP618" s="5" t="s">
        <v>3728</v>
      </c>
      <c r="KVQ618" s="17">
        <v>44925</v>
      </c>
      <c r="KVR618" s="5" t="s">
        <v>3728</v>
      </c>
      <c r="KVS618" s="17">
        <v>44925</v>
      </c>
      <c r="KVT618" s="5" t="s">
        <v>3728</v>
      </c>
      <c r="KVU618" s="17">
        <v>44925</v>
      </c>
      <c r="KVV618" s="5" t="s">
        <v>3728</v>
      </c>
      <c r="KVW618" s="17">
        <v>44925</v>
      </c>
      <c r="KVX618" s="5" t="s">
        <v>3728</v>
      </c>
      <c r="KVY618" s="17">
        <v>44925</v>
      </c>
      <c r="KVZ618" s="5" t="s">
        <v>3728</v>
      </c>
      <c r="KWA618" s="17">
        <v>44925</v>
      </c>
      <c r="KWB618" s="5" t="s">
        <v>3728</v>
      </c>
      <c r="KWC618" s="17">
        <v>44925</v>
      </c>
      <c r="KWD618" s="5" t="s">
        <v>3728</v>
      </c>
      <c r="KWE618" s="17">
        <v>44925</v>
      </c>
      <c r="KWF618" s="5" t="s">
        <v>3728</v>
      </c>
      <c r="KWG618" s="17">
        <v>44925</v>
      </c>
      <c r="KWH618" s="5" t="s">
        <v>3728</v>
      </c>
      <c r="KWI618" s="17">
        <v>44925</v>
      </c>
      <c r="KWJ618" s="5" t="s">
        <v>3728</v>
      </c>
      <c r="KWK618" s="17">
        <v>44925</v>
      </c>
      <c r="KWL618" s="5" t="s">
        <v>3728</v>
      </c>
      <c r="KWM618" s="17">
        <v>44925</v>
      </c>
      <c r="KWN618" s="5" t="s">
        <v>3728</v>
      </c>
      <c r="KWO618" s="17">
        <v>44925</v>
      </c>
      <c r="KWP618" s="5" t="s">
        <v>3728</v>
      </c>
      <c r="KWQ618" s="17">
        <v>44925</v>
      </c>
      <c r="KWR618" s="5" t="s">
        <v>3728</v>
      </c>
      <c r="KWS618" s="17">
        <v>44925</v>
      </c>
      <c r="KWT618" s="5" t="s">
        <v>3728</v>
      </c>
      <c r="KWU618" s="17">
        <v>44925</v>
      </c>
      <c r="KWV618" s="5" t="s">
        <v>3728</v>
      </c>
      <c r="KWW618" s="17">
        <v>44925</v>
      </c>
      <c r="KWX618" s="5" t="s">
        <v>3728</v>
      </c>
      <c r="KWY618" s="17">
        <v>44925</v>
      </c>
      <c r="KWZ618" s="5" t="s">
        <v>3728</v>
      </c>
      <c r="KXA618" s="17">
        <v>44925</v>
      </c>
      <c r="KXB618" s="5" t="s">
        <v>3728</v>
      </c>
      <c r="KXC618" s="17">
        <v>44925</v>
      </c>
      <c r="KXD618" s="5" t="s">
        <v>3728</v>
      </c>
      <c r="KXE618" s="17">
        <v>44925</v>
      </c>
      <c r="KXF618" s="5" t="s">
        <v>3728</v>
      </c>
      <c r="KXG618" s="17">
        <v>44925</v>
      </c>
      <c r="KXH618" s="5" t="s">
        <v>3728</v>
      </c>
      <c r="KXI618" s="17">
        <v>44925</v>
      </c>
      <c r="KXJ618" s="5" t="s">
        <v>3728</v>
      </c>
      <c r="KXK618" s="17">
        <v>44925</v>
      </c>
      <c r="KXL618" s="5" t="s">
        <v>3728</v>
      </c>
      <c r="KXM618" s="17">
        <v>44925</v>
      </c>
      <c r="KXN618" s="5" t="s">
        <v>3728</v>
      </c>
      <c r="KXO618" s="17">
        <v>44925</v>
      </c>
      <c r="KXP618" s="5" t="s">
        <v>3728</v>
      </c>
      <c r="KXQ618" s="17">
        <v>44925</v>
      </c>
      <c r="KXR618" s="5" t="s">
        <v>3728</v>
      </c>
      <c r="KXS618" s="17">
        <v>44925</v>
      </c>
      <c r="KXT618" s="5" t="s">
        <v>3728</v>
      </c>
      <c r="KXU618" s="17">
        <v>44925</v>
      </c>
      <c r="KXV618" s="5" t="s">
        <v>3728</v>
      </c>
      <c r="KXW618" s="17">
        <v>44925</v>
      </c>
      <c r="KXX618" s="5" t="s">
        <v>3728</v>
      </c>
      <c r="KXY618" s="17">
        <v>44925</v>
      </c>
      <c r="KXZ618" s="5" t="s">
        <v>3728</v>
      </c>
      <c r="KYA618" s="17">
        <v>44925</v>
      </c>
      <c r="KYB618" s="5" t="s">
        <v>3728</v>
      </c>
      <c r="KYC618" s="17">
        <v>44925</v>
      </c>
      <c r="KYD618" s="5" t="s">
        <v>3728</v>
      </c>
      <c r="KYE618" s="17">
        <v>44925</v>
      </c>
      <c r="KYF618" s="5" t="s">
        <v>3728</v>
      </c>
      <c r="KYG618" s="17">
        <v>44925</v>
      </c>
      <c r="KYH618" s="5" t="s">
        <v>3728</v>
      </c>
      <c r="KYI618" s="17">
        <v>44925</v>
      </c>
      <c r="KYJ618" s="5" t="s">
        <v>3728</v>
      </c>
      <c r="KYK618" s="17">
        <v>44925</v>
      </c>
      <c r="KYL618" s="5" t="s">
        <v>3728</v>
      </c>
      <c r="KYM618" s="17">
        <v>44925</v>
      </c>
      <c r="KYN618" s="5" t="s">
        <v>3728</v>
      </c>
      <c r="KYO618" s="17">
        <v>44925</v>
      </c>
      <c r="KYP618" s="5" t="s">
        <v>3728</v>
      </c>
      <c r="KYQ618" s="17">
        <v>44925</v>
      </c>
      <c r="KYR618" s="5" t="s">
        <v>3728</v>
      </c>
      <c r="KYS618" s="17">
        <v>44925</v>
      </c>
      <c r="KYT618" s="5" t="s">
        <v>3728</v>
      </c>
      <c r="KYU618" s="17">
        <v>44925</v>
      </c>
      <c r="KYV618" s="5" t="s">
        <v>3728</v>
      </c>
      <c r="KYW618" s="17">
        <v>44925</v>
      </c>
      <c r="KYX618" s="5" t="s">
        <v>3728</v>
      </c>
      <c r="KYY618" s="17">
        <v>44925</v>
      </c>
      <c r="KYZ618" s="5" t="s">
        <v>3728</v>
      </c>
      <c r="KZA618" s="17">
        <v>44925</v>
      </c>
      <c r="KZB618" s="5" t="s">
        <v>3728</v>
      </c>
      <c r="KZC618" s="17">
        <v>44925</v>
      </c>
      <c r="KZD618" s="5" t="s">
        <v>3728</v>
      </c>
      <c r="KZE618" s="17">
        <v>44925</v>
      </c>
      <c r="KZF618" s="5" t="s">
        <v>3728</v>
      </c>
      <c r="KZG618" s="17">
        <v>44925</v>
      </c>
      <c r="KZH618" s="5" t="s">
        <v>3728</v>
      </c>
      <c r="KZI618" s="17">
        <v>44925</v>
      </c>
      <c r="KZJ618" s="5" t="s">
        <v>3728</v>
      </c>
      <c r="KZK618" s="17">
        <v>44925</v>
      </c>
      <c r="KZL618" s="5" t="s">
        <v>3728</v>
      </c>
      <c r="KZM618" s="17">
        <v>44925</v>
      </c>
      <c r="KZN618" s="5" t="s">
        <v>3728</v>
      </c>
      <c r="KZO618" s="17">
        <v>44925</v>
      </c>
      <c r="KZP618" s="5" t="s">
        <v>3728</v>
      </c>
      <c r="KZQ618" s="17">
        <v>44925</v>
      </c>
      <c r="KZR618" s="5" t="s">
        <v>3728</v>
      </c>
      <c r="KZS618" s="17">
        <v>44925</v>
      </c>
      <c r="KZT618" s="5" t="s">
        <v>3728</v>
      </c>
      <c r="KZU618" s="17">
        <v>44925</v>
      </c>
      <c r="KZV618" s="5" t="s">
        <v>3728</v>
      </c>
      <c r="KZW618" s="17">
        <v>44925</v>
      </c>
      <c r="KZX618" s="5" t="s">
        <v>3728</v>
      </c>
      <c r="KZY618" s="17">
        <v>44925</v>
      </c>
      <c r="KZZ618" s="5" t="s">
        <v>3728</v>
      </c>
      <c r="LAA618" s="17">
        <v>44925</v>
      </c>
      <c r="LAB618" s="5" t="s">
        <v>3728</v>
      </c>
      <c r="LAC618" s="17">
        <v>44925</v>
      </c>
      <c r="LAD618" s="5" t="s">
        <v>3728</v>
      </c>
      <c r="LAE618" s="17">
        <v>44925</v>
      </c>
      <c r="LAF618" s="5" t="s">
        <v>3728</v>
      </c>
      <c r="LAG618" s="17">
        <v>44925</v>
      </c>
      <c r="LAH618" s="5" t="s">
        <v>3728</v>
      </c>
      <c r="LAI618" s="17">
        <v>44925</v>
      </c>
      <c r="LAJ618" s="5" t="s">
        <v>3728</v>
      </c>
      <c r="LAK618" s="17">
        <v>44925</v>
      </c>
      <c r="LAL618" s="5" t="s">
        <v>3728</v>
      </c>
      <c r="LAM618" s="17">
        <v>44925</v>
      </c>
      <c r="LAN618" s="5" t="s">
        <v>3728</v>
      </c>
      <c r="LAO618" s="17">
        <v>44925</v>
      </c>
      <c r="LAP618" s="5" t="s">
        <v>3728</v>
      </c>
      <c r="LAQ618" s="17">
        <v>44925</v>
      </c>
      <c r="LAR618" s="5" t="s">
        <v>3728</v>
      </c>
      <c r="LAS618" s="17">
        <v>44925</v>
      </c>
      <c r="LAT618" s="5" t="s">
        <v>3728</v>
      </c>
      <c r="LAU618" s="17">
        <v>44925</v>
      </c>
      <c r="LAV618" s="5" t="s">
        <v>3728</v>
      </c>
      <c r="LAW618" s="17">
        <v>44925</v>
      </c>
      <c r="LAX618" s="5" t="s">
        <v>3728</v>
      </c>
      <c r="LAY618" s="17">
        <v>44925</v>
      </c>
      <c r="LAZ618" s="5" t="s">
        <v>3728</v>
      </c>
      <c r="LBA618" s="17">
        <v>44925</v>
      </c>
      <c r="LBB618" s="5" t="s">
        <v>3728</v>
      </c>
      <c r="LBC618" s="17">
        <v>44925</v>
      </c>
      <c r="LBD618" s="5" t="s">
        <v>3728</v>
      </c>
      <c r="LBE618" s="17">
        <v>44925</v>
      </c>
      <c r="LBF618" s="5" t="s">
        <v>3728</v>
      </c>
      <c r="LBG618" s="17">
        <v>44925</v>
      </c>
      <c r="LBH618" s="5" t="s">
        <v>3728</v>
      </c>
      <c r="LBI618" s="17">
        <v>44925</v>
      </c>
      <c r="LBJ618" s="5" t="s">
        <v>3728</v>
      </c>
      <c r="LBK618" s="17">
        <v>44925</v>
      </c>
      <c r="LBL618" s="5" t="s">
        <v>3728</v>
      </c>
      <c r="LBM618" s="17">
        <v>44925</v>
      </c>
      <c r="LBN618" s="5" t="s">
        <v>3728</v>
      </c>
      <c r="LBO618" s="17">
        <v>44925</v>
      </c>
      <c r="LBP618" s="5" t="s">
        <v>3728</v>
      </c>
      <c r="LBQ618" s="17">
        <v>44925</v>
      </c>
      <c r="LBR618" s="5" t="s">
        <v>3728</v>
      </c>
      <c r="LBS618" s="17">
        <v>44925</v>
      </c>
      <c r="LBT618" s="5" t="s">
        <v>3728</v>
      </c>
      <c r="LBU618" s="17">
        <v>44925</v>
      </c>
      <c r="LBV618" s="5" t="s">
        <v>3728</v>
      </c>
      <c r="LBW618" s="17">
        <v>44925</v>
      </c>
      <c r="LBX618" s="5" t="s">
        <v>3728</v>
      </c>
      <c r="LBY618" s="17">
        <v>44925</v>
      </c>
      <c r="LBZ618" s="5" t="s">
        <v>3728</v>
      </c>
      <c r="LCA618" s="17">
        <v>44925</v>
      </c>
      <c r="LCB618" s="5" t="s">
        <v>3728</v>
      </c>
      <c r="LCC618" s="17">
        <v>44925</v>
      </c>
      <c r="LCD618" s="5" t="s">
        <v>3728</v>
      </c>
      <c r="LCE618" s="17">
        <v>44925</v>
      </c>
      <c r="LCF618" s="5" t="s">
        <v>3728</v>
      </c>
      <c r="LCG618" s="17">
        <v>44925</v>
      </c>
      <c r="LCH618" s="5" t="s">
        <v>3728</v>
      </c>
      <c r="LCI618" s="17">
        <v>44925</v>
      </c>
      <c r="LCJ618" s="5" t="s">
        <v>3728</v>
      </c>
      <c r="LCK618" s="17">
        <v>44925</v>
      </c>
      <c r="LCL618" s="5" t="s">
        <v>3728</v>
      </c>
      <c r="LCM618" s="17">
        <v>44925</v>
      </c>
      <c r="LCN618" s="5" t="s">
        <v>3728</v>
      </c>
      <c r="LCO618" s="17">
        <v>44925</v>
      </c>
      <c r="LCP618" s="5" t="s">
        <v>3728</v>
      </c>
      <c r="LCQ618" s="17">
        <v>44925</v>
      </c>
      <c r="LCR618" s="5" t="s">
        <v>3728</v>
      </c>
      <c r="LCS618" s="17">
        <v>44925</v>
      </c>
      <c r="LCT618" s="5" t="s">
        <v>3728</v>
      </c>
      <c r="LCU618" s="17">
        <v>44925</v>
      </c>
      <c r="LCV618" s="5" t="s">
        <v>3728</v>
      </c>
      <c r="LCW618" s="17">
        <v>44925</v>
      </c>
      <c r="LCX618" s="5" t="s">
        <v>3728</v>
      </c>
      <c r="LCY618" s="17">
        <v>44925</v>
      </c>
      <c r="LCZ618" s="5" t="s">
        <v>3728</v>
      </c>
      <c r="LDA618" s="17">
        <v>44925</v>
      </c>
      <c r="LDB618" s="5" t="s">
        <v>3728</v>
      </c>
      <c r="LDC618" s="17">
        <v>44925</v>
      </c>
      <c r="LDD618" s="5" t="s">
        <v>3728</v>
      </c>
      <c r="LDE618" s="17">
        <v>44925</v>
      </c>
      <c r="LDF618" s="5" t="s">
        <v>3728</v>
      </c>
      <c r="LDG618" s="17">
        <v>44925</v>
      </c>
      <c r="LDH618" s="5" t="s">
        <v>3728</v>
      </c>
      <c r="LDI618" s="17">
        <v>44925</v>
      </c>
      <c r="LDJ618" s="5" t="s">
        <v>3728</v>
      </c>
      <c r="LDK618" s="17">
        <v>44925</v>
      </c>
      <c r="LDL618" s="5" t="s">
        <v>3728</v>
      </c>
      <c r="LDM618" s="17">
        <v>44925</v>
      </c>
      <c r="LDN618" s="5" t="s">
        <v>3728</v>
      </c>
      <c r="LDO618" s="17">
        <v>44925</v>
      </c>
      <c r="LDP618" s="5" t="s">
        <v>3728</v>
      </c>
      <c r="LDQ618" s="17">
        <v>44925</v>
      </c>
      <c r="LDR618" s="5" t="s">
        <v>3728</v>
      </c>
      <c r="LDS618" s="17">
        <v>44925</v>
      </c>
      <c r="LDT618" s="5" t="s">
        <v>3728</v>
      </c>
      <c r="LDU618" s="17">
        <v>44925</v>
      </c>
      <c r="LDV618" s="5" t="s">
        <v>3728</v>
      </c>
      <c r="LDW618" s="17">
        <v>44925</v>
      </c>
      <c r="LDX618" s="5" t="s">
        <v>3728</v>
      </c>
      <c r="LDY618" s="17">
        <v>44925</v>
      </c>
      <c r="LDZ618" s="5" t="s">
        <v>3728</v>
      </c>
      <c r="LEA618" s="17">
        <v>44925</v>
      </c>
      <c r="LEB618" s="5" t="s">
        <v>3728</v>
      </c>
      <c r="LEC618" s="17">
        <v>44925</v>
      </c>
      <c r="LED618" s="5" t="s">
        <v>3728</v>
      </c>
      <c r="LEE618" s="17">
        <v>44925</v>
      </c>
      <c r="LEF618" s="5" t="s">
        <v>3728</v>
      </c>
      <c r="LEG618" s="17">
        <v>44925</v>
      </c>
      <c r="LEH618" s="5" t="s">
        <v>3728</v>
      </c>
      <c r="LEI618" s="17">
        <v>44925</v>
      </c>
      <c r="LEJ618" s="5" t="s">
        <v>3728</v>
      </c>
      <c r="LEK618" s="17">
        <v>44925</v>
      </c>
      <c r="LEL618" s="5" t="s">
        <v>3728</v>
      </c>
      <c r="LEM618" s="17">
        <v>44925</v>
      </c>
      <c r="LEN618" s="5" t="s">
        <v>3728</v>
      </c>
      <c r="LEO618" s="17">
        <v>44925</v>
      </c>
      <c r="LEP618" s="5" t="s">
        <v>3728</v>
      </c>
      <c r="LEQ618" s="17">
        <v>44925</v>
      </c>
      <c r="LER618" s="5" t="s">
        <v>3728</v>
      </c>
      <c r="LES618" s="17">
        <v>44925</v>
      </c>
      <c r="LET618" s="5" t="s">
        <v>3728</v>
      </c>
      <c r="LEU618" s="17">
        <v>44925</v>
      </c>
      <c r="LEV618" s="5" t="s">
        <v>3728</v>
      </c>
      <c r="LEW618" s="17">
        <v>44925</v>
      </c>
      <c r="LEX618" s="5" t="s">
        <v>3728</v>
      </c>
      <c r="LEY618" s="17">
        <v>44925</v>
      </c>
      <c r="LEZ618" s="5" t="s">
        <v>3728</v>
      </c>
      <c r="LFA618" s="17">
        <v>44925</v>
      </c>
      <c r="LFB618" s="5" t="s">
        <v>3728</v>
      </c>
      <c r="LFC618" s="17">
        <v>44925</v>
      </c>
      <c r="LFD618" s="5" t="s">
        <v>3728</v>
      </c>
      <c r="LFE618" s="17">
        <v>44925</v>
      </c>
      <c r="LFF618" s="5" t="s">
        <v>3728</v>
      </c>
      <c r="LFG618" s="17">
        <v>44925</v>
      </c>
      <c r="LFH618" s="5" t="s">
        <v>3728</v>
      </c>
      <c r="LFI618" s="17">
        <v>44925</v>
      </c>
      <c r="LFJ618" s="5" t="s">
        <v>3728</v>
      </c>
      <c r="LFK618" s="17">
        <v>44925</v>
      </c>
      <c r="LFL618" s="5" t="s">
        <v>3728</v>
      </c>
      <c r="LFM618" s="17">
        <v>44925</v>
      </c>
      <c r="LFN618" s="5" t="s">
        <v>3728</v>
      </c>
      <c r="LFO618" s="17">
        <v>44925</v>
      </c>
      <c r="LFP618" s="5" t="s">
        <v>3728</v>
      </c>
      <c r="LFQ618" s="17">
        <v>44925</v>
      </c>
      <c r="LFR618" s="5" t="s">
        <v>3728</v>
      </c>
      <c r="LFS618" s="17">
        <v>44925</v>
      </c>
      <c r="LFT618" s="5" t="s">
        <v>3728</v>
      </c>
      <c r="LFU618" s="17">
        <v>44925</v>
      </c>
      <c r="LFV618" s="5" t="s">
        <v>3728</v>
      </c>
      <c r="LFW618" s="17">
        <v>44925</v>
      </c>
      <c r="LFX618" s="5" t="s">
        <v>3728</v>
      </c>
      <c r="LFY618" s="17">
        <v>44925</v>
      </c>
      <c r="LFZ618" s="5" t="s">
        <v>3728</v>
      </c>
      <c r="LGA618" s="17">
        <v>44925</v>
      </c>
      <c r="LGB618" s="5" t="s">
        <v>3728</v>
      </c>
      <c r="LGC618" s="17">
        <v>44925</v>
      </c>
      <c r="LGD618" s="5" t="s">
        <v>3728</v>
      </c>
      <c r="LGE618" s="17">
        <v>44925</v>
      </c>
      <c r="LGF618" s="5" t="s">
        <v>3728</v>
      </c>
      <c r="LGG618" s="17">
        <v>44925</v>
      </c>
      <c r="LGH618" s="5" t="s">
        <v>3728</v>
      </c>
      <c r="LGI618" s="17">
        <v>44925</v>
      </c>
      <c r="LGJ618" s="5" t="s">
        <v>3728</v>
      </c>
      <c r="LGK618" s="17">
        <v>44925</v>
      </c>
      <c r="LGL618" s="5" t="s">
        <v>3728</v>
      </c>
      <c r="LGM618" s="17">
        <v>44925</v>
      </c>
      <c r="LGN618" s="5" t="s">
        <v>3728</v>
      </c>
      <c r="LGO618" s="17">
        <v>44925</v>
      </c>
      <c r="LGP618" s="5" t="s">
        <v>3728</v>
      </c>
      <c r="LGQ618" s="17">
        <v>44925</v>
      </c>
      <c r="LGR618" s="5" t="s">
        <v>3728</v>
      </c>
      <c r="LGS618" s="17">
        <v>44925</v>
      </c>
      <c r="LGT618" s="5" t="s">
        <v>3728</v>
      </c>
      <c r="LGU618" s="17">
        <v>44925</v>
      </c>
      <c r="LGV618" s="5" t="s">
        <v>3728</v>
      </c>
      <c r="LGW618" s="17">
        <v>44925</v>
      </c>
      <c r="LGX618" s="5" t="s">
        <v>3728</v>
      </c>
      <c r="LGY618" s="17">
        <v>44925</v>
      </c>
      <c r="LGZ618" s="5" t="s">
        <v>3728</v>
      </c>
      <c r="LHA618" s="17">
        <v>44925</v>
      </c>
      <c r="LHB618" s="5" t="s">
        <v>3728</v>
      </c>
      <c r="LHC618" s="17">
        <v>44925</v>
      </c>
      <c r="LHD618" s="5" t="s">
        <v>3728</v>
      </c>
      <c r="LHE618" s="17">
        <v>44925</v>
      </c>
      <c r="LHF618" s="5" t="s">
        <v>3728</v>
      </c>
      <c r="LHG618" s="17">
        <v>44925</v>
      </c>
      <c r="LHH618" s="5" t="s">
        <v>3728</v>
      </c>
      <c r="LHI618" s="17">
        <v>44925</v>
      </c>
      <c r="LHJ618" s="5" t="s">
        <v>3728</v>
      </c>
      <c r="LHK618" s="17">
        <v>44925</v>
      </c>
      <c r="LHL618" s="5" t="s">
        <v>3728</v>
      </c>
      <c r="LHM618" s="17">
        <v>44925</v>
      </c>
      <c r="LHN618" s="5" t="s">
        <v>3728</v>
      </c>
      <c r="LHO618" s="17">
        <v>44925</v>
      </c>
      <c r="LHP618" s="5" t="s">
        <v>3728</v>
      </c>
      <c r="LHQ618" s="17">
        <v>44925</v>
      </c>
      <c r="LHR618" s="5" t="s">
        <v>3728</v>
      </c>
      <c r="LHS618" s="17">
        <v>44925</v>
      </c>
      <c r="LHT618" s="5" t="s">
        <v>3728</v>
      </c>
      <c r="LHU618" s="17">
        <v>44925</v>
      </c>
      <c r="LHV618" s="5" t="s">
        <v>3728</v>
      </c>
      <c r="LHW618" s="17">
        <v>44925</v>
      </c>
      <c r="LHX618" s="5" t="s">
        <v>3728</v>
      </c>
      <c r="LHY618" s="17">
        <v>44925</v>
      </c>
      <c r="LHZ618" s="5" t="s">
        <v>3728</v>
      </c>
      <c r="LIA618" s="17">
        <v>44925</v>
      </c>
      <c r="LIB618" s="5" t="s">
        <v>3728</v>
      </c>
      <c r="LIC618" s="17">
        <v>44925</v>
      </c>
      <c r="LID618" s="5" t="s">
        <v>3728</v>
      </c>
      <c r="LIE618" s="17">
        <v>44925</v>
      </c>
      <c r="LIF618" s="5" t="s">
        <v>3728</v>
      </c>
      <c r="LIG618" s="17">
        <v>44925</v>
      </c>
      <c r="LIH618" s="5" t="s">
        <v>3728</v>
      </c>
      <c r="LII618" s="17">
        <v>44925</v>
      </c>
      <c r="LIJ618" s="5" t="s">
        <v>3728</v>
      </c>
      <c r="LIK618" s="17">
        <v>44925</v>
      </c>
      <c r="LIL618" s="5" t="s">
        <v>3728</v>
      </c>
      <c r="LIM618" s="17">
        <v>44925</v>
      </c>
      <c r="LIN618" s="5" t="s">
        <v>3728</v>
      </c>
      <c r="LIO618" s="17">
        <v>44925</v>
      </c>
      <c r="LIP618" s="5" t="s">
        <v>3728</v>
      </c>
      <c r="LIQ618" s="17">
        <v>44925</v>
      </c>
      <c r="LIR618" s="5" t="s">
        <v>3728</v>
      </c>
      <c r="LIS618" s="17">
        <v>44925</v>
      </c>
      <c r="LIT618" s="5" t="s">
        <v>3728</v>
      </c>
      <c r="LIU618" s="17">
        <v>44925</v>
      </c>
      <c r="LIV618" s="5" t="s">
        <v>3728</v>
      </c>
      <c r="LIW618" s="17">
        <v>44925</v>
      </c>
      <c r="LIX618" s="5" t="s">
        <v>3728</v>
      </c>
      <c r="LIY618" s="17">
        <v>44925</v>
      </c>
      <c r="LIZ618" s="5" t="s">
        <v>3728</v>
      </c>
      <c r="LJA618" s="17">
        <v>44925</v>
      </c>
      <c r="LJB618" s="5" t="s">
        <v>3728</v>
      </c>
      <c r="LJC618" s="17">
        <v>44925</v>
      </c>
      <c r="LJD618" s="5" t="s">
        <v>3728</v>
      </c>
      <c r="LJE618" s="17">
        <v>44925</v>
      </c>
      <c r="LJF618" s="5" t="s">
        <v>3728</v>
      </c>
      <c r="LJG618" s="17">
        <v>44925</v>
      </c>
      <c r="LJH618" s="5" t="s">
        <v>3728</v>
      </c>
      <c r="LJI618" s="17">
        <v>44925</v>
      </c>
      <c r="LJJ618" s="5" t="s">
        <v>3728</v>
      </c>
      <c r="LJK618" s="17">
        <v>44925</v>
      </c>
      <c r="LJL618" s="5" t="s">
        <v>3728</v>
      </c>
      <c r="LJM618" s="17">
        <v>44925</v>
      </c>
      <c r="LJN618" s="5" t="s">
        <v>3728</v>
      </c>
      <c r="LJO618" s="17">
        <v>44925</v>
      </c>
      <c r="LJP618" s="5" t="s">
        <v>3728</v>
      </c>
      <c r="LJQ618" s="17">
        <v>44925</v>
      </c>
      <c r="LJR618" s="5" t="s">
        <v>3728</v>
      </c>
      <c r="LJS618" s="17">
        <v>44925</v>
      </c>
      <c r="LJT618" s="5" t="s">
        <v>3728</v>
      </c>
      <c r="LJU618" s="17">
        <v>44925</v>
      </c>
      <c r="LJV618" s="5" t="s">
        <v>3728</v>
      </c>
      <c r="LJW618" s="17">
        <v>44925</v>
      </c>
      <c r="LJX618" s="5" t="s">
        <v>3728</v>
      </c>
      <c r="LJY618" s="17">
        <v>44925</v>
      </c>
      <c r="LJZ618" s="5" t="s">
        <v>3728</v>
      </c>
      <c r="LKA618" s="17">
        <v>44925</v>
      </c>
      <c r="LKB618" s="5" t="s">
        <v>3728</v>
      </c>
      <c r="LKC618" s="17">
        <v>44925</v>
      </c>
      <c r="LKD618" s="5" t="s">
        <v>3728</v>
      </c>
      <c r="LKE618" s="17">
        <v>44925</v>
      </c>
      <c r="LKF618" s="5" t="s">
        <v>3728</v>
      </c>
      <c r="LKG618" s="17">
        <v>44925</v>
      </c>
      <c r="LKH618" s="5" t="s">
        <v>3728</v>
      </c>
      <c r="LKI618" s="17">
        <v>44925</v>
      </c>
      <c r="LKJ618" s="5" t="s">
        <v>3728</v>
      </c>
      <c r="LKK618" s="17">
        <v>44925</v>
      </c>
      <c r="LKL618" s="5" t="s">
        <v>3728</v>
      </c>
      <c r="LKM618" s="17">
        <v>44925</v>
      </c>
      <c r="LKN618" s="5" t="s">
        <v>3728</v>
      </c>
      <c r="LKO618" s="17">
        <v>44925</v>
      </c>
      <c r="LKP618" s="5" t="s">
        <v>3728</v>
      </c>
      <c r="LKQ618" s="17">
        <v>44925</v>
      </c>
      <c r="LKR618" s="5" t="s">
        <v>3728</v>
      </c>
      <c r="LKS618" s="17">
        <v>44925</v>
      </c>
      <c r="LKT618" s="5" t="s">
        <v>3728</v>
      </c>
      <c r="LKU618" s="17">
        <v>44925</v>
      </c>
      <c r="LKV618" s="5" t="s">
        <v>3728</v>
      </c>
      <c r="LKW618" s="17">
        <v>44925</v>
      </c>
      <c r="LKX618" s="5" t="s">
        <v>3728</v>
      </c>
      <c r="LKY618" s="17">
        <v>44925</v>
      </c>
      <c r="LKZ618" s="5" t="s">
        <v>3728</v>
      </c>
      <c r="LLA618" s="17">
        <v>44925</v>
      </c>
      <c r="LLB618" s="5" t="s">
        <v>3728</v>
      </c>
      <c r="LLC618" s="17">
        <v>44925</v>
      </c>
      <c r="LLD618" s="5" t="s">
        <v>3728</v>
      </c>
      <c r="LLE618" s="17">
        <v>44925</v>
      </c>
      <c r="LLF618" s="5" t="s">
        <v>3728</v>
      </c>
      <c r="LLG618" s="17">
        <v>44925</v>
      </c>
      <c r="LLH618" s="5" t="s">
        <v>3728</v>
      </c>
      <c r="LLI618" s="17">
        <v>44925</v>
      </c>
      <c r="LLJ618" s="5" t="s">
        <v>3728</v>
      </c>
      <c r="LLK618" s="17">
        <v>44925</v>
      </c>
      <c r="LLL618" s="5" t="s">
        <v>3728</v>
      </c>
      <c r="LLM618" s="17">
        <v>44925</v>
      </c>
      <c r="LLN618" s="5" t="s">
        <v>3728</v>
      </c>
      <c r="LLO618" s="17">
        <v>44925</v>
      </c>
      <c r="LLP618" s="5" t="s">
        <v>3728</v>
      </c>
      <c r="LLQ618" s="17">
        <v>44925</v>
      </c>
      <c r="LLR618" s="5" t="s">
        <v>3728</v>
      </c>
      <c r="LLS618" s="17">
        <v>44925</v>
      </c>
      <c r="LLT618" s="5" t="s">
        <v>3728</v>
      </c>
      <c r="LLU618" s="17">
        <v>44925</v>
      </c>
      <c r="LLV618" s="5" t="s">
        <v>3728</v>
      </c>
      <c r="LLW618" s="17">
        <v>44925</v>
      </c>
      <c r="LLX618" s="5" t="s">
        <v>3728</v>
      </c>
      <c r="LLY618" s="17">
        <v>44925</v>
      </c>
      <c r="LLZ618" s="5" t="s">
        <v>3728</v>
      </c>
      <c r="LMA618" s="17">
        <v>44925</v>
      </c>
      <c r="LMB618" s="5" t="s">
        <v>3728</v>
      </c>
      <c r="LMC618" s="17">
        <v>44925</v>
      </c>
      <c r="LMD618" s="5" t="s">
        <v>3728</v>
      </c>
      <c r="LME618" s="17">
        <v>44925</v>
      </c>
      <c r="LMF618" s="5" t="s">
        <v>3728</v>
      </c>
      <c r="LMG618" s="17">
        <v>44925</v>
      </c>
      <c r="LMH618" s="5" t="s">
        <v>3728</v>
      </c>
      <c r="LMI618" s="17">
        <v>44925</v>
      </c>
      <c r="LMJ618" s="5" t="s">
        <v>3728</v>
      </c>
      <c r="LMK618" s="17">
        <v>44925</v>
      </c>
      <c r="LML618" s="5" t="s">
        <v>3728</v>
      </c>
      <c r="LMM618" s="17">
        <v>44925</v>
      </c>
      <c r="LMN618" s="5" t="s">
        <v>3728</v>
      </c>
      <c r="LMO618" s="17">
        <v>44925</v>
      </c>
      <c r="LMP618" s="5" t="s">
        <v>3728</v>
      </c>
      <c r="LMQ618" s="17">
        <v>44925</v>
      </c>
      <c r="LMR618" s="5" t="s">
        <v>3728</v>
      </c>
      <c r="LMS618" s="17">
        <v>44925</v>
      </c>
      <c r="LMT618" s="5" t="s">
        <v>3728</v>
      </c>
      <c r="LMU618" s="17">
        <v>44925</v>
      </c>
      <c r="LMV618" s="5" t="s">
        <v>3728</v>
      </c>
      <c r="LMW618" s="17">
        <v>44925</v>
      </c>
      <c r="LMX618" s="5" t="s">
        <v>3728</v>
      </c>
      <c r="LMY618" s="17">
        <v>44925</v>
      </c>
      <c r="LMZ618" s="5" t="s">
        <v>3728</v>
      </c>
      <c r="LNA618" s="17">
        <v>44925</v>
      </c>
      <c r="LNB618" s="5" t="s">
        <v>3728</v>
      </c>
      <c r="LNC618" s="17">
        <v>44925</v>
      </c>
      <c r="LND618" s="5" t="s">
        <v>3728</v>
      </c>
      <c r="LNE618" s="17">
        <v>44925</v>
      </c>
      <c r="LNF618" s="5" t="s">
        <v>3728</v>
      </c>
      <c r="LNG618" s="17">
        <v>44925</v>
      </c>
      <c r="LNH618" s="5" t="s">
        <v>3728</v>
      </c>
      <c r="LNI618" s="17">
        <v>44925</v>
      </c>
      <c r="LNJ618" s="5" t="s">
        <v>3728</v>
      </c>
      <c r="LNK618" s="17">
        <v>44925</v>
      </c>
      <c r="LNL618" s="5" t="s">
        <v>3728</v>
      </c>
      <c r="LNM618" s="17">
        <v>44925</v>
      </c>
      <c r="LNN618" s="5" t="s">
        <v>3728</v>
      </c>
      <c r="LNO618" s="17">
        <v>44925</v>
      </c>
      <c r="LNP618" s="5" t="s">
        <v>3728</v>
      </c>
      <c r="LNQ618" s="17">
        <v>44925</v>
      </c>
      <c r="LNR618" s="5" t="s">
        <v>3728</v>
      </c>
      <c r="LNS618" s="17">
        <v>44925</v>
      </c>
      <c r="LNT618" s="5" t="s">
        <v>3728</v>
      </c>
      <c r="LNU618" s="17">
        <v>44925</v>
      </c>
      <c r="LNV618" s="5" t="s">
        <v>3728</v>
      </c>
      <c r="LNW618" s="17">
        <v>44925</v>
      </c>
      <c r="LNX618" s="5" t="s">
        <v>3728</v>
      </c>
      <c r="LNY618" s="17">
        <v>44925</v>
      </c>
      <c r="LNZ618" s="5" t="s">
        <v>3728</v>
      </c>
      <c r="LOA618" s="17">
        <v>44925</v>
      </c>
      <c r="LOB618" s="5" t="s">
        <v>3728</v>
      </c>
      <c r="LOC618" s="17">
        <v>44925</v>
      </c>
      <c r="LOD618" s="5" t="s">
        <v>3728</v>
      </c>
      <c r="LOE618" s="17">
        <v>44925</v>
      </c>
      <c r="LOF618" s="5" t="s">
        <v>3728</v>
      </c>
      <c r="LOG618" s="17">
        <v>44925</v>
      </c>
      <c r="LOH618" s="5" t="s">
        <v>3728</v>
      </c>
      <c r="LOI618" s="17">
        <v>44925</v>
      </c>
      <c r="LOJ618" s="5" t="s">
        <v>3728</v>
      </c>
      <c r="LOK618" s="17">
        <v>44925</v>
      </c>
      <c r="LOL618" s="5" t="s">
        <v>3728</v>
      </c>
      <c r="LOM618" s="17">
        <v>44925</v>
      </c>
      <c r="LON618" s="5" t="s">
        <v>3728</v>
      </c>
      <c r="LOO618" s="17">
        <v>44925</v>
      </c>
      <c r="LOP618" s="5" t="s">
        <v>3728</v>
      </c>
      <c r="LOQ618" s="17">
        <v>44925</v>
      </c>
      <c r="LOR618" s="5" t="s">
        <v>3728</v>
      </c>
      <c r="LOS618" s="17">
        <v>44925</v>
      </c>
      <c r="LOT618" s="5" t="s">
        <v>3728</v>
      </c>
      <c r="LOU618" s="17">
        <v>44925</v>
      </c>
      <c r="LOV618" s="5" t="s">
        <v>3728</v>
      </c>
      <c r="LOW618" s="17">
        <v>44925</v>
      </c>
      <c r="LOX618" s="5" t="s">
        <v>3728</v>
      </c>
      <c r="LOY618" s="17">
        <v>44925</v>
      </c>
      <c r="LOZ618" s="5" t="s">
        <v>3728</v>
      </c>
      <c r="LPA618" s="17">
        <v>44925</v>
      </c>
      <c r="LPB618" s="5" t="s">
        <v>3728</v>
      </c>
      <c r="LPC618" s="17">
        <v>44925</v>
      </c>
      <c r="LPD618" s="5" t="s">
        <v>3728</v>
      </c>
      <c r="LPE618" s="17">
        <v>44925</v>
      </c>
      <c r="LPF618" s="5" t="s">
        <v>3728</v>
      </c>
      <c r="LPG618" s="17">
        <v>44925</v>
      </c>
      <c r="LPH618" s="5" t="s">
        <v>3728</v>
      </c>
      <c r="LPI618" s="17">
        <v>44925</v>
      </c>
      <c r="LPJ618" s="5" t="s">
        <v>3728</v>
      </c>
      <c r="LPK618" s="17">
        <v>44925</v>
      </c>
      <c r="LPL618" s="5" t="s">
        <v>3728</v>
      </c>
      <c r="LPM618" s="17">
        <v>44925</v>
      </c>
      <c r="LPN618" s="5" t="s">
        <v>3728</v>
      </c>
      <c r="LPO618" s="17">
        <v>44925</v>
      </c>
      <c r="LPP618" s="5" t="s">
        <v>3728</v>
      </c>
      <c r="LPQ618" s="17">
        <v>44925</v>
      </c>
      <c r="LPR618" s="5" t="s">
        <v>3728</v>
      </c>
      <c r="LPS618" s="17">
        <v>44925</v>
      </c>
      <c r="LPT618" s="5" t="s">
        <v>3728</v>
      </c>
      <c r="LPU618" s="17">
        <v>44925</v>
      </c>
      <c r="LPV618" s="5" t="s">
        <v>3728</v>
      </c>
      <c r="LPW618" s="17">
        <v>44925</v>
      </c>
      <c r="LPX618" s="5" t="s">
        <v>3728</v>
      </c>
      <c r="LPY618" s="17">
        <v>44925</v>
      </c>
      <c r="LPZ618" s="5" t="s">
        <v>3728</v>
      </c>
      <c r="LQA618" s="17">
        <v>44925</v>
      </c>
      <c r="LQB618" s="5" t="s">
        <v>3728</v>
      </c>
      <c r="LQC618" s="17">
        <v>44925</v>
      </c>
      <c r="LQD618" s="5" t="s">
        <v>3728</v>
      </c>
      <c r="LQE618" s="17">
        <v>44925</v>
      </c>
      <c r="LQF618" s="5" t="s">
        <v>3728</v>
      </c>
      <c r="LQG618" s="17">
        <v>44925</v>
      </c>
      <c r="LQH618" s="5" t="s">
        <v>3728</v>
      </c>
      <c r="LQI618" s="17">
        <v>44925</v>
      </c>
      <c r="LQJ618" s="5" t="s">
        <v>3728</v>
      </c>
      <c r="LQK618" s="17">
        <v>44925</v>
      </c>
      <c r="LQL618" s="5" t="s">
        <v>3728</v>
      </c>
      <c r="LQM618" s="17">
        <v>44925</v>
      </c>
      <c r="LQN618" s="5" t="s">
        <v>3728</v>
      </c>
      <c r="LQO618" s="17">
        <v>44925</v>
      </c>
      <c r="LQP618" s="5" t="s">
        <v>3728</v>
      </c>
      <c r="LQQ618" s="17">
        <v>44925</v>
      </c>
      <c r="LQR618" s="5" t="s">
        <v>3728</v>
      </c>
      <c r="LQS618" s="17">
        <v>44925</v>
      </c>
      <c r="LQT618" s="5" t="s">
        <v>3728</v>
      </c>
      <c r="LQU618" s="17">
        <v>44925</v>
      </c>
      <c r="LQV618" s="5" t="s">
        <v>3728</v>
      </c>
      <c r="LQW618" s="17">
        <v>44925</v>
      </c>
      <c r="LQX618" s="5" t="s">
        <v>3728</v>
      </c>
      <c r="LQY618" s="17">
        <v>44925</v>
      </c>
      <c r="LQZ618" s="5" t="s">
        <v>3728</v>
      </c>
      <c r="LRA618" s="17">
        <v>44925</v>
      </c>
      <c r="LRB618" s="5" t="s">
        <v>3728</v>
      </c>
      <c r="LRC618" s="17">
        <v>44925</v>
      </c>
      <c r="LRD618" s="5" t="s">
        <v>3728</v>
      </c>
      <c r="LRE618" s="17">
        <v>44925</v>
      </c>
      <c r="LRF618" s="5" t="s">
        <v>3728</v>
      </c>
      <c r="LRG618" s="17">
        <v>44925</v>
      </c>
      <c r="LRH618" s="5" t="s">
        <v>3728</v>
      </c>
      <c r="LRI618" s="17">
        <v>44925</v>
      </c>
      <c r="LRJ618" s="5" t="s">
        <v>3728</v>
      </c>
      <c r="LRK618" s="17">
        <v>44925</v>
      </c>
      <c r="LRL618" s="5" t="s">
        <v>3728</v>
      </c>
      <c r="LRM618" s="17">
        <v>44925</v>
      </c>
      <c r="LRN618" s="5" t="s">
        <v>3728</v>
      </c>
      <c r="LRO618" s="17">
        <v>44925</v>
      </c>
      <c r="LRP618" s="5" t="s">
        <v>3728</v>
      </c>
      <c r="LRQ618" s="17">
        <v>44925</v>
      </c>
      <c r="LRR618" s="5" t="s">
        <v>3728</v>
      </c>
      <c r="LRS618" s="17">
        <v>44925</v>
      </c>
      <c r="LRT618" s="5" t="s">
        <v>3728</v>
      </c>
      <c r="LRU618" s="17">
        <v>44925</v>
      </c>
      <c r="LRV618" s="5" t="s">
        <v>3728</v>
      </c>
      <c r="LRW618" s="17">
        <v>44925</v>
      </c>
      <c r="LRX618" s="5" t="s">
        <v>3728</v>
      </c>
      <c r="LRY618" s="17">
        <v>44925</v>
      </c>
      <c r="LRZ618" s="5" t="s">
        <v>3728</v>
      </c>
      <c r="LSA618" s="17">
        <v>44925</v>
      </c>
      <c r="LSB618" s="5" t="s">
        <v>3728</v>
      </c>
      <c r="LSC618" s="17">
        <v>44925</v>
      </c>
      <c r="LSD618" s="5" t="s">
        <v>3728</v>
      </c>
      <c r="LSE618" s="17">
        <v>44925</v>
      </c>
      <c r="LSF618" s="5" t="s">
        <v>3728</v>
      </c>
      <c r="LSG618" s="17">
        <v>44925</v>
      </c>
      <c r="LSH618" s="5" t="s">
        <v>3728</v>
      </c>
      <c r="LSI618" s="17">
        <v>44925</v>
      </c>
      <c r="LSJ618" s="5" t="s">
        <v>3728</v>
      </c>
      <c r="LSK618" s="17">
        <v>44925</v>
      </c>
      <c r="LSL618" s="5" t="s">
        <v>3728</v>
      </c>
      <c r="LSM618" s="17">
        <v>44925</v>
      </c>
      <c r="LSN618" s="5" t="s">
        <v>3728</v>
      </c>
      <c r="LSO618" s="17">
        <v>44925</v>
      </c>
      <c r="LSP618" s="5" t="s">
        <v>3728</v>
      </c>
      <c r="LSQ618" s="17">
        <v>44925</v>
      </c>
      <c r="LSR618" s="5" t="s">
        <v>3728</v>
      </c>
      <c r="LSS618" s="17">
        <v>44925</v>
      </c>
      <c r="LST618" s="5" t="s">
        <v>3728</v>
      </c>
      <c r="LSU618" s="17">
        <v>44925</v>
      </c>
      <c r="LSV618" s="5" t="s">
        <v>3728</v>
      </c>
      <c r="LSW618" s="17">
        <v>44925</v>
      </c>
      <c r="LSX618" s="5" t="s">
        <v>3728</v>
      </c>
      <c r="LSY618" s="17">
        <v>44925</v>
      </c>
      <c r="LSZ618" s="5" t="s">
        <v>3728</v>
      </c>
      <c r="LTA618" s="17">
        <v>44925</v>
      </c>
      <c r="LTB618" s="5" t="s">
        <v>3728</v>
      </c>
      <c r="LTC618" s="17">
        <v>44925</v>
      </c>
      <c r="LTD618" s="5" t="s">
        <v>3728</v>
      </c>
      <c r="LTE618" s="17">
        <v>44925</v>
      </c>
      <c r="LTF618" s="5" t="s">
        <v>3728</v>
      </c>
      <c r="LTG618" s="17">
        <v>44925</v>
      </c>
      <c r="LTH618" s="5" t="s">
        <v>3728</v>
      </c>
      <c r="LTI618" s="17">
        <v>44925</v>
      </c>
      <c r="LTJ618" s="5" t="s">
        <v>3728</v>
      </c>
      <c r="LTK618" s="17">
        <v>44925</v>
      </c>
      <c r="LTL618" s="5" t="s">
        <v>3728</v>
      </c>
      <c r="LTM618" s="17">
        <v>44925</v>
      </c>
      <c r="LTN618" s="5" t="s">
        <v>3728</v>
      </c>
      <c r="LTO618" s="17">
        <v>44925</v>
      </c>
      <c r="LTP618" s="5" t="s">
        <v>3728</v>
      </c>
      <c r="LTQ618" s="17">
        <v>44925</v>
      </c>
      <c r="LTR618" s="5" t="s">
        <v>3728</v>
      </c>
      <c r="LTS618" s="17">
        <v>44925</v>
      </c>
      <c r="LTT618" s="5" t="s">
        <v>3728</v>
      </c>
      <c r="LTU618" s="17">
        <v>44925</v>
      </c>
      <c r="LTV618" s="5" t="s">
        <v>3728</v>
      </c>
      <c r="LTW618" s="17">
        <v>44925</v>
      </c>
      <c r="LTX618" s="5" t="s">
        <v>3728</v>
      </c>
      <c r="LTY618" s="17">
        <v>44925</v>
      </c>
      <c r="LTZ618" s="5" t="s">
        <v>3728</v>
      </c>
      <c r="LUA618" s="17">
        <v>44925</v>
      </c>
      <c r="LUB618" s="5" t="s">
        <v>3728</v>
      </c>
      <c r="LUC618" s="17">
        <v>44925</v>
      </c>
      <c r="LUD618" s="5" t="s">
        <v>3728</v>
      </c>
      <c r="LUE618" s="17">
        <v>44925</v>
      </c>
      <c r="LUF618" s="5" t="s">
        <v>3728</v>
      </c>
      <c r="LUG618" s="17">
        <v>44925</v>
      </c>
      <c r="LUH618" s="5" t="s">
        <v>3728</v>
      </c>
      <c r="LUI618" s="17">
        <v>44925</v>
      </c>
      <c r="LUJ618" s="5" t="s">
        <v>3728</v>
      </c>
      <c r="LUK618" s="17">
        <v>44925</v>
      </c>
      <c r="LUL618" s="5" t="s">
        <v>3728</v>
      </c>
      <c r="LUM618" s="17">
        <v>44925</v>
      </c>
      <c r="LUN618" s="5" t="s">
        <v>3728</v>
      </c>
      <c r="LUO618" s="17">
        <v>44925</v>
      </c>
      <c r="LUP618" s="5" t="s">
        <v>3728</v>
      </c>
      <c r="LUQ618" s="17">
        <v>44925</v>
      </c>
      <c r="LUR618" s="5" t="s">
        <v>3728</v>
      </c>
      <c r="LUS618" s="17">
        <v>44925</v>
      </c>
      <c r="LUT618" s="5" t="s">
        <v>3728</v>
      </c>
      <c r="LUU618" s="17">
        <v>44925</v>
      </c>
      <c r="LUV618" s="5" t="s">
        <v>3728</v>
      </c>
      <c r="LUW618" s="17">
        <v>44925</v>
      </c>
      <c r="LUX618" s="5" t="s">
        <v>3728</v>
      </c>
      <c r="LUY618" s="17">
        <v>44925</v>
      </c>
      <c r="LUZ618" s="5" t="s">
        <v>3728</v>
      </c>
      <c r="LVA618" s="17">
        <v>44925</v>
      </c>
      <c r="LVB618" s="5" t="s">
        <v>3728</v>
      </c>
      <c r="LVC618" s="17">
        <v>44925</v>
      </c>
      <c r="LVD618" s="5" t="s">
        <v>3728</v>
      </c>
      <c r="LVE618" s="17">
        <v>44925</v>
      </c>
      <c r="LVF618" s="5" t="s">
        <v>3728</v>
      </c>
      <c r="LVG618" s="17">
        <v>44925</v>
      </c>
      <c r="LVH618" s="5" t="s">
        <v>3728</v>
      </c>
      <c r="LVI618" s="17">
        <v>44925</v>
      </c>
      <c r="LVJ618" s="5" t="s">
        <v>3728</v>
      </c>
      <c r="LVK618" s="17">
        <v>44925</v>
      </c>
      <c r="LVL618" s="5" t="s">
        <v>3728</v>
      </c>
      <c r="LVM618" s="17">
        <v>44925</v>
      </c>
      <c r="LVN618" s="5" t="s">
        <v>3728</v>
      </c>
      <c r="LVO618" s="17">
        <v>44925</v>
      </c>
      <c r="LVP618" s="5" t="s">
        <v>3728</v>
      </c>
      <c r="LVQ618" s="17">
        <v>44925</v>
      </c>
      <c r="LVR618" s="5" t="s">
        <v>3728</v>
      </c>
      <c r="LVS618" s="17">
        <v>44925</v>
      </c>
      <c r="LVT618" s="5" t="s">
        <v>3728</v>
      </c>
      <c r="LVU618" s="17">
        <v>44925</v>
      </c>
      <c r="LVV618" s="5" t="s">
        <v>3728</v>
      </c>
      <c r="LVW618" s="17">
        <v>44925</v>
      </c>
      <c r="LVX618" s="5" t="s">
        <v>3728</v>
      </c>
      <c r="LVY618" s="17">
        <v>44925</v>
      </c>
      <c r="LVZ618" s="5" t="s">
        <v>3728</v>
      </c>
      <c r="LWA618" s="17">
        <v>44925</v>
      </c>
      <c r="LWB618" s="5" t="s">
        <v>3728</v>
      </c>
      <c r="LWC618" s="17">
        <v>44925</v>
      </c>
      <c r="LWD618" s="5" t="s">
        <v>3728</v>
      </c>
      <c r="LWE618" s="17">
        <v>44925</v>
      </c>
      <c r="LWF618" s="5" t="s">
        <v>3728</v>
      </c>
      <c r="LWG618" s="17">
        <v>44925</v>
      </c>
      <c r="LWH618" s="5" t="s">
        <v>3728</v>
      </c>
      <c r="LWI618" s="17">
        <v>44925</v>
      </c>
      <c r="LWJ618" s="5" t="s">
        <v>3728</v>
      </c>
      <c r="LWK618" s="17">
        <v>44925</v>
      </c>
      <c r="LWL618" s="5" t="s">
        <v>3728</v>
      </c>
      <c r="LWM618" s="17">
        <v>44925</v>
      </c>
      <c r="LWN618" s="5" t="s">
        <v>3728</v>
      </c>
      <c r="LWO618" s="17">
        <v>44925</v>
      </c>
      <c r="LWP618" s="5" t="s">
        <v>3728</v>
      </c>
      <c r="LWQ618" s="17">
        <v>44925</v>
      </c>
      <c r="LWR618" s="5" t="s">
        <v>3728</v>
      </c>
      <c r="LWS618" s="17">
        <v>44925</v>
      </c>
      <c r="LWT618" s="5" t="s">
        <v>3728</v>
      </c>
      <c r="LWU618" s="17">
        <v>44925</v>
      </c>
      <c r="LWV618" s="5" t="s">
        <v>3728</v>
      </c>
      <c r="LWW618" s="17">
        <v>44925</v>
      </c>
      <c r="LWX618" s="5" t="s">
        <v>3728</v>
      </c>
      <c r="LWY618" s="17">
        <v>44925</v>
      </c>
      <c r="LWZ618" s="5" t="s">
        <v>3728</v>
      </c>
      <c r="LXA618" s="17">
        <v>44925</v>
      </c>
      <c r="LXB618" s="5" t="s">
        <v>3728</v>
      </c>
      <c r="LXC618" s="17">
        <v>44925</v>
      </c>
      <c r="LXD618" s="5" t="s">
        <v>3728</v>
      </c>
      <c r="LXE618" s="17">
        <v>44925</v>
      </c>
      <c r="LXF618" s="5" t="s">
        <v>3728</v>
      </c>
      <c r="LXG618" s="17">
        <v>44925</v>
      </c>
      <c r="LXH618" s="5" t="s">
        <v>3728</v>
      </c>
      <c r="LXI618" s="17">
        <v>44925</v>
      </c>
      <c r="LXJ618" s="5" t="s">
        <v>3728</v>
      </c>
      <c r="LXK618" s="17">
        <v>44925</v>
      </c>
      <c r="LXL618" s="5" t="s">
        <v>3728</v>
      </c>
      <c r="LXM618" s="17">
        <v>44925</v>
      </c>
      <c r="LXN618" s="5" t="s">
        <v>3728</v>
      </c>
      <c r="LXO618" s="17">
        <v>44925</v>
      </c>
      <c r="LXP618" s="5" t="s">
        <v>3728</v>
      </c>
      <c r="LXQ618" s="17">
        <v>44925</v>
      </c>
      <c r="LXR618" s="5" t="s">
        <v>3728</v>
      </c>
      <c r="LXS618" s="17">
        <v>44925</v>
      </c>
      <c r="LXT618" s="5" t="s">
        <v>3728</v>
      </c>
      <c r="LXU618" s="17">
        <v>44925</v>
      </c>
      <c r="LXV618" s="5" t="s">
        <v>3728</v>
      </c>
      <c r="LXW618" s="17">
        <v>44925</v>
      </c>
      <c r="LXX618" s="5" t="s">
        <v>3728</v>
      </c>
      <c r="LXY618" s="17">
        <v>44925</v>
      </c>
      <c r="LXZ618" s="5" t="s">
        <v>3728</v>
      </c>
      <c r="LYA618" s="17">
        <v>44925</v>
      </c>
      <c r="LYB618" s="5" t="s">
        <v>3728</v>
      </c>
      <c r="LYC618" s="17">
        <v>44925</v>
      </c>
      <c r="LYD618" s="5" t="s">
        <v>3728</v>
      </c>
      <c r="LYE618" s="17">
        <v>44925</v>
      </c>
      <c r="LYF618" s="5" t="s">
        <v>3728</v>
      </c>
      <c r="LYG618" s="17">
        <v>44925</v>
      </c>
      <c r="LYH618" s="5" t="s">
        <v>3728</v>
      </c>
      <c r="LYI618" s="17">
        <v>44925</v>
      </c>
      <c r="LYJ618" s="5" t="s">
        <v>3728</v>
      </c>
      <c r="LYK618" s="17">
        <v>44925</v>
      </c>
      <c r="LYL618" s="5" t="s">
        <v>3728</v>
      </c>
      <c r="LYM618" s="17">
        <v>44925</v>
      </c>
      <c r="LYN618" s="5" t="s">
        <v>3728</v>
      </c>
      <c r="LYO618" s="17">
        <v>44925</v>
      </c>
      <c r="LYP618" s="5" t="s">
        <v>3728</v>
      </c>
      <c r="LYQ618" s="17">
        <v>44925</v>
      </c>
      <c r="LYR618" s="5" t="s">
        <v>3728</v>
      </c>
      <c r="LYS618" s="17">
        <v>44925</v>
      </c>
      <c r="LYT618" s="5" t="s">
        <v>3728</v>
      </c>
      <c r="LYU618" s="17">
        <v>44925</v>
      </c>
      <c r="LYV618" s="5" t="s">
        <v>3728</v>
      </c>
      <c r="LYW618" s="17">
        <v>44925</v>
      </c>
      <c r="LYX618" s="5" t="s">
        <v>3728</v>
      </c>
      <c r="LYY618" s="17">
        <v>44925</v>
      </c>
      <c r="LYZ618" s="5" t="s">
        <v>3728</v>
      </c>
      <c r="LZA618" s="17">
        <v>44925</v>
      </c>
      <c r="LZB618" s="5" t="s">
        <v>3728</v>
      </c>
      <c r="LZC618" s="17">
        <v>44925</v>
      </c>
      <c r="LZD618" s="5" t="s">
        <v>3728</v>
      </c>
      <c r="LZE618" s="17">
        <v>44925</v>
      </c>
      <c r="LZF618" s="5" t="s">
        <v>3728</v>
      </c>
      <c r="LZG618" s="17">
        <v>44925</v>
      </c>
      <c r="LZH618" s="5" t="s">
        <v>3728</v>
      </c>
      <c r="LZI618" s="17">
        <v>44925</v>
      </c>
      <c r="LZJ618" s="5" t="s">
        <v>3728</v>
      </c>
      <c r="LZK618" s="17">
        <v>44925</v>
      </c>
      <c r="LZL618" s="5" t="s">
        <v>3728</v>
      </c>
      <c r="LZM618" s="17">
        <v>44925</v>
      </c>
      <c r="LZN618" s="5" t="s">
        <v>3728</v>
      </c>
      <c r="LZO618" s="17">
        <v>44925</v>
      </c>
      <c r="LZP618" s="5" t="s">
        <v>3728</v>
      </c>
      <c r="LZQ618" s="17">
        <v>44925</v>
      </c>
      <c r="LZR618" s="5" t="s">
        <v>3728</v>
      </c>
      <c r="LZS618" s="17">
        <v>44925</v>
      </c>
      <c r="LZT618" s="5" t="s">
        <v>3728</v>
      </c>
      <c r="LZU618" s="17">
        <v>44925</v>
      </c>
      <c r="LZV618" s="5" t="s">
        <v>3728</v>
      </c>
      <c r="LZW618" s="17">
        <v>44925</v>
      </c>
      <c r="LZX618" s="5" t="s">
        <v>3728</v>
      </c>
      <c r="LZY618" s="17">
        <v>44925</v>
      </c>
      <c r="LZZ618" s="5" t="s">
        <v>3728</v>
      </c>
      <c r="MAA618" s="17">
        <v>44925</v>
      </c>
      <c r="MAB618" s="5" t="s">
        <v>3728</v>
      </c>
      <c r="MAC618" s="17">
        <v>44925</v>
      </c>
      <c r="MAD618" s="5" t="s">
        <v>3728</v>
      </c>
      <c r="MAE618" s="17">
        <v>44925</v>
      </c>
      <c r="MAF618" s="5" t="s">
        <v>3728</v>
      </c>
      <c r="MAG618" s="17">
        <v>44925</v>
      </c>
      <c r="MAH618" s="5" t="s">
        <v>3728</v>
      </c>
      <c r="MAI618" s="17">
        <v>44925</v>
      </c>
      <c r="MAJ618" s="5" t="s">
        <v>3728</v>
      </c>
      <c r="MAK618" s="17">
        <v>44925</v>
      </c>
      <c r="MAL618" s="5" t="s">
        <v>3728</v>
      </c>
      <c r="MAM618" s="17">
        <v>44925</v>
      </c>
      <c r="MAN618" s="5" t="s">
        <v>3728</v>
      </c>
      <c r="MAO618" s="17">
        <v>44925</v>
      </c>
      <c r="MAP618" s="5" t="s">
        <v>3728</v>
      </c>
      <c r="MAQ618" s="17">
        <v>44925</v>
      </c>
      <c r="MAR618" s="5" t="s">
        <v>3728</v>
      </c>
      <c r="MAS618" s="17">
        <v>44925</v>
      </c>
      <c r="MAT618" s="5" t="s">
        <v>3728</v>
      </c>
      <c r="MAU618" s="17">
        <v>44925</v>
      </c>
      <c r="MAV618" s="5" t="s">
        <v>3728</v>
      </c>
      <c r="MAW618" s="17">
        <v>44925</v>
      </c>
      <c r="MAX618" s="5" t="s">
        <v>3728</v>
      </c>
      <c r="MAY618" s="17">
        <v>44925</v>
      </c>
      <c r="MAZ618" s="5" t="s">
        <v>3728</v>
      </c>
      <c r="MBA618" s="17">
        <v>44925</v>
      </c>
      <c r="MBB618" s="5" t="s">
        <v>3728</v>
      </c>
      <c r="MBC618" s="17">
        <v>44925</v>
      </c>
      <c r="MBD618" s="5" t="s">
        <v>3728</v>
      </c>
      <c r="MBE618" s="17">
        <v>44925</v>
      </c>
      <c r="MBF618" s="5" t="s">
        <v>3728</v>
      </c>
      <c r="MBG618" s="17">
        <v>44925</v>
      </c>
      <c r="MBH618" s="5" t="s">
        <v>3728</v>
      </c>
      <c r="MBI618" s="17">
        <v>44925</v>
      </c>
      <c r="MBJ618" s="5" t="s">
        <v>3728</v>
      </c>
      <c r="MBK618" s="17">
        <v>44925</v>
      </c>
      <c r="MBL618" s="5" t="s">
        <v>3728</v>
      </c>
      <c r="MBM618" s="17">
        <v>44925</v>
      </c>
      <c r="MBN618" s="5" t="s">
        <v>3728</v>
      </c>
      <c r="MBO618" s="17">
        <v>44925</v>
      </c>
      <c r="MBP618" s="5" t="s">
        <v>3728</v>
      </c>
      <c r="MBQ618" s="17">
        <v>44925</v>
      </c>
      <c r="MBR618" s="5" t="s">
        <v>3728</v>
      </c>
      <c r="MBS618" s="17">
        <v>44925</v>
      </c>
      <c r="MBT618" s="5" t="s">
        <v>3728</v>
      </c>
      <c r="MBU618" s="17">
        <v>44925</v>
      </c>
      <c r="MBV618" s="5" t="s">
        <v>3728</v>
      </c>
      <c r="MBW618" s="17">
        <v>44925</v>
      </c>
      <c r="MBX618" s="5" t="s">
        <v>3728</v>
      </c>
      <c r="MBY618" s="17">
        <v>44925</v>
      </c>
      <c r="MBZ618" s="5" t="s">
        <v>3728</v>
      </c>
      <c r="MCA618" s="17">
        <v>44925</v>
      </c>
      <c r="MCB618" s="5" t="s">
        <v>3728</v>
      </c>
      <c r="MCC618" s="17">
        <v>44925</v>
      </c>
      <c r="MCD618" s="5" t="s">
        <v>3728</v>
      </c>
      <c r="MCE618" s="17">
        <v>44925</v>
      </c>
      <c r="MCF618" s="5" t="s">
        <v>3728</v>
      </c>
      <c r="MCG618" s="17">
        <v>44925</v>
      </c>
      <c r="MCH618" s="5" t="s">
        <v>3728</v>
      </c>
      <c r="MCI618" s="17">
        <v>44925</v>
      </c>
      <c r="MCJ618" s="5" t="s">
        <v>3728</v>
      </c>
      <c r="MCK618" s="17">
        <v>44925</v>
      </c>
      <c r="MCL618" s="5" t="s">
        <v>3728</v>
      </c>
      <c r="MCM618" s="17">
        <v>44925</v>
      </c>
      <c r="MCN618" s="5" t="s">
        <v>3728</v>
      </c>
      <c r="MCO618" s="17">
        <v>44925</v>
      </c>
      <c r="MCP618" s="5" t="s">
        <v>3728</v>
      </c>
      <c r="MCQ618" s="17">
        <v>44925</v>
      </c>
      <c r="MCR618" s="5" t="s">
        <v>3728</v>
      </c>
      <c r="MCS618" s="17">
        <v>44925</v>
      </c>
      <c r="MCT618" s="5" t="s">
        <v>3728</v>
      </c>
      <c r="MCU618" s="17">
        <v>44925</v>
      </c>
      <c r="MCV618" s="5" t="s">
        <v>3728</v>
      </c>
      <c r="MCW618" s="17">
        <v>44925</v>
      </c>
      <c r="MCX618" s="5" t="s">
        <v>3728</v>
      </c>
      <c r="MCY618" s="17">
        <v>44925</v>
      </c>
      <c r="MCZ618" s="5" t="s">
        <v>3728</v>
      </c>
      <c r="MDA618" s="17">
        <v>44925</v>
      </c>
      <c r="MDB618" s="5" t="s">
        <v>3728</v>
      </c>
      <c r="MDC618" s="17">
        <v>44925</v>
      </c>
      <c r="MDD618" s="5" t="s">
        <v>3728</v>
      </c>
      <c r="MDE618" s="17">
        <v>44925</v>
      </c>
      <c r="MDF618" s="5" t="s">
        <v>3728</v>
      </c>
      <c r="MDG618" s="17">
        <v>44925</v>
      </c>
      <c r="MDH618" s="5" t="s">
        <v>3728</v>
      </c>
      <c r="MDI618" s="17">
        <v>44925</v>
      </c>
      <c r="MDJ618" s="5" t="s">
        <v>3728</v>
      </c>
      <c r="MDK618" s="17">
        <v>44925</v>
      </c>
      <c r="MDL618" s="5" t="s">
        <v>3728</v>
      </c>
      <c r="MDM618" s="17">
        <v>44925</v>
      </c>
      <c r="MDN618" s="5" t="s">
        <v>3728</v>
      </c>
      <c r="MDO618" s="17">
        <v>44925</v>
      </c>
      <c r="MDP618" s="5" t="s">
        <v>3728</v>
      </c>
      <c r="MDQ618" s="17">
        <v>44925</v>
      </c>
      <c r="MDR618" s="5" t="s">
        <v>3728</v>
      </c>
      <c r="MDS618" s="17">
        <v>44925</v>
      </c>
      <c r="MDT618" s="5" t="s">
        <v>3728</v>
      </c>
      <c r="MDU618" s="17">
        <v>44925</v>
      </c>
      <c r="MDV618" s="5" t="s">
        <v>3728</v>
      </c>
      <c r="MDW618" s="17">
        <v>44925</v>
      </c>
      <c r="MDX618" s="5" t="s">
        <v>3728</v>
      </c>
      <c r="MDY618" s="17">
        <v>44925</v>
      </c>
      <c r="MDZ618" s="5" t="s">
        <v>3728</v>
      </c>
      <c r="MEA618" s="17">
        <v>44925</v>
      </c>
      <c r="MEB618" s="5" t="s">
        <v>3728</v>
      </c>
      <c r="MEC618" s="17">
        <v>44925</v>
      </c>
      <c r="MED618" s="5" t="s">
        <v>3728</v>
      </c>
      <c r="MEE618" s="17">
        <v>44925</v>
      </c>
      <c r="MEF618" s="5" t="s">
        <v>3728</v>
      </c>
      <c r="MEG618" s="17">
        <v>44925</v>
      </c>
      <c r="MEH618" s="5" t="s">
        <v>3728</v>
      </c>
      <c r="MEI618" s="17">
        <v>44925</v>
      </c>
      <c r="MEJ618" s="5" t="s">
        <v>3728</v>
      </c>
      <c r="MEK618" s="17">
        <v>44925</v>
      </c>
      <c r="MEL618" s="5" t="s">
        <v>3728</v>
      </c>
      <c r="MEM618" s="17">
        <v>44925</v>
      </c>
      <c r="MEN618" s="5" t="s">
        <v>3728</v>
      </c>
      <c r="MEO618" s="17">
        <v>44925</v>
      </c>
      <c r="MEP618" s="5" t="s">
        <v>3728</v>
      </c>
      <c r="MEQ618" s="17">
        <v>44925</v>
      </c>
      <c r="MER618" s="5" t="s">
        <v>3728</v>
      </c>
      <c r="MES618" s="17">
        <v>44925</v>
      </c>
      <c r="MET618" s="5" t="s">
        <v>3728</v>
      </c>
      <c r="MEU618" s="17">
        <v>44925</v>
      </c>
      <c r="MEV618" s="5" t="s">
        <v>3728</v>
      </c>
      <c r="MEW618" s="17">
        <v>44925</v>
      </c>
      <c r="MEX618" s="5" t="s">
        <v>3728</v>
      </c>
      <c r="MEY618" s="17">
        <v>44925</v>
      </c>
      <c r="MEZ618" s="5" t="s">
        <v>3728</v>
      </c>
      <c r="MFA618" s="17">
        <v>44925</v>
      </c>
      <c r="MFB618" s="5" t="s">
        <v>3728</v>
      </c>
      <c r="MFC618" s="17">
        <v>44925</v>
      </c>
      <c r="MFD618" s="5" t="s">
        <v>3728</v>
      </c>
      <c r="MFE618" s="17">
        <v>44925</v>
      </c>
      <c r="MFF618" s="5" t="s">
        <v>3728</v>
      </c>
      <c r="MFG618" s="17">
        <v>44925</v>
      </c>
      <c r="MFH618" s="5" t="s">
        <v>3728</v>
      </c>
      <c r="MFI618" s="17">
        <v>44925</v>
      </c>
      <c r="MFJ618" s="5" t="s">
        <v>3728</v>
      </c>
      <c r="MFK618" s="17">
        <v>44925</v>
      </c>
      <c r="MFL618" s="5" t="s">
        <v>3728</v>
      </c>
      <c r="MFM618" s="17">
        <v>44925</v>
      </c>
      <c r="MFN618" s="5" t="s">
        <v>3728</v>
      </c>
      <c r="MFO618" s="17">
        <v>44925</v>
      </c>
      <c r="MFP618" s="5" t="s">
        <v>3728</v>
      </c>
      <c r="MFQ618" s="17">
        <v>44925</v>
      </c>
      <c r="MFR618" s="5" t="s">
        <v>3728</v>
      </c>
      <c r="MFS618" s="17">
        <v>44925</v>
      </c>
      <c r="MFT618" s="5" t="s">
        <v>3728</v>
      </c>
      <c r="MFU618" s="17">
        <v>44925</v>
      </c>
      <c r="MFV618" s="5" t="s">
        <v>3728</v>
      </c>
      <c r="MFW618" s="17">
        <v>44925</v>
      </c>
      <c r="MFX618" s="5" t="s">
        <v>3728</v>
      </c>
      <c r="MFY618" s="17">
        <v>44925</v>
      </c>
      <c r="MFZ618" s="5" t="s">
        <v>3728</v>
      </c>
      <c r="MGA618" s="17">
        <v>44925</v>
      </c>
      <c r="MGB618" s="5" t="s">
        <v>3728</v>
      </c>
      <c r="MGC618" s="17">
        <v>44925</v>
      </c>
      <c r="MGD618" s="5" t="s">
        <v>3728</v>
      </c>
      <c r="MGE618" s="17">
        <v>44925</v>
      </c>
      <c r="MGF618" s="5" t="s">
        <v>3728</v>
      </c>
      <c r="MGG618" s="17">
        <v>44925</v>
      </c>
      <c r="MGH618" s="5" t="s">
        <v>3728</v>
      </c>
      <c r="MGI618" s="17">
        <v>44925</v>
      </c>
      <c r="MGJ618" s="5" t="s">
        <v>3728</v>
      </c>
      <c r="MGK618" s="17">
        <v>44925</v>
      </c>
      <c r="MGL618" s="5" t="s">
        <v>3728</v>
      </c>
      <c r="MGM618" s="17">
        <v>44925</v>
      </c>
      <c r="MGN618" s="5" t="s">
        <v>3728</v>
      </c>
      <c r="MGO618" s="17">
        <v>44925</v>
      </c>
      <c r="MGP618" s="5" t="s">
        <v>3728</v>
      </c>
      <c r="MGQ618" s="17">
        <v>44925</v>
      </c>
      <c r="MGR618" s="5" t="s">
        <v>3728</v>
      </c>
      <c r="MGS618" s="17">
        <v>44925</v>
      </c>
      <c r="MGT618" s="5" t="s">
        <v>3728</v>
      </c>
      <c r="MGU618" s="17">
        <v>44925</v>
      </c>
      <c r="MGV618" s="5" t="s">
        <v>3728</v>
      </c>
      <c r="MGW618" s="17">
        <v>44925</v>
      </c>
      <c r="MGX618" s="5" t="s">
        <v>3728</v>
      </c>
      <c r="MGY618" s="17">
        <v>44925</v>
      </c>
      <c r="MGZ618" s="5" t="s">
        <v>3728</v>
      </c>
      <c r="MHA618" s="17">
        <v>44925</v>
      </c>
      <c r="MHB618" s="5" t="s">
        <v>3728</v>
      </c>
      <c r="MHC618" s="17">
        <v>44925</v>
      </c>
      <c r="MHD618" s="5" t="s">
        <v>3728</v>
      </c>
      <c r="MHE618" s="17">
        <v>44925</v>
      </c>
      <c r="MHF618" s="5" t="s">
        <v>3728</v>
      </c>
      <c r="MHG618" s="17">
        <v>44925</v>
      </c>
      <c r="MHH618" s="5" t="s">
        <v>3728</v>
      </c>
      <c r="MHI618" s="17">
        <v>44925</v>
      </c>
      <c r="MHJ618" s="5" t="s">
        <v>3728</v>
      </c>
      <c r="MHK618" s="17">
        <v>44925</v>
      </c>
      <c r="MHL618" s="5" t="s">
        <v>3728</v>
      </c>
      <c r="MHM618" s="17">
        <v>44925</v>
      </c>
      <c r="MHN618" s="5" t="s">
        <v>3728</v>
      </c>
      <c r="MHO618" s="17">
        <v>44925</v>
      </c>
      <c r="MHP618" s="5" t="s">
        <v>3728</v>
      </c>
      <c r="MHQ618" s="17">
        <v>44925</v>
      </c>
      <c r="MHR618" s="5" t="s">
        <v>3728</v>
      </c>
      <c r="MHS618" s="17">
        <v>44925</v>
      </c>
      <c r="MHT618" s="5" t="s">
        <v>3728</v>
      </c>
      <c r="MHU618" s="17">
        <v>44925</v>
      </c>
      <c r="MHV618" s="5" t="s">
        <v>3728</v>
      </c>
      <c r="MHW618" s="17">
        <v>44925</v>
      </c>
      <c r="MHX618" s="5" t="s">
        <v>3728</v>
      </c>
      <c r="MHY618" s="17">
        <v>44925</v>
      </c>
      <c r="MHZ618" s="5" t="s">
        <v>3728</v>
      </c>
      <c r="MIA618" s="17">
        <v>44925</v>
      </c>
      <c r="MIB618" s="5" t="s">
        <v>3728</v>
      </c>
      <c r="MIC618" s="17">
        <v>44925</v>
      </c>
      <c r="MID618" s="5" t="s">
        <v>3728</v>
      </c>
      <c r="MIE618" s="17">
        <v>44925</v>
      </c>
      <c r="MIF618" s="5" t="s">
        <v>3728</v>
      </c>
      <c r="MIG618" s="17">
        <v>44925</v>
      </c>
      <c r="MIH618" s="5" t="s">
        <v>3728</v>
      </c>
      <c r="MII618" s="17">
        <v>44925</v>
      </c>
      <c r="MIJ618" s="5" t="s">
        <v>3728</v>
      </c>
      <c r="MIK618" s="17">
        <v>44925</v>
      </c>
      <c r="MIL618" s="5" t="s">
        <v>3728</v>
      </c>
      <c r="MIM618" s="17">
        <v>44925</v>
      </c>
      <c r="MIN618" s="5" t="s">
        <v>3728</v>
      </c>
      <c r="MIO618" s="17">
        <v>44925</v>
      </c>
      <c r="MIP618" s="5" t="s">
        <v>3728</v>
      </c>
      <c r="MIQ618" s="17">
        <v>44925</v>
      </c>
      <c r="MIR618" s="5" t="s">
        <v>3728</v>
      </c>
      <c r="MIS618" s="17">
        <v>44925</v>
      </c>
      <c r="MIT618" s="5" t="s">
        <v>3728</v>
      </c>
      <c r="MIU618" s="17">
        <v>44925</v>
      </c>
      <c r="MIV618" s="5" t="s">
        <v>3728</v>
      </c>
      <c r="MIW618" s="17">
        <v>44925</v>
      </c>
      <c r="MIX618" s="5" t="s">
        <v>3728</v>
      </c>
      <c r="MIY618" s="17">
        <v>44925</v>
      </c>
      <c r="MIZ618" s="5" t="s">
        <v>3728</v>
      </c>
      <c r="MJA618" s="17">
        <v>44925</v>
      </c>
      <c r="MJB618" s="5" t="s">
        <v>3728</v>
      </c>
      <c r="MJC618" s="17">
        <v>44925</v>
      </c>
      <c r="MJD618" s="5" t="s">
        <v>3728</v>
      </c>
      <c r="MJE618" s="17">
        <v>44925</v>
      </c>
      <c r="MJF618" s="5" t="s">
        <v>3728</v>
      </c>
      <c r="MJG618" s="17">
        <v>44925</v>
      </c>
      <c r="MJH618" s="5" t="s">
        <v>3728</v>
      </c>
      <c r="MJI618" s="17">
        <v>44925</v>
      </c>
      <c r="MJJ618" s="5" t="s">
        <v>3728</v>
      </c>
      <c r="MJK618" s="17">
        <v>44925</v>
      </c>
      <c r="MJL618" s="5" t="s">
        <v>3728</v>
      </c>
      <c r="MJM618" s="17">
        <v>44925</v>
      </c>
      <c r="MJN618" s="5" t="s">
        <v>3728</v>
      </c>
      <c r="MJO618" s="17">
        <v>44925</v>
      </c>
      <c r="MJP618" s="5" t="s">
        <v>3728</v>
      </c>
      <c r="MJQ618" s="17">
        <v>44925</v>
      </c>
      <c r="MJR618" s="5" t="s">
        <v>3728</v>
      </c>
      <c r="MJS618" s="17">
        <v>44925</v>
      </c>
      <c r="MJT618" s="5" t="s">
        <v>3728</v>
      </c>
      <c r="MJU618" s="17">
        <v>44925</v>
      </c>
      <c r="MJV618" s="5" t="s">
        <v>3728</v>
      </c>
      <c r="MJW618" s="17">
        <v>44925</v>
      </c>
      <c r="MJX618" s="5" t="s">
        <v>3728</v>
      </c>
      <c r="MJY618" s="17">
        <v>44925</v>
      </c>
      <c r="MJZ618" s="5" t="s">
        <v>3728</v>
      </c>
      <c r="MKA618" s="17">
        <v>44925</v>
      </c>
      <c r="MKB618" s="5" t="s">
        <v>3728</v>
      </c>
      <c r="MKC618" s="17">
        <v>44925</v>
      </c>
      <c r="MKD618" s="5" t="s">
        <v>3728</v>
      </c>
      <c r="MKE618" s="17">
        <v>44925</v>
      </c>
      <c r="MKF618" s="5" t="s">
        <v>3728</v>
      </c>
      <c r="MKG618" s="17">
        <v>44925</v>
      </c>
      <c r="MKH618" s="5" t="s">
        <v>3728</v>
      </c>
      <c r="MKI618" s="17">
        <v>44925</v>
      </c>
      <c r="MKJ618" s="5" t="s">
        <v>3728</v>
      </c>
      <c r="MKK618" s="17">
        <v>44925</v>
      </c>
      <c r="MKL618" s="5" t="s">
        <v>3728</v>
      </c>
      <c r="MKM618" s="17">
        <v>44925</v>
      </c>
      <c r="MKN618" s="5" t="s">
        <v>3728</v>
      </c>
      <c r="MKO618" s="17">
        <v>44925</v>
      </c>
      <c r="MKP618" s="5" t="s">
        <v>3728</v>
      </c>
      <c r="MKQ618" s="17">
        <v>44925</v>
      </c>
      <c r="MKR618" s="5" t="s">
        <v>3728</v>
      </c>
      <c r="MKS618" s="17">
        <v>44925</v>
      </c>
      <c r="MKT618" s="5" t="s">
        <v>3728</v>
      </c>
      <c r="MKU618" s="17">
        <v>44925</v>
      </c>
      <c r="MKV618" s="5" t="s">
        <v>3728</v>
      </c>
      <c r="MKW618" s="17">
        <v>44925</v>
      </c>
      <c r="MKX618" s="5" t="s">
        <v>3728</v>
      </c>
      <c r="MKY618" s="17">
        <v>44925</v>
      </c>
      <c r="MKZ618" s="5" t="s">
        <v>3728</v>
      </c>
      <c r="MLA618" s="17">
        <v>44925</v>
      </c>
      <c r="MLB618" s="5" t="s">
        <v>3728</v>
      </c>
      <c r="MLC618" s="17">
        <v>44925</v>
      </c>
      <c r="MLD618" s="5" t="s">
        <v>3728</v>
      </c>
      <c r="MLE618" s="17">
        <v>44925</v>
      </c>
      <c r="MLF618" s="5" t="s">
        <v>3728</v>
      </c>
      <c r="MLG618" s="17">
        <v>44925</v>
      </c>
      <c r="MLH618" s="5" t="s">
        <v>3728</v>
      </c>
      <c r="MLI618" s="17">
        <v>44925</v>
      </c>
      <c r="MLJ618" s="5" t="s">
        <v>3728</v>
      </c>
      <c r="MLK618" s="17">
        <v>44925</v>
      </c>
      <c r="MLL618" s="5" t="s">
        <v>3728</v>
      </c>
      <c r="MLM618" s="17">
        <v>44925</v>
      </c>
      <c r="MLN618" s="5" t="s">
        <v>3728</v>
      </c>
      <c r="MLO618" s="17">
        <v>44925</v>
      </c>
      <c r="MLP618" s="5" t="s">
        <v>3728</v>
      </c>
      <c r="MLQ618" s="17">
        <v>44925</v>
      </c>
      <c r="MLR618" s="5" t="s">
        <v>3728</v>
      </c>
      <c r="MLS618" s="17">
        <v>44925</v>
      </c>
      <c r="MLT618" s="5" t="s">
        <v>3728</v>
      </c>
      <c r="MLU618" s="17">
        <v>44925</v>
      </c>
      <c r="MLV618" s="5" t="s">
        <v>3728</v>
      </c>
      <c r="MLW618" s="17">
        <v>44925</v>
      </c>
      <c r="MLX618" s="5" t="s">
        <v>3728</v>
      </c>
      <c r="MLY618" s="17">
        <v>44925</v>
      </c>
      <c r="MLZ618" s="5" t="s">
        <v>3728</v>
      </c>
      <c r="MMA618" s="17">
        <v>44925</v>
      </c>
      <c r="MMB618" s="5" t="s">
        <v>3728</v>
      </c>
      <c r="MMC618" s="17">
        <v>44925</v>
      </c>
      <c r="MMD618" s="5" t="s">
        <v>3728</v>
      </c>
      <c r="MME618" s="17">
        <v>44925</v>
      </c>
      <c r="MMF618" s="5" t="s">
        <v>3728</v>
      </c>
      <c r="MMG618" s="17">
        <v>44925</v>
      </c>
      <c r="MMH618" s="5" t="s">
        <v>3728</v>
      </c>
      <c r="MMI618" s="17">
        <v>44925</v>
      </c>
      <c r="MMJ618" s="5" t="s">
        <v>3728</v>
      </c>
      <c r="MMK618" s="17">
        <v>44925</v>
      </c>
      <c r="MML618" s="5" t="s">
        <v>3728</v>
      </c>
      <c r="MMM618" s="17">
        <v>44925</v>
      </c>
      <c r="MMN618" s="5" t="s">
        <v>3728</v>
      </c>
      <c r="MMO618" s="17">
        <v>44925</v>
      </c>
      <c r="MMP618" s="5" t="s">
        <v>3728</v>
      </c>
      <c r="MMQ618" s="17">
        <v>44925</v>
      </c>
      <c r="MMR618" s="5" t="s">
        <v>3728</v>
      </c>
      <c r="MMS618" s="17">
        <v>44925</v>
      </c>
      <c r="MMT618" s="5" t="s">
        <v>3728</v>
      </c>
      <c r="MMU618" s="17">
        <v>44925</v>
      </c>
      <c r="MMV618" s="5" t="s">
        <v>3728</v>
      </c>
      <c r="MMW618" s="17">
        <v>44925</v>
      </c>
      <c r="MMX618" s="5" t="s">
        <v>3728</v>
      </c>
      <c r="MMY618" s="17">
        <v>44925</v>
      </c>
      <c r="MMZ618" s="5" t="s">
        <v>3728</v>
      </c>
      <c r="MNA618" s="17">
        <v>44925</v>
      </c>
      <c r="MNB618" s="5" t="s">
        <v>3728</v>
      </c>
      <c r="MNC618" s="17">
        <v>44925</v>
      </c>
      <c r="MND618" s="5" t="s">
        <v>3728</v>
      </c>
      <c r="MNE618" s="17">
        <v>44925</v>
      </c>
      <c r="MNF618" s="5" t="s">
        <v>3728</v>
      </c>
      <c r="MNG618" s="17">
        <v>44925</v>
      </c>
      <c r="MNH618" s="5" t="s">
        <v>3728</v>
      </c>
      <c r="MNI618" s="17">
        <v>44925</v>
      </c>
      <c r="MNJ618" s="5" t="s">
        <v>3728</v>
      </c>
      <c r="MNK618" s="17">
        <v>44925</v>
      </c>
      <c r="MNL618" s="5" t="s">
        <v>3728</v>
      </c>
      <c r="MNM618" s="17">
        <v>44925</v>
      </c>
      <c r="MNN618" s="5" t="s">
        <v>3728</v>
      </c>
      <c r="MNO618" s="17">
        <v>44925</v>
      </c>
      <c r="MNP618" s="5" t="s">
        <v>3728</v>
      </c>
      <c r="MNQ618" s="17">
        <v>44925</v>
      </c>
      <c r="MNR618" s="5" t="s">
        <v>3728</v>
      </c>
      <c r="MNS618" s="17">
        <v>44925</v>
      </c>
      <c r="MNT618" s="5" t="s">
        <v>3728</v>
      </c>
      <c r="MNU618" s="17">
        <v>44925</v>
      </c>
      <c r="MNV618" s="5" t="s">
        <v>3728</v>
      </c>
      <c r="MNW618" s="17">
        <v>44925</v>
      </c>
      <c r="MNX618" s="5" t="s">
        <v>3728</v>
      </c>
      <c r="MNY618" s="17">
        <v>44925</v>
      </c>
      <c r="MNZ618" s="5" t="s">
        <v>3728</v>
      </c>
      <c r="MOA618" s="17">
        <v>44925</v>
      </c>
      <c r="MOB618" s="5" t="s">
        <v>3728</v>
      </c>
      <c r="MOC618" s="17">
        <v>44925</v>
      </c>
      <c r="MOD618" s="5" t="s">
        <v>3728</v>
      </c>
      <c r="MOE618" s="17">
        <v>44925</v>
      </c>
      <c r="MOF618" s="5" t="s">
        <v>3728</v>
      </c>
      <c r="MOG618" s="17">
        <v>44925</v>
      </c>
      <c r="MOH618" s="5" t="s">
        <v>3728</v>
      </c>
      <c r="MOI618" s="17">
        <v>44925</v>
      </c>
      <c r="MOJ618" s="5" t="s">
        <v>3728</v>
      </c>
      <c r="MOK618" s="17">
        <v>44925</v>
      </c>
      <c r="MOL618" s="5" t="s">
        <v>3728</v>
      </c>
      <c r="MOM618" s="17">
        <v>44925</v>
      </c>
      <c r="MON618" s="5" t="s">
        <v>3728</v>
      </c>
      <c r="MOO618" s="17">
        <v>44925</v>
      </c>
      <c r="MOP618" s="5" t="s">
        <v>3728</v>
      </c>
      <c r="MOQ618" s="17">
        <v>44925</v>
      </c>
      <c r="MOR618" s="5" t="s">
        <v>3728</v>
      </c>
      <c r="MOS618" s="17">
        <v>44925</v>
      </c>
      <c r="MOT618" s="5" t="s">
        <v>3728</v>
      </c>
      <c r="MOU618" s="17">
        <v>44925</v>
      </c>
      <c r="MOV618" s="5" t="s">
        <v>3728</v>
      </c>
      <c r="MOW618" s="17">
        <v>44925</v>
      </c>
      <c r="MOX618" s="5" t="s">
        <v>3728</v>
      </c>
      <c r="MOY618" s="17">
        <v>44925</v>
      </c>
      <c r="MOZ618" s="5" t="s">
        <v>3728</v>
      </c>
      <c r="MPA618" s="17">
        <v>44925</v>
      </c>
      <c r="MPB618" s="5" t="s">
        <v>3728</v>
      </c>
      <c r="MPC618" s="17">
        <v>44925</v>
      </c>
      <c r="MPD618" s="5" t="s">
        <v>3728</v>
      </c>
      <c r="MPE618" s="17">
        <v>44925</v>
      </c>
      <c r="MPF618" s="5" t="s">
        <v>3728</v>
      </c>
      <c r="MPG618" s="17">
        <v>44925</v>
      </c>
      <c r="MPH618" s="5" t="s">
        <v>3728</v>
      </c>
      <c r="MPI618" s="17">
        <v>44925</v>
      </c>
      <c r="MPJ618" s="5" t="s">
        <v>3728</v>
      </c>
      <c r="MPK618" s="17">
        <v>44925</v>
      </c>
      <c r="MPL618" s="5" t="s">
        <v>3728</v>
      </c>
      <c r="MPM618" s="17">
        <v>44925</v>
      </c>
      <c r="MPN618" s="5" t="s">
        <v>3728</v>
      </c>
      <c r="MPO618" s="17">
        <v>44925</v>
      </c>
      <c r="MPP618" s="5" t="s">
        <v>3728</v>
      </c>
      <c r="MPQ618" s="17">
        <v>44925</v>
      </c>
      <c r="MPR618" s="5" t="s">
        <v>3728</v>
      </c>
      <c r="MPS618" s="17">
        <v>44925</v>
      </c>
      <c r="MPT618" s="5" t="s">
        <v>3728</v>
      </c>
      <c r="MPU618" s="17">
        <v>44925</v>
      </c>
      <c r="MPV618" s="5" t="s">
        <v>3728</v>
      </c>
      <c r="MPW618" s="17">
        <v>44925</v>
      </c>
      <c r="MPX618" s="5" t="s">
        <v>3728</v>
      </c>
      <c r="MPY618" s="17">
        <v>44925</v>
      </c>
      <c r="MPZ618" s="5" t="s">
        <v>3728</v>
      </c>
      <c r="MQA618" s="17">
        <v>44925</v>
      </c>
      <c r="MQB618" s="5" t="s">
        <v>3728</v>
      </c>
      <c r="MQC618" s="17">
        <v>44925</v>
      </c>
      <c r="MQD618" s="5" t="s">
        <v>3728</v>
      </c>
      <c r="MQE618" s="17">
        <v>44925</v>
      </c>
      <c r="MQF618" s="5" t="s">
        <v>3728</v>
      </c>
      <c r="MQG618" s="17">
        <v>44925</v>
      </c>
      <c r="MQH618" s="5" t="s">
        <v>3728</v>
      </c>
      <c r="MQI618" s="17">
        <v>44925</v>
      </c>
      <c r="MQJ618" s="5" t="s">
        <v>3728</v>
      </c>
      <c r="MQK618" s="17">
        <v>44925</v>
      </c>
      <c r="MQL618" s="5" t="s">
        <v>3728</v>
      </c>
      <c r="MQM618" s="17">
        <v>44925</v>
      </c>
      <c r="MQN618" s="5" t="s">
        <v>3728</v>
      </c>
      <c r="MQO618" s="17">
        <v>44925</v>
      </c>
      <c r="MQP618" s="5" t="s">
        <v>3728</v>
      </c>
      <c r="MQQ618" s="17">
        <v>44925</v>
      </c>
      <c r="MQR618" s="5" t="s">
        <v>3728</v>
      </c>
      <c r="MQS618" s="17">
        <v>44925</v>
      </c>
      <c r="MQT618" s="5" t="s">
        <v>3728</v>
      </c>
      <c r="MQU618" s="17">
        <v>44925</v>
      </c>
      <c r="MQV618" s="5" t="s">
        <v>3728</v>
      </c>
      <c r="MQW618" s="17">
        <v>44925</v>
      </c>
      <c r="MQX618" s="5" t="s">
        <v>3728</v>
      </c>
      <c r="MQY618" s="17">
        <v>44925</v>
      </c>
      <c r="MQZ618" s="5" t="s">
        <v>3728</v>
      </c>
      <c r="MRA618" s="17">
        <v>44925</v>
      </c>
      <c r="MRB618" s="5" t="s">
        <v>3728</v>
      </c>
      <c r="MRC618" s="17">
        <v>44925</v>
      </c>
      <c r="MRD618" s="5" t="s">
        <v>3728</v>
      </c>
      <c r="MRE618" s="17">
        <v>44925</v>
      </c>
      <c r="MRF618" s="5" t="s">
        <v>3728</v>
      </c>
      <c r="MRG618" s="17">
        <v>44925</v>
      </c>
      <c r="MRH618" s="5" t="s">
        <v>3728</v>
      </c>
      <c r="MRI618" s="17">
        <v>44925</v>
      </c>
      <c r="MRJ618" s="5" t="s">
        <v>3728</v>
      </c>
      <c r="MRK618" s="17">
        <v>44925</v>
      </c>
      <c r="MRL618" s="5" t="s">
        <v>3728</v>
      </c>
      <c r="MRM618" s="17">
        <v>44925</v>
      </c>
      <c r="MRN618" s="5" t="s">
        <v>3728</v>
      </c>
      <c r="MRO618" s="17">
        <v>44925</v>
      </c>
      <c r="MRP618" s="5" t="s">
        <v>3728</v>
      </c>
      <c r="MRQ618" s="17">
        <v>44925</v>
      </c>
      <c r="MRR618" s="5" t="s">
        <v>3728</v>
      </c>
      <c r="MRS618" s="17">
        <v>44925</v>
      </c>
      <c r="MRT618" s="5" t="s">
        <v>3728</v>
      </c>
      <c r="MRU618" s="17">
        <v>44925</v>
      </c>
      <c r="MRV618" s="5" t="s">
        <v>3728</v>
      </c>
      <c r="MRW618" s="17">
        <v>44925</v>
      </c>
      <c r="MRX618" s="5" t="s">
        <v>3728</v>
      </c>
      <c r="MRY618" s="17">
        <v>44925</v>
      </c>
      <c r="MRZ618" s="5" t="s">
        <v>3728</v>
      </c>
      <c r="MSA618" s="17">
        <v>44925</v>
      </c>
      <c r="MSB618" s="5" t="s">
        <v>3728</v>
      </c>
      <c r="MSC618" s="17">
        <v>44925</v>
      </c>
      <c r="MSD618" s="5" t="s">
        <v>3728</v>
      </c>
      <c r="MSE618" s="17">
        <v>44925</v>
      </c>
      <c r="MSF618" s="5" t="s">
        <v>3728</v>
      </c>
      <c r="MSG618" s="17">
        <v>44925</v>
      </c>
      <c r="MSH618" s="5" t="s">
        <v>3728</v>
      </c>
      <c r="MSI618" s="17">
        <v>44925</v>
      </c>
      <c r="MSJ618" s="5" t="s">
        <v>3728</v>
      </c>
      <c r="MSK618" s="17">
        <v>44925</v>
      </c>
      <c r="MSL618" s="5" t="s">
        <v>3728</v>
      </c>
      <c r="MSM618" s="17">
        <v>44925</v>
      </c>
      <c r="MSN618" s="5" t="s">
        <v>3728</v>
      </c>
      <c r="MSO618" s="17">
        <v>44925</v>
      </c>
      <c r="MSP618" s="5" t="s">
        <v>3728</v>
      </c>
      <c r="MSQ618" s="17">
        <v>44925</v>
      </c>
      <c r="MSR618" s="5" t="s">
        <v>3728</v>
      </c>
      <c r="MSS618" s="17">
        <v>44925</v>
      </c>
      <c r="MST618" s="5" t="s">
        <v>3728</v>
      </c>
      <c r="MSU618" s="17">
        <v>44925</v>
      </c>
      <c r="MSV618" s="5" t="s">
        <v>3728</v>
      </c>
      <c r="MSW618" s="17">
        <v>44925</v>
      </c>
      <c r="MSX618" s="5" t="s">
        <v>3728</v>
      </c>
      <c r="MSY618" s="17">
        <v>44925</v>
      </c>
      <c r="MSZ618" s="5" t="s">
        <v>3728</v>
      </c>
      <c r="MTA618" s="17">
        <v>44925</v>
      </c>
      <c r="MTB618" s="5" t="s">
        <v>3728</v>
      </c>
      <c r="MTC618" s="17">
        <v>44925</v>
      </c>
      <c r="MTD618" s="5" t="s">
        <v>3728</v>
      </c>
      <c r="MTE618" s="17">
        <v>44925</v>
      </c>
      <c r="MTF618" s="5" t="s">
        <v>3728</v>
      </c>
      <c r="MTG618" s="17">
        <v>44925</v>
      </c>
      <c r="MTH618" s="5" t="s">
        <v>3728</v>
      </c>
      <c r="MTI618" s="17">
        <v>44925</v>
      </c>
      <c r="MTJ618" s="5" t="s">
        <v>3728</v>
      </c>
      <c r="MTK618" s="17">
        <v>44925</v>
      </c>
      <c r="MTL618" s="5" t="s">
        <v>3728</v>
      </c>
      <c r="MTM618" s="17">
        <v>44925</v>
      </c>
      <c r="MTN618" s="5" t="s">
        <v>3728</v>
      </c>
      <c r="MTO618" s="17">
        <v>44925</v>
      </c>
      <c r="MTP618" s="5" t="s">
        <v>3728</v>
      </c>
      <c r="MTQ618" s="17">
        <v>44925</v>
      </c>
      <c r="MTR618" s="5" t="s">
        <v>3728</v>
      </c>
      <c r="MTS618" s="17">
        <v>44925</v>
      </c>
      <c r="MTT618" s="5" t="s">
        <v>3728</v>
      </c>
      <c r="MTU618" s="17">
        <v>44925</v>
      </c>
      <c r="MTV618" s="5" t="s">
        <v>3728</v>
      </c>
      <c r="MTW618" s="17">
        <v>44925</v>
      </c>
      <c r="MTX618" s="5" t="s">
        <v>3728</v>
      </c>
      <c r="MTY618" s="17">
        <v>44925</v>
      </c>
      <c r="MTZ618" s="5" t="s">
        <v>3728</v>
      </c>
      <c r="MUA618" s="17">
        <v>44925</v>
      </c>
      <c r="MUB618" s="5" t="s">
        <v>3728</v>
      </c>
      <c r="MUC618" s="17">
        <v>44925</v>
      </c>
      <c r="MUD618" s="5" t="s">
        <v>3728</v>
      </c>
      <c r="MUE618" s="17">
        <v>44925</v>
      </c>
      <c r="MUF618" s="5" t="s">
        <v>3728</v>
      </c>
      <c r="MUG618" s="17">
        <v>44925</v>
      </c>
      <c r="MUH618" s="5" t="s">
        <v>3728</v>
      </c>
      <c r="MUI618" s="17">
        <v>44925</v>
      </c>
      <c r="MUJ618" s="5" t="s">
        <v>3728</v>
      </c>
      <c r="MUK618" s="17">
        <v>44925</v>
      </c>
      <c r="MUL618" s="5" t="s">
        <v>3728</v>
      </c>
      <c r="MUM618" s="17">
        <v>44925</v>
      </c>
      <c r="MUN618" s="5" t="s">
        <v>3728</v>
      </c>
      <c r="MUO618" s="17">
        <v>44925</v>
      </c>
      <c r="MUP618" s="5" t="s">
        <v>3728</v>
      </c>
      <c r="MUQ618" s="17">
        <v>44925</v>
      </c>
      <c r="MUR618" s="5" t="s">
        <v>3728</v>
      </c>
      <c r="MUS618" s="17">
        <v>44925</v>
      </c>
      <c r="MUT618" s="5" t="s">
        <v>3728</v>
      </c>
      <c r="MUU618" s="17">
        <v>44925</v>
      </c>
      <c r="MUV618" s="5" t="s">
        <v>3728</v>
      </c>
      <c r="MUW618" s="17">
        <v>44925</v>
      </c>
      <c r="MUX618" s="5" t="s">
        <v>3728</v>
      </c>
      <c r="MUY618" s="17">
        <v>44925</v>
      </c>
      <c r="MUZ618" s="5" t="s">
        <v>3728</v>
      </c>
      <c r="MVA618" s="17">
        <v>44925</v>
      </c>
      <c r="MVB618" s="5" t="s">
        <v>3728</v>
      </c>
      <c r="MVC618" s="17">
        <v>44925</v>
      </c>
      <c r="MVD618" s="5" t="s">
        <v>3728</v>
      </c>
      <c r="MVE618" s="17">
        <v>44925</v>
      </c>
      <c r="MVF618" s="5" t="s">
        <v>3728</v>
      </c>
      <c r="MVG618" s="17">
        <v>44925</v>
      </c>
      <c r="MVH618" s="5" t="s">
        <v>3728</v>
      </c>
      <c r="MVI618" s="17">
        <v>44925</v>
      </c>
      <c r="MVJ618" s="5" t="s">
        <v>3728</v>
      </c>
      <c r="MVK618" s="17">
        <v>44925</v>
      </c>
      <c r="MVL618" s="5" t="s">
        <v>3728</v>
      </c>
      <c r="MVM618" s="17">
        <v>44925</v>
      </c>
      <c r="MVN618" s="5" t="s">
        <v>3728</v>
      </c>
      <c r="MVO618" s="17">
        <v>44925</v>
      </c>
      <c r="MVP618" s="5" t="s">
        <v>3728</v>
      </c>
      <c r="MVQ618" s="17">
        <v>44925</v>
      </c>
      <c r="MVR618" s="5" t="s">
        <v>3728</v>
      </c>
      <c r="MVS618" s="17">
        <v>44925</v>
      </c>
      <c r="MVT618" s="5" t="s">
        <v>3728</v>
      </c>
      <c r="MVU618" s="17">
        <v>44925</v>
      </c>
      <c r="MVV618" s="5" t="s">
        <v>3728</v>
      </c>
      <c r="MVW618" s="17">
        <v>44925</v>
      </c>
      <c r="MVX618" s="5" t="s">
        <v>3728</v>
      </c>
      <c r="MVY618" s="17">
        <v>44925</v>
      </c>
      <c r="MVZ618" s="5" t="s">
        <v>3728</v>
      </c>
      <c r="MWA618" s="17">
        <v>44925</v>
      </c>
      <c r="MWB618" s="5" t="s">
        <v>3728</v>
      </c>
      <c r="MWC618" s="17">
        <v>44925</v>
      </c>
      <c r="MWD618" s="5" t="s">
        <v>3728</v>
      </c>
      <c r="MWE618" s="17">
        <v>44925</v>
      </c>
      <c r="MWF618" s="5" t="s">
        <v>3728</v>
      </c>
      <c r="MWG618" s="17">
        <v>44925</v>
      </c>
      <c r="MWH618" s="5" t="s">
        <v>3728</v>
      </c>
      <c r="MWI618" s="17">
        <v>44925</v>
      </c>
      <c r="MWJ618" s="5" t="s">
        <v>3728</v>
      </c>
      <c r="MWK618" s="17">
        <v>44925</v>
      </c>
      <c r="MWL618" s="5" t="s">
        <v>3728</v>
      </c>
      <c r="MWM618" s="17">
        <v>44925</v>
      </c>
      <c r="MWN618" s="5" t="s">
        <v>3728</v>
      </c>
      <c r="MWO618" s="17">
        <v>44925</v>
      </c>
      <c r="MWP618" s="5" t="s">
        <v>3728</v>
      </c>
      <c r="MWQ618" s="17">
        <v>44925</v>
      </c>
      <c r="MWR618" s="5" t="s">
        <v>3728</v>
      </c>
      <c r="MWS618" s="17">
        <v>44925</v>
      </c>
      <c r="MWT618" s="5" t="s">
        <v>3728</v>
      </c>
      <c r="MWU618" s="17">
        <v>44925</v>
      </c>
      <c r="MWV618" s="5" t="s">
        <v>3728</v>
      </c>
      <c r="MWW618" s="17">
        <v>44925</v>
      </c>
      <c r="MWX618" s="5" t="s">
        <v>3728</v>
      </c>
      <c r="MWY618" s="17">
        <v>44925</v>
      </c>
      <c r="MWZ618" s="5" t="s">
        <v>3728</v>
      </c>
      <c r="MXA618" s="17">
        <v>44925</v>
      </c>
      <c r="MXB618" s="5" t="s">
        <v>3728</v>
      </c>
      <c r="MXC618" s="17">
        <v>44925</v>
      </c>
      <c r="MXD618" s="5" t="s">
        <v>3728</v>
      </c>
      <c r="MXE618" s="17">
        <v>44925</v>
      </c>
      <c r="MXF618" s="5" t="s">
        <v>3728</v>
      </c>
      <c r="MXG618" s="17">
        <v>44925</v>
      </c>
      <c r="MXH618" s="5" t="s">
        <v>3728</v>
      </c>
      <c r="MXI618" s="17">
        <v>44925</v>
      </c>
      <c r="MXJ618" s="5" t="s">
        <v>3728</v>
      </c>
      <c r="MXK618" s="17">
        <v>44925</v>
      </c>
      <c r="MXL618" s="5" t="s">
        <v>3728</v>
      </c>
      <c r="MXM618" s="17">
        <v>44925</v>
      </c>
      <c r="MXN618" s="5" t="s">
        <v>3728</v>
      </c>
      <c r="MXO618" s="17">
        <v>44925</v>
      </c>
      <c r="MXP618" s="5" t="s">
        <v>3728</v>
      </c>
      <c r="MXQ618" s="17">
        <v>44925</v>
      </c>
      <c r="MXR618" s="5" t="s">
        <v>3728</v>
      </c>
      <c r="MXS618" s="17">
        <v>44925</v>
      </c>
      <c r="MXT618" s="5" t="s">
        <v>3728</v>
      </c>
      <c r="MXU618" s="17">
        <v>44925</v>
      </c>
      <c r="MXV618" s="5" t="s">
        <v>3728</v>
      </c>
      <c r="MXW618" s="17">
        <v>44925</v>
      </c>
      <c r="MXX618" s="5" t="s">
        <v>3728</v>
      </c>
      <c r="MXY618" s="17">
        <v>44925</v>
      </c>
      <c r="MXZ618" s="5" t="s">
        <v>3728</v>
      </c>
      <c r="MYA618" s="17">
        <v>44925</v>
      </c>
      <c r="MYB618" s="5" t="s">
        <v>3728</v>
      </c>
      <c r="MYC618" s="17">
        <v>44925</v>
      </c>
      <c r="MYD618" s="5" t="s">
        <v>3728</v>
      </c>
      <c r="MYE618" s="17">
        <v>44925</v>
      </c>
      <c r="MYF618" s="5" t="s">
        <v>3728</v>
      </c>
      <c r="MYG618" s="17">
        <v>44925</v>
      </c>
      <c r="MYH618" s="5" t="s">
        <v>3728</v>
      </c>
      <c r="MYI618" s="17">
        <v>44925</v>
      </c>
      <c r="MYJ618" s="5" t="s">
        <v>3728</v>
      </c>
      <c r="MYK618" s="17">
        <v>44925</v>
      </c>
      <c r="MYL618" s="5" t="s">
        <v>3728</v>
      </c>
      <c r="MYM618" s="17">
        <v>44925</v>
      </c>
      <c r="MYN618" s="5" t="s">
        <v>3728</v>
      </c>
      <c r="MYO618" s="17">
        <v>44925</v>
      </c>
      <c r="MYP618" s="5" t="s">
        <v>3728</v>
      </c>
      <c r="MYQ618" s="17">
        <v>44925</v>
      </c>
      <c r="MYR618" s="5" t="s">
        <v>3728</v>
      </c>
      <c r="MYS618" s="17">
        <v>44925</v>
      </c>
      <c r="MYT618" s="5" t="s">
        <v>3728</v>
      </c>
      <c r="MYU618" s="17">
        <v>44925</v>
      </c>
      <c r="MYV618" s="5" t="s">
        <v>3728</v>
      </c>
      <c r="MYW618" s="17">
        <v>44925</v>
      </c>
      <c r="MYX618" s="5" t="s">
        <v>3728</v>
      </c>
      <c r="MYY618" s="17">
        <v>44925</v>
      </c>
      <c r="MYZ618" s="5" t="s">
        <v>3728</v>
      </c>
      <c r="MZA618" s="17">
        <v>44925</v>
      </c>
      <c r="MZB618" s="5" t="s">
        <v>3728</v>
      </c>
      <c r="MZC618" s="17">
        <v>44925</v>
      </c>
      <c r="MZD618" s="5" t="s">
        <v>3728</v>
      </c>
      <c r="MZE618" s="17">
        <v>44925</v>
      </c>
      <c r="MZF618" s="5" t="s">
        <v>3728</v>
      </c>
      <c r="MZG618" s="17">
        <v>44925</v>
      </c>
      <c r="MZH618" s="5" t="s">
        <v>3728</v>
      </c>
      <c r="MZI618" s="17">
        <v>44925</v>
      </c>
      <c r="MZJ618" s="5" t="s">
        <v>3728</v>
      </c>
      <c r="MZK618" s="17">
        <v>44925</v>
      </c>
      <c r="MZL618" s="5" t="s">
        <v>3728</v>
      </c>
      <c r="MZM618" s="17">
        <v>44925</v>
      </c>
      <c r="MZN618" s="5" t="s">
        <v>3728</v>
      </c>
      <c r="MZO618" s="17">
        <v>44925</v>
      </c>
      <c r="MZP618" s="5" t="s">
        <v>3728</v>
      </c>
      <c r="MZQ618" s="17">
        <v>44925</v>
      </c>
      <c r="MZR618" s="5" t="s">
        <v>3728</v>
      </c>
      <c r="MZS618" s="17">
        <v>44925</v>
      </c>
      <c r="MZT618" s="5" t="s">
        <v>3728</v>
      </c>
      <c r="MZU618" s="17">
        <v>44925</v>
      </c>
      <c r="MZV618" s="5" t="s">
        <v>3728</v>
      </c>
      <c r="MZW618" s="17">
        <v>44925</v>
      </c>
      <c r="MZX618" s="5" t="s">
        <v>3728</v>
      </c>
      <c r="MZY618" s="17">
        <v>44925</v>
      </c>
      <c r="MZZ618" s="5" t="s">
        <v>3728</v>
      </c>
      <c r="NAA618" s="17">
        <v>44925</v>
      </c>
      <c r="NAB618" s="5" t="s">
        <v>3728</v>
      </c>
      <c r="NAC618" s="17">
        <v>44925</v>
      </c>
      <c r="NAD618" s="5" t="s">
        <v>3728</v>
      </c>
      <c r="NAE618" s="17">
        <v>44925</v>
      </c>
      <c r="NAF618" s="5" t="s">
        <v>3728</v>
      </c>
      <c r="NAG618" s="17">
        <v>44925</v>
      </c>
      <c r="NAH618" s="5" t="s">
        <v>3728</v>
      </c>
      <c r="NAI618" s="17">
        <v>44925</v>
      </c>
      <c r="NAJ618" s="5" t="s">
        <v>3728</v>
      </c>
      <c r="NAK618" s="17">
        <v>44925</v>
      </c>
      <c r="NAL618" s="5" t="s">
        <v>3728</v>
      </c>
      <c r="NAM618" s="17">
        <v>44925</v>
      </c>
      <c r="NAN618" s="5" t="s">
        <v>3728</v>
      </c>
      <c r="NAO618" s="17">
        <v>44925</v>
      </c>
      <c r="NAP618" s="5" t="s">
        <v>3728</v>
      </c>
      <c r="NAQ618" s="17">
        <v>44925</v>
      </c>
      <c r="NAR618" s="5" t="s">
        <v>3728</v>
      </c>
      <c r="NAS618" s="17">
        <v>44925</v>
      </c>
      <c r="NAT618" s="5" t="s">
        <v>3728</v>
      </c>
      <c r="NAU618" s="17">
        <v>44925</v>
      </c>
      <c r="NAV618" s="5" t="s">
        <v>3728</v>
      </c>
      <c r="NAW618" s="17">
        <v>44925</v>
      </c>
      <c r="NAX618" s="5" t="s">
        <v>3728</v>
      </c>
      <c r="NAY618" s="17">
        <v>44925</v>
      </c>
      <c r="NAZ618" s="5" t="s">
        <v>3728</v>
      </c>
      <c r="NBA618" s="17">
        <v>44925</v>
      </c>
      <c r="NBB618" s="5" t="s">
        <v>3728</v>
      </c>
      <c r="NBC618" s="17">
        <v>44925</v>
      </c>
      <c r="NBD618" s="5" t="s">
        <v>3728</v>
      </c>
      <c r="NBE618" s="17">
        <v>44925</v>
      </c>
      <c r="NBF618" s="5" t="s">
        <v>3728</v>
      </c>
      <c r="NBG618" s="17">
        <v>44925</v>
      </c>
      <c r="NBH618" s="5" t="s">
        <v>3728</v>
      </c>
      <c r="NBI618" s="17">
        <v>44925</v>
      </c>
      <c r="NBJ618" s="5" t="s">
        <v>3728</v>
      </c>
      <c r="NBK618" s="17">
        <v>44925</v>
      </c>
      <c r="NBL618" s="5" t="s">
        <v>3728</v>
      </c>
      <c r="NBM618" s="17">
        <v>44925</v>
      </c>
      <c r="NBN618" s="5" t="s">
        <v>3728</v>
      </c>
      <c r="NBO618" s="17">
        <v>44925</v>
      </c>
      <c r="NBP618" s="5" t="s">
        <v>3728</v>
      </c>
      <c r="NBQ618" s="17">
        <v>44925</v>
      </c>
      <c r="NBR618" s="5" t="s">
        <v>3728</v>
      </c>
      <c r="NBS618" s="17">
        <v>44925</v>
      </c>
      <c r="NBT618" s="5" t="s">
        <v>3728</v>
      </c>
      <c r="NBU618" s="17">
        <v>44925</v>
      </c>
      <c r="NBV618" s="5" t="s">
        <v>3728</v>
      </c>
      <c r="NBW618" s="17">
        <v>44925</v>
      </c>
      <c r="NBX618" s="5" t="s">
        <v>3728</v>
      </c>
      <c r="NBY618" s="17">
        <v>44925</v>
      </c>
      <c r="NBZ618" s="5" t="s">
        <v>3728</v>
      </c>
      <c r="NCA618" s="17">
        <v>44925</v>
      </c>
      <c r="NCB618" s="5" t="s">
        <v>3728</v>
      </c>
      <c r="NCC618" s="17">
        <v>44925</v>
      </c>
      <c r="NCD618" s="5" t="s">
        <v>3728</v>
      </c>
      <c r="NCE618" s="17">
        <v>44925</v>
      </c>
      <c r="NCF618" s="5" t="s">
        <v>3728</v>
      </c>
      <c r="NCG618" s="17">
        <v>44925</v>
      </c>
      <c r="NCH618" s="5" t="s">
        <v>3728</v>
      </c>
      <c r="NCI618" s="17">
        <v>44925</v>
      </c>
      <c r="NCJ618" s="5" t="s">
        <v>3728</v>
      </c>
      <c r="NCK618" s="17">
        <v>44925</v>
      </c>
      <c r="NCL618" s="5" t="s">
        <v>3728</v>
      </c>
      <c r="NCM618" s="17">
        <v>44925</v>
      </c>
      <c r="NCN618" s="5" t="s">
        <v>3728</v>
      </c>
      <c r="NCO618" s="17">
        <v>44925</v>
      </c>
      <c r="NCP618" s="5" t="s">
        <v>3728</v>
      </c>
      <c r="NCQ618" s="17">
        <v>44925</v>
      </c>
      <c r="NCR618" s="5" t="s">
        <v>3728</v>
      </c>
      <c r="NCS618" s="17">
        <v>44925</v>
      </c>
      <c r="NCT618" s="5" t="s">
        <v>3728</v>
      </c>
      <c r="NCU618" s="17">
        <v>44925</v>
      </c>
      <c r="NCV618" s="5" t="s">
        <v>3728</v>
      </c>
      <c r="NCW618" s="17">
        <v>44925</v>
      </c>
      <c r="NCX618" s="5" t="s">
        <v>3728</v>
      </c>
      <c r="NCY618" s="17">
        <v>44925</v>
      </c>
      <c r="NCZ618" s="5" t="s">
        <v>3728</v>
      </c>
      <c r="NDA618" s="17">
        <v>44925</v>
      </c>
      <c r="NDB618" s="5" t="s">
        <v>3728</v>
      </c>
      <c r="NDC618" s="17">
        <v>44925</v>
      </c>
      <c r="NDD618" s="5" t="s">
        <v>3728</v>
      </c>
      <c r="NDE618" s="17">
        <v>44925</v>
      </c>
      <c r="NDF618" s="5" t="s">
        <v>3728</v>
      </c>
      <c r="NDG618" s="17">
        <v>44925</v>
      </c>
      <c r="NDH618" s="5" t="s">
        <v>3728</v>
      </c>
      <c r="NDI618" s="17">
        <v>44925</v>
      </c>
      <c r="NDJ618" s="5" t="s">
        <v>3728</v>
      </c>
      <c r="NDK618" s="17">
        <v>44925</v>
      </c>
      <c r="NDL618" s="5" t="s">
        <v>3728</v>
      </c>
      <c r="NDM618" s="17">
        <v>44925</v>
      </c>
      <c r="NDN618" s="5" t="s">
        <v>3728</v>
      </c>
      <c r="NDO618" s="17">
        <v>44925</v>
      </c>
      <c r="NDP618" s="5" t="s">
        <v>3728</v>
      </c>
      <c r="NDQ618" s="17">
        <v>44925</v>
      </c>
      <c r="NDR618" s="5" t="s">
        <v>3728</v>
      </c>
      <c r="NDS618" s="17">
        <v>44925</v>
      </c>
      <c r="NDT618" s="5" t="s">
        <v>3728</v>
      </c>
      <c r="NDU618" s="17">
        <v>44925</v>
      </c>
      <c r="NDV618" s="5" t="s">
        <v>3728</v>
      </c>
      <c r="NDW618" s="17">
        <v>44925</v>
      </c>
      <c r="NDX618" s="5" t="s">
        <v>3728</v>
      </c>
      <c r="NDY618" s="17">
        <v>44925</v>
      </c>
      <c r="NDZ618" s="5" t="s">
        <v>3728</v>
      </c>
      <c r="NEA618" s="17">
        <v>44925</v>
      </c>
      <c r="NEB618" s="5" t="s">
        <v>3728</v>
      </c>
      <c r="NEC618" s="17">
        <v>44925</v>
      </c>
      <c r="NED618" s="5" t="s">
        <v>3728</v>
      </c>
      <c r="NEE618" s="17">
        <v>44925</v>
      </c>
      <c r="NEF618" s="5" t="s">
        <v>3728</v>
      </c>
      <c r="NEG618" s="17">
        <v>44925</v>
      </c>
      <c r="NEH618" s="5" t="s">
        <v>3728</v>
      </c>
      <c r="NEI618" s="17">
        <v>44925</v>
      </c>
      <c r="NEJ618" s="5" t="s">
        <v>3728</v>
      </c>
      <c r="NEK618" s="17">
        <v>44925</v>
      </c>
      <c r="NEL618" s="5" t="s">
        <v>3728</v>
      </c>
      <c r="NEM618" s="17">
        <v>44925</v>
      </c>
      <c r="NEN618" s="5" t="s">
        <v>3728</v>
      </c>
      <c r="NEO618" s="17">
        <v>44925</v>
      </c>
      <c r="NEP618" s="5" t="s">
        <v>3728</v>
      </c>
      <c r="NEQ618" s="17">
        <v>44925</v>
      </c>
      <c r="NER618" s="5" t="s">
        <v>3728</v>
      </c>
      <c r="NES618" s="17">
        <v>44925</v>
      </c>
      <c r="NET618" s="5" t="s">
        <v>3728</v>
      </c>
      <c r="NEU618" s="17">
        <v>44925</v>
      </c>
      <c r="NEV618" s="5" t="s">
        <v>3728</v>
      </c>
      <c r="NEW618" s="17">
        <v>44925</v>
      </c>
      <c r="NEX618" s="5" t="s">
        <v>3728</v>
      </c>
      <c r="NEY618" s="17">
        <v>44925</v>
      </c>
      <c r="NEZ618" s="5" t="s">
        <v>3728</v>
      </c>
      <c r="NFA618" s="17">
        <v>44925</v>
      </c>
      <c r="NFB618" s="5" t="s">
        <v>3728</v>
      </c>
      <c r="NFC618" s="17">
        <v>44925</v>
      </c>
      <c r="NFD618" s="5" t="s">
        <v>3728</v>
      </c>
      <c r="NFE618" s="17">
        <v>44925</v>
      </c>
      <c r="NFF618" s="5" t="s">
        <v>3728</v>
      </c>
      <c r="NFG618" s="17">
        <v>44925</v>
      </c>
      <c r="NFH618" s="5" t="s">
        <v>3728</v>
      </c>
      <c r="NFI618" s="17">
        <v>44925</v>
      </c>
      <c r="NFJ618" s="5" t="s">
        <v>3728</v>
      </c>
      <c r="NFK618" s="17">
        <v>44925</v>
      </c>
      <c r="NFL618" s="5" t="s">
        <v>3728</v>
      </c>
      <c r="NFM618" s="17">
        <v>44925</v>
      </c>
      <c r="NFN618" s="5" t="s">
        <v>3728</v>
      </c>
      <c r="NFO618" s="17">
        <v>44925</v>
      </c>
      <c r="NFP618" s="5" t="s">
        <v>3728</v>
      </c>
      <c r="NFQ618" s="17">
        <v>44925</v>
      </c>
      <c r="NFR618" s="5" t="s">
        <v>3728</v>
      </c>
      <c r="NFS618" s="17">
        <v>44925</v>
      </c>
      <c r="NFT618" s="5" t="s">
        <v>3728</v>
      </c>
      <c r="NFU618" s="17">
        <v>44925</v>
      </c>
      <c r="NFV618" s="5" t="s">
        <v>3728</v>
      </c>
      <c r="NFW618" s="17">
        <v>44925</v>
      </c>
      <c r="NFX618" s="5" t="s">
        <v>3728</v>
      </c>
      <c r="NFY618" s="17">
        <v>44925</v>
      </c>
      <c r="NFZ618" s="5" t="s">
        <v>3728</v>
      </c>
      <c r="NGA618" s="17">
        <v>44925</v>
      </c>
      <c r="NGB618" s="5" t="s">
        <v>3728</v>
      </c>
      <c r="NGC618" s="17">
        <v>44925</v>
      </c>
      <c r="NGD618" s="5" t="s">
        <v>3728</v>
      </c>
      <c r="NGE618" s="17">
        <v>44925</v>
      </c>
      <c r="NGF618" s="5" t="s">
        <v>3728</v>
      </c>
      <c r="NGG618" s="17">
        <v>44925</v>
      </c>
      <c r="NGH618" s="5" t="s">
        <v>3728</v>
      </c>
      <c r="NGI618" s="17">
        <v>44925</v>
      </c>
      <c r="NGJ618" s="5" t="s">
        <v>3728</v>
      </c>
      <c r="NGK618" s="17">
        <v>44925</v>
      </c>
      <c r="NGL618" s="5" t="s">
        <v>3728</v>
      </c>
      <c r="NGM618" s="17">
        <v>44925</v>
      </c>
      <c r="NGN618" s="5" t="s">
        <v>3728</v>
      </c>
      <c r="NGO618" s="17">
        <v>44925</v>
      </c>
      <c r="NGP618" s="5" t="s">
        <v>3728</v>
      </c>
      <c r="NGQ618" s="17">
        <v>44925</v>
      </c>
      <c r="NGR618" s="5" t="s">
        <v>3728</v>
      </c>
      <c r="NGS618" s="17">
        <v>44925</v>
      </c>
      <c r="NGT618" s="5" t="s">
        <v>3728</v>
      </c>
      <c r="NGU618" s="17">
        <v>44925</v>
      </c>
      <c r="NGV618" s="5" t="s">
        <v>3728</v>
      </c>
      <c r="NGW618" s="17">
        <v>44925</v>
      </c>
      <c r="NGX618" s="5" t="s">
        <v>3728</v>
      </c>
      <c r="NGY618" s="17">
        <v>44925</v>
      </c>
      <c r="NGZ618" s="5" t="s">
        <v>3728</v>
      </c>
      <c r="NHA618" s="17">
        <v>44925</v>
      </c>
      <c r="NHB618" s="5" t="s">
        <v>3728</v>
      </c>
      <c r="NHC618" s="17">
        <v>44925</v>
      </c>
      <c r="NHD618" s="5" t="s">
        <v>3728</v>
      </c>
      <c r="NHE618" s="17">
        <v>44925</v>
      </c>
      <c r="NHF618" s="5" t="s">
        <v>3728</v>
      </c>
      <c r="NHG618" s="17">
        <v>44925</v>
      </c>
      <c r="NHH618" s="5" t="s">
        <v>3728</v>
      </c>
      <c r="NHI618" s="17">
        <v>44925</v>
      </c>
      <c r="NHJ618" s="5" t="s">
        <v>3728</v>
      </c>
      <c r="NHK618" s="17">
        <v>44925</v>
      </c>
      <c r="NHL618" s="5" t="s">
        <v>3728</v>
      </c>
      <c r="NHM618" s="17">
        <v>44925</v>
      </c>
      <c r="NHN618" s="5" t="s">
        <v>3728</v>
      </c>
      <c r="NHO618" s="17">
        <v>44925</v>
      </c>
      <c r="NHP618" s="5" t="s">
        <v>3728</v>
      </c>
      <c r="NHQ618" s="17">
        <v>44925</v>
      </c>
      <c r="NHR618" s="5" t="s">
        <v>3728</v>
      </c>
      <c r="NHS618" s="17">
        <v>44925</v>
      </c>
      <c r="NHT618" s="5" t="s">
        <v>3728</v>
      </c>
      <c r="NHU618" s="17">
        <v>44925</v>
      </c>
      <c r="NHV618" s="5" t="s">
        <v>3728</v>
      </c>
      <c r="NHW618" s="17">
        <v>44925</v>
      </c>
      <c r="NHX618" s="5" t="s">
        <v>3728</v>
      </c>
      <c r="NHY618" s="17">
        <v>44925</v>
      </c>
      <c r="NHZ618" s="5" t="s">
        <v>3728</v>
      </c>
      <c r="NIA618" s="17">
        <v>44925</v>
      </c>
      <c r="NIB618" s="5" t="s">
        <v>3728</v>
      </c>
      <c r="NIC618" s="17">
        <v>44925</v>
      </c>
      <c r="NID618" s="5" t="s">
        <v>3728</v>
      </c>
      <c r="NIE618" s="17">
        <v>44925</v>
      </c>
      <c r="NIF618" s="5" t="s">
        <v>3728</v>
      </c>
      <c r="NIG618" s="17">
        <v>44925</v>
      </c>
      <c r="NIH618" s="5" t="s">
        <v>3728</v>
      </c>
      <c r="NII618" s="17">
        <v>44925</v>
      </c>
      <c r="NIJ618" s="5" t="s">
        <v>3728</v>
      </c>
      <c r="NIK618" s="17">
        <v>44925</v>
      </c>
      <c r="NIL618" s="5" t="s">
        <v>3728</v>
      </c>
      <c r="NIM618" s="17">
        <v>44925</v>
      </c>
      <c r="NIN618" s="5" t="s">
        <v>3728</v>
      </c>
      <c r="NIO618" s="17">
        <v>44925</v>
      </c>
      <c r="NIP618" s="5" t="s">
        <v>3728</v>
      </c>
      <c r="NIQ618" s="17">
        <v>44925</v>
      </c>
      <c r="NIR618" s="5" t="s">
        <v>3728</v>
      </c>
      <c r="NIS618" s="17">
        <v>44925</v>
      </c>
      <c r="NIT618" s="5" t="s">
        <v>3728</v>
      </c>
      <c r="NIU618" s="17">
        <v>44925</v>
      </c>
      <c r="NIV618" s="5" t="s">
        <v>3728</v>
      </c>
      <c r="NIW618" s="17">
        <v>44925</v>
      </c>
      <c r="NIX618" s="5" t="s">
        <v>3728</v>
      </c>
      <c r="NIY618" s="17">
        <v>44925</v>
      </c>
      <c r="NIZ618" s="5" t="s">
        <v>3728</v>
      </c>
      <c r="NJA618" s="17">
        <v>44925</v>
      </c>
      <c r="NJB618" s="5" t="s">
        <v>3728</v>
      </c>
      <c r="NJC618" s="17">
        <v>44925</v>
      </c>
      <c r="NJD618" s="5" t="s">
        <v>3728</v>
      </c>
      <c r="NJE618" s="17">
        <v>44925</v>
      </c>
      <c r="NJF618" s="5" t="s">
        <v>3728</v>
      </c>
      <c r="NJG618" s="17">
        <v>44925</v>
      </c>
      <c r="NJH618" s="5" t="s">
        <v>3728</v>
      </c>
      <c r="NJI618" s="17">
        <v>44925</v>
      </c>
      <c r="NJJ618" s="5" t="s">
        <v>3728</v>
      </c>
      <c r="NJK618" s="17">
        <v>44925</v>
      </c>
      <c r="NJL618" s="5" t="s">
        <v>3728</v>
      </c>
      <c r="NJM618" s="17">
        <v>44925</v>
      </c>
      <c r="NJN618" s="5" t="s">
        <v>3728</v>
      </c>
      <c r="NJO618" s="17">
        <v>44925</v>
      </c>
      <c r="NJP618" s="5" t="s">
        <v>3728</v>
      </c>
      <c r="NJQ618" s="17">
        <v>44925</v>
      </c>
      <c r="NJR618" s="5" t="s">
        <v>3728</v>
      </c>
      <c r="NJS618" s="17">
        <v>44925</v>
      </c>
      <c r="NJT618" s="5" t="s">
        <v>3728</v>
      </c>
      <c r="NJU618" s="17">
        <v>44925</v>
      </c>
      <c r="NJV618" s="5" t="s">
        <v>3728</v>
      </c>
      <c r="NJW618" s="17">
        <v>44925</v>
      </c>
      <c r="NJX618" s="5" t="s">
        <v>3728</v>
      </c>
      <c r="NJY618" s="17">
        <v>44925</v>
      </c>
      <c r="NJZ618" s="5" t="s">
        <v>3728</v>
      </c>
      <c r="NKA618" s="17">
        <v>44925</v>
      </c>
      <c r="NKB618" s="5" t="s">
        <v>3728</v>
      </c>
      <c r="NKC618" s="17">
        <v>44925</v>
      </c>
      <c r="NKD618" s="5" t="s">
        <v>3728</v>
      </c>
      <c r="NKE618" s="17">
        <v>44925</v>
      </c>
      <c r="NKF618" s="5" t="s">
        <v>3728</v>
      </c>
      <c r="NKG618" s="17">
        <v>44925</v>
      </c>
      <c r="NKH618" s="5" t="s">
        <v>3728</v>
      </c>
      <c r="NKI618" s="17">
        <v>44925</v>
      </c>
      <c r="NKJ618" s="5" t="s">
        <v>3728</v>
      </c>
      <c r="NKK618" s="17">
        <v>44925</v>
      </c>
      <c r="NKL618" s="5" t="s">
        <v>3728</v>
      </c>
      <c r="NKM618" s="17">
        <v>44925</v>
      </c>
      <c r="NKN618" s="5" t="s">
        <v>3728</v>
      </c>
      <c r="NKO618" s="17">
        <v>44925</v>
      </c>
      <c r="NKP618" s="5" t="s">
        <v>3728</v>
      </c>
      <c r="NKQ618" s="17">
        <v>44925</v>
      </c>
      <c r="NKR618" s="5" t="s">
        <v>3728</v>
      </c>
      <c r="NKS618" s="17">
        <v>44925</v>
      </c>
      <c r="NKT618" s="5" t="s">
        <v>3728</v>
      </c>
      <c r="NKU618" s="17">
        <v>44925</v>
      </c>
      <c r="NKV618" s="5" t="s">
        <v>3728</v>
      </c>
      <c r="NKW618" s="17">
        <v>44925</v>
      </c>
      <c r="NKX618" s="5" t="s">
        <v>3728</v>
      </c>
      <c r="NKY618" s="17">
        <v>44925</v>
      </c>
      <c r="NKZ618" s="5" t="s">
        <v>3728</v>
      </c>
      <c r="NLA618" s="17">
        <v>44925</v>
      </c>
      <c r="NLB618" s="5" t="s">
        <v>3728</v>
      </c>
      <c r="NLC618" s="17">
        <v>44925</v>
      </c>
      <c r="NLD618" s="5" t="s">
        <v>3728</v>
      </c>
      <c r="NLE618" s="17">
        <v>44925</v>
      </c>
      <c r="NLF618" s="5" t="s">
        <v>3728</v>
      </c>
      <c r="NLG618" s="17">
        <v>44925</v>
      </c>
      <c r="NLH618" s="5" t="s">
        <v>3728</v>
      </c>
      <c r="NLI618" s="17">
        <v>44925</v>
      </c>
      <c r="NLJ618" s="5" t="s">
        <v>3728</v>
      </c>
      <c r="NLK618" s="17">
        <v>44925</v>
      </c>
      <c r="NLL618" s="5" t="s">
        <v>3728</v>
      </c>
      <c r="NLM618" s="17">
        <v>44925</v>
      </c>
      <c r="NLN618" s="5" t="s">
        <v>3728</v>
      </c>
      <c r="NLO618" s="17">
        <v>44925</v>
      </c>
      <c r="NLP618" s="5" t="s">
        <v>3728</v>
      </c>
      <c r="NLQ618" s="17">
        <v>44925</v>
      </c>
      <c r="NLR618" s="5" t="s">
        <v>3728</v>
      </c>
      <c r="NLS618" s="17">
        <v>44925</v>
      </c>
      <c r="NLT618" s="5" t="s">
        <v>3728</v>
      </c>
      <c r="NLU618" s="17">
        <v>44925</v>
      </c>
      <c r="NLV618" s="5" t="s">
        <v>3728</v>
      </c>
      <c r="NLW618" s="17">
        <v>44925</v>
      </c>
      <c r="NLX618" s="5" t="s">
        <v>3728</v>
      </c>
      <c r="NLY618" s="17">
        <v>44925</v>
      </c>
      <c r="NLZ618" s="5" t="s">
        <v>3728</v>
      </c>
      <c r="NMA618" s="17">
        <v>44925</v>
      </c>
      <c r="NMB618" s="5" t="s">
        <v>3728</v>
      </c>
      <c r="NMC618" s="17">
        <v>44925</v>
      </c>
      <c r="NMD618" s="5" t="s">
        <v>3728</v>
      </c>
      <c r="NME618" s="17">
        <v>44925</v>
      </c>
      <c r="NMF618" s="5" t="s">
        <v>3728</v>
      </c>
      <c r="NMG618" s="17">
        <v>44925</v>
      </c>
      <c r="NMH618" s="5" t="s">
        <v>3728</v>
      </c>
      <c r="NMI618" s="17">
        <v>44925</v>
      </c>
      <c r="NMJ618" s="5" t="s">
        <v>3728</v>
      </c>
      <c r="NMK618" s="17">
        <v>44925</v>
      </c>
      <c r="NML618" s="5" t="s">
        <v>3728</v>
      </c>
      <c r="NMM618" s="17">
        <v>44925</v>
      </c>
      <c r="NMN618" s="5" t="s">
        <v>3728</v>
      </c>
      <c r="NMO618" s="17">
        <v>44925</v>
      </c>
      <c r="NMP618" s="5" t="s">
        <v>3728</v>
      </c>
      <c r="NMQ618" s="17">
        <v>44925</v>
      </c>
      <c r="NMR618" s="5" t="s">
        <v>3728</v>
      </c>
      <c r="NMS618" s="17">
        <v>44925</v>
      </c>
      <c r="NMT618" s="5" t="s">
        <v>3728</v>
      </c>
      <c r="NMU618" s="17">
        <v>44925</v>
      </c>
      <c r="NMV618" s="5" t="s">
        <v>3728</v>
      </c>
      <c r="NMW618" s="17">
        <v>44925</v>
      </c>
      <c r="NMX618" s="5" t="s">
        <v>3728</v>
      </c>
      <c r="NMY618" s="17">
        <v>44925</v>
      </c>
      <c r="NMZ618" s="5" t="s">
        <v>3728</v>
      </c>
      <c r="NNA618" s="17">
        <v>44925</v>
      </c>
      <c r="NNB618" s="5" t="s">
        <v>3728</v>
      </c>
      <c r="NNC618" s="17">
        <v>44925</v>
      </c>
      <c r="NND618" s="5" t="s">
        <v>3728</v>
      </c>
      <c r="NNE618" s="17">
        <v>44925</v>
      </c>
      <c r="NNF618" s="5" t="s">
        <v>3728</v>
      </c>
      <c r="NNG618" s="17">
        <v>44925</v>
      </c>
      <c r="NNH618" s="5" t="s">
        <v>3728</v>
      </c>
      <c r="NNI618" s="17">
        <v>44925</v>
      </c>
      <c r="NNJ618" s="5" t="s">
        <v>3728</v>
      </c>
      <c r="NNK618" s="17">
        <v>44925</v>
      </c>
      <c r="NNL618" s="5" t="s">
        <v>3728</v>
      </c>
      <c r="NNM618" s="17">
        <v>44925</v>
      </c>
      <c r="NNN618" s="5" t="s">
        <v>3728</v>
      </c>
      <c r="NNO618" s="17">
        <v>44925</v>
      </c>
      <c r="NNP618" s="5" t="s">
        <v>3728</v>
      </c>
      <c r="NNQ618" s="17">
        <v>44925</v>
      </c>
      <c r="NNR618" s="5" t="s">
        <v>3728</v>
      </c>
      <c r="NNS618" s="17">
        <v>44925</v>
      </c>
      <c r="NNT618" s="5" t="s">
        <v>3728</v>
      </c>
      <c r="NNU618" s="17">
        <v>44925</v>
      </c>
      <c r="NNV618" s="5" t="s">
        <v>3728</v>
      </c>
      <c r="NNW618" s="17">
        <v>44925</v>
      </c>
      <c r="NNX618" s="5" t="s">
        <v>3728</v>
      </c>
      <c r="NNY618" s="17">
        <v>44925</v>
      </c>
      <c r="NNZ618" s="5" t="s">
        <v>3728</v>
      </c>
      <c r="NOA618" s="17">
        <v>44925</v>
      </c>
      <c r="NOB618" s="5" t="s">
        <v>3728</v>
      </c>
      <c r="NOC618" s="17">
        <v>44925</v>
      </c>
      <c r="NOD618" s="5" t="s">
        <v>3728</v>
      </c>
      <c r="NOE618" s="17">
        <v>44925</v>
      </c>
      <c r="NOF618" s="5" t="s">
        <v>3728</v>
      </c>
      <c r="NOG618" s="17">
        <v>44925</v>
      </c>
      <c r="NOH618" s="5" t="s">
        <v>3728</v>
      </c>
      <c r="NOI618" s="17">
        <v>44925</v>
      </c>
      <c r="NOJ618" s="5" t="s">
        <v>3728</v>
      </c>
      <c r="NOK618" s="17">
        <v>44925</v>
      </c>
      <c r="NOL618" s="5" t="s">
        <v>3728</v>
      </c>
      <c r="NOM618" s="17">
        <v>44925</v>
      </c>
      <c r="NON618" s="5" t="s">
        <v>3728</v>
      </c>
      <c r="NOO618" s="17">
        <v>44925</v>
      </c>
      <c r="NOP618" s="5" t="s">
        <v>3728</v>
      </c>
      <c r="NOQ618" s="17">
        <v>44925</v>
      </c>
      <c r="NOR618" s="5" t="s">
        <v>3728</v>
      </c>
      <c r="NOS618" s="17">
        <v>44925</v>
      </c>
      <c r="NOT618" s="5" t="s">
        <v>3728</v>
      </c>
      <c r="NOU618" s="17">
        <v>44925</v>
      </c>
      <c r="NOV618" s="5" t="s">
        <v>3728</v>
      </c>
      <c r="NOW618" s="17">
        <v>44925</v>
      </c>
      <c r="NOX618" s="5" t="s">
        <v>3728</v>
      </c>
      <c r="NOY618" s="17">
        <v>44925</v>
      </c>
      <c r="NOZ618" s="5" t="s">
        <v>3728</v>
      </c>
      <c r="NPA618" s="17">
        <v>44925</v>
      </c>
      <c r="NPB618" s="5" t="s">
        <v>3728</v>
      </c>
      <c r="NPC618" s="17">
        <v>44925</v>
      </c>
      <c r="NPD618" s="5" t="s">
        <v>3728</v>
      </c>
      <c r="NPE618" s="17">
        <v>44925</v>
      </c>
      <c r="NPF618" s="5" t="s">
        <v>3728</v>
      </c>
      <c r="NPG618" s="17">
        <v>44925</v>
      </c>
      <c r="NPH618" s="5" t="s">
        <v>3728</v>
      </c>
      <c r="NPI618" s="17">
        <v>44925</v>
      </c>
      <c r="NPJ618" s="5" t="s">
        <v>3728</v>
      </c>
      <c r="NPK618" s="17">
        <v>44925</v>
      </c>
      <c r="NPL618" s="5" t="s">
        <v>3728</v>
      </c>
      <c r="NPM618" s="17">
        <v>44925</v>
      </c>
      <c r="NPN618" s="5" t="s">
        <v>3728</v>
      </c>
      <c r="NPO618" s="17">
        <v>44925</v>
      </c>
      <c r="NPP618" s="5" t="s">
        <v>3728</v>
      </c>
      <c r="NPQ618" s="17">
        <v>44925</v>
      </c>
      <c r="NPR618" s="5" t="s">
        <v>3728</v>
      </c>
      <c r="NPS618" s="17">
        <v>44925</v>
      </c>
      <c r="NPT618" s="5" t="s">
        <v>3728</v>
      </c>
      <c r="NPU618" s="17">
        <v>44925</v>
      </c>
      <c r="NPV618" s="5" t="s">
        <v>3728</v>
      </c>
      <c r="NPW618" s="17">
        <v>44925</v>
      </c>
      <c r="NPX618" s="5" t="s">
        <v>3728</v>
      </c>
      <c r="NPY618" s="17">
        <v>44925</v>
      </c>
      <c r="NPZ618" s="5" t="s">
        <v>3728</v>
      </c>
      <c r="NQA618" s="17">
        <v>44925</v>
      </c>
      <c r="NQB618" s="5" t="s">
        <v>3728</v>
      </c>
      <c r="NQC618" s="17">
        <v>44925</v>
      </c>
      <c r="NQD618" s="5" t="s">
        <v>3728</v>
      </c>
      <c r="NQE618" s="17">
        <v>44925</v>
      </c>
      <c r="NQF618" s="5" t="s">
        <v>3728</v>
      </c>
      <c r="NQG618" s="17">
        <v>44925</v>
      </c>
      <c r="NQH618" s="5" t="s">
        <v>3728</v>
      </c>
      <c r="NQI618" s="17">
        <v>44925</v>
      </c>
      <c r="NQJ618" s="5" t="s">
        <v>3728</v>
      </c>
      <c r="NQK618" s="17">
        <v>44925</v>
      </c>
      <c r="NQL618" s="5" t="s">
        <v>3728</v>
      </c>
      <c r="NQM618" s="17">
        <v>44925</v>
      </c>
      <c r="NQN618" s="5" t="s">
        <v>3728</v>
      </c>
      <c r="NQO618" s="17">
        <v>44925</v>
      </c>
      <c r="NQP618" s="5" t="s">
        <v>3728</v>
      </c>
      <c r="NQQ618" s="17">
        <v>44925</v>
      </c>
      <c r="NQR618" s="5" t="s">
        <v>3728</v>
      </c>
      <c r="NQS618" s="17">
        <v>44925</v>
      </c>
      <c r="NQT618" s="5" t="s">
        <v>3728</v>
      </c>
      <c r="NQU618" s="17">
        <v>44925</v>
      </c>
      <c r="NQV618" s="5" t="s">
        <v>3728</v>
      </c>
      <c r="NQW618" s="17">
        <v>44925</v>
      </c>
      <c r="NQX618" s="5" t="s">
        <v>3728</v>
      </c>
      <c r="NQY618" s="17">
        <v>44925</v>
      </c>
      <c r="NQZ618" s="5" t="s">
        <v>3728</v>
      </c>
      <c r="NRA618" s="17">
        <v>44925</v>
      </c>
      <c r="NRB618" s="5" t="s">
        <v>3728</v>
      </c>
      <c r="NRC618" s="17">
        <v>44925</v>
      </c>
      <c r="NRD618" s="5" t="s">
        <v>3728</v>
      </c>
      <c r="NRE618" s="17">
        <v>44925</v>
      </c>
      <c r="NRF618" s="5" t="s">
        <v>3728</v>
      </c>
      <c r="NRG618" s="17">
        <v>44925</v>
      </c>
      <c r="NRH618" s="5" t="s">
        <v>3728</v>
      </c>
      <c r="NRI618" s="17">
        <v>44925</v>
      </c>
      <c r="NRJ618" s="5" t="s">
        <v>3728</v>
      </c>
      <c r="NRK618" s="17">
        <v>44925</v>
      </c>
      <c r="NRL618" s="5" t="s">
        <v>3728</v>
      </c>
      <c r="NRM618" s="17">
        <v>44925</v>
      </c>
      <c r="NRN618" s="5" t="s">
        <v>3728</v>
      </c>
      <c r="NRO618" s="17">
        <v>44925</v>
      </c>
      <c r="NRP618" s="5" t="s">
        <v>3728</v>
      </c>
      <c r="NRQ618" s="17">
        <v>44925</v>
      </c>
      <c r="NRR618" s="5" t="s">
        <v>3728</v>
      </c>
      <c r="NRS618" s="17">
        <v>44925</v>
      </c>
      <c r="NRT618" s="5" t="s">
        <v>3728</v>
      </c>
      <c r="NRU618" s="17">
        <v>44925</v>
      </c>
      <c r="NRV618" s="5" t="s">
        <v>3728</v>
      </c>
      <c r="NRW618" s="17">
        <v>44925</v>
      </c>
      <c r="NRX618" s="5" t="s">
        <v>3728</v>
      </c>
      <c r="NRY618" s="17">
        <v>44925</v>
      </c>
      <c r="NRZ618" s="5" t="s">
        <v>3728</v>
      </c>
      <c r="NSA618" s="17">
        <v>44925</v>
      </c>
      <c r="NSB618" s="5" t="s">
        <v>3728</v>
      </c>
      <c r="NSC618" s="17">
        <v>44925</v>
      </c>
      <c r="NSD618" s="5" t="s">
        <v>3728</v>
      </c>
      <c r="NSE618" s="17">
        <v>44925</v>
      </c>
      <c r="NSF618" s="5" t="s">
        <v>3728</v>
      </c>
      <c r="NSG618" s="17">
        <v>44925</v>
      </c>
      <c r="NSH618" s="5" t="s">
        <v>3728</v>
      </c>
      <c r="NSI618" s="17">
        <v>44925</v>
      </c>
      <c r="NSJ618" s="5" t="s">
        <v>3728</v>
      </c>
      <c r="NSK618" s="17">
        <v>44925</v>
      </c>
      <c r="NSL618" s="5" t="s">
        <v>3728</v>
      </c>
      <c r="NSM618" s="17">
        <v>44925</v>
      </c>
      <c r="NSN618" s="5" t="s">
        <v>3728</v>
      </c>
      <c r="NSO618" s="17">
        <v>44925</v>
      </c>
      <c r="NSP618" s="5" t="s">
        <v>3728</v>
      </c>
      <c r="NSQ618" s="17">
        <v>44925</v>
      </c>
      <c r="NSR618" s="5" t="s">
        <v>3728</v>
      </c>
      <c r="NSS618" s="17">
        <v>44925</v>
      </c>
      <c r="NST618" s="5" t="s">
        <v>3728</v>
      </c>
      <c r="NSU618" s="17">
        <v>44925</v>
      </c>
      <c r="NSV618" s="5" t="s">
        <v>3728</v>
      </c>
      <c r="NSW618" s="17">
        <v>44925</v>
      </c>
      <c r="NSX618" s="5" t="s">
        <v>3728</v>
      </c>
      <c r="NSY618" s="17">
        <v>44925</v>
      </c>
      <c r="NSZ618" s="5" t="s">
        <v>3728</v>
      </c>
      <c r="NTA618" s="17">
        <v>44925</v>
      </c>
      <c r="NTB618" s="5" t="s">
        <v>3728</v>
      </c>
      <c r="NTC618" s="17">
        <v>44925</v>
      </c>
      <c r="NTD618" s="5" t="s">
        <v>3728</v>
      </c>
      <c r="NTE618" s="17">
        <v>44925</v>
      </c>
      <c r="NTF618" s="5" t="s">
        <v>3728</v>
      </c>
      <c r="NTG618" s="17">
        <v>44925</v>
      </c>
      <c r="NTH618" s="5" t="s">
        <v>3728</v>
      </c>
      <c r="NTI618" s="17">
        <v>44925</v>
      </c>
      <c r="NTJ618" s="5" t="s">
        <v>3728</v>
      </c>
      <c r="NTK618" s="17">
        <v>44925</v>
      </c>
      <c r="NTL618" s="5" t="s">
        <v>3728</v>
      </c>
      <c r="NTM618" s="17">
        <v>44925</v>
      </c>
      <c r="NTN618" s="5" t="s">
        <v>3728</v>
      </c>
      <c r="NTO618" s="17">
        <v>44925</v>
      </c>
      <c r="NTP618" s="5" t="s">
        <v>3728</v>
      </c>
      <c r="NTQ618" s="17">
        <v>44925</v>
      </c>
      <c r="NTR618" s="5" t="s">
        <v>3728</v>
      </c>
      <c r="NTS618" s="17">
        <v>44925</v>
      </c>
      <c r="NTT618" s="5" t="s">
        <v>3728</v>
      </c>
      <c r="NTU618" s="17">
        <v>44925</v>
      </c>
      <c r="NTV618" s="5" t="s">
        <v>3728</v>
      </c>
      <c r="NTW618" s="17">
        <v>44925</v>
      </c>
      <c r="NTX618" s="5" t="s">
        <v>3728</v>
      </c>
      <c r="NTY618" s="17">
        <v>44925</v>
      </c>
      <c r="NTZ618" s="5" t="s">
        <v>3728</v>
      </c>
      <c r="NUA618" s="17">
        <v>44925</v>
      </c>
      <c r="NUB618" s="5" t="s">
        <v>3728</v>
      </c>
      <c r="NUC618" s="17">
        <v>44925</v>
      </c>
      <c r="NUD618" s="5" t="s">
        <v>3728</v>
      </c>
      <c r="NUE618" s="17">
        <v>44925</v>
      </c>
      <c r="NUF618" s="5" t="s">
        <v>3728</v>
      </c>
      <c r="NUG618" s="17">
        <v>44925</v>
      </c>
      <c r="NUH618" s="5" t="s">
        <v>3728</v>
      </c>
      <c r="NUI618" s="17">
        <v>44925</v>
      </c>
      <c r="NUJ618" s="5" t="s">
        <v>3728</v>
      </c>
      <c r="NUK618" s="17">
        <v>44925</v>
      </c>
      <c r="NUL618" s="5" t="s">
        <v>3728</v>
      </c>
      <c r="NUM618" s="17">
        <v>44925</v>
      </c>
      <c r="NUN618" s="5" t="s">
        <v>3728</v>
      </c>
      <c r="NUO618" s="17">
        <v>44925</v>
      </c>
      <c r="NUP618" s="5" t="s">
        <v>3728</v>
      </c>
      <c r="NUQ618" s="17">
        <v>44925</v>
      </c>
      <c r="NUR618" s="5" t="s">
        <v>3728</v>
      </c>
      <c r="NUS618" s="17">
        <v>44925</v>
      </c>
      <c r="NUT618" s="5" t="s">
        <v>3728</v>
      </c>
      <c r="NUU618" s="17">
        <v>44925</v>
      </c>
      <c r="NUV618" s="5" t="s">
        <v>3728</v>
      </c>
      <c r="NUW618" s="17">
        <v>44925</v>
      </c>
      <c r="NUX618" s="5" t="s">
        <v>3728</v>
      </c>
      <c r="NUY618" s="17">
        <v>44925</v>
      </c>
      <c r="NUZ618" s="5" t="s">
        <v>3728</v>
      </c>
      <c r="NVA618" s="17">
        <v>44925</v>
      </c>
      <c r="NVB618" s="5" t="s">
        <v>3728</v>
      </c>
      <c r="NVC618" s="17">
        <v>44925</v>
      </c>
      <c r="NVD618" s="5" t="s">
        <v>3728</v>
      </c>
      <c r="NVE618" s="17">
        <v>44925</v>
      </c>
      <c r="NVF618" s="5" t="s">
        <v>3728</v>
      </c>
      <c r="NVG618" s="17">
        <v>44925</v>
      </c>
      <c r="NVH618" s="5" t="s">
        <v>3728</v>
      </c>
      <c r="NVI618" s="17">
        <v>44925</v>
      </c>
      <c r="NVJ618" s="5" t="s">
        <v>3728</v>
      </c>
      <c r="NVK618" s="17">
        <v>44925</v>
      </c>
      <c r="NVL618" s="5" t="s">
        <v>3728</v>
      </c>
      <c r="NVM618" s="17">
        <v>44925</v>
      </c>
      <c r="NVN618" s="5" t="s">
        <v>3728</v>
      </c>
      <c r="NVO618" s="17">
        <v>44925</v>
      </c>
      <c r="NVP618" s="5" t="s">
        <v>3728</v>
      </c>
      <c r="NVQ618" s="17">
        <v>44925</v>
      </c>
      <c r="NVR618" s="5" t="s">
        <v>3728</v>
      </c>
      <c r="NVS618" s="17">
        <v>44925</v>
      </c>
      <c r="NVT618" s="5" t="s">
        <v>3728</v>
      </c>
      <c r="NVU618" s="17">
        <v>44925</v>
      </c>
      <c r="NVV618" s="5" t="s">
        <v>3728</v>
      </c>
      <c r="NVW618" s="17">
        <v>44925</v>
      </c>
      <c r="NVX618" s="5" t="s">
        <v>3728</v>
      </c>
      <c r="NVY618" s="17">
        <v>44925</v>
      </c>
      <c r="NVZ618" s="5" t="s">
        <v>3728</v>
      </c>
      <c r="NWA618" s="17">
        <v>44925</v>
      </c>
      <c r="NWB618" s="5" t="s">
        <v>3728</v>
      </c>
      <c r="NWC618" s="17">
        <v>44925</v>
      </c>
      <c r="NWD618" s="5" t="s">
        <v>3728</v>
      </c>
      <c r="NWE618" s="17">
        <v>44925</v>
      </c>
      <c r="NWF618" s="5" t="s">
        <v>3728</v>
      </c>
      <c r="NWG618" s="17">
        <v>44925</v>
      </c>
      <c r="NWH618" s="5" t="s">
        <v>3728</v>
      </c>
      <c r="NWI618" s="17">
        <v>44925</v>
      </c>
      <c r="NWJ618" s="5" t="s">
        <v>3728</v>
      </c>
      <c r="NWK618" s="17">
        <v>44925</v>
      </c>
      <c r="NWL618" s="5" t="s">
        <v>3728</v>
      </c>
      <c r="NWM618" s="17">
        <v>44925</v>
      </c>
      <c r="NWN618" s="5" t="s">
        <v>3728</v>
      </c>
      <c r="NWO618" s="17">
        <v>44925</v>
      </c>
      <c r="NWP618" s="5" t="s">
        <v>3728</v>
      </c>
      <c r="NWQ618" s="17">
        <v>44925</v>
      </c>
      <c r="NWR618" s="5" t="s">
        <v>3728</v>
      </c>
      <c r="NWS618" s="17">
        <v>44925</v>
      </c>
      <c r="NWT618" s="5" t="s">
        <v>3728</v>
      </c>
      <c r="NWU618" s="17">
        <v>44925</v>
      </c>
      <c r="NWV618" s="5" t="s">
        <v>3728</v>
      </c>
      <c r="NWW618" s="17">
        <v>44925</v>
      </c>
      <c r="NWX618" s="5" t="s">
        <v>3728</v>
      </c>
      <c r="NWY618" s="17">
        <v>44925</v>
      </c>
      <c r="NWZ618" s="5" t="s">
        <v>3728</v>
      </c>
      <c r="NXA618" s="17">
        <v>44925</v>
      </c>
      <c r="NXB618" s="5" t="s">
        <v>3728</v>
      </c>
      <c r="NXC618" s="17">
        <v>44925</v>
      </c>
      <c r="NXD618" s="5" t="s">
        <v>3728</v>
      </c>
      <c r="NXE618" s="17">
        <v>44925</v>
      </c>
      <c r="NXF618" s="5" t="s">
        <v>3728</v>
      </c>
      <c r="NXG618" s="17">
        <v>44925</v>
      </c>
      <c r="NXH618" s="5" t="s">
        <v>3728</v>
      </c>
      <c r="NXI618" s="17">
        <v>44925</v>
      </c>
      <c r="NXJ618" s="5" t="s">
        <v>3728</v>
      </c>
      <c r="NXK618" s="17">
        <v>44925</v>
      </c>
      <c r="NXL618" s="5" t="s">
        <v>3728</v>
      </c>
      <c r="NXM618" s="17">
        <v>44925</v>
      </c>
      <c r="NXN618" s="5" t="s">
        <v>3728</v>
      </c>
      <c r="NXO618" s="17">
        <v>44925</v>
      </c>
      <c r="NXP618" s="5" t="s">
        <v>3728</v>
      </c>
      <c r="NXQ618" s="17">
        <v>44925</v>
      </c>
      <c r="NXR618" s="5" t="s">
        <v>3728</v>
      </c>
      <c r="NXS618" s="17">
        <v>44925</v>
      </c>
      <c r="NXT618" s="5" t="s">
        <v>3728</v>
      </c>
      <c r="NXU618" s="17">
        <v>44925</v>
      </c>
      <c r="NXV618" s="5" t="s">
        <v>3728</v>
      </c>
      <c r="NXW618" s="17">
        <v>44925</v>
      </c>
      <c r="NXX618" s="5" t="s">
        <v>3728</v>
      </c>
      <c r="NXY618" s="17">
        <v>44925</v>
      </c>
      <c r="NXZ618" s="5" t="s">
        <v>3728</v>
      </c>
      <c r="NYA618" s="17">
        <v>44925</v>
      </c>
      <c r="NYB618" s="5" t="s">
        <v>3728</v>
      </c>
      <c r="NYC618" s="17">
        <v>44925</v>
      </c>
      <c r="NYD618" s="5" t="s">
        <v>3728</v>
      </c>
      <c r="NYE618" s="17">
        <v>44925</v>
      </c>
      <c r="NYF618" s="5" t="s">
        <v>3728</v>
      </c>
      <c r="NYG618" s="17">
        <v>44925</v>
      </c>
      <c r="NYH618" s="5" t="s">
        <v>3728</v>
      </c>
      <c r="NYI618" s="17">
        <v>44925</v>
      </c>
      <c r="NYJ618" s="5" t="s">
        <v>3728</v>
      </c>
      <c r="NYK618" s="17">
        <v>44925</v>
      </c>
      <c r="NYL618" s="5" t="s">
        <v>3728</v>
      </c>
      <c r="NYM618" s="17">
        <v>44925</v>
      </c>
      <c r="NYN618" s="5" t="s">
        <v>3728</v>
      </c>
      <c r="NYO618" s="17">
        <v>44925</v>
      </c>
      <c r="NYP618" s="5" t="s">
        <v>3728</v>
      </c>
      <c r="NYQ618" s="17">
        <v>44925</v>
      </c>
      <c r="NYR618" s="5" t="s">
        <v>3728</v>
      </c>
      <c r="NYS618" s="17">
        <v>44925</v>
      </c>
      <c r="NYT618" s="5" t="s">
        <v>3728</v>
      </c>
      <c r="NYU618" s="17">
        <v>44925</v>
      </c>
      <c r="NYV618" s="5" t="s">
        <v>3728</v>
      </c>
      <c r="NYW618" s="17">
        <v>44925</v>
      </c>
      <c r="NYX618" s="5" t="s">
        <v>3728</v>
      </c>
      <c r="NYY618" s="17">
        <v>44925</v>
      </c>
      <c r="NYZ618" s="5" t="s">
        <v>3728</v>
      </c>
      <c r="NZA618" s="17">
        <v>44925</v>
      </c>
      <c r="NZB618" s="5" t="s">
        <v>3728</v>
      </c>
      <c r="NZC618" s="17">
        <v>44925</v>
      </c>
      <c r="NZD618" s="5" t="s">
        <v>3728</v>
      </c>
      <c r="NZE618" s="17">
        <v>44925</v>
      </c>
      <c r="NZF618" s="5" t="s">
        <v>3728</v>
      </c>
      <c r="NZG618" s="17">
        <v>44925</v>
      </c>
      <c r="NZH618" s="5" t="s">
        <v>3728</v>
      </c>
      <c r="NZI618" s="17">
        <v>44925</v>
      </c>
      <c r="NZJ618" s="5" t="s">
        <v>3728</v>
      </c>
      <c r="NZK618" s="17">
        <v>44925</v>
      </c>
      <c r="NZL618" s="5" t="s">
        <v>3728</v>
      </c>
      <c r="NZM618" s="17">
        <v>44925</v>
      </c>
      <c r="NZN618" s="5" t="s">
        <v>3728</v>
      </c>
      <c r="NZO618" s="17">
        <v>44925</v>
      </c>
      <c r="NZP618" s="5" t="s">
        <v>3728</v>
      </c>
      <c r="NZQ618" s="17">
        <v>44925</v>
      </c>
      <c r="NZR618" s="5" t="s">
        <v>3728</v>
      </c>
      <c r="NZS618" s="17">
        <v>44925</v>
      </c>
      <c r="NZT618" s="5" t="s">
        <v>3728</v>
      </c>
      <c r="NZU618" s="17">
        <v>44925</v>
      </c>
      <c r="NZV618" s="5" t="s">
        <v>3728</v>
      </c>
      <c r="NZW618" s="17">
        <v>44925</v>
      </c>
      <c r="NZX618" s="5" t="s">
        <v>3728</v>
      </c>
      <c r="NZY618" s="17">
        <v>44925</v>
      </c>
      <c r="NZZ618" s="5" t="s">
        <v>3728</v>
      </c>
      <c r="OAA618" s="17">
        <v>44925</v>
      </c>
      <c r="OAB618" s="5" t="s">
        <v>3728</v>
      </c>
      <c r="OAC618" s="17">
        <v>44925</v>
      </c>
      <c r="OAD618" s="5" t="s">
        <v>3728</v>
      </c>
      <c r="OAE618" s="17">
        <v>44925</v>
      </c>
      <c r="OAF618" s="5" t="s">
        <v>3728</v>
      </c>
      <c r="OAG618" s="17">
        <v>44925</v>
      </c>
      <c r="OAH618" s="5" t="s">
        <v>3728</v>
      </c>
      <c r="OAI618" s="17">
        <v>44925</v>
      </c>
      <c r="OAJ618" s="5" t="s">
        <v>3728</v>
      </c>
      <c r="OAK618" s="17">
        <v>44925</v>
      </c>
      <c r="OAL618" s="5" t="s">
        <v>3728</v>
      </c>
      <c r="OAM618" s="17">
        <v>44925</v>
      </c>
      <c r="OAN618" s="5" t="s">
        <v>3728</v>
      </c>
      <c r="OAO618" s="17">
        <v>44925</v>
      </c>
      <c r="OAP618" s="5" t="s">
        <v>3728</v>
      </c>
      <c r="OAQ618" s="17">
        <v>44925</v>
      </c>
      <c r="OAR618" s="5" t="s">
        <v>3728</v>
      </c>
      <c r="OAS618" s="17">
        <v>44925</v>
      </c>
      <c r="OAT618" s="5" t="s">
        <v>3728</v>
      </c>
      <c r="OAU618" s="17">
        <v>44925</v>
      </c>
      <c r="OAV618" s="5" t="s">
        <v>3728</v>
      </c>
      <c r="OAW618" s="17">
        <v>44925</v>
      </c>
      <c r="OAX618" s="5" t="s">
        <v>3728</v>
      </c>
      <c r="OAY618" s="17">
        <v>44925</v>
      </c>
      <c r="OAZ618" s="5" t="s">
        <v>3728</v>
      </c>
      <c r="OBA618" s="17">
        <v>44925</v>
      </c>
      <c r="OBB618" s="5" t="s">
        <v>3728</v>
      </c>
      <c r="OBC618" s="17">
        <v>44925</v>
      </c>
      <c r="OBD618" s="5" t="s">
        <v>3728</v>
      </c>
      <c r="OBE618" s="17">
        <v>44925</v>
      </c>
      <c r="OBF618" s="5" t="s">
        <v>3728</v>
      </c>
      <c r="OBG618" s="17">
        <v>44925</v>
      </c>
      <c r="OBH618" s="5" t="s">
        <v>3728</v>
      </c>
      <c r="OBI618" s="17">
        <v>44925</v>
      </c>
      <c r="OBJ618" s="5" t="s">
        <v>3728</v>
      </c>
      <c r="OBK618" s="17">
        <v>44925</v>
      </c>
      <c r="OBL618" s="5" t="s">
        <v>3728</v>
      </c>
      <c r="OBM618" s="17">
        <v>44925</v>
      </c>
      <c r="OBN618" s="5" t="s">
        <v>3728</v>
      </c>
      <c r="OBO618" s="17">
        <v>44925</v>
      </c>
      <c r="OBP618" s="5" t="s">
        <v>3728</v>
      </c>
      <c r="OBQ618" s="17">
        <v>44925</v>
      </c>
      <c r="OBR618" s="5" t="s">
        <v>3728</v>
      </c>
      <c r="OBS618" s="17">
        <v>44925</v>
      </c>
      <c r="OBT618" s="5" t="s">
        <v>3728</v>
      </c>
      <c r="OBU618" s="17">
        <v>44925</v>
      </c>
      <c r="OBV618" s="5" t="s">
        <v>3728</v>
      </c>
      <c r="OBW618" s="17">
        <v>44925</v>
      </c>
      <c r="OBX618" s="5" t="s">
        <v>3728</v>
      </c>
      <c r="OBY618" s="17">
        <v>44925</v>
      </c>
      <c r="OBZ618" s="5" t="s">
        <v>3728</v>
      </c>
      <c r="OCA618" s="17">
        <v>44925</v>
      </c>
      <c r="OCB618" s="5" t="s">
        <v>3728</v>
      </c>
      <c r="OCC618" s="17">
        <v>44925</v>
      </c>
      <c r="OCD618" s="5" t="s">
        <v>3728</v>
      </c>
      <c r="OCE618" s="17">
        <v>44925</v>
      </c>
      <c r="OCF618" s="5" t="s">
        <v>3728</v>
      </c>
      <c r="OCG618" s="17">
        <v>44925</v>
      </c>
      <c r="OCH618" s="5" t="s">
        <v>3728</v>
      </c>
      <c r="OCI618" s="17">
        <v>44925</v>
      </c>
      <c r="OCJ618" s="5" t="s">
        <v>3728</v>
      </c>
      <c r="OCK618" s="17">
        <v>44925</v>
      </c>
      <c r="OCL618" s="5" t="s">
        <v>3728</v>
      </c>
      <c r="OCM618" s="17">
        <v>44925</v>
      </c>
      <c r="OCN618" s="5" t="s">
        <v>3728</v>
      </c>
      <c r="OCO618" s="17">
        <v>44925</v>
      </c>
      <c r="OCP618" s="5" t="s">
        <v>3728</v>
      </c>
      <c r="OCQ618" s="17">
        <v>44925</v>
      </c>
      <c r="OCR618" s="5" t="s">
        <v>3728</v>
      </c>
      <c r="OCS618" s="17">
        <v>44925</v>
      </c>
      <c r="OCT618" s="5" t="s">
        <v>3728</v>
      </c>
      <c r="OCU618" s="17">
        <v>44925</v>
      </c>
      <c r="OCV618" s="5" t="s">
        <v>3728</v>
      </c>
      <c r="OCW618" s="17">
        <v>44925</v>
      </c>
      <c r="OCX618" s="5" t="s">
        <v>3728</v>
      </c>
      <c r="OCY618" s="17">
        <v>44925</v>
      </c>
      <c r="OCZ618" s="5" t="s">
        <v>3728</v>
      </c>
      <c r="ODA618" s="17">
        <v>44925</v>
      </c>
      <c r="ODB618" s="5" t="s">
        <v>3728</v>
      </c>
      <c r="ODC618" s="17">
        <v>44925</v>
      </c>
      <c r="ODD618" s="5" t="s">
        <v>3728</v>
      </c>
      <c r="ODE618" s="17">
        <v>44925</v>
      </c>
      <c r="ODF618" s="5" t="s">
        <v>3728</v>
      </c>
      <c r="ODG618" s="17">
        <v>44925</v>
      </c>
      <c r="ODH618" s="5" t="s">
        <v>3728</v>
      </c>
      <c r="ODI618" s="17">
        <v>44925</v>
      </c>
      <c r="ODJ618" s="5" t="s">
        <v>3728</v>
      </c>
      <c r="ODK618" s="17">
        <v>44925</v>
      </c>
      <c r="ODL618" s="5" t="s">
        <v>3728</v>
      </c>
      <c r="ODM618" s="17">
        <v>44925</v>
      </c>
      <c r="ODN618" s="5" t="s">
        <v>3728</v>
      </c>
      <c r="ODO618" s="17">
        <v>44925</v>
      </c>
      <c r="ODP618" s="5" t="s">
        <v>3728</v>
      </c>
      <c r="ODQ618" s="17">
        <v>44925</v>
      </c>
      <c r="ODR618" s="5" t="s">
        <v>3728</v>
      </c>
      <c r="ODS618" s="17">
        <v>44925</v>
      </c>
      <c r="ODT618" s="5" t="s">
        <v>3728</v>
      </c>
      <c r="ODU618" s="17">
        <v>44925</v>
      </c>
      <c r="ODV618" s="5" t="s">
        <v>3728</v>
      </c>
      <c r="ODW618" s="17">
        <v>44925</v>
      </c>
      <c r="ODX618" s="5" t="s">
        <v>3728</v>
      </c>
      <c r="ODY618" s="17">
        <v>44925</v>
      </c>
      <c r="ODZ618" s="5" t="s">
        <v>3728</v>
      </c>
      <c r="OEA618" s="17">
        <v>44925</v>
      </c>
      <c r="OEB618" s="5" t="s">
        <v>3728</v>
      </c>
      <c r="OEC618" s="17">
        <v>44925</v>
      </c>
      <c r="OED618" s="5" t="s">
        <v>3728</v>
      </c>
      <c r="OEE618" s="17">
        <v>44925</v>
      </c>
      <c r="OEF618" s="5" t="s">
        <v>3728</v>
      </c>
      <c r="OEG618" s="17">
        <v>44925</v>
      </c>
      <c r="OEH618" s="5" t="s">
        <v>3728</v>
      </c>
      <c r="OEI618" s="17">
        <v>44925</v>
      </c>
      <c r="OEJ618" s="5" t="s">
        <v>3728</v>
      </c>
      <c r="OEK618" s="17">
        <v>44925</v>
      </c>
      <c r="OEL618" s="5" t="s">
        <v>3728</v>
      </c>
      <c r="OEM618" s="17">
        <v>44925</v>
      </c>
      <c r="OEN618" s="5" t="s">
        <v>3728</v>
      </c>
      <c r="OEO618" s="17">
        <v>44925</v>
      </c>
      <c r="OEP618" s="5" t="s">
        <v>3728</v>
      </c>
      <c r="OEQ618" s="17">
        <v>44925</v>
      </c>
      <c r="OER618" s="5" t="s">
        <v>3728</v>
      </c>
      <c r="OES618" s="17">
        <v>44925</v>
      </c>
      <c r="OET618" s="5" t="s">
        <v>3728</v>
      </c>
      <c r="OEU618" s="17">
        <v>44925</v>
      </c>
      <c r="OEV618" s="5" t="s">
        <v>3728</v>
      </c>
      <c r="OEW618" s="17">
        <v>44925</v>
      </c>
      <c r="OEX618" s="5" t="s">
        <v>3728</v>
      </c>
      <c r="OEY618" s="17">
        <v>44925</v>
      </c>
      <c r="OEZ618" s="5" t="s">
        <v>3728</v>
      </c>
      <c r="OFA618" s="17">
        <v>44925</v>
      </c>
      <c r="OFB618" s="5" t="s">
        <v>3728</v>
      </c>
      <c r="OFC618" s="17">
        <v>44925</v>
      </c>
      <c r="OFD618" s="5" t="s">
        <v>3728</v>
      </c>
      <c r="OFE618" s="17">
        <v>44925</v>
      </c>
      <c r="OFF618" s="5" t="s">
        <v>3728</v>
      </c>
      <c r="OFG618" s="17">
        <v>44925</v>
      </c>
      <c r="OFH618" s="5" t="s">
        <v>3728</v>
      </c>
      <c r="OFI618" s="17">
        <v>44925</v>
      </c>
      <c r="OFJ618" s="5" t="s">
        <v>3728</v>
      </c>
      <c r="OFK618" s="17">
        <v>44925</v>
      </c>
      <c r="OFL618" s="5" t="s">
        <v>3728</v>
      </c>
      <c r="OFM618" s="17">
        <v>44925</v>
      </c>
      <c r="OFN618" s="5" t="s">
        <v>3728</v>
      </c>
      <c r="OFO618" s="17">
        <v>44925</v>
      </c>
      <c r="OFP618" s="5" t="s">
        <v>3728</v>
      </c>
      <c r="OFQ618" s="17">
        <v>44925</v>
      </c>
      <c r="OFR618" s="5" t="s">
        <v>3728</v>
      </c>
      <c r="OFS618" s="17">
        <v>44925</v>
      </c>
      <c r="OFT618" s="5" t="s">
        <v>3728</v>
      </c>
      <c r="OFU618" s="17">
        <v>44925</v>
      </c>
      <c r="OFV618" s="5" t="s">
        <v>3728</v>
      </c>
      <c r="OFW618" s="17">
        <v>44925</v>
      </c>
      <c r="OFX618" s="5" t="s">
        <v>3728</v>
      </c>
      <c r="OFY618" s="17">
        <v>44925</v>
      </c>
      <c r="OFZ618" s="5" t="s">
        <v>3728</v>
      </c>
      <c r="OGA618" s="17">
        <v>44925</v>
      </c>
      <c r="OGB618" s="5" t="s">
        <v>3728</v>
      </c>
      <c r="OGC618" s="17">
        <v>44925</v>
      </c>
      <c r="OGD618" s="5" t="s">
        <v>3728</v>
      </c>
      <c r="OGE618" s="17">
        <v>44925</v>
      </c>
      <c r="OGF618" s="5" t="s">
        <v>3728</v>
      </c>
      <c r="OGG618" s="17">
        <v>44925</v>
      </c>
      <c r="OGH618" s="5" t="s">
        <v>3728</v>
      </c>
      <c r="OGI618" s="17">
        <v>44925</v>
      </c>
      <c r="OGJ618" s="5" t="s">
        <v>3728</v>
      </c>
      <c r="OGK618" s="17">
        <v>44925</v>
      </c>
      <c r="OGL618" s="5" t="s">
        <v>3728</v>
      </c>
      <c r="OGM618" s="17">
        <v>44925</v>
      </c>
      <c r="OGN618" s="5" t="s">
        <v>3728</v>
      </c>
      <c r="OGO618" s="17">
        <v>44925</v>
      </c>
      <c r="OGP618" s="5" t="s">
        <v>3728</v>
      </c>
      <c r="OGQ618" s="17">
        <v>44925</v>
      </c>
      <c r="OGR618" s="5" t="s">
        <v>3728</v>
      </c>
      <c r="OGS618" s="17">
        <v>44925</v>
      </c>
      <c r="OGT618" s="5" t="s">
        <v>3728</v>
      </c>
      <c r="OGU618" s="17">
        <v>44925</v>
      </c>
      <c r="OGV618" s="5" t="s">
        <v>3728</v>
      </c>
      <c r="OGW618" s="17">
        <v>44925</v>
      </c>
      <c r="OGX618" s="5" t="s">
        <v>3728</v>
      </c>
      <c r="OGY618" s="17">
        <v>44925</v>
      </c>
      <c r="OGZ618" s="5" t="s">
        <v>3728</v>
      </c>
      <c r="OHA618" s="17">
        <v>44925</v>
      </c>
      <c r="OHB618" s="5" t="s">
        <v>3728</v>
      </c>
      <c r="OHC618" s="17">
        <v>44925</v>
      </c>
      <c r="OHD618" s="5" t="s">
        <v>3728</v>
      </c>
      <c r="OHE618" s="17">
        <v>44925</v>
      </c>
      <c r="OHF618" s="5" t="s">
        <v>3728</v>
      </c>
      <c r="OHG618" s="17">
        <v>44925</v>
      </c>
      <c r="OHH618" s="5" t="s">
        <v>3728</v>
      </c>
      <c r="OHI618" s="17">
        <v>44925</v>
      </c>
      <c r="OHJ618" s="5" t="s">
        <v>3728</v>
      </c>
      <c r="OHK618" s="17">
        <v>44925</v>
      </c>
      <c r="OHL618" s="5" t="s">
        <v>3728</v>
      </c>
      <c r="OHM618" s="17">
        <v>44925</v>
      </c>
      <c r="OHN618" s="5" t="s">
        <v>3728</v>
      </c>
      <c r="OHO618" s="17">
        <v>44925</v>
      </c>
      <c r="OHP618" s="5" t="s">
        <v>3728</v>
      </c>
      <c r="OHQ618" s="17">
        <v>44925</v>
      </c>
      <c r="OHR618" s="5" t="s">
        <v>3728</v>
      </c>
      <c r="OHS618" s="17">
        <v>44925</v>
      </c>
      <c r="OHT618" s="5" t="s">
        <v>3728</v>
      </c>
      <c r="OHU618" s="17">
        <v>44925</v>
      </c>
      <c r="OHV618" s="5" t="s">
        <v>3728</v>
      </c>
      <c r="OHW618" s="17">
        <v>44925</v>
      </c>
      <c r="OHX618" s="5" t="s">
        <v>3728</v>
      </c>
      <c r="OHY618" s="17">
        <v>44925</v>
      </c>
      <c r="OHZ618" s="5" t="s">
        <v>3728</v>
      </c>
      <c r="OIA618" s="17">
        <v>44925</v>
      </c>
      <c r="OIB618" s="5" t="s">
        <v>3728</v>
      </c>
      <c r="OIC618" s="17">
        <v>44925</v>
      </c>
      <c r="OID618" s="5" t="s">
        <v>3728</v>
      </c>
      <c r="OIE618" s="17">
        <v>44925</v>
      </c>
      <c r="OIF618" s="5" t="s">
        <v>3728</v>
      </c>
      <c r="OIG618" s="17">
        <v>44925</v>
      </c>
      <c r="OIH618" s="5" t="s">
        <v>3728</v>
      </c>
      <c r="OII618" s="17">
        <v>44925</v>
      </c>
      <c r="OIJ618" s="5" t="s">
        <v>3728</v>
      </c>
      <c r="OIK618" s="17">
        <v>44925</v>
      </c>
      <c r="OIL618" s="5" t="s">
        <v>3728</v>
      </c>
      <c r="OIM618" s="17">
        <v>44925</v>
      </c>
      <c r="OIN618" s="5" t="s">
        <v>3728</v>
      </c>
      <c r="OIO618" s="17">
        <v>44925</v>
      </c>
      <c r="OIP618" s="5" t="s">
        <v>3728</v>
      </c>
      <c r="OIQ618" s="17">
        <v>44925</v>
      </c>
      <c r="OIR618" s="5" t="s">
        <v>3728</v>
      </c>
      <c r="OIS618" s="17">
        <v>44925</v>
      </c>
      <c r="OIT618" s="5" t="s">
        <v>3728</v>
      </c>
      <c r="OIU618" s="17">
        <v>44925</v>
      </c>
      <c r="OIV618" s="5" t="s">
        <v>3728</v>
      </c>
      <c r="OIW618" s="17">
        <v>44925</v>
      </c>
      <c r="OIX618" s="5" t="s">
        <v>3728</v>
      </c>
      <c r="OIY618" s="17">
        <v>44925</v>
      </c>
      <c r="OIZ618" s="5" t="s">
        <v>3728</v>
      </c>
      <c r="OJA618" s="17">
        <v>44925</v>
      </c>
      <c r="OJB618" s="5" t="s">
        <v>3728</v>
      </c>
      <c r="OJC618" s="17">
        <v>44925</v>
      </c>
      <c r="OJD618" s="5" t="s">
        <v>3728</v>
      </c>
      <c r="OJE618" s="17">
        <v>44925</v>
      </c>
      <c r="OJF618" s="5" t="s">
        <v>3728</v>
      </c>
      <c r="OJG618" s="17">
        <v>44925</v>
      </c>
      <c r="OJH618" s="5" t="s">
        <v>3728</v>
      </c>
      <c r="OJI618" s="17">
        <v>44925</v>
      </c>
      <c r="OJJ618" s="5" t="s">
        <v>3728</v>
      </c>
      <c r="OJK618" s="17">
        <v>44925</v>
      </c>
      <c r="OJL618" s="5" t="s">
        <v>3728</v>
      </c>
      <c r="OJM618" s="17">
        <v>44925</v>
      </c>
      <c r="OJN618" s="5" t="s">
        <v>3728</v>
      </c>
      <c r="OJO618" s="17">
        <v>44925</v>
      </c>
      <c r="OJP618" s="5" t="s">
        <v>3728</v>
      </c>
      <c r="OJQ618" s="17">
        <v>44925</v>
      </c>
      <c r="OJR618" s="5" t="s">
        <v>3728</v>
      </c>
      <c r="OJS618" s="17">
        <v>44925</v>
      </c>
      <c r="OJT618" s="5" t="s">
        <v>3728</v>
      </c>
      <c r="OJU618" s="17">
        <v>44925</v>
      </c>
      <c r="OJV618" s="5" t="s">
        <v>3728</v>
      </c>
      <c r="OJW618" s="17">
        <v>44925</v>
      </c>
      <c r="OJX618" s="5" t="s">
        <v>3728</v>
      </c>
      <c r="OJY618" s="17">
        <v>44925</v>
      </c>
      <c r="OJZ618" s="5" t="s">
        <v>3728</v>
      </c>
      <c r="OKA618" s="17">
        <v>44925</v>
      </c>
      <c r="OKB618" s="5" t="s">
        <v>3728</v>
      </c>
      <c r="OKC618" s="17">
        <v>44925</v>
      </c>
      <c r="OKD618" s="5" t="s">
        <v>3728</v>
      </c>
      <c r="OKE618" s="17">
        <v>44925</v>
      </c>
      <c r="OKF618" s="5" t="s">
        <v>3728</v>
      </c>
      <c r="OKG618" s="17">
        <v>44925</v>
      </c>
      <c r="OKH618" s="5" t="s">
        <v>3728</v>
      </c>
      <c r="OKI618" s="17">
        <v>44925</v>
      </c>
      <c r="OKJ618" s="5" t="s">
        <v>3728</v>
      </c>
      <c r="OKK618" s="17">
        <v>44925</v>
      </c>
      <c r="OKL618" s="5" t="s">
        <v>3728</v>
      </c>
      <c r="OKM618" s="17">
        <v>44925</v>
      </c>
      <c r="OKN618" s="5" t="s">
        <v>3728</v>
      </c>
      <c r="OKO618" s="17">
        <v>44925</v>
      </c>
      <c r="OKP618" s="5" t="s">
        <v>3728</v>
      </c>
      <c r="OKQ618" s="17">
        <v>44925</v>
      </c>
      <c r="OKR618" s="5" t="s">
        <v>3728</v>
      </c>
      <c r="OKS618" s="17">
        <v>44925</v>
      </c>
      <c r="OKT618" s="5" t="s">
        <v>3728</v>
      </c>
      <c r="OKU618" s="17">
        <v>44925</v>
      </c>
      <c r="OKV618" s="5" t="s">
        <v>3728</v>
      </c>
      <c r="OKW618" s="17">
        <v>44925</v>
      </c>
      <c r="OKX618" s="5" t="s">
        <v>3728</v>
      </c>
      <c r="OKY618" s="17">
        <v>44925</v>
      </c>
      <c r="OKZ618" s="5" t="s">
        <v>3728</v>
      </c>
      <c r="OLA618" s="17">
        <v>44925</v>
      </c>
      <c r="OLB618" s="5" t="s">
        <v>3728</v>
      </c>
      <c r="OLC618" s="17">
        <v>44925</v>
      </c>
      <c r="OLD618" s="5" t="s">
        <v>3728</v>
      </c>
      <c r="OLE618" s="17">
        <v>44925</v>
      </c>
      <c r="OLF618" s="5" t="s">
        <v>3728</v>
      </c>
      <c r="OLG618" s="17">
        <v>44925</v>
      </c>
      <c r="OLH618" s="5" t="s">
        <v>3728</v>
      </c>
      <c r="OLI618" s="17">
        <v>44925</v>
      </c>
      <c r="OLJ618" s="5" t="s">
        <v>3728</v>
      </c>
      <c r="OLK618" s="17">
        <v>44925</v>
      </c>
      <c r="OLL618" s="5" t="s">
        <v>3728</v>
      </c>
      <c r="OLM618" s="17">
        <v>44925</v>
      </c>
      <c r="OLN618" s="5" t="s">
        <v>3728</v>
      </c>
      <c r="OLO618" s="17">
        <v>44925</v>
      </c>
      <c r="OLP618" s="5" t="s">
        <v>3728</v>
      </c>
      <c r="OLQ618" s="17">
        <v>44925</v>
      </c>
      <c r="OLR618" s="5" t="s">
        <v>3728</v>
      </c>
      <c r="OLS618" s="17">
        <v>44925</v>
      </c>
      <c r="OLT618" s="5" t="s">
        <v>3728</v>
      </c>
      <c r="OLU618" s="17">
        <v>44925</v>
      </c>
      <c r="OLV618" s="5" t="s">
        <v>3728</v>
      </c>
      <c r="OLW618" s="17">
        <v>44925</v>
      </c>
      <c r="OLX618" s="5" t="s">
        <v>3728</v>
      </c>
      <c r="OLY618" s="17">
        <v>44925</v>
      </c>
      <c r="OLZ618" s="5" t="s">
        <v>3728</v>
      </c>
      <c r="OMA618" s="17">
        <v>44925</v>
      </c>
      <c r="OMB618" s="5" t="s">
        <v>3728</v>
      </c>
      <c r="OMC618" s="17">
        <v>44925</v>
      </c>
      <c r="OMD618" s="5" t="s">
        <v>3728</v>
      </c>
      <c r="OME618" s="17">
        <v>44925</v>
      </c>
      <c r="OMF618" s="5" t="s">
        <v>3728</v>
      </c>
      <c r="OMG618" s="17">
        <v>44925</v>
      </c>
      <c r="OMH618" s="5" t="s">
        <v>3728</v>
      </c>
      <c r="OMI618" s="17">
        <v>44925</v>
      </c>
      <c r="OMJ618" s="5" t="s">
        <v>3728</v>
      </c>
      <c r="OMK618" s="17">
        <v>44925</v>
      </c>
      <c r="OML618" s="5" t="s">
        <v>3728</v>
      </c>
      <c r="OMM618" s="17">
        <v>44925</v>
      </c>
      <c r="OMN618" s="5" t="s">
        <v>3728</v>
      </c>
      <c r="OMO618" s="17">
        <v>44925</v>
      </c>
      <c r="OMP618" s="5" t="s">
        <v>3728</v>
      </c>
      <c r="OMQ618" s="17">
        <v>44925</v>
      </c>
      <c r="OMR618" s="5" t="s">
        <v>3728</v>
      </c>
      <c r="OMS618" s="17">
        <v>44925</v>
      </c>
      <c r="OMT618" s="5" t="s">
        <v>3728</v>
      </c>
      <c r="OMU618" s="17">
        <v>44925</v>
      </c>
      <c r="OMV618" s="5" t="s">
        <v>3728</v>
      </c>
      <c r="OMW618" s="17">
        <v>44925</v>
      </c>
      <c r="OMX618" s="5" t="s">
        <v>3728</v>
      </c>
      <c r="OMY618" s="17">
        <v>44925</v>
      </c>
      <c r="OMZ618" s="5" t="s">
        <v>3728</v>
      </c>
      <c r="ONA618" s="17">
        <v>44925</v>
      </c>
      <c r="ONB618" s="5" t="s">
        <v>3728</v>
      </c>
      <c r="ONC618" s="17">
        <v>44925</v>
      </c>
      <c r="OND618" s="5" t="s">
        <v>3728</v>
      </c>
      <c r="ONE618" s="17">
        <v>44925</v>
      </c>
      <c r="ONF618" s="5" t="s">
        <v>3728</v>
      </c>
      <c r="ONG618" s="17">
        <v>44925</v>
      </c>
      <c r="ONH618" s="5" t="s">
        <v>3728</v>
      </c>
      <c r="ONI618" s="17">
        <v>44925</v>
      </c>
      <c r="ONJ618" s="5" t="s">
        <v>3728</v>
      </c>
      <c r="ONK618" s="17">
        <v>44925</v>
      </c>
      <c r="ONL618" s="5" t="s">
        <v>3728</v>
      </c>
      <c r="ONM618" s="17">
        <v>44925</v>
      </c>
      <c r="ONN618" s="5" t="s">
        <v>3728</v>
      </c>
      <c r="ONO618" s="17">
        <v>44925</v>
      </c>
      <c r="ONP618" s="5" t="s">
        <v>3728</v>
      </c>
      <c r="ONQ618" s="17">
        <v>44925</v>
      </c>
      <c r="ONR618" s="5" t="s">
        <v>3728</v>
      </c>
      <c r="ONS618" s="17">
        <v>44925</v>
      </c>
      <c r="ONT618" s="5" t="s">
        <v>3728</v>
      </c>
      <c r="ONU618" s="17">
        <v>44925</v>
      </c>
      <c r="ONV618" s="5" t="s">
        <v>3728</v>
      </c>
      <c r="ONW618" s="17">
        <v>44925</v>
      </c>
      <c r="ONX618" s="5" t="s">
        <v>3728</v>
      </c>
      <c r="ONY618" s="17">
        <v>44925</v>
      </c>
      <c r="ONZ618" s="5" t="s">
        <v>3728</v>
      </c>
      <c r="OOA618" s="17">
        <v>44925</v>
      </c>
      <c r="OOB618" s="5" t="s">
        <v>3728</v>
      </c>
      <c r="OOC618" s="17">
        <v>44925</v>
      </c>
      <c r="OOD618" s="5" t="s">
        <v>3728</v>
      </c>
      <c r="OOE618" s="17">
        <v>44925</v>
      </c>
      <c r="OOF618" s="5" t="s">
        <v>3728</v>
      </c>
      <c r="OOG618" s="17">
        <v>44925</v>
      </c>
      <c r="OOH618" s="5" t="s">
        <v>3728</v>
      </c>
      <c r="OOI618" s="17">
        <v>44925</v>
      </c>
      <c r="OOJ618" s="5" t="s">
        <v>3728</v>
      </c>
      <c r="OOK618" s="17">
        <v>44925</v>
      </c>
      <c r="OOL618" s="5" t="s">
        <v>3728</v>
      </c>
      <c r="OOM618" s="17">
        <v>44925</v>
      </c>
      <c r="OON618" s="5" t="s">
        <v>3728</v>
      </c>
      <c r="OOO618" s="17">
        <v>44925</v>
      </c>
      <c r="OOP618" s="5" t="s">
        <v>3728</v>
      </c>
      <c r="OOQ618" s="17">
        <v>44925</v>
      </c>
      <c r="OOR618" s="5" t="s">
        <v>3728</v>
      </c>
      <c r="OOS618" s="17">
        <v>44925</v>
      </c>
      <c r="OOT618" s="5" t="s">
        <v>3728</v>
      </c>
      <c r="OOU618" s="17">
        <v>44925</v>
      </c>
      <c r="OOV618" s="5" t="s">
        <v>3728</v>
      </c>
      <c r="OOW618" s="17">
        <v>44925</v>
      </c>
      <c r="OOX618" s="5" t="s">
        <v>3728</v>
      </c>
      <c r="OOY618" s="17">
        <v>44925</v>
      </c>
      <c r="OOZ618" s="5" t="s">
        <v>3728</v>
      </c>
      <c r="OPA618" s="17">
        <v>44925</v>
      </c>
      <c r="OPB618" s="5" t="s">
        <v>3728</v>
      </c>
      <c r="OPC618" s="17">
        <v>44925</v>
      </c>
      <c r="OPD618" s="5" t="s">
        <v>3728</v>
      </c>
      <c r="OPE618" s="17">
        <v>44925</v>
      </c>
      <c r="OPF618" s="5" t="s">
        <v>3728</v>
      </c>
      <c r="OPG618" s="17">
        <v>44925</v>
      </c>
      <c r="OPH618" s="5" t="s">
        <v>3728</v>
      </c>
      <c r="OPI618" s="17">
        <v>44925</v>
      </c>
      <c r="OPJ618" s="5" t="s">
        <v>3728</v>
      </c>
      <c r="OPK618" s="17">
        <v>44925</v>
      </c>
      <c r="OPL618" s="5" t="s">
        <v>3728</v>
      </c>
      <c r="OPM618" s="17">
        <v>44925</v>
      </c>
      <c r="OPN618" s="5" t="s">
        <v>3728</v>
      </c>
      <c r="OPO618" s="17">
        <v>44925</v>
      </c>
      <c r="OPP618" s="5" t="s">
        <v>3728</v>
      </c>
      <c r="OPQ618" s="17">
        <v>44925</v>
      </c>
      <c r="OPR618" s="5" t="s">
        <v>3728</v>
      </c>
      <c r="OPS618" s="17">
        <v>44925</v>
      </c>
      <c r="OPT618" s="5" t="s">
        <v>3728</v>
      </c>
      <c r="OPU618" s="17">
        <v>44925</v>
      </c>
      <c r="OPV618" s="5" t="s">
        <v>3728</v>
      </c>
      <c r="OPW618" s="17">
        <v>44925</v>
      </c>
      <c r="OPX618" s="5" t="s">
        <v>3728</v>
      </c>
      <c r="OPY618" s="17">
        <v>44925</v>
      </c>
      <c r="OPZ618" s="5" t="s">
        <v>3728</v>
      </c>
      <c r="OQA618" s="17">
        <v>44925</v>
      </c>
      <c r="OQB618" s="5" t="s">
        <v>3728</v>
      </c>
      <c r="OQC618" s="17">
        <v>44925</v>
      </c>
      <c r="OQD618" s="5" t="s">
        <v>3728</v>
      </c>
      <c r="OQE618" s="17">
        <v>44925</v>
      </c>
      <c r="OQF618" s="5" t="s">
        <v>3728</v>
      </c>
      <c r="OQG618" s="17">
        <v>44925</v>
      </c>
      <c r="OQH618" s="5" t="s">
        <v>3728</v>
      </c>
      <c r="OQI618" s="17">
        <v>44925</v>
      </c>
      <c r="OQJ618" s="5" t="s">
        <v>3728</v>
      </c>
      <c r="OQK618" s="17">
        <v>44925</v>
      </c>
      <c r="OQL618" s="5" t="s">
        <v>3728</v>
      </c>
      <c r="OQM618" s="17">
        <v>44925</v>
      </c>
      <c r="OQN618" s="5" t="s">
        <v>3728</v>
      </c>
      <c r="OQO618" s="17">
        <v>44925</v>
      </c>
      <c r="OQP618" s="5" t="s">
        <v>3728</v>
      </c>
      <c r="OQQ618" s="17">
        <v>44925</v>
      </c>
      <c r="OQR618" s="5" t="s">
        <v>3728</v>
      </c>
      <c r="OQS618" s="17">
        <v>44925</v>
      </c>
      <c r="OQT618" s="5" t="s">
        <v>3728</v>
      </c>
      <c r="OQU618" s="17">
        <v>44925</v>
      </c>
      <c r="OQV618" s="5" t="s">
        <v>3728</v>
      </c>
      <c r="OQW618" s="17">
        <v>44925</v>
      </c>
      <c r="OQX618" s="5" t="s">
        <v>3728</v>
      </c>
      <c r="OQY618" s="17">
        <v>44925</v>
      </c>
      <c r="OQZ618" s="5" t="s">
        <v>3728</v>
      </c>
      <c r="ORA618" s="17">
        <v>44925</v>
      </c>
      <c r="ORB618" s="5" t="s">
        <v>3728</v>
      </c>
      <c r="ORC618" s="17">
        <v>44925</v>
      </c>
      <c r="ORD618" s="5" t="s">
        <v>3728</v>
      </c>
      <c r="ORE618" s="17">
        <v>44925</v>
      </c>
      <c r="ORF618" s="5" t="s">
        <v>3728</v>
      </c>
      <c r="ORG618" s="17">
        <v>44925</v>
      </c>
      <c r="ORH618" s="5" t="s">
        <v>3728</v>
      </c>
      <c r="ORI618" s="17">
        <v>44925</v>
      </c>
      <c r="ORJ618" s="5" t="s">
        <v>3728</v>
      </c>
      <c r="ORK618" s="17">
        <v>44925</v>
      </c>
      <c r="ORL618" s="5" t="s">
        <v>3728</v>
      </c>
      <c r="ORM618" s="17">
        <v>44925</v>
      </c>
      <c r="ORN618" s="5" t="s">
        <v>3728</v>
      </c>
      <c r="ORO618" s="17">
        <v>44925</v>
      </c>
      <c r="ORP618" s="5" t="s">
        <v>3728</v>
      </c>
      <c r="ORQ618" s="17">
        <v>44925</v>
      </c>
      <c r="ORR618" s="5" t="s">
        <v>3728</v>
      </c>
      <c r="ORS618" s="17">
        <v>44925</v>
      </c>
      <c r="ORT618" s="5" t="s">
        <v>3728</v>
      </c>
      <c r="ORU618" s="17">
        <v>44925</v>
      </c>
      <c r="ORV618" s="5" t="s">
        <v>3728</v>
      </c>
      <c r="ORW618" s="17">
        <v>44925</v>
      </c>
      <c r="ORX618" s="5" t="s">
        <v>3728</v>
      </c>
      <c r="ORY618" s="17">
        <v>44925</v>
      </c>
      <c r="ORZ618" s="5" t="s">
        <v>3728</v>
      </c>
      <c r="OSA618" s="17">
        <v>44925</v>
      </c>
      <c r="OSB618" s="5" t="s">
        <v>3728</v>
      </c>
      <c r="OSC618" s="17">
        <v>44925</v>
      </c>
      <c r="OSD618" s="5" t="s">
        <v>3728</v>
      </c>
      <c r="OSE618" s="17">
        <v>44925</v>
      </c>
      <c r="OSF618" s="5" t="s">
        <v>3728</v>
      </c>
      <c r="OSG618" s="17">
        <v>44925</v>
      </c>
      <c r="OSH618" s="5" t="s">
        <v>3728</v>
      </c>
      <c r="OSI618" s="17">
        <v>44925</v>
      </c>
      <c r="OSJ618" s="5" t="s">
        <v>3728</v>
      </c>
      <c r="OSK618" s="17">
        <v>44925</v>
      </c>
      <c r="OSL618" s="5" t="s">
        <v>3728</v>
      </c>
      <c r="OSM618" s="17">
        <v>44925</v>
      </c>
      <c r="OSN618" s="5" t="s">
        <v>3728</v>
      </c>
      <c r="OSO618" s="17">
        <v>44925</v>
      </c>
      <c r="OSP618" s="5" t="s">
        <v>3728</v>
      </c>
      <c r="OSQ618" s="17">
        <v>44925</v>
      </c>
      <c r="OSR618" s="5" t="s">
        <v>3728</v>
      </c>
      <c r="OSS618" s="17">
        <v>44925</v>
      </c>
      <c r="OST618" s="5" t="s">
        <v>3728</v>
      </c>
      <c r="OSU618" s="17">
        <v>44925</v>
      </c>
      <c r="OSV618" s="5" t="s">
        <v>3728</v>
      </c>
      <c r="OSW618" s="17">
        <v>44925</v>
      </c>
      <c r="OSX618" s="5" t="s">
        <v>3728</v>
      </c>
      <c r="OSY618" s="17">
        <v>44925</v>
      </c>
      <c r="OSZ618" s="5" t="s">
        <v>3728</v>
      </c>
      <c r="OTA618" s="17">
        <v>44925</v>
      </c>
      <c r="OTB618" s="5" t="s">
        <v>3728</v>
      </c>
      <c r="OTC618" s="17">
        <v>44925</v>
      </c>
      <c r="OTD618" s="5" t="s">
        <v>3728</v>
      </c>
      <c r="OTE618" s="17">
        <v>44925</v>
      </c>
      <c r="OTF618" s="5" t="s">
        <v>3728</v>
      </c>
      <c r="OTG618" s="17">
        <v>44925</v>
      </c>
      <c r="OTH618" s="5" t="s">
        <v>3728</v>
      </c>
      <c r="OTI618" s="17">
        <v>44925</v>
      </c>
      <c r="OTJ618" s="5" t="s">
        <v>3728</v>
      </c>
      <c r="OTK618" s="17">
        <v>44925</v>
      </c>
      <c r="OTL618" s="5" t="s">
        <v>3728</v>
      </c>
      <c r="OTM618" s="17">
        <v>44925</v>
      </c>
      <c r="OTN618" s="5" t="s">
        <v>3728</v>
      </c>
      <c r="OTO618" s="17">
        <v>44925</v>
      </c>
      <c r="OTP618" s="5" t="s">
        <v>3728</v>
      </c>
      <c r="OTQ618" s="17">
        <v>44925</v>
      </c>
      <c r="OTR618" s="5" t="s">
        <v>3728</v>
      </c>
      <c r="OTS618" s="17">
        <v>44925</v>
      </c>
      <c r="OTT618" s="5" t="s">
        <v>3728</v>
      </c>
      <c r="OTU618" s="17">
        <v>44925</v>
      </c>
      <c r="OTV618" s="5" t="s">
        <v>3728</v>
      </c>
      <c r="OTW618" s="17">
        <v>44925</v>
      </c>
      <c r="OTX618" s="5" t="s">
        <v>3728</v>
      </c>
      <c r="OTY618" s="17">
        <v>44925</v>
      </c>
      <c r="OTZ618" s="5" t="s">
        <v>3728</v>
      </c>
      <c r="OUA618" s="17">
        <v>44925</v>
      </c>
      <c r="OUB618" s="5" t="s">
        <v>3728</v>
      </c>
      <c r="OUC618" s="17">
        <v>44925</v>
      </c>
      <c r="OUD618" s="5" t="s">
        <v>3728</v>
      </c>
      <c r="OUE618" s="17">
        <v>44925</v>
      </c>
      <c r="OUF618" s="5" t="s">
        <v>3728</v>
      </c>
      <c r="OUG618" s="17">
        <v>44925</v>
      </c>
      <c r="OUH618" s="5" t="s">
        <v>3728</v>
      </c>
      <c r="OUI618" s="17">
        <v>44925</v>
      </c>
      <c r="OUJ618" s="5" t="s">
        <v>3728</v>
      </c>
      <c r="OUK618" s="17">
        <v>44925</v>
      </c>
      <c r="OUL618" s="5" t="s">
        <v>3728</v>
      </c>
      <c r="OUM618" s="17">
        <v>44925</v>
      </c>
      <c r="OUN618" s="5" t="s">
        <v>3728</v>
      </c>
      <c r="OUO618" s="17">
        <v>44925</v>
      </c>
      <c r="OUP618" s="5" t="s">
        <v>3728</v>
      </c>
      <c r="OUQ618" s="17">
        <v>44925</v>
      </c>
      <c r="OUR618" s="5" t="s">
        <v>3728</v>
      </c>
      <c r="OUS618" s="17">
        <v>44925</v>
      </c>
      <c r="OUT618" s="5" t="s">
        <v>3728</v>
      </c>
      <c r="OUU618" s="17">
        <v>44925</v>
      </c>
      <c r="OUV618" s="5" t="s">
        <v>3728</v>
      </c>
      <c r="OUW618" s="17">
        <v>44925</v>
      </c>
      <c r="OUX618" s="5" t="s">
        <v>3728</v>
      </c>
      <c r="OUY618" s="17">
        <v>44925</v>
      </c>
      <c r="OUZ618" s="5" t="s">
        <v>3728</v>
      </c>
      <c r="OVA618" s="17">
        <v>44925</v>
      </c>
      <c r="OVB618" s="5" t="s">
        <v>3728</v>
      </c>
      <c r="OVC618" s="17">
        <v>44925</v>
      </c>
      <c r="OVD618" s="5" t="s">
        <v>3728</v>
      </c>
      <c r="OVE618" s="17">
        <v>44925</v>
      </c>
      <c r="OVF618" s="5" t="s">
        <v>3728</v>
      </c>
      <c r="OVG618" s="17">
        <v>44925</v>
      </c>
      <c r="OVH618" s="5" t="s">
        <v>3728</v>
      </c>
      <c r="OVI618" s="17">
        <v>44925</v>
      </c>
      <c r="OVJ618" s="5" t="s">
        <v>3728</v>
      </c>
      <c r="OVK618" s="17">
        <v>44925</v>
      </c>
      <c r="OVL618" s="5" t="s">
        <v>3728</v>
      </c>
      <c r="OVM618" s="17">
        <v>44925</v>
      </c>
      <c r="OVN618" s="5" t="s">
        <v>3728</v>
      </c>
      <c r="OVO618" s="17">
        <v>44925</v>
      </c>
      <c r="OVP618" s="5" t="s">
        <v>3728</v>
      </c>
      <c r="OVQ618" s="17">
        <v>44925</v>
      </c>
      <c r="OVR618" s="5" t="s">
        <v>3728</v>
      </c>
      <c r="OVS618" s="17">
        <v>44925</v>
      </c>
      <c r="OVT618" s="5" t="s">
        <v>3728</v>
      </c>
      <c r="OVU618" s="17">
        <v>44925</v>
      </c>
      <c r="OVV618" s="5" t="s">
        <v>3728</v>
      </c>
      <c r="OVW618" s="17">
        <v>44925</v>
      </c>
      <c r="OVX618" s="5" t="s">
        <v>3728</v>
      </c>
      <c r="OVY618" s="17">
        <v>44925</v>
      </c>
      <c r="OVZ618" s="5" t="s">
        <v>3728</v>
      </c>
      <c r="OWA618" s="17">
        <v>44925</v>
      </c>
      <c r="OWB618" s="5" t="s">
        <v>3728</v>
      </c>
      <c r="OWC618" s="17">
        <v>44925</v>
      </c>
      <c r="OWD618" s="5" t="s">
        <v>3728</v>
      </c>
      <c r="OWE618" s="17">
        <v>44925</v>
      </c>
      <c r="OWF618" s="5" t="s">
        <v>3728</v>
      </c>
      <c r="OWG618" s="17">
        <v>44925</v>
      </c>
      <c r="OWH618" s="5" t="s">
        <v>3728</v>
      </c>
      <c r="OWI618" s="17">
        <v>44925</v>
      </c>
      <c r="OWJ618" s="5" t="s">
        <v>3728</v>
      </c>
      <c r="OWK618" s="17">
        <v>44925</v>
      </c>
      <c r="OWL618" s="5" t="s">
        <v>3728</v>
      </c>
      <c r="OWM618" s="17">
        <v>44925</v>
      </c>
      <c r="OWN618" s="5" t="s">
        <v>3728</v>
      </c>
      <c r="OWO618" s="17">
        <v>44925</v>
      </c>
      <c r="OWP618" s="5" t="s">
        <v>3728</v>
      </c>
      <c r="OWQ618" s="17">
        <v>44925</v>
      </c>
      <c r="OWR618" s="5" t="s">
        <v>3728</v>
      </c>
      <c r="OWS618" s="17">
        <v>44925</v>
      </c>
      <c r="OWT618" s="5" t="s">
        <v>3728</v>
      </c>
      <c r="OWU618" s="17">
        <v>44925</v>
      </c>
      <c r="OWV618" s="5" t="s">
        <v>3728</v>
      </c>
      <c r="OWW618" s="17">
        <v>44925</v>
      </c>
      <c r="OWX618" s="5" t="s">
        <v>3728</v>
      </c>
      <c r="OWY618" s="17">
        <v>44925</v>
      </c>
      <c r="OWZ618" s="5" t="s">
        <v>3728</v>
      </c>
      <c r="OXA618" s="17">
        <v>44925</v>
      </c>
      <c r="OXB618" s="5" t="s">
        <v>3728</v>
      </c>
      <c r="OXC618" s="17">
        <v>44925</v>
      </c>
      <c r="OXD618" s="5" t="s">
        <v>3728</v>
      </c>
      <c r="OXE618" s="17">
        <v>44925</v>
      </c>
      <c r="OXF618" s="5" t="s">
        <v>3728</v>
      </c>
      <c r="OXG618" s="17">
        <v>44925</v>
      </c>
      <c r="OXH618" s="5" t="s">
        <v>3728</v>
      </c>
      <c r="OXI618" s="17">
        <v>44925</v>
      </c>
      <c r="OXJ618" s="5" t="s">
        <v>3728</v>
      </c>
      <c r="OXK618" s="17">
        <v>44925</v>
      </c>
      <c r="OXL618" s="5" t="s">
        <v>3728</v>
      </c>
      <c r="OXM618" s="17">
        <v>44925</v>
      </c>
      <c r="OXN618" s="5" t="s">
        <v>3728</v>
      </c>
      <c r="OXO618" s="17">
        <v>44925</v>
      </c>
      <c r="OXP618" s="5" t="s">
        <v>3728</v>
      </c>
      <c r="OXQ618" s="17">
        <v>44925</v>
      </c>
      <c r="OXR618" s="5" t="s">
        <v>3728</v>
      </c>
      <c r="OXS618" s="17">
        <v>44925</v>
      </c>
      <c r="OXT618" s="5" t="s">
        <v>3728</v>
      </c>
      <c r="OXU618" s="17">
        <v>44925</v>
      </c>
      <c r="OXV618" s="5" t="s">
        <v>3728</v>
      </c>
      <c r="OXW618" s="17">
        <v>44925</v>
      </c>
      <c r="OXX618" s="5" t="s">
        <v>3728</v>
      </c>
      <c r="OXY618" s="17">
        <v>44925</v>
      </c>
      <c r="OXZ618" s="5" t="s">
        <v>3728</v>
      </c>
      <c r="OYA618" s="17">
        <v>44925</v>
      </c>
      <c r="OYB618" s="5" t="s">
        <v>3728</v>
      </c>
      <c r="OYC618" s="17">
        <v>44925</v>
      </c>
      <c r="OYD618" s="5" t="s">
        <v>3728</v>
      </c>
      <c r="OYE618" s="17">
        <v>44925</v>
      </c>
      <c r="OYF618" s="5" t="s">
        <v>3728</v>
      </c>
      <c r="OYG618" s="17">
        <v>44925</v>
      </c>
      <c r="OYH618" s="5" t="s">
        <v>3728</v>
      </c>
      <c r="OYI618" s="17">
        <v>44925</v>
      </c>
      <c r="OYJ618" s="5" t="s">
        <v>3728</v>
      </c>
      <c r="OYK618" s="17">
        <v>44925</v>
      </c>
      <c r="OYL618" s="5" t="s">
        <v>3728</v>
      </c>
      <c r="OYM618" s="17">
        <v>44925</v>
      </c>
      <c r="OYN618" s="5" t="s">
        <v>3728</v>
      </c>
      <c r="OYO618" s="17">
        <v>44925</v>
      </c>
      <c r="OYP618" s="5" t="s">
        <v>3728</v>
      </c>
      <c r="OYQ618" s="17">
        <v>44925</v>
      </c>
      <c r="OYR618" s="5" t="s">
        <v>3728</v>
      </c>
      <c r="OYS618" s="17">
        <v>44925</v>
      </c>
      <c r="OYT618" s="5" t="s">
        <v>3728</v>
      </c>
      <c r="OYU618" s="17">
        <v>44925</v>
      </c>
      <c r="OYV618" s="5" t="s">
        <v>3728</v>
      </c>
      <c r="OYW618" s="17">
        <v>44925</v>
      </c>
      <c r="OYX618" s="5" t="s">
        <v>3728</v>
      </c>
      <c r="OYY618" s="17">
        <v>44925</v>
      </c>
      <c r="OYZ618" s="5" t="s">
        <v>3728</v>
      </c>
      <c r="OZA618" s="17">
        <v>44925</v>
      </c>
      <c r="OZB618" s="5" t="s">
        <v>3728</v>
      </c>
      <c r="OZC618" s="17">
        <v>44925</v>
      </c>
      <c r="OZD618" s="5" t="s">
        <v>3728</v>
      </c>
      <c r="OZE618" s="17">
        <v>44925</v>
      </c>
      <c r="OZF618" s="5" t="s">
        <v>3728</v>
      </c>
      <c r="OZG618" s="17">
        <v>44925</v>
      </c>
      <c r="OZH618" s="5" t="s">
        <v>3728</v>
      </c>
      <c r="OZI618" s="17">
        <v>44925</v>
      </c>
      <c r="OZJ618" s="5" t="s">
        <v>3728</v>
      </c>
      <c r="OZK618" s="17">
        <v>44925</v>
      </c>
      <c r="OZL618" s="5" t="s">
        <v>3728</v>
      </c>
      <c r="OZM618" s="17">
        <v>44925</v>
      </c>
      <c r="OZN618" s="5" t="s">
        <v>3728</v>
      </c>
      <c r="OZO618" s="17">
        <v>44925</v>
      </c>
      <c r="OZP618" s="5" t="s">
        <v>3728</v>
      </c>
      <c r="OZQ618" s="17">
        <v>44925</v>
      </c>
      <c r="OZR618" s="5" t="s">
        <v>3728</v>
      </c>
      <c r="OZS618" s="17">
        <v>44925</v>
      </c>
      <c r="OZT618" s="5" t="s">
        <v>3728</v>
      </c>
      <c r="OZU618" s="17">
        <v>44925</v>
      </c>
      <c r="OZV618" s="5" t="s">
        <v>3728</v>
      </c>
      <c r="OZW618" s="17">
        <v>44925</v>
      </c>
      <c r="OZX618" s="5" t="s">
        <v>3728</v>
      </c>
      <c r="OZY618" s="17">
        <v>44925</v>
      </c>
      <c r="OZZ618" s="5" t="s">
        <v>3728</v>
      </c>
      <c r="PAA618" s="17">
        <v>44925</v>
      </c>
      <c r="PAB618" s="5" t="s">
        <v>3728</v>
      </c>
      <c r="PAC618" s="17">
        <v>44925</v>
      </c>
      <c r="PAD618" s="5" t="s">
        <v>3728</v>
      </c>
      <c r="PAE618" s="17">
        <v>44925</v>
      </c>
      <c r="PAF618" s="5" t="s">
        <v>3728</v>
      </c>
      <c r="PAG618" s="17">
        <v>44925</v>
      </c>
      <c r="PAH618" s="5" t="s">
        <v>3728</v>
      </c>
      <c r="PAI618" s="17">
        <v>44925</v>
      </c>
      <c r="PAJ618" s="5" t="s">
        <v>3728</v>
      </c>
      <c r="PAK618" s="17">
        <v>44925</v>
      </c>
      <c r="PAL618" s="5" t="s">
        <v>3728</v>
      </c>
      <c r="PAM618" s="17">
        <v>44925</v>
      </c>
      <c r="PAN618" s="5" t="s">
        <v>3728</v>
      </c>
      <c r="PAO618" s="17">
        <v>44925</v>
      </c>
      <c r="PAP618" s="5" t="s">
        <v>3728</v>
      </c>
      <c r="PAQ618" s="17">
        <v>44925</v>
      </c>
      <c r="PAR618" s="5" t="s">
        <v>3728</v>
      </c>
      <c r="PAS618" s="17">
        <v>44925</v>
      </c>
      <c r="PAT618" s="5" t="s">
        <v>3728</v>
      </c>
      <c r="PAU618" s="17">
        <v>44925</v>
      </c>
      <c r="PAV618" s="5" t="s">
        <v>3728</v>
      </c>
      <c r="PAW618" s="17">
        <v>44925</v>
      </c>
      <c r="PAX618" s="5" t="s">
        <v>3728</v>
      </c>
      <c r="PAY618" s="17">
        <v>44925</v>
      </c>
      <c r="PAZ618" s="5" t="s">
        <v>3728</v>
      </c>
      <c r="PBA618" s="17">
        <v>44925</v>
      </c>
      <c r="PBB618" s="5" t="s">
        <v>3728</v>
      </c>
      <c r="PBC618" s="17">
        <v>44925</v>
      </c>
      <c r="PBD618" s="5" t="s">
        <v>3728</v>
      </c>
      <c r="PBE618" s="17">
        <v>44925</v>
      </c>
      <c r="PBF618" s="5" t="s">
        <v>3728</v>
      </c>
      <c r="PBG618" s="17">
        <v>44925</v>
      </c>
      <c r="PBH618" s="5" t="s">
        <v>3728</v>
      </c>
      <c r="PBI618" s="17">
        <v>44925</v>
      </c>
      <c r="PBJ618" s="5" t="s">
        <v>3728</v>
      </c>
      <c r="PBK618" s="17">
        <v>44925</v>
      </c>
      <c r="PBL618" s="5" t="s">
        <v>3728</v>
      </c>
      <c r="PBM618" s="17">
        <v>44925</v>
      </c>
      <c r="PBN618" s="5" t="s">
        <v>3728</v>
      </c>
      <c r="PBO618" s="17">
        <v>44925</v>
      </c>
      <c r="PBP618" s="5" t="s">
        <v>3728</v>
      </c>
      <c r="PBQ618" s="17">
        <v>44925</v>
      </c>
      <c r="PBR618" s="5" t="s">
        <v>3728</v>
      </c>
      <c r="PBS618" s="17">
        <v>44925</v>
      </c>
      <c r="PBT618" s="5" t="s">
        <v>3728</v>
      </c>
      <c r="PBU618" s="17">
        <v>44925</v>
      </c>
      <c r="PBV618" s="5" t="s">
        <v>3728</v>
      </c>
      <c r="PBW618" s="17">
        <v>44925</v>
      </c>
      <c r="PBX618" s="5" t="s">
        <v>3728</v>
      </c>
      <c r="PBY618" s="17">
        <v>44925</v>
      </c>
      <c r="PBZ618" s="5" t="s">
        <v>3728</v>
      </c>
      <c r="PCA618" s="17">
        <v>44925</v>
      </c>
      <c r="PCB618" s="5" t="s">
        <v>3728</v>
      </c>
      <c r="PCC618" s="17">
        <v>44925</v>
      </c>
      <c r="PCD618" s="5" t="s">
        <v>3728</v>
      </c>
      <c r="PCE618" s="17">
        <v>44925</v>
      </c>
      <c r="PCF618" s="5" t="s">
        <v>3728</v>
      </c>
      <c r="PCG618" s="17">
        <v>44925</v>
      </c>
      <c r="PCH618" s="5" t="s">
        <v>3728</v>
      </c>
      <c r="PCI618" s="17">
        <v>44925</v>
      </c>
      <c r="PCJ618" s="5" t="s">
        <v>3728</v>
      </c>
      <c r="PCK618" s="17">
        <v>44925</v>
      </c>
      <c r="PCL618" s="5" t="s">
        <v>3728</v>
      </c>
      <c r="PCM618" s="17">
        <v>44925</v>
      </c>
      <c r="PCN618" s="5" t="s">
        <v>3728</v>
      </c>
      <c r="PCO618" s="17">
        <v>44925</v>
      </c>
      <c r="PCP618" s="5" t="s">
        <v>3728</v>
      </c>
      <c r="PCQ618" s="17">
        <v>44925</v>
      </c>
      <c r="PCR618" s="5" t="s">
        <v>3728</v>
      </c>
      <c r="PCS618" s="17">
        <v>44925</v>
      </c>
      <c r="PCT618" s="5" t="s">
        <v>3728</v>
      </c>
      <c r="PCU618" s="17">
        <v>44925</v>
      </c>
      <c r="PCV618" s="5" t="s">
        <v>3728</v>
      </c>
      <c r="PCW618" s="17">
        <v>44925</v>
      </c>
      <c r="PCX618" s="5" t="s">
        <v>3728</v>
      </c>
      <c r="PCY618" s="17">
        <v>44925</v>
      </c>
      <c r="PCZ618" s="5" t="s">
        <v>3728</v>
      </c>
      <c r="PDA618" s="17">
        <v>44925</v>
      </c>
      <c r="PDB618" s="5" t="s">
        <v>3728</v>
      </c>
      <c r="PDC618" s="17">
        <v>44925</v>
      </c>
      <c r="PDD618" s="5" t="s">
        <v>3728</v>
      </c>
      <c r="PDE618" s="17">
        <v>44925</v>
      </c>
      <c r="PDF618" s="5" t="s">
        <v>3728</v>
      </c>
      <c r="PDG618" s="17">
        <v>44925</v>
      </c>
      <c r="PDH618" s="5" t="s">
        <v>3728</v>
      </c>
      <c r="PDI618" s="17">
        <v>44925</v>
      </c>
      <c r="PDJ618" s="5" t="s">
        <v>3728</v>
      </c>
      <c r="PDK618" s="17">
        <v>44925</v>
      </c>
      <c r="PDL618" s="5" t="s">
        <v>3728</v>
      </c>
      <c r="PDM618" s="17">
        <v>44925</v>
      </c>
      <c r="PDN618" s="5" t="s">
        <v>3728</v>
      </c>
      <c r="PDO618" s="17">
        <v>44925</v>
      </c>
      <c r="PDP618" s="5" t="s">
        <v>3728</v>
      </c>
      <c r="PDQ618" s="17">
        <v>44925</v>
      </c>
      <c r="PDR618" s="5" t="s">
        <v>3728</v>
      </c>
      <c r="PDS618" s="17">
        <v>44925</v>
      </c>
      <c r="PDT618" s="5" t="s">
        <v>3728</v>
      </c>
      <c r="PDU618" s="17">
        <v>44925</v>
      </c>
      <c r="PDV618" s="5" t="s">
        <v>3728</v>
      </c>
      <c r="PDW618" s="17">
        <v>44925</v>
      </c>
      <c r="PDX618" s="5" t="s">
        <v>3728</v>
      </c>
      <c r="PDY618" s="17">
        <v>44925</v>
      </c>
      <c r="PDZ618" s="5" t="s">
        <v>3728</v>
      </c>
      <c r="PEA618" s="17">
        <v>44925</v>
      </c>
      <c r="PEB618" s="5" t="s">
        <v>3728</v>
      </c>
      <c r="PEC618" s="17">
        <v>44925</v>
      </c>
      <c r="PED618" s="5" t="s">
        <v>3728</v>
      </c>
      <c r="PEE618" s="17">
        <v>44925</v>
      </c>
      <c r="PEF618" s="5" t="s">
        <v>3728</v>
      </c>
      <c r="PEG618" s="17">
        <v>44925</v>
      </c>
      <c r="PEH618" s="5" t="s">
        <v>3728</v>
      </c>
      <c r="PEI618" s="17">
        <v>44925</v>
      </c>
      <c r="PEJ618" s="5" t="s">
        <v>3728</v>
      </c>
      <c r="PEK618" s="17">
        <v>44925</v>
      </c>
      <c r="PEL618" s="5" t="s">
        <v>3728</v>
      </c>
      <c r="PEM618" s="17">
        <v>44925</v>
      </c>
      <c r="PEN618" s="5" t="s">
        <v>3728</v>
      </c>
      <c r="PEO618" s="17">
        <v>44925</v>
      </c>
      <c r="PEP618" s="5" t="s">
        <v>3728</v>
      </c>
      <c r="PEQ618" s="17">
        <v>44925</v>
      </c>
      <c r="PER618" s="5" t="s">
        <v>3728</v>
      </c>
      <c r="PES618" s="17">
        <v>44925</v>
      </c>
      <c r="PET618" s="5" t="s">
        <v>3728</v>
      </c>
      <c r="PEU618" s="17">
        <v>44925</v>
      </c>
      <c r="PEV618" s="5" t="s">
        <v>3728</v>
      </c>
      <c r="PEW618" s="17">
        <v>44925</v>
      </c>
      <c r="PEX618" s="5" t="s">
        <v>3728</v>
      </c>
      <c r="PEY618" s="17">
        <v>44925</v>
      </c>
      <c r="PEZ618" s="5" t="s">
        <v>3728</v>
      </c>
      <c r="PFA618" s="17">
        <v>44925</v>
      </c>
      <c r="PFB618" s="5" t="s">
        <v>3728</v>
      </c>
      <c r="PFC618" s="17">
        <v>44925</v>
      </c>
      <c r="PFD618" s="5" t="s">
        <v>3728</v>
      </c>
      <c r="PFE618" s="17">
        <v>44925</v>
      </c>
      <c r="PFF618" s="5" t="s">
        <v>3728</v>
      </c>
      <c r="PFG618" s="17">
        <v>44925</v>
      </c>
      <c r="PFH618" s="5" t="s">
        <v>3728</v>
      </c>
      <c r="PFI618" s="17">
        <v>44925</v>
      </c>
      <c r="PFJ618" s="5" t="s">
        <v>3728</v>
      </c>
      <c r="PFK618" s="17">
        <v>44925</v>
      </c>
      <c r="PFL618" s="5" t="s">
        <v>3728</v>
      </c>
      <c r="PFM618" s="17">
        <v>44925</v>
      </c>
      <c r="PFN618" s="5" t="s">
        <v>3728</v>
      </c>
      <c r="PFO618" s="17">
        <v>44925</v>
      </c>
      <c r="PFP618" s="5" t="s">
        <v>3728</v>
      </c>
      <c r="PFQ618" s="17">
        <v>44925</v>
      </c>
      <c r="PFR618" s="5" t="s">
        <v>3728</v>
      </c>
      <c r="PFS618" s="17">
        <v>44925</v>
      </c>
      <c r="PFT618" s="5" t="s">
        <v>3728</v>
      </c>
      <c r="PFU618" s="17">
        <v>44925</v>
      </c>
      <c r="PFV618" s="5" t="s">
        <v>3728</v>
      </c>
      <c r="PFW618" s="17">
        <v>44925</v>
      </c>
      <c r="PFX618" s="5" t="s">
        <v>3728</v>
      </c>
      <c r="PFY618" s="17">
        <v>44925</v>
      </c>
      <c r="PFZ618" s="5" t="s">
        <v>3728</v>
      </c>
      <c r="PGA618" s="17">
        <v>44925</v>
      </c>
      <c r="PGB618" s="5" t="s">
        <v>3728</v>
      </c>
      <c r="PGC618" s="17">
        <v>44925</v>
      </c>
      <c r="PGD618" s="5" t="s">
        <v>3728</v>
      </c>
      <c r="PGE618" s="17">
        <v>44925</v>
      </c>
      <c r="PGF618" s="5" t="s">
        <v>3728</v>
      </c>
      <c r="PGG618" s="17">
        <v>44925</v>
      </c>
      <c r="PGH618" s="5" t="s">
        <v>3728</v>
      </c>
      <c r="PGI618" s="17">
        <v>44925</v>
      </c>
      <c r="PGJ618" s="5" t="s">
        <v>3728</v>
      </c>
      <c r="PGK618" s="17">
        <v>44925</v>
      </c>
      <c r="PGL618" s="5" t="s">
        <v>3728</v>
      </c>
      <c r="PGM618" s="17">
        <v>44925</v>
      </c>
      <c r="PGN618" s="5" t="s">
        <v>3728</v>
      </c>
      <c r="PGO618" s="17">
        <v>44925</v>
      </c>
      <c r="PGP618" s="5" t="s">
        <v>3728</v>
      </c>
      <c r="PGQ618" s="17">
        <v>44925</v>
      </c>
      <c r="PGR618" s="5" t="s">
        <v>3728</v>
      </c>
      <c r="PGS618" s="17">
        <v>44925</v>
      </c>
      <c r="PGT618" s="5" t="s">
        <v>3728</v>
      </c>
      <c r="PGU618" s="17">
        <v>44925</v>
      </c>
      <c r="PGV618" s="5" t="s">
        <v>3728</v>
      </c>
      <c r="PGW618" s="17">
        <v>44925</v>
      </c>
      <c r="PGX618" s="5" t="s">
        <v>3728</v>
      </c>
      <c r="PGY618" s="17">
        <v>44925</v>
      </c>
      <c r="PGZ618" s="5" t="s">
        <v>3728</v>
      </c>
      <c r="PHA618" s="17">
        <v>44925</v>
      </c>
      <c r="PHB618" s="5" t="s">
        <v>3728</v>
      </c>
      <c r="PHC618" s="17">
        <v>44925</v>
      </c>
      <c r="PHD618" s="5" t="s">
        <v>3728</v>
      </c>
      <c r="PHE618" s="17">
        <v>44925</v>
      </c>
      <c r="PHF618" s="5" t="s">
        <v>3728</v>
      </c>
      <c r="PHG618" s="17">
        <v>44925</v>
      </c>
      <c r="PHH618" s="5" t="s">
        <v>3728</v>
      </c>
      <c r="PHI618" s="17">
        <v>44925</v>
      </c>
      <c r="PHJ618" s="5" t="s">
        <v>3728</v>
      </c>
      <c r="PHK618" s="17">
        <v>44925</v>
      </c>
      <c r="PHL618" s="5" t="s">
        <v>3728</v>
      </c>
      <c r="PHM618" s="17">
        <v>44925</v>
      </c>
      <c r="PHN618" s="5" t="s">
        <v>3728</v>
      </c>
      <c r="PHO618" s="17">
        <v>44925</v>
      </c>
      <c r="PHP618" s="5" t="s">
        <v>3728</v>
      </c>
      <c r="PHQ618" s="17">
        <v>44925</v>
      </c>
      <c r="PHR618" s="5" t="s">
        <v>3728</v>
      </c>
      <c r="PHS618" s="17">
        <v>44925</v>
      </c>
      <c r="PHT618" s="5" t="s">
        <v>3728</v>
      </c>
      <c r="PHU618" s="17">
        <v>44925</v>
      </c>
      <c r="PHV618" s="5" t="s">
        <v>3728</v>
      </c>
      <c r="PHW618" s="17">
        <v>44925</v>
      </c>
      <c r="PHX618" s="5" t="s">
        <v>3728</v>
      </c>
      <c r="PHY618" s="17">
        <v>44925</v>
      </c>
      <c r="PHZ618" s="5" t="s">
        <v>3728</v>
      </c>
      <c r="PIA618" s="17">
        <v>44925</v>
      </c>
      <c r="PIB618" s="5" t="s">
        <v>3728</v>
      </c>
      <c r="PIC618" s="17">
        <v>44925</v>
      </c>
      <c r="PID618" s="5" t="s">
        <v>3728</v>
      </c>
      <c r="PIE618" s="17">
        <v>44925</v>
      </c>
      <c r="PIF618" s="5" t="s">
        <v>3728</v>
      </c>
      <c r="PIG618" s="17">
        <v>44925</v>
      </c>
      <c r="PIH618" s="5" t="s">
        <v>3728</v>
      </c>
      <c r="PII618" s="17">
        <v>44925</v>
      </c>
      <c r="PIJ618" s="5" t="s">
        <v>3728</v>
      </c>
      <c r="PIK618" s="17">
        <v>44925</v>
      </c>
      <c r="PIL618" s="5" t="s">
        <v>3728</v>
      </c>
      <c r="PIM618" s="17">
        <v>44925</v>
      </c>
      <c r="PIN618" s="5" t="s">
        <v>3728</v>
      </c>
      <c r="PIO618" s="17">
        <v>44925</v>
      </c>
      <c r="PIP618" s="5" t="s">
        <v>3728</v>
      </c>
      <c r="PIQ618" s="17">
        <v>44925</v>
      </c>
      <c r="PIR618" s="5" t="s">
        <v>3728</v>
      </c>
      <c r="PIS618" s="17">
        <v>44925</v>
      </c>
      <c r="PIT618" s="5" t="s">
        <v>3728</v>
      </c>
      <c r="PIU618" s="17">
        <v>44925</v>
      </c>
      <c r="PIV618" s="5" t="s">
        <v>3728</v>
      </c>
      <c r="PIW618" s="17">
        <v>44925</v>
      </c>
      <c r="PIX618" s="5" t="s">
        <v>3728</v>
      </c>
      <c r="PIY618" s="17">
        <v>44925</v>
      </c>
      <c r="PIZ618" s="5" t="s">
        <v>3728</v>
      </c>
      <c r="PJA618" s="17">
        <v>44925</v>
      </c>
      <c r="PJB618" s="5" t="s">
        <v>3728</v>
      </c>
      <c r="PJC618" s="17">
        <v>44925</v>
      </c>
      <c r="PJD618" s="5" t="s">
        <v>3728</v>
      </c>
      <c r="PJE618" s="17">
        <v>44925</v>
      </c>
      <c r="PJF618" s="5" t="s">
        <v>3728</v>
      </c>
      <c r="PJG618" s="17">
        <v>44925</v>
      </c>
      <c r="PJH618" s="5" t="s">
        <v>3728</v>
      </c>
      <c r="PJI618" s="17">
        <v>44925</v>
      </c>
      <c r="PJJ618" s="5" t="s">
        <v>3728</v>
      </c>
      <c r="PJK618" s="17">
        <v>44925</v>
      </c>
      <c r="PJL618" s="5" t="s">
        <v>3728</v>
      </c>
      <c r="PJM618" s="17">
        <v>44925</v>
      </c>
      <c r="PJN618" s="5" t="s">
        <v>3728</v>
      </c>
      <c r="PJO618" s="17">
        <v>44925</v>
      </c>
      <c r="PJP618" s="5" t="s">
        <v>3728</v>
      </c>
      <c r="PJQ618" s="17">
        <v>44925</v>
      </c>
      <c r="PJR618" s="5" t="s">
        <v>3728</v>
      </c>
      <c r="PJS618" s="17">
        <v>44925</v>
      </c>
      <c r="PJT618" s="5" t="s">
        <v>3728</v>
      </c>
      <c r="PJU618" s="17">
        <v>44925</v>
      </c>
      <c r="PJV618" s="5" t="s">
        <v>3728</v>
      </c>
      <c r="PJW618" s="17">
        <v>44925</v>
      </c>
      <c r="PJX618" s="5" t="s">
        <v>3728</v>
      </c>
      <c r="PJY618" s="17">
        <v>44925</v>
      </c>
      <c r="PJZ618" s="5" t="s">
        <v>3728</v>
      </c>
      <c r="PKA618" s="17">
        <v>44925</v>
      </c>
      <c r="PKB618" s="5" t="s">
        <v>3728</v>
      </c>
      <c r="PKC618" s="17">
        <v>44925</v>
      </c>
      <c r="PKD618" s="5" t="s">
        <v>3728</v>
      </c>
      <c r="PKE618" s="17">
        <v>44925</v>
      </c>
      <c r="PKF618" s="5" t="s">
        <v>3728</v>
      </c>
      <c r="PKG618" s="17">
        <v>44925</v>
      </c>
      <c r="PKH618" s="5" t="s">
        <v>3728</v>
      </c>
      <c r="PKI618" s="17">
        <v>44925</v>
      </c>
      <c r="PKJ618" s="5" t="s">
        <v>3728</v>
      </c>
      <c r="PKK618" s="17">
        <v>44925</v>
      </c>
      <c r="PKL618" s="5" t="s">
        <v>3728</v>
      </c>
      <c r="PKM618" s="17">
        <v>44925</v>
      </c>
      <c r="PKN618" s="5" t="s">
        <v>3728</v>
      </c>
      <c r="PKO618" s="17">
        <v>44925</v>
      </c>
      <c r="PKP618" s="5" t="s">
        <v>3728</v>
      </c>
      <c r="PKQ618" s="17">
        <v>44925</v>
      </c>
      <c r="PKR618" s="5" t="s">
        <v>3728</v>
      </c>
      <c r="PKS618" s="17">
        <v>44925</v>
      </c>
      <c r="PKT618" s="5" t="s">
        <v>3728</v>
      </c>
      <c r="PKU618" s="17">
        <v>44925</v>
      </c>
      <c r="PKV618" s="5" t="s">
        <v>3728</v>
      </c>
      <c r="PKW618" s="17">
        <v>44925</v>
      </c>
      <c r="PKX618" s="5" t="s">
        <v>3728</v>
      </c>
      <c r="PKY618" s="17">
        <v>44925</v>
      </c>
      <c r="PKZ618" s="5" t="s">
        <v>3728</v>
      </c>
      <c r="PLA618" s="17">
        <v>44925</v>
      </c>
      <c r="PLB618" s="5" t="s">
        <v>3728</v>
      </c>
      <c r="PLC618" s="17">
        <v>44925</v>
      </c>
      <c r="PLD618" s="5" t="s">
        <v>3728</v>
      </c>
      <c r="PLE618" s="17">
        <v>44925</v>
      </c>
      <c r="PLF618" s="5" t="s">
        <v>3728</v>
      </c>
      <c r="PLG618" s="17">
        <v>44925</v>
      </c>
      <c r="PLH618" s="5" t="s">
        <v>3728</v>
      </c>
      <c r="PLI618" s="17">
        <v>44925</v>
      </c>
      <c r="PLJ618" s="5" t="s">
        <v>3728</v>
      </c>
      <c r="PLK618" s="17">
        <v>44925</v>
      </c>
      <c r="PLL618" s="5" t="s">
        <v>3728</v>
      </c>
      <c r="PLM618" s="17">
        <v>44925</v>
      </c>
      <c r="PLN618" s="5" t="s">
        <v>3728</v>
      </c>
      <c r="PLO618" s="17">
        <v>44925</v>
      </c>
      <c r="PLP618" s="5" t="s">
        <v>3728</v>
      </c>
      <c r="PLQ618" s="17">
        <v>44925</v>
      </c>
      <c r="PLR618" s="5" t="s">
        <v>3728</v>
      </c>
      <c r="PLS618" s="17">
        <v>44925</v>
      </c>
      <c r="PLT618" s="5" t="s">
        <v>3728</v>
      </c>
      <c r="PLU618" s="17">
        <v>44925</v>
      </c>
      <c r="PLV618" s="5" t="s">
        <v>3728</v>
      </c>
      <c r="PLW618" s="17">
        <v>44925</v>
      </c>
      <c r="PLX618" s="5" t="s">
        <v>3728</v>
      </c>
      <c r="PLY618" s="17">
        <v>44925</v>
      </c>
      <c r="PLZ618" s="5" t="s">
        <v>3728</v>
      </c>
      <c r="PMA618" s="17">
        <v>44925</v>
      </c>
      <c r="PMB618" s="5" t="s">
        <v>3728</v>
      </c>
      <c r="PMC618" s="17">
        <v>44925</v>
      </c>
      <c r="PMD618" s="5" t="s">
        <v>3728</v>
      </c>
      <c r="PME618" s="17">
        <v>44925</v>
      </c>
      <c r="PMF618" s="5" t="s">
        <v>3728</v>
      </c>
      <c r="PMG618" s="17">
        <v>44925</v>
      </c>
      <c r="PMH618" s="5" t="s">
        <v>3728</v>
      </c>
      <c r="PMI618" s="17">
        <v>44925</v>
      </c>
      <c r="PMJ618" s="5" t="s">
        <v>3728</v>
      </c>
      <c r="PMK618" s="17">
        <v>44925</v>
      </c>
      <c r="PML618" s="5" t="s">
        <v>3728</v>
      </c>
      <c r="PMM618" s="17">
        <v>44925</v>
      </c>
      <c r="PMN618" s="5" t="s">
        <v>3728</v>
      </c>
      <c r="PMO618" s="17">
        <v>44925</v>
      </c>
      <c r="PMP618" s="5" t="s">
        <v>3728</v>
      </c>
      <c r="PMQ618" s="17">
        <v>44925</v>
      </c>
      <c r="PMR618" s="5" t="s">
        <v>3728</v>
      </c>
      <c r="PMS618" s="17">
        <v>44925</v>
      </c>
      <c r="PMT618" s="5" t="s">
        <v>3728</v>
      </c>
      <c r="PMU618" s="17">
        <v>44925</v>
      </c>
      <c r="PMV618" s="5" t="s">
        <v>3728</v>
      </c>
      <c r="PMW618" s="17">
        <v>44925</v>
      </c>
      <c r="PMX618" s="5" t="s">
        <v>3728</v>
      </c>
      <c r="PMY618" s="17">
        <v>44925</v>
      </c>
      <c r="PMZ618" s="5" t="s">
        <v>3728</v>
      </c>
      <c r="PNA618" s="17">
        <v>44925</v>
      </c>
      <c r="PNB618" s="5" t="s">
        <v>3728</v>
      </c>
      <c r="PNC618" s="17">
        <v>44925</v>
      </c>
      <c r="PND618" s="5" t="s">
        <v>3728</v>
      </c>
      <c r="PNE618" s="17">
        <v>44925</v>
      </c>
      <c r="PNF618" s="5" t="s">
        <v>3728</v>
      </c>
      <c r="PNG618" s="17">
        <v>44925</v>
      </c>
      <c r="PNH618" s="5" t="s">
        <v>3728</v>
      </c>
      <c r="PNI618" s="17">
        <v>44925</v>
      </c>
      <c r="PNJ618" s="5" t="s">
        <v>3728</v>
      </c>
      <c r="PNK618" s="17">
        <v>44925</v>
      </c>
      <c r="PNL618" s="5" t="s">
        <v>3728</v>
      </c>
      <c r="PNM618" s="17">
        <v>44925</v>
      </c>
      <c r="PNN618" s="5" t="s">
        <v>3728</v>
      </c>
      <c r="PNO618" s="17">
        <v>44925</v>
      </c>
      <c r="PNP618" s="5" t="s">
        <v>3728</v>
      </c>
      <c r="PNQ618" s="17">
        <v>44925</v>
      </c>
      <c r="PNR618" s="5" t="s">
        <v>3728</v>
      </c>
      <c r="PNS618" s="17">
        <v>44925</v>
      </c>
      <c r="PNT618" s="5" t="s">
        <v>3728</v>
      </c>
      <c r="PNU618" s="17">
        <v>44925</v>
      </c>
      <c r="PNV618" s="5" t="s">
        <v>3728</v>
      </c>
      <c r="PNW618" s="17">
        <v>44925</v>
      </c>
      <c r="PNX618" s="5" t="s">
        <v>3728</v>
      </c>
      <c r="PNY618" s="17">
        <v>44925</v>
      </c>
      <c r="PNZ618" s="5" t="s">
        <v>3728</v>
      </c>
      <c r="POA618" s="17">
        <v>44925</v>
      </c>
      <c r="POB618" s="5" t="s">
        <v>3728</v>
      </c>
      <c r="POC618" s="17">
        <v>44925</v>
      </c>
      <c r="POD618" s="5" t="s">
        <v>3728</v>
      </c>
      <c r="POE618" s="17">
        <v>44925</v>
      </c>
      <c r="POF618" s="5" t="s">
        <v>3728</v>
      </c>
      <c r="POG618" s="17">
        <v>44925</v>
      </c>
      <c r="POH618" s="5" t="s">
        <v>3728</v>
      </c>
      <c r="POI618" s="17">
        <v>44925</v>
      </c>
      <c r="POJ618" s="5" t="s">
        <v>3728</v>
      </c>
      <c r="POK618" s="17">
        <v>44925</v>
      </c>
      <c r="POL618" s="5" t="s">
        <v>3728</v>
      </c>
      <c r="POM618" s="17">
        <v>44925</v>
      </c>
      <c r="PON618" s="5" t="s">
        <v>3728</v>
      </c>
      <c r="POO618" s="17">
        <v>44925</v>
      </c>
      <c r="POP618" s="5" t="s">
        <v>3728</v>
      </c>
      <c r="POQ618" s="17">
        <v>44925</v>
      </c>
      <c r="POR618" s="5" t="s">
        <v>3728</v>
      </c>
      <c r="POS618" s="17">
        <v>44925</v>
      </c>
      <c r="POT618" s="5" t="s">
        <v>3728</v>
      </c>
      <c r="POU618" s="17">
        <v>44925</v>
      </c>
      <c r="POV618" s="5" t="s">
        <v>3728</v>
      </c>
      <c r="POW618" s="17">
        <v>44925</v>
      </c>
      <c r="POX618" s="5" t="s">
        <v>3728</v>
      </c>
      <c r="POY618" s="17">
        <v>44925</v>
      </c>
      <c r="POZ618" s="5" t="s">
        <v>3728</v>
      </c>
      <c r="PPA618" s="17">
        <v>44925</v>
      </c>
      <c r="PPB618" s="5" t="s">
        <v>3728</v>
      </c>
      <c r="PPC618" s="17">
        <v>44925</v>
      </c>
      <c r="PPD618" s="5" t="s">
        <v>3728</v>
      </c>
      <c r="PPE618" s="17">
        <v>44925</v>
      </c>
      <c r="PPF618" s="5" t="s">
        <v>3728</v>
      </c>
      <c r="PPG618" s="17">
        <v>44925</v>
      </c>
      <c r="PPH618" s="5" t="s">
        <v>3728</v>
      </c>
      <c r="PPI618" s="17">
        <v>44925</v>
      </c>
      <c r="PPJ618" s="5" t="s">
        <v>3728</v>
      </c>
      <c r="PPK618" s="17">
        <v>44925</v>
      </c>
      <c r="PPL618" s="5" t="s">
        <v>3728</v>
      </c>
      <c r="PPM618" s="17">
        <v>44925</v>
      </c>
      <c r="PPN618" s="5" t="s">
        <v>3728</v>
      </c>
      <c r="PPO618" s="17">
        <v>44925</v>
      </c>
      <c r="PPP618" s="5" t="s">
        <v>3728</v>
      </c>
      <c r="PPQ618" s="17">
        <v>44925</v>
      </c>
      <c r="PPR618" s="5" t="s">
        <v>3728</v>
      </c>
      <c r="PPS618" s="17">
        <v>44925</v>
      </c>
      <c r="PPT618" s="5" t="s">
        <v>3728</v>
      </c>
      <c r="PPU618" s="17">
        <v>44925</v>
      </c>
      <c r="PPV618" s="5" t="s">
        <v>3728</v>
      </c>
      <c r="PPW618" s="17">
        <v>44925</v>
      </c>
      <c r="PPX618" s="5" t="s">
        <v>3728</v>
      </c>
      <c r="PPY618" s="17">
        <v>44925</v>
      </c>
      <c r="PPZ618" s="5" t="s">
        <v>3728</v>
      </c>
      <c r="PQA618" s="17">
        <v>44925</v>
      </c>
      <c r="PQB618" s="5" t="s">
        <v>3728</v>
      </c>
      <c r="PQC618" s="17">
        <v>44925</v>
      </c>
      <c r="PQD618" s="5" t="s">
        <v>3728</v>
      </c>
      <c r="PQE618" s="17">
        <v>44925</v>
      </c>
      <c r="PQF618" s="5" t="s">
        <v>3728</v>
      </c>
      <c r="PQG618" s="17">
        <v>44925</v>
      </c>
      <c r="PQH618" s="5" t="s">
        <v>3728</v>
      </c>
      <c r="PQI618" s="17">
        <v>44925</v>
      </c>
      <c r="PQJ618" s="5" t="s">
        <v>3728</v>
      </c>
      <c r="PQK618" s="17">
        <v>44925</v>
      </c>
      <c r="PQL618" s="5" t="s">
        <v>3728</v>
      </c>
      <c r="PQM618" s="17">
        <v>44925</v>
      </c>
      <c r="PQN618" s="5" t="s">
        <v>3728</v>
      </c>
      <c r="PQO618" s="17">
        <v>44925</v>
      </c>
      <c r="PQP618" s="5" t="s">
        <v>3728</v>
      </c>
      <c r="PQQ618" s="17">
        <v>44925</v>
      </c>
      <c r="PQR618" s="5" t="s">
        <v>3728</v>
      </c>
      <c r="PQS618" s="17">
        <v>44925</v>
      </c>
      <c r="PQT618" s="5" t="s">
        <v>3728</v>
      </c>
      <c r="PQU618" s="17">
        <v>44925</v>
      </c>
      <c r="PQV618" s="5" t="s">
        <v>3728</v>
      </c>
      <c r="PQW618" s="17">
        <v>44925</v>
      </c>
      <c r="PQX618" s="5" t="s">
        <v>3728</v>
      </c>
      <c r="PQY618" s="17">
        <v>44925</v>
      </c>
      <c r="PQZ618" s="5" t="s">
        <v>3728</v>
      </c>
      <c r="PRA618" s="17">
        <v>44925</v>
      </c>
      <c r="PRB618" s="5" t="s">
        <v>3728</v>
      </c>
      <c r="PRC618" s="17">
        <v>44925</v>
      </c>
      <c r="PRD618" s="5" t="s">
        <v>3728</v>
      </c>
      <c r="PRE618" s="17">
        <v>44925</v>
      </c>
      <c r="PRF618" s="5" t="s">
        <v>3728</v>
      </c>
      <c r="PRG618" s="17">
        <v>44925</v>
      </c>
      <c r="PRH618" s="5" t="s">
        <v>3728</v>
      </c>
      <c r="PRI618" s="17">
        <v>44925</v>
      </c>
      <c r="PRJ618" s="5" t="s">
        <v>3728</v>
      </c>
      <c r="PRK618" s="17">
        <v>44925</v>
      </c>
      <c r="PRL618" s="5" t="s">
        <v>3728</v>
      </c>
      <c r="PRM618" s="17">
        <v>44925</v>
      </c>
      <c r="PRN618" s="5" t="s">
        <v>3728</v>
      </c>
      <c r="PRO618" s="17">
        <v>44925</v>
      </c>
      <c r="PRP618" s="5" t="s">
        <v>3728</v>
      </c>
      <c r="PRQ618" s="17">
        <v>44925</v>
      </c>
      <c r="PRR618" s="5" t="s">
        <v>3728</v>
      </c>
      <c r="PRS618" s="17">
        <v>44925</v>
      </c>
      <c r="PRT618" s="5" t="s">
        <v>3728</v>
      </c>
      <c r="PRU618" s="17">
        <v>44925</v>
      </c>
      <c r="PRV618" s="5" t="s">
        <v>3728</v>
      </c>
      <c r="PRW618" s="17">
        <v>44925</v>
      </c>
      <c r="PRX618" s="5" t="s">
        <v>3728</v>
      </c>
      <c r="PRY618" s="17">
        <v>44925</v>
      </c>
      <c r="PRZ618" s="5" t="s">
        <v>3728</v>
      </c>
      <c r="PSA618" s="17">
        <v>44925</v>
      </c>
      <c r="PSB618" s="5" t="s">
        <v>3728</v>
      </c>
      <c r="PSC618" s="17">
        <v>44925</v>
      </c>
      <c r="PSD618" s="5" t="s">
        <v>3728</v>
      </c>
      <c r="PSE618" s="17">
        <v>44925</v>
      </c>
      <c r="PSF618" s="5" t="s">
        <v>3728</v>
      </c>
      <c r="PSG618" s="17">
        <v>44925</v>
      </c>
      <c r="PSH618" s="5" t="s">
        <v>3728</v>
      </c>
      <c r="PSI618" s="17">
        <v>44925</v>
      </c>
      <c r="PSJ618" s="5" t="s">
        <v>3728</v>
      </c>
      <c r="PSK618" s="17">
        <v>44925</v>
      </c>
      <c r="PSL618" s="5" t="s">
        <v>3728</v>
      </c>
      <c r="PSM618" s="17">
        <v>44925</v>
      </c>
      <c r="PSN618" s="5" t="s">
        <v>3728</v>
      </c>
      <c r="PSO618" s="17">
        <v>44925</v>
      </c>
      <c r="PSP618" s="5" t="s">
        <v>3728</v>
      </c>
      <c r="PSQ618" s="17">
        <v>44925</v>
      </c>
      <c r="PSR618" s="5" t="s">
        <v>3728</v>
      </c>
      <c r="PSS618" s="17">
        <v>44925</v>
      </c>
      <c r="PST618" s="5" t="s">
        <v>3728</v>
      </c>
      <c r="PSU618" s="17">
        <v>44925</v>
      </c>
      <c r="PSV618" s="5" t="s">
        <v>3728</v>
      </c>
      <c r="PSW618" s="17">
        <v>44925</v>
      </c>
      <c r="PSX618" s="5" t="s">
        <v>3728</v>
      </c>
      <c r="PSY618" s="17">
        <v>44925</v>
      </c>
      <c r="PSZ618" s="5" t="s">
        <v>3728</v>
      </c>
      <c r="PTA618" s="17">
        <v>44925</v>
      </c>
      <c r="PTB618" s="5" t="s">
        <v>3728</v>
      </c>
      <c r="PTC618" s="17">
        <v>44925</v>
      </c>
      <c r="PTD618" s="5" t="s">
        <v>3728</v>
      </c>
      <c r="PTE618" s="17">
        <v>44925</v>
      </c>
      <c r="PTF618" s="5" t="s">
        <v>3728</v>
      </c>
      <c r="PTG618" s="17">
        <v>44925</v>
      </c>
      <c r="PTH618" s="5" t="s">
        <v>3728</v>
      </c>
      <c r="PTI618" s="17">
        <v>44925</v>
      </c>
      <c r="PTJ618" s="5" t="s">
        <v>3728</v>
      </c>
      <c r="PTK618" s="17">
        <v>44925</v>
      </c>
      <c r="PTL618" s="5" t="s">
        <v>3728</v>
      </c>
      <c r="PTM618" s="17">
        <v>44925</v>
      </c>
      <c r="PTN618" s="5" t="s">
        <v>3728</v>
      </c>
      <c r="PTO618" s="17">
        <v>44925</v>
      </c>
      <c r="PTP618" s="5" t="s">
        <v>3728</v>
      </c>
      <c r="PTQ618" s="17">
        <v>44925</v>
      </c>
      <c r="PTR618" s="5" t="s">
        <v>3728</v>
      </c>
      <c r="PTS618" s="17">
        <v>44925</v>
      </c>
      <c r="PTT618" s="5" t="s">
        <v>3728</v>
      </c>
      <c r="PTU618" s="17">
        <v>44925</v>
      </c>
      <c r="PTV618" s="5" t="s">
        <v>3728</v>
      </c>
      <c r="PTW618" s="17">
        <v>44925</v>
      </c>
      <c r="PTX618" s="5" t="s">
        <v>3728</v>
      </c>
      <c r="PTY618" s="17">
        <v>44925</v>
      </c>
      <c r="PTZ618" s="5" t="s">
        <v>3728</v>
      </c>
      <c r="PUA618" s="17">
        <v>44925</v>
      </c>
      <c r="PUB618" s="5" t="s">
        <v>3728</v>
      </c>
      <c r="PUC618" s="17">
        <v>44925</v>
      </c>
      <c r="PUD618" s="5" t="s">
        <v>3728</v>
      </c>
      <c r="PUE618" s="17">
        <v>44925</v>
      </c>
      <c r="PUF618" s="5" t="s">
        <v>3728</v>
      </c>
      <c r="PUG618" s="17">
        <v>44925</v>
      </c>
      <c r="PUH618" s="5" t="s">
        <v>3728</v>
      </c>
      <c r="PUI618" s="17">
        <v>44925</v>
      </c>
      <c r="PUJ618" s="5" t="s">
        <v>3728</v>
      </c>
      <c r="PUK618" s="17">
        <v>44925</v>
      </c>
      <c r="PUL618" s="5" t="s">
        <v>3728</v>
      </c>
      <c r="PUM618" s="17">
        <v>44925</v>
      </c>
      <c r="PUN618" s="5" t="s">
        <v>3728</v>
      </c>
      <c r="PUO618" s="17">
        <v>44925</v>
      </c>
      <c r="PUP618" s="5" t="s">
        <v>3728</v>
      </c>
      <c r="PUQ618" s="17">
        <v>44925</v>
      </c>
      <c r="PUR618" s="5" t="s">
        <v>3728</v>
      </c>
      <c r="PUS618" s="17">
        <v>44925</v>
      </c>
      <c r="PUT618" s="5" t="s">
        <v>3728</v>
      </c>
      <c r="PUU618" s="17">
        <v>44925</v>
      </c>
      <c r="PUV618" s="5" t="s">
        <v>3728</v>
      </c>
      <c r="PUW618" s="17">
        <v>44925</v>
      </c>
      <c r="PUX618" s="5" t="s">
        <v>3728</v>
      </c>
      <c r="PUY618" s="17">
        <v>44925</v>
      </c>
      <c r="PUZ618" s="5" t="s">
        <v>3728</v>
      </c>
      <c r="PVA618" s="17">
        <v>44925</v>
      </c>
      <c r="PVB618" s="5" t="s">
        <v>3728</v>
      </c>
      <c r="PVC618" s="17">
        <v>44925</v>
      </c>
      <c r="PVD618" s="5" t="s">
        <v>3728</v>
      </c>
      <c r="PVE618" s="17">
        <v>44925</v>
      </c>
      <c r="PVF618" s="5" t="s">
        <v>3728</v>
      </c>
      <c r="PVG618" s="17">
        <v>44925</v>
      </c>
      <c r="PVH618" s="5" t="s">
        <v>3728</v>
      </c>
      <c r="PVI618" s="17">
        <v>44925</v>
      </c>
      <c r="PVJ618" s="5" t="s">
        <v>3728</v>
      </c>
      <c r="PVK618" s="17">
        <v>44925</v>
      </c>
      <c r="PVL618" s="5" t="s">
        <v>3728</v>
      </c>
      <c r="PVM618" s="17">
        <v>44925</v>
      </c>
      <c r="PVN618" s="5" t="s">
        <v>3728</v>
      </c>
      <c r="PVO618" s="17">
        <v>44925</v>
      </c>
      <c r="PVP618" s="5" t="s">
        <v>3728</v>
      </c>
      <c r="PVQ618" s="17">
        <v>44925</v>
      </c>
      <c r="PVR618" s="5" t="s">
        <v>3728</v>
      </c>
      <c r="PVS618" s="17">
        <v>44925</v>
      </c>
      <c r="PVT618" s="5" t="s">
        <v>3728</v>
      </c>
      <c r="PVU618" s="17">
        <v>44925</v>
      </c>
      <c r="PVV618" s="5" t="s">
        <v>3728</v>
      </c>
      <c r="PVW618" s="17">
        <v>44925</v>
      </c>
      <c r="PVX618" s="5" t="s">
        <v>3728</v>
      </c>
      <c r="PVY618" s="17">
        <v>44925</v>
      </c>
      <c r="PVZ618" s="5" t="s">
        <v>3728</v>
      </c>
      <c r="PWA618" s="17">
        <v>44925</v>
      </c>
      <c r="PWB618" s="5" t="s">
        <v>3728</v>
      </c>
      <c r="PWC618" s="17">
        <v>44925</v>
      </c>
      <c r="PWD618" s="5" t="s">
        <v>3728</v>
      </c>
      <c r="PWE618" s="17">
        <v>44925</v>
      </c>
      <c r="PWF618" s="5" t="s">
        <v>3728</v>
      </c>
      <c r="PWG618" s="17">
        <v>44925</v>
      </c>
      <c r="PWH618" s="5" t="s">
        <v>3728</v>
      </c>
      <c r="PWI618" s="17">
        <v>44925</v>
      </c>
      <c r="PWJ618" s="5" t="s">
        <v>3728</v>
      </c>
      <c r="PWK618" s="17">
        <v>44925</v>
      </c>
      <c r="PWL618" s="5" t="s">
        <v>3728</v>
      </c>
      <c r="PWM618" s="17">
        <v>44925</v>
      </c>
      <c r="PWN618" s="5" t="s">
        <v>3728</v>
      </c>
      <c r="PWO618" s="17">
        <v>44925</v>
      </c>
      <c r="PWP618" s="5" t="s">
        <v>3728</v>
      </c>
      <c r="PWQ618" s="17">
        <v>44925</v>
      </c>
      <c r="PWR618" s="5" t="s">
        <v>3728</v>
      </c>
      <c r="PWS618" s="17">
        <v>44925</v>
      </c>
      <c r="PWT618" s="5" t="s">
        <v>3728</v>
      </c>
      <c r="PWU618" s="17">
        <v>44925</v>
      </c>
      <c r="PWV618" s="5" t="s">
        <v>3728</v>
      </c>
      <c r="PWW618" s="17">
        <v>44925</v>
      </c>
      <c r="PWX618" s="5" t="s">
        <v>3728</v>
      </c>
      <c r="PWY618" s="17">
        <v>44925</v>
      </c>
      <c r="PWZ618" s="5" t="s">
        <v>3728</v>
      </c>
      <c r="PXA618" s="17">
        <v>44925</v>
      </c>
      <c r="PXB618" s="5" t="s">
        <v>3728</v>
      </c>
      <c r="PXC618" s="17">
        <v>44925</v>
      </c>
      <c r="PXD618" s="5" t="s">
        <v>3728</v>
      </c>
      <c r="PXE618" s="17">
        <v>44925</v>
      </c>
      <c r="PXF618" s="5" t="s">
        <v>3728</v>
      </c>
      <c r="PXG618" s="17">
        <v>44925</v>
      </c>
      <c r="PXH618" s="5" t="s">
        <v>3728</v>
      </c>
      <c r="PXI618" s="17">
        <v>44925</v>
      </c>
      <c r="PXJ618" s="5" t="s">
        <v>3728</v>
      </c>
      <c r="PXK618" s="17">
        <v>44925</v>
      </c>
      <c r="PXL618" s="5" t="s">
        <v>3728</v>
      </c>
      <c r="PXM618" s="17">
        <v>44925</v>
      </c>
      <c r="PXN618" s="5" t="s">
        <v>3728</v>
      </c>
      <c r="PXO618" s="17">
        <v>44925</v>
      </c>
      <c r="PXP618" s="5" t="s">
        <v>3728</v>
      </c>
      <c r="PXQ618" s="17">
        <v>44925</v>
      </c>
      <c r="PXR618" s="5" t="s">
        <v>3728</v>
      </c>
      <c r="PXS618" s="17">
        <v>44925</v>
      </c>
      <c r="PXT618" s="5" t="s">
        <v>3728</v>
      </c>
      <c r="PXU618" s="17">
        <v>44925</v>
      </c>
      <c r="PXV618" s="5" t="s">
        <v>3728</v>
      </c>
      <c r="PXW618" s="17">
        <v>44925</v>
      </c>
      <c r="PXX618" s="5" t="s">
        <v>3728</v>
      </c>
      <c r="PXY618" s="17">
        <v>44925</v>
      </c>
      <c r="PXZ618" s="5" t="s">
        <v>3728</v>
      </c>
      <c r="PYA618" s="17">
        <v>44925</v>
      </c>
      <c r="PYB618" s="5" t="s">
        <v>3728</v>
      </c>
      <c r="PYC618" s="17">
        <v>44925</v>
      </c>
      <c r="PYD618" s="5" t="s">
        <v>3728</v>
      </c>
      <c r="PYE618" s="17">
        <v>44925</v>
      </c>
      <c r="PYF618" s="5" t="s">
        <v>3728</v>
      </c>
      <c r="PYG618" s="17">
        <v>44925</v>
      </c>
      <c r="PYH618" s="5" t="s">
        <v>3728</v>
      </c>
      <c r="PYI618" s="17">
        <v>44925</v>
      </c>
      <c r="PYJ618" s="5" t="s">
        <v>3728</v>
      </c>
      <c r="PYK618" s="17">
        <v>44925</v>
      </c>
      <c r="PYL618" s="5" t="s">
        <v>3728</v>
      </c>
      <c r="PYM618" s="17">
        <v>44925</v>
      </c>
      <c r="PYN618" s="5" t="s">
        <v>3728</v>
      </c>
      <c r="PYO618" s="17">
        <v>44925</v>
      </c>
      <c r="PYP618" s="5" t="s">
        <v>3728</v>
      </c>
      <c r="PYQ618" s="17">
        <v>44925</v>
      </c>
      <c r="PYR618" s="5" t="s">
        <v>3728</v>
      </c>
      <c r="PYS618" s="17">
        <v>44925</v>
      </c>
      <c r="PYT618" s="5" t="s">
        <v>3728</v>
      </c>
      <c r="PYU618" s="17">
        <v>44925</v>
      </c>
      <c r="PYV618" s="5" t="s">
        <v>3728</v>
      </c>
      <c r="PYW618" s="17">
        <v>44925</v>
      </c>
      <c r="PYX618" s="5" t="s">
        <v>3728</v>
      </c>
      <c r="PYY618" s="17">
        <v>44925</v>
      </c>
      <c r="PYZ618" s="5" t="s">
        <v>3728</v>
      </c>
      <c r="PZA618" s="17">
        <v>44925</v>
      </c>
      <c r="PZB618" s="5" t="s">
        <v>3728</v>
      </c>
      <c r="PZC618" s="17">
        <v>44925</v>
      </c>
      <c r="PZD618" s="5" t="s">
        <v>3728</v>
      </c>
      <c r="PZE618" s="17">
        <v>44925</v>
      </c>
      <c r="PZF618" s="5" t="s">
        <v>3728</v>
      </c>
      <c r="PZG618" s="17">
        <v>44925</v>
      </c>
      <c r="PZH618" s="5" t="s">
        <v>3728</v>
      </c>
      <c r="PZI618" s="17">
        <v>44925</v>
      </c>
      <c r="PZJ618" s="5" t="s">
        <v>3728</v>
      </c>
      <c r="PZK618" s="17">
        <v>44925</v>
      </c>
      <c r="PZL618" s="5" t="s">
        <v>3728</v>
      </c>
      <c r="PZM618" s="17">
        <v>44925</v>
      </c>
      <c r="PZN618" s="5" t="s">
        <v>3728</v>
      </c>
      <c r="PZO618" s="17">
        <v>44925</v>
      </c>
      <c r="PZP618" s="5" t="s">
        <v>3728</v>
      </c>
      <c r="PZQ618" s="17">
        <v>44925</v>
      </c>
      <c r="PZR618" s="5" t="s">
        <v>3728</v>
      </c>
      <c r="PZS618" s="17">
        <v>44925</v>
      </c>
      <c r="PZT618" s="5" t="s">
        <v>3728</v>
      </c>
      <c r="PZU618" s="17">
        <v>44925</v>
      </c>
      <c r="PZV618" s="5" t="s">
        <v>3728</v>
      </c>
      <c r="PZW618" s="17">
        <v>44925</v>
      </c>
      <c r="PZX618" s="5" t="s">
        <v>3728</v>
      </c>
      <c r="PZY618" s="17">
        <v>44925</v>
      </c>
      <c r="PZZ618" s="5" t="s">
        <v>3728</v>
      </c>
      <c r="QAA618" s="17">
        <v>44925</v>
      </c>
      <c r="QAB618" s="5" t="s">
        <v>3728</v>
      </c>
      <c r="QAC618" s="17">
        <v>44925</v>
      </c>
      <c r="QAD618" s="5" t="s">
        <v>3728</v>
      </c>
      <c r="QAE618" s="17">
        <v>44925</v>
      </c>
      <c r="QAF618" s="5" t="s">
        <v>3728</v>
      </c>
      <c r="QAG618" s="17">
        <v>44925</v>
      </c>
      <c r="QAH618" s="5" t="s">
        <v>3728</v>
      </c>
      <c r="QAI618" s="17">
        <v>44925</v>
      </c>
      <c r="QAJ618" s="5" t="s">
        <v>3728</v>
      </c>
      <c r="QAK618" s="17">
        <v>44925</v>
      </c>
      <c r="QAL618" s="5" t="s">
        <v>3728</v>
      </c>
      <c r="QAM618" s="17">
        <v>44925</v>
      </c>
      <c r="QAN618" s="5" t="s">
        <v>3728</v>
      </c>
      <c r="QAO618" s="17">
        <v>44925</v>
      </c>
      <c r="QAP618" s="5" t="s">
        <v>3728</v>
      </c>
      <c r="QAQ618" s="17">
        <v>44925</v>
      </c>
      <c r="QAR618" s="5" t="s">
        <v>3728</v>
      </c>
      <c r="QAS618" s="17">
        <v>44925</v>
      </c>
      <c r="QAT618" s="5" t="s">
        <v>3728</v>
      </c>
      <c r="QAU618" s="17">
        <v>44925</v>
      </c>
      <c r="QAV618" s="5" t="s">
        <v>3728</v>
      </c>
      <c r="QAW618" s="17">
        <v>44925</v>
      </c>
      <c r="QAX618" s="5" t="s">
        <v>3728</v>
      </c>
      <c r="QAY618" s="17">
        <v>44925</v>
      </c>
      <c r="QAZ618" s="5" t="s">
        <v>3728</v>
      </c>
      <c r="QBA618" s="17">
        <v>44925</v>
      </c>
      <c r="QBB618" s="5" t="s">
        <v>3728</v>
      </c>
      <c r="QBC618" s="17">
        <v>44925</v>
      </c>
      <c r="QBD618" s="5" t="s">
        <v>3728</v>
      </c>
      <c r="QBE618" s="17">
        <v>44925</v>
      </c>
      <c r="QBF618" s="5" t="s">
        <v>3728</v>
      </c>
      <c r="QBG618" s="17">
        <v>44925</v>
      </c>
      <c r="QBH618" s="5" t="s">
        <v>3728</v>
      </c>
      <c r="QBI618" s="17">
        <v>44925</v>
      </c>
      <c r="QBJ618" s="5" t="s">
        <v>3728</v>
      </c>
      <c r="QBK618" s="17">
        <v>44925</v>
      </c>
      <c r="QBL618" s="5" t="s">
        <v>3728</v>
      </c>
      <c r="QBM618" s="17">
        <v>44925</v>
      </c>
      <c r="QBN618" s="5" t="s">
        <v>3728</v>
      </c>
      <c r="QBO618" s="17">
        <v>44925</v>
      </c>
      <c r="QBP618" s="5" t="s">
        <v>3728</v>
      </c>
      <c r="QBQ618" s="17">
        <v>44925</v>
      </c>
      <c r="QBR618" s="5" t="s">
        <v>3728</v>
      </c>
      <c r="QBS618" s="17">
        <v>44925</v>
      </c>
      <c r="QBT618" s="5" t="s">
        <v>3728</v>
      </c>
      <c r="QBU618" s="17">
        <v>44925</v>
      </c>
      <c r="QBV618" s="5" t="s">
        <v>3728</v>
      </c>
      <c r="QBW618" s="17">
        <v>44925</v>
      </c>
      <c r="QBX618" s="5" t="s">
        <v>3728</v>
      </c>
      <c r="QBY618" s="17">
        <v>44925</v>
      </c>
      <c r="QBZ618" s="5" t="s">
        <v>3728</v>
      </c>
      <c r="QCA618" s="17">
        <v>44925</v>
      </c>
      <c r="QCB618" s="5" t="s">
        <v>3728</v>
      </c>
      <c r="QCC618" s="17">
        <v>44925</v>
      </c>
      <c r="QCD618" s="5" t="s">
        <v>3728</v>
      </c>
      <c r="QCE618" s="17">
        <v>44925</v>
      </c>
      <c r="QCF618" s="5" t="s">
        <v>3728</v>
      </c>
      <c r="QCG618" s="17">
        <v>44925</v>
      </c>
      <c r="QCH618" s="5" t="s">
        <v>3728</v>
      </c>
      <c r="QCI618" s="17">
        <v>44925</v>
      </c>
      <c r="QCJ618" s="5" t="s">
        <v>3728</v>
      </c>
      <c r="QCK618" s="17">
        <v>44925</v>
      </c>
      <c r="QCL618" s="5" t="s">
        <v>3728</v>
      </c>
      <c r="QCM618" s="17">
        <v>44925</v>
      </c>
      <c r="QCN618" s="5" t="s">
        <v>3728</v>
      </c>
      <c r="QCO618" s="17">
        <v>44925</v>
      </c>
      <c r="QCP618" s="5" t="s">
        <v>3728</v>
      </c>
      <c r="QCQ618" s="17">
        <v>44925</v>
      </c>
      <c r="QCR618" s="5" t="s">
        <v>3728</v>
      </c>
      <c r="QCS618" s="17">
        <v>44925</v>
      </c>
      <c r="QCT618" s="5" t="s">
        <v>3728</v>
      </c>
      <c r="QCU618" s="17">
        <v>44925</v>
      </c>
      <c r="QCV618" s="5" t="s">
        <v>3728</v>
      </c>
      <c r="QCW618" s="17">
        <v>44925</v>
      </c>
      <c r="QCX618" s="5" t="s">
        <v>3728</v>
      </c>
      <c r="QCY618" s="17">
        <v>44925</v>
      </c>
      <c r="QCZ618" s="5" t="s">
        <v>3728</v>
      </c>
      <c r="QDA618" s="17">
        <v>44925</v>
      </c>
      <c r="QDB618" s="5" t="s">
        <v>3728</v>
      </c>
      <c r="QDC618" s="17">
        <v>44925</v>
      </c>
      <c r="QDD618" s="5" t="s">
        <v>3728</v>
      </c>
      <c r="QDE618" s="17">
        <v>44925</v>
      </c>
      <c r="QDF618" s="5" t="s">
        <v>3728</v>
      </c>
      <c r="QDG618" s="17">
        <v>44925</v>
      </c>
      <c r="QDH618" s="5" t="s">
        <v>3728</v>
      </c>
      <c r="QDI618" s="17">
        <v>44925</v>
      </c>
      <c r="QDJ618" s="5" t="s">
        <v>3728</v>
      </c>
      <c r="QDK618" s="17">
        <v>44925</v>
      </c>
      <c r="QDL618" s="5" t="s">
        <v>3728</v>
      </c>
      <c r="QDM618" s="17">
        <v>44925</v>
      </c>
      <c r="QDN618" s="5" t="s">
        <v>3728</v>
      </c>
      <c r="QDO618" s="17">
        <v>44925</v>
      </c>
      <c r="QDP618" s="5" t="s">
        <v>3728</v>
      </c>
      <c r="QDQ618" s="17">
        <v>44925</v>
      </c>
      <c r="QDR618" s="5" t="s">
        <v>3728</v>
      </c>
      <c r="QDS618" s="17">
        <v>44925</v>
      </c>
      <c r="QDT618" s="5" t="s">
        <v>3728</v>
      </c>
      <c r="QDU618" s="17">
        <v>44925</v>
      </c>
      <c r="QDV618" s="5" t="s">
        <v>3728</v>
      </c>
      <c r="QDW618" s="17">
        <v>44925</v>
      </c>
      <c r="QDX618" s="5" t="s">
        <v>3728</v>
      </c>
      <c r="QDY618" s="17">
        <v>44925</v>
      </c>
      <c r="QDZ618" s="5" t="s">
        <v>3728</v>
      </c>
      <c r="QEA618" s="17">
        <v>44925</v>
      </c>
      <c r="QEB618" s="5" t="s">
        <v>3728</v>
      </c>
      <c r="QEC618" s="17">
        <v>44925</v>
      </c>
      <c r="QED618" s="5" t="s">
        <v>3728</v>
      </c>
      <c r="QEE618" s="17">
        <v>44925</v>
      </c>
      <c r="QEF618" s="5" t="s">
        <v>3728</v>
      </c>
      <c r="QEG618" s="17">
        <v>44925</v>
      </c>
      <c r="QEH618" s="5" t="s">
        <v>3728</v>
      </c>
      <c r="QEI618" s="17">
        <v>44925</v>
      </c>
      <c r="QEJ618" s="5" t="s">
        <v>3728</v>
      </c>
      <c r="QEK618" s="17">
        <v>44925</v>
      </c>
      <c r="QEL618" s="5" t="s">
        <v>3728</v>
      </c>
      <c r="QEM618" s="17">
        <v>44925</v>
      </c>
      <c r="QEN618" s="5" t="s">
        <v>3728</v>
      </c>
      <c r="QEO618" s="17">
        <v>44925</v>
      </c>
      <c r="QEP618" s="5" t="s">
        <v>3728</v>
      </c>
      <c r="QEQ618" s="17">
        <v>44925</v>
      </c>
      <c r="QER618" s="5" t="s">
        <v>3728</v>
      </c>
      <c r="QES618" s="17">
        <v>44925</v>
      </c>
      <c r="QET618" s="5" t="s">
        <v>3728</v>
      </c>
      <c r="QEU618" s="17">
        <v>44925</v>
      </c>
      <c r="QEV618" s="5" t="s">
        <v>3728</v>
      </c>
      <c r="QEW618" s="17">
        <v>44925</v>
      </c>
      <c r="QEX618" s="5" t="s">
        <v>3728</v>
      </c>
      <c r="QEY618" s="17">
        <v>44925</v>
      </c>
      <c r="QEZ618" s="5" t="s">
        <v>3728</v>
      </c>
      <c r="QFA618" s="17">
        <v>44925</v>
      </c>
      <c r="QFB618" s="5" t="s">
        <v>3728</v>
      </c>
      <c r="QFC618" s="17">
        <v>44925</v>
      </c>
      <c r="QFD618" s="5" t="s">
        <v>3728</v>
      </c>
      <c r="QFE618" s="17">
        <v>44925</v>
      </c>
      <c r="QFF618" s="5" t="s">
        <v>3728</v>
      </c>
      <c r="QFG618" s="17">
        <v>44925</v>
      </c>
      <c r="QFH618" s="5" t="s">
        <v>3728</v>
      </c>
      <c r="QFI618" s="17">
        <v>44925</v>
      </c>
      <c r="QFJ618" s="5" t="s">
        <v>3728</v>
      </c>
      <c r="QFK618" s="17">
        <v>44925</v>
      </c>
      <c r="QFL618" s="5" t="s">
        <v>3728</v>
      </c>
      <c r="QFM618" s="17">
        <v>44925</v>
      </c>
      <c r="QFN618" s="5" t="s">
        <v>3728</v>
      </c>
      <c r="QFO618" s="17">
        <v>44925</v>
      </c>
      <c r="QFP618" s="5" t="s">
        <v>3728</v>
      </c>
      <c r="QFQ618" s="17">
        <v>44925</v>
      </c>
      <c r="QFR618" s="5" t="s">
        <v>3728</v>
      </c>
      <c r="QFS618" s="17">
        <v>44925</v>
      </c>
      <c r="QFT618" s="5" t="s">
        <v>3728</v>
      </c>
      <c r="QFU618" s="17">
        <v>44925</v>
      </c>
      <c r="QFV618" s="5" t="s">
        <v>3728</v>
      </c>
      <c r="QFW618" s="17">
        <v>44925</v>
      </c>
      <c r="QFX618" s="5" t="s">
        <v>3728</v>
      </c>
      <c r="QFY618" s="17">
        <v>44925</v>
      </c>
      <c r="QFZ618" s="5" t="s">
        <v>3728</v>
      </c>
      <c r="QGA618" s="17">
        <v>44925</v>
      </c>
      <c r="QGB618" s="5" t="s">
        <v>3728</v>
      </c>
      <c r="QGC618" s="17">
        <v>44925</v>
      </c>
      <c r="QGD618" s="5" t="s">
        <v>3728</v>
      </c>
      <c r="QGE618" s="17">
        <v>44925</v>
      </c>
      <c r="QGF618" s="5" t="s">
        <v>3728</v>
      </c>
      <c r="QGG618" s="17">
        <v>44925</v>
      </c>
      <c r="QGH618" s="5" t="s">
        <v>3728</v>
      </c>
      <c r="QGI618" s="17">
        <v>44925</v>
      </c>
      <c r="QGJ618" s="5" t="s">
        <v>3728</v>
      </c>
      <c r="QGK618" s="17">
        <v>44925</v>
      </c>
      <c r="QGL618" s="5" t="s">
        <v>3728</v>
      </c>
      <c r="QGM618" s="17">
        <v>44925</v>
      </c>
      <c r="QGN618" s="5" t="s">
        <v>3728</v>
      </c>
      <c r="QGO618" s="17">
        <v>44925</v>
      </c>
      <c r="QGP618" s="5" t="s">
        <v>3728</v>
      </c>
      <c r="QGQ618" s="17">
        <v>44925</v>
      </c>
      <c r="QGR618" s="5" t="s">
        <v>3728</v>
      </c>
      <c r="QGS618" s="17">
        <v>44925</v>
      </c>
      <c r="QGT618" s="5" t="s">
        <v>3728</v>
      </c>
      <c r="QGU618" s="17">
        <v>44925</v>
      </c>
      <c r="QGV618" s="5" t="s">
        <v>3728</v>
      </c>
      <c r="QGW618" s="17">
        <v>44925</v>
      </c>
      <c r="QGX618" s="5" t="s">
        <v>3728</v>
      </c>
      <c r="QGY618" s="17">
        <v>44925</v>
      </c>
      <c r="QGZ618" s="5" t="s">
        <v>3728</v>
      </c>
      <c r="QHA618" s="17">
        <v>44925</v>
      </c>
      <c r="QHB618" s="5" t="s">
        <v>3728</v>
      </c>
      <c r="QHC618" s="17">
        <v>44925</v>
      </c>
      <c r="QHD618" s="5" t="s">
        <v>3728</v>
      </c>
      <c r="QHE618" s="17">
        <v>44925</v>
      </c>
      <c r="QHF618" s="5" t="s">
        <v>3728</v>
      </c>
      <c r="QHG618" s="17">
        <v>44925</v>
      </c>
      <c r="QHH618" s="5" t="s">
        <v>3728</v>
      </c>
      <c r="QHI618" s="17">
        <v>44925</v>
      </c>
      <c r="QHJ618" s="5" t="s">
        <v>3728</v>
      </c>
      <c r="QHK618" s="17">
        <v>44925</v>
      </c>
      <c r="QHL618" s="5" t="s">
        <v>3728</v>
      </c>
      <c r="QHM618" s="17">
        <v>44925</v>
      </c>
      <c r="QHN618" s="5" t="s">
        <v>3728</v>
      </c>
      <c r="QHO618" s="17">
        <v>44925</v>
      </c>
      <c r="QHP618" s="5" t="s">
        <v>3728</v>
      </c>
      <c r="QHQ618" s="17">
        <v>44925</v>
      </c>
      <c r="QHR618" s="5" t="s">
        <v>3728</v>
      </c>
      <c r="QHS618" s="17">
        <v>44925</v>
      </c>
      <c r="QHT618" s="5" t="s">
        <v>3728</v>
      </c>
      <c r="QHU618" s="17">
        <v>44925</v>
      </c>
      <c r="QHV618" s="5" t="s">
        <v>3728</v>
      </c>
      <c r="QHW618" s="17">
        <v>44925</v>
      </c>
      <c r="QHX618" s="5" t="s">
        <v>3728</v>
      </c>
      <c r="QHY618" s="17">
        <v>44925</v>
      </c>
      <c r="QHZ618" s="5" t="s">
        <v>3728</v>
      </c>
      <c r="QIA618" s="17">
        <v>44925</v>
      </c>
      <c r="QIB618" s="5" t="s">
        <v>3728</v>
      </c>
      <c r="QIC618" s="17">
        <v>44925</v>
      </c>
      <c r="QID618" s="5" t="s">
        <v>3728</v>
      </c>
      <c r="QIE618" s="17">
        <v>44925</v>
      </c>
      <c r="QIF618" s="5" t="s">
        <v>3728</v>
      </c>
      <c r="QIG618" s="17">
        <v>44925</v>
      </c>
      <c r="QIH618" s="5" t="s">
        <v>3728</v>
      </c>
      <c r="QII618" s="17">
        <v>44925</v>
      </c>
      <c r="QIJ618" s="5" t="s">
        <v>3728</v>
      </c>
      <c r="QIK618" s="17">
        <v>44925</v>
      </c>
      <c r="QIL618" s="5" t="s">
        <v>3728</v>
      </c>
      <c r="QIM618" s="17">
        <v>44925</v>
      </c>
      <c r="QIN618" s="5" t="s">
        <v>3728</v>
      </c>
      <c r="QIO618" s="17">
        <v>44925</v>
      </c>
      <c r="QIP618" s="5" t="s">
        <v>3728</v>
      </c>
      <c r="QIQ618" s="17">
        <v>44925</v>
      </c>
      <c r="QIR618" s="5" t="s">
        <v>3728</v>
      </c>
      <c r="QIS618" s="17">
        <v>44925</v>
      </c>
      <c r="QIT618" s="5" t="s">
        <v>3728</v>
      </c>
      <c r="QIU618" s="17">
        <v>44925</v>
      </c>
      <c r="QIV618" s="5" t="s">
        <v>3728</v>
      </c>
      <c r="QIW618" s="17">
        <v>44925</v>
      </c>
      <c r="QIX618" s="5" t="s">
        <v>3728</v>
      </c>
      <c r="QIY618" s="17">
        <v>44925</v>
      </c>
      <c r="QIZ618" s="5" t="s">
        <v>3728</v>
      </c>
      <c r="QJA618" s="17">
        <v>44925</v>
      </c>
      <c r="QJB618" s="5" t="s">
        <v>3728</v>
      </c>
      <c r="QJC618" s="17">
        <v>44925</v>
      </c>
      <c r="QJD618" s="5" t="s">
        <v>3728</v>
      </c>
      <c r="QJE618" s="17">
        <v>44925</v>
      </c>
      <c r="QJF618" s="5" t="s">
        <v>3728</v>
      </c>
      <c r="QJG618" s="17">
        <v>44925</v>
      </c>
      <c r="QJH618" s="5" t="s">
        <v>3728</v>
      </c>
      <c r="QJI618" s="17">
        <v>44925</v>
      </c>
      <c r="QJJ618" s="5" t="s">
        <v>3728</v>
      </c>
      <c r="QJK618" s="17">
        <v>44925</v>
      </c>
      <c r="QJL618" s="5" t="s">
        <v>3728</v>
      </c>
      <c r="QJM618" s="17">
        <v>44925</v>
      </c>
      <c r="QJN618" s="5" t="s">
        <v>3728</v>
      </c>
      <c r="QJO618" s="17">
        <v>44925</v>
      </c>
      <c r="QJP618" s="5" t="s">
        <v>3728</v>
      </c>
      <c r="QJQ618" s="17">
        <v>44925</v>
      </c>
      <c r="QJR618" s="5" t="s">
        <v>3728</v>
      </c>
      <c r="QJS618" s="17">
        <v>44925</v>
      </c>
      <c r="QJT618" s="5" t="s">
        <v>3728</v>
      </c>
      <c r="QJU618" s="17">
        <v>44925</v>
      </c>
      <c r="QJV618" s="5" t="s">
        <v>3728</v>
      </c>
      <c r="QJW618" s="17">
        <v>44925</v>
      </c>
      <c r="QJX618" s="5" t="s">
        <v>3728</v>
      </c>
      <c r="QJY618" s="17">
        <v>44925</v>
      </c>
      <c r="QJZ618" s="5" t="s">
        <v>3728</v>
      </c>
      <c r="QKA618" s="17">
        <v>44925</v>
      </c>
      <c r="QKB618" s="5" t="s">
        <v>3728</v>
      </c>
      <c r="QKC618" s="17">
        <v>44925</v>
      </c>
      <c r="QKD618" s="5" t="s">
        <v>3728</v>
      </c>
      <c r="QKE618" s="17">
        <v>44925</v>
      </c>
      <c r="QKF618" s="5" t="s">
        <v>3728</v>
      </c>
      <c r="QKG618" s="17">
        <v>44925</v>
      </c>
      <c r="QKH618" s="5" t="s">
        <v>3728</v>
      </c>
      <c r="QKI618" s="17">
        <v>44925</v>
      </c>
      <c r="QKJ618" s="5" t="s">
        <v>3728</v>
      </c>
      <c r="QKK618" s="17">
        <v>44925</v>
      </c>
      <c r="QKL618" s="5" t="s">
        <v>3728</v>
      </c>
      <c r="QKM618" s="17">
        <v>44925</v>
      </c>
      <c r="QKN618" s="5" t="s">
        <v>3728</v>
      </c>
      <c r="QKO618" s="17">
        <v>44925</v>
      </c>
      <c r="QKP618" s="5" t="s">
        <v>3728</v>
      </c>
      <c r="QKQ618" s="17">
        <v>44925</v>
      </c>
      <c r="QKR618" s="5" t="s">
        <v>3728</v>
      </c>
      <c r="QKS618" s="17">
        <v>44925</v>
      </c>
      <c r="QKT618" s="5" t="s">
        <v>3728</v>
      </c>
      <c r="QKU618" s="17">
        <v>44925</v>
      </c>
      <c r="QKV618" s="5" t="s">
        <v>3728</v>
      </c>
      <c r="QKW618" s="17">
        <v>44925</v>
      </c>
      <c r="QKX618" s="5" t="s">
        <v>3728</v>
      </c>
      <c r="QKY618" s="17">
        <v>44925</v>
      </c>
      <c r="QKZ618" s="5" t="s">
        <v>3728</v>
      </c>
      <c r="QLA618" s="17">
        <v>44925</v>
      </c>
      <c r="QLB618" s="5" t="s">
        <v>3728</v>
      </c>
      <c r="QLC618" s="17">
        <v>44925</v>
      </c>
      <c r="QLD618" s="5" t="s">
        <v>3728</v>
      </c>
      <c r="QLE618" s="17">
        <v>44925</v>
      </c>
      <c r="QLF618" s="5" t="s">
        <v>3728</v>
      </c>
      <c r="QLG618" s="17">
        <v>44925</v>
      </c>
      <c r="QLH618" s="5" t="s">
        <v>3728</v>
      </c>
      <c r="QLI618" s="17">
        <v>44925</v>
      </c>
      <c r="QLJ618" s="5" t="s">
        <v>3728</v>
      </c>
      <c r="QLK618" s="17">
        <v>44925</v>
      </c>
      <c r="QLL618" s="5" t="s">
        <v>3728</v>
      </c>
      <c r="QLM618" s="17">
        <v>44925</v>
      </c>
      <c r="QLN618" s="5" t="s">
        <v>3728</v>
      </c>
      <c r="QLO618" s="17">
        <v>44925</v>
      </c>
      <c r="QLP618" s="5" t="s">
        <v>3728</v>
      </c>
      <c r="QLQ618" s="17">
        <v>44925</v>
      </c>
      <c r="QLR618" s="5" t="s">
        <v>3728</v>
      </c>
      <c r="QLS618" s="17">
        <v>44925</v>
      </c>
      <c r="QLT618" s="5" t="s">
        <v>3728</v>
      </c>
      <c r="QLU618" s="17">
        <v>44925</v>
      </c>
      <c r="QLV618" s="5" t="s">
        <v>3728</v>
      </c>
      <c r="QLW618" s="17">
        <v>44925</v>
      </c>
      <c r="QLX618" s="5" t="s">
        <v>3728</v>
      </c>
      <c r="QLY618" s="17">
        <v>44925</v>
      </c>
      <c r="QLZ618" s="5" t="s">
        <v>3728</v>
      </c>
      <c r="QMA618" s="17">
        <v>44925</v>
      </c>
      <c r="QMB618" s="5" t="s">
        <v>3728</v>
      </c>
      <c r="QMC618" s="17">
        <v>44925</v>
      </c>
      <c r="QMD618" s="5" t="s">
        <v>3728</v>
      </c>
      <c r="QME618" s="17">
        <v>44925</v>
      </c>
      <c r="QMF618" s="5" t="s">
        <v>3728</v>
      </c>
      <c r="QMG618" s="17">
        <v>44925</v>
      </c>
      <c r="QMH618" s="5" t="s">
        <v>3728</v>
      </c>
      <c r="QMI618" s="17">
        <v>44925</v>
      </c>
      <c r="QMJ618" s="5" t="s">
        <v>3728</v>
      </c>
      <c r="QMK618" s="17">
        <v>44925</v>
      </c>
      <c r="QML618" s="5" t="s">
        <v>3728</v>
      </c>
      <c r="QMM618" s="17">
        <v>44925</v>
      </c>
      <c r="QMN618" s="5" t="s">
        <v>3728</v>
      </c>
      <c r="QMO618" s="17">
        <v>44925</v>
      </c>
      <c r="QMP618" s="5" t="s">
        <v>3728</v>
      </c>
      <c r="QMQ618" s="17">
        <v>44925</v>
      </c>
      <c r="QMR618" s="5" t="s">
        <v>3728</v>
      </c>
      <c r="QMS618" s="17">
        <v>44925</v>
      </c>
      <c r="QMT618" s="5" t="s">
        <v>3728</v>
      </c>
      <c r="QMU618" s="17">
        <v>44925</v>
      </c>
      <c r="QMV618" s="5" t="s">
        <v>3728</v>
      </c>
      <c r="QMW618" s="17">
        <v>44925</v>
      </c>
      <c r="QMX618" s="5" t="s">
        <v>3728</v>
      </c>
      <c r="QMY618" s="17">
        <v>44925</v>
      </c>
      <c r="QMZ618" s="5" t="s">
        <v>3728</v>
      </c>
      <c r="QNA618" s="17">
        <v>44925</v>
      </c>
      <c r="QNB618" s="5" t="s">
        <v>3728</v>
      </c>
      <c r="QNC618" s="17">
        <v>44925</v>
      </c>
      <c r="QND618" s="5" t="s">
        <v>3728</v>
      </c>
      <c r="QNE618" s="17">
        <v>44925</v>
      </c>
      <c r="QNF618" s="5" t="s">
        <v>3728</v>
      </c>
      <c r="QNG618" s="17">
        <v>44925</v>
      </c>
      <c r="QNH618" s="5" t="s">
        <v>3728</v>
      </c>
      <c r="QNI618" s="17">
        <v>44925</v>
      </c>
      <c r="QNJ618" s="5" t="s">
        <v>3728</v>
      </c>
      <c r="QNK618" s="17">
        <v>44925</v>
      </c>
      <c r="QNL618" s="5" t="s">
        <v>3728</v>
      </c>
      <c r="QNM618" s="17">
        <v>44925</v>
      </c>
      <c r="QNN618" s="5" t="s">
        <v>3728</v>
      </c>
      <c r="QNO618" s="17">
        <v>44925</v>
      </c>
      <c r="QNP618" s="5" t="s">
        <v>3728</v>
      </c>
      <c r="QNQ618" s="17">
        <v>44925</v>
      </c>
      <c r="QNR618" s="5" t="s">
        <v>3728</v>
      </c>
      <c r="QNS618" s="17">
        <v>44925</v>
      </c>
      <c r="QNT618" s="5" t="s">
        <v>3728</v>
      </c>
      <c r="QNU618" s="17">
        <v>44925</v>
      </c>
      <c r="QNV618" s="5" t="s">
        <v>3728</v>
      </c>
      <c r="QNW618" s="17">
        <v>44925</v>
      </c>
      <c r="QNX618" s="5" t="s">
        <v>3728</v>
      </c>
      <c r="QNY618" s="17">
        <v>44925</v>
      </c>
      <c r="QNZ618" s="5" t="s">
        <v>3728</v>
      </c>
      <c r="QOA618" s="17">
        <v>44925</v>
      </c>
      <c r="QOB618" s="5" t="s">
        <v>3728</v>
      </c>
      <c r="QOC618" s="17">
        <v>44925</v>
      </c>
      <c r="QOD618" s="5" t="s">
        <v>3728</v>
      </c>
      <c r="QOE618" s="17">
        <v>44925</v>
      </c>
      <c r="QOF618" s="5" t="s">
        <v>3728</v>
      </c>
      <c r="QOG618" s="17">
        <v>44925</v>
      </c>
      <c r="QOH618" s="5" t="s">
        <v>3728</v>
      </c>
      <c r="QOI618" s="17">
        <v>44925</v>
      </c>
      <c r="QOJ618" s="5" t="s">
        <v>3728</v>
      </c>
      <c r="QOK618" s="17">
        <v>44925</v>
      </c>
      <c r="QOL618" s="5" t="s">
        <v>3728</v>
      </c>
      <c r="QOM618" s="17">
        <v>44925</v>
      </c>
      <c r="QON618" s="5" t="s">
        <v>3728</v>
      </c>
      <c r="QOO618" s="17">
        <v>44925</v>
      </c>
      <c r="QOP618" s="5" t="s">
        <v>3728</v>
      </c>
      <c r="QOQ618" s="17">
        <v>44925</v>
      </c>
      <c r="QOR618" s="5" t="s">
        <v>3728</v>
      </c>
      <c r="QOS618" s="17">
        <v>44925</v>
      </c>
      <c r="QOT618" s="5" t="s">
        <v>3728</v>
      </c>
      <c r="QOU618" s="17">
        <v>44925</v>
      </c>
      <c r="QOV618" s="5" t="s">
        <v>3728</v>
      </c>
      <c r="QOW618" s="17">
        <v>44925</v>
      </c>
      <c r="QOX618" s="5" t="s">
        <v>3728</v>
      </c>
      <c r="QOY618" s="17">
        <v>44925</v>
      </c>
      <c r="QOZ618" s="5" t="s">
        <v>3728</v>
      </c>
      <c r="QPA618" s="17">
        <v>44925</v>
      </c>
      <c r="QPB618" s="5" t="s">
        <v>3728</v>
      </c>
      <c r="QPC618" s="17">
        <v>44925</v>
      </c>
      <c r="QPD618" s="5" t="s">
        <v>3728</v>
      </c>
      <c r="QPE618" s="17">
        <v>44925</v>
      </c>
      <c r="QPF618" s="5" t="s">
        <v>3728</v>
      </c>
      <c r="QPG618" s="17">
        <v>44925</v>
      </c>
      <c r="QPH618" s="5" t="s">
        <v>3728</v>
      </c>
      <c r="QPI618" s="17">
        <v>44925</v>
      </c>
      <c r="QPJ618" s="5" t="s">
        <v>3728</v>
      </c>
      <c r="QPK618" s="17">
        <v>44925</v>
      </c>
      <c r="QPL618" s="5" t="s">
        <v>3728</v>
      </c>
      <c r="QPM618" s="17">
        <v>44925</v>
      </c>
      <c r="QPN618" s="5" t="s">
        <v>3728</v>
      </c>
      <c r="QPO618" s="17">
        <v>44925</v>
      </c>
      <c r="QPP618" s="5" t="s">
        <v>3728</v>
      </c>
      <c r="QPQ618" s="17">
        <v>44925</v>
      </c>
      <c r="QPR618" s="5" t="s">
        <v>3728</v>
      </c>
      <c r="QPS618" s="17">
        <v>44925</v>
      </c>
      <c r="QPT618" s="5" t="s">
        <v>3728</v>
      </c>
      <c r="QPU618" s="17">
        <v>44925</v>
      </c>
      <c r="QPV618" s="5" t="s">
        <v>3728</v>
      </c>
      <c r="QPW618" s="17">
        <v>44925</v>
      </c>
      <c r="QPX618" s="5" t="s">
        <v>3728</v>
      </c>
      <c r="QPY618" s="17">
        <v>44925</v>
      </c>
      <c r="QPZ618" s="5" t="s">
        <v>3728</v>
      </c>
      <c r="QQA618" s="17">
        <v>44925</v>
      </c>
      <c r="QQB618" s="5" t="s">
        <v>3728</v>
      </c>
      <c r="QQC618" s="17">
        <v>44925</v>
      </c>
      <c r="QQD618" s="5" t="s">
        <v>3728</v>
      </c>
      <c r="QQE618" s="17">
        <v>44925</v>
      </c>
      <c r="QQF618" s="5" t="s">
        <v>3728</v>
      </c>
      <c r="QQG618" s="17">
        <v>44925</v>
      </c>
      <c r="QQH618" s="5" t="s">
        <v>3728</v>
      </c>
      <c r="QQI618" s="17">
        <v>44925</v>
      </c>
      <c r="QQJ618" s="5" t="s">
        <v>3728</v>
      </c>
      <c r="QQK618" s="17">
        <v>44925</v>
      </c>
      <c r="QQL618" s="5" t="s">
        <v>3728</v>
      </c>
      <c r="QQM618" s="17">
        <v>44925</v>
      </c>
      <c r="QQN618" s="5" t="s">
        <v>3728</v>
      </c>
      <c r="QQO618" s="17">
        <v>44925</v>
      </c>
      <c r="QQP618" s="5" t="s">
        <v>3728</v>
      </c>
      <c r="QQQ618" s="17">
        <v>44925</v>
      </c>
      <c r="QQR618" s="5" t="s">
        <v>3728</v>
      </c>
      <c r="QQS618" s="17">
        <v>44925</v>
      </c>
      <c r="QQT618" s="5" t="s">
        <v>3728</v>
      </c>
      <c r="QQU618" s="17">
        <v>44925</v>
      </c>
      <c r="QQV618" s="5" t="s">
        <v>3728</v>
      </c>
      <c r="QQW618" s="17">
        <v>44925</v>
      </c>
      <c r="QQX618" s="5" t="s">
        <v>3728</v>
      </c>
      <c r="QQY618" s="17">
        <v>44925</v>
      </c>
      <c r="QQZ618" s="5" t="s">
        <v>3728</v>
      </c>
      <c r="QRA618" s="17">
        <v>44925</v>
      </c>
      <c r="QRB618" s="5" t="s">
        <v>3728</v>
      </c>
      <c r="QRC618" s="17">
        <v>44925</v>
      </c>
      <c r="QRD618" s="5" t="s">
        <v>3728</v>
      </c>
      <c r="QRE618" s="17">
        <v>44925</v>
      </c>
      <c r="QRF618" s="5" t="s">
        <v>3728</v>
      </c>
      <c r="QRG618" s="17">
        <v>44925</v>
      </c>
      <c r="QRH618" s="5" t="s">
        <v>3728</v>
      </c>
      <c r="QRI618" s="17">
        <v>44925</v>
      </c>
      <c r="QRJ618" s="5" t="s">
        <v>3728</v>
      </c>
      <c r="QRK618" s="17">
        <v>44925</v>
      </c>
      <c r="QRL618" s="5" t="s">
        <v>3728</v>
      </c>
      <c r="QRM618" s="17">
        <v>44925</v>
      </c>
      <c r="QRN618" s="5" t="s">
        <v>3728</v>
      </c>
      <c r="QRO618" s="17">
        <v>44925</v>
      </c>
      <c r="QRP618" s="5" t="s">
        <v>3728</v>
      </c>
      <c r="QRQ618" s="17">
        <v>44925</v>
      </c>
      <c r="QRR618" s="5" t="s">
        <v>3728</v>
      </c>
      <c r="QRS618" s="17">
        <v>44925</v>
      </c>
      <c r="QRT618" s="5" t="s">
        <v>3728</v>
      </c>
      <c r="QRU618" s="17">
        <v>44925</v>
      </c>
      <c r="QRV618" s="5" t="s">
        <v>3728</v>
      </c>
      <c r="QRW618" s="17">
        <v>44925</v>
      </c>
      <c r="QRX618" s="5" t="s">
        <v>3728</v>
      </c>
      <c r="QRY618" s="17">
        <v>44925</v>
      </c>
      <c r="QRZ618" s="5" t="s">
        <v>3728</v>
      </c>
      <c r="QSA618" s="17">
        <v>44925</v>
      </c>
      <c r="QSB618" s="5" t="s">
        <v>3728</v>
      </c>
      <c r="QSC618" s="17">
        <v>44925</v>
      </c>
      <c r="QSD618" s="5" t="s">
        <v>3728</v>
      </c>
      <c r="QSE618" s="17">
        <v>44925</v>
      </c>
      <c r="QSF618" s="5" t="s">
        <v>3728</v>
      </c>
      <c r="QSG618" s="17">
        <v>44925</v>
      </c>
      <c r="QSH618" s="5" t="s">
        <v>3728</v>
      </c>
      <c r="QSI618" s="17">
        <v>44925</v>
      </c>
      <c r="QSJ618" s="5" t="s">
        <v>3728</v>
      </c>
      <c r="QSK618" s="17">
        <v>44925</v>
      </c>
      <c r="QSL618" s="5" t="s">
        <v>3728</v>
      </c>
      <c r="QSM618" s="17">
        <v>44925</v>
      </c>
      <c r="QSN618" s="5" t="s">
        <v>3728</v>
      </c>
      <c r="QSO618" s="17">
        <v>44925</v>
      </c>
      <c r="QSP618" s="5" t="s">
        <v>3728</v>
      </c>
      <c r="QSQ618" s="17">
        <v>44925</v>
      </c>
      <c r="QSR618" s="5" t="s">
        <v>3728</v>
      </c>
      <c r="QSS618" s="17">
        <v>44925</v>
      </c>
      <c r="QST618" s="5" t="s">
        <v>3728</v>
      </c>
      <c r="QSU618" s="17">
        <v>44925</v>
      </c>
      <c r="QSV618" s="5" t="s">
        <v>3728</v>
      </c>
      <c r="QSW618" s="17">
        <v>44925</v>
      </c>
      <c r="QSX618" s="5" t="s">
        <v>3728</v>
      </c>
      <c r="QSY618" s="17">
        <v>44925</v>
      </c>
      <c r="QSZ618" s="5" t="s">
        <v>3728</v>
      </c>
      <c r="QTA618" s="17">
        <v>44925</v>
      </c>
      <c r="QTB618" s="5" t="s">
        <v>3728</v>
      </c>
      <c r="QTC618" s="17">
        <v>44925</v>
      </c>
      <c r="QTD618" s="5" t="s">
        <v>3728</v>
      </c>
      <c r="QTE618" s="17">
        <v>44925</v>
      </c>
      <c r="QTF618" s="5" t="s">
        <v>3728</v>
      </c>
      <c r="QTG618" s="17">
        <v>44925</v>
      </c>
      <c r="QTH618" s="5" t="s">
        <v>3728</v>
      </c>
      <c r="QTI618" s="17">
        <v>44925</v>
      </c>
      <c r="QTJ618" s="5" t="s">
        <v>3728</v>
      </c>
      <c r="QTK618" s="17">
        <v>44925</v>
      </c>
      <c r="QTL618" s="5" t="s">
        <v>3728</v>
      </c>
      <c r="QTM618" s="17">
        <v>44925</v>
      </c>
      <c r="QTN618" s="5" t="s">
        <v>3728</v>
      </c>
      <c r="QTO618" s="17">
        <v>44925</v>
      </c>
      <c r="QTP618" s="5" t="s">
        <v>3728</v>
      </c>
      <c r="QTQ618" s="17">
        <v>44925</v>
      </c>
      <c r="QTR618" s="5" t="s">
        <v>3728</v>
      </c>
      <c r="QTS618" s="17">
        <v>44925</v>
      </c>
      <c r="QTT618" s="5" t="s">
        <v>3728</v>
      </c>
      <c r="QTU618" s="17">
        <v>44925</v>
      </c>
      <c r="QTV618" s="5" t="s">
        <v>3728</v>
      </c>
      <c r="QTW618" s="17">
        <v>44925</v>
      </c>
      <c r="QTX618" s="5" t="s">
        <v>3728</v>
      </c>
      <c r="QTY618" s="17">
        <v>44925</v>
      </c>
      <c r="QTZ618" s="5" t="s">
        <v>3728</v>
      </c>
      <c r="QUA618" s="17">
        <v>44925</v>
      </c>
      <c r="QUB618" s="5" t="s">
        <v>3728</v>
      </c>
      <c r="QUC618" s="17">
        <v>44925</v>
      </c>
      <c r="QUD618" s="5" t="s">
        <v>3728</v>
      </c>
      <c r="QUE618" s="17">
        <v>44925</v>
      </c>
      <c r="QUF618" s="5" t="s">
        <v>3728</v>
      </c>
      <c r="QUG618" s="17">
        <v>44925</v>
      </c>
      <c r="QUH618" s="5" t="s">
        <v>3728</v>
      </c>
      <c r="QUI618" s="17">
        <v>44925</v>
      </c>
      <c r="QUJ618" s="5" t="s">
        <v>3728</v>
      </c>
      <c r="QUK618" s="17">
        <v>44925</v>
      </c>
      <c r="QUL618" s="5" t="s">
        <v>3728</v>
      </c>
      <c r="QUM618" s="17">
        <v>44925</v>
      </c>
      <c r="QUN618" s="5" t="s">
        <v>3728</v>
      </c>
      <c r="QUO618" s="17">
        <v>44925</v>
      </c>
      <c r="QUP618" s="5" t="s">
        <v>3728</v>
      </c>
      <c r="QUQ618" s="17">
        <v>44925</v>
      </c>
      <c r="QUR618" s="5" t="s">
        <v>3728</v>
      </c>
      <c r="QUS618" s="17">
        <v>44925</v>
      </c>
      <c r="QUT618" s="5" t="s">
        <v>3728</v>
      </c>
      <c r="QUU618" s="17">
        <v>44925</v>
      </c>
      <c r="QUV618" s="5" t="s">
        <v>3728</v>
      </c>
      <c r="QUW618" s="17">
        <v>44925</v>
      </c>
      <c r="QUX618" s="5" t="s">
        <v>3728</v>
      </c>
      <c r="QUY618" s="17">
        <v>44925</v>
      </c>
      <c r="QUZ618" s="5" t="s">
        <v>3728</v>
      </c>
      <c r="QVA618" s="17">
        <v>44925</v>
      </c>
      <c r="QVB618" s="5" t="s">
        <v>3728</v>
      </c>
      <c r="QVC618" s="17">
        <v>44925</v>
      </c>
      <c r="QVD618" s="5" t="s">
        <v>3728</v>
      </c>
      <c r="QVE618" s="17">
        <v>44925</v>
      </c>
      <c r="QVF618" s="5" t="s">
        <v>3728</v>
      </c>
      <c r="QVG618" s="17">
        <v>44925</v>
      </c>
      <c r="QVH618" s="5" t="s">
        <v>3728</v>
      </c>
      <c r="QVI618" s="17">
        <v>44925</v>
      </c>
      <c r="QVJ618" s="5" t="s">
        <v>3728</v>
      </c>
      <c r="QVK618" s="17">
        <v>44925</v>
      </c>
      <c r="QVL618" s="5" t="s">
        <v>3728</v>
      </c>
      <c r="QVM618" s="17">
        <v>44925</v>
      </c>
      <c r="QVN618" s="5" t="s">
        <v>3728</v>
      </c>
      <c r="QVO618" s="17">
        <v>44925</v>
      </c>
      <c r="QVP618" s="5" t="s">
        <v>3728</v>
      </c>
      <c r="QVQ618" s="17">
        <v>44925</v>
      </c>
      <c r="QVR618" s="5" t="s">
        <v>3728</v>
      </c>
      <c r="QVS618" s="17">
        <v>44925</v>
      </c>
      <c r="QVT618" s="5" t="s">
        <v>3728</v>
      </c>
      <c r="QVU618" s="17">
        <v>44925</v>
      </c>
      <c r="QVV618" s="5" t="s">
        <v>3728</v>
      </c>
      <c r="QVW618" s="17">
        <v>44925</v>
      </c>
      <c r="QVX618" s="5" t="s">
        <v>3728</v>
      </c>
      <c r="QVY618" s="17">
        <v>44925</v>
      </c>
      <c r="QVZ618" s="5" t="s">
        <v>3728</v>
      </c>
      <c r="QWA618" s="17">
        <v>44925</v>
      </c>
      <c r="QWB618" s="5" t="s">
        <v>3728</v>
      </c>
      <c r="QWC618" s="17">
        <v>44925</v>
      </c>
      <c r="QWD618" s="5" t="s">
        <v>3728</v>
      </c>
      <c r="QWE618" s="17">
        <v>44925</v>
      </c>
      <c r="QWF618" s="5" t="s">
        <v>3728</v>
      </c>
      <c r="QWG618" s="17">
        <v>44925</v>
      </c>
      <c r="QWH618" s="5" t="s">
        <v>3728</v>
      </c>
      <c r="QWI618" s="17">
        <v>44925</v>
      </c>
      <c r="QWJ618" s="5" t="s">
        <v>3728</v>
      </c>
      <c r="QWK618" s="17">
        <v>44925</v>
      </c>
      <c r="QWL618" s="5" t="s">
        <v>3728</v>
      </c>
      <c r="QWM618" s="17">
        <v>44925</v>
      </c>
      <c r="QWN618" s="5" t="s">
        <v>3728</v>
      </c>
      <c r="QWO618" s="17">
        <v>44925</v>
      </c>
      <c r="QWP618" s="5" t="s">
        <v>3728</v>
      </c>
      <c r="QWQ618" s="17">
        <v>44925</v>
      </c>
      <c r="QWR618" s="5" t="s">
        <v>3728</v>
      </c>
      <c r="QWS618" s="17">
        <v>44925</v>
      </c>
      <c r="QWT618" s="5" t="s">
        <v>3728</v>
      </c>
      <c r="QWU618" s="17">
        <v>44925</v>
      </c>
      <c r="QWV618" s="5" t="s">
        <v>3728</v>
      </c>
      <c r="QWW618" s="17">
        <v>44925</v>
      </c>
      <c r="QWX618" s="5" t="s">
        <v>3728</v>
      </c>
      <c r="QWY618" s="17">
        <v>44925</v>
      </c>
      <c r="QWZ618" s="5" t="s">
        <v>3728</v>
      </c>
      <c r="QXA618" s="17">
        <v>44925</v>
      </c>
      <c r="QXB618" s="5" t="s">
        <v>3728</v>
      </c>
      <c r="QXC618" s="17">
        <v>44925</v>
      </c>
      <c r="QXD618" s="5" t="s">
        <v>3728</v>
      </c>
      <c r="QXE618" s="17">
        <v>44925</v>
      </c>
      <c r="QXF618" s="5" t="s">
        <v>3728</v>
      </c>
      <c r="QXG618" s="17">
        <v>44925</v>
      </c>
      <c r="QXH618" s="5" t="s">
        <v>3728</v>
      </c>
      <c r="QXI618" s="17">
        <v>44925</v>
      </c>
      <c r="QXJ618" s="5" t="s">
        <v>3728</v>
      </c>
      <c r="QXK618" s="17">
        <v>44925</v>
      </c>
      <c r="QXL618" s="5" t="s">
        <v>3728</v>
      </c>
      <c r="QXM618" s="17">
        <v>44925</v>
      </c>
      <c r="QXN618" s="5" t="s">
        <v>3728</v>
      </c>
      <c r="QXO618" s="17">
        <v>44925</v>
      </c>
      <c r="QXP618" s="5" t="s">
        <v>3728</v>
      </c>
      <c r="QXQ618" s="17">
        <v>44925</v>
      </c>
      <c r="QXR618" s="5" t="s">
        <v>3728</v>
      </c>
      <c r="QXS618" s="17">
        <v>44925</v>
      </c>
      <c r="QXT618" s="5" t="s">
        <v>3728</v>
      </c>
      <c r="QXU618" s="17">
        <v>44925</v>
      </c>
      <c r="QXV618" s="5" t="s">
        <v>3728</v>
      </c>
      <c r="QXW618" s="17">
        <v>44925</v>
      </c>
      <c r="QXX618" s="5" t="s">
        <v>3728</v>
      </c>
      <c r="QXY618" s="17">
        <v>44925</v>
      </c>
      <c r="QXZ618" s="5" t="s">
        <v>3728</v>
      </c>
      <c r="QYA618" s="17">
        <v>44925</v>
      </c>
      <c r="QYB618" s="5" t="s">
        <v>3728</v>
      </c>
      <c r="QYC618" s="17">
        <v>44925</v>
      </c>
      <c r="QYD618" s="5" t="s">
        <v>3728</v>
      </c>
      <c r="QYE618" s="17">
        <v>44925</v>
      </c>
      <c r="QYF618" s="5" t="s">
        <v>3728</v>
      </c>
      <c r="QYG618" s="17">
        <v>44925</v>
      </c>
      <c r="QYH618" s="5" t="s">
        <v>3728</v>
      </c>
      <c r="QYI618" s="17">
        <v>44925</v>
      </c>
      <c r="QYJ618" s="5" t="s">
        <v>3728</v>
      </c>
      <c r="QYK618" s="17">
        <v>44925</v>
      </c>
      <c r="QYL618" s="5" t="s">
        <v>3728</v>
      </c>
      <c r="QYM618" s="17">
        <v>44925</v>
      </c>
      <c r="QYN618" s="5" t="s">
        <v>3728</v>
      </c>
      <c r="QYO618" s="17">
        <v>44925</v>
      </c>
      <c r="QYP618" s="5" t="s">
        <v>3728</v>
      </c>
      <c r="QYQ618" s="17">
        <v>44925</v>
      </c>
      <c r="QYR618" s="5" t="s">
        <v>3728</v>
      </c>
      <c r="QYS618" s="17">
        <v>44925</v>
      </c>
      <c r="QYT618" s="5" t="s">
        <v>3728</v>
      </c>
      <c r="QYU618" s="17">
        <v>44925</v>
      </c>
      <c r="QYV618" s="5" t="s">
        <v>3728</v>
      </c>
      <c r="QYW618" s="17">
        <v>44925</v>
      </c>
      <c r="QYX618" s="5" t="s">
        <v>3728</v>
      </c>
      <c r="QYY618" s="17">
        <v>44925</v>
      </c>
      <c r="QYZ618" s="5" t="s">
        <v>3728</v>
      </c>
      <c r="QZA618" s="17">
        <v>44925</v>
      </c>
      <c r="QZB618" s="5" t="s">
        <v>3728</v>
      </c>
      <c r="QZC618" s="17">
        <v>44925</v>
      </c>
      <c r="QZD618" s="5" t="s">
        <v>3728</v>
      </c>
      <c r="QZE618" s="17">
        <v>44925</v>
      </c>
      <c r="QZF618" s="5" t="s">
        <v>3728</v>
      </c>
      <c r="QZG618" s="17">
        <v>44925</v>
      </c>
      <c r="QZH618" s="5" t="s">
        <v>3728</v>
      </c>
      <c r="QZI618" s="17">
        <v>44925</v>
      </c>
      <c r="QZJ618" s="5" t="s">
        <v>3728</v>
      </c>
      <c r="QZK618" s="17">
        <v>44925</v>
      </c>
      <c r="QZL618" s="5" t="s">
        <v>3728</v>
      </c>
      <c r="QZM618" s="17">
        <v>44925</v>
      </c>
      <c r="QZN618" s="5" t="s">
        <v>3728</v>
      </c>
      <c r="QZO618" s="17">
        <v>44925</v>
      </c>
      <c r="QZP618" s="5" t="s">
        <v>3728</v>
      </c>
      <c r="QZQ618" s="17">
        <v>44925</v>
      </c>
      <c r="QZR618" s="5" t="s">
        <v>3728</v>
      </c>
      <c r="QZS618" s="17">
        <v>44925</v>
      </c>
      <c r="QZT618" s="5" t="s">
        <v>3728</v>
      </c>
      <c r="QZU618" s="17">
        <v>44925</v>
      </c>
      <c r="QZV618" s="5" t="s">
        <v>3728</v>
      </c>
      <c r="QZW618" s="17">
        <v>44925</v>
      </c>
      <c r="QZX618" s="5" t="s">
        <v>3728</v>
      </c>
      <c r="QZY618" s="17">
        <v>44925</v>
      </c>
      <c r="QZZ618" s="5" t="s">
        <v>3728</v>
      </c>
      <c r="RAA618" s="17">
        <v>44925</v>
      </c>
      <c r="RAB618" s="5" t="s">
        <v>3728</v>
      </c>
      <c r="RAC618" s="17">
        <v>44925</v>
      </c>
      <c r="RAD618" s="5" t="s">
        <v>3728</v>
      </c>
      <c r="RAE618" s="17">
        <v>44925</v>
      </c>
      <c r="RAF618" s="5" t="s">
        <v>3728</v>
      </c>
      <c r="RAG618" s="17">
        <v>44925</v>
      </c>
      <c r="RAH618" s="5" t="s">
        <v>3728</v>
      </c>
      <c r="RAI618" s="17">
        <v>44925</v>
      </c>
      <c r="RAJ618" s="5" t="s">
        <v>3728</v>
      </c>
      <c r="RAK618" s="17">
        <v>44925</v>
      </c>
      <c r="RAL618" s="5" t="s">
        <v>3728</v>
      </c>
      <c r="RAM618" s="17">
        <v>44925</v>
      </c>
      <c r="RAN618" s="5" t="s">
        <v>3728</v>
      </c>
      <c r="RAO618" s="17">
        <v>44925</v>
      </c>
      <c r="RAP618" s="5" t="s">
        <v>3728</v>
      </c>
      <c r="RAQ618" s="17">
        <v>44925</v>
      </c>
      <c r="RAR618" s="5" t="s">
        <v>3728</v>
      </c>
      <c r="RAS618" s="17">
        <v>44925</v>
      </c>
      <c r="RAT618" s="5" t="s">
        <v>3728</v>
      </c>
      <c r="RAU618" s="17">
        <v>44925</v>
      </c>
      <c r="RAV618" s="5" t="s">
        <v>3728</v>
      </c>
      <c r="RAW618" s="17">
        <v>44925</v>
      </c>
      <c r="RAX618" s="5" t="s">
        <v>3728</v>
      </c>
      <c r="RAY618" s="17">
        <v>44925</v>
      </c>
      <c r="RAZ618" s="5" t="s">
        <v>3728</v>
      </c>
      <c r="RBA618" s="17">
        <v>44925</v>
      </c>
      <c r="RBB618" s="5" t="s">
        <v>3728</v>
      </c>
      <c r="RBC618" s="17">
        <v>44925</v>
      </c>
      <c r="RBD618" s="5" t="s">
        <v>3728</v>
      </c>
      <c r="RBE618" s="17">
        <v>44925</v>
      </c>
      <c r="RBF618" s="5" t="s">
        <v>3728</v>
      </c>
      <c r="RBG618" s="17">
        <v>44925</v>
      </c>
      <c r="RBH618" s="5" t="s">
        <v>3728</v>
      </c>
      <c r="RBI618" s="17">
        <v>44925</v>
      </c>
      <c r="RBJ618" s="5" t="s">
        <v>3728</v>
      </c>
      <c r="RBK618" s="17">
        <v>44925</v>
      </c>
      <c r="RBL618" s="5" t="s">
        <v>3728</v>
      </c>
      <c r="RBM618" s="17">
        <v>44925</v>
      </c>
      <c r="RBN618" s="5" t="s">
        <v>3728</v>
      </c>
      <c r="RBO618" s="17">
        <v>44925</v>
      </c>
      <c r="RBP618" s="5" t="s">
        <v>3728</v>
      </c>
      <c r="RBQ618" s="17">
        <v>44925</v>
      </c>
      <c r="RBR618" s="5" t="s">
        <v>3728</v>
      </c>
      <c r="RBS618" s="17">
        <v>44925</v>
      </c>
      <c r="RBT618" s="5" t="s">
        <v>3728</v>
      </c>
      <c r="RBU618" s="17">
        <v>44925</v>
      </c>
      <c r="RBV618" s="5" t="s">
        <v>3728</v>
      </c>
      <c r="RBW618" s="17">
        <v>44925</v>
      </c>
      <c r="RBX618" s="5" t="s">
        <v>3728</v>
      </c>
      <c r="RBY618" s="17">
        <v>44925</v>
      </c>
      <c r="RBZ618" s="5" t="s">
        <v>3728</v>
      </c>
      <c r="RCA618" s="17">
        <v>44925</v>
      </c>
      <c r="RCB618" s="5" t="s">
        <v>3728</v>
      </c>
      <c r="RCC618" s="17">
        <v>44925</v>
      </c>
      <c r="RCD618" s="5" t="s">
        <v>3728</v>
      </c>
      <c r="RCE618" s="17">
        <v>44925</v>
      </c>
      <c r="RCF618" s="5" t="s">
        <v>3728</v>
      </c>
      <c r="RCG618" s="17">
        <v>44925</v>
      </c>
      <c r="RCH618" s="5" t="s">
        <v>3728</v>
      </c>
      <c r="RCI618" s="17">
        <v>44925</v>
      </c>
      <c r="RCJ618" s="5" t="s">
        <v>3728</v>
      </c>
      <c r="RCK618" s="17">
        <v>44925</v>
      </c>
      <c r="RCL618" s="5" t="s">
        <v>3728</v>
      </c>
      <c r="RCM618" s="17">
        <v>44925</v>
      </c>
      <c r="RCN618" s="5" t="s">
        <v>3728</v>
      </c>
      <c r="RCO618" s="17">
        <v>44925</v>
      </c>
      <c r="RCP618" s="5" t="s">
        <v>3728</v>
      </c>
      <c r="RCQ618" s="17">
        <v>44925</v>
      </c>
      <c r="RCR618" s="5" t="s">
        <v>3728</v>
      </c>
      <c r="RCS618" s="17">
        <v>44925</v>
      </c>
      <c r="RCT618" s="5" t="s">
        <v>3728</v>
      </c>
      <c r="RCU618" s="17">
        <v>44925</v>
      </c>
      <c r="RCV618" s="5" t="s">
        <v>3728</v>
      </c>
      <c r="RCW618" s="17">
        <v>44925</v>
      </c>
      <c r="RCX618" s="5" t="s">
        <v>3728</v>
      </c>
      <c r="RCY618" s="17">
        <v>44925</v>
      </c>
      <c r="RCZ618" s="5" t="s">
        <v>3728</v>
      </c>
      <c r="RDA618" s="17">
        <v>44925</v>
      </c>
      <c r="RDB618" s="5" t="s">
        <v>3728</v>
      </c>
      <c r="RDC618" s="17">
        <v>44925</v>
      </c>
      <c r="RDD618" s="5" t="s">
        <v>3728</v>
      </c>
      <c r="RDE618" s="17">
        <v>44925</v>
      </c>
      <c r="RDF618" s="5" t="s">
        <v>3728</v>
      </c>
      <c r="RDG618" s="17">
        <v>44925</v>
      </c>
      <c r="RDH618" s="5" t="s">
        <v>3728</v>
      </c>
      <c r="RDI618" s="17">
        <v>44925</v>
      </c>
      <c r="RDJ618" s="5" t="s">
        <v>3728</v>
      </c>
      <c r="RDK618" s="17">
        <v>44925</v>
      </c>
      <c r="RDL618" s="5" t="s">
        <v>3728</v>
      </c>
      <c r="RDM618" s="17">
        <v>44925</v>
      </c>
      <c r="RDN618" s="5" t="s">
        <v>3728</v>
      </c>
      <c r="RDO618" s="17">
        <v>44925</v>
      </c>
      <c r="RDP618" s="5" t="s">
        <v>3728</v>
      </c>
      <c r="RDQ618" s="17">
        <v>44925</v>
      </c>
      <c r="RDR618" s="5" t="s">
        <v>3728</v>
      </c>
      <c r="RDS618" s="17">
        <v>44925</v>
      </c>
      <c r="RDT618" s="5" t="s">
        <v>3728</v>
      </c>
      <c r="RDU618" s="17">
        <v>44925</v>
      </c>
      <c r="RDV618" s="5" t="s">
        <v>3728</v>
      </c>
      <c r="RDW618" s="17">
        <v>44925</v>
      </c>
      <c r="RDX618" s="5" t="s">
        <v>3728</v>
      </c>
      <c r="RDY618" s="17">
        <v>44925</v>
      </c>
      <c r="RDZ618" s="5" t="s">
        <v>3728</v>
      </c>
      <c r="REA618" s="17">
        <v>44925</v>
      </c>
      <c r="REB618" s="5" t="s">
        <v>3728</v>
      </c>
      <c r="REC618" s="17">
        <v>44925</v>
      </c>
      <c r="RED618" s="5" t="s">
        <v>3728</v>
      </c>
      <c r="REE618" s="17">
        <v>44925</v>
      </c>
      <c r="REF618" s="5" t="s">
        <v>3728</v>
      </c>
      <c r="REG618" s="17">
        <v>44925</v>
      </c>
      <c r="REH618" s="5" t="s">
        <v>3728</v>
      </c>
      <c r="REI618" s="17">
        <v>44925</v>
      </c>
      <c r="REJ618" s="5" t="s">
        <v>3728</v>
      </c>
      <c r="REK618" s="17">
        <v>44925</v>
      </c>
      <c r="REL618" s="5" t="s">
        <v>3728</v>
      </c>
      <c r="REM618" s="17">
        <v>44925</v>
      </c>
      <c r="REN618" s="5" t="s">
        <v>3728</v>
      </c>
      <c r="REO618" s="17">
        <v>44925</v>
      </c>
      <c r="REP618" s="5" t="s">
        <v>3728</v>
      </c>
      <c r="REQ618" s="17">
        <v>44925</v>
      </c>
      <c r="RER618" s="5" t="s">
        <v>3728</v>
      </c>
      <c r="RES618" s="17">
        <v>44925</v>
      </c>
      <c r="RET618" s="5" t="s">
        <v>3728</v>
      </c>
      <c r="REU618" s="17">
        <v>44925</v>
      </c>
      <c r="REV618" s="5" t="s">
        <v>3728</v>
      </c>
      <c r="REW618" s="17">
        <v>44925</v>
      </c>
      <c r="REX618" s="5" t="s">
        <v>3728</v>
      </c>
      <c r="REY618" s="17">
        <v>44925</v>
      </c>
      <c r="REZ618" s="5" t="s">
        <v>3728</v>
      </c>
      <c r="RFA618" s="17">
        <v>44925</v>
      </c>
      <c r="RFB618" s="5" t="s">
        <v>3728</v>
      </c>
      <c r="RFC618" s="17">
        <v>44925</v>
      </c>
      <c r="RFD618" s="5" t="s">
        <v>3728</v>
      </c>
      <c r="RFE618" s="17">
        <v>44925</v>
      </c>
      <c r="RFF618" s="5" t="s">
        <v>3728</v>
      </c>
      <c r="RFG618" s="17">
        <v>44925</v>
      </c>
      <c r="RFH618" s="5" t="s">
        <v>3728</v>
      </c>
      <c r="RFI618" s="17">
        <v>44925</v>
      </c>
      <c r="RFJ618" s="5" t="s">
        <v>3728</v>
      </c>
      <c r="RFK618" s="17">
        <v>44925</v>
      </c>
      <c r="RFL618" s="5" t="s">
        <v>3728</v>
      </c>
      <c r="RFM618" s="17">
        <v>44925</v>
      </c>
      <c r="RFN618" s="5" t="s">
        <v>3728</v>
      </c>
      <c r="RFO618" s="17">
        <v>44925</v>
      </c>
      <c r="RFP618" s="5" t="s">
        <v>3728</v>
      </c>
      <c r="RFQ618" s="17">
        <v>44925</v>
      </c>
      <c r="RFR618" s="5" t="s">
        <v>3728</v>
      </c>
      <c r="RFS618" s="17">
        <v>44925</v>
      </c>
      <c r="RFT618" s="5" t="s">
        <v>3728</v>
      </c>
      <c r="RFU618" s="17">
        <v>44925</v>
      </c>
      <c r="RFV618" s="5" t="s">
        <v>3728</v>
      </c>
      <c r="RFW618" s="17">
        <v>44925</v>
      </c>
      <c r="RFX618" s="5" t="s">
        <v>3728</v>
      </c>
      <c r="RFY618" s="17">
        <v>44925</v>
      </c>
      <c r="RFZ618" s="5" t="s">
        <v>3728</v>
      </c>
      <c r="RGA618" s="17">
        <v>44925</v>
      </c>
      <c r="RGB618" s="5" t="s">
        <v>3728</v>
      </c>
      <c r="RGC618" s="17">
        <v>44925</v>
      </c>
      <c r="RGD618" s="5" t="s">
        <v>3728</v>
      </c>
      <c r="RGE618" s="17">
        <v>44925</v>
      </c>
      <c r="RGF618" s="5" t="s">
        <v>3728</v>
      </c>
      <c r="RGG618" s="17">
        <v>44925</v>
      </c>
      <c r="RGH618" s="5" t="s">
        <v>3728</v>
      </c>
      <c r="RGI618" s="17">
        <v>44925</v>
      </c>
      <c r="RGJ618" s="5" t="s">
        <v>3728</v>
      </c>
      <c r="RGK618" s="17">
        <v>44925</v>
      </c>
      <c r="RGL618" s="5" t="s">
        <v>3728</v>
      </c>
      <c r="RGM618" s="17">
        <v>44925</v>
      </c>
      <c r="RGN618" s="5" t="s">
        <v>3728</v>
      </c>
      <c r="RGO618" s="17">
        <v>44925</v>
      </c>
      <c r="RGP618" s="5" t="s">
        <v>3728</v>
      </c>
      <c r="RGQ618" s="17">
        <v>44925</v>
      </c>
      <c r="RGR618" s="5" t="s">
        <v>3728</v>
      </c>
      <c r="RGS618" s="17">
        <v>44925</v>
      </c>
      <c r="RGT618" s="5" t="s">
        <v>3728</v>
      </c>
      <c r="RGU618" s="17">
        <v>44925</v>
      </c>
      <c r="RGV618" s="5" t="s">
        <v>3728</v>
      </c>
      <c r="RGW618" s="17">
        <v>44925</v>
      </c>
      <c r="RGX618" s="5" t="s">
        <v>3728</v>
      </c>
      <c r="RGY618" s="17">
        <v>44925</v>
      </c>
      <c r="RGZ618" s="5" t="s">
        <v>3728</v>
      </c>
      <c r="RHA618" s="17">
        <v>44925</v>
      </c>
      <c r="RHB618" s="5" t="s">
        <v>3728</v>
      </c>
      <c r="RHC618" s="17">
        <v>44925</v>
      </c>
      <c r="RHD618" s="5" t="s">
        <v>3728</v>
      </c>
      <c r="RHE618" s="17">
        <v>44925</v>
      </c>
      <c r="RHF618" s="5" t="s">
        <v>3728</v>
      </c>
      <c r="RHG618" s="17">
        <v>44925</v>
      </c>
      <c r="RHH618" s="5" t="s">
        <v>3728</v>
      </c>
      <c r="RHI618" s="17">
        <v>44925</v>
      </c>
      <c r="RHJ618" s="5" t="s">
        <v>3728</v>
      </c>
      <c r="RHK618" s="17">
        <v>44925</v>
      </c>
      <c r="RHL618" s="5" t="s">
        <v>3728</v>
      </c>
      <c r="RHM618" s="17">
        <v>44925</v>
      </c>
      <c r="RHN618" s="5" t="s">
        <v>3728</v>
      </c>
      <c r="RHO618" s="17">
        <v>44925</v>
      </c>
      <c r="RHP618" s="5" t="s">
        <v>3728</v>
      </c>
      <c r="RHQ618" s="17">
        <v>44925</v>
      </c>
      <c r="RHR618" s="5" t="s">
        <v>3728</v>
      </c>
      <c r="RHS618" s="17">
        <v>44925</v>
      </c>
      <c r="RHT618" s="5" t="s">
        <v>3728</v>
      </c>
      <c r="RHU618" s="17">
        <v>44925</v>
      </c>
      <c r="RHV618" s="5" t="s">
        <v>3728</v>
      </c>
      <c r="RHW618" s="17">
        <v>44925</v>
      </c>
      <c r="RHX618" s="5" t="s">
        <v>3728</v>
      </c>
      <c r="RHY618" s="17">
        <v>44925</v>
      </c>
      <c r="RHZ618" s="5" t="s">
        <v>3728</v>
      </c>
      <c r="RIA618" s="17">
        <v>44925</v>
      </c>
      <c r="RIB618" s="5" t="s">
        <v>3728</v>
      </c>
      <c r="RIC618" s="17">
        <v>44925</v>
      </c>
      <c r="RID618" s="5" t="s">
        <v>3728</v>
      </c>
      <c r="RIE618" s="17">
        <v>44925</v>
      </c>
      <c r="RIF618" s="5" t="s">
        <v>3728</v>
      </c>
      <c r="RIG618" s="17">
        <v>44925</v>
      </c>
      <c r="RIH618" s="5" t="s">
        <v>3728</v>
      </c>
      <c r="RII618" s="17">
        <v>44925</v>
      </c>
      <c r="RIJ618" s="5" t="s">
        <v>3728</v>
      </c>
      <c r="RIK618" s="17">
        <v>44925</v>
      </c>
      <c r="RIL618" s="5" t="s">
        <v>3728</v>
      </c>
      <c r="RIM618" s="17">
        <v>44925</v>
      </c>
      <c r="RIN618" s="5" t="s">
        <v>3728</v>
      </c>
      <c r="RIO618" s="17">
        <v>44925</v>
      </c>
      <c r="RIP618" s="5" t="s">
        <v>3728</v>
      </c>
      <c r="RIQ618" s="17">
        <v>44925</v>
      </c>
      <c r="RIR618" s="5" t="s">
        <v>3728</v>
      </c>
      <c r="RIS618" s="17">
        <v>44925</v>
      </c>
      <c r="RIT618" s="5" t="s">
        <v>3728</v>
      </c>
      <c r="RIU618" s="17">
        <v>44925</v>
      </c>
      <c r="RIV618" s="5" t="s">
        <v>3728</v>
      </c>
      <c r="RIW618" s="17">
        <v>44925</v>
      </c>
      <c r="RIX618" s="5" t="s">
        <v>3728</v>
      </c>
      <c r="RIY618" s="17">
        <v>44925</v>
      </c>
      <c r="RIZ618" s="5" t="s">
        <v>3728</v>
      </c>
      <c r="RJA618" s="17">
        <v>44925</v>
      </c>
      <c r="RJB618" s="5" t="s">
        <v>3728</v>
      </c>
      <c r="RJC618" s="17">
        <v>44925</v>
      </c>
      <c r="RJD618" s="5" t="s">
        <v>3728</v>
      </c>
      <c r="RJE618" s="17">
        <v>44925</v>
      </c>
      <c r="RJF618" s="5" t="s">
        <v>3728</v>
      </c>
      <c r="RJG618" s="17">
        <v>44925</v>
      </c>
      <c r="RJH618" s="5" t="s">
        <v>3728</v>
      </c>
      <c r="RJI618" s="17">
        <v>44925</v>
      </c>
      <c r="RJJ618" s="5" t="s">
        <v>3728</v>
      </c>
      <c r="RJK618" s="17">
        <v>44925</v>
      </c>
      <c r="RJL618" s="5" t="s">
        <v>3728</v>
      </c>
      <c r="RJM618" s="17">
        <v>44925</v>
      </c>
      <c r="RJN618" s="5" t="s">
        <v>3728</v>
      </c>
      <c r="RJO618" s="17">
        <v>44925</v>
      </c>
      <c r="RJP618" s="5" t="s">
        <v>3728</v>
      </c>
      <c r="RJQ618" s="17">
        <v>44925</v>
      </c>
      <c r="RJR618" s="5" t="s">
        <v>3728</v>
      </c>
      <c r="RJS618" s="17">
        <v>44925</v>
      </c>
      <c r="RJT618" s="5" t="s">
        <v>3728</v>
      </c>
      <c r="RJU618" s="17">
        <v>44925</v>
      </c>
      <c r="RJV618" s="5" t="s">
        <v>3728</v>
      </c>
      <c r="RJW618" s="17">
        <v>44925</v>
      </c>
      <c r="RJX618" s="5" t="s">
        <v>3728</v>
      </c>
      <c r="RJY618" s="17">
        <v>44925</v>
      </c>
      <c r="RJZ618" s="5" t="s">
        <v>3728</v>
      </c>
      <c r="RKA618" s="17">
        <v>44925</v>
      </c>
      <c r="RKB618" s="5" t="s">
        <v>3728</v>
      </c>
      <c r="RKC618" s="17">
        <v>44925</v>
      </c>
      <c r="RKD618" s="5" t="s">
        <v>3728</v>
      </c>
      <c r="RKE618" s="17">
        <v>44925</v>
      </c>
      <c r="RKF618" s="5" t="s">
        <v>3728</v>
      </c>
      <c r="RKG618" s="17">
        <v>44925</v>
      </c>
      <c r="RKH618" s="5" t="s">
        <v>3728</v>
      </c>
      <c r="RKI618" s="17">
        <v>44925</v>
      </c>
      <c r="RKJ618" s="5" t="s">
        <v>3728</v>
      </c>
      <c r="RKK618" s="17">
        <v>44925</v>
      </c>
      <c r="RKL618" s="5" t="s">
        <v>3728</v>
      </c>
      <c r="RKM618" s="17">
        <v>44925</v>
      </c>
      <c r="RKN618" s="5" t="s">
        <v>3728</v>
      </c>
      <c r="RKO618" s="17">
        <v>44925</v>
      </c>
      <c r="RKP618" s="5" t="s">
        <v>3728</v>
      </c>
      <c r="RKQ618" s="17">
        <v>44925</v>
      </c>
      <c r="RKR618" s="5" t="s">
        <v>3728</v>
      </c>
      <c r="RKS618" s="17">
        <v>44925</v>
      </c>
      <c r="RKT618" s="5" t="s">
        <v>3728</v>
      </c>
      <c r="RKU618" s="17">
        <v>44925</v>
      </c>
      <c r="RKV618" s="5" t="s">
        <v>3728</v>
      </c>
      <c r="RKW618" s="17">
        <v>44925</v>
      </c>
      <c r="RKX618" s="5" t="s">
        <v>3728</v>
      </c>
      <c r="RKY618" s="17">
        <v>44925</v>
      </c>
      <c r="RKZ618" s="5" t="s">
        <v>3728</v>
      </c>
      <c r="RLA618" s="17">
        <v>44925</v>
      </c>
      <c r="RLB618" s="5" t="s">
        <v>3728</v>
      </c>
      <c r="RLC618" s="17">
        <v>44925</v>
      </c>
      <c r="RLD618" s="5" t="s">
        <v>3728</v>
      </c>
      <c r="RLE618" s="17">
        <v>44925</v>
      </c>
      <c r="RLF618" s="5" t="s">
        <v>3728</v>
      </c>
      <c r="RLG618" s="17">
        <v>44925</v>
      </c>
      <c r="RLH618" s="5" t="s">
        <v>3728</v>
      </c>
      <c r="RLI618" s="17">
        <v>44925</v>
      </c>
      <c r="RLJ618" s="5" t="s">
        <v>3728</v>
      </c>
      <c r="RLK618" s="17">
        <v>44925</v>
      </c>
      <c r="RLL618" s="5" t="s">
        <v>3728</v>
      </c>
      <c r="RLM618" s="17">
        <v>44925</v>
      </c>
      <c r="RLN618" s="5" t="s">
        <v>3728</v>
      </c>
      <c r="RLO618" s="17">
        <v>44925</v>
      </c>
      <c r="RLP618" s="5" t="s">
        <v>3728</v>
      </c>
      <c r="RLQ618" s="17">
        <v>44925</v>
      </c>
      <c r="RLR618" s="5" t="s">
        <v>3728</v>
      </c>
      <c r="RLS618" s="17">
        <v>44925</v>
      </c>
      <c r="RLT618" s="5" t="s">
        <v>3728</v>
      </c>
      <c r="RLU618" s="17">
        <v>44925</v>
      </c>
      <c r="RLV618" s="5" t="s">
        <v>3728</v>
      </c>
      <c r="RLW618" s="17">
        <v>44925</v>
      </c>
      <c r="RLX618" s="5" t="s">
        <v>3728</v>
      </c>
      <c r="RLY618" s="17">
        <v>44925</v>
      </c>
      <c r="RLZ618" s="5" t="s">
        <v>3728</v>
      </c>
      <c r="RMA618" s="17">
        <v>44925</v>
      </c>
      <c r="RMB618" s="5" t="s">
        <v>3728</v>
      </c>
      <c r="RMC618" s="17">
        <v>44925</v>
      </c>
      <c r="RMD618" s="5" t="s">
        <v>3728</v>
      </c>
      <c r="RME618" s="17">
        <v>44925</v>
      </c>
      <c r="RMF618" s="5" t="s">
        <v>3728</v>
      </c>
      <c r="RMG618" s="17">
        <v>44925</v>
      </c>
      <c r="RMH618" s="5" t="s">
        <v>3728</v>
      </c>
      <c r="RMI618" s="17">
        <v>44925</v>
      </c>
      <c r="RMJ618" s="5" t="s">
        <v>3728</v>
      </c>
      <c r="RMK618" s="17">
        <v>44925</v>
      </c>
      <c r="RML618" s="5" t="s">
        <v>3728</v>
      </c>
      <c r="RMM618" s="17">
        <v>44925</v>
      </c>
      <c r="RMN618" s="5" t="s">
        <v>3728</v>
      </c>
      <c r="RMO618" s="17">
        <v>44925</v>
      </c>
      <c r="RMP618" s="5" t="s">
        <v>3728</v>
      </c>
      <c r="RMQ618" s="17">
        <v>44925</v>
      </c>
      <c r="RMR618" s="5" t="s">
        <v>3728</v>
      </c>
      <c r="RMS618" s="17">
        <v>44925</v>
      </c>
      <c r="RMT618" s="5" t="s">
        <v>3728</v>
      </c>
      <c r="RMU618" s="17">
        <v>44925</v>
      </c>
      <c r="RMV618" s="5" t="s">
        <v>3728</v>
      </c>
      <c r="RMW618" s="17">
        <v>44925</v>
      </c>
      <c r="RMX618" s="5" t="s">
        <v>3728</v>
      </c>
      <c r="RMY618" s="17">
        <v>44925</v>
      </c>
      <c r="RMZ618" s="5" t="s">
        <v>3728</v>
      </c>
      <c r="RNA618" s="17">
        <v>44925</v>
      </c>
      <c r="RNB618" s="5" t="s">
        <v>3728</v>
      </c>
      <c r="RNC618" s="17">
        <v>44925</v>
      </c>
      <c r="RND618" s="5" t="s">
        <v>3728</v>
      </c>
      <c r="RNE618" s="17">
        <v>44925</v>
      </c>
      <c r="RNF618" s="5" t="s">
        <v>3728</v>
      </c>
      <c r="RNG618" s="17">
        <v>44925</v>
      </c>
      <c r="RNH618" s="5" t="s">
        <v>3728</v>
      </c>
      <c r="RNI618" s="17">
        <v>44925</v>
      </c>
      <c r="RNJ618" s="5" t="s">
        <v>3728</v>
      </c>
      <c r="RNK618" s="17">
        <v>44925</v>
      </c>
      <c r="RNL618" s="5" t="s">
        <v>3728</v>
      </c>
      <c r="RNM618" s="17">
        <v>44925</v>
      </c>
      <c r="RNN618" s="5" t="s">
        <v>3728</v>
      </c>
      <c r="RNO618" s="17">
        <v>44925</v>
      </c>
      <c r="RNP618" s="5" t="s">
        <v>3728</v>
      </c>
      <c r="RNQ618" s="17">
        <v>44925</v>
      </c>
      <c r="RNR618" s="5" t="s">
        <v>3728</v>
      </c>
      <c r="RNS618" s="17">
        <v>44925</v>
      </c>
      <c r="RNT618" s="5" t="s">
        <v>3728</v>
      </c>
      <c r="RNU618" s="17">
        <v>44925</v>
      </c>
      <c r="RNV618" s="5" t="s">
        <v>3728</v>
      </c>
      <c r="RNW618" s="17">
        <v>44925</v>
      </c>
      <c r="RNX618" s="5" t="s">
        <v>3728</v>
      </c>
      <c r="RNY618" s="17">
        <v>44925</v>
      </c>
      <c r="RNZ618" s="5" t="s">
        <v>3728</v>
      </c>
      <c r="ROA618" s="17">
        <v>44925</v>
      </c>
      <c r="ROB618" s="5" t="s">
        <v>3728</v>
      </c>
      <c r="ROC618" s="17">
        <v>44925</v>
      </c>
      <c r="ROD618" s="5" t="s">
        <v>3728</v>
      </c>
      <c r="ROE618" s="17">
        <v>44925</v>
      </c>
      <c r="ROF618" s="5" t="s">
        <v>3728</v>
      </c>
      <c r="ROG618" s="17">
        <v>44925</v>
      </c>
      <c r="ROH618" s="5" t="s">
        <v>3728</v>
      </c>
      <c r="ROI618" s="17">
        <v>44925</v>
      </c>
      <c r="ROJ618" s="5" t="s">
        <v>3728</v>
      </c>
      <c r="ROK618" s="17">
        <v>44925</v>
      </c>
      <c r="ROL618" s="5" t="s">
        <v>3728</v>
      </c>
      <c r="ROM618" s="17">
        <v>44925</v>
      </c>
      <c r="RON618" s="5" t="s">
        <v>3728</v>
      </c>
      <c r="ROO618" s="17">
        <v>44925</v>
      </c>
      <c r="ROP618" s="5" t="s">
        <v>3728</v>
      </c>
      <c r="ROQ618" s="17">
        <v>44925</v>
      </c>
      <c r="ROR618" s="5" t="s">
        <v>3728</v>
      </c>
      <c r="ROS618" s="17">
        <v>44925</v>
      </c>
      <c r="ROT618" s="5" t="s">
        <v>3728</v>
      </c>
      <c r="ROU618" s="17">
        <v>44925</v>
      </c>
      <c r="ROV618" s="5" t="s">
        <v>3728</v>
      </c>
      <c r="ROW618" s="17">
        <v>44925</v>
      </c>
      <c r="ROX618" s="5" t="s">
        <v>3728</v>
      </c>
      <c r="ROY618" s="17">
        <v>44925</v>
      </c>
      <c r="ROZ618" s="5" t="s">
        <v>3728</v>
      </c>
      <c r="RPA618" s="17">
        <v>44925</v>
      </c>
      <c r="RPB618" s="5" t="s">
        <v>3728</v>
      </c>
      <c r="RPC618" s="17">
        <v>44925</v>
      </c>
      <c r="RPD618" s="5" t="s">
        <v>3728</v>
      </c>
      <c r="RPE618" s="17">
        <v>44925</v>
      </c>
      <c r="RPF618" s="5" t="s">
        <v>3728</v>
      </c>
      <c r="RPG618" s="17">
        <v>44925</v>
      </c>
      <c r="RPH618" s="5" t="s">
        <v>3728</v>
      </c>
      <c r="RPI618" s="17">
        <v>44925</v>
      </c>
      <c r="RPJ618" s="5" t="s">
        <v>3728</v>
      </c>
      <c r="RPK618" s="17">
        <v>44925</v>
      </c>
      <c r="RPL618" s="5" t="s">
        <v>3728</v>
      </c>
      <c r="RPM618" s="17">
        <v>44925</v>
      </c>
      <c r="RPN618" s="5" t="s">
        <v>3728</v>
      </c>
      <c r="RPO618" s="17">
        <v>44925</v>
      </c>
      <c r="RPP618" s="5" t="s">
        <v>3728</v>
      </c>
      <c r="RPQ618" s="17">
        <v>44925</v>
      </c>
      <c r="RPR618" s="5" t="s">
        <v>3728</v>
      </c>
      <c r="RPS618" s="17">
        <v>44925</v>
      </c>
      <c r="RPT618" s="5" t="s">
        <v>3728</v>
      </c>
      <c r="RPU618" s="17">
        <v>44925</v>
      </c>
      <c r="RPV618" s="5" t="s">
        <v>3728</v>
      </c>
      <c r="RPW618" s="17">
        <v>44925</v>
      </c>
      <c r="RPX618" s="5" t="s">
        <v>3728</v>
      </c>
      <c r="RPY618" s="17">
        <v>44925</v>
      </c>
      <c r="RPZ618" s="5" t="s">
        <v>3728</v>
      </c>
      <c r="RQA618" s="17">
        <v>44925</v>
      </c>
      <c r="RQB618" s="5" t="s">
        <v>3728</v>
      </c>
      <c r="RQC618" s="17">
        <v>44925</v>
      </c>
      <c r="RQD618" s="5" t="s">
        <v>3728</v>
      </c>
      <c r="RQE618" s="17">
        <v>44925</v>
      </c>
      <c r="RQF618" s="5" t="s">
        <v>3728</v>
      </c>
      <c r="RQG618" s="17">
        <v>44925</v>
      </c>
      <c r="RQH618" s="5" t="s">
        <v>3728</v>
      </c>
      <c r="RQI618" s="17">
        <v>44925</v>
      </c>
      <c r="RQJ618" s="5" t="s">
        <v>3728</v>
      </c>
      <c r="RQK618" s="17">
        <v>44925</v>
      </c>
      <c r="RQL618" s="5" t="s">
        <v>3728</v>
      </c>
      <c r="RQM618" s="17">
        <v>44925</v>
      </c>
      <c r="RQN618" s="5" t="s">
        <v>3728</v>
      </c>
      <c r="RQO618" s="17">
        <v>44925</v>
      </c>
      <c r="RQP618" s="5" t="s">
        <v>3728</v>
      </c>
      <c r="RQQ618" s="17">
        <v>44925</v>
      </c>
      <c r="RQR618" s="5" t="s">
        <v>3728</v>
      </c>
      <c r="RQS618" s="17">
        <v>44925</v>
      </c>
      <c r="RQT618" s="5" t="s">
        <v>3728</v>
      </c>
      <c r="RQU618" s="17">
        <v>44925</v>
      </c>
      <c r="RQV618" s="5" t="s">
        <v>3728</v>
      </c>
      <c r="RQW618" s="17">
        <v>44925</v>
      </c>
      <c r="RQX618" s="5" t="s">
        <v>3728</v>
      </c>
      <c r="RQY618" s="17">
        <v>44925</v>
      </c>
      <c r="RQZ618" s="5" t="s">
        <v>3728</v>
      </c>
      <c r="RRA618" s="17">
        <v>44925</v>
      </c>
      <c r="RRB618" s="5" t="s">
        <v>3728</v>
      </c>
      <c r="RRC618" s="17">
        <v>44925</v>
      </c>
      <c r="RRD618" s="5" t="s">
        <v>3728</v>
      </c>
      <c r="RRE618" s="17">
        <v>44925</v>
      </c>
      <c r="RRF618" s="5" t="s">
        <v>3728</v>
      </c>
      <c r="RRG618" s="17">
        <v>44925</v>
      </c>
      <c r="RRH618" s="5" t="s">
        <v>3728</v>
      </c>
      <c r="RRI618" s="17">
        <v>44925</v>
      </c>
      <c r="RRJ618" s="5" t="s">
        <v>3728</v>
      </c>
      <c r="RRK618" s="17">
        <v>44925</v>
      </c>
      <c r="RRL618" s="5" t="s">
        <v>3728</v>
      </c>
      <c r="RRM618" s="17">
        <v>44925</v>
      </c>
      <c r="RRN618" s="5" t="s">
        <v>3728</v>
      </c>
      <c r="RRO618" s="17">
        <v>44925</v>
      </c>
      <c r="RRP618" s="5" t="s">
        <v>3728</v>
      </c>
      <c r="RRQ618" s="17">
        <v>44925</v>
      </c>
      <c r="RRR618" s="5" t="s">
        <v>3728</v>
      </c>
      <c r="RRS618" s="17">
        <v>44925</v>
      </c>
      <c r="RRT618" s="5" t="s">
        <v>3728</v>
      </c>
      <c r="RRU618" s="17">
        <v>44925</v>
      </c>
      <c r="RRV618" s="5" t="s">
        <v>3728</v>
      </c>
      <c r="RRW618" s="17">
        <v>44925</v>
      </c>
      <c r="RRX618" s="5" t="s">
        <v>3728</v>
      </c>
      <c r="RRY618" s="17">
        <v>44925</v>
      </c>
      <c r="RRZ618" s="5" t="s">
        <v>3728</v>
      </c>
      <c r="RSA618" s="17">
        <v>44925</v>
      </c>
      <c r="RSB618" s="5" t="s">
        <v>3728</v>
      </c>
      <c r="RSC618" s="17">
        <v>44925</v>
      </c>
      <c r="RSD618" s="5" t="s">
        <v>3728</v>
      </c>
      <c r="RSE618" s="17">
        <v>44925</v>
      </c>
      <c r="RSF618" s="5" t="s">
        <v>3728</v>
      </c>
      <c r="RSG618" s="17">
        <v>44925</v>
      </c>
      <c r="RSH618" s="5" t="s">
        <v>3728</v>
      </c>
      <c r="RSI618" s="17">
        <v>44925</v>
      </c>
      <c r="RSJ618" s="5" t="s">
        <v>3728</v>
      </c>
      <c r="RSK618" s="17">
        <v>44925</v>
      </c>
      <c r="RSL618" s="5" t="s">
        <v>3728</v>
      </c>
      <c r="RSM618" s="17">
        <v>44925</v>
      </c>
      <c r="RSN618" s="5" t="s">
        <v>3728</v>
      </c>
      <c r="RSO618" s="17">
        <v>44925</v>
      </c>
      <c r="RSP618" s="5" t="s">
        <v>3728</v>
      </c>
      <c r="RSQ618" s="17">
        <v>44925</v>
      </c>
      <c r="RSR618" s="5" t="s">
        <v>3728</v>
      </c>
      <c r="RSS618" s="17">
        <v>44925</v>
      </c>
      <c r="RST618" s="5" t="s">
        <v>3728</v>
      </c>
      <c r="RSU618" s="17">
        <v>44925</v>
      </c>
      <c r="RSV618" s="5" t="s">
        <v>3728</v>
      </c>
      <c r="RSW618" s="17">
        <v>44925</v>
      </c>
      <c r="RSX618" s="5" t="s">
        <v>3728</v>
      </c>
      <c r="RSY618" s="17">
        <v>44925</v>
      </c>
      <c r="RSZ618" s="5" t="s">
        <v>3728</v>
      </c>
      <c r="RTA618" s="17">
        <v>44925</v>
      </c>
      <c r="RTB618" s="5" t="s">
        <v>3728</v>
      </c>
      <c r="RTC618" s="17">
        <v>44925</v>
      </c>
      <c r="RTD618" s="5" t="s">
        <v>3728</v>
      </c>
      <c r="RTE618" s="17">
        <v>44925</v>
      </c>
      <c r="RTF618" s="5" t="s">
        <v>3728</v>
      </c>
      <c r="RTG618" s="17">
        <v>44925</v>
      </c>
      <c r="RTH618" s="5" t="s">
        <v>3728</v>
      </c>
      <c r="RTI618" s="17">
        <v>44925</v>
      </c>
      <c r="RTJ618" s="5" t="s">
        <v>3728</v>
      </c>
      <c r="RTK618" s="17">
        <v>44925</v>
      </c>
      <c r="RTL618" s="5" t="s">
        <v>3728</v>
      </c>
      <c r="RTM618" s="17">
        <v>44925</v>
      </c>
      <c r="RTN618" s="5" t="s">
        <v>3728</v>
      </c>
      <c r="RTO618" s="17">
        <v>44925</v>
      </c>
      <c r="RTP618" s="5" t="s">
        <v>3728</v>
      </c>
      <c r="RTQ618" s="17">
        <v>44925</v>
      </c>
      <c r="RTR618" s="5" t="s">
        <v>3728</v>
      </c>
      <c r="RTS618" s="17">
        <v>44925</v>
      </c>
      <c r="RTT618" s="5" t="s">
        <v>3728</v>
      </c>
      <c r="RTU618" s="17">
        <v>44925</v>
      </c>
      <c r="RTV618" s="5" t="s">
        <v>3728</v>
      </c>
      <c r="RTW618" s="17">
        <v>44925</v>
      </c>
      <c r="RTX618" s="5" t="s">
        <v>3728</v>
      </c>
      <c r="RTY618" s="17">
        <v>44925</v>
      </c>
      <c r="RTZ618" s="5" t="s">
        <v>3728</v>
      </c>
      <c r="RUA618" s="17">
        <v>44925</v>
      </c>
      <c r="RUB618" s="5" t="s">
        <v>3728</v>
      </c>
      <c r="RUC618" s="17">
        <v>44925</v>
      </c>
      <c r="RUD618" s="5" t="s">
        <v>3728</v>
      </c>
      <c r="RUE618" s="17">
        <v>44925</v>
      </c>
      <c r="RUF618" s="5" t="s">
        <v>3728</v>
      </c>
      <c r="RUG618" s="17">
        <v>44925</v>
      </c>
      <c r="RUH618" s="5" t="s">
        <v>3728</v>
      </c>
      <c r="RUI618" s="17">
        <v>44925</v>
      </c>
      <c r="RUJ618" s="5" t="s">
        <v>3728</v>
      </c>
      <c r="RUK618" s="17">
        <v>44925</v>
      </c>
      <c r="RUL618" s="5" t="s">
        <v>3728</v>
      </c>
      <c r="RUM618" s="17">
        <v>44925</v>
      </c>
      <c r="RUN618" s="5" t="s">
        <v>3728</v>
      </c>
      <c r="RUO618" s="17">
        <v>44925</v>
      </c>
      <c r="RUP618" s="5" t="s">
        <v>3728</v>
      </c>
      <c r="RUQ618" s="17">
        <v>44925</v>
      </c>
      <c r="RUR618" s="5" t="s">
        <v>3728</v>
      </c>
      <c r="RUS618" s="17">
        <v>44925</v>
      </c>
      <c r="RUT618" s="5" t="s">
        <v>3728</v>
      </c>
      <c r="RUU618" s="17">
        <v>44925</v>
      </c>
      <c r="RUV618" s="5" t="s">
        <v>3728</v>
      </c>
      <c r="RUW618" s="17">
        <v>44925</v>
      </c>
      <c r="RUX618" s="5" t="s">
        <v>3728</v>
      </c>
      <c r="RUY618" s="17">
        <v>44925</v>
      </c>
      <c r="RUZ618" s="5" t="s">
        <v>3728</v>
      </c>
      <c r="RVA618" s="17">
        <v>44925</v>
      </c>
      <c r="RVB618" s="5" t="s">
        <v>3728</v>
      </c>
      <c r="RVC618" s="17">
        <v>44925</v>
      </c>
      <c r="RVD618" s="5" t="s">
        <v>3728</v>
      </c>
      <c r="RVE618" s="17">
        <v>44925</v>
      </c>
      <c r="RVF618" s="5" t="s">
        <v>3728</v>
      </c>
      <c r="RVG618" s="17">
        <v>44925</v>
      </c>
      <c r="RVH618" s="5" t="s">
        <v>3728</v>
      </c>
      <c r="RVI618" s="17">
        <v>44925</v>
      </c>
      <c r="RVJ618" s="5" t="s">
        <v>3728</v>
      </c>
      <c r="RVK618" s="17">
        <v>44925</v>
      </c>
      <c r="RVL618" s="5" t="s">
        <v>3728</v>
      </c>
      <c r="RVM618" s="17">
        <v>44925</v>
      </c>
      <c r="RVN618" s="5" t="s">
        <v>3728</v>
      </c>
      <c r="RVO618" s="17">
        <v>44925</v>
      </c>
      <c r="RVP618" s="5" t="s">
        <v>3728</v>
      </c>
      <c r="RVQ618" s="17">
        <v>44925</v>
      </c>
      <c r="RVR618" s="5" t="s">
        <v>3728</v>
      </c>
      <c r="RVS618" s="17">
        <v>44925</v>
      </c>
      <c r="RVT618" s="5" t="s">
        <v>3728</v>
      </c>
      <c r="RVU618" s="17">
        <v>44925</v>
      </c>
      <c r="RVV618" s="5" t="s">
        <v>3728</v>
      </c>
      <c r="RVW618" s="17">
        <v>44925</v>
      </c>
      <c r="RVX618" s="5" t="s">
        <v>3728</v>
      </c>
      <c r="RVY618" s="17">
        <v>44925</v>
      </c>
      <c r="RVZ618" s="5" t="s">
        <v>3728</v>
      </c>
      <c r="RWA618" s="17">
        <v>44925</v>
      </c>
      <c r="RWB618" s="5" t="s">
        <v>3728</v>
      </c>
      <c r="RWC618" s="17">
        <v>44925</v>
      </c>
      <c r="RWD618" s="5" t="s">
        <v>3728</v>
      </c>
      <c r="RWE618" s="17">
        <v>44925</v>
      </c>
      <c r="RWF618" s="5" t="s">
        <v>3728</v>
      </c>
      <c r="RWG618" s="17">
        <v>44925</v>
      </c>
      <c r="RWH618" s="5" t="s">
        <v>3728</v>
      </c>
      <c r="RWI618" s="17">
        <v>44925</v>
      </c>
      <c r="RWJ618" s="5" t="s">
        <v>3728</v>
      </c>
      <c r="RWK618" s="17">
        <v>44925</v>
      </c>
      <c r="RWL618" s="5" t="s">
        <v>3728</v>
      </c>
      <c r="RWM618" s="17">
        <v>44925</v>
      </c>
      <c r="RWN618" s="5" t="s">
        <v>3728</v>
      </c>
      <c r="RWO618" s="17">
        <v>44925</v>
      </c>
      <c r="RWP618" s="5" t="s">
        <v>3728</v>
      </c>
      <c r="RWQ618" s="17">
        <v>44925</v>
      </c>
      <c r="RWR618" s="5" t="s">
        <v>3728</v>
      </c>
      <c r="RWS618" s="17">
        <v>44925</v>
      </c>
      <c r="RWT618" s="5" t="s">
        <v>3728</v>
      </c>
      <c r="RWU618" s="17">
        <v>44925</v>
      </c>
      <c r="RWV618" s="5" t="s">
        <v>3728</v>
      </c>
      <c r="RWW618" s="17">
        <v>44925</v>
      </c>
      <c r="RWX618" s="5" t="s">
        <v>3728</v>
      </c>
      <c r="RWY618" s="17">
        <v>44925</v>
      </c>
      <c r="RWZ618" s="5" t="s">
        <v>3728</v>
      </c>
      <c r="RXA618" s="17">
        <v>44925</v>
      </c>
      <c r="RXB618" s="5" t="s">
        <v>3728</v>
      </c>
      <c r="RXC618" s="17">
        <v>44925</v>
      </c>
      <c r="RXD618" s="5" t="s">
        <v>3728</v>
      </c>
      <c r="RXE618" s="17">
        <v>44925</v>
      </c>
      <c r="RXF618" s="5" t="s">
        <v>3728</v>
      </c>
      <c r="RXG618" s="17">
        <v>44925</v>
      </c>
      <c r="RXH618" s="5" t="s">
        <v>3728</v>
      </c>
      <c r="RXI618" s="17">
        <v>44925</v>
      </c>
      <c r="RXJ618" s="5" t="s">
        <v>3728</v>
      </c>
      <c r="RXK618" s="17">
        <v>44925</v>
      </c>
      <c r="RXL618" s="5" t="s">
        <v>3728</v>
      </c>
      <c r="RXM618" s="17">
        <v>44925</v>
      </c>
      <c r="RXN618" s="5" t="s">
        <v>3728</v>
      </c>
      <c r="RXO618" s="17">
        <v>44925</v>
      </c>
      <c r="RXP618" s="5" t="s">
        <v>3728</v>
      </c>
      <c r="RXQ618" s="17">
        <v>44925</v>
      </c>
      <c r="RXR618" s="5" t="s">
        <v>3728</v>
      </c>
      <c r="RXS618" s="17">
        <v>44925</v>
      </c>
      <c r="RXT618" s="5" t="s">
        <v>3728</v>
      </c>
      <c r="RXU618" s="17">
        <v>44925</v>
      </c>
      <c r="RXV618" s="5" t="s">
        <v>3728</v>
      </c>
      <c r="RXW618" s="17">
        <v>44925</v>
      </c>
      <c r="RXX618" s="5" t="s">
        <v>3728</v>
      </c>
      <c r="RXY618" s="17">
        <v>44925</v>
      </c>
      <c r="RXZ618" s="5" t="s">
        <v>3728</v>
      </c>
      <c r="RYA618" s="17">
        <v>44925</v>
      </c>
      <c r="RYB618" s="5" t="s">
        <v>3728</v>
      </c>
      <c r="RYC618" s="17">
        <v>44925</v>
      </c>
      <c r="RYD618" s="5" t="s">
        <v>3728</v>
      </c>
      <c r="RYE618" s="17">
        <v>44925</v>
      </c>
      <c r="RYF618" s="5" t="s">
        <v>3728</v>
      </c>
      <c r="RYG618" s="17">
        <v>44925</v>
      </c>
      <c r="RYH618" s="5" t="s">
        <v>3728</v>
      </c>
      <c r="RYI618" s="17">
        <v>44925</v>
      </c>
      <c r="RYJ618" s="5" t="s">
        <v>3728</v>
      </c>
      <c r="RYK618" s="17">
        <v>44925</v>
      </c>
      <c r="RYL618" s="5" t="s">
        <v>3728</v>
      </c>
      <c r="RYM618" s="17">
        <v>44925</v>
      </c>
      <c r="RYN618" s="5" t="s">
        <v>3728</v>
      </c>
      <c r="RYO618" s="17">
        <v>44925</v>
      </c>
      <c r="RYP618" s="5" t="s">
        <v>3728</v>
      </c>
      <c r="RYQ618" s="17">
        <v>44925</v>
      </c>
      <c r="RYR618" s="5" t="s">
        <v>3728</v>
      </c>
      <c r="RYS618" s="17">
        <v>44925</v>
      </c>
      <c r="RYT618" s="5" t="s">
        <v>3728</v>
      </c>
      <c r="RYU618" s="17">
        <v>44925</v>
      </c>
      <c r="RYV618" s="5" t="s">
        <v>3728</v>
      </c>
      <c r="RYW618" s="17">
        <v>44925</v>
      </c>
      <c r="RYX618" s="5" t="s">
        <v>3728</v>
      </c>
      <c r="RYY618" s="17">
        <v>44925</v>
      </c>
      <c r="RYZ618" s="5" t="s">
        <v>3728</v>
      </c>
      <c r="RZA618" s="17">
        <v>44925</v>
      </c>
      <c r="RZB618" s="5" t="s">
        <v>3728</v>
      </c>
      <c r="RZC618" s="17">
        <v>44925</v>
      </c>
      <c r="RZD618" s="5" t="s">
        <v>3728</v>
      </c>
      <c r="RZE618" s="17">
        <v>44925</v>
      </c>
      <c r="RZF618" s="5" t="s">
        <v>3728</v>
      </c>
      <c r="RZG618" s="17">
        <v>44925</v>
      </c>
      <c r="RZH618" s="5" t="s">
        <v>3728</v>
      </c>
      <c r="RZI618" s="17">
        <v>44925</v>
      </c>
      <c r="RZJ618" s="5" t="s">
        <v>3728</v>
      </c>
      <c r="RZK618" s="17">
        <v>44925</v>
      </c>
      <c r="RZL618" s="5" t="s">
        <v>3728</v>
      </c>
      <c r="RZM618" s="17">
        <v>44925</v>
      </c>
      <c r="RZN618" s="5" t="s">
        <v>3728</v>
      </c>
      <c r="RZO618" s="17">
        <v>44925</v>
      </c>
      <c r="RZP618" s="5" t="s">
        <v>3728</v>
      </c>
      <c r="RZQ618" s="17">
        <v>44925</v>
      </c>
      <c r="RZR618" s="5" t="s">
        <v>3728</v>
      </c>
      <c r="RZS618" s="17">
        <v>44925</v>
      </c>
      <c r="RZT618" s="5" t="s">
        <v>3728</v>
      </c>
      <c r="RZU618" s="17">
        <v>44925</v>
      </c>
      <c r="RZV618" s="5" t="s">
        <v>3728</v>
      </c>
      <c r="RZW618" s="17">
        <v>44925</v>
      </c>
      <c r="RZX618" s="5" t="s">
        <v>3728</v>
      </c>
      <c r="RZY618" s="17">
        <v>44925</v>
      </c>
      <c r="RZZ618" s="5" t="s">
        <v>3728</v>
      </c>
      <c r="SAA618" s="17">
        <v>44925</v>
      </c>
      <c r="SAB618" s="5" t="s">
        <v>3728</v>
      </c>
      <c r="SAC618" s="17">
        <v>44925</v>
      </c>
      <c r="SAD618" s="5" t="s">
        <v>3728</v>
      </c>
      <c r="SAE618" s="17">
        <v>44925</v>
      </c>
      <c r="SAF618" s="5" t="s">
        <v>3728</v>
      </c>
      <c r="SAG618" s="17">
        <v>44925</v>
      </c>
      <c r="SAH618" s="5" t="s">
        <v>3728</v>
      </c>
      <c r="SAI618" s="17">
        <v>44925</v>
      </c>
      <c r="SAJ618" s="5" t="s">
        <v>3728</v>
      </c>
      <c r="SAK618" s="17">
        <v>44925</v>
      </c>
      <c r="SAL618" s="5" t="s">
        <v>3728</v>
      </c>
      <c r="SAM618" s="17">
        <v>44925</v>
      </c>
      <c r="SAN618" s="5" t="s">
        <v>3728</v>
      </c>
      <c r="SAO618" s="17">
        <v>44925</v>
      </c>
      <c r="SAP618" s="5" t="s">
        <v>3728</v>
      </c>
      <c r="SAQ618" s="17">
        <v>44925</v>
      </c>
      <c r="SAR618" s="5" t="s">
        <v>3728</v>
      </c>
      <c r="SAS618" s="17">
        <v>44925</v>
      </c>
      <c r="SAT618" s="5" t="s">
        <v>3728</v>
      </c>
      <c r="SAU618" s="17">
        <v>44925</v>
      </c>
      <c r="SAV618" s="5" t="s">
        <v>3728</v>
      </c>
      <c r="SAW618" s="17">
        <v>44925</v>
      </c>
      <c r="SAX618" s="5" t="s">
        <v>3728</v>
      </c>
      <c r="SAY618" s="17">
        <v>44925</v>
      </c>
      <c r="SAZ618" s="5" t="s">
        <v>3728</v>
      </c>
      <c r="SBA618" s="17">
        <v>44925</v>
      </c>
      <c r="SBB618" s="5" t="s">
        <v>3728</v>
      </c>
      <c r="SBC618" s="17">
        <v>44925</v>
      </c>
      <c r="SBD618" s="5" t="s">
        <v>3728</v>
      </c>
      <c r="SBE618" s="17">
        <v>44925</v>
      </c>
      <c r="SBF618" s="5" t="s">
        <v>3728</v>
      </c>
      <c r="SBG618" s="17">
        <v>44925</v>
      </c>
      <c r="SBH618" s="5" t="s">
        <v>3728</v>
      </c>
      <c r="SBI618" s="17">
        <v>44925</v>
      </c>
      <c r="SBJ618" s="5" t="s">
        <v>3728</v>
      </c>
      <c r="SBK618" s="17">
        <v>44925</v>
      </c>
      <c r="SBL618" s="5" t="s">
        <v>3728</v>
      </c>
      <c r="SBM618" s="17">
        <v>44925</v>
      </c>
      <c r="SBN618" s="5" t="s">
        <v>3728</v>
      </c>
      <c r="SBO618" s="17">
        <v>44925</v>
      </c>
      <c r="SBP618" s="5" t="s">
        <v>3728</v>
      </c>
      <c r="SBQ618" s="17">
        <v>44925</v>
      </c>
      <c r="SBR618" s="5" t="s">
        <v>3728</v>
      </c>
      <c r="SBS618" s="17">
        <v>44925</v>
      </c>
      <c r="SBT618" s="5" t="s">
        <v>3728</v>
      </c>
      <c r="SBU618" s="17">
        <v>44925</v>
      </c>
      <c r="SBV618" s="5" t="s">
        <v>3728</v>
      </c>
      <c r="SBW618" s="17">
        <v>44925</v>
      </c>
      <c r="SBX618" s="5" t="s">
        <v>3728</v>
      </c>
      <c r="SBY618" s="17">
        <v>44925</v>
      </c>
      <c r="SBZ618" s="5" t="s">
        <v>3728</v>
      </c>
      <c r="SCA618" s="17">
        <v>44925</v>
      </c>
      <c r="SCB618" s="5" t="s">
        <v>3728</v>
      </c>
      <c r="SCC618" s="17">
        <v>44925</v>
      </c>
      <c r="SCD618" s="5" t="s">
        <v>3728</v>
      </c>
      <c r="SCE618" s="17">
        <v>44925</v>
      </c>
      <c r="SCF618" s="5" t="s">
        <v>3728</v>
      </c>
      <c r="SCG618" s="17">
        <v>44925</v>
      </c>
      <c r="SCH618" s="5" t="s">
        <v>3728</v>
      </c>
      <c r="SCI618" s="17">
        <v>44925</v>
      </c>
      <c r="SCJ618" s="5" t="s">
        <v>3728</v>
      </c>
      <c r="SCK618" s="17">
        <v>44925</v>
      </c>
      <c r="SCL618" s="5" t="s">
        <v>3728</v>
      </c>
      <c r="SCM618" s="17">
        <v>44925</v>
      </c>
      <c r="SCN618" s="5" t="s">
        <v>3728</v>
      </c>
      <c r="SCO618" s="17">
        <v>44925</v>
      </c>
      <c r="SCP618" s="5" t="s">
        <v>3728</v>
      </c>
      <c r="SCQ618" s="17">
        <v>44925</v>
      </c>
      <c r="SCR618" s="5" t="s">
        <v>3728</v>
      </c>
      <c r="SCS618" s="17">
        <v>44925</v>
      </c>
      <c r="SCT618" s="5" t="s">
        <v>3728</v>
      </c>
      <c r="SCU618" s="17">
        <v>44925</v>
      </c>
      <c r="SCV618" s="5" t="s">
        <v>3728</v>
      </c>
      <c r="SCW618" s="17">
        <v>44925</v>
      </c>
      <c r="SCX618" s="5" t="s">
        <v>3728</v>
      </c>
      <c r="SCY618" s="17">
        <v>44925</v>
      </c>
      <c r="SCZ618" s="5" t="s">
        <v>3728</v>
      </c>
      <c r="SDA618" s="17">
        <v>44925</v>
      </c>
      <c r="SDB618" s="5" t="s">
        <v>3728</v>
      </c>
      <c r="SDC618" s="17">
        <v>44925</v>
      </c>
      <c r="SDD618" s="5" t="s">
        <v>3728</v>
      </c>
      <c r="SDE618" s="17">
        <v>44925</v>
      </c>
      <c r="SDF618" s="5" t="s">
        <v>3728</v>
      </c>
      <c r="SDG618" s="17">
        <v>44925</v>
      </c>
      <c r="SDH618" s="5" t="s">
        <v>3728</v>
      </c>
      <c r="SDI618" s="17">
        <v>44925</v>
      </c>
      <c r="SDJ618" s="5" t="s">
        <v>3728</v>
      </c>
      <c r="SDK618" s="17">
        <v>44925</v>
      </c>
      <c r="SDL618" s="5" t="s">
        <v>3728</v>
      </c>
      <c r="SDM618" s="17">
        <v>44925</v>
      </c>
      <c r="SDN618" s="5" t="s">
        <v>3728</v>
      </c>
      <c r="SDO618" s="17">
        <v>44925</v>
      </c>
      <c r="SDP618" s="5" t="s">
        <v>3728</v>
      </c>
      <c r="SDQ618" s="17">
        <v>44925</v>
      </c>
      <c r="SDR618" s="5" t="s">
        <v>3728</v>
      </c>
      <c r="SDS618" s="17">
        <v>44925</v>
      </c>
      <c r="SDT618" s="5" t="s">
        <v>3728</v>
      </c>
      <c r="SDU618" s="17">
        <v>44925</v>
      </c>
      <c r="SDV618" s="5" t="s">
        <v>3728</v>
      </c>
      <c r="SDW618" s="17">
        <v>44925</v>
      </c>
      <c r="SDX618" s="5" t="s">
        <v>3728</v>
      </c>
      <c r="SDY618" s="17">
        <v>44925</v>
      </c>
      <c r="SDZ618" s="5" t="s">
        <v>3728</v>
      </c>
      <c r="SEA618" s="17">
        <v>44925</v>
      </c>
      <c r="SEB618" s="5" t="s">
        <v>3728</v>
      </c>
      <c r="SEC618" s="17">
        <v>44925</v>
      </c>
      <c r="SED618" s="5" t="s">
        <v>3728</v>
      </c>
      <c r="SEE618" s="17">
        <v>44925</v>
      </c>
      <c r="SEF618" s="5" t="s">
        <v>3728</v>
      </c>
      <c r="SEG618" s="17">
        <v>44925</v>
      </c>
      <c r="SEH618" s="5" t="s">
        <v>3728</v>
      </c>
      <c r="SEI618" s="17">
        <v>44925</v>
      </c>
      <c r="SEJ618" s="5" t="s">
        <v>3728</v>
      </c>
      <c r="SEK618" s="17">
        <v>44925</v>
      </c>
      <c r="SEL618" s="5" t="s">
        <v>3728</v>
      </c>
      <c r="SEM618" s="17">
        <v>44925</v>
      </c>
      <c r="SEN618" s="5" t="s">
        <v>3728</v>
      </c>
      <c r="SEO618" s="17">
        <v>44925</v>
      </c>
      <c r="SEP618" s="5" t="s">
        <v>3728</v>
      </c>
      <c r="SEQ618" s="17">
        <v>44925</v>
      </c>
      <c r="SER618" s="5" t="s">
        <v>3728</v>
      </c>
      <c r="SES618" s="17">
        <v>44925</v>
      </c>
      <c r="SET618" s="5" t="s">
        <v>3728</v>
      </c>
      <c r="SEU618" s="17">
        <v>44925</v>
      </c>
      <c r="SEV618" s="5" t="s">
        <v>3728</v>
      </c>
      <c r="SEW618" s="17">
        <v>44925</v>
      </c>
      <c r="SEX618" s="5" t="s">
        <v>3728</v>
      </c>
      <c r="SEY618" s="17">
        <v>44925</v>
      </c>
      <c r="SEZ618" s="5" t="s">
        <v>3728</v>
      </c>
      <c r="SFA618" s="17">
        <v>44925</v>
      </c>
      <c r="SFB618" s="5" t="s">
        <v>3728</v>
      </c>
      <c r="SFC618" s="17">
        <v>44925</v>
      </c>
      <c r="SFD618" s="5" t="s">
        <v>3728</v>
      </c>
      <c r="SFE618" s="17">
        <v>44925</v>
      </c>
      <c r="SFF618" s="5" t="s">
        <v>3728</v>
      </c>
      <c r="SFG618" s="17">
        <v>44925</v>
      </c>
      <c r="SFH618" s="5" t="s">
        <v>3728</v>
      </c>
      <c r="SFI618" s="17">
        <v>44925</v>
      </c>
      <c r="SFJ618" s="5" t="s">
        <v>3728</v>
      </c>
      <c r="SFK618" s="17">
        <v>44925</v>
      </c>
      <c r="SFL618" s="5" t="s">
        <v>3728</v>
      </c>
      <c r="SFM618" s="17">
        <v>44925</v>
      </c>
      <c r="SFN618" s="5" t="s">
        <v>3728</v>
      </c>
      <c r="SFO618" s="17">
        <v>44925</v>
      </c>
      <c r="SFP618" s="5" t="s">
        <v>3728</v>
      </c>
      <c r="SFQ618" s="17">
        <v>44925</v>
      </c>
      <c r="SFR618" s="5" t="s">
        <v>3728</v>
      </c>
      <c r="SFS618" s="17">
        <v>44925</v>
      </c>
      <c r="SFT618" s="5" t="s">
        <v>3728</v>
      </c>
      <c r="SFU618" s="17">
        <v>44925</v>
      </c>
      <c r="SFV618" s="5" t="s">
        <v>3728</v>
      </c>
      <c r="SFW618" s="17">
        <v>44925</v>
      </c>
      <c r="SFX618" s="5" t="s">
        <v>3728</v>
      </c>
      <c r="SFY618" s="17">
        <v>44925</v>
      </c>
      <c r="SFZ618" s="5" t="s">
        <v>3728</v>
      </c>
      <c r="SGA618" s="17">
        <v>44925</v>
      </c>
      <c r="SGB618" s="5" t="s">
        <v>3728</v>
      </c>
      <c r="SGC618" s="17">
        <v>44925</v>
      </c>
      <c r="SGD618" s="5" t="s">
        <v>3728</v>
      </c>
      <c r="SGE618" s="17">
        <v>44925</v>
      </c>
      <c r="SGF618" s="5" t="s">
        <v>3728</v>
      </c>
      <c r="SGG618" s="17">
        <v>44925</v>
      </c>
      <c r="SGH618" s="5" t="s">
        <v>3728</v>
      </c>
      <c r="SGI618" s="17">
        <v>44925</v>
      </c>
      <c r="SGJ618" s="5" t="s">
        <v>3728</v>
      </c>
      <c r="SGK618" s="17">
        <v>44925</v>
      </c>
      <c r="SGL618" s="5" t="s">
        <v>3728</v>
      </c>
      <c r="SGM618" s="17">
        <v>44925</v>
      </c>
      <c r="SGN618" s="5" t="s">
        <v>3728</v>
      </c>
      <c r="SGO618" s="17">
        <v>44925</v>
      </c>
      <c r="SGP618" s="5" t="s">
        <v>3728</v>
      </c>
      <c r="SGQ618" s="17">
        <v>44925</v>
      </c>
      <c r="SGR618" s="5" t="s">
        <v>3728</v>
      </c>
      <c r="SGS618" s="17">
        <v>44925</v>
      </c>
      <c r="SGT618" s="5" t="s">
        <v>3728</v>
      </c>
      <c r="SGU618" s="17">
        <v>44925</v>
      </c>
      <c r="SGV618" s="5" t="s">
        <v>3728</v>
      </c>
      <c r="SGW618" s="17">
        <v>44925</v>
      </c>
      <c r="SGX618" s="5" t="s">
        <v>3728</v>
      </c>
      <c r="SGY618" s="17">
        <v>44925</v>
      </c>
      <c r="SGZ618" s="5" t="s">
        <v>3728</v>
      </c>
      <c r="SHA618" s="17">
        <v>44925</v>
      </c>
      <c r="SHB618" s="5" t="s">
        <v>3728</v>
      </c>
      <c r="SHC618" s="17">
        <v>44925</v>
      </c>
      <c r="SHD618" s="5" t="s">
        <v>3728</v>
      </c>
      <c r="SHE618" s="17">
        <v>44925</v>
      </c>
      <c r="SHF618" s="5" t="s">
        <v>3728</v>
      </c>
      <c r="SHG618" s="17">
        <v>44925</v>
      </c>
      <c r="SHH618" s="5" t="s">
        <v>3728</v>
      </c>
      <c r="SHI618" s="17">
        <v>44925</v>
      </c>
      <c r="SHJ618" s="5" t="s">
        <v>3728</v>
      </c>
      <c r="SHK618" s="17">
        <v>44925</v>
      </c>
      <c r="SHL618" s="5" t="s">
        <v>3728</v>
      </c>
      <c r="SHM618" s="17">
        <v>44925</v>
      </c>
      <c r="SHN618" s="5" t="s">
        <v>3728</v>
      </c>
      <c r="SHO618" s="17">
        <v>44925</v>
      </c>
      <c r="SHP618" s="5" t="s">
        <v>3728</v>
      </c>
      <c r="SHQ618" s="17">
        <v>44925</v>
      </c>
      <c r="SHR618" s="5" t="s">
        <v>3728</v>
      </c>
      <c r="SHS618" s="17">
        <v>44925</v>
      </c>
      <c r="SHT618" s="5" t="s">
        <v>3728</v>
      </c>
      <c r="SHU618" s="17">
        <v>44925</v>
      </c>
      <c r="SHV618" s="5" t="s">
        <v>3728</v>
      </c>
      <c r="SHW618" s="17">
        <v>44925</v>
      </c>
      <c r="SHX618" s="5" t="s">
        <v>3728</v>
      </c>
      <c r="SHY618" s="17">
        <v>44925</v>
      </c>
      <c r="SHZ618" s="5" t="s">
        <v>3728</v>
      </c>
      <c r="SIA618" s="17">
        <v>44925</v>
      </c>
      <c r="SIB618" s="5" t="s">
        <v>3728</v>
      </c>
      <c r="SIC618" s="17">
        <v>44925</v>
      </c>
      <c r="SID618" s="5" t="s">
        <v>3728</v>
      </c>
      <c r="SIE618" s="17">
        <v>44925</v>
      </c>
      <c r="SIF618" s="5" t="s">
        <v>3728</v>
      </c>
      <c r="SIG618" s="17">
        <v>44925</v>
      </c>
      <c r="SIH618" s="5" t="s">
        <v>3728</v>
      </c>
      <c r="SII618" s="17">
        <v>44925</v>
      </c>
      <c r="SIJ618" s="5" t="s">
        <v>3728</v>
      </c>
      <c r="SIK618" s="17">
        <v>44925</v>
      </c>
      <c r="SIL618" s="5" t="s">
        <v>3728</v>
      </c>
      <c r="SIM618" s="17">
        <v>44925</v>
      </c>
      <c r="SIN618" s="5" t="s">
        <v>3728</v>
      </c>
      <c r="SIO618" s="17">
        <v>44925</v>
      </c>
      <c r="SIP618" s="5" t="s">
        <v>3728</v>
      </c>
      <c r="SIQ618" s="17">
        <v>44925</v>
      </c>
      <c r="SIR618" s="5" t="s">
        <v>3728</v>
      </c>
      <c r="SIS618" s="17">
        <v>44925</v>
      </c>
      <c r="SIT618" s="5" t="s">
        <v>3728</v>
      </c>
      <c r="SIU618" s="17">
        <v>44925</v>
      </c>
      <c r="SIV618" s="5" t="s">
        <v>3728</v>
      </c>
      <c r="SIW618" s="17">
        <v>44925</v>
      </c>
      <c r="SIX618" s="5" t="s">
        <v>3728</v>
      </c>
      <c r="SIY618" s="17">
        <v>44925</v>
      </c>
      <c r="SIZ618" s="5" t="s">
        <v>3728</v>
      </c>
      <c r="SJA618" s="17">
        <v>44925</v>
      </c>
      <c r="SJB618" s="5" t="s">
        <v>3728</v>
      </c>
      <c r="SJC618" s="17">
        <v>44925</v>
      </c>
      <c r="SJD618" s="5" t="s">
        <v>3728</v>
      </c>
      <c r="SJE618" s="17">
        <v>44925</v>
      </c>
      <c r="SJF618" s="5" t="s">
        <v>3728</v>
      </c>
      <c r="SJG618" s="17">
        <v>44925</v>
      </c>
      <c r="SJH618" s="5" t="s">
        <v>3728</v>
      </c>
      <c r="SJI618" s="17">
        <v>44925</v>
      </c>
      <c r="SJJ618" s="5" t="s">
        <v>3728</v>
      </c>
      <c r="SJK618" s="17">
        <v>44925</v>
      </c>
      <c r="SJL618" s="5" t="s">
        <v>3728</v>
      </c>
      <c r="SJM618" s="17">
        <v>44925</v>
      </c>
      <c r="SJN618" s="5" t="s">
        <v>3728</v>
      </c>
      <c r="SJO618" s="17">
        <v>44925</v>
      </c>
      <c r="SJP618" s="5" t="s">
        <v>3728</v>
      </c>
      <c r="SJQ618" s="17">
        <v>44925</v>
      </c>
      <c r="SJR618" s="5" t="s">
        <v>3728</v>
      </c>
      <c r="SJS618" s="17">
        <v>44925</v>
      </c>
      <c r="SJT618" s="5" t="s">
        <v>3728</v>
      </c>
      <c r="SJU618" s="17">
        <v>44925</v>
      </c>
      <c r="SJV618" s="5" t="s">
        <v>3728</v>
      </c>
      <c r="SJW618" s="17">
        <v>44925</v>
      </c>
      <c r="SJX618" s="5" t="s">
        <v>3728</v>
      </c>
      <c r="SJY618" s="17">
        <v>44925</v>
      </c>
      <c r="SJZ618" s="5" t="s">
        <v>3728</v>
      </c>
      <c r="SKA618" s="17">
        <v>44925</v>
      </c>
      <c r="SKB618" s="5" t="s">
        <v>3728</v>
      </c>
      <c r="SKC618" s="17">
        <v>44925</v>
      </c>
      <c r="SKD618" s="5" t="s">
        <v>3728</v>
      </c>
      <c r="SKE618" s="17">
        <v>44925</v>
      </c>
      <c r="SKF618" s="5" t="s">
        <v>3728</v>
      </c>
      <c r="SKG618" s="17">
        <v>44925</v>
      </c>
      <c r="SKH618" s="5" t="s">
        <v>3728</v>
      </c>
      <c r="SKI618" s="17">
        <v>44925</v>
      </c>
      <c r="SKJ618" s="5" t="s">
        <v>3728</v>
      </c>
      <c r="SKK618" s="17">
        <v>44925</v>
      </c>
      <c r="SKL618" s="5" t="s">
        <v>3728</v>
      </c>
      <c r="SKM618" s="17">
        <v>44925</v>
      </c>
      <c r="SKN618" s="5" t="s">
        <v>3728</v>
      </c>
      <c r="SKO618" s="17">
        <v>44925</v>
      </c>
      <c r="SKP618" s="5" t="s">
        <v>3728</v>
      </c>
      <c r="SKQ618" s="17">
        <v>44925</v>
      </c>
      <c r="SKR618" s="5" t="s">
        <v>3728</v>
      </c>
      <c r="SKS618" s="17">
        <v>44925</v>
      </c>
      <c r="SKT618" s="5" t="s">
        <v>3728</v>
      </c>
      <c r="SKU618" s="17">
        <v>44925</v>
      </c>
      <c r="SKV618" s="5" t="s">
        <v>3728</v>
      </c>
      <c r="SKW618" s="17">
        <v>44925</v>
      </c>
      <c r="SKX618" s="5" t="s">
        <v>3728</v>
      </c>
      <c r="SKY618" s="17">
        <v>44925</v>
      </c>
      <c r="SKZ618" s="5" t="s">
        <v>3728</v>
      </c>
      <c r="SLA618" s="17">
        <v>44925</v>
      </c>
      <c r="SLB618" s="5" t="s">
        <v>3728</v>
      </c>
      <c r="SLC618" s="17">
        <v>44925</v>
      </c>
      <c r="SLD618" s="5" t="s">
        <v>3728</v>
      </c>
      <c r="SLE618" s="17">
        <v>44925</v>
      </c>
      <c r="SLF618" s="5" t="s">
        <v>3728</v>
      </c>
      <c r="SLG618" s="17">
        <v>44925</v>
      </c>
      <c r="SLH618" s="5" t="s">
        <v>3728</v>
      </c>
      <c r="SLI618" s="17">
        <v>44925</v>
      </c>
      <c r="SLJ618" s="5" t="s">
        <v>3728</v>
      </c>
      <c r="SLK618" s="17">
        <v>44925</v>
      </c>
      <c r="SLL618" s="5" t="s">
        <v>3728</v>
      </c>
      <c r="SLM618" s="17">
        <v>44925</v>
      </c>
      <c r="SLN618" s="5" t="s">
        <v>3728</v>
      </c>
      <c r="SLO618" s="17">
        <v>44925</v>
      </c>
      <c r="SLP618" s="5" t="s">
        <v>3728</v>
      </c>
      <c r="SLQ618" s="17">
        <v>44925</v>
      </c>
      <c r="SLR618" s="5" t="s">
        <v>3728</v>
      </c>
      <c r="SLS618" s="17">
        <v>44925</v>
      </c>
      <c r="SLT618" s="5" t="s">
        <v>3728</v>
      </c>
      <c r="SLU618" s="17">
        <v>44925</v>
      </c>
      <c r="SLV618" s="5" t="s">
        <v>3728</v>
      </c>
      <c r="SLW618" s="17">
        <v>44925</v>
      </c>
      <c r="SLX618" s="5" t="s">
        <v>3728</v>
      </c>
      <c r="SLY618" s="17">
        <v>44925</v>
      </c>
      <c r="SLZ618" s="5" t="s">
        <v>3728</v>
      </c>
      <c r="SMA618" s="17">
        <v>44925</v>
      </c>
      <c r="SMB618" s="5" t="s">
        <v>3728</v>
      </c>
      <c r="SMC618" s="17">
        <v>44925</v>
      </c>
      <c r="SMD618" s="5" t="s">
        <v>3728</v>
      </c>
      <c r="SME618" s="17">
        <v>44925</v>
      </c>
      <c r="SMF618" s="5" t="s">
        <v>3728</v>
      </c>
      <c r="SMG618" s="17">
        <v>44925</v>
      </c>
      <c r="SMH618" s="5" t="s">
        <v>3728</v>
      </c>
      <c r="SMI618" s="17">
        <v>44925</v>
      </c>
      <c r="SMJ618" s="5" t="s">
        <v>3728</v>
      </c>
      <c r="SMK618" s="17">
        <v>44925</v>
      </c>
      <c r="SML618" s="5" t="s">
        <v>3728</v>
      </c>
      <c r="SMM618" s="17">
        <v>44925</v>
      </c>
      <c r="SMN618" s="5" t="s">
        <v>3728</v>
      </c>
      <c r="SMO618" s="17">
        <v>44925</v>
      </c>
      <c r="SMP618" s="5" t="s">
        <v>3728</v>
      </c>
      <c r="SMQ618" s="17">
        <v>44925</v>
      </c>
      <c r="SMR618" s="5" t="s">
        <v>3728</v>
      </c>
      <c r="SMS618" s="17">
        <v>44925</v>
      </c>
      <c r="SMT618" s="5" t="s">
        <v>3728</v>
      </c>
      <c r="SMU618" s="17">
        <v>44925</v>
      </c>
      <c r="SMV618" s="5" t="s">
        <v>3728</v>
      </c>
      <c r="SMW618" s="17">
        <v>44925</v>
      </c>
      <c r="SMX618" s="5" t="s">
        <v>3728</v>
      </c>
      <c r="SMY618" s="17">
        <v>44925</v>
      </c>
      <c r="SMZ618" s="5" t="s">
        <v>3728</v>
      </c>
      <c r="SNA618" s="17">
        <v>44925</v>
      </c>
      <c r="SNB618" s="5" t="s">
        <v>3728</v>
      </c>
      <c r="SNC618" s="17">
        <v>44925</v>
      </c>
      <c r="SND618" s="5" t="s">
        <v>3728</v>
      </c>
      <c r="SNE618" s="17">
        <v>44925</v>
      </c>
      <c r="SNF618" s="5" t="s">
        <v>3728</v>
      </c>
      <c r="SNG618" s="17">
        <v>44925</v>
      </c>
      <c r="SNH618" s="5" t="s">
        <v>3728</v>
      </c>
      <c r="SNI618" s="17">
        <v>44925</v>
      </c>
      <c r="SNJ618" s="5" t="s">
        <v>3728</v>
      </c>
      <c r="SNK618" s="17">
        <v>44925</v>
      </c>
      <c r="SNL618" s="5" t="s">
        <v>3728</v>
      </c>
      <c r="SNM618" s="17">
        <v>44925</v>
      </c>
      <c r="SNN618" s="5" t="s">
        <v>3728</v>
      </c>
      <c r="SNO618" s="17">
        <v>44925</v>
      </c>
      <c r="SNP618" s="5" t="s">
        <v>3728</v>
      </c>
      <c r="SNQ618" s="17">
        <v>44925</v>
      </c>
      <c r="SNR618" s="5" t="s">
        <v>3728</v>
      </c>
      <c r="SNS618" s="17">
        <v>44925</v>
      </c>
      <c r="SNT618" s="5" t="s">
        <v>3728</v>
      </c>
      <c r="SNU618" s="17">
        <v>44925</v>
      </c>
      <c r="SNV618" s="5" t="s">
        <v>3728</v>
      </c>
      <c r="SNW618" s="17">
        <v>44925</v>
      </c>
      <c r="SNX618" s="5" t="s">
        <v>3728</v>
      </c>
      <c r="SNY618" s="17">
        <v>44925</v>
      </c>
      <c r="SNZ618" s="5" t="s">
        <v>3728</v>
      </c>
      <c r="SOA618" s="17">
        <v>44925</v>
      </c>
      <c r="SOB618" s="5" t="s">
        <v>3728</v>
      </c>
      <c r="SOC618" s="17">
        <v>44925</v>
      </c>
      <c r="SOD618" s="5" t="s">
        <v>3728</v>
      </c>
      <c r="SOE618" s="17">
        <v>44925</v>
      </c>
      <c r="SOF618" s="5" t="s">
        <v>3728</v>
      </c>
      <c r="SOG618" s="17">
        <v>44925</v>
      </c>
      <c r="SOH618" s="5" t="s">
        <v>3728</v>
      </c>
      <c r="SOI618" s="17">
        <v>44925</v>
      </c>
      <c r="SOJ618" s="5" t="s">
        <v>3728</v>
      </c>
      <c r="SOK618" s="17">
        <v>44925</v>
      </c>
      <c r="SOL618" s="5" t="s">
        <v>3728</v>
      </c>
      <c r="SOM618" s="17">
        <v>44925</v>
      </c>
      <c r="SON618" s="5" t="s">
        <v>3728</v>
      </c>
      <c r="SOO618" s="17">
        <v>44925</v>
      </c>
      <c r="SOP618" s="5" t="s">
        <v>3728</v>
      </c>
      <c r="SOQ618" s="17">
        <v>44925</v>
      </c>
      <c r="SOR618" s="5" t="s">
        <v>3728</v>
      </c>
      <c r="SOS618" s="17">
        <v>44925</v>
      </c>
      <c r="SOT618" s="5" t="s">
        <v>3728</v>
      </c>
      <c r="SOU618" s="17">
        <v>44925</v>
      </c>
      <c r="SOV618" s="5" t="s">
        <v>3728</v>
      </c>
      <c r="SOW618" s="17">
        <v>44925</v>
      </c>
      <c r="SOX618" s="5" t="s">
        <v>3728</v>
      </c>
      <c r="SOY618" s="17">
        <v>44925</v>
      </c>
      <c r="SOZ618" s="5" t="s">
        <v>3728</v>
      </c>
      <c r="SPA618" s="17">
        <v>44925</v>
      </c>
      <c r="SPB618" s="5" t="s">
        <v>3728</v>
      </c>
      <c r="SPC618" s="17">
        <v>44925</v>
      </c>
      <c r="SPD618" s="5" t="s">
        <v>3728</v>
      </c>
      <c r="SPE618" s="17">
        <v>44925</v>
      </c>
      <c r="SPF618" s="5" t="s">
        <v>3728</v>
      </c>
      <c r="SPG618" s="17">
        <v>44925</v>
      </c>
      <c r="SPH618" s="5" t="s">
        <v>3728</v>
      </c>
      <c r="SPI618" s="17">
        <v>44925</v>
      </c>
      <c r="SPJ618" s="5" t="s">
        <v>3728</v>
      </c>
      <c r="SPK618" s="17">
        <v>44925</v>
      </c>
      <c r="SPL618" s="5" t="s">
        <v>3728</v>
      </c>
      <c r="SPM618" s="17">
        <v>44925</v>
      </c>
      <c r="SPN618" s="5" t="s">
        <v>3728</v>
      </c>
      <c r="SPO618" s="17">
        <v>44925</v>
      </c>
      <c r="SPP618" s="5" t="s">
        <v>3728</v>
      </c>
      <c r="SPQ618" s="17">
        <v>44925</v>
      </c>
      <c r="SPR618" s="5" t="s">
        <v>3728</v>
      </c>
      <c r="SPS618" s="17">
        <v>44925</v>
      </c>
      <c r="SPT618" s="5" t="s">
        <v>3728</v>
      </c>
      <c r="SPU618" s="17">
        <v>44925</v>
      </c>
      <c r="SPV618" s="5" t="s">
        <v>3728</v>
      </c>
      <c r="SPW618" s="17">
        <v>44925</v>
      </c>
      <c r="SPX618" s="5" t="s">
        <v>3728</v>
      </c>
      <c r="SPY618" s="17">
        <v>44925</v>
      </c>
      <c r="SPZ618" s="5" t="s">
        <v>3728</v>
      </c>
      <c r="SQA618" s="17">
        <v>44925</v>
      </c>
      <c r="SQB618" s="5" t="s">
        <v>3728</v>
      </c>
      <c r="SQC618" s="17">
        <v>44925</v>
      </c>
      <c r="SQD618" s="5" t="s">
        <v>3728</v>
      </c>
      <c r="SQE618" s="17">
        <v>44925</v>
      </c>
      <c r="SQF618" s="5" t="s">
        <v>3728</v>
      </c>
      <c r="SQG618" s="17">
        <v>44925</v>
      </c>
      <c r="SQH618" s="5" t="s">
        <v>3728</v>
      </c>
      <c r="SQI618" s="17">
        <v>44925</v>
      </c>
      <c r="SQJ618" s="5" t="s">
        <v>3728</v>
      </c>
      <c r="SQK618" s="17">
        <v>44925</v>
      </c>
      <c r="SQL618" s="5" t="s">
        <v>3728</v>
      </c>
      <c r="SQM618" s="17">
        <v>44925</v>
      </c>
      <c r="SQN618" s="5" t="s">
        <v>3728</v>
      </c>
      <c r="SQO618" s="17">
        <v>44925</v>
      </c>
      <c r="SQP618" s="5" t="s">
        <v>3728</v>
      </c>
      <c r="SQQ618" s="17">
        <v>44925</v>
      </c>
      <c r="SQR618" s="5" t="s">
        <v>3728</v>
      </c>
      <c r="SQS618" s="17">
        <v>44925</v>
      </c>
      <c r="SQT618" s="5" t="s">
        <v>3728</v>
      </c>
      <c r="SQU618" s="17">
        <v>44925</v>
      </c>
      <c r="SQV618" s="5" t="s">
        <v>3728</v>
      </c>
      <c r="SQW618" s="17">
        <v>44925</v>
      </c>
      <c r="SQX618" s="5" t="s">
        <v>3728</v>
      </c>
      <c r="SQY618" s="17">
        <v>44925</v>
      </c>
      <c r="SQZ618" s="5" t="s">
        <v>3728</v>
      </c>
      <c r="SRA618" s="17">
        <v>44925</v>
      </c>
      <c r="SRB618" s="5" t="s">
        <v>3728</v>
      </c>
      <c r="SRC618" s="17">
        <v>44925</v>
      </c>
      <c r="SRD618" s="5" t="s">
        <v>3728</v>
      </c>
      <c r="SRE618" s="17">
        <v>44925</v>
      </c>
      <c r="SRF618" s="5" t="s">
        <v>3728</v>
      </c>
      <c r="SRG618" s="17">
        <v>44925</v>
      </c>
      <c r="SRH618" s="5" t="s">
        <v>3728</v>
      </c>
      <c r="SRI618" s="17">
        <v>44925</v>
      </c>
      <c r="SRJ618" s="5" t="s">
        <v>3728</v>
      </c>
      <c r="SRK618" s="17">
        <v>44925</v>
      </c>
      <c r="SRL618" s="5" t="s">
        <v>3728</v>
      </c>
      <c r="SRM618" s="17">
        <v>44925</v>
      </c>
      <c r="SRN618" s="5" t="s">
        <v>3728</v>
      </c>
      <c r="SRO618" s="17">
        <v>44925</v>
      </c>
      <c r="SRP618" s="5" t="s">
        <v>3728</v>
      </c>
      <c r="SRQ618" s="17">
        <v>44925</v>
      </c>
      <c r="SRR618" s="5" t="s">
        <v>3728</v>
      </c>
      <c r="SRS618" s="17">
        <v>44925</v>
      </c>
      <c r="SRT618" s="5" t="s">
        <v>3728</v>
      </c>
      <c r="SRU618" s="17">
        <v>44925</v>
      </c>
      <c r="SRV618" s="5" t="s">
        <v>3728</v>
      </c>
      <c r="SRW618" s="17">
        <v>44925</v>
      </c>
      <c r="SRX618" s="5" t="s">
        <v>3728</v>
      </c>
      <c r="SRY618" s="17">
        <v>44925</v>
      </c>
      <c r="SRZ618" s="5" t="s">
        <v>3728</v>
      </c>
      <c r="SSA618" s="17">
        <v>44925</v>
      </c>
      <c r="SSB618" s="5" t="s">
        <v>3728</v>
      </c>
      <c r="SSC618" s="17">
        <v>44925</v>
      </c>
      <c r="SSD618" s="5" t="s">
        <v>3728</v>
      </c>
      <c r="SSE618" s="17">
        <v>44925</v>
      </c>
      <c r="SSF618" s="5" t="s">
        <v>3728</v>
      </c>
      <c r="SSG618" s="17">
        <v>44925</v>
      </c>
      <c r="SSH618" s="5" t="s">
        <v>3728</v>
      </c>
      <c r="SSI618" s="17">
        <v>44925</v>
      </c>
      <c r="SSJ618" s="5" t="s">
        <v>3728</v>
      </c>
      <c r="SSK618" s="17">
        <v>44925</v>
      </c>
      <c r="SSL618" s="5" t="s">
        <v>3728</v>
      </c>
      <c r="SSM618" s="17">
        <v>44925</v>
      </c>
      <c r="SSN618" s="5" t="s">
        <v>3728</v>
      </c>
      <c r="SSO618" s="17">
        <v>44925</v>
      </c>
      <c r="SSP618" s="5" t="s">
        <v>3728</v>
      </c>
      <c r="SSQ618" s="17">
        <v>44925</v>
      </c>
      <c r="SSR618" s="5" t="s">
        <v>3728</v>
      </c>
      <c r="SSS618" s="17">
        <v>44925</v>
      </c>
      <c r="SST618" s="5" t="s">
        <v>3728</v>
      </c>
      <c r="SSU618" s="17">
        <v>44925</v>
      </c>
      <c r="SSV618" s="5" t="s">
        <v>3728</v>
      </c>
      <c r="SSW618" s="17">
        <v>44925</v>
      </c>
      <c r="SSX618" s="5" t="s">
        <v>3728</v>
      </c>
      <c r="SSY618" s="17">
        <v>44925</v>
      </c>
      <c r="SSZ618" s="5" t="s">
        <v>3728</v>
      </c>
      <c r="STA618" s="17">
        <v>44925</v>
      </c>
      <c r="STB618" s="5" t="s">
        <v>3728</v>
      </c>
      <c r="STC618" s="17">
        <v>44925</v>
      </c>
      <c r="STD618" s="5" t="s">
        <v>3728</v>
      </c>
      <c r="STE618" s="17">
        <v>44925</v>
      </c>
      <c r="STF618" s="5" t="s">
        <v>3728</v>
      </c>
      <c r="STG618" s="17">
        <v>44925</v>
      </c>
      <c r="STH618" s="5" t="s">
        <v>3728</v>
      </c>
      <c r="STI618" s="17">
        <v>44925</v>
      </c>
      <c r="STJ618" s="5" t="s">
        <v>3728</v>
      </c>
      <c r="STK618" s="17">
        <v>44925</v>
      </c>
      <c r="STL618" s="5" t="s">
        <v>3728</v>
      </c>
      <c r="STM618" s="17">
        <v>44925</v>
      </c>
      <c r="STN618" s="5" t="s">
        <v>3728</v>
      </c>
      <c r="STO618" s="17">
        <v>44925</v>
      </c>
      <c r="STP618" s="5" t="s">
        <v>3728</v>
      </c>
      <c r="STQ618" s="17">
        <v>44925</v>
      </c>
      <c r="STR618" s="5" t="s">
        <v>3728</v>
      </c>
      <c r="STS618" s="17">
        <v>44925</v>
      </c>
      <c r="STT618" s="5" t="s">
        <v>3728</v>
      </c>
      <c r="STU618" s="17">
        <v>44925</v>
      </c>
      <c r="STV618" s="5" t="s">
        <v>3728</v>
      </c>
      <c r="STW618" s="17">
        <v>44925</v>
      </c>
      <c r="STX618" s="5" t="s">
        <v>3728</v>
      </c>
      <c r="STY618" s="17">
        <v>44925</v>
      </c>
      <c r="STZ618" s="5" t="s">
        <v>3728</v>
      </c>
      <c r="SUA618" s="17">
        <v>44925</v>
      </c>
      <c r="SUB618" s="5" t="s">
        <v>3728</v>
      </c>
      <c r="SUC618" s="17">
        <v>44925</v>
      </c>
      <c r="SUD618" s="5" t="s">
        <v>3728</v>
      </c>
      <c r="SUE618" s="17">
        <v>44925</v>
      </c>
      <c r="SUF618" s="5" t="s">
        <v>3728</v>
      </c>
      <c r="SUG618" s="17">
        <v>44925</v>
      </c>
      <c r="SUH618" s="5" t="s">
        <v>3728</v>
      </c>
      <c r="SUI618" s="17">
        <v>44925</v>
      </c>
      <c r="SUJ618" s="5" t="s">
        <v>3728</v>
      </c>
      <c r="SUK618" s="17">
        <v>44925</v>
      </c>
      <c r="SUL618" s="5" t="s">
        <v>3728</v>
      </c>
      <c r="SUM618" s="17">
        <v>44925</v>
      </c>
      <c r="SUN618" s="5" t="s">
        <v>3728</v>
      </c>
      <c r="SUO618" s="17">
        <v>44925</v>
      </c>
      <c r="SUP618" s="5" t="s">
        <v>3728</v>
      </c>
      <c r="SUQ618" s="17">
        <v>44925</v>
      </c>
      <c r="SUR618" s="5" t="s">
        <v>3728</v>
      </c>
      <c r="SUS618" s="17">
        <v>44925</v>
      </c>
      <c r="SUT618" s="5" t="s">
        <v>3728</v>
      </c>
      <c r="SUU618" s="17">
        <v>44925</v>
      </c>
      <c r="SUV618" s="5" t="s">
        <v>3728</v>
      </c>
      <c r="SUW618" s="17">
        <v>44925</v>
      </c>
      <c r="SUX618" s="5" t="s">
        <v>3728</v>
      </c>
      <c r="SUY618" s="17">
        <v>44925</v>
      </c>
      <c r="SUZ618" s="5" t="s">
        <v>3728</v>
      </c>
      <c r="SVA618" s="17">
        <v>44925</v>
      </c>
      <c r="SVB618" s="5" t="s">
        <v>3728</v>
      </c>
      <c r="SVC618" s="17">
        <v>44925</v>
      </c>
      <c r="SVD618" s="5" t="s">
        <v>3728</v>
      </c>
      <c r="SVE618" s="17">
        <v>44925</v>
      </c>
      <c r="SVF618" s="5" t="s">
        <v>3728</v>
      </c>
      <c r="SVG618" s="17">
        <v>44925</v>
      </c>
      <c r="SVH618" s="5" t="s">
        <v>3728</v>
      </c>
      <c r="SVI618" s="17">
        <v>44925</v>
      </c>
      <c r="SVJ618" s="5" t="s">
        <v>3728</v>
      </c>
      <c r="SVK618" s="17">
        <v>44925</v>
      </c>
      <c r="SVL618" s="5" t="s">
        <v>3728</v>
      </c>
      <c r="SVM618" s="17">
        <v>44925</v>
      </c>
      <c r="SVN618" s="5" t="s">
        <v>3728</v>
      </c>
      <c r="SVO618" s="17">
        <v>44925</v>
      </c>
      <c r="SVP618" s="5" t="s">
        <v>3728</v>
      </c>
      <c r="SVQ618" s="17">
        <v>44925</v>
      </c>
      <c r="SVR618" s="5" t="s">
        <v>3728</v>
      </c>
      <c r="SVS618" s="17">
        <v>44925</v>
      </c>
      <c r="SVT618" s="5" t="s">
        <v>3728</v>
      </c>
      <c r="SVU618" s="17">
        <v>44925</v>
      </c>
      <c r="SVV618" s="5" t="s">
        <v>3728</v>
      </c>
      <c r="SVW618" s="17">
        <v>44925</v>
      </c>
      <c r="SVX618" s="5" t="s">
        <v>3728</v>
      </c>
      <c r="SVY618" s="17">
        <v>44925</v>
      </c>
      <c r="SVZ618" s="5" t="s">
        <v>3728</v>
      </c>
      <c r="SWA618" s="17">
        <v>44925</v>
      </c>
      <c r="SWB618" s="5" t="s">
        <v>3728</v>
      </c>
      <c r="SWC618" s="17">
        <v>44925</v>
      </c>
      <c r="SWD618" s="5" t="s">
        <v>3728</v>
      </c>
      <c r="SWE618" s="17">
        <v>44925</v>
      </c>
      <c r="SWF618" s="5" t="s">
        <v>3728</v>
      </c>
      <c r="SWG618" s="17">
        <v>44925</v>
      </c>
      <c r="SWH618" s="5" t="s">
        <v>3728</v>
      </c>
      <c r="SWI618" s="17">
        <v>44925</v>
      </c>
      <c r="SWJ618" s="5" t="s">
        <v>3728</v>
      </c>
      <c r="SWK618" s="17">
        <v>44925</v>
      </c>
      <c r="SWL618" s="5" t="s">
        <v>3728</v>
      </c>
      <c r="SWM618" s="17">
        <v>44925</v>
      </c>
      <c r="SWN618" s="5" t="s">
        <v>3728</v>
      </c>
      <c r="SWO618" s="17">
        <v>44925</v>
      </c>
      <c r="SWP618" s="5" t="s">
        <v>3728</v>
      </c>
      <c r="SWQ618" s="17">
        <v>44925</v>
      </c>
      <c r="SWR618" s="5" t="s">
        <v>3728</v>
      </c>
      <c r="SWS618" s="17">
        <v>44925</v>
      </c>
      <c r="SWT618" s="5" t="s">
        <v>3728</v>
      </c>
      <c r="SWU618" s="17">
        <v>44925</v>
      </c>
      <c r="SWV618" s="5" t="s">
        <v>3728</v>
      </c>
      <c r="SWW618" s="17">
        <v>44925</v>
      </c>
      <c r="SWX618" s="5" t="s">
        <v>3728</v>
      </c>
      <c r="SWY618" s="17">
        <v>44925</v>
      </c>
      <c r="SWZ618" s="5" t="s">
        <v>3728</v>
      </c>
      <c r="SXA618" s="17">
        <v>44925</v>
      </c>
      <c r="SXB618" s="5" t="s">
        <v>3728</v>
      </c>
      <c r="SXC618" s="17">
        <v>44925</v>
      </c>
      <c r="SXD618" s="5" t="s">
        <v>3728</v>
      </c>
      <c r="SXE618" s="17">
        <v>44925</v>
      </c>
      <c r="SXF618" s="5" t="s">
        <v>3728</v>
      </c>
      <c r="SXG618" s="17">
        <v>44925</v>
      </c>
      <c r="SXH618" s="5" t="s">
        <v>3728</v>
      </c>
      <c r="SXI618" s="17">
        <v>44925</v>
      </c>
      <c r="SXJ618" s="5" t="s">
        <v>3728</v>
      </c>
      <c r="SXK618" s="17">
        <v>44925</v>
      </c>
      <c r="SXL618" s="5" t="s">
        <v>3728</v>
      </c>
      <c r="SXM618" s="17">
        <v>44925</v>
      </c>
      <c r="SXN618" s="5" t="s">
        <v>3728</v>
      </c>
      <c r="SXO618" s="17">
        <v>44925</v>
      </c>
      <c r="SXP618" s="5" t="s">
        <v>3728</v>
      </c>
      <c r="SXQ618" s="17">
        <v>44925</v>
      </c>
      <c r="SXR618" s="5" t="s">
        <v>3728</v>
      </c>
      <c r="SXS618" s="17">
        <v>44925</v>
      </c>
      <c r="SXT618" s="5" t="s">
        <v>3728</v>
      </c>
      <c r="SXU618" s="17">
        <v>44925</v>
      </c>
      <c r="SXV618" s="5" t="s">
        <v>3728</v>
      </c>
      <c r="SXW618" s="17">
        <v>44925</v>
      </c>
      <c r="SXX618" s="5" t="s">
        <v>3728</v>
      </c>
      <c r="SXY618" s="17">
        <v>44925</v>
      </c>
      <c r="SXZ618" s="5" t="s">
        <v>3728</v>
      </c>
      <c r="SYA618" s="17">
        <v>44925</v>
      </c>
      <c r="SYB618" s="5" t="s">
        <v>3728</v>
      </c>
      <c r="SYC618" s="17">
        <v>44925</v>
      </c>
      <c r="SYD618" s="5" t="s">
        <v>3728</v>
      </c>
      <c r="SYE618" s="17">
        <v>44925</v>
      </c>
      <c r="SYF618" s="5" t="s">
        <v>3728</v>
      </c>
      <c r="SYG618" s="17">
        <v>44925</v>
      </c>
      <c r="SYH618" s="5" t="s">
        <v>3728</v>
      </c>
      <c r="SYI618" s="17">
        <v>44925</v>
      </c>
      <c r="SYJ618" s="5" t="s">
        <v>3728</v>
      </c>
      <c r="SYK618" s="17">
        <v>44925</v>
      </c>
      <c r="SYL618" s="5" t="s">
        <v>3728</v>
      </c>
      <c r="SYM618" s="17">
        <v>44925</v>
      </c>
      <c r="SYN618" s="5" t="s">
        <v>3728</v>
      </c>
      <c r="SYO618" s="17">
        <v>44925</v>
      </c>
      <c r="SYP618" s="5" t="s">
        <v>3728</v>
      </c>
      <c r="SYQ618" s="17">
        <v>44925</v>
      </c>
      <c r="SYR618" s="5" t="s">
        <v>3728</v>
      </c>
      <c r="SYS618" s="17">
        <v>44925</v>
      </c>
      <c r="SYT618" s="5" t="s">
        <v>3728</v>
      </c>
      <c r="SYU618" s="17">
        <v>44925</v>
      </c>
      <c r="SYV618" s="5" t="s">
        <v>3728</v>
      </c>
      <c r="SYW618" s="17">
        <v>44925</v>
      </c>
      <c r="SYX618" s="5" t="s">
        <v>3728</v>
      </c>
      <c r="SYY618" s="17">
        <v>44925</v>
      </c>
      <c r="SYZ618" s="5" t="s">
        <v>3728</v>
      </c>
      <c r="SZA618" s="17">
        <v>44925</v>
      </c>
      <c r="SZB618" s="5" t="s">
        <v>3728</v>
      </c>
      <c r="SZC618" s="17">
        <v>44925</v>
      </c>
      <c r="SZD618" s="5" t="s">
        <v>3728</v>
      </c>
      <c r="SZE618" s="17">
        <v>44925</v>
      </c>
      <c r="SZF618" s="5" t="s">
        <v>3728</v>
      </c>
      <c r="SZG618" s="17">
        <v>44925</v>
      </c>
      <c r="SZH618" s="5" t="s">
        <v>3728</v>
      </c>
      <c r="SZI618" s="17">
        <v>44925</v>
      </c>
      <c r="SZJ618" s="5" t="s">
        <v>3728</v>
      </c>
      <c r="SZK618" s="17">
        <v>44925</v>
      </c>
      <c r="SZL618" s="5" t="s">
        <v>3728</v>
      </c>
      <c r="SZM618" s="17">
        <v>44925</v>
      </c>
      <c r="SZN618" s="5" t="s">
        <v>3728</v>
      </c>
      <c r="SZO618" s="17">
        <v>44925</v>
      </c>
      <c r="SZP618" s="5" t="s">
        <v>3728</v>
      </c>
      <c r="SZQ618" s="17">
        <v>44925</v>
      </c>
      <c r="SZR618" s="5" t="s">
        <v>3728</v>
      </c>
      <c r="SZS618" s="17">
        <v>44925</v>
      </c>
      <c r="SZT618" s="5" t="s">
        <v>3728</v>
      </c>
      <c r="SZU618" s="17">
        <v>44925</v>
      </c>
      <c r="SZV618" s="5" t="s">
        <v>3728</v>
      </c>
      <c r="SZW618" s="17">
        <v>44925</v>
      </c>
      <c r="SZX618" s="5" t="s">
        <v>3728</v>
      </c>
      <c r="SZY618" s="17">
        <v>44925</v>
      </c>
      <c r="SZZ618" s="5" t="s">
        <v>3728</v>
      </c>
      <c r="TAA618" s="17">
        <v>44925</v>
      </c>
      <c r="TAB618" s="5" t="s">
        <v>3728</v>
      </c>
      <c r="TAC618" s="17">
        <v>44925</v>
      </c>
      <c r="TAD618" s="5" t="s">
        <v>3728</v>
      </c>
      <c r="TAE618" s="17">
        <v>44925</v>
      </c>
      <c r="TAF618" s="5" t="s">
        <v>3728</v>
      </c>
      <c r="TAG618" s="17">
        <v>44925</v>
      </c>
      <c r="TAH618" s="5" t="s">
        <v>3728</v>
      </c>
      <c r="TAI618" s="17">
        <v>44925</v>
      </c>
      <c r="TAJ618" s="5" t="s">
        <v>3728</v>
      </c>
      <c r="TAK618" s="17">
        <v>44925</v>
      </c>
      <c r="TAL618" s="5" t="s">
        <v>3728</v>
      </c>
      <c r="TAM618" s="17">
        <v>44925</v>
      </c>
      <c r="TAN618" s="5" t="s">
        <v>3728</v>
      </c>
      <c r="TAO618" s="17">
        <v>44925</v>
      </c>
      <c r="TAP618" s="5" t="s">
        <v>3728</v>
      </c>
      <c r="TAQ618" s="17">
        <v>44925</v>
      </c>
      <c r="TAR618" s="5" t="s">
        <v>3728</v>
      </c>
      <c r="TAS618" s="17">
        <v>44925</v>
      </c>
      <c r="TAT618" s="5" t="s">
        <v>3728</v>
      </c>
      <c r="TAU618" s="17">
        <v>44925</v>
      </c>
      <c r="TAV618" s="5" t="s">
        <v>3728</v>
      </c>
      <c r="TAW618" s="17">
        <v>44925</v>
      </c>
      <c r="TAX618" s="5" t="s">
        <v>3728</v>
      </c>
      <c r="TAY618" s="17">
        <v>44925</v>
      </c>
      <c r="TAZ618" s="5" t="s">
        <v>3728</v>
      </c>
      <c r="TBA618" s="17">
        <v>44925</v>
      </c>
      <c r="TBB618" s="5" t="s">
        <v>3728</v>
      </c>
      <c r="TBC618" s="17">
        <v>44925</v>
      </c>
      <c r="TBD618" s="5" t="s">
        <v>3728</v>
      </c>
      <c r="TBE618" s="17">
        <v>44925</v>
      </c>
      <c r="TBF618" s="5" t="s">
        <v>3728</v>
      </c>
      <c r="TBG618" s="17">
        <v>44925</v>
      </c>
      <c r="TBH618" s="5" t="s">
        <v>3728</v>
      </c>
      <c r="TBI618" s="17">
        <v>44925</v>
      </c>
      <c r="TBJ618" s="5" t="s">
        <v>3728</v>
      </c>
      <c r="TBK618" s="17">
        <v>44925</v>
      </c>
      <c r="TBL618" s="5" t="s">
        <v>3728</v>
      </c>
      <c r="TBM618" s="17">
        <v>44925</v>
      </c>
      <c r="TBN618" s="5" t="s">
        <v>3728</v>
      </c>
      <c r="TBO618" s="17">
        <v>44925</v>
      </c>
      <c r="TBP618" s="5" t="s">
        <v>3728</v>
      </c>
      <c r="TBQ618" s="17">
        <v>44925</v>
      </c>
      <c r="TBR618" s="5" t="s">
        <v>3728</v>
      </c>
      <c r="TBS618" s="17">
        <v>44925</v>
      </c>
      <c r="TBT618" s="5" t="s">
        <v>3728</v>
      </c>
      <c r="TBU618" s="17">
        <v>44925</v>
      </c>
      <c r="TBV618" s="5" t="s">
        <v>3728</v>
      </c>
      <c r="TBW618" s="17">
        <v>44925</v>
      </c>
      <c r="TBX618" s="5" t="s">
        <v>3728</v>
      </c>
      <c r="TBY618" s="17">
        <v>44925</v>
      </c>
      <c r="TBZ618" s="5" t="s">
        <v>3728</v>
      </c>
      <c r="TCA618" s="17">
        <v>44925</v>
      </c>
      <c r="TCB618" s="5" t="s">
        <v>3728</v>
      </c>
      <c r="TCC618" s="17">
        <v>44925</v>
      </c>
      <c r="TCD618" s="5" t="s">
        <v>3728</v>
      </c>
      <c r="TCE618" s="17">
        <v>44925</v>
      </c>
      <c r="TCF618" s="5" t="s">
        <v>3728</v>
      </c>
      <c r="TCG618" s="17">
        <v>44925</v>
      </c>
      <c r="TCH618" s="5" t="s">
        <v>3728</v>
      </c>
      <c r="TCI618" s="17">
        <v>44925</v>
      </c>
      <c r="TCJ618" s="5" t="s">
        <v>3728</v>
      </c>
      <c r="TCK618" s="17">
        <v>44925</v>
      </c>
      <c r="TCL618" s="5" t="s">
        <v>3728</v>
      </c>
      <c r="TCM618" s="17">
        <v>44925</v>
      </c>
      <c r="TCN618" s="5" t="s">
        <v>3728</v>
      </c>
      <c r="TCO618" s="17">
        <v>44925</v>
      </c>
      <c r="TCP618" s="5" t="s">
        <v>3728</v>
      </c>
      <c r="TCQ618" s="17">
        <v>44925</v>
      </c>
      <c r="TCR618" s="5" t="s">
        <v>3728</v>
      </c>
      <c r="TCS618" s="17">
        <v>44925</v>
      </c>
      <c r="TCT618" s="5" t="s">
        <v>3728</v>
      </c>
      <c r="TCU618" s="17">
        <v>44925</v>
      </c>
      <c r="TCV618" s="5" t="s">
        <v>3728</v>
      </c>
      <c r="TCW618" s="17">
        <v>44925</v>
      </c>
      <c r="TCX618" s="5" t="s">
        <v>3728</v>
      </c>
      <c r="TCY618" s="17">
        <v>44925</v>
      </c>
      <c r="TCZ618" s="5" t="s">
        <v>3728</v>
      </c>
      <c r="TDA618" s="17">
        <v>44925</v>
      </c>
      <c r="TDB618" s="5" t="s">
        <v>3728</v>
      </c>
      <c r="TDC618" s="17">
        <v>44925</v>
      </c>
      <c r="TDD618" s="5" t="s">
        <v>3728</v>
      </c>
      <c r="TDE618" s="17">
        <v>44925</v>
      </c>
      <c r="TDF618" s="5" t="s">
        <v>3728</v>
      </c>
      <c r="TDG618" s="17">
        <v>44925</v>
      </c>
      <c r="TDH618" s="5" t="s">
        <v>3728</v>
      </c>
      <c r="TDI618" s="17">
        <v>44925</v>
      </c>
      <c r="TDJ618" s="5" t="s">
        <v>3728</v>
      </c>
      <c r="TDK618" s="17">
        <v>44925</v>
      </c>
      <c r="TDL618" s="5" t="s">
        <v>3728</v>
      </c>
      <c r="TDM618" s="17">
        <v>44925</v>
      </c>
      <c r="TDN618" s="5" t="s">
        <v>3728</v>
      </c>
      <c r="TDO618" s="17">
        <v>44925</v>
      </c>
      <c r="TDP618" s="5" t="s">
        <v>3728</v>
      </c>
      <c r="TDQ618" s="17">
        <v>44925</v>
      </c>
      <c r="TDR618" s="5" t="s">
        <v>3728</v>
      </c>
      <c r="TDS618" s="17">
        <v>44925</v>
      </c>
      <c r="TDT618" s="5" t="s">
        <v>3728</v>
      </c>
      <c r="TDU618" s="17">
        <v>44925</v>
      </c>
      <c r="TDV618" s="5" t="s">
        <v>3728</v>
      </c>
      <c r="TDW618" s="17">
        <v>44925</v>
      </c>
      <c r="TDX618" s="5" t="s">
        <v>3728</v>
      </c>
      <c r="TDY618" s="17">
        <v>44925</v>
      </c>
      <c r="TDZ618" s="5" t="s">
        <v>3728</v>
      </c>
      <c r="TEA618" s="17">
        <v>44925</v>
      </c>
      <c r="TEB618" s="5" t="s">
        <v>3728</v>
      </c>
      <c r="TEC618" s="17">
        <v>44925</v>
      </c>
      <c r="TED618" s="5" t="s">
        <v>3728</v>
      </c>
      <c r="TEE618" s="17">
        <v>44925</v>
      </c>
      <c r="TEF618" s="5" t="s">
        <v>3728</v>
      </c>
      <c r="TEG618" s="17">
        <v>44925</v>
      </c>
      <c r="TEH618" s="5" t="s">
        <v>3728</v>
      </c>
      <c r="TEI618" s="17">
        <v>44925</v>
      </c>
      <c r="TEJ618" s="5" t="s">
        <v>3728</v>
      </c>
      <c r="TEK618" s="17">
        <v>44925</v>
      </c>
      <c r="TEL618" s="5" t="s">
        <v>3728</v>
      </c>
      <c r="TEM618" s="17">
        <v>44925</v>
      </c>
      <c r="TEN618" s="5" t="s">
        <v>3728</v>
      </c>
      <c r="TEO618" s="17">
        <v>44925</v>
      </c>
      <c r="TEP618" s="5" t="s">
        <v>3728</v>
      </c>
      <c r="TEQ618" s="17">
        <v>44925</v>
      </c>
      <c r="TER618" s="5" t="s">
        <v>3728</v>
      </c>
      <c r="TES618" s="17">
        <v>44925</v>
      </c>
      <c r="TET618" s="5" t="s">
        <v>3728</v>
      </c>
      <c r="TEU618" s="17">
        <v>44925</v>
      </c>
      <c r="TEV618" s="5" t="s">
        <v>3728</v>
      </c>
      <c r="TEW618" s="17">
        <v>44925</v>
      </c>
      <c r="TEX618" s="5" t="s">
        <v>3728</v>
      </c>
      <c r="TEY618" s="17">
        <v>44925</v>
      </c>
      <c r="TEZ618" s="5" t="s">
        <v>3728</v>
      </c>
      <c r="TFA618" s="17">
        <v>44925</v>
      </c>
      <c r="TFB618" s="5" t="s">
        <v>3728</v>
      </c>
      <c r="TFC618" s="17">
        <v>44925</v>
      </c>
      <c r="TFD618" s="5" t="s">
        <v>3728</v>
      </c>
      <c r="TFE618" s="17">
        <v>44925</v>
      </c>
      <c r="TFF618" s="5" t="s">
        <v>3728</v>
      </c>
      <c r="TFG618" s="17">
        <v>44925</v>
      </c>
      <c r="TFH618" s="5" t="s">
        <v>3728</v>
      </c>
      <c r="TFI618" s="17">
        <v>44925</v>
      </c>
      <c r="TFJ618" s="5" t="s">
        <v>3728</v>
      </c>
      <c r="TFK618" s="17">
        <v>44925</v>
      </c>
      <c r="TFL618" s="5" t="s">
        <v>3728</v>
      </c>
      <c r="TFM618" s="17">
        <v>44925</v>
      </c>
      <c r="TFN618" s="5" t="s">
        <v>3728</v>
      </c>
      <c r="TFO618" s="17">
        <v>44925</v>
      </c>
      <c r="TFP618" s="5" t="s">
        <v>3728</v>
      </c>
      <c r="TFQ618" s="17">
        <v>44925</v>
      </c>
      <c r="TFR618" s="5" t="s">
        <v>3728</v>
      </c>
      <c r="TFS618" s="17">
        <v>44925</v>
      </c>
      <c r="TFT618" s="5" t="s">
        <v>3728</v>
      </c>
      <c r="TFU618" s="17">
        <v>44925</v>
      </c>
      <c r="TFV618" s="5" t="s">
        <v>3728</v>
      </c>
      <c r="TFW618" s="17">
        <v>44925</v>
      </c>
      <c r="TFX618" s="5" t="s">
        <v>3728</v>
      </c>
      <c r="TFY618" s="17">
        <v>44925</v>
      </c>
      <c r="TFZ618" s="5" t="s">
        <v>3728</v>
      </c>
      <c r="TGA618" s="17">
        <v>44925</v>
      </c>
      <c r="TGB618" s="5" t="s">
        <v>3728</v>
      </c>
      <c r="TGC618" s="17">
        <v>44925</v>
      </c>
      <c r="TGD618" s="5" t="s">
        <v>3728</v>
      </c>
      <c r="TGE618" s="17">
        <v>44925</v>
      </c>
      <c r="TGF618" s="5" t="s">
        <v>3728</v>
      </c>
      <c r="TGG618" s="17">
        <v>44925</v>
      </c>
      <c r="TGH618" s="5" t="s">
        <v>3728</v>
      </c>
      <c r="TGI618" s="17">
        <v>44925</v>
      </c>
      <c r="TGJ618" s="5" t="s">
        <v>3728</v>
      </c>
      <c r="TGK618" s="17">
        <v>44925</v>
      </c>
      <c r="TGL618" s="5" t="s">
        <v>3728</v>
      </c>
      <c r="TGM618" s="17">
        <v>44925</v>
      </c>
      <c r="TGN618" s="5" t="s">
        <v>3728</v>
      </c>
      <c r="TGO618" s="17">
        <v>44925</v>
      </c>
      <c r="TGP618" s="5" t="s">
        <v>3728</v>
      </c>
      <c r="TGQ618" s="17">
        <v>44925</v>
      </c>
      <c r="TGR618" s="5" t="s">
        <v>3728</v>
      </c>
      <c r="TGS618" s="17">
        <v>44925</v>
      </c>
      <c r="TGT618" s="5" t="s">
        <v>3728</v>
      </c>
      <c r="TGU618" s="17">
        <v>44925</v>
      </c>
      <c r="TGV618" s="5" t="s">
        <v>3728</v>
      </c>
      <c r="TGW618" s="17">
        <v>44925</v>
      </c>
      <c r="TGX618" s="5" t="s">
        <v>3728</v>
      </c>
      <c r="TGY618" s="17">
        <v>44925</v>
      </c>
      <c r="TGZ618" s="5" t="s">
        <v>3728</v>
      </c>
      <c r="THA618" s="17">
        <v>44925</v>
      </c>
      <c r="THB618" s="5" t="s">
        <v>3728</v>
      </c>
      <c r="THC618" s="17">
        <v>44925</v>
      </c>
      <c r="THD618" s="5" t="s">
        <v>3728</v>
      </c>
      <c r="THE618" s="17">
        <v>44925</v>
      </c>
      <c r="THF618" s="5" t="s">
        <v>3728</v>
      </c>
      <c r="THG618" s="17">
        <v>44925</v>
      </c>
      <c r="THH618" s="5" t="s">
        <v>3728</v>
      </c>
      <c r="THI618" s="17">
        <v>44925</v>
      </c>
      <c r="THJ618" s="5" t="s">
        <v>3728</v>
      </c>
      <c r="THK618" s="17">
        <v>44925</v>
      </c>
      <c r="THL618" s="5" t="s">
        <v>3728</v>
      </c>
      <c r="THM618" s="17">
        <v>44925</v>
      </c>
      <c r="THN618" s="5" t="s">
        <v>3728</v>
      </c>
      <c r="THO618" s="17">
        <v>44925</v>
      </c>
      <c r="THP618" s="5" t="s">
        <v>3728</v>
      </c>
      <c r="THQ618" s="17">
        <v>44925</v>
      </c>
      <c r="THR618" s="5" t="s">
        <v>3728</v>
      </c>
      <c r="THS618" s="17">
        <v>44925</v>
      </c>
      <c r="THT618" s="5" t="s">
        <v>3728</v>
      </c>
      <c r="THU618" s="17">
        <v>44925</v>
      </c>
      <c r="THV618" s="5" t="s">
        <v>3728</v>
      </c>
      <c r="THW618" s="17">
        <v>44925</v>
      </c>
      <c r="THX618" s="5" t="s">
        <v>3728</v>
      </c>
      <c r="THY618" s="17">
        <v>44925</v>
      </c>
      <c r="THZ618" s="5" t="s">
        <v>3728</v>
      </c>
      <c r="TIA618" s="17">
        <v>44925</v>
      </c>
      <c r="TIB618" s="5" t="s">
        <v>3728</v>
      </c>
      <c r="TIC618" s="17">
        <v>44925</v>
      </c>
      <c r="TID618" s="5" t="s">
        <v>3728</v>
      </c>
      <c r="TIE618" s="17">
        <v>44925</v>
      </c>
      <c r="TIF618" s="5" t="s">
        <v>3728</v>
      </c>
      <c r="TIG618" s="17">
        <v>44925</v>
      </c>
      <c r="TIH618" s="5" t="s">
        <v>3728</v>
      </c>
      <c r="TII618" s="17">
        <v>44925</v>
      </c>
      <c r="TIJ618" s="5" t="s">
        <v>3728</v>
      </c>
      <c r="TIK618" s="17">
        <v>44925</v>
      </c>
      <c r="TIL618" s="5" t="s">
        <v>3728</v>
      </c>
      <c r="TIM618" s="17">
        <v>44925</v>
      </c>
      <c r="TIN618" s="5" t="s">
        <v>3728</v>
      </c>
      <c r="TIO618" s="17">
        <v>44925</v>
      </c>
      <c r="TIP618" s="5" t="s">
        <v>3728</v>
      </c>
      <c r="TIQ618" s="17">
        <v>44925</v>
      </c>
      <c r="TIR618" s="5" t="s">
        <v>3728</v>
      </c>
      <c r="TIS618" s="17">
        <v>44925</v>
      </c>
      <c r="TIT618" s="5" t="s">
        <v>3728</v>
      </c>
      <c r="TIU618" s="17">
        <v>44925</v>
      </c>
      <c r="TIV618" s="5" t="s">
        <v>3728</v>
      </c>
      <c r="TIW618" s="17">
        <v>44925</v>
      </c>
      <c r="TIX618" s="5" t="s">
        <v>3728</v>
      </c>
      <c r="TIY618" s="17">
        <v>44925</v>
      </c>
      <c r="TIZ618" s="5" t="s">
        <v>3728</v>
      </c>
      <c r="TJA618" s="17">
        <v>44925</v>
      </c>
      <c r="TJB618" s="5" t="s">
        <v>3728</v>
      </c>
      <c r="TJC618" s="17">
        <v>44925</v>
      </c>
      <c r="TJD618" s="5" t="s">
        <v>3728</v>
      </c>
      <c r="TJE618" s="17">
        <v>44925</v>
      </c>
      <c r="TJF618" s="5" t="s">
        <v>3728</v>
      </c>
      <c r="TJG618" s="17">
        <v>44925</v>
      </c>
      <c r="TJH618" s="5" t="s">
        <v>3728</v>
      </c>
      <c r="TJI618" s="17">
        <v>44925</v>
      </c>
      <c r="TJJ618" s="5" t="s">
        <v>3728</v>
      </c>
      <c r="TJK618" s="17">
        <v>44925</v>
      </c>
      <c r="TJL618" s="5" t="s">
        <v>3728</v>
      </c>
      <c r="TJM618" s="17">
        <v>44925</v>
      </c>
      <c r="TJN618" s="5" t="s">
        <v>3728</v>
      </c>
      <c r="TJO618" s="17">
        <v>44925</v>
      </c>
      <c r="TJP618" s="5" t="s">
        <v>3728</v>
      </c>
      <c r="TJQ618" s="17">
        <v>44925</v>
      </c>
      <c r="TJR618" s="5" t="s">
        <v>3728</v>
      </c>
      <c r="TJS618" s="17">
        <v>44925</v>
      </c>
      <c r="TJT618" s="5" t="s">
        <v>3728</v>
      </c>
      <c r="TJU618" s="17">
        <v>44925</v>
      </c>
      <c r="TJV618" s="5" t="s">
        <v>3728</v>
      </c>
      <c r="TJW618" s="17">
        <v>44925</v>
      </c>
      <c r="TJX618" s="5" t="s">
        <v>3728</v>
      </c>
      <c r="TJY618" s="17">
        <v>44925</v>
      </c>
      <c r="TJZ618" s="5" t="s">
        <v>3728</v>
      </c>
      <c r="TKA618" s="17">
        <v>44925</v>
      </c>
      <c r="TKB618" s="5" t="s">
        <v>3728</v>
      </c>
      <c r="TKC618" s="17">
        <v>44925</v>
      </c>
      <c r="TKD618" s="5" t="s">
        <v>3728</v>
      </c>
      <c r="TKE618" s="17">
        <v>44925</v>
      </c>
      <c r="TKF618" s="5" t="s">
        <v>3728</v>
      </c>
      <c r="TKG618" s="17">
        <v>44925</v>
      </c>
      <c r="TKH618" s="5" t="s">
        <v>3728</v>
      </c>
      <c r="TKI618" s="17">
        <v>44925</v>
      </c>
      <c r="TKJ618" s="5" t="s">
        <v>3728</v>
      </c>
      <c r="TKK618" s="17">
        <v>44925</v>
      </c>
      <c r="TKL618" s="5" t="s">
        <v>3728</v>
      </c>
      <c r="TKM618" s="17">
        <v>44925</v>
      </c>
      <c r="TKN618" s="5" t="s">
        <v>3728</v>
      </c>
      <c r="TKO618" s="17">
        <v>44925</v>
      </c>
      <c r="TKP618" s="5" t="s">
        <v>3728</v>
      </c>
      <c r="TKQ618" s="17">
        <v>44925</v>
      </c>
      <c r="TKR618" s="5" t="s">
        <v>3728</v>
      </c>
      <c r="TKS618" s="17">
        <v>44925</v>
      </c>
      <c r="TKT618" s="5" t="s">
        <v>3728</v>
      </c>
      <c r="TKU618" s="17">
        <v>44925</v>
      </c>
      <c r="TKV618" s="5" t="s">
        <v>3728</v>
      </c>
      <c r="TKW618" s="17">
        <v>44925</v>
      </c>
      <c r="TKX618" s="5" t="s">
        <v>3728</v>
      </c>
      <c r="TKY618" s="17">
        <v>44925</v>
      </c>
      <c r="TKZ618" s="5" t="s">
        <v>3728</v>
      </c>
      <c r="TLA618" s="17">
        <v>44925</v>
      </c>
      <c r="TLB618" s="5" t="s">
        <v>3728</v>
      </c>
      <c r="TLC618" s="17">
        <v>44925</v>
      </c>
      <c r="TLD618" s="5" t="s">
        <v>3728</v>
      </c>
      <c r="TLE618" s="17">
        <v>44925</v>
      </c>
      <c r="TLF618" s="5" t="s">
        <v>3728</v>
      </c>
      <c r="TLG618" s="17">
        <v>44925</v>
      </c>
      <c r="TLH618" s="5" t="s">
        <v>3728</v>
      </c>
      <c r="TLI618" s="17">
        <v>44925</v>
      </c>
      <c r="TLJ618" s="5" t="s">
        <v>3728</v>
      </c>
      <c r="TLK618" s="17">
        <v>44925</v>
      </c>
      <c r="TLL618" s="5" t="s">
        <v>3728</v>
      </c>
      <c r="TLM618" s="17">
        <v>44925</v>
      </c>
      <c r="TLN618" s="5" t="s">
        <v>3728</v>
      </c>
      <c r="TLO618" s="17">
        <v>44925</v>
      </c>
      <c r="TLP618" s="5" t="s">
        <v>3728</v>
      </c>
      <c r="TLQ618" s="17">
        <v>44925</v>
      </c>
      <c r="TLR618" s="5" t="s">
        <v>3728</v>
      </c>
      <c r="TLS618" s="17">
        <v>44925</v>
      </c>
      <c r="TLT618" s="5" t="s">
        <v>3728</v>
      </c>
      <c r="TLU618" s="17">
        <v>44925</v>
      </c>
      <c r="TLV618" s="5" t="s">
        <v>3728</v>
      </c>
      <c r="TLW618" s="17">
        <v>44925</v>
      </c>
      <c r="TLX618" s="5" t="s">
        <v>3728</v>
      </c>
      <c r="TLY618" s="17">
        <v>44925</v>
      </c>
      <c r="TLZ618" s="5" t="s">
        <v>3728</v>
      </c>
      <c r="TMA618" s="17">
        <v>44925</v>
      </c>
      <c r="TMB618" s="5" t="s">
        <v>3728</v>
      </c>
      <c r="TMC618" s="17">
        <v>44925</v>
      </c>
      <c r="TMD618" s="5" t="s">
        <v>3728</v>
      </c>
      <c r="TME618" s="17">
        <v>44925</v>
      </c>
      <c r="TMF618" s="5" t="s">
        <v>3728</v>
      </c>
      <c r="TMG618" s="17">
        <v>44925</v>
      </c>
      <c r="TMH618" s="5" t="s">
        <v>3728</v>
      </c>
      <c r="TMI618" s="17">
        <v>44925</v>
      </c>
      <c r="TMJ618" s="5" t="s">
        <v>3728</v>
      </c>
      <c r="TMK618" s="17">
        <v>44925</v>
      </c>
      <c r="TML618" s="5" t="s">
        <v>3728</v>
      </c>
      <c r="TMM618" s="17">
        <v>44925</v>
      </c>
      <c r="TMN618" s="5" t="s">
        <v>3728</v>
      </c>
      <c r="TMO618" s="17">
        <v>44925</v>
      </c>
      <c r="TMP618" s="5" t="s">
        <v>3728</v>
      </c>
      <c r="TMQ618" s="17">
        <v>44925</v>
      </c>
      <c r="TMR618" s="5" t="s">
        <v>3728</v>
      </c>
      <c r="TMS618" s="17">
        <v>44925</v>
      </c>
      <c r="TMT618" s="5" t="s">
        <v>3728</v>
      </c>
      <c r="TMU618" s="17">
        <v>44925</v>
      </c>
      <c r="TMV618" s="5" t="s">
        <v>3728</v>
      </c>
      <c r="TMW618" s="17">
        <v>44925</v>
      </c>
      <c r="TMX618" s="5" t="s">
        <v>3728</v>
      </c>
      <c r="TMY618" s="17">
        <v>44925</v>
      </c>
      <c r="TMZ618" s="5" t="s">
        <v>3728</v>
      </c>
      <c r="TNA618" s="17">
        <v>44925</v>
      </c>
      <c r="TNB618" s="5" t="s">
        <v>3728</v>
      </c>
      <c r="TNC618" s="17">
        <v>44925</v>
      </c>
      <c r="TND618" s="5" t="s">
        <v>3728</v>
      </c>
      <c r="TNE618" s="17">
        <v>44925</v>
      </c>
      <c r="TNF618" s="5" t="s">
        <v>3728</v>
      </c>
      <c r="TNG618" s="17">
        <v>44925</v>
      </c>
      <c r="TNH618" s="5" t="s">
        <v>3728</v>
      </c>
      <c r="TNI618" s="17">
        <v>44925</v>
      </c>
      <c r="TNJ618" s="5" t="s">
        <v>3728</v>
      </c>
      <c r="TNK618" s="17">
        <v>44925</v>
      </c>
      <c r="TNL618" s="5" t="s">
        <v>3728</v>
      </c>
      <c r="TNM618" s="17">
        <v>44925</v>
      </c>
      <c r="TNN618" s="5" t="s">
        <v>3728</v>
      </c>
      <c r="TNO618" s="17">
        <v>44925</v>
      </c>
      <c r="TNP618" s="5" t="s">
        <v>3728</v>
      </c>
      <c r="TNQ618" s="17">
        <v>44925</v>
      </c>
      <c r="TNR618" s="5" t="s">
        <v>3728</v>
      </c>
      <c r="TNS618" s="17">
        <v>44925</v>
      </c>
      <c r="TNT618" s="5" t="s">
        <v>3728</v>
      </c>
      <c r="TNU618" s="17">
        <v>44925</v>
      </c>
      <c r="TNV618" s="5" t="s">
        <v>3728</v>
      </c>
      <c r="TNW618" s="17">
        <v>44925</v>
      </c>
      <c r="TNX618" s="5" t="s">
        <v>3728</v>
      </c>
      <c r="TNY618" s="17">
        <v>44925</v>
      </c>
      <c r="TNZ618" s="5" t="s">
        <v>3728</v>
      </c>
      <c r="TOA618" s="17">
        <v>44925</v>
      </c>
      <c r="TOB618" s="5" t="s">
        <v>3728</v>
      </c>
      <c r="TOC618" s="17">
        <v>44925</v>
      </c>
      <c r="TOD618" s="5" t="s">
        <v>3728</v>
      </c>
      <c r="TOE618" s="17">
        <v>44925</v>
      </c>
      <c r="TOF618" s="5" t="s">
        <v>3728</v>
      </c>
      <c r="TOG618" s="17">
        <v>44925</v>
      </c>
      <c r="TOH618" s="5" t="s">
        <v>3728</v>
      </c>
      <c r="TOI618" s="17">
        <v>44925</v>
      </c>
      <c r="TOJ618" s="5" t="s">
        <v>3728</v>
      </c>
      <c r="TOK618" s="17">
        <v>44925</v>
      </c>
      <c r="TOL618" s="5" t="s">
        <v>3728</v>
      </c>
      <c r="TOM618" s="17">
        <v>44925</v>
      </c>
      <c r="TON618" s="5" t="s">
        <v>3728</v>
      </c>
      <c r="TOO618" s="17">
        <v>44925</v>
      </c>
      <c r="TOP618" s="5" t="s">
        <v>3728</v>
      </c>
      <c r="TOQ618" s="17">
        <v>44925</v>
      </c>
      <c r="TOR618" s="5" t="s">
        <v>3728</v>
      </c>
      <c r="TOS618" s="17">
        <v>44925</v>
      </c>
      <c r="TOT618" s="5" t="s">
        <v>3728</v>
      </c>
      <c r="TOU618" s="17">
        <v>44925</v>
      </c>
      <c r="TOV618" s="5" t="s">
        <v>3728</v>
      </c>
      <c r="TOW618" s="17">
        <v>44925</v>
      </c>
      <c r="TOX618" s="5" t="s">
        <v>3728</v>
      </c>
      <c r="TOY618" s="17">
        <v>44925</v>
      </c>
      <c r="TOZ618" s="5" t="s">
        <v>3728</v>
      </c>
      <c r="TPA618" s="17">
        <v>44925</v>
      </c>
      <c r="TPB618" s="5" t="s">
        <v>3728</v>
      </c>
      <c r="TPC618" s="17">
        <v>44925</v>
      </c>
      <c r="TPD618" s="5" t="s">
        <v>3728</v>
      </c>
      <c r="TPE618" s="17">
        <v>44925</v>
      </c>
      <c r="TPF618" s="5" t="s">
        <v>3728</v>
      </c>
      <c r="TPG618" s="17">
        <v>44925</v>
      </c>
      <c r="TPH618" s="5" t="s">
        <v>3728</v>
      </c>
      <c r="TPI618" s="17">
        <v>44925</v>
      </c>
      <c r="TPJ618" s="5" t="s">
        <v>3728</v>
      </c>
      <c r="TPK618" s="17">
        <v>44925</v>
      </c>
      <c r="TPL618" s="5" t="s">
        <v>3728</v>
      </c>
      <c r="TPM618" s="17">
        <v>44925</v>
      </c>
      <c r="TPN618" s="5" t="s">
        <v>3728</v>
      </c>
      <c r="TPO618" s="17">
        <v>44925</v>
      </c>
      <c r="TPP618" s="5" t="s">
        <v>3728</v>
      </c>
      <c r="TPQ618" s="17">
        <v>44925</v>
      </c>
      <c r="TPR618" s="5" t="s">
        <v>3728</v>
      </c>
      <c r="TPS618" s="17">
        <v>44925</v>
      </c>
      <c r="TPT618" s="5" t="s">
        <v>3728</v>
      </c>
      <c r="TPU618" s="17">
        <v>44925</v>
      </c>
      <c r="TPV618" s="5" t="s">
        <v>3728</v>
      </c>
      <c r="TPW618" s="17">
        <v>44925</v>
      </c>
      <c r="TPX618" s="5" t="s">
        <v>3728</v>
      </c>
      <c r="TPY618" s="17">
        <v>44925</v>
      </c>
      <c r="TPZ618" s="5" t="s">
        <v>3728</v>
      </c>
      <c r="TQA618" s="17">
        <v>44925</v>
      </c>
      <c r="TQB618" s="5" t="s">
        <v>3728</v>
      </c>
      <c r="TQC618" s="17">
        <v>44925</v>
      </c>
      <c r="TQD618" s="5" t="s">
        <v>3728</v>
      </c>
      <c r="TQE618" s="17">
        <v>44925</v>
      </c>
      <c r="TQF618" s="5" t="s">
        <v>3728</v>
      </c>
      <c r="TQG618" s="17">
        <v>44925</v>
      </c>
      <c r="TQH618" s="5" t="s">
        <v>3728</v>
      </c>
      <c r="TQI618" s="17">
        <v>44925</v>
      </c>
      <c r="TQJ618" s="5" t="s">
        <v>3728</v>
      </c>
      <c r="TQK618" s="17">
        <v>44925</v>
      </c>
      <c r="TQL618" s="5" t="s">
        <v>3728</v>
      </c>
      <c r="TQM618" s="17">
        <v>44925</v>
      </c>
      <c r="TQN618" s="5" t="s">
        <v>3728</v>
      </c>
      <c r="TQO618" s="17">
        <v>44925</v>
      </c>
      <c r="TQP618" s="5" t="s">
        <v>3728</v>
      </c>
      <c r="TQQ618" s="17">
        <v>44925</v>
      </c>
      <c r="TQR618" s="5" t="s">
        <v>3728</v>
      </c>
      <c r="TQS618" s="17">
        <v>44925</v>
      </c>
      <c r="TQT618" s="5" t="s">
        <v>3728</v>
      </c>
      <c r="TQU618" s="17">
        <v>44925</v>
      </c>
      <c r="TQV618" s="5" t="s">
        <v>3728</v>
      </c>
      <c r="TQW618" s="17">
        <v>44925</v>
      </c>
      <c r="TQX618" s="5" t="s">
        <v>3728</v>
      </c>
      <c r="TQY618" s="17">
        <v>44925</v>
      </c>
      <c r="TQZ618" s="5" t="s">
        <v>3728</v>
      </c>
      <c r="TRA618" s="17">
        <v>44925</v>
      </c>
      <c r="TRB618" s="5" t="s">
        <v>3728</v>
      </c>
      <c r="TRC618" s="17">
        <v>44925</v>
      </c>
      <c r="TRD618" s="5" t="s">
        <v>3728</v>
      </c>
      <c r="TRE618" s="17">
        <v>44925</v>
      </c>
      <c r="TRF618" s="5" t="s">
        <v>3728</v>
      </c>
      <c r="TRG618" s="17">
        <v>44925</v>
      </c>
      <c r="TRH618" s="5" t="s">
        <v>3728</v>
      </c>
      <c r="TRI618" s="17">
        <v>44925</v>
      </c>
      <c r="TRJ618" s="5" t="s">
        <v>3728</v>
      </c>
      <c r="TRK618" s="17">
        <v>44925</v>
      </c>
      <c r="TRL618" s="5" t="s">
        <v>3728</v>
      </c>
      <c r="TRM618" s="17">
        <v>44925</v>
      </c>
      <c r="TRN618" s="5" t="s">
        <v>3728</v>
      </c>
      <c r="TRO618" s="17">
        <v>44925</v>
      </c>
      <c r="TRP618" s="5" t="s">
        <v>3728</v>
      </c>
      <c r="TRQ618" s="17">
        <v>44925</v>
      </c>
      <c r="TRR618" s="5" t="s">
        <v>3728</v>
      </c>
      <c r="TRS618" s="17">
        <v>44925</v>
      </c>
      <c r="TRT618" s="5" t="s">
        <v>3728</v>
      </c>
      <c r="TRU618" s="17">
        <v>44925</v>
      </c>
      <c r="TRV618" s="5" t="s">
        <v>3728</v>
      </c>
      <c r="TRW618" s="17">
        <v>44925</v>
      </c>
      <c r="TRX618" s="5" t="s">
        <v>3728</v>
      </c>
      <c r="TRY618" s="17">
        <v>44925</v>
      </c>
      <c r="TRZ618" s="5" t="s">
        <v>3728</v>
      </c>
      <c r="TSA618" s="17">
        <v>44925</v>
      </c>
      <c r="TSB618" s="5" t="s">
        <v>3728</v>
      </c>
      <c r="TSC618" s="17">
        <v>44925</v>
      </c>
      <c r="TSD618" s="5" t="s">
        <v>3728</v>
      </c>
      <c r="TSE618" s="17">
        <v>44925</v>
      </c>
      <c r="TSF618" s="5" t="s">
        <v>3728</v>
      </c>
      <c r="TSG618" s="17">
        <v>44925</v>
      </c>
      <c r="TSH618" s="5" t="s">
        <v>3728</v>
      </c>
      <c r="TSI618" s="17">
        <v>44925</v>
      </c>
      <c r="TSJ618" s="5" t="s">
        <v>3728</v>
      </c>
      <c r="TSK618" s="17">
        <v>44925</v>
      </c>
      <c r="TSL618" s="5" t="s">
        <v>3728</v>
      </c>
      <c r="TSM618" s="17">
        <v>44925</v>
      </c>
      <c r="TSN618" s="5" t="s">
        <v>3728</v>
      </c>
      <c r="TSO618" s="17">
        <v>44925</v>
      </c>
      <c r="TSP618" s="5" t="s">
        <v>3728</v>
      </c>
      <c r="TSQ618" s="17">
        <v>44925</v>
      </c>
      <c r="TSR618" s="5" t="s">
        <v>3728</v>
      </c>
      <c r="TSS618" s="17">
        <v>44925</v>
      </c>
      <c r="TST618" s="5" t="s">
        <v>3728</v>
      </c>
      <c r="TSU618" s="17">
        <v>44925</v>
      </c>
      <c r="TSV618" s="5" t="s">
        <v>3728</v>
      </c>
      <c r="TSW618" s="17">
        <v>44925</v>
      </c>
      <c r="TSX618" s="5" t="s">
        <v>3728</v>
      </c>
      <c r="TSY618" s="17">
        <v>44925</v>
      </c>
      <c r="TSZ618" s="5" t="s">
        <v>3728</v>
      </c>
      <c r="TTA618" s="17">
        <v>44925</v>
      </c>
      <c r="TTB618" s="5" t="s">
        <v>3728</v>
      </c>
      <c r="TTC618" s="17">
        <v>44925</v>
      </c>
      <c r="TTD618" s="5" t="s">
        <v>3728</v>
      </c>
      <c r="TTE618" s="17">
        <v>44925</v>
      </c>
      <c r="TTF618" s="5" t="s">
        <v>3728</v>
      </c>
      <c r="TTG618" s="17">
        <v>44925</v>
      </c>
      <c r="TTH618" s="5" t="s">
        <v>3728</v>
      </c>
      <c r="TTI618" s="17">
        <v>44925</v>
      </c>
      <c r="TTJ618" s="5" t="s">
        <v>3728</v>
      </c>
      <c r="TTK618" s="17">
        <v>44925</v>
      </c>
      <c r="TTL618" s="5" t="s">
        <v>3728</v>
      </c>
      <c r="TTM618" s="17">
        <v>44925</v>
      </c>
      <c r="TTN618" s="5" t="s">
        <v>3728</v>
      </c>
      <c r="TTO618" s="17">
        <v>44925</v>
      </c>
      <c r="TTP618" s="5" t="s">
        <v>3728</v>
      </c>
      <c r="TTQ618" s="17">
        <v>44925</v>
      </c>
      <c r="TTR618" s="5" t="s">
        <v>3728</v>
      </c>
      <c r="TTS618" s="17">
        <v>44925</v>
      </c>
      <c r="TTT618" s="5" t="s">
        <v>3728</v>
      </c>
      <c r="TTU618" s="17">
        <v>44925</v>
      </c>
      <c r="TTV618" s="5" t="s">
        <v>3728</v>
      </c>
      <c r="TTW618" s="17">
        <v>44925</v>
      </c>
      <c r="TTX618" s="5" t="s">
        <v>3728</v>
      </c>
      <c r="TTY618" s="17">
        <v>44925</v>
      </c>
      <c r="TTZ618" s="5" t="s">
        <v>3728</v>
      </c>
      <c r="TUA618" s="17">
        <v>44925</v>
      </c>
      <c r="TUB618" s="5" t="s">
        <v>3728</v>
      </c>
      <c r="TUC618" s="17">
        <v>44925</v>
      </c>
      <c r="TUD618" s="5" t="s">
        <v>3728</v>
      </c>
      <c r="TUE618" s="17">
        <v>44925</v>
      </c>
      <c r="TUF618" s="5" t="s">
        <v>3728</v>
      </c>
      <c r="TUG618" s="17">
        <v>44925</v>
      </c>
      <c r="TUH618" s="5" t="s">
        <v>3728</v>
      </c>
      <c r="TUI618" s="17">
        <v>44925</v>
      </c>
      <c r="TUJ618" s="5" t="s">
        <v>3728</v>
      </c>
      <c r="TUK618" s="17">
        <v>44925</v>
      </c>
      <c r="TUL618" s="5" t="s">
        <v>3728</v>
      </c>
      <c r="TUM618" s="17">
        <v>44925</v>
      </c>
      <c r="TUN618" s="5" t="s">
        <v>3728</v>
      </c>
      <c r="TUO618" s="17">
        <v>44925</v>
      </c>
      <c r="TUP618" s="5" t="s">
        <v>3728</v>
      </c>
      <c r="TUQ618" s="17">
        <v>44925</v>
      </c>
      <c r="TUR618" s="5" t="s">
        <v>3728</v>
      </c>
      <c r="TUS618" s="17">
        <v>44925</v>
      </c>
      <c r="TUT618" s="5" t="s">
        <v>3728</v>
      </c>
      <c r="TUU618" s="17">
        <v>44925</v>
      </c>
      <c r="TUV618" s="5" t="s">
        <v>3728</v>
      </c>
      <c r="TUW618" s="17">
        <v>44925</v>
      </c>
      <c r="TUX618" s="5" t="s">
        <v>3728</v>
      </c>
      <c r="TUY618" s="17">
        <v>44925</v>
      </c>
      <c r="TUZ618" s="5" t="s">
        <v>3728</v>
      </c>
      <c r="TVA618" s="17">
        <v>44925</v>
      </c>
      <c r="TVB618" s="5" t="s">
        <v>3728</v>
      </c>
      <c r="TVC618" s="17">
        <v>44925</v>
      </c>
      <c r="TVD618" s="5" t="s">
        <v>3728</v>
      </c>
      <c r="TVE618" s="17">
        <v>44925</v>
      </c>
      <c r="TVF618" s="5" t="s">
        <v>3728</v>
      </c>
      <c r="TVG618" s="17">
        <v>44925</v>
      </c>
      <c r="TVH618" s="5" t="s">
        <v>3728</v>
      </c>
      <c r="TVI618" s="17">
        <v>44925</v>
      </c>
      <c r="TVJ618" s="5" t="s">
        <v>3728</v>
      </c>
      <c r="TVK618" s="17">
        <v>44925</v>
      </c>
      <c r="TVL618" s="5" t="s">
        <v>3728</v>
      </c>
      <c r="TVM618" s="17">
        <v>44925</v>
      </c>
      <c r="TVN618" s="5" t="s">
        <v>3728</v>
      </c>
      <c r="TVO618" s="17">
        <v>44925</v>
      </c>
      <c r="TVP618" s="5" t="s">
        <v>3728</v>
      </c>
      <c r="TVQ618" s="17">
        <v>44925</v>
      </c>
      <c r="TVR618" s="5" t="s">
        <v>3728</v>
      </c>
      <c r="TVS618" s="17">
        <v>44925</v>
      </c>
      <c r="TVT618" s="5" t="s">
        <v>3728</v>
      </c>
      <c r="TVU618" s="17">
        <v>44925</v>
      </c>
      <c r="TVV618" s="5" t="s">
        <v>3728</v>
      </c>
      <c r="TVW618" s="17">
        <v>44925</v>
      </c>
      <c r="TVX618" s="5" t="s">
        <v>3728</v>
      </c>
      <c r="TVY618" s="17">
        <v>44925</v>
      </c>
      <c r="TVZ618" s="5" t="s">
        <v>3728</v>
      </c>
      <c r="TWA618" s="17">
        <v>44925</v>
      </c>
      <c r="TWB618" s="5" t="s">
        <v>3728</v>
      </c>
      <c r="TWC618" s="17">
        <v>44925</v>
      </c>
      <c r="TWD618" s="5" t="s">
        <v>3728</v>
      </c>
      <c r="TWE618" s="17">
        <v>44925</v>
      </c>
      <c r="TWF618" s="5" t="s">
        <v>3728</v>
      </c>
      <c r="TWG618" s="17">
        <v>44925</v>
      </c>
      <c r="TWH618" s="5" t="s">
        <v>3728</v>
      </c>
      <c r="TWI618" s="17">
        <v>44925</v>
      </c>
      <c r="TWJ618" s="5" t="s">
        <v>3728</v>
      </c>
      <c r="TWK618" s="17">
        <v>44925</v>
      </c>
      <c r="TWL618" s="5" t="s">
        <v>3728</v>
      </c>
      <c r="TWM618" s="17">
        <v>44925</v>
      </c>
      <c r="TWN618" s="5" t="s">
        <v>3728</v>
      </c>
      <c r="TWO618" s="17">
        <v>44925</v>
      </c>
      <c r="TWP618" s="5" t="s">
        <v>3728</v>
      </c>
      <c r="TWQ618" s="17">
        <v>44925</v>
      </c>
      <c r="TWR618" s="5" t="s">
        <v>3728</v>
      </c>
      <c r="TWS618" s="17">
        <v>44925</v>
      </c>
      <c r="TWT618" s="5" t="s">
        <v>3728</v>
      </c>
      <c r="TWU618" s="17">
        <v>44925</v>
      </c>
      <c r="TWV618" s="5" t="s">
        <v>3728</v>
      </c>
      <c r="TWW618" s="17">
        <v>44925</v>
      </c>
      <c r="TWX618" s="5" t="s">
        <v>3728</v>
      </c>
      <c r="TWY618" s="17">
        <v>44925</v>
      </c>
      <c r="TWZ618" s="5" t="s">
        <v>3728</v>
      </c>
      <c r="TXA618" s="17">
        <v>44925</v>
      </c>
      <c r="TXB618" s="5" t="s">
        <v>3728</v>
      </c>
      <c r="TXC618" s="17">
        <v>44925</v>
      </c>
      <c r="TXD618" s="5" t="s">
        <v>3728</v>
      </c>
      <c r="TXE618" s="17">
        <v>44925</v>
      </c>
      <c r="TXF618" s="5" t="s">
        <v>3728</v>
      </c>
      <c r="TXG618" s="17">
        <v>44925</v>
      </c>
      <c r="TXH618" s="5" t="s">
        <v>3728</v>
      </c>
      <c r="TXI618" s="17">
        <v>44925</v>
      </c>
      <c r="TXJ618" s="5" t="s">
        <v>3728</v>
      </c>
      <c r="TXK618" s="17">
        <v>44925</v>
      </c>
      <c r="TXL618" s="5" t="s">
        <v>3728</v>
      </c>
      <c r="TXM618" s="17">
        <v>44925</v>
      </c>
      <c r="TXN618" s="5" t="s">
        <v>3728</v>
      </c>
      <c r="TXO618" s="17">
        <v>44925</v>
      </c>
      <c r="TXP618" s="5" t="s">
        <v>3728</v>
      </c>
      <c r="TXQ618" s="17">
        <v>44925</v>
      </c>
      <c r="TXR618" s="5" t="s">
        <v>3728</v>
      </c>
      <c r="TXS618" s="17">
        <v>44925</v>
      </c>
      <c r="TXT618" s="5" t="s">
        <v>3728</v>
      </c>
      <c r="TXU618" s="17">
        <v>44925</v>
      </c>
      <c r="TXV618" s="5" t="s">
        <v>3728</v>
      </c>
      <c r="TXW618" s="17">
        <v>44925</v>
      </c>
      <c r="TXX618" s="5" t="s">
        <v>3728</v>
      </c>
      <c r="TXY618" s="17">
        <v>44925</v>
      </c>
      <c r="TXZ618" s="5" t="s">
        <v>3728</v>
      </c>
      <c r="TYA618" s="17">
        <v>44925</v>
      </c>
      <c r="TYB618" s="5" t="s">
        <v>3728</v>
      </c>
      <c r="TYC618" s="17">
        <v>44925</v>
      </c>
      <c r="TYD618" s="5" t="s">
        <v>3728</v>
      </c>
      <c r="TYE618" s="17">
        <v>44925</v>
      </c>
      <c r="TYF618" s="5" t="s">
        <v>3728</v>
      </c>
      <c r="TYG618" s="17">
        <v>44925</v>
      </c>
      <c r="TYH618" s="5" t="s">
        <v>3728</v>
      </c>
      <c r="TYI618" s="17">
        <v>44925</v>
      </c>
      <c r="TYJ618" s="5" t="s">
        <v>3728</v>
      </c>
      <c r="TYK618" s="17">
        <v>44925</v>
      </c>
      <c r="TYL618" s="5" t="s">
        <v>3728</v>
      </c>
      <c r="TYM618" s="17">
        <v>44925</v>
      </c>
      <c r="TYN618" s="5" t="s">
        <v>3728</v>
      </c>
      <c r="TYO618" s="17">
        <v>44925</v>
      </c>
      <c r="TYP618" s="5" t="s">
        <v>3728</v>
      </c>
      <c r="TYQ618" s="17">
        <v>44925</v>
      </c>
      <c r="TYR618" s="5" t="s">
        <v>3728</v>
      </c>
      <c r="TYS618" s="17">
        <v>44925</v>
      </c>
      <c r="TYT618" s="5" t="s">
        <v>3728</v>
      </c>
      <c r="TYU618" s="17">
        <v>44925</v>
      </c>
      <c r="TYV618" s="5" t="s">
        <v>3728</v>
      </c>
      <c r="TYW618" s="17">
        <v>44925</v>
      </c>
      <c r="TYX618" s="5" t="s">
        <v>3728</v>
      </c>
      <c r="TYY618" s="17">
        <v>44925</v>
      </c>
      <c r="TYZ618" s="5" t="s">
        <v>3728</v>
      </c>
      <c r="TZA618" s="17">
        <v>44925</v>
      </c>
      <c r="TZB618" s="5" t="s">
        <v>3728</v>
      </c>
      <c r="TZC618" s="17">
        <v>44925</v>
      </c>
      <c r="TZD618" s="5" t="s">
        <v>3728</v>
      </c>
      <c r="TZE618" s="17">
        <v>44925</v>
      </c>
      <c r="TZF618" s="5" t="s">
        <v>3728</v>
      </c>
      <c r="TZG618" s="17">
        <v>44925</v>
      </c>
      <c r="TZH618" s="5" t="s">
        <v>3728</v>
      </c>
      <c r="TZI618" s="17">
        <v>44925</v>
      </c>
      <c r="TZJ618" s="5" t="s">
        <v>3728</v>
      </c>
      <c r="TZK618" s="17">
        <v>44925</v>
      </c>
      <c r="TZL618" s="5" t="s">
        <v>3728</v>
      </c>
      <c r="TZM618" s="17">
        <v>44925</v>
      </c>
      <c r="TZN618" s="5" t="s">
        <v>3728</v>
      </c>
      <c r="TZO618" s="17">
        <v>44925</v>
      </c>
      <c r="TZP618" s="5" t="s">
        <v>3728</v>
      </c>
      <c r="TZQ618" s="17">
        <v>44925</v>
      </c>
      <c r="TZR618" s="5" t="s">
        <v>3728</v>
      </c>
      <c r="TZS618" s="17">
        <v>44925</v>
      </c>
      <c r="TZT618" s="5" t="s">
        <v>3728</v>
      </c>
      <c r="TZU618" s="17">
        <v>44925</v>
      </c>
      <c r="TZV618" s="5" t="s">
        <v>3728</v>
      </c>
      <c r="TZW618" s="17">
        <v>44925</v>
      </c>
      <c r="TZX618" s="5" t="s">
        <v>3728</v>
      </c>
      <c r="TZY618" s="17">
        <v>44925</v>
      </c>
      <c r="TZZ618" s="5" t="s">
        <v>3728</v>
      </c>
      <c r="UAA618" s="17">
        <v>44925</v>
      </c>
      <c r="UAB618" s="5" t="s">
        <v>3728</v>
      </c>
      <c r="UAC618" s="17">
        <v>44925</v>
      </c>
      <c r="UAD618" s="5" t="s">
        <v>3728</v>
      </c>
      <c r="UAE618" s="17">
        <v>44925</v>
      </c>
      <c r="UAF618" s="5" t="s">
        <v>3728</v>
      </c>
      <c r="UAG618" s="17">
        <v>44925</v>
      </c>
      <c r="UAH618" s="5" t="s">
        <v>3728</v>
      </c>
      <c r="UAI618" s="17">
        <v>44925</v>
      </c>
      <c r="UAJ618" s="5" t="s">
        <v>3728</v>
      </c>
      <c r="UAK618" s="17">
        <v>44925</v>
      </c>
      <c r="UAL618" s="5" t="s">
        <v>3728</v>
      </c>
      <c r="UAM618" s="17">
        <v>44925</v>
      </c>
      <c r="UAN618" s="5" t="s">
        <v>3728</v>
      </c>
      <c r="UAO618" s="17">
        <v>44925</v>
      </c>
      <c r="UAP618" s="5" t="s">
        <v>3728</v>
      </c>
      <c r="UAQ618" s="17">
        <v>44925</v>
      </c>
      <c r="UAR618" s="5" t="s">
        <v>3728</v>
      </c>
      <c r="UAS618" s="17">
        <v>44925</v>
      </c>
      <c r="UAT618" s="5" t="s">
        <v>3728</v>
      </c>
      <c r="UAU618" s="17">
        <v>44925</v>
      </c>
      <c r="UAV618" s="5" t="s">
        <v>3728</v>
      </c>
      <c r="UAW618" s="17">
        <v>44925</v>
      </c>
      <c r="UAX618" s="5" t="s">
        <v>3728</v>
      </c>
      <c r="UAY618" s="17">
        <v>44925</v>
      </c>
      <c r="UAZ618" s="5" t="s">
        <v>3728</v>
      </c>
      <c r="UBA618" s="17">
        <v>44925</v>
      </c>
      <c r="UBB618" s="5" t="s">
        <v>3728</v>
      </c>
      <c r="UBC618" s="17">
        <v>44925</v>
      </c>
      <c r="UBD618" s="5" t="s">
        <v>3728</v>
      </c>
      <c r="UBE618" s="17">
        <v>44925</v>
      </c>
      <c r="UBF618" s="5" t="s">
        <v>3728</v>
      </c>
      <c r="UBG618" s="17">
        <v>44925</v>
      </c>
      <c r="UBH618" s="5" t="s">
        <v>3728</v>
      </c>
      <c r="UBI618" s="17">
        <v>44925</v>
      </c>
      <c r="UBJ618" s="5" t="s">
        <v>3728</v>
      </c>
      <c r="UBK618" s="17">
        <v>44925</v>
      </c>
      <c r="UBL618" s="5" t="s">
        <v>3728</v>
      </c>
      <c r="UBM618" s="17">
        <v>44925</v>
      </c>
      <c r="UBN618" s="5" t="s">
        <v>3728</v>
      </c>
      <c r="UBO618" s="17">
        <v>44925</v>
      </c>
      <c r="UBP618" s="5" t="s">
        <v>3728</v>
      </c>
      <c r="UBQ618" s="17">
        <v>44925</v>
      </c>
      <c r="UBR618" s="5" t="s">
        <v>3728</v>
      </c>
      <c r="UBS618" s="17">
        <v>44925</v>
      </c>
      <c r="UBT618" s="5" t="s">
        <v>3728</v>
      </c>
      <c r="UBU618" s="17">
        <v>44925</v>
      </c>
      <c r="UBV618" s="5" t="s">
        <v>3728</v>
      </c>
      <c r="UBW618" s="17">
        <v>44925</v>
      </c>
      <c r="UBX618" s="5" t="s">
        <v>3728</v>
      </c>
      <c r="UBY618" s="17">
        <v>44925</v>
      </c>
      <c r="UBZ618" s="5" t="s">
        <v>3728</v>
      </c>
      <c r="UCA618" s="17">
        <v>44925</v>
      </c>
      <c r="UCB618" s="5" t="s">
        <v>3728</v>
      </c>
      <c r="UCC618" s="17">
        <v>44925</v>
      </c>
      <c r="UCD618" s="5" t="s">
        <v>3728</v>
      </c>
      <c r="UCE618" s="17">
        <v>44925</v>
      </c>
      <c r="UCF618" s="5" t="s">
        <v>3728</v>
      </c>
      <c r="UCG618" s="17">
        <v>44925</v>
      </c>
      <c r="UCH618" s="5" t="s">
        <v>3728</v>
      </c>
      <c r="UCI618" s="17">
        <v>44925</v>
      </c>
      <c r="UCJ618" s="5" t="s">
        <v>3728</v>
      </c>
      <c r="UCK618" s="17">
        <v>44925</v>
      </c>
      <c r="UCL618" s="5" t="s">
        <v>3728</v>
      </c>
      <c r="UCM618" s="17">
        <v>44925</v>
      </c>
      <c r="UCN618" s="5" t="s">
        <v>3728</v>
      </c>
      <c r="UCO618" s="17">
        <v>44925</v>
      </c>
      <c r="UCP618" s="5" t="s">
        <v>3728</v>
      </c>
      <c r="UCQ618" s="17">
        <v>44925</v>
      </c>
      <c r="UCR618" s="5" t="s">
        <v>3728</v>
      </c>
      <c r="UCS618" s="17">
        <v>44925</v>
      </c>
      <c r="UCT618" s="5" t="s">
        <v>3728</v>
      </c>
      <c r="UCU618" s="17">
        <v>44925</v>
      </c>
      <c r="UCV618" s="5" t="s">
        <v>3728</v>
      </c>
      <c r="UCW618" s="17">
        <v>44925</v>
      </c>
      <c r="UCX618" s="5" t="s">
        <v>3728</v>
      </c>
      <c r="UCY618" s="17">
        <v>44925</v>
      </c>
      <c r="UCZ618" s="5" t="s">
        <v>3728</v>
      </c>
      <c r="UDA618" s="17">
        <v>44925</v>
      </c>
      <c r="UDB618" s="5" t="s">
        <v>3728</v>
      </c>
      <c r="UDC618" s="17">
        <v>44925</v>
      </c>
      <c r="UDD618" s="5" t="s">
        <v>3728</v>
      </c>
      <c r="UDE618" s="17">
        <v>44925</v>
      </c>
      <c r="UDF618" s="5" t="s">
        <v>3728</v>
      </c>
      <c r="UDG618" s="17">
        <v>44925</v>
      </c>
      <c r="UDH618" s="5" t="s">
        <v>3728</v>
      </c>
      <c r="UDI618" s="17">
        <v>44925</v>
      </c>
      <c r="UDJ618" s="5" t="s">
        <v>3728</v>
      </c>
      <c r="UDK618" s="17">
        <v>44925</v>
      </c>
      <c r="UDL618" s="5" t="s">
        <v>3728</v>
      </c>
      <c r="UDM618" s="17">
        <v>44925</v>
      </c>
      <c r="UDN618" s="5" t="s">
        <v>3728</v>
      </c>
      <c r="UDO618" s="17">
        <v>44925</v>
      </c>
      <c r="UDP618" s="5" t="s">
        <v>3728</v>
      </c>
      <c r="UDQ618" s="17">
        <v>44925</v>
      </c>
      <c r="UDR618" s="5" t="s">
        <v>3728</v>
      </c>
      <c r="UDS618" s="17">
        <v>44925</v>
      </c>
      <c r="UDT618" s="5" t="s">
        <v>3728</v>
      </c>
      <c r="UDU618" s="17">
        <v>44925</v>
      </c>
      <c r="UDV618" s="5" t="s">
        <v>3728</v>
      </c>
      <c r="UDW618" s="17">
        <v>44925</v>
      </c>
      <c r="UDX618" s="5" t="s">
        <v>3728</v>
      </c>
      <c r="UDY618" s="17">
        <v>44925</v>
      </c>
      <c r="UDZ618" s="5" t="s">
        <v>3728</v>
      </c>
      <c r="UEA618" s="17">
        <v>44925</v>
      </c>
      <c r="UEB618" s="5" t="s">
        <v>3728</v>
      </c>
      <c r="UEC618" s="17">
        <v>44925</v>
      </c>
      <c r="UED618" s="5" t="s">
        <v>3728</v>
      </c>
      <c r="UEE618" s="17">
        <v>44925</v>
      </c>
      <c r="UEF618" s="5" t="s">
        <v>3728</v>
      </c>
      <c r="UEG618" s="17">
        <v>44925</v>
      </c>
      <c r="UEH618" s="5" t="s">
        <v>3728</v>
      </c>
      <c r="UEI618" s="17">
        <v>44925</v>
      </c>
      <c r="UEJ618" s="5" t="s">
        <v>3728</v>
      </c>
      <c r="UEK618" s="17">
        <v>44925</v>
      </c>
      <c r="UEL618" s="5" t="s">
        <v>3728</v>
      </c>
      <c r="UEM618" s="17">
        <v>44925</v>
      </c>
      <c r="UEN618" s="5" t="s">
        <v>3728</v>
      </c>
      <c r="UEO618" s="17">
        <v>44925</v>
      </c>
      <c r="UEP618" s="5" t="s">
        <v>3728</v>
      </c>
      <c r="UEQ618" s="17">
        <v>44925</v>
      </c>
      <c r="UER618" s="5" t="s">
        <v>3728</v>
      </c>
      <c r="UES618" s="17">
        <v>44925</v>
      </c>
      <c r="UET618" s="5" t="s">
        <v>3728</v>
      </c>
      <c r="UEU618" s="17">
        <v>44925</v>
      </c>
      <c r="UEV618" s="5" t="s">
        <v>3728</v>
      </c>
      <c r="UEW618" s="17">
        <v>44925</v>
      </c>
      <c r="UEX618" s="5" t="s">
        <v>3728</v>
      </c>
      <c r="UEY618" s="17">
        <v>44925</v>
      </c>
      <c r="UEZ618" s="5" t="s">
        <v>3728</v>
      </c>
      <c r="UFA618" s="17">
        <v>44925</v>
      </c>
      <c r="UFB618" s="5" t="s">
        <v>3728</v>
      </c>
      <c r="UFC618" s="17">
        <v>44925</v>
      </c>
      <c r="UFD618" s="5" t="s">
        <v>3728</v>
      </c>
      <c r="UFE618" s="17">
        <v>44925</v>
      </c>
      <c r="UFF618" s="5" t="s">
        <v>3728</v>
      </c>
      <c r="UFG618" s="17">
        <v>44925</v>
      </c>
      <c r="UFH618" s="5" t="s">
        <v>3728</v>
      </c>
      <c r="UFI618" s="17">
        <v>44925</v>
      </c>
      <c r="UFJ618" s="5" t="s">
        <v>3728</v>
      </c>
      <c r="UFK618" s="17">
        <v>44925</v>
      </c>
      <c r="UFL618" s="5" t="s">
        <v>3728</v>
      </c>
      <c r="UFM618" s="17">
        <v>44925</v>
      </c>
      <c r="UFN618" s="5" t="s">
        <v>3728</v>
      </c>
      <c r="UFO618" s="17">
        <v>44925</v>
      </c>
      <c r="UFP618" s="5" t="s">
        <v>3728</v>
      </c>
      <c r="UFQ618" s="17">
        <v>44925</v>
      </c>
      <c r="UFR618" s="5" t="s">
        <v>3728</v>
      </c>
      <c r="UFS618" s="17">
        <v>44925</v>
      </c>
      <c r="UFT618" s="5" t="s">
        <v>3728</v>
      </c>
      <c r="UFU618" s="17">
        <v>44925</v>
      </c>
      <c r="UFV618" s="5" t="s">
        <v>3728</v>
      </c>
      <c r="UFW618" s="17">
        <v>44925</v>
      </c>
      <c r="UFX618" s="5" t="s">
        <v>3728</v>
      </c>
      <c r="UFY618" s="17">
        <v>44925</v>
      </c>
      <c r="UFZ618" s="5" t="s">
        <v>3728</v>
      </c>
      <c r="UGA618" s="17">
        <v>44925</v>
      </c>
      <c r="UGB618" s="5" t="s">
        <v>3728</v>
      </c>
      <c r="UGC618" s="17">
        <v>44925</v>
      </c>
      <c r="UGD618" s="5" t="s">
        <v>3728</v>
      </c>
      <c r="UGE618" s="17">
        <v>44925</v>
      </c>
      <c r="UGF618" s="5" t="s">
        <v>3728</v>
      </c>
      <c r="UGG618" s="17">
        <v>44925</v>
      </c>
      <c r="UGH618" s="5" t="s">
        <v>3728</v>
      </c>
      <c r="UGI618" s="17">
        <v>44925</v>
      </c>
      <c r="UGJ618" s="5" t="s">
        <v>3728</v>
      </c>
      <c r="UGK618" s="17">
        <v>44925</v>
      </c>
      <c r="UGL618" s="5" t="s">
        <v>3728</v>
      </c>
      <c r="UGM618" s="17">
        <v>44925</v>
      </c>
      <c r="UGN618" s="5" t="s">
        <v>3728</v>
      </c>
      <c r="UGO618" s="17">
        <v>44925</v>
      </c>
      <c r="UGP618" s="5" t="s">
        <v>3728</v>
      </c>
      <c r="UGQ618" s="17">
        <v>44925</v>
      </c>
      <c r="UGR618" s="5" t="s">
        <v>3728</v>
      </c>
      <c r="UGS618" s="17">
        <v>44925</v>
      </c>
      <c r="UGT618" s="5" t="s">
        <v>3728</v>
      </c>
      <c r="UGU618" s="17">
        <v>44925</v>
      </c>
      <c r="UGV618" s="5" t="s">
        <v>3728</v>
      </c>
      <c r="UGW618" s="17">
        <v>44925</v>
      </c>
      <c r="UGX618" s="5" t="s">
        <v>3728</v>
      </c>
      <c r="UGY618" s="17">
        <v>44925</v>
      </c>
      <c r="UGZ618" s="5" t="s">
        <v>3728</v>
      </c>
      <c r="UHA618" s="17">
        <v>44925</v>
      </c>
      <c r="UHB618" s="5" t="s">
        <v>3728</v>
      </c>
      <c r="UHC618" s="17">
        <v>44925</v>
      </c>
      <c r="UHD618" s="5" t="s">
        <v>3728</v>
      </c>
      <c r="UHE618" s="17">
        <v>44925</v>
      </c>
      <c r="UHF618" s="5" t="s">
        <v>3728</v>
      </c>
      <c r="UHG618" s="17">
        <v>44925</v>
      </c>
      <c r="UHH618" s="5" t="s">
        <v>3728</v>
      </c>
      <c r="UHI618" s="17">
        <v>44925</v>
      </c>
      <c r="UHJ618" s="5" t="s">
        <v>3728</v>
      </c>
      <c r="UHK618" s="17">
        <v>44925</v>
      </c>
      <c r="UHL618" s="5" t="s">
        <v>3728</v>
      </c>
      <c r="UHM618" s="17">
        <v>44925</v>
      </c>
      <c r="UHN618" s="5" t="s">
        <v>3728</v>
      </c>
      <c r="UHO618" s="17">
        <v>44925</v>
      </c>
      <c r="UHP618" s="5" t="s">
        <v>3728</v>
      </c>
      <c r="UHQ618" s="17">
        <v>44925</v>
      </c>
      <c r="UHR618" s="5" t="s">
        <v>3728</v>
      </c>
      <c r="UHS618" s="17">
        <v>44925</v>
      </c>
      <c r="UHT618" s="5" t="s">
        <v>3728</v>
      </c>
      <c r="UHU618" s="17">
        <v>44925</v>
      </c>
      <c r="UHV618" s="5" t="s">
        <v>3728</v>
      </c>
      <c r="UHW618" s="17">
        <v>44925</v>
      </c>
      <c r="UHX618" s="5" t="s">
        <v>3728</v>
      </c>
      <c r="UHY618" s="17">
        <v>44925</v>
      </c>
      <c r="UHZ618" s="5" t="s">
        <v>3728</v>
      </c>
      <c r="UIA618" s="17">
        <v>44925</v>
      </c>
      <c r="UIB618" s="5" t="s">
        <v>3728</v>
      </c>
      <c r="UIC618" s="17">
        <v>44925</v>
      </c>
      <c r="UID618" s="5" t="s">
        <v>3728</v>
      </c>
      <c r="UIE618" s="17">
        <v>44925</v>
      </c>
      <c r="UIF618" s="5" t="s">
        <v>3728</v>
      </c>
      <c r="UIG618" s="17">
        <v>44925</v>
      </c>
      <c r="UIH618" s="5" t="s">
        <v>3728</v>
      </c>
      <c r="UII618" s="17">
        <v>44925</v>
      </c>
      <c r="UIJ618" s="5" t="s">
        <v>3728</v>
      </c>
      <c r="UIK618" s="17">
        <v>44925</v>
      </c>
      <c r="UIL618" s="5" t="s">
        <v>3728</v>
      </c>
      <c r="UIM618" s="17">
        <v>44925</v>
      </c>
      <c r="UIN618" s="5" t="s">
        <v>3728</v>
      </c>
      <c r="UIO618" s="17">
        <v>44925</v>
      </c>
      <c r="UIP618" s="5" t="s">
        <v>3728</v>
      </c>
      <c r="UIQ618" s="17">
        <v>44925</v>
      </c>
      <c r="UIR618" s="5" t="s">
        <v>3728</v>
      </c>
      <c r="UIS618" s="17">
        <v>44925</v>
      </c>
      <c r="UIT618" s="5" t="s">
        <v>3728</v>
      </c>
      <c r="UIU618" s="17">
        <v>44925</v>
      </c>
      <c r="UIV618" s="5" t="s">
        <v>3728</v>
      </c>
      <c r="UIW618" s="17">
        <v>44925</v>
      </c>
      <c r="UIX618" s="5" t="s">
        <v>3728</v>
      </c>
      <c r="UIY618" s="17">
        <v>44925</v>
      </c>
      <c r="UIZ618" s="5" t="s">
        <v>3728</v>
      </c>
      <c r="UJA618" s="17">
        <v>44925</v>
      </c>
      <c r="UJB618" s="5" t="s">
        <v>3728</v>
      </c>
      <c r="UJC618" s="17">
        <v>44925</v>
      </c>
      <c r="UJD618" s="5" t="s">
        <v>3728</v>
      </c>
      <c r="UJE618" s="17">
        <v>44925</v>
      </c>
      <c r="UJF618" s="5" t="s">
        <v>3728</v>
      </c>
      <c r="UJG618" s="17">
        <v>44925</v>
      </c>
      <c r="UJH618" s="5" t="s">
        <v>3728</v>
      </c>
      <c r="UJI618" s="17">
        <v>44925</v>
      </c>
      <c r="UJJ618" s="5" t="s">
        <v>3728</v>
      </c>
      <c r="UJK618" s="17">
        <v>44925</v>
      </c>
      <c r="UJL618" s="5" t="s">
        <v>3728</v>
      </c>
      <c r="UJM618" s="17">
        <v>44925</v>
      </c>
      <c r="UJN618" s="5" t="s">
        <v>3728</v>
      </c>
      <c r="UJO618" s="17">
        <v>44925</v>
      </c>
      <c r="UJP618" s="5" t="s">
        <v>3728</v>
      </c>
      <c r="UJQ618" s="17">
        <v>44925</v>
      </c>
      <c r="UJR618" s="5" t="s">
        <v>3728</v>
      </c>
      <c r="UJS618" s="17">
        <v>44925</v>
      </c>
      <c r="UJT618" s="5" t="s">
        <v>3728</v>
      </c>
      <c r="UJU618" s="17">
        <v>44925</v>
      </c>
      <c r="UJV618" s="5" t="s">
        <v>3728</v>
      </c>
      <c r="UJW618" s="17">
        <v>44925</v>
      </c>
      <c r="UJX618" s="5" t="s">
        <v>3728</v>
      </c>
      <c r="UJY618" s="17">
        <v>44925</v>
      </c>
      <c r="UJZ618" s="5" t="s">
        <v>3728</v>
      </c>
      <c r="UKA618" s="17">
        <v>44925</v>
      </c>
      <c r="UKB618" s="5" t="s">
        <v>3728</v>
      </c>
      <c r="UKC618" s="17">
        <v>44925</v>
      </c>
      <c r="UKD618" s="5" t="s">
        <v>3728</v>
      </c>
      <c r="UKE618" s="17">
        <v>44925</v>
      </c>
      <c r="UKF618" s="5" t="s">
        <v>3728</v>
      </c>
      <c r="UKG618" s="17">
        <v>44925</v>
      </c>
      <c r="UKH618" s="5" t="s">
        <v>3728</v>
      </c>
      <c r="UKI618" s="17">
        <v>44925</v>
      </c>
      <c r="UKJ618" s="5" t="s">
        <v>3728</v>
      </c>
      <c r="UKK618" s="17">
        <v>44925</v>
      </c>
      <c r="UKL618" s="5" t="s">
        <v>3728</v>
      </c>
      <c r="UKM618" s="17">
        <v>44925</v>
      </c>
      <c r="UKN618" s="5" t="s">
        <v>3728</v>
      </c>
      <c r="UKO618" s="17">
        <v>44925</v>
      </c>
      <c r="UKP618" s="5" t="s">
        <v>3728</v>
      </c>
      <c r="UKQ618" s="17">
        <v>44925</v>
      </c>
      <c r="UKR618" s="5" t="s">
        <v>3728</v>
      </c>
      <c r="UKS618" s="17">
        <v>44925</v>
      </c>
      <c r="UKT618" s="5" t="s">
        <v>3728</v>
      </c>
      <c r="UKU618" s="17">
        <v>44925</v>
      </c>
      <c r="UKV618" s="5" t="s">
        <v>3728</v>
      </c>
      <c r="UKW618" s="17">
        <v>44925</v>
      </c>
      <c r="UKX618" s="5" t="s">
        <v>3728</v>
      </c>
      <c r="UKY618" s="17">
        <v>44925</v>
      </c>
      <c r="UKZ618" s="5" t="s">
        <v>3728</v>
      </c>
      <c r="ULA618" s="17">
        <v>44925</v>
      </c>
      <c r="ULB618" s="5" t="s">
        <v>3728</v>
      </c>
      <c r="ULC618" s="17">
        <v>44925</v>
      </c>
      <c r="ULD618" s="5" t="s">
        <v>3728</v>
      </c>
      <c r="ULE618" s="17">
        <v>44925</v>
      </c>
      <c r="ULF618" s="5" t="s">
        <v>3728</v>
      </c>
      <c r="ULG618" s="17">
        <v>44925</v>
      </c>
      <c r="ULH618" s="5" t="s">
        <v>3728</v>
      </c>
      <c r="ULI618" s="17">
        <v>44925</v>
      </c>
      <c r="ULJ618" s="5" t="s">
        <v>3728</v>
      </c>
      <c r="ULK618" s="17">
        <v>44925</v>
      </c>
      <c r="ULL618" s="5" t="s">
        <v>3728</v>
      </c>
      <c r="ULM618" s="17">
        <v>44925</v>
      </c>
      <c r="ULN618" s="5" t="s">
        <v>3728</v>
      </c>
      <c r="ULO618" s="17">
        <v>44925</v>
      </c>
      <c r="ULP618" s="5" t="s">
        <v>3728</v>
      </c>
      <c r="ULQ618" s="17">
        <v>44925</v>
      </c>
      <c r="ULR618" s="5" t="s">
        <v>3728</v>
      </c>
      <c r="ULS618" s="17">
        <v>44925</v>
      </c>
      <c r="ULT618" s="5" t="s">
        <v>3728</v>
      </c>
      <c r="ULU618" s="17">
        <v>44925</v>
      </c>
      <c r="ULV618" s="5" t="s">
        <v>3728</v>
      </c>
      <c r="ULW618" s="17">
        <v>44925</v>
      </c>
      <c r="ULX618" s="5" t="s">
        <v>3728</v>
      </c>
      <c r="ULY618" s="17">
        <v>44925</v>
      </c>
      <c r="ULZ618" s="5" t="s">
        <v>3728</v>
      </c>
      <c r="UMA618" s="17">
        <v>44925</v>
      </c>
      <c r="UMB618" s="5" t="s">
        <v>3728</v>
      </c>
      <c r="UMC618" s="17">
        <v>44925</v>
      </c>
      <c r="UMD618" s="5" t="s">
        <v>3728</v>
      </c>
      <c r="UME618" s="17">
        <v>44925</v>
      </c>
      <c r="UMF618" s="5" t="s">
        <v>3728</v>
      </c>
      <c r="UMG618" s="17">
        <v>44925</v>
      </c>
      <c r="UMH618" s="5" t="s">
        <v>3728</v>
      </c>
      <c r="UMI618" s="17">
        <v>44925</v>
      </c>
      <c r="UMJ618" s="5" t="s">
        <v>3728</v>
      </c>
      <c r="UMK618" s="17">
        <v>44925</v>
      </c>
      <c r="UML618" s="5" t="s">
        <v>3728</v>
      </c>
      <c r="UMM618" s="17">
        <v>44925</v>
      </c>
      <c r="UMN618" s="5" t="s">
        <v>3728</v>
      </c>
      <c r="UMO618" s="17">
        <v>44925</v>
      </c>
      <c r="UMP618" s="5" t="s">
        <v>3728</v>
      </c>
      <c r="UMQ618" s="17">
        <v>44925</v>
      </c>
      <c r="UMR618" s="5" t="s">
        <v>3728</v>
      </c>
      <c r="UMS618" s="17">
        <v>44925</v>
      </c>
      <c r="UMT618" s="5" t="s">
        <v>3728</v>
      </c>
      <c r="UMU618" s="17">
        <v>44925</v>
      </c>
      <c r="UMV618" s="5" t="s">
        <v>3728</v>
      </c>
      <c r="UMW618" s="17">
        <v>44925</v>
      </c>
      <c r="UMX618" s="5" t="s">
        <v>3728</v>
      </c>
      <c r="UMY618" s="17">
        <v>44925</v>
      </c>
      <c r="UMZ618" s="5" t="s">
        <v>3728</v>
      </c>
      <c r="UNA618" s="17">
        <v>44925</v>
      </c>
      <c r="UNB618" s="5" t="s">
        <v>3728</v>
      </c>
      <c r="UNC618" s="17">
        <v>44925</v>
      </c>
      <c r="UND618" s="5" t="s">
        <v>3728</v>
      </c>
      <c r="UNE618" s="17">
        <v>44925</v>
      </c>
      <c r="UNF618" s="5" t="s">
        <v>3728</v>
      </c>
      <c r="UNG618" s="17">
        <v>44925</v>
      </c>
      <c r="UNH618" s="5" t="s">
        <v>3728</v>
      </c>
      <c r="UNI618" s="17">
        <v>44925</v>
      </c>
      <c r="UNJ618" s="5" t="s">
        <v>3728</v>
      </c>
      <c r="UNK618" s="17">
        <v>44925</v>
      </c>
      <c r="UNL618" s="5" t="s">
        <v>3728</v>
      </c>
      <c r="UNM618" s="17">
        <v>44925</v>
      </c>
      <c r="UNN618" s="5" t="s">
        <v>3728</v>
      </c>
      <c r="UNO618" s="17">
        <v>44925</v>
      </c>
      <c r="UNP618" s="5" t="s">
        <v>3728</v>
      </c>
      <c r="UNQ618" s="17">
        <v>44925</v>
      </c>
      <c r="UNR618" s="5" t="s">
        <v>3728</v>
      </c>
      <c r="UNS618" s="17">
        <v>44925</v>
      </c>
      <c r="UNT618" s="5" t="s">
        <v>3728</v>
      </c>
      <c r="UNU618" s="17">
        <v>44925</v>
      </c>
      <c r="UNV618" s="5" t="s">
        <v>3728</v>
      </c>
      <c r="UNW618" s="17">
        <v>44925</v>
      </c>
      <c r="UNX618" s="5" t="s">
        <v>3728</v>
      </c>
      <c r="UNY618" s="17">
        <v>44925</v>
      </c>
      <c r="UNZ618" s="5" t="s">
        <v>3728</v>
      </c>
      <c r="UOA618" s="17">
        <v>44925</v>
      </c>
      <c r="UOB618" s="5" t="s">
        <v>3728</v>
      </c>
      <c r="UOC618" s="17">
        <v>44925</v>
      </c>
      <c r="UOD618" s="5" t="s">
        <v>3728</v>
      </c>
      <c r="UOE618" s="17">
        <v>44925</v>
      </c>
      <c r="UOF618" s="5" t="s">
        <v>3728</v>
      </c>
      <c r="UOG618" s="17">
        <v>44925</v>
      </c>
      <c r="UOH618" s="5" t="s">
        <v>3728</v>
      </c>
      <c r="UOI618" s="17">
        <v>44925</v>
      </c>
      <c r="UOJ618" s="5" t="s">
        <v>3728</v>
      </c>
      <c r="UOK618" s="17">
        <v>44925</v>
      </c>
      <c r="UOL618" s="5" t="s">
        <v>3728</v>
      </c>
      <c r="UOM618" s="17">
        <v>44925</v>
      </c>
      <c r="UON618" s="5" t="s">
        <v>3728</v>
      </c>
      <c r="UOO618" s="17">
        <v>44925</v>
      </c>
      <c r="UOP618" s="5" t="s">
        <v>3728</v>
      </c>
      <c r="UOQ618" s="17">
        <v>44925</v>
      </c>
      <c r="UOR618" s="5" t="s">
        <v>3728</v>
      </c>
      <c r="UOS618" s="17">
        <v>44925</v>
      </c>
      <c r="UOT618" s="5" t="s">
        <v>3728</v>
      </c>
      <c r="UOU618" s="17">
        <v>44925</v>
      </c>
      <c r="UOV618" s="5" t="s">
        <v>3728</v>
      </c>
      <c r="UOW618" s="17">
        <v>44925</v>
      </c>
      <c r="UOX618" s="5" t="s">
        <v>3728</v>
      </c>
      <c r="UOY618" s="17">
        <v>44925</v>
      </c>
      <c r="UOZ618" s="5" t="s">
        <v>3728</v>
      </c>
      <c r="UPA618" s="17">
        <v>44925</v>
      </c>
      <c r="UPB618" s="5" t="s">
        <v>3728</v>
      </c>
      <c r="UPC618" s="17">
        <v>44925</v>
      </c>
      <c r="UPD618" s="5" t="s">
        <v>3728</v>
      </c>
      <c r="UPE618" s="17">
        <v>44925</v>
      </c>
      <c r="UPF618" s="5" t="s">
        <v>3728</v>
      </c>
      <c r="UPG618" s="17">
        <v>44925</v>
      </c>
      <c r="UPH618" s="5" t="s">
        <v>3728</v>
      </c>
      <c r="UPI618" s="17">
        <v>44925</v>
      </c>
      <c r="UPJ618" s="5" t="s">
        <v>3728</v>
      </c>
      <c r="UPK618" s="17">
        <v>44925</v>
      </c>
      <c r="UPL618" s="5" t="s">
        <v>3728</v>
      </c>
      <c r="UPM618" s="17">
        <v>44925</v>
      </c>
      <c r="UPN618" s="5" t="s">
        <v>3728</v>
      </c>
      <c r="UPO618" s="17">
        <v>44925</v>
      </c>
      <c r="UPP618" s="5" t="s">
        <v>3728</v>
      </c>
      <c r="UPQ618" s="17">
        <v>44925</v>
      </c>
      <c r="UPR618" s="5" t="s">
        <v>3728</v>
      </c>
      <c r="UPS618" s="17">
        <v>44925</v>
      </c>
      <c r="UPT618" s="5" t="s">
        <v>3728</v>
      </c>
      <c r="UPU618" s="17">
        <v>44925</v>
      </c>
      <c r="UPV618" s="5" t="s">
        <v>3728</v>
      </c>
      <c r="UPW618" s="17">
        <v>44925</v>
      </c>
      <c r="UPX618" s="5" t="s">
        <v>3728</v>
      </c>
      <c r="UPY618" s="17">
        <v>44925</v>
      </c>
      <c r="UPZ618" s="5" t="s">
        <v>3728</v>
      </c>
      <c r="UQA618" s="17">
        <v>44925</v>
      </c>
      <c r="UQB618" s="5" t="s">
        <v>3728</v>
      </c>
      <c r="UQC618" s="17">
        <v>44925</v>
      </c>
      <c r="UQD618" s="5" t="s">
        <v>3728</v>
      </c>
      <c r="UQE618" s="17">
        <v>44925</v>
      </c>
      <c r="UQF618" s="5" t="s">
        <v>3728</v>
      </c>
      <c r="UQG618" s="17">
        <v>44925</v>
      </c>
      <c r="UQH618" s="5" t="s">
        <v>3728</v>
      </c>
      <c r="UQI618" s="17">
        <v>44925</v>
      </c>
      <c r="UQJ618" s="5" t="s">
        <v>3728</v>
      </c>
      <c r="UQK618" s="17">
        <v>44925</v>
      </c>
      <c r="UQL618" s="5" t="s">
        <v>3728</v>
      </c>
      <c r="UQM618" s="17">
        <v>44925</v>
      </c>
      <c r="UQN618" s="5" t="s">
        <v>3728</v>
      </c>
      <c r="UQO618" s="17">
        <v>44925</v>
      </c>
      <c r="UQP618" s="5" t="s">
        <v>3728</v>
      </c>
      <c r="UQQ618" s="17">
        <v>44925</v>
      </c>
      <c r="UQR618" s="5" t="s">
        <v>3728</v>
      </c>
      <c r="UQS618" s="17">
        <v>44925</v>
      </c>
      <c r="UQT618" s="5" t="s">
        <v>3728</v>
      </c>
      <c r="UQU618" s="17">
        <v>44925</v>
      </c>
      <c r="UQV618" s="5" t="s">
        <v>3728</v>
      </c>
      <c r="UQW618" s="17">
        <v>44925</v>
      </c>
      <c r="UQX618" s="5" t="s">
        <v>3728</v>
      </c>
      <c r="UQY618" s="17">
        <v>44925</v>
      </c>
      <c r="UQZ618" s="5" t="s">
        <v>3728</v>
      </c>
      <c r="URA618" s="17">
        <v>44925</v>
      </c>
      <c r="URB618" s="5" t="s">
        <v>3728</v>
      </c>
      <c r="URC618" s="17">
        <v>44925</v>
      </c>
      <c r="URD618" s="5" t="s">
        <v>3728</v>
      </c>
      <c r="URE618" s="17">
        <v>44925</v>
      </c>
      <c r="URF618" s="5" t="s">
        <v>3728</v>
      </c>
      <c r="URG618" s="17">
        <v>44925</v>
      </c>
      <c r="URH618" s="5" t="s">
        <v>3728</v>
      </c>
      <c r="URI618" s="17">
        <v>44925</v>
      </c>
      <c r="URJ618" s="5" t="s">
        <v>3728</v>
      </c>
      <c r="URK618" s="17">
        <v>44925</v>
      </c>
      <c r="URL618" s="5" t="s">
        <v>3728</v>
      </c>
      <c r="URM618" s="17">
        <v>44925</v>
      </c>
      <c r="URN618" s="5" t="s">
        <v>3728</v>
      </c>
      <c r="URO618" s="17">
        <v>44925</v>
      </c>
      <c r="URP618" s="5" t="s">
        <v>3728</v>
      </c>
      <c r="URQ618" s="17">
        <v>44925</v>
      </c>
      <c r="URR618" s="5" t="s">
        <v>3728</v>
      </c>
      <c r="URS618" s="17">
        <v>44925</v>
      </c>
      <c r="URT618" s="5" t="s">
        <v>3728</v>
      </c>
      <c r="URU618" s="17">
        <v>44925</v>
      </c>
      <c r="URV618" s="5" t="s">
        <v>3728</v>
      </c>
      <c r="URW618" s="17">
        <v>44925</v>
      </c>
      <c r="URX618" s="5" t="s">
        <v>3728</v>
      </c>
      <c r="URY618" s="17">
        <v>44925</v>
      </c>
      <c r="URZ618" s="5" t="s">
        <v>3728</v>
      </c>
      <c r="USA618" s="17">
        <v>44925</v>
      </c>
      <c r="USB618" s="5" t="s">
        <v>3728</v>
      </c>
      <c r="USC618" s="17">
        <v>44925</v>
      </c>
      <c r="USD618" s="5" t="s">
        <v>3728</v>
      </c>
      <c r="USE618" s="17">
        <v>44925</v>
      </c>
      <c r="USF618" s="5" t="s">
        <v>3728</v>
      </c>
      <c r="USG618" s="17">
        <v>44925</v>
      </c>
      <c r="USH618" s="5" t="s">
        <v>3728</v>
      </c>
      <c r="USI618" s="17">
        <v>44925</v>
      </c>
      <c r="USJ618" s="5" t="s">
        <v>3728</v>
      </c>
      <c r="USK618" s="17">
        <v>44925</v>
      </c>
      <c r="USL618" s="5" t="s">
        <v>3728</v>
      </c>
      <c r="USM618" s="17">
        <v>44925</v>
      </c>
      <c r="USN618" s="5" t="s">
        <v>3728</v>
      </c>
      <c r="USO618" s="17">
        <v>44925</v>
      </c>
      <c r="USP618" s="5" t="s">
        <v>3728</v>
      </c>
      <c r="USQ618" s="17">
        <v>44925</v>
      </c>
      <c r="USR618" s="5" t="s">
        <v>3728</v>
      </c>
      <c r="USS618" s="17">
        <v>44925</v>
      </c>
      <c r="UST618" s="5" t="s">
        <v>3728</v>
      </c>
      <c r="USU618" s="17">
        <v>44925</v>
      </c>
      <c r="USV618" s="5" t="s">
        <v>3728</v>
      </c>
      <c r="USW618" s="17">
        <v>44925</v>
      </c>
      <c r="USX618" s="5" t="s">
        <v>3728</v>
      </c>
      <c r="USY618" s="17">
        <v>44925</v>
      </c>
      <c r="USZ618" s="5" t="s">
        <v>3728</v>
      </c>
      <c r="UTA618" s="17">
        <v>44925</v>
      </c>
      <c r="UTB618" s="5" t="s">
        <v>3728</v>
      </c>
      <c r="UTC618" s="17">
        <v>44925</v>
      </c>
      <c r="UTD618" s="5" t="s">
        <v>3728</v>
      </c>
      <c r="UTE618" s="17">
        <v>44925</v>
      </c>
      <c r="UTF618" s="5" t="s">
        <v>3728</v>
      </c>
      <c r="UTG618" s="17">
        <v>44925</v>
      </c>
      <c r="UTH618" s="5" t="s">
        <v>3728</v>
      </c>
      <c r="UTI618" s="17">
        <v>44925</v>
      </c>
      <c r="UTJ618" s="5" t="s">
        <v>3728</v>
      </c>
      <c r="UTK618" s="17">
        <v>44925</v>
      </c>
      <c r="UTL618" s="5" t="s">
        <v>3728</v>
      </c>
      <c r="UTM618" s="17">
        <v>44925</v>
      </c>
      <c r="UTN618" s="5" t="s">
        <v>3728</v>
      </c>
      <c r="UTO618" s="17">
        <v>44925</v>
      </c>
      <c r="UTP618" s="5" t="s">
        <v>3728</v>
      </c>
      <c r="UTQ618" s="17">
        <v>44925</v>
      </c>
      <c r="UTR618" s="5" t="s">
        <v>3728</v>
      </c>
      <c r="UTS618" s="17">
        <v>44925</v>
      </c>
      <c r="UTT618" s="5" t="s">
        <v>3728</v>
      </c>
      <c r="UTU618" s="17">
        <v>44925</v>
      </c>
      <c r="UTV618" s="5" t="s">
        <v>3728</v>
      </c>
      <c r="UTW618" s="17">
        <v>44925</v>
      </c>
      <c r="UTX618" s="5" t="s">
        <v>3728</v>
      </c>
      <c r="UTY618" s="17">
        <v>44925</v>
      </c>
      <c r="UTZ618" s="5" t="s">
        <v>3728</v>
      </c>
      <c r="UUA618" s="17">
        <v>44925</v>
      </c>
      <c r="UUB618" s="5" t="s">
        <v>3728</v>
      </c>
      <c r="UUC618" s="17">
        <v>44925</v>
      </c>
      <c r="UUD618" s="5" t="s">
        <v>3728</v>
      </c>
      <c r="UUE618" s="17">
        <v>44925</v>
      </c>
      <c r="UUF618" s="5" t="s">
        <v>3728</v>
      </c>
      <c r="UUG618" s="17">
        <v>44925</v>
      </c>
      <c r="UUH618" s="5" t="s">
        <v>3728</v>
      </c>
      <c r="UUI618" s="17">
        <v>44925</v>
      </c>
      <c r="UUJ618" s="5" t="s">
        <v>3728</v>
      </c>
      <c r="UUK618" s="17">
        <v>44925</v>
      </c>
      <c r="UUL618" s="5" t="s">
        <v>3728</v>
      </c>
      <c r="UUM618" s="17">
        <v>44925</v>
      </c>
      <c r="UUN618" s="5" t="s">
        <v>3728</v>
      </c>
      <c r="UUO618" s="17">
        <v>44925</v>
      </c>
      <c r="UUP618" s="5" t="s">
        <v>3728</v>
      </c>
      <c r="UUQ618" s="17">
        <v>44925</v>
      </c>
      <c r="UUR618" s="5" t="s">
        <v>3728</v>
      </c>
      <c r="UUS618" s="17">
        <v>44925</v>
      </c>
      <c r="UUT618" s="5" t="s">
        <v>3728</v>
      </c>
      <c r="UUU618" s="17">
        <v>44925</v>
      </c>
      <c r="UUV618" s="5" t="s">
        <v>3728</v>
      </c>
      <c r="UUW618" s="17">
        <v>44925</v>
      </c>
      <c r="UUX618" s="5" t="s">
        <v>3728</v>
      </c>
      <c r="UUY618" s="17">
        <v>44925</v>
      </c>
      <c r="UUZ618" s="5" t="s">
        <v>3728</v>
      </c>
      <c r="UVA618" s="17">
        <v>44925</v>
      </c>
      <c r="UVB618" s="5" t="s">
        <v>3728</v>
      </c>
      <c r="UVC618" s="17">
        <v>44925</v>
      </c>
      <c r="UVD618" s="5" t="s">
        <v>3728</v>
      </c>
      <c r="UVE618" s="17">
        <v>44925</v>
      </c>
      <c r="UVF618" s="5" t="s">
        <v>3728</v>
      </c>
      <c r="UVG618" s="17">
        <v>44925</v>
      </c>
      <c r="UVH618" s="5" t="s">
        <v>3728</v>
      </c>
      <c r="UVI618" s="17">
        <v>44925</v>
      </c>
      <c r="UVJ618" s="5" t="s">
        <v>3728</v>
      </c>
      <c r="UVK618" s="17">
        <v>44925</v>
      </c>
      <c r="UVL618" s="5" t="s">
        <v>3728</v>
      </c>
      <c r="UVM618" s="17">
        <v>44925</v>
      </c>
      <c r="UVN618" s="5" t="s">
        <v>3728</v>
      </c>
      <c r="UVO618" s="17">
        <v>44925</v>
      </c>
      <c r="UVP618" s="5" t="s">
        <v>3728</v>
      </c>
      <c r="UVQ618" s="17">
        <v>44925</v>
      </c>
      <c r="UVR618" s="5" t="s">
        <v>3728</v>
      </c>
      <c r="UVS618" s="17">
        <v>44925</v>
      </c>
      <c r="UVT618" s="5" t="s">
        <v>3728</v>
      </c>
      <c r="UVU618" s="17">
        <v>44925</v>
      </c>
      <c r="UVV618" s="5" t="s">
        <v>3728</v>
      </c>
      <c r="UVW618" s="17">
        <v>44925</v>
      </c>
      <c r="UVX618" s="5" t="s">
        <v>3728</v>
      </c>
      <c r="UVY618" s="17">
        <v>44925</v>
      </c>
      <c r="UVZ618" s="5" t="s">
        <v>3728</v>
      </c>
      <c r="UWA618" s="17">
        <v>44925</v>
      </c>
      <c r="UWB618" s="5" t="s">
        <v>3728</v>
      </c>
      <c r="UWC618" s="17">
        <v>44925</v>
      </c>
      <c r="UWD618" s="5" t="s">
        <v>3728</v>
      </c>
      <c r="UWE618" s="17">
        <v>44925</v>
      </c>
      <c r="UWF618" s="5" t="s">
        <v>3728</v>
      </c>
      <c r="UWG618" s="17">
        <v>44925</v>
      </c>
      <c r="UWH618" s="5" t="s">
        <v>3728</v>
      </c>
      <c r="UWI618" s="17">
        <v>44925</v>
      </c>
      <c r="UWJ618" s="5" t="s">
        <v>3728</v>
      </c>
      <c r="UWK618" s="17">
        <v>44925</v>
      </c>
      <c r="UWL618" s="5" t="s">
        <v>3728</v>
      </c>
      <c r="UWM618" s="17">
        <v>44925</v>
      </c>
      <c r="UWN618" s="5" t="s">
        <v>3728</v>
      </c>
      <c r="UWO618" s="17">
        <v>44925</v>
      </c>
      <c r="UWP618" s="5" t="s">
        <v>3728</v>
      </c>
      <c r="UWQ618" s="17">
        <v>44925</v>
      </c>
      <c r="UWR618" s="5" t="s">
        <v>3728</v>
      </c>
      <c r="UWS618" s="17">
        <v>44925</v>
      </c>
      <c r="UWT618" s="5" t="s">
        <v>3728</v>
      </c>
      <c r="UWU618" s="17">
        <v>44925</v>
      </c>
      <c r="UWV618" s="5" t="s">
        <v>3728</v>
      </c>
      <c r="UWW618" s="17">
        <v>44925</v>
      </c>
      <c r="UWX618" s="5" t="s">
        <v>3728</v>
      </c>
      <c r="UWY618" s="17">
        <v>44925</v>
      </c>
      <c r="UWZ618" s="5" t="s">
        <v>3728</v>
      </c>
      <c r="UXA618" s="17">
        <v>44925</v>
      </c>
      <c r="UXB618" s="5" t="s">
        <v>3728</v>
      </c>
      <c r="UXC618" s="17">
        <v>44925</v>
      </c>
      <c r="UXD618" s="5" t="s">
        <v>3728</v>
      </c>
      <c r="UXE618" s="17">
        <v>44925</v>
      </c>
      <c r="UXF618" s="5" t="s">
        <v>3728</v>
      </c>
      <c r="UXG618" s="17">
        <v>44925</v>
      </c>
      <c r="UXH618" s="5" t="s">
        <v>3728</v>
      </c>
      <c r="UXI618" s="17">
        <v>44925</v>
      </c>
      <c r="UXJ618" s="5" t="s">
        <v>3728</v>
      </c>
      <c r="UXK618" s="17">
        <v>44925</v>
      </c>
      <c r="UXL618" s="5" t="s">
        <v>3728</v>
      </c>
      <c r="UXM618" s="17">
        <v>44925</v>
      </c>
      <c r="UXN618" s="5" t="s">
        <v>3728</v>
      </c>
      <c r="UXO618" s="17">
        <v>44925</v>
      </c>
      <c r="UXP618" s="5" t="s">
        <v>3728</v>
      </c>
      <c r="UXQ618" s="17">
        <v>44925</v>
      </c>
      <c r="UXR618" s="5" t="s">
        <v>3728</v>
      </c>
      <c r="UXS618" s="17">
        <v>44925</v>
      </c>
      <c r="UXT618" s="5" t="s">
        <v>3728</v>
      </c>
      <c r="UXU618" s="17">
        <v>44925</v>
      </c>
      <c r="UXV618" s="5" t="s">
        <v>3728</v>
      </c>
      <c r="UXW618" s="17">
        <v>44925</v>
      </c>
      <c r="UXX618" s="5" t="s">
        <v>3728</v>
      </c>
      <c r="UXY618" s="17">
        <v>44925</v>
      </c>
      <c r="UXZ618" s="5" t="s">
        <v>3728</v>
      </c>
      <c r="UYA618" s="17">
        <v>44925</v>
      </c>
      <c r="UYB618" s="5" t="s">
        <v>3728</v>
      </c>
      <c r="UYC618" s="17">
        <v>44925</v>
      </c>
      <c r="UYD618" s="5" t="s">
        <v>3728</v>
      </c>
      <c r="UYE618" s="17">
        <v>44925</v>
      </c>
      <c r="UYF618" s="5" t="s">
        <v>3728</v>
      </c>
      <c r="UYG618" s="17">
        <v>44925</v>
      </c>
      <c r="UYH618" s="5" t="s">
        <v>3728</v>
      </c>
      <c r="UYI618" s="17">
        <v>44925</v>
      </c>
      <c r="UYJ618" s="5" t="s">
        <v>3728</v>
      </c>
      <c r="UYK618" s="17">
        <v>44925</v>
      </c>
      <c r="UYL618" s="5" t="s">
        <v>3728</v>
      </c>
      <c r="UYM618" s="17">
        <v>44925</v>
      </c>
      <c r="UYN618" s="5" t="s">
        <v>3728</v>
      </c>
      <c r="UYO618" s="17">
        <v>44925</v>
      </c>
      <c r="UYP618" s="5" t="s">
        <v>3728</v>
      </c>
      <c r="UYQ618" s="17">
        <v>44925</v>
      </c>
      <c r="UYR618" s="5" t="s">
        <v>3728</v>
      </c>
      <c r="UYS618" s="17">
        <v>44925</v>
      </c>
      <c r="UYT618" s="5" t="s">
        <v>3728</v>
      </c>
      <c r="UYU618" s="17">
        <v>44925</v>
      </c>
      <c r="UYV618" s="5" t="s">
        <v>3728</v>
      </c>
      <c r="UYW618" s="17">
        <v>44925</v>
      </c>
      <c r="UYX618" s="5" t="s">
        <v>3728</v>
      </c>
      <c r="UYY618" s="17">
        <v>44925</v>
      </c>
      <c r="UYZ618" s="5" t="s">
        <v>3728</v>
      </c>
      <c r="UZA618" s="17">
        <v>44925</v>
      </c>
      <c r="UZB618" s="5" t="s">
        <v>3728</v>
      </c>
      <c r="UZC618" s="17">
        <v>44925</v>
      </c>
      <c r="UZD618" s="5" t="s">
        <v>3728</v>
      </c>
      <c r="UZE618" s="17">
        <v>44925</v>
      </c>
      <c r="UZF618" s="5" t="s">
        <v>3728</v>
      </c>
      <c r="UZG618" s="17">
        <v>44925</v>
      </c>
      <c r="UZH618" s="5" t="s">
        <v>3728</v>
      </c>
      <c r="UZI618" s="17">
        <v>44925</v>
      </c>
      <c r="UZJ618" s="5" t="s">
        <v>3728</v>
      </c>
      <c r="UZK618" s="17">
        <v>44925</v>
      </c>
      <c r="UZL618" s="5" t="s">
        <v>3728</v>
      </c>
      <c r="UZM618" s="17">
        <v>44925</v>
      </c>
      <c r="UZN618" s="5" t="s">
        <v>3728</v>
      </c>
      <c r="UZO618" s="17">
        <v>44925</v>
      </c>
      <c r="UZP618" s="5" t="s">
        <v>3728</v>
      </c>
      <c r="UZQ618" s="17">
        <v>44925</v>
      </c>
      <c r="UZR618" s="5" t="s">
        <v>3728</v>
      </c>
      <c r="UZS618" s="17">
        <v>44925</v>
      </c>
      <c r="UZT618" s="5" t="s">
        <v>3728</v>
      </c>
      <c r="UZU618" s="17">
        <v>44925</v>
      </c>
      <c r="UZV618" s="5" t="s">
        <v>3728</v>
      </c>
      <c r="UZW618" s="17">
        <v>44925</v>
      </c>
      <c r="UZX618" s="5" t="s">
        <v>3728</v>
      </c>
      <c r="UZY618" s="17">
        <v>44925</v>
      </c>
      <c r="UZZ618" s="5" t="s">
        <v>3728</v>
      </c>
      <c r="VAA618" s="17">
        <v>44925</v>
      </c>
      <c r="VAB618" s="5" t="s">
        <v>3728</v>
      </c>
      <c r="VAC618" s="17">
        <v>44925</v>
      </c>
      <c r="VAD618" s="5" t="s">
        <v>3728</v>
      </c>
      <c r="VAE618" s="17">
        <v>44925</v>
      </c>
      <c r="VAF618" s="5" t="s">
        <v>3728</v>
      </c>
      <c r="VAG618" s="17">
        <v>44925</v>
      </c>
      <c r="VAH618" s="5" t="s">
        <v>3728</v>
      </c>
      <c r="VAI618" s="17">
        <v>44925</v>
      </c>
      <c r="VAJ618" s="5" t="s">
        <v>3728</v>
      </c>
      <c r="VAK618" s="17">
        <v>44925</v>
      </c>
      <c r="VAL618" s="5" t="s">
        <v>3728</v>
      </c>
      <c r="VAM618" s="17">
        <v>44925</v>
      </c>
      <c r="VAN618" s="5" t="s">
        <v>3728</v>
      </c>
      <c r="VAO618" s="17">
        <v>44925</v>
      </c>
      <c r="VAP618" s="5" t="s">
        <v>3728</v>
      </c>
      <c r="VAQ618" s="17">
        <v>44925</v>
      </c>
      <c r="VAR618" s="5" t="s">
        <v>3728</v>
      </c>
      <c r="VAS618" s="17">
        <v>44925</v>
      </c>
      <c r="VAT618" s="5" t="s">
        <v>3728</v>
      </c>
      <c r="VAU618" s="17">
        <v>44925</v>
      </c>
      <c r="VAV618" s="5" t="s">
        <v>3728</v>
      </c>
      <c r="VAW618" s="17">
        <v>44925</v>
      </c>
      <c r="VAX618" s="5" t="s">
        <v>3728</v>
      </c>
      <c r="VAY618" s="17">
        <v>44925</v>
      </c>
      <c r="VAZ618" s="5" t="s">
        <v>3728</v>
      </c>
      <c r="VBA618" s="17">
        <v>44925</v>
      </c>
      <c r="VBB618" s="5" t="s">
        <v>3728</v>
      </c>
      <c r="VBC618" s="17">
        <v>44925</v>
      </c>
      <c r="VBD618" s="5" t="s">
        <v>3728</v>
      </c>
      <c r="VBE618" s="17">
        <v>44925</v>
      </c>
      <c r="VBF618" s="5" t="s">
        <v>3728</v>
      </c>
      <c r="VBG618" s="17">
        <v>44925</v>
      </c>
      <c r="VBH618" s="5" t="s">
        <v>3728</v>
      </c>
      <c r="VBI618" s="17">
        <v>44925</v>
      </c>
      <c r="VBJ618" s="5" t="s">
        <v>3728</v>
      </c>
      <c r="VBK618" s="17">
        <v>44925</v>
      </c>
      <c r="VBL618" s="5" t="s">
        <v>3728</v>
      </c>
      <c r="VBM618" s="17">
        <v>44925</v>
      </c>
      <c r="VBN618" s="5" t="s">
        <v>3728</v>
      </c>
      <c r="VBO618" s="17">
        <v>44925</v>
      </c>
      <c r="VBP618" s="5" t="s">
        <v>3728</v>
      </c>
      <c r="VBQ618" s="17">
        <v>44925</v>
      </c>
      <c r="VBR618" s="5" t="s">
        <v>3728</v>
      </c>
      <c r="VBS618" s="17">
        <v>44925</v>
      </c>
      <c r="VBT618" s="5" t="s">
        <v>3728</v>
      </c>
      <c r="VBU618" s="17">
        <v>44925</v>
      </c>
      <c r="VBV618" s="5" t="s">
        <v>3728</v>
      </c>
      <c r="VBW618" s="17">
        <v>44925</v>
      </c>
      <c r="VBX618" s="5" t="s">
        <v>3728</v>
      </c>
      <c r="VBY618" s="17">
        <v>44925</v>
      </c>
      <c r="VBZ618" s="5" t="s">
        <v>3728</v>
      </c>
      <c r="VCA618" s="17">
        <v>44925</v>
      </c>
      <c r="VCB618" s="5" t="s">
        <v>3728</v>
      </c>
      <c r="VCC618" s="17">
        <v>44925</v>
      </c>
      <c r="VCD618" s="5" t="s">
        <v>3728</v>
      </c>
      <c r="VCE618" s="17">
        <v>44925</v>
      </c>
      <c r="VCF618" s="5" t="s">
        <v>3728</v>
      </c>
      <c r="VCG618" s="17">
        <v>44925</v>
      </c>
      <c r="VCH618" s="5" t="s">
        <v>3728</v>
      </c>
      <c r="VCI618" s="17">
        <v>44925</v>
      </c>
      <c r="VCJ618" s="5" t="s">
        <v>3728</v>
      </c>
      <c r="VCK618" s="17">
        <v>44925</v>
      </c>
      <c r="VCL618" s="5" t="s">
        <v>3728</v>
      </c>
      <c r="VCM618" s="17">
        <v>44925</v>
      </c>
      <c r="VCN618" s="5" t="s">
        <v>3728</v>
      </c>
      <c r="VCO618" s="17">
        <v>44925</v>
      </c>
      <c r="VCP618" s="5" t="s">
        <v>3728</v>
      </c>
      <c r="VCQ618" s="17">
        <v>44925</v>
      </c>
      <c r="VCR618" s="5" t="s">
        <v>3728</v>
      </c>
      <c r="VCS618" s="17">
        <v>44925</v>
      </c>
      <c r="VCT618" s="5" t="s">
        <v>3728</v>
      </c>
      <c r="VCU618" s="17">
        <v>44925</v>
      </c>
      <c r="VCV618" s="5" t="s">
        <v>3728</v>
      </c>
      <c r="VCW618" s="17">
        <v>44925</v>
      </c>
      <c r="VCX618" s="5" t="s">
        <v>3728</v>
      </c>
      <c r="VCY618" s="17">
        <v>44925</v>
      </c>
      <c r="VCZ618" s="5" t="s">
        <v>3728</v>
      </c>
      <c r="VDA618" s="17">
        <v>44925</v>
      </c>
      <c r="VDB618" s="5" t="s">
        <v>3728</v>
      </c>
      <c r="VDC618" s="17">
        <v>44925</v>
      </c>
      <c r="VDD618" s="5" t="s">
        <v>3728</v>
      </c>
      <c r="VDE618" s="17">
        <v>44925</v>
      </c>
      <c r="VDF618" s="5" t="s">
        <v>3728</v>
      </c>
      <c r="VDG618" s="17">
        <v>44925</v>
      </c>
      <c r="VDH618" s="5" t="s">
        <v>3728</v>
      </c>
      <c r="VDI618" s="17">
        <v>44925</v>
      </c>
      <c r="VDJ618" s="5" t="s">
        <v>3728</v>
      </c>
      <c r="VDK618" s="17">
        <v>44925</v>
      </c>
      <c r="VDL618" s="5" t="s">
        <v>3728</v>
      </c>
      <c r="VDM618" s="17">
        <v>44925</v>
      </c>
      <c r="VDN618" s="5" t="s">
        <v>3728</v>
      </c>
      <c r="VDO618" s="17">
        <v>44925</v>
      </c>
      <c r="VDP618" s="5" t="s">
        <v>3728</v>
      </c>
      <c r="VDQ618" s="17">
        <v>44925</v>
      </c>
      <c r="VDR618" s="5" t="s">
        <v>3728</v>
      </c>
      <c r="VDS618" s="17">
        <v>44925</v>
      </c>
      <c r="VDT618" s="5" t="s">
        <v>3728</v>
      </c>
      <c r="VDU618" s="17">
        <v>44925</v>
      </c>
      <c r="VDV618" s="5" t="s">
        <v>3728</v>
      </c>
      <c r="VDW618" s="17">
        <v>44925</v>
      </c>
      <c r="VDX618" s="5" t="s">
        <v>3728</v>
      </c>
      <c r="VDY618" s="17">
        <v>44925</v>
      </c>
      <c r="VDZ618" s="5" t="s">
        <v>3728</v>
      </c>
      <c r="VEA618" s="17">
        <v>44925</v>
      </c>
      <c r="VEB618" s="5" t="s">
        <v>3728</v>
      </c>
      <c r="VEC618" s="17">
        <v>44925</v>
      </c>
      <c r="VED618" s="5" t="s">
        <v>3728</v>
      </c>
      <c r="VEE618" s="17">
        <v>44925</v>
      </c>
      <c r="VEF618" s="5" t="s">
        <v>3728</v>
      </c>
      <c r="VEG618" s="17">
        <v>44925</v>
      </c>
      <c r="VEH618" s="5" t="s">
        <v>3728</v>
      </c>
      <c r="VEI618" s="17">
        <v>44925</v>
      </c>
      <c r="VEJ618" s="5" t="s">
        <v>3728</v>
      </c>
      <c r="VEK618" s="17">
        <v>44925</v>
      </c>
      <c r="VEL618" s="5" t="s">
        <v>3728</v>
      </c>
      <c r="VEM618" s="17">
        <v>44925</v>
      </c>
      <c r="VEN618" s="5" t="s">
        <v>3728</v>
      </c>
      <c r="VEO618" s="17">
        <v>44925</v>
      </c>
      <c r="VEP618" s="5" t="s">
        <v>3728</v>
      </c>
      <c r="VEQ618" s="17">
        <v>44925</v>
      </c>
      <c r="VER618" s="5" t="s">
        <v>3728</v>
      </c>
      <c r="VES618" s="17">
        <v>44925</v>
      </c>
      <c r="VET618" s="5" t="s">
        <v>3728</v>
      </c>
      <c r="VEU618" s="17">
        <v>44925</v>
      </c>
      <c r="VEV618" s="5" t="s">
        <v>3728</v>
      </c>
      <c r="VEW618" s="17">
        <v>44925</v>
      </c>
      <c r="VEX618" s="5" t="s">
        <v>3728</v>
      </c>
      <c r="VEY618" s="17">
        <v>44925</v>
      </c>
      <c r="VEZ618" s="5" t="s">
        <v>3728</v>
      </c>
      <c r="VFA618" s="17">
        <v>44925</v>
      </c>
      <c r="VFB618" s="5" t="s">
        <v>3728</v>
      </c>
      <c r="VFC618" s="17">
        <v>44925</v>
      </c>
      <c r="VFD618" s="5" t="s">
        <v>3728</v>
      </c>
      <c r="VFE618" s="17">
        <v>44925</v>
      </c>
      <c r="VFF618" s="5" t="s">
        <v>3728</v>
      </c>
      <c r="VFG618" s="17">
        <v>44925</v>
      </c>
      <c r="VFH618" s="5" t="s">
        <v>3728</v>
      </c>
      <c r="VFI618" s="17">
        <v>44925</v>
      </c>
      <c r="VFJ618" s="5" t="s">
        <v>3728</v>
      </c>
      <c r="VFK618" s="17">
        <v>44925</v>
      </c>
      <c r="VFL618" s="5" t="s">
        <v>3728</v>
      </c>
      <c r="VFM618" s="17">
        <v>44925</v>
      </c>
      <c r="VFN618" s="5" t="s">
        <v>3728</v>
      </c>
      <c r="VFO618" s="17">
        <v>44925</v>
      </c>
      <c r="VFP618" s="5" t="s">
        <v>3728</v>
      </c>
      <c r="VFQ618" s="17">
        <v>44925</v>
      </c>
      <c r="VFR618" s="5" t="s">
        <v>3728</v>
      </c>
      <c r="VFS618" s="17">
        <v>44925</v>
      </c>
      <c r="VFT618" s="5" t="s">
        <v>3728</v>
      </c>
      <c r="VFU618" s="17">
        <v>44925</v>
      </c>
      <c r="VFV618" s="5" t="s">
        <v>3728</v>
      </c>
      <c r="VFW618" s="17">
        <v>44925</v>
      </c>
      <c r="VFX618" s="5" t="s">
        <v>3728</v>
      </c>
      <c r="VFY618" s="17">
        <v>44925</v>
      </c>
      <c r="VFZ618" s="5" t="s">
        <v>3728</v>
      </c>
      <c r="VGA618" s="17">
        <v>44925</v>
      </c>
      <c r="VGB618" s="5" t="s">
        <v>3728</v>
      </c>
      <c r="VGC618" s="17">
        <v>44925</v>
      </c>
      <c r="VGD618" s="5" t="s">
        <v>3728</v>
      </c>
      <c r="VGE618" s="17">
        <v>44925</v>
      </c>
      <c r="VGF618" s="5" t="s">
        <v>3728</v>
      </c>
      <c r="VGG618" s="17">
        <v>44925</v>
      </c>
      <c r="VGH618" s="5" t="s">
        <v>3728</v>
      </c>
      <c r="VGI618" s="17">
        <v>44925</v>
      </c>
      <c r="VGJ618" s="5" t="s">
        <v>3728</v>
      </c>
      <c r="VGK618" s="17">
        <v>44925</v>
      </c>
      <c r="VGL618" s="5" t="s">
        <v>3728</v>
      </c>
      <c r="VGM618" s="17">
        <v>44925</v>
      </c>
      <c r="VGN618" s="5" t="s">
        <v>3728</v>
      </c>
      <c r="VGO618" s="17">
        <v>44925</v>
      </c>
      <c r="VGP618" s="5" t="s">
        <v>3728</v>
      </c>
      <c r="VGQ618" s="17">
        <v>44925</v>
      </c>
      <c r="VGR618" s="5" t="s">
        <v>3728</v>
      </c>
      <c r="VGS618" s="17">
        <v>44925</v>
      </c>
      <c r="VGT618" s="5" t="s">
        <v>3728</v>
      </c>
      <c r="VGU618" s="17">
        <v>44925</v>
      </c>
      <c r="VGV618" s="5" t="s">
        <v>3728</v>
      </c>
      <c r="VGW618" s="17">
        <v>44925</v>
      </c>
      <c r="VGX618" s="5" t="s">
        <v>3728</v>
      </c>
      <c r="VGY618" s="17">
        <v>44925</v>
      </c>
      <c r="VGZ618" s="5" t="s">
        <v>3728</v>
      </c>
      <c r="VHA618" s="17">
        <v>44925</v>
      </c>
      <c r="VHB618" s="5" t="s">
        <v>3728</v>
      </c>
      <c r="VHC618" s="17">
        <v>44925</v>
      </c>
      <c r="VHD618" s="5" t="s">
        <v>3728</v>
      </c>
      <c r="VHE618" s="17">
        <v>44925</v>
      </c>
      <c r="VHF618" s="5" t="s">
        <v>3728</v>
      </c>
      <c r="VHG618" s="17">
        <v>44925</v>
      </c>
      <c r="VHH618" s="5" t="s">
        <v>3728</v>
      </c>
      <c r="VHI618" s="17">
        <v>44925</v>
      </c>
      <c r="VHJ618" s="5" t="s">
        <v>3728</v>
      </c>
      <c r="VHK618" s="17">
        <v>44925</v>
      </c>
      <c r="VHL618" s="5" t="s">
        <v>3728</v>
      </c>
      <c r="VHM618" s="17">
        <v>44925</v>
      </c>
      <c r="VHN618" s="5" t="s">
        <v>3728</v>
      </c>
      <c r="VHO618" s="17">
        <v>44925</v>
      </c>
      <c r="VHP618" s="5" t="s">
        <v>3728</v>
      </c>
      <c r="VHQ618" s="17">
        <v>44925</v>
      </c>
      <c r="VHR618" s="5" t="s">
        <v>3728</v>
      </c>
      <c r="VHS618" s="17">
        <v>44925</v>
      </c>
      <c r="VHT618" s="5" t="s">
        <v>3728</v>
      </c>
      <c r="VHU618" s="17">
        <v>44925</v>
      </c>
      <c r="VHV618" s="5" t="s">
        <v>3728</v>
      </c>
      <c r="VHW618" s="17">
        <v>44925</v>
      </c>
      <c r="VHX618" s="5" t="s">
        <v>3728</v>
      </c>
      <c r="VHY618" s="17">
        <v>44925</v>
      </c>
      <c r="VHZ618" s="5" t="s">
        <v>3728</v>
      </c>
      <c r="VIA618" s="17">
        <v>44925</v>
      </c>
      <c r="VIB618" s="5" t="s">
        <v>3728</v>
      </c>
      <c r="VIC618" s="17">
        <v>44925</v>
      </c>
      <c r="VID618" s="5" t="s">
        <v>3728</v>
      </c>
      <c r="VIE618" s="17">
        <v>44925</v>
      </c>
      <c r="VIF618" s="5" t="s">
        <v>3728</v>
      </c>
      <c r="VIG618" s="17">
        <v>44925</v>
      </c>
      <c r="VIH618" s="5" t="s">
        <v>3728</v>
      </c>
      <c r="VII618" s="17">
        <v>44925</v>
      </c>
      <c r="VIJ618" s="5" t="s">
        <v>3728</v>
      </c>
      <c r="VIK618" s="17">
        <v>44925</v>
      </c>
      <c r="VIL618" s="5" t="s">
        <v>3728</v>
      </c>
      <c r="VIM618" s="17">
        <v>44925</v>
      </c>
      <c r="VIN618" s="5" t="s">
        <v>3728</v>
      </c>
      <c r="VIO618" s="17">
        <v>44925</v>
      </c>
      <c r="VIP618" s="5" t="s">
        <v>3728</v>
      </c>
      <c r="VIQ618" s="17">
        <v>44925</v>
      </c>
      <c r="VIR618" s="5" t="s">
        <v>3728</v>
      </c>
      <c r="VIS618" s="17">
        <v>44925</v>
      </c>
      <c r="VIT618" s="5" t="s">
        <v>3728</v>
      </c>
      <c r="VIU618" s="17">
        <v>44925</v>
      </c>
      <c r="VIV618" s="5" t="s">
        <v>3728</v>
      </c>
      <c r="VIW618" s="17">
        <v>44925</v>
      </c>
      <c r="VIX618" s="5" t="s">
        <v>3728</v>
      </c>
      <c r="VIY618" s="17">
        <v>44925</v>
      </c>
      <c r="VIZ618" s="5" t="s">
        <v>3728</v>
      </c>
      <c r="VJA618" s="17">
        <v>44925</v>
      </c>
      <c r="VJB618" s="5" t="s">
        <v>3728</v>
      </c>
      <c r="VJC618" s="17">
        <v>44925</v>
      </c>
      <c r="VJD618" s="5" t="s">
        <v>3728</v>
      </c>
      <c r="VJE618" s="17">
        <v>44925</v>
      </c>
      <c r="VJF618" s="5" t="s">
        <v>3728</v>
      </c>
      <c r="VJG618" s="17">
        <v>44925</v>
      </c>
      <c r="VJH618" s="5" t="s">
        <v>3728</v>
      </c>
      <c r="VJI618" s="17">
        <v>44925</v>
      </c>
      <c r="VJJ618" s="5" t="s">
        <v>3728</v>
      </c>
      <c r="VJK618" s="17">
        <v>44925</v>
      </c>
      <c r="VJL618" s="5" t="s">
        <v>3728</v>
      </c>
      <c r="VJM618" s="17">
        <v>44925</v>
      </c>
      <c r="VJN618" s="5" t="s">
        <v>3728</v>
      </c>
      <c r="VJO618" s="17">
        <v>44925</v>
      </c>
      <c r="VJP618" s="5" t="s">
        <v>3728</v>
      </c>
      <c r="VJQ618" s="17">
        <v>44925</v>
      </c>
      <c r="VJR618" s="5" t="s">
        <v>3728</v>
      </c>
      <c r="VJS618" s="17">
        <v>44925</v>
      </c>
      <c r="VJT618" s="5" t="s">
        <v>3728</v>
      </c>
      <c r="VJU618" s="17">
        <v>44925</v>
      </c>
      <c r="VJV618" s="5" t="s">
        <v>3728</v>
      </c>
      <c r="VJW618" s="17">
        <v>44925</v>
      </c>
      <c r="VJX618" s="5" t="s">
        <v>3728</v>
      </c>
      <c r="VJY618" s="17">
        <v>44925</v>
      </c>
      <c r="VJZ618" s="5" t="s">
        <v>3728</v>
      </c>
      <c r="VKA618" s="17">
        <v>44925</v>
      </c>
      <c r="VKB618" s="5" t="s">
        <v>3728</v>
      </c>
      <c r="VKC618" s="17">
        <v>44925</v>
      </c>
      <c r="VKD618" s="5" t="s">
        <v>3728</v>
      </c>
      <c r="VKE618" s="17">
        <v>44925</v>
      </c>
      <c r="VKF618" s="5" t="s">
        <v>3728</v>
      </c>
      <c r="VKG618" s="17">
        <v>44925</v>
      </c>
      <c r="VKH618" s="5" t="s">
        <v>3728</v>
      </c>
      <c r="VKI618" s="17">
        <v>44925</v>
      </c>
      <c r="VKJ618" s="5" t="s">
        <v>3728</v>
      </c>
      <c r="VKK618" s="17">
        <v>44925</v>
      </c>
      <c r="VKL618" s="5" t="s">
        <v>3728</v>
      </c>
      <c r="VKM618" s="17">
        <v>44925</v>
      </c>
      <c r="VKN618" s="5" t="s">
        <v>3728</v>
      </c>
      <c r="VKO618" s="17">
        <v>44925</v>
      </c>
      <c r="VKP618" s="5" t="s">
        <v>3728</v>
      </c>
      <c r="VKQ618" s="17">
        <v>44925</v>
      </c>
      <c r="VKR618" s="5" t="s">
        <v>3728</v>
      </c>
      <c r="VKS618" s="17">
        <v>44925</v>
      </c>
      <c r="VKT618" s="5" t="s">
        <v>3728</v>
      </c>
      <c r="VKU618" s="17">
        <v>44925</v>
      </c>
      <c r="VKV618" s="5" t="s">
        <v>3728</v>
      </c>
      <c r="VKW618" s="17">
        <v>44925</v>
      </c>
      <c r="VKX618" s="5" t="s">
        <v>3728</v>
      </c>
      <c r="VKY618" s="17">
        <v>44925</v>
      </c>
      <c r="VKZ618" s="5" t="s">
        <v>3728</v>
      </c>
      <c r="VLA618" s="17">
        <v>44925</v>
      </c>
      <c r="VLB618" s="5" t="s">
        <v>3728</v>
      </c>
      <c r="VLC618" s="17">
        <v>44925</v>
      </c>
      <c r="VLD618" s="5" t="s">
        <v>3728</v>
      </c>
      <c r="VLE618" s="17">
        <v>44925</v>
      </c>
      <c r="VLF618" s="5" t="s">
        <v>3728</v>
      </c>
      <c r="VLG618" s="17">
        <v>44925</v>
      </c>
      <c r="VLH618" s="5" t="s">
        <v>3728</v>
      </c>
      <c r="VLI618" s="17">
        <v>44925</v>
      </c>
      <c r="VLJ618" s="5" t="s">
        <v>3728</v>
      </c>
      <c r="VLK618" s="17">
        <v>44925</v>
      </c>
      <c r="VLL618" s="5" t="s">
        <v>3728</v>
      </c>
      <c r="VLM618" s="17">
        <v>44925</v>
      </c>
      <c r="VLN618" s="5" t="s">
        <v>3728</v>
      </c>
      <c r="VLO618" s="17">
        <v>44925</v>
      </c>
      <c r="VLP618" s="5" t="s">
        <v>3728</v>
      </c>
      <c r="VLQ618" s="17">
        <v>44925</v>
      </c>
      <c r="VLR618" s="5" t="s">
        <v>3728</v>
      </c>
      <c r="VLS618" s="17">
        <v>44925</v>
      </c>
      <c r="VLT618" s="5" t="s">
        <v>3728</v>
      </c>
      <c r="VLU618" s="17">
        <v>44925</v>
      </c>
      <c r="VLV618" s="5" t="s">
        <v>3728</v>
      </c>
      <c r="VLW618" s="17">
        <v>44925</v>
      </c>
      <c r="VLX618" s="5" t="s">
        <v>3728</v>
      </c>
      <c r="VLY618" s="17">
        <v>44925</v>
      </c>
      <c r="VLZ618" s="5" t="s">
        <v>3728</v>
      </c>
      <c r="VMA618" s="17">
        <v>44925</v>
      </c>
      <c r="VMB618" s="5" t="s">
        <v>3728</v>
      </c>
      <c r="VMC618" s="17">
        <v>44925</v>
      </c>
      <c r="VMD618" s="5" t="s">
        <v>3728</v>
      </c>
      <c r="VME618" s="17">
        <v>44925</v>
      </c>
      <c r="VMF618" s="5" t="s">
        <v>3728</v>
      </c>
      <c r="VMG618" s="17">
        <v>44925</v>
      </c>
      <c r="VMH618" s="5" t="s">
        <v>3728</v>
      </c>
      <c r="VMI618" s="17">
        <v>44925</v>
      </c>
      <c r="VMJ618" s="5" t="s">
        <v>3728</v>
      </c>
      <c r="VMK618" s="17">
        <v>44925</v>
      </c>
      <c r="VML618" s="5" t="s">
        <v>3728</v>
      </c>
      <c r="VMM618" s="17">
        <v>44925</v>
      </c>
      <c r="VMN618" s="5" t="s">
        <v>3728</v>
      </c>
      <c r="VMO618" s="17">
        <v>44925</v>
      </c>
      <c r="VMP618" s="5" t="s">
        <v>3728</v>
      </c>
      <c r="VMQ618" s="17">
        <v>44925</v>
      </c>
      <c r="VMR618" s="5" t="s">
        <v>3728</v>
      </c>
      <c r="VMS618" s="17">
        <v>44925</v>
      </c>
      <c r="VMT618" s="5" t="s">
        <v>3728</v>
      </c>
      <c r="VMU618" s="17">
        <v>44925</v>
      </c>
      <c r="VMV618" s="5" t="s">
        <v>3728</v>
      </c>
      <c r="VMW618" s="17">
        <v>44925</v>
      </c>
      <c r="VMX618" s="5" t="s">
        <v>3728</v>
      </c>
      <c r="VMY618" s="17">
        <v>44925</v>
      </c>
      <c r="VMZ618" s="5" t="s">
        <v>3728</v>
      </c>
      <c r="VNA618" s="17">
        <v>44925</v>
      </c>
      <c r="VNB618" s="5" t="s">
        <v>3728</v>
      </c>
      <c r="VNC618" s="17">
        <v>44925</v>
      </c>
      <c r="VND618" s="5" t="s">
        <v>3728</v>
      </c>
      <c r="VNE618" s="17">
        <v>44925</v>
      </c>
      <c r="VNF618" s="5" t="s">
        <v>3728</v>
      </c>
      <c r="VNG618" s="17">
        <v>44925</v>
      </c>
      <c r="VNH618" s="5" t="s">
        <v>3728</v>
      </c>
      <c r="VNI618" s="17">
        <v>44925</v>
      </c>
      <c r="VNJ618" s="5" t="s">
        <v>3728</v>
      </c>
      <c r="VNK618" s="17">
        <v>44925</v>
      </c>
      <c r="VNL618" s="5" t="s">
        <v>3728</v>
      </c>
      <c r="VNM618" s="17">
        <v>44925</v>
      </c>
      <c r="VNN618" s="5" t="s">
        <v>3728</v>
      </c>
      <c r="VNO618" s="17">
        <v>44925</v>
      </c>
      <c r="VNP618" s="5" t="s">
        <v>3728</v>
      </c>
      <c r="VNQ618" s="17">
        <v>44925</v>
      </c>
      <c r="VNR618" s="5" t="s">
        <v>3728</v>
      </c>
      <c r="VNS618" s="17">
        <v>44925</v>
      </c>
      <c r="VNT618" s="5" t="s">
        <v>3728</v>
      </c>
      <c r="VNU618" s="17">
        <v>44925</v>
      </c>
      <c r="VNV618" s="5" t="s">
        <v>3728</v>
      </c>
      <c r="VNW618" s="17">
        <v>44925</v>
      </c>
      <c r="VNX618" s="5" t="s">
        <v>3728</v>
      </c>
      <c r="VNY618" s="17">
        <v>44925</v>
      </c>
      <c r="VNZ618" s="5" t="s">
        <v>3728</v>
      </c>
      <c r="VOA618" s="17">
        <v>44925</v>
      </c>
      <c r="VOB618" s="5" t="s">
        <v>3728</v>
      </c>
      <c r="VOC618" s="17">
        <v>44925</v>
      </c>
      <c r="VOD618" s="5" t="s">
        <v>3728</v>
      </c>
      <c r="VOE618" s="17">
        <v>44925</v>
      </c>
      <c r="VOF618" s="5" t="s">
        <v>3728</v>
      </c>
      <c r="VOG618" s="17">
        <v>44925</v>
      </c>
      <c r="VOH618" s="5" t="s">
        <v>3728</v>
      </c>
      <c r="VOI618" s="17">
        <v>44925</v>
      </c>
      <c r="VOJ618" s="5" t="s">
        <v>3728</v>
      </c>
      <c r="VOK618" s="17">
        <v>44925</v>
      </c>
      <c r="VOL618" s="5" t="s">
        <v>3728</v>
      </c>
      <c r="VOM618" s="17">
        <v>44925</v>
      </c>
      <c r="VON618" s="5" t="s">
        <v>3728</v>
      </c>
      <c r="VOO618" s="17">
        <v>44925</v>
      </c>
      <c r="VOP618" s="5" t="s">
        <v>3728</v>
      </c>
      <c r="VOQ618" s="17">
        <v>44925</v>
      </c>
      <c r="VOR618" s="5" t="s">
        <v>3728</v>
      </c>
      <c r="VOS618" s="17">
        <v>44925</v>
      </c>
      <c r="VOT618" s="5" t="s">
        <v>3728</v>
      </c>
      <c r="VOU618" s="17">
        <v>44925</v>
      </c>
      <c r="VOV618" s="5" t="s">
        <v>3728</v>
      </c>
      <c r="VOW618" s="17">
        <v>44925</v>
      </c>
      <c r="VOX618" s="5" t="s">
        <v>3728</v>
      </c>
      <c r="VOY618" s="17">
        <v>44925</v>
      </c>
      <c r="VOZ618" s="5" t="s">
        <v>3728</v>
      </c>
      <c r="VPA618" s="17">
        <v>44925</v>
      </c>
      <c r="VPB618" s="5" t="s">
        <v>3728</v>
      </c>
      <c r="VPC618" s="17">
        <v>44925</v>
      </c>
      <c r="VPD618" s="5" t="s">
        <v>3728</v>
      </c>
      <c r="VPE618" s="17">
        <v>44925</v>
      </c>
      <c r="VPF618" s="5" t="s">
        <v>3728</v>
      </c>
      <c r="VPG618" s="17">
        <v>44925</v>
      </c>
      <c r="VPH618" s="5" t="s">
        <v>3728</v>
      </c>
      <c r="VPI618" s="17">
        <v>44925</v>
      </c>
      <c r="VPJ618" s="5" t="s">
        <v>3728</v>
      </c>
      <c r="VPK618" s="17">
        <v>44925</v>
      </c>
      <c r="VPL618" s="5" t="s">
        <v>3728</v>
      </c>
      <c r="VPM618" s="17">
        <v>44925</v>
      </c>
      <c r="VPN618" s="5" t="s">
        <v>3728</v>
      </c>
      <c r="VPO618" s="17">
        <v>44925</v>
      </c>
      <c r="VPP618" s="5" t="s">
        <v>3728</v>
      </c>
      <c r="VPQ618" s="17">
        <v>44925</v>
      </c>
      <c r="VPR618" s="5" t="s">
        <v>3728</v>
      </c>
      <c r="VPS618" s="17">
        <v>44925</v>
      </c>
      <c r="VPT618" s="5" t="s">
        <v>3728</v>
      </c>
      <c r="VPU618" s="17">
        <v>44925</v>
      </c>
      <c r="VPV618" s="5" t="s">
        <v>3728</v>
      </c>
      <c r="VPW618" s="17">
        <v>44925</v>
      </c>
      <c r="VPX618" s="5" t="s">
        <v>3728</v>
      </c>
      <c r="VPY618" s="17">
        <v>44925</v>
      </c>
      <c r="VPZ618" s="5" t="s">
        <v>3728</v>
      </c>
      <c r="VQA618" s="17">
        <v>44925</v>
      </c>
      <c r="VQB618" s="5" t="s">
        <v>3728</v>
      </c>
      <c r="VQC618" s="17">
        <v>44925</v>
      </c>
      <c r="VQD618" s="5" t="s">
        <v>3728</v>
      </c>
      <c r="VQE618" s="17">
        <v>44925</v>
      </c>
      <c r="VQF618" s="5" t="s">
        <v>3728</v>
      </c>
      <c r="VQG618" s="17">
        <v>44925</v>
      </c>
      <c r="VQH618" s="5" t="s">
        <v>3728</v>
      </c>
      <c r="VQI618" s="17">
        <v>44925</v>
      </c>
      <c r="VQJ618" s="5" t="s">
        <v>3728</v>
      </c>
      <c r="VQK618" s="17">
        <v>44925</v>
      </c>
      <c r="VQL618" s="5" t="s">
        <v>3728</v>
      </c>
      <c r="VQM618" s="17">
        <v>44925</v>
      </c>
      <c r="VQN618" s="5" t="s">
        <v>3728</v>
      </c>
      <c r="VQO618" s="17">
        <v>44925</v>
      </c>
      <c r="VQP618" s="5" t="s">
        <v>3728</v>
      </c>
      <c r="VQQ618" s="17">
        <v>44925</v>
      </c>
      <c r="VQR618" s="5" t="s">
        <v>3728</v>
      </c>
      <c r="VQS618" s="17">
        <v>44925</v>
      </c>
      <c r="VQT618" s="5" t="s">
        <v>3728</v>
      </c>
      <c r="VQU618" s="17">
        <v>44925</v>
      </c>
      <c r="VQV618" s="5" t="s">
        <v>3728</v>
      </c>
      <c r="VQW618" s="17">
        <v>44925</v>
      </c>
      <c r="VQX618" s="5" t="s">
        <v>3728</v>
      </c>
      <c r="VQY618" s="17">
        <v>44925</v>
      </c>
      <c r="VQZ618" s="5" t="s">
        <v>3728</v>
      </c>
      <c r="VRA618" s="17">
        <v>44925</v>
      </c>
      <c r="VRB618" s="5" t="s">
        <v>3728</v>
      </c>
      <c r="VRC618" s="17">
        <v>44925</v>
      </c>
      <c r="VRD618" s="5" t="s">
        <v>3728</v>
      </c>
      <c r="VRE618" s="17">
        <v>44925</v>
      </c>
      <c r="VRF618" s="5" t="s">
        <v>3728</v>
      </c>
      <c r="VRG618" s="17">
        <v>44925</v>
      </c>
      <c r="VRH618" s="5" t="s">
        <v>3728</v>
      </c>
      <c r="VRI618" s="17">
        <v>44925</v>
      </c>
      <c r="VRJ618" s="5" t="s">
        <v>3728</v>
      </c>
      <c r="VRK618" s="17">
        <v>44925</v>
      </c>
      <c r="VRL618" s="5" t="s">
        <v>3728</v>
      </c>
      <c r="VRM618" s="17">
        <v>44925</v>
      </c>
      <c r="VRN618" s="5" t="s">
        <v>3728</v>
      </c>
      <c r="VRO618" s="17">
        <v>44925</v>
      </c>
      <c r="VRP618" s="5" t="s">
        <v>3728</v>
      </c>
      <c r="VRQ618" s="17">
        <v>44925</v>
      </c>
      <c r="VRR618" s="5" t="s">
        <v>3728</v>
      </c>
      <c r="VRS618" s="17">
        <v>44925</v>
      </c>
      <c r="VRT618" s="5" t="s">
        <v>3728</v>
      </c>
      <c r="VRU618" s="17">
        <v>44925</v>
      </c>
      <c r="VRV618" s="5" t="s">
        <v>3728</v>
      </c>
      <c r="VRW618" s="17">
        <v>44925</v>
      </c>
      <c r="VRX618" s="5" t="s">
        <v>3728</v>
      </c>
      <c r="VRY618" s="17">
        <v>44925</v>
      </c>
      <c r="VRZ618" s="5" t="s">
        <v>3728</v>
      </c>
      <c r="VSA618" s="17">
        <v>44925</v>
      </c>
      <c r="VSB618" s="5" t="s">
        <v>3728</v>
      </c>
      <c r="VSC618" s="17">
        <v>44925</v>
      </c>
      <c r="VSD618" s="5" t="s">
        <v>3728</v>
      </c>
      <c r="VSE618" s="17">
        <v>44925</v>
      </c>
      <c r="VSF618" s="5" t="s">
        <v>3728</v>
      </c>
      <c r="VSG618" s="17">
        <v>44925</v>
      </c>
      <c r="VSH618" s="5" t="s">
        <v>3728</v>
      </c>
      <c r="VSI618" s="17">
        <v>44925</v>
      </c>
      <c r="VSJ618" s="5" t="s">
        <v>3728</v>
      </c>
      <c r="VSK618" s="17">
        <v>44925</v>
      </c>
      <c r="VSL618" s="5" t="s">
        <v>3728</v>
      </c>
      <c r="VSM618" s="17">
        <v>44925</v>
      </c>
      <c r="VSN618" s="5" t="s">
        <v>3728</v>
      </c>
      <c r="VSO618" s="17">
        <v>44925</v>
      </c>
      <c r="VSP618" s="5" t="s">
        <v>3728</v>
      </c>
      <c r="VSQ618" s="17">
        <v>44925</v>
      </c>
      <c r="VSR618" s="5" t="s">
        <v>3728</v>
      </c>
      <c r="VSS618" s="17">
        <v>44925</v>
      </c>
      <c r="VST618" s="5" t="s">
        <v>3728</v>
      </c>
      <c r="VSU618" s="17">
        <v>44925</v>
      </c>
      <c r="VSV618" s="5" t="s">
        <v>3728</v>
      </c>
      <c r="VSW618" s="17">
        <v>44925</v>
      </c>
      <c r="VSX618" s="5" t="s">
        <v>3728</v>
      </c>
      <c r="VSY618" s="17">
        <v>44925</v>
      </c>
      <c r="VSZ618" s="5" t="s">
        <v>3728</v>
      </c>
      <c r="VTA618" s="17">
        <v>44925</v>
      </c>
      <c r="VTB618" s="5" t="s">
        <v>3728</v>
      </c>
      <c r="VTC618" s="17">
        <v>44925</v>
      </c>
      <c r="VTD618" s="5" t="s">
        <v>3728</v>
      </c>
      <c r="VTE618" s="17">
        <v>44925</v>
      </c>
      <c r="VTF618" s="5" t="s">
        <v>3728</v>
      </c>
      <c r="VTG618" s="17">
        <v>44925</v>
      </c>
      <c r="VTH618" s="5" t="s">
        <v>3728</v>
      </c>
      <c r="VTI618" s="17">
        <v>44925</v>
      </c>
      <c r="VTJ618" s="5" t="s">
        <v>3728</v>
      </c>
      <c r="VTK618" s="17">
        <v>44925</v>
      </c>
      <c r="VTL618" s="5" t="s">
        <v>3728</v>
      </c>
      <c r="VTM618" s="17">
        <v>44925</v>
      </c>
      <c r="VTN618" s="5" t="s">
        <v>3728</v>
      </c>
      <c r="VTO618" s="17">
        <v>44925</v>
      </c>
      <c r="VTP618" s="5" t="s">
        <v>3728</v>
      </c>
      <c r="VTQ618" s="17">
        <v>44925</v>
      </c>
      <c r="VTR618" s="5" t="s">
        <v>3728</v>
      </c>
      <c r="VTS618" s="17">
        <v>44925</v>
      </c>
      <c r="VTT618" s="5" t="s">
        <v>3728</v>
      </c>
      <c r="VTU618" s="17">
        <v>44925</v>
      </c>
      <c r="VTV618" s="5" t="s">
        <v>3728</v>
      </c>
      <c r="VTW618" s="17">
        <v>44925</v>
      </c>
      <c r="VTX618" s="5" t="s">
        <v>3728</v>
      </c>
      <c r="VTY618" s="17">
        <v>44925</v>
      </c>
      <c r="VTZ618" s="5" t="s">
        <v>3728</v>
      </c>
      <c r="VUA618" s="17">
        <v>44925</v>
      </c>
      <c r="VUB618" s="5" t="s">
        <v>3728</v>
      </c>
      <c r="VUC618" s="17">
        <v>44925</v>
      </c>
      <c r="VUD618" s="5" t="s">
        <v>3728</v>
      </c>
      <c r="VUE618" s="17">
        <v>44925</v>
      </c>
      <c r="VUF618" s="5" t="s">
        <v>3728</v>
      </c>
      <c r="VUG618" s="17">
        <v>44925</v>
      </c>
      <c r="VUH618" s="5" t="s">
        <v>3728</v>
      </c>
      <c r="VUI618" s="17">
        <v>44925</v>
      </c>
      <c r="VUJ618" s="5" t="s">
        <v>3728</v>
      </c>
      <c r="VUK618" s="17">
        <v>44925</v>
      </c>
      <c r="VUL618" s="5" t="s">
        <v>3728</v>
      </c>
      <c r="VUM618" s="17">
        <v>44925</v>
      </c>
      <c r="VUN618" s="5" t="s">
        <v>3728</v>
      </c>
      <c r="VUO618" s="17">
        <v>44925</v>
      </c>
      <c r="VUP618" s="5" t="s">
        <v>3728</v>
      </c>
      <c r="VUQ618" s="17">
        <v>44925</v>
      </c>
      <c r="VUR618" s="5" t="s">
        <v>3728</v>
      </c>
      <c r="VUS618" s="17">
        <v>44925</v>
      </c>
      <c r="VUT618" s="5" t="s">
        <v>3728</v>
      </c>
      <c r="VUU618" s="17">
        <v>44925</v>
      </c>
      <c r="VUV618" s="5" t="s">
        <v>3728</v>
      </c>
      <c r="VUW618" s="17">
        <v>44925</v>
      </c>
      <c r="VUX618" s="5" t="s">
        <v>3728</v>
      </c>
      <c r="VUY618" s="17">
        <v>44925</v>
      </c>
      <c r="VUZ618" s="5" t="s">
        <v>3728</v>
      </c>
      <c r="VVA618" s="17">
        <v>44925</v>
      </c>
      <c r="VVB618" s="5" t="s">
        <v>3728</v>
      </c>
      <c r="VVC618" s="17">
        <v>44925</v>
      </c>
      <c r="VVD618" s="5" t="s">
        <v>3728</v>
      </c>
      <c r="VVE618" s="17">
        <v>44925</v>
      </c>
      <c r="VVF618" s="5" t="s">
        <v>3728</v>
      </c>
      <c r="VVG618" s="17">
        <v>44925</v>
      </c>
      <c r="VVH618" s="5" t="s">
        <v>3728</v>
      </c>
      <c r="VVI618" s="17">
        <v>44925</v>
      </c>
      <c r="VVJ618" s="5" t="s">
        <v>3728</v>
      </c>
      <c r="VVK618" s="17">
        <v>44925</v>
      </c>
      <c r="VVL618" s="5" t="s">
        <v>3728</v>
      </c>
      <c r="VVM618" s="17">
        <v>44925</v>
      </c>
      <c r="VVN618" s="5" t="s">
        <v>3728</v>
      </c>
      <c r="VVO618" s="17">
        <v>44925</v>
      </c>
      <c r="VVP618" s="5" t="s">
        <v>3728</v>
      </c>
      <c r="VVQ618" s="17">
        <v>44925</v>
      </c>
      <c r="VVR618" s="5" t="s">
        <v>3728</v>
      </c>
      <c r="VVS618" s="17">
        <v>44925</v>
      </c>
      <c r="VVT618" s="5" t="s">
        <v>3728</v>
      </c>
      <c r="VVU618" s="17">
        <v>44925</v>
      </c>
      <c r="VVV618" s="5" t="s">
        <v>3728</v>
      </c>
      <c r="VVW618" s="17">
        <v>44925</v>
      </c>
      <c r="VVX618" s="5" t="s">
        <v>3728</v>
      </c>
      <c r="VVY618" s="17">
        <v>44925</v>
      </c>
      <c r="VVZ618" s="5" t="s">
        <v>3728</v>
      </c>
      <c r="VWA618" s="17">
        <v>44925</v>
      </c>
      <c r="VWB618" s="5" t="s">
        <v>3728</v>
      </c>
      <c r="VWC618" s="17">
        <v>44925</v>
      </c>
      <c r="VWD618" s="5" t="s">
        <v>3728</v>
      </c>
      <c r="VWE618" s="17">
        <v>44925</v>
      </c>
      <c r="VWF618" s="5" t="s">
        <v>3728</v>
      </c>
      <c r="VWG618" s="17">
        <v>44925</v>
      </c>
      <c r="VWH618" s="5" t="s">
        <v>3728</v>
      </c>
      <c r="VWI618" s="17">
        <v>44925</v>
      </c>
      <c r="VWJ618" s="5" t="s">
        <v>3728</v>
      </c>
      <c r="VWK618" s="17">
        <v>44925</v>
      </c>
      <c r="VWL618" s="5" t="s">
        <v>3728</v>
      </c>
      <c r="VWM618" s="17">
        <v>44925</v>
      </c>
      <c r="VWN618" s="5" t="s">
        <v>3728</v>
      </c>
      <c r="VWO618" s="17">
        <v>44925</v>
      </c>
      <c r="VWP618" s="5" t="s">
        <v>3728</v>
      </c>
      <c r="VWQ618" s="17">
        <v>44925</v>
      </c>
      <c r="VWR618" s="5" t="s">
        <v>3728</v>
      </c>
      <c r="VWS618" s="17">
        <v>44925</v>
      </c>
      <c r="VWT618" s="5" t="s">
        <v>3728</v>
      </c>
      <c r="VWU618" s="17">
        <v>44925</v>
      </c>
      <c r="VWV618" s="5" t="s">
        <v>3728</v>
      </c>
      <c r="VWW618" s="17">
        <v>44925</v>
      </c>
      <c r="VWX618" s="5" t="s">
        <v>3728</v>
      </c>
      <c r="VWY618" s="17">
        <v>44925</v>
      </c>
      <c r="VWZ618" s="5" t="s">
        <v>3728</v>
      </c>
      <c r="VXA618" s="17">
        <v>44925</v>
      </c>
      <c r="VXB618" s="5" t="s">
        <v>3728</v>
      </c>
      <c r="VXC618" s="17">
        <v>44925</v>
      </c>
      <c r="VXD618" s="5" t="s">
        <v>3728</v>
      </c>
      <c r="VXE618" s="17">
        <v>44925</v>
      </c>
      <c r="VXF618" s="5" t="s">
        <v>3728</v>
      </c>
      <c r="VXG618" s="17">
        <v>44925</v>
      </c>
      <c r="VXH618" s="5" t="s">
        <v>3728</v>
      </c>
      <c r="VXI618" s="17">
        <v>44925</v>
      </c>
      <c r="VXJ618" s="5" t="s">
        <v>3728</v>
      </c>
      <c r="VXK618" s="17">
        <v>44925</v>
      </c>
      <c r="VXL618" s="5" t="s">
        <v>3728</v>
      </c>
      <c r="VXM618" s="17">
        <v>44925</v>
      </c>
      <c r="VXN618" s="5" t="s">
        <v>3728</v>
      </c>
      <c r="VXO618" s="17">
        <v>44925</v>
      </c>
      <c r="VXP618" s="5" t="s">
        <v>3728</v>
      </c>
      <c r="VXQ618" s="17">
        <v>44925</v>
      </c>
      <c r="VXR618" s="5" t="s">
        <v>3728</v>
      </c>
      <c r="VXS618" s="17">
        <v>44925</v>
      </c>
      <c r="VXT618" s="5" t="s">
        <v>3728</v>
      </c>
      <c r="VXU618" s="17">
        <v>44925</v>
      </c>
      <c r="VXV618" s="5" t="s">
        <v>3728</v>
      </c>
      <c r="VXW618" s="17">
        <v>44925</v>
      </c>
      <c r="VXX618" s="5" t="s">
        <v>3728</v>
      </c>
      <c r="VXY618" s="17">
        <v>44925</v>
      </c>
      <c r="VXZ618" s="5" t="s">
        <v>3728</v>
      </c>
      <c r="VYA618" s="17">
        <v>44925</v>
      </c>
      <c r="VYB618" s="5" t="s">
        <v>3728</v>
      </c>
      <c r="VYC618" s="17">
        <v>44925</v>
      </c>
      <c r="VYD618" s="5" t="s">
        <v>3728</v>
      </c>
      <c r="VYE618" s="17">
        <v>44925</v>
      </c>
      <c r="VYF618" s="5" t="s">
        <v>3728</v>
      </c>
      <c r="VYG618" s="17">
        <v>44925</v>
      </c>
      <c r="VYH618" s="5" t="s">
        <v>3728</v>
      </c>
      <c r="VYI618" s="17">
        <v>44925</v>
      </c>
      <c r="VYJ618" s="5" t="s">
        <v>3728</v>
      </c>
      <c r="VYK618" s="17">
        <v>44925</v>
      </c>
      <c r="VYL618" s="5" t="s">
        <v>3728</v>
      </c>
      <c r="VYM618" s="17">
        <v>44925</v>
      </c>
      <c r="VYN618" s="5" t="s">
        <v>3728</v>
      </c>
      <c r="VYO618" s="17">
        <v>44925</v>
      </c>
      <c r="VYP618" s="5" t="s">
        <v>3728</v>
      </c>
      <c r="VYQ618" s="17">
        <v>44925</v>
      </c>
      <c r="VYR618" s="5" t="s">
        <v>3728</v>
      </c>
      <c r="VYS618" s="17">
        <v>44925</v>
      </c>
      <c r="VYT618" s="5" t="s">
        <v>3728</v>
      </c>
      <c r="VYU618" s="17">
        <v>44925</v>
      </c>
      <c r="VYV618" s="5" t="s">
        <v>3728</v>
      </c>
      <c r="VYW618" s="17">
        <v>44925</v>
      </c>
      <c r="VYX618" s="5" t="s">
        <v>3728</v>
      </c>
      <c r="VYY618" s="17">
        <v>44925</v>
      </c>
      <c r="VYZ618" s="5" t="s">
        <v>3728</v>
      </c>
      <c r="VZA618" s="17">
        <v>44925</v>
      </c>
      <c r="VZB618" s="5" t="s">
        <v>3728</v>
      </c>
      <c r="VZC618" s="17">
        <v>44925</v>
      </c>
      <c r="VZD618" s="5" t="s">
        <v>3728</v>
      </c>
      <c r="VZE618" s="17">
        <v>44925</v>
      </c>
      <c r="VZF618" s="5" t="s">
        <v>3728</v>
      </c>
      <c r="VZG618" s="17">
        <v>44925</v>
      </c>
      <c r="VZH618" s="5" t="s">
        <v>3728</v>
      </c>
      <c r="VZI618" s="17">
        <v>44925</v>
      </c>
      <c r="VZJ618" s="5" t="s">
        <v>3728</v>
      </c>
      <c r="VZK618" s="17">
        <v>44925</v>
      </c>
      <c r="VZL618" s="5" t="s">
        <v>3728</v>
      </c>
      <c r="VZM618" s="17">
        <v>44925</v>
      </c>
      <c r="VZN618" s="5" t="s">
        <v>3728</v>
      </c>
      <c r="VZO618" s="17">
        <v>44925</v>
      </c>
      <c r="VZP618" s="5" t="s">
        <v>3728</v>
      </c>
      <c r="VZQ618" s="17">
        <v>44925</v>
      </c>
      <c r="VZR618" s="5" t="s">
        <v>3728</v>
      </c>
      <c r="VZS618" s="17">
        <v>44925</v>
      </c>
      <c r="VZT618" s="5" t="s">
        <v>3728</v>
      </c>
      <c r="VZU618" s="17">
        <v>44925</v>
      </c>
      <c r="VZV618" s="5" t="s">
        <v>3728</v>
      </c>
      <c r="VZW618" s="17">
        <v>44925</v>
      </c>
      <c r="VZX618" s="5" t="s">
        <v>3728</v>
      </c>
      <c r="VZY618" s="17">
        <v>44925</v>
      </c>
      <c r="VZZ618" s="5" t="s">
        <v>3728</v>
      </c>
      <c r="WAA618" s="17">
        <v>44925</v>
      </c>
      <c r="WAB618" s="5" t="s">
        <v>3728</v>
      </c>
      <c r="WAC618" s="17">
        <v>44925</v>
      </c>
      <c r="WAD618" s="5" t="s">
        <v>3728</v>
      </c>
      <c r="WAE618" s="17">
        <v>44925</v>
      </c>
      <c r="WAF618" s="5" t="s">
        <v>3728</v>
      </c>
      <c r="WAG618" s="17">
        <v>44925</v>
      </c>
      <c r="WAH618" s="5" t="s">
        <v>3728</v>
      </c>
      <c r="WAI618" s="17">
        <v>44925</v>
      </c>
      <c r="WAJ618" s="5" t="s">
        <v>3728</v>
      </c>
      <c r="WAK618" s="17">
        <v>44925</v>
      </c>
      <c r="WAL618" s="5" t="s">
        <v>3728</v>
      </c>
      <c r="WAM618" s="17">
        <v>44925</v>
      </c>
      <c r="WAN618" s="5" t="s">
        <v>3728</v>
      </c>
      <c r="WAO618" s="17">
        <v>44925</v>
      </c>
      <c r="WAP618" s="5" t="s">
        <v>3728</v>
      </c>
      <c r="WAQ618" s="17">
        <v>44925</v>
      </c>
      <c r="WAR618" s="5" t="s">
        <v>3728</v>
      </c>
      <c r="WAS618" s="17">
        <v>44925</v>
      </c>
      <c r="WAT618" s="5" t="s">
        <v>3728</v>
      </c>
      <c r="WAU618" s="17">
        <v>44925</v>
      </c>
      <c r="WAV618" s="5" t="s">
        <v>3728</v>
      </c>
      <c r="WAW618" s="17">
        <v>44925</v>
      </c>
      <c r="WAX618" s="5" t="s">
        <v>3728</v>
      </c>
      <c r="WAY618" s="17">
        <v>44925</v>
      </c>
      <c r="WAZ618" s="5" t="s">
        <v>3728</v>
      </c>
      <c r="WBA618" s="17">
        <v>44925</v>
      </c>
      <c r="WBB618" s="5" t="s">
        <v>3728</v>
      </c>
      <c r="WBC618" s="17">
        <v>44925</v>
      </c>
      <c r="WBD618" s="5" t="s">
        <v>3728</v>
      </c>
      <c r="WBE618" s="17">
        <v>44925</v>
      </c>
      <c r="WBF618" s="5" t="s">
        <v>3728</v>
      </c>
      <c r="WBG618" s="17">
        <v>44925</v>
      </c>
      <c r="WBH618" s="5" t="s">
        <v>3728</v>
      </c>
      <c r="WBI618" s="17">
        <v>44925</v>
      </c>
      <c r="WBJ618" s="5" t="s">
        <v>3728</v>
      </c>
      <c r="WBK618" s="17">
        <v>44925</v>
      </c>
      <c r="WBL618" s="5" t="s">
        <v>3728</v>
      </c>
      <c r="WBM618" s="17">
        <v>44925</v>
      </c>
      <c r="WBN618" s="5" t="s">
        <v>3728</v>
      </c>
      <c r="WBO618" s="17">
        <v>44925</v>
      </c>
      <c r="WBP618" s="5" t="s">
        <v>3728</v>
      </c>
      <c r="WBQ618" s="17">
        <v>44925</v>
      </c>
      <c r="WBR618" s="5" t="s">
        <v>3728</v>
      </c>
      <c r="WBS618" s="17">
        <v>44925</v>
      </c>
      <c r="WBT618" s="5" t="s">
        <v>3728</v>
      </c>
      <c r="WBU618" s="17">
        <v>44925</v>
      </c>
      <c r="WBV618" s="5" t="s">
        <v>3728</v>
      </c>
      <c r="WBW618" s="17">
        <v>44925</v>
      </c>
      <c r="WBX618" s="5" t="s">
        <v>3728</v>
      </c>
      <c r="WBY618" s="17">
        <v>44925</v>
      </c>
      <c r="WBZ618" s="5" t="s">
        <v>3728</v>
      </c>
      <c r="WCA618" s="17">
        <v>44925</v>
      </c>
      <c r="WCB618" s="5" t="s">
        <v>3728</v>
      </c>
      <c r="WCC618" s="17">
        <v>44925</v>
      </c>
      <c r="WCD618" s="5" t="s">
        <v>3728</v>
      </c>
      <c r="WCE618" s="17">
        <v>44925</v>
      </c>
      <c r="WCF618" s="5" t="s">
        <v>3728</v>
      </c>
      <c r="WCG618" s="17">
        <v>44925</v>
      </c>
      <c r="WCH618" s="5" t="s">
        <v>3728</v>
      </c>
      <c r="WCI618" s="17">
        <v>44925</v>
      </c>
      <c r="WCJ618" s="5" t="s">
        <v>3728</v>
      </c>
      <c r="WCK618" s="17">
        <v>44925</v>
      </c>
      <c r="WCL618" s="5" t="s">
        <v>3728</v>
      </c>
      <c r="WCM618" s="17">
        <v>44925</v>
      </c>
      <c r="WCN618" s="5" t="s">
        <v>3728</v>
      </c>
      <c r="WCO618" s="17">
        <v>44925</v>
      </c>
      <c r="WCP618" s="5" t="s">
        <v>3728</v>
      </c>
      <c r="WCQ618" s="17">
        <v>44925</v>
      </c>
      <c r="WCR618" s="5" t="s">
        <v>3728</v>
      </c>
      <c r="WCS618" s="17">
        <v>44925</v>
      </c>
      <c r="WCT618" s="5" t="s">
        <v>3728</v>
      </c>
      <c r="WCU618" s="17">
        <v>44925</v>
      </c>
      <c r="WCV618" s="5" t="s">
        <v>3728</v>
      </c>
      <c r="WCW618" s="17">
        <v>44925</v>
      </c>
      <c r="WCX618" s="5" t="s">
        <v>3728</v>
      </c>
      <c r="WCY618" s="17">
        <v>44925</v>
      </c>
      <c r="WCZ618" s="5" t="s">
        <v>3728</v>
      </c>
      <c r="WDA618" s="17">
        <v>44925</v>
      </c>
      <c r="WDB618" s="5" t="s">
        <v>3728</v>
      </c>
      <c r="WDC618" s="17">
        <v>44925</v>
      </c>
      <c r="WDD618" s="5" t="s">
        <v>3728</v>
      </c>
      <c r="WDE618" s="17">
        <v>44925</v>
      </c>
      <c r="WDF618" s="5" t="s">
        <v>3728</v>
      </c>
      <c r="WDG618" s="17">
        <v>44925</v>
      </c>
      <c r="WDH618" s="5" t="s">
        <v>3728</v>
      </c>
      <c r="WDI618" s="17">
        <v>44925</v>
      </c>
      <c r="WDJ618" s="5" t="s">
        <v>3728</v>
      </c>
      <c r="WDK618" s="17">
        <v>44925</v>
      </c>
      <c r="WDL618" s="5" t="s">
        <v>3728</v>
      </c>
      <c r="WDM618" s="17">
        <v>44925</v>
      </c>
      <c r="WDN618" s="5" t="s">
        <v>3728</v>
      </c>
      <c r="WDO618" s="17">
        <v>44925</v>
      </c>
      <c r="WDP618" s="5" t="s">
        <v>3728</v>
      </c>
      <c r="WDQ618" s="17">
        <v>44925</v>
      </c>
      <c r="WDR618" s="5" t="s">
        <v>3728</v>
      </c>
      <c r="WDS618" s="17">
        <v>44925</v>
      </c>
      <c r="WDT618" s="5" t="s">
        <v>3728</v>
      </c>
      <c r="WDU618" s="17">
        <v>44925</v>
      </c>
      <c r="WDV618" s="5" t="s">
        <v>3728</v>
      </c>
      <c r="WDW618" s="17">
        <v>44925</v>
      </c>
      <c r="WDX618" s="5" t="s">
        <v>3728</v>
      </c>
      <c r="WDY618" s="17">
        <v>44925</v>
      </c>
      <c r="WDZ618" s="5" t="s">
        <v>3728</v>
      </c>
      <c r="WEA618" s="17">
        <v>44925</v>
      </c>
      <c r="WEB618" s="5" t="s">
        <v>3728</v>
      </c>
      <c r="WEC618" s="17">
        <v>44925</v>
      </c>
      <c r="WED618" s="5" t="s">
        <v>3728</v>
      </c>
      <c r="WEE618" s="17">
        <v>44925</v>
      </c>
      <c r="WEF618" s="5" t="s">
        <v>3728</v>
      </c>
      <c r="WEG618" s="17">
        <v>44925</v>
      </c>
      <c r="WEH618" s="5" t="s">
        <v>3728</v>
      </c>
      <c r="WEI618" s="17">
        <v>44925</v>
      </c>
      <c r="WEJ618" s="5" t="s">
        <v>3728</v>
      </c>
      <c r="WEK618" s="17">
        <v>44925</v>
      </c>
      <c r="WEL618" s="5" t="s">
        <v>3728</v>
      </c>
      <c r="WEM618" s="17">
        <v>44925</v>
      </c>
      <c r="WEN618" s="5" t="s">
        <v>3728</v>
      </c>
      <c r="WEO618" s="17">
        <v>44925</v>
      </c>
      <c r="WEP618" s="5" t="s">
        <v>3728</v>
      </c>
      <c r="WEQ618" s="17">
        <v>44925</v>
      </c>
      <c r="WER618" s="5" t="s">
        <v>3728</v>
      </c>
      <c r="WES618" s="17">
        <v>44925</v>
      </c>
      <c r="WET618" s="5" t="s">
        <v>3728</v>
      </c>
      <c r="WEU618" s="17">
        <v>44925</v>
      </c>
      <c r="WEV618" s="5" t="s">
        <v>3728</v>
      </c>
      <c r="WEW618" s="17">
        <v>44925</v>
      </c>
      <c r="WEX618" s="5" t="s">
        <v>3728</v>
      </c>
      <c r="WEY618" s="17">
        <v>44925</v>
      </c>
      <c r="WEZ618" s="5" t="s">
        <v>3728</v>
      </c>
      <c r="WFA618" s="17">
        <v>44925</v>
      </c>
      <c r="WFB618" s="5" t="s">
        <v>3728</v>
      </c>
      <c r="WFC618" s="17">
        <v>44925</v>
      </c>
      <c r="WFD618" s="5" t="s">
        <v>3728</v>
      </c>
      <c r="WFE618" s="17">
        <v>44925</v>
      </c>
      <c r="WFF618" s="5" t="s">
        <v>3728</v>
      </c>
      <c r="WFG618" s="17">
        <v>44925</v>
      </c>
      <c r="WFH618" s="5" t="s">
        <v>3728</v>
      </c>
      <c r="WFI618" s="17">
        <v>44925</v>
      </c>
      <c r="WFJ618" s="5" t="s">
        <v>3728</v>
      </c>
      <c r="WFK618" s="17">
        <v>44925</v>
      </c>
      <c r="WFL618" s="5" t="s">
        <v>3728</v>
      </c>
      <c r="WFM618" s="17">
        <v>44925</v>
      </c>
      <c r="WFN618" s="5" t="s">
        <v>3728</v>
      </c>
      <c r="WFO618" s="17">
        <v>44925</v>
      </c>
      <c r="WFP618" s="5" t="s">
        <v>3728</v>
      </c>
      <c r="WFQ618" s="17">
        <v>44925</v>
      </c>
      <c r="WFR618" s="5" t="s">
        <v>3728</v>
      </c>
      <c r="WFS618" s="17">
        <v>44925</v>
      </c>
      <c r="WFT618" s="5" t="s">
        <v>3728</v>
      </c>
      <c r="WFU618" s="17">
        <v>44925</v>
      </c>
      <c r="WFV618" s="5" t="s">
        <v>3728</v>
      </c>
      <c r="WFW618" s="17">
        <v>44925</v>
      </c>
      <c r="WFX618" s="5" t="s">
        <v>3728</v>
      </c>
      <c r="WFY618" s="17">
        <v>44925</v>
      </c>
      <c r="WFZ618" s="5" t="s">
        <v>3728</v>
      </c>
      <c r="WGA618" s="17">
        <v>44925</v>
      </c>
      <c r="WGB618" s="5" t="s">
        <v>3728</v>
      </c>
      <c r="WGC618" s="17">
        <v>44925</v>
      </c>
      <c r="WGD618" s="5" t="s">
        <v>3728</v>
      </c>
      <c r="WGE618" s="17">
        <v>44925</v>
      </c>
      <c r="WGF618" s="5" t="s">
        <v>3728</v>
      </c>
      <c r="WGG618" s="17">
        <v>44925</v>
      </c>
      <c r="WGH618" s="5" t="s">
        <v>3728</v>
      </c>
      <c r="WGI618" s="17">
        <v>44925</v>
      </c>
      <c r="WGJ618" s="5" t="s">
        <v>3728</v>
      </c>
      <c r="WGK618" s="17">
        <v>44925</v>
      </c>
      <c r="WGL618" s="5" t="s">
        <v>3728</v>
      </c>
      <c r="WGM618" s="17">
        <v>44925</v>
      </c>
      <c r="WGN618" s="5" t="s">
        <v>3728</v>
      </c>
      <c r="WGO618" s="17">
        <v>44925</v>
      </c>
      <c r="WGP618" s="5" t="s">
        <v>3728</v>
      </c>
      <c r="WGQ618" s="17">
        <v>44925</v>
      </c>
      <c r="WGR618" s="5" t="s">
        <v>3728</v>
      </c>
      <c r="WGS618" s="17">
        <v>44925</v>
      </c>
      <c r="WGT618" s="5" t="s">
        <v>3728</v>
      </c>
      <c r="WGU618" s="17">
        <v>44925</v>
      </c>
      <c r="WGV618" s="5" t="s">
        <v>3728</v>
      </c>
      <c r="WGW618" s="17">
        <v>44925</v>
      </c>
      <c r="WGX618" s="5" t="s">
        <v>3728</v>
      </c>
      <c r="WGY618" s="17">
        <v>44925</v>
      </c>
      <c r="WGZ618" s="5" t="s">
        <v>3728</v>
      </c>
      <c r="WHA618" s="17">
        <v>44925</v>
      </c>
      <c r="WHB618" s="5" t="s">
        <v>3728</v>
      </c>
      <c r="WHC618" s="17">
        <v>44925</v>
      </c>
      <c r="WHD618" s="5" t="s">
        <v>3728</v>
      </c>
      <c r="WHE618" s="17">
        <v>44925</v>
      </c>
      <c r="WHF618" s="5" t="s">
        <v>3728</v>
      </c>
      <c r="WHG618" s="17">
        <v>44925</v>
      </c>
      <c r="WHH618" s="5" t="s">
        <v>3728</v>
      </c>
      <c r="WHI618" s="17">
        <v>44925</v>
      </c>
      <c r="WHJ618" s="5" t="s">
        <v>3728</v>
      </c>
      <c r="WHK618" s="17">
        <v>44925</v>
      </c>
      <c r="WHL618" s="5" t="s">
        <v>3728</v>
      </c>
      <c r="WHM618" s="17">
        <v>44925</v>
      </c>
      <c r="WHN618" s="5" t="s">
        <v>3728</v>
      </c>
      <c r="WHO618" s="17">
        <v>44925</v>
      </c>
      <c r="WHP618" s="5" t="s">
        <v>3728</v>
      </c>
      <c r="WHQ618" s="17">
        <v>44925</v>
      </c>
      <c r="WHR618" s="5" t="s">
        <v>3728</v>
      </c>
      <c r="WHS618" s="17">
        <v>44925</v>
      </c>
      <c r="WHT618" s="5" t="s">
        <v>3728</v>
      </c>
      <c r="WHU618" s="17">
        <v>44925</v>
      </c>
      <c r="WHV618" s="5" t="s">
        <v>3728</v>
      </c>
      <c r="WHW618" s="17">
        <v>44925</v>
      </c>
      <c r="WHX618" s="5" t="s">
        <v>3728</v>
      </c>
      <c r="WHY618" s="17">
        <v>44925</v>
      </c>
      <c r="WHZ618" s="5" t="s">
        <v>3728</v>
      </c>
      <c r="WIA618" s="17">
        <v>44925</v>
      </c>
      <c r="WIB618" s="5" t="s">
        <v>3728</v>
      </c>
      <c r="WIC618" s="17">
        <v>44925</v>
      </c>
      <c r="WID618" s="5" t="s">
        <v>3728</v>
      </c>
      <c r="WIE618" s="17">
        <v>44925</v>
      </c>
      <c r="WIF618" s="5" t="s">
        <v>3728</v>
      </c>
      <c r="WIG618" s="17">
        <v>44925</v>
      </c>
      <c r="WIH618" s="5" t="s">
        <v>3728</v>
      </c>
      <c r="WII618" s="17">
        <v>44925</v>
      </c>
      <c r="WIJ618" s="5" t="s">
        <v>3728</v>
      </c>
      <c r="WIK618" s="17">
        <v>44925</v>
      </c>
      <c r="WIL618" s="5" t="s">
        <v>3728</v>
      </c>
      <c r="WIM618" s="17">
        <v>44925</v>
      </c>
      <c r="WIN618" s="5" t="s">
        <v>3728</v>
      </c>
      <c r="WIO618" s="17">
        <v>44925</v>
      </c>
      <c r="WIP618" s="5" t="s">
        <v>3728</v>
      </c>
      <c r="WIQ618" s="17">
        <v>44925</v>
      </c>
      <c r="WIR618" s="5" t="s">
        <v>3728</v>
      </c>
      <c r="WIS618" s="17">
        <v>44925</v>
      </c>
      <c r="WIT618" s="5" t="s">
        <v>3728</v>
      </c>
      <c r="WIU618" s="17">
        <v>44925</v>
      </c>
      <c r="WIV618" s="5" t="s">
        <v>3728</v>
      </c>
      <c r="WIW618" s="17">
        <v>44925</v>
      </c>
      <c r="WIX618" s="5" t="s">
        <v>3728</v>
      </c>
      <c r="WIY618" s="17">
        <v>44925</v>
      </c>
      <c r="WIZ618" s="5" t="s">
        <v>3728</v>
      </c>
      <c r="WJA618" s="17">
        <v>44925</v>
      </c>
      <c r="WJB618" s="5" t="s">
        <v>3728</v>
      </c>
      <c r="WJC618" s="17">
        <v>44925</v>
      </c>
      <c r="WJD618" s="5" t="s">
        <v>3728</v>
      </c>
      <c r="WJE618" s="17">
        <v>44925</v>
      </c>
      <c r="WJF618" s="5" t="s">
        <v>3728</v>
      </c>
      <c r="WJG618" s="17">
        <v>44925</v>
      </c>
      <c r="WJH618" s="5" t="s">
        <v>3728</v>
      </c>
      <c r="WJI618" s="17">
        <v>44925</v>
      </c>
      <c r="WJJ618" s="5" t="s">
        <v>3728</v>
      </c>
      <c r="WJK618" s="17">
        <v>44925</v>
      </c>
      <c r="WJL618" s="5" t="s">
        <v>3728</v>
      </c>
      <c r="WJM618" s="17">
        <v>44925</v>
      </c>
      <c r="WJN618" s="5" t="s">
        <v>3728</v>
      </c>
      <c r="WJO618" s="17">
        <v>44925</v>
      </c>
      <c r="WJP618" s="5" t="s">
        <v>3728</v>
      </c>
      <c r="WJQ618" s="17">
        <v>44925</v>
      </c>
      <c r="WJR618" s="5" t="s">
        <v>3728</v>
      </c>
      <c r="WJS618" s="17">
        <v>44925</v>
      </c>
      <c r="WJT618" s="5" t="s">
        <v>3728</v>
      </c>
      <c r="WJU618" s="17">
        <v>44925</v>
      </c>
      <c r="WJV618" s="5" t="s">
        <v>3728</v>
      </c>
      <c r="WJW618" s="17">
        <v>44925</v>
      </c>
      <c r="WJX618" s="5" t="s">
        <v>3728</v>
      </c>
      <c r="WJY618" s="17">
        <v>44925</v>
      </c>
      <c r="WJZ618" s="5" t="s">
        <v>3728</v>
      </c>
      <c r="WKA618" s="17">
        <v>44925</v>
      </c>
      <c r="WKB618" s="5" t="s">
        <v>3728</v>
      </c>
      <c r="WKC618" s="17">
        <v>44925</v>
      </c>
      <c r="WKD618" s="5" t="s">
        <v>3728</v>
      </c>
      <c r="WKE618" s="17">
        <v>44925</v>
      </c>
      <c r="WKF618" s="5" t="s">
        <v>3728</v>
      </c>
      <c r="WKG618" s="17">
        <v>44925</v>
      </c>
      <c r="WKH618" s="5" t="s">
        <v>3728</v>
      </c>
      <c r="WKI618" s="17">
        <v>44925</v>
      </c>
      <c r="WKJ618" s="5" t="s">
        <v>3728</v>
      </c>
      <c r="WKK618" s="17">
        <v>44925</v>
      </c>
      <c r="WKL618" s="5" t="s">
        <v>3728</v>
      </c>
      <c r="WKM618" s="17">
        <v>44925</v>
      </c>
      <c r="WKN618" s="5" t="s">
        <v>3728</v>
      </c>
      <c r="WKO618" s="17">
        <v>44925</v>
      </c>
      <c r="WKP618" s="5" t="s">
        <v>3728</v>
      </c>
      <c r="WKQ618" s="17">
        <v>44925</v>
      </c>
      <c r="WKR618" s="5" t="s">
        <v>3728</v>
      </c>
      <c r="WKS618" s="17">
        <v>44925</v>
      </c>
      <c r="WKT618" s="5" t="s">
        <v>3728</v>
      </c>
      <c r="WKU618" s="17">
        <v>44925</v>
      </c>
      <c r="WKV618" s="5" t="s">
        <v>3728</v>
      </c>
      <c r="WKW618" s="17">
        <v>44925</v>
      </c>
      <c r="WKX618" s="5" t="s">
        <v>3728</v>
      </c>
      <c r="WKY618" s="17">
        <v>44925</v>
      </c>
      <c r="WKZ618" s="5" t="s">
        <v>3728</v>
      </c>
      <c r="WLA618" s="17">
        <v>44925</v>
      </c>
      <c r="WLB618" s="5" t="s">
        <v>3728</v>
      </c>
      <c r="WLC618" s="17">
        <v>44925</v>
      </c>
      <c r="WLD618" s="5" t="s">
        <v>3728</v>
      </c>
      <c r="WLE618" s="17">
        <v>44925</v>
      </c>
      <c r="WLF618" s="5" t="s">
        <v>3728</v>
      </c>
      <c r="WLG618" s="17">
        <v>44925</v>
      </c>
      <c r="WLH618" s="5" t="s">
        <v>3728</v>
      </c>
      <c r="WLI618" s="17">
        <v>44925</v>
      </c>
      <c r="WLJ618" s="5" t="s">
        <v>3728</v>
      </c>
      <c r="WLK618" s="17">
        <v>44925</v>
      </c>
      <c r="WLL618" s="5" t="s">
        <v>3728</v>
      </c>
      <c r="WLM618" s="17">
        <v>44925</v>
      </c>
      <c r="WLN618" s="5" t="s">
        <v>3728</v>
      </c>
      <c r="WLO618" s="17">
        <v>44925</v>
      </c>
      <c r="WLP618" s="5" t="s">
        <v>3728</v>
      </c>
      <c r="WLQ618" s="17">
        <v>44925</v>
      </c>
      <c r="WLR618" s="5" t="s">
        <v>3728</v>
      </c>
      <c r="WLS618" s="17">
        <v>44925</v>
      </c>
      <c r="WLT618" s="5" t="s">
        <v>3728</v>
      </c>
      <c r="WLU618" s="17">
        <v>44925</v>
      </c>
      <c r="WLV618" s="5" t="s">
        <v>3728</v>
      </c>
      <c r="WLW618" s="17">
        <v>44925</v>
      </c>
      <c r="WLX618" s="5" t="s">
        <v>3728</v>
      </c>
      <c r="WLY618" s="17">
        <v>44925</v>
      </c>
      <c r="WLZ618" s="5" t="s">
        <v>3728</v>
      </c>
      <c r="WMA618" s="17">
        <v>44925</v>
      </c>
      <c r="WMB618" s="5" t="s">
        <v>3728</v>
      </c>
      <c r="WMC618" s="17">
        <v>44925</v>
      </c>
      <c r="WMD618" s="5" t="s">
        <v>3728</v>
      </c>
      <c r="WME618" s="17">
        <v>44925</v>
      </c>
      <c r="WMF618" s="5" t="s">
        <v>3728</v>
      </c>
      <c r="WMG618" s="17">
        <v>44925</v>
      </c>
      <c r="WMH618" s="5" t="s">
        <v>3728</v>
      </c>
      <c r="WMI618" s="17">
        <v>44925</v>
      </c>
      <c r="WMJ618" s="5" t="s">
        <v>3728</v>
      </c>
      <c r="WMK618" s="17">
        <v>44925</v>
      </c>
      <c r="WML618" s="5" t="s">
        <v>3728</v>
      </c>
      <c r="WMM618" s="17">
        <v>44925</v>
      </c>
      <c r="WMN618" s="5" t="s">
        <v>3728</v>
      </c>
      <c r="WMO618" s="17">
        <v>44925</v>
      </c>
      <c r="WMP618" s="5" t="s">
        <v>3728</v>
      </c>
      <c r="WMQ618" s="17">
        <v>44925</v>
      </c>
      <c r="WMR618" s="5" t="s">
        <v>3728</v>
      </c>
      <c r="WMS618" s="17">
        <v>44925</v>
      </c>
      <c r="WMT618" s="5" t="s">
        <v>3728</v>
      </c>
      <c r="WMU618" s="17">
        <v>44925</v>
      </c>
      <c r="WMV618" s="5" t="s">
        <v>3728</v>
      </c>
      <c r="WMW618" s="17">
        <v>44925</v>
      </c>
      <c r="WMX618" s="5" t="s">
        <v>3728</v>
      </c>
      <c r="WMY618" s="17">
        <v>44925</v>
      </c>
      <c r="WMZ618" s="5" t="s">
        <v>3728</v>
      </c>
      <c r="WNA618" s="17">
        <v>44925</v>
      </c>
      <c r="WNB618" s="5" t="s">
        <v>3728</v>
      </c>
      <c r="WNC618" s="17">
        <v>44925</v>
      </c>
      <c r="WND618" s="5" t="s">
        <v>3728</v>
      </c>
      <c r="WNE618" s="17">
        <v>44925</v>
      </c>
      <c r="WNF618" s="5" t="s">
        <v>3728</v>
      </c>
      <c r="WNG618" s="17">
        <v>44925</v>
      </c>
      <c r="WNH618" s="5" t="s">
        <v>3728</v>
      </c>
      <c r="WNI618" s="17">
        <v>44925</v>
      </c>
      <c r="WNJ618" s="5" t="s">
        <v>3728</v>
      </c>
      <c r="WNK618" s="17">
        <v>44925</v>
      </c>
      <c r="WNL618" s="5" t="s">
        <v>3728</v>
      </c>
      <c r="WNM618" s="17">
        <v>44925</v>
      </c>
      <c r="WNN618" s="5" t="s">
        <v>3728</v>
      </c>
      <c r="WNO618" s="17">
        <v>44925</v>
      </c>
      <c r="WNP618" s="5" t="s">
        <v>3728</v>
      </c>
      <c r="WNQ618" s="17">
        <v>44925</v>
      </c>
      <c r="WNR618" s="5" t="s">
        <v>3728</v>
      </c>
      <c r="WNS618" s="17">
        <v>44925</v>
      </c>
      <c r="WNT618" s="5" t="s">
        <v>3728</v>
      </c>
      <c r="WNU618" s="17">
        <v>44925</v>
      </c>
      <c r="WNV618" s="5" t="s">
        <v>3728</v>
      </c>
      <c r="WNW618" s="17">
        <v>44925</v>
      </c>
      <c r="WNX618" s="5" t="s">
        <v>3728</v>
      </c>
      <c r="WNY618" s="17">
        <v>44925</v>
      </c>
      <c r="WNZ618" s="5" t="s">
        <v>3728</v>
      </c>
      <c r="WOA618" s="17">
        <v>44925</v>
      </c>
      <c r="WOB618" s="5" t="s">
        <v>3728</v>
      </c>
      <c r="WOC618" s="17">
        <v>44925</v>
      </c>
      <c r="WOD618" s="5" t="s">
        <v>3728</v>
      </c>
      <c r="WOE618" s="17">
        <v>44925</v>
      </c>
      <c r="WOF618" s="5" t="s">
        <v>3728</v>
      </c>
      <c r="WOG618" s="17">
        <v>44925</v>
      </c>
      <c r="WOH618" s="5" t="s">
        <v>3728</v>
      </c>
      <c r="WOI618" s="17">
        <v>44925</v>
      </c>
      <c r="WOJ618" s="5" t="s">
        <v>3728</v>
      </c>
      <c r="WOK618" s="17">
        <v>44925</v>
      </c>
      <c r="WOL618" s="5" t="s">
        <v>3728</v>
      </c>
      <c r="WOM618" s="17">
        <v>44925</v>
      </c>
      <c r="WON618" s="5" t="s">
        <v>3728</v>
      </c>
      <c r="WOO618" s="17">
        <v>44925</v>
      </c>
      <c r="WOP618" s="5" t="s">
        <v>3728</v>
      </c>
      <c r="WOQ618" s="17">
        <v>44925</v>
      </c>
      <c r="WOR618" s="5" t="s">
        <v>3728</v>
      </c>
      <c r="WOS618" s="17">
        <v>44925</v>
      </c>
      <c r="WOT618" s="5" t="s">
        <v>3728</v>
      </c>
      <c r="WOU618" s="17">
        <v>44925</v>
      </c>
      <c r="WOV618" s="5" t="s">
        <v>3728</v>
      </c>
      <c r="WOW618" s="17">
        <v>44925</v>
      </c>
      <c r="WOX618" s="5" t="s">
        <v>3728</v>
      </c>
      <c r="WOY618" s="17">
        <v>44925</v>
      </c>
      <c r="WOZ618" s="5" t="s">
        <v>3728</v>
      </c>
      <c r="WPA618" s="17">
        <v>44925</v>
      </c>
      <c r="WPB618" s="5" t="s">
        <v>3728</v>
      </c>
      <c r="WPC618" s="17">
        <v>44925</v>
      </c>
      <c r="WPD618" s="5" t="s">
        <v>3728</v>
      </c>
      <c r="WPE618" s="17">
        <v>44925</v>
      </c>
      <c r="WPF618" s="5" t="s">
        <v>3728</v>
      </c>
      <c r="WPG618" s="17">
        <v>44925</v>
      </c>
      <c r="WPH618" s="5" t="s">
        <v>3728</v>
      </c>
      <c r="WPI618" s="17">
        <v>44925</v>
      </c>
      <c r="WPJ618" s="5" t="s">
        <v>3728</v>
      </c>
      <c r="WPK618" s="17">
        <v>44925</v>
      </c>
      <c r="WPL618" s="5" t="s">
        <v>3728</v>
      </c>
      <c r="WPM618" s="17">
        <v>44925</v>
      </c>
      <c r="WPN618" s="5" t="s">
        <v>3728</v>
      </c>
      <c r="WPO618" s="17">
        <v>44925</v>
      </c>
      <c r="WPP618" s="5" t="s">
        <v>3728</v>
      </c>
      <c r="WPQ618" s="17">
        <v>44925</v>
      </c>
      <c r="WPR618" s="5" t="s">
        <v>3728</v>
      </c>
      <c r="WPS618" s="17">
        <v>44925</v>
      </c>
      <c r="WPT618" s="5" t="s">
        <v>3728</v>
      </c>
      <c r="WPU618" s="17">
        <v>44925</v>
      </c>
      <c r="WPV618" s="5" t="s">
        <v>3728</v>
      </c>
      <c r="WPW618" s="17">
        <v>44925</v>
      </c>
      <c r="WPX618" s="5" t="s">
        <v>3728</v>
      </c>
      <c r="WPY618" s="17">
        <v>44925</v>
      </c>
      <c r="WPZ618" s="5" t="s">
        <v>3728</v>
      </c>
      <c r="WQA618" s="17">
        <v>44925</v>
      </c>
      <c r="WQB618" s="5" t="s">
        <v>3728</v>
      </c>
      <c r="WQC618" s="17">
        <v>44925</v>
      </c>
      <c r="WQD618" s="5" t="s">
        <v>3728</v>
      </c>
      <c r="WQE618" s="17">
        <v>44925</v>
      </c>
      <c r="WQF618" s="5" t="s">
        <v>3728</v>
      </c>
      <c r="WQG618" s="17">
        <v>44925</v>
      </c>
      <c r="WQH618" s="5" t="s">
        <v>3728</v>
      </c>
      <c r="WQI618" s="17">
        <v>44925</v>
      </c>
      <c r="WQJ618" s="5" t="s">
        <v>3728</v>
      </c>
      <c r="WQK618" s="17">
        <v>44925</v>
      </c>
      <c r="WQL618" s="5" t="s">
        <v>3728</v>
      </c>
      <c r="WQM618" s="17">
        <v>44925</v>
      </c>
      <c r="WQN618" s="5" t="s">
        <v>3728</v>
      </c>
      <c r="WQO618" s="17">
        <v>44925</v>
      </c>
      <c r="WQP618" s="5" t="s">
        <v>3728</v>
      </c>
      <c r="WQQ618" s="17">
        <v>44925</v>
      </c>
      <c r="WQR618" s="5" t="s">
        <v>3728</v>
      </c>
      <c r="WQS618" s="17">
        <v>44925</v>
      </c>
      <c r="WQT618" s="5" t="s">
        <v>3728</v>
      </c>
      <c r="WQU618" s="17">
        <v>44925</v>
      </c>
      <c r="WQV618" s="5" t="s">
        <v>3728</v>
      </c>
      <c r="WQW618" s="17">
        <v>44925</v>
      </c>
      <c r="WQX618" s="5" t="s">
        <v>3728</v>
      </c>
      <c r="WQY618" s="17">
        <v>44925</v>
      </c>
      <c r="WQZ618" s="5" t="s">
        <v>3728</v>
      </c>
      <c r="WRA618" s="17">
        <v>44925</v>
      </c>
      <c r="WRB618" s="5" t="s">
        <v>3728</v>
      </c>
      <c r="WRC618" s="17">
        <v>44925</v>
      </c>
      <c r="WRD618" s="5" t="s">
        <v>3728</v>
      </c>
      <c r="WRE618" s="17">
        <v>44925</v>
      </c>
      <c r="WRF618" s="5" t="s">
        <v>3728</v>
      </c>
      <c r="WRG618" s="17">
        <v>44925</v>
      </c>
      <c r="WRH618" s="5" t="s">
        <v>3728</v>
      </c>
      <c r="WRI618" s="17">
        <v>44925</v>
      </c>
      <c r="WRJ618" s="5" t="s">
        <v>3728</v>
      </c>
      <c r="WRK618" s="17">
        <v>44925</v>
      </c>
      <c r="WRL618" s="5" t="s">
        <v>3728</v>
      </c>
      <c r="WRM618" s="17">
        <v>44925</v>
      </c>
      <c r="WRN618" s="5" t="s">
        <v>3728</v>
      </c>
      <c r="WRO618" s="17">
        <v>44925</v>
      </c>
      <c r="WRP618" s="5" t="s">
        <v>3728</v>
      </c>
      <c r="WRQ618" s="17">
        <v>44925</v>
      </c>
      <c r="WRR618" s="5" t="s">
        <v>3728</v>
      </c>
      <c r="WRS618" s="17">
        <v>44925</v>
      </c>
      <c r="WRT618" s="5" t="s">
        <v>3728</v>
      </c>
      <c r="WRU618" s="17">
        <v>44925</v>
      </c>
      <c r="WRV618" s="5" t="s">
        <v>3728</v>
      </c>
      <c r="WRW618" s="17">
        <v>44925</v>
      </c>
      <c r="WRX618" s="5" t="s">
        <v>3728</v>
      </c>
      <c r="WRY618" s="17">
        <v>44925</v>
      </c>
      <c r="WRZ618" s="5" t="s">
        <v>3728</v>
      </c>
      <c r="WSA618" s="17">
        <v>44925</v>
      </c>
      <c r="WSB618" s="5" t="s">
        <v>3728</v>
      </c>
      <c r="WSC618" s="17">
        <v>44925</v>
      </c>
      <c r="WSD618" s="5" t="s">
        <v>3728</v>
      </c>
      <c r="WSE618" s="17">
        <v>44925</v>
      </c>
      <c r="WSF618" s="5" t="s">
        <v>3728</v>
      </c>
      <c r="WSG618" s="17">
        <v>44925</v>
      </c>
      <c r="WSH618" s="5" t="s">
        <v>3728</v>
      </c>
      <c r="WSI618" s="17">
        <v>44925</v>
      </c>
      <c r="WSJ618" s="5" t="s">
        <v>3728</v>
      </c>
      <c r="WSK618" s="17">
        <v>44925</v>
      </c>
      <c r="WSL618" s="5" t="s">
        <v>3728</v>
      </c>
      <c r="WSM618" s="17">
        <v>44925</v>
      </c>
      <c r="WSN618" s="5" t="s">
        <v>3728</v>
      </c>
      <c r="WSO618" s="17">
        <v>44925</v>
      </c>
      <c r="WSP618" s="5" t="s">
        <v>3728</v>
      </c>
      <c r="WSQ618" s="17">
        <v>44925</v>
      </c>
      <c r="WSR618" s="5" t="s">
        <v>3728</v>
      </c>
      <c r="WSS618" s="17">
        <v>44925</v>
      </c>
      <c r="WST618" s="5" t="s">
        <v>3728</v>
      </c>
      <c r="WSU618" s="17">
        <v>44925</v>
      </c>
      <c r="WSV618" s="5" t="s">
        <v>3728</v>
      </c>
      <c r="WSW618" s="17">
        <v>44925</v>
      </c>
      <c r="WSX618" s="5" t="s">
        <v>3728</v>
      </c>
      <c r="WSY618" s="17">
        <v>44925</v>
      </c>
      <c r="WSZ618" s="5" t="s">
        <v>3728</v>
      </c>
      <c r="WTA618" s="17">
        <v>44925</v>
      </c>
      <c r="WTB618" s="5" t="s">
        <v>3728</v>
      </c>
      <c r="WTC618" s="17">
        <v>44925</v>
      </c>
      <c r="WTD618" s="5" t="s">
        <v>3728</v>
      </c>
      <c r="WTE618" s="17">
        <v>44925</v>
      </c>
      <c r="WTF618" s="5" t="s">
        <v>3728</v>
      </c>
      <c r="WTG618" s="17">
        <v>44925</v>
      </c>
      <c r="WTH618" s="5" t="s">
        <v>3728</v>
      </c>
      <c r="WTI618" s="17">
        <v>44925</v>
      </c>
      <c r="WTJ618" s="5" t="s">
        <v>3728</v>
      </c>
      <c r="WTK618" s="17">
        <v>44925</v>
      </c>
      <c r="WTL618" s="5" t="s">
        <v>3728</v>
      </c>
      <c r="WTM618" s="17">
        <v>44925</v>
      </c>
      <c r="WTN618" s="5" t="s">
        <v>3728</v>
      </c>
      <c r="WTO618" s="17">
        <v>44925</v>
      </c>
      <c r="WTP618" s="5" t="s">
        <v>3728</v>
      </c>
      <c r="WTQ618" s="17">
        <v>44925</v>
      </c>
      <c r="WTR618" s="5" t="s">
        <v>3728</v>
      </c>
      <c r="WTS618" s="17">
        <v>44925</v>
      </c>
      <c r="WTT618" s="5" t="s">
        <v>3728</v>
      </c>
      <c r="WTU618" s="17">
        <v>44925</v>
      </c>
      <c r="WTV618" s="5" t="s">
        <v>3728</v>
      </c>
      <c r="WTW618" s="17">
        <v>44925</v>
      </c>
      <c r="WTX618" s="5" t="s">
        <v>3728</v>
      </c>
      <c r="WTY618" s="17">
        <v>44925</v>
      </c>
      <c r="WTZ618" s="5" t="s">
        <v>3728</v>
      </c>
      <c r="WUA618" s="17">
        <v>44925</v>
      </c>
      <c r="WUB618" s="5" t="s">
        <v>3728</v>
      </c>
      <c r="WUC618" s="17">
        <v>44925</v>
      </c>
      <c r="WUD618" s="5" t="s">
        <v>3728</v>
      </c>
      <c r="WUE618" s="17">
        <v>44925</v>
      </c>
      <c r="WUF618" s="5" t="s">
        <v>3728</v>
      </c>
      <c r="WUG618" s="17">
        <v>44925</v>
      </c>
      <c r="WUH618" s="5" t="s">
        <v>3728</v>
      </c>
      <c r="WUI618" s="17">
        <v>44925</v>
      </c>
      <c r="WUJ618" s="5" t="s">
        <v>3728</v>
      </c>
      <c r="WUK618" s="17">
        <v>44925</v>
      </c>
      <c r="WUL618" s="5" t="s">
        <v>3728</v>
      </c>
      <c r="WUM618" s="17">
        <v>44925</v>
      </c>
      <c r="WUN618" s="5" t="s">
        <v>3728</v>
      </c>
      <c r="WUO618" s="17">
        <v>44925</v>
      </c>
      <c r="WUP618" s="5" t="s">
        <v>3728</v>
      </c>
      <c r="WUQ618" s="17">
        <v>44925</v>
      </c>
      <c r="WUR618" s="5" t="s">
        <v>3728</v>
      </c>
      <c r="WUS618" s="17">
        <v>44925</v>
      </c>
      <c r="WUT618" s="5" t="s">
        <v>3728</v>
      </c>
      <c r="WUU618" s="17">
        <v>44925</v>
      </c>
      <c r="WUV618" s="5" t="s">
        <v>3728</v>
      </c>
      <c r="WUW618" s="17">
        <v>44925</v>
      </c>
      <c r="WUX618" s="5" t="s">
        <v>3728</v>
      </c>
      <c r="WUY618" s="17">
        <v>44925</v>
      </c>
      <c r="WUZ618" s="5" t="s">
        <v>3728</v>
      </c>
      <c r="WVA618" s="17">
        <v>44925</v>
      </c>
      <c r="WVB618" s="5" t="s">
        <v>3728</v>
      </c>
      <c r="WVC618" s="17">
        <v>44925</v>
      </c>
      <c r="WVD618" s="5" t="s">
        <v>3728</v>
      </c>
      <c r="WVE618" s="17">
        <v>44925</v>
      </c>
      <c r="WVF618" s="5" t="s">
        <v>3728</v>
      </c>
      <c r="WVG618" s="17">
        <v>44925</v>
      </c>
      <c r="WVH618" s="5" t="s">
        <v>3728</v>
      </c>
      <c r="WVI618" s="17">
        <v>44925</v>
      </c>
      <c r="WVJ618" s="5" t="s">
        <v>3728</v>
      </c>
      <c r="WVK618" s="17">
        <v>44925</v>
      </c>
      <c r="WVL618" s="5" t="s">
        <v>3728</v>
      </c>
      <c r="WVM618" s="17">
        <v>44925</v>
      </c>
      <c r="WVN618" s="5" t="s">
        <v>3728</v>
      </c>
      <c r="WVO618" s="17">
        <v>44925</v>
      </c>
      <c r="WVP618" s="5" t="s">
        <v>3728</v>
      </c>
      <c r="WVQ618" s="17">
        <v>44925</v>
      </c>
      <c r="WVR618" s="5" t="s">
        <v>3728</v>
      </c>
      <c r="WVS618" s="17">
        <v>44925</v>
      </c>
      <c r="WVT618" s="5" t="s">
        <v>3728</v>
      </c>
      <c r="WVU618" s="17">
        <v>44925</v>
      </c>
      <c r="WVV618" s="5" t="s">
        <v>3728</v>
      </c>
      <c r="WVW618" s="17">
        <v>44925</v>
      </c>
      <c r="WVX618" s="5" t="s">
        <v>3728</v>
      </c>
      <c r="WVY618" s="17">
        <v>44925</v>
      </c>
      <c r="WVZ618" s="5" t="s">
        <v>3728</v>
      </c>
      <c r="WWA618" s="17">
        <v>44925</v>
      </c>
      <c r="WWB618" s="5" t="s">
        <v>3728</v>
      </c>
      <c r="WWC618" s="17">
        <v>44925</v>
      </c>
      <c r="WWD618" s="5" t="s">
        <v>3728</v>
      </c>
      <c r="WWE618" s="17">
        <v>44925</v>
      </c>
      <c r="WWF618" s="5" t="s">
        <v>3728</v>
      </c>
      <c r="WWG618" s="17">
        <v>44925</v>
      </c>
      <c r="WWH618" s="5" t="s">
        <v>3728</v>
      </c>
      <c r="WWI618" s="17">
        <v>44925</v>
      </c>
      <c r="WWJ618" s="5" t="s">
        <v>3728</v>
      </c>
      <c r="WWK618" s="17">
        <v>44925</v>
      </c>
      <c r="WWL618" s="5" t="s">
        <v>3728</v>
      </c>
      <c r="WWM618" s="17">
        <v>44925</v>
      </c>
      <c r="WWN618" s="5" t="s">
        <v>3728</v>
      </c>
      <c r="WWO618" s="17">
        <v>44925</v>
      </c>
      <c r="WWP618" s="5" t="s">
        <v>3728</v>
      </c>
      <c r="WWQ618" s="17">
        <v>44925</v>
      </c>
      <c r="WWR618" s="5" t="s">
        <v>3728</v>
      </c>
      <c r="WWS618" s="17">
        <v>44925</v>
      </c>
      <c r="WWT618" s="5" t="s">
        <v>3728</v>
      </c>
      <c r="WWU618" s="17">
        <v>44925</v>
      </c>
      <c r="WWV618" s="5" t="s">
        <v>3728</v>
      </c>
      <c r="WWW618" s="17">
        <v>44925</v>
      </c>
      <c r="WWX618" s="5" t="s">
        <v>3728</v>
      </c>
      <c r="WWY618" s="17">
        <v>44925</v>
      </c>
      <c r="WWZ618" s="5" t="s">
        <v>3728</v>
      </c>
      <c r="WXA618" s="17">
        <v>44925</v>
      </c>
      <c r="WXB618" s="5" t="s">
        <v>3728</v>
      </c>
      <c r="WXC618" s="17">
        <v>44925</v>
      </c>
      <c r="WXD618" s="5" t="s">
        <v>3728</v>
      </c>
      <c r="WXE618" s="17">
        <v>44925</v>
      </c>
      <c r="WXF618" s="5" t="s">
        <v>3728</v>
      </c>
      <c r="WXG618" s="17">
        <v>44925</v>
      </c>
      <c r="WXH618" s="5" t="s">
        <v>3728</v>
      </c>
      <c r="WXI618" s="17">
        <v>44925</v>
      </c>
      <c r="WXJ618" s="5" t="s">
        <v>3728</v>
      </c>
      <c r="WXK618" s="17">
        <v>44925</v>
      </c>
      <c r="WXL618" s="5" t="s">
        <v>3728</v>
      </c>
      <c r="WXM618" s="17">
        <v>44925</v>
      </c>
      <c r="WXN618" s="5" t="s">
        <v>3728</v>
      </c>
      <c r="WXO618" s="17">
        <v>44925</v>
      </c>
      <c r="WXP618" s="5" t="s">
        <v>3728</v>
      </c>
      <c r="WXQ618" s="17">
        <v>44925</v>
      </c>
      <c r="WXR618" s="5" t="s">
        <v>3728</v>
      </c>
      <c r="WXS618" s="17">
        <v>44925</v>
      </c>
      <c r="WXT618" s="5" t="s">
        <v>3728</v>
      </c>
      <c r="WXU618" s="17">
        <v>44925</v>
      </c>
      <c r="WXV618" s="5" t="s">
        <v>3728</v>
      </c>
      <c r="WXW618" s="17">
        <v>44925</v>
      </c>
      <c r="WXX618" s="5" t="s">
        <v>3728</v>
      </c>
      <c r="WXY618" s="17">
        <v>44925</v>
      </c>
      <c r="WXZ618" s="5" t="s">
        <v>3728</v>
      </c>
      <c r="WYA618" s="17">
        <v>44925</v>
      </c>
      <c r="WYB618" s="5" t="s">
        <v>3728</v>
      </c>
      <c r="WYC618" s="17">
        <v>44925</v>
      </c>
      <c r="WYD618" s="5" t="s">
        <v>3728</v>
      </c>
      <c r="WYE618" s="17">
        <v>44925</v>
      </c>
      <c r="WYF618" s="5" t="s">
        <v>3728</v>
      </c>
      <c r="WYG618" s="17">
        <v>44925</v>
      </c>
      <c r="WYH618" s="5" t="s">
        <v>3728</v>
      </c>
      <c r="WYI618" s="17">
        <v>44925</v>
      </c>
      <c r="WYJ618" s="5" t="s">
        <v>3728</v>
      </c>
      <c r="WYK618" s="17">
        <v>44925</v>
      </c>
      <c r="WYL618" s="5" t="s">
        <v>3728</v>
      </c>
      <c r="WYM618" s="17">
        <v>44925</v>
      </c>
      <c r="WYN618" s="5" t="s">
        <v>3728</v>
      </c>
      <c r="WYO618" s="17">
        <v>44925</v>
      </c>
      <c r="WYP618" s="5" t="s">
        <v>3728</v>
      </c>
      <c r="WYQ618" s="17">
        <v>44925</v>
      </c>
      <c r="WYR618" s="5" t="s">
        <v>3728</v>
      </c>
      <c r="WYS618" s="17">
        <v>44925</v>
      </c>
      <c r="WYT618" s="5" t="s">
        <v>3728</v>
      </c>
      <c r="WYU618" s="17">
        <v>44925</v>
      </c>
      <c r="WYV618" s="5" t="s">
        <v>3728</v>
      </c>
      <c r="WYW618" s="17">
        <v>44925</v>
      </c>
      <c r="WYX618" s="5" t="s">
        <v>3728</v>
      </c>
      <c r="WYY618" s="17">
        <v>44925</v>
      </c>
      <c r="WYZ618" s="5" t="s">
        <v>3728</v>
      </c>
      <c r="WZA618" s="17">
        <v>44925</v>
      </c>
      <c r="WZB618" s="5" t="s">
        <v>3728</v>
      </c>
      <c r="WZC618" s="17">
        <v>44925</v>
      </c>
      <c r="WZD618" s="5" t="s">
        <v>3728</v>
      </c>
      <c r="WZE618" s="17">
        <v>44925</v>
      </c>
      <c r="WZF618" s="5" t="s">
        <v>3728</v>
      </c>
      <c r="WZG618" s="17">
        <v>44925</v>
      </c>
      <c r="WZH618" s="5" t="s">
        <v>3728</v>
      </c>
      <c r="WZI618" s="17">
        <v>44925</v>
      </c>
      <c r="WZJ618" s="5" t="s">
        <v>3728</v>
      </c>
      <c r="WZK618" s="17">
        <v>44925</v>
      </c>
      <c r="WZL618" s="5" t="s">
        <v>3728</v>
      </c>
      <c r="WZM618" s="17">
        <v>44925</v>
      </c>
      <c r="WZN618" s="5" t="s">
        <v>3728</v>
      </c>
      <c r="WZO618" s="17">
        <v>44925</v>
      </c>
      <c r="WZP618" s="5" t="s">
        <v>3728</v>
      </c>
      <c r="WZQ618" s="17">
        <v>44925</v>
      </c>
      <c r="WZR618" s="5" t="s">
        <v>3728</v>
      </c>
      <c r="WZS618" s="17">
        <v>44925</v>
      </c>
      <c r="WZT618" s="5" t="s">
        <v>3728</v>
      </c>
      <c r="WZU618" s="17">
        <v>44925</v>
      </c>
      <c r="WZV618" s="5" t="s">
        <v>3728</v>
      </c>
      <c r="WZW618" s="17">
        <v>44925</v>
      </c>
      <c r="WZX618" s="5" t="s">
        <v>3728</v>
      </c>
      <c r="WZY618" s="17">
        <v>44925</v>
      </c>
      <c r="WZZ618" s="5" t="s">
        <v>3728</v>
      </c>
      <c r="XAA618" s="17">
        <v>44925</v>
      </c>
      <c r="XAB618" s="5" t="s">
        <v>3728</v>
      </c>
      <c r="XAC618" s="17">
        <v>44925</v>
      </c>
      <c r="XAD618" s="5" t="s">
        <v>3728</v>
      </c>
      <c r="XAE618" s="17">
        <v>44925</v>
      </c>
      <c r="XAF618" s="5" t="s">
        <v>3728</v>
      </c>
      <c r="XAG618" s="17">
        <v>44925</v>
      </c>
      <c r="XAH618" s="5" t="s">
        <v>3728</v>
      </c>
      <c r="XAI618" s="17">
        <v>44925</v>
      </c>
      <c r="XAJ618" s="5" t="s">
        <v>3728</v>
      </c>
      <c r="XAK618" s="17">
        <v>44925</v>
      </c>
      <c r="XAL618" s="5" t="s">
        <v>3728</v>
      </c>
      <c r="XAM618" s="17">
        <v>44925</v>
      </c>
      <c r="XAN618" s="5" t="s">
        <v>3728</v>
      </c>
      <c r="XAO618" s="17">
        <v>44925</v>
      </c>
      <c r="XAP618" s="5" t="s">
        <v>3728</v>
      </c>
      <c r="XAQ618" s="17">
        <v>44925</v>
      </c>
      <c r="XAR618" s="5" t="s">
        <v>3728</v>
      </c>
      <c r="XAS618" s="17">
        <v>44925</v>
      </c>
      <c r="XAT618" s="5" t="s">
        <v>3728</v>
      </c>
      <c r="XAU618" s="17">
        <v>44925</v>
      </c>
      <c r="XAV618" s="5" t="s">
        <v>3728</v>
      </c>
      <c r="XAW618" s="17">
        <v>44925</v>
      </c>
      <c r="XAX618" s="5" t="s">
        <v>3728</v>
      </c>
      <c r="XAY618" s="17">
        <v>44925</v>
      </c>
      <c r="XAZ618" s="5" t="s">
        <v>3728</v>
      </c>
      <c r="XBA618" s="17">
        <v>44925</v>
      </c>
      <c r="XBB618" s="5" t="s">
        <v>3728</v>
      </c>
      <c r="XBC618" s="17">
        <v>44925</v>
      </c>
      <c r="XBD618" s="5" t="s">
        <v>3728</v>
      </c>
      <c r="XBE618" s="17">
        <v>44925</v>
      </c>
      <c r="XBF618" s="5" t="s">
        <v>3728</v>
      </c>
      <c r="XBG618" s="17">
        <v>44925</v>
      </c>
      <c r="XBH618" s="5" t="s">
        <v>3728</v>
      </c>
      <c r="XBI618" s="17">
        <v>44925</v>
      </c>
      <c r="XBJ618" s="5" t="s">
        <v>3728</v>
      </c>
      <c r="XBK618" s="17">
        <v>44925</v>
      </c>
      <c r="XBL618" s="5" t="s">
        <v>3728</v>
      </c>
      <c r="XBM618" s="17">
        <v>44925</v>
      </c>
      <c r="XBN618" s="5" t="s">
        <v>3728</v>
      </c>
      <c r="XBO618" s="17">
        <v>44925</v>
      </c>
      <c r="XBP618" s="5" t="s">
        <v>3728</v>
      </c>
      <c r="XBQ618" s="17">
        <v>44925</v>
      </c>
      <c r="XBR618" s="5" t="s">
        <v>3728</v>
      </c>
      <c r="XBS618" s="17">
        <v>44925</v>
      </c>
      <c r="XBT618" s="5" t="s">
        <v>3728</v>
      </c>
      <c r="XBU618" s="17">
        <v>44925</v>
      </c>
      <c r="XBV618" s="5" t="s">
        <v>3728</v>
      </c>
      <c r="XBW618" s="17">
        <v>44925</v>
      </c>
      <c r="XBX618" s="5" t="s">
        <v>3728</v>
      </c>
      <c r="XBY618" s="17">
        <v>44925</v>
      </c>
      <c r="XBZ618" s="5" t="s">
        <v>3728</v>
      </c>
      <c r="XCA618" s="17">
        <v>44925</v>
      </c>
      <c r="XCB618" s="5" t="s">
        <v>3728</v>
      </c>
      <c r="XCC618" s="17">
        <v>44925</v>
      </c>
      <c r="XCD618" s="5" t="s">
        <v>3728</v>
      </c>
      <c r="XCE618" s="17">
        <v>44925</v>
      </c>
      <c r="XCF618" s="5" t="s">
        <v>3728</v>
      </c>
      <c r="XCG618" s="17">
        <v>44925</v>
      </c>
      <c r="XCH618" s="5" t="s">
        <v>3728</v>
      </c>
      <c r="XCI618" s="17">
        <v>44925</v>
      </c>
      <c r="XCJ618" s="5" t="s">
        <v>3728</v>
      </c>
      <c r="XCK618" s="17">
        <v>44925</v>
      </c>
      <c r="XCL618" s="5" t="s">
        <v>3728</v>
      </c>
      <c r="XCM618" s="17">
        <v>44925</v>
      </c>
      <c r="XCN618" s="5" t="s">
        <v>3728</v>
      </c>
      <c r="XCO618" s="17">
        <v>44925</v>
      </c>
      <c r="XCP618" s="5" t="s">
        <v>3728</v>
      </c>
      <c r="XCQ618" s="17">
        <v>44925</v>
      </c>
      <c r="XCR618" s="5" t="s">
        <v>3728</v>
      </c>
      <c r="XCS618" s="17">
        <v>44925</v>
      </c>
      <c r="XCT618" s="5" t="s">
        <v>3728</v>
      </c>
      <c r="XCU618" s="17">
        <v>44925</v>
      </c>
      <c r="XCV618" s="5" t="s">
        <v>3728</v>
      </c>
      <c r="XCW618" s="17">
        <v>44925</v>
      </c>
      <c r="XCX618" s="5" t="s">
        <v>3728</v>
      </c>
      <c r="XCY618" s="17">
        <v>44925</v>
      </c>
      <c r="XCZ618" s="5" t="s">
        <v>3728</v>
      </c>
      <c r="XDA618" s="17">
        <v>44925</v>
      </c>
      <c r="XDB618" s="5" t="s">
        <v>3728</v>
      </c>
      <c r="XDC618" s="17">
        <v>44925</v>
      </c>
      <c r="XDD618" s="5" t="s">
        <v>3728</v>
      </c>
      <c r="XDE618" s="17">
        <v>44925</v>
      </c>
      <c r="XDF618" s="5" t="s">
        <v>3728</v>
      </c>
      <c r="XDG618" s="17">
        <v>44925</v>
      </c>
      <c r="XDH618" s="5" t="s">
        <v>3728</v>
      </c>
      <c r="XDI618" s="17">
        <v>44925</v>
      </c>
      <c r="XDJ618" s="5" t="s">
        <v>3728</v>
      </c>
      <c r="XDK618" s="17">
        <v>44925</v>
      </c>
      <c r="XDL618" s="5" t="s">
        <v>3728</v>
      </c>
      <c r="XDM618" s="17">
        <v>44925</v>
      </c>
      <c r="XDN618" s="5" t="s">
        <v>3728</v>
      </c>
      <c r="XDO618" s="17">
        <v>44925</v>
      </c>
      <c r="XDP618" s="5" t="s">
        <v>3728</v>
      </c>
      <c r="XDQ618" s="17">
        <v>44925</v>
      </c>
      <c r="XDR618" s="5" t="s">
        <v>3728</v>
      </c>
      <c r="XDS618" s="17">
        <v>44925</v>
      </c>
      <c r="XDT618" s="5" t="s">
        <v>3728</v>
      </c>
      <c r="XDU618" s="17">
        <v>44925</v>
      </c>
      <c r="XDV618" s="5" t="s">
        <v>3728</v>
      </c>
      <c r="XDW618" s="17">
        <v>44925</v>
      </c>
      <c r="XDX618" s="5" t="s">
        <v>3728</v>
      </c>
      <c r="XDY618" s="17">
        <v>44925</v>
      </c>
      <c r="XDZ618" s="5" t="s">
        <v>3728</v>
      </c>
      <c r="XEA618" s="17">
        <v>44925</v>
      </c>
      <c r="XEB618" s="5" t="s">
        <v>3728</v>
      </c>
      <c r="XEC618" s="17">
        <v>44925</v>
      </c>
      <c r="XED618" s="5" t="s">
        <v>3728</v>
      </c>
      <c r="XEE618" s="17">
        <v>44925</v>
      </c>
      <c r="XEF618" s="5" t="s">
        <v>3728</v>
      </c>
      <c r="XEG618" s="17">
        <v>44925</v>
      </c>
      <c r="XEH618" s="5" t="s">
        <v>3728</v>
      </c>
      <c r="XEI618" s="17">
        <v>44925</v>
      </c>
      <c r="XEJ618" s="5" t="s">
        <v>3728</v>
      </c>
      <c r="XEK618" s="17">
        <v>44925</v>
      </c>
      <c r="XEL618" s="5" t="s">
        <v>3728</v>
      </c>
      <c r="XEM618" s="17">
        <v>44925</v>
      </c>
      <c r="XEN618" s="5" t="s">
        <v>3728</v>
      </c>
      <c r="XEO618" s="17">
        <v>44925</v>
      </c>
      <c r="XEP618" s="5" t="s">
        <v>3728</v>
      </c>
      <c r="XEQ618" s="17">
        <v>44925</v>
      </c>
      <c r="XER618" s="5" t="s">
        <v>3728</v>
      </c>
      <c r="XES618" s="17">
        <v>44925</v>
      </c>
      <c r="XET618" s="5" t="s">
        <v>3728</v>
      </c>
      <c r="XEU618" s="17">
        <v>44925</v>
      </c>
      <c r="XEV618" s="5" t="s">
        <v>3728</v>
      </c>
      <c r="XEW618" s="17">
        <v>44925</v>
      </c>
      <c r="XEX618" s="5" t="s">
        <v>3728</v>
      </c>
      <c r="XEY618" s="17">
        <v>44925</v>
      </c>
      <c r="XEZ618" s="5" t="s">
        <v>3728</v>
      </c>
      <c r="XFA618" s="17">
        <v>44925</v>
      </c>
      <c r="XFB618" s="5" t="s">
        <v>3728</v>
      </c>
    </row>
    <row r="619" spans="1:16382" ht="17.25" customHeight="1" x14ac:dyDescent="0.3">
      <c r="A619" s="169">
        <f t="shared" si="66"/>
        <v>533</v>
      </c>
      <c r="B619" s="21" t="s">
        <v>619</v>
      </c>
      <c r="C619" s="5">
        <v>1956</v>
      </c>
      <c r="D619" s="3"/>
      <c r="E619" s="15" t="s">
        <v>3645</v>
      </c>
      <c r="F619" s="15">
        <v>2</v>
      </c>
      <c r="G619" s="100"/>
      <c r="H619" s="15">
        <v>561.4</v>
      </c>
      <c r="I619" s="15">
        <v>13</v>
      </c>
      <c r="J619" s="19">
        <f t="shared" si="70"/>
        <v>110992.5</v>
      </c>
      <c r="K619" s="105"/>
      <c r="L619" s="105"/>
      <c r="M619" s="105"/>
      <c r="N619" s="19">
        <f>SUMIF('2020'!B:B,B619,'2020'!C:C)+SUMIF('2021'!B:B,B619,'2021'!C:C)+SUMIF('2022'!B:B,B619,'2022'!C:C)</f>
        <v>110992.5</v>
      </c>
      <c r="O619" s="17">
        <v>44925</v>
      </c>
      <c r="P619" s="5" t="s">
        <v>3728</v>
      </c>
      <c r="Q619" s="17">
        <v>44925</v>
      </c>
      <c r="R619" s="5" t="s">
        <v>3728</v>
      </c>
      <c r="S619" s="17">
        <v>44925</v>
      </c>
      <c r="T619" s="5" t="s">
        <v>3728</v>
      </c>
      <c r="U619" s="17">
        <v>44925</v>
      </c>
      <c r="V619" s="5" t="s">
        <v>3728</v>
      </c>
      <c r="W619" s="17">
        <v>44925</v>
      </c>
      <c r="X619" s="5" t="s">
        <v>3728</v>
      </c>
      <c r="Y619" s="17">
        <v>44925</v>
      </c>
      <c r="Z619" s="5" t="s">
        <v>3728</v>
      </c>
      <c r="AA619" s="17">
        <v>44925</v>
      </c>
      <c r="AB619" s="5" t="s">
        <v>3728</v>
      </c>
      <c r="AC619" s="17">
        <v>44925</v>
      </c>
      <c r="AD619" s="5" t="s">
        <v>3728</v>
      </c>
      <c r="AE619" s="17">
        <v>44925</v>
      </c>
      <c r="AF619" s="5" t="s">
        <v>3728</v>
      </c>
      <c r="AG619" s="17">
        <v>44925</v>
      </c>
      <c r="AH619" s="5" t="s">
        <v>3728</v>
      </c>
      <c r="AI619" s="17">
        <v>44925</v>
      </c>
      <c r="AJ619" s="5" t="s">
        <v>3728</v>
      </c>
      <c r="AK619" s="17">
        <v>44925</v>
      </c>
      <c r="AL619" s="5" t="s">
        <v>3728</v>
      </c>
      <c r="AM619" s="17">
        <v>44925</v>
      </c>
      <c r="AN619" s="5" t="s">
        <v>3728</v>
      </c>
      <c r="AO619" s="17">
        <v>44925</v>
      </c>
      <c r="AP619" s="5" t="s">
        <v>3728</v>
      </c>
      <c r="AQ619" s="17">
        <v>44925</v>
      </c>
      <c r="AR619" s="5" t="s">
        <v>3728</v>
      </c>
      <c r="AS619" s="17">
        <v>44925</v>
      </c>
      <c r="AT619" s="5" t="s">
        <v>3728</v>
      </c>
      <c r="AU619" s="17">
        <v>44925</v>
      </c>
      <c r="AV619" s="5" t="s">
        <v>3728</v>
      </c>
      <c r="AW619" s="17">
        <v>44925</v>
      </c>
      <c r="AX619" s="5" t="s">
        <v>3728</v>
      </c>
      <c r="AY619" s="17">
        <v>44925</v>
      </c>
      <c r="AZ619" s="5" t="s">
        <v>3728</v>
      </c>
      <c r="BA619" s="17">
        <v>44925</v>
      </c>
      <c r="BB619" s="5" t="s">
        <v>3728</v>
      </c>
      <c r="BC619" s="17">
        <v>44925</v>
      </c>
      <c r="BD619" s="5" t="s">
        <v>3728</v>
      </c>
      <c r="BE619" s="17">
        <v>44925</v>
      </c>
      <c r="BF619" s="5" t="s">
        <v>3728</v>
      </c>
      <c r="BG619" s="17">
        <v>44925</v>
      </c>
      <c r="BH619" s="5" t="s">
        <v>3728</v>
      </c>
      <c r="BI619" s="17">
        <v>44925</v>
      </c>
      <c r="BJ619" s="5" t="s">
        <v>3728</v>
      </c>
      <c r="BK619" s="17">
        <v>44925</v>
      </c>
      <c r="BL619" s="5" t="s">
        <v>3728</v>
      </c>
      <c r="BM619" s="17">
        <v>44925</v>
      </c>
      <c r="BN619" s="5" t="s">
        <v>3728</v>
      </c>
      <c r="BO619" s="17">
        <v>44925</v>
      </c>
      <c r="BP619" s="5" t="s">
        <v>3728</v>
      </c>
      <c r="BQ619" s="17">
        <v>44925</v>
      </c>
      <c r="BR619" s="5" t="s">
        <v>3728</v>
      </c>
      <c r="BS619" s="17">
        <v>44925</v>
      </c>
      <c r="BT619" s="5" t="s">
        <v>3728</v>
      </c>
      <c r="BU619" s="17">
        <v>44925</v>
      </c>
      <c r="BV619" s="5" t="s">
        <v>3728</v>
      </c>
      <c r="BW619" s="17">
        <v>44925</v>
      </c>
      <c r="BX619" s="5" t="s">
        <v>3728</v>
      </c>
      <c r="BY619" s="17">
        <v>44925</v>
      </c>
      <c r="BZ619" s="5" t="s">
        <v>3728</v>
      </c>
      <c r="CA619" s="17">
        <v>44925</v>
      </c>
      <c r="CB619" s="5" t="s">
        <v>3728</v>
      </c>
      <c r="CC619" s="17">
        <v>44925</v>
      </c>
      <c r="CD619" s="5" t="s">
        <v>3728</v>
      </c>
      <c r="CE619" s="17">
        <v>44925</v>
      </c>
      <c r="CF619" s="5" t="s">
        <v>3728</v>
      </c>
      <c r="CG619" s="17">
        <v>44925</v>
      </c>
      <c r="CH619" s="5" t="s">
        <v>3728</v>
      </c>
      <c r="CI619" s="17">
        <v>44925</v>
      </c>
      <c r="CJ619" s="5" t="s">
        <v>3728</v>
      </c>
      <c r="CK619" s="17">
        <v>44925</v>
      </c>
      <c r="CL619" s="5" t="s">
        <v>3728</v>
      </c>
      <c r="CM619" s="17">
        <v>44925</v>
      </c>
      <c r="CN619" s="5" t="s">
        <v>3728</v>
      </c>
      <c r="CO619" s="17">
        <v>44925</v>
      </c>
      <c r="CP619" s="5" t="s">
        <v>3728</v>
      </c>
      <c r="CQ619" s="17">
        <v>44925</v>
      </c>
      <c r="CR619" s="5" t="s">
        <v>3728</v>
      </c>
      <c r="CS619" s="17">
        <v>44925</v>
      </c>
      <c r="CT619" s="5" t="s">
        <v>3728</v>
      </c>
      <c r="CU619" s="17">
        <v>44925</v>
      </c>
      <c r="CV619" s="5" t="s">
        <v>3728</v>
      </c>
      <c r="CW619" s="17">
        <v>44925</v>
      </c>
      <c r="CX619" s="5" t="s">
        <v>3728</v>
      </c>
      <c r="CY619" s="17">
        <v>44925</v>
      </c>
      <c r="CZ619" s="5" t="s">
        <v>3728</v>
      </c>
      <c r="DA619" s="17">
        <v>44925</v>
      </c>
      <c r="DB619" s="5" t="s">
        <v>3728</v>
      </c>
      <c r="DC619" s="17">
        <v>44925</v>
      </c>
      <c r="DD619" s="5" t="s">
        <v>3728</v>
      </c>
      <c r="DE619" s="17">
        <v>44925</v>
      </c>
      <c r="DF619" s="5" t="s">
        <v>3728</v>
      </c>
      <c r="DG619" s="17">
        <v>44925</v>
      </c>
      <c r="DH619" s="5" t="s">
        <v>3728</v>
      </c>
      <c r="DI619" s="17">
        <v>44925</v>
      </c>
      <c r="DJ619" s="5" t="s">
        <v>3728</v>
      </c>
      <c r="DK619" s="17">
        <v>44925</v>
      </c>
      <c r="DL619" s="5" t="s">
        <v>3728</v>
      </c>
      <c r="DM619" s="17">
        <v>44925</v>
      </c>
      <c r="DN619" s="5" t="s">
        <v>3728</v>
      </c>
      <c r="DO619" s="17">
        <v>44925</v>
      </c>
      <c r="DP619" s="5" t="s">
        <v>3728</v>
      </c>
      <c r="DQ619" s="17">
        <v>44925</v>
      </c>
      <c r="DR619" s="5" t="s">
        <v>3728</v>
      </c>
      <c r="DS619" s="17">
        <v>44925</v>
      </c>
      <c r="DT619" s="5" t="s">
        <v>3728</v>
      </c>
      <c r="DU619" s="17">
        <v>44925</v>
      </c>
      <c r="DV619" s="5" t="s">
        <v>3728</v>
      </c>
      <c r="DW619" s="17">
        <v>44925</v>
      </c>
      <c r="DX619" s="5" t="s">
        <v>3728</v>
      </c>
      <c r="DY619" s="17">
        <v>44925</v>
      </c>
      <c r="DZ619" s="5" t="s">
        <v>3728</v>
      </c>
      <c r="EA619" s="17">
        <v>44925</v>
      </c>
      <c r="EB619" s="5" t="s">
        <v>3728</v>
      </c>
      <c r="EC619" s="17">
        <v>44925</v>
      </c>
      <c r="ED619" s="5" t="s">
        <v>3728</v>
      </c>
      <c r="EE619" s="17">
        <v>44925</v>
      </c>
      <c r="EF619" s="5" t="s">
        <v>3728</v>
      </c>
      <c r="EG619" s="17">
        <v>44925</v>
      </c>
      <c r="EH619" s="5" t="s">
        <v>3728</v>
      </c>
      <c r="EI619" s="17">
        <v>44925</v>
      </c>
      <c r="EJ619" s="5" t="s">
        <v>3728</v>
      </c>
      <c r="EK619" s="17">
        <v>44925</v>
      </c>
      <c r="EL619" s="5" t="s">
        <v>3728</v>
      </c>
      <c r="EM619" s="17">
        <v>44925</v>
      </c>
      <c r="EN619" s="5" t="s">
        <v>3728</v>
      </c>
      <c r="EO619" s="17">
        <v>44925</v>
      </c>
      <c r="EP619" s="5" t="s">
        <v>3728</v>
      </c>
      <c r="EQ619" s="17">
        <v>44925</v>
      </c>
      <c r="ER619" s="5" t="s">
        <v>3728</v>
      </c>
      <c r="ES619" s="17">
        <v>44925</v>
      </c>
      <c r="ET619" s="5" t="s">
        <v>3728</v>
      </c>
      <c r="EU619" s="17">
        <v>44925</v>
      </c>
      <c r="EV619" s="5" t="s">
        <v>3728</v>
      </c>
      <c r="EW619" s="17">
        <v>44925</v>
      </c>
      <c r="EX619" s="5" t="s">
        <v>3728</v>
      </c>
      <c r="EY619" s="17">
        <v>44925</v>
      </c>
      <c r="EZ619" s="5" t="s">
        <v>3728</v>
      </c>
      <c r="FA619" s="17">
        <v>44925</v>
      </c>
      <c r="FB619" s="5" t="s">
        <v>3728</v>
      </c>
      <c r="FC619" s="17">
        <v>44925</v>
      </c>
      <c r="FD619" s="5" t="s">
        <v>3728</v>
      </c>
      <c r="FE619" s="17">
        <v>44925</v>
      </c>
      <c r="FF619" s="5" t="s">
        <v>3728</v>
      </c>
      <c r="FG619" s="17">
        <v>44925</v>
      </c>
      <c r="FH619" s="5" t="s">
        <v>3728</v>
      </c>
      <c r="FI619" s="17">
        <v>44925</v>
      </c>
      <c r="FJ619" s="5" t="s">
        <v>3728</v>
      </c>
      <c r="FK619" s="17">
        <v>44925</v>
      </c>
      <c r="FL619" s="5" t="s">
        <v>3728</v>
      </c>
      <c r="FM619" s="17">
        <v>44925</v>
      </c>
      <c r="FN619" s="5" t="s">
        <v>3728</v>
      </c>
      <c r="FO619" s="17">
        <v>44925</v>
      </c>
      <c r="FP619" s="5" t="s">
        <v>3728</v>
      </c>
      <c r="FQ619" s="17">
        <v>44925</v>
      </c>
      <c r="FR619" s="5" t="s">
        <v>3728</v>
      </c>
      <c r="FS619" s="17">
        <v>44925</v>
      </c>
      <c r="FT619" s="5" t="s">
        <v>3728</v>
      </c>
      <c r="FU619" s="17">
        <v>44925</v>
      </c>
      <c r="FV619" s="5" t="s">
        <v>3728</v>
      </c>
      <c r="FW619" s="17">
        <v>44925</v>
      </c>
      <c r="FX619" s="5" t="s">
        <v>3728</v>
      </c>
      <c r="FY619" s="17">
        <v>44925</v>
      </c>
      <c r="FZ619" s="5" t="s">
        <v>3728</v>
      </c>
      <c r="GA619" s="17">
        <v>44925</v>
      </c>
      <c r="GB619" s="5" t="s">
        <v>3728</v>
      </c>
      <c r="GC619" s="17">
        <v>44925</v>
      </c>
      <c r="GD619" s="5" t="s">
        <v>3728</v>
      </c>
      <c r="GE619" s="17">
        <v>44925</v>
      </c>
      <c r="GF619" s="5" t="s">
        <v>3728</v>
      </c>
      <c r="GG619" s="17">
        <v>44925</v>
      </c>
      <c r="GH619" s="5" t="s">
        <v>3728</v>
      </c>
      <c r="GI619" s="17">
        <v>44925</v>
      </c>
      <c r="GJ619" s="5" t="s">
        <v>3728</v>
      </c>
      <c r="GK619" s="17">
        <v>44925</v>
      </c>
      <c r="GL619" s="5" t="s">
        <v>3728</v>
      </c>
      <c r="GM619" s="17">
        <v>44925</v>
      </c>
      <c r="GN619" s="5" t="s">
        <v>3728</v>
      </c>
      <c r="GO619" s="17">
        <v>44925</v>
      </c>
      <c r="GP619" s="5" t="s">
        <v>3728</v>
      </c>
      <c r="GQ619" s="17">
        <v>44925</v>
      </c>
      <c r="GR619" s="5" t="s">
        <v>3728</v>
      </c>
      <c r="GS619" s="17">
        <v>44925</v>
      </c>
      <c r="GT619" s="5" t="s">
        <v>3728</v>
      </c>
      <c r="GU619" s="17">
        <v>44925</v>
      </c>
      <c r="GV619" s="5" t="s">
        <v>3728</v>
      </c>
      <c r="GW619" s="17">
        <v>44925</v>
      </c>
      <c r="GX619" s="5" t="s">
        <v>3728</v>
      </c>
      <c r="GY619" s="17">
        <v>44925</v>
      </c>
      <c r="GZ619" s="5" t="s">
        <v>3728</v>
      </c>
      <c r="HA619" s="17">
        <v>44925</v>
      </c>
      <c r="HB619" s="5" t="s">
        <v>3728</v>
      </c>
      <c r="HC619" s="17">
        <v>44925</v>
      </c>
      <c r="HD619" s="5" t="s">
        <v>3728</v>
      </c>
      <c r="HE619" s="17">
        <v>44925</v>
      </c>
      <c r="HF619" s="5" t="s">
        <v>3728</v>
      </c>
      <c r="HG619" s="17">
        <v>44925</v>
      </c>
      <c r="HH619" s="5" t="s">
        <v>3728</v>
      </c>
      <c r="HI619" s="17">
        <v>44925</v>
      </c>
      <c r="HJ619" s="5" t="s">
        <v>3728</v>
      </c>
      <c r="HK619" s="17">
        <v>44925</v>
      </c>
      <c r="HL619" s="5" t="s">
        <v>3728</v>
      </c>
      <c r="HM619" s="17">
        <v>44925</v>
      </c>
      <c r="HN619" s="5" t="s">
        <v>3728</v>
      </c>
      <c r="HO619" s="17">
        <v>44925</v>
      </c>
      <c r="HP619" s="5" t="s">
        <v>3728</v>
      </c>
      <c r="HQ619" s="17">
        <v>44925</v>
      </c>
      <c r="HR619" s="5" t="s">
        <v>3728</v>
      </c>
      <c r="HS619" s="17">
        <v>44925</v>
      </c>
      <c r="HT619" s="5" t="s">
        <v>3728</v>
      </c>
      <c r="HU619" s="17">
        <v>44925</v>
      </c>
      <c r="HV619" s="5" t="s">
        <v>3728</v>
      </c>
      <c r="HW619" s="17">
        <v>44925</v>
      </c>
      <c r="HX619" s="5" t="s">
        <v>3728</v>
      </c>
      <c r="HY619" s="17">
        <v>44925</v>
      </c>
      <c r="HZ619" s="5" t="s">
        <v>3728</v>
      </c>
      <c r="IA619" s="17">
        <v>44925</v>
      </c>
      <c r="IB619" s="5" t="s">
        <v>3728</v>
      </c>
      <c r="IC619" s="17">
        <v>44925</v>
      </c>
      <c r="ID619" s="5" t="s">
        <v>3728</v>
      </c>
      <c r="IE619" s="17">
        <v>44925</v>
      </c>
      <c r="IF619" s="5" t="s">
        <v>3728</v>
      </c>
      <c r="IG619" s="17">
        <v>44925</v>
      </c>
      <c r="IH619" s="5" t="s">
        <v>3728</v>
      </c>
      <c r="II619" s="17">
        <v>44925</v>
      </c>
      <c r="IJ619" s="5" t="s">
        <v>3728</v>
      </c>
      <c r="IK619" s="17">
        <v>44925</v>
      </c>
      <c r="IL619" s="5" t="s">
        <v>3728</v>
      </c>
      <c r="IM619" s="17">
        <v>44925</v>
      </c>
      <c r="IN619" s="5" t="s">
        <v>3728</v>
      </c>
      <c r="IO619" s="17">
        <v>44925</v>
      </c>
      <c r="IP619" s="5" t="s">
        <v>3728</v>
      </c>
      <c r="IQ619" s="17">
        <v>44925</v>
      </c>
      <c r="IR619" s="5" t="s">
        <v>3728</v>
      </c>
      <c r="IS619" s="17">
        <v>44925</v>
      </c>
      <c r="IT619" s="5" t="s">
        <v>3728</v>
      </c>
      <c r="IU619" s="17">
        <v>44925</v>
      </c>
      <c r="IV619" s="5" t="s">
        <v>3728</v>
      </c>
      <c r="IW619" s="17">
        <v>44925</v>
      </c>
      <c r="IX619" s="5" t="s">
        <v>3728</v>
      </c>
      <c r="IY619" s="17">
        <v>44925</v>
      </c>
      <c r="IZ619" s="5" t="s">
        <v>3728</v>
      </c>
      <c r="JA619" s="17">
        <v>44925</v>
      </c>
      <c r="JB619" s="5" t="s">
        <v>3728</v>
      </c>
      <c r="JC619" s="17">
        <v>44925</v>
      </c>
      <c r="JD619" s="5" t="s">
        <v>3728</v>
      </c>
      <c r="JE619" s="17">
        <v>44925</v>
      </c>
      <c r="JF619" s="5" t="s">
        <v>3728</v>
      </c>
      <c r="JG619" s="17">
        <v>44925</v>
      </c>
      <c r="JH619" s="5" t="s">
        <v>3728</v>
      </c>
      <c r="JI619" s="17">
        <v>44925</v>
      </c>
      <c r="JJ619" s="5" t="s">
        <v>3728</v>
      </c>
      <c r="JK619" s="17">
        <v>44925</v>
      </c>
      <c r="JL619" s="5" t="s">
        <v>3728</v>
      </c>
      <c r="JM619" s="17">
        <v>44925</v>
      </c>
      <c r="JN619" s="5" t="s">
        <v>3728</v>
      </c>
      <c r="JO619" s="17">
        <v>44925</v>
      </c>
      <c r="JP619" s="5" t="s">
        <v>3728</v>
      </c>
      <c r="JQ619" s="17">
        <v>44925</v>
      </c>
      <c r="JR619" s="5" t="s">
        <v>3728</v>
      </c>
      <c r="JS619" s="17">
        <v>44925</v>
      </c>
      <c r="JT619" s="5" t="s">
        <v>3728</v>
      </c>
      <c r="JU619" s="17">
        <v>44925</v>
      </c>
      <c r="JV619" s="5" t="s">
        <v>3728</v>
      </c>
      <c r="JW619" s="17">
        <v>44925</v>
      </c>
      <c r="JX619" s="5" t="s">
        <v>3728</v>
      </c>
      <c r="JY619" s="17">
        <v>44925</v>
      </c>
      <c r="JZ619" s="5" t="s">
        <v>3728</v>
      </c>
      <c r="KA619" s="17">
        <v>44925</v>
      </c>
      <c r="KB619" s="5" t="s">
        <v>3728</v>
      </c>
      <c r="KC619" s="17">
        <v>44925</v>
      </c>
      <c r="KD619" s="5" t="s">
        <v>3728</v>
      </c>
      <c r="KE619" s="17">
        <v>44925</v>
      </c>
      <c r="KF619" s="5" t="s">
        <v>3728</v>
      </c>
      <c r="KG619" s="17">
        <v>44925</v>
      </c>
      <c r="KH619" s="5" t="s">
        <v>3728</v>
      </c>
      <c r="KI619" s="17">
        <v>44925</v>
      </c>
      <c r="KJ619" s="5" t="s">
        <v>3728</v>
      </c>
      <c r="KK619" s="17">
        <v>44925</v>
      </c>
      <c r="KL619" s="5" t="s">
        <v>3728</v>
      </c>
      <c r="KM619" s="17">
        <v>44925</v>
      </c>
      <c r="KN619" s="5" t="s">
        <v>3728</v>
      </c>
      <c r="KO619" s="17">
        <v>44925</v>
      </c>
      <c r="KP619" s="5" t="s">
        <v>3728</v>
      </c>
      <c r="KQ619" s="17">
        <v>44925</v>
      </c>
      <c r="KR619" s="5" t="s">
        <v>3728</v>
      </c>
      <c r="KS619" s="17">
        <v>44925</v>
      </c>
      <c r="KT619" s="5" t="s">
        <v>3728</v>
      </c>
      <c r="KU619" s="17">
        <v>44925</v>
      </c>
      <c r="KV619" s="5" t="s">
        <v>3728</v>
      </c>
      <c r="KW619" s="17">
        <v>44925</v>
      </c>
      <c r="KX619" s="5" t="s">
        <v>3728</v>
      </c>
      <c r="KY619" s="17">
        <v>44925</v>
      </c>
      <c r="KZ619" s="5" t="s">
        <v>3728</v>
      </c>
      <c r="LA619" s="17">
        <v>44925</v>
      </c>
      <c r="LB619" s="5" t="s">
        <v>3728</v>
      </c>
      <c r="LC619" s="17">
        <v>44925</v>
      </c>
      <c r="LD619" s="5" t="s">
        <v>3728</v>
      </c>
      <c r="LE619" s="17">
        <v>44925</v>
      </c>
      <c r="LF619" s="5" t="s">
        <v>3728</v>
      </c>
      <c r="LG619" s="17">
        <v>44925</v>
      </c>
      <c r="LH619" s="5" t="s">
        <v>3728</v>
      </c>
      <c r="LI619" s="17">
        <v>44925</v>
      </c>
      <c r="LJ619" s="5" t="s">
        <v>3728</v>
      </c>
      <c r="LK619" s="17">
        <v>44925</v>
      </c>
      <c r="LL619" s="5" t="s">
        <v>3728</v>
      </c>
      <c r="LM619" s="17">
        <v>44925</v>
      </c>
      <c r="LN619" s="5" t="s">
        <v>3728</v>
      </c>
      <c r="LO619" s="17">
        <v>44925</v>
      </c>
      <c r="LP619" s="5" t="s">
        <v>3728</v>
      </c>
      <c r="LQ619" s="17">
        <v>44925</v>
      </c>
      <c r="LR619" s="5" t="s">
        <v>3728</v>
      </c>
      <c r="LS619" s="17">
        <v>44925</v>
      </c>
      <c r="LT619" s="5" t="s">
        <v>3728</v>
      </c>
      <c r="LU619" s="17">
        <v>44925</v>
      </c>
      <c r="LV619" s="5" t="s">
        <v>3728</v>
      </c>
      <c r="LW619" s="17">
        <v>44925</v>
      </c>
      <c r="LX619" s="5" t="s">
        <v>3728</v>
      </c>
      <c r="LY619" s="17">
        <v>44925</v>
      </c>
      <c r="LZ619" s="5" t="s">
        <v>3728</v>
      </c>
      <c r="MA619" s="17">
        <v>44925</v>
      </c>
      <c r="MB619" s="5" t="s">
        <v>3728</v>
      </c>
      <c r="MC619" s="17">
        <v>44925</v>
      </c>
      <c r="MD619" s="5" t="s">
        <v>3728</v>
      </c>
      <c r="ME619" s="17">
        <v>44925</v>
      </c>
      <c r="MF619" s="5" t="s">
        <v>3728</v>
      </c>
      <c r="MG619" s="17">
        <v>44925</v>
      </c>
      <c r="MH619" s="5" t="s">
        <v>3728</v>
      </c>
      <c r="MI619" s="17">
        <v>44925</v>
      </c>
      <c r="MJ619" s="5" t="s">
        <v>3728</v>
      </c>
      <c r="MK619" s="17">
        <v>44925</v>
      </c>
      <c r="ML619" s="5" t="s">
        <v>3728</v>
      </c>
      <c r="MM619" s="17">
        <v>44925</v>
      </c>
      <c r="MN619" s="5" t="s">
        <v>3728</v>
      </c>
      <c r="MO619" s="17">
        <v>44925</v>
      </c>
      <c r="MP619" s="5" t="s">
        <v>3728</v>
      </c>
      <c r="MQ619" s="17">
        <v>44925</v>
      </c>
      <c r="MR619" s="5" t="s">
        <v>3728</v>
      </c>
      <c r="MS619" s="17">
        <v>44925</v>
      </c>
      <c r="MT619" s="5" t="s">
        <v>3728</v>
      </c>
      <c r="MU619" s="17">
        <v>44925</v>
      </c>
      <c r="MV619" s="5" t="s">
        <v>3728</v>
      </c>
      <c r="MW619" s="17">
        <v>44925</v>
      </c>
      <c r="MX619" s="5" t="s">
        <v>3728</v>
      </c>
      <c r="MY619" s="17">
        <v>44925</v>
      </c>
      <c r="MZ619" s="5" t="s">
        <v>3728</v>
      </c>
      <c r="NA619" s="17">
        <v>44925</v>
      </c>
      <c r="NB619" s="5" t="s">
        <v>3728</v>
      </c>
      <c r="NC619" s="17">
        <v>44925</v>
      </c>
      <c r="ND619" s="5" t="s">
        <v>3728</v>
      </c>
      <c r="NE619" s="17">
        <v>44925</v>
      </c>
      <c r="NF619" s="5" t="s">
        <v>3728</v>
      </c>
      <c r="NG619" s="17">
        <v>44925</v>
      </c>
      <c r="NH619" s="5" t="s">
        <v>3728</v>
      </c>
      <c r="NI619" s="17">
        <v>44925</v>
      </c>
      <c r="NJ619" s="5" t="s">
        <v>3728</v>
      </c>
      <c r="NK619" s="17">
        <v>44925</v>
      </c>
      <c r="NL619" s="5" t="s">
        <v>3728</v>
      </c>
      <c r="NM619" s="17">
        <v>44925</v>
      </c>
      <c r="NN619" s="5" t="s">
        <v>3728</v>
      </c>
      <c r="NO619" s="17">
        <v>44925</v>
      </c>
      <c r="NP619" s="5" t="s">
        <v>3728</v>
      </c>
      <c r="NQ619" s="17">
        <v>44925</v>
      </c>
      <c r="NR619" s="5" t="s">
        <v>3728</v>
      </c>
      <c r="NS619" s="17">
        <v>44925</v>
      </c>
      <c r="NT619" s="5" t="s">
        <v>3728</v>
      </c>
      <c r="NU619" s="17">
        <v>44925</v>
      </c>
      <c r="NV619" s="5" t="s">
        <v>3728</v>
      </c>
      <c r="NW619" s="17">
        <v>44925</v>
      </c>
      <c r="NX619" s="5" t="s">
        <v>3728</v>
      </c>
      <c r="NY619" s="17">
        <v>44925</v>
      </c>
      <c r="NZ619" s="5" t="s">
        <v>3728</v>
      </c>
      <c r="OA619" s="17">
        <v>44925</v>
      </c>
      <c r="OB619" s="5" t="s">
        <v>3728</v>
      </c>
      <c r="OC619" s="17">
        <v>44925</v>
      </c>
      <c r="OD619" s="5" t="s">
        <v>3728</v>
      </c>
      <c r="OE619" s="17">
        <v>44925</v>
      </c>
      <c r="OF619" s="5" t="s">
        <v>3728</v>
      </c>
      <c r="OG619" s="17">
        <v>44925</v>
      </c>
      <c r="OH619" s="5" t="s">
        <v>3728</v>
      </c>
      <c r="OI619" s="17">
        <v>44925</v>
      </c>
      <c r="OJ619" s="5" t="s">
        <v>3728</v>
      </c>
      <c r="OK619" s="17">
        <v>44925</v>
      </c>
      <c r="OL619" s="5" t="s">
        <v>3728</v>
      </c>
      <c r="OM619" s="17">
        <v>44925</v>
      </c>
      <c r="ON619" s="5" t="s">
        <v>3728</v>
      </c>
      <c r="OO619" s="17">
        <v>44925</v>
      </c>
      <c r="OP619" s="5" t="s">
        <v>3728</v>
      </c>
      <c r="OQ619" s="17">
        <v>44925</v>
      </c>
      <c r="OR619" s="5" t="s">
        <v>3728</v>
      </c>
      <c r="OS619" s="17">
        <v>44925</v>
      </c>
      <c r="OT619" s="5" t="s">
        <v>3728</v>
      </c>
      <c r="OU619" s="17">
        <v>44925</v>
      </c>
      <c r="OV619" s="5" t="s">
        <v>3728</v>
      </c>
      <c r="OW619" s="17">
        <v>44925</v>
      </c>
      <c r="OX619" s="5" t="s">
        <v>3728</v>
      </c>
      <c r="OY619" s="17">
        <v>44925</v>
      </c>
      <c r="OZ619" s="5" t="s">
        <v>3728</v>
      </c>
      <c r="PA619" s="17">
        <v>44925</v>
      </c>
      <c r="PB619" s="5" t="s">
        <v>3728</v>
      </c>
      <c r="PC619" s="17">
        <v>44925</v>
      </c>
      <c r="PD619" s="5" t="s">
        <v>3728</v>
      </c>
      <c r="PE619" s="17">
        <v>44925</v>
      </c>
      <c r="PF619" s="5" t="s">
        <v>3728</v>
      </c>
      <c r="PG619" s="17">
        <v>44925</v>
      </c>
      <c r="PH619" s="5" t="s">
        <v>3728</v>
      </c>
      <c r="PI619" s="17">
        <v>44925</v>
      </c>
      <c r="PJ619" s="5" t="s">
        <v>3728</v>
      </c>
      <c r="PK619" s="17">
        <v>44925</v>
      </c>
      <c r="PL619" s="5" t="s">
        <v>3728</v>
      </c>
      <c r="PM619" s="17">
        <v>44925</v>
      </c>
      <c r="PN619" s="5" t="s">
        <v>3728</v>
      </c>
      <c r="PO619" s="17">
        <v>44925</v>
      </c>
      <c r="PP619" s="5" t="s">
        <v>3728</v>
      </c>
      <c r="PQ619" s="17">
        <v>44925</v>
      </c>
      <c r="PR619" s="5" t="s">
        <v>3728</v>
      </c>
      <c r="PS619" s="17">
        <v>44925</v>
      </c>
      <c r="PT619" s="5" t="s">
        <v>3728</v>
      </c>
      <c r="PU619" s="17">
        <v>44925</v>
      </c>
      <c r="PV619" s="5" t="s">
        <v>3728</v>
      </c>
      <c r="PW619" s="17">
        <v>44925</v>
      </c>
      <c r="PX619" s="5" t="s">
        <v>3728</v>
      </c>
      <c r="PY619" s="17">
        <v>44925</v>
      </c>
      <c r="PZ619" s="5" t="s">
        <v>3728</v>
      </c>
      <c r="QA619" s="17">
        <v>44925</v>
      </c>
      <c r="QB619" s="5" t="s">
        <v>3728</v>
      </c>
      <c r="QC619" s="17">
        <v>44925</v>
      </c>
      <c r="QD619" s="5" t="s">
        <v>3728</v>
      </c>
      <c r="QE619" s="17">
        <v>44925</v>
      </c>
      <c r="QF619" s="5" t="s">
        <v>3728</v>
      </c>
      <c r="QG619" s="17">
        <v>44925</v>
      </c>
      <c r="QH619" s="5" t="s">
        <v>3728</v>
      </c>
      <c r="QI619" s="17">
        <v>44925</v>
      </c>
      <c r="QJ619" s="5" t="s">
        <v>3728</v>
      </c>
      <c r="QK619" s="17">
        <v>44925</v>
      </c>
      <c r="QL619" s="5" t="s">
        <v>3728</v>
      </c>
      <c r="QM619" s="17">
        <v>44925</v>
      </c>
      <c r="QN619" s="5" t="s">
        <v>3728</v>
      </c>
      <c r="QO619" s="17">
        <v>44925</v>
      </c>
      <c r="QP619" s="5" t="s">
        <v>3728</v>
      </c>
      <c r="QQ619" s="17">
        <v>44925</v>
      </c>
      <c r="QR619" s="5" t="s">
        <v>3728</v>
      </c>
      <c r="QS619" s="17">
        <v>44925</v>
      </c>
      <c r="QT619" s="5" t="s">
        <v>3728</v>
      </c>
      <c r="QU619" s="17">
        <v>44925</v>
      </c>
      <c r="QV619" s="5" t="s">
        <v>3728</v>
      </c>
      <c r="QW619" s="17">
        <v>44925</v>
      </c>
      <c r="QX619" s="5" t="s">
        <v>3728</v>
      </c>
      <c r="QY619" s="17">
        <v>44925</v>
      </c>
      <c r="QZ619" s="5" t="s">
        <v>3728</v>
      </c>
      <c r="RA619" s="17">
        <v>44925</v>
      </c>
      <c r="RB619" s="5" t="s">
        <v>3728</v>
      </c>
      <c r="RC619" s="17">
        <v>44925</v>
      </c>
      <c r="RD619" s="5" t="s">
        <v>3728</v>
      </c>
      <c r="RE619" s="17">
        <v>44925</v>
      </c>
      <c r="RF619" s="5" t="s">
        <v>3728</v>
      </c>
      <c r="RG619" s="17">
        <v>44925</v>
      </c>
      <c r="RH619" s="5" t="s">
        <v>3728</v>
      </c>
      <c r="RI619" s="17">
        <v>44925</v>
      </c>
      <c r="RJ619" s="5" t="s">
        <v>3728</v>
      </c>
      <c r="RK619" s="17">
        <v>44925</v>
      </c>
      <c r="RL619" s="5" t="s">
        <v>3728</v>
      </c>
      <c r="RM619" s="17">
        <v>44925</v>
      </c>
      <c r="RN619" s="5" t="s">
        <v>3728</v>
      </c>
      <c r="RO619" s="17">
        <v>44925</v>
      </c>
      <c r="RP619" s="5" t="s">
        <v>3728</v>
      </c>
      <c r="RQ619" s="17">
        <v>44925</v>
      </c>
      <c r="RR619" s="5" t="s">
        <v>3728</v>
      </c>
      <c r="RS619" s="17">
        <v>44925</v>
      </c>
      <c r="RT619" s="5" t="s">
        <v>3728</v>
      </c>
      <c r="RU619" s="17">
        <v>44925</v>
      </c>
      <c r="RV619" s="5" t="s">
        <v>3728</v>
      </c>
      <c r="RW619" s="17">
        <v>44925</v>
      </c>
      <c r="RX619" s="5" t="s">
        <v>3728</v>
      </c>
      <c r="RY619" s="17">
        <v>44925</v>
      </c>
      <c r="RZ619" s="5" t="s">
        <v>3728</v>
      </c>
      <c r="SA619" s="17">
        <v>44925</v>
      </c>
      <c r="SB619" s="5" t="s">
        <v>3728</v>
      </c>
      <c r="SC619" s="17">
        <v>44925</v>
      </c>
      <c r="SD619" s="5" t="s">
        <v>3728</v>
      </c>
      <c r="SE619" s="17">
        <v>44925</v>
      </c>
      <c r="SF619" s="5" t="s">
        <v>3728</v>
      </c>
      <c r="SG619" s="17">
        <v>44925</v>
      </c>
      <c r="SH619" s="5" t="s">
        <v>3728</v>
      </c>
      <c r="SI619" s="17">
        <v>44925</v>
      </c>
      <c r="SJ619" s="5" t="s">
        <v>3728</v>
      </c>
      <c r="SK619" s="17">
        <v>44925</v>
      </c>
      <c r="SL619" s="5" t="s">
        <v>3728</v>
      </c>
      <c r="SM619" s="17">
        <v>44925</v>
      </c>
      <c r="SN619" s="5" t="s">
        <v>3728</v>
      </c>
      <c r="SO619" s="17">
        <v>44925</v>
      </c>
      <c r="SP619" s="5" t="s">
        <v>3728</v>
      </c>
      <c r="SQ619" s="17">
        <v>44925</v>
      </c>
      <c r="SR619" s="5" t="s">
        <v>3728</v>
      </c>
      <c r="SS619" s="17">
        <v>44925</v>
      </c>
      <c r="ST619" s="5" t="s">
        <v>3728</v>
      </c>
      <c r="SU619" s="17">
        <v>44925</v>
      </c>
      <c r="SV619" s="5" t="s">
        <v>3728</v>
      </c>
      <c r="SW619" s="17">
        <v>44925</v>
      </c>
      <c r="SX619" s="5" t="s">
        <v>3728</v>
      </c>
      <c r="SY619" s="17">
        <v>44925</v>
      </c>
      <c r="SZ619" s="5" t="s">
        <v>3728</v>
      </c>
      <c r="TA619" s="17">
        <v>44925</v>
      </c>
      <c r="TB619" s="5" t="s">
        <v>3728</v>
      </c>
      <c r="TC619" s="17">
        <v>44925</v>
      </c>
      <c r="TD619" s="5" t="s">
        <v>3728</v>
      </c>
      <c r="TE619" s="17">
        <v>44925</v>
      </c>
      <c r="TF619" s="5" t="s">
        <v>3728</v>
      </c>
      <c r="TG619" s="17">
        <v>44925</v>
      </c>
      <c r="TH619" s="5" t="s">
        <v>3728</v>
      </c>
      <c r="TI619" s="17">
        <v>44925</v>
      </c>
      <c r="TJ619" s="5" t="s">
        <v>3728</v>
      </c>
      <c r="TK619" s="17">
        <v>44925</v>
      </c>
      <c r="TL619" s="5" t="s">
        <v>3728</v>
      </c>
      <c r="TM619" s="17">
        <v>44925</v>
      </c>
      <c r="TN619" s="5" t="s">
        <v>3728</v>
      </c>
      <c r="TO619" s="17">
        <v>44925</v>
      </c>
      <c r="TP619" s="5" t="s">
        <v>3728</v>
      </c>
      <c r="TQ619" s="17">
        <v>44925</v>
      </c>
      <c r="TR619" s="5" t="s">
        <v>3728</v>
      </c>
      <c r="TS619" s="17">
        <v>44925</v>
      </c>
      <c r="TT619" s="5" t="s">
        <v>3728</v>
      </c>
      <c r="TU619" s="17">
        <v>44925</v>
      </c>
      <c r="TV619" s="5" t="s">
        <v>3728</v>
      </c>
      <c r="TW619" s="17">
        <v>44925</v>
      </c>
      <c r="TX619" s="5" t="s">
        <v>3728</v>
      </c>
      <c r="TY619" s="17">
        <v>44925</v>
      </c>
      <c r="TZ619" s="5" t="s">
        <v>3728</v>
      </c>
      <c r="UA619" s="17">
        <v>44925</v>
      </c>
      <c r="UB619" s="5" t="s">
        <v>3728</v>
      </c>
      <c r="UC619" s="17">
        <v>44925</v>
      </c>
      <c r="UD619" s="5" t="s">
        <v>3728</v>
      </c>
      <c r="UE619" s="17">
        <v>44925</v>
      </c>
      <c r="UF619" s="5" t="s">
        <v>3728</v>
      </c>
      <c r="UG619" s="17">
        <v>44925</v>
      </c>
      <c r="UH619" s="5" t="s">
        <v>3728</v>
      </c>
      <c r="UI619" s="17">
        <v>44925</v>
      </c>
      <c r="UJ619" s="5" t="s">
        <v>3728</v>
      </c>
      <c r="UK619" s="17">
        <v>44925</v>
      </c>
      <c r="UL619" s="5" t="s">
        <v>3728</v>
      </c>
      <c r="UM619" s="17">
        <v>44925</v>
      </c>
      <c r="UN619" s="5" t="s">
        <v>3728</v>
      </c>
      <c r="UO619" s="17">
        <v>44925</v>
      </c>
      <c r="UP619" s="5" t="s">
        <v>3728</v>
      </c>
      <c r="UQ619" s="17">
        <v>44925</v>
      </c>
      <c r="UR619" s="5" t="s">
        <v>3728</v>
      </c>
      <c r="US619" s="17">
        <v>44925</v>
      </c>
      <c r="UT619" s="5" t="s">
        <v>3728</v>
      </c>
      <c r="UU619" s="17">
        <v>44925</v>
      </c>
      <c r="UV619" s="5" t="s">
        <v>3728</v>
      </c>
      <c r="UW619" s="17">
        <v>44925</v>
      </c>
      <c r="UX619" s="5" t="s">
        <v>3728</v>
      </c>
      <c r="UY619" s="17">
        <v>44925</v>
      </c>
      <c r="UZ619" s="5" t="s">
        <v>3728</v>
      </c>
      <c r="VA619" s="17">
        <v>44925</v>
      </c>
      <c r="VB619" s="5" t="s">
        <v>3728</v>
      </c>
      <c r="VC619" s="17">
        <v>44925</v>
      </c>
      <c r="VD619" s="5" t="s">
        <v>3728</v>
      </c>
      <c r="VE619" s="17">
        <v>44925</v>
      </c>
      <c r="VF619" s="5" t="s">
        <v>3728</v>
      </c>
      <c r="VG619" s="17">
        <v>44925</v>
      </c>
      <c r="VH619" s="5" t="s">
        <v>3728</v>
      </c>
      <c r="VI619" s="17">
        <v>44925</v>
      </c>
      <c r="VJ619" s="5" t="s">
        <v>3728</v>
      </c>
      <c r="VK619" s="17">
        <v>44925</v>
      </c>
      <c r="VL619" s="5" t="s">
        <v>3728</v>
      </c>
      <c r="VM619" s="17">
        <v>44925</v>
      </c>
      <c r="VN619" s="5" t="s">
        <v>3728</v>
      </c>
      <c r="VO619" s="17">
        <v>44925</v>
      </c>
      <c r="VP619" s="5" t="s">
        <v>3728</v>
      </c>
      <c r="VQ619" s="17">
        <v>44925</v>
      </c>
      <c r="VR619" s="5" t="s">
        <v>3728</v>
      </c>
      <c r="VS619" s="17">
        <v>44925</v>
      </c>
      <c r="VT619" s="5" t="s">
        <v>3728</v>
      </c>
      <c r="VU619" s="17">
        <v>44925</v>
      </c>
      <c r="VV619" s="5" t="s">
        <v>3728</v>
      </c>
      <c r="VW619" s="17">
        <v>44925</v>
      </c>
      <c r="VX619" s="5" t="s">
        <v>3728</v>
      </c>
      <c r="VY619" s="17">
        <v>44925</v>
      </c>
      <c r="VZ619" s="5" t="s">
        <v>3728</v>
      </c>
      <c r="WA619" s="17">
        <v>44925</v>
      </c>
      <c r="WB619" s="5" t="s">
        <v>3728</v>
      </c>
      <c r="WC619" s="17">
        <v>44925</v>
      </c>
      <c r="WD619" s="5" t="s">
        <v>3728</v>
      </c>
      <c r="WE619" s="17">
        <v>44925</v>
      </c>
      <c r="WF619" s="5" t="s">
        <v>3728</v>
      </c>
      <c r="WG619" s="17">
        <v>44925</v>
      </c>
      <c r="WH619" s="5" t="s">
        <v>3728</v>
      </c>
      <c r="WI619" s="17">
        <v>44925</v>
      </c>
      <c r="WJ619" s="5" t="s">
        <v>3728</v>
      </c>
      <c r="WK619" s="17">
        <v>44925</v>
      </c>
      <c r="WL619" s="5" t="s">
        <v>3728</v>
      </c>
      <c r="WM619" s="17">
        <v>44925</v>
      </c>
      <c r="WN619" s="5" t="s">
        <v>3728</v>
      </c>
      <c r="WO619" s="17">
        <v>44925</v>
      </c>
      <c r="WP619" s="5" t="s">
        <v>3728</v>
      </c>
      <c r="WQ619" s="17">
        <v>44925</v>
      </c>
      <c r="WR619" s="5" t="s">
        <v>3728</v>
      </c>
      <c r="WS619" s="17">
        <v>44925</v>
      </c>
      <c r="WT619" s="5" t="s">
        <v>3728</v>
      </c>
      <c r="WU619" s="17">
        <v>44925</v>
      </c>
      <c r="WV619" s="5" t="s">
        <v>3728</v>
      </c>
      <c r="WW619" s="17">
        <v>44925</v>
      </c>
      <c r="WX619" s="5" t="s">
        <v>3728</v>
      </c>
      <c r="WY619" s="17">
        <v>44925</v>
      </c>
      <c r="WZ619" s="5" t="s">
        <v>3728</v>
      </c>
      <c r="XA619" s="17">
        <v>44925</v>
      </c>
      <c r="XB619" s="5" t="s">
        <v>3728</v>
      </c>
      <c r="XC619" s="17">
        <v>44925</v>
      </c>
      <c r="XD619" s="5" t="s">
        <v>3728</v>
      </c>
      <c r="XE619" s="17">
        <v>44925</v>
      </c>
      <c r="XF619" s="5" t="s">
        <v>3728</v>
      </c>
      <c r="XG619" s="17">
        <v>44925</v>
      </c>
      <c r="XH619" s="5" t="s">
        <v>3728</v>
      </c>
      <c r="XI619" s="17">
        <v>44925</v>
      </c>
      <c r="XJ619" s="5" t="s">
        <v>3728</v>
      </c>
      <c r="XK619" s="17">
        <v>44925</v>
      </c>
      <c r="XL619" s="5" t="s">
        <v>3728</v>
      </c>
      <c r="XM619" s="17">
        <v>44925</v>
      </c>
      <c r="XN619" s="5" t="s">
        <v>3728</v>
      </c>
      <c r="XO619" s="17">
        <v>44925</v>
      </c>
      <c r="XP619" s="5" t="s">
        <v>3728</v>
      </c>
      <c r="XQ619" s="17">
        <v>44925</v>
      </c>
      <c r="XR619" s="5" t="s">
        <v>3728</v>
      </c>
      <c r="XS619" s="17">
        <v>44925</v>
      </c>
      <c r="XT619" s="5" t="s">
        <v>3728</v>
      </c>
      <c r="XU619" s="17">
        <v>44925</v>
      </c>
      <c r="XV619" s="5" t="s">
        <v>3728</v>
      </c>
      <c r="XW619" s="17">
        <v>44925</v>
      </c>
      <c r="XX619" s="5" t="s">
        <v>3728</v>
      </c>
      <c r="XY619" s="17">
        <v>44925</v>
      </c>
      <c r="XZ619" s="5" t="s">
        <v>3728</v>
      </c>
      <c r="YA619" s="17">
        <v>44925</v>
      </c>
      <c r="YB619" s="5" t="s">
        <v>3728</v>
      </c>
      <c r="YC619" s="17">
        <v>44925</v>
      </c>
      <c r="YD619" s="5" t="s">
        <v>3728</v>
      </c>
      <c r="YE619" s="17">
        <v>44925</v>
      </c>
      <c r="YF619" s="5" t="s">
        <v>3728</v>
      </c>
      <c r="YG619" s="17">
        <v>44925</v>
      </c>
      <c r="YH619" s="5" t="s">
        <v>3728</v>
      </c>
      <c r="YI619" s="17">
        <v>44925</v>
      </c>
      <c r="YJ619" s="5" t="s">
        <v>3728</v>
      </c>
      <c r="YK619" s="17">
        <v>44925</v>
      </c>
      <c r="YL619" s="5" t="s">
        <v>3728</v>
      </c>
      <c r="YM619" s="17">
        <v>44925</v>
      </c>
      <c r="YN619" s="5" t="s">
        <v>3728</v>
      </c>
      <c r="YO619" s="17">
        <v>44925</v>
      </c>
      <c r="YP619" s="5" t="s">
        <v>3728</v>
      </c>
      <c r="YQ619" s="17">
        <v>44925</v>
      </c>
      <c r="YR619" s="5" t="s">
        <v>3728</v>
      </c>
      <c r="YS619" s="17">
        <v>44925</v>
      </c>
      <c r="YT619" s="5" t="s">
        <v>3728</v>
      </c>
      <c r="YU619" s="17">
        <v>44925</v>
      </c>
      <c r="YV619" s="5" t="s">
        <v>3728</v>
      </c>
      <c r="YW619" s="17">
        <v>44925</v>
      </c>
      <c r="YX619" s="5" t="s">
        <v>3728</v>
      </c>
      <c r="YY619" s="17">
        <v>44925</v>
      </c>
      <c r="YZ619" s="5" t="s">
        <v>3728</v>
      </c>
      <c r="ZA619" s="17">
        <v>44925</v>
      </c>
      <c r="ZB619" s="5" t="s">
        <v>3728</v>
      </c>
      <c r="ZC619" s="17">
        <v>44925</v>
      </c>
      <c r="ZD619" s="5" t="s">
        <v>3728</v>
      </c>
      <c r="ZE619" s="17">
        <v>44925</v>
      </c>
      <c r="ZF619" s="5" t="s">
        <v>3728</v>
      </c>
      <c r="ZG619" s="17">
        <v>44925</v>
      </c>
      <c r="ZH619" s="5" t="s">
        <v>3728</v>
      </c>
      <c r="ZI619" s="17">
        <v>44925</v>
      </c>
      <c r="ZJ619" s="5" t="s">
        <v>3728</v>
      </c>
      <c r="ZK619" s="17">
        <v>44925</v>
      </c>
      <c r="ZL619" s="5" t="s">
        <v>3728</v>
      </c>
      <c r="ZM619" s="17">
        <v>44925</v>
      </c>
      <c r="ZN619" s="5" t="s">
        <v>3728</v>
      </c>
      <c r="ZO619" s="17">
        <v>44925</v>
      </c>
      <c r="ZP619" s="5" t="s">
        <v>3728</v>
      </c>
      <c r="ZQ619" s="17">
        <v>44925</v>
      </c>
      <c r="ZR619" s="5" t="s">
        <v>3728</v>
      </c>
      <c r="ZS619" s="17">
        <v>44925</v>
      </c>
      <c r="ZT619" s="5" t="s">
        <v>3728</v>
      </c>
      <c r="ZU619" s="17">
        <v>44925</v>
      </c>
      <c r="ZV619" s="5" t="s">
        <v>3728</v>
      </c>
      <c r="ZW619" s="17">
        <v>44925</v>
      </c>
      <c r="ZX619" s="5" t="s">
        <v>3728</v>
      </c>
      <c r="ZY619" s="17">
        <v>44925</v>
      </c>
      <c r="ZZ619" s="5" t="s">
        <v>3728</v>
      </c>
      <c r="AAA619" s="17">
        <v>44925</v>
      </c>
      <c r="AAB619" s="5" t="s">
        <v>3728</v>
      </c>
      <c r="AAC619" s="17">
        <v>44925</v>
      </c>
      <c r="AAD619" s="5" t="s">
        <v>3728</v>
      </c>
      <c r="AAE619" s="17">
        <v>44925</v>
      </c>
      <c r="AAF619" s="5" t="s">
        <v>3728</v>
      </c>
      <c r="AAG619" s="17">
        <v>44925</v>
      </c>
      <c r="AAH619" s="5" t="s">
        <v>3728</v>
      </c>
      <c r="AAI619" s="17">
        <v>44925</v>
      </c>
      <c r="AAJ619" s="5" t="s">
        <v>3728</v>
      </c>
      <c r="AAK619" s="17">
        <v>44925</v>
      </c>
      <c r="AAL619" s="5" t="s">
        <v>3728</v>
      </c>
      <c r="AAM619" s="17">
        <v>44925</v>
      </c>
      <c r="AAN619" s="5" t="s">
        <v>3728</v>
      </c>
      <c r="AAO619" s="17">
        <v>44925</v>
      </c>
      <c r="AAP619" s="5" t="s">
        <v>3728</v>
      </c>
      <c r="AAQ619" s="17">
        <v>44925</v>
      </c>
      <c r="AAR619" s="5" t="s">
        <v>3728</v>
      </c>
      <c r="AAS619" s="17">
        <v>44925</v>
      </c>
      <c r="AAT619" s="5" t="s">
        <v>3728</v>
      </c>
      <c r="AAU619" s="17">
        <v>44925</v>
      </c>
      <c r="AAV619" s="5" t="s">
        <v>3728</v>
      </c>
      <c r="AAW619" s="17">
        <v>44925</v>
      </c>
      <c r="AAX619" s="5" t="s">
        <v>3728</v>
      </c>
      <c r="AAY619" s="17">
        <v>44925</v>
      </c>
      <c r="AAZ619" s="5" t="s">
        <v>3728</v>
      </c>
      <c r="ABA619" s="17">
        <v>44925</v>
      </c>
      <c r="ABB619" s="5" t="s">
        <v>3728</v>
      </c>
      <c r="ABC619" s="17">
        <v>44925</v>
      </c>
      <c r="ABD619" s="5" t="s">
        <v>3728</v>
      </c>
      <c r="ABE619" s="17">
        <v>44925</v>
      </c>
      <c r="ABF619" s="5" t="s">
        <v>3728</v>
      </c>
      <c r="ABG619" s="17">
        <v>44925</v>
      </c>
      <c r="ABH619" s="5" t="s">
        <v>3728</v>
      </c>
      <c r="ABI619" s="17">
        <v>44925</v>
      </c>
      <c r="ABJ619" s="5" t="s">
        <v>3728</v>
      </c>
      <c r="ABK619" s="17">
        <v>44925</v>
      </c>
      <c r="ABL619" s="5" t="s">
        <v>3728</v>
      </c>
      <c r="ABM619" s="17">
        <v>44925</v>
      </c>
      <c r="ABN619" s="5" t="s">
        <v>3728</v>
      </c>
      <c r="ABO619" s="17">
        <v>44925</v>
      </c>
      <c r="ABP619" s="5" t="s">
        <v>3728</v>
      </c>
      <c r="ABQ619" s="17">
        <v>44925</v>
      </c>
      <c r="ABR619" s="5" t="s">
        <v>3728</v>
      </c>
      <c r="ABS619" s="17">
        <v>44925</v>
      </c>
      <c r="ABT619" s="5" t="s">
        <v>3728</v>
      </c>
      <c r="ABU619" s="17">
        <v>44925</v>
      </c>
      <c r="ABV619" s="5" t="s">
        <v>3728</v>
      </c>
      <c r="ABW619" s="17">
        <v>44925</v>
      </c>
      <c r="ABX619" s="5" t="s">
        <v>3728</v>
      </c>
      <c r="ABY619" s="17">
        <v>44925</v>
      </c>
      <c r="ABZ619" s="5" t="s">
        <v>3728</v>
      </c>
      <c r="ACA619" s="17">
        <v>44925</v>
      </c>
      <c r="ACB619" s="5" t="s">
        <v>3728</v>
      </c>
      <c r="ACC619" s="17">
        <v>44925</v>
      </c>
      <c r="ACD619" s="5" t="s">
        <v>3728</v>
      </c>
      <c r="ACE619" s="17">
        <v>44925</v>
      </c>
      <c r="ACF619" s="5" t="s">
        <v>3728</v>
      </c>
      <c r="ACG619" s="17">
        <v>44925</v>
      </c>
      <c r="ACH619" s="5" t="s">
        <v>3728</v>
      </c>
      <c r="ACI619" s="17">
        <v>44925</v>
      </c>
      <c r="ACJ619" s="5" t="s">
        <v>3728</v>
      </c>
      <c r="ACK619" s="17">
        <v>44925</v>
      </c>
      <c r="ACL619" s="5" t="s">
        <v>3728</v>
      </c>
      <c r="ACM619" s="17">
        <v>44925</v>
      </c>
      <c r="ACN619" s="5" t="s">
        <v>3728</v>
      </c>
      <c r="ACO619" s="17">
        <v>44925</v>
      </c>
      <c r="ACP619" s="5" t="s">
        <v>3728</v>
      </c>
      <c r="ACQ619" s="17">
        <v>44925</v>
      </c>
      <c r="ACR619" s="5" t="s">
        <v>3728</v>
      </c>
      <c r="ACS619" s="17">
        <v>44925</v>
      </c>
      <c r="ACT619" s="5" t="s">
        <v>3728</v>
      </c>
      <c r="ACU619" s="17">
        <v>44925</v>
      </c>
      <c r="ACV619" s="5" t="s">
        <v>3728</v>
      </c>
      <c r="ACW619" s="17">
        <v>44925</v>
      </c>
      <c r="ACX619" s="5" t="s">
        <v>3728</v>
      </c>
      <c r="ACY619" s="17">
        <v>44925</v>
      </c>
      <c r="ACZ619" s="5" t="s">
        <v>3728</v>
      </c>
      <c r="ADA619" s="17">
        <v>44925</v>
      </c>
      <c r="ADB619" s="5" t="s">
        <v>3728</v>
      </c>
      <c r="ADC619" s="17">
        <v>44925</v>
      </c>
      <c r="ADD619" s="5" t="s">
        <v>3728</v>
      </c>
      <c r="ADE619" s="17">
        <v>44925</v>
      </c>
      <c r="ADF619" s="5" t="s">
        <v>3728</v>
      </c>
      <c r="ADG619" s="17">
        <v>44925</v>
      </c>
      <c r="ADH619" s="5" t="s">
        <v>3728</v>
      </c>
      <c r="ADI619" s="17">
        <v>44925</v>
      </c>
      <c r="ADJ619" s="5" t="s">
        <v>3728</v>
      </c>
      <c r="ADK619" s="17">
        <v>44925</v>
      </c>
      <c r="ADL619" s="5" t="s">
        <v>3728</v>
      </c>
      <c r="ADM619" s="17">
        <v>44925</v>
      </c>
      <c r="ADN619" s="5" t="s">
        <v>3728</v>
      </c>
      <c r="ADO619" s="17">
        <v>44925</v>
      </c>
      <c r="ADP619" s="5" t="s">
        <v>3728</v>
      </c>
      <c r="ADQ619" s="17">
        <v>44925</v>
      </c>
      <c r="ADR619" s="5" t="s">
        <v>3728</v>
      </c>
      <c r="ADS619" s="17">
        <v>44925</v>
      </c>
      <c r="ADT619" s="5" t="s">
        <v>3728</v>
      </c>
      <c r="ADU619" s="17">
        <v>44925</v>
      </c>
      <c r="ADV619" s="5" t="s">
        <v>3728</v>
      </c>
      <c r="ADW619" s="17">
        <v>44925</v>
      </c>
      <c r="ADX619" s="5" t="s">
        <v>3728</v>
      </c>
      <c r="ADY619" s="17">
        <v>44925</v>
      </c>
      <c r="ADZ619" s="5" t="s">
        <v>3728</v>
      </c>
      <c r="AEA619" s="17">
        <v>44925</v>
      </c>
      <c r="AEB619" s="5" t="s">
        <v>3728</v>
      </c>
      <c r="AEC619" s="17">
        <v>44925</v>
      </c>
      <c r="AED619" s="5" t="s">
        <v>3728</v>
      </c>
      <c r="AEE619" s="17">
        <v>44925</v>
      </c>
      <c r="AEF619" s="5" t="s">
        <v>3728</v>
      </c>
      <c r="AEG619" s="17">
        <v>44925</v>
      </c>
      <c r="AEH619" s="5" t="s">
        <v>3728</v>
      </c>
      <c r="AEI619" s="17">
        <v>44925</v>
      </c>
      <c r="AEJ619" s="5" t="s">
        <v>3728</v>
      </c>
      <c r="AEK619" s="17">
        <v>44925</v>
      </c>
      <c r="AEL619" s="5" t="s">
        <v>3728</v>
      </c>
      <c r="AEM619" s="17">
        <v>44925</v>
      </c>
      <c r="AEN619" s="5" t="s">
        <v>3728</v>
      </c>
      <c r="AEO619" s="17">
        <v>44925</v>
      </c>
      <c r="AEP619" s="5" t="s">
        <v>3728</v>
      </c>
      <c r="AEQ619" s="17">
        <v>44925</v>
      </c>
      <c r="AER619" s="5" t="s">
        <v>3728</v>
      </c>
      <c r="AES619" s="17">
        <v>44925</v>
      </c>
      <c r="AET619" s="5" t="s">
        <v>3728</v>
      </c>
      <c r="AEU619" s="17">
        <v>44925</v>
      </c>
      <c r="AEV619" s="5" t="s">
        <v>3728</v>
      </c>
      <c r="AEW619" s="17">
        <v>44925</v>
      </c>
      <c r="AEX619" s="5" t="s">
        <v>3728</v>
      </c>
      <c r="AEY619" s="17">
        <v>44925</v>
      </c>
      <c r="AEZ619" s="5" t="s">
        <v>3728</v>
      </c>
      <c r="AFA619" s="17">
        <v>44925</v>
      </c>
      <c r="AFB619" s="5" t="s">
        <v>3728</v>
      </c>
      <c r="AFC619" s="17">
        <v>44925</v>
      </c>
      <c r="AFD619" s="5" t="s">
        <v>3728</v>
      </c>
      <c r="AFE619" s="17">
        <v>44925</v>
      </c>
      <c r="AFF619" s="5" t="s">
        <v>3728</v>
      </c>
      <c r="AFG619" s="17">
        <v>44925</v>
      </c>
      <c r="AFH619" s="5" t="s">
        <v>3728</v>
      </c>
      <c r="AFI619" s="17">
        <v>44925</v>
      </c>
      <c r="AFJ619" s="5" t="s">
        <v>3728</v>
      </c>
      <c r="AFK619" s="17">
        <v>44925</v>
      </c>
      <c r="AFL619" s="5" t="s">
        <v>3728</v>
      </c>
      <c r="AFM619" s="17">
        <v>44925</v>
      </c>
      <c r="AFN619" s="5" t="s">
        <v>3728</v>
      </c>
      <c r="AFO619" s="17">
        <v>44925</v>
      </c>
      <c r="AFP619" s="5" t="s">
        <v>3728</v>
      </c>
      <c r="AFQ619" s="17">
        <v>44925</v>
      </c>
      <c r="AFR619" s="5" t="s">
        <v>3728</v>
      </c>
      <c r="AFS619" s="17">
        <v>44925</v>
      </c>
      <c r="AFT619" s="5" t="s">
        <v>3728</v>
      </c>
      <c r="AFU619" s="17">
        <v>44925</v>
      </c>
      <c r="AFV619" s="5" t="s">
        <v>3728</v>
      </c>
      <c r="AFW619" s="17">
        <v>44925</v>
      </c>
      <c r="AFX619" s="5" t="s">
        <v>3728</v>
      </c>
      <c r="AFY619" s="17">
        <v>44925</v>
      </c>
      <c r="AFZ619" s="5" t="s">
        <v>3728</v>
      </c>
      <c r="AGA619" s="17">
        <v>44925</v>
      </c>
      <c r="AGB619" s="5" t="s">
        <v>3728</v>
      </c>
      <c r="AGC619" s="17">
        <v>44925</v>
      </c>
      <c r="AGD619" s="5" t="s">
        <v>3728</v>
      </c>
      <c r="AGE619" s="17">
        <v>44925</v>
      </c>
      <c r="AGF619" s="5" t="s">
        <v>3728</v>
      </c>
      <c r="AGG619" s="17">
        <v>44925</v>
      </c>
      <c r="AGH619" s="5" t="s">
        <v>3728</v>
      </c>
      <c r="AGI619" s="17">
        <v>44925</v>
      </c>
      <c r="AGJ619" s="5" t="s">
        <v>3728</v>
      </c>
      <c r="AGK619" s="17">
        <v>44925</v>
      </c>
      <c r="AGL619" s="5" t="s">
        <v>3728</v>
      </c>
      <c r="AGM619" s="17">
        <v>44925</v>
      </c>
      <c r="AGN619" s="5" t="s">
        <v>3728</v>
      </c>
      <c r="AGO619" s="17">
        <v>44925</v>
      </c>
      <c r="AGP619" s="5" t="s">
        <v>3728</v>
      </c>
      <c r="AGQ619" s="17">
        <v>44925</v>
      </c>
      <c r="AGR619" s="5" t="s">
        <v>3728</v>
      </c>
      <c r="AGS619" s="17">
        <v>44925</v>
      </c>
      <c r="AGT619" s="5" t="s">
        <v>3728</v>
      </c>
      <c r="AGU619" s="17">
        <v>44925</v>
      </c>
      <c r="AGV619" s="5" t="s">
        <v>3728</v>
      </c>
      <c r="AGW619" s="17">
        <v>44925</v>
      </c>
      <c r="AGX619" s="5" t="s">
        <v>3728</v>
      </c>
      <c r="AGY619" s="17">
        <v>44925</v>
      </c>
      <c r="AGZ619" s="5" t="s">
        <v>3728</v>
      </c>
      <c r="AHA619" s="17">
        <v>44925</v>
      </c>
      <c r="AHB619" s="5" t="s">
        <v>3728</v>
      </c>
      <c r="AHC619" s="17">
        <v>44925</v>
      </c>
      <c r="AHD619" s="5" t="s">
        <v>3728</v>
      </c>
      <c r="AHE619" s="17">
        <v>44925</v>
      </c>
      <c r="AHF619" s="5" t="s">
        <v>3728</v>
      </c>
      <c r="AHG619" s="17">
        <v>44925</v>
      </c>
      <c r="AHH619" s="5" t="s">
        <v>3728</v>
      </c>
      <c r="AHI619" s="17">
        <v>44925</v>
      </c>
      <c r="AHJ619" s="5" t="s">
        <v>3728</v>
      </c>
      <c r="AHK619" s="17">
        <v>44925</v>
      </c>
      <c r="AHL619" s="5" t="s">
        <v>3728</v>
      </c>
      <c r="AHM619" s="17">
        <v>44925</v>
      </c>
      <c r="AHN619" s="5" t="s">
        <v>3728</v>
      </c>
      <c r="AHO619" s="17">
        <v>44925</v>
      </c>
      <c r="AHP619" s="5" t="s">
        <v>3728</v>
      </c>
      <c r="AHQ619" s="17">
        <v>44925</v>
      </c>
      <c r="AHR619" s="5" t="s">
        <v>3728</v>
      </c>
      <c r="AHS619" s="17">
        <v>44925</v>
      </c>
      <c r="AHT619" s="5" t="s">
        <v>3728</v>
      </c>
      <c r="AHU619" s="17">
        <v>44925</v>
      </c>
      <c r="AHV619" s="5" t="s">
        <v>3728</v>
      </c>
      <c r="AHW619" s="17">
        <v>44925</v>
      </c>
      <c r="AHX619" s="5" t="s">
        <v>3728</v>
      </c>
      <c r="AHY619" s="17">
        <v>44925</v>
      </c>
      <c r="AHZ619" s="5" t="s">
        <v>3728</v>
      </c>
      <c r="AIA619" s="17">
        <v>44925</v>
      </c>
      <c r="AIB619" s="5" t="s">
        <v>3728</v>
      </c>
      <c r="AIC619" s="17">
        <v>44925</v>
      </c>
      <c r="AID619" s="5" t="s">
        <v>3728</v>
      </c>
      <c r="AIE619" s="17">
        <v>44925</v>
      </c>
      <c r="AIF619" s="5" t="s">
        <v>3728</v>
      </c>
      <c r="AIG619" s="17">
        <v>44925</v>
      </c>
      <c r="AIH619" s="5" t="s">
        <v>3728</v>
      </c>
      <c r="AII619" s="17">
        <v>44925</v>
      </c>
      <c r="AIJ619" s="5" t="s">
        <v>3728</v>
      </c>
      <c r="AIK619" s="17">
        <v>44925</v>
      </c>
      <c r="AIL619" s="5" t="s">
        <v>3728</v>
      </c>
      <c r="AIM619" s="17">
        <v>44925</v>
      </c>
      <c r="AIN619" s="5" t="s">
        <v>3728</v>
      </c>
      <c r="AIO619" s="17">
        <v>44925</v>
      </c>
      <c r="AIP619" s="5" t="s">
        <v>3728</v>
      </c>
      <c r="AIQ619" s="17">
        <v>44925</v>
      </c>
      <c r="AIR619" s="5" t="s">
        <v>3728</v>
      </c>
      <c r="AIS619" s="17">
        <v>44925</v>
      </c>
      <c r="AIT619" s="5" t="s">
        <v>3728</v>
      </c>
      <c r="AIU619" s="17">
        <v>44925</v>
      </c>
      <c r="AIV619" s="5" t="s">
        <v>3728</v>
      </c>
      <c r="AIW619" s="17">
        <v>44925</v>
      </c>
      <c r="AIX619" s="5" t="s">
        <v>3728</v>
      </c>
      <c r="AIY619" s="17">
        <v>44925</v>
      </c>
      <c r="AIZ619" s="5" t="s">
        <v>3728</v>
      </c>
      <c r="AJA619" s="17">
        <v>44925</v>
      </c>
      <c r="AJB619" s="5" t="s">
        <v>3728</v>
      </c>
      <c r="AJC619" s="17">
        <v>44925</v>
      </c>
      <c r="AJD619" s="5" t="s">
        <v>3728</v>
      </c>
      <c r="AJE619" s="17">
        <v>44925</v>
      </c>
      <c r="AJF619" s="5" t="s">
        <v>3728</v>
      </c>
      <c r="AJG619" s="17">
        <v>44925</v>
      </c>
      <c r="AJH619" s="5" t="s">
        <v>3728</v>
      </c>
      <c r="AJI619" s="17">
        <v>44925</v>
      </c>
      <c r="AJJ619" s="5" t="s">
        <v>3728</v>
      </c>
      <c r="AJK619" s="17">
        <v>44925</v>
      </c>
      <c r="AJL619" s="5" t="s">
        <v>3728</v>
      </c>
      <c r="AJM619" s="17">
        <v>44925</v>
      </c>
      <c r="AJN619" s="5" t="s">
        <v>3728</v>
      </c>
      <c r="AJO619" s="17">
        <v>44925</v>
      </c>
      <c r="AJP619" s="5" t="s">
        <v>3728</v>
      </c>
      <c r="AJQ619" s="17">
        <v>44925</v>
      </c>
      <c r="AJR619" s="5" t="s">
        <v>3728</v>
      </c>
      <c r="AJS619" s="17">
        <v>44925</v>
      </c>
      <c r="AJT619" s="5" t="s">
        <v>3728</v>
      </c>
      <c r="AJU619" s="17">
        <v>44925</v>
      </c>
      <c r="AJV619" s="5" t="s">
        <v>3728</v>
      </c>
      <c r="AJW619" s="17">
        <v>44925</v>
      </c>
      <c r="AJX619" s="5" t="s">
        <v>3728</v>
      </c>
      <c r="AJY619" s="17">
        <v>44925</v>
      </c>
      <c r="AJZ619" s="5" t="s">
        <v>3728</v>
      </c>
      <c r="AKA619" s="17">
        <v>44925</v>
      </c>
      <c r="AKB619" s="5" t="s">
        <v>3728</v>
      </c>
      <c r="AKC619" s="17">
        <v>44925</v>
      </c>
      <c r="AKD619" s="5" t="s">
        <v>3728</v>
      </c>
      <c r="AKE619" s="17">
        <v>44925</v>
      </c>
      <c r="AKF619" s="5" t="s">
        <v>3728</v>
      </c>
      <c r="AKG619" s="17">
        <v>44925</v>
      </c>
      <c r="AKH619" s="5" t="s">
        <v>3728</v>
      </c>
      <c r="AKI619" s="17">
        <v>44925</v>
      </c>
      <c r="AKJ619" s="5" t="s">
        <v>3728</v>
      </c>
      <c r="AKK619" s="17">
        <v>44925</v>
      </c>
      <c r="AKL619" s="5" t="s">
        <v>3728</v>
      </c>
      <c r="AKM619" s="17">
        <v>44925</v>
      </c>
      <c r="AKN619" s="5" t="s">
        <v>3728</v>
      </c>
      <c r="AKO619" s="17">
        <v>44925</v>
      </c>
      <c r="AKP619" s="5" t="s">
        <v>3728</v>
      </c>
      <c r="AKQ619" s="17">
        <v>44925</v>
      </c>
      <c r="AKR619" s="5" t="s">
        <v>3728</v>
      </c>
      <c r="AKS619" s="17">
        <v>44925</v>
      </c>
      <c r="AKT619" s="5" t="s">
        <v>3728</v>
      </c>
      <c r="AKU619" s="17">
        <v>44925</v>
      </c>
      <c r="AKV619" s="5" t="s">
        <v>3728</v>
      </c>
      <c r="AKW619" s="17">
        <v>44925</v>
      </c>
      <c r="AKX619" s="5" t="s">
        <v>3728</v>
      </c>
      <c r="AKY619" s="17">
        <v>44925</v>
      </c>
      <c r="AKZ619" s="5" t="s">
        <v>3728</v>
      </c>
      <c r="ALA619" s="17">
        <v>44925</v>
      </c>
      <c r="ALB619" s="5" t="s">
        <v>3728</v>
      </c>
      <c r="ALC619" s="17">
        <v>44925</v>
      </c>
      <c r="ALD619" s="5" t="s">
        <v>3728</v>
      </c>
      <c r="ALE619" s="17">
        <v>44925</v>
      </c>
      <c r="ALF619" s="5" t="s">
        <v>3728</v>
      </c>
      <c r="ALG619" s="17">
        <v>44925</v>
      </c>
      <c r="ALH619" s="5" t="s">
        <v>3728</v>
      </c>
      <c r="ALI619" s="17">
        <v>44925</v>
      </c>
      <c r="ALJ619" s="5" t="s">
        <v>3728</v>
      </c>
      <c r="ALK619" s="17">
        <v>44925</v>
      </c>
      <c r="ALL619" s="5" t="s">
        <v>3728</v>
      </c>
      <c r="ALM619" s="17">
        <v>44925</v>
      </c>
      <c r="ALN619" s="5" t="s">
        <v>3728</v>
      </c>
      <c r="ALO619" s="17">
        <v>44925</v>
      </c>
      <c r="ALP619" s="5" t="s">
        <v>3728</v>
      </c>
      <c r="ALQ619" s="17">
        <v>44925</v>
      </c>
      <c r="ALR619" s="5" t="s">
        <v>3728</v>
      </c>
      <c r="ALS619" s="17">
        <v>44925</v>
      </c>
      <c r="ALT619" s="5" t="s">
        <v>3728</v>
      </c>
      <c r="ALU619" s="17">
        <v>44925</v>
      </c>
      <c r="ALV619" s="5" t="s">
        <v>3728</v>
      </c>
      <c r="ALW619" s="17">
        <v>44925</v>
      </c>
      <c r="ALX619" s="5" t="s">
        <v>3728</v>
      </c>
      <c r="ALY619" s="17">
        <v>44925</v>
      </c>
      <c r="ALZ619" s="5" t="s">
        <v>3728</v>
      </c>
      <c r="AMA619" s="17">
        <v>44925</v>
      </c>
      <c r="AMB619" s="5" t="s">
        <v>3728</v>
      </c>
      <c r="AMC619" s="17">
        <v>44925</v>
      </c>
      <c r="AMD619" s="5" t="s">
        <v>3728</v>
      </c>
      <c r="AME619" s="17">
        <v>44925</v>
      </c>
      <c r="AMF619" s="5" t="s">
        <v>3728</v>
      </c>
      <c r="AMG619" s="17">
        <v>44925</v>
      </c>
      <c r="AMH619" s="5" t="s">
        <v>3728</v>
      </c>
      <c r="AMI619" s="17">
        <v>44925</v>
      </c>
      <c r="AMJ619" s="5" t="s">
        <v>3728</v>
      </c>
      <c r="AMK619" s="17">
        <v>44925</v>
      </c>
      <c r="AML619" s="5" t="s">
        <v>3728</v>
      </c>
      <c r="AMM619" s="17">
        <v>44925</v>
      </c>
      <c r="AMN619" s="5" t="s">
        <v>3728</v>
      </c>
      <c r="AMO619" s="17">
        <v>44925</v>
      </c>
      <c r="AMP619" s="5" t="s">
        <v>3728</v>
      </c>
      <c r="AMQ619" s="17">
        <v>44925</v>
      </c>
      <c r="AMR619" s="5" t="s">
        <v>3728</v>
      </c>
      <c r="AMS619" s="17">
        <v>44925</v>
      </c>
      <c r="AMT619" s="5" t="s">
        <v>3728</v>
      </c>
      <c r="AMU619" s="17">
        <v>44925</v>
      </c>
      <c r="AMV619" s="5" t="s">
        <v>3728</v>
      </c>
      <c r="AMW619" s="17">
        <v>44925</v>
      </c>
      <c r="AMX619" s="5" t="s">
        <v>3728</v>
      </c>
      <c r="AMY619" s="17">
        <v>44925</v>
      </c>
      <c r="AMZ619" s="5" t="s">
        <v>3728</v>
      </c>
      <c r="ANA619" s="17">
        <v>44925</v>
      </c>
      <c r="ANB619" s="5" t="s">
        <v>3728</v>
      </c>
      <c r="ANC619" s="17">
        <v>44925</v>
      </c>
      <c r="AND619" s="5" t="s">
        <v>3728</v>
      </c>
      <c r="ANE619" s="17">
        <v>44925</v>
      </c>
      <c r="ANF619" s="5" t="s">
        <v>3728</v>
      </c>
      <c r="ANG619" s="17">
        <v>44925</v>
      </c>
      <c r="ANH619" s="5" t="s">
        <v>3728</v>
      </c>
      <c r="ANI619" s="17">
        <v>44925</v>
      </c>
      <c r="ANJ619" s="5" t="s">
        <v>3728</v>
      </c>
      <c r="ANK619" s="17">
        <v>44925</v>
      </c>
      <c r="ANL619" s="5" t="s">
        <v>3728</v>
      </c>
      <c r="ANM619" s="17">
        <v>44925</v>
      </c>
      <c r="ANN619" s="5" t="s">
        <v>3728</v>
      </c>
      <c r="ANO619" s="17">
        <v>44925</v>
      </c>
      <c r="ANP619" s="5" t="s">
        <v>3728</v>
      </c>
      <c r="ANQ619" s="17">
        <v>44925</v>
      </c>
      <c r="ANR619" s="5" t="s">
        <v>3728</v>
      </c>
      <c r="ANS619" s="17">
        <v>44925</v>
      </c>
      <c r="ANT619" s="5" t="s">
        <v>3728</v>
      </c>
      <c r="ANU619" s="17">
        <v>44925</v>
      </c>
      <c r="ANV619" s="5" t="s">
        <v>3728</v>
      </c>
      <c r="ANW619" s="17">
        <v>44925</v>
      </c>
      <c r="ANX619" s="5" t="s">
        <v>3728</v>
      </c>
      <c r="ANY619" s="17">
        <v>44925</v>
      </c>
      <c r="ANZ619" s="5" t="s">
        <v>3728</v>
      </c>
      <c r="AOA619" s="17">
        <v>44925</v>
      </c>
      <c r="AOB619" s="5" t="s">
        <v>3728</v>
      </c>
      <c r="AOC619" s="17">
        <v>44925</v>
      </c>
      <c r="AOD619" s="5" t="s">
        <v>3728</v>
      </c>
      <c r="AOE619" s="17">
        <v>44925</v>
      </c>
      <c r="AOF619" s="5" t="s">
        <v>3728</v>
      </c>
      <c r="AOG619" s="17">
        <v>44925</v>
      </c>
      <c r="AOH619" s="5" t="s">
        <v>3728</v>
      </c>
      <c r="AOI619" s="17">
        <v>44925</v>
      </c>
      <c r="AOJ619" s="5" t="s">
        <v>3728</v>
      </c>
      <c r="AOK619" s="17">
        <v>44925</v>
      </c>
      <c r="AOL619" s="5" t="s">
        <v>3728</v>
      </c>
      <c r="AOM619" s="17">
        <v>44925</v>
      </c>
      <c r="AON619" s="5" t="s">
        <v>3728</v>
      </c>
      <c r="AOO619" s="17">
        <v>44925</v>
      </c>
      <c r="AOP619" s="5" t="s">
        <v>3728</v>
      </c>
      <c r="AOQ619" s="17">
        <v>44925</v>
      </c>
      <c r="AOR619" s="5" t="s">
        <v>3728</v>
      </c>
      <c r="AOS619" s="17">
        <v>44925</v>
      </c>
      <c r="AOT619" s="5" t="s">
        <v>3728</v>
      </c>
      <c r="AOU619" s="17">
        <v>44925</v>
      </c>
      <c r="AOV619" s="5" t="s">
        <v>3728</v>
      </c>
      <c r="AOW619" s="17">
        <v>44925</v>
      </c>
      <c r="AOX619" s="5" t="s">
        <v>3728</v>
      </c>
      <c r="AOY619" s="17">
        <v>44925</v>
      </c>
      <c r="AOZ619" s="5" t="s">
        <v>3728</v>
      </c>
      <c r="APA619" s="17">
        <v>44925</v>
      </c>
      <c r="APB619" s="5" t="s">
        <v>3728</v>
      </c>
      <c r="APC619" s="17">
        <v>44925</v>
      </c>
      <c r="APD619" s="5" t="s">
        <v>3728</v>
      </c>
      <c r="APE619" s="17">
        <v>44925</v>
      </c>
      <c r="APF619" s="5" t="s">
        <v>3728</v>
      </c>
      <c r="APG619" s="17">
        <v>44925</v>
      </c>
      <c r="APH619" s="5" t="s">
        <v>3728</v>
      </c>
      <c r="API619" s="17">
        <v>44925</v>
      </c>
      <c r="APJ619" s="5" t="s">
        <v>3728</v>
      </c>
      <c r="APK619" s="17">
        <v>44925</v>
      </c>
      <c r="APL619" s="5" t="s">
        <v>3728</v>
      </c>
      <c r="APM619" s="17">
        <v>44925</v>
      </c>
      <c r="APN619" s="5" t="s">
        <v>3728</v>
      </c>
      <c r="APO619" s="17">
        <v>44925</v>
      </c>
      <c r="APP619" s="5" t="s">
        <v>3728</v>
      </c>
      <c r="APQ619" s="17">
        <v>44925</v>
      </c>
      <c r="APR619" s="5" t="s">
        <v>3728</v>
      </c>
      <c r="APS619" s="17">
        <v>44925</v>
      </c>
      <c r="APT619" s="5" t="s">
        <v>3728</v>
      </c>
      <c r="APU619" s="17">
        <v>44925</v>
      </c>
      <c r="APV619" s="5" t="s">
        <v>3728</v>
      </c>
      <c r="APW619" s="17">
        <v>44925</v>
      </c>
      <c r="APX619" s="5" t="s">
        <v>3728</v>
      </c>
      <c r="APY619" s="17">
        <v>44925</v>
      </c>
      <c r="APZ619" s="5" t="s">
        <v>3728</v>
      </c>
      <c r="AQA619" s="17">
        <v>44925</v>
      </c>
      <c r="AQB619" s="5" t="s">
        <v>3728</v>
      </c>
      <c r="AQC619" s="17">
        <v>44925</v>
      </c>
      <c r="AQD619" s="5" t="s">
        <v>3728</v>
      </c>
      <c r="AQE619" s="17">
        <v>44925</v>
      </c>
      <c r="AQF619" s="5" t="s">
        <v>3728</v>
      </c>
      <c r="AQG619" s="17">
        <v>44925</v>
      </c>
      <c r="AQH619" s="5" t="s">
        <v>3728</v>
      </c>
      <c r="AQI619" s="17">
        <v>44925</v>
      </c>
      <c r="AQJ619" s="5" t="s">
        <v>3728</v>
      </c>
      <c r="AQK619" s="17">
        <v>44925</v>
      </c>
      <c r="AQL619" s="5" t="s">
        <v>3728</v>
      </c>
      <c r="AQM619" s="17">
        <v>44925</v>
      </c>
      <c r="AQN619" s="5" t="s">
        <v>3728</v>
      </c>
      <c r="AQO619" s="17">
        <v>44925</v>
      </c>
      <c r="AQP619" s="5" t="s">
        <v>3728</v>
      </c>
      <c r="AQQ619" s="17">
        <v>44925</v>
      </c>
      <c r="AQR619" s="5" t="s">
        <v>3728</v>
      </c>
      <c r="AQS619" s="17">
        <v>44925</v>
      </c>
      <c r="AQT619" s="5" t="s">
        <v>3728</v>
      </c>
      <c r="AQU619" s="17">
        <v>44925</v>
      </c>
      <c r="AQV619" s="5" t="s">
        <v>3728</v>
      </c>
      <c r="AQW619" s="17">
        <v>44925</v>
      </c>
      <c r="AQX619" s="5" t="s">
        <v>3728</v>
      </c>
      <c r="AQY619" s="17">
        <v>44925</v>
      </c>
      <c r="AQZ619" s="5" t="s">
        <v>3728</v>
      </c>
      <c r="ARA619" s="17">
        <v>44925</v>
      </c>
      <c r="ARB619" s="5" t="s">
        <v>3728</v>
      </c>
      <c r="ARC619" s="17">
        <v>44925</v>
      </c>
      <c r="ARD619" s="5" t="s">
        <v>3728</v>
      </c>
      <c r="ARE619" s="17">
        <v>44925</v>
      </c>
      <c r="ARF619" s="5" t="s">
        <v>3728</v>
      </c>
      <c r="ARG619" s="17">
        <v>44925</v>
      </c>
      <c r="ARH619" s="5" t="s">
        <v>3728</v>
      </c>
      <c r="ARI619" s="17">
        <v>44925</v>
      </c>
      <c r="ARJ619" s="5" t="s">
        <v>3728</v>
      </c>
      <c r="ARK619" s="17">
        <v>44925</v>
      </c>
      <c r="ARL619" s="5" t="s">
        <v>3728</v>
      </c>
      <c r="ARM619" s="17">
        <v>44925</v>
      </c>
      <c r="ARN619" s="5" t="s">
        <v>3728</v>
      </c>
      <c r="ARO619" s="17">
        <v>44925</v>
      </c>
      <c r="ARP619" s="5" t="s">
        <v>3728</v>
      </c>
      <c r="ARQ619" s="17">
        <v>44925</v>
      </c>
      <c r="ARR619" s="5" t="s">
        <v>3728</v>
      </c>
      <c r="ARS619" s="17">
        <v>44925</v>
      </c>
      <c r="ART619" s="5" t="s">
        <v>3728</v>
      </c>
      <c r="ARU619" s="17">
        <v>44925</v>
      </c>
      <c r="ARV619" s="5" t="s">
        <v>3728</v>
      </c>
      <c r="ARW619" s="17">
        <v>44925</v>
      </c>
      <c r="ARX619" s="5" t="s">
        <v>3728</v>
      </c>
      <c r="ARY619" s="17">
        <v>44925</v>
      </c>
      <c r="ARZ619" s="5" t="s">
        <v>3728</v>
      </c>
      <c r="ASA619" s="17">
        <v>44925</v>
      </c>
      <c r="ASB619" s="5" t="s">
        <v>3728</v>
      </c>
      <c r="ASC619" s="17">
        <v>44925</v>
      </c>
      <c r="ASD619" s="5" t="s">
        <v>3728</v>
      </c>
      <c r="ASE619" s="17">
        <v>44925</v>
      </c>
      <c r="ASF619" s="5" t="s">
        <v>3728</v>
      </c>
      <c r="ASG619" s="17">
        <v>44925</v>
      </c>
      <c r="ASH619" s="5" t="s">
        <v>3728</v>
      </c>
      <c r="ASI619" s="17">
        <v>44925</v>
      </c>
      <c r="ASJ619" s="5" t="s">
        <v>3728</v>
      </c>
      <c r="ASK619" s="17">
        <v>44925</v>
      </c>
      <c r="ASL619" s="5" t="s">
        <v>3728</v>
      </c>
      <c r="ASM619" s="17">
        <v>44925</v>
      </c>
      <c r="ASN619" s="5" t="s">
        <v>3728</v>
      </c>
      <c r="ASO619" s="17">
        <v>44925</v>
      </c>
      <c r="ASP619" s="5" t="s">
        <v>3728</v>
      </c>
      <c r="ASQ619" s="17">
        <v>44925</v>
      </c>
      <c r="ASR619" s="5" t="s">
        <v>3728</v>
      </c>
      <c r="ASS619" s="17">
        <v>44925</v>
      </c>
      <c r="AST619" s="5" t="s">
        <v>3728</v>
      </c>
      <c r="ASU619" s="17">
        <v>44925</v>
      </c>
      <c r="ASV619" s="5" t="s">
        <v>3728</v>
      </c>
      <c r="ASW619" s="17">
        <v>44925</v>
      </c>
      <c r="ASX619" s="5" t="s">
        <v>3728</v>
      </c>
      <c r="ASY619" s="17">
        <v>44925</v>
      </c>
      <c r="ASZ619" s="5" t="s">
        <v>3728</v>
      </c>
      <c r="ATA619" s="17">
        <v>44925</v>
      </c>
      <c r="ATB619" s="5" t="s">
        <v>3728</v>
      </c>
      <c r="ATC619" s="17">
        <v>44925</v>
      </c>
      <c r="ATD619" s="5" t="s">
        <v>3728</v>
      </c>
      <c r="ATE619" s="17">
        <v>44925</v>
      </c>
      <c r="ATF619" s="5" t="s">
        <v>3728</v>
      </c>
      <c r="ATG619" s="17">
        <v>44925</v>
      </c>
      <c r="ATH619" s="5" t="s">
        <v>3728</v>
      </c>
      <c r="ATI619" s="17">
        <v>44925</v>
      </c>
      <c r="ATJ619" s="5" t="s">
        <v>3728</v>
      </c>
      <c r="ATK619" s="17">
        <v>44925</v>
      </c>
      <c r="ATL619" s="5" t="s">
        <v>3728</v>
      </c>
      <c r="ATM619" s="17">
        <v>44925</v>
      </c>
      <c r="ATN619" s="5" t="s">
        <v>3728</v>
      </c>
      <c r="ATO619" s="17">
        <v>44925</v>
      </c>
      <c r="ATP619" s="5" t="s">
        <v>3728</v>
      </c>
      <c r="ATQ619" s="17">
        <v>44925</v>
      </c>
      <c r="ATR619" s="5" t="s">
        <v>3728</v>
      </c>
      <c r="ATS619" s="17">
        <v>44925</v>
      </c>
      <c r="ATT619" s="5" t="s">
        <v>3728</v>
      </c>
      <c r="ATU619" s="17">
        <v>44925</v>
      </c>
      <c r="ATV619" s="5" t="s">
        <v>3728</v>
      </c>
      <c r="ATW619" s="17">
        <v>44925</v>
      </c>
      <c r="ATX619" s="5" t="s">
        <v>3728</v>
      </c>
      <c r="ATY619" s="17">
        <v>44925</v>
      </c>
      <c r="ATZ619" s="5" t="s">
        <v>3728</v>
      </c>
      <c r="AUA619" s="17">
        <v>44925</v>
      </c>
      <c r="AUB619" s="5" t="s">
        <v>3728</v>
      </c>
      <c r="AUC619" s="17">
        <v>44925</v>
      </c>
      <c r="AUD619" s="5" t="s">
        <v>3728</v>
      </c>
      <c r="AUE619" s="17">
        <v>44925</v>
      </c>
      <c r="AUF619" s="5" t="s">
        <v>3728</v>
      </c>
      <c r="AUG619" s="17">
        <v>44925</v>
      </c>
      <c r="AUH619" s="5" t="s">
        <v>3728</v>
      </c>
      <c r="AUI619" s="17">
        <v>44925</v>
      </c>
      <c r="AUJ619" s="5" t="s">
        <v>3728</v>
      </c>
      <c r="AUK619" s="17">
        <v>44925</v>
      </c>
      <c r="AUL619" s="5" t="s">
        <v>3728</v>
      </c>
      <c r="AUM619" s="17">
        <v>44925</v>
      </c>
      <c r="AUN619" s="5" t="s">
        <v>3728</v>
      </c>
      <c r="AUO619" s="17">
        <v>44925</v>
      </c>
      <c r="AUP619" s="5" t="s">
        <v>3728</v>
      </c>
      <c r="AUQ619" s="17">
        <v>44925</v>
      </c>
      <c r="AUR619" s="5" t="s">
        <v>3728</v>
      </c>
      <c r="AUS619" s="17">
        <v>44925</v>
      </c>
      <c r="AUT619" s="5" t="s">
        <v>3728</v>
      </c>
      <c r="AUU619" s="17">
        <v>44925</v>
      </c>
      <c r="AUV619" s="5" t="s">
        <v>3728</v>
      </c>
      <c r="AUW619" s="17">
        <v>44925</v>
      </c>
      <c r="AUX619" s="5" t="s">
        <v>3728</v>
      </c>
      <c r="AUY619" s="17">
        <v>44925</v>
      </c>
      <c r="AUZ619" s="5" t="s">
        <v>3728</v>
      </c>
      <c r="AVA619" s="17">
        <v>44925</v>
      </c>
      <c r="AVB619" s="5" t="s">
        <v>3728</v>
      </c>
      <c r="AVC619" s="17">
        <v>44925</v>
      </c>
      <c r="AVD619" s="5" t="s">
        <v>3728</v>
      </c>
      <c r="AVE619" s="17">
        <v>44925</v>
      </c>
      <c r="AVF619" s="5" t="s">
        <v>3728</v>
      </c>
      <c r="AVG619" s="17">
        <v>44925</v>
      </c>
      <c r="AVH619" s="5" t="s">
        <v>3728</v>
      </c>
      <c r="AVI619" s="17">
        <v>44925</v>
      </c>
      <c r="AVJ619" s="5" t="s">
        <v>3728</v>
      </c>
      <c r="AVK619" s="17">
        <v>44925</v>
      </c>
      <c r="AVL619" s="5" t="s">
        <v>3728</v>
      </c>
      <c r="AVM619" s="17">
        <v>44925</v>
      </c>
      <c r="AVN619" s="5" t="s">
        <v>3728</v>
      </c>
      <c r="AVO619" s="17">
        <v>44925</v>
      </c>
      <c r="AVP619" s="5" t="s">
        <v>3728</v>
      </c>
      <c r="AVQ619" s="17">
        <v>44925</v>
      </c>
      <c r="AVR619" s="5" t="s">
        <v>3728</v>
      </c>
      <c r="AVS619" s="17">
        <v>44925</v>
      </c>
      <c r="AVT619" s="5" t="s">
        <v>3728</v>
      </c>
      <c r="AVU619" s="17">
        <v>44925</v>
      </c>
      <c r="AVV619" s="5" t="s">
        <v>3728</v>
      </c>
      <c r="AVW619" s="17">
        <v>44925</v>
      </c>
      <c r="AVX619" s="5" t="s">
        <v>3728</v>
      </c>
      <c r="AVY619" s="17">
        <v>44925</v>
      </c>
      <c r="AVZ619" s="5" t="s">
        <v>3728</v>
      </c>
      <c r="AWA619" s="17">
        <v>44925</v>
      </c>
      <c r="AWB619" s="5" t="s">
        <v>3728</v>
      </c>
      <c r="AWC619" s="17">
        <v>44925</v>
      </c>
      <c r="AWD619" s="5" t="s">
        <v>3728</v>
      </c>
      <c r="AWE619" s="17">
        <v>44925</v>
      </c>
      <c r="AWF619" s="5" t="s">
        <v>3728</v>
      </c>
      <c r="AWG619" s="17">
        <v>44925</v>
      </c>
      <c r="AWH619" s="5" t="s">
        <v>3728</v>
      </c>
      <c r="AWI619" s="17">
        <v>44925</v>
      </c>
      <c r="AWJ619" s="5" t="s">
        <v>3728</v>
      </c>
      <c r="AWK619" s="17">
        <v>44925</v>
      </c>
      <c r="AWL619" s="5" t="s">
        <v>3728</v>
      </c>
      <c r="AWM619" s="17">
        <v>44925</v>
      </c>
      <c r="AWN619" s="5" t="s">
        <v>3728</v>
      </c>
      <c r="AWO619" s="17">
        <v>44925</v>
      </c>
      <c r="AWP619" s="5" t="s">
        <v>3728</v>
      </c>
      <c r="AWQ619" s="17">
        <v>44925</v>
      </c>
      <c r="AWR619" s="5" t="s">
        <v>3728</v>
      </c>
      <c r="AWS619" s="17">
        <v>44925</v>
      </c>
      <c r="AWT619" s="5" t="s">
        <v>3728</v>
      </c>
      <c r="AWU619" s="17">
        <v>44925</v>
      </c>
      <c r="AWV619" s="5" t="s">
        <v>3728</v>
      </c>
      <c r="AWW619" s="17">
        <v>44925</v>
      </c>
      <c r="AWX619" s="5" t="s">
        <v>3728</v>
      </c>
      <c r="AWY619" s="17">
        <v>44925</v>
      </c>
      <c r="AWZ619" s="5" t="s">
        <v>3728</v>
      </c>
      <c r="AXA619" s="17">
        <v>44925</v>
      </c>
      <c r="AXB619" s="5" t="s">
        <v>3728</v>
      </c>
      <c r="AXC619" s="17">
        <v>44925</v>
      </c>
      <c r="AXD619" s="5" t="s">
        <v>3728</v>
      </c>
      <c r="AXE619" s="17">
        <v>44925</v>
      </c>
      <c r="AXF619" s="5" t="s">
        <v>3728</v>
      </c>
      <c r="AXG619" s="17">
        <v>44925</v>
      </c>
      <c r="AXH619" s="5" t="s">
        <v>3728</v>
      </c>
      <c r="AXI619" s="17">
        <v>44925</v>
      </c>
      <c r="AXJ619" s="5" t="s">
        <v>3728</v>
      </c>
      <c r="AXK619" s="17">
        <v>44925</v>
      </c>
      <c r="AXL619" s="5" t="s">
        <v>3728</v>
      </c>
      <c r="AXM619" s="17">
        <v>44925</v>
      </c>
      <c r="AXN619" s="5" t="s">
        <v>3728</v>
      </c>
      <c r="AXO619" s="17">
        <v>44925</v>
      </c>
      <c r="AXP619" s="5" t="s">
        <v>3728</v>
      </c>
      <c r="AXQ619" s="17">
        <v>44925</v>
      </c>
      <c r="AXR619" s="5" t="s">
        <v>3728</v>
      </c>
      <c r="AXS619" s="17">
        <v>44925</v>
      </c>
      <c r="AXT619" s="5" t="s">
        <v>3728</v>
      </c>
      <c r="AXU619" s="17">
        <v>44925</v>
      </c>
      <c r="AXV619" s="5" t="s">
        <v>3728</v>
      </c>
      <c r="AXW619" s="17">
        <v>44925</v>
      </c>
      <c r="AXX619" s="5" t="s">
        <v>3728</v>
      </c>
      <c r="AXY619" s="17">
        <v>44925</v>
      </c>
      <c r="AXZ619" s="5" t="s">
        <v>3728</v>
      </c>
      <c r="AYA619" s="17">
        <v>44925</v>
      </c>
      <c r="AYB619" s="5" t="s">
        <v>3728</v>
      </c>
      <c r="AYC619" s="17">
        <v>44925</v>
      </c>
      <c r="AYD619" s="5" t="s">
        <v>3728</v>
      </c>
      <c r="AYE619" s="17">
        <v>44925</v>
      </c>
      <c r="AYF619" s="5" t="s">
        <v>3728</v>
      </c>
      <c r="AYG619" s="17">
        <v>44925</v>
      </c>
      <c r="AYH619" s="5" t="s">
        <v>3728</v>
      </c>
      <c r="AYI619" s="17">
        <v>44925</v>
      </c>
      <c r="AYJ619" s="5" t="s">
        <v>3728</v>
      </c>
      <c r="AYK619" s="17">
        <v>44925</v>
      </c>
      <c r="AYL619" s="5" t="s">
        <v>3728</v>
      </c>
      <c r="AYM619" s="17">
        <v>44925</v>
      </c>
      <c r="AYN619" s="5" t="s">
        <v>3728</v>
      </c>
      <c r="AYO619" s="17">
        <v>44925</v>
      </c>
      <c r="AYP619" s="5" t="s">
        <v>3728</v>
      </c>
      <c r="AYQ619" s="17">
        <v>44925</v>
      </c>
      <c r="AYR619" s="5" t="s">
        <v>3728</v>
      </c>
      <c r="AYS619" s="17">
        <v>44925</v>
      </c>
      <c r="AYT619" s="5" t="s">
        <v>3728</v>
      </c>
      <c r="AYU619" s="17">
        <v>44925</v>
      </c>
      <c r="AYV619" s="5" t="s">
        <v>3728</v>
      </c>
      <c r="AYW619" s="17">
        <v>44925</v>
      </c>
      <c r="AYX619" s="5" t="s">
        <v>3728</v>
      </c>
      <c r="AYY619" s="17">
        <v>44925</v>
      </c>
      <c r="AYZ619" s="5" t="s">
        <v>3728</v>
      </c>
      <c r="AZA619" s="17">
        <v>44925</v>
      </c>
      <c r="AZB619" s="5" t="s">
        <v>3728</v>
      </c>
      <c r="AZC619" s="17">
        <v>44925</v>
      </c>
      <c r="AZD619" s="5" t="s">
        <v>3728</v>
      </c>
      <c r="AZE619" s="17">
        <v>44925</v>
      </c>
      <c r="AZF619" s="5" t="s">
        <v>3728</v>
      </c>
      <c r="AZG619" s="17">
        <v>44925</v>
      </c>
      <c r="AZH619" s="5" t="s">
        <v>3728</v>
      </c>
      <c r="AZI619" s="17">
        <v>44925</v>
      </c>
      <c r="AZJ619" s="5" t="s">
        <v>3728</v>
      </c>
      <c r="AZK619" s="17">
        <v>44925</v>
      </c>
      <c r="AZL619" s="5" t="s">
        <v>3728</v>
      </c>
      <c r="AZM619" s="17">
        <v>44925</v>
      </c>
      <c r="AZN619" s="5" t="s">
        <v>3728</v>
      </c>
      <c r="AZO619" s="17">
        <v>44925</v>
      </c>
      <c r="AZP619" s="5" t="s">
        <v>3728</v>
      </c>
      <c r="AZQ619" s="17">
        <v>44925</v>
      </c>
      <c r="AZR619" s="5" t="s">
        <v>3728</v>
      </c>
      <c r="AZS619" s="17">
        <v>44925</v>
      </c>
      <c r="AZT619" s="5" t="s">
        <v>3728</v>
      </c>
      <c r="AZU619" s="17">
        <v>44925</v>
      </c>
      <c r="AZV619" s="5" t="s">
        <v>3728</v>
      </c>
      <c r="AZW619" s="17">
        <v>44925</v>
      </c>
      <c r="AZX619" s="5" t="s">
        <v>3728</v>
      </c>
      <c r="AZY619" s="17">
        <v>44925</v>
      </c>
      <c r="AZZ619" s="5" t="s">
        <v>3728</v>
      </c>
      <c r="BAA619" s="17">
        <v>44925</v>
      </c>
      <c r="BAB619" s="5" t="s">
        <v>3728</v>
      </c>
      <c r="BAC619" s="17">
        <v>44925</v>
      </c>
      <c r="BAD619" s="5" t="s">
        <v>3728</v>
      </c>
      <c r="BAE619" s="17">
        <v>44925</v>
      </c>
      <c r="BAF619" s="5" t="s">
        <v>3728</v>
      </c>
      <c r="BAG619" s="17">
        <v>44925</v>
      </c>
      <c r="BAH619" s="5" t="s">
        <v>3728</v>
      </c>
      <c r="BAI619" s="17">
        <v>44925</v>
      </c>
      <c r="BAJ619" s="5" t="s">
        <v>3728</v>
      </c>
      <c r="BAK619" s="17">
        <v>44925</v>
      </c>
      <c r="BAL619" s="5" t="s">
        <v>3728</v>
      </c>
      <c r="BAM619" s="17">
        <v>44925</v>
      </c>
      <c r="BAN619" s="5" t="s">
        <v>3728</v>
      </c>
      <c r="BAO619" s="17">
        <v>44925</v>
      </c>
      <c r="BAP619" s="5" t="s">
        <v>3728</v>
      </c>
      <c r="BAQ619" s="17">
        <v>44925</v>
      </c>
      <c r="BAR619" s="5" t="s">
        <v>3728</v>
      </c>
      <c r="BAS619" s="17">
        <v>44925</v>
      </c>
      <c r="BAT619" s="5" t="s">
        <v>3728</v>
      </c>
      <c r="BAU619" s="17">
        <v>44925</v>
      </c>
      <c r="BAV619" s="5" t="s">
        <v>3728</v>
      </c>
      <c r="BAW619" s="17">
        <v>44925</v>
      </c>
      <c r="BAX619" s="5" t="s">
        <v>3728</v>
      </c>
      <c r="BAY619" s="17">
        <v>44925</v>
      </c>
      <c r="BAZ619" s="5" t="s">
        <v>3728</v>
      </c>
      <c r="BBA619" s="17">
        <v>44925</v>
      </c>
      <c r="BBB619" s="5" t="s">
        <v>3728</v>
      </c>
      <c r="BBC619" s="17">
        <v>44925</v>
      </c>
      <c r="BBD619" s="5" t="s">
        <v>3728</v>
      </c>
      <c r="BBE619" s="17">
        <v>44925</v>
      </c>
      <c r="BBF619" s="5" t="s">
        <v>3728</v>
      </c>
      <c r="BBG619" s="17">
        <v>44925</v>
      </c>
      <c r="BBH619" s="5" t="s">
        <v>3728</v>
      </c>
      <c r="BBI619" s="17">
        <v>44925</v>
      </c>
      <c r="BBJ619" s="5" t="s">
        <v>3728</v>
      </c>
      <c r="BBK619" s="17">
        <v>44925</v>
      </c>
      <c r="BBL619" s="5" t="s">
        <v>3728</v>
      </c>
      <c r="BBM619" s="17">
        <v>44925</v>
      </c>
      <c r="BBN619" s="5" t="s">
        <v>3728</v>
      </c>
      <c r="BBO619" s="17">
        <v>44925</v>
      </c>
      <c r="BBP619" s="5" t="s">
        <v>3728</v>
      </c>
      <c r="BBQ619" s="17">
        <v>44925</v>
      </c>
      <c r="BBR619" s="5" t="s">
        <v>3728</v>
      </c>
      <c r="BBS619" s="17">
        <v>44925</v>
      </c>
      <c r="BBT619" s="5" t="s">
        <v>3728</v>
      </c>
      <c r="BBU619" s="17">
        <v>44925</v>
      </c>
      <c r="BBV619" s="5" t="s">
        <v>3728</v>
      </c>
      <c r="BBW619" s="17">
        <v>44925</v>
      </c>
      <c r="BBX619" s="5" t="s">
        <v>3728</v>
      </c>
      <c r="BBY619" s="17">
        <v>44925</v>
      </c>
      <c r="BBZ619" s="5" t="s">
        <v>3728</v>
      </c>
      <c r="BCA619" s="17">
        <v>44925</v>
      </c>
      <c r="BCB619" s="5" t="s">
        <v>3728</v>
      </c>
      <c r="BCC619" s="17">
        <v>44925</v>
      </c>
      <c r="BCD619" s="5" t="s">
        <v>3728</v>
      </c>
      <c r="BCE619" s="17">
        <v>44925</v>
      </c>
      <c r="BCF619" s="5" t="s">
        <v>3728</v>
      </c>
      <c r="BCG619" s="17">
        <v>44925</v>
      </c>
      <c r="BCH619" s="5" t="s">
        <v>3728</v>
      </c>
      <c r="BCI619" s="17">
        <v>44925</v>
      </c>
      <c r="BCJ619" s="5" t="s">
        <v>3728</v>
      </c>
      <c r="BCK619" s="17">
        <v>44925</v>
      </c>
      <c r="BCL619" s="5" t="s">
        <v>3728</v>
      </c>
      <c r="BCM619" s="17">
        <v>44925</v>
      </c>
      <c r="BCN619" s="5" t="s">
        <v>3728</v>
      </c>
      <c r="BCO619" s="17">
        <v>44925</v>
      </c>
      <c r="BCP619" s="5" t="s">
        <v>3728</v>
      </c>
      <c r="BCQ619" s="17">
        <v>44925</v>
      </c>
      <c r="BCR619" s="5" t="s">
        <v>3728</v>
      </c>
      <c r="BCS619" s="17">
        <v>44925</v>
      </c>
      <c r="BCT619" s="5" t="s">
        <v>3728</v>
      </c>
      <c r="BCU619" s="17">
        <v>44925</v>
      </c>
      <c r="BCV619" s="5" t="s">
        <v>3728</v>
      </c>
      <c r="BCW619" s="17">
        <v>44925</v>
      </c>
      <c r="BCX619" s="5" t="s">
        <v>3728</v>
      </c>
      <c r="BCY619" s="17">
        <v>44925</v>
      </c>
      <c r="BCZ619" s="5" t="s">
        <v>3728</v>
      </c>
      <c r="BDA619" s="17">
        <v>44925</v>
      </c>
      <c r="BDB619" s="5" t="s">
        <v>3728</v>
      </c>
      <c r="BDC619" s="17">
        <v>44925</v>
      </c>
      <c r="BDD619" s="5" t="s">
        <v>3728</v>
      </c>
      <c r="BDE619" s="17">
        <v>44925</v>
      </c>
      <c r="BDF619" s="5" t="s">
        <v>3728</v>
      </c>
      <c r="BDG619" s="17">
        <v>44925</v>
      </c>
      <c r="BDH619" s="5" t="s">
        <v>3728</v>
      </c>
      <c r="BDI619" s="17">
        <v>44925</v>
      </c>
      <c r="BDJ619" s="5" t="s">
        <v>3728</v>
      </c>
      <c r="BDK619" s="17">
        <v>44925</v>
      </c>
      <c r="BDL619" s="5" t="s">
        <v>3728</v>
      </c>
      <c r="BDM619" s="17">
        <v>44925</v>
      </c>
      <c r="BDN619" s="5" t="s">
        <v>3728</v>
      </c>
      <c r="BDO619" s="17">
        <v>44925</v>
      </c>
      <c r="BDP619" s="5" t="s">
        <v>3728</v>
      </c>
      <c r="BDQ619" s="17">
        <v>44925</v>
      </c>
      <c r="BDR619" s="5" t="s">
        <v>3728</v>
      </c>
      <c r="BDS619" s="17">
        <v>44925</v>
      </c>
      <c r="BDT619" s="5" t="s">
        <v>3728</v>
      </c>
      <c r="BDU619" s="17">
        <v>44925</v>
      </c>
      <c r="BDV619" s="5" t="s">
        <v>3728</v>
      </c>
      <c r="BDW619" s="17">
        <v>44925</v>
      </c>
      <c r="BDX619" s="5" t="s">
        <v>3728</v>
      </c>
      <c r="BDY619" s="17">
        <v>44925</v>
      </c>
      <c r="BDZ619" s="5" t="s">
        <v>3728</v>
      </c>
      <c r="BEA619" s="17">
        <v>44925</v>
      </c>
      <c r="BEB619" s="5" t="s">
        <v>3728</v>
      </c>
      <c r="BEC619" s="17">
        <v>44925</v>
      </c>
      <c r="BED619" s="5" t="s">
        <v>3728</v>
      </c>
      <c r="BEE619" s="17">
        <v>44925</v>
      </c>
      <c r="BEF619" s="5" t="s">
        <v>3728</v>
      </c>
      <c r="BEG619" s="17">
        <v>44925</v>
      </c>
      <c r="BEH619" s="5" t="s">
        <v>3728</v>
      </c>
      <c r="BEI619" s="17">
        <v>44925</v>
      </c>
      <c r="BEJ619" s="5" t="s">
        <v>3728</v>
      </c>
      <c r="BEK619" s="17">
        <v>44925</v>
      </c>
      <c r="BEL619" s="5" t="s">
        <v>3728</v>
      </c>
      <c r="BEM619" s="17">
        <v>44925</v>
      </c>
      <c r="BEN619" s="5" t="s">
        <v>3728</v>
      </c>
      <c r="BEO619" s="17">
        <v>44925</v>
      </c>
      <c r="BEP619" s="5" t="s">
        <v>3728</v>
      </c>
      <c r="BEQ619" s="17">
        <v>44925</v>
      </c>
      <c r="BER619" s="5" t="s">
        <v>3728</v>
      </c>
      <c r="BES619" s="17">
        <v>44925</v>
      </c>
      <c r="BET619" s="5" t="s">
        <v>3728</v>
      </c>
      <c r="BEU619" s="17">
        <v>44925</v>
      </c>
      <c r="BEV619" s="5" t="s">
        <v>3728</v>
      </c>
      <c r="BEW619" s="17">
        <v>44925</v>
      </c>
      <c r="BEX619" s="5" t="s">
        <v>3728</v>
      </c>
      <c r="BEY619" s="17">
        <v>44925</v>
      </c>
      <c r="BEZ619" s="5" t="s">
        <v>3728</v>
      </c>
      <c r="BFA619" s="17">
        <v>44925</v>
      </c>
      <c r="BFB619" s="5" t="s">
        <v>3728</v>
      </c>
      <c r="BFC619" s="17">
        <v>44925</v>
      </c>
      <c r="BFD619" s="5" t="s">
        <v>3728</v>
      </c>
      <c r="BFE619" s="17">
        <v>44925</v>
      </c>
      <c r="BFF619" s="5" t="s">
        <v>3728</v>
      </c>
      <c r="BFG619" s="17">
        <v>44925</v>
      </c>
      <c r="BFH619" s="5" t="s">
        <v>3728</v>
      </c>
      <c r="BFI619" s="17">
        <v>44925</v>
      </c>
      <c r="BFJ619" s="5" t="s">
        <v>3728</v>
      </c>
      <c r="BFK619" s="17">
        <v>44925</v>
      </c>
      <c r="BFL619" s="5" t="s">
        <v>3728</v>
      </c>
      <c r="BFM619" s="17">
        <v>44925</v>
      </c>
      <c r="BFN619" s="5" t="s">
        <v>3728</v>
      </c>
      <c r="BFO619" s="17">
        <v>44925</v>
      </c>
      <c r="BFP619" s="5" t="s">
        <v>3728</v>
      </c>
      <c r="BFQ619" s="17">
        <v>44925</v>
      </c>
      <c r="BFR619" s="5" t="s">
        <v>3728</v>
      </c>
      <c r="BFS619" s="17">
        <v>44925</v>
      </c>
      <c r="BFT619" s="5" t="s">
        <v>3728</v>
      </c>
      <c r="BFU619" s="17">
        <v>44925</v>
      </c>
      <c r="BFV619" s="5" t="s">
        <v>3728</v>
      </c>
      <c r="BFW619" s="17">
        <v>44925</v>
      </c>
      <c r="BFX619" s="5" t="s">
        <v>3728</v>
      </c>
      <c r="BFY619" s="17">
        <v>44925</v>
      </c>
      <c r="BFZ619" s="5" t="s">
        <v>3728</v>
      </c>
      <c r="BGA619" s="17">
        <v>44925</v>
      </c>
      <c r="BGB619" s="5" t="s">
        <v>3728</v>
      </c>
      <c r="BGC619" s="17">
        <v>44925</v>
      </c>
      <c r="BGD619" s="5" t="s">
        <v>3728</v>
      </c>
      <c r="BGE619" s="17">
        <v>44925</v>
      </c>
      <c r="BGF619" s="5" t="s">
        <v>3728</v>
      </c>
      <c r="BGG619" s="17">
        <v>44925</v>
      </c>
      <c r="BGH619" s="5" t="s">
        <v>3728</v>
      </c>
      <c r="BGI619" s="17">
        <v>44925</v>
      </c>
      <c r="BGJ619" s="5" t="s">
        <v>3728</v>
      </c>
      <c r="BGK619" s="17">
        <v>44925</v>
      </c>
      <c r="BGL619" s="5" t="s">
        <v>3728</v>
      </c>
      <c r="BGM619" s="17">
        <v>44925</v>
      </c>
      <c r="BGN619" s="5" t="s">
        <v>3728</v>
      </c>
      <c r="BGO619" s="17">
        <v>44925</v>
      </c>
      <c r="BGP619" s="5" t="s">
        <v>3728</v>
      </c>
      <c r="BGQ619" s="17">
        <v>44925</v>
      </c>
      <c r="BGR619" s="5" t="s">
        <v>3728</v>
      </c>
      <c r="BGS619" s="17">
        <v>44925</v>
      </c>
      <c r="BGT619" s="5" t="s">
        <v>3728</v>
      </c>
      <c r="BGU619" s="17">
        <v>44925</v>
      </c>
      <c r="BGV619" s="5" t="s">
        <v>3728</v>
      </c>
      <c r="BGW619" s="17">
        <v>44925</v>
      </c>
      <c r="BGX619" s="5" t="s">
        <v>3728</v>
      </c>
      <c r="BGY619" s="17">
        <v>44925</v>
      </c>
      <c r="BGZ619" s="5" t="s">
        <v>3728</v>
      </c>
      <c r="BHA619" s="17">
        <v>44925</v>
      </c>
      <c r="BHB619" s="5" t="s">
        <v>3728</v>
      </c>
      <c r="BHC619" s="17">
        <v>44925</v>
      </c>
      <c r="BHD619" s="5" t="s">
        <v>3728</v>
      </c>
      <c r="BHE619" s="17">
        <v>44925</v>
      </c>
      <c r="BHF619" s="5" t="s">
        <v>3728</v>
      </c>
      <c r="BHG619" s="17">
        <v>44925</v>
      </c>
      <c r="BHH619" s="5" t="s">
        <v>3728</v>
      </c>
      <c r="BHI619" s="17">
        <v>44925</v>
      </c>
      <c r="BHJ619" s="5" t="s">
        <v>3728</v>
      </c>
      <c r="BHK619" s="17">
        <v>44925</v>
      </c>
      <c r="BHL619" s="5" t="s">
        <v>3728</v>
      </c>
      <c r="BHM619" s="17">
        <v>44925</v>
      </c>
      <c r="BHN619" s="5" t="s">
        <v>3728</v>
      </c>
      <c r="BHO619" s="17">
        <v>44925</v>
      </c>
      <c r="BHP619" s="5" t="s">
        <v>3728</v>
      </c>
      <c r="BHQ619" s="17">
        <v>44925</v>
      </c>
      <c r="BHR619" s="5" t="s">
        <v>3728</v>
      </c>
      <c r="BHS619" s="17">
        <v>44925</v>
      </c>
      <c r="BHT619" s="5" t="s">
        <v>3728</v>
      </c>
      <c r="BHU619" s="17">
        <v>44925</v>
      </c>
      <c r="BHV619" s="5" t="s">
        <v>3728</v>
      </c>
      <c r="BHW619" s="17">
        <v>44925</v>
      </c>
      <c r="BHX619" s="5" t="s">
        <v>3728</v>
      </c>
      <c r="BHY619" s="17">
        <v>44925</v>
      </c>
      <c r="BHZ619" s="5" t="s">
        <v>3728</v>
      </c>
      <c r="BIA619" s="17">
        <v>44925</v>
      </c>
      <c r="BIB619" s="5" t="s">
        <v>3728</v>
      </c>
      <c r="BIC619" s="17">
        <v>44925</v>
      </c>
      <c r="BID619" s="5" t="s">
        <v>3728</v>
      </c>
      <c r="BIE619" s="17">
        <v>44925</v>
      </c>
      <c r="BIF619" s="5" t="s">
        <v>3728</v>
      </c>
      <c r="BIG619" s="17">
        <v>44925</v>
      </c>
      <c r="BIH619" s="5" t="s">
        <v>3728</v>
      </c>
      <c r="BII619" s="17">
        <v>44925</v>
      </c>
      <c r="BIJ619" s="5" t="s">
        <v>3728</v>
      </c>
      <c r="BIK619" s="17">
        <v>44925</v>
      </c>
      <c r="BIL619" s="5" t="s">
        <v>3728</v>
      </c>
      <c r="BIM619" s="17">
        <v>44925</v>
      </c>
      <c r="BIN619" s="5" t="s">
        <v>3728</v>
      </c>
      <c r="BIO619" s="17">
        <v>44925</v>
      </c>
      <c r="BIP619" s="5" t="s">
        <v>3728</v>
      </c>
      <c r="BIQ619" s="17">
        <v>44925</v>
      </c>
      <c r="BIR619" s="5" t="s">
        <v>3728</v>
      </c>
      <c r="BIS619" s="17">
        <v>44925</v>
      </c>
      <c r="BIT619" s="5" t="s">
        <v>3728</v>
      </c>
      <c r="BIU619" s="17">
        <v>44925</v>
      </c>
      <c r="BIV619" s="5" t="s">
        <v>3728</v>
      </c>
      <c r="BIW619" s="17">
        <v>44925</v>
      </c>
      <c r="BIX619" s="5" t="s">
        <v>3728</v>
      </c>
      <c r="BIY619" s="17">
        <v>44925</v>
      </c>
      <c r="BIZ619" s="5" t="s">
        <v>3728</v>
      </c>
      <c r="BJA619" s="17">
        <v>44925</v>
      </c>
      <c r="BJB619" s="5" t="s">
        <v>3728</v>
      </c>
      <c r="BJC619" s="17">
        <v>44925</v>
      </c>
      <c r="BJD619" s="5" t="s">
        <v>3728</v>
      </c>
      <c r="BJE619" s="17">
        <v>44925</v>
      </c>
      <c r="BJF619" s="5" t="s">
        <v>3728</v>
      </c>
      <c r="BJG619" s="17">
        <v>44925</v>
      </c>
      <c r="BJH619" s="5" t="s">
        <v>3728</v>
      </c>
      <c r="BJI619" s="17">
        <v>44925</v>
      </c>
      <c r="BJJ619" s="5" t="s">
        <v>3728</v>
      </c>
      <c r="BJK619" s="17">
        <v>44925</v>
      </c>
      <c r="BJL619" s="5" t="s">
        <v>3728</v>
      </c>
      <c r="BJM619" s="17">
        <v>44925</v>
      </c>
      <c r="BJN619" s="5" t="s">
        <v>3728</v>
      </c>
      <c r="BJO619" s="17">
        <v>44925</v>
      </c>
      <c r="BJP619" s="5" t="s">
        <v>3728</v>
      </c>
      <c r="BJQ619" s="17">
        <v>44925</v>
      </c>
      <c r="BJR619" s="5" t="s">
        <v>3728</v>
      </c>
      <c r="BJS619" s="17">
        <v>44925</v>
      </c>
      <c r="BJT619" s="5" t="s">
        <v>3728</v>
      </c>
      <c r="BJU619" s="17">
        <v>44925</v>
      </c>
      <c r="BJV619" s="5" t="s">
        <v>3728</v>
      </c>
      <c r="BJW619" s="17">
        <v>44925</v>
      </c>
      <c r="BJX619" s="5" t="s">
        <v>3728</v>
      </c>
      <c r="BJY619" s="17">
        <v>44925</v>
      </c>
      <c r="BJZ619" s="5" t="s">
        <v>3728</v>
      </c>
      <c r="BKA619" s="17">
        <v>44925</v>
      </c>
      <c r="BKB619" s="5" t="s">
        <v>3728</v>
      </c>
      <c r="BKC619" s="17">
        <v>44925</v>
      </c>
      <c r="BKD619" s="5" t="s">
        <v>3728</v>
      </c>
      <c r="BKE619" s="17">
        <v>44925</v>
      </c>
      <c r="BKF619" s="5" t="s">
        <v>3728</v>
      </c>
      <c r="BKG619" s="17">
        <v>44925</v>
      </c>
      <c r="BKH619" s="5" t="s">
        <v>3728</v>
      </c>
      <c r="BKI619" s="17">
        <v>44925</v>
      </c>
      <c r="BKJ619" s="5" t="s">
        <v>3728</v>
      </c>
      <c r="BKK619" s="17">
        <v>44925</v>
      </c>
      <c r="BKL619" s="5" t="s">
        <v>3728</v>
      </c>
      <c r="BKM619" s="17">
        <v>44925</v>
      </c>
      <c r="BKN619" s="5" t="s">
        <v>3728</v>
      </c>
      <c r="BKO619" s="17">
        <v>44925</v>
      </c>
      <c r="BKP619" s="5" t="s">
        <v>3728</v>
      </c>
      <c r="BKQ619" s="17">
        <v>44925</v>
      </c>
      <c r="BKR619" s="5" t="s">
        <v>3728</v>
      </c>
      <c r="BKS619" s="17">
        <v>44925</v>
      </c>
      <c r="BKT619" s="5" t="s">
        <v>3728</v>
      </c>
      <c r="BKU619" s="17">
        <v>44925</v>
      </c>
      <c r="BKV619" s="5" t="s">
        <v>3728</v>
      </c>
      <c r="BKW619" s="17">
        <v>44925</v>
      </c>
      <c r="BKX619" s="5" t="s">
        <v>3728</v>
      </c>
      <c r="BKY619" s="17">
        <v>44925</v>
      </c>
      <c r="BKZ619" s="5" t="s">
        <v>3728</v>
      </c>
      <c r="BLA619" s="17">
        <v>44925</v>
      </c>
      <c r="BLB619" s="5" t="s">
        <v>3728</v>
      </c>
      <c r="BLC619" s="17">
        <v>44925</v>
      </c>
      <c r="BLD619" s="5" t="s">
        <v>3728</v>
      </c>
      <c r="BLE619" s="17">
        <v>44925</v>
      </c>
      <c r="BLF619" s="5" t="s">
        <v>3728</v>
      </c>
      <c r="BLG619" s="17">
        <v>44925</v>
      </c>
      <c r="BLH619" s="5" t="s">
        <v>3728</v>
      </c>
      <c r="BLI619" s="17">
        <v>44925</v>
      </c>
      <c r="BLJ619" s="5" t="s">
        <v>3728</v>
      </c>
      <c r="BLK619" s="17">
        <v>44925</v>
      </c>
      <c r="BLL619" s="5" t="s">
        <v>3728</v>
      </c>
      <c r="BLM619" s="17">
        <v>44925</v>
      </c>
      <c r="BLN619" s="5" t="s">
        <v>3728</v>
      </c>
      <c r="BLO619" s="17">
        <v>44925</v>
      </c>
      <c r="BLP619" s="5" t="s">
        <v>3728</v>
      </c>
      <c r="BLQ619" s="17">
        <v>44925</v>
      </c>
      <c r="BLR619" s="5" t="s">
        <v>3728</v>
      </c>
      <c r="BLS619" s="17">
        <v>44925</v>
      </c>
      <c r="BLT619" s="5" t="s">
        <v>3728</v>
      </c>
      <c r="BLU619" s="17">
        <v>44925</v>
      </c>
      <c r="BLV619" s="5" t="s">
        <v>3728</v>
      </c>
      <c r="BLW619" s="17">
        <v>44925</v>
      </c>
      <c r="BLX619" s="5" t="s">
        <v>3728</v>
      </c>
      <c r="BLY619" s="17">
        <v>44925</v>
      </c>
      <c r="BLZ619" s="5" t="s">
        <v>3728</v>
      </c>
      <c r="BMA619" s="17">
        <v>44925</v>
      </c>
      <c r="BMB619" s="5" t="s">
        <v>3728</v>
      </c>
      <c r="BMC619" s="17">
        <v>44925</v>
      </c>
      <c r="BMD619" s="5" t="s">
        <v>3728</v>
      </c>
      <c r="BME619" s="17">
        <v>44925</v>
      </c>
      <c r="BMF619" s="5" t="s">
        <v>3728</v>
      </c>
      <c r="BMG619" s="17">
        <v>44925</v>
      </c>
      <c r="BMH619" s="5" t="s">
        <v>3728</v>
      </c>
      <c r="BMI619" s="17">
        <v>44925</v>
      </c>
      <c r="BMJ619" s="5" t="s">
        <v>3728</v>
      </c>
      <c r="BMK619" s="17">
        <v>44925</v>
      </c>
      <c r="BML619" s="5" t="s">
        <v>3728</v>
      </c>
      <c r="BMM619" s="17">
        <v>44925</v>
      </c>
      <c r="BMN619" s="5" t="s">
        <v>3728</v>
      </c>
      <c r="BMO619" s="17">
        <v>44925</v>
      </c>
      <c r="BMP619" s="5" t="s">
        <v>3728</v>
      </c>
      <c r="BMQ619" s="17">
        <v>44925</v>
      </c>
      <c r="BMR619" s="5" t="s">
        <v>3728</v>
      </c>
      <c r="BMS619" s="17">
        <v>44925</v>
      </c>
      <c r="BMT619" s="5" t="s">
        <v>3728</v>
      </c>
      <c r="BMU619" s="17">
        <v>44925</v>
      </c>
      <c r="BMV619" s="5" t="s">
        <v>3728</v>
      </c>
      <c r="BMW619" s="17">
        <v>44925</v>
      </c>
      <c r="BMX619" s="5" t="s">
        <v>3728</v>
      </c>
      <c r="BMY619" s="17">
        <v>44925</v>
      </c>
      <c r="BMZ619" s="5" t="s">
        <v>3728</v>
      </c>
      <c r="BNA619" s="17">
        <v>44925</v>
      </c>
      <c r="BNB619" s="5" t="s">
        <v>3728</v>
      </c>
      <c r="BNC619" s="17">
        <v>44925</v>
      </c>
      <c r="BND619" s="5" t="s">
        <v>3728</v>
      </c>
      <c r="BNE619" s="17">
        <v>44925</v>
      </c>
      <c r="BNF619" s="5" t="s">
        <v>3728</v>
      </c>
      <c r="BNG619" s="17">
        <v>44925</v>
      </c>
      <c r="BNH619" s="5" t="s">
        <v>3728</v>
      </c>
      <c r="BNI619" s="17">
        <v>44925</v>
      </c>
      <c r="BNJ619" s="5" t="s">
        <v>3728</v>
      </c>
      <c r="BNK619" s="17">
        <v>44925</v>
      </c>
      <c r="BNL619" s="5" t="s">
        <v>3728</v>
      </c>
      <c r="BNM619" s="17">
        <v>44925</v>
      </c>
      <c r="BNN619" s="5" t="s">
        <v>3728</v>
      </c>
      <c r="BNO619" s="17">
        <v>44925</v>
      </c>
      <c r="BNP619" s="5" t="s">
        <v>3728</v>
      </c>
      <c r="BNQ619" s="17">
        <v>44925</v>
      </c>
      <c r="BNR619" s="5" t="s">
        <v>3728</v>
      </c>
      <c r="BNS619" s="17">
        <v>44925</v>
      </c>
      <c r="BNT619" s="5" t="s">
        <v>3728</v>
      </c>
      <c r="BNU619" s="17">
        <v>44925</v>
      </c>
      <c r="BNV619" s="5" t="s">
        <v>3728</v>
      </c>
      <c r="BNW619" s="17">
        <v>44925</v>
      </c>
      <c r="BNX619" s="5" t="s">
        <v>3728</v>
      </c>
      <c r="BNY619" s="17">
        <v>44925</v>
      </c>
      <c r="BNZ619" s="5" t="s">
        <v>3728</v>
      </c>
      <c r="BOA619" s="17">
        <v>44925</v>
      </c>
      <c r="BOB619" s="5" t="s">
        <v>3728</v>
      </c>
      <c r="BOC619" s="17">
        <v>44925</v>
      </c>
      <c r="BOD619" s="5" t="s">
        <v>3728</v>
      </c>
      <c r="BOE619" s="17">
        <v>44925</v>
      </c>
      <c r="BOF619" s="5" t="s">
        <v>3728</v>
      </c>
      <c r="BOG619" s="17">
        <v>44925</v>
      </c>
      <c r="BOH619" s="5" t="s">
        <v>3728</v>
      </c>
      <c r="BOI619" s="17">
        <v>44925</v>
      </c>
      <c r="BOJ619" s="5" t="s">
        <v>3728</v>
      </c>
      <c r="BOK619" s="17">
        <v>44925</v>
      </c>
      <c r="BOL619" s="5" t="s">
        <v>3728</v>
      </c>
      <c r="BOM619" s="17">
        <v>44925</v>
      </c>
      <c r="BON619" s="5" t="s">
        <v>3728</v>
      </c>
      <c r="BOO619" s="17">
        <v>44925</v>
      </c>
      <c r="BOP619" s="5" t="s">
        <v>3728</v>
      </c>
      <c r="BOQ619" s="17">
        <v>44925</v>
      </c>
      <c r="BOR619" s="5" t="s">
        <v>3728</v>
      </c>
      <c r="BOS619" s="17">
        <v>44925</v>
      </c>
      <c r="BOT619" s="5" t="s">
        <v>3728</v>
      </c>
      <c r="BOU619" s="17">
        <v>44925</v>
      </c>
      <c r="BOV619" s="5" t="s">
        <v>3728</v>
      </c>
      <c r="BOW619" s="17">
        <v>44925</v>
      </c>
      <c r="BOX619" s="5" t="s">
        <v>3728</v>
      </c>
      <c r="BOY619" s="17">
        <v>44925</v>
      </c>
      <c r="BOZ619" s="5" t="s">
        <v>3728</v>
      </c>
      <c r="BPA619" s="17">
        <v>44925</v>
      </c>
      <c r="BPB619" s="5" t="s">
        <v>3728</v>
      </c>
      <c r="BPC619" s="17">
        <v>44925</v>
      </c>
      <c r="BPD619" s="5" t="s">
        <v>3728</v>
      </c>
      <c r="BPE619" s="17">
        <v>44925</v>
      </c>
      <c r="BPF619" s="5" t="s">
        <v>3728</v>
      </c>
      <c r="BPG619" s="17">
        <v>44925</v>
      </c>
      <c r="BPH619" s="5" t="s">
        <v>3728</v>
      </c>
      <c r="BPI619" s="17">
        <v>44925</v>
      </c>
      <c r="BPJ619" s="5" t="s">
        <v>3728</v>
      </c>
      <c r="BPK619" s="17">
        <v>44925</v>
      </c>
      <c r="BPL619" s="5" t="s">
        <v>3728</v>
      </c>
      <c r="BPM619" s="17">
        <v>44925</v>
      </c>
      <c r="BPN619" s="5" t="s">
        <v>3728</v>
      </c>
      <c r="BPO619" s="17">
        <v>44925</v>
      </c>
      <c r="BPP619" s="5" t="s">
        <v>3728</v>
      </c>
      <c r="BPQ619" s="17">
        <v>44925</v>
      </c>
      <c r="BPR619" s="5" t="s">
        <v>3728</v>
      </c>
      <c r="BPS619" s="17">
        <v>44925</v>
      </c>
      <c r="BPT619" s="5" t="s">
        <v>3728</v>
      </c>
      <c r="BPU619" s="17">
        <v>44925</v>
      </c>
      <c r="BPV619" s="5" t="s">
        <v>3728</v>
      </c>
      <c r="BPW619" s="17">
        <v>44925</v>
      </c>
      <c r="BPX619" s="5" t="s">
        <v>3728</v>
      </c>
      <c r="BPY619" s="17">
        <v>44925</v>
      </c>
      <c r="BPZ619" s="5" t="s">
        <v>3728</v>
      </c>
      <c r="BQA619" s="17">
        <v>44925</v>
      </c>
      <c r="BQB619" s="5" t="s">
        <v>3728</v>
      </c>
      <c r="BQC619" s="17">
        <v>44925</v>
      </c>
      <c r="BQD619" s="5" t="s">
        <v>3728</v>
      </c>
      <c r="BQE619" s="17">
        <v>44925</v>
      </c>
      <c r="BQF619" s="5" t="s">
        <v>3728</v>
      </c>
      <c r="BQG619" s="17">
        <v>44925</v>
      </c>
      <c r="BQH619" s="5" t="s">
        <v>3728</v>
      </c>
      <c r="BQI619" s="17">
        <v>44925</v>
      </c>
      <c r="BQJ619" s="5" t="s">
        <v>3728</v>
      </c>
      <c r="BQK619" s="17">
        <v>44925</v>
      </c>
      <c r="BQL619" s="5" t="s">
        <v>3728</v>
      </c>
      <c r="BQM619" s="17">
        <v>44925</v>
      </c>
      <c r="BQN619" s="5" t="s">
        <v>3728</v>
      </c>
      <c r="BQO619" s="17">
        <v>44925</v>
      </c>
      <c r="BQP619" s="5" t="s">
        <v>3728</v>
      </c>
      <c r="BQQ619" s="17">
        <v>44925</v>
      </c>
      <c r="BQR619" s="5" t="s">
        <v>3728</v>
      </c>
      <c r="BQS619" s="17">
        <v>44925</v>
      </c>
      <c r="BQT619" s="5" t="s">
        <v>3728</v>
      </c>
      <c r="BQU619" s="17">
        <v>44925</v>
      </c>
      <c r="BQV619" s="5" t="s">
        <v>3728</v>
      </c>
      <c r="BQW619" s="17">
        <v>44925</v>
      </c>
      <c r="BQX619" s="5" t="s">
        <v>3728</v>
      </c>
      <c r="BQY619" s="17">
        <v>44925</v>
      </c>
      <c r="BQZ619" s="5" t="s">
        <v>3728</v>
      </c>
      <c r="BRA619" s="17">
        <v>44925</v>
      </c>
      <c r="BRB619" s="5" t="s">
        <v>3728</v>
      </c>
      <c r="BRC619" s="17">
        <v>44925</v>
      </c>
      <c r="BRD619" s="5" t="s">
        <v>3728</v>
      </c>
      <c r="BRE619" s="17">
        <v>44925</v>
      </c>
      <c r="BRF619" s="5" t="s">
        <v>3728</v>
      </c>
      <c r="BRG619" s="17">
        <v>44925</v>
      </c>
      <c r="BRH619" s="5" t="s">
        <v>3728</v>
      </c>
      <c r="BRI619" s="17">
        <v>44925</v>
      </c>
      <c r="BRJ619" s="5" t="s">
        <v>3728</v>
      </c>
      <c r="BRK619" s="17">
        <v>44925</v>
      </c>
      <c r="BRL619" s="5" t="s">
        <v>3728</v>
      </c>
      <c r="BRM619" s="17">
        <v>44925</v>
      </c>
      <c r="BRN619" s="5" t="s">
        <v>3728</v>
      </c>
      <c r="BRO619" s="17">
        <v>44925</v>
      </c>
      <c r="BRP619" s="5" t="s">
        <v>3728</v>
      </c>
      <c r="BRQ619" s="17">
        <v>44925</v>
      </c>
      <c r="BRR619" s="5" t="s">
        <v>3728</v>
      </c>
      <c r="BRS619" s="17">
        <v>44925</v>
      </c>
      <c r="BRT619" s="5" t="s">
        <v>3728</v>
      </c>
      <c r="BRU619" s="17">
        <v>44925</v>
      </c>
      <c r="BRV619" s="5" t="s">
        <v>3728</v>
      </c>
      <c r="BRW619" s="17">
        <v>44925</v>
      </c>
      <c r="BRX619" s="5" t="s">
        <v>3728</v>
      </c>
      <c r="BRY619" s="17">
        <v>44925</v>
      </c>
      <c r="BRZ619" s="5" t="s">
        <v>3728</v>
      </c>
      <c r="BSA619" s="17">
        <v>44925</v>
      </c>
      <c r="BSB619" s="5" t="s">
        <v>3728</v>
      </c>
      <c r="BSC619" s="17">
        <v>44925</v>
      </c>
      <c r="BSD619" s="5" t="s">
        <v>3728</v>
      </c>
      <c r="BSE619" s="17">
        <v>44925</v>
      </c>
      <c r="BSF619" s="5" t="s">
        <v>3728</v>
      </c>
      <c r="BSG619" s="17">
        <v>44925</v>
      </c>
      <c r="BSH619" s="5" t="s">
        <v>3728</v>
      </c>
      <c r="BSI619" s="17">
        <v>44925</v>
      </c>
      <c r="BSJ619" s="5" t="s">
        <v>3728</v>
      </c>
      <c r="BSK619" s="17">
        <v>44925</v>
      </c>
      <c r="BSL619" s="5" t="s">
        <v>3728</v>
      </c>
      <c r="BSM619" s="17">
        <v>44925</v>
      </c>
      <c r="BSN619" s="5" t="s">
        <v>3728</v>
      </c>
      <c r="BSO619" s="17">
        <v>44925</v>
      </c>
      <c r="BSP619" s="5" t="s">
        <v>3728</v>
      </c>
      <c r="BSQ619" s="17">
        <v>44925</v>
      </c>
      <c r="BSR619" s="5" t="s">
        <v>3728</v>
      </c>
      <c r="BSS619" s="17">
        <v>44925</v>
      </c>
      <c r="BST619" s="5" t="s">
        <v>3728</v>
      </c>
      <c r="BSU619" s="17">
        <v>44925</v>
      </c>
      <c r="BSV619" s="5" t="s">
        <v>3728</v>
      </c>
      <c r="BSW619" s="17">
        <v>44925</v>
      </c>
      <c r="BSX619" s="5" t="s">
        <v>3728</v>
      </c>
      <c r="BSY619" s="17">
        <v>44925</v>
      </c>
      <c r="BSZ619" s="5" t="s">
        <v>3728</v>
      </c>
      <c r="BTA619" s="17">
        <v>44925</v>
      </c>
      <c r="BTB619" s="5" t="s">
        <v>3728</v>
      </c>
      <c r="BTC619" s="17">
        <v>44925</v>
      </c>
      <c r="BTD619" s="5" t="s">
        <v>3728</v>
      </c>
      <c r="BTE619" s="17">
        <v>44925</v>
      </c>
      <c r="BTF619" s="5" t="s">
        <v>3728</v>
      </c>
      <c r="BTG619" s="17">
        <v>44925</v>
      </c>
      <c r="BTH619" s="5" t="s">
        <v>3728</v>
      </c>
      <c r="BTI619" s="17">
        <v>44925</v>
      </c>
      <c r="BTJ619" s="5" t="s">
        <v>3728</v>
      </c>
      <c r="BTK619" s="17">
        <v>44925</v>
      </c>
      <c r="BTL619" s="5" t="s">
        <v>3728</v>
      </c>
      <c r="BTM619" s="17">
        <v>44925</v>
      </c>
      <c r="BTN619" s="5" t="s">
        <v>3728</v>
      </c>
      <c r="BTO619" s="17">
        <v>44925</v>
      </c>
      <c r="BTP619" s="5" t="s">
        <v>3728</v>
      </c>
      <c r="BTQ619" s="17">
        <v>44925</v>
      </c>
      <c r="BTR619" s="5" t="s">
        <v>3728</v>
      </c>
      <c r="BTS619" s="17">
        <v>44925</v>
      </c>
      <c r="BTT619" s="5" t="s">
        <v>3728</v>
      </c>
      <c r="BTU619" s="17">
        <v>44925</v>
      </c>
      <c r="BTV619" s="5" t="s">
        <v>3728</v>
      </c>
      <c r="BTW619" s="17">
        <v>44925</v>
      </c>
      <c r="BTX619" s="5" t="s">
        <v>3728</v>
      </c>
      <c r="BTY619" s="17">
        <v>44925</v>
      </c>
      <c r="BTZ619" s="5" t="s">
        <v>3728</v>
      </c>
      <c r="BUA619" s="17">
        <v>44925</v>
      </c>
      <c r="BUB619" s="5" t="s">
        <v>3728</v>
      </c>
      <c r="BUC619" s="17">
        <v>44925</v>
      </c>
      <c r="BUD619" s="5" t="s">
        <v>3728</v>
      </c>
      <c r="BUE619" s="17">
        <v>44925</v>
      </c>
      <c r="BUF619" s="5" t="s">
        <v>3728</v>
      </c>
      <c r="BUG619" s="17">
        <v>44925</v>
      </c>
      <c r="BUH619" s="5" t="s">
        <v>3728</v>
      </c>
      <c r="BUI619" s="17">
        <v>44925</v>
      </c>
      <c r="BUJ619" s="5" t="s">
        <v>3728</v>
      </c>
      <c r="BUK619" s="17">
        <v>44925</v>
      </c>
      <c r="BUL619" s="5" t="s">
        <v>3728</v>
      </c>
      <c r="BUM619" s="17">
        <v>44925</v>
      </c>
      <c r="BUN619" s="5" t="s">
        <v>3728</v>
      </c>
      <c r="BUO619" s="17">
        <v>44925</v>
      </c>
      <c r="BUP619" s="5" t="s">
        <v>3728</v>
      </c>
      <c r="BUQ619" s="17">
        <v>44925</v>
      </c>
      <c r="BUR619" s="5" t="s">
        <v>3728</v>
      </c>
      <c r="BUS619" s="17">
        <v>44925</v>
      </c>
      <c r="BUT619" s="5" t="s">
        <v>3728</v>
      </c>
      <c r="BUU619" s="17">
        <v>44925</v>
      </c>
      <c r="BUV619" s="5" t="s">
        <v>3728</v>
      </c>
      <c r="BUW619" s="17">
        <v>44925</v>
      </c>
      <c r="BUX619" s="5" t="s">
        <v>3728</v>
      </c>
      <c r="BUY619" s="17">
        <v>44925</v>
      </c>
      <c r="BUZ619" s="5" t="s">
        <v>3728</v>
      </c>
      <c r="BVA619" s="17">
        <v>44925</v>
      </c>
      <c r="BVB619" s="5" t="s">
        <v>3728</v>
      </c>
      <c r="BVC619" s="17">
        <v>44925</v>
      </c>
      <c r="BVD619" s="5" t="s">
        <v>3728</v>
      </c>
      <c r="BVE619" s="17">
        <v>44925</v>
      </c>
      <c r="BVF619" s="5" t="s">
        <v>3728</v>
      </c>
      <c r="BVG619" s="17">
        <v>44925</v>
      </c>
      <c r="BVH619" s="5" t="s">
        <v>3728</v>
      </c>
      <c r="BVI619" s="17">
        <v>44925</v>
      </c>
      <c r="BVJ619" s="5" t="s">
        <v>3728</v>
      </c>
      <c r="BVK619" s="17">
        <v>44925</v>
      </c>
      <c r="BVL619" s="5" t="s">
        <v>3728</v>
      </c>
      <c r="BVM619" s="17">
        <v>44925</v>
      </c>
      <c r="BVN619" s="5" t="s">
        <v>3728</v>
      </c>
      <c r="BVO619" s="17">
        <v>44925</v>
      </c>
      <c r="BVP619" s="5" t="s">
        <v>3728</v>
      </c>
      <c r="BVQ619" s="17">
        <v>44925</v>
      </c>
      <c r="BVR619" s="5" t="s">
        <v>3728</v>
      </c>
      <c r="BVS619" s="17">
        <v>44925</v>
      </c>
      <c r="BVT619" s="5" t="s">
        <v>3728</v>
      </c>
      <c r="BVU619" s="17">
        <v>44925</v>
      </c>
      <c r="BVV619" s="5" t="s">
        <v>3728</v>
      </c>
      <c r="BVW619" s="17">
        <v>44925</v>
      </c>
      <c r="BVX619" s="5" t="s">
        <v>3728</v>
      </c>
      <c r="BVY619" s="17">
        <v>44925</v>
      </c>
      <c r="BVZ619" s="5" t="s">
        <v>3728</v>
      </c>
      <c r="BWA619" s="17">
        <v>44925</v>
      </c>
      <c r="BWB619" s="5" t="s">
        <v>3728</v>
      </c>
      <c r="BWC619" s="17">
        <v>44925</v>
      </c>
      <c r="BWD619" s="5" t="s">
        <v>3728</v>
      </c>
      <c r="BWE619" s="17">
        <v>44925</v>
      </c>
      <c r="BWF619" s="5" t="s">
        <v>3728</v>
      </c>
      <c r="BWG619" s="17">
        <v>44925</v>
      </c>
      <c r="BWH619" s="5" t="s">
        <v>3728</v>
      </c>
      <c r="BWI619" s="17">
        <v>44925</v>
      </c>
      <c r="BWJ619" s="5" t="s">
        <v>3728</v>
      </c>
      <c r="BWK619" s="17">
        <v>44925</v>
      </c>
      <c r="BWL619" s="5" t="s">
        <v>3728</v>
      </c>
      <c r="BWM619" s="17">
        <v>44925</v>
      </c>
      <c r="BWN619" s="5" t="s">
        <v>3728</v>
      </c>
      <c r="BWO619" s="17">
        <v>44925</v>
      </c>
      <c r="BWP619" s="5" t="s">
        <v>3728</v>
      </c>
      <c r="BWQ619" s="17">
        <v>44925</v>
      </c>
      <c r="BWR619" s="5" t="s">
        <v>3728</v>
      </c>
      <c r="BWS619" s="17">
        <v>44925</v>
      </c>
      <c r="BWT619" s="5" t="s">
        <v>3728</v>
      </c>
      <c r="BWU619" s="17">
        <v>44925</v>
      </c>
      <c r="BWV619" s="5" t="s">
        <v>3728</v>
      </c>
      <c r="BWW619" s="17">
        <v>44925</v>
      </c>
      <c r="BWX619" s="5" t="s">
        <v>3728</v>
      </c>
      <c r="BWY619" s="17">
        <v>44925</v>
      </c>
      <c r="BWZ619" s="5" t="s">
        <v>3728</v>
      </c>
      <c r="BXA619" s="17">
        <v>44925</v>
      </c>
      <c r="BXB619" s="5" t="s">
        <v>3728</v>
      </c>
      <c r="BXC619" s="17">
        <v>44925</v>
      </c>
      <c r="BXD619" s="5" t="s">
        <v>3728</v>
      </c>
      <c r="BXE619" s="17">
        <v>44925</v>
      </c>
      <c r="BXF619" s="5" t="s">
        <v>3728</v>
      </c>
      <c r="BXG619" s="17">
        <v>44925</v>
      </c>
      <c r="BXH619" s="5" t="s">
        <v>3728</v>
      </c>
      <c r="BXI619" s="17">
        <v>44925</v>
      </c>
      <c r="BXJ619" s="5" t="s">
        <v>3728</v>
      </c>
      <c r="BXK619" s="17">
        <v>44925</v>
      </c>
      <c r="BXL619" s="5" t="s">
        <v>3728</v>
      </c>
      <c r="BXM619" s="17">
        <v>44925</v>
      </c>
      <c r="BXN619" s="5" t="s">
        <v>3728</v>
      </c>
      <c r="BXO619" s="17">
        <v>44925</v>
      </c>
      <c r="BXP619" s="5" t="s">
        <v>3728</v>
      </c>
      <c r="BXQ619" s="17">
        <v>44925</v>
      </c>
      <c r="BXR619" s="5" t="s">
        <v>3728</v>
      </c>
      <c r="BXS619" s="17">
        <v>44925</v>
      </c>
      <c r="BXT619" s="5" t="s">
        <v>3728</v>
      </c>
      <c r="BXU619" s="17">
        <v>44925</v>
      </c>
      <c r="BXV619" s="5" t="s">
        <v>3728</v>
      </c>
      <c r="BXW619" s="17">
        <v>44925</v>
      </c>
      <c r="BXX619" s="5" t="s">
        <v>3728</v>
      </c>
      <c r="BXY619" s="17">
        <v>44925</v>
      </c>
      <c r="BXZ619" s="5" t="s">
        <v>3728</v>
      </c>
      <c r="BYA619" s="17">
        <v>44925</v>
      </c>
      <c r="BYB619" s="5" t="s">
        <v>3728</v>
      </c>
      <c r="BYC619" s="17">
        <v>44925</v>
      </c>
      <c r="BYD619" s="5" t="s">
        <v>3728</v>
      </c>
      <c r="BYE619" s="17">
        <v>44925</v>
      </c>
      <c r="BYF619" s="5" t="s">
        <v>3728</v>
      </c>
      <c r="BYG619" s="17">
        <v>44925</v>
      </c>
      <c r="BYH619" s="5" t="s">
        <v>3728</v>
      </c>
      <c r="BYI619" s="17">
        <v>44925</v>
      </c>
      <c r="BYJ619" s="5" t="s">
        <v>3728</v>
      </c>
      <c r="BYK619" s="17">
        <v>44925</v>
      </c>
      <c r="BYL619" s="5" t="s">
        <v>3728</v>
      </c>
      <c r="BYM619" s="17">
        <v>44925</v>
      </c>
      <c r="BYN619" s="5" t="s">
        <v>3728</v>
      </c>
      <c r="BYO619" s="17">
        <v>44925</v>
      </c>
      <c r="BYP619" s="5" t="s">
        <v>3728</v>
      </c>
      <c r="BYQ619" s="17">
        <v>44925</v>
      </c>
      <c r="BYR619" s="5" t="s">
        <v>3728</v>
      </c>
      <c r="BYS619" s="17">
        <v>44925</v>
      </c>
      <c r="BYT619" s="5" t="s">
        <v>3728</v>
      </c>
      <c r="BYU619" s="17">
        <v>44925</v>
      </c>
      <c r="BYV619" s="5" t="s">
        <v>3728</v>
      </c>
      <c r="BYW619" s="17">
        <v>44925</v>
      </c>
      <c r="BYX619" s="5" t="s">
        <v>3728</v>
      </c>
      <c r="BYY619" s="17">
        <v>44925</v>
      </c>
      <c r="BYZ619" s="5" t="s">
        <v>3728</v>
      </c>
      <c r="BZA619" s="17">
        <v>44925</v>
      </c>
      <c r="BZB619" s="5" t="s">
        <v>3728</v>
      </c>
      <c r="BZC619" s="17">
        <v>44925</v>
      </c>
      <c r="BZD619" s="5" t="s">
        <v>3728</v>
      </c>
      <c r="BZE619" s="17">
        <v>44925</v>
      </c>
      <c r="BZF619" s="5" t="s">
        <v>3728</v>
      </c>
      <c r="BZG619" s="17">
        <v>44925</v>
      </c>
      <c r="BZH619" s="5" t="s">
        <v>3728</v>
      </c>
      <c r="BZI619" s="17">
        <v>44925</v>
      </c>
      <c r="BZJ619" s="5" t="s">
        <v>3728</v>
      </c>
      <c r="BZK619" s="17">
        <v>44925</v>
      </c>
      <c r="BZL619" s="5" t="s">
        <v>3728</v>
      </c>
      <c r="BZM619" s="17">
        <v>44925</v>
      </c>
      <c r="BZN619" s="5" t="s">
        <v>3728</v>
      </c>
      <c r="BZO619" s="17">
        <v>44925</v>
      </c>
      <c r="BZP619" s="5" t="s">
        <v>3728</v>
      </c>
      <c r="BZQ619" s="17">
        <v>44925</v>
      </c>
      <c r="BZR619" s="5" t="s">
        <v>3728</v>
      </c>
      <c r="BZS619" s="17">
        <v>44925</v>
      </c>
      <c r="BZT619" s="5" t="s">
        <v>3728</v>
      </c>
      <c r="BZU619" s="17">
        <v>44925</v>
      </c>
      <c r="BZV619" s="5" t="s">
        <v>3728</v>
      </c>
      <c r="BZW619" s="17">
        <v>44925</v>
      </c>
      <c r="BZX619" s="5" t="s">
        <v>3728</v>
      </c>
      <c r="BZY619" s="17">
        <v>44925</v>
      </c>
      <c r="BZZ619" s="5" t="s">
        <v>3728</v>
      </c>
      <c r="CAA619" s="17">
        <v>44925</v>
      </c>
      <c r="CAB619" s="5" t="s">
        <v>3728</v>
      </c>
      <c r="CAC619" s="17">
        <v>44925</v>
      </c>
      <c r="CAD619" s="5" t="s">
        <v>3728</v>
      </c>
      <c r="CAE619" s="17">
        <v>44925</v>
      </c>
      <c r="CAF619" s="5" t="s">
        <v>3728</v>
      </c>
      <c r="CAG619" s="17">
        <v>44925</v>
      </c>
      <c r="CAH619" s="5" t="s">
        <v>3728</v>
      </c>
      <c r="CAI619" s="17">
        <v>44925</v>
      </c>
      <c r="CAJ619" s="5" t="s">
        <v>3728</v>
      </c>
      <c r="CAK619" s="17">
        <v>44925</v>
      </c>
      <c r="CAL619" s="5" t="s">
        <v>3728</v>
      </c>
      <c r="CAM619" s="17">
        <v>44925</v>
      </c>
      <c r="CAN619" s="5" t="s">
        <v>3728</v>
      </c>
      <c r="CAO619" s="17">
        <v>44925</v>
      </c>
      <c r="CAP619" s="5" t="s">
        <v>3728</v>
      </c>
      <c r="CAQ619" s="17">
        <v>44925</v>
      </c>
      <c r="CAR619" s="5" t="s">
        <v>3728</v>
      </c>
      <c r="CAS619" s="17">
        <v>44925</v>
      </c>
      <c r="CAT619" s="5" t="s">
        <v>3728</v>
      </c>
      <c r="CAU619" s="17">
        <v>44925</v>
      </c>
      <c r="CAV619" s="5" t="s">
        <v>3728</v>
      </c>
      <c r="CAW619" s="17">
        <v>44925</v>
      </c>
      <c r="CAX619" s="5" t="s">
        <v>3728</v>
      </c>
      <c r="CAY619" s="17">
        <v>44925</v>
      </c>
      <c r="CAZ619" s="5" t="s">
        <v>3728</v>
      </c>
      <c r="CBA619" s="17">
        <v>44925</v>
      </c>
      <c r="CBB619" s="5" t="s">
        <v>3728</v>
      </c>
      <c r="CBC619" s="17">
        <v>44925</v>
      </c>
      <c r="CBD619" s="5" t="s">
        <v>3728</v>
      </c>
      <c r="CBE619" s="17">
        <v>44925</v>
      </c>
      <c r="CBF619" s="5" t="s">
        <v>3728</v>
      </c>
      <c r="CBG619" s="17">
        <v>44925</v>
      </c>
      <c r="CBH619" s="5" t="s">
        <v>3728</v>
      </c>
      <c r="CBI619" s="17">
        <v>44925</v>
      </c>
      <c r="CBJ619" s="5" t="s">
        <v>3728</v>
      </c>
      <c r="CBK619" s="17">
        <v>44925</v>
      </c>
      <c r="CBL619" s="5" t="s">
        <v>3728</v>
      </c>
      <c r="CBM619" s="17">
        <v>44925</v>
      </c>
      <c r="CBN619" s="5" t="s">
        <v>3728</v>
      </c>
      <c r="CBO619" s="17">
        <v>44925</v>
      </c>
      <c r="CBP619" s="5" t="s">
        <v>3728</v>
      </c>
      <c r="CBQ619" s="17">
        <v>44925</v>
      </c>
      <c r="CBR619" s="5" t="s">
        <v>3728</v>
      </c>
      <c r="CBS619" s="17">
        <v>44925</v>
      </c>
      <c r="CBT619" s="5" t="s">
        <v>3728</v>
      </c>
      <c r="CBU619" s="17">
        <v>44925</v>
      </c>
      <c r="CBV619" s="5" t="s">
        <v>3728</v>
      </c>
      <c r="CBW619" s="17">
        <v>44925</v>
      </c>
      <c r="CBX619" s="5" t="s">
        <v>3728</v>
      </c>
      <c r="CBY619" s="17">
        <v>44925</v>
      </c>
      <c r="CBZ619" s="5" t="s">
        <v>3728</v>
      </c>
      <c r="CCA619" s="17">
        <v>44925</v>
      </c>
      <c r="CCB619" s="5" t="s">
        <v>3728</v>
      </c>
      <c r="CCC619" s="17">
        <v>44925</v>
      </c>
      <c r="CCD619" s="5" t="s">
        <v>3728</v>
      </c>
      <c r="CCE619" s="17">
        <v>44925</v>
      </c>
      <c r="CCF619" s="5" t="s">
        <v>3728</v>
      </c>
      <c r="CCG619" s="17">
        <v>44925</v>
      </c>
      <c r="CCH619" s="5" t="s">
        <v>3728</v>
      </c>
      <c r="CCI619" s="17">
        <v>44925</v>
      </c>
      <c r="CCJ619" s="5" t="s">
        <v>3728</v>
      </c>
      <c r="CCK619" s="17">
        <v>44925</v>
      </c>
      <c r="CCL619" s="5" t="s">
        <v>3728</v>
      </c>
      <c r="CCM619" s="17">
        <v>44925</v>
      </c>
      <c r="CCN619" s="5" t="s">
        <v>3728</v>
      </c>
      <c r="CCO619" s="17">
        <v>44925</v>
      </c>
      <c r="CCP619" s="5" t="s">
        <v>3728</v>
      </c>
      <c r="CCQ619" s="17">
        <v>44925</v>
      </c>
      <c r="CCR619" s="5" t="s">
        <v>3728</v>
      </c>
      <c r="CCS619" s="17">
        <v>44925</v>
      </c>
      <c r="CCT619" s="5" t="s">
        <v>3728</v>
      </c>
      <c r="CCU619" s="17">
        <v>44925</v>
      </c>
      <c r="CCV619" s="5" t="s">
        <v>3728</v>
      </c>
      <c r="CCW619" s="17">
        <v>44925</v>
      </c>
      <c r="CCX619" s="5" t="s">
        <v>3728</v>
      </c>
      <c r="CCY619" s="17">
        <v>44925</v>
      </c>
      <c r="CCZ619" s="5" t="s">
        <v>3728</v>
      </c>
      <c r="CDA619" s="17">
        <v>44925</v>
      </c>
      <c r="CDB619" s="5" t="s">
        <v>3728</v>
      </c>
      <c r="CDC619" s="17">
        <v>44925</v>
      </c>
      <c r="CDD619" s="5" t="s">
        <v>3728</v>
      </c>
      <c r="CDE619" s="17">
        <v>44925</v>
      </c>
      <c r="CDF619" s="5" t="s">
        <v>3728</v>
      </c>
      <c r="CDG619" s="17">
        <v>44925</v>
      </c>
      <c r="CDH619" s="5" t="s">
        <v>3728</v>
      </c>
      <c r="CDI619" s="17">
        <v>44925</v>
      </c>
      <c r="CDJ619" s="5" t="s">
        <v>3728</v>
      </c>
      <c r="CDK619" s="17">
        <v>44925</v>
      </c>
      <c r="CDL619" s="5" t="s">
        <v>3728</v>
      </c>
      <c r="CDM619" s="17">
        <v>44925</v>
      </c>
      <c r="CDN619" s="5" t="s">
        <v>3728</v>
      </c>
      <c r="CDO619" s="17">
        <v>44925</v>
      </c>
      <c r="CDP619" s="5" t="s">
        <v>3728</v>
      </c>
      <c r="CDQ619" s="17">
        <v>44925</v>
      </c>
      <c r="CDR619" s="5" t="s">
        <v>3728</v>
      </c>
      <c r="CDS619" s="17">
        <v>44925</v>
      </c>
      <c r="CDT619" s="5" t="s">
        <v>3728</v>
      </c>
      <c r="CDU619" s="17">
        <v>44925</v>
      </c>
      <c r="CDV619" s="5" t="s">
        <v>3728</v>
      </c>
      <c r="CDW619" s="17">
        <v>44925</v>
      </c>
      <c r="CDX619" s="5" t="s">
        <v>3728</v>
      </c>
      <c r="CDY619" s="17">
        <v>44925</v>
      </c>
      <c r="CDZ619" s="5" t="s">
        <v>3728</v>
      </c>
      <c r="CEA619" s="17">
        <v>44925</v>
      </c>
      <c r="CEB619" s="5" t="s">
        <v>3728</v>
      </c>
      <c r="CEC619" s="17">
        <v>44925</v>
      </c>
      <c r="CED619" s="5" t="s">
        <v>3728</v>
      </c>
      <c r="CEE619" s="17">
        <v>44925</v>
      </c>
      <c r="CEF619" s="5" t="s">
        <v>3728</v>
      </c>
      <c r="CEG619" s="17">
        <v>44925</v>
      </c>
      <c r="CEH619" s="5" t="s">
        <v>3728</v>
      </c>
      <c r="CEI619" s="17">
        <v>44925</v>
      </c>
      <c r="CEJ619" s="5" t="s">
        <v>3728</v>
      </c>
      <c r="CEK619" s="17">
        <v>44925</v>
      </c>
      <c r="CEL619" s="5" t="s">
        <v>3728</v>
      </c>
      <c r="CEM619" s="17">
        <v>44925</v>
      </c>
      <c r="CEN619" s="5" t="s">
        <v>3728</v>
      </c>
      <c r="CEO619" s="17">
        <v>44925</v>
      </c>
      <c r="CEP619" s="5" t="s">
        <v>3728</v>
      </c>
      <c r="CEQ619" s="17">
        <v>44925</v>
      </c>
      <c r="CER619" s="5" t="s">
        <v>3728</v>
      </c>
      <c r="CES619" s="17">
        <v>44925</v>
      </c>
      <c r="CET619" s="5" t="s">
        <v>3728</v>
      </c>
      <c r="CEU619" s="17">
        <v>44925</v>
      </c>
      <c r="CEV619" s="5" t="s">
        <v>3728</v>
      </c>
      <c r="CEW619" s="17">
        <v>44925</v>
      </c>
      <c r="CEX619" s="5" t="s">
        <v>3728</v>
      </c>
      <c r="CEY619" s="17">
        <v>44925</v>
      </c>
      <c r="CEZ619" s="5" t="s">
        <v>3728</v>
      </c>
      <c r="CFA619" s="17">
        <v>44925</v>
      </c>
      <c r="CFB619" s="5" t="s">
        <v>3728</v>
      </c>
      <c r="CFC619" s="17">
        <v>44925</v>
      </c>
      <c r="CFD619" s="5" t="s">
        <v>3728</v>
      </c>
      <c r="CFE619" s="17">
        <v>44925</v>
      </c>
      <c r="CFF619" s="5" t="s">
        <v>3728</v>
      </c>
      <c r="CFG619" s="17">
        <v>44925</v>
      </c>
      <c r="CFH619" s="5" t="s">
        <v>3728</v>
      </c>
      <c r="CFI619" s="17">
        <v>44925</v>
      </c>
      <c r="CFJ619" s="5" t="s">
        <v>3728</v>
      </c>
      <c r="CFK619" s="17">
        <v>44925</v>
      </c>
      <c r="CFL619" s="5" t="s">
        <v>3728</v>
      </c>
      <c r="CFM619" s="17">
        <v>44925</v>
      </c>
      <c r="CFN619" s="5" t="s">
        <v>3728</v>
      </c>
      <c r="CFO619" s="17">
        <v>44925</v>
      </c>
      <c r="CFP619" s="5" t="s">
        <v>3728</v>
      </c>
      <c r="CFQ619" s="17">
        <v>44925</v>
      </c>
      <c r="CFR619" s="5" t="s">
        <v>3728</v>
      </c>
      <c r="CFS619" s="17">
        <v>44925</v>
      </c>
      <c r="CFT619" s="5" t="s">
        <v>3728</v>
      </c>
      <c r="CFU619" s="17">
        <v>44925</v>
      </c>
      <c r="CFV619" s="5" t="s">
        <v>3728</v>
      </c>
      <c r="CFW619" s="17">
        <v>44925</v>
      </c>
      <c r="CFX619" s="5" t="s">
        <v>3728</v>
      </c>
      <c r="CFY619" s="17">
        <v>44925</v>
      </c>
      <c r="CFZ619" s="5" t="s">
        <v>3728</v>
      </c>
      <c r="CGA619" s="17">
        <v>44925</v>
      </c>
      <c r="CGB619" s="5" t="s">
        <v>3728</v>
      </c>
      <c r="CGC619" s="17">
        <v>44925</v>
      </c>
      <c r="CGD619" s="5" t="s">
        <v>3728</v>
      </c>
      <c r="CGE619" s="17">
        <v>44925</v>
      </c>
      <c r="CGF619" s="5" t="s">
        <v>3728</v>
      </c>
      <c r="CGG619" s="17">
        <v>44925</v>
      </c>
      <c r="CGH619" s="5" t="s">
        <v>3728</v>
      </c>
      <c r="CGI619" s="17">
        <v>44925</v>
      </c>
      <c r="CGJ619" s="5" t="s">
        <v>3728</v>
      </c>
      <c r="CGK619" s="17">
        <v>44925</v>
      </c>
      <c r="CGL619" s="5" t="s">
        <v>3728</v>
      </c>
      <c r="CGM619" s="17">
        <v>44925</v>
      </c>
      <c r="CGN619" s="5" t="s">
        <v>3728</v>
      </c>
      <c r="CGO619" s="17">
        <v>44925</v>
      </c>
      <c r="CGP619" s="5" t="s">
        <v>3728</v>
      </c>
      <c r="CGQ619" s="17">
        <v>44925</v>
      </c>
      <c r="CGR619" s="5" t="s">
        <v>3728</v>
      </c>
      <c r="CGS619" s="17">
        <v>44925</v>
      </c>
      <c r="CGT619" s="5" t="s">
        <v>3728</v>
      </c>
      <c r="CGU619" s="17">
        <v>44925</v>
      </c>
      <c r="CGV619" s="5" t="s">
        <v>3728</v>
      </c>
      <c r="CGW619" s="17">
        <v>44925</v>
      </c>
      <c r="CGX619" s="5" t="s">
        <v>3728</v>
      </c>
      <c r="CGY619" s="17">
        <v>44925</v>
      </c>
      <c r="CGZ619" s="5" t="s">
        <v>3728</v>
      </c>
      <c r="CHA619" s="17">
        <v>44925</v>
      </c>
      <c r="CHB619" s="5" t="s">
        <v>3728</v>
      </c>
      <c r="CHC619" s="17">
        <v>44925</v>
      </c>
      <c r="CHD619" s="5" t="s">
        <v>3728</v>
      </c>
      <c r="CHE619" s="17">
        <v>44925</v>
      </c>
      <c r="CHF619" s="5" t="s">
        <v>3728</v>
      </c>
      <c r="CHG619" s="17">
        <v>44925</v>
      </c>
      <c r="CHH619" s="5" t="s">
        <v>3728</v>
      </c>
      <c r="CHI619" s="17">
        <v>44925</v>
      </c>
      <c r="CHJ619" s="5" t="s">
        <v>3728</v>
      </c>
      <c r="CHK619" s="17">
        <v>44925</v>
      </c>
      <c r="CHL619" s="5" t="s">
        <v>3728</v>
      </c>
      <c r="CHM619" s="17">
        <v>44925</v>
      </c>
      <c r="CHN619" s="5" t="s">
        <v>3728</v>
      </c>
      <c r="CHO619" s="17">
        <v>44925</v>
      </c>
      <c r="CHP619" s="5" t="s">
        <v>3728</v>
      </c>
      <c r="CHQ619" s="17">
        <v>44925</v>
      </c>
      <c r="CHR619" s="5" t="s">
        <v>3728</v>
      </c>
      <c r="CHS619" s="17">
        <v>44925</v>
      </c>
      <c r="CHT619" s="5" t="s">
        <v>3728</v>
      </c>
      <c r="CHU619" s="17">
        <v>44925</v>
      </c>
      <c r="CHV619" s="5" t="s">
        <v>3728</v>
      </c>
      <c r="CHW619" s="17">
        <v>44925</v>
      </c>
      <c r="CHX619" s="5" t="s">
        <v>3728</v>
      </c>
      <c r="CHY619" s="17">
        <v>44925</v>
      </c>
      <c r="CHZ619" s="5" t="s">
        <v>3728</v>
      </c>
      <c r="CIA619" s="17">
        <v>44925</v>
      </c>
      <c r="CIB619" s="5" t="s">
        <v>3728</v>
      </c>
      <c r="CIC619" s="17">
        <v>44925</v>
      </c>
      <c r="CID619" s="5" t="s">
        <v>3728</v>
      </c>
      <c r="CIE619" s="17">
        <v>44925</v>
      </c>
      <c r="CIF619" s="5" t="s">
        <v>3728</v>
      </c>
      <c r="CIG619" s="17">
        <v>44925</v>
      </c>
      <c r="CIH619" s="5" t="s">
        <v>3728</v>
      </c>
      <c r="CII619" s="17">
        <v>44925</v>
      </c>
      <c r="CIJ619" s="5" t="s">
        <v>3728</v>
      </c>
      <c r="CIK619" s="17">
        <v>44925</v>
      </c>
      <c r="CIL619" s="5" t="s">
        <v>3728</v>
      </c>
      <c r="CIM619" s="17">
        <v>44925</v>
      </c>
      <c r="CIN619" s="5" t="s">
        <v>3728</v>
      </c>
      <c r="CIO619" s="17">
        <v>44925</v>
      </c>
      <c r="CIP619" s="5" t="s">
        <v>3728</v>
      </c>
      <c r="CIQ619" s="17">
        <v>44925</v>
      </c>
      <c r="CIR619" s="5" t="s">
        <v>3728</v>
      </c>
      <c r="CIS619" s="17">
        <v>44925</v>
      </c>
      <c r="CIT619" s="5" t="s">
        <v>3728</v>
      </c>
      <c r="CIU619" s="17">
        <v>44925</v>
      </c>
      <c r="CIV619" s="5" t="s">
        <v>3728</v>
      </c>
      <c r="CIW619" s="17">
        <v>44925</v>
      </c>
      <c r="CIX619" s="5" t="s">
        <v>3728</v>
      </c>
      <c r="CIY619" s="17">
        <v>44925</v>
      </c>
      <c r="CIZ619" s="5" t="s">
        <v>3728</v>
      </c>
      <c r="CJA619" s="17">
        <v>44925</v>
      </c>
      <c r="CJB619" s="5" t="s">
        <v>3728</v>
      </c>
      <c r="CJC619" s="17">
        <v>44925</v>
      </c>
      <c r="CJD619" s="5" t="s">
        <v>3728</v>
      </c>
      <c r="CJE619" s="17">
        <v>44925</v>
      </c>
      <c r="CJF619" s="5" t="s">
        <v>3728</v>
      </c>
      <c r="CJG619" s="17">
        <v>44925</v>
      </c>
      <c r="CJH619" s="5" t="s">
        <v>3728</v>
      </c>
      <c r="CJI619" s="17">
        <v>44925</v>
      </c>
      <c r="CJJ619" s="5" t="s">
        <v>3728</v>
      </c>
      <c r="CJK619" s="17">
        <v>44925</v>
      </c>
      <c r="CJL619" s="5" t="s">
        <v>3728</v>
      </c>
      <c r="CJM619" s="17">
        <v>44925</v>
      </c>
      <c r="CJN619" s="5" t="s">
        <v>3728</v>
      </c>
      <c r="CJO619" s="17">
        <v>44925</v>
      </c>
      <c r="CJP619" s="5" t="s">
        <v>3728</v>
      </c>
      <c r="CJQ619" s="17">
        <v>44925</v>
      </c>
      <c r="CJR619" s="5" t="s">
        <v>3728</v>
      </c>
      <c r="CJS619" s="17">
        <v>44925</v>
      </c>
      <c r="CJT619" s="5" t="s">
        <v>3728</v>
      </c>
      <c r="CJU619" s="17">
        <v>44925</v>
      </c>
      <c r="CJV619" s="5" t="s">
        <v>3728</v>
      </c>
      <c r="CJW619" s="17">
        <v>44925</v>
      </c>
      <c r="CJX619" s="5" t="s">
        <v>3728</v>
      </c>
      <c r="CJY619" s="17">
        <v>44925</v>
      </c>
      <c r="CJZ619" s="5" t="s">
        <v>3728</v>
      </c>
      <c r="CKA619" s="17">
        <v>44925</v>
      </c>
      <c r="CKB619" s="5" t="s">
        <v>3728</v>
      </c>
      <c r="CKC619" s="17">
        <v>44925</v>
      </c>
      <c r="CKD619" s="5" t="s">
        <v>3728</v>
      </c>
      <c r="CKE619" s="17">
        <v>44925</v>
      </c>
      <c r="CKF619" s="5" t="s">
        <v>3728</v>
      </c>
      <c r="CKG619" s="17">
        <v>44925</v>
      </c>
      <c r="CKH619" s="5" t="s">
        <v>3728</v>
      </c>
      <c r="CKI619" s="17">
        <v>44925</v>
      </c>
      <c r="CKJ619" s="5" t="s">
        <v>3728</v>
      </c>
      <c r="CKK619" s="17">
        <v>44925</v>
      </c>
      <c r="CKL619" s="5" t="s">
        <v>3728</v>
      </c>
      <c r="CKM619" s="17">
        <v>44925</v>
      </c>
      <c r="CKN619" s="5" t="s">
        <v>3728</v>
      </c>
      <c r="CKO619" s="17">
        <v>44925</v>
      </c>
      <c r="CKP619" s="5" t="s">
        <v>3728</v>
      </c>
      <c r="CKQ619" s="17">
        <v>44925</v>
      </c>
      <c r="CKR619" s="5" t="s">
        <v>3728</v>
      </c>
      <c r="CKS619" s="17">
        <v>44925</v>
      </c>
      <c r="CKT619" s="5" t="s">
        <v>3728</v>
      </c>
      <c r="CKU619" s="17">
        <v>44925</v>
      </c>
      <c r="CKV619" s="5" t="s">
        <v>3728</v>
      </c>
      <c r="CKW619" s="17">
        <v>44925</v>
      </c>
      <c r="CKX619" s="5" t="s">
        <v>3728</v>
      </c>
      <c r="CKY619" s="17">
        <v>44925</v>
      </c>
      <c r="CKZ619" s="5" t="s">
        <v>3728</v>
      </c>
      <c r="CLA619" s="17">
        <v>44925</v>
      </c>
      <c r="CLB619" s="5" t="s">
        <v>3728</v>
      </c>
      <c r="CLC619" s="17">
        <v>44925</v>
      </c>
      <c r="CLD619" s="5" t="s">
        <v>3728</v>
      </c>
      <c r="CLE619" s="17">
        <v>44925</v>
      </c>
      <c r="CLF619" s="5" t="s">
        <v>3728</v>
      </c>
      <c r="CLG619" s="17">
        <v>44925</v>
      </c>
      <c r="CLH619" s="5" t="s">
        <v>3728</v>
      </c>
      <c r="CLI619" s="17">
        <v>44925</v>
      </c>
      <c r="CLJ619" s="5" t="s">
        <v>3728</v>
      </c>
      <c r="CLK619" s="17">
        <v>44925</v>
      </c>
      <c r="CLL619" s="5" t="s">
        <v>3728</v>
      </c>
      <c r="CLM619" s="17">
        <v>44925</v>
      </c>
      <c r="CLN619" s="5" t="s">
        <v>3728</v>
      </c>
      <c r="CLO619" s="17">
        <v>44925</v>
      </c>
      <c r="CLP619" s="5" t="s">
        <v>3728</v>
      </c>
      <c r="CLQ619" s="17">
        <v>44925</v>
      </c>
      <c r="CLR619" s="5" t="s">
        <v>3728</v>
      </c>
      <c r="CLS619" s="17">
        <v>44925</v>
      </c>
      <c r="CLT619" s="5" t="s">
        <v>3728</v>
      </c>
      <c r="CLU619" s="17">
        <v>44925</v>
      </c>
      <c r="CLV619" s="5" t="s">
        <v>3728</v>
      </c>
      <c r="CLW619" s="17">
        <v>44925</v>
      </c>
      <c r="CLX619" s="5" t="s">
        <v>3728</v>
      </c>
      <c r="CLY619" s="17">
        <v>44925</v>
      </c>
      <c r="CLZ619" s="5" t="s">
        <v>3728</v>
      </c>
      <c r="CMA619" s="17">
        <v>44925</v>
      </c>
      <c r="CMB619" s="5" t="s">
        <v>3728</v>
      </c>
      <c r="CMC619" s="17">
        <v>44925</v>
      </c>
      <c r="CMD619" s="5" t="s">
        <v>3728</v>
      </c>
      <c r="CME619" s="17">
        <v>44925</v>
      </c>
      <c r="CMF619" s="5" t="s">
        <v>3728</v>
      </c>
      <c r="CMG619" s="17">
        <v>44925</v>
      </c>
      <c r="CMH619" s="5" t="s">
        <v>3728</v>
      </c>
      <c r="CMI619" s="17">
        <v>44925</v>
      </c>
      <c r="CMJ619" s="5" t="s">
        <v>3728</v>
      </c>
      <c r="CMK619" s="17">
        <v>44925</v>
      </c>
      <c r="CML619" s="5" t="s">
        <v>3728</v>
      </c>
      <c r="CMM619" s="17">
        <v>44925</v>
      </c>
      <c r="CMN619" s="5" t="s">
        <v>3728</v>
      </c>
      <c r="CMO619" s="17">
        <v>44925</v>
      </c>
      <c r="CMP619" s="5" t="s">
        <v>3728</v>
      </c>
      <c r="CMQ619" s="17">
        <v>44925</v>
      </c>
      <c r="CMR619" s="5" t="s">
        <v>3728</v>
      </c>
      <c r="CMS619" s="17">
        <v>44925</v>
      </c>
      <c r="CMT619" s="5" t="s">
        <v>3728</v>
      </c>
      <c r="CMU619" s="17">
        <v>44925</v>
      </c>
      <c r="CMV619" s="5" t="s">
        <v>3728</v>
      </c>
      <c r="CMW619" s="17">
        <v>44925</v>
      </c>
      <c r="CMX619" s="5" t="s">
        <v>3728</v>
      </c>
      <c r="CMY619" s="17">
        <v>44925</v>
      </c>
      <c r="CMZ619" s="5" t="s">
        <v>3728</v>
      </c>
      <c r="CNA619" s="17">
        <v>44925</v>
      </c>
      <c r="CNB619" s="5" t="s">
        <v>3728</v>
      </c>
      <c r="CNC619" s="17">
        <v>44925</v>
      </c>
      <c r="CND619" s="5" t="s">
        <v>3728</v>
      </c>
      <c r="CNE619" s="17">
        <v>44925</v>
      </c>
      <c r="CNF619" s="5" t="s">
        <v>3728</v>
      </c>
      <c r="CNG619" s="17">
        <v>44925</v>
      </c>
      <c r="CNH619" s="5" t="s">
        <v>3728</v>
      </c>
      <c r="CNI619" s="17">
        <v>44925</v>
      </c>
      <c r="CNJ619" s="5" t="s">
        <v>3728</v>
      </c>
      <c r="CNK619" s="17">
        <v>44925</v>
      </c>
      <c r="CNL619" s="5" t="s">
        <v>3728</v>
      </c>
      <c r="CNM619" s="17">
        <v>44925</v>
      </c>
      <c r="CNN619" s="5" t="s">
        <v>3728</v>
      </c>
      <c r="CNO619" s="17">
        <v>44925</v>
      </c>
      <c r="CNP619" s="5" t="s">
        <v>3728</v>
      </c>
      <c r="CNQ619" s="17">
        <v>44925</v>
      </c>
      <c r="CNR619" s="5" t="s">
        <v>3728</v>
      </c>
      <c r="CNS619" s="17">
        <v>44925</v>
      </c>
      <c r="CNT619" s="5" t="s">
        <v>3728</v>
      </c>
      <c r="CNU619" s="17">
        <v>44925</v>
      </c>
      <c r="CNV619" s="5" t="s">
        <v>3728</v>
      </c>
      <c r="CNW619" s="17">
        <v>44925</v>
      </c>
      <c r="CNX619" s="5" t="s">
        <v>3728</v>
      </c>
      <c r="CNY619" s="17">
        <v>44925</v>
      </c>
      <c r="CNZ619" s="5" t="s">
        <v>3728</v>
      </c>
      <c r="COA619" s="17">
        <v>44925</v>
      </c>
      <c r="COB619" s="5" t="s">
        <v>3728</v>
      </c>
      <c r="COC619" s="17">
        <v>44925</v>
      </c>
      <c r="COD619" s="5" t="s">
        <v>3728</v>
      </c>
      <c r="COE619" s="17">
        <v>44925</v>
      </c>
      <c r="COF619" s="5" t="s">
        <v>3728</v>
      </c>
      <c r="COG619" s="17">
        <v>44925</v>
      </c>
      <c r="COH619" s="5" t="s">
        <v>3728</v>
      </c>
      <c r="COI619" s="17">
        <v>44925</v>
      </c>
      <c r="COJ619" s="5" t="s">
        <v>3728</v>
      </c>
      <c r="COK619" s="17">
        <v>44925</v>
      </c>
      <c r="COL619" s="5" t="s">
        <v>3728</v>
      </c>
      <c r="COM619" s="17">
        <v>44925</v>
      </c>
      <c r="CON619" s="5" t="s">
        <v>3728</v>
      </c>
      <c r="COO619" s="17">
        <v>44925</v>
      </c>
      <c r="COP619" s="5" t="s">
        <v>3728</v>
      </c>
      <c r="COQ619" s="17">
        <v>44925</v>
      </c>
      <c r="COR619" s="5" t="s">
        <v>3728</v>
      </c>
      <c r="COS619" s="17">
        <v>44925</v>
      </c>
      <c r="COT619" s="5" t="s">
        <v>3728</v>
      </c>
      <c r="COU619" s="17">
        <v>44925</v>
      </c>
      <c r="COV619" s="5" t="s">
        <v>3728</v>
      </c>
      <c r="COW619" s="17">
        <v>44925</v>
      </c>
      <c r="COX619" s="5" t="s">
        <v>3728</v>
      </c>
      <c r="COY619" s="17">
        <v>44925</v>
      </c>
      <c r="COZ619" s="5" t="s">
        <v>3728</v>
      </c>
      <c r="CPA619" s="17">
        <v>44925</v>
      </c>
      <c r="CPB619" s="5" t="s">
        <v>3728</v>
      </c>
      <c r="CPC619" s="17">
        <v>44925</v>
      </c>
      <c r="CPD619" s="5" t="s">
        <v>3728</v>
      </c>
      <c r="CPE619" s="17">
        <v>44925</v>
      </c>
      <c r="CPF619" s="5" t="s">
        <v>3728</v>
      </c>
      <c r="CPG619" s="17">
        <v>44925</v>
      </c>
      <c r="CPH619" s="5" t="s">
        <v>3728</v>
      </c>
      <c r="CPI619" s="17">
        <v>44925</v>
      </c>
      <c r="CPJ619" s="5" t="s">
        <v>3728</v>
      </c>
      <c r="CPK619" s="17">
        <v>44925</v>
      </c>
      <c r="CPL619" s="5" t="s">
        <v>3728</v>
      </c>
      <c r="CPM619" s="17">
        <v>44925</v>
      </c>
      <c r="CPN619" s="5" t="s">
        <v>3728</v>
      </c>
      <c r="CPO619" s="17">
        <v>44925</v>
      </c>
      <c r="CPP619" s="5" t="s">
        <v>3728</v>
      </c>
      <c r="CPQ619" s="17">
        <v>44925</v>
      </c>
      <c r="CPR619" s="5" t="s">
        <v>3728</v>
      </c>
      <c r="CPS619" s="17">
        <v>44925</v>
      </c>
      <c r="CPT619" s="5" t="s">
        <v>3728</v>
      </c>
      <c r="CPU619" s="17">
        <v>44925</v>
      </c>
      <c r="CPV619" s="5" t="s">
        <v>3728</v>
      </c>
      <c r="CPW619" s="17">
        <v>44925</v>
      </c>
      <c r="CPX619" s="5" t="s">
        <v>3728</v>
      </c>
      <c r="CPY619" s="17">
        <v>44925</v>
      </c>
      <c r="CPZ619" s="5" t="s">
        <v>3728</v>
      </c>
      <c r="CQA619" s="17">
        <v>44925</v>
      </c>
      <c r="CQB619" s="5" t="s">
        <v>3728</v>
      </c>
      <c r="CQC619" s="17">
        <v>44925</v>
      </c>
      <c r="CQD619" s="5" t="s">
        <v>3728</v>
      </c>
      <c r="CQE619" s="17">
        <v>44925</v>
      </c>
      <c r="CQF619" s="5" t="s">
        <v>3728</v>
      </c>
      <c r="CQG619" s="17">
        <v>44925</v>
      </c>
      <c r="CQH619" s="5" t="s">
        <v>3728</v>
      </c>
      <c r="CQI619" s="17">
        <v>44925</v>
      </c>
      <c r="CQJ619" s="5" t="s">
        <v>3728</v>
      </c>
      <c r="CQK619" s="17">
        <v>44925</v>
      </c>
      <c r="CQL619" s="5" t="s">
        <v>3728</v>
      </c>
      <c r="CQM619" s="17">
        <v>44925</v>
      </c>
      <c r="CQN619" s="5" t="s">
        <v>3728</v>
      </c>
      <c r="CQO619" s="17">
        <v>44925</v>
      </c>
      <c r="CQP619" s="5" t="s">
        <v>3728</v>
      </c>
      <c r="CQQ619" s="17">
        <v>44925</v>
      </c>
      <c r="CQR619" s="5" t="s">
        <v>3728</v>
      </c>
      <c r="CQS619" s="17">
        <v>44925</v>
      </c>
      <c r="CQT619" s="5" t="s">
        <v>3728</v>
      </c>
      <c r="CQU619" s="17">
        <v>44925</v>
      </c>
      <c r="CQV619" s="5" t="s">
        <v>3728</v>
      </c>
      <c r="CQW619" s="17">
        <v>44925</v>
      </c>
      <c r="CQX619" s="5" t="s">
        <v>3728</v>
      </c>
      <c r="CQY619" s="17">
        <v>44925</v>
      </c>
      <c r="CQZ619" s="5" t="s">
        <v>3728</v>
      </c>
      <c r="CRA619" s="17">
        <v>44925</v>
      </c>
      <c r="CRB619" s="5" t="s">
        <v>3728</v>
      </c>
      <c r="CRC619" s="17">
        <v>44925</v>
      </c>
      <c r="CRD619" s="5" t="s">
        <v>3728</v>
      </c>
      <c r="CRE619" s="17">
        <v>44925</v>
      </c>
      <c r="CRF619" s="5" t="s">
        <v>3728</v>
      </c>
      <c r="CRG619" s="17">
        <v>44925</v>
      </c>
      <c r="CRH619" s="5" t="s">
        <v>3728</v>
      </c>
      <c r="CRI619" s="17">
        <v>44925</v>
      </c>
      <c r="CRJ619" s="5" t="s">
        <v>3728</v>
      </c>
      <c r="CRK619" s="17">
        <v>44925</v>
      </c>
      <c r="CRL619" s="5" t="s">
        <v>3728</v>
      </c>
      <c r="CRM619" s="17">
        <v>44925</v>
      </c>
      <c r="CRN619" s="5" t="s">
        <v>3728</v>
      </c>
      <c r="CRO619" s="17">
        <v>44925</v>
      </c>
      <c r="CRP619" s="5" t="s">
        <v>3728</v>
      </c>
      <c r="CRQ619" s="17">
        <v>44925</v>
      </c>
      <c r="CRR619" s="5" t="s">
        <v>3728</v>
      </c>
      <c r="CRS619" s="17">
        <v>44925</v>
      </c>
      <c r="CRT619" s="5" t="s">
        <v>3728</v>
      </c>
      <c r="CRU619" s="17">
        <v>44925</v>
      </c>
      <c r="CRV619" s="5" t="s">
        <v>3728</v>
      </c>
      <c r="CRW619" s="17">
        <v>44925</v>
      </c>
      <c r="CRX619" s="5" t="s">
        <v>3728</v>
      </c>
      <c r="CRY619" s="17">
        <v>44925</v>
      </c>
      <c r="CRZ619" s="5" t="s">
        <v>3728</v>
      </c>
      <c r="CSA619" s="17">
        <v>44925</v>
      </c>
      <c r="CSB619" s="5" t="s">
        <v>3728</v>
      </c>
      <c r="CSC619" s="17">
        <v>44925</v>
      </c>
      <c r="CSD619" s="5" t="s">
        <v>3728</v>
      </c>
      <c r="CSE619" s="17">
        <v>44925</v>
      </c>
      <c r="CSF619" s="5" t="s">
        <v>3728</v>
      </c>
      <c r="CSG619" s="17">
        <v>44925</v>
      </c>
      <c r="CSH619" s="5" t="s">
        <v>3728</v>
      </c>
      <c r="CSI619" s="17">
        <v>44925</v>
      </c>
      <c r="CSJ619" s="5" t="s">
        <v>3728</v>
      </c>
      <c r="CSK619" s="17">
        <v>44925</v>
      </c>
      <c r="CSL619" s="5" t="s">
        <v>3728</v>
      </c>
      <c r="CSM619" s="17">
        <v>44925</v>
      </c>
      <c r="CSN619" s="5" t="s">
        <v>3728</v>
      </c>
      <c r="CSO619" s="17">
        <v>44925</v>
      </c>
      <c r="CSP619" s="5" t="s">
        <v>3728</v>
      </c>
      <c r="CSQ619" s="17">
        <v>44925</v>
      </c>
      <c r="CSR619" s="5" t="s">
        <v>3728</v>
      </c>
      <c r="CSS619" s="17">
        <v>44925</v>
      </c>
      <c r="CST619" s="5" t="s">
        <v>3728</v>
      </c>
      <c r="CSU619" s="17">
        <v>44925</v>
      </c>
      <c r="CSV619" s="5" t="s">
        <v>3728</v>
      </c>
      <c r="CSW619" s="17">
        <v>44925</v>
      </c>
      <c r="CSX619" s="5" t="s">
        <v>3728</v>
      </c>
      <c r="CSY619" s="17">
        <v>44925</v>
      </c>
      <c r="CSZ619" s="5" t="s">
        <v>3728</v>
      </c>
      <c r="CTA619" s="17">
        <v>44925</v>
      </c>
      <c r="CTB619" s="5" t="s">
        <v>3728</v>
      </c>
      <c r="CTC619" s="17">
        <v>44925</v>
      </c>
      <c r="CTD619" s="5" t="s">
        <v>3728</v>
      </c>
      <c r="CTE619" s="17">
        <v>44925</v>
      </c>
      <c r="CTF619" s="5" t="s">
        <v>3728</v>
      </c>
      <c r="CTG619" s="17">
        <v>44925</v>
      </c>
      <c r="CTH619" s="5" t="s">
        <v>3728</v>
      </c>
      <c r="CTI619" s="17">
        <v>44925</v>
      </c>
      <c r="CTJ619" s="5" t="s">
        <v>3728</v>
      </c>
      <c r="CTK619" s="17">
        <v>44925</v>
      </c>
      <c r="CTL619" s="5" t="s">
        <v>3728</v>
      </c>
      <c r="CTM619" s="17">
        <v>44925</v>
      </c>
      <c r="CTN619" s="5" t="s">
        <v>3728</v>
      </c>
      <c r="CTO619" s="17">
        <v>44925</v>
      </c>
      <c r="CTP619" s="5" t="s">
        <v>3728</v>
      </c>
      <c r="CTQ619" s="17">
        <v>44925</v>
      </c>
      <c r="CTR619" s="5" t="s">
        <v>3728</v>
      </c>
      <c r="CTS619" s="17">
        <v>44925</v>
      </c>
      <c r="CTT619" s="5" t="s">
        <v>3728</v>
      </c>
      <c r="CTU619" s="17">
        <v>44925</v>
      </c>
      <c r="CTV619" s="5" t="s">
        <v>3728</v>
      </c>
      <c r="CTW619" s="17">
        <v>44925</v>
      </c>
      <c r="CTX619" s="5" t="s">
        <v>3728</v>
      </c>
      <c r="CTY619" s="17">
        <v>44925</v>
      </c>
      <c r="CTZ619" s="5" t="s">
        <v>3728</v>
      </c>
      <c r="CUA619" s="17">
        <v>44925</v>
      </c>
      <c r="CUB619" s="5" t="s">
        <v>3728</v>
      </c>
      <c r="CUC619" s="17">
        <v>44925</v>
      </c>
      <c r="CUD619" s="5" t="s">
        <v>3728</v>
      </c>
      <c r="CUE619" s="17">
        <v>44925</v>
      </c>
      <c r="CUF619" s="5" t="s">
        <v>3728</v>
      </c>
      <c r="CUG619" s="17">
        <v>44925</v>
      </c>
      <c r="CUH619" s="5" t="s">
        <v>3728</v>
      </c>
      <c r="CUI619" s="17">
        <v>44925</v>
      </c>
      <c r="CUJ619" s="5" t="s">
        <v>3728</v>
      </c>
      <c r="CUK619" s="17">
        <v>44925</v>
      </c>
      <c r="CUL619" s="5" t="s">
        <v>3728</v>
      </c>
      <c r="CUM619" s="17">
        <v>44925</v>
      </c>
      <c r="CUN619" s="5" t="s">
        <v>3728</v>
      </c>
      <c r="CUO619" s="17">
        <v>44925</v>
      </c>
      <c r="CUP619" s="5" t="s">
        <v>3728</v>
      </c>
      <c r="CUQ619" s="17">
        <v>44925</v>
      </c>
      <c r="CUR619" s="5" t="s">
        <v>3728</v>
      </c>
      <c r="CUS619" s="17">
        <v>44925</v>
      </c>
      <c r="CUT619" s="5" t="s">
        <v>3728</v>
      </c>
      <c r="CUU619" s="17">
        <v>44925</v>
      </c>
      <c r="CUV619" s="5" t="s">
        <v>3728</v>
      </c>
      <c r="CUW619" s="17">
        <v>44925</v>
      </c>
      <c r="CUX619" s="5" t="s">
        <v>3728</v>
      </c>
      <c r="CUY619" s="17">
        <v>44925</v>
      </c>
      <c r="CUZ619" s="5" t="s">
        <v>3728</v>
      </c>
      <c r="CVA619" s="17">
        <v>44925</v>
      </c>
      <c r="CVB619" s="5" t="s">
        <v>3728</v>
      </c>
      <c r="CVC619" s="17">
        <v>44925</v>
      </c>
      <c r="CVD619" s="5" t="s">
        <v>3728</v>
      </c>
      <c r="CVE619" s="17">
        <v>44925</v>
      </c>
      <c r="CVF619" s="5" t="s">
        <v>3728</v>
      </c>
      <c r="CVG619" s="17">
        <v>44925</v>
      </c>
      <c r="CVH619" s="5" t="s">
        <v>3728</v>
      </c>
      <c r="CVI619" s="17">
        <v>44925</v>
      </c>
      <c r="CVJ619" s="5" t="s">
        <v>3728</v>
      </c>
      <c r="CVK619" s="17">
        <v>44925</v>
      </c>
      <c r="CVL619" s="5" t="s">
        <v>3728</v>
      </c>
      <c r="CVM619" s="17">
        <v>44925</v>
      </c>
      <c r="CVN619" s="5" t="s">
        <v>3728</v>
      </c>
      <c r="CVO619" s="17">
        <v>44925</v>
      </c>
      <c r="CVP619" s="5" t="s">
        <v>3728</v>
      </c>
      <c r="CVQ619" s="17">
        <v>44925</v>
      </c>
      <c r="CVR619" s="5" t="s">
        <v>3728</v>
      </c>
      <c r="CVS619" s="17">
        <v>44925</v>
      </c>
      <c r="CVT619" s="5" t="s">
        <v>3728</v>
      </c>
      <c r="CVU619" s="17">
        <v>44925</v>
      </c>
      <c r="CVV619" s="5" t="s">
        <v>3728</v>
      </c>
      <c r="CVW619" s="17">
        <v>44925</v>
      </c>
      <c r="CVX619" s="5" t="s">
        <v>3728</v>
      </c>
      <c r="CVY619" s="17">
        <v>44925</v>
      </c>
      <c r="CVZ619" s="5" t="s">
        <v>3728</v>
      </c>
      <c r="CWA619" s="17">
        <v>44925</v>
      </c>
      <c r="CWB619" s="5" t="s">
        <v>3728</v>
      </c>
      <c r="CWC619" s="17">
        <v>44925</v>
      </c>
      <c r="CWD619" s="5" t="s">
        <v>3728</v>
      </c>
      <c r="CWE619" s="17">
        <v>44925</v>
      </c>
      <c r="CWF619" s="5" t="s">
        <v>3728</v>
      </c>
      <c r="CWG619" s="17">
        <v>44925</v>
      </c>
      <c r="CWH619" s="5" t="s">
        <v>3728</v>
      </c>
      <c r="CWI619" s="17">
        <v>44925</v>
      </c>
      <c r="CWJ619" s="5" t="s">
        <v>3728</v>
      </c>
      <c r="CWK619" s="17">
        <v>44925</v>
      </c>
      <c r="CWL619" s="5" t="s">
        <v>3728</v>
      </c>
      <c r="CWM619" s="17">
        <v>44925</v>
      </c>
      <c r="CWN619" s="5" t="s">
        <v>3728</v>
      </c>
      <c r="CWO619" s="17">
        <v>44925</v>
      </c>
      <c r="CWP619" s="5" t="s">
        <v>3728</v>
      </c>
      <c r="CWQ619" s="17">
        <v>44925</v>
      </c>
      <c r="CWR619" s="5" t="s">
        <v>3728</v>
      </c>
      <c r="CWS619" s="17">
        <v>44925</v>
      </c>
      <c r="CWT619" s="5" t="s">
        <v>3728</v>
      </c>
      <c r="CWU619" s="17">
        <v>44925</v>
      </c>
      <c r="CWV619" s="5" t="s">
        <v>3728</v>
      </c>
      <c r="CWW619" s="17">
        <v>44925</v>
      </c>
      <c r="CWX619" s="5" t="s">
        <v>3728</v>
      </c>
      <c r="CWY619" s="17">
        <v>44925</v>
      </c>
      <c r="CWZ619" s="5" t="s">
        <v>3728</v>
      </c>
      <c r="CXA619" s="17">
        <v>44925</v>
      </c>
      <c r="CXB619" s="5" t="s">
        <v>3728</v>
      </c>
      <c r="CXC619" s="17">
        <v>44925</v>
      </c>
      <c r="CXD619" s="5" t="s">
        <v>3728</v>
      </c>
      <c r="CXE619" s="17">
        <v>44925</v>
      </c>
      <c r="CXF619" s="5" t="s">
        <v>3728</v>
      </c>
      <c r="CXG619" s="17">
        <v>44925</v>
      </c>
      <c r="CXH619" s="5" t="s">
        <v>3728</v>
      </c>
      <c r="CXI619" s="17">
        <v>44925</v>
      </c>
      <c r="CXJ619" s="5" t="s">
        <v>3728</v>
      </c>
      <c r="CXK619" s="17">
        <v>44925</v>
      </c>
      <c r="CXL619" s="5" t="s">
        <v>3728</v>
      </c>
      <c r="CXM619" s="17">
        <v>44925</v>
      </c>
      <c r="CXN619" s="5" t="s">
        <v>3728</v>
      </c>
      <c r="CXO619" s="17">
        <v>44925</v>
      </c>
      <c r="CXP619" s="5" t="s">
        <v>3728</v>
      </c>
      <c r="CXQ619" s="17">
        <v>44925</v>
      </c>
      <c r="CXR619" s="5" t="s">
        <v>3728</v>
      </c>
      <c r="CXS619" s="17">
        <v>44925</v>
      </c>
      <c r="CXT619" s="5" t="s">
        <v>3728</v>
      </c>
      <c r="CXU619" s="17">
        <v>44925</v>
      </c>
      <c r="CXV619" s="5" t="s">
        <v>3728</v>
      </c>
      <c r="CXW619" s="17">
        <v>44925</v>
      </c>
      <c r="CXX619" s="5" t="s">
        <v>3728</v>
      </c>
      <c r="CXY619" s="17">
        <v>44925</v>
      </c>
      <c r="CXZ619" s="5" t="s">
        <v>3728</v>
      </c>
      <c r="CYA619" s="17">
        <v>44925</v>
      </c>
      <c r="CYB619" s="5" t="s">
        <v>3728</v>
      </c>
      <c r="CYC619" s="17">
        <v>44925</v>
      </c>
      <c r="CYD619" s="5" t="s">
        <v>3728</v>
      </c>
      <c r="CYE619" s="17">
        <v>44925</v>
      </c>
      <c r="CYF619" s="5" t="s">
        <v>3728</v>
      </c>
      <c r="CYG619" s="17">
        <v>44925</v>
      </c>
      <c r="CYH619" s="5" t="s">
        <v>3728</v>
      </c>
      <c r="CYI619" s="17">
        <v>44925</v>
      </c>
      <c r="CYJ619" s="5" t="s">
        <v>3728</v>
      </c>
      <c r="CYK619" s="17">
        <v>44925</v>
      </c>
      <c r="CYL619" s="5" t="s">
        <v>3728</v>
      </c>
      <c r="CYM619" s="17">
        <v>44925</v>
      </c>
      <c r="CYN619" s="5" t="s">
        <v>3728</v>
      </c>
      <c r="CYO619" s="17">
        <v>44925</v>
      </c>
      <c r="CYP619" s="5" t="s">
        <v>3728</v>
      </c>
      <c r="CYQ619" s="17">
        <v>44925</v>
      </c>
      <c r="CYR619" s="5" t="s">
        <v>3728</v>
      </c>
      <c r="CYS619" s="17">
        <v>44925</v>
      </c>
      <c r="CYT619" s="5" t="s">
        <v>3728</v>
      </c>
      <c r="CYU619" s="17">
        <v>44925</v>
      </c>
      <c r="CYV619" s="5" t="s">
        <v>3728</v>
      </c>
      <c r="CYW619" s="17">
        <v>44925</v>
      </c>
      <c r="CYX619" s="5" t="s">
        <v>3728</v>
      </c>
      <c r="CYY619" s="17">
        <v>44925</v>
      </c>
      <c r="CYZ619" s="5" t="s">
        <v>3728</v>
      </c>
      <c r="CZA619" s="17">
        <v>44925</v>
      </c>
      <c r="CZB619" s="5" t="s">
        <v>3728</v>
      </c>
      <c r="CZC619" s="17">
        <v>44925</v>
      </c>
      <c r="CZD619" s="5" t="s">
        <v>3728</v>
      </c>
      <c r="CZE619" s="17">
        <v>44925</v>
      </c>
      <c r="CZF619" s="5" t="s">
        <v>3728</v>
      </c>
      <c r="CZG619" s="17">
        <v>44925</v>
      </c>
      <c r="CZH619" s="5" t="s">
        <v>3728</v>
      </c>
      <c r="CZI619" s="17">
        <v>44925</v>
      </c>
      <c r="CZJ619" s="5" t="s">
        <v>3728</v>
      </c>
      <c r="CZK619" s="17">
        <v>44925</v>
      </c>
      <c r="CZL619" s="5" t="s">
        <v>3728</v>
      </c>
      <c r="CZM619" s="17">
        <v>44925</v>
      </c>
      <c r="CZN619" s="5" t="s">
        <v>3728</v>
      </c>
      <c r="CZO619" s="17">
        <v>44925</v>
      </c>
      <c r="CZP619" s="5" t="s">
        <v>3728</v>
      </c>
      <c r="CZQ619" s="17">
        <v>44925</v>
      </c>
      <c r="CZR619" s="5" t="s">
        <v>3728</v>
      </c>
      <c r="CZS619" s="17">
        <v>44925</v>
      </c>
      <c r="CZT619" s="5" t="s">
        <v>3728</v>
      </c>
      <c r="CZU619" s="17">
        <v>44925</v>
      </c>
      <c r="CZV619" s="5" t="s">
        <v>3728</v>
      </c>
      <c r="CZW619" s="17">
        <v>44925</v>
      </c>
      <c r="CZX619" s="5" t="s">
        <v>3728</v>
      </c>
      <c r="CZY619" s="17">
        <v>44925</v>
      </c>
      <c r="CZZ619" s="5" t="s">
        <v>3728</v>
      </c>
      <c r="DAA619" s="17">
        <v>44925</v>
      </c>
      <c r="DAB619" s="5" t="s">
        <v>3728</v>
      </c>
      <c r="DAC619" s="17">
        <v>44925</v>
      </c>
      <c r="DAD619" s="5" t="s">
        <v>3728</v>
      </c>
      <c r="DAE619" s="17">
        <v>44925</v>
      </c>
      <c r="DAF619" s="5" t="s">
        <v>3728</v>
      </c>
      <c r="DAG619" s="17">
        <v>44925</v>
      </c>
      <c r="DAH619" s="5" t="s">
        <v>3728</v>
      </c>
      <c r="DAI619" s="17">
        <v>44925</v>
      </c>
      <c r="DAJ619" s="5" t="s">
        <v>3728</v>
      </c>
      <c r="DAK619" s="17">
        <v>44925</v>
      </c>
      <c r="DAL619" s="5" t="s">
        <v>3728</v>
      </c>
      <c r="DAM619" s="17">
        <v>44925</v>
      </c>
      <c r="DAN619" s="5" t="s">
        <v>3728</v>
      </c>
      <c r="DAO619" s="17">
        <v>44925</v>
      </c>
      <c r="DAP619" s="5" t="s">
        <v>3728</v>
      </c>
      <c r="DAQ619" s="17">
        <v>44925</v>
      </c>
      <c r="DAR619" s="5" t="s">
        <v>3728</v>
      </c>
      <c r="DAS619" s="17">
        <v>44925</v>
      </c>
      <c r="DAT619" s="5" t="s">
        <v>3728</v>
      </c>
      <c r="DAU619" s="17">
        <v>44925</v>
      </c>
      <c r="DAV619" s="5" t="s">
        <v>3728</v>
      </c>
      <c r="DAW619" s="17">
        <v>44925</v>
      </c>
      <c r="DAX619" s="5" t="s">
        <v>3728</v>
      </c>
      <c r="DAY619" s="17">
        <v>44925</v>
      </c>
      <c r="DAZ619" s="5" t="s">
        <v>3728</v>
      </c>
      <c r="DBA619" s="17">
        <v>44925</v>
      </c>
      <c r="DBB619" s="5" t="s">
        <v>3728</v>
      </c>
      <c r="DBC619" s="17">
        <v>44925</v>
      </c>
      <c r="DBD619" s="5" t="s">
        <v>3728</v>
      </c>
      <c r="DBE619" s="17">
        <v>44925</v>
      </c>
      <c r="DBF619" s="5" t="s">
        <v>3728</v>
      </c>
      <c r="DBG619" s="17">
        <v>44925</v>
      </c>
      <c r="DBH619" s="5" t="s">
        <v>3728</v>
      </c>
      <c r="DBI619" s="17">
        <v>44925</v>
      </c>
      <c r="DBJ619" s="5" t="s">
        <v>3728</v>
      </c>
      <c r="DBK619" s="17">
        <v>44925</v>
      </c>
      <c r="DBL619" s="5" t="s">
        <v>3728</v>
      </c>
      <c r="DBM619" s="17">
        <v>44925</v>
      </c>
      <c r="DBN619" s="5" t="s">
        <v>3728</v>
      </c>
      <c r="DBO619" s="17">
        <v>44925</v>
      </c>
      <c r="DBP619" s="5" t="s">
        <v>3728</v>
      </c>
      <c r="DBQ619" s="17">
        <v>44925</v>
      </c>
      <c r="DBR619" s="5" t="s">
        <v>3728</v>
      </c>
      <c r="DBS619" s="17">
        <v>44925</v>
      </c>
      <c r="DBT619" s="5" t="s">
        <v>3728</v>
      </c>
      <c r="DBU619" s="17">
        <v>44925</v>
      </c>
      <c r="DBV619" s="5" t="s">
        <v>3728</v>
      </c>
      <c r="DBW619" s="17">
        <v>44925</v>
      </c>
      <c r="DBX619" s="5" t="s">
        <v>3728</v>
      </c>
      <c r="DBY619" s="17">
        <v>44925</v>
      </c>
      <c r="DBZ619" s="5" t="s">
        <v>3728</v>
      </c>
      <c r="DCA619" s="17">
        <v>44925</v>
      </c>
      <c r="DCB619" s="5" t="s">
        <v>3728</v>
      </c>
      <c r="DCC619" s="17">
        <v>44925</v>
      </c>
      <c r="DCD619" s="5" t="s">
        <v>3728</v>
      </c>
      <c r="DCE619" s="17">
        <v>44925</v>
      </c>
      <c r="DCF619" s="5" t="s">
        <v>3728</v>
      </c>
      <c r="DCG619" s="17">
        <v>44925</v>
      </c>
      <c r="DCH619" s="5" t="s">
        <v>3728</v>
      </c>
      <c r="DCI619" s="17">
        <v>44925</v>
      </c>
      <c r="DCJ619" s="5" t="s">
        <v>3728</v>
      </c>
      <c r="DCK619" s="17">
        <v>44925</v>
      </c>
      <c r="DCL619" s="5" t="s">
        <v>3728</v>
      </c>
      <c r="DCM619" s="17">
        <v>44925</v>
      </c>
      <c r="DCN619" s="5" t="s">
        <v>3728</v>
      </c>
      <c r="DCO619" s="17">
        <v>44925</v>
      </c>
      <c r="DCP619" s="5" t="s">
        <v>3728</v>
      </c>
      <c r="DCQ619" s="17">
        <v>44925</v>
      </c>
      <c r="DCR619" s="5" t="s">
        <v>3728</v>
      </c>
      <c r="DCS619" s="17">
        <v>44925</v>
      </c>
      <c r="DCT619" s="5" t="s">
        <v>3728</v>
      </c>
      <c r="DCU619" s="17">
        <v>44925</v>
      </c>
      <c r="DCV619" s="5" t="s">
        <v>3728</v>
      </c>
      <c r="DCW619" s="17">
        <v>44925</v>
      </c>
      <c r="DCX619" s="5" t="s">
        <v>3728</v>
      </c>
      <c r="DCY619" s="17">
        <v>44925</v>
      </c>
      <c r="DCZ619" s="5" t="s">
        <v>3728</v>
      </c>
      <c r="DDA619" s="17">
        <v>44925</v>
      </c>
      <c r="DDB619" s="5" t="s">
        <v>3728</v>
      </c>
      <c r="DDC619" s="17">
        <v>44925</v>
      </c>
      <c r="DDD619" s="5" t="s">
        <v>3728</v>
      </c>
      <c r="DDE619" s="17">
        <v>44925</v>
      </c>
      <c r="DDF619" s="5" t="s">
        <v>3728</v>
      </c>
      <c r="DDG619" s="17">
        <v>44925</v>
      </c>
      <c r="DDH619" s="5" t="s">
        <v>3728</v>
      </c>
      <c r="DDI619" s="17">
        <v>44925</v>
      </c>
      <c r="DDJ619" s="5" t="s">
        <v>3728</v>
      </c>
      <c r="DDK619" s="17">
        <v>44925</v>
      </c>
      <c r="DDL619" s="5" t="s">
        <v>3728</v>
      </c>
      <c r="DDM619" s="17">
        <v>44925</v>
      </c>
      <c r="DDN619" s="5" t="s">
        <v>3728</v>
      </c>
      <c r="DDO619" s="17">
        <v>44925</v>
      </c>
      <c r="DDP619" s="5" t="s">
        <v>3728</v>
      </c>
      <c r="DDQ619" s="17">
        <v>44925</v>
      </c>
      <c r="DDR619" s="5" t="s">
        <v>3728</v>
      </c>
      <c r="DDS619" s="17">
        <v>44925</v>
      </c>
      <c r="DDT619" s="5" t="s">
        <v>3728</v>
      </c>
      <c r="DDU619" s="17">
        <v>44925</v>
      </c>
      <c r="DDV619" s="5" t="s">
        <v>3728</v>
      </c>
      <c r="DDW619" s="17">
        <v>44925</v>
      </c>
      <c r="DDX619" s="5" t="s">
        <v>3728</v>
      </c>
      <c r="DDY619" s="17">
        <v>44925</v>
      </c>
      <c r="DDZ619" s="5" t="s">
        <v>3728</v>
      </c>
      <c r="DEA619" s="17">
        <v>44925</v>
      </c>
      <c r="DEB619" s="5" t="s">
        <v>3728</v>
      </c>
      <c r="DEC619" s="17">
        <v>44925</v>
      </c>
      <c r="DED619" s="5" t="s">
        <v>3728</v>
      </c>
      <c r="DEE619" s="17">
        <v>44925</v>
      </c>
      <c r="DEF619" s="5" t="s">
        <v>3728</v>
      </c>
      <c r="DEG619" s="17">
        <v>44925</v>
      </c>
      <c r="DEH619" s="5" t="s">
        <v>3728</v>
      </c>
      <c r="DEI619" s="17">
        <v>44925</v>
      </c>
      <c r="DEJ619" s="5" t="s">
        <v>3728</v>
      </c>
      <c r="DEK619" s="17">
        <v>44925</v>
      </c>
      <c r="DEL619" s="5" t="s">
        <v>3728</v>
      </c>
      <c r="DEM619" s="17">
        <v>44925</v>
      </c>
      <c r="DEN619" s="5" t="s">
        <v>3728</v>
      </c>
      <c r="DEO619" s="17">
        <v>44925</v>
      </c>
      <c r="DEP619" s="5" t="s">
        <v>3728</v>
      </c>
      <c r="DEQ619" s="17">
        <v>44925</v>
      </c>
      <c r="DER619" s="5" t="s">
        <v>3728</v>
      </c>
      <c r="DES619" s="17">
        <v>44925</v>
      </c>
      <c r="DET619" s="5" t="s">
        <v>3728</v>
      </c>
      <c r="DEU619" s="17">
        <v>44925</v>
      </c>
      <c r="DEV619" s="5" t="s">
        <v>3728</v>
      </c>
      <c r="DEW619" s="17">
        <v>44925</v>
      </c>
      <c r="DEX619" s="5" t="s">
        <v>3728</v>
      </c>
      <c r="DEY619" s="17">
        <v>44925</v>
      </c>
      <c r="DEZ619" s="5" t="s">
        <v>3728</v>
      </c>
      <c r="DFA619" s="17">
        <v>44925</v>
      </c>
      <c r="DFB619" s="5" t="s">
        <v>3728</v>
      </c>
      <c r="DFC619" s="17">
        <v>44925</v>
      </c>
      <c r="DFD619" s="5" t="s">
        <v>3728</v>
      </c>
      <c r="DFE619" s="17">
        <v>44925</v>
      </c>
      <c r="DFF619" s="5" t="s">
        <v>3728</v>
      </c>
      <c r="DFG619" s="17">
        <v>44925</v>
      </c>
      <c r="DFH619" s="5" t="s">
        <v>3728</v>
      </c>
      <c r="DFI619" s="17">
        <v>44925</v>
      </c>
      <c r="DFJ619" s="5" t="s">
        <v>3728</v>
      </c>
      <c r="DFK619" s="17">
        <v>44925</v>
      </c>
      <c r="DFL619" s="5" t="s">
        <v>3728</v>
      </c>
      <c r="DFM619" s="17">
        <v>44925</v>
      </c>
      <c r="DFN619" s="5" t="s">
        <v>3728</v>
      </c>
      <c r="DFO619" s="17">
        <v>44925</v>
      </c>
      <c r="DFP619" s="5" t="s">
        <v>3728</v>
      </c>
      <c r="DFQ619" s="17">
        <v>44925</v>
      </c>
      <c r="DFR619" s="5" t="s">
        <v>3728</v>
      </c>
      <c r="DFS619" s="17">
        <v>44925</v>
      </c>
      <c r="DFT619" s="5" t="s">
        <v>3728</v>
      </c>
      <c r="DFU619" s="17">
        <v>44925</v>
      </c>
      <c r="DFV619" s="5" t="s">
        <v>3728</v>
      </c>
      <c r="DFW619" s="17">
        <v>44925</v>
      </c>
      <c r="DFX619" s="5" t="s">
        <v>3728</v>
      </c>
      <c r="DFY619" s="17">
        <v>44925</v>
      </c>
      <c r="DFZ619" s="5" t="s">
        <v>3728</v>
      </c>
      <c r="DGA619" s="17">
        <v>44925</v>
      </c>
      <c r="DGB619" s="5" t="s">
        <v>3728</v>
      </c>
      <c r="DGC619" s="17">
        <v>44925</v>
      </c>
      <c r="DGD619" s="5" t="s">
        <v>3728</v>
      </c>
      <c r="DGE619" s="17">
        <v>44925</v>
      </c>
      <c r="DGF619" s="5" t="s">
        <v>3728</v>
      </c>
      <c r="DGG619" s="17">
        <v>44925</v>
      </c>
      <c r="DGH619" s="5" t="s">
        <v>3728</v>
      </c>
      <c r="DGI619" s="17">
        <v>44925</v>
      </c>
      <c r="DGJ619" s="5" t="s">
        <v>3728</v>
      </c>
      <c r="DGK619" s="17">
        <v>44925</v>
      </c>
      <c r="DGL619" s="5" t="s">
        <v>3728</v>
      </c>
      <c r="DGM619" s="17">
        <v>44925</v>
      </c>
      <c r="DGN619" s="5" t="s">
        <v>3728</v>
      </c>
      <c r="DGO619" s="17">
        <v>44925</v>
      </c>
      <c r="DGP619" s="5" t="s">
        <v>3728</v>
      </c>
      <c r="DGQ619" s="17">
        <v>44925</v>
      </c>
      <c r="DGR619" s="5" t="s">
        <v>3728</v>
      </c>
      <c r="DGS619" s="17">
        <v>44925</v>
      </c>
      <c r="DGT619" s="5" t="s">
        <v>3728</v>
      </c>
      <c r="DGU619" s="17">
        <v>44925</v>
      </c>
      <c r="DGV619" s="5" t="s">
        <v>3728</v>
      </c>
      <c r="DGW619" s="17">
        <v>44925</v>
      </c>
      <c r="DGX619" s="5" t="s">
        <v>3728</v>
      </c>
      <c r="DGY619" s="17">
        <v>44925</v>
      </c>
      <c r="DGZ619" s="5" t="s">
        <v>3728</v>
      </c>
      <c r="DHA619" s="17">
        <v>44925</v>
      </c>
      <c r="DHB619" s="5" t="s">
        <v>3728</v>
      </c>
      <c r="DHC619" s="17">
        <v>44925</v>
      </c>
      <c r="DHD619" s="5" t="s">
        <v>3728</v>
      </c>
      <c r="DHE619" s="17">
        <v>44925</v>
      </c>
      <c r="DHF619" s="5" t="s">
        <v>3728</v>
      </c>
      <c r="DHG619" s="17">
        <v>44925</v>
      </c>
      <c r="DHH619" s="5" t="s">
        <v>3728</v>
      </c>
      <c r="DHI619" s="17">
        <v>44925</v>
      </c>
      <c r="DHJ619" s="5" t="s">
        <v>3728</v>
      </c>
      <c r="DHK619" s="17">
        <v>44925</v>
      </c>
      <c r="DHL619" s="5" t="s">
        <v>3728</v>
      </c>
      <c r="DHM619" s="17">
        <v>44925</v>
      </c>
      <c r="DHN619" s="5" t="s">
        <v>3728</v>
      </c>
      <c r="DHO619" s="17">
        <v>44925</v>
      </c>
      <c r="DHP619" s="5" t="s">
        <v>3728</v>
      </c>
      <c r="DHQ619" s="17">
        <v>44925</v>
      </c>
      <c r="DHR619" s="5" t="s">
        <v>3728</v>
      </c>
      <c r="DHS619" s="17">
        <v>44925</v>
      </c>
      <c r="DHT619" s="5" t="s">
        <v>3728</v>
      </c>
      <c r="DHU619" s="17">
        <v>44925</v>
      </c>
      <c r="DHV619" s="5" t="s">
        <v>3728</v>
      </c>
      <c r="DHW619" s="17">
        <v>44925</v>
      </c>
      <c r="DHX619" s="5" t="s">
        <v>3728</v>
      </c>
      <c r="DHY619" s="17">
        <v>44925</v>
      </c>
      <c r="DHZ619" s="5" t="s">
        <v>3728</v>
      </c>
      <c r="DIA619" s="17">
        <v>44925</v>
      </c>
      <c r="DIB619" s="5" t="s">
        <v>3728</v>
      </c>
      <c r="DIC619" s="17">
        <v>44925</v>
      </c>
      <c r="DID619" s="5" t="s">
        <v>3728</v>
      </c>
      <c r="DIE619" s="17">
        <v>44925</v>
      </c>
      <c r="DIF619" s="5" t="s">
        <v>3728</v>
      </c>
      <c r="DIG619" s="17">
        <v>44925</v>
      </c>
      <c r="DIH619" s="5" t="s">
        <v>3728</v>
      </c>
      <c r="DII619" s="17">
        <v>44925</v>
      </c>
      <c r="DIJ619" s="5" t="s">
        <v>3728</v>
      </c>
      <c r="DIK619" s="17">
        <v>44925</v>
      </c>
      <c r="DIL619" s="5" t="s">
        <v>3728</v>
      </c>
      <c r="DIM619" s="17">
        <v>44925</v>
      </c>
      <c r="DIN619" s="5" t="s">
        <v>3728</v>
      </c>
      <c r="DIO619" s="17">
        <v>44925</v>
      </c>
      <c r="DIP619" s="5" t="s">
        <v>3728</v>
      </c>
      <c r="DIQ619" s="17">
        <v>44925</v>
      </c>
      <c r="DIR619" s="5" t="s">
        <v>3728</v>
      </c>
      <c r="DIS619" s="17">
        <v>44925</v>
      </c>
      <c r="DIT619" s="5" t="s">
        <v>3728</v>
      </c>
      <c r="DIU619" s="17">
        <v>44925</v>
      </c>
      <c r="DIV619" s="5" t="s">
        <v>3728</v>
      </c>
      <c r="DIW619" s="17">
        <v>44925</v>
      </c>
      <c r="DIX619" s="5" t="s">
        <v>3728</v>
      </c>
      <c r="DIY619" s="17">
        <v>44925</v>
      </c>
      <c r="DIZ619" s="5" t="s">
        <v>3728</v>
      </c>
      <c r="DJA619" s="17">
        <v>44925</v>
      </c>
      <c r="DJB619" s="5" t="s">
        <v>3728</v>
      </c>
      <c r="DJC619" s="17">
        <v>44925</v>
      </c>
      <c r="DJD619" s="5" t="s">
        <v>3728</v>
      </c>
      <c r="DJE619" s="17">
        <v>44925</v>
      </c>
      <c r="DJF619" s="5" t="s">
        <v>3728</v>
      </c>
      <c r="DJG619" s="17">
        <v>44925</v>
      </c>
      <c r="DJH619" s="5" t="s">
        <v>3728</v>
      </c>
      <c r="DJI619" s="17">
        <v>44925</v>
      </c>
      <c r="DJJ619" s="5" t="s">
        <v>3728</v>
      </c>
      <c r="DJK619" s="17">
        <v>44925</v>
      </c>
      <c r="DJL619" s="5" t="s">
        <v>3728</v>
      </c>
      <c r="DJM619" s="17">
        <v>44925</v>
      </c>
      <c r="DJN619" s="5" t="s">
        <v>3728</v>
      </c>
      <c r="DJO619" s="17">
        <v>44925</v>
      </c>
      <c r="DJP619" s="5" t="s">
        <v>3728</v>
      </c>
      <c r="DJQ619" s="17">
        <v>44925</v>
      </c>
      <c r="DJR619" s="5" t="s">
        <v>3728</v>
      </c>
      <c r="DJS619" s="17">
        <v>44925</v>
      </c>
      <c r="DJT619" s="5" t="s">
        <v>3728</v>
      </c>
      <c r="DJU619" s="17">
        <v>44925</v>
      </c>
      <c r="DJV619" s="5" t="s">
        <v>3728</v>
      </c>
      <c r="DJW619" s="17">
        <v>44925</v>
      </c>
      <c r="DJX619" s="5" t="s">
        <v>3728</v>
      </c>
      <c r="DJY619" s="17">
        <v>44925</v>
      </c>
      <c r="DJZ619" s="5" t="s">
        <v>3728</v>
      </c>
      <c r="DKA619" s="17">
        <v>44925</v>
      </c>
      <c r="DKB619" s="5" t="s">
        <v>3728</v>
      </c>
      <c r="DKC619" s="17">
        <v>44925</v>
      </c>
      <c r="DKD619" s="5" t="s">
        <v>3728</v>
      </c>
      <c r="DKE619" s="17">
        <v>44925</v>
      </c>
      <c r="DKF619" s="5" t="s">
        <v>3728</v>
      </c>
      <c r="DKG619" s="17">
        <v>44925</v>
      </c>
      <c r="DKH619" s="5" t="s">
        <v>3728</v>
      </c>
      <c r="DKI619" s="17">
        <v>44925</v>
      </c>
      <c r="DKJ619" s="5" t="s">
        <v>3728</v>
      </c>
      <c r="DKK619" s="17">
        <v>44925</v>
      </c>
      <c r="DKL619" s="5" t="s">
        <v>3728</v>
      </c>
      <c r="DKM619" s="17">
        <v>44925</v>
      </c>
      <c r="DKN619" s="5" t="s">
        <v>3728</v>
      </c>
      <c r="DKO619" s="17">
        <v>44925</v>
      </c>
      <c r="DKP619" s="5" t="s">
        <v>3728</v>
      </c>
      <c r="DKQ619" s="17">
        <v>44925</v>
      </c>
      <c r="DKR619" s="5" t="s">
        <v>3728</v>
      </c>
      <c r="DKS619" s="17">
        <v>44925</v>
      </c>
      <c r="DKT619" s="5" t="s">
        <v>3728</v>
      </c>
      <c r="DKU619" s="17">
        <v>44925</v>
      </c>
      <c r="DKV619" s="5" t="s">
        <v>3728</v>
      </c>
      <c r="DKW619" s="17">
        <v>44925</v>
      </c>
      <c r="DKX619" s="5" t="s">
        <v>3728</v>
      </c>
      <c r="DKY619" s="17">
        <v>44925</v>
      </c>
      <c r="DKZ619" s="5" t="s">
        <v>3728</v>
      </c>
      <c r="DLA619" s="17">
        <v>44925</v>
      </c>
      <c r="DLB619" s="5" t="s">
        <v>3728</v>
      </c>
      <c r="DLC619" s="17">
        <v>44925</v>
      </c>
      <c r="DLD619" s="5" t="s">
        <v>3728</v>
      </c>
      <c r="DLE619" s="17">
        <v>44925</v>
      </c>
      <c r="DLF619" s="5" t="s">
        <v>3728</v>
      </c>
      <c r="DLG619" s="17">
        <v>44925</v>
      </c>
      <c r="DLH619" s="5" t="s">
        <v>3728</v>
      </c>
      <c r="DLI619" s="17">
        <v>44925</v>
      </c>
      <c r="DLJ619" s="5" t="s">
        <v>3728</v>
      </c>
      <c r="DLK619" s="17">
        <v>44925</v>
      </c>
      <c r="DLL619" s="5" t="s">
        <v>3728</v>
      </c>
      <c r="DLM619" s="17">
        <v>44925</v>
      </c>
      <c r="DLN619" s="5" t="s">
        <v>3728</v>
      </c>
      <c r="DLO619" s="17">
        <v>44925</v>
      </c>
      <c r="DLP619" s="5" t="s">
        <v>3728</v>
      </c>
      <c r="DLQ619" s="17">
        <v>44925</v>
      </c>
      <c r="DLR619" s="5" t="s">
        <v>3728</v>
      </c>
      <c r="DLS619" s="17">
        <v>44925</v>
      </c>
      <c r="DLT619" s="5" t="s">
        <v>3728</v>
      </c>
      <c r="DLU619" s="17">
        <v>44925</v>
      </c>
      <c r="DLV619" s="5" t="s">
        <v>3728</v>
      </c>
      <c r="DLW619" s="17">
        <v>44925</v>
      </c>
      <c r="DLX619" s="5" t="s">
        <v>3728</v>
      </c>
      <c r="DLY619" s="17">
        <v>44925</v>
      </c>
      <c r="DLZ619" s="5" t="s">
        <v>3728</v>
      </c>
      <c r="DMA619" s="17">
        <v>44925</v>
      </c>
      <c r="DMB619" s="5" t="s">
        <v>3728</v>
      </c>
      <c r="DMC619" s="17">
        <v>44925</v>
      </c>
      <c r="DMD619" s="5" t="s">
        <v>3728</v>
      </c>
      <c r="DME619" s="17">
        <v>44925</v>
      </c>
      <c r="DMF619" s="5" t="s">
        <v>3728</v>
      </c>
      <c r="DMG619" s="17">
        <v>44925</v>
      </c>
      <c r="DMH619" s="5" t="s">
        <v>3728</v>
      </c>
      <c r="DMI619" s="17">
        <v>44925</v>
      </c>
      <c r="DMJ619" s="5" t="s">
        <v>3728</v>
      </c>
      <c r="DMK619" s="17">
        <v>44925</v>
      </c>
      <c r="DML619" s="5" t="s">
        <v>3728</v>
      </c>
      <c r="DMM619" s="17">
        <v>44925</v>
      </c>
      <c r="DMN619" s="5" t="s">
        <v>3728</v>
      </c>
      <c r="DMO619" s="17">
        <v>44925</v>
      </c>
      <c r="DMP619" s="5" t="s">
        <v>3728</v>
      </c>
      <c r="DMQ619" s="17">
        <v>44925</v>
      </c>
      <c r="DMR619" s="5" t="s">
        <v>3728</v>
      </c>
      <c r="DMS619" s="17">
        <v>44925</v>
      </c>
      <c r="DMT619" s="5" t="s">
        <v>3728</v>
      </c>
      <c r="DMU619" s="17">
        <v>44925</v>
      </c>
      <c r="DMV619" s="5" t="s">
        <v>3728</v>
      </c>
      <c r="DMW619" s="17">
        <v>44925</v>
      </c>
      <c r="DMX619" s="5" t="s">
        <v>3728</v>
      </c>
      <c r="DMY619" s="17">
        <v>44925</v>
      </c>
      <c r="DMZ619" s="5" t="s">
        <v>3728</v>
      </c>
      <c r="DNA619" s="17">
        <v>44925</v>
      </c>
      <c r="DNB619" s="5" t="s">
        <v>3728</v>
      </c>
      <c r="DNC619" s="17">
        <v>44925</v>
      </c>
      <c r="DND619" s="5" t="s">
        <v>3728</v>
      </c>
      <c r="DNE619" s="17">
        <v>44925</v>
      </c>
      <c r="DNF619" s="5" t="s">
        <v>3728</v>
      </c>
      <c r="DNG619" s="17">
        <v>44925</v>
      </c>
      <c r="DNH619" s="5" t="s">
        <v>3728</v>
      </c>
      <c r="DNI619" s="17">
        <v>44925</v>
      </c>
      <c r="DNJ619" s="5" t="s">
        <v>3728</v>
      </c>
      <c r="DNK619" s="17">
        <v>44925</v>
      </c>
      <c r="DNL619" s="5" t="s">
        <v>3728</v>
      </c>
      <c r="DNM619" s="17">
        <v>44925</v>
      </c>
      <c r="DNN619" s="5" t="s">
        <v>3728</v>
      </c>
      <c r="DNO619" s="17">
        <v>44925</v>
      </c>
      <c r="DNP619" s="5" t="s">
        <v>3728</v>
      </c>
      <c r="DNQ619" s="17">
        <v>44925</v>
      </c>
      <c r="DNR619" s="5" t="s">
        <v>3728</v>
      </c>
      <c r="DNS619" s="17">
        <v>44925</v>
      </c>
      <c r="DNT619" s="5" t="s">
        <v>3728</v>
      </c>
      <c r="DNU619" s="17">
        <v>44925</v>
      </c>
      <c r="DNV619" s="5" t="s">
        <v>3728</v>
      </c>
      <c r="DNW619" s="17">
        <v>44925</v>
      </c>
      <c r="DNX619" s="5" t="s">
        <v>3728</v>
      </c>
      <c r="DNY619" s="17">
        <v>44925</v>
      </c>
      <c r="DNZ619" s="5" t="s">
        <v>3728</v>
      </c>
      <c r="DOA619" s="17">
        <v>44925</v>
      </c>
      <c r="DOB619" s="5" t="s">
        <v>3728</v>
      </c>
      <c r="DOC619" s="17">
        <v>44925</v>
      </c>
      <c r="DOD619" s="5" t="s">
        <v>3728</v>
      </c>
      <c r="DOE619" s="17">
        <v>44925</v>
      </c>
      <c r="DOF619" s="5" t="s">
        <v>3728</v>
      </c>
      <c r="DOG619" s="17">
        <v>44925</v>
      </c>
      <c r="DOH619" s="5" t="s">
        <v>3728</v>
      </c>
      <c r="DOI619" s="17">
        <v>44925</v>
      </c>
      <c r="DOJ619" s="5" t="s">
        <v>3728</v>
      </c>
      <c r="DOK619" s="17">
        <v>44925</v>
      </c>
      <c r="DOL619" s="5" t="s">
        <v>3728</v>
      </c>
      <c r="DOM619" s="17">
        <v>44925</v>
      </c>
      <c r="DON619" s="5" t="s">
        <v>3728</v>
      </c>
      <c r="DOO619" s="17">
        <v>44925</v>
      </c>
      <c r="DOP619" s="5" t="s">
        <v>3728</v>
      </c>
      <c r="DOQ619" s="17">
        <v>44925</v>
      </c>
      <c r="DOR619" s="5" t="s">
        <v>3728</v>
      </c>
      <c r="DOS619" s="17">
        <v>44925</v>
      </c>
      <c r="DOT619" s="5" t="s">
        <v>3728</v>
      </c>
      <c r="DOU619" s="17">
        <v>44925</v>
      </c>
      <c r="DOV619" s="5" t="s">
        <v>3728</v>
      </c>
      <c r="DOW619" s="17">
        <v>44925</v>
      </c>
      <c r="DOX619" s="5" t="s">
        <v>3728</v>
      </c>
      <c r="DOY619" s="17">
        <v>44925</v>
      </c>
      <c r="DOZ619" s="5" t="s">
        <v>3728</v>
      </c>
      <c r="DPA619" s="17">
        <v>44925</v>
      </c>
      <c r="DPB619" s="5" t="s">
        <v>3728</v>
      </c>
      <c r="DPC619" s="17">
        <v>44925</v>
      </c>
      <c r="DPD619" s="5" t="s">
        <v>3728</v>
      </c>
      <c r="DPE619" s="17">
        <v>44925</v>
      </c>
      <c r="DPF619" s="5" t="s">
        <v>3728</v>
      </c>
      <c r="DPG619" s="17">
        <v>44925</v>
      </c>
      <c r="DPH619" s="5" t="s">
        <v>3728</v>
      </c>
      <c r="DPI619" s="17">
        <v>44925</v>
      </c>
      <c r="DPJ619" s="5" t="s">
        <v>3728</v>
      </c>
      <c r="DPK619" s="17">
        <v>44925</v>
      </c>
      <c r="DPL619" s="5" t="s">
        <v>3728</v>
      </c>
      <c r="DPM619" s="17">
        <v>44925</v>
      </c>
      <c r="DPN619" s="5" t="s">
        <v>3728</v>
      </c>
      <c r="DPO619" s="17">
        <v>44925</v>
      </c>
      <c r="DPP619" s="5" t="s">
        <v>3728</v>
      </c>
      <c r="DPQ619" s="17">
        <v>44925</v>
      </c>
      <c r="DPR619" s="5" t="s">
        <v>3728</v>
      </c>
      <c r="DPS619" s="17">
        <v>44925</v>
      </c>
      <c r="DPT619" s="5" t="s">
        <v>3728</v>
      </c>
      <c r="DPU619" s="17">
        <v>44925</v>
      </c>
      <c r="DPV619" s="5" t="s">
        <v>3728</v>
      </c>
      <c r="DPW619" s="17">
        <v>44925</v>
      </c>
      <c r="DPX619" s="5" t="s">
        <v>3728</v>
      </c>
      <c r="DPY619" s="17">
        <v>44925</v>
      </c>
      <c r="DPZ619" s="5" t="s">
        <v>3728</v>
      </c>
      <c r="DQA619" s="17">
        <v>44925</v>
      </c>
      <c r="DQB619" s="5" t="s">
        <v>3728</v>
      </c>
      <c r="DQC619" s="17">
        <v>44925</v>
      </c>
      <c r="DQD619" s="5" t="s">
        <v>3728</v>
      </c>
      <c r="DQE619" s="17">
        <v>44925</v>
      </c>
      <c r="DQF619" s="5" t="s">
        <v>3728</v>
      </c>
      <c r="DQG619" s="17">
        <v>44925</v>
      </c>
      <c r="DQH619" s="5" t="s">
        <v>3728</v>
      </c>
      <c r="DQI619" s="17">
        <v>44925</v>
      </c>
      <c r="DQJ619" s="5" t="s">
        <v>3728</v>
      </c>
      <c r="DQK619" s="17">
        <v>44925</v>
      </c>
      <c r="DQL619" s="5" t="s">
        <v>3728</v>
      </c>
      <c r="DQM619" s="17">
        <v>44925</v>
      </c>
      <c r="DQN619" s="5" t="s">
        <v>3728</v>
      </c>
      <c r="DQO619" s="17">
        <v>44925</v>
      </c>
      <c r="DQP619" s="5" t="s">
        <v>3728</v>
      </c>
      <c r="DQQ619" s="17">
        <v>44925</v>
      </c>
      <c r="DQR619" s="5" t="s">
        <v>3728</v>
      </c>
      <c r="DQS619" s="17">
        <v>44925</v>
      </c>
      <c r="DQT619" s="5" t="s">
        <v>3728</v>
      </c>
      <c r="DQU619" s="17">
        <v>44925</v>
      </c>
      <c r="DQV619" s="5" t="s">
        <v>3728</v>
      </c>
      <c r="DQW619" s="17">
        <v>44925</v>
      </c>
      <c r="DQX619" s="5" t="s">
        <v>3728</v>
      </c>
      <c r="DQY619" s="17">
        <v>44925</v>
      </c>
      <c r="DQZ619" s="5" t="s">
        <v>3728</v>
      </c>
      <c r="DRA619" s="17">
        <v>44925</v>
      </c>
      <c r="DRB619" s="5" t="s">
        <v>3728</v>
      </c>
      <c r="DRC619" s="17">
        <v>44925</v>
      </c>
      <c r="DRD619" s="5" t="s">
        <v>3728</v>
      </c>
      <c r="DRE619" s="17">
        <v>44925</v>
      </c>
      <c r="DRF619" s="5" t="s">
        <v>3728</v>
      </c>
      <c r="DRG619" s="17">
        <v>44925</v>
      </c>
      <c r="DRH619" s="5" t="s">
        <v>3728</v>
      </c>
      <c r="DRI619" s="17">
        <v>44925</v>
      </c>
      <c r="DRJ619" s="5" t="s">
        <v>3728</v>
      </c>
      <c r="DRK619" s="17">
        <v>44925</v>
      </c>
      <c r="DRL619" s="5" t="s">
        <v>3728</v>
      </c>
      <c r="DRM619" s="17">
        <v>44925</v>
      </c>
      <c r="DRN619" s="5" t="s">
        <v>3728</v>
      </c>
      <c r="DRO619" s="17">
        <v>44925</v>
      </c>
      <c r="DRP619" s="5" t="s">
        <v>3728</v>
      </c>
      <c r="DRQ619" s="17">
        <v>44925</v>
      </c>
      <c r="DRR619" s="5" t="s">
        <v>3728</v>
      </c>
      <c r="DRS619" s="17">
        <v>44925</v>
      </c>
      <c r="DRT619" s="5" t="s">
        <v>3728</v>
      </c>
      <c r="DRU619" s="17">
        <v>44925</v>
      </c>
      <c r="DRV619" s="5" t="s">
        <v>3728</v>
      </c>
      <c r="DRW619" s="17">
        <v>44925</v>
      </c>
      <c r="DRX619" s="5" t="s">
        <v>3728</v>
      </c>
      <c r="DRY619" s="17">
        <v>44925</v>
      </c>
      <c r="DRZ619" s="5" t="s">
        <v>3728</v>
      </c>
      <c r="DSA619" s="17">
        <v>44925</v>
      </c>
      <c r="DSB619" s="5" t="s">
        <v>3728</v>
      </c>
      <c r="DSC619" s="17">
        <v>44925</v>
      </c>
      <c r="DSD619" s="5" t="s">
        <v>3728</v>
      </c>
      <c r="DSE619" s="17">
        <v>44925</v>
      </c>
      <c r="DSF619" s="5" t="s">
        <v>3728</v>
      </c>
      <c r="DSG619" s="17">
        <v>44925</v>
      </c>
      <c r="DSH619" s="5" t="s">
        <v>3728</v>
      </c>
      <c r="DSI619" s="17">
        <v>44925</v>
      </c>
      <c r="DSJ619" s="5" t="s">
        <v>3728</v>
      </c>
      <c r="DSK619" s="17">
        <v>44925</v>
      </c>
      <c r="DSL619" s="5" t="s">
        <v>3728</v>
      </c>
      <c r="DSM619" s="17">
        <v>44925</v>
      </c>
      <c r="DSN619" s="5" t="s">
        <v>3728</v>
      </c>
      <c r="DSO619" s="17">
        <v>44925</v>
      </c>
      <c r="DSP619" s="5" t="s">
        <v>3728</v>
      </c>
      <c r="DSQ619" s="17">
        <v>44925</v>
      </c>
      <c r="DSR619" s="5" t="s">
        <v>3728</v>
      </c>
      <c r="DSS619" s="17">
        <v>44925</v>
      </c>
      <c r="DST619" s="5" t="s">
        <v>3728</v>
      </c>
      <c r="DSU619" s="17">
        <v>44925</v>
      </c>
      <c r="DSV619" s="5" t="s">
        <v>3728</v>
      </c>
      <c r="DSW619" s="17">
        <v>44925</v>
      </c>
      <c r="DSX619" s="5" t="s">
        <v>3728</v>
      </c>
      <c r="DSY619" s="17">
        <v>44925</v>
      </c>
      <c r="DSZ619" s="5" t="s">
        <v>3728</v>
      </c>
      <c r="DTA619" s="17">
        <v>44925</v>
      </c>
      <c r="DTB619" s="5" t="s">
        <v>3728</v>
      </c>
      <c r="DTC619" s="17">
        <v>44925</v>
      </c>
      <c r="DTD619" s="5" t="s">
        <v>3728</v>
      </c>
      <c r="DTE619" s="17">
        <v>44925</v>
      </c>
      <c r="DTF619" s="5" t="s">
        <v>3728</v>
      </c>
      <c r="DTG619" s="17">
        <v>44925</v>
      </c>
      <c r="DTH619" s="5" t="s">
        <v>3728</v>
      </c>
      <c r="DTI619" s="17">
        <v>44925</v>
      </c>
      <c r="DTJ619" s="5" t="s">
        <v>3728</v>
      </c>
      <c r="DTK619" s="17">
        <v>44925</v>
      </c>
      <c r="DTL619" s="5" t="s">
        <v>3728</v>
      </c>
      <c r="DTM619" s="17">
        <v>44925</v>
      </c>
      <c r="DTN619" s="5" t="s">
        <v>3728</v>
      </c>
      <c r="DTO619" s="17">
        <v>44925</v>
      </c>
      <c r="DTP619" s="5" t="s">
        <v>3728</v>
      </c>
      <c r="DTQ619" s="17">
        <v>44925</v>
      </c>
      <c r="DTR619" s="5" t="s">
        <v>3728</v>
      </c>
      <c r="DTS619" s="17">
        <v>44925</v>
      </c>
      <c r="DTT619" s="5" t="s">
        <v>3728</v>
      </c>
      <c r="DTU619" s="17">
        <v>44925</v>
      </c>
      <c r="DTV619" s="5" t="s">
        <v>3728</v>
      </c>
      <c r="DTW619" s="17">
        <v>44925</v>
      </c>
      <c r="DTX619" s="5" t="s">
        <v>3728</v>
      </c>
      <c r="DTY619" s="17">
        <v>44925</v>
      </c>
      <c r="DTZ619" s="5" t="s">
        <v>3728</v>
      </c>
      <c r="DUA619" s="17">
        <v>44925</v>
      </c>
      <c r="DUB619" s="5" t="s">
        <v>3728</v>
      </c>
      <c r="DUC619" s="17">
        <v>44925</v>
      </c>
      <c r="DUD619" s="5" t="s">
        <v>3728</v>
      </c>
      <c r="DUE619" s="17">
        <v>44925</v>
      </c>
      <c r="DUF619" s="5" t="s">
        <v>3728</v>
      </c>
      <c r="DUG619" s="17">
        <v>44925</v>
      </c>
      <c r="DUH619" s="5" t="s">
        <v>3728</v>
      </c>
      <c r="DUI619" s="17">
        <v>44925</v>
      </c>
      <c r="DUJ619" s="5" t="s">
        <v>3728</v>
      </c>
      <c r="DUK619" s="17">
        <v>44925</v>
      </c>
      <c r="DUL619" s="5" t="s">
        <v>3728</v>
      </c>
      <c r="DUM619" s="17">
        <v>44925</v>
      </c>
      <c r="DUN619" s="5" t="s">
        <v>3728</v>
      </c>
      <c r="DUO619" s="17">
        <v>44925</v>
      </c>
      <c r="DUP619" s="5" t="s">
        <v>3728</v>
      </c>
      <c r="DUQ619" s="17">
        <v>44925</v>
      </c>
      <c r="DUR619" s="5" t="s">
        <v>3728</v>
      </c>
      <c r="DUS619" s="17">
        <v>44925</v>
      </c>
      <c r="DUT619" s="5" t="s">
        <v>3728</v>
      </c>
      <c r="DUU619" s="17">
        <v>44925</v>
      </c>
      <c r="DUV619" s="5" t="s">
        <v>3728</v>
      </c>
      <c r="DUW619" s="17">
        <v>44925</v>
      </c>
      <c r="DUX619" s="5" t="s">
        <v>3728</v>
      </c>
      <c r="DUY619" s="17">
        <v>44925</v>
      </c>
      <c r="DUZ619" s="5" t="s">
        <v>3728</v>
      </c>
      <c r="DVA619" s="17">
        <v>44925</v>
      </c>
      <c r="DVB619" s="5" t="s">
        <v>3728</v>
      </c>
      <c r="DVC619" s="17">
        <v>44925</v>
      </c>
      <c r="DVD619" s="5" t="s">
        <v>3728</v>
      </c>
      <c r="DVE619" s="17">
        <v>44925</v>
      </c>
      <c r="DVF619" s="5" t="s">
        <v>3728</v>
      </c>
      <c r="DVG619" s="17">
        <v>44925</v>
      </c>
      <c r="DVH619" s="5" t="s">
        <v>3728</v>
      </c>
      <c r="DVI619" s="17">
        <v>44925</v>
      </c>
      <c r="DVJ619" s="5" t="s">
        <v>3728</v>
      </c>
      <c r="DVK619" s="17">
        <v>44925</v>
      </c>
      <c r="DVL619" s="5" t="s">
        <v>3728</v>
      </c>
      <c r="DVM619" s="17">
        <v>44925</v>
      </c>
      <c r="DVN619" s="5" t="s">
        <v>3728</v>
      </c>
      <c r="DVO619" s="17">
        <v>44925</v>
      </c>
      <c r="DVP619" s="5" t="s">
        <v>3728</v>
      </c>
      <c r="DVQ619" s="17">
        <v>44925</v>
      </c>
      <c r="DVR619" s="5" t="s">
        <v>3728</v>
      </c>
      <c r="DVS619" s="17">
        <v>44925</v>
      </c>
      <c r="DVT619" s="5" t="s">
        <v>3728</v>
      </c>
      <c r="DVU619" s="17">
        <v>44925</v>
      </c>
      <c r="DVV619" s="5" t="s">
        <v>3728</v>
      </c>
      <c r="DVW619" s="17">
        <v>44925</v>
      </c>
      <c r="DVX619" s="5" t="s">
        <v>3728</v>
      </c>
      <c r="DVY619" s="17">
        <v>44925</v>
      </c>
      <c r="DVZ619" s="5" t="s">
        <v>3728</v>
      </c>
      <c r="DWA619" s="17">
        <v>44925</v>
      </c>
      <c r="DWB619" s="5" t="s">
        <v>3728</v>
      </c>
      <c r="DWC619" s="17">
        <v>44925</v>
      </c>
      <c r="DWD619" s="5" t="s">
        <v>3728</v>
      </c>
      <c r="DWE619" s="17">
        <v>44925</v>
      </c>
      <c r="DWF619" s="5" t="s">
        <v>3728</v>
      </c>
      <c r="DWG619" s="17">
        <v>44925</v>
      </c>
      <c r="DWH619" s="5" t="s">
        <v>3728</v>
      </c>
      <c r="DWI619" s="17">
        <v>44925</v>
      </c>
      <c r="DWJ619" s="5" t="s">
        <v>3728</v>
      </c>
      <c r="DWK619" s="17">
        <v>44925</v>
      </c>
      <c r="DWL619" s="5" t="s">
        <v>3728</v>
      </c>
      <c r="DWM619" s="17">
        <v>44925</v>
      </c>
      <c r="DWN619" s="5" t="s">
        <v>3728</v>
      </c>
      <c r="DWO619" s="17">
        <v>44925</v>
      </c>
      <c r="DWP619" s="5" t="s">
        <v>3728</v>
      </c>
      <c r="DWQ619" s="17">
        <v>44925</v>
      </c>
      <c r="DWR619" s="5" t="s">
        <v>3728</v>
      </c>
      <c r="DWS619" s="17">
        <v>44925</v>
      </c>
      <c r="DWT619" s="5" t="s">
        <v>3728</v>
      </c>
      <c r="DWU619" s="17">
        <v>44925</v>
      </c>
      <c r="DWV619" s="5" t="s">
        <v>3728</v>
      </c>
      <c r="DWW619" s="17">
        <v>44925</v>
      </c>
      <c r="DWX619" s="5" t="s">
        <v>3728</v>
      </c>
      <c r="DWY619" s="17">
        <v>44925</v>
      </c>
      <c r="DWZ619" s="5" t="s">
        <v>3728</v>
      </c>
      <c r="DXA619" s="17">
        <v>44925</v>
      </c>
      <c r="DXB619" s="5" t="s">
        <v>3728</v>
      </c>
      <c r="DXC619" s="17">
        <v>44925</v>
      </c>
      <c r="DXD619" s="5" t="s">
        <v>3728</v>
      </c>
      <c r="DXE619" s="17">
        <v>44925</v>
      </c>
      <c r="DXF619" s="5" t="s">
        <v>3728</v>
      </c>
      <c r="DXG619" s="17">
        <v>44925</v>
      </c>
      <c r="DXH619" s="5" t="s">
        <v>3728</v>
      </c>
      <c r="DXI619" s="17">
        <v>44925</v>
      </c>
      <c r="DXJ619" s="5" t="s">
        <v>3728</v>
      </c>
      <c r="DXK619" s="17">
        <v>44925</v>
      </c>
      <c r="DXL619" s="5" t="s">
        <v>3728</v>
      </c>
      <c r="DXM619" s="17">
        <v>44925</v>
      </c>
      <c r="DXN619" s="5" t="s">
        <v>3728</v>
      </c>
      <c r="DXO619" s="17">
        <v>44925</v>
      </c>
      <c r="DXP619" s="5" t="s">
        <v>3728</v>
      </c>
      <c r="DXQ619" s="17">
        <v>44925</v>
      </c>
      <c r="DXR619" s="5" t="s">
        <v>3728</v>
      </c>
      <c r="DXS619" s="17">
        <v>44925</v>
      </c>
      <c r="DXT619" s="5" t="s">
        <v>3728</v>
      </c>
      <c r="DXU619" s="17">
        <v>44925</v>
      </c>
      <c r="DXV619" s="5" t="s">
        <v>3728</v>
      </c>
      <c r="DXW619" s="17">
        <v>44925</v>
      </c>
      <c r="DXX619" s="5" t="s">
        <v>3728</v>
      </c>
      <c r="DXY619" s="17">
        <v>44925</v>
      </c>
      <c r="DXZ619" s="5" t="s">
        <v>3728</v>
      </c>
      <c r="DYA619" s="17">
        <v>44925</v>
      </c>
      <c r="DYB619" s="5" t="s">
        <v>3728</v>
      </c>
      <c r="DYC619" s="17">
        <v>44925</v>
      </c>
      <c r="DYD619" s="5" t="s">
        <v>3728</v>
      </c>
      <c r="DYE619" s="17">
        <v>44925</v>
      </c>
      <c r="DYF619" s="5" t="s">
        <v>3728</v>
      </c>
      <c r="DYG619" s="17">
        <v>44925</v>
      </c>
      <c r="DYH619" s="5" t="s">
        <v>3728</v>
      </c>
      <c r="DYI619" s="17">
        <v>44925</v>
      </c>
      <c r="DYJ619" s="5" t="s">
        <v>3728</v>
      </c>
      <c r="DYK619" s="17">
        <v>44925</v>
      </c>
      <c r="DYL619" s="5" t="s">
        <v>3728</v>
      </c>
      <c r="DYM619" s="17">
        <v>44925</v>
      </c>
      <c r="DYN619" s="5" t="s">
        <v>3728</v>
      </c>
      <c r="DYO619" s="17">
        <v>44925</v>
      </c>
      <c r="DYP619" s="5" t="s">
        <v>3728</v>
      </c>
      <c r="DYQ619" s="17">
        <v>44925</v>
      </c>
      <c r="DYR619" s="5" t="s">
        <v>3728</v>
      </c>
      <c r="DYS619" s="17">
        <v>44925</v>
      </c>
      <c r="DYT619" s="5" t="s">
        <v>3728</v>
      </c>
      <c r="DYU619" s="17">
        <v>44925</v>
      </c>
      <c r="DYV619" s="5" t="s">
        <v>3728</v>
      </c>
      <c r="DYW619" s="17">
        <v>44925</v>
      </c>
      <c r="DYX619" s="5" t="s">
        <v>3728</v>
      </c>
      <c r="DYY619" s="17">
        <v>44925</v>
      </c>
      <c r="DYZ619" s="5" t="s">
        <v>3728</v>
      </c>
      <c r="DZA619" s="17">
        <v>44925</v>
      </c>
      <c r="DZB619" s="5" t="s">
        <v>3728</v>
      </c>
      <c r="DZC619" s="17">
        <v>44925</v>
      </c>
      <c r="DZD619" s="5" t="s">
        <v>3728</v>
      </c>
      <c r="DZE619" s="17">
        <v>44925</v>
      </c>
      <c r="DZF619" s="5" t="s">
        <v>3728</v>
      </c>
      <c r="DZG619" s="17">
        <v>44925</v>
      </c>
      <c r="DZH619" s="5" t="s">
        <v>3728</v>
      </c>
      <c r="DZI619" s="17">
        <v>44925</v>
      </c>
      <c r="DZJ619" s="5" t="s">
        <v>3728</v>
      </c>
      <c r="DZK619" s="17">
        <v>44925</v>
      </c>
      <c r="DZL619" s="5" t="s">
        <v>3728</v>
      </c>
      <c r="DZM619" s="17">
        <v>44925</v>
      </c>
      <c r="DZN619" s="5" t="s">
        <v>3728</v>
      </c>
      <c r="DZO619" s="17">
        <v>44925</v>
      </c>
      <c r="DZP619" s="5" t="s">
        <v>3728</v>
      </c>
      <c r="DZQ619" s="17">
        <v>44925</v>
      </c>
      <c r="DZR619" s="5" t="s">
        <v>3728</v>
      </c>
      <c r="DZS619" s="17">
        <v>44925</v>
      </c>
      <c r="DZT619" s="5" t="s">
        <v>3728</v>
      </c>
      <c r="DZU619" s="17">
        <v>44925</v>
      </c>
      <c r="DZV619" s="5" t="s">
        <v>3728</v>
      </c>
      <c r="DZW619" s="17">
        <v>44925</v>
      </c>
      <c r="DZX619" s="5" t="s">
        <v>3728</v>
      </c>
      <c r="DZY619" s="17">
        <v>44925</v>
      </c>
      <c r="DZZ619" s="5" t="s">
        <v>3728</v>
      </c>
      <c r="EAA619" s="17">
        <v>44925</v>
      </c>
      <c r="EAB619" s="5" t="s">
        <v>3728</v>
      </c>
      <c r="EAC619" s="17">
        <v>44925</v>
      </c>
      <c r="EAD619" s="5" t="s">
        <v>3728</v>
      </c>
      <c r="EAE619" s="17">
        <v>44925</v>
      </c>
      <c r="EAF619" s="5" t="s">
        <v>3728</v>
      </c>
      <c r="EAG619" s="17">
        <v>44925</v>
      </c>
      <c r="EAH619" s="5" t="s">
        <v>3728</v>
      </c>
      <c r="EAI619" s="17">
        <v>44925</v>
      </c>
      <c r="EAJ619" s="5" t="s">
        <v>3728</v>
      </c>
      <c r="EAK619" s="17">
        <v>44925</v>
      </c>
      <c r="EAL619" s="5" t="s">
        <v>3728</v>
      </c>
      <c r="EAM619" s="17">
        <v>44925</v>
      </c>
      <c r="EAN619" s="5" t="s">
        <v>3728</v>
      </c>
      <c r="EAO619" s="17">
        <v>44925</v>
      </c>
      <c r="EAP619" s="5" t="s">
        <v>3728</v>
      </c>
      <c r="EAQ619" s="17">
        <v>44925</v>
      </c>
      <c r="EAR619" s="5" t="s">
        <v>3728</v>
      </c>
      <c r="EAS619" s="17">
        <v>44925</v>
      </c>
      <c r="EAT619" s="5" t="s">
        <v>3728</v>
      </c>
      <c r="EAU619" s="17">
        <v>44925</v>
      </c>
      <c r="EAV619" s="5" t="s">
        <v>3728</v>
      </c>
      <c r="EAW619" s="17">
        <v>44925</v>
      </c>
      <c r="EAX619" s="5" t="s">
        <v>3728</v>
      </c>
      <c r="EAY619" s="17">
        <v>44925</v>
      </c>
      <c r="EAZ619" s="5" t="s">
        <v>3728</v>
      </c>
      <c r="EBA619" s="17">
        <v>44925</v>
      </c>
      <c r="EBB619" s="5" t="s">
        <v>3728</v>
      </c>
      <c r="EBC619" s="17">
        <v>44925</v>
      </c>
      <c r="EBD619" s="5" t="s">
        <v>3728</v>
      </c>
      <c r="EBE619" s="17">
        <v>44925</v>
      </c>
      <c r="EBF619" s="5" t="s">
        <v>3728</v>
      </c>
      <c r="EBG619" s="17">
        <v>44925</v>
      </c>
      <c r="EBH619" s="5" t="s">
        <v>3728</v>
      </c>
      <c r="EBI619" s="17">
        <v>44925</v>
      </c>
      <c r="EBJ619" s="5" t="s">
        <v>3728</v>
      </c>
      <c r="EBK619" s="17">
        <v>44925</v>
      </c>
      <c r="EBL619" s="5" t="s">
        <v>3728</v>
      </c>
      <c r="EBM619" s="17">
        <v>44925</v>
      </c>
      <c r="EBN619" s="5" t="s">
        <v>3728</v>
      </c>
      <c r="EBO619" s="17">
        <v>44925</v>
      </c>
      <c r="EBP619" s="5" t="s">
        <v>3728</v>
      </c>
      <c r="EBQ619" s="17">
        <v>44925</v>
      </c>
      <c r="EBR619" s="5" t="s">
        <v>3728</v>
      </c>
      <c r="EBS619" s="17">
        <v>44925</v>
      </c>
      <c r="EBT619" s="5" t="s">
        <v>3728</v>
      </c>
      <c r="EBU619" s="17">
        <v>44925</v>
      </c>
      <c r="EBV619" s="5" t="s">
        <v>3728</v>
      </c>
      <c r="EBW619" s="17">
        <v>44925</v>
      </c>
      <c r="EBX619" s="5" t="s">
        <v>3728</v>
      </c>
      <c r="EBY619" s="17">
        <v>44925</v>
      </c>
      <c r="EBZ619" s="5" t="s">
        <v>3728</v>
      </c>
      <c r="ECA619" s="17">
        <v>44925</v>
      </c>
      <c r="ECB619" s="5" t="s">
        <v>3728</v>
      </c>
      <c r="ECC619" s="17">
        <v>44925</v>
      </c>
      <c r="ECD619" s="5" t="s">
        <v>3728</v>
      </c>
      <c r="ECE619" s="17">
        <v>44925</v>
      </c>
      <c r="ECF619" s="5" t="s">
        <v>3728</v>
      </c>
      <c r="ECG619" s="17">
        <v>44925</v>
      </c>
      <c r="ECH619" s="5" t="s">
        <v>3728</v>
      </c>
      <c r="ECI619" s="17">
        <v>44925</v>
      </c>
      <c r="ECJ619" s="5" t="s">
        <v>3728</v>
      </c>
      <c r="ECK619" s="17">
        <v>44925</v>
      </c>
      <c r="ECL619" s="5" t="s">
        <v>3728</v>
      </c>
      <c r="ECM619" s="17">
        <v>44925</v>
      </c>
      <c r="ECN619" s="5" t="s">
        <v>3728</v>
      </c>
      <c r="ECO619" s="17">
        <v>44925</v>
      </c>
      <c r="ECP619" s="5" t="s">
        <v>3728</v>
      </c>
      <c r="ECQ619" s="17">
        <v>44925</v>
      </c>
      <c r="ECR619" s="5" t="s">
        <v>3728</v>
      </c>
      <c r="ECS619" s="17">
        <v>44925</v>
      </c>
      <c r="ECT619" s="5" t="s">
        <v>3728</v>
      </c>
      <c r="ECU619" s="17">
        <v>44925</v>
      </c>
      <c r="ECV619" s="5" t="s">
        <v>3728</v>
      </c>
      <c r="ECW619" s="17">
        <v>44925</v>
      </c>
      <c r="ECX619" s="5" t="s">
        <v>3728</v>
      </c>
      <c r="ECY619" s="17">
        <v>44925</v>
      </c>
      <c r="ECZ619" s="5" t="s">
        <v>3728</v>
      </c>
      <c r="EDA619" s="17">
        <v>44925</v>
      </c>
      <c r="EDB619" s="5" t="s">
        <v>3728</v>
      </c>
      <c r="EDC619" s="17">
        <v>44925</v>
      </c>
      <c r="EDD619" s="5" t="s">
        <v>3728</v>
      </c>
      <c r="EDE619" s="17">
        <v>44925</v>
      </c>
      <c r="EDF619" s="5" t="s">
        <v>3728</v>
      </c>
      <c r="EDG619" s="17">
        <v>44925</v>
      </c>
      <c r="EDH619" s="5" t="s">
        <v>3728</v>
      </c>
      <c r="EDI619" s="17">
        <v>44925</v>
      </c>
      <c r="EDJ619" s="5" t="s">
        <v>3728</v>
      </c>
      <c r="EDK619" s="17">
        <v>44925</v>
      </c>
      <c r="EDL619" s="5" t="s">
        <v>3728</v>
      </c>
      <c r="EDM619" s="17">
        <v>44925</v>
      </c>
      <c r="EDN619" s="5" t="s">
        <v>3728</v>
      </c>
      <c r="EDO619" s="17">
        <v>44925</v>
      </c>
      <c r="EDP619" s="5" t="s">
        <v>3728</v>
      </c>
      <c r="EDQ619" s="17">
        <v>44925</v>
      </c>
      <c r="EDR619" s="5" t="s">
        <v>3728</v>
      </c>
      <c r="EDS619" s="17">
        <v>44925</v>
      </c>
      <c r="EDT619" s="5" t="s">
        <v>3728</v>
      </c>
      <c r="EDU619" s="17">
        <v>44925</v>
      </c>
      <c r="EDV619" s="5" t="s">
        <v>3728</v>
      </c>
      <c r="EDW619" s="17">
        <v>44925</v>
      </c>
      <c r="EDX619" s="5" t="s">
        <v>3728</v>
      </c>
      <c r="EDY619" s="17">
        <v>44925</v>
      </c>
      <c r="EDZ619" s="5" t="s">
        <v>3728</v>
      </c>
      <c r="EEA619" s="17">
        <v>44925</v>
      </c>
      <c r="EEB619" s="5" t="s">
        <v>3728</v>
      </c>
      <c r="EEC619" s="17">
        <v>44925</v>
      </c>
      <c r="EED619" s="5" t="s">
        <v>3728</v>
      </c>
      <c r="EEE619" s="17">
        <v>44925</v>
      </c>
      <c r="EEF619" s="5" t="s">
        <v>3728</v>
      </c>
      <c r="EEG619" s="17">
        <v>44925</v>
      </c>
      <c r="EEH619" s="5" t="s">
        <v>3728</v>
      </c>
      <c r="EEI619" s="17">
        <v>44925</v>
      </c>
      <c r="EEJ619" s="5" t="s">
        <v>3728</v>
      </c>
      <c r="EEK619" s="17">
        <v>44925</v>
      </c>
      <c r="EEL619" s="5" t="s">
        <v>3728</v>
      </c>
      <c r="EEM619" s="17">
        <v>44925</v>
      </c>
      <c r="EEN619" s="5" t="s">
        <v>3728</v>
      </c>
      <c r="EEO619" s="17">
        <v>44925</v>
      </c>
      <c r="EEP619" s="5" t="s">
        <v>3728</v>
      </c>
      <c r="EEQ619" s="17">
        <v>44925</v>
      </c>
      <c r="EER619" s="5" t="s">
        <v>3728</v>
      </c>
      <c r="EES619" s="17">
        <v>44925</v>
      </c>
      <c r="EET619" s="5" t="s">
        <v>3728</v>
      </c>
      <c r="EEU619" s="17">
        <v>44925</v>
      </c>
      <c r="EEV619" s="5" t="s">
        <v>3728</v>
      </c>
      <c r="EEW619" s="17">
        <v>44925</v>
      </c>
      <c r="EEX619" s="5" t="s">
        <v>3728</v>
      </c>
      <c r="EEY619" s="17">
        <v>44925</v>
      </c>
      <c r="EEZ619" s="5" t="s">
        <v>3728</v>
      </c>
      <c r="EFA619" s="17">
        <v>44925</v>
      </c>
      <c r="EFB619" s="5" t="s">
        <v>3728</v>
      </c>
      <c r="EFC619" s="17">
        <v>44925</v>
      </c>
      <c r="EFD619" s="5" t="s">
        <v>3728</v>
      </c>
      <c r="EFE619" s="17">
        <v>44925</v>
      </c>
      <c r="EFF619" s="5" t="s">
        <v>3728</v>
      </c>
      <c r="EFG619" s="17">
        <v>44925</v>
      </c>
      <c r="EFH619" s="5" t="s">
        <v>3728</v>
      </c>
      <c r="EFI619" s="17">
        <v>44925</v>
      </c>
      <c r="EFJ619" s="5" t="s">
        <v>3728</v>
      </c>
      <c r="EFK619" s="17">
        <v>44925</v>
      </c>
      <c r="EFL619" s="5" t="s">
        <v>3728</v>
      </c>
      <c r="EFM619" s="17">
        <v>44925</v>
      </c>
      <c r="EFN619" s="5" t="s">
        <v>3728</v>
      </c>
      <c r="EFO619" s="17">
        <v>44925</v>
      </c>
      <c r="EFP619" s="5" t="s">
        <v>3728</v>
      </c>
      <c r="EFQ619" s="17">
        <v>44925</v>
      </c>
      <c r="EFR619" s="5" t="s">
        <v>3728</v>
      </c>
      <c r="EFS619" s="17">
        <v>44925</v>
      </c>
      <c r="EFT619" s="5" t="s">
        <v>3728</v>
      </c>
      <c r="EFU619" s="17">
        <v>44925</v>
      </c>
      <c r="EFV619" s="5" t="s">
        <v>3728</v>
      </c>
      <c r="EFW619" s="17">
        <v>44925</v>
      </c>
      <c r="EFX619" s="5" t="s">
        <v>3728</v>
      </c>
      <c r="EFY619" s="17">
        <v>44925</v>
      </c>
      <c r="EFZ619" s="5" t="s">
        <v>3728</v>
      </c>
      <c r="EGA619" s="17">
        <v>44925</v>
      </c>
      <c r="EGB619" s="5" t="s">
        <v>3728</v>
      </c>
      <c r="EGC619" s="17">
        <v>44925</v>
      </c>
      <c r="EGD619" s="5" t="s">
        <v>3728</v>
      </c>
      <c r="EGE619" s="17">
        <v>44925</v>
      </c>
      <c r="EGF619" s="5" t="s">
        <v>3728</v>
      </c>
      <c r="EGG619" s="17">
        <v>44925</v>
      </c>
      <c r="EGH619" s="5" t="s">
        <v>3728</v>
      </c>
      <c r="EGI619" s="17">
        <v>44925</v>
      </c>
      <c r="EGJ619" s="5" t="s">
        <v>3728</v>
      </c>
      <c r="EGK619" s="17">
        <v>44925</v>
      </c>
      <c r="EGL619" s="5" t="s">
        <v>3728</v>
      </c>
      <c r="EGM619" s="17">
        <v>44925</v>
      </c>
      <c r="EGN619" s="5" t="s">
        <v>3728</v>
      </c>
      <c r="EGO619" s="17">
        <v>44925</v>
      </c>
      <c r="EGP619" s="5" t="s">
        <v>3728</v>
      </c>
      <c r="EGQ619" s="17">
        <v>44925</v>
      </c>
      <c r="EGR619" s="5" t="s">
        <v>3728</v>
      </c>
      <c r="EGS619" s="17">
        <v>44925</v>
      </c>
      <c r="EGT619" s="5" t="s">
        <v>3728</v>
      </c>
      <c r="EGU619" s="17">
        <v>44925</v>
      </c>
      <c r="EGV619" s="5" t="s">
        <v>3728</v>
      </c>
      <c r="EGW619" s="17">
        <v>44925</v>
      </c>
      <c r="EGX619" s="5" t="s">
        <v>3728</v>
      </c>
      <c r="EGY619" s="17">
        <v>44925</v>
      </c>
      <c r="EGZ619" s="5" t="s">
        <v>3728</v>
      </c>
      <c r="EHA619" s="17">
        <v>44925</v>
      </c>
      <c r="EHB619" s="5" t="s">
        <v>3728</v>
      </c>
      <c r="EHC619" s="17">
        <v>44925</v>
      </c>
      <c r="EHD619" s="5" t="s">
        <v>3728</v>
      </c>
      <c r="EHE619" s="17">
        <v>44925</v>
      </c>
      <c r="EHF619" s="5" t="s">
        <v>3728</v>
      </c>
      <c r="EHG619" s="17">
        <v>44925</v>
      </c>
      <c r="EHH619" s="5" t="s">
        <v>3728</v>
      </c>
      <c r="EHI619" s="17">
        <v>44925</v>
      </c>
      <c r="EHJ619" s="5" t="s">
        <v>3728</v>
      </c>
      <c r="EHK619" s="17">
        <v>44925</v>
      </c>
      <c r="EHL619" s="5" t="s">
        <v>3728</v>
      </c>
      <c r="EHM619" s="17">
        <v>44925</v>
      </c>
      <c r="EHN619" s="5" t="s">
        <v>3728</v>
      </c>
      <c r="EHO619" s="17">
        <v>44925</v>
      </c>
      <c r="EHP619" s="5" t="s">
        <v>3728</v>
      </c>
      <c r="EHQ619" s="17">
        <v>44925</v>
      </c>
      <c r="EHR619" s="5" t="s">
        <v>3728</v>
      </c>
      <c r="EHS619" s="17">
        <v>44925</v>
      </c>
      <c r="EHT619" s="5" t="s">
        <v>3728</v>
      </c>
      <c r="EHU619" s="17">
        <v>44925</v>
      </c>
      <c r="EHV619" s="5" t="s">
        <v>3728</v>
      </c>
      <c r="EHW619" s="17">
        <v>44925</v>
      </c>
      <c r="EHX619" s="5" t="s">
        <v>3728</v>
      </c>
      <c r="EHY619" s="17">
        <v>44925</v>
      </c>
      <c r="EHZ619" s="5" t="s">
        <v>3728</v>
      </c>
      <c r="EIA619" s="17">
        <v>44925</v>
      </c>
      <c r="EIB619" s="5" t="s">
        <v>3728</v>
      </c>
      <c r="EIC619" s="17">
        <v>44925</v>
      </c>
      <c r="EID619" s="5" t="s">
        <v>3728</v>
      </c>
      <c r="EIE619" s="17">
        <v>44925</v>
      </c>
      <c r="EIF619" s="5" t="s">
        <v>3728</v>
      </c>
      <c r="EIG619" s="17">
        <v>44925</v>
      </c>
      <c r="EIH619" s="5" t="s">
        <v>3728</v>
      </c>
      <c r="EII619" s="17">
        <v>44925</v>
      </c>
      <c r="EIJ619" s="5" t="s">
        <v>3728</v>
      </c>
      <c r="EIK619" s="17">
        <v>44925</v>
      </c>
      <c r="EIL619" s="5" t="s">
        <v>3728</v>
      </c>
      <c r="EIM619" s="17">
        <v>44925</v>
      </c>
      <c r="EIN619" s="5" t="s">
        <v>3728</v>
      </c>
      <c r="EIO619" s="17">
        <v>44925</v>
      </c>
      <c r="EIP619" s="5" t="s">
        <v>3728</v>
      </c>
      <c r="EIQ619" s="17">
        <v>44925</v>
      </c>
      <c r="EIR619" s="5" t="s">
        <v>3728</v>
      </c>
      <c r="EIS619" s="17">
        <v>44925</v>
      </c>
      <c r="EIT619" s="5" t="s">
        <v>3728</v>
      </c>
      <c r="EIU619" s="17">
        <v>44925</v>
      </c>
      <c r="EIV619" s="5" t="s">
        <v>3728</v>
      </c>
      <c r="EIW619" s="17">
        <v>44925</v>
      </c>
      <c r="EIX619" s="5" t="s">
        <v>3728</v>
      </c>
      <c r="EIY619" s="17">
        <v>44925</v>
      </c>
      <c r="EIZ619" s="5" t="s">
        <v>3728</v>
      </c>
      <c r="EJA619" s="17">
        <v>44925</v>
      </c>
      <c r="EJB619" s="5" t="s">
        <v>3728</v>
      </c>
      <c r="EJC619" s="17">
        <v>44925</v>
      </c>
      <c r="EJD619" s="5" t="s">
        <v>3728</v>
      </c>
      <c r="EJE619" s="17">
        <v>44925</v>
      </c>
      <c r="EJF619" s="5" t="s">
        <v>3728</v>
      </c>
      <c r="EJG619" s="17">
        <v>44925</v>
      </c>
      <c r="EJH619" s="5" t="s">
        <v>3728</v>
      </c>
      <c r="EJI619" s="17">
        <v>44925</v>
      </c>
      <c r="EJJ619" s="5" t="s">
        <v>3728</v>
      </c>
      <c r="EJK619" s="17">
        <v>44925</v>
      </c>
      <c r="EJL619" s="5" t="s">
        <v>3728</v>
      </c>
      <c r="EJM619" s="17">
        <v>44925</v>
      </c>
      <c r="EJN619" s="5" t="s">
        <v>3728</v>
      </c>
      <c r="EJO619" s="17">
        <v>44925</v>
      </c>
      <c r="EJP619" s="5" t="s">
        <v>3728</v>
      </c>
      <c r="EJQ619" s="17">
        <v>44925</v>
      </c>
      <c r="EJR619" s="5" t="s">
        <v>3728</v>
      </c>
      <c r="EJS619" s="17">
        <v>44925</v>
      </c>
      <c r="EJT619" s="5" t="s">
        <v>3728</v>
      </c>
      <c r="EJU619" s="17">
        <v>44925</v>
      </c>
      <c r="EJV619" s="5" t="s">
        <v>3728</v>
      </c>
      <c r="EJW619" s="17">
        <v>44925</v>
      </c>
      <c r="EJX619" s="5" t="s">
        <v>3728</v>
      </c>
      <c r="EJY619" s="17">
        <v>44925</v>
      </c>
      <c r="EJZ619" s="5" t="s">
        <v>3728</v>
      </c>
      <c r="EKA619" s="17">
        <v>44925</v>
      </c>
      <c r="EKB619" s="5" t="s">
        <v>3728</v>
      </c>
      <c r="EKC619" s="17">
        <v>44925</v>
      </c>
      <c r="EKD619" s="5" t="s">
        <v>3728</v>
      </c>
      <c r="EKE619" s="17">
        <v>44925</v>
      </c>
      <c r="EKF619" s="5" t="s">
        <v>3728</v>
      </c>
      <c r="EKG619" s="17">
        <v>44925</v>
      </c>
      <c r="EKH619" s="5" t="s">
        <v>3728</v>
      </c>
      <c r="EKI619" s="17">
        <v>44925</v>
      </c>
      <c r="EKJ619" s="5" t="s">
        <v>3728</v>
      </c>
      <c r="EKK619" s="17">
        <v>44925</v>
      </c>
      <c r="EKL619" s="5" t="s">
        <v>3728</v>
      </c>
      <c r="EKM619" s="17">
        <v>44925</v>
      </c>
      <c r="EKN619" s="5" t="s">
        <v>3728</v>
      </c>
      <c r="EKO619" s="17">
        <v>44925</v>
      </c>
      <c r="EKP619" s="5" t="s">
        <v>3728</v>
      </c>
      <c r="EKQ619" s="17">
        <v>44925</v>
      </c>
      <c r="EKR619" s="5" t="s">
        <v>3728</v>
      </c>
      <c r="EKS619" s="17">
        <v>44925</v>
      </c>
      <c r="EKT619" s="5" t="s">
        <v>3728</v>
      </c>
      <c r="EKU619" s="17">
        <v>44925</v>
      </c>
      <c r="EKV619" s="5" t="s">
        <v>3728</v>
      </c>
      <c r="EKW619" s="17">
        <v>44925</v>
      </c>
      <c r="EKX619" s="5" t="s">
        <v>3728</v>
      </c>
      <c r="EKY619" s="17">
        <v>44925</v>
      </c>
      <c r="EKZ619" s="5" t="s">
        <v>3728</v>
      </c>
      <c r="ELA619" s="17">
        <v>44925</v>
      </c>
      <c r="ELB619" s="5" t="s">
        <v>3728</v>
      </c>
      <c r="ELC619" s="17">
        <v>44925</v>
      </c>
      <c r="ELD619" s="5" t="s">
        <v>3728</v>
      </c>
      <c r="ELE619" s="17">
        <v>44925</v>
      </c>
      <c r="ELF619" s="5" t="s">
        <v>3728</v>
      </c>
      <c r="ELG619" s="17">
        <v>44925</v>
      </c>
      <c r="ELH619" s="5" t="s">
        <v>3728</v>
      </c>
      <c r="ELI619" s="17">
        <v>44925</v>
      </c>
      <c r="ELJ619" s="5" t="s">
        <v>3728</v>
      </c>
      <c r="ELK619" s="17">
        <v>44925</v>
      </c>
      <c r="ELL619" s="5" t="s">
        <v>3728</v>
      </c>
      <c r="ELM619" s="17">
        <v>44925</v>
      </c>
      <c r="ELN619" s="5" t="s">
        <v>3728</v>
      </c>
      <c r="ELO619" s="17">
        <v>44925</v>
      </c>
      <c r="ELP619" s="5" t="s">
        <v>3728</v>
      </c>
      <c r="ELQ619" s="17">
        <v>44925</v>
      </c>
      <c r="ELR619" s="5" t="s">
        <v>3728</v>
      </c>
      <c r="ELS619" s="17">
        <v>44925</v>
      </c>
      <c r="ELT619" s="5" t="s">
        <v>3728</v>
      </c>
      <c r="ELU619" s="17">
        <v>44925</v>
      </c>
      <c r="ELV619" s="5" t="s">
        <v>3728</v>
      </c>
      <c r="ELW619" s="17">
        <v>44925</v>
      </c>
      <c r="ELX619" s="5" t="s">
        <v>3728</v>
      </c>
      <c r="ELY619" s="17">
        <v>44925</v>
      </c>
      <c r="ELZ619" s="5" t="s">
        <v>3728</v>
      </c>
      <c r="EMA619" s="17">
        <v>44925</v>
      </c>
      <c r="EMB619" s="5" t="s">
        <v>3728</v>
      </c>
      <c r="EMC619" s="17">
        <v>44925</v>
      </c>
      <c r="EMD619" s="5" t="s">
        <v>3728</v>
      </c>
      <c r="EME619" s="17">
        <v>44925</v>
      </c>
      <c r="EMF619" s="5" t="s">
        <v>3728</v>
      </c>
      <c r="EMG619" s="17">
        <v>44925</v>
      </c>
      <c r="EMH619" s="5" t="s">
        <v>3728</v>
      </c>
      <c r="EMI619" s="17">
        <v>44925</v>
      </c>
      <c r="EMJ619" s="5" t="s">
        <v>3728</v>
      </c>
      <c r="EMK619" s="17">
        <v>44925</v>
      </c>
      <c r="EML619" s="5" t="s">
        <v>3728</v>
      </c>
      <c r="EMM619" s="17">
        <v>44925</v>
      </c>
      <c r="EMN619" s="5" t="s">
        <v>3728</v>
      </c>
      <c r="EMO619" s="17">
        <v>44925</v>
      </c>
      <c r="EMP619" s="5" t="s">
        <v>3728</v>
      </c>
      <c r="EMQ619" s="17">
        <v>44925</v>
      </c>
      <c r="EMR619" s="5" t="s">
        <v>3728</v>
      </c>
      <c r="EMS619" s="17">
        <v>44925</v>
      </c>
      <c r="EMT619" s="5" t="s">
        <v>3728</v>
      </c>
      <c r="EMU619" s="17">
        <v>44925</v>
      </c>
      <c r="EMV619" s="5" t="s">
        <v>3728</v>
      </c>
      <c r="EMW619" s="17">
        <v>44925</v>
      </c>
      <c r="EMX619" s="5" t="s">
        <v>3728</v>
      </c>
      <c r="EMY619" s="17">
        <v>44925</v>
      </c>
      <c r="EMZ619" s="5" t="s">
        <v>3728</v>
      </c>
      <c r="ENA619" s="17">
        <v>44925</v>
      </c>
      <c r="ENB619" s="5" t="s">
        <v>3728</v>
      </c>
      <c r="ENC619" s="17">
        <v>44925</v>
      </c>
      <c r="END619" s="5" t="s">
        <v>3728</v>
      </c>
      <c r="ENE619" s="17">
        <v>44925</v>
      </c>
      <c r="ENF619" s="5" t="s">
        <v>3728</v>
      </c>
      <c r="ENG619" s="17">
        <v>44925</v>
      </c>
      <c r="ENH619" s="5" t="s">
        <v>3728</v>
      </c>
      <c r="ENI619" s="17">
        <v>44925</v>
      </c>
      <c r="ENJ619" s="5" t="s">
        <v>3728</v>
      </c>
      <c r="ENK619" s="17">
        <v>44925</v>
      </c>
      <c r="ENL619" s="5" t="s">
        <v>3728</v>
      </c>
      <c r="ENM619" s="17">
        <v>44925</v>
      </c>
      <c r="ENN619" s="5" t="s">
        <v>3728</v>
      </c>
      <c r="ENO619" s="17">
        <v>44925</v>
      </c>
      <c r="ENP619" s="5" t="s">
        <v>3728</v>
      </c>
      <c r="ENQ619" s="17">
        <v>44925</v>
      </c>
      <c r="ENR619" s="5" t="s">
        <v>3728</v>
      </c>
      <c r="ENS619" s="17">
        <v>44925</v>
      </c>
      <c r="ENT619" s="5" t="s">
        <v>3728</v>
      </c>
      <c r="ENU619" s="17">
        <v>44925</v>
      </c>
      <c r="ENV619" s="5" t="s">
        <v>3728</v>
      </c>
      <c r="ENW619" s="17">
        <v>44925</v>
      </c>
      <c r="ENX619" s="5" t="s">
        <v>3728</v>
      </c>
      <c r="ENY619" s="17">
        <v>44925</v>
      </c>
      <c r="ENZ619" s="5" t="s">
        <v>3728</v>
      </c>
      <c r="EOA619" s="17">
        <v>44925</v>
      </c>
      <c r="EOB619" s="5" t="s">
        <v>3728</v>
      </c>
      <c r="EOC619" s="17">
        <v>44925</v>
      </c>
      <c r="EOD619" s="5" t="s">
        <v>3728</v>
      </c>
      <c r="EOE619" s="17">
        <v>44925</v>
      </c>
      <c r="EOF619" s="5" t="s">
        <v>3728</v>
      </c>
      <c r="EOG619" s="17">
        <v>44925</v>
      </c>
      <c r="EOH619" s="5" t="s">
        <v>3728</v>
      </c>
      <c r="EOI619" s="17">
        <v>44925</v>
      </c>
      <c r="EOJ619" s="5" t="s">
        <v>3728</v>
      </c>
      <c r="EOK619" s="17">
        <v>44925</v>
      </c>
      <c r="EOL619" s="5" t="s">
        <v>3728</v>
      </c>
      <c r="EOM619" s="17">
        <v>44925</v>
      </c>
      <c r="EON619" s="5" t="s">
        <v>3728</v>
      </c>
      <c r="EOO619" s="17">
        <v>44925</v>
      </c>
      <c r="EOP619" s="5" t="s">
        <v>3728</v>
      </c>
      <c r="EOQ619" s="17">
        <v>44925</v>
      </c>
      <c r="EOR619" s="5" t="s">
        <v>3728</v>
      </c>
      <c r="EOS619" s="17">
        <v>44925</v>
      </c>
      <c r="EOT619" s="5" t="s">
        <v>3728</v>
      </c>
      <c r="EOU619" s="17">
        <v>44925</v>
      </c>
      <c r="EOV619" s="5" t="s">
        <v>3728</v>
      </c>
      <c r="EOW619" s="17">
        <v>44925</v>
      </c>
      <c r="EOX619" s="5" t="s">
        <v>3728</v>
      </c>
      <c r="EOY619" s="17">
        <v>44925</v>
      </c>
      <c r="EOZ619" s="5" t="s">
        <v>3728</v>
      </c>
      <c r="EPA619" s="17">
        <v>44925</v>
      </c>
      <c r="EPB619" s="5" t="s">
        <v>3728</v>
      </c>
      <c r="EPC619" s="17">
        <v>44925</v>
      </c>
      <c r="EPD619" s="5" t="s">
        <v>3728</v>
      </c>
      <c r="EPE619" s="17">
        <v>44925</v>
      </c>
      <c r="EPF619" s="5" t="s">
        <v>3728</v>
      </c>
      <c r="EPG619" s="17">
        <v>44925</v>
      </c>
      <c r="EPH619" s="5" t="s">
        <v>3728</v>
      </c>
      <c r="EPI619" s="17">
        <v>44925</v>
      </c>
      <c r="EPJ619" s="5" t="s">
        <v>3728</v>
      </c>
      <c r="EPK619" s="17">
        <v>44925</v>
      </c>
      <c r="EPL619" s="5" t="s">
        <v>3728</v>
      </c>
      <c r="EPM619" s="17">
        <v>44925</v>
      </c>
      <c r="EPN619" s="5" t="s">
        <v>3728</v>
      </c>
      <c r="EPO619" s="17">
        <v>44925</v>
      </c>
      <c r="EPP619" s="5" t="s">
        <v>3728</v>
      </c>
      <c r="EPQ619" s="17">
        <v>44925</v>
      </c>
      <c r="EPR619" s="5" t="s">
        <v>3728</v>
      </c>
      <c r="EPS619" s="17">
        <v>44925</v>
      </c>
      <c r="EPT619" s="5" t="s">
        <v>3728</v>
      </c>
      <c r="EPU619" s="17">
        <v>44925</v>
      </c>
      <c r="EPV619" s="5" t="s">
        <v>3728</v>
      </c>
      <c r="EPW619" s="17">
        <v>44925</v>
      </c>
      <c r="EPX619" s="5" t="s">
        <v>3728</v>
      </c>
      <c r="EPY619" s="17">
        <v>44925</v>
      </c>
      <c r="EPZ619" s="5" t="s">
        <v>3728</v>
      </c>
      <c r="EQA619" s="17">
        <v>44925</v>
      </c>
      <c r="EQB619" s="5" t="s">
        <v>3728</v>
      </c>
      <c r="EQC619" s="17">
        <v>44925</v>
      </c>
      <c r="EQD619" s="5" t="s">
        <v>3728</v>
      </c>
      <c r="EQE619" s="17">
        <v>44925</v>
      </c>
      <c r="EQF619" s="5" t="s">
        <v>3728</v>
      </c>
      <c r="EQG619" s="17">
        <v>44925</v>
      </c>
      <c r="EQH619" s="5" t="s">
        <v>3728</v>
      </c>
      <c r="EQI619" s="17">
        <v>44925</v>
      </c>
      <c r="EQJ619" s="5" t="s">
        <v>3728</v>
      </c>
      <c r="EQK619" s="17">
        <v>44925</v>
      </c>
      <c r="EQL619" s="5" t="s">
        <v>3728</v>
      </c>
      <c r="EQM619" s="17">
        <v>44925</v>
      </c>
      <c r="EQN619" s="5" t="s">
        <v>3728</v>
      </c>
      <c r="EQO619" s="17">
        <v>44925</v>
      </c>
      <c r="EQP619" s="5" t="s">
        <v>3728</v>
      </c>
      <c r="EQQ619" s="17">
        <v>44925</v>
      </c>
      <c r="EQR619" s="5" t="s">
        <v>3728</v>
      </c>
      <c r="EQS619" s="17">
        <v>44925</v>
      </c>
      <c r="EQT619" s="5" t="s">
        <v>3728</v>
      </c>
      <c r="EQU619" s="17">
        <v>44925</v>
      </c>
      <c r="EQV619" s="5" t="s">
        <v>3728</v>
      </c>
      <c r="EQW619" s="17">
        <v>44925</v>
      </c>
      <c r="EQX619" s="5" t="s">
        <v>3728</v>
      </c>
      <c r="EQY619" s="17">
        <v>44925</v>
      </c>
      <c r="EQZ619" s="5" t="s">
        <v>3728</v>
      </c>
      <c r="ERA619" s="17">
        <v>44925</v>
      </c>
      <c r="ERB619" s="5" t="s">
        <v>3728</v>
      </c>
      <c r="ERC619" s="17">
        <v>44925</v>
      </c>
      <c r="ERD619" s="5" t="s">
        <v>3728</v>
      </c>
      <c r="ERE619" s="17">
        <v>44925</v>
      </c>
      <c r="ERF619" s="5" t="s">
        <v>3728</v>
      </c>
      <c r="ERG619" s="17">
        <v>44925</v>
      </c>
      <c r="ERH619" s="5" t="s">
        <v>3728</v>
      </c>
      <c r="ERI619" s="17">
        <v>44925</v>
      </c>
      <c r="ERJ619" s="5" t="s">
        <v>3728</v>
      </c>
      <c r="ERK619" s="17">
        <v>44925</v>
      </c>
      <c r="ERL619" s="5" t="s">
        <v>3728</v>
      </c>
      <c r="ERM619" s="17">
        <v>44925</v>
      </c>
      <c r="ERN619" s="5" t="s">
        <v>3728</v>
      </c>
      <c r="ERO619" s="17">
        <v>44925</v>
      </c>
      <c r="ERP619" s="5" t="s">
        <v>3728</v>
      </c>
      <c r="ERQ619" s="17">
        <v>44925</v>
      </c>
      <c r="ERR619" s="5" t="s">
        <v>3728</v>
      </c>
      <c r="ERS619" s="17">
        <v>44925</v>
      </c>
      <c r="ERT619" s="5" t="s">
        <v>3728</v>
      </c>
      <c r="ERU619" s="17">
        <v>44925</v>
      </c>
      <c r="ERV619" s="5" t="s">
        <v>3728</v>
      </c>
      <c r="ERW619" s="17">
        <v>44925</v>
      </c>
      <c r="ERX619" s="5" t="s">
        <v>3728</v>
      </c>
      <c r="ERY619" s="17">
        <v>44925</v>
      </c>
      <c r="ERZ619" s="5" t="s">
        <v>3728</v>
      </c>
      <c r="ESA619" s="17">
        <v>44925</v>
      </c>
      <c r="ESB619" s="5" t="s">
        <v>3728</v>
      </c>
      <c r="ESC619" s="17">
        <v>44925</v>
      </c>
      <c r="ESD619" s="5" t="s">
        <v>3728</v>
      </c>
      <c r="ESE619" s="17">
        <v>44925</v>
      </c>
      <c r="ESF619" s="5" t="s">
        <v>3728</v>
      </c>
      <c r="ESG619" s="17">
        <v>44925</v>
      </c>
      <c r="ESH619" s="5" t="s">
        <v>3728</v>
      </c>
      <c r="ESI619" s="17">
        <v>44925</v>
      </c>
      <c r="ESJ619" s="5" t="s">
        <v>3728</v>
      </c>
      <c r="ESK619" s="17">
        <v>44925</v>
      </c>
      <c r="ESL619" s="5" t="s">
        <v>3728</v>
      </c>
      <c r="ESM619" s="17">
        <v>44925</v>
      </c>
      <c r="ESN619" s="5" t="s">
        <v>3728</v>
      </c>
      <c r="ESO619" s="17">
        <v>44925</v>
      </c>
      <c r="ESP619" s="5" t="s">
        <v>3728</v>
      </c>
      <c r="ESQ619" s="17">
        <v>44925</v>
      </c>
      <c r="ESR619" s="5" t="s">
        <v>3728</v>
      </c>
      <c r="ESS619" s="17">
        <v>44925</v>
      </c>
      <c r="EST619" s="5" t="s">
        <v>3728</v>
      </c>
      <c r="ESU619" s="17">
        <v>44925</v>
      </c>
      <c r="ESV619" s="5" t="s">
        <v>3728</v>
      </c>
      <c r="ESW619" s="17">
        <v>44925</v>
      </c>
      <c r="ESX619" s="5" t="s">
        <v>3728</v>
      </c>
      <c r="ESY619" s="17">
        <v>44925</v>
      </c>
      <c r="ESZ619" s="5" t="s">
        <v>3728</v>
      </c>
      <c r="ETA619" s="17">
        <v>44925</v>
      </c>
      <c r="ETB619" s="5" t="s">
        <v>3728</v>
      </c>
      <c r="ETC619" s="17">
        <v>44925</v>
      </c>
      <c r="ETD619" s="5" t="s">
        <v>3728</v>
      </c>
      <c r="ETE619" s="17">
        <v>44925</v>
      </c>
      <c r="ETF619" s="5" t="s">
        <v>3728</v>
      </c>
      <c r="ETG619" s="17">
        <v>44925</v>
      </c>
      <c r="ETH619" s="5" t="s">
        <v>3728</v>
      </c>
      <c r="ETI619" s="17">
        <v>44925</v>
      </c>
      <c r="ETJ619" s="5" t="s">
        <v>3728</v>
      </c>
      <c r="ETK619" s="17">
        <v>44925</v>
      </c>
      <c r="ETL619" s="5" t="s">
        <v>3728</v>
      </c>
      <c r="ETM619" s="17">
        <v>44925</v>
      </c>
      <c r="ETN619" s="5" t="s">
        <v>3728</v>
      </c>
      <c r="ETO619" s="17">
        <v>44925</v>
      </c>
      <c r="ETP619" s="5" t="s">
        <v>3728</v>
      </c>
      <c r="ETQ619" s="17">
        <v>44925</v>
      </c>
      <c r="ETR619" s="5" t="s">
        <v>3728</v>
      </c>
      <c r="ETS619" s="17">
        <v>44925</v>
      </c>
      <c r="ETT619" s="5" t="s">
        <v>3728</v>
      </c>
      <c r="ETU619" s="17">
        <v>44925</v>
      </c>
      <c r="ETV619" s="5" t="s">
        <v>3728</v>
      </c>
      <c r="ETW619" s="17">
        <v>44925</v>
      </c>
      <c r="ETX619" s="5" t="s">
        <v>3728</v>
      </c>
      <c r="ETY619" s="17">
        <v>44925</v>
      </c>
      <c r="ETZ619" s="5" t="s">
        <v>3728</v>
      </c>
      <c r="EUA619" s="17">
        <v>44925</v>
      </c>
      <c r="EUB619" s="5" t="s">
        <v>3728</v>
      </c>
      <c r="EUC619" s="17">
        <v>44925</v>
      </c>
      <c r="EUD619" s="5" t="s">
        <v>3728</v>
      </c>
      <c r="EUE619" s="17">
        <v>44925</v>
      </c>
      <c r="EUF619" s="5" t="s">
        <v>3728</v>
      </c>
      <c r="EUG619" s="17">
        <v>44925</v>
      </c>
      <c r="EUH619" s="5" t="s">
        <v>3728</v>
      </c>
      <c r="EUI619" s="17">
        <v>44925</v>
      </c>
      <c r="EUJ619" s="5" t="s">
        <v>3728</v>
      </c>
      <c r="EUK619" s="17">
        <v>44925</v>
      </c>
      <c r="EUL619" s="5" t="s">
        <v>3728</v>
      </c>
      <c r="EUM619" s="17">
        <v>44925</v>
      </c>
      <c r="EUN619" s="5" t="s">
        <v>3728</v>
      </c>
      <c r="EUO619" s="17">
        <v>44925</v>
      </c>
      <c r="EUP619" s="5" t="s">
        <v>3728</v>
      </c>
      <c r="EUQ619" s="17">
        <v>44925</v>
      </c>
      <c r="EUR619" s="5" t="s">
        <v>3728</v>
      </c>
      <c r="EUS619" s="17">
        <v>44925</v>
      </c>
      <c r="EUT619" s="5" t="s">
        <v>3728</v>
      </c>
      <c r="EUU619" s="17">
        <v>44925</v>
      </c>
      <c r="EUV619" s="5" t="s">
        <v>3728</v>
      </c>
      <c r="EUW619" s="17">
        <v>44925</v>
      </c>
      <c r="EUX619" s="5" t="s">
        <v>3728</v>
      </c>
      <c r="EUY619" s="17">
        <v>44925</v>
      </c>
      <c r="EUZ619" s="5" t="s">
        <v>3728</v>
      </c>
      <c r="EVA619" s="17">
        <v>44925</v>
      </c>
      <c r="EVB619" s="5" t="s">
        <v>3728</v>
      </c>
      <c r="EVC619" s="17">
        <v>44925</v>
      </c>
      <c r="EVD619" s="5" t="s">
        <v>3728</v>
      </c>
      <c r="EVE619" s="17">
        <v>44925</v>
      </c>
      <c r="EVF619" s="5" t="s">
        <v>3728</v>
      </c>
      <c r="EVG619" s="17">
        <v>44925</v>
      </c>
      <c r="EVH619" s="5" t="s">
        <v>3728</v>
      </c>
      <c r="EVI619" s="17">
        <v>44925</v>
      </c>
      <c r="EVJ619" s="5" t="s">
        <v>3728</v>
      </c>
      <c r="EVK619" s="17">
        <v>44925</v>
      </c>
      <c r="EVL619" s="5" t="s">
        <v>3728</v>
      </c>
      <c r="EVM619" s="17">
        <v>44925</v>
      </c>
      <c r="EVN619" s="5" t="s">
        <v>3728</v>
      </c>
      <c r="EVO619" s="17">
        <v>44925</v>
      </c>
      <c r="EVP619" s="5" t="s">
        <v>3728</v>
      </c>
      <c r="EVQ619" s="17">
        <v>44925</v>
      </c>
      <c r="EVR619" s="5" t="s">
        <v>3728</v>
      </c>
      <c r="EVS619" s="17">
        <v>44925</v>
      </c>
      <c r="EVT619" s="5" t="s">
        <v>3728</v>
      </c>
      <c r="EVU619" s="17">
        <v>44925</v>
      </c>
      <c r="EVV619" s="5" t="s">
        <v>3728</v>
      </c>
      <c r="EVW619" s="17">
        <v>44925</v>
      </c>
      <c r="EVX619" s="5" t="s">
        <v>3728</v>
      </c>
      <c r="EVY619" s="17">
        <v>44925</v>
      </c>
      <c r="EVZ619" s="5" t="s">
        <v>3728</v>
      </c>
      <c r="EWA619" s="17">
        <v>44925</v>
      </c>
      <c r="EWB619" s="5" t="s">
        <v>3728</v>
      </c>
      <c r="EWC619" s="17">
        <v>44925</v>
      </c>
      <c r="EWD619" s="5" t="s">
        <v>3728</v>
      </c>
      <c r="EWE619" s="17">
        <v>44925</v>
      </c>
      <c r="EWF619" s="5" t="s">
        <v>3728</v>
      </c>
      <c r="EWG619" s="17">
        <v>44925</v>
      </c>
      <c r="EWH619" s="5" t="s">
        <v>3728</v>
      </c>
      <c r="EWI619" s="17">
        <v>44925</v>
      </c>
      <c r="EWJ619" s="5" t="s">
        <v>3728</v>
      </c>
      <c r="EWK619" s="17">
        <v>44925</v>
      </c>
      <c r="EWL619" s="5" t="s">
        <v>3728</v>
      </c>
      <c r="EWM619" s="17">
        <v>44925</v>
      </c>
      <c r="EWN619" s="5" t="s">
        <v>3728</v>
      </c>
      <c r="EWO619" s="17">
        <v>44925</v>
      </c>
      <c r="EWP619" s="5" t="s">
        <v>3728</v>
      </c>
      <c r="EWQ619" s="17">
        <v>44925</v>
      </c>
      <c r="EWR619" s="5" t="s">
        <v>3728</v>
      </c>
      <c r="EWS619" s="17">
        <v>44925</v>
      </c>
      <c r="EWT619" s="5" t="s">
        <v>3728</v>
      </c>
      <c r="EWU619" s="17">
        <v>44925</v>
      </c>
      <c r="EWV619" s="5" t="s">
        <v>3728</v>
      </c>
      <c r="EWW619" s="17">
        <v>44925</v>
      </c>
      <c r="EWX619" s="5" t="s">
        <v>3728</v>
      </c>
      <c r="EWY619" s="17">
        <v>44925</v>
      </c>
      <c r="EWZ619" s="5" t="s">
        <v>3728</v>
      </c>
      <c r="EXA619" s="17">
        <v>44925</v>
      </c>
      <c r="EXB619" s="5" t="s">
        <v>3728</v>
      </c>
      <c r="EXC619" s="17">
        <v>44925</v>
      </c>
      <c r="EXD619" s="5" t="s">
        <v>3728</v>
      </c>
      <c r="EXE619" s="17">
        <v>44925</v>
      </c>
      <c r="EXF619" s="5" t="s">
        <v>3728</v>
      </c>
      <c r="EXG619" s="17">
        <v>44925</v>
      </c>
      <c r="EXH619" s="5" t="s">
        <v>3728</v>
      </c>
      <c r="EXI619" s="17">
        <v>44925</v>
      </c>
      <c r="EXJ619" s="5" t="s">
        <v>3728</v>
      </c>
      <c r="EXK619" s="17">
        <v>44925</v>
      </c>
      <c r="EXL619" s="5" t="s">
        <v>3728</v>
      </c>
      <c r="EXM619" s="17">
        <v>44925</v>
      </c>
      <c r="EXN619" s="5" t="s">
        <v>3728</v>
      </c>
      <c r="EXO619" s="17">
        <v>44925</v>
      </c>
      <c r="EXP619" s="5" t="s">
        <v>3728</v>
      </c>
      <c r="EXQ619" s="17">
        <v>44925</v>
      </c>
      <c r="EXR619" s="5" t="s">
        <v>3728</v>
      </c>
      <c r="EXS619" s="17">
        <v>44925</v>
      </c>
      <c r="EXT619" s="5" t="s">
        <v>3728</v>
      </c>
      <c r="EXU619" s="17">
        <v>44925</v>
      </c>
      <c r="EXV619" s="5" t="s">
        <v>3728</v>
      </c>
      <c r="EXW619" s="17">
        <v>44925</v>
      </c>
      <c r="EXX619" s="5" t="s">
        <v>3728</v>
      </c>
      <c r="EXY619" s="17">
        <v>44925</v>
      </c>
      <c r="EXZ619" s="5" t="s">
        <v>3728</v>
      </c>
      <c r="EYA619" s="17">
        <v>44925</v>
      </c>
      <c r="EYB619" s="5" t="s">
        <v>3728</v>
      </c>
      <c r="EYC619" s="17">
        <v>44925</v>
      </c>
      <c r="EYD619" s="5" t="s">
        <v>3728</v>
      </c>
      <c r="EYE619" s="17">
        <v>44925</v>
      </c>
      <c r="EYF619" s="5" t="s">
        <v>3728</v>
      </c>
      <c r="EYG619" s="17">
        <v>44925</v>
      </c>
      <c r="EYH619" s="5" t="s">
        <v>3728</v>
      </c>
      <c r="EYI619" s="17">
        <v>44925</v>
      </c>
      <c r="EYJ619" s="5" t="s">
        <v>3728</v>
      </c>
      <c r="EYK619" s="17">
        <v>44925</v>
      </c>
      <c r="EYL619" s="5" t="s">
        <v>3728</v>
      </c>
      <c r="EYM619" s="17">
        <v>44925</v>
      </c>
      <c r="EYN619" s="5" t="s">
        <v>3728</v>
      </c>
      <c r="EYO619" s="17">
        <v>44925</v>
      </c>
      <c r="EYP619" s="5" t="s">
        <v>3728</v>
      </c>
      <c r="EYQ619" s="17">
        <v>44925</v>
      </c>
      <c r="EYR619" s="5" t="s">
        <v>3728</v>
      </c>
      <c r="EYS619" s="17">
        <v>44925</v>
      </c>
      <c r="EYT619" s="5" t="s">
        <v>3728</v>
      </c>
      <c r="EYU619" s="17">
        <v>44925</v>
      </c>
      <c r="EYV619" s="5" t="s">
        <v>3728</v>
      </c>
      <c r="EYW619" s="17">
        <v>44925</v>
      </c>
      <c r="EYX619" s="5" t="s">
        <v>3728</v>
      </c>
      <c r="EYY619" s="17">
        <v>44925</v>
      </c>
      <c r="EYZ619" s="5" t="s">
        <v>3728</v>
      </c>
      <c r="EZA619" s="17">
        <v>44925</v>
      </c>
      <c r="EZB619" s="5" t="s">
        <v>3728</v>
      </c>
      <c r="EZC619" s="17">
        <v>44925</v>
      </c>
      <c r="EZD619" s="5" t="s">
        <v>3728</v>
      </c>
      <c r="EZE619" s="17">
        <v>44925</v>
      </c>
      <c r="EZF619" s="5" t="s">
        <v>3728</v>
      </c>
      <c r="EZG619" s="17">
        <v>44925</v>
      </c>
      <c r="EZH619" s="5" t="s">
        <v>3728</v>
      </c>
      <c r="EZI619" s="17">
        <v>44925</v>
      </c>
      <c r="EZJ619" s="5" t="s">
        <v>3728</v>
      </c>
      <c r="EZK619" s="17">
        <v>44925</v>
      </c>
      <c r="EZL619" s="5" t="s">
        <v>3728</v>
      </c>
      <c r="EZM619" s="17">
        <v>44925</v>
      </c>
      <c r="EZN619" s="5" t="s">
        <v>3728</v>
      </c>
      <c r="EZO619" s="17">
        <v>44925</v>
      </c>
      <c r="EZP619" s="5" t="s">
        <v>3728</v>
      </c>
      <c r="EZQ619" s="17">
        <v>44925</v>
      </c>
      <c r="EZR619" s="5" t="s">
        <v>3728</v>
      </c>
      <c r="EZS619" s="17">
        <v>44925</v>
      </c>
      <c r="EZT619" s="5" t="s">
        <v>3728</v>
      </c>
      <c r="EZU619" s="17">
        <v>44925</v>
      </c>
      <c r="EZV619" s="5" t="s">
        <v>3728</v>
      </c>
      <c r="EZW619" s="17">
        <v>44925</v>
      </c>
      <c r="EZX619" s="5" t="s">
        <v>3728</v>
      </c>
      <c r="EZY619" s="17">
        <v>44925</v>
      </c>
      <c r="EZZ619" s="5" t="s">
        <v>3728</v>
      </c>
      <c r="FAA619" s="17">
        <v>44925</v>
      </c>
      <c r="FAB619" s="5" t="s">
        <v>3728</v>
      </c>
      <c r="FAC619" s="17">
        <v>44925</v>
      </c>
      <c r="FAD619" s="5" t="s">
        <v>3728</v>
      </c>
      <c r="FAE619" s="17">
        <v>44925</v>
      </c>
      <c r="FAF619" s="5" t="s">
        <v>3728</v>
      </c>
      <c r="FAG619" s="17">
        <v>44925</v>
      </c>
      <c r="FAH619" s="5" t="s">
        <v>3728</v>
      </c>
      <c r="FAI619" s="17">
        <v>44925</v>
      </c>
      <c r="FAJ619" s="5" t="s">
        <v>3728</v>
      </c>
      <c r="FAK619" s="17">
        <v>44925</v>
      </c>
      <c r="FAL619" s="5" t="s">
        <v>3728</v>
      </c>
      <c r="FAM619" s="17">
        <v>44925</v>
      </c>
      <c r="FAN619" s="5" t="s">
        <v>3728</v>
      </c>
      <c r="FAO619" s="17">
        <v>44925</v>
      </c>
      <c r="FAP619" s="5" t="s">
        <v>3728</v>
      </c>
      <c r="FAQ619" s="17">
        <v>44925</v>
      </c>
      <c r="FAR619" s="5" t="s">
        <v>3728</v>
      </c>
      <c r="FAS619" s="17">
        <v>44925</v>
      </c>
      <c r="FAT619" s="5" t="s">
        <v>3728</v>
      </c>
      <c r="FAU619" s="17">
        <v>44925</v>
      </c>
      <c r="FAV619" s="5" t="s">
        <v>3728</v>
      </c>
      <c r="FAW619" s="17">
        <v>44925</v>
      </c>
      <c r="FAX619" s="5" t="s">
        <v>3728</v>
      </c>
      <c r="FAY619" s="17">
        <v>44925</v>
      </c>
      <c r="FAZ619" s="5" t="s">
        <v>3728</v>
      </c>
      <c r="FBA619" s="17">
        <v>44925</v>
      </c>
      <c r="FBB619" s="5" t="s">
        <v>3728</v>
      </c>
      <c r="FBC619" s="17">
        <v>44925</v>
      </c>
      <c r="FBD619" s="5" t="s">
        <v>3728</v>
      </c>
      <c r="FBE619" s="17">
        <v>44925</v>
      </c>
      <c r="FBF619" s="5" t="s">
        <v>3728</v>
      </c>
      <c r="FBG619" s="17">
        <v>44925</v>
      </c>
      <c r="FBH619" s="5" t="s">
        <v>3728</v>
      </c>
      <c r="FBI619" s="17">
        <v>44925</v>
      </c>
      <c r="FBJ619" s="5" t="s">
        <v>3728</v>
      </c>
      <c r="FBK619" s="17">
        <v>44925</v>
      </c>
      <c r="FBL619" s="5" t="s">
        <v>3728</v>
      </c>
      <c r="FBM619" s="17">
        <v>44925</v>
      </c>
      <c r="FBN619" s="5" t="s">
        <v>3728</v>
      </c>
      <c r="FBO619" s="17">
        <v>44925</v>
      </c>
      <c r="FBP619" s="5" t="s">
        <v>3728</v>
      </c>
      <c r="FBQ619" s="17">
        <v>44925</v>
      </c>
      <c r="FBR619" s="5" t="s">
        <v>3728</v>
      </c>
      <c r="FBS619" s="17">
        <v>44925</v>
      </c>
      <c r="FBT619" s="5" t="s">
        <v>3728</v>
      </c>
      <c r="FBU619" s="17">
        <v>44925</v>
      </c>
      <c r="FBV619" s="5" t="s">
        <v>3728</v>
      </c>
      <c r="FBW619" s="17">
        <v>44925</v>
      </c>
      <c r="FBX619" s="5" t="s">
        <v>3728</v>
      </c>
      <c r="FBY619" s="17">
        <v>44925</v>
      </c>
      <c r="FBZ619" s="5" t="s">
        <v>3728</v>
      </c>
      <c r="FCA619" s="17">
        <v>44925</v>
      </c>
      <c r="FCB619" s="5" t="s">
        <v>3728</v>
      </c>
      <c r="FCC619" s="17">
        <v>44925</v>
      </c>
      <c r="FCD619" s="5" t="s">
        <v>3728</v>
      </c>
      <c r="FCE619" s="17">
        <v>44925</v>
      </c>
      <c r="FCF619" s="5" t="s">
        <v>3728</v>
      </c>
      <c r="FCG619" s="17">
        <v>44925</v>
      </c>
      <c r="FCH619" s="5" t="s">
        <v>3728</v>
      </c>
      <c r="FCI619" s="17">
        <v>44925</v>
      </c>
      <c r="FCJ619" s="5" t="s">
        <v>3728</v>
      </c>
      <c r="FCK619" s="17">
        <v>44925</v>
      </c>
      <c r="FCL619" s="5" t="s">
        <v>3728</v>
      </c>
      <c r="FCM619" s="17">
        <v>44925</v>
      </c>
      <c r="FCN619" s="5" t="s">
        <v>3728</v>
      </c>
      <c r="FCO619" s="17">
        <v>44925</v>
      </c>
      <c r="FCP619" s="5" t="s">
        <v>3728</v>
      </c>
      <c r="FCQ619" s="17">
        <v>44925</v>
      </c>
      <c r="FCR619" s="5" t="s">
        <v>3728</v>
      </c>
      <c r="FCS619" s="17">
        <v>44925</v>
      </c>
      <c r="FCT619" s="5" t="s">
        <v>3728</v>
      </c>
      <c r="FCU619" s="17">
        <v>44925</v>
      </c>
      <c r="FCV619" s="5" t="s">
        <v>3728</v>
      </c>
      <c r="FCW619" s="17">
        <v>44925</v>
      </c>
      <c r="FCX619" s="5" t="s">
        <v>3728</v>
      </c>
      <c r="FCY619" s="17">
        <v>44925</v>
      </c>
      <c r="FCZ619" s="5" t="s">
        <v>3728</v>
      </c>
      <c r="FDA619" s="17">
        <v>44925</v>
      </c>
      <c r="FDB619" s="5" t="s">
        <v>3728</v>
      </c>
      <c r="FDC619" s="17">
        <v>44925</v>
      </c>
      <c r="FDD619" s="5" t="s">
        <v>3728</v>
      </c>
      <c r="FDE619" s="17">
        <v>44925</v>
      </c>
      <c r="FDF619" s="5" t="s">
        <v>3728</v>
      </c>
      <c r="FDG619" s="17">
        <v>44925</v>
      </c>
      <c r="FDH619" s="5" t="s">
        <v>3728</v>
      </c>
      <c r="FDI619" s="17">
        <v>44925</v>
      </c>
      <c r="FDJ619" s="5" t="s">
        <v>3728</v>
      </c>
      <c r="FDK619" s="17">
        <v>44925</v>
      </c>
      <c r="FDL619" s="5" t="s">
        <v>3728</v>
      </c>
      <c r="FDM619" s="17">
        <v>44925</v>
      </c>
      <c r="FDN619" s="5" t="s">
        <v>3728</v>
      </c>
      <c r="FDO619" s="17">
        <v>44925</v>
      </c>
      <c r="FDP619" s="5" t="s">
        <v>3728</v>
      </c>
      <c r="FDQ619" s="17">
        <v>44925</v>
      </c>
      <c r="FDR619" s="5" t="s">
        <v>3728</v>
      </c>
      <c r="FDS619" s="17">
        <v>44925</v>
      </c>
      <c r="FDT619" s="5" t="s">
        <v>3728</v>
      </c>
      <c r="FDU619" s="17">
        <v>44925</v>
      </c>
      <c r="FDV619" s="5" t="s">
        <v>3728</v>
      </c>
      <c r="FDW619" s="17">
        <v>44925</v>
      </c>
      <c r="FDX619" s="5" t="s">
        <v>3728</v>
      </c>
      <c r="FDY619" s="17">
        <v>44925</v>
      </c>
      <c r="FDZ619" s="5" t="s">
        <v>3728</v>
      </c>
      <c r="FEA619" s="17">
        <v>44925</v>
      </c>
      <c r="FEB619" s="5" t="s">
        <v>3728</v>
      </c>
      <c r="FEC619" s="17">
        <v>44925</v>
      </c>
      <c r="FED619" s="5" t="s">
        <v>3728</v>
      </c>
      <c r="FEE619" s="17">
        <v>44925</v>
      </c>
      <c r="FEF619" s="5" t="s">
        <v>3728</v>
      </c>
      <c r="FEG619" s="17">
        <v>44925</v>
      </c>
      <c r="FEH619" s="5" t="s">
        <v>3728</v>
      </c>
      <c r="FEI619" s="17">
        <v>44925</v>
      </c>
      <c r="FEJ619" s="5" t="s">
        <v>3728</v>
      </c>
      <c r="FEK619" s="17">
        <v>44925</v>
      </c>
      <c r="FEL619" s="5" t="s">
        <v>3728</v>
      </c>
      <c r="FEM619" s="17">
        <v>44925</v>
      </c>
      <c r="FEN619" s="5" t="s">
        <v>3728</v>
      </c>
      <c r="FEO619" s="17">
        <v>44925</v>
      </c>
      <c r="FEP619" s="5" t="s">
        <v>3728</v>
      </c>
      <c r="FEQ619" s="17">
        <v>44925</v>
      </c>
      <c r="FER619" s="5" t="s">
        <v>3728</v>
      </c>
      <c r="FES619" s="17">
        <v>44925</v>
      </c>
      <c r="FET619" s="5" t="s">
        <v>3728</v>
      </c>
      <c r="FEU619" s="17">
        <v>44925</v>
      </c>
      <c r="FEV619" s="5" t="s">
        <v>3728</v>
      </c>
      <c r="FEW619" s="17">
        <v>44925</v>
      </c>
      <c r="FEX619" s="5" t="s">
        <v>3728</v>
      </c>
      <c r="FEY619" s="17">
        <v>44925</v>
      </c>
      <c r="FEZ619" s="5" t="s">
        <v>3728</v>
      </c>
      <c r="FFA619" s="17">
        <v>44925</v>
      </c>
      <c r="FFB619" s="5" t="s">
        <v>3728</v>
      </c>
      <c r="FFC619" s="17">
        <v>44925</v>
      </c>
      <c r="FFD619" s="5" t="s">
        <v>3728</v>
      </c>
      <c r="FFE619" s="17">
        <v>44925</v>
      </c>
      <c r="FFF619" s="5" t="s">
        <v>3728</v>
      </c>
      <c r="FFG619" s="17">
        <v>44925</v>
      </c>
      <c r="FFH619" s="5" t="s">
        <v>3728</v>
      </c>
      <c r="FFI619" s="17">
        <v>44925</v>
      </c>
      <c r="FFJ619" s="5" t="s">
        <v>3728</v>
      </c>
      <c r="FFK619" s="17">
        <v>44925</v>
      </c>
      <c r="FFL619" s="5" t="s">
        <v>3728</v>
      </c>
      <c r="FFM619" s="17">
        <v>44925</v>
      </c>
      <c r="FFN619" s="5" t="s">
        <v>3728</v>
      </c>
      <c r="FFO619" s="17">
        <v>44925</v>
      </c>
      <c r="FFP619" s="5" t="s">
        <v>3728</v>
      </c>
      <c r="FFQ619" s="17">
        <v>44925</v>
      </c>
      <c r="FFR619" s="5" t="s">
        <v>3728</v>
      </c>
      <c r="FFS619" s="17">
        <v>44925</v>
      </c>
      <c r="FFT619" s="5" t="s">
        <v>3728</v>
      </c>
      <c r="FFU619" s="17">
        <v>44925</v>
      </c>
      <c r="FFV619" s="5" t="s">
        <v>3728</v>
      </c>
      <c r="FFW619" s="17">
        <v>44925</v>
      </c>
      <c r="FFX619" s="5" t="s">
        <v>3728</v>
      </c>
      <c r="FFY619" s="17">
        <v>44925</v>
      </c>
      <c r="FFZ619" s="5" t="s">
        <v>3728</v>
      </c>
      <c r="FGA619" s="17">
        <v>44925</v>
      </c>
      <c r="FGB619" s="5" t="s">
        <v>3728</v>
      </c>
      <c r="FGC619" s="17">
        <v>44925</v>
      </c>
      <c r="FGD619" s="5" t="s">
        <v>3728</v>
      </c>
      <c r="FGE619" s="17">
        <v>44925</v>
      </c>
      <c r="FGF619" s="5" t="s">
        <v>3728</v>
      </c>
      <c r="FGG619" s="17">
        <v>44925</v>
      </c>
      <c r="FGH619" s="5" t="s">
        <v>3728</v>
      </c>
      <c r="FGI619" s="17">
        <v>44925</v>
      </c>
      <c r="FGJ619" s="5" t="s">
        <v>3728</v>
      </c>
      <c r="FGK619" s="17">
        <v>44925</v>
      </c>
      <c r="FGL619" s="5" t="s">
        <v>3728</v>
      </c>
      <c r="FGM619" s="17">
        <v>44925</v>
      </c>
      <c r="FGN619" s="5" t="s">
        <v>3728</v>
      </c>
      <c r="FGO619" s="17">
        <v>44925</v>
      </c>
      <c r="FGP619" s="5" t="s">
        <v>3728</v>
      </c>
      <c r="FGQ619" s="17">
        <v>44925</v>
      </c>
      <c r="FGR619" s="5" t="s">
        <v>3728</v>
      </c>
      <c r="FGS619" s="17">
        <v>44925</v>
      </c>
      <c r="FGT619" s="5" t="s">
        <v>3728</v>
      </c>
      <c r="FGU619" s="17">
        <v>44925</v>
      </c>
      <c r="FGV619" s="5" t="s">
        <v>3728</v>
      </c>
      <c r="FGW619" s="17">
        <v>44925</v>
      </c>
      <c r="FGX619" s="5" t="s">
        <v>3728</v>
      </c>
      <c r="FGY619" s="17">
        <v>44925</v>
      </c>
      <c r="FGZ619" s="5" t="s">
        <v>3728</v>
      </c>
      <c r="FHA619" s="17">
        <v>44925</v>
      </c>
      <c r="FHB619" s="5" t="s">
        <v>3728</v>
      </c>
      <c r="FHC619" s="17">
        <v>44925</v>
      </c>
      <c r="FHD619" s="5" t="s">
        <v>3728</v>
      </c>
      <c r="FHE619" s="17">
        <v>44925</v>
      </c>
      <c r="FHF619" s="5" t="s">
        <v>3728</v>
      </c>
      <c r="FHG619" s="17">
        <v>44925</v>
      </c>
      <c r="FHH619" s="5" t="s">
        <v>3728</v>
      </c>
      <c r="FHI619" s="17">
        <v>44925</v>
      </c>
      <c r="FHJ619" s="5" t="s">
        <v>3728</v>
      </c>
      <c r="FHK619" s="17">
        <v>44925</v>
      </c>
      <c r="FHL619" s="5" t="s">
        <v>3728</v>
      </c>
      <c r="FHM619" s="17">
        <v>44925</v>
      </c>
      <c r="FHN619" s="5" t="s">
        <v>3728</v>
      </c>
      <c r="FHO619" s="17">
        <v>44925</v>
      </c>
      <c r="FHP619" s="5" t="s">
        <v>3728</v>
      </c>
      <c r="FHQ619" s="17">
        <v>44925</v>
      </c>
      <c r="FHR619" s="5" t="s">
        <v>3728</v>
      </c>
      <c r="FHS619" s="17">
        <v>44925</v>
      </c>
      <c r="FHT619" s="5" t="s">
        <v>3728</v>
      </c>
      <c r="FHU619" s="17">
        <v>44925</v>
      </c>
      <c r="FHV619" s="5" t="s">
        <v>3728</v>
      </c>
      <c r="FHW619" s="17">
        <v>44925</v>
      </c>
      <c r="FHX619" s="5" t="s">
        <v>3728</v>
      </c>
      <c r="FHY619" s="17">
        <v>44925</v>
      </c>
      <c r="FHZ619" s="5" t="s">
        <v>3728</v>
      </c>
      <c r="FIA619" s="17">
        <v>44925</v>
      </c>
      <c r="FIB619" s="5" t="s">
        <v>3728</v>
      </c>
      <c r="FIC619" s="17">
        <v>44925</v>
      </c>
      <c r="FID619" s="5" t="s">
        <v>3728</v>
      </c>
      <c r="FIE619" s="17">
        <v>44925</v>
      </c>
      <c r="FIF619" s="5" t="s">
        <v>3728</v>
      </c>
      <c r="FIG619" s="17">
        <v>44925</v>
      </c>
      <c r="FIH619" s="5" t="s">
        <v>3728</v>
      </c>
      <c r="FII619" s="17">
        <v>44925</v>
      </c>
      <c r="FIJ619" s="5" t="s">
        <v>3728</v>
      </c>
      <c r="FIK619" s="17">
        <v>44925</v>
      </c>
      <c r="FIL619" s="5" t="s">
        <v>3728</v>
      </c>
      <c r="FIM619" s="17">
        <v>44925</v>
      </c>
      <c r="FIN619" s="5" t="s">
        <v>3728</v>
      </c>
      <c r="FIO619" s="17">
        <v>44925</v>
      </c>
      <c r="FIP619" s="5" t="s">
        <v>3728</v>
      </c>
      <c r="FIQ619" s="17">
        <v>44925</v>
      </c>
      <c r="FIR619" s="5" t="s">
        <v>3728</v>
      </c>
      <c r="FIS619" s="17">
        <v>44925</v>
      </c>
      <c r="FIT619" s="5" t="s">
        <v>3728</v>
      </c>
      <c r="FIU619" s="17">
        <v>44925</v>
      </c>
      <c r="FIV619" s="5" t="s">
        <v>3728</v>
      </c>
      <c r="FIW619" s="17">
        <v>44925</v>
      </c>
      <c r="FIX619" s="5" t="s">
        <v>3728</v>
      </c>
      <c r="FIY619" s="17">
        <v>44925</v>
      </c>
      <c r="FIZ619" s="5" t="s">
        <v>3728</v>
      </c>
      <c r="FJA619" s="17">
        <v>44925</v>
      </c>
      <c r="FJB619" s="5" t="s">
        <v>3728</v>
      </c>
      <c r="FJC619" s="17">
        <v>44925</v>
      </c>
      <c r="FJD619" s="5" t="s">
        <v>3728</v>
      </c>
      <c r="FJE619" s="17">
        <v>44925</v>
      </c>
      <c r="FJF619" s="5" t="s">
        <v>3728</v>
      </c>
      <c r="FJG619" s="17">
        <v>44925</v>
      </c>
      <c r="FJH619" s="5" t="s">
        <v>3728</v>
      </c>
      <c r="FJI619" s="17">
        <v>44925</v>
      </c>
      <c r="FJJ619" s="5" t="s">
        <v>3728</v>
      </c>
      <c r="FJK619" s="17">
        <v>44925</v>
      </c>
      <c r="FJL619" s="5" t="s">
        <v>3728</v>
      </c>
      <c r="FJM619" s="17">
        <v>44925</v>
      </c>
      <c r="FJN619" s="5" t="s">
        <v>3728</v>
      </c>
      <c r="FJO619" s="17">
        <v>44925</v>
      </c>
      <c r="FJP619" s="5" t="s">
        <v>3728</v>
      </c>
      <c r="FJQ619" s="17">
        <v>44925</v>
      </c>
      <c r="FJR619" s="5" t="s">
        <v>3728</v>
      </c>
      <c r="FJS619" s="17">
        <v>44925</v>
      </c>
      <c r="FJT619" s="5" t="s">
        <v>3728</v>
      </c>
      <c r="FJU619" s="17">
        <v>44925</v>
      </c>
      <c r="FJV619" s="5" t="s">
        <v>3728</v>
      </c>
      <c r="FJW619" s="17">
        <v>44925</v>
      </c>
      <c r="FJX619" s="5" t="s">
        <v>3728</v>
      </c>
      <c r="FJY619" s="17">
        <v>44925</v>
      </c>
      <c r="FJZ619" s="5" t="s">
        <v>3728</v>
      </c>
      <c r="FKA619" s="17">
        <v>44925</v>
      </c>
      <c r="FKB619" s="5" t="s">
        <v>3728</v>
      </c>
      <c r="FKC619" s="17">
        <v>44925</v>
      </c>
      <c r="FKD619" s="5" t="s">
        <v>3728</v>
      </c>
      <c r="FKE619" s="17">
        <v>44925</v>
      </c>
      <c r="FKF619" s="5" t="s">
        <v>3728</v>
      </c>
      <c r="FKG619" s="17">
        <v>44925</v>
      </c>
      <c r="FKH619" s="5" t="s">
        <v>3728</v>
      </c>
      <c r="FKI619" s="17">
        <v>44925</v>
      </c>
      <c r="FKJ619" s="5" t="s">
        <v>3728</v>
      </c>
      <c r="FKK619" s="17">
        <v>44925</v>
      </c>
      <c r="FKL619" s="5" t="s">
        <v>3728</v>
      </c>
      <c r="FKM619" s="17">
        <v>44925</v>
      </c>
      <c r="FKN619" s="5" t="s">
        <v>3728</v>
      </c>
      <c r="FKO619" s="17">
        <v>44925</v>
      </c>
      <c r="FKP619" s="5" t="s">
        <v>3728</v>
      </c>
      <c r="FKQ619" s="17">
        <v>44925</v>
      </c>
      <c r="FKR619" s="5" t="s">
        <v>3728</v>
      </c>
      <c r="FKS619" s="17">
        <v>44925</v>
      </c>
      <c r="FKT619" s="5" t="s">
        <v>3728</v>
      </c>
      <c r="FKU619" s="17">
        <v>44925</v>
      </c>
      <c r="FKV619" s="5" t="s">
        <v>3728</v>
      </c>
      <c r="FKW619" s="17">
        <v>44925</v>
      </c>
      <c r="FKX619" s="5" t="s">
        <v>3728</v>
      </c>
      <c r="FKY619" s="17">
        <v>44925</v>
      </c>
      <c r="FKZ619" s="5" t="s">
        <v>3728</v>
      </c>
      <c r="FLA619" s="17">
        <v>44925</v>
      </c>
      <c r="FLB619" s="5" t="s">
        <v>3728</v>
      </c>
      <c r="FLC619" s="17">
        <v>44925</v>
      </c>
      <c r="FLD619" s="5" t="s">
        <v>3728</v>
      </c>
      <c r="FLE619" s="17">
        <v>44925</v>
      </c>
      <c r="FLF619" s="5" t="s">
        <v>3728</v>
      </c>
      <c r="FLG619" s="17">
        <v>44925</v>
      </c>
      <c r="FLH619" s="5" t="s">
        <v>3728</v>
      </c>
      <c r="FLI619" s="17">
        <v>44925</v>
      </c>
      <c r="FLJ619" s="5" t="s">
        <v>3728</v>
      </c>
      <c r="FLK619" s="17">
        <v>44925</v>
      </c>
      <c r="FLL619" s="5" t="s">
        <v>3728</v>
      </c>
      <c r="FLM619" s="17">
        <v>44925</v>
      </c>
      <c r="FLN619" s="5" t="s">
        <v>3728</v>
      </c>
      <c r="FLO619" s="17">
        <v>44925</v>
      </c>
      <c r="FLP619" s="5" t="s">
        <v>3728</v>
      </c>
      <c r="FLQ619" s="17">
        <v>44925</v>
      </c>
      <c r="FLR619" s="5" t="s">
        <v>3728</v>
      </c>
      <c r="FLS619" s="17">
        <v>44925</v>
      </c>
      <c r="FLT619" s="5" t="s">
        <v>3728</v>
      </c>
      <c r="FLU619" s="17">
        <v>44925</v>
      </c>
      <c r="FLV619" s="5" t="s">
        <v>3728</v>
      </c>
      <c r="FLW619" s="17">
        <v>44925</v>
      </c>
      <c r="FLX619" s="5" t="s">
        <v>3728</v>
      </c>
      <c r="FLY619" s="17">
        <v>44925</v>
      </c>
      <c r="FLZ619" s="5" t="s">
        <v>3728</v>
      </c>
      <c r="FMA619" s="17">
        <v>44925</v>
      </c>
      <c r="FMB619" s="5" t="s">
        <v>3728</v>
      </c>
      <c r="FMC619" s="17">
        <v>44925</v>
      </c>
      <c r="FMD619" s="5" t="s">
        <v>3728</v>
      </c>
      <c r="FME619" s="17">
        <v>44925</v>
      </c>
      <c r="FMF619" s="5" t="s">
        <v>3728</v>
      </c>
      <c r="FMG619" s="17">
        <v>44925</v>
      </c>
      <c r="FMH619" s="5" t="s">
        <v>3728</v>
      </c>
      <c r="FMI619" s="17">
        <v>44925</v>
      </c>
      <c r="FMJ619" s="5" t="s">
        <v>3728</v>
      </c>
      <c r="FMK619" s="17">
        <v>44925</v>
      </c>
      <c r="FML619" s="5" t="s">
        <v>3728</v>
      </c>
      <c r="FMM619" s="17">
        <v>44925</v>
      </c>
      <c r="FMN619" s="5" t="s">
        <v>3728</v>
      </c>
      <c r="FMO619" s="17">
        <v>44925</v>
      </c>
      <c r="FMP619" s="5" t="s">
        <v>3728</v>
      </c>
      <c r="FMQ619" s="17">
        <v>44925</v>
      </c>
      <c r="FMR619" s="5" t="s">
        <v>3728</v>
      </c>
      <c r="FMS619" s="17">
        <v>44925</v>
      </c>
      <c r="FMT619" s="5" t="s">
        <v>3728</v>
      </c>
      <c r="FMU619" s="17">
        <v>44925</v>
      </c>
      <c r="FMV619" s="5" t="s">
        <v>3728</v>
      </c>
      <c r="FMW619" s="17">
        <v>44925</v>
      </c>
      <c r="FMX619" s="5" t="s">
        <v>3728</v>
      </c>
      <c r="FMY619" s="17">
        <v>44925</v>
      </c>
      <c r="FMZ619" s="5" t="s">
        <v>3728</v>
      </c>
      <c r="FNA619" s="17">
        <v>44925</v>
      </c>
      <c r="FNB619" s="5" t="s">
        <v>3728</v>
      </c>
      <c r="FNC619" s="17">
        <v>44925</v>
      </c>
      <c r="FND619" s="5" t="s">
        <v>3728</v>
      </c>
      <c r="FNE619" s="17">
        <v>44925</v>
      </c>
      <c r="FNF619" s="5" t="s">
        <v>3728</v>
      </c>
      <c r="FNG619" s="17">
        <v>44925</v>
      </c>
      <c r="FNH619" s="5" t="s">
        <v>3728</v>
      </c>
      <c r="FNI619" s="17">
        <v>44925</v>
      </c>
      <c r="FNJ619" s="5" t="s">
        <v>3728</v>
      </c>
      <c r="FNK619" s="17">
        <v>44925</v>
      </c>
      <c r="FNL619" s="5" t="s">
        <v>3728</v>
      </c>
      <c r="FNM619" s="17">
        <v>44925</v>
      </c>
      <c r="FNN619" s="5" t="s">
        <v>3728</v>
      </c>
      <c r="FNO619" s="17">
        <v>44925</v>
      </c>
      <c r="FNP619" s="5" t="s">
        <v>3728</v>
      </c>
      <c r="FNQ619" s="17">
        <v>44925</v>
      </c>
      <c r="FNR619" s="5" t="s">
        <v>3728</v>
      </c>
      <c r="FNS619" s="17">
        <v>44925</v>
      </c>
      <c r="FNT619" s="5" t="s">
        <v>3728</v>
      </c>
      <c r="FNU619" s="17">
        <v>44925</v>
      </c>
      <c r="FNV619" s="5" t="s">
        <v>3728</v>
      </c>
      <c r="FNW619" s="17">
        <v>44925</v>
      </c>
      <c r="FNX619" s="5" t="s">
        <v>3728</v>
      </c>
      <c r="FNY619" s="17">
        <v>44925</v>
      </c>
      <c r="FNZ619" s="5" t="s">
        <v>3728</v>
      </c>
      <c r="FOA619" s="17">
        <v>44925</v>
      </c>
      <c r="FOB619" s="5" t="s">
        <v>3728</v>
      </c>
      <c r="FOC619" s="17">
        <v>44925</v>
      </c>
      <c r="FOD619" s="5" t="s">
        <v>3728</v>
      </c>
      <c r="FOE619" s="17">
        <v>44925</v>
      </c>
      <c r="FOF619" s="5" t="s">
        <v>3728</v>
      </c>
      <c r="FOG619" s="17">
        <v>44925</v>
      </c>
      <c r="FOH619" s="5" t="s">
        <v>3728</v>
      </c>
      <c r="FOI619" s="17">
        <v>44925</v>
      </c>
      <c r="FOJ619" s="5" t="s">
        <v>3728</v>
      </c>
      <c r="FOK619" s="17">
        <v>44925</v>
      </c>
      <c r="FOL619" s="5" t="s">
        <v>3728</v>
      </c>
      <c r="FOM619" s="17">
        <v>44925</v>
      </c>
      <c r="FON619" s="5" t="s">
        <v>3728</v>
      </c>
      <c r="FOO619" s="17">
        <v>44925</v>
      </c>
      <c r="FOP619" s="5" t="s">
        <v>3728</v>
      </c>
      <c r="FOQ619" s="17">
        <v>44925</v>
      </c>
      <c r="FOR619" s="5" t="s">
        <v>3728</v>
      </c>
      <c r="FOS619" s="17">
        <v>44925</v>
      </c>
      <c r="FOT619" s="5" t="s">
        <v>3728</v>
      </c>
      <c r="FOU619" s="17">
        <v>44925</v>
      </c>
      <c r="FOV619" s="5" t="s">
        <v>3728</v>
      </c>
      <c r="FOW619" s="17">
        <v>44925</v>
      </c>
      <c r="FOX619" s="5" t="s">
        <v>3728</v>
      </c>
      <c r="FOY619" s="17">
        <v>44925</v>
      </c>
      <c r="FOZ619" s="5" t="s">
        <v>3728</v>
      </c>
      <c r="FPA619" s="17">
        <v>44925</v>
      </c>
      <c r="FPB619" s="5" t="s">
        <v>3728</v>
      </c>
      <c r="FPC619" s="17">
        <v>44925</v>
      </c>
      <c r="FPD619" s="5" t="s">
        <v>3728</v>
      </c>
      <c r="FPE619" s="17">
        <v>44925</v>
      </c>
      <c r="FPF619" s="5" t="s">
        <v>3728</v>
      </c>
      <c r="FPG619" s="17">
        <v>44925</v>
      </c>
      <c r="FPH619" s="5" t="s">
        <v>3728</v>
      </c>
      <c r="FPI619" s="17">
        <v>44925</v>
      </c>
      <c r="FPJ619" s="5" t="s">
        <v>3728</v>
      </c>
      <c r="FPK619" s="17">
        <v>44925</v>
      </c>
      <c r="FPL619" s="5" t="s">
        <v>3728</v>
      </c>
      <c r="FPM619" s="17">
        <v>44925</v>
      </c>
      <c r="FPN619" s="5" t="s">
        <v>3728</v>
      </c>
      <c r="FPO619" s="17">
        <v>44925</v>
      </c>
      <c r="FPP619" s="5" t="s">
        <v>3728</v>
      </c>
      <c r="FPQ619" s="17">
        <v>44925</v>
      </c>
      <c r="FPR619" s="5" t="s">
        <v>3728</v>
      </c>
      <c r="FPS619" s="17">
        <v>44925</v>
      </c>
      <c r="FPT619" s="5" t="s">
        <v>3728</v>
      </c>
      <c r="FPU619" s="17">
        <v>44925</v>
      </c>
      <c r="FPV619" s="5" t="s">
        <v>3728</v>
      </c>
      <c r="FPW619" s="17">
        <v>44925</v>
      </c>
      <c r="FPX619" s="5" t="s">
        <v>3728</v>
      </c>
      <c r="FPY619" s="17">
        <v>44925</v>
      </c>
      <c r="FPZ619" s="5" t="s">
        <v>3728</v>
      </c>
      <c r="FQA619" s="17">
        <v>44925</v>
      </c>
      <c r="FQB619" s="5" t="s">
        <v>3728</v>
      </c>
      <c r="FQC619" s="17">
        <v>44925</v>
      </c>
      <c r="FQD619" s="5" t="s">
        <v>3728</v>
      </c>
      <c r="FQE619" s="17">
        <v>44925</v>
      </c>
      <c r="FQF619" s="5" t="s">
        <v>3728</v>
      </c>
      <c r="FQG619" s="17">
        <v>44925</v>
      </c>
      <c r="FQH619" s="5" t="s">
        <v>3728</v>
      </c>
      <c r="FQI619" s="17">
        <v>44925</v>
      </c>
      <c r="FQJ619" s="5" t="s">
        <v>3728</v>
      </c>
      <c r="FQK619" s="17">
        <v>44925</v>
      </c>
      <c r="FQL619" s="5" t="s">
        <v>3728</v>
      </c>
      <c r="FQM619" s="17">
        <v>44925</v>
      </c>
      <c r="FQN619" s="5" t="s">
        <v>3728</v>
      </c>
      <c r="FQO619" s="17">
        <v>44925</v>
      </c>
      <c r="FQP619" s="5" t="s">
        <v>3728</v>
      </c>
      <c r="FQQ619" s="17">
        <v>44925</v>
      </c>
      <c r="FQR619" s="5" t="s">
        <v>3728</v>
      </c>
      <c r="FQS619" s="17">
        <v>44925</v>
      </c>
      <c r="FQT619" s="5" t="s">
        <v>3728</v>
      </c>
      <c r="FQU619" s="17">
        <v>44925</v>
      </c>
      <c r="FQV619" s="5" t="s">
        <v>3728</v>
      </c>
      <c r="FQW619" s="17">
        <v>44925</v>
      </c>
      <c r="FQX619" s="5" t="s">
        <v>3728</v>
      </c>
      <c r="FQY619" s="17">
        <v>44925</v>
      </c>
      <c r="FQZ619" s="5" t="s">
        <v>3728</v>
      </c>
      <c r="FRA619" s="17">
        <v>44925</v>
      </c>
      <c r="FRB619" s="5" t="s">
        <v>3728</v>
      </c>
      <c r="FRC619" s="17">
        <v>44925</v>
      </c>
      <c r="FRD619" s="5" t="s">
        <v>3728</v>
      </c>
      <c r="FRE619" s="17">
        <v>44925</v>
      </c>
      <c r="FRF619" s="5" t="s">
        <v>3728</v>
      </c>
      <c r="FRG619" s="17">
        <v>44925</v>
      </c>
      <c r="FRH619" s="5" t="s">
        <v>3728</v>
      </c>
      <c r="FRI619" s="17">
        <v>44925</v>
      </c>
      <c r="FRJ619" s="5" t="s">
        <v>3728</v>
      </c>
      <c r="FRK619" s="17">
        <v>44925</v>
      </c>
      <c r="FRL619" s="5" t="s">
        <v>3728</v>
      </c>
      <c r="FRM619" s="17">
        <v>44925</v>
      </c>
      <c r="FRN619" s="5" t="s">
        <v>3728</v>
      </c>
      <c r="FRO619" s="17">
        <v>44925</v>
      </c>
      <c r="FRP619" s="5" t="s">
        <v>3728</v>
      </c>
      <c r="FRQ619" s="17">
        <v>44925</v>
      </c>
      <c r="FRR619" s="5" t="s">
        <v>3728</v>
      </c>
      <c r="FRS619" s="17">
        <v>44925</v>
      </c>
      <c r="FRT619" s="5" t="s">
        <v>3728</v>
      </c>
      <c r="FRU619" s="17">
        <v>44925</v>
      </c>
      <c r="FRV619" s="5" t="s">
        <v>3728</v>
      </c>
      <c r="FRW619" s="17">
        <v>44925</v>
      </c>
      <c r="FRX619" s="5" t="s">
        <v>3728</v>
      </c>
      <c r="FRY619" s="17">
        <v>44925</v>
      </c>
      <c r="FRZ619" s="5" t="s">
        <v>3728</v>
      </c>
      <c r="FSA619" s="17">
        <v>44925</v>
      </c>
      <c r="FSB619" s="5" t="s">
        <v>3728</v>
      </c>
      <c r="FSC619" s="17">
        <v>44925</v>
      </c>
      <c r="FSD619" s="5" t="s">
        <v>3728</v>
      </c>
      <c r="FSE619" s="17">
        <v>44925</v>
      </c>
      <c r="FSF619" s="5" t="s">
        <v>3728</v>
      </c>
      <c r="FSG619" s="17">
        <v>44925</v>
      </c>
      <c r="FSH619" s="5" t="s">
        <v>3728</v>
      </c>
      <c r="FSI619" s="17">
        <v>44925</v>
      </c>
      <c r="FSJ619" s="5" t="s">
        <v>3728</v>
      </c>
      <c r="FSK619" s="17">
        <v>44925</v>
      </c>
      <c r="FSL619" s="5" t="s">
        <v>3728</v>
      </c>
      <c r="FSM619" s="17">
        <v>44925</v>
      </c>
      <c r="FSN619" s="5" t="s">
        <v>3728</v>
      </c>
      <c r="FSO619" s="17">
        <v>44925</v>
      </c>
      <c r="FSP619" s="5" t="s">
        <v>3728</v>
      </c>
      <c r="FSQ619" s="17">
        <v>44925</v>
      </c>
      <c r="FSR619" s="5" t="s">
        <v>3728</v>
      </c>
      <c r="FSS619" s="17">
        <v>44925</v>
      </c>
      <c r="FST619" s="5" t="s">
        <v>3728</v>
      </c>
      <c r="FSU619" s="17">
        <v>44925</v>
      </c>
      <c r="FSV619" s="5" t="s">
        <v>3728</v>
      </c>
      <c r="FSW619" s="17">
        <v>44925</v>
      </c>
      <c r="FSX619" s="5" t="s">
        <v>3728</v>
      </c>
      <c r="FSY619" s="17">
        <v>44925</v>
      </c>
      <c r="FSZ619" s="5" t="s">
        <v>3728</v>
      </c>
      <c r="FTA619" s="17">
        <v>44925</v>
      </c>
      <c r="FTB619" s="5" t="s">
        <v>3728</v>
      </c>
      <c r="FTC619" s="17">
        <v>44925</v>
      </c>
      <c r="FTD619" s="5" t="s">
        <v>3728</v>
      </c>
      <c r="FTE619" s="17">
        <v>44925</v>
      </c>
      <c r="FTF619" s="5" t="s">
        <v>3728</v>
      </c>
      <c r="FTG619" s="17">
        <v>44925</v>
      </c>
      <c r="FTH619" s="5" t="s">
        <v>3728</v>
      </c>
      <c r="FTI619" s="17">
        <v>44925</v>
      </c>
      <c r="FTJ619" s="5" t="s">
        <v>3728</v>
      </c>
      <c r="FTK619" s="17">
        <v>44925</v>
      </c>
      <c r="FTL619" s="5" t="s">
        <v>3728</v>
      </c>
      <c r="FTM619" s="17">
        <v>44925</v>
      </c>
      <c r="FTN619" s="5" t="s">
        <v>3728</v>
      </c>
      <c r="FTO619" s="17">
        <v>44925</v>
      </c>
      <c r="FTP619" s="5" t="s">
        <v>3728</v>
      </c>
      <c r="FTQ619" s="17">
        <v>44925</v>
      </c>
      <c r="FTR619" s="5" t="s">
        <v>3728</v>
      </c>
      <c r="FTS619" s="17">
        <v>44925</v>
      </c>
      <c r="FTT619" s="5" t="s">
        <v>3728</v>
      </c>
      <c r="FTU619" s="17">
        <v>44925</v>
      </c>
      <c r="FTV619" s="5" t="s">
        <v>3728</v>
      </c>
      <c r="FTW619" s="17">
        <v>44925</v>
      </c>
      <c r="FTX619" s="5" t="s">
        <v>3728</v>
      </c>
      <c r="FTY619" s="17">
        <v>44925</v>
      </c>
      <c r="FTZ619" s="5" t="s">
        <v>3728</v>
      </c>
      <c r="FUA619" s="17">
        <v>44925</v>
      </c>
      <c r="FUB619" s="5" t="s">
        <v>3728</v>
      </c>
      <c r="FUC619" s="17">
        <v>44925</v>
      </c>
      <c r="FUD619" s="5" t="s">
        <v>3728</v>
      </c>
      <c r="FUE619" s="17">
        <v>44925</v>
      </c>
      <c r="FUF619" s="5" t="s">
        <v>3728</v>
      </c>
      <c r="FUG619" s="17">
        <v>44925</v>
      </c>
      <c r="FUH619" s="5" t="s">
        <v>3728</v>
      </c>
      <c r="FUI619" s="17">
        <v>44925</v>
      </c>
      <c r="FUJ619" s="5" t="s">
        <v>3728</v>
      </c>
      <c r="FUK619" s="17">
        <v>44925</v>
      </c>
      <c r="FUL619" s="5" t="s">
        <v>3728</v>
      </c>
      <c r="FUM619" s="17">
        <v>44925</v>
      </c>
      <c r="FUN619" s="5" t="s">
        <v>3728</v>
      </c>
      <c r="FUO619" s="17">
        <v>44925</v>
      </c>
      <c r="FUP619" s="5" t="s">
        <v>3728</v>
      </c>
      <c r="FUQ619" s="17">
        <v>44925</v>
      </c>
      <c r="FUR619" s="5" t="s">
        <v>3728</v>
      </c>
      <c r="FUS619" s="17">
        <v>44925</v>
      </c>
      <c r="FUT619" s="5" t="s">
        <v>3728</v>
      </c>
      <c r="FUU619" s="17">
        <v>44925</v>
      </c>
      <c r="FUV619" s="5" t="s">
        <v>3728</v>
      </c>
      <c r="FUW619" s="17">
        <v>44925</v>
      </c>
      <c r="FUX619" s="5" t="s">
        <v>3728</v>
      </c>
      <c r="FUY619" s="17">
        <v>44925</v>
      </c>
      <c r="FUZ619" s="5" t="s">
        <v>3728</v>
      </c>
      <c r="FVA619" s="17">
        <v>44925</v>
      </c>
      <c r="FVB619" s="5" t="s">
        <v>3728</v>
      </c>
      <c r="FVC619" s="17">
        <v>44925</v>
      </c>
      <c r="FVD619" s="5" t="s">
        <v>3728</v>
      </c>
      <c r="FVE619" s="17">
        <v>44925</v>
      </c>
      <c r="FVF619" s="5" t="s">
        <v>3728</v>
      </c>
      <c r="FVG619" s="17">
        <v>44925</v>
      </c>
      <c r="FVH619" s="5" t="s">
        <v>3728</v>
      </c>
      <c r="FVI619" s="17">
        <v>44925</v>
      </c>
      <c r="FVJ619" s="5" t="s">
        <v>3728</v>
      </c>
      <c r="FVK619" s="17">
        <v>44925</v>
      </c>
      <c r="FVL619" s="5" t="s">
        <v>3728</v>
      </c>
      <c r="FVM619" s="17">
        <v>44925</v>
      </c>
      <c r="FVN619" s="5" t="s">
        <v>3728</v>
      </c>
      <c r="FVO619" s="17">
        <v>44925</v>
      </c>
      <c r="FVP619" s="5" t="s">
        <v>3728</v>
      </c>
      <c r="FVQ619" s="17">
        <v>44925</v>
      </c>
      <c r="FVR619" s="5" t="s">
        <v>3728</v>
      </c>
      <c r="FVS619" s="17">
        <v>44925</v>
      </c>
      <c r="FVT619" s="5" t="s">
        <v>3728</v>
      </c>
      <c r="FVU619" s="17">
        <v>44925</v>
      </c>
      <c r="FVV619" s="5" t="s">
        <v>3728</v>
      </c>
      <c r="FVW619" s="17">
        <v>44925</v>
      </c>
      <c r="FVX619" s="5" t="s">
        <v>3728</v>
      </c>
      <c r="FVY619" s="17">
        <v>44925</v>
      </c>
      <c r="FVZ619" s="5" t="s">
        <v>3728</v>
      </c>
      <c r="FWA619" s="17">
        <v>44925</v>
      </c>
      <c r="FWB619" s="5" t="s">
        <v>3728</v>
      </c>
      <c r="FWC619" s="17">
        <v>44925</v>
      </c>
      <c r="FWD619" s="5" t="s">
        <v>3728</v>
      </c>
      <c r="FWE619" s="17">
        <v>44925</v>
      </c>
      <c r="FWF619" s="5" t="s">
        <v>3728</v>
      </c>
      <c r="FWG619" s="17">
        <v>44925</v>
      </c>
      <c r="FWH619" s="5" t="s">
        <v>3728</v>
      </c>
      <c r="FWI619" s="17">
        <v>44925</v>
      </c>
      <c r="FWJ619" s="5" t="s">
        <v>3728</v>
      </c>
      <c r="FWK619" s="17">
        <v>44925</v>
      </c>
      <c r="FWL619" s="5" t="s">
        <v>3728</v>
      </c>
      <c r="FWM619" s="17">
        <v>44925</v>
      </c>
      <c r="FWN619" s="5" t="s">
        <v>3728</v>
      </c>
      <c r="FWO619" s="17">
        <v>44925</v>
      </c>
      <c r="FWP619" s="5" t="s">
        <v>3728</v>
      </c>
      <c r="FWQ619" s="17">
        <v>44925</v>
      </c>
      <c r="FWR619" s="5" t="s">
        <v>3728</v>
      </c>
      <c r="FWS619" s="17">
        <v>44925</v>
      </c>
      <c r="FWT619" s="5" t="s">
        <v>3728</v>
      </c>
      <c r="FWU619" s="17">
        <v>44925</v>
      </c>
      <c r="FWV619" s="5" t="s">
        <v>3728</v>
      </c>
      <c r="FWW619" s="17">
        <v>44925</v>
      </c>
      <c r="FWX619" s="5" t="s">
        <v>3728</v>
      </c>
      <c r="FWY619" s="17">
        <v>44925</v>
      </c>
      <c r="FWZ619" s="5" t="s">
        <v>3728</v>
      </c>
      <c r="FXA619" s="17">
        <v>44925</v>
      </c>
      <c r="FXB619" s="5" t="s">
        <v>3728</v>
      </c>
      <c r="FXC619" s="17">
        <v>44925</v>
      </c>
      <c r="FXD619" s="5" t="s">
        <v>3728</v>
      </c>
      <c r="FXE619" s="17">
        <v>44925</v>
      </c>
      <c r="FXF619" s="5" t="s">
        <v>3728</v>
      </c>
      <c r="FXG619" s="17">
        <v>44925</v>
      </c>
      <c r="FXH619" s="5" t="s">
        <v>3728</v>
      </c>
      <c r="FXI619" s="17">
        <v>44925</v>
      </c>
      <c r="FXJ619" s="5" t="s">
        <v>3728</v>
      </c>
      <c r="FXK619" s="17">
        <v>44925</v>
      </c>
      <c r="FXL619" s="5" t="s">
        <v>3728</v>
      </c>
      <c r="FXM619" s="17">
        <v>44925</v>
      </c>
      <c r="FXN619" s="5" t="s">
        <v>3728</v>
      </c>
      <c r="FXO619" s="17">
        <v>44925</v>
      </c>
      <c r="FXP619" s="5" t="s">
        <v>3728</v>
      </c>
      <c r="FXQ619" s="17">
        <v>44925</v>
      </c>
      <c r="FXR619" s="5" t="s">
        <v>3728</v>
      </c>
      <c r="FXS619" s="17">
        <v>44925</v>
      </c>
      <c r="FXT619" s="5" t="s">
        <v>3728</v>
      </c>
      <c r="FXU619" s="17">
        <v>44925</v>
      </c>
      <c r="FXV619" s="5" t="s">
        <v>3728</v>
      </c>
      <c r="FXW619" s="17">
        <v>44925</v>
      </c>
      <c r="FXX619" s="5" t="s">
        <v>3728</v>
      </c>
      <c r="FXY619" s="17">
        <v>44925</v>
      </c>
      <c r="FXZ619" s="5" t="s">
        <v>3728</v>
      </c>
      <c r="FYA619" s="17">
        <v>44925</v>
      </c>
      <c r="FYB619" s="5" t="s">
        <v>3728</v>
      </c>
      <c r="FYC619" s="17">
        <v>44925</v>
      </c>
      <c r="FYD619" s="5" t="s">
        <v>3728</v>
      </c>
      <c r="FYE619" s="17">
        <v>44925</v>
      </c>
      <c r="FYF619" s="5" t="s">
        <v>3728</v>
      </c>
      <c r="FYG619" s="17">
        <v>44925</v>
      </c>
      <c r="FYH619" s="5" t="s">
        <v>3728</v>
      </c>
      <c r="FYI619" s="17">
        <v>44925</v>
      </c>
      <c r="FYJ619" s="5" t="s">
        <v>3728</v>
      </c>
      <c r="FYK619" s="17">
        <v>44925</v>
      </c>
      <c r="FYL619" s="5" t="s">
        <v>3728</v>
      </c>
      <c r="FYM619" s="17">
        <v>44925</v>
      </c>
      <c r="FYN619" s="5" t="s">
        <v>3728</v>
      </c>
      <c r="FYO619" s="17">
        <v>44925</v>
      </c>
      <c r="FYP619" s="5" t="s">
        <v>3728</v>
      </c>
      <c r="FYQ619" s="17">
        <v>44925</v>
      </c>
      <c r="FYR619" s="5" t="s">
        <v>3728</v>
      </c>
      <c r="FYS619" s="17">
        <v>44925</v>
      </c>
      <c r="FYT619" s="5" t="s">
        <v>3728</v>
      </c>
      <c r="FYU619" s="17">
        <v>44925</v>
      </c>
      <c r="FYV619" s="5" t="s">
        <v>3728</v>
      </c>
      <c r="FYW619" s="17">
        <v>44925</v>
      </c>
      <c r="FYX619" s="5" t="s">
        <v>3728</v>
      </c>
      <c r="FYY619" s="17">
        <v>44925</v>
      </c>
      <c r="FYZ619" s="5" t="s">
        <v>3728</v>
      </c>
      <c r="FZA619" s="17">
        <v>44925</v>
      </c>
      <c r="FZB619" s="5" t="s">
        <v>3728</v>
      </c>
      <c r="FZC619" s="17">
        <v>44925</v>
      </c>
      <c r="FZD619" s="5" t="s">
        <v>3728</v>
      </c>
      <c r="FZE619" s="17">
        <v>44925</v>
      </c>
      <c r="FZF619" s="5" t="s">
        <v>3728</v>
      </c>
      <c r="FZG619" s="17">
        <v>44925</v>
      </c>
      <c r="FZH619" s="5" t="s">
        <v>3728</v>
      </c>
      <c r="FZI619" s="17">
        <v>44925</v>
      </c>
      <c r="FZJ619" s="5" t="s">
        <v>3728</v>
      </c>
      <c r="FZK619" s="17">
        <v>44925</v>
      </c>
      <c r="FZL619" s="5" t="s">
        <v>3728</v>
      </c>
      <c r="FZM619" s="17">
        <v>44925</v>
      </c>
      <c r="FZN619" s="5" t="s">
        <v>3728</v>
      </c>
      <c r="FZO619" s="17">
        <v>44925</v>
      </c>
      <c r="FZP619" s="5" t="s">
        <v>3728</v>
      </c>
      <c r="FZQ619" s="17">
        <v>44925</v>
      </c>
      <c r="FZR619" s="5" t="s">
        <v>3728</v>
      </c>
      <c r="FZS619" s="17">
        <v>44925</v>
      </c>
      <c r="FZT619" s="5" t="s">
        <v>3728</v>
      </c>
      <c r="FZU619" s="17">
        <v>44925</v>
      </c>
      <c r="FZV619" s="5" t="s">
        <v>3728</v>
      </c>
      <c r="FZW619" s="17">
        <v>44925</v>
      </c>
      <c r="FZX619" s="5" t="s">
        <v>3728</v>
      </c>
      <c r="FZY619" s="17">
        <v>44925</v>
      </c>
      <c r="FZZ619" s="5" t="s">
        <v>3728</v>
      </c>
      <c r="GAA619" s="17">
        <v>44925</v>
      </c>
      <c r="GAB619" s="5" t="s">
        <v>3728</v>
      </c>
      <c r="GAC619" s="17">
        <v>44925</v>
      </c>
      <c r="GAD619" s="5" t="s">
        <v>3728</v>
      </c>
      <c r="GAE619" s="17">
        <v>44925</v>
      </c>
      <c r="GAF619" s="5" t="s">
        <v>3728</v>
      </c>
      <c r="GAG619" s="17">
        <v>44925</v>
      </c>
      <c r="GAH619" s="5" t="s">
        <v>3728</v>
      </c>
      <c r="GAI619" s="17">
        <v>44925</v>
      </c>
      <c r="GAJ619" s="5" t="s">
        <v>3728</v>
      </c>
      <c r="GAK619" s="17">
        <v>44925</v>
      </c>
      <c r="GAL619" s="5" t="s">
        <v>3728</v>
      </c>
      <c r="GAM619" s="17">
        <v>44925</v>
      </c>
      <c r="GAN619" s="5" t="s">
        <v>3728</v>
      </c>
      <c r="GAO619" s="17">
        <v>44925</v>
      </c>
      <c r="GAP619" s="5" t="s">
        <v>3728</v>
      </c>
      <c r="GAQ619" s="17">
        <v>44925</v>
      </c>
      <c r="GAR619" s="5" t="s">
        <v>3728</v>
      </c>
      <c r="GAS619" s="17">
        <v>44925</v>
      </c>
      <c r="GAT619" s="5" t="s">
        <v>3728</v>
      </c>
      <c r="GAU619" s="17">
        <v>44925</v>
      </c>
      <c r="GAV619" s="5" t="s">
        <v>3728</v>
      </c>
      <c r="GAW619" s="17">
        <v>44925</v>
      </c>
      <c r="GAX619" s="5" t="s">
        <v>3728</v>
      </c>
      <c r="GAY619" s="17">
        <v>44925</v>
      </c>
      <c r="GAZ619" s="5" t="s">
        <v>3728</v>
      </c>
      <c r="GBA619" s="17">
        <v>44925</v>
      </c>
      <c r="GBB619" s="5" t="s">
        <v>3728</v>
      </c>
      <c r="GBC619" s="17">
        <v>44925</v>
      </c>
      <c r="GBD619" s="5" t="s">
        <v>3728</v>
      </c>
      <c r="GBE619" s="17">
        <v>44925</v>
      </c>
      <c r="GBF619" s="5" t="s">
        <v>3728</v>
      </c>
      <c r="GBG619" s="17">
        <v>44925</v>
      </c>
      <c r="GBH619" s="5" t="s">
        <v>3728</v>
      </c>
      <c r="GBI619" s="17">
        <v>44925</v>
      </c>
      <c r="GBJ619" s="5" t="s">
        <v>3728</v>
      </c>
      <c r="GBK619" s="17">
        <v>44925</v>
      </c>
      <c r="GBL619" s="5" t="s">
        <v>3728</v>
      </c>
      <c r="GBM619" s="17">
        <v>44925</v>
      </c>
      <c r="GBN619" s="5" t="s">
        <v>3728</v>
      </c>
      <c r="GBO619" s="17">
        <v>44925</v>
      </c>
      <c r="GBP619" s="5" t="s">
        <v>3728</v>
      </c>
      <c r="GBQ619" s="17">
        <v>44925</v>
      </c>
      <c r="GBR619" s="5" t="s">
        <v>3728</v>
      </c>
      <c r="GBS619" s="17">
        <v>44925</v>
      </c>
      <c r="GBT619" s="5" t="s">
        <v>3728</v>
      </c>
      <c r="GBU619" s="17">
        <v>44925</v>
      </c>
      <c r="GBV619" s="5" t="s">
        <v>3728</v>
      </c>
      <c r="GBW619" s="17">
        <v>44925</v>
      </c>
      <c r="GBX619" s="5" t="s">
        <v>3728</v>
      </c>
      <c r="GBY619" s="17">
        <v>44925</v>
      </c>
      <c r="GBZ619" s="5" t="s">
        <v>3728</v>
      </c>
      <c r="GCA619" s="17">
        <v>44925</v>
      </c>
      <c r="GCB619" s="5" t="s">
        <v>3728</v>
      </c>
      <c r="GCC619" s="17">
        <v>44925</v>
      </c>
      <c r="GCD619" s="5" t="s">
        <v>3728</v>
      </c>
      <c r="GCE619" s="17">
        <v>44925</v>
      </c>
      <c r="GCF619" s="5" t="s">
        <v>3728</v>
      </c>
      <c r="GCG619" s="17">
        <v>44925</v>
      </c>
      <c r="GCH619" s="5" t="s">
        <v>3728</v>
      </c>
      <c r="GCI619" s="17">
        <v>44925</v>
      </c>
      <c r="GCJ619" s="5" t="s">
        <v>3728</v>
      </c>
      <c r="GCK619" s="17">
        <v>44925</v>
      </c>
      <c r="GCL619" s="5" t="s">
        <v>3728</v>
      </c>
      <c r="GCM619" s="17">
        <v>44925</v>
      </c>
      <c r="GCN619" s="5" t="s">
        <v>3728</v>
      </c>
      <c r="GCO619" s="17">
        <v>44925</v>
      </c>
      <c r="GCP619" s="5" t="s">
        <v>3728</v>
      </c>
      <c r="GCQ619" s="17">
        <v>44925</v>
      </c>
      <c r="GCR619" s="5" t="s">
        <v>3728</v>
      </c>
      <c r="GCS619" s="17">
        <v>44925</v>
      </c>
      <c r="GCT619" s="5" t="s">
        <v>3728</v>
      </c>
      <c r="GCU619" s="17">
        <v>44925</v>
      </c>
      <c r="GCV619" s="5" t="s">
        <v>3728</v>
      </c>
      <c r="GCW619" s="17">
        <v>44925</v>
      </c>
      <c r="GCX619" s="5" t="s">
        <v>3728</v>
      </c>
      <c r="GCY619" s="17">
        <v>44925</v>
      </c>
      <c r="GCZ619" s="5" t="s">
        <v>3728</v>
      </c>
      <c r="GDA619" s="17">
        <v>44925</v>
      </c>
      <c r="GDB619" s="5" t="s">
        <v>3728</v>
      </c>
      <c r="GDC619" s="17">
        <v>44925</v>
      </c>
      <c r="GDD619" s="5" t="s">
        <v>3728</v>
      </c>
      <c r="GDE619" s="17">
        <v>44925</v>
      </c>
      <c r="GDF619" s="5" t="s">
        <v>3728</v>
      </c>
      <c r="GDG619" s="17">
        <v>44925</v>
      </c>
      <c r="GDH619" s="5" t="s">
        <v>3728</v>
      </c>
      <c r="GDI619" s="17">
        <v>44925</v>
      </c>
      <c r="GDJ619" s="5" t="s">
        <v>3728</v>
      </c>
      <c r="GDK619" s="17">
        <v>44925</v>
      </c>
      <c r="GDL619" s="5" t="s">
        <v>3728</v>
      </c>
      <c r="GDM619" s="17">
        <v>44925</v>
      </c>
      <c r="GDN619" s="5" t="s">
        <v>3728</v>
      </c>
      <c r="GDO619" s="17">
        <v>44925</v>
      </c>
      <c r="GDP619" s="5" t="s">
        <v>3728</v>
      </c>
      <c r="GDQ619" s="17">
        <v>44925</v>
      </c>
      <c r="GDR619" s="5" t="s">
        <v>3728</v>
      </c>
      <c r="GDS619" s="17">
        <v>44925</v>
      </c>
      <c r="GDT619" s="5" t="s">
        <v>3728</v>
      </c>
      <c r="GDU619" s="17">
        <v>44925</v>
      </c>
      <c r="GDV619" s="5" t="s">
        <v>3728</v>
      </c>
      <c r="GDW619" s="17">
        <v>44925</v>
      </c>
      <c r="GDX619" s="5" t="s">
        <v>3728</v>
      </c>
      <c r="GDY619" s="17">
        <v>44925</v>
      </c>
      <c r="GDZ619" s="5" t="s">
        <v>3728</v>
      </c>
      <c r="GEA619" s="17">
        <v>44925</v>
      </c>
      <c r="GEB619" s="5" t="s">
        <v>3728</v>
      </c>
      <c r="GEC619" s="17">
        <v>44925</v>
      </c>
      <c r="GED619" s="5" t="s">
        <v>3728</v>
      </c>
      <c r="GEE619" s="17">
        <v>44925</v>
      </c>
      <c r="GEF619" s="5" t="s">
        <v>3728</v>
      </c>
      <c r="GEG619" s="17">
        <v>44925</v>
      </c>
      <c r="GEH619" s="5" t="s">
        <v>3728</v>
      </c>
      <c r="GEI619" s="17">
        <v>44925</v>
      </c>
      <c r="GEJ619" s="5" t="s">
        <v>3728</v>
      </c>
      <c r="GEK619" s="17">
        <v>44925</v>
      </c>
      <c r="GEL619" s="5" t="s">
        <v>3728</v>
      </c>
      <c r="GEM619" s="17">
        <v>44925</v>
      </c>
      <c r="GEN619" s="5" t="s">
        <v>3728</v>
      </c>
      <c r="GEO619" s="17">
        <v>44925</v>
      </c>
      <c r="GEP619" s="5" t="s">
        <v>3728</v>
      </c>
      <c r="GEQ619" s="17">
        <v>44925</v>
      </c>
      <c r="GER619" s="5" t="s">
        <v>3728</v>
      </c>
      <c r="GES619" s="17">
        <v>44925</v>
      </c>
      <c r="GET619" s="5" t="s">
        <v>3728</v>
      </c>
      <c r="GEU619" s="17">
        <v>44925</v>
      </c>
      <c r="GEV619" s="5" t="s">
        <v>3728</v>
      </c>
      <c r="GEW619" s="17">
        <v>44925</v>
      </c>
      <c r="GEX619" s="5" t="s">
        <v>3728</v>
      </c>
      <c r="GEY619" s="17">
        <v>44925</v>
      </c>
      <c r="GEZ619" s="5" t="s">
        <v>3728</v>
      </c>
      <c r="GFA619" s="17">
        <v>44925</v>
      </c>
      <c r="GFB619" s="5" t="s">
        <v>3728</v>
      </c>
      <c r="GFC619" s="17">
        <v>44925</v>
      </c>
      <c r="GFD619" s="5" t="s">
        <v>3728</v>
      </c>
      <c r="GFE619" s="17">
        <v>44925</v>
      </c>
      <c r="GFF619" s="5" t="s">
        <v>3728</v>
      </c>
      <c r="GFG619" s="17">
        <v>44925</v>
      </c>
      <c r="GFH619" s="5" t="s">
        <v>3728</v>
      </c>
      <c r="GFI619" s="17">
        <v>44925</v>
      </c>
      <c r="GFJ619" s="5" t="s">
        <v>3728</v>
      </c>
      <c r="GFK619" s="17">
        <v>44925</v>
      </c>
      <c r="GFL619" s="5" t="s">
        <v>3728</v>
      </c>
      <c r="GFM619" s="17">
        <v>44925</v>
      </c>
      <c r="GFN619" s="5" t="s">
        <v>3728</v>
      </c>
      <c r="GFO619" s="17">
        <v>44925</v>
      </c>
      <c r="GFP619" s="5" t="s">
        <v>3728</v>
      </c>
      <c r="GFQ619" s="17">
        <v>44925</v>
      </c>
      <c r="GFR619" s="5" t="s">
        <v>3728</v>
      </c>
      <c r="GFS619" s="17">
        <v>44925</v>
      </c>
      <c r="GFT619" s="5" t="s">
        <v>3728</v>
      </c>
      <c r="GFU619" s="17">
        <v>44925</v>
      </c>
      <c r="GFV619" s="5" t="s">
        <v>3728</v>
      </c>
      <c r="GFW619" s="17">
        <v>44925</v>
      </c>
      <c r="GFX619" s="5" t="s">
        <v>3728</v>
      </c>
      <c r="GFY619" s="17">
        <v>44925</v>
      </c>
      <c r="GFZ619" s="5" t="s">
        <v>3728</v>
      </c>
      <c r="GGA619" s="17">
        <v>44925</v>
      </c>
      <c r="GGB619" s="5" t="s">
        <v>3728</v>
      </c>
      <c r="GGC619" s="17">
        <v>44925</v>
      </c>
      <c r="GGD619" s="5" t="s">
        <v>3728</v>
      </c>
      <c r="GGE619" s="17">
        <v>44925</v>
      </c>
      <c r="GGF619" s="5" t="s">
        <v>3728</v>
      </c>
      <c r="GGG619" s="17">
        <v>44925</v>
      </c>
      <c r="GGH619" s="5" t="s">
        <v>3728</v>
      </c>
      <c r="GGI619" s="17">
        <v>44925</v>
      </c>
      <c r="GGJ619" s="5" t="s">
        <v>3728</v>
      </c>
      <c r="GGK619" s="17">
        <v>44925</v>
      </c>
      <c r="GGL619" s="5" t="s">
        <v>3728</v>
      </c>
      <c r="GGM619" s="17">
        <v>44925</v>
      </c>
      <c r="GGN619" s="5" t="s">
        <v>3728</v>
      </c>
      <c r="GGO619" s="17">
        <v>44925</v>
      </c>
      <c r="GGP619" s="5" t="s">
        <v>3728</v>
      </c>
      <c r="GGQ619" s="17">
        <v>44925</v>
      </c>
      <c r="GGR619" s="5" t="s">
        <v>3728</v>
      </c>
      <c r="GGS619" s="17">
        <v>44925</v>
      </c>
      <c r="GGT619" s="5" t="s">
        <v>3728</v>
      </c>
      <c r="GGU619" s="17">
        <v>44925</v>
      </c>
      <c r="GGV619" s="5" t="s">
        <v>3728</v>
      </c>
      <c r="GGW619" s="17">
        <v>44925</v>
      </c>
      <c r="GGX619" s="5" t="s">
        <v>3728</v>
      </c>
      <c r="GGY619" s="17">
        <v>44925</v>
      </c>
      <c r="GGZ619" s="5" t="s">
        <v>3728</v>
      </c>
      <c r="GHA619" s="17">
        <v>44925</v>
      </c>
      <c r="GHB619" s="5" t="s">
        <v>3728</v>
      </c>
      <c r="GHC619" s="17">
        <v>44925</v>
      </c>
      <c r="GHD619" s="5" t="s">
        <v>3728</v>
      </c>
      <c r="GHE619" s="17">
        <v>44925</v>
      </c>
      <c r="GHF619" s="5" t="s">
        <v>3728</v>
      </c>
      <c r="GHG619" s="17">
        <v>44925</v>
      </c>
      <c r="GHH619" s="5" t="s">
        <v>3728</v>
      </c>
      <c r="GHI619" s="17">
        <v>44925</v>
      </c>
      <c r="GHJ619" s="5" t="s">
        <v>3728</v>
      </c>
      <c r="GHK619" s="17">
        <v>44925</v>
      </c>
      <c r="GHL619" s="5" t="s">
        <v>3728</v>
      </c>
      <c r="GHM619" s="17">
        <v>44925</v>
      </c>
      <c r="GHN619" s="5" t="s">
        <v>3728</v>
      </c>
      <c r="GHO619" s="17">
        <v>44925</v>
      </c>
      <c r="GHP619" s="5" t="s">
        <v>3728</v>
      </c>
      <c r="GHQ619" s="17">
        <v>44925</v>
      </c>
      <c r="GHR619" s="5" t="s">
        <v>3728</v>
      </c>
      <c r="GHS619" s="17">
        <v>44925</v>
      </c>
      <c r="GHT619" s="5" t="s">
        <v>3728</v>
      </c>
      <c r="GHU619" s="17">
        <v>44925</v>
      </c>
      <c r="GHV619" s="5" t="s">
        <v>3728</v>
      </c>
      <c r="GHW619" s="17">
        <v>44925</v>
      </c>
      <c r="GHX619" s="5" t="s">
        <v>3728</v>
      </c>
      <c r="GHY619" s="17">
        <v>44925</v>
      </c>
      <c r="GHZ619" s="5" t="s">
        <v>3728</v>
      </c>
      <c r="GIA619" s="17">
        <v>44925</v>
      </c>
      <c r="GIB619" s="5" t="s">
        <v>3728</v>
      </c>
      <c r="GIC619" s="17">
        <v>44925</v>
      </c>
      <c r="GID619" s="5" t="s">
        <v>3728</v>
      </c>
      <c r="GIE619" s="17">
        <v>44925</v>
      </c>
      <c r="GIF619" s="5" t="s">
        <v>3728</v>
      </c>
      <c r="GIG619" s="17">
        <v>44925</v>
      </c>
      <c r="GIH619" s="5" t="s">
        <v>3728</v>
      </c>
      <c r="GII619" s="17">
        <v>44925</v>
      </c>
      <c r="GIJ619" s="5" t="s">
        <v>3728</v>
      </c>
      <c r="GIK619" s="17">
        <v>44925</v>
      </c>
      <c r="GIL619" s="5" t="s">
        <v>3728</v>
      </c>
      <c r="GIM619" s="17">
        <v>44925</v>
      </c>
      <c r="GIN619" s="5" t="s">
        <v>3728</v>
      </c>
      <c r="GIO619" s="17">
        <v>44925</v>
      </c>
      <c r="GIP619" s="5" t="s">
        <v>3728</v>
      </c>
      <c r="GIQ619" s="17">
        <v>44925</v>
      </c>
      <c r="GIR619" s="5" t="s">
        <v>3728</v>
      </c>
      <c r="GIS619" s="17">
        <v>44925</v>
      </c>
      <c r="GIT619" s="5" t="s">
        <v>3728</v>
      </c>
      <c r="GIU619" s="17">
        <v>44925</v>
      </c>
      <c r="GIV619" s="5" t="s">
        <v>3728</v>
      </c>
      <c r="GIW619" s="17">
        <v>44925</v>
      </c>
      <c r="GIX619" s="5" t="s">
        <v>3728</v>
      </c>
      <c r="GIY619" s="17">
        <v>44925</v>
      </c>
      <c r="GIZ619" s="5" t="s">
        <v>3728</v>
      </c>
      <c r="GJA619" s="17">
        <v>44925</v>
      </c>
      <c r="GJB619" s="5" t="s">
        <v>3728</v>
      </c>
      <c r="GJC619" s="17">
        <v>44925</v>
      </c>
      <c r="GJD619" s="5" t="s">
        <v>3728</v>
      </c>
      <c r="GJE619" s="17">
        <v>44925</v>
      </c>
      <c r="GJF619" s="5" t="s">
        <v>3728</v>
      </c>
      <c r="GJG619" s="17">
        <v>44925</v>
      </c>
      <c r="GJH619" s="5" t="s">
        <v>3728</v>
      </c>
      <c r="GJI619" s="17">
        <v>44925</v>
      </c>
      <c r="GJJ619" s="5" t="s">
        <v>3728</v>
      </c>
      <c r="GJK619" s="17">
        <v>44925</v>
      </c>
      <c r="GJL619" s="5" t="s">
        <v>3728</v>
      </c>
      <c r="GJM619" s="17">
        <v>44925</v>
      </c>
      <c r="GJN619" s="5" t="s">
        <v>3728</v>
      </c>
      <c r="GJO619" s="17">
        <v>44925</v>
      </c>
      <c r="GJP619" s="5" t="s">
        <v>3728</v>
      </c>
      <c r="GJQ619" s="17">
        <v>44925</v>
      </c>
      <c r="GJR619" s="5" t="s">
        <v>3728</v>
      </c>
      <c r="GJS619" s="17">
        <v>44925</v>
      </c>
      <c r="GJT619" s="5" t="s">
        <v>3728</v>
      </c>
      <c r="GJU619" s="17">
        <v>44925</v>
      </c>
      <c r="GJV619" s="5" t="s">
        <v>3728</v>
      </c>
      <c r="GJW619" s="17">
        <v>44925</v>
      </c>
      <c r="GJX619" s="5" t="s">
        <v>3728</v>
      </c>
      <c r="GJY619" s="17">
        <v>44925</v>
      </c>
      <c r="GJZ619" s="5" t="s">
        <v>3728</v>
      </c>
      <c r="GKA619" s="17">
        <v>44925</v>
      </c>
      <c r="GKB619" s="5" t="s">
        <v>3728</v>
      </c>
      <c r="GKC619" s="17">
        <v>44925</v>
      </c>
      <c r="GKD619" s="5" t="s">
        <v>3728</v>
      </c>
      <c r="GKE619" s="17">
        <v>44925</v>
      </c>
      <c r="GKF619" s="5" t="s">
        <v>3728</v>
      </c>
      <c r="GKG619" s="17">
        <v>44925</v>
      </c>
      <c r="GKH619" s="5" t="s">
        <v>3728</v>
      </c>
      <c r="GKI619" s="17">
        <v>44925</v>
      </c>
      <c r="GKJ619" s="5" t="s">
        <v>3728</v>
      </c>
      <c r="GKK619" s="17">
        <v>44925</v>
      </c>
      <c r="GKL619" s="5" t="s">
        <v>3728</v>
      </c>
      <c r="GKM619" s="17">
        <v>44925</v>
      </c>
      <c r="GKN619" s="5" t="s">
        <v>3728</v>
      </c>
      <c r="GKO619" s="17">
        <v>44925</v>
      </c>
      <c r="GKP619" s="5" t="s">
        <v>3728</v>
      </c>
      <c r="GKQ619" s="17">
        <v>44925</v>
      </c>
      <c r="GKR619" s="5" t="s">
        <v>3728</v>
      </c>
      <c r="GKS619" s="17">
        <v>44925</v>
      </c>
      <c r="GKT619" s="5" t="s">
        <v>3728</v>
      </c>
      <c r="GKU619" s="17">
        <v>44925</v>
      </c>
      <c r="GKV619" s="5" t="s">
        <v>3728</v>
      </c>
      <c r="GKW619" s="17">
        <v>44925</v>
      </c>
      <c r="GKX619" s="5" t="s">
        <v>3728</v>
      </c>
      <c r="GKY619" s="17">
        <v>44925</v>
      </c>
      <c r="GKZ619" s="5" t="s">
        <v>3728</v>
      </c>
      <c r="GLA619" s="17">
        <v>44925</v>
      </c>
      <c r="GLB619" s="5" t="s">
        <v>3728</v>
      </c>
      <c r="GLC619" s="17">
        <v>44925</v>
      </c>
      <c r="GLD619" s="5" t="s">
        <v>3728</v>
      </c>
      <c r="GLE619" s="17">
        <v>44925</v>
      </c>
      <c r="GLF619" s="5" t="s">
        <v>3728</v>
      </c>
      <c r="GLG619" s="17">
        <v>44925</v>
      </c>
      <c r="GLH619" s="5" t="s">
        <v>3728</v>
      </c>
      <c r="GLI619" s="17">
        <v>44925</v>
      </c>
      <c r="GLJ619" s="5" t="s">
        <v>3728</v>
      </c>
      <c r="GLK619" s="17">
        <v>44925</v>
      </c>
      <c r="GLL619" s="5" t="s">
        <v>3728</v>
      </c>
      <c r="GLM619" s="17">
        <v>44925</v>
      </c>
      <c r="GLN619" s="5" t="s">
        <v>3728</v>
      </c>
      <c r="GLO619" s="17">
        <v>44925</v>
      </c>
      <c r="GLP619" s="5" t="s">
        <v>3728</v>
      </c>
      <c r="GLQ619" s="17">
        <v>44925</v>
      </c>
      <c r="GLR619" s="5" t="s">
        <v>3728</v>
      </c>
      <c r="GLS619" s="17">
        <v>44925</v>
      </c>
      <c r="GLT619" s="5" t="s">
        <v>3728</v>
      </c>
      <c r="GLU619" s="17">
        <v>44925</v>
      </c>
      <c r="GLV619" s="5" t="s">
        <v>3728</v>
      </c>
      <c r="GLW619" s="17">
        <v>44925</v>
      </c>
      <c r="GLX619" s="5" t="s">
        <v>3728</v>
      </c>
      <c r="GLY619" s="17">
        <v>44925</v>
      </c>
      <c r="GLZ619" s="5" t="s">
        <v>3728</v>
      </c>
      <c r="GMA619" s="17">
        <v>44925</v>
      </c>
      <c r="GMB619" s="5" t="s">
        <v>3728</v>
      </c>
      <c r="GMC619" s="17">
        <v>44925</v>
      </c>
      <c r="GMD619" s="5" t="s">
        <v>3728</v>
      </c>
      <c r="GME619" s="17">
        <v>44925</v>
      </c>
      <c r="GMF619" s="5" t="s">
        <v>3728</v>
      </c>
      <c r="GMG619" s="17">
        <v>44925</v>
      </c>
      <c r="GMH619" s="5" t="s">
        <v>3728</v>
      </c>
      <c r="GMI619" s="17">
        <v>44925</v>
      </c>
      <c r="GMJ619" s="5" t="s">
        <v>3728</v>
      </c>
      <c r="GMK619" s="17">
        <v>44925</v>
      </c>
      <c r="GML619" s="5" t="s">
        <v>3728</v>
      </c>
      <c r="GMM619" s="17">
        <v>44925</v>
      </c>
      <c r="GMN619" s="5" t="s">
        <v>3728</v>
      </c>
      <c r="GMO619" s="17">
        <v>44925</v>
      </c>
      <c r="GMP619" s="5" t="s">
        <v>3728</v>
      </c>
      <c r="GMQ619" s="17">
        <v>44925</v>
      </c>
      <c r="GMR619" s="5" t="s">
        <v>3728</v>
      </c>
      <c r="GMS619" s="17">
        <v>44925</v>
      </c>
      <c r="GMT619" s="5" t="s">
        <v>3728</v>
      </c>
      <c r="GMU619" s="17">
        <v>44925</v>
      </c>
      <c r="GMV619" s="5" t="s">
        <v>3728</v>
      </c>
      <c r="GMW619" s="17">
        <v>44925</v>
      </c>
      <c r="GMX619" s="5" t="s">
        <v>3728</v>
      </c>
      <c r="GMY619" s="17">
        <v>44925</v>
      </c>
      <c r="GMZ619" s="5" t="s">
        <v>3728</v>
      </c>
      <c r="GNA619" s="17">
        <v>44925</v>
      </c>
      <c r="GNB619" s="5" t="s">
        <v>3728</v>
      </c>
      <c r="GNC619" s="17">
        <v>44925</v>
      </c>
      <c r="GND619" s="5" t="s">
        <v>3728</v>
      </c>
      <c r="GNE619" s="17">
        <v>44925</v>
      </c>
      <c r="GNF619" s="5" t="s">
        <v>3728</v>
      </c>
      <c r="GNG619" s="17">
        <v>44925</v>
      </c>
      <c r="GNH619" s="5" t="s">
        <v>3728</v>
      </c>
      <c r="GNI619" s="17">
        <v>44925</v>
      </c>
      <c r="GNJ619" s="5" t="s">
        <v>3728</v>
      </c>
      <c r="GNK619" s="17">
        <v>44925</v>
      </c>
      <c r="GNL619" s="5" t="s">
        <v>3728</v>
      </c>
      <c r="GNM619" s="17">
        <v>44925</v>
      </c>
      <c r="GNN619" s="5" t="s">
        <v>3728</v>
      </c>
      <c r="GNO619" s="17">
        <v>44925</v>
      </c>
      <c r="GNP619" s="5" t="s">
        <v>3728</v>
      </c>
      <c r="GNQ619" s="17">
        <v>44925</v>
      </c>
      <c r="GNR619" s="5" t="s">
        <v>3728</v>
      </c>
      <c r="GNS619" s="17">
        <v>44925</v>
      </c>
      <c r="GNT619" s="5" t="s">
        <v>3728</v>
      </c>
      <c r="GNU619" s="17">
        <v>44925</v>
      </c>
      <c r="GNV619" s="5" t="s">
        <v>3728</v>
      </c>
      <c r="GNW619" s="17">
        <v>44925</v>
      </c>
      <c r="GNX619" s="5" t="s">
        <v>3728</v>
      </c>
      <c r="GNY619" s="17">
        <v>44925</v>
      </c>
      <c r="GNZ619" s="5" t="s">
        <v>3728</v>
      </c>
      <c r="GOA619" s="17">
        <v>44925</v>
      </c>
      <c r="GOB619" s="5" t="s">
        <v>3728</v>
      </c>
      <c r="GOC619" s="17">
        <v>44925</v>
      </c>
      <c r="GOD619" s="5" t="s">
        <v>3728</v>
      </c>
      <c r="GOE619" s="17">
        <v>44925</v>
      </c>
      <c r="GOF619" s="5" t="s">
        <v>3728</v>
      </c>
      <c r="GOG619" s="17">
        <v>44925</v>
      </c>
      <c r="GOH619" s="5" t="s">
        <v>3728</v>
      </c>
      <c r="GOI619" s="17">
        <v>44925</v>
      </c>
      <c r="GOJ619" s="5" t="s">
        <v>3728</v>
      </c>
      <c r="GOK619" s="17">
        <v>44925</v>
      </c>
      <c r="GOL619" s="5" t="s">
        <v>3728</v>
      </c>
      <c r="GOM619" s="17">
        <v>44925</v>
      </c>
      <c r="GON619" s="5" t="s">
        <v>3728</v>
      </c>
      <c r="GOO619" s="17">
        <v>44925</v>
      </c>
      <c r="GOP619" s="5" t="s">
        <v>3728</v>
      </c>
      <c r="GOQ619" s="17">
        <v>44925</v>
      </c>
      <c r="GOR619" s="5" t="s">
        <v>3728</v>
      </c>
      <c r="GOS619" s="17">
        <v>44925</v>
      </c>
      <c r="GOT619" s="5" t="s">
        <v>3728</v>
      </c>
      <c r="GOU619" s="17">
        <v>44925</v>
      </c>
      <c r="GOV619" s="5" t="s">
        <v>3728</v>
      </c>
      <c r="GOW619" s="17">
        <v>44925</v>
      </c>
      <c r="GOX619" s="5" t="s">
        <v>3728</v>
      </c>
      <c r="GOY619" s="17">
        <v>44925</v>
      </c>
      <c r="GOZ619" s="5" t="s">
        <v>3728</v>
      </c>
      <c r="GPA619" s="17">
        <v>44925</v>
      </c>
      <c r="GPB619" s="5" t="s">
        <v>3728</v>
      </c>
      <c r="GPC619" s="17">
        <v>44925</v>
      </c>
      <c r="GPD619" s="5" t="s">
        <v>3728</v>
      </c>
      <c r="GPE619" s="17">
        <v>44925</v>
      </c>
      <c r="GPF619" s="5" t="s">
        <v>3728</v>
      </c>
      <c r="GPG619" s="17">
        <v>44925</v>
      </c>
      <c r="GPH619" s="5" t="s">
        <v>3728</v>
      </c>
      <c r="GPI619" s="17">
        <v>44925</v>
      </c>
      <c r="GPJ619" s="5" t="s">
        <v>3728</v>
      </c>
      <c r="GPK619" s="17">
        <v>44925</v>
      </c>
      <c r="GPL619" s="5" t="s">
        <v>3728</v>
      </c>
      <c r="GPM619" s="17">
        <v>44925</v>
      </c>
      <c r="GPN619" s="5" t="s">
        <v>3728</v>
      </c>
      <c r="GPO619" s="17">
        <v>44925</v>
      </c>
      <c r="GPP619" s="5" t="s">
        <v>3728</v>
      </c>
      <c r="GPQ619" s="17">
        <v>44925</v>
      </c>
      <c r="GPR619" s="5" t="s">
        <v>3728</v>
      </c>
      <c r="GPS619" s="17">
        <v>44925</v>
      </c>
      <c r="GPT619" s="5" t="s">
        <v>3728</v>
      </c>
      <c r="GPU619" s="17">
        <v>44925</v>
      </c>
      <c r="GPV619" s="5" t="s">
        <v>3728</v>
      </c>
      <c r="GPW619" s="17">
        <v>44925</v>
      </c>
      <c r="GPX619" s="5" t="s">
        <v>3728</v>
      </c>
      <c r="GPY619" s="17">
        <v>44925</v>
      </c>
      <c r="GPZ619" s="5" t="s">
        <v>3728</v>
      </c>
      <c r="GQA619" s="17">
        <v>44925</v>
      </c>
      <c r="GQB619" s="5" t="s">
        <v>3728</v>
      </c>
      <c r="GQC619" s="17">
        <v>44925</v>
      </c>
      <c r="GQD619" s="5" t="s">
        <v>3728</v>
      </c>
      <c r="GQE619" s="17">
        <v>44925</v>
      </c>
      <c r="GQF619" s="5" t="s">
        <v>3728</v>
      </c>
      <c r="GQG619" s="17">
        <v>44925</v>
      </c>
      <c r="GQH619" s="5" t="s">
        <v>3728</v>
      </c>
      <c r="GQI619" s="17">
        <v>44925</v>
      </c>
      <c r="GQJ619" s="5" t="s">
        <v>3728</v>
      </c>
      <c r="GQK619" s="17">
        <v>44925</v>
      </c>
      <c r="GQL619" s="5" t="s">
        <v>3728</v>
      </c>
      <c r="GQM619" s="17">
        <v>44925</v>
      </c>
      <c r="GQN619" s="5" t="s">
        <v>3728</v>
      </c>
      <c r="GQO619" s="17">
        <v>44925</v>
      </c>
      <c r="GQP619" s="5" t="s">
        <v>3728</v>
      </c>
      <c r="GQQ619" s="17">
        <v>44925</v>
      </c>
      <c r="GQR619" s="5" t="s">
        <v>3728</v>
      </c>
      <c r="GQS619" s="17">
        <v>44925</v>
      </c>
      <c r="GQT619" s="5" t="s">
        <v>3728</v>
      </c>
      <c r="GQU619" s="17">
        <v>44925</v>
      </c>
      <c r="GQV619" s="5" t="s">
        <v>3728</v>
      </c>
      <c r="GQW619" s="17">
        <v>44925</v>
      </c>
      <c r="GQX619" s="5" t="s">
        <v>3728</v>
      </c>
      <c r="GQY619" s="17">
        <v>44925</v>
      </c>
      <c r="GQZ619" s="5" t="s">
        <v>3728</v>
      </c>
      <c r="GRA619" s="17">
        <v>44925</v>
      </c>
      <c r="GRB619" s="5" t="s">
        <v>3728</v>
      </c>
      <c r="GRC619" s="17">
        <v>44925</v>
      </c>
      <c r="GRD619" s="5" t="s">
        <v>3728</v>
      </c>
      <c r="GRE619" s="17">
        <v>44925</v>
      </c>
      <c r="GRF619" s="5" t="s">
        <v>3728</v>
      </c>
      <c r="GRG619" s="17">
        <v>44925</v>
      </c>
      <c r="GRH619" s="5" t="s">
        <v>3728</v>
      </c>
      <c r="GRI619" s="17">
        <v>44925</v>
      </c>
      <c r="GRJ619" s="5" t="s">
        <v>3728</v>
      </c>
      <c r="GRK619" s="17">
        <v>44925</v>
      </c>
      <c r="GRL619" s="5" t="s">
        <v>3728</v>
      </c>
      <c r="GRM619" s="17">
        <v>44925</v>
      </c>
      <c r="GRN619" s="5" t="s">
        <v>3728</v>
      </c>
      <c r="GRO619" s="17">
        <v>44925</v>
      </c>
      <c r="GRP619" s="5" t="s">
        <v>3728</v>
      </c>
      <c r="GRQ619" s="17">
        <v>44925</v>
      </c>
      <c r="GRR619" s="5" t="s">
        <v>3728</v>
      </c>
      <c r="GRS619" s="17">
        <v>44925</v>
      </c>
      <c r="GRT619" s="5" t="s">
        <v>3728</v>
      </c>
      <c r="GRU619" s="17">
        <v>44925</v>
      </c>
      <c r="GRV619" s="5" t="s">
        <v>3728</v>
      </c>
      <c r="GRW619" s="17">
        <v>44925</v>
      </c>
      <c r="GRX619" s="5" t="s">
        <v>3728</v>
      </c>
      <c r="GRY619" s="17">
        <v>44925</v>
      </c>
      <c r="GRZ619" s="5" t="s">
        <v>3728</v>
      </c>
      <c r="GSA619" s="17">
        <v>44925</v>
      </c>
      <c r="GSB619" s="5" t="s">
        <v>3728</v>
      </c>
      <c r="GSC619" s="17">
        <v>44925</v>
      </c>
      <c r="GSD619" s="5" t="s">
        <v>3728</v>
      </c>
      <c r="GSE619" s="17">
        <v>44925</v>
      </c>
      <c r="GSF619" s="5" t="s">
        <v>3728</v>
      </c>
      <c r="GSG619" s="17">
        <v>44925</v>
      </c>
      <c r="GSH619" s="5" t="s">
        <v>3728</v>
      </c>
      <c r="GSI619" s="17">
        <v>44925</v>
      </c>
      <c r="GSJ619" s="5" t="s">
        <v>3728</v>
      </c>
      <c r="GSK619" s="17">
        <v>44925</v>
      </c>
      <c r="GSL619" s="5" t="s">
        <v>3728</v>
      </c>
      <c r="GSM619" s="17">
        <v>44925</v>
      </c>
      <c r="GSN619" s="5" t="s">
        <v>3728</v>
      </c>
      <c r="GSO619" s="17">
        <v>44925</v>
      </c>
      <c r="GSP619" s="5" t="s">
        <v>3728</v>
      </c>
      <c r="GSQ619" s="17">
        <v>44925</v>
      </c>
      <c r="GSR619" s="5" t="s">
        <v>3728</v>
      </c>
      <c r="GSS619" s="17">
        <v>44925</v>
      </c>
      <c r="GST619" s="5" t="s">
        <v>3728</v>
      </c>
      <c r="GSU619" s="17">
        <v>44925</v>
      </c>
      <c r="GSV619" s="5" t="s">
        <v>3728</v>
      </c>
      <c r="GSW619" s="17">
        <v>44925</v>
      </c>
      <c r="GSX619" s="5" t="s">
        <v>3728</v>
      </c>
      <c r="GSY619" s="17">
        <v>44925</v>
      </c>
      <c r="GSZ619" s="5" t="s">
        <v>3728</v>
      </c>
      <c r="GTA619" s="17">
        <v>44925</v>
      </c>
      <c r="GTB619" s="5" t="s">
        <v>3728</v>
      </c>
      <c r="GTC619" s="17">
        <v>44925</v>
      </c>
      <c r="GTD619" s="5" t="s">
        <v>3728</v>
      </c>
      <c r="GTE619" s="17">
        <v>44925</v>
      </c>
      <c r="GTF619" s="5" t="s">
        <v>3728</v>
      </c>
      <c r="GTG619" s="17">
        <v>44925</v>
      </c>
      <c r="GTH619" s="5" t="s">
        <v>3728</v>
      </c>
      <c r="GTI619" s="17">
        <v>44925</v>
      </c>
      <c r="GTJ619" s="5" t="s">
        <v>3728</v>
      </c>
      <c r="GTK619" s="17">
        <v>44925</v>
      </c>
      <c r="GTL619" s="5" t="s">
        <v>3728</v>
      </c>
      <c r="GTM619" s="17">
        <v>44925</v>
      </c>
      <c r="GTN619" s="5" t="s">
        <v>3728</v>
      </c>
      <c r="GTO619" s="17">
        <v>44925</v>
      </c>
      <c r="GTP619" s="5" t="s">
        <v>3728</v>
      </c>
      <c r="GTQ619" s="17">
        <v>44925</v>
      </c>
      <c r="GTR619" s="5" t="s">
        <v>3728</v>
      </c>
      <c r="GTS619" s="17">
        <v>44925</v>
      </c>
      <c r="GTT619" s="5" t="s">
        <v>3728</v>
      </c>
      <c r="GTU619" s="17">
        <v>44925</v>
      </c>
      <c r="GTV619" s="5" t="s">
        <v>3728</v>
      </c>
      <c r="GTW619" s="17">
        <v>44925</v>
      </c>
      <c r="GTX619" s="5" t="s">
        <v>3728</v>
      </c>
      <c r="GTY619" s="17">
        <v>44925</v>
      </c>
      <c r="GTZ619" s="5" t="s">
        <v>3728</v>
      </c>
      <c r="GUA619" s="17">
        <v>44925</v>
      </c>
      <c r="GUB619" s="5" t="s">
        <v>3728</v>
      </c>
      <c r="GUC619" s="17">
        <v>44925</v>
      </c>
      <c r="GUD619" s="5" t="s">
        <v>3728</v>
      </c>
      <c r="GUE619" s="17">
        <v>44925</v>
      </c>
      <c r="GUF619" s="5" t="s">
        <v>3728</v>
      </c>
      <c r="GUG619" s="17">
        <v>44925</v>
      </c>
      <c r="GUH619" s="5" t="s">
        <v>3728</v>
      </c>
      <c r="GUI619" s="17">
        <v>44925</v>
      </c>
      <c r="GUJ619" s="5" t="s">
        <v>3728</v>
      </c>
      <c r="GUK619" s="17">
        <v>44925</v>
      </c>
      <c r="GUL619" s="5" t="s">
        <v>3728</v>
      </c>
      <c r="GUM619" s="17">
        <v>44925</v>
      </c>
      <c r="GUN619" s="5" t="s">
        <v>3728</v>
      </c>
      <c r="GUO619" s="17">
        <v>44925</v>
      </c>
      <c r="GUP619" s="5" t="s">
        <v>3728</v>
      </c>
      <c r="GUQ619" s="17">
        <v>44925</v>
      </c>
      <c r="GUR619" s="5" t="s">
        <v>3728</v>
      </c>
      <c r="GUS619" s="17">
        <v>44925</v>
      </c>
      <c r="GUT619" s="5" t="s">
        <v>3728</v>
      </c>
      <c r="GUU619" s="17">
        <v>44925</v>
      </c>
      <c r="GUV619" s="5" t="s">
        <v>3728</v>
      </c>
      <c r="GUW619" s="17">
        <v>44925</v>
      </c>
      <c r="GUX619" s="5" t="s">
        <v>3728</v>
      </c>
      <c r="GUY619" s="17">
        <v>44925</v>
      </c>
      <c r="GUZ619" s="5" t="s">
        <v>3728</v>
      </c>
      <c r="GVA619" s="17">
        <v>44925</v>
      </c>
      <c r="GVB619" s="5" t="s">
        <v>3728</v>
      </c>
      <c r="GVC619" s="17">
        <v>44925</v>
      </c>
      <c r="GVD619" s="5" t="s">
        <v>3728</v>
      </c>
      <c r="GVE619" s="17">
        <v>44925</v>
      </c>
      <c r="GVF619" s="5" t="s">
        <v>3728</v>
      </c>
      <c r="GVG619" s="17">
        <v>44925</v>
      </c>
      <c r="GVH619" s="5" t="s">
        <v>3728</v>
      </c>
      <c r="GVI619" s="17">
        <v>44925</v>
      </c>
      <c r="GVJ619" s="5" t="s">
        <v>3728</v>
      </c>
      <c r="GVK619" s="17">
        <v>44925</v>
      </c>
      <c r="GVL619" s="5" t="s">
        <v>3728</v>
      </c>
      <c r="GVM619" s="17">
        <v>44925</v>
      </c>
      <c r="GVN619" s="5" t="s">
        <v>3728</v>
      </c>
      <c r="GVO619" s="17">
        <v>44925</v>
      </c>
      <c r="GVP619" s="5" t="s">
        <v>3728</v>
      </c>
      <c r="GVQ619" s="17">
        <v>44925</v>
      </c>
      <c r="GVR619" s="5" t="s">
        <v>3728</v>
      </c>
      <c r="GVS619" s="17">
        <v>44925</v>
      </c>
      <c r="GVT619" s="5" t="s">
        <v>3728</v>
      </c>
      <c r="GVU619" s="17">
        <v>44925</v>
      </c>
      <c r="GVV619" s="5" t="s">
        <v>3728</v>
      </c>
      <c r="GVW619" s="17">
        <v>44925</v>
      </c>
      <c r="GVX619" s="5" t="s">
        <v>3728</v>
      </c>
      <c r="GVY619" s="17">
        <v>44925</v>
      </c>
      <c r="GVZ619" s="5" t="s">
        <v>3728</v>
      </c>
      <c r="GWA619" s="17">
        <v>44925</v>
      </c>
      <c r="GWB619" s="5" t="s">
        <v>3728</v>
      </c>
      <c r="GWC619" s="17">
        <v>44925</v>
      </c>
      <c r="GWD619" s="5" t="s">
        <v>3728</v>
      </c>
      <c r="GWE619" s="17">
        <v>44925</v>
      </c>
      <c r="GWF619" s="5" t="s">
        <v>3728</v>
      </c>
      <c r="GWG619" s="17">
        <v>44925</v>
      </c>
      <c r="GWH619" s="5" t="s">
        <v>3728</v>
      </c>
      <c r="GWI619" s="17">
        <v>44925</v>
      </c>
      <c r="GWJ619" s="5" t="s">
        <v>3728</v>
      </c>
      <c r="GWK619" s="17">
        <v>44925</v>
      </c>
      <c r="GWL619" s="5" t="s">
        <v>3728</v>
      </c>
      <c r="GWM619" s="17">
        <v>44925</v>
      </c>
      <c r="GWN619" s="5" t="s">
        <v>3728</v>
      </c>
      <c r="GWO619" s="17">
        <v>44925</v>
      </c>
      <c r="GWP619" s="5" t="s">
        <v>3728</v>
      </c>
      <c r="GWQ619" s="17">
        <v>44925</v>
      </c>
      <c r="GWR619" s="5" t="s">
        <v>3728</v>
      </c>
      <c r="GWS619" s="17">
        <v>44925</v>
      </c>
      <c r="GWT619" s="5" t="s">
        <v>3728</v>
      </c>
      <c r="GWU619" s="17">
        <v>44925</v>
      </c>
      <c r="GWV619" s="5" t="s">
        <v>3728</v>
      </c>
      <c r="GWW619" s="17">
        <v>44925</v>
      </c>
      <c r="GWX619" s="5" t="s">
        <v>3728</v>
      </c>
      <c r="GWY619" s="17">
        <v>44925</v>
      </c>
      <c r="GWZ619" s="5" t="s">
        <v>3728</v>
      </c>
      <c r="GXA619" s="17">
        <v>44925</v>
      </c>
      <c r="GXB619" s="5" t="s">
        <v>3728</v>
      </c>
      <c r="GXC619" s="17">
        <v>44925</v>
      </c>
      <c r="GXD619" s="5" t="s">
        <v>3728</v>
      </c>
      <c r="GXE619" s="17">
        <v>44925</v>
      </c>
      <c r="GXF619" s="5" t="s">
        <v>3728</v>
      </c>
      <c r="GXG619" s="17">
        <v>44925</v>
      </c>
      <c r="GXH619" s="5" t="s">
        <v>3728</v>
      </c>
      <c r="GXI619" s="17">
        <v>44925</v>
      </c>
      <c r="GXJ619" s="5" t="s">
        <v>3728</v>
      </c>
      <c r="GXK619" s="17">
        <v>44925</v>
      </c>
      <c r="GXL619" s="5" t="s">
        <v>3728</v>
      </c>
      <c r="GXM619" s="17">
        <v>44925</v>
      </c>
      <c r="GXN619" s="5" t="s">
        <v>3728</v>
      </c>
      <c r="GXO619" s="17">
        <v>44925</v>
      </c>
      <c r="GXP619" s="5" t="s">
        <v>3728</v>
      </c>
      <c r="GXQ619" s="17">
        <v>44925</v>
      </c>
      <c r="GXR619" s="5" t="s">
        <v>3728</v>
      </c>
      <c r="GXS619" s="17">
        <v>44925</v>
      </c>
      <c r="GXT619" s="5" t="s">
        <v>3728</v>
      </c>
      <c r="GXU619" s="17">
        <v>44925</v>
      </c>
      <c r="GXV619" s="5" t="s">
        <v>3728</v>
      </c>
      <c r="GXW619" s="17">
        <v>44925</v>
      </c>
      <c r="GXX619" s="5" t="s">
        <v>3728</v>
      </c>
      <c r="GXY619" s="17">
        <v>44925</v>
      </c>
      <c r="GXZ619" s="5" t="s">
        <v>3728</v>
      </c>
      <c r="GYA619" s="17">
        <v>44925</v>
      </c>
      <c r="GYB619" s="5" t="s">
        <v>3728</v>
      </c>
      <c r="GYC619" s="17">
        <v>44925</v>
      </c>
      <c r="GYD619" s="5" t="s">
        <v>3728</v>
      </c>
      <c r="GYE619" s="17">
        <v>44925</v>
      </c>
      <c r="GYF619" s="5" t="s">
        <v>3728</v>
      </c>
      <c r="GYG619" s="17">
        <v>44925</v>
      </c>
      <c r="GYH619" s="5" t="s">
        <v>3728</v>
      </c>
      <c r="GYI619" s="17">
        <v>44925</v>
      </c>
      <c r="GYJ619" s="5" t="s">
        <v>3728</v>
      </c>
      <c r="GYK619" s="17">
        <v>44925</v>
      </c>
      <c r="GYL619" s="5" t="s">
        <v>3728</v>
      </c>
      <c r="GYM619" s="17">
        <v>44925</v>
      </c>
      <c r="GYN619" s="5" t="s">
        <v>3728</v>
      </c>
      <c r="GYO619" s="17">
        <v>44925</v>
      </c>
      <c r="GYP619" s="5" t="s">
        <v>3728</v>
      </c>
      <c r="GYQ619" s="17">
        <v>44925</v>
      </c>
      <c r="GYR619" s="5" t="s">
        <v>3728</v>
      </c>
      <c r="GYS619" s="17">
        <v>44925</v>
      </c>
      <c r="GYT619" s="5" t="s">
        <v>3728</v>
      </c>
      <c r="GYU619" s="17">
        <v>44925</v>
      </c>
      <c r="GYV619" s="5" t="s">
        <v>3728</v>
      </c>
      <c r="GYW619" s="17">
        <v>44925</v>
      </c>
      <c r="GYX619" s="5" t="s">
        <v>3728</v>
      </c>
      <c r="GYY619" s="17">
        <v>44925</v>
      </c>
      <c r="GYZ619" s="5" t="s">
        <v>3728</v>
      </c>
      <c r="GZA619" s="17">
        <v>44925</v>
      </c>
      <c r="GZB619" s="5" t="s">
        <v>3728</v>
      </c>
      <c r="GZC619" s="17">
        <v>44925</v>
      </c>
      <c r="GZD619" s="5" t="s">
        <v>3728</v>
      </c>
      <c r="GZE619" s="17">
        <v>44925</v>
      </c>
      <c r="GZF619" s="5" t="s">
        <v>3728</v>
      </c>
      <c r="GZG619" s="17">
        <v>44925</v>
      </c>
      <c r="GZH619" s="5" t="s">
        <v>3728</v>
      </c>
      <c r="GZI619" s="17">
        <v>44925</v>
      </c>
      <c r="GZJ619" s="5" t="s">
        <v>3728</v>
      </c>
      <c r="GZK619" s="17">
        <v>44925</v>
      </c>
      <c r="GZL619" s="5" t="s">
        <v>3728</v>
      </c>
      <c r="GZM619" s="17">
        <v>44925</v>
      </c>
      <c r="GZN619" s="5" t="s">
        <v>3728</v>
      </c>
      <c r="GZO619" s="17">
        <v>44925</v>
      </c>
      <c r="GZP619" s="5" t="s">
        <v>3728</v>
      </c>
      <c r="GZQ619" s="17">
        <v>44925</v>
      </c>
      <c r="GZR619" s="5" t="s">
        <v>3728</v>
      </c>
      <c r="GZS619" s="17">
        <v>44925</v>
      </c>
      <c r="GZT619" s="5" t="s">
        <v>3728</v>
      </c>
      <c r="GZU619" s="17">
        <v>44925</v>
      </c>
      <c r="GZV619" s="5" t="s">
        <v>3728</v>
      </c>
      <c r="GZW619" s="17">
        <v>44925</v>
      </c>
      <c r="GZX619" s="5" t="s">
        <v>3728</v>
      </c>
      <c r="GZY619" s="17">
        <v>44925</v>
      </c>
      <c r="GZZ619" s="5" t="s">
        <v>3728</v>
      </c>
      <c r="HAA619" s="17">
        <v>44925</v>
      </c>
      <c r="HAB619" s="5" t="s">
        <v>3728</v>
      </c>
      <c r="HAC619" s="17">
        <v>44925</v>
      </c>
      <c r="HAD619" s="5" t="s">
        <v>3728</v>
      </c>
      <c r="HAE619" s="17">
        <v>44925</v>
      </c>
      <c r="HAF619" s="5" t="s">
        <v>3728</v>
      </c>
      <c r="HAG619" s="17">
        <v>44925</v>
      </c>
      <c r="HAH619" s="5" t="s">
        <v>3728</v>
      </c>
      <c r="HAI619" s="17">
        <v>44925</v>
      </c>
      <c r="HAJ619" s="5" t="s">
        <v>3728</v>
      </c>
      <c r="HAK619" s="17">
        <v>44925</v>
      </c>
      <c r="HAL619" s="5" t="s">
        <v>3728</v>
      </c>
      <c r="HAM619" s="17">
        <v>44925</v>
      </c>
      <c r="HAN619" s="5" t="s">
        <v>3728</v>
      </c>
      <c r="HAO619" s="17">
        <v>44925</v>
      </c>
      <c r="HAP619" s="5" t="s">
        <v>3728</v>
      </c>
      <c r="HAQ619" s="17">
        <v>44925</v>
      </c>
      <c r="HAR619" s="5" t="s">
        <v>3728</v>
      </c>
      <c r="HAS619" s="17">
        <v>44925</v>
      </c>
      <c r="HAT619" s="5" t="s">
        <v>3728</v>
      </c>
      <c r="HAU619" s="17">
        <v>44925</v>
      </c>
      <c r="HAV619" s="5" t="s">
        <v>3728</v>
      </c>
      <c r="HAW619" s="17">
        <v>44925</v>
      </c>
      <c r="HAX619" s="5" t="s">
        <v>3728</v>
      </c>
      <c r="HAY619" s="17">
        <v>44925</v>
      </c>
      <c r="HAZ619" s="5" t="s">
        <v>3728</v>
      </c>
      <c r="HBA619" s="17">
        <v>44925</v>
      </c>
      <c r="HBB619" s="5" t="s">
        <v>3728</v>
      </c>
      <c r="HBC619" s="17">
        <v>44925</v>
      </c>
      <c r="HBD619" s="5" t="s">
        <v>3728</v>
      </c>
      <c r="HBE619" s="17">
        <v>44925</v>
      </c>
      <c r="HBF619" s="5" t="s">
        <v>3728</v>
      </c>
      <c r="HBG619" s="17">
        <v>44925</v>
      </c>
      <c r="HBH619" s="5" t="s">
        <v>3728</v>
      </c>
      <c r="HBI619" s="17">
        <v>44925</v>
      </c>
      <c r="HBJ619" s="5" t="s">
        <v>3728</v>
      </c>
      <c r="HBK619" s="17">
        <v>44925</v>
      </c>
      <c r="HBL619" s="5" t="s">
        <v>3728</v>
      </c>
      <c r="HBM619" s="17">
        <v>44925</v>
      </c>
      <c r="HBN619" s="5" t="s">
        <v>3728</v>
      </c>
      <c r="HBO619" s="17">
        <v>44925</v>
      </c>
      <c r="HBP619" s="5" t="s">
        <v>3728</v>
      </c>
      <c r="HBQ619" s="17">
        <v>44925</v>
      </c>
      <c r="HBR619" s="5" t="s">
        <v>3728</v>
      </c>
      <c r="HBS619" s="17">
        <v>44925</v>
      </c>
      <c r="HBT619" s="5" t="s">
        <v>3728</v>
      </c>
      <c r="HBU619" s="17">
        <v>44925</v>
      </c>
      <c r="HBV619" s="5" t="s">
        <v>3728</v>
      </c>
      <c r="HBW619" s="17">
        <v>44925</v>
      </c>
      <c r="HBX619" s="5" t="s">
        <v>3728</v>
      </c>
      <c r="HBY619" s="17">
        <v>44925</v>
      </c>
      <c r="HBZ619" s="5" t="s">
        <v>3728</v>
      </c>
      <c r="HCA619" s="17">
        <v>44925</v>
      </c>
      <c r="HCB619" s="5" t="s">
        <v>3728</v>
      </c>
      <c r="HCC619" s="17">
        <v>44925</v>
      </c>
      <c r="HCD619" s="5" t="s">
        <v>3728</v>
      </c>
      <c r="HCE619" s="17">
        <v>44925</v>
      </c>
      <c r="HCF619" s="5" t="s">
        <v>3728</v>
      </c>
      <c r="HCG619" s="17">
        <v>44925</v>
      </c>
      <c r="HCH619" s="5" t="s">
        <v>3728</v>
      </c>
      <c r="HCI619" s="17">
        <v>44925</v>
      </c>
      <c r="HCJ619" s="5" t="s">
        <v>3728</v>
      </c>
      <c r="HCK619" s="17">
        <v>44925</v>
      </c>
      <c r="HCL619" s="5" t="s">
        <v>3728</v>
      </c>
      <c r="HCM619" s="17">
        <v>44925</v>
      </c>
      <c r="HCN619" s="5" t="s">
        <v>3728</v>
      </c>
      <c r="HCO619" s="17">
        <v>44925</v>
      </c>
      <c r="HCP619" s="5" t="s">
        <v>3728</v>
      </c>
      <c r="HCQ619" s="17">
        <v>44925</v>
      </c>
      <c r="HCR619" s="5" t="s">
        <v>3728</v>
      </c>
      <c r="HCS619" s="17">
        <v>44925</v>
      </c>
      <c r="HCT619" s="5" t="s">
        <v>3728</v>
      </c>
      <c r="HCU619" s="17">
        <v>44925</v>
      </c>
      <c r="HCV619" s="5" t="s">
        <v>3728</v>
      </c>
      <c r="HCW619" s="17">
        <v>44925</v>
      </c>
      <c r="HCX619" s="5" t="s">
        <v>3728</v>
      </c>
      <c r="HCY619" s="17">
        <v>44925</v>
      </c>
      <c r="HCZ619" s="5" t="s">
        <v>3728</v>
      </c>
      <c r="HDA619" s="17">
        <v>44925</v>
      </c>
      <c r="HDB619" s="5" t="s">
        <v>3728</v>
      </c>
      <c r="HDC619" s="17">
        <v>44925</v>
      </c>
      <c r="HDD619" s="5" t="s">
        <v>3728</v>
      </c>
      <c r="HDE619" s="17">
        <v>44925</v>
      </c>
      <c r="HDF619" s="5" t="s">
        <v>3728</v>
      </c>
      <c r="HDG619" s="17">
        <v>44925</v>
      </c>
      <c r="HDH619" s="5" t="s">
        <v>3728</v>
      </c>
      <c r="HDI619" s="17">
        <v>44925</v>
      </c>
      <c r="HDJ619" s="5" t="s">
        <v>3728</v>
      </c>
      <c r="HDK619" s="17">
        <v>44925</v>
      </c>
      <c r="HDL619" s="5" t="s">
        <v>3728</v>
      </c>
      <c r="HDM619" s="17">
        <v>44925</v>
      </c>
      <c r="HDN619" s="5" t="s">
        <v>3728</v>
      </c>
      <c r="HDO619" s="17">
        <v>44925</v>
      </c>
      <c r="HDP619" s="5" t="s">
        <v>3728</v>
      </c>
      <c r="HDQ619" s="17">
        <v>44925</v>
      </c>
      <c r="HDR619" s="5" t="s">
        <v>3728</v>
      </c>
      <c r="HDS619" s="17">
        <v>44925</v>
      </c>
      <c r="HDT619" s="5" t="s">
        <v>3728</v>
      </c>
      <c r="HDU619" s="17">
        <v>44925</v>
      </c>
      <c r="HDV619" s="5" t="s">
        <v>3728</v>
      </c>
      <c r="HDW619" s="17">
        <v>44925</v>
      </c>
      <c r="HDX619" s="5" t="s">
        <v>3728</v>
      </c>
      <c r="HDY619" s="17">
        <v>44925</v>
      </c>
      <c r="HDZ619" s="5" t="s">
        <v>3728</v>
      </c>
      <c r="HEA619" s="17">
        <v>44925</v>
      </c>
      <c r="HEB619" s="5" t="s">
        <v>3728</v>
      </c>
      <c r="HEC619" s="17">
        <v>44925</v>
      </c>
      <c r="HED619" s="5" t="s">
        <v>3728</v>
      </c>
      <c r="HEE619" s="17">
        <v>44925</v>
      </c>
      <c r="HEF619" s="5" t="s">
        <v>3728</v>
      </c>
      <c r="HEG619" s="17">
        <v>44925</v>
      </c>
      <c r="HEH619" s="5" t="s">
        <v>3728</v>
      </c>
      <c r="HEI619" s="17">
        <v>44925</v>
      </c>
      <c r="HEJ619" s="5" t="s">
        <v>3728</v>
      </c>
      <c r="HEK619" s="17">
        <v>44925</v>
      </c>
      <c r="HEL619" s="5" t="s">
        <v>3728</v>
      </c>
      <c r="HEM619" s="17">
        <v>44925</v>
      </c>
      <c r="HEN619" s="5" t="s">
        <v>3728</v>
      </c>
      <c r="HEO619" s="17">
        <v>44925</v>
      </c>
      <c r="HEP619" s="5" t="s">
        <v>3728</v>
      </c>
      <c r="HEQ619" s="17">
        <v>44925</v>
      </c>
      <c r="HER619" s="5" t="s">
        <v>3728</v>
      </c>
      <c r="HES619" s="17">
        <v>44925</v>
      </c>
      <c r="HET619" s="5" t="s">
        <v>3728</v>
      </c>
      <c r="HEU619" s="17">
        <v>44925</v>
      </c>
      <c r="HEV619" s="5" t="s">
        <v>3728</v>
      </c>
      <c r="HEW619" s="17">
        <v>44925</v>
      </c>
      <c r="HEX619" s="5" t="s">
        <v>3728</v>
      </c>
      <c r="HEY619" s="17">
        <v>44925</v>
      </c>
      <c r="HEZ619" s="5" t="s">
        <v>3728</v>
      </c>
      <c r="HFA619" s="17">
        <v>44925</v>
      </c>
      <c r="HFB619" s="5" t="s">
        <v>3728</v>
      </c>
      <c r="HFC619" s="17">
        <v>44925</v>
      </c>
      <c r="HFD619" s="5" t="s">
        <v>3728</v>
      </c>
      <c r="HFE619" s="17">
        <v>44925</v>
      </c>
      <c r="HFF619" s="5" t="s">
        <v>3728</v>
      </c>
      <c r="HFG619" s="17">
        <v>44925</v>
      </c>
      <c r="HFH619" s="5" t="s">
        <v>3728</v>
      </c>
      <c r="HFI619" s="17">
        <v>44925</v>
      </c>
      <c r="HFJ619" s="5" t="s">
        <v>3728</v>
      </c>
      <c r="HFK619" s="17">
        <v>44925</v>
      </c>
      <c r="HFL619" s="5" t="s">
        <v>3728</v>
      </c>
      <c r="HFM619" s="17">
        <v>44925</v>
      </c>
      <c r="HFN619" s="5" t="s">
        <v>3728</v>
      </c>
      <c r="HFO619" s="17">
        <v>44925</v>
      </c>
      <c r="HFP619" s="5" t="s">
        <v>3728</v>
      </c>
      <c r="HFQ619" s="17">
        <v>44925</v>
      </c>
      <c r="HFR619" s="5" t="s">
        <v>3728</v>
      </c>
      <c r="HFS619" s="17">
        <v>44925</v>
      </c>
      <c r="HFT619" s="5" t="s">
        <v>3728</v>
      </c>
      <c r="HFU619" s="17">
        <v>44925</v>
      </c>
      <c r="HFV619" s="5" t="s">
        <v>3728</v>
      </c>
      <c r="HFW619" s="17">
        <v>44925</v>
      </c>
      <c r="HFX619" s="5" t="s">
        <v>3728</v>
      </c>
      <c r="HFY619" s="17">
        <v>44925</v>
      </c>
      <c r="HFZ619" s="5" t="s">
        <v>3728</v>
      </c>
      <c r="HGA619" s="17">
        <v>44925</v>
      </c>
      <c r="HGB619" s="5" t="s">
        <v>3728</v>
      </c>
      <c r="HGC619" s="17">
        <v>44925</v>
      </c>
      <c r="HGD619" s="5" t="s">
        <v>3728</v>
      </c>
      <c r="HGE619" s="17">
        <v>44925</v>
      </c>
      <c r="HGF619" s="5" t="s">
        <v>3728</v>
      </c>
      <c r="HGG619" s="17">
        <v>44925</v>
      </c>
      <c r="HGH619" s="5" t="s">
        <v>3728</v>
      </c>
      <c r="HGI619" s="17">
        <v>44925</v>
      </c>
      <c r="HGJ619" s="5" t="s">
        <v>3728</v>
      </c>
      <c r="HGK619" s="17">
        <v>44925</v>
      </c>
      <c r="HGL619" s="5" t="s">
        <v>3728</v>
      </c>
      <c r="HGM619" s="17">
        <v>44925</v>
      </c>
      <c r="HGN619" s="5" t="s">
        <v>3728</v>
      </c>
      <c r="HGO619" s="17">
        <v>44925</v>
      </c>
      <c r="HGP619" s="5" t="s">
        <v>3728</v>
      </c>
      <c r="HGQ619" s="17">
        <v>44925</v>
      </c>
      <c r="HGR619" s="5" t="s">
        <v>3728</v>
      </c>
      <c r="HGS619" s="17">
        <v>44925</v>
      </c>
      <c r="HGT619" s="5" t="s">
        <v>3728</v>
      </c>
      <c r="HGU619" s="17">
        <v>44925</v>
      </c>
      <c r="HGV619" s="5" t="s">
        <v>3728</v>
      </c>
      <c r="HGW619" s="17">
        <v>44925</v>
      </c>
      <c r="HGX619" s="5" t="s">
        <v>3728</v>
      </c>
      <c r="HGY619" s="17">
        <v>44925</v>
      </c>
      <c r="HGZ619" s="5" t="s">
        <v>3728</v>
      </c>
      <c r="HHA619" s="17">
        <v>44925</v>
      </c>
      <c r="HHB619" s="5" t="s">
        <v>3728</v>
      </c>
      <c r="HHC619" s="17">
        <v>44925</v>
      </c>
      <c r="HHD619" s="5" t="s">
        <v>3728</v>
      </c>
      <c r="HHE619" s="17">
        <v>44925</v>
      </c>
      <c r="HHF619" s="5" t="s">
        <v>3728</v>
      </c>
      <c r="HHG619" s="17">
        <v>44925</v>
      </c>
      <c r="HHH619" s="5" t="s">
        <v>3728</v>
      </c>
      <c r="HHI619" s="17">
        <v>44925</v>
      </c>
      <c r="HHJ619" s="5" t="s">
        <v>3728</v>
      </c>
      <c r="HHK619" s="17">
        <v>44925</v>
      </c>
      <c r="HHL619" s="5" t="s">
        <v>3728</v>
      </c>
      <c r="HHM619" s="17">
        <v>44925</v>
      </c>
      <c r="HHN619" s="5" t="s">
        <v>3728</v>
      </c>
      <c r="HHO619" s="17">
        <v>44925</v>
      </c>
      <c r="HHP619" s="5" t="s">
        <v>3728</v>
      </c>
      <c r="HHQ619" s="17">
        <v>44925</v>
      </c>
      <c r="HHR619" s="5" t="s">
        <v>3728</v>
      </c>
      <c r="HHS619" s="17">
        <v>44925</v>
      </c>
      <c r="HHT619" s="5" t="s">
        <v>3728</v>
      </c>
      <c r="HHU619" s="17">
        <v>44925</v>
      </c>
      <c r="HHV619" s="5" t="s">
        <v>3728</v>
      </c>
      <c r="HHW619" s="17">
        <v>44925</v>
      </c>
      <c r="HHX619" s="5" t="s">
        <v>3728</v>
      </c>
      <c r="HHY619" s="17">
        <v>44925</v>
      </c>
      <c r="HHZ619" s="5" t="s">
        <v>3728</v>
      </c>
      <c r="HIA619" s="17">
        <v>44925</v>
      </c>
      <c r="HIB619" s="5" t="s">
        <v>3728</v>
      </c>
      <c r="HIC619" s="17">
        <v>44925</v>
      </c>
      <c r="HID619" s="5" t="s">
        <v>3728</v>
      </c>
      <c r="HIE619" s="17">
        <v>44925</v>
      </c>
      <c r="HIF619" s="5" t="s">
        <v>3728</v>
      </c>
      <c r="HIG619" s="17">
        <v>44925</v>
      </c>
      <c r="HIH619" s="5" t="s">
        <v>3728</v>
      </c>
      <c r="HII619" s="17">
        <v>44925</v>
      </c>
      <c r="HIJ619" s="5" t="s">
        <v>3728</v>
      </c>
      <c r="HIK619" s="17">
        <v>44925</v>
      </c>
      <c r="HIL619" s="5" t="s">
        <v>3728</v>
      </c>
      <c r="HIM619" s="17">
        <v>44925</v>
      </c>
      <c r="HIN619" s="5" t="s">
        <v>3728</v>
      </c>
      <c r="HIO619" s="17">
        <v>44925</v>
      </c>
      <c r="HIP619" s="5" t="s">
        <v>3728</v>
      </c>
      <c r="HIQ619" s="17">
        <v>44925</v>
      </c>
      <c r="HIR619" s="5" t="s">
        <v>3728</v>
      </c>
      <c r="HIS619" s="17">
        <v>44925</v>
      </c>
      <c r="HIT619" s="5" t="s">
        <v>3728</v>
      </c>
      <c r="HIU619" s="17">
        <v>44925</v>
      </c>
      <c r="HIV619" s="5" t="s">
        <v>3728</v>
      </c>
      <c r="HIW619" s="17">
        <v>44925</v>
      </c>
      <c r="HIX619" s="5" t="s">
        <v>3728</v>
      </c>
      <c r="HIY619" s="17">
        <v>44925</v>
      </c>
      <c r="HIZ619" s="5" t="s">
        <v>3728</v>
      </c>
      <c r="HJA619" s="17">
        <v>44925</v>
      </c>
      <c r="HJB619" s="5" t="s">
        <v>3728</v>
      </c>
      <c r="HJC619" s="17">
        <v>44925</v>
      </c>
      <c r="HJD619" s="5" t="s">
        <v>3728</v>
      </c>
      <c r="HJE619" s="17">
        <v>44925</v>
      </c>
      <c r="HJF619" s="5" t="s">
        <v>3728</v>
      </c>
      <c r="HJG619" s="17">
        <v>44925</v>
      </c>
      <c r="HJH619" s="5" t="s">
        <v>3728</v>
      </c>
      <c r="HJI619" s="17">
        <v>44925</v>
      </c>
      <c r="HJJ619" s="5" t="s">
        <v>3728</v>
      </c>
      <c r="HJK619" s="17">
        <v>44925</v>
      </c>
      <c r="HJL619" s="5" t="s">
        <v>3728</v>
      </c>
      <c r="HJM619" s="17">
        <v>44925</v>
      </c>
      <c r="HJN619" s="5" t="s">
        <v>3728</v>
      </c>
      <c r="HJO619" s="17">
        <v>44925</v>
      </c>
      <c r="HJP619" s="5" t="s">
        <v>3728</v>
      </c>
      <c r="HJQ619" s="17">
        <v>44925</v>
      </c>
      <c r="HJR619" s="5" t="s">
        <v>3728</v>
      </c>
      <c r="HJS619" s="17">
        <v>44925</v>
      </c>
      <c r="HJT619" s="5" t="s">
        <v>3728</v>
      </c>
      <c r="HJU619" s="17">
        <v>44925</v>
      </c>
      <c r="HJV619" s="5" t="s">
        <v>3728</v>
      </c>
      <c r="HJW619" s="17">
        <v>44925</v>
      </c>
      <c r="HJX619" s="5" t="s">
        <v>3728</v>
      </c>
      <c r="HJY619" s="17">
        <v>44925</v>
      </c>
      <c r="HJZ619" s="5" t="s">
        <v>3728</v>
      </c>
      <c r="HKA619" s="17">
        <v>44925</v>
      </c>
      <c r="HKB619" s="5" t="s">
        <v>3728</v>
      </c>
      <c r="HKC619" s="17">
        <v>44925</v>
      </c>
      <c r="HKD619" s="5" t="s">
        <v>3728</v>
      </c>
      <c r="HKE619" s="17">
        <v>44925</v>
      </c>
      <c r="HKF619" s="5" t="s">
        <v>3728</v>
      </c>
      <c r="HKG619" s="17">
        <v>44925</v>
      </c>
      <c r="HKH619" s="5" t="s">
        <v>3728</v>
      </c>
      <c r="HKI619" s="17">
        <v>44925</v>
      </c>
      <c r="HKJ619" s="5" t="s">
        <v>3728</v>
      </c>
      <c r="HKK619" s="17">
        <v>44925</v>
      </c>
      <c r="HKL619" s="5" t="s">
        <v>3728</v>
      </c>
      <c r="HKM619" s="17">
        <v>44925</v>
      </c>
      <c r="HKN619" s="5" t="s">
        <v>3728</v>
      </c>
      <c r="HKO619" s="17">
        <v>44925</v>
      </c>
      <c r="HKP619" s="5" t="s">
        <v>3728</v>
      </c>
      <c r="HKQ619" s="17">
        <v>44925</v>
      </c>
      <c r="HKR619" s="5" t="s">
        <v>3728</v>
      </c>
      <c r="HKS619" s="17">
        <v>44925</v>
      </c>
      <c r="HKT619" s="5" t="s">
        <v>3728</v>
      </c>
      <c r="HKU619" s="17">
        <v>44925</v>
      </c>
      <c r="HKV619" s="5" t="s">
        <v>3728</v>
      </c>
      <c r="HKW619" s="17">
        <v>44925</v>
      </c>
      <c r="HKX619" s="5" t="s">
        <v>3728</v>
      </c>
      <c r="HKY619" s="17">
        <v>44925</v>
      </c>
      <c r="HKZ619" s="5" t="s">
        <v>3728</v>
      </c>
      <c r="HLA619" s="17">
        <v>44925</v>
      </c>
      <c r="HLB619" s="5" t="s">
        <v>3728</v>
      </c>
      <c r="HLC619" s="17">
        <v>44925</v>
      </c>
      <c r="HLD619" s="5" t="s">
        <v>3728</v>
      </c>
      <c r="HLE619" s="17">
        <v>44925</v>
      </c>
      <c r="HLF619" s="5" t="s">
        <v>3728</v>
      </c>
      <c r="HLG619" s="17">
        <v>44925</v>
      </c>
      <c r="HLH619" s="5" t="s">
        <v>3728</v>
      </c>
      <c r="HLI619" s="17">
        <v>44925</v>
      </c>
      <c r="HLJ619" s="5" t="s">
        <v>3728</v>
      </c>
      <c r="HLK619" s="17">
        <v>44925</v>
      </c>
      <c r="HLL619" s="5" t="s">
        <v>3728</v>
      </c>
      <c r="HLM619" s="17">
        <v>44925</v>
      </c>
      <c r="HLN619" s="5" t="s">
        <v>3728</v>
      </c>
      <c r="HLO619" s="17">
        <v>44925</v>
      </c>
      <c r="HLP619" s="5" t="s">
        <v>3728</v>
      </c>
      <c r="HLQ619" s="17">
        <v>44925</v>
      </c>
      <c r="HLR619" s="5" t="s">
        <v>3728</v>
      </c>
      <c r="HLS619" s="17">
        <v>44925</v>
      </c>
      <c r="HLT619" s="5" t="s">
        <v>3728</v>
      </c>
      <c r="HLU619" s="17">
        <v>44925</v>
      </c>
      <c r="HLV619" s="5" t="s">
        <v>3728</v>
      </c>
      <c r="HLW619" s="17">
        <v>44925</v>
      </c>
      <c r="HLX619" s="5" t="s">
        <v>3728</v>
      </c>
      <c r="HLY619" s="17">
        <v>44925</v>
      </c>
      <c r="HLZ619" s="5" t="s">
        <v>3728</v>
      </c>
      <c r="HMA619" s="17">
        <v>44925</v>
      </c>
      <c r="HMB619" s="5" t="s">
        <v>3728</v>
      </c>
      <c r="HMC619" s="17">
        <v>44925</v>
      </c>
      <c r="HMD619" s="5" t="s">
        <v>3728</v>
      </c>
      <c r="HME619" s="17">
        <v>44925</v>
      </c>
      <c r="HMF619" s="5" t="s">
        <v>3728</v>
      </c>
      <c r="HMG619" s="17">
        <v>44925</v>
      </c>
      <c r="HMH619" s="5" t="s">
        <v>3728</v>
      </c>
      <c r="HMI619" s="17">
        <v>44925</v>
      </c>
      <c r="HMJ619" s="5" t="s">
        <v>3728</v>
      </c>
      <c r="HMK619" s="17">
        <v>44925</v>
      </c>
      <c r="HML619" s="5" t="s">
        <v>3728</v>
      </c>
      <c r="HMM619" s="17">
        <v>44925</v>
      </c>
      <c r="HMN619" s="5" t="s">
        <v>3728</v>
      </c>
      <c r="HMO619" s="17">
        <v>44925</v>
      </c>
      <c r="HMP619" s="5" t="s">
        <v>3728</v>
      </c>
      <c r="HMQ619" s="17">
        <v>44925</v>
      </c>
      <c r="HMR619" s="5" t="s">
        <v>3728</v>
      </c>
      <c r="HMS619" s="17">
        <v>44925</v>
      </c>
      <c r="HMT619" s="5" t="s">
        <v>3728</v>
      </c>
      <c r="HMU619" s="17">
        <v>44925</v>
      </c>
      <c r="HMV619" s="5" t="s">
        <v>3728</v>
      </c>
      <c r="HMW619" s="17">
        <v>44925</v>
      </c>
      <c r="HMX619" s="5" t="s">
        <v>3728</v>
      </c>
      <c r="HMY619" s="17">
        <v>44925</v>
      </c>
      <c r="HMZ619" s="5" t="s">
        <v>3728</v>
      </c>
      <c r="HNA619" s="17">
        <v>44925</v>
      </c>
      <c r="HNB619" s="5" t="s">
        <v>3728</v>
      </c>
      <c r="HNC619" s="17">
        <v>44925</v>
      </c>
      <c r="HND619" s="5" t="s">
        <v>3728</v>
      </c>
      <c r="HNE619" s="17">
        <v>44925</v>
      </c>
      <c r="HNF619" s="5" t="s">
        <v>3728</v>
      </c>
      <c r="HNG619" s="17">
        <v>44925</v>
      </c>
      <c r="HNH619" s="5" t="s">
        <v>3728</v>
      </c>
      <c r="HNI619" s="17">
        <v>44925</v>
      </c>
      <c r="HNJ619" s="5" t="s">
        <v>3728</v>
      </c>
      <c r="HNK619" s="17">
        <v>44925</v>
      </c>
      <c r="HNL619" s="5" t="s">
        <v>3728</v>
      </c>
      <c r="HNM619" s="17">
        <v>44925</v>
      </c>
      <c r="HNN619" s="5" t="s">
        <v>3728</v>
      </c>
      <c r="HNO619" s="17">
        <v>44925</v>
      </c>
      <c r="HNP619" s="5" t="s">
        <v>3728</v>
      </c>
      <c r="HNQ619" s="17">
        <v>44925</v>
      </c>
      <c r="HNR619" s="5" t="s">
        <v>3728</v>
      </c>
      <c r="HNS619" s="17">
        <v>44925</v>
      </c>
      <c r="HNT619" s="5" t="s">
        <v>3728</v>
      </c>
      <c r="HNU619" s="17">
        <v>44925</v>
      </c>
      <c r="HNV619" s="5" t="s">
        <v>3728</v>
      </c>
      <c r="HNW619" s="17">
        <v>44925</v>
      </c>
      <c r="HNX619" s="5" t="s">
        <v>3728</v>
      </c>
      <c r="HNY619" s="17">
        <v>44925</v>
      </c>
      <c r="HNZ619" s="5" t="s">
        <v>3728</v>
      </c>
      <c r="HOA619" s="17">
        <v>44925</v>
      </c>
      <c r="HOB619" s="5" t="s">
        <v>3728</v>
      </c>
      <c r="HOC619" s="17">
        <v>44925</v>
      </c>
      <c r="HOD619" s="5" t="s">
        <v>3728</v>
      </c>
      <c r="HOE619" s="17">
        <v>44925</v>
      </c>
      <c r="HOF619" s="5" t="s">
        <v>3728</v>
      </c>
      <c r="HOG619" s="17">
        <v>44925</v>
      </c>
      <c r="HOH619" s="5" t="s">
        <v>3728</v>
      </c>
      <c r="HOI619" s="17">
        <v>44925</v>
      </c>
      <c r="HOJ619" s="5" t="s">
        <v>3728</v>
      </c>
      <c r="HOK619" s="17">
        <v>44925</v>
      </c>
      <c r="HOL619" s="5" t="s">
        <v>3728</v>
      </c>
      <c r="HOM619" s="17">
        <v>44925</v>
      </c>
      <c r="HON619" s="5" t="s">
        <v>3728</v>
      </c>
      <c r="HOO619" s="17">
        <v>44925</v>
      </c>
      <c r="HOP619" s="5" t="s">
        <v>3728</v>
      </c>
      <c r="HOQ619" s="17">
        <v>44925</v>
      </c>
      <c r="HOR619" s="5" t="s">
        <v>3728</v>
      </c>
      <c r="HOS619" s="17">
        <v>44925</v>
      </c>
      <c r="HOT619" s="5" t="s">
        <v>3728</v>
      </c>
      <c r="HOU619" s="17">
        <v>44925</v>
      </c>
      <c r="HOV619" s="5" t="s">
        <v>3728</v>
      </c>
      <c r="HOW619" s="17">
        <v>44925</v>
      </c>
      <c r="HOX619" s="5" t="s">
        <v>3728</v>
      </c>
      <c r="HOY619" s="17">
        <v>44925</v>
      </c>
      <c r="HOZ619" s="5" t="s">
        <v>3728</v>
      </c>
      <c r="HPA619" s="17">
        <v>44925</v>
      </c>
      <c r="HPB619" s="5" t="s">
        <v>3728</v>
      </c>
      <c r="HPC619" s="17">
        <v>44925</v>
      </c>
      <c r="HPD619" s="5" t="s">
        <v>3728</v>
      </c>
      <c r="HPE619" s="17">
        <v>44925</v>
      </c>
      <c r="HPF619" s="5" t="s">
        <v>3728</v>
      </c>
      <c r="HPG619" s="17">
        <v>44925</v>
      </c>
      <c r="HPH619" s="5" t="s">
        <v>3728</v>
      </c>
      <c r="HPI619" s="17">
        <v>44925</v>
      </c>
      <c r="HPJ619" s="5" t="s">
        <v>3728</v>
      </c>
      <c r="HPK619" s="17">
        <v>44925</v>
      </c>
      <c r="HPL619" s="5" t="s">
        <v>3728</v>
      </c>
      <c r="HPM619" s="17">
        <v>44925</v>
      </c>
      <c r="HPN619" s="5" t="s">
        <v>3728</v>
      </c>
      <c r="HPO619" s="17">
        <v>44925</v>
      </c>
      <c r="HPP619" s="5" t="s">
        <v>3728</v>
      </c>
      <c r="HPQ619" s="17">
        <v>44925</v>
      </c>
      <c r="HPR619" s="5" t="s">
        <v>3728</v>
      </c>
      <c r="HPS619" s="17">
        <v>44925</v>
      </c>
      <c r="HPT619" s="5" t="s">
        <v>3728</v>
      </c>
      <c r="HPU619" s="17">
        <v>44925</v>
      </c>
      <c r="HPV619" s="5" t="s">
        <v>3728</v>
      </c>
      <c r="HPW619" s="17">
        <v>44925</v>
      </c>
      <c r="HPX619" s="5" t="s">
        <v>3728</v>
      </c>
      <c r="HPY619" s="17">
        <v>44925</v>
      </c>
      <c r="HPZ619" s="5" t="s">
        <v>3728</v>
      </c>
      <c r="HQA619" s="17">
        <v>44925</v>
      </c>
      <c r="HQB619" s="5" t="s">
        <v>3728</v>
      </c>
      <c r="HQC619" s="17">
        <v>44925</v>
      </c>
      <c r="HQD619" s="5" t="s">
        <v>3728</v>
      </c>
      <c r="HQE619" s="17">
        <v>44925</v>
      </c>
      <c r="HQF619" s="5" t="s">
        <v>3728</v>
      </c>
      <c r="HQG619" s="17">
        <v>44925</v>
      </c>
      <c r="HQH619" s="5" t="s">
        <v>3728</v>
      </c>
      <c r="HQI619" s="17">
        <v>44925</v>
      </c>
      <c r="HQJ619" s="5" t="s">
        <v>3728</v>
      </c>
      <c r="HQK619" s="17">
        <v>44925</v>
      </c>
      <c r="HQL619" s="5" t="s">
        <v>3728</v>
      </c>
      <c r="HQM619" s="17">
        <v>44925</v>
      </c>
      <c r="HQN619" s="5" t="s">
        <v>3728</v>
      </c>
      <c r="HQO619" s="17">
        <v>44925</v>
      </c>
      <c r="HQP619" s="5" t="s">
        <v>3728</v>
      </c>
      <c r="HQQ619" s="17">
        <v>44925</v>
      </c>
      <c r="HQR619" s="5" t="s">
        <v>3728</v>
      </c>
      <c r="HQS619" s="17">
        <v>44925</v>
      </c>
      <c r="HQT619" s="5" t="s">
        <v>3728</v>
      </c>
      <c r="HQU619" s="17">
        <v>44925</v>
      </c>
      <c r="HQV619" s="5" t="s">
        <v>3728</v>
      </c>
      <c r="HQW619" s="17">
        <v>44925</v>
      </c>
      <c r="HQX619" s="5" t="s">
        <v>3728</v>
      </c>
      <c r="HQY619" s="17">
        <v>44925</v>
      </c>
      <c r="HQZ619" s="5" t="s">
        <v>3728</v>
      </c>
      <c r="HRA619" s="17">
        <v>44925</v>
      </c>
      <c r="HRB619" s="5" t="s">
        <v>3728</v>
      </c>
      <c r="HRC619" s="17">
        <v>44925</v>
      </c>
      <c r="HRD619" s="5" t="s">
        <v>3728</v>
      </c>
      <c r="HRE619" s="17">
        <v>44925</v>
      </c>
      <c r="HRF619" s="5" t="s">
        <v>3728</v>
      </c>
      <c r="HRG619" s="17">
        <v>44925</v>
      </c>
      <c r="HRH619" s="5" t="s">
        <v>3728</v>
      </c>
      <c r="HRI619" s="17">
        <v>44925</v>
      </c>
      <c r="HRJ619" s="5" t="s">
        <v>3728</v>
      </c>
      <c r="HRK619" s="17">
        <v>44925</v>
      </c>
      <c r="HRL619" s="5" t="s">
        <v>3728</v>
      </c>
      <c r="HRM619" s="17">
        <v>44925</v>
      </c>
      <c r="HRN619" s="5" t="s">
        <v>3728</v>
      </c>
      <c r="HRO619" s="17">
        <v>44925</v>
      </c>
      <c r="HRP619" s="5" t="s">
        <v>3728</v>
      </c>
      <c r="HRQ619" s="17">
        <v>44925</v>
      </c>
      <c r="HRR619" s="5" t="s">
        <v>3728</v>
      </c>
      <c r="HRS619" s="17">
        <v>44925</v>
      </c>
      <c r="HRT619" s="5" t="s">
        <v>3728</v>
      </c>
      <c r="HRU619" s="17">
        <v>44925</v>
      </c>
      <c r="HRV619" s="5" t="s">
        <v>3728</v>
      </c>
      <c r="HRW619" s="17">
        <v>44925</v>
      </c>
      <c r="HRX619" s="5" t="s">
        <v>3728</v>
      </c>
      <c r="HRY619" s="17">
        <v>44925</v>
      </c>
      <c r="HRZ619" s="5" t="s">
        <v>3728</v>
      </c>
      <c r="HSA619" s="17">
        <v>44925</v>
      </c>
      <c r="HSB619" s="5" t="s">
        <v>3728</v>
      </c>
      <c r="HSC619" s="17">
        <v>44925</v>
      </c>
      <c r="HSD619" s="5" t="s">
        <v>3728</v>
      </c>
      <c r="HSE619" s="17">
        <v>44925</v>
      </c>
      <c r="HSF619" s="5" t="s">
        <v>3728</v>
      </c>
      <c r="HSG619" s="17">
        <v>44925</v>
      </c>
      <c r="HSH619" s="5" t="s">
        <v>3728</v>
      </c>
      <c r="HSI619" s="17">
        <v>44925</v>
      </c>
      <c r="HSJ619" s="5" t="s">
        <v>3728</v>
      </c>
      <c r="HSK619" s="17">
        <v>44925</v>
      </c>
      <c r="HSL619" s="5" t="s">
        <v>3728</v>
      </c>
      <c r="HSM619" s="17">
        <v>44925</v>
      </c>
      <c r="HSN619" s="5" t="s">
        <v>3728</v>
      </c>
      <c r="HSO619" s="17">
        <v>44925</v>
      </c>
      <c r="HSP619" s="5" t="s">
        <v>3728</v>
      </c>
      <c r="HSQ619" s="17">
        <v>44925</v>
      </c>
      <c r="HSR619" s="5" t="s">
        <v>3728</v>
      </c>
      <c r="HSS619" s="17">
        <v>44925</v>
      </c>
      <c r="HST619" s="5" t="s">
        <v>3728</v>
      </c>
      <c r="HSU619" s="17">
        <v>44925</v>
      </c>
      <c r="HSV619" s="5" t="s">
        <v>3728</v>
      </c>
      <c r="HSW619" s="17">
        <v>44925</v>
      </c>
      <c r="HSX619" s="5" t="s">
        <v>3728</v>
      </c>
      <c r="HSY619" s="17">
        <v>44925</v>
      </c>
      <c r="HSZ619" s="5" t="s">
        <v>3728</v>
      </c>
      <c r="HTA619" s="17">
        <v>44925</v>
      </c>
      <c r="HTB619" s="5" t="s">
        <v>3728</v>
      </c>
      <c r="HTC619" s="17">
        <v>44925</v>
      </c>
      <c r="HTD619" s="5" t="s">
        <v>3728</v>
      </c>
      <c r="HTE619" s="17">
        <v>44925</v>
      </c>
      <c r="HTF619" s="5" t="s">
        <v>3728</v>
      </c>
      <c r="HTG619" s="17">
        <v>44925</v>
      </c>
      <c r="HTH619" s="5" t="s">
        <v>3728</v>
      </c>
      <c r="HTI619" s="17">
        <v>44925</v>
      </c>
      <c r="HTJ619" s="5" t="s">
        <v>3728</v>
      </c>
      <c r="HTK619" s="17">
        <v>44925</v>
      </c>
      <c r="HTL619" s="5" t="s">
        <v>3728</v>
      </c>
      <c r="HTM619" s="17">
        <v>44925</v>
      </c>
      <c r="HTN619" s="5" t="s">
        <v>3728</v>
      </c>
      <c r="HTO619" s="17">
        <v>44925</v>
      </c>
      <c r="HTP619" s="5" t="s">
        <v>3728</v>
      </c>
      <c r="HTQ619" s="17">
        <v>44925</v>
      </c>
      <c r="HTR619" s="5" t="s">
        <v>3728</v>
      </c>
      <c r="HTS619" s="17">
        <v>44925</v>
      </c>
      <c r="HTT619" s="5" t="s">
        <v>3728</v>
      </c>
      <c r="HTU619" s="17">
        <v>44925</v>
      </c>
      <c r="HTV619" s="5" t="s">
        <v>3728</v>
      </c>
      <c r="HTW619" s="17">
        <v>44925</v>
      </c>
      <c r="HTX619" s="5" t="s">
        <v>3728</v>
      </c>
      <c r="HTY619" s="17">
        <v>44925</v>
      </c>
      <c r="HTZ619" s="5" t="s">
        <v>3728</v>
      </c>
      <c r="HUA619" s="17">
        <v>44925</v>
      </c>
      <c r="HUB619" s="5" t="s">
        <v>3728</v>
      </c>
      <c r="HUC619" s="17">
        <v>44925</v>
      </c>
      <c r="HUD619" s="5" t="s">
        <v>3728</v>
      </c>
      <c r="HUE619" s="17">
        <v>44925</v>
      </c>
      <c r="HUF619" s="5" t="s">
        <v>3728</v>
      </c>
      <c r="HUG619" s="17">
        <v>44925</v>
      </c>
      <c r="HUH619" s="5" t="s">
        <v>3728</v>
      </c>
      <c r="HUI619" s="17">
        <v>44925</v>
      </c>
      <c r="HUJ619" s="5" t="s">
        <v>3728</v>
      </c>
      <c r="HUK619" s="17">
        <v>44925</v>
      </c>
      <c r="HUL619" s="5" t="s">
        <v>3728</v>
      </c>
      <c r="HUM619" s="17">
        <v>44925</v>
      </c>
      <c r="HUN619" s="5" t="s">
        <v>3728</v>
      </c>
      <c r="HUO619" s="17">
        <v>44925</v>
      </c>
      <c r="HUP619" s="5" t="s">
        <v>3728</v>
      </c>
      <c r="HUQ619" s="17">
        <v>44925</v>
      </c>
      <c r="HUR619" s="5" t="s">
        <v>3728</v>
      </c>
      <c r="HUS619" s="17">
        <v>44925</v>
      </c>
      <c r="HUT619" s="5" t="s">
        <v>3728</v>
      </c>
      <c r="HUU619" s="17">
        <v>44925</v>
      </c>
      <c r="HUV619" s="5" t="s">
        <v>3728</v>
      </c>
      <c r="HUW619" s="17">
        <v>44925</v>
      </c>
      <c r="HUX619" s="5" t="s">
        <v>3728</v>
      </c>
      <c r="HUY619" s="17">
        <v>44925</v>
      </c>
      <c r="HUZ619" s="5" t="s">
        <v>3728</v>
      </c>
      <c r="HVA619" s="17">
        <v>44925</v>
      </c>
      <c r="HVB619" s="5" t="s">
        <v>3728</v>
      </c>
      <c r="HVC619" s="17">
        <v>44925</v>
      </c>
      <c r="HVD619" s="5" t="s">
        <v>3728</v>
      </c>
      <c r="HVE619" s="17">
        <v>44925</v>
      </c>
      <c r="HVF619" s="5" t="s">
        <v>3728</v>
      </c>
      <c r="HVG619" s="17">
        <v>44925</v>
      </c>
      <c r="HVH619" s="5" t="s">
        <v>3728</v>
      </c>
      <c r="HVI619" s="17">
        <v>44925</v>
      </c>
      <c r="HVJ619" s="5" t="s">
        <v>3728</v>
      </c>
      <c r="HVK619" s="17">
        <v>44925</v>
      </c>
      <c r="HVL619" s="5" t="s">
        <v>3728</v>
      </c>
      <c r="HVM619" s="17">
        <v>44925</v>
      </c>
      <c r="HVN619" s="5" t="s">
        <v>3728</v>
      </c>
      <c r="HVO619" s="17">
        <v>44925</v>
      </c>
      <c r="HVP619" s="5" t="s">
        <v>3728</v>
      </c>
      <c r="HVQ619" s="17">
        <v>44925</v>
      </c>
      <c r="HVR619" s="5" t="s">
        <v>3728</v>
      </c>
      <c r="HVS619" s="17">
        <v>44925</v>
      </c>
      <c r="HVT619" s="5" t="s">
        <v>3728</v>
      </c>
      <c r="HVU619" s="17">
        <v>44925</v>
      </c>
      <c r="HVV619" s="5" t="s">
        <v>3728</v>
      </c>
      <c r="HVW619" s="17">
        <v>44925</v>
      </c>
      <c r="HVX619" s="5" t="s">
        <v>3728</v>
      </c>
      <c r="HVY619" s="17">
        <v>44925</v>
      </c>
      <c r="HVZ619" s="5" t="s">
        <v>3728</v>
      </c>
      <c r="HWA619" s="17">
        <v>44925</v>
      </c>
      <c r="HWB619" s="5" t="s">
        <v>3728</v>
      </c>
      <c r="HWC619" s="17">
        <v>44925</v>
      </c>
      <c r="HWD619" s="5" t="s">
        <v>3728</v>
      </c>
      <c r="HWE619" s="17">
        <v>44925</v>
      </c>
      <c r="HWF619" s="5" t="s">
        <v>3728</v>
      </c>
      <c r="HWG619" s="17">
        <v>44925</v>
      </c>
      <c r="HWH619" s="5" t="s">
        <v>3728</v>
      </c>
      <c r="HWI619" s="17">
        <v>44925</v>
      </c>
      <c r="HWJ619" s="5" t="s">
        <v>3728</v>
      </c>
      <c r="HWK619" s="17">
        <v>44925</v>
      </c>
      <c r="HWL619" s="5" t="s">
        <v>3728</v>
      </c>
      <c r="HWM619" s="17">
        <v>44925</v>
      </c>
      <c r="HWN619" s="5" t="s">
        <v>3728</v>
      </c>
      <c r="HWO619" s="17">
        <v>44925</v>
      </c>
      <c r="HWP619" s="5" t="s">
        <v>3728</v>
      </c>
      <c r="HWQ619" s="17">
        <v>44925</v>
      </c>
      <c r="HWR619" s="5" t="s">
        <v>3728</v>
      </c>
      <c r="HWS619" s="17">
        <v>44925</v>
      </c>
      <c r="HWT619" s="5" t="s">
        <v>3728</v>
      </c>
      <c r="HWU619" s="17">
        <v>44925</v>
      </c>
      <c r="HWV619" s="5" t="s">
        <v>3728</v>
      </c>
      <c r="HWW619" s="17">
        <v>44925</v>
      </c>
      <c r="HWX619" s="5" t="s">
        <v>3728</v>
      </c>
      <c r="HWY619" s="17">
        <v>44925</v>
      </c>
      <c r="HWZ619" s="5" t="s">
        <v>3728</v>
      </c>
      <c r="HXA619" s="17">
        <v>44925</v>
      </c>
      <c r="HXB619" s="5" t="s">
        <v>3728</v>
      </c>
      <c r="HXC619" s="17">
        <v>44925</v>
      </c>
      <c r="HXD619" s="5" t="s">
        <v>3728</v>
      </c>
      <c r="HXE619" s="17">
        <v>44925</v>
      </c>
      <c r="HXF619" s="5" t="s">
        <v>3728</v>
      </c>
      <c r="HXG619" s="17">
        <v>44925</v>
      </c>
      <c r="HXH619" s="5" t="s">
        <v>3728</v>
      </c>
      <c r="HXI619" s="17">
        <v>44925</v>
      </c>
      <c r="HXJ619" s="5" t="s">
        <v>3728</v>
      </c>
      <c r="HXK619" s="17">
        <v>44925</v>
      </c>
      <c r="HXL619" s="5" t="s">
        <v>3728</v>
      </c>
      <c r="HXM619" s="17">
        <v>44925</v>
      </c>
      <c r="HXN619" s="5" t="s">
        <v>3728</v>
      </c>
      <c r="HXO619" s="17">
        <v>44925</v>
      </c>
      <c r="HXP619" s="5" t="s">
        <v>3728</v>
      </c>
      <c r="HXQ619" s="17">
        <v>44925</v>
      </c>
      <c r="HXR619" s="5" t="s">
        <v>3728</v>
      </c>
      <c r="HXS619" s="17">
        <v>44925</v>
      </c>
      <c r="HXT619" s="5" t="s">
        <v>3728</v>
      </c>
      <c r="HXU619" s="17">
        <v>44925</v>
      </c>
      <c r="HXV619" s="5" t="s">
        <v>3728</v>
      </c>
      <c r="HXW619" s="17">
        <v>44925</v>
      </c>
      <c r="HXX619" s="5" t="s">
        <v>3728</v>
      </c>
      <c r="HXY619" s="17">
        <v>44925</v>
      </c>
      <c r="HXZ619" s="5" t="s">
        <v>3728</v>
      </c>
      <c r="HYA619" s="17">
        <v>44925</v>
      </c>
      <c r="HYB619" s="5" t="s">
        <v>3728</v>
      </c>
      <c r="HYC619" s="17">
        <v>44925</v>
      </c>
      <c r="HYD619" s="5" t="s">
        <v>3728</v>
      </c>
      <c r="HYE619" s="17">
        <v>44925</v>
      </c>
      <c r="HYF619" s="5" t="s">
        <v>3728</v>
      </c>
      <c r="HYG619" s="17">
        <v>44925</v>
      </c>
      <c r="HYH619" s="5" t="s">
        <v>3728</v>
      </c>
      <c r="HYI619" s="17">
        <v>44925</v>
      </c>
      <c r="HYJ619" s="5" t="s">
        <v>3728</v>
      </c>
      <c r="HYK619" s="17">
        <v>44925</v>
      </c>
      <c r="HYL619" s="5" t="s">
        <v>3728</v>
      </c>
      <c r="HYM619" s="17">
        <v>44925</v>
      </c>
      <c r="HYN619" s="5" t="s">
        <v>3728</v>
      </c>
      <c r="HYO619" s="17">
        <v>44925</v>
      </c>
      <c r="HYP619" s="5" t="s">
        <v>3728</v>
      </c>
      <c r="HYQ619" s="17">
        <v>44925</v>
      </c>
      <c r="HYR619" s="5" t="s">
        <v>3728</v>
      </c>
      <c r="HYS619" s="17">
        <v>44925</v>
      </c>
      <c r="HYT619" s="5" t="s">
        <v>3728</v>
      </c>
      <c r="HYU619" s="17">
        <v>44925</v>
      </c>
      <c r="HYV619" s="5" t="s">
        <v>3728</v>
      </c>
      <c r="HYW619" s="17">
        <v>44925</v>
      </c>
      <c r="HYX619" s="5" t="s">
        <v>3728</v>
      </c>
      <c r="HYY619" s="17">
        <v>44925</v>
      </c>
      <c r="HYZ619" s="5" t="s">
        <v>3728</v>
      </c>
      <c r="HZA619" s="17">
        <v>44925</v>
      </c>
      <c r="HZB619" s="5" t="s">
        <v>3728</v>
      </c>
      <c r="HZC619" s="17">
        <v>44925</v>
      </c>
      <c r="HZD619" s="5" t="s">
        <v>3728</v>
      </c>
      <c r="HZE619" s="17">
        <v>44925</v>
      </c>
      <c r="HZF619" s="5" t="s">
        <v>3728</v>
      </c>
      <c r="HZG619" s="17">
        <v>44925</v>
      </c>
      <c r="HZH619" s="5" t="s">
        <v>3728</v>
      </c>
      <c r="HZI619" s="17">
        <v>44925</v>
      </c>
      <c r="HZJ619" s="5" t="s">
        <v>3728</v>
      </c>
      <c r="HZK619" s="17">
        <v>44925</v>
      </c>
      <c r="HZL619" s="5" t="s">
        <v>3728</v>
      </c>
      <c r="HZM619" s="17">
        <v>44925</v>
      </c>
      <c r="HZN619" s="5" t="s">
        <v>3728</v>
      </c>
      <c r="HZO619" s="17">
        <v>44925</v>
      </c>
      <c r="HZP619" s="5" t="s">
        <v>3728</v>
      </c>
      <c r="HZQ619" s="17">
        <v>44925</v>
      </c>
      <c r="HZR619" s="5" t="s">
        <v>3728</v>
      </c>
      <c r="HZS619" s="17">
        <v>44925</v>
      </c>
      <c r="HZT619" s="5" t="s">
        <v>3728</v>
      </c>
      <c r="HZU619" s="17">
        <v>44925</v>
      </c>
      <c r="HZV619" s="5" t="s">
        <v>3728</v>
      </c>
      <c r="HZW619" s="17">
        <v>44925</v>
      </c>
      <c r="HZX619" s="5" t="s">
        <v>3728</v>
      </c>
      <c r="HZY619" s="17">
        <v>44925</v>
      </c>
      <c r="HZZ619" s="5" t="s">
        <v>3728</v>
      </c>
      <c r="IAA619" s="17">
        <v>44925</v>
      </c>
      <c r="IAB619" s="5" t="s">
        <v>3728</v>
      </c>
      <c r="IAC619" s="17">
        <v>44925</v>
      </c>
      <c r="IAD619" s="5" t="s">
        <v>3728</v>
      </c>
      <c r="IAE619" s="17">
        <v>44925</v>
      </c>
      <c r="IAF619" s="5" t="s">
        <v>3728</v>
      </c>
      <c r="IAG619" s="17">
        <v>44925</v>
      </c>
      <c r="IAH619" s="5" t="s">
        <v>3728</v>
      </c>
      <c r="IAI619" s="17">
        <v>44925</v>
      </c>
      <c r="IAJ619" s="5" t="s">
        <v>3728</v>
      </c>
      <c r="IAK619" s="17">
        <v>44925</v>
      </c>
      <c r="IAL619" s="5" t="s">
        <v>3728</v>
      </c>
      <c r="IAM619" s="17">
        <v>44925</v>
      </c>
      <c r="IAN619" s="5" t="s">
        <v>3728</v>
      </c>
      <c r="IAO619" s="17">
        <v>44925</v>
      </c>
      <c r="IAP619" s="5" t="s">
        <v>3728</v>
      </c>
      <c r="IAQ619" s="17">
        <v>44925</v>
      </c>
      <c r="IAR619" s="5" t="s">
        <v>3728</v>
      </c>
      <c r="IAS619" s="17">
        <v>44925</v>
      </c>
      <c r="IAT619" s="5" t="s">
        <v>3728</v>
      </c>
      <c r="IAU619" s="17">
        <v>44925</v>
      </c>
      <c r="IAV619" s="5" t="s">
        <v>3728</v>
      </c>
      <c r="IAW619" s="17">
        <v>44925</v>
      </c>
      <c r="IAX619" s="5" t="s">
        <v>3728</v>
      </c>
      <c r="IAY619" s="17">
        <v>44925</v>
      </c>
      <c r="IAZ619" s="5" t="s">
        <v>3728</v>
      </c>
      <c r="IBA619" s="17">
        <v>44925</v>
      </c>
      <c r="IBB619" s="5" t="s">
        <v>3728</v>
      </c>
      <c r="IBC619" s="17">
        <v>44925</v>
      </c>
      <c r="IBD619" s="5" t="s">
        <v>3728</v>
      </c>
      <c r="IBE619" s="17">
        <v>44925</v>
      </c>
      <c r="IBF619" s="5" t="s">
        <v>3728</v>
      </c>
      <c r="IBG619" s="17">
        <v>44925</v>
      </c>
      <c r="IBH619" s="5" t="s">
        <v>3728</v>
      </c>
      <c r="IBI619" s="17">
        <v>44925</v>
      </c>
      <c r="IBJ619" s="5" t="s">
        <v>3728</v>
      </c>
      <c r="IBK619" s="17">
        <v>44925</v>
      </c>
      <c r="IBL619" s="5" t="s">
        <v>3728</v>
      </c>
      <c r="IBM619" s="17">
        <v>44925</v>
      </c>
      <c r="IBN619" s="5" t="s">
        <v>3728</v>
      </c>
      <c r="IBO619" s="17">
        <v>44925</v>
      </c>
      <c r="IBP619" s="5" t="s">
        <v>3728</v>
      </c>
      <c r="IBQ619" s="17">
        <v>44925</v>
      </c>
      <c r="IBR619" s="5" t="s">
        <v>3728</v>
      </c>
      <c r="IBS619" s="17">
        <v>44925</v>
      </c>
      <c r="IBT619" s="5" t="s">
        <v>3728</v>
      </c>
      <c r="IBU619" s="17">
        <v>44925</v>
      </c>
      <c r="IBV619" s="5" t="s">
        <v>3728</v>
      </c>
      <c r="IBW619" s="17">
        <v>44925</v>
      </c>
      <c r="IBX619" s="5" t="s">
        <v>3728</v>
      </c>
      <c r="IBY619" s="17">
        <v>44925</v>
      </c>
      <c r="IBZ619" s="5" t="s">
        <v>3728</v>
      </c>
      <c r="ICA619" s="17">
        <v>44925</v>
      </c>
      <c r="ICB619" s="5" t="s">
        <v>3728</v>
      </c>
      <c r="ICC619" s="17">
        <v>44925</v>
      </c>
      <c r="ICD619" s="5" t="s">
        <v>3728</v>
      </c>
      <c r="ICE619" s="17">
        <v>44925</v>
      </c>
      <c r="ICF619" s="5" t="s">
        <v>3728</v>
      </c>
      <c r="ICG619" s="17">
        <v>44925</v>
      </c>
      <c r="ICH619" s="5" t="s">
        <v>3728</v>
      </c>
      <c r="ICI619" s="17">
        <v>44925</v>
      </c>
      <c r="ICJ619" s="5" t="s">
        <v>3728</v>
      </c>
      <c r="ICK619" s="17">
        <v>44925</v>
      </c>
      <c r="ICL619" s="5" t="s">
        <v>3728</v>
      </c>
      <c r="ICM619" s="17">
        <v>44925</v>
      </c>
      <c r="ICN619" s="5" t="s">
        <v>3728</v>
      </c>
      <c r="ICO619" s="17">
        <v>44925</v>
      </c>
      <c r="ICP619" s="5" t="s">
        <v>3728</v>
      </c>
      <c r="ICQ619" s="17">
        <v>44925</v>
      </c>
      <c r="ICR619" s="5" t="s">
        <v>3728</v>
      </c>
      <c r="ICS619" s="17">
        <v>44925</v>
      </c>
      <c r="ICT619" s="5" t="s">
        <v>3728</v>
      </c>
      <c r="ICU619" s="17">
        <v>44925</v>
      </c>
      <c r="ICV619" s="5" t="s">
        <v>3728</v>
      </c>
      <c r="ICW619" s="17">
        <v>44925</v>
      </c>
      <c r="ICX619" s="5" t="s">
        <v>3728</v>
      </c>
      <c r="ICY619" s="17">
        <v>44925</v>
      </c>
      <c r="ICZ619" s="5" t="s">
        <v>3728</v>
      </c>
      <c r="IDA619" s="17">
        <v>44925</v>
      </c>
      <c r="IDB619" s="5" t="s">
        <v>3728</v>
      </c>
      <c r="IDC619" s="17">
        <v>44925</v>
      </c>
      <c r="IDD619" s="5" t="s">
        <v>3728</v>
      </c>
      <c r="IDE619" s="17">
        <v>44925</v>
      </c>
      <c r="IDF619" s="5" t="s">
        <v>3728</v>
      </c>
      <c r="IDG619" s="17">
        <v>44925</v>
      </c>
      <c r="IDH619" s="5" t="s">
        <v>3728</v>
      </c>
      <c r="IDI619" s="17">
        <v>44925</v>
      </c>
      <c r="IDJ619" s="5" t="s">
        <v>3728</v>
      </c>
      <c r="IDK619" s="17">
        <v>44925</v>
      </c>
      <c r="IDL619" s="5" t="s">
        <v>3728</v>
      </c>
      <c r="IDM619" s="17">
        <v>44925</v>
      </c>
      <c r="IDN619" s="5" t="s">
        <v>3728</v>
      </c>
      <c r="IDO619" s="17">
        <v>44925</v>
      </c>
      <c r="IDP619" s="5" t="s">
        <v>3728</v>
      </c>
      <c r="IDQ619" s="17">
        <v>44925</v>
      </c>
      <c r="IDR619" s="5" t="s">
        <v>3728</v>
      </c>
      <c r="IDS619" s="17">
        <v>44925</v>
      </c>
      <c r="IDT619" s="5" t="s">
        <v>3728</v>
      </c>
      <c r="IDU619" s="17">
        <v>44925</v>
      </c>
      <c r="IDV619" s="5" t="s">
        <v>3728</v>
      </c>
      <c r="IDW619" s="17">
        <v>44925</v>
      </c>
      <c r="IDX619" s="5" t="s">
        <v>3728</v>
      </c>
      <c r="IDY619" s="17">
        <v>44925</v>
      </c>
      <c r="IDZ619" s="5" t="s">
        <v>3728</v>
      </c>
      <c r="IEA619" s="17">
        <v>44925</v>
      </c>
      <c r="IEB619" s="5" t="s">
        <v>3728</v>
      </c>
      <c r="IEC619" s="17">
        <v>44925</v>
      </c>
      <c r="IED619" s="5" t="s">
        <v>3728</v>
      </c>
      <c r="IEE619" s="17">
        <v>44925</v>
      </c>
      <c r="IEF619" s="5" t="s">
        <v>3728</v>
      </c>
      <c r="IEG619" s="17">
        <v>44925</v>
      </c>
      <c r="IEH619" s="5" t="s">
        <v>3728</v>
      </c>
      <c r="IEI619" s="17">
        <v>44925</v>
      </c>
      <c r="IEJ619" s="5" t="s">
        <v>3728</v>
      </c>
      <c r="IEK619" s="17">
        <v>44925</v>
      </c>
      <c r="IEL619" s="5" t="s">
        <v>3728</v>
      </c>
      <c r="IEM619" s="17">
        <v>44925</v>
      </c>
      <c r="IEN619" s="5" t="s">
        <v>3728</v>
      </c>
      <c r="IEO619" s="17">
        <v>44925</v>
      </c>
      <c r="IEP619" s="5" t="s">
        <v>3728</v>
      </c>
      <c r="IEQ619" s="17">
        <v>44925</v>
      </c>
      <c r="IER619" s="5" t="s">
        <v>3728</v>
      </c>
      <c r="IES619" s="17">
        <v>44925</v>
      </c>
      <c r="IET619" s="5" t="s">
        <v>3728</v>
      </c>
      <c r="IEU619" s="17">
        <v>44925</v>
      </c>
      <c r="IEV619" s="5" t="s">
        <v>3728</v>
      </c>
      <c r="IEW619" s="17">
        <v>44925</v>
      </c>
      <c r="IEX619" s="5" t="s">
        <v>3728</v>
      </c>
      <c r="IEY619" s="17">
        <v>44925</v>
      </c>
      <c r="IEZ619" s="5" t="s">
        <v>3728</v>
      </c>
      <c r="IFA619" s="17">
        <v>44925</v>
      </c>
      <c r="IFB619" s="5" t="s">
        <v>3728</v>
      </c>
      <c r="IFC619" s="17">
        <v>44925</v>
      </c>
      <c r="IFD619" s="5" t="s">
        <v>3728</v>
      </c>
      <c r="IFE619" s="17">
        <v>44925</v>
      </c>
      <c r="IFF619" s="5" t="s">
        <v>3728</v>
      </c>
      <c r="IFG619" s="17">
        <v>44925</v>
      </c>
      <c r="IFH619" s="5" t="s">
        <v>3728</v>
      </c>
      <c r="IFI619" s="17">
        <v>44925</v>
      </c>
      <c r="IFJ619" s="5" t="s">
        <v>3728</v>
      </c>
      <c r="IFK619" s="17">
        <v>44925</v>
      </c>
      <c r="IFL619" s="5" t="s">
        <v>3728</v>
      </c>
      <c r="IFM619" s="17">
        <v>44925</v>
      </c>
      <c r="IFN619" s="5" t="s">
        <v>3728</v>
      </c>
      <c r="IFO619" s="17">
        <v>44925</v>
      </c>
      <c r="IFP619" s="5" t="s">
        <v>3728</v>
      </c>
      <c r="IFQ619" s="17">
        <v>44925</v>
      </c>
      <c r="IFR619" s="5" t="s">
        <v>3728</v>
      </c>
      <c r="IFS619" s="17">
        <v>44925</v>
      </c>
      <c r="IFT619" s="5" t="s">
        <v>3728</v>
      </c>
      <c r="IFU619" s="17">
        <v>44925</v>
      </c>
      <c r="IFV619" s="5" t="s">
        <v>3728</v>
      </c>
      <c r="IFW619" s="17">
        <v>44925</v>
      </c>
      <c r="IFX619" s="5" t="s">
        <v>3728</v>
      </c>
      <c r="IFY619" s="17">
        <v>44925</v>
      </c>
      <c r="IFZ619" s="5" t="s">
        <v>3728</v>
      </c>
      <c r="IGA619" s="17">
        <v>44925</v>
      </c>
      <c r="IGB619" s="5" t="s">
        <v>3728</v>
      </c>
      <c r="IGC619" s="17">
        <v>44925</v>
      </c>
      <c r="IGD619" s="5" t="s">
        <v>3728</v>
      </c>
      <c r="IGE619" s="17">
        <v>44925</v>
      </c>
      <c r="IGF619" s="5" t="s">
        <v>3728</v>
      </c>
      <c r="IGG619" s="17">
        <v>44925</v>
      </c>
      <c r="IGH619" s="5" t="s">
        <v>3728</v>
      </c>
      <c r="IGI619" s="17">
        <v>44925</v>
      </c>
      <c r="IGJ619" s="5" t="s">
        <v>3728</v>
      </c>
      <c r="IGK619" s="17">
        <v>44925</v>
      </c>
      <c r="IGL619" s="5" t="s">
        <v>3728</v>
      </c>
      <c r="IGM619" s="17">
        <v>44925</v>
      </c>
      <c r="IGN619" s="5" t="s">
        <v>3728</v>
      </c>
      <c r="IGO619" s="17">
        <v>44925</v>
      </c>
      <c r="IGP619" s="5" t="s">
        <v>3728</v>
      </c>
      <c r="IGQ619" s="17">
        <v>44925</v>
      </c>
      <c r="IGR619" s="5" t="s">
        <v>3728</v>
      </c>
      <c r="IGS619" s="17">
        <v>44925</v>
      </c>
      <c r="IGT619" s="5" t="s">
        <v>3728</v>
      </c>
      <c r="IGU619" s="17">
        <v>44925</v>
      </c>
      <c r="IGV619" s="5" t="s">
        <v>3728</v>
      </c>
      <c r="IGW619" s="17">
        <v>44925</v>
      </c>
      <c r="IGX619" s="5" t="s">
        <v>3728</v>
      </c>
      <c r="IGY619" s="17">
        <v>44925</v>
      </c>
      <c r="IGZ619" s="5" t="s">
        <v>3728</v>
      </c>
      <c r="IHA619" s="17">
        <v>44925</v>
      </c>
      <c r="IHB619" s="5" t="s">
        <v>3728</v>
      </c>
      <c r="IHC619" s="17">
        <v>44925</v>
      </c>
      <c r="IHD619" s="5" t="s">
        <v>3728</v>
      </c>
      <c r="IHE619" s="17">
        <v>44925</v>
      </c>
      <c r="IHF619" s="5" t="s">
        <v>3728</v>
      </c>
      <c r="IHG619" s="17">
        <v>44925</v>
      </c>
      <c r="IHH619" s="5" t="s">
        <v>3728</v>
      </c>
      <c r="IHI619" s="17">
        <v>44925</v>
      </c>
      <c r="IHJ619" s="5" t="s">
        <v>3728</v>
      </c>
      <c r="IHK619" s="17">
        <v>44925</v>
      </c>
      <c r="IHL619" s="5" t="s">
        <v>3728</v>
      </c>
      <c r="IHM619" s="17">
        <v>44925</v>
      </c>
      <c r="IHN619" s="5" t="s">
        <v>3728</v>
      </c>
      <c r="IHO619" s="17">
        <v>44925</v>
      </c>
      <c r="IHP619" s="5" t="s">
        <v>3728</v>
      </c>
      <c r="IHQ619" s="17">
        <v>44925</v>
      </c>
      <c r="IHR619" s="5" t="s">
        <v>3728</v>
      </c>
      <c r="IHS619" s="17">
        <v>44925</v>
      </c>
      <c r="IHT619" s="5" t="s">
        <v>3728</v>
      </c>
      <c r="IHU619" s="17">
        <v>44925</v>
      </c>
      <c r="IHV619" s="5" t="s">
        <v>3728</v>
      </c>
      <c r="IHW619" s="17">
        <v>44925</v>
      </c>
      <c r="IHX619" s="5" t="s">
        <v>3728</v>
      </c>
      <c r="IHY619" s="17">
        <v>44925</v>
      </c>
      <c r="IHZ619" s="5" t="s">
        <v>3728</v>
      </c>
      <c r="IIA619" s="17">
        <v>44925</v>
      </c>
      <c r="IIB619" s="5" t="s">
        <v>3728</v>
      </c>
      <c r="IIC619" s="17">
        <v>44925</v>
      </c>
      <c r="IID619" s="5" t="s">
        <v>3728</v>
      </c>
      <c r="IIE619" s="17">
        <v>44925</v>
      </c>
      <c r="IIF619" s="5" t="s">
        <v>3728</v>
      </c>
      <c r="IIG619" s="17">
        <v>44925</v>
      </c>
      <c r="IIH619" s="5" t="s">
        <v>3728</v>
      </c>
      <c r="III619" s="17">
        <v>44925</v>
      </c>
      <c r="IIJ619" s="5" t="s">
        <v>3728</v>
      </c>
      <c r="IIK619" s="17">
        <v>44925</v>
      </c>
      <c r="IIL619" s="5" t="s">
        <v>3728</v>
      </c>
      <c r="IIM619" s="17">
        <v>44925</v>
      </c>
      <c r="IIN619" s="5" t="s">
        <v>3728</v>
      </c>
      <c r="IIO619" s="17">
        <v>44925</v>
      </c>
      <c r="IIP619" s="5" t="s">
        <v>3728</v>
      </c>
      <c r="IIQ619" s="17">
        <v>44925</v>
      </c>
      <c r="IIR619" s="5" t="s">
        <v>3728</v>
      </c>
      <c r="IIS619" s="17">
        <v>44925</v>
      </c>
      <c r="IIT619" s="5" t="s">
        <v>3728</v>
      </c>
      <c r="IIU619" s="17">
        <v>44925</v>
      </c>
      <c r="IIV619" s="5" t="s">
        <v>3728</v>
      </c>
      <c r="IIW619" s="17">
        <v>44925</v>
      </c>
      <c r="IIX619" s="5" t="s">
        <v>3728</v>
      </c>
      <c r="IIY619" s="17">
        <v>44925</v>
      </c>
      <c r="IIZ619" s="5" t="s">
        <v>3728</v>
      </c>
      <c r="IJA619" s="17">
        <v>44925</v>
      </c>
      <c r="IJB619" s="5" t="s">
        <v>3728</v>
      </c>
      <c r="IJC619" s="17">
        <v>44925</v>
      </c>
      <c r="IJD619" s="5" t="s">
        <v>3728</v>
      </c>
      <c r="IJE619" s="17">
        <v>44925</v>
      </c>
      <c r="IJF619" s="5" t="s">
        <v>3728</v>
      </c>
      <c r="IJG619" s="17">
        <v>44925</v>
      </c>
      <c r="IJH619" s="5" t="s">
        <v>3728</v>
      </c>
      <c r="IJI619" s="17">
        <v>44925</v>
      </c>
      <c r="IJJ619" s="5" t="s">
        <v>3728</v>
      </c>
      <c r="IJK619" s="17">
        <v>44925</v>
      </c>
      <c r="IJL619" s="5" t="s">
        <v>3728</v>
      </c>
      <c r="IJM619" s="17">
        <v>44925</v>
      </c>
      <c r="IJN619" s="5" t="s">
        <v>3728</v>
      </c>
      <c r="IJO619" s="17">
        <v>44925</v>
      </c>
      <c r="IJP619" s="5" t="s">
        <v>3728</v>
      </c>
      <c r="IJQ619" s="17">
        <v>44925</v>
      </c>
      <c r="IJR619" s="5" t="s">
        <v>3728</v>
      </c>
      <c r="IJS619" s="17">
        <v>44925</v>
      </c>
      <c r="IJT619" s="5" t="s">
        <v>3728</v>
      </c>
      <c r="IJU619" s="17">
        <v>44925</v>
      </c>
      <c r="IJV619" s="5" t="s">
        <v>3728</v>
      </c>
      <c r="IJW619" s="17">
        <v>44925</v>
      </c>
      <c r="IJX619" s="5" t="s">
        <v>3728</v>
      </c>
      <c r="IJY619" s="17">
        <v>44925</v>
      </c>
      <c r="IJZ619" s="5" t="s">
        <v>3728</v>
      </c>
      <c r="IKA619" s="17">
        <v>44925</v>
      </c>
      <c r="IKB619" s="5" t="s">
        <v>3728</v>
      </c>
      <c r="IKC619" s="17">
        <v>44925</v>
      </c>
      <c r="IKD619" s="5" t="s">
        <v>3728</v>
      </c>
      <c r="IKE619" s="17">
        <v>44925</v>
      </c>
      <c r="IKF619" s="5" t="s">
        <v>3728</v>
      </c>
      <c r="IKG619" s="17">
        <v>44925</v>
      </c>
      <c r="IKH619" s="5" t="s">
        <v>3728</v>
      </c>
      <c r="IKI619" s="17">
        <v>44925</v>
      </c>
      <c r="IKJ619" s="5" t="s">
        <v>3728</v>
      </c>
      <c r="IKK619" s="17">
        <v>44925</v>
      </c>
      <c r="IKL619" s="5" t="s">
        <v>3728</v>
      </c>
      <c r="IKM619" s="17">
        <v>44925</v>
      </c>
      <c r="IKN619" s="5" t="s">
        <v>3728</v>
      </c>
      <c r="IKO619" s="17">
        <v>44925</v>
      </c>
      <c r="IKP619" s="5" t="s">
        <v>3728</v>
      </c>
      <c r="IKQ619" s="17">
        <v>44925</v>
      </c>
      <c r="IKR619" s="5" t="s">
        <v>3728</v>
      </c>
      <c r="IKS619" s="17">
        <v>44925</v>
      </c>
      <c r="IKT619" s="5" t="s">
        <v>3728</v>
      </c>
      <c r="IKU619" s="17">
        <v>44925</v>
      </c>
      <c r="IKV619" s="5" t="s">
        <v>3728</v>
      </c>
      <c r="IKW619" s="17">
        <v>44925</v>
      </c>
      <c r="IKX619" s="5" t="s">
        <v>3728</v>
      </c>
      <c r="IKY619" s="17">
        <v>44925</v>
      </c>
      <c r="IKZ619" s="5" t="s">
        <v>3728</v>
      </c>
      <c r="ILA619" s="17">
        <v>44925</v>
      </c>
      <c r="ILB619" s="5" t="s">
        <v>3728</v>
      </c>
      <c r="ILC619" s="17">
        <v>44925</v>
      </c>
      <c r="ILD619" s="5" t="s">
        <v>3728</v>
      </c>
      <c r="ILE619" s="17">
        <v>44925</v>
      </c>
      <c r="ILF619" s="5" t="s">
        <v>3728</v>
      </c>
      <c r="ILG619" s="17">
        <v>44925</v>
      </c>
      <c r="ILH619" s="5" t="s">
        <v>3728</v>
      </c>
      <c r="ILI619" s="17">
        <v>44925</v>
      </c>
      <c r="ILJ619" s="5" t="s">
        <v>3728</v>
      </c>
      <c r="ILK619" s="17">
        <v>44925</v>
      </c>
      <c r="ILL619" s="5" t="s">
        <v>3728</v>
      </c>
      <c r="ILM619" s="17">
        <v>44925</v>
      </c>
      <c r="ILN619" s="5" t="s">
        <v>3728</v>
      </c>
      <c r="ILO619" s="17">
        <v>44925</v>
      </c>
      <c r="ILP619" s="5" t="s">
        <v>3728</v>
      </c>
      <c r="ILQ619" s="17">
        <v>44925</v>
      </c>
      <c r="ILR619" s="5" t="s">
        <v>3728</v>
      </c>
      <c r="ILS619" s="17">
        <v>44925</v>
      </c>
      <c r="ILT619" s="5" t="s">
        <v>3728</v>
      </c>
      <c r="ILU619" s="17">
        <v>44925</v>
      </c>
      <c r="ILV619" s="5" t="s">
        <v>3728</v>
      </c>
      <c r="ILW619" s="17">
        <v>44925</v>
      </c>
      <c r="ILX619" s="5" t="s">
        <v>3728</v>
      </c>
      <c r="ILY619" s="17">
        <v>44925</v>
      </c>
      <c r="ILZ619" s="5" t="s">
        <v>3728</v>
      </c>
      <c r="IMA619" s="17">
        <v>44925</v>
      </c>
      <c r="IMB619" s="5" t="s">
        <v>3728</v>
      </c>
      <c r="IMC619" s="17">
        <v>44925</v>
      </c>
      <c r="IMD619" s="5" t="s">
        <v>3728</v>
      </c>
      <c r="IME619" s="17">
        <v>44925</v>
      </c>
      <c r="IMF619" s="5" t="s">
        <v>3728</v>
      </c>
      <c r="IMG619" s="17">
        <v>44925</v>
      </c>
      <c r="IMH619" s="5" t="s">
        <v>3728</v>
      </c>
      <c r="IMI619" s="17">
        <v>44925</v>
      </c>
      <c r="IMJ619" s="5" t="s">
        <v>3728</v>
      </c>
      <c r="IMK619" s="17">
        <v>44925</v>
      </c>
      <c r="IML619" s="5" t="s">
        <v>3728</v>
      </c>
      <c r="IMM619" s="17">
        <v>44925</v>
      </c>
      <c r="IMN619" s="5" t="s">
        <v>3728</v>
      </c>
      <c r="IMO619" s="17">
        <v>44925</v>
      </c>
      <c r="IMP619" s="5" t="s">
        <v>3728</v>
      </c>
      <c r="IMQ619" s="17">
        <v>44925</v>
      </c>
      <c r="IMR619" s="5" t="s">
        <v>3728</v>
      </c>
      <c r="IMS619" s="17">
        <v>44925</v>
      </c>
      <c r="IMT619" s="5" t="s">
        <v>3728</v>
      </c>
      <c r="IMU619" s="17">
        <v>44925</v>
      </c>
      <c r="IMV619" s="5" t="s">
        <v>3728</v>
      </c>
      <c r="IMW619" s="17">
        <v>44925</v>
      </c>
      <c r="IMX619" s="5" t="s">
        <v>3728</v>
      </c>
      <c r="IMY619" s="17">
        <v>44925</v>
      </c>
      <c r="IMZ619" s="5" t="s">
        <v>3728</v>
      </c>
      <c r="INA619" s="17">
        <v>44925</v>
      </c>
      <c r="INB619" s="5" t="s">
        <v>3728</v>
      </c>
      <c r="INC619" s="17">
        <v>44925</v>
      </c>
      <c r="IND619" s="5" t="s">
        <v>3728</v>
      </c>
      <c r="INE619" s="17">
        <v>44925</v>
      </c>
      <c r="INF619" s="5" t="s">
        <v>3728</v>
      </c>
      <c r="ING619" s="17">
        <v>44925</v>
      </c>
      <c r="INH619" s="5" t="s">
        <v>3728</v>
      </c>
      <c r="INI619" s="17">
        <v>44925</v>
      </c>
      <c r="INJ619" s="5" t="s">
        <v>3728</v>
      </c>
      <c r="INK619" s="17">
        <v>44925</v>
      </c>
      <c r="INL619" s="5" t="s">
        <v>3728</v>
      </c>
      <c r="INM619" s="17">
        <v>44925</v>
      </c>
      <c r="INN619" s="5" t="s">
        <v>3728</v>
      </c>
      <c r="INO619" s="17">
        <v>44925</v>
      </c>
      <c r="INP619" s="5" t="s">
        <v>3728</v>
      </c>
      <c r="INQ619" s="17">
        <v>44925</v>
      </c>
      <c r="INR619" s="5" t="s">
        <v>3728</v>
      </c>
      <c r="INS619" s="17">
        <v>44925</v>
      </c>
      <c r="INT619" s="5" t="s">
        <v>3728</v>
      </c>
      <c r="INU619" s="17">
        <v>44925</v>
      </c>
      <c r="INV619" s="5" t="s">
        <v>3728</v>
      </c>
      <c r="INW619" s="17">
        <v>44925</v>
      </c>
      <c r="INX619" s="5" t="s">
        <v>3728</v>
      </c>
      <c r="INY619" s="17">
        <v>44925</v>
      </c>
      <c r="INZ619" s="5" t="s">
        <v>3728</v>
      </c>
      <c r="IOA619" s="17">
        <v>44925</v>
      </c>
      <c r="IOB619" s="5" t="s">
        <v>3728</v>
      </c>
      <c r="IOC619" s="17">
        <v>44925</v>
      </c>
      <c r="IOD619" s="5" t="s">
        <v>3728</v>
      </c>
      <c r="IOE619" s="17">
        <v>44925</v>
      </c>
      <c r="IOF619" s="5" t="s">
        <v>3728</v>
      </c>
      <c r="IOG619" s="17">
        <v>44925</v>
      </c>
      <c r="IOH619" s="5" t="s">
        <v>3728</v>
      </c>
      <c r="IOI619" s="17">
        <v>44925</v>
      </c>
      <c r="IOJ619" s="5" t="s">
        <v>3728</v>
      </c>
      <c r="IOK619" s="17">
        <v>44925</v>
      </c>
      <c r="IOL619" s="5" t="s">
        <v>3728</v>
      </c>
      <c r="IOM619" s="17">
        <v>44925</v>
      </c>
      <c r="ION619" s="5" t="s">
        <v>3728</v>
      </c>
      <c r="IOO619" s="17">
        <v>44925</v>
      </c>
      <c r="IOP619" s="5" t="s">
        <v>3728</v>
      </c>
      <c r="IOQ619" s="17">
        <v>44925</v>
      </c>
      <c r="IOR619" s="5" t="s">
        <v>3728</v>
      </c>
      <c r="IOS619" s="17">
        <v>44925</v>
      </c>
      <c r="IOT619" s="5" t="s">
        <v>3728</v>
      </c>
      <c r="IOU619" s="17">
        <v>44925</v>
      </c>
      <c r="IOV619" s="5" t="s">
        <v>3728</v>
      </c>
      <c r="IOW619" s="17">
        <v>44925</v>
      </c>
      <c r="IOX619" s="5" t="s">
        <v>3728</v>
      </c>
      <c r="IOY619" s="17">
        <v>44925</v>
      </c>
      <c r="IOZ619" s="5" t="s">
        <v>3728</v>
      </c>
      <c r="IPA619" s="17">
        <v>44925</v>
      </c>
      <c r="IPB619" s="5" t="s">
        <v>3728</v>
      </c>
      <c r="IPC619" s="17">
        <v>44925</v>
      </c>
      <c r="IPD619" s="5" t="s">
        <v>3728</v>
      </c>
      <c r="IPE619" s="17">
        <v>44925</v>
      </c>
      <c r="IPF619" s="5" t="s">
        <v>3728</v>
      </c>
      <c r="IPG619" s="17">
        <v>44925</v>
      </c>
      <c r="IPH619" s="5" t="s">
        <v>3728</v>
      </c>
      <c r="IPI619" s="17">
        <v>44925</v>
      </c>
      <c r="IPJ619" s="5" t="s">
        <v>3728</v>
      </c>
      <c r="IPK619" s="17">
        <v>44925</v>
      </c>
      <c r="IPL619" s="5" t="s">
        <v>3728</v>
      </c>
      <c r="IPM619" s="17">
        <v>44925</v>
      </c>
      <c r="IPN619" s="5" t="s">
        <v>3728</v>
      </c>
      <c r="IPO619" s="17">
        <v>44925</v>
      </c>
      <c r="IPP619" s="5" t="s">
        <v>3728</v>
      </c>
      <c r="IPQ619" s="17">
        <v>44925</v>
      </c>
      <c r="IPR619" s="5" t="s">
        <v>3728</v>
      </c>
      <c r="IPS619" s="17">
        <v>44925</v>
      </c>
      <c r="IPT619" s="5" t="s">
        <v>3728</v>
      </c>
      <c r="IPU619" s="17">
        <v>44925</v>
      </c>
      <c r="IPV619" s="5" t="s">
        <v>3728</v>
      </c>
      <c r="IPW619" s="17">
        <v>44925</v>
      </c>
      <c r="IPX619" s="5" t="s">
        <v>3728</v>
      </c>
      <c r="IPY619" s="17">
        <v>44925</v>
      </c>
      <c r="IPZ619" s="5" t="s">
        <v>3728</v>
      </c>
      <c r="IQA619" s="17">
        <v>44925</v>
      </c>
      <c r="IQB619" s="5" t="s">
        <v>3728</v>
      </c>
      <c r="IQC619" s="17">
        <v>44925</v>
      </c>
      <c r="IQD619" s="5" t="s">
        <v>3728</v>
      </c>
      <c r="IQE619" s="17">
        <v>44925</v>
      </c>
      <c r="IQF619" s="5" t="s">
        <v>3728</v>
      </c>
      <c r="IQG619" s="17">
        <v>44925</v>
      </c>
      <c r="IQH619" s="5" t="s">
        <v>3728</v>
      </c>
      <c r="IQI619" s="17">
        <v>44925</v>
      </c>
      <c r="IQJ619" s="5" t="s">
        <v>3728</v>
      </c>
      <c r="IQK619" s="17">
        <v>44925</v>
      </c>
      <c r="IQL619" s="5" t="s">
        <v>3728</v>
      </c>
      <c r="IQM619" s="17">
        <v>44925</v>
      </c>
      <c r="IQN619" s="5" t="s">
        <v>3728</v>
      </c>
      <c r="IQO619" s="17">
        <v>44925</v>
      </c>
      <c r="IQP619" s="5" t="s">
        <v>3728</v>
      </c>
      <c r="IQQ619" s="17">
        <v>44925</v>
      </c>
      <c r="IQR619" s="5" t="s">
        <v>3728</v>
      </c>
      <c r="IQS619" s="17">
        <v>44925</v>
      </c>
      <c r="IQT619" s="5" t="s">
        <v>3728</v>
      </c>
      <c r="IQU619" s="17">
        <v>44925</v>
      </c>
      <c r="IQV619" s="5" t="s">
        <v>3728</v>
      </c>
      <c r="IQW619" s="17">
        <v>44925</v>
      </c>
      <c r="IQX619" s="5" t="s">
        <v>3728</v>
      </c>
      <c r="IQY619" s="17">
        <v>44925</v>
      </c>
      <c r="IQZ619" s="5" t="s">
        <v>3728</v>
      </c>
      <c r="IRA619" s="17">
        <v>44925</v>
      </c>
      <c r="IRB619" s="5" t="s">
        <v>3728</v>
      </c>
      <c r="IRC619" s="17">
        <v>44925</v>
      </c>
      <c r="IRD619" s="5" t="s">
        <v>3728</v>
      </c>
      <c r="IRE619" s="17">
        <v>44925</v>
      </c>
      <c r="IRF619" s="5" t="s">
        <v>3728</v>
      </c>
      <c r="IRG619" s="17">
        <v>44925</v>
      </c>
      <c r="IRH619" s="5" t="s">
        <v>3728</v>
      </c>
      <c r="IRI619" s="17">
        <v>44925</v>
      </c>
      <c r="IRJ619" s="5" t="s">
        <v>3728</v>
      </c>
      <c r="IRK619" s="17">
        <v>44925</v>
      </c>
      <c r="IRL619" s="5" t="s">
        <v>3728</v>
      </c>
      <c r="IRM619" s="17">
        <v>44925</v>
      </c>
      <c r="IRN619" s="5" t="s">
        <v>3728</v>
      </c>
      <c r="IRO619" s="17">
        <v>44925</v>
      </c>
      <c r="IRP619" s="5" t="s">
        <v>3728</v>
      </c>
      <c r="IRQ619" s="17">
        <v>44925</v>
      </c>
      <c r="IRR619" s="5" t="s">
        <v>3728</v>
      </c>
      <c r="IRS619" s="17">
        <v>44925</v>
      </c>
      <c r="IRT619" s="5" t="s">
        <v>3728</v>
      </c>
      <c r="IRU619" s="17">
        <v>44925</v>
      </c>
      <c r="IRV619" s="5" t="s">
        <v>3728</v>
      </c>
      <c r="IRW619" s="17">
        <v>44925</v>
      </c>
      <c r="IRX619" s="5" t="s">
        <v>3728</v>
      </c>
      <c r="IRY619" s="17">
        <v>44925</v>
      </c>
      <c r="IRZ619" s="5" t="s">
        <v>3728</v>
      </c>
      <c r="ISA619" s="17">
        <v>44925</v>
      </c>
      <c r="ISB619" s="5" t="s">
        <v>3728</v>
      </c>
      <c r="ISC619" s="17">
        <v>44925</v>
      </c>
      <c r="ISD619" s="5" t="s">
        <v>3728</v>
      </c>
      <c r="ISE619" s="17">
        <v>44925</v>
      </c>
      <c r="ISF619" s="5" t="s">
        <v>3728</v>
      </c>
      <c r="ISG619" s="17">
        <v>44925</v>
      </c>
      <c r="ISH619" s="5" t="s">
        <v>3728</v>
      </c>
      <c r="ISI619" s="17">
        <v>44925</v>
      </c>
      <c r="ISJ619" s="5" t="s">
        <v>3728</v>
      </c>
      <c r="ISK619" s="17">
        <v>44925</v>
      </c>
      <c r="ISL619" s="5" t="s">
        <v>3728</v>
      </c>
      <c r="ISM619" s="17">
        <v>44925</v>
      </c>
      <c r="ISN619" s="5" t="s">
        <v>3728</v>
      </c>
      <c r="ISO619" s="17">
        <v>44925</v>
      </c>
      <c r="ISP619" s="5" t="s">
        <v>3728</v>
      </c>
      <c r="ISQ619" s="17">
        <v>44925</v>
      </c>
      <c r="ISR619" s="5" t="s">
        <v>3728</v>
      </c>
      <c r="ISS619" s="17">
        <v>44925</v>
      </c>
      <c r="IST619" s="5" t="s">
        <v>3728</v>
      </c>
      <c r="ISU619" s="17">
        <v>44925</v>
      </c>
      <c r="ISV619" s="5" t="s">
        <v>3728</v>
      </c>
      <c r="ISW619" s="17">
        <v>44925</v>
      </c>
      <c r="ISX619" s="5" t="s">
        <v>3728</v>
      </c>
      <c r="ISY619" s="17">
        <v>44925</v>
      </c>
      <c r="ISZ619" s="5" t="s">
        <v>3728</v>
      </c>
      <c r="ITA619" s="17">
        <v>44925</v>
      </c>
      <c r="ITB619" s="5" t="s">
        <v>3728</v>
      </c>
      <c r="ITC619" s="17">
        <v>44925</v>
      </c>
      <c r="ITD619" s="5" t="s">
        <v>3728</v>
      </c>
      <c r="ITE619" s="17">
        <v>44925</v>
      </c>
      <c r="ITF619" s="5" t="s">
        <v>3728</v>
      </c>
      <c r="ITG619" s="17">
        <v>44925</v>
      </c>
      <c r="ITH619" s="5" t="s">
        <v>3728</v>
      </c>
      <c r="ITI619" s="17">
        <v>44925</v>
      </c>
      <c r="ITJ619" s="5" t="s">
        <v>3728</v>
      </c>
      <c r="ITK619" s="17">
        <v>44925</v>
      </c>
      <c r="ITL619" s="5" t="s">
        <v>3728</v>
      </c>
      <c r="ITM619" s="17">
        <v>44925</v>
      </c>
      <c r="ITN619" s="5" t="s">
        <v>3728</v>
      </c>
      <c r="ITO619" s="17">
        <v>44925</v>
      </c>
      <c r="ITP619" s="5" t="s">
        <v>3728</v>
      </c>
      <c r="ITQ619" s="17">
        <v>44925</v>
      </c>
      <c r="ITR619" s="5" t="s">
        <v>3728</v>
      </c>
      <c r="ITS619" s="17">
        <v>44925</v>
      </c>
      <c r="ITT619" s="5" t="s">
        <v>3728</v>
      </c>
      <c r="ITU619" s="17">
        <v>44925</v>
      </c>
      <c r="ITV619" s="5" t="s">
        <v>3728</v>
      </c>
      <c r="ITW619" s="17">
        <v>44925</v>
      </c>
      <c r="ITX619" s="5" t="s">
        <v>3728</v>
      </c>
      <c r="ITY619" s="17">
        <v>44925</v>
      </c>
      <c r="ITZ619" s="5" t="s">
        <v>3728</v>
      </c>
      <c r="IUA619" s="17">
        <v>44925</v>
      </c>
      <c r="IUB619" s="5" t="s">
        <v>3728</v>
      </c>
      <c r="IUC619" s="17">
        <v>44925</v>
      </c>
      <c r="IUD619" s="5" t="s">
        <v>3728</v>
      </c>
      <c r="IUE619" s="17">
        <v>44925</v>
      </c>
      <c r="IUF619" s="5" t="s">
        <v>3728</v>
      </c>
      <c r="IUG619" s="17">
        <v>44925</v>
      </c>
      <c r="IUH619" s="5" t="s">
        <v>3728</v>
      </c>
      <c r="IUI619" s="17">
        <v>44925</v>
      </c>
      <c r="IUJ619" s="5" t="s">
        <v>3728</v>
      </c>
      <c r="IUK619" s="17">
        <v>44925</v>
      </c>
      <c r="IUL619" s="5" t="s">
        <v>3728</v>
      </c>
      <c r="IUM619" s="17">
        <v>44925</v>
      </c>
      <c r="IUN619" s="5" t="s">
        <v>3728</v>
      </c>
      <c r="IUO619" s="17">
        <v>44925</v>
      </c>
      <c r="IUP619" s="5" t="s">
        <v>3728</v>
      </c>
      <c r="IUQ619" s="17">
        <v>44925</v>
      </c>
      <c r="IUR619" s="5" t="s">
        <v>3728</v>
      </c>
      <c r="IUS619" s="17">
        <v>44925</v>
      </c>
      <c r="IUT619" s="5" t="s">
        <v>3728</v>
      </c>
      <c r="IUU619" s="17">
        <v>44925</v>
      </c>
      <c r="IUV619" s="5" t="s">
        <v>3728</v>
      </c>
      <c r="IUW619" s="17">
        <v>44925</v>
      </c>
      <c r="IUX619" s="5" t="s">
        <v>3728</v>
      </c>
      <c r="IUY619" s="17">
        <v>44925</v>
      </c>
      <c r="IUZ619" s="5" t="s">
        <v>3728</v>
      </c>
      <c r="IVA619" s="17">
        <v>44925</v>
      </c>
      <c r="IVB619" s="5" t="s">
        <v>3728</v>
      </c>
      <c r="IVC619" s="17">
        <v>44925</v>
      </c>
      <c r="IVD619" s="5" t="s">
        <v>3728</v>
      </c>
      <c r="IVE619" s="17">
        <v>44925</v>
      </c>
      <c r="IVF619" s="5" t="s">
        <v>3728</v>
      </c>
      <c r="IVG619" s="17">
        <v>44925</v>
      </c>
      <c r="IVH619" s="5" t="s">
        <v>3728</v>
      </c>
      <c r="IVI619" s="17">
        <v>44925</v>
      </c>
      <c r="IVJ619" s="5" t="s">
        <v>3728</v>
      </c>
      <c r="IVK619" s="17">
        <v>44925</v>
      </c>
      <c r="IVL619" s="5" t="s">
        <v>3728</v>
      </c>
      <c r="IVM619" s="17">
        <v>44925</v>
      </c>
      <c r="IVN619" s="5" t="s">
        <v>3728</v>
      </c>
      <c r="IVO619" s="17">
        <v>44925</v>
      </c>
      <c r="IVP619" s="5" t="s">
        <v>3728</v>
      </c>
      <c r="IVQ619" s="17">
        <v>44925</v>
      </c>
      <c r="IVR619" s="5" t="s">
        <v>3728</v>
      </c>
      <c r="IVS619" s="17">
        <v>44925</v>
      </c>
      <c r="IVT619" s="5" t="s">
        <v>3728</v>
      </c>
      <c r="IVU619" s="17">
        <v>44925</v>
      </c>
      <c r="IVV619" s="5" t="s">
        <v>3728</v>
      </c>
      <c r="IVW619" s="17">
        <v>44925</v>
      </c>
      <c r="IVX619" s="5" t="s">
        <v>3728</v>
      </c>
      <c r="IVY619" s="17">
        <v>44925</v>
      </c>
      <c r="IVZ619" s="5" t="s">
        <v>3728</v>
      </c>
      <c r="IWA619" s="17">
        <v>44925</v>
      </c>
      <c r="IWB619" s="5" t="s">
        <v>3728</v>
      </c>
      <c r="IWC619" s="17">
        <v>44925</v>
      </c>
      <c r="IWD619" s="5" t="s">
        <v>3728</v>
      </c>
      <c r="IWE619" s="17">
        <v>44925</v>
      </c>
      <c r="IWF619" s="5" t="s">
        <v>3728</v>
      </c>
      <c r="IWG619" s="17">
        <v>44925</v>
      </c>
      <c r="IWH619" s="5" t="s">
        <v>3728</v>
      </c>
      <c r="IWI619" s="17">
        <v>44925</v>
      </c>
      <c r="IWJ619" s="5" t="s">
        <v>3728</v>
      </c>
      <c r="IWK619" s="17">
        <v>44925</v>
      </c>
      <c r="IWL619" s="5" t="s">
        <v>3728</v>
      </c>
      <c r="IWM619" s="17">
        <v>44925</v>
      </c>
      <c r="IWN619" s="5" t="s">
        <v>3728</v>
      </c>
      <c r="IWO619" s="17">
        <v>44925</v>
      </c>
      <c r="IWP619" s="5" t="s">
        <v>3728</v>
      </c>
      <c r="IWQ619" s="17">
        <v>44925</v>
      </c>
      <c r="IWR619" s="5" t="s">
        <v>3728</v>
      </c>
      <c r="IWS619" s="17">
        <v>44925</v>
      </c>
      <c r="IWT619" s="5" t="s">
        <v>3728</v>
      </c>
      <c r="IWU619" s="17">
        <v>44925</v>
      </c>
      <c r="IWV619" s="5" t="s">
        <v>3728</v>
      </c>
      <c r="IWW619" s="17">
        <v>44925</v>
      </c>
      <c r="IWX619" s="5" t="s">
        <v>3728</v>
      </c>
      <c r="IWY619" s="17">
        <v>44925</v>
      </c>
      <c r="IWZ619" s="5" t="s">
        <v>3728</v>
      </c>
      <c r="IXA619" s="17">
        <v>44925</v>
      </c>
      <c r="IXB619" s="5" t="s">
        <v>3728</v>
      </c>
      <c r="IXC619" s="17">
        <v>44925</v>
      </c>
      <c r="IXD619" s="5" t="s">
        <v>3728</v>
      </c>
      <c r="IXE619" s="17">
        <v>44925</v>
      </c>
      <c r="IXF619" s="5" t="s">
        <v>3728</v>
      </c>
      <c r="IXG619" s="17">
        <v>44925</v>
      </c>
      <c r="IXH619" s="5" t="s">
        <v>3728</v>
      </c>
      <c r="IXI619" s="17">
        <v>44925</v>
      </c>
      <c r="IXJ619" s="5" t="s">
        <v>3728</v>
      </c>
      <c r="IXK619" s="17">
        <v>44925</v>
      </c>
      <c r="IXL619" s="5" t="s">
        <v>3728</v>
      </c>
      <c r="IXM619" s="17">
        <v>44925</v>
      </c>
      <c r="IXN619" s="5" t="s">
        <v>3728</v>
      </c>
      <c r="IXO619" s="17">
        <v>44925</v>
      </c>
      <c r="IXP619" s="5" t="s">
        <v>3728</v>
      </c>
      <c r="IXQ619" s="17">
        <v>44925</v>
      </c>
      <c r="IXR619" s="5" t="s">
        <v>3728</v>
      </c>
      <c r="IXS619" s="17">
        <v>44925</v>
      </c>
      <c r="IXT619" s="5" t="s">
        <v>3728</v>
      </c>
      <c r="IXU619" s="17">
        <v>44925</v>
      </c>
      <c r="IXV619" s="5" t="s">
        <v>3728</v>
      </c>
      <c r="IXW619" s="17">
        <v>44925</v>
      </c>
      <c r="IXX619" s="5" t="s">
        <v>3728</v>
      </c>
      <c r="IXY619" s="17">
        <v>44925</v>
      </c>
      <c r="IXZ619" s="5" t="s">
        <v>3728</v>
      </c>
      <c r="IYA619" s="17">
        <v>44925</v>
      </c>
      <c r="IYB619" s="5" t="s">
        <v>3728</v>
      </c>
      <c r="IYC619" s="17">
        <v>44925</v>
      </c>
      <c r="IYD619" s="5" t="s">
        <v>3728</v>
      </c>
      <c r="IYE619" s="17">
        <v>44925</v>
      </c>
      <c r="IYF619" s="5" t="s">
        <v>3728</v>
      </c>
      <c r="IYG619" s="17">
        <v>44925</v>
      </c>
      <c r="IYH619" s="5" t="s">
        <v>3728</v>
      </c>
      <c r="IYI619" s="17">
        <v>44925</v>
      </c>
      <c r="IYJ619" s="5" t="s">
        <v>3728</v>
      </c>
      <c r="IYK619" s="17">
        <v>44925</v>
      </c>
      <c r="IYL619" s="5" t="s">
        <v>3728</v>
      </c>
      <c r="IYM619" s="17">
        <v>44925</v>
      </c>
      <c r="IYN619" s="5" t="s">
        <v>3728</v>
      </c>
      <c r="IYO619" s="17">
        <v>44925</v>
      </c>
      <c r="IYP619" s="5" t="s">
        <v>3728</v>
      </c>
      <c r="IYQ619" s="17">
        <v>44925</v>
      </c>
      <c r="IYR619" s="5" t="s">
        <v>3728</v>
      </c>
      <c r="IYS619" s="17">
        <v>44925</v>
      </c>
      <c r="IYT619" s="5" t="s">
        <v>3728</v>
      </c>
      <c r="IYU619" s="17">
        <v>44925</v>
      </c>
      <c r="IYV619" s="5" t="s">
        <v>3728</v>
      </c>
      <c r="IYW619" s="17">
        <v>44925</v>
      </c>
      <c r="IYX619" s="5" t="s">
        <v>3728</v>
      </c>
      <c r="IYY619" s="17">
        <v>44925</v>
      </c>
      <c r="IYZ619" s="5" t="s">
        <v>3728</v>
      </c>
      <c r="IZA619" s="17">
        <v>44925</v>
      </c>
      <c r="IZB619" s="5" t="s">
        <v>3728</v>
      </c>
      <c r="IZC619" s="17">
        <v>44925</v>
      </c>
      <c r="IZD619" s="5" t="s">
        <v>3728</v>
      </c>
      <c r="IZE619" s="17">
        <v>44925</v>
      </c>
      <c r="IZF619" s="5" t="s">
        <v>3728</v>
      </c>
      <c r="IZG619" s="17">
        <v>44925</v>
      </c>
      <c r="IZH619" s="5" t="s">
        <v>3728</v>
      </c>
      <c r="IZI619" s="17">
        <v>44925</v>
      </c>
      <c r="IZJ619" s="5" t="s">
        <v>3728</v>
      </c>
      <c r="IZK619" s="17">
        <v>44925</v>
      </c>
      <c r="IZL619" s="5" t="s">
        <v>3728</v>
      </c>
      <c r="IZM619" s="17">
        <v>44925</v>
      </c>
      <c r="IZN619" s="5" t="s">
        <v>3728</v>
      </c>
      <c r="IZO619" s="17">
        <v>44925</v>
      </c>
      <c r="IZP619" s="5" t="s">
        <v>3728</v>
      </c>
      <c r="IZQ619" s="17">
        <v>44925</v>
      </c>
      <c r="IZR619" s="5" t="s">
        <v>3728</v>
      </c>
      <c r="IZS619" s="17">
        <v>44925</v>
      </c>
      <c r="IZT619" s="5" t="s">
        <v>3728</v>
      </c>
      <c r="IZU619" s="17">
        <v>44925</v>
      </c>
      <c r="IZV619" s="5" t="s">
        <v>3728</v>
      </c>
      <c r="IZW619" s="17">
        <v>44925</v>
      </c>
      <c r="IZX619" s="5" t="s">
        <v>3728</v>
      </c>
      <c r="IZY619" s="17">
        <v>44925</v>
      </c>
      <c r="IZZ619" s="5" t="s">
        <v>3728</v>
      </c>
      <c r="JAA619" s="17">
        <v>44925</v>
      </c>
      <c r="JAB619" s="5" t="s">
        <v>3728</v>
      </c>
      <c r="JAC619" s="17">
        <v>44925</v>
      </c>
      <c r="JAD619" s="5" t="s">
        <v>3728</v>
      </c>
      <c r="JAE619" s="17">
        <v>44925</v>
      </c>
      <c r="JAF619" s="5" t="s">
        <v>3728</v>
      </c>
      <c r="JAG619" s="17">
        <v>44925</v>
      </c>
      <c r="JAH619" s="5" t="s">
        <v>3728</v>
      </c>
      <c r="JAI619" s="17">
        <v>44925</v>
      </c>
      <c r="JAJ619" s="5" t="s">
        <v>3728</v>
      </c>
      <c r="JAK619" s="17">
        <v>44925</v>
      </c>
      <c r="JAL619" s="5" t="s">
        <v>3728</v>
      </c>
      <c r="JAM619" s="17">
        <v>44925</v>
      </c>
      <c r="JAN619" s="5" t="s">
        <v>3728</v>
      </c>
      <c r="JAO619" s="17">
        <v>44925</v>
      </c>
      <c r="JAP619" s="5" t="s">
        <v>3728</v>
      </c>
      <c r="JAQ619" s="17">
        <v>44925</v>
      </c>
      <c r="JAR619" s="5" t="s">
        <v>3728</v>
      </c>
      <c r="JAS619" s="17">
        <v>44925</v>
      </c>
      <c r="JAT619" s="5" t="s">
        <v>3728</v>
      </c>
      <c r="JAU619" s="17">
        <v>44925</v>
      </c>
      <c r="JAV619" s="5" t="s">
        <v>3728</v>
      </c>
      <c r="JAW619" s="17">
        <v>44925</v>
      </c>
      <c r="JAX619" s="5" t="s">
        <v>3728</v>
      </c>
      <c r="JAY619" s="17">
        <v>44925</v>
      </c>
      <c r="JAZ619" s="5" t="s">
        <v>3728</v>
      </c>
      <c r="JBA619" s="17">
        <v>44925</v>
      </c>
      <c r="JBB619" s="5" t="s">
        <v>3728</v>
      </c>
      <c r="JBC619" s="17">
        <v>44925</v>
      </c>
      <c r="JBD619" s="5" t="s">
        <v>3728</v>
      </c>
      <c r="JBE619" s="17">
        <v>44925</v>
      </c>
      <c r="JBF619" s="5" t="s">
        <v>3728</v>
      </c>
      <c r="JBG619" s="17">
        <v>44925</v>
      </c>
      <c r="JBH619" s="5" t="s">
        <v>3728</v>
      </c>
      <c r="JBI619" s="17">
        <v>44925</v>
      </c>
      <c r="JBJ619" s="5" t="s">
        <v>3728</v>
      </c>
      <c r="JBK619" s="17">
        <v>44925</v>
      </c>
      <c r="JBL619" s="5" t="s">
        <v>3728</v>
      </c>
      <c r="JBM619" s="17">
        <v>44925</v>
      </c>
      <c r="JBN619" s="5" t="s">
        <v>3728</v>
      </c>
      <c r="JBO619" s="17">
        <v>44925</v>
      </c>
      <c r="JBP619" s="5" t="s">
        <v>3728</v>
      </c>
      <c r="JBQ619" s="17">
        <v>44925</v>
      </c>
      <c r="JBR619" s="5" t="s">
        <v>3728</v>
      </c>
      <c r="JBS619" s="17">
        <v>44925</v>
      </c>
      <c r="JBT619" s="5" t="s">
        <v>3728</v>
      </c>
      <c r="JBU619" s="17">
        <v>44925</v>
      </c>
      <c r="JBV619" s="5" t="s">
        <v>3728</v>
      </c>
      <c r="JBW619" s="17">
        <v>44925</v>
      </c>
      <c r="JBX619" s="5" t="s">
        <v>3728</v>
      </c>
      <c r="JBY619" s="17">
        <v>44925</v>
      </c>
      <c r="JBZ619" s="5" t="s">
        <v>3728</v>
      </c>
      <c r="JCA619" s="17">
        <v>44925</v>
      </c>
      <c r="JCB619" s="5" t="s">
        <v>3728</v>
      </c>
      <c r="JCC619" s="17">
        <v>44925</v>
      </c>
      <c r="JCD619" s="5" t="s">
        <v>3728</v>
      </c>
      <c r="JCE619" s="17">
        <v>44925</v>
      </c>
      <c r="JCF619" s="5" t="s">
        <v>3728</v>
      </c>
      <c r="JCG619" s="17">
        <v>44925</v>
      </c>
      <c r="JCH619" s="5" t="s">
        <v>3728</v>
      </c>
      <c r="JCI619" s="17">
        <v>44925</v>
      </c>
      <c r="JCJ619" s="5" t="s">
        <v>3728</v>
      </c>
      <c r="JCK619" s="17">
        <v>44925</v>
      </c>
      <c r="JCL619" s="5" t="s">
        <v>3728</v>
      </c>
      <c r="JCM619" s="17">
        <v>44925</v>
      </c>
      <c r="JCN619" s="5" t="s">
        <v>3728</v>
      </c>
      <c r="JCO619" s="17">
        <v>44925</v>
      </c>
      <c r="JCP619" s="5" t="s">
        <v>3728</v>
      </c>
      <c r="JCQ619" s="17">
        <v>44925</v>
      </c>
      <c r="JCR619" s="5" t="s">
        <v>3728</v>
      </c>
      <c r="JCS619" s="17">
        <v>44925</v>
      </c>
      <c r="JCT619" s="5" t="s">
        <v>3728</v>
      </c>
      <c r="JCU619" s="17">
        <v>44925</v>
      </c>
      <c r="JCV619" s="5" t="s">
        <v>3728</v>
      </c>
      <c r="JCW619" s="17">
        <v>44925</v>
      </c>
      <c r="JCX619" s="5" t="s">
        <v>3728</v>
      </c>
      <c r="JCY619" s="17">
        <v>44925</v>
      </c>
      <c r="JCZ619" s="5" t="s">
        <v>3728</v>
      </c>
      <c r="JDA619" s="17">
        <v>44925</v>
      </c>
      <c r="JDB619" s="5" t="s">
        <v>3728</v>
      </c>
      <c r="JDC619" s="17">
        <v>44925</v>
      </c>
      <c r="JDD619" s="5" t="s">
        <v>3728</v>
      </c>
      <c r="JDE619" s="17">
        <v>44925</v>
      </c>
      <c r="JDF619" s="5" t="s">
        <v>3728</v>
      </c>
      <c r="JDG619" s="17">
        <v>44925</v>
      </c>
      <c r="JDH619" s="5" t="s">
        <v>3728</v>
      </c>
      <c r="JDI619" s="17">
        <v>44925</v>
      </c>
      <c r="JDJ619" s="5" t="s">
        <v>3728</v>
      </c>
      <c r="JDK619" s="17">
        <v>44925</v>
      </c>
      <c r="JDL619" s="5" t="s">
        <v>3728</v>
      </c>
      <c r="JDM619" s="17">
        <v>44925</v>
      </c>
      <c r="JDN619" s="5" t="s">
        <v>3728</v>
      </c>
      <c r="JDO619" s="17">
        <v>44925</v>
      </c>
      <c r="JDP619" s="5" t="s">
        <v>3728</v>
      </c>
      <c r="JDQ619" s="17">
        <v>44925</v>
      </c>
      <c r="JDR619" s="5" t="s">
        <v>3728</v>
      </c>
      <c r="JDS619" s="17">
        <v>44925</v>
      </c>
      <c r="JDT619" s="5" t="s">
        <v>3728</v>
      </c>
      <c r="JDU619" s="17">
        <v>44925</v>
      </c>
      <c r="JDV619" s="5" t="s">
        <v>3728</v>
      </c>
      <c r="JDW619" s="17">
        <v>44925</v>
      </c>
      <c r="JDX619" s="5" t="s">
        <v>3728</v>
      </c>
      <c r="JDY619" s="17">
        <v>44925</v>
      </c>
      <c r="JDZ619" s="5" t="s">
        <v>3728</v>
      </c>
      <c r="JEA619" s="17">
        <v>44925</v>
      </c>
      <c r="JEB619" s="5" t="s">
        <v>3728</v>
      </c>
      <c r="JEC619" s="17">
        <v>44925</v>
      </c>
      <c r="JED619" s="5" t="s">
        <v>3728</v>
      </c>
      <c r="JEE619" s="17">
        <v>44925</v>
      </c>
      <c r="JEF619" s="5" t="s">
        <v>3728</v>
      </c>
      <c r="JEG619" s="17">
        <v>44925</v>
      </c>
      <c r="JEH619" s="5" t="s">
        <v>3728</v>
      </c>
      <c r="JEI619" s="17">
        <v>44925</v>
      </c>
      <c r="JEJ619" s="5" t="s">
        <v>3728</v>
      </c>
      <c r="JEK619" s="17">
        <v>44925</v>
      </c>
      <c r="JEL619" s="5" t="s">
        <v>3728</v>
      </c>
      <c r="JEM619" s="17">
        <v>44925</v>
      </c>
      <c r="JEN619" s="5" t="s">
        <v>3728</v>
      </c>
      <c r="JEO619" s="17">
        <v>44925</v>
      </c>
      <c r="JEP619" s="5" t="s">
        <v>3728</v>
      </c>
      <c r="JEQ619" s="17">
        <v>44925</v>
      </c>
      <c r="JER619" s="5" t="s">
        <v>3728</v>
      </c>
      <c r="JES619" s="17">
        <v>44925</v>
      </c>
      <c r="JET619" s="5" t="s">
        <v>3728</v>
      </c>
      <c r="JEU619" s="17">
        <v>44925</v>
      </c>
      <c r="JEV619" s="5" t="s">
        <v>3728</v>
      </c>
      <c r="JEW619" s="17">
        <v>44925</v>
      </c>
      <c r="JEX619" s="5" t="s">
        <v>3728</v>
      </c>
      <c r="JEY619" s="17">
        <v>44925</v>
      </c>
      <c r="JEZ619" s="5" t="s">
        <v>3728</v>
      </c>
      <c r="JFA619" s="17">
        <v>44925</v>
      </c>
      <c r="JFB619" s="5" t="s">
        <v>3728</v>
      </c>
      <c r="JFC619" s="17">
        <v>44925</v>
      </c>
      <c r="JFD619" s="5" t="s">
        <v>3728</v>
      </c>
      <c r="JFE619" s="17">
        <v>44925</v>
      </c>
      <c r="JFF619" s="5" t="s">
        <v>3728</v>
      </c>
      <c r="JFG619" s="17">
        <v>44925</v>
      </c>
      <c r="JFH619" s="5" t="s">
        <v>3728</v>
      </c>
      <c r="JFI619" s="17">
        <v>44925</v>
      </c>
      <c r="JFJ619" s="5" t="s">
        <v>3728</v>
      </c>
      <c r="JFK619" s="17">
        <v>44925</v>
      </c>
      <c r="JFL619" s="5" t="s">
        <v>3728</v>
      </c>
      <c r="JFM619" s="17">
        <v>44925</v>
      </c>
      <c r="JFN619" s="5" t="s">
        <v>3728</v>
      </c>
      <c r="JFO619" s="17">
        <v>44925</v>
      </c>
      <c r="JFP619" s="5" t="s">
        <v>3728</v>
      </c>
      <c r="JFQ619" s="17">
        <v>44925</v>
      </c>
      <c r="JFR619" s="5" t="s">
        <v>3728</v>
      </c>
      <c r="JFS619" s="17">
        <v>44925</v>
      </c>
      <c r="JFT619" s="5" t="s">
        <v>3728</v>
      </c>
      <c r="JFU619" s="17">
        <v>44925</v>
      </c>
      <c r="JFV619" s="5" t="s">
        <v>3728</v>
      </c>
      <c r="JFW619" s="17">
        <v>44925</v>
      </c>
      <c r="JFX619" s="5" t="s">
        <v>3728</v>
      </c>
      <c r="JFY619" s="17">
        <v>44925</v>
      </c>
      <c r="JFZ619" s="5" t="s">
        <v>3728</v>
      </c>
      <c r="JGA619" s="17">
        <v>44925</v>
      </c>
      <c r="JGB619" s="5" t="s">
        <v>3728</v>
      </c>
      <c r="JGC619" s="17">
        <v>44925</v>
      </c>
      <c r="JGD619" s="5" t="s">
        <v>3728</v>
      </c>
      <c r="JGE619" s="17">
        <v>44925</v>
      </c>
      <c r="JGF619" s="5" t="s">
        <v>3728</v>
      </c>
      <c r="JGG619" s="17">
        <v>44925</v>
      </c>
      <c r="JGH619" s="5" t="s">
        <v>3728</v>
      </c>
      <c r="JGI619" s="17">
        <v>44925</v>
      </c>
      <c r="JGJ619" s="5" t="s">
        <v>3728</v>
      </c>
      <c r="JGK619" s="17">
        <v>44925</v>
      </c>
      <c r="JGL619" s="5" t="s">
        <v>3728</v>
      </c>
      <c r="JGM619" s="17">
        <v>44925</v>
      </c>
      <c r="JGN619" s="5" t="s">
        <v>3728</v>
      </c>
      <c r="JGO619" s="17">
        <v>44925</v>
      </c>
      <c r="JGP619" s="5" t="s">
        <v>3728</v>
      </c>
      <c r="JGQ619" s="17">
        <v>44925</v>
      </c>
      <c r="JGR619" s="5" t="s">
        <v>3728</v>
      </c>
      <c r="JGS619" s="17">
        <v>44925</v>
      </c>
      <c r="JGT619" s="5" t="s">
        <v>3728</v>
      </c>
      <c r="JGU619" s="17">
        <v>44925</v>
      </c>
      <c r="JGV619" s="5" t="s">
        <v>3728</v>
      </c>
      <c r="JGW619" s="17">
        <v>44925</v>
      </c>
      <c r="JGX619" s="5" t="s">
        <v>3728</v>
      </c>
      <c r="JGY619" s="17">
        <v>44925</v>
      </c>
      <c r="JGZ619" s="5" t="s">
        <v>3728</v>
      </c>
      <c r="JHA619" s="17">
        <v>44925</v>
      </c>
      <c r="JHB619" s="5" t="s">
        <v>3728</v>
      </c>
      <c r="JHC619" s="17">
        <v>44925</v>
      </c>
      <c r="JHD619" s="5" t="s">
        <v>3728</v>
      </c>
      <c r="JHE619" s="17">
        <v>44925</v>
      </c>
      <c r="JHF619" s="5" t="s">
        <v>3728</v>
      </c>
      <c r="JHG619" s="17">
        <v>44925</v>
      </c>
      <c r="JHH619" s="5" t="s">
        <v>3728</v>
      </c>
      <c r="JHI619" s="17">
        <v>44925</v>
      </c>
      <c r="JHJ619" s="5" t="s">
        <v>3728</v>
      </c>
      <c r="JHK619" s="17">
        <v>44925</v>
      </c>
      <c r="JHL619" s="5" t="s">
        <v>3728</v>
      </c>
      <c r="JHM619" s="17">
        <v>44925</v>
      </c>
      <c r="JHN619" s="5" t="s">
        <v>3728</v>
      </c>
      <c r="JHO619" s="17">
        <v>44925</v>
      </c>
      <c r="JHP619" s="5" t="s">
        <v>3728</v>
      </c>
      <c r="JHQ619" s="17">
        <v>44925</v>
      </c>
      <c r="JHR619" s="5" t="s">
        <v>3728</v>
      </c>
      <c r="JHS619" s="17">
        <v>44925</v>
      </c>
      <c r="JHT619" s="5" t="s">
        <v>3728</v>
      </c>
      <c r="JHU619" s="17">
        <v>44925</v>
      </c>
      <c r="JHV619" s="5" t="s">
        <v>3728</v>
      </c>
      <c r="JHW619" s="17">
        <v>44925</v>
      </c>
      <c r="JHX619" s="5" t="s">
        <v>3728</v>
      </c>
      <c r="JHY619" s="17">
        <v>44925</v>
      </c>
      <c r="JHZ619" s="5" t="s">
        <v>3728</v>
      </c>
      <c r="JIA619" s="17">
        <v>44925</v>
      </c>
      <c r="JIB619" s="5" t="s">
        <v>3728</v>
      </c>
      <c r="JIC619" s="17">
        <v>44925</v>
      </c>
      <c r="JID619" s="5" t="s">
        <v>3728</v>
      </c>
      <c r="JIE619" s="17">
        <v>44925</v>
      </c>
      <c r="JIF619" s="5" t="s">
        <v>3728</v>
      </c>
      <c r="JIG619" s="17">
        <v>44925</v>
      </c>
      <c r="JIH619" s="5" t="s">
        <v>3728</v>
      </c>
      <c r="JII619" s="17">
        <v>44925</v>
      </c>
      <c r="JIJ619" s="5" t="s">
        <v>3728</v>
      </c>
      <c r="JIK619" s="17">
        <v>44925</v>
      </c>
      <c r="JIL619" s="5" t="s">
        <v>3728</v>
      </c>
      <c r="JIM619" s="17">
        <v>44925</v>
      </c>
      <c r="JIN619" s="5" t="s">
        <v>3728</v>
      </c>
      <c r="JIO619" s="17">
        <v>44925</v>
      </c>
      <c r="JIP619" s="5" t="s">
        <v>3728</v>
      </c>
      <c r="JIQ619" s="17">
        <v>44925</v>
      </c>
      <c r="JIR619" s="5" t="s">
        <v>3728</v>
      </c>
      <c r="JIS619" s="17">
        <v>44925</v>
      </c>
      <c r="JIT619" s="5" t="s">
        <v>3728</v>
      </c>
      <c r="JIU619" s="17">
        <v>44925</v>
      </c>
      <c r="JIV619" s="5" t="s">
        <v>3728</v>
      </c>
      <c r="JIW619" s="17">
        <v>44925</v>
      </c>
      <c r="JIX619" s="5" t="s">
        <v>3728</v>
      </c>
      <c r="JIY619" s="17">
        <v>44925</v>
      </c>
      <c r="JIZ619" s="5" t="s">
        <v>3728</v>
      </c>
      <c r="JJA619" s="17">
        <v>44925</v>
      </c>
      <c r="JJB619" s="5" t="s">
        <v>3728</v>
      </c>
      <c r="JJC619" s="17">
        <v>44925</v>
      </c>
      <c r="JJD619" s="5" t="s">
        <v>3728</v>
      </c>
      <c r="JJE619" s="17">
        <v>44925</v>
      </c>
      <c r="JJF619" s="5" t="s">
        <v>3728</v>
      </c>
      <c r="JJG619" s="17">
        <v>44925</v>
      </c>
      <c r="JJH619" s="5" t="s">
        <v>3728</v>
      </c>
      <c r="JJI619" s="17">
        <v>44925</v>
      </c>
      <c r="JJJ619" s="5" t="s">
        <v>3728</v>
      </c>
      <c r="JJK619" s="17">
        <v>44925</v>
      </c>
      <c r="JJL619" s="5" t="s">
        <v>3728</v>
      </c>
      <c r="JJM619" s="17">
        <v>44925</v>
      </c>
      <c r="JJN619" s="5" t="s">
        <v>3728</v>
      </c>
      <c r="JJO619" s="17">
        <v>44925</v>
      </c>
      <c r="JJP619" s="5" t="s">
        <v>3728</v>
      </c>
      <c r="JJQ619" s="17">
        <v>44925</v>
      </c>
      <c r="JJR619" s="5" t="s">
        <v>3728</v>
      </c>
      <c r="JJS619" s="17">
        <v>44925</v>
      </c>
      <c r="JJT619" s="5" t="s">
        <v>3728</v>
      </c>
      <c r="JJU619" s="17">
        <v>44925</v>
      </c>
      <c r="JJV619" s="5" t="s">
        <v>3728</v>
      </c>
      <c r="JJW619" s="17">
        <v>44925</v>
      </c>
      <c r="JJX619" s="5" t="s">
        <v>3728</v>
      </c>
      <c r="JJY619" s="17">
        <v>44925</v>
      </c>
      <c r="JJZ619" s="5" t="s">
        <v>3728</v>
      </c>
      <c r="JKA619" s="17">
        <v>44925</v>
      </c>
      <c r="JKB619" s="5" t="s">
        <v>3728</v>
      </c>
      <c r="JKC619" s="17">
        <v>44925</v>
      </c>
      <c r="JKD619" s="5" t="s">
        <v>3728</v>
      </c>
      <c r="JKE619" s="17">
        <v>44925</v>
      </c>
      <c r="JKF619" s="5" t="s">
        <v>3728</v>
      </c>
      <c r="JKG619" s="17">
        <v>44925</v>
      </c>
      <c r="JKH619" s="5" t="s">
        <v>3728</v>
      </c>
      <c r="JKI619" s="17">
        <v>44925</v>
      </c>
      <c r="JKJ619" s="5" t="s">
        <v>3728</v>
      </c>
      <c r="JKK619" s="17">
        <v>44925</v>
      </c>
      <c r="JKL619" s="5" t="s">
        <v>3728</v>
      </c>
      <c r="JKM619" s="17">
        <v>44925</v>
      </c>
      <c r="JKN619" s="5" t="s">
        <v>3728</v>
      </c>
      <c r="JKO619" s="17">
        <v>44925</v>
      </c>
      <c r="JKP619" s="5" t="s">
        <v>3728</v>
      </c>
      <c r="JKQ619" s="17">
        <v>44925</v>
      </c>
      <c r="JKR619" s="5" t="s">
        <v>3728</v>
      </c>
      <c r="JKS619" s="17">
        <v>44925</v>
      </c>
      <c r="JKT619" s="5" t="s">
        <v>3728</v>
      </c>
      <c r="JKU619" s="17">
        <v>44925</v>
      </c>
      <c r="JKV619" s="5" t="s">
        <v>3728</v>
      </c>
      <c r="JKW619" s="17">
        <v>44925</v>
      </c>
      <c r="JKX619" s="5" t="s">
        <v>3728</v>
      </c>
      <c r="JKY619" s="17">
        <v>44925</v>
      </c>
      <c r="JKZ619" s="5" t="s">
        <v>3728</v>
      </c>
      <c r="JLA619" s="17">
        <v>44925</v>
      </c>
      <c r="JLB619" s="5" t="s">
        <v>3728</v>
      </c>
      <c r="JLC619" s="17">
        <v>44925</v>
      </c>
      <c r="JLD619" s="5" t="s">
        <v>3728</v>
      </c>
      <c r="JLE619" s="17">
        <v>44925</v>
      </c>
      <c r="JLF619" s="5" t="s">
        <v>3728</v>
      </c>
      <c r="JLG619" s="17">
        <v>44925</v>
      </c>
      <c r="JLH619" s="5" t="s">
        <v>3728</v>
      </c>
      <c r="JLI619" s="17">
        <v>44925</v>
      </c>
      <c r="JLJ619" s="5" t="s">
        <v>3728</v>
      </c>
      <c r="JLK619" s="17">
        <v>44925</v>
      </c>
      <c r="JLL619" s="5" t="s">
        <v>3728</v>
      </c>
      <c r="JLM619" s="17">
        <v>44925</v>
      </c>
      <c r="JLN619" s="5" t="s">
        <v>3728</v>
      </c>
      <c r="JLO619" s="17">
        <v>44925</v>
      </c>
      <c r="JLP619" s="5" t="s">
        <v>3728</v>
      </c>
      <c r="JLQ619" s="17">
        <v>44925</v>
      </c>
      <c r="JLR619" s="5" t="s">
        <v>3728</v>
      </c>
      <c r="JLS619" s="17">
        <v>44925</v>
      </c>
      <c r="JLT619" s="5" t="s">
        <v>3728</v>
      </c>
      <c r="JLU619" s="17">
        <v>44925</v>
      </c>
      <c r="JLV619" s="5" t="s">
        <v>3728</v>
      </c>
      <c r="JLW619" s="17">
        <v>44925</v>
      </c>
      <c r="JLX619" s="5" t="s">
        <v>3728</v>
      </c>
      <c r="JLY619" s="17">
        <v>44925</v>
      </c>
      <c r="JLZ619" s="5" t="s">
        <v>3728</v>
      </c>
      <c r="JMA619" s="17">
        <v>44925</v>
      </c>
      <c r="JMB619" s="5" t="s">
        <v>3728</v>
      </c>
      <c r="JMC619" s="17">
        <v>44925</v>
      </c>
      <c r="JMD619" s="5" t="s">
        <v>3728</v>
      </c>
      <c r="JME619" s="17">
        <v>44925</v>
      </c>
      <c r="JMF619" s="5" t="s">
        <v>3728</v>
      </c>
      <c r="JMG619" s="17">
        <v>44925</v>
      </c>
      <c r="JMH619" s="5" t="s">
        <v>3728</v>
      </c>
      <c r="JMI619" s="17">
        <v>44925</v>
      </c>
      <c r="JMJ619" s="5" t="s">
        <v>3728</v>
      </c>
      <c r="JMK619" s="17">
        <v>44925</v>
      </c>
      <c r="JML619" s="5" t="s">
        <v>3728</v>
      </c>
      <c r="JMM619" s="17">
        <v>44925</v>
      </c>
      <c r="JMN619" s="5" t="s">
        <v>3728</v>
      </c>
      <c r="JMO619" s="17">
        <v>44925</v>
      </c>
      <c r="JMP619" s="5" t="s">
        <v>3728</v>
      </c>
      <c r="JMQ619" s="17">
        <v>44925</v>
      </c>
      <c r="JMR619" s="5" t="s">
        <v>3728</v>
      </c>
      <c r="JMS619" s="17">
        <v>44925</v>
      </c>
      <c r="JMT619" s="5" t="s">
        <v>3728</v>
      </c>
      <c r="JMU619" s="17">
        <v>44925</v>
      </c>
      <c r="JMV619" s="5" t="s">
        <v>3728</v>
      </c>
      <c r="JMW619" s="17">
        <v>44925</v>
      </c>
      <c r="JMX619" s="5" t="s">
        <v>3728</v>
      </c>
      <c r="JMY619" s="17">
        <v>44925</v>
      </c>
      <c r="JMZ619" s="5" t="s">
        <v>3728</v>
      </c>
      <c r="JNA619" s="17">
        <v>44925</v>
      </c>
      <c r="JNB619" s="5" t="s">
        <v>3728</v>
      </c>
      <c r="JNC619" s="17">
        <v>44925</v>
      </c>
      <c r="JND619" s="5" t="s">
        <v>3728</v>
      </c>
      <c r="JNE619" s="17">
        <v>44925</v>
      </c>
      <c r="JNF619" s="5" t="s">
        <v>3728</v>
      </c>
      <c r="JNG619" s="17">
        <v>44925</v>
      </c>
      <c r="JNH619" s="5" t="s">
        <v>3728</v>
      </c>
      <c r="JNI619" s="17">
        <v>44925</v>
      </c>
      <c r="JNJ619" s="5" t="s">
        <v>3728</v>
      </c>
      <c r="JNK619" s="17">
        <v>44925</v>
      </c>
      <c r="JNL619" s="5" t="s">
        <v>3728</v>
      </c>
      <c r="JNM619" s="17">
        <v>44925</v>
      </c>
      <c r="JNN619" s="5" t="s">
        <v>3728</v>
      </c>
      <c r="JNO619" s="17">
        <v>44925</v>
      </c>
      <c r="JNP619" s="5" t="s">
        <v>3728</v>
      </c>
      <c r="JNQ619" s="17">
        <v>44925</v>
      </c>
      <c r="JNR619" s="5" t="s">
        <v>3728</v>
      </c>
      <c r="JNS619" s="17">
        <v>44925</v>
      </c>
      <c r="JNT619" s="5" t="s">
        <v>3728</v>
      </c>
      <c r="JNU619" s="17">
        <v>44925</v>
      </c>
      <c r="JNV619" s="5" t="s">
        <v>3728</v>
      </c>
      <c r="JNW619" s="17">
        <v>44925</v>
      </c>
      <c r="JNX619" s="5" t="s">
        <v>3728</v>
      </c>
      <c r="JNY619" s="17">
        <v>44925</v>
      </c>
      <c r="JNZ619" s="5" t="s">
        <v>3728</v>
      </c>
      <c r="JOA619" s="17">
        <v>44925</v>
      </c>
      <c r="JOB619" s="5" t="s">
        <v>3728</v>
      </c>
      <c r="JOC619" s="17">
        <v>44925</v>
      </c>
      <c r="JOD619" s="5" t="s">
        <v>3728</v>
      </c>
      <c r="JOE619" s="17">
        <v>44925</v>
      </c>
      <c r="JOF619" s="5" t="s">
        <v>3728</v>
      </c>
      <c r="JOG619" s="17">
        <v>44925</v>
      </c>
      <c r="JOH619" s="5" t="s">
        <v>3728</v>
      </c>
      <c r="JOI619" s="17">
        <v>44925</v>
      </c>
      <c r="JOJ619" s="5" t="s">
        <v>3728</v>
      </c>
      <c r="JOK619" s="17">
        <v>44925</v>
      </c>
      <c r="JOL619" s="5" t="s">
        <v>3728</v>
      </c>
      <c r="JOM619" s="17">
        <v>44925</v>
      </c>
      <c r="JON619" s="5" t="s">
        <v>3728</v>
      </c>
      <c r="JOO619" s="17">
        <v>44925</v>
      </c>
      <c r="JOP619" s="5" t="s">
        <v>3728</v>
      </c>
      <c r="JOQ619" s="17">
        <v>44925</v>
      </c>
      <c r="JOR619" s="5" t="s">
        <v>3728</v>
      </c>
      <c r="JOS619" s="17">
        <v>44925</v>
      </c>
      <c r="JOT619" s="5" t="s">
        <v>3728</v>
      </c>
      <c r="JOU619" s="17">
        <v>44925</v>
      </c>
      <c r="JOV619" s="5" t="s">
        <v>3728</v>
      </c>
      <c r="JOW619" s="17">
        <v>44925</v>
      </c>
      <c r="JOX619" s="5" t="s">
        <v>3728</v>
      </c>
      <c r="JOY619" s="17">
        <v>44925</v>
      </c>
      <c r="JOZ619" s="5" t="s">
        <v>3728</v>
      </c>
      <c r="JPA619" s="17">
        <v>44925</v>
      </c>
      <c r="JPB619" s="5" t="s">
        <v>3728</v>
      </c>
      <c r="JPC619" s="17">
        <v>44925</v>
      </c>
      <c r="JPD619" s="5" t="s">
        <v>3728</v>
      </c>
      <c r="JPE619" s="17">
        <v>44925</v>
      </c>
      <c r="JPF619" s="5" t="s">
        <v>3728</v>
      </c>
      <c r="JPG619" s="17">
        <v>44925</v>
      </c>
      <c r="JPH619" s="5" t="s">
        <v>3728</v>
      </c>
      <c r="JPI619" s="17">
        <v>44925</v>
      </c>
      <c r="JPJ619" s="5" t="s">
        <v>3728</v>
      </c>
      <c r="JPK619" s="17">
        <v>44925</v>
      </c>
      <c r="JPL619" s="5" t="s">
        <v>3728</v>
      </c>
      <c r="JPM619" s="17">
        <v>44925</v>
      </c>
      <c r="JPN619" s="5" t="s">
        <v>3728</v>
      </c>
      <c r="JPO619" s="17">
        <v>44925</v>
      </c>
      <c r="JPP619" s="5" t="s">
        <v>3728</v>
      </c>
      <c r="JPQ619" s="17">
        <v>44925</v>
      </c>
      <c r="JPR619" s="5" t="s">
        <v>3728</v>
      </c>
      <c r="JPS619" s="17">
        <v>44925</v>
      </c>
      <c r="JPT619" s="5" t="s">
        <v>3728</v>
      </c>
      <c r="JPU619" s="17">
        <v>44925</v>
      </c>
      <c r="JPV619" s="5" t="s">
        <v>3728</v>
      </c>
      <c r="JPW619" s="17">
        <v>44925</v>
      </c>
      <c r="JPX619" s="5" t="s">
        <v>3728</v>
      </c>
      <c r="JPY619" s="17">
        <v>44925</v>
      </c>
      <c r="JPZ619" s="5" t="s">
        <v>3728</v>
      </c>
      <c r="JQA619" s="17">
        <v>44925</v>
      </c>
      <c r="JQB619" s="5" t="s">
        <v>3728</v>
      </c>
      <c r="JQC619" s="17">
        <v>44925</v>
      </c>
      <c r="JQD619" s="5" t="s">
        <v>3728</v>
      </c>
      <c r="JQE619" s="17">
        <v>44925</v>
      </c>
      <c r="JQF619" s="5" t="s">
        <v>3728</v>
      </c>
      <c r="JQG619" s="17">
        <v>44925</v>
      </c>
      <c r="JQH619" s="5" t="s">
        <v>3728</v>
      </c>
      <c r="JQI619" s="17">
        <v>44925</v>
      </c>
      <c r="JQJ619" s="5" t="s">
        <v>3728</v>
      </c>
      <c r="JQK619" s="17">
        <v>44925</v>
      </c>
      <c r="JQL619" s="5" t="s">
        <v>3728</v>
      </c>
      <c r="JQM619" s="17">
        <v>44925</v>
      </c>
      <c r="JQN619" s="5" t="s">
        <v>3728</v>
      </c>
      <c r="JQO619" s="17">
        <v>44925</v>
      </c>
      <c r="JQP619" s="5" t="s">
        <v>3728</v>
      </c>
      <c r="JQQ619" s="17">
        <v>44925</v>
      </c>
      <c r="JQR619" s="5" t="s">
        <v>3728</v>
      </c>
      <c r="JQS619" s="17">
        <v>44925</v>
      </c>
      <c r="JQT619" s="5" t="s">
        <v>3728</v>
      </c>
      <c r="JQU619" s="17">
        <v>44925</v>
      </c>
      <c r="JQV619" s="5" t="s">
        <v>3728</v>
      </c>
      <c r="JQW619" s="17">
        <v>44925</v>
      </c>
      <c r="JQX619" s="5" t="s">
        <v>3728</v>
      </c>
      <c r="JQY619" s="17">
        <v>44925</v>
      </c>
      <c r="JQZ619" s="5" t="s">
        <v>3728</v>
      </c>
      <c r="JRA619" s="17">
        <v>44925</v>
      </c>
      <c r="JRB619" s="5" t="s">
        <v>3728</v>
      </c>
      <c r="JRC619" s="17">
        <v>44925</v>
      </c>
      <c r="JRD619" s="5" t="s">
        <v>3728</v>
      </c>
      <c r="JRE619" s="17">
        <v>44925</v>
      </c>
      <c r="JRF619" s="5" t="s">
        <v>3728</v>
      </c>
      <c r="JRG619" s="17">
        <v>44925</v>
      </c>
      <c r="JRH619" s="5" t="s">
        <v>3728</v>
      </c>
      <c r="JRI619" s="17">
        <v>44925</v>
      </c>
      <c r="JRJ619" s="5" t="s">
        <v>3728</v>
      </c>
      <c r="JRK619" s="17">
        <v>44925</v>
      </c>
      <c r="JRL619" s="5" t="s">
        <v>3728</v>
      </c>
      <c r="JRM619" s="17">
        <v>44925</v>
      </c>
      <c r="JRN619" s="5" t="s">
        <v>3728</v>
      </c>
      <c r="JRO619" s="17">
        <v>44925</v>
      </c>
      <c r="JRP619" s="5" t="s">
        <v>3728</v>
      </c>
      <c r="JRQ619" s="17">
        <v>44925</v>
      </c>
      <c r="JRR619" s="5" t="s">
        <v>3728</v>
      </c>
      <c r="JRS619" s="17">
        <v>44925</v>
      </c>
      <c r="JRT619" s="5" t="s">
        <v>3728</v>
      </c>
      <c r="JRU619" s="17">
        <v>44925</v>
      </c>
      <c r="JRV619" s="5" t="s">
        <v>3728</v>
      </c>
      <c r="JRW619" s="17">
        <v>44925</v>
      </c>
      <c r="JRX619" s="5" t="s">
        <v>3728</v>
      </c>
      <c r="JRY619" s="17">
        <v>44925</v>
      </c>
      <c r="JRZ619" s="5" t="s">
        <v>3728</v>
      </c>
      <c r="JSA619" s="17">
        <v>44925</v>
      </c>
      <c r="JSB619" s="5" t="s">
        <v>3728</v>
      </c>
      <c r="JSC619" s="17">
        <v>44925</v>
      </c>
      <c r="JSD619" s="5" t="s">
        <v>3728</v>
      </c>
      <c r="JSE619" s="17">
        <v>44925</v>
      </c>
      <c r="JSF619" s="5" t="s">
        <v>3728</v>
      </c>
      <c r="JSG619" s="17">
        <v>44925</v>
      </c>
      <c r="JSH619" s="5" t="s">
        <v>3728</v>
      </c>
      <c r="JSI619" s="17">
        <v>44925</v>
      </c>
      <c r="JSJ619" s="5" t="s">
        <v>3728</v>
      </c>
      <c r="JSK619" s="17">
        <v>44925</v>
      </c>
      <c r="JSL619" s="5" t="s">
        <v>3728</v>
      </c>
      <c r="JSM619" s="17">
        <v>44925</v>
      </c>
      <c r="JSN619" s="5" t="s">
        <v>3728</v>
      </c>
      <c r="JSO619" s="17">
        <v>44925</v>
      </c>
      <c r="JSP619" s="5" t="s">
        <v>3728</v>
      </c>
      <c r="JSQ619" s="17">
        <v>44925</v>
      </c>
      <c r="JSR619" s="5" t="s">
        <v>3728</v>
      </c>
      <c r="JSS619" s="17">
        <v>44925</v>
      </c>
      <c r="JST619" s="5" t="s">
        <v>3728</v>
      </c>
      <c r="JSU619" s="17">
        <v>44925</v>
      </c>
      <c r="JSV619" s="5" t="s">
        <v>3728</v>
      </c>
      <c r="JSW619" s="17">
        <v>44925</v>
      </c>
      <c r="JSX619" s="5" t="s">
        <v>3728</v>
      </c>
      <c r="JSY619" s="17">
        <v>44925</v>
      </c>
      <c r="JSZ619" s="5" t="s">
        <v>3728</v>
      </c>
      <c r="JTA619" s="17">
        <v>44925</v>
      </c>
      <c r="JTB619" s="5" t="s">
        <v>3728</v>
      </c>
      <c r="JTC619" s="17">
        <v>44925</v>
      </c>
      <c r="JTD619" s="5" t="s">
        <v>3728</v>
      </c>
      <c r="JTE619" s="17">
        <v>44925</v>
      </c>
      <c r="JTF619" s="5" t="s">
        <v>3728</v>
      </c>
      <c r="JTG619" s="17">
        <v>44925</v>
      </c>
      <c r="JTH619" s="5" t="s">
        <v>3728</v>
      </c>
      <c r="JTI619" s="17">
        <v>44925</v>
      </c>
      <c r="JTJ619" s="5" t="s">
        <v>3728</v>
      </c>
      <c r="JTK619" s="17">
        <v>44925</v>
      </c>
      <c r="JTL619" s="5" t="s">
        <v>3728</v>
      </c>
      <c r="JTM619" s="17">
        <v>44925</v>
      </c>
      <c r="JTN619" s="5" t="s">
        <v>3728</v>
      </c>
      <c r="JTO619" s="17">
        <v>44925</v>
      </c>
      <c r="JTP619" s="5" t="s">
        <v>3728</v>
      </c>
      <c r="JTQ619" s="17">
        <v>44925</v>
      </c>
      <c r="JTR619" s="5" t="s">
        <v>3728</v>
      </c>
      <c r="JTS619" s="17">
        <v>44925</v>
      </c>
      <c r="JTT619" s="5" t="s">
        <v>3728</v>
      </c>
      <c r="JTU619" s="17">
        <v>44925</v>
      </c>
      <c r="JTV619" s="5" t="s">
        <v>3728</v>
      </c>
      <c r="JTW619" s="17">
        <v>44925</v>
      </c>
      <c r="JTX619" s="5" t="s">
        <v>3728</v>
      </c>
      <c r="JTY619" s="17">
        <v>44925</v>
      </c>
      <c r="JTZ619" s="5" t="s">
        <v>3728</v>
      </c>
      <c r="JUA619" s="17">
        <v>44925</v>
      </c>
      <c r="JUB619" s="5" t="s">
        <v>3728</v>
      </c>
      <c r="JUC619" s="17">
        <v>44925</v>
      </c>
      <c r="JUD619" s="5" t="s">
        <v>3728</v>
      </c>
      <c r="JUE619" s="17">
        <v>44925</v>
      </c>
      <c r="JUF619" s="5" t="s">
        <v>3728</v>
      </c>
      <c r="JUG619" s="17">
        <v>44925</v>
      </c>
      <c r="JUH619" s="5" t="s">
        <v>3728</v>
      </c>
      <c r="JUI619" s="17">
        <v>44925</v>
      </c>
      <c r="JUJ619" s="5" t="s">
        <v>3728</v>
      </c>
      <c r="JUK619" s="17">
        <v>44925</v>
      </c>
      <c r="JUL619" s="5" t="s">
        <v>3728</v>
      </c>
      <c r="JUM619" s="17">
        <v>44925</v>
      </c>
      <c r="JUN619" s="5" t="s">
        <v>3728</v>
      </c>
      <c r="JUO619" s="17">
        <v>44925</v>
      </c>
      <c r="JUP619" s="5" t="s">
        <v>3728</v>
      </c>
      <c r="JUQ619" s="17">
        <v>44925</v>
      </c>
      <c r="JUR619" s="5" t="s">
        <v>3728</v>
      </c>
      <c r="JUS619" s="17">
        <v>44925</v>
      </c>
      <c r="JUT619" s="5" t="s">
        <v>3728</v>
      </c>
      <c r="JUU619" s="17">
        <v>44925</v>
      </c>
      <c r="JUV619" s="5" t="s">
        <v>3728</v>
      </c>
      <c r="JUW619" s="17">
        <v>44925</v>
      </c>
      <c r="JUX619" s="5" t="s">
        <v>3728</v>
      </c>
      <c r="JUY619" s="17">
        <v>44925</v>
      </c>
      <c r="JUZ619" s="5" t="s">
        <v>3728</v>
      </c>
      <c r="JVA619" s="17">
        <v>44925</v>
      </c>
      <c r="JVB619" s="5" t="s">
        <v>3728</v>
      </c>
      <c r="JVC619" s="17">
        <v>44925</v>
      </c>
      <c r="JVD619" s="5" t="s">
        <v>3728</v>
      </c>
      <c r="JVE619" s="17">
        <v>44925</v>
      </c>
      <c r="JVF619" s="5" t="s">
        <v>3728</v>
      </c>
      <c r="JVG619" s="17">
        <v>44925</v>
      </c>
      <c r="JVH619" s="5" t="s">
        <v>3728</v>
      </c>
      <c r="JVI619" s="17">
        <v>44925</v>
      </c>
      <c r="JVJ619" s="5" t="s">
        <v>3728</v>
      </c>
      <c r="JVK619" s="17">
        <v>44925</v>
      </c>
      <c r="JVL619" s="5" t="s">
        <v>3728</v>
      </c>
      <c r="JVM619" s="17">
        <v>44925</v>
      </c>
      <c r="JVN619" s="5" t="s">
        <v>3728</v>
      </c>
      <c r="JVO619" s="17">
        <v>44925</v>
      </c>
      <c r="JVP619" s="5" t="s">
        <v>3728</v>
      </c>
      <c r="JVQ619" s="17">
        <v>44925</v>
      </c>
      <c r="JVR619" s="5" t="s">
        <v>3728</v>
      </c>
      <c r="JVS619" s="17">
        <v>44925</v>
      </c>
      <c r="JVT619" s="5" t="s">
        <v>3728</v>
      </c>
      <c r="JVU619" s="17">
        <v>44925</v>
      </c>
      <c r="JVV619" s="5" t="s">
        <v>3728</v>
      </c>
      <c r="JVW619" s="17">
        <v>44925</v>
      </c>
      <c r="JVX619" s="5" t="s">
        <v>3728</v>
      </c>
      <c r="JVY619" s="17">
        <v>44925</v>
      </c>
      <c r="JVZ619" s="5" t="s">
        <v>3728</v>
      </c>
      <c r="JWA619" s="17">
        <v>44925</v>
      </c>
      <c r="JWB619" s="5" t="s">
        <v>3728</v>
      </c>
      <c r="JWC619" s="17">
        <v>44925</v>
      </c>
      <c r="JWD619" s="5" t="s">
        <v>3728</v>
      </c>
      <c r="JWE619" s="17">
        <v>44925</v>
      </c>
      <c r="JWF619" s="5" t="s">
        <v>3728</v>
      </c>
      <c r="JWG619" s="17">
        <v>44925</v>
      </c>
      <c r="JWH619" s="5" t="s">
        <v>3728</v>
      </c>
      <c r="JWI619" s="17">
        <v>44925</v>
      </c>
      <c r="JWJ619" s="5" t="s">
        <v>3728</v>
      </c>
      <c r="JWK619" s="17">
        <v>44925</v>
      </c>
      <c r="JWL619" s="5" t="s">
        <v>3728</v>
      </c>
      <c r="JWM619" s="17">
        <v>44925</v>
      </c>
      <c r="JWN619" s="5" t="s">
        <v>3728</v>
      </c>
      <c r="JWO619" s="17">
        <v>44925</v>
      </c>
      <c r="JWP619" s="5" t="s">
        <v>3728</v>
      </c>
      <c r="JWQ619" s="17">
        <v>44925</v>
      </c>
      <c r="JWR619" s="5" t="s">
        <v>3728</v>
      </c>
      <c r="JWS619" s="17">
        <v>44925</v>
      </c>
      <c r="JWT619" s="5" t="s">
        <v>3728</v>
      </c>
      <c r="JWU619" s="17">
        <v>44925</v>
      </c>
      <c r="JWV619" s="5" t="s">
        <v>3728</v>
      </c>
      <c r="JWW619" s="17">
        <v>44925</v>
      </c>
      <c r="JWX619" s="5" t="s">
        <v>3728</v>
      </c>
      <c r="JWY619" s="17">
        <v>44925</v>
      </c>
      <c r="JWZ619" s="5" t="s">
        <v>3728</v>
      </c>
      <c r="JXA619" s="17">
        <v>44925</v>
      </c>
      <c r="JXB619" s="5" t="s">
        <v>3728</v>
      </c>
      <c r="JXC619" s="17">
        <v>44925</v>
      </c>
      <c r="JXD619" s="5" t="s">
        <v>3728</v>
      </c>
      <c r="JXE619" s="17">
        <v>44925</v>
      </c>
      <c r="JXF619" s="5" t="s">
        <v>3728</v>
      </c>
      <c r="JXG619" s="17">
        <v>44925</v>
      </c>
      <c r="JXH619" s="5" t="s">
        <v>3728</v>
      </c>
      <c r="JXI619" s="17">
        <v>44925</v>
      </c>
      <c r="JXJ619" s="5" t="s">
        <v>3728</v>
      </c>
      <c r="JXK619" s="17">
        <v>44925</v>
      </c>
      <c r="JXL619" s="5" t="s">
        <v>3728</v>
      </c>
      <c r="JXM619" s="17">
        <v>44925</v>
      </c>
      <c r="JXN619" s="5" t="s">
        <v>3728</v>
      </c>
      <c r="JXO619" s="17">
        <v>44925</v>
      </c>
      <c r="JXP619" s="5" t="s">
        <v>3728</v>
      </c>
      <c r="JXQ619" s="17">
        <v>44925</v>
      </c>
      <c r="JXR619" s="5" t="s">
        <v>3728</v>
      </c>
      <c r="JXS619" s="17">
        <v>44925</v>
      </c>
      <c r="JXT619" s="5" t="s">
        <v>3728</v>
      </c>
      <c r="JXU619" s="17">
        <v>44925</v>
      </c>
      <c r="JXV619" s="5" t="s">
        <v>3728</v>
      </c>
      <c r="JXW619" s="17">
        <v>44925</v>
      </c>
      <c r="JXX619" s="5" t="s">
        <v>3728</v>
      </c>
      <c r="JXY619" s="17">
        <v>44925</v>
      </c>
      <c r="JXZ619" s="5" t="s">
        <v>3728</v>
      </c>
      <c r="JYA619" s="17">
        <v>44925</v>
      </c>
      <c r="JYB619" s="5" t="s">
        <v>3728</v>
      </c>
      <c r="JYC619" s="17">
        <v>44925</v>
      </c>
      <c r="JYD619" s="5" t="s">
        <v>3728</v>
      </c>
      <c r="JYE619" s="17">
        <v>44925</v>
      </c>
      <c r="JYF619" s="5" t="s">
        <v>3728</v>
      </c>
      <c r="JYG619" s="17">
        <v>44925</v>
      </c>
      <c r="JYH619" s="5" t="s">
        <v>3728</v>
      </c>
      <c r="JYI619" s="17">
        <v>44925</v>
      </c>
      <c r="JYJ619" s="5" t="s">
        <v>3728</v>
      </c>
      <c r="JYK619" s="17">
        <v>44925</v>
      </c>
      <c r="JYL619" s="5" t="s">
        <v>3728</v>
      </c>
      <c r="JYM619" s="17">
        <v>44925</v>
      </c>
      <c r="JYN619" s="5" t="s">
        <v>3728</v>
      </c>
      <c r="JYO619" s="17">
        <v>44925</v>
      </c>
      <c r="JYP619" s="5" t="s">
        <v>3728</v>
      </c>
      <c r="JYQ619" s="17">
        <v>44925</v>
      </c>
      <c r="JYR619" s="5" t="s">
        <v>3728</v>
      </c>
      <c r="JYS619" s="17">
        <v>44925</v>
      </c>
      <c r="JYT619" s="5" t="s">
        <v>3728</v>
      </c>
      <c r="JYU619" s="17">
        <v>44925</v>
      </c>
      <c r="JYV619" s="5" t="s">
        <v>3728</v>
      </c>
      <c r="JYW619" s="17">
        <v>44925</v>
      </c>
      <c r="JYX619" s="5" t="s">
        <v>3728</v>
      </c>
      <c r="JYY619" s="17">
        <v>44925</v>
      </c>
      <c r="JYZ619" s="5" t="s">
        <v>3728</v>
      </c>
      <c r="JZA619" s="17">
        <v>44925</v>
      </c>
      <c r="JZB619" s="5" t="s">
        <v>3728</v>
      </c>
      <c r="JZC619" s="17">
        <v>44925</v>
      </c>
      <c r="JZD619" s="5" t="s">
        <v>3728</v>
      </c>
      <c r="JZE619" s="17">
        <v>44925</v>
      </c>
      <c r="JZF619" s="5" t="s">
        <v>3728</v>
      </c>
      <c r="JZG619" s="17">
        <v>44925</v>
      </c>
      <c r="JZH619" s="5" t="s">
        <v>3728</v>
      </c>
      <c r="JZI619" s="17">
        <v>44925</v>
      </c>
      <c r="JZJ619" s="5" t="s">
        <v>3728</v>
      </c>
      <c r="JZK619" s="17">
        <v>44925</v>
      </c>
      <c r="JZL619" s="5" t="s">
        <v>3728</v>
      </c>
      <c r="JZM619" s="17">
        <v>44925</v>
      </c>
      <c r="JZN619" s="5" t="s">
        <v>3728</v>
      </c>
      <c r="JZO619" s="17">
        <v>44925</v>
      </c>
      <c r="JZP619" s="5" t="s">
        <v>3728</v>
      </c>
      <c r="JZQ619" s="17">
        <v>44925</v>
      </c>
      <c r="JZR619" s="5" t="s">
        <v>3728</v>
      </c>
      <c r="JZS619" s="17">
        <v>44925</v>
      </c>
      <c r="JZT619" s="5" t="s">
        <v>3728</v>
      </c>
      <c r="JZU619" s="17">
        <v>44925</v>
      </c>
      <c r="JZV619" s="5" t="s">
        <v>3728</v>
      </c>
      <c r="JZW619" s="17">
        <v>44925</v>
      </c>
      <c r="JZX619" s="5" t="s">
        <v>3728</v>
      </c>
      <c r="JZY619" s="17">
        <v>44925</v>
      </c>
      <c r="JZZ619" s="5" t="s">
        <v>3728</v>
      </c>
      <c r="KAA619" s="17">
        <v>44925</v>
      </c>
      <c r="KAB619" s="5" t="s">
        <v>3728</v>
      </c>
      <c r="KAC619" s="17">
        <v>44925</v>
      </c>
      <c r="KAD619" s="5" t="s">
        <v>3728</v>
      </c>
      <c r="KAE619" s="17">
        <v>44925</v>
      </c>
      <c r="KAF619" s="5" t="s">
        <v>3728</v>
      </c>
      <c r="KAG619" s="17">
        <v>44925</v>
      </c>
      <c r="KAH619" s="5" t="s">
        <v>3728</v>
      </c>
      <c r="KAI619" s="17">
        <v>44925</v>
      </c>
      <c r="KAJ619" s="5" t="s">
        <v>3728</v>
      </c>
      <c r="KAK619" s="17">
        <v>44925</v>
      </c>
      <c r="KAL619" s="5" t="s">
        <v>3728</v>
      </c>
      <c r="KAM619" s="17">
        <v>44925</v>
      </c>
      <c r="KAN619" s="5" t="s">
        <v>3728</v>
      </c>
      <c r="KAO619" s="17">
        <v>44925</v>
      </c>
      <c r="KAP619" s="5" t="s">
        <v>3728</v>
      </c>
      <c r="KAQ619" s="17">
        <v>44925</v>
      </c>
      <c r="KAR619" s="5" t="s">
        <v>3728</v>
      </c>
      <c r="KAS619" s="17">
        <v>44925</v>
      </c>
      <c r="KAT619" s="5" t="s">
        <v>3728</v>
      </c>
      <c r="KAU619" s="17">
        <v>44925</v>
      </c>
      <c r="KAV619" s="5" t="s">
        <v>3728</v>
      </c>
      <c r="KAW619" s="17">
        <v>44925</v>
      </c>
      <c r="KAX619" s="5" t="s">
        <v>3728</v>
      </c>
      <c r="KAY619" s="17">
        <v>44925</v>
      </c>
      <c r="KAZ619" s="5" t="s">
        <v>3728</v>
      </c>
      <c r="KBA619" s="17">
        <v>44925</v>
      </c>
      <c r="KBB619" s="5" t="s">
        <v>3728</v>
      </c>
      <c r="KBC619" s="17">
        <v>44925</v>
      </c>
      <c r="KBD619" s="5" t="s">
        <v>3728</v>
      </c>
      <c r="KBE619" s="17">
        <v>44925</v>
      </c>
      <c r="KBF619" s="5" t="s">
        <v>3728</v>
      </c>
      <c r="KBG619" s="17">
        <v>44925</v>
      </c>
      <c r="KBH619" s="5" t="s">
        <v>3728</v>
      </c>
      <c r="KBI619" s="17">
        <v>44925</v>
      </c>
      <c r="KBJ619" s="5" t="s">
        <v>3728</v>
      </c>
      <c r="KBK619" s="17">
        <v>44925</v>
      </c>
      <c r="KBL619" s="5" t="s">
        <v>3728</v>
      </c>
      <c r="KBM619" s="17">
        <v>44925</v>
      </c>
      <c r="KBN619" s="5" t="s">
        <v>3728</v>
      </c>
      <c r="KBO619" s="17">
        <v>44925</v>
      </c>
      <c r="KBP619" s="5" t="s">
        <v>3728</v>
      </c>
      <c r="KBQ619" s="17">
        <v>44925</v>
      </c>
      <c r="KBR619" s="5" t="s">
        <v>3728</v>
      </c>
      <c r="KBS619" s="17">
        <v>44925</v>
      </c>
      <c r="KBT619" s="5" t="s">
        <v>3728</v>
      </c>
      <c r="KBU619" s="17">
        <v>44925</v>
      </c>
      <c r="KBV619" s="5" t="s">
        <v>3728</v>
      </c>
      <c r="KBW619" s="17">
        <v>44925</v>
      </c>
      <c r="KBX619" s="5" t="s">
        <v>3728</v>
      </c>
      <c r="KBY619" s="17">
        <v>44925</v>
      </c>
      <c r="KBZ619" s="5" t="s">
        <v>3728</v>
      </c>
      <c r="KCA619" s="17">
        <v>44925</v>
      </c>
      <c r="KCB619" s="5" t="s">
        <v>3728</v>
      </c>
      <c r="KCC619" s="17">
        <v>44925</v>
      </c>
      <c r="KCD619" s="5" t="s">
        <v>3728</v>
      </c>
      <c r="KCE619" s="17">
        <v>44925</v>
      </c>
      <c r="KCF619" s="5" t="s">
        <v>3728</v>
      </c>
      <c r="KCG619" s="17">
        <v>44925</v>
      </c>
      <c r="KCH619" s="5" t="s">
        <v>3728</v>
      </c>
      <c r="KCI619" s="17">
        <v>44925</v>
      </c>
      <c r="KCJ619" s="5" t="s">
        <v>3728</v>
      </c>
      <c r="KCK619" s="17">
        <v>44925</v>
      </c>
      <c r="KCL619" s="5" t="s">
        <v>3728</v>
      </c>
      <c r="KCM619" s="17">
        <v>44925</v>
      </c>
      <c r="KCN619" s="5" t="s">
        <v>3728</v>
      </c>
      <c r="KCO619" s="17">
        <v>44925</v>
      </c>
      <c r="KCP619" s="5" t="s">
        <v>3728</v>
      </c>
      <c r="KCQ619" s="17">
        <v>44925</v>
      </c>
      <c r="KCR619" s="5" t="s">
        <v>3728</v>
      </c>
      <c r="KCS619" s="17">
        <v>44925</v>
      </c>
      <c r="KCT619" s="5" t="s">
        <v>3728</v>
      </c>
      <c r="KCU619" s="17">
        <v>44925</v>
      </c>
      <c r="KCV619" s="5" t="s">
        <v>3728</v>
      </c>
      <c r="KCW619" s="17">
        <v>44925</v>
      </c>
      <c r="KCX619" s="5" t="s">
        <v>3728</v>
      </c>
      <c r="KCY619" s="17">
        <v>44925</v>
      </c>
      <c r="KCZ619" s="5" t="s">
        <v>3728</v>
      </c>
      <c r="KDA619" s="17">
        <v>44925</v>
      </c>
      <c r="KDB619" s="5" t="s">
        <v>3728</v>
      </c>
      <c r="KDC619" s="17">
        <v>44925</v>
      </c>
      <c r="KDD619" s="5" t="s">
        <v>3728</v>
      </c>
      <c r="KDE619" s="17">
        <v>44925</v>
      </c>
      <c r="KDF619" s="5" t="s">
        <v>3728</v>
      </c>
      <c r="KDG619" s="17">
        <v>44925</v>
      </c>
      <c r="KDH619" s="5" t="s">
        <v>3728</v>
      </c>
      <c r="KDI619" s="17">
        <v>44925</v>
      </c>
      <c r="KDJ619" s="5" t="s">
        <v>3728</v>
      </c>
      <c r="KDK619" s="17">
        <v>44925</v>
      </c>
      <c r="KDL619" s="5" t="s">
        <v>3728</v>
      </c>
      <c r="KDM619" s="17">
        <v>44925</v>
      </c>
      <c r="KDN619" s="5" t="s">
        <v>3728</v>
      </c>
      <c r="KDO619" s="17">
        <v>44925</v>
      </c>
      <c r="KDP619" s="5" t="s">
        <v>3728</v>
      </c>
      <c r="KDQ619" s="17">
        <v>44925</v>
      </c>
      <c r="KDR619" s="5" t="s">
        <v>3728</v>
      </c>
      <c r="KDS619" s="17">
        <v>44925</v>
      </c>
      <c r="KDT619" s="5" t="s">
        <v>3728</v>
      </c>
      <c r="KDU619" s="17">
        <v>44925</v>
      </c>
      <c r="KDV619" s="5" t="s">
        <v>3728</v>
      </c>
      <c r="KDW619" s="17">
        <v>44925</v>
      </c>
      <c r="KDX619" s="5" t="s">
        <v>3728</v>
      </c>
      <c r="KDY619" s="17">
        <v>44925</v>
      </c>
      <c r="KDZ619" s="5" t="s">
        <v>3728</v>
      </c>
      <c r="KEA619" s="17">
        <v>44925</v>
      </c>
      <c r="KEB619" s="5" t="s">
        <v>3728</v>
      </c>
      <c r="KEC619" s="17">
        <v>44925</v>
      </c>
      <c r="KED619" s="5" t="s">
        <v>3728</v>
      </c>
      <c r="KEE619" s="17">
        <v>44925</v>
      </c>
      <c r="KEF619" s="5" t="s">
        <v>3728</v>
      </c>
      <c r="KEG619" s="17">
        <v>44925</v>
      </c>
      <c r="KEH619" s="5" t="s">
        <v>3728</v>
      </c>
      <c r="KEI619" s="17">
        <v>44925</v>
      </c>
      <c r="KEJ619" s="5" t="s">
        <v>3728</v>
      </c>
      <c r="KEK619" s="17">
        <v>44925</v>
      </c>
      <c r="KEL619" s="5" t="s">
        <v>3728</v>
      </c>
      <c r="KEM619" s="17">
        <v>44925</v>
      </c>
      <c r="KEN619" s="5" t="s">
        <v>3728</v>
      </c>
      <c r="KEO619" s="17">
        <v>44925</v>
      </c>
      <c r="KEP619" s="5" t="s">
        <v>3728</v>
      </c>
      <c r="KEQ619" s="17">
        <v>44925</v>
      </c>
      <c r="KER619" s="5" t="s">
        <v>3728</v>
      </c>
      <c r="KES619" s="17">
        <v>44925</v>
      </c>
      <c r="KET619" s="5" t="s">
        <v>3728</v>
      </c>
      <c r="KEU619" s="17">
        <v>44925</v>
      </c>
      <c r="KEV619" s="5" t="s">
        <v>3728</v>
      </c>
      <c r="KEW619" s="17">
        <v>44925</v>
      </c>
      <c r="KEX619" s="5" t="s">
        <v>3728</v>
      </c>
      <c r="KEY619" s="17">
        <v>44925</v>
      </c>
      <c r="KEZ619" s="5" t="s">
        <v>3728</v>
      </c>
      <c r="KFA619" s="17">
        <v>44925</v>
      </c>
      <c r="KFB619" s="5" t="s">
        <v>3728</v>
      </c>
      <c r="KFC619" s="17">
        <v>44925</v>
      </c>
      <c r="KFD619" s="5" t="s">
        <v>3728</v>
      </c>
      <c r="KFE619" s="17">
        <v>44925</v>
      </c>
      <c r="KFF619" s="5" t="s">
        <v>3728</v>
      </c>
      <c r="KFG619" s="17">
        <v>44925</v>
      </c>
      <c r="KFH619" s="5" t="s">
        <v>3728</v>
      </c>
      <c r="KFI619" s="17">
        <v>44925</v>
      </c>
      <c r="KFJ619" s="5" t="s">
        <v>3728</v>
      </c>
      <c r="KFK619" s="17">
        <v>44925</v>
      </c>
      <c r="KFL619" s="5" t="s">
        <v>3728</v>
      </c>
      <c r="KFM619" s="17">
        <v>44925</v>
      </c>
      <c r="KFN619" s="5" t="s">
        <v>3728</v>
      </c>
      <c r="KFO619" s="17">
        <v>44925</v>
      </c>
      <c r="KFP619" s="5" t="s">
        <v>3728</v>
      </c>
      <c r="KFQ619" s="17">
        <v>44925</v>
      </c>
      <c r="KFR619" s="5" t="s">
        <v>3728</v>
      </c>
      <c r="KFS619" s="17">
        <v>44925</v>
      </c>
      <c r="KFT619" s="5" t="s">
        <v>3728</v>
      </c>
      <c r="KFU619" s="17">
        <v>44925</v>
      </c>
      <c r="KFV619" s="5" t="s">
        <v>3728</v>
      </c>
      <c r="KFW619" s="17">
        <v>44925</v>
      </c>
      <c r="KFX619" s="5" t="s">
        <v>3728</v>
      </c>
      <c r="KFY619" s="17">
        <v>44925</v>
      </c>
      <c r="KFZ619" s="5" t="s">
        <v>3728</v>
      </c>
      <c r="KGA619" s="17">
        <v>44925</v>
      </c>
      <c r="KGB619" s="5" t="s">
        <v>3728</v>
      </c>
      <c r="KGC619" s="17">
        <v>44925</v>
      </c>
      <c r="KGD619" s="5" t="s">
        <v>3728</v>
      </c>
      <c r="KGE619" s="17">
        <v>44925</v>
      </c>
      <c r="KGF619" s="5" t="s">
        <v>3728</v>
      </c>
      <c r="KGG619" s="17">
        <v>44925</v>
      </c>
      <c r="KGH619" s="5" t="s">
        <v>3728</v>
      </c>
      <c r="KGI619" s="17">
        <v>44925</v>
      </c>
      <c r="KGJ619" s="5" t="s">
        <v>3728</v>
      </c>
      <c r="KGK619" s="17">
        <v>44925</v>
      </c>
      <c r="KGL619" s="5" t="s">
        <v>3728</v>
      </c>
      <c r="KGM619" s="17">
        <v>44925</v>
      </c>
      <c r="KGN619" s="5" t="s">
        <v>3728</v>
      </c>
      <c r="KGO619" s="17">
        <v>44925</v>
      </c>
      <c r="KGP619" s="5" t="s">
        <v>3728</v>
      </c>
      <c r="KGQ619" s="17">
        <v>44925</v>
      </c>
      <c r="KGR619" s="5" t="s">
        <v>3728</v>
      </c>
      <c r="KGS619" s="17">
        <v>44925</v>
      </c>
      <c r="KGT619" s="5" t="s">
        <v>3728</v>
      </c>
      <c r="KGU619" s="17">
        <v>44925</v>
      </c>
      <c r="KGV619" s="5" t="s">
        <v>3728</v>
      </c>
      <c r="KGW619" s="17">
        <v>44925</v>
      </c>
      <c r="KGX619" s="5" t="s">
        <v>3728</v>
      </c>
      <c r="KGY619" s="17">
        <v>44925</v>
      </c>
      <c r="KGZ619" s="5" t="s">
        <v>3728</v>
      </c>
      <c r="KHA619" s="17">
        <v>44925</v>
      </c>
      <c r="KHB619" s="5" t="s">
        <v>3728</v>
      </c>
      <c r="KHC619" s="17">
        <v>44925</v>
      </c>
      <c r="KHD619" s="5" t="s">
        <v>3728</v>
      </c>
      <c r="KHE619" s="17">
        <v>44925</v>
      </c>
      <c r="KHF619" s="5" t="s">
        <v>3728</v>
      </c>
      <c r="KHG619" s="17">
        <v>44925</v>
      </c>
      <c r="KHH619" s="5" t="s">
        <v>3728</v>
      </c>
      <c r="KHI619" s="17">
        <v>44925</v>
      </c>
      <c r="KHJ619" s="5" t="s">
        <v>3728</v>
      </c>
      <c r="KHK619" s="17">
        <v>44925</v>
      </c>
      <c r="KHL619" s="5" t="s">
        <v>3728</v>
      </c>
      <c r="KHM619" s="17">
        <v>44925</v>
      </c>
      <c r="KHN619" s="5" t="s">
        <v>3728</v>
      </c>
      <c r="KHO619" s="17">
        <v>44925</v>
      </c>
      <c r="KHP619" s="5" t="s">
        <v>3728</v>
      </c>
      <c r="KHQ619" s="17">
        <v>44925</v>
      </c>
      <c r="KHR619" s="5" t="s">
        <v>3728</v>
      </c>
      <c r="KHS619" s="17">
        <v>44925</v>
      </c>
      <c r="KHT619" s="5" t="s">
        <v>3728</v>
      </c>
      <c r="KHU619" s="17">
        <v>44925</v>
      </c>
      <c r="KHV619" s="5" t="s">
        <v>3728</v>
      </c>
      <c r="KHW619" s="17">
        <v>44925</v>
      </c>
      <c r="KHX619" s="5" t="s">
        <v>3728</v>
      </c>
      <c r="KHY619" s="17">
        <v>44925</v>
      </c>
      <c r="KHZ619" s="5" t="s">
        <v>3728</v>
      </c>
      <c r="KIA619" s="17">
        <v>44925</v>
      </c>
      <c r="KIB619" s="5" t="s">
        <v>3728</v>
      </c>
      <c r="KIC619" s="17">
        <v>44925</v>
      </c>
      <c r="KID619" s="5" t="s">
        <v>3728</v>
      </c>
      <c r="KIE619" s="17">
        <v>44925</v>
      </c>
      <c r="KIF619" s="5" t="s">
        <v>3728</v>
      </c>
      <c r="KIG619" s="17">
        <v>44925</v>
      </c>
      <c r="KIH619" s="5" t="s">
        <v>3728</v>
      </c>
      <c r="KII619" s="17">
        <v>44925</v>
      </c>
      <c r="KIJ619" s="5" t="s">
        <v>3728</v>
      </c>
      <c r="KIK619" s="17">
        <v>44925</v>
      </c>
      <c r="KIL619" s="5" t="s">
        <v>3728</v>
      </c>
      <c r="KIM619" s="17">
        <v>44925</v>
      </c>
      <c r="KIN619" s="5" t="s">
        <v>3728</v>
      </c>
      <c r="KIO619" s="17">
        <v>44925</v>
      </c>
      <c r="KIP619" s="5" t="s">
        <v>3728</v>
      </c>
      <c r="KIQ619" s="17">
        <v>44925</v>
      </c>
      <c r="KIR619" s="5" t="s">
        <v>3728</v>
      </c>
      <c r="KIS619" s="17">
        <v>44925</v>
      </c>
      <c r="KIT619" s="5" t="s">
        <v>3728</v>
      </c>
      <c r="KIU619" s="17">
        <v>44925</v>
      </c>
      <c r="KIV619" s="5" t="s">
        <v>3728</v>
      </c>
      <c r="KIW619" s="17">
        <v>44925</v>
      </c>
      <c r="KIX619" s="5" t="s">
        <v>3728</v>
      </c>
      <c r="KIY619" s="17">
        <v>44925</v>
      </c>
      <c r="KIZ619" s="5" t="s">
        <v>3728</v>
      </c>
      <c r="KJA619" s="17">
        <v>44925</v>
      </c>
      <c r="KJB619" s="5" t="s">
        <v>3728</v>
      </c>
      <c r="KJC619" s="17">
        <v>44925</v>
      </c>
      <c r="KJD619" s="5" t="s">
        <v>3728</v>
      </c>
      <c r="KJE619" s="17">
        <v>44925</v>
      </c>
      <c r="KJF619" s="5" t="s">
        <v>3728</v>
      </c>
      <c r="KJG619" s="17">
        <v>44925</v>
      </c>
      <c r="KJH619" s="5" t="s">
        <v>3728</v>
      </c>
      <c r="KJI619" s="17">
        <v>44925</v>
      </c>
      <c r="KJJ619" s="5" t="s">
        <v>3728</v>
      </c>
      <c r="KJK619" s="17">
        <v>44925</v>
      </c>
      <c r="KJL619" s="5" t="s">
        <v>3728</v>
      </c>
      <c r="KJM619" s="17">
        <v>44925</v>
      </c>
      <c r="KJN619" s="5" t="s">
        <v>3728</v>
      </c>
      <c r="KJO619" s="17">
        <v>44925</v>
      </c>
      <c r="KJP619" s="5" t="s">
        <v>3728</v>
      </c>
      <c r="KJQ619" s="17">
        <v>44925</v>
      </c>
      <c r="KJR619" s="5" t="s">
        <v>3728</v>
      </c>
      <c r="KJS619" s="17">
        <v>44925</v>
      </c>
      <c r="KJT619" s="5" t="s">
        <v>3728</v>
      </c>
      <c r="KJU619" s="17">
        <v>44925</v>
      </c>
      <c r="KJV619" s="5" t="s">
        <v>3728</v>
      </c>
      <c r="KJW619" s="17">
        <v>44925</v>
      </c>
      <c r="KJX619" s="5" t="s">
        <v>3728</v>
      </c>
      <c r="KJY619" s="17">
        <v>44925</v>
      </c>
      <c r="KJZ619" s="5" t="s">
        <v>3728</v>
      </c>
      <c r="KKA619" s="17">
        <v>44925</v>
      </c>
      <c r="KKB619" s="5" t="s">
        <v>3728</v>
      </c>
      <c r="KKC619" s="17">
        <v>44925</v>
      </c>
      <c r="KKD619" s="5" t="s">
        <v>3728</v>
      </c>
      <c r="KKE619" s="17">
        <v>44925</v>
      </c>
      <c r="KKF619" s="5" t="s">
        <v>3728</v>
      </c>
      <c r="KKG619" s="17">
        <v>44925</v>
      </c>
      <c r="KKH619" s="5" t="s">
        <v>3728</v>
      </c>
      <c r="KKI619" s="17">
        <v>44925</v>
      </c>
      <c r="KKJ619" s="5" t="s">
        <v>3728</v>
      </c>
      <c r="KKK619" s="17">
        <v>44925</v>
      </c>
      <c r="KKL619" s="5" t="s">
        <v>3728</v>
      </c>
      <c r="KKM619" s="17">
        <v>44925</v>
      </c>
      <c r="KKN619" s="5" t="s">
        <v>3728</v>
      </c>
      <c r="KKO619" s="17">
        <v>44925</v>
      </c>
      <c r="KKP619" s="5" t="s">
        <v>3728</v>
      </c>
      <c r="KKQ619" s="17">
        <v>44925</v>
      </c>
      <c r="KKR619" s="5" t="s">
        <v>3728</v>
      </c>
      <c r="KKS619" s="17">
        <v>44925</v>
      </c>
      <c r="KKT619" s="5" t="s">
        <v>3728</v>
      </c>
      <c r="KKU619" s="17">
        <v>44925</v>
      </c>
      <c r="KKV619" s="5" t="s">
        <v>3728</v>
      </c>
      <c r="KKW619" s="17">
        <v>44925</v>
      </c>
      <c r="KKX619" s="5" t="s">
        <v>3728</v>
      </c>
      <c r="KKY619" s="17">
        <v>44925</v>
      </c>
      <c r="KKZ619" s="5" t="s">
        <v>3728</v>
      </c>
      <c r="KLA619" s="17">
        <v>44925</v>
      </c>
      <c r="KLB619" s="5" t="s">
        <v>3728</v>
      </c>
      <c r="KLC619" s="17">
        <v>44925</v>
      </c>
      <c r="KLD619" s="5" t="s">
        <v>3728</v>
      </c>
      <c r="KLE619" s="17">
        <v>44925</v>
      </c>
      <c r="KLF619" s="5" t="s">
        <v>3728</v>
      </c>
      <c r="KLG619" s="17">
        <v>44925</v>
      </c>
      <c r="KLH619" s="5" t="s">
        <v>3728</v>
      </c>
      <c r="KLI619" s="17">
        <v>44925</v>
      </c>
      <c r="KLJ619" s="5" t="s">
        <v>3728</v>
      </c>
      <c r="KLK619" s="17">
        <v>44925</v>
      </c>
      <c r="KLL619" s="5" t="s">
        <v>3728</v>
      </c>
      <c r="KLM619" s="17">
        <v>44925</v>
      </c>
      <c r="KLN619" s="5" t="s">
        <v>3728</v>
      </c>
      <c r="KLO619" s="17">
        <v>44925</v>
      </c>
      <c r="KLP619" s="5" t="s">
        <v>3728</v>
      </c>
      <c r="KLQ619" s="17">
        <v>44925</v>
      </c>
      <c r="KLR619" s="5" t="s">
        <v>3728</v>
      </c>
      <c r="KLS619" s="17">
        <v>44925</v>
      </c>
      <c r="KLT619" s="5" t="s">
        <v>3728</v>
      </c>
      <c r="KLU619" s="17">
        <v>44925</v>
      </c>
      <c r="KLV619" s="5" t="s">
        <v>3728</v>
      </c>
      <c r="KLW619" s="17">
        <v>44925</v>
      </c>
      <c r="KLX619" s="5" t="s">
        <v>3728</v>
      </c>
      <c r="KLY619" s="17">
        <v>44925</v>
      </c>
      <c r="KLZ619" s="5" t="s">
        <v>3728</v>
      </c>
      <c r="KMA619" s="17">
        <v>44925</v>
      </c>
      <c r="KMB619" s="5" t="s">
        <v>3728</v>
      </c>
      <c r="KMC619" s="17">
        <v>44925</v>
      </c>
      <c r="KMD619" s="5" t="s">
        <v>3728</v>
      </c>
      <c r="KME619" s="17">
        <v>44925</v>
      </c>
      <c r="KMF619" s="5" t="s">
        <v>3728</v>
      </c>
      <c r="KMG619" s="17">
        <v>44925</v>
      </c>
      <c r="KMH619" s="5" t="s">
        <v>3728</v>
      </c>
      <c r="KMI619" s="17">
        <v>44925</v>
      </c>
      <c r="KMJ619" s="5" t="s">
        <v>3728</v>
      </c>
      <c r="KMK619" s="17">
        <v>44925</v>
      </c>
      <c r="KML619" s="5" t="s">
        <v>3728</v>
      </c>
      <c r="KMM619" s="17">
        <v>44925</v>
      </c>
      <c r="KMN619" s="5" t="s">
        <v>3728</v>
      </c>
      <c r="KMO619" s="17">
        <v>44925</v>
      </c>
      <c r="KMP619" s="5" t="s">
        <v>3728</v>
      </c>
      <c r="KMQ619" s="17">
        <v>44925</v>
      </c>
      <c r="KMR619" s="5" t="s">
        <v>3728</v>
      </c>
      <c r="KMS619" s="17">
        <v>44925</v>
      </c>
      <c r="KMT619" s="5" t="s">
        <v>3728</v>
      </c>
      <c r="KMU619" s="17">
        <v>44925</v>
      </c>
      <c r="KMV619" s="5" t="s">
        <v>3728</v>
      </c>
      <c r="KMW619" s="17">
        <v>44925</v>
      </c>
      <c r="KMX619" s="5" t="s">
        <v>3728</v>
      </c>
      <c r="KMY619" s="17">
        <v>44925</v>
      </c>
      <c r="KMZ619" s="5" t="s">
        <v>3728</v>
      </c>
      <c r="KNA619" s="17">
        <v>44925</v>
      </c>
      <c r="KNB619" s="5" t="s">
        <v>3728</v>
      </c>
      <c r="KNC619" s="17">
        <v>44925</v>
      </c>
      <c r="KND619" s="5" t="s">
        <v>3728</v>
      </c>
      <c r="KNE619" s="17">
        <v>44925</v>
      </c>
      <c r="KNF619" s="5" t="s">
        <v>3728</v>
      </c>
      <c r="KNG619" s="17">
        <v>44925</v>
      </c>
      <c r="KNH619" s="5" t="s">
        <v>3728</v>
      </c>
      <c r="KNI619" s="17">
        <v>44925</v>
      </c>
      <c r="KNJ619" s="5" t="s">
        <v>3728</v>
      </c>
      <c r="KNK619" s="17">
        <v>44925</v>
      </c>
      <c r="KNL619" s="5" t="s">
        <v>3728</v>
      </c>
      <c r="KNM619" s="17">
        <v>44925</v>
      </c>
      <c r="KNN619" s="5" t="s">
        <v>3728</v>
      </c>
      <c r="KNO619" s="17">
        <v>44925</v>
      </c>
      <c r="KNP619" s="5" t="s">
        <v>3728</v>
      </c>
      <c r="KNQ619" s="17">
        <v>44925</v>
      </c>
      <c r="KNR619" s="5" t="s">
        <v>3728</v>
      </c>
      <c r="KNS619" s="17">
        <v>44925</v>
      </c>
      <c r="KNT619" s="5" t="s">
        <v>3728</v>
      </c>
      <c r="KNU619" s="17">
        <v>44925</v>
      </c>
      <c r="KNV619" s="5" t="s">
        <v>3728</v>
      </c>
      <c r="KNW619" s="17">
        <v>44925</v>
      </c>
      <c r="KNX619" s="5" t="s">
        <v>3728</v>
      </c>
      <c r="KNY619" s="17">
        <v>44925</v>
      </c>
      <c r="KNZ619" s="5" t="s">
        <v>3728</v>
      </c>
      <c r="KOA619" s="17">
        <v>44925</v>
      </c>
      <c r="KOB619" s="5" t="s">
        <v>3728</v>
      </c>
      <c r="KOC619" s="17">
        <v>44925</v>
      </c>
      <c r="KOD619" s="5" t="s">
        <v>3728</v>
      </c>
      <c r="KOE619" s="17">
        <v>44925</v>
      </c>
      <c r="KOF619" s="5" t="s">
        <v>3728</v>
      </c>
      <c r="KOG619" s="17">
        <v>44925</v>
      </c>
      <c r="KOH619" s="5" t="s">
        <v>3728</v>
      </c>
      <c r="KOI619" s="17">
        <v>44925</v>
      </c>
      <c r="KOJ619" s="5" t="s">
        <v>3728</v>
      </c>
      <c r="KOK619" s="17">
        <v>44925</v>
      </c>
      <c r="KOL619" s="5" t="s">
        <v>3728</v>
      </c>
      <c r="KOM619" s="17">
        <v>44925</v>
      </c>
      <c r="KON619" s="5" t="s">
        <v>3728</v>
      </c>
      <c r="KOO619" s="17">
        <v>44925</v>
      </c>
      <c r="KOP619" s="5" t="s">
        <v>3728</v>
      </c>
      <c r="KOQ619" s="17">
        <v>44925</v>
      </c>
      <c r="KOR619" s="5" t="s">
        <v>3728</v>
      </c>
      <c r="KOS619" s="17">
        <v>44925</v>
      </c>
      <c r="KOT619" s="5" t="s">
        <v>3728</v>
      </c>
      <c r="KOU619" s="17">
        <v>44925</v>
      </c>
      <c r="KOV619" s="5" t="s">
        <v>3728</v>
      </c>
      <c r="KOW619" s="17">
        <v>44925</v>
      </c>
      <c r="KOX619" s="5" t="s">
        <v>3728</v>
      </c>
      <c r="KOY619" s="17">
        <v>44925</v>
      </c>
      <c r="KOZ619" s="5" t="s">
        <v>3728</v>
      </c>
      <c r="KPA619" s="17">
        <v>44925</v>
      </c>
      <c r="KPB619" s="5" t="s">
        <v>3728</v>
      </c>
      <c r="KPC619" s="17">
        <v>44925</v>
      </c>
      <c r="KPD619" s="5" t="s">
        <v>3728</v>
      </c>
      <c r="KPE619" s="17">
        <v>44925</v>
      </c>
      <c r="KPF619" s="5" t="s">
        <v>3728</v>
      </c>
      <c r="KPG619" s="17">
        <v>44925</v>
      </c>
      <c r="KPH619" s="5" t="s">
        <v>3728</v>
      </c>
      <c r="KPI619" s="17">
        <v>44925</v>
      </c>
      <c r="KPJ619" s="5" t="s">
        <v>3728</v>
      </c>
      <c r="KPK619" s="17">
        <v>44925</v>
      </c>
      <c r="KPL619" s="5" t="s">
        <v>3728</v>
      </c>
      <c r="KPM619" s="17">
        <v>44925</v>
      </c>
      <c r="KPN619" s="5" t="s">
        <v>3728</v>
      </c>
      <c r="KPO619" s="17">
        <v>44925</v>
      </c>
      <c r="KPP619" s="5" t="s">
        <v>3728</v>
      </c>
      <c r="KPQ619" s="17">
        <v>44925</v>
      </c>
      <c r="KPR619" s="5" t="s">
        <v>3728</v>
      </c>
      <c r="KPS619" s="17">
        <v>44925</v>
      </c>
      <c r="KPT619" s="5" t="s">
        <v>3728</v>
      </c>
      <c r="KPU619" s="17">
        <v>44925</v>
      </c>
      <c r="KPV619" s="5" t="s">
        <v>3728</v>
      </c>
      <c r="KPW619" s="17">
        <v>44925</v>
      </c>
      <c r="KPX619" s="5" t="s">
        <v>3728</v>
      </c>
      <c r="KPY619" s="17">
        <v>44925</v>
      </c>
      <c r="KPZ619" s="5" t="s">
        <v>3728</v>
      </c>
      <c r="KQA619" s="17">
        <v>44925</v>
      </c>
      <c r="KQB619" s="5" t="s">
        <v>3728</v>
      </c>
      <c r="KQC619" s="17">
        <v>44925</v>
      </c>
      <c r="KQD619" s="5" t="s">
        <v>3728</v>
      </c>
      <c r="KQE619" s="17">
        <v>44925</v>
      </c>
      <c r="KQF619" s="5" t="s">
        <v>3728</v>
      </c>
      <c r="KQG619" s="17">
        <v>44925</v>
      </c>
      <c r="KQH619" s="5" t="s">
        <v>3728</v>
      </c>
      <c r="KQI619" s="17">
        <v>44925</v>
      </c>
      <c r="KQJ619" s="5" t="s">
        <v>3728</v>
      </c>
      <c r="KQK619" s="17">
        <v>44925</v>
      </c>
      <c r="KQL619" s="5" t="s">
        <v>3728</v>
      </c>
      <c r="KQM619" s="17">
        <v>44925</v>
      </c>
      <c r="KQN619" s="5" t="s">
        <v>3728</v>
      </c>
      <c r="KQO619" s="17">
        <v>44925</v>
      </c>
      <c r="KQP619" s="5" t="s">
        <v>3728</v>
      </c>
      <c r="KQQ619" s="17">
        <v>44925</v>
      </c>
      <c r="KQR619" s="5" t="s">
        <v>3728</v>
      </c>
      <c r="KQS619" s="17">
        <v>44925</v>
      </c>
      <c r="KQT619" s="5" t="s">
        <v>3728</v>
      </c>
      <c r="KQU619" s="17">
        <v>44925</v>
      </c>
      <c r="KQV619" s="5" t="s">
        <v>3728</v>
      </c>
      <c r="KQW619" s="17">
        <v>44925</v>
      </c>
      <c r="KQX619" s="5" t="s">
        <v>3728</v>
      </c>
      <c r="KQY619" s="17">
        <v>44925</v>
      </c>
      <c r="KQZ619" s="5" t="s">
        <v>3728</v>
      </c>
      <c r="KRA619" s="17">
        <v>44925</v>
      </c>
      <c r="KRB619" s="5" t="s">
        <v>3728</v>
      </c>
      <c r="KRC619" s="17">
        <v>44925</v>
      </c>
      <c r="KRD619" s="5" t="s">
        <v>3728</v>
      </c>
      <c r="KRE619" s="17">
        <v>44925</v>
      </c>
      <c r="KRF619" s="5" t="s">
        <v>3728</v>
      </c>
      <c r="KRG619" s="17">
        <v>44925</v>
      </c>
      <c r="KRH619" s="5" t="s">
        <v>3728</v>
      </c>
      <c r="KRI619" s="17">
        <v>44925</v>
      </c>
      <c r="KRJ619" s="5" t="s">
        <v>3728</v>
      </c>
      <c r="KRK619" s="17">
        <v>44925</v>
      </c>
      <c r="KRL619" s="5" t="s">
        <v>3728</v>
      </c>
      <c r="KRM619" s="17">
        <v>44925</v>
      </c>
      <c r="KRN619" s="5" t="s">
        <v>3728</v>
      </c>
      <c r="KRO619" s="17">
        <v>44925</v>
      </c>
      <c r="KRP619" s="5" t="s">
        <v>3728</v>
      </c>
      <c r="KRQ619" s="17">
        <v>44925</v>
      </c>
      <c r="KRR619" s="5" t="s">
        <v>3728</v>
      </c>
      <c r="KRS619" s="17">
        <v>44925</v>
      </c>
      <c r="KRT619" s="5" t="s">
        <v>3728</v>
      </c>
      <c r="KRU619" s="17">
        <v>44925</v>
      </c>
      <c r="KRV619" s="5" t="s">
        <v>3728</v>
      </c>
      <c r="KRW619" s="17">
        <v>44925</v>
      </c>
      <c r="KRX619" s="5" t="s">
        <v>3728</v>
      </c>
      <c r="KRY619" s="17">
        <v>44925</v>
      </c>
      <c r="KRZ619" s="5" t="s">
        <v>3728</v>
      </c>
      <c r="KSA619" s="17">
        <v>44925</v>
      </c>
      <c r="KSB619" s="5" t="s">
        <v>3728</v>
      </c>
      <c r="KSC619" s="17">
        <v>44925</v>
      </c>
      <c r="KSD619" s="5" t="s">
        <v>3728</v>
      </c>
      <c r="KSE619" s="17">
        <v>44925</v>
      </c>
      <c r="KSF619" s="5" t="s">
        <v>3728</v>
      </c>
      <c r="KSG619" s="17">
        <v>44925</v>
      </c>
      <c r="KSH619" s="5" t="s">
        <v>3728</v>
      </c>
      <c r="KSI619" s="17">
        <v>44925</v>
      </c>
      <c r="KSJ619" s="5" t="s">
        <v>3728</v>
      </c>
      <c r="KSK619" s="17">
        <v>44925</v>
      </c>
      <c r="KSL619" s="5" t="s">
        <v>3728</v>
      </c>
      <c r="KSM619" s="17">
        <v>44925</v>
      </c>
      <c r="KSN619" s="5" t="s">
        <v>3728</v>
      </c>
      <c r="KSO619" s="17">
        <v>44925</v>
      </c>
      <c r="KSP619" s="5" t="s">
        <v>3728</v>
      </c>
      <c r="KSQ619" s="17">
        <v>44925</v>
      </c>
      <c r="KSR619" s="5" t="s">
        <v>3728</v>
      </c>
      <c r="KSS619" s="17">
        <v>44925</v>
      </c>
      <c r="KST619" s="5" t="s">
        <v>3728</v>
      </c>
      <c r="KSU619" s="17">
        <v>44925</v>
      </c>
      <c r="KSV619" s="5" t="s">
        <v>3728</v>
      </c>
      <c r="KSW619" s="17">
        <v>44925</v>
      </c>
      <c r="KSX619" s="5" t="s">
        <v>3728</v>
      </c>
      <c r="KSY619" s="17">
        <v>44925</v>
      </c>
      <c r="KSZ619" s="5" t="s">
        <v>3728</v>
      </c>
      <c r="KTA619" s="17">
        <v>44925</v>
      </c>
      <c r="KTB619" s="5" t="s">
        <v>3728</v>
      </c>
      <c r="KTC619" s="17">
        <v>44925</v>
      </c>
      <c r="KTD619" s="5" t="s">
        <v>3728</v>
      </c>
      <c r="KTE619" s="17">
        <v>44925</v>
      </c>
      <c r="KTF619" s="5" t="s">
        <v>3728</v>
      </c>
      <c r="KTG619" s="17">
        <v>44925</v>
      </c>
      <c r="KTH619" s="5" t="s">
        <v>3728</v>
      </c>
      <c r="KTI619" s="17">
        <v>44925</v>
      </c>
      <c r="KTJ619" s="5" t="s">
        <v>3728</v>
      </c>
      <c r="KTK619" s="17">
        <v>44925</v>
      </c>
      <c r="KTL619" s="5" t="s">
        <v>3728</v>
      </c>
      <c r="KTM619" s="17">
        <v>44925</v>
      </c>
      <c r="KTN619" s="5" t="s">
        <v>3728</v>
      </c>
      <c r="KTO619" s="17">
        <v>44925</v>
      </c>
      <c r="KTP619" s="5" t="s">
        <v>3728</v>
      </c>
      <c r="KTQ619" s="17">
        <v>44925</v>
      </c>
      <c r="KTR619" s="5" t="s">
        <v>3728</v>
      </c>
      <c r="KTS619" s="17">
        <v>44925</v>
      </c>
      <c r="KTT619" s="5" t="s">
        <v>3728</v>
      </c>
      <c r="KTU619" s="17">
        <v>44925</v>
      </c>
      <c r="KTV619" s="5" t="s">
        <v>3728</v>
      </c>
      <c r="KTW619" s="17">
        <v>44925</v>
      </c>
      <c r="KTX619" s="5" t="s">
        <v>3728</v>
      </c>
      <c r="KTY619" s="17">
        <v>44925</v>
      </c>
      <c r="KTZ619" s="5" t="s">
        <v>3728</v>
      </c>
      <c r="KUA619" s="17">
        <v>44925</v>
      </c>
      <c r="KUB619" s="5" t="s">
        <v>3728</v>
      </c>
      <c r="KUC619" s="17">
        <v>44925</v>
      </c>
      <c r="KUD619" s="5" t="s">
        <v>3728</v>
      </c>
      <c r="KUE619" s="17">
        <v>44925</v>
      </c>
      <c r="KUF619" s="5" t="s">
        <v>3728</v>
      </c>
      <c r="KUG619" s="17">
        <v>44925</v>
      </c>
      <c r="KUH619" s="5" t="s">
        <v>3728</v>
      </c>
      <c r="KUI619" s="17">
        <v>44925</v>
      </c>
      <c r="KUJ619" s="5" t="s">
        <v>3728</v>
      </c>
      <c r="KUK619" s="17">
        <v>44925</v>
      </c>
      <c r="KUL619" s="5" t="s">
        <v>3728</v>
      </c>
      <c r="KUM619" s="17">
        <v>44925</v>
      </c>
      <c r="KUN619" s="5" t="s">
        <v>3728</v>
      </c>
      <c r="KUO619" s="17">
        <v>44925</v>
      </c>
      <c r="KUP619" s="5" t="s">
        <v>3728</v>
      </c>
      <c r="KUQ619" s="17">
        <v>44925</v>
      </c>
      <c r="KUR619" s="5" t="s">
        <v>3728</v>
      </c>
      <c r="KUS619" s="17">
        <v>44925</v>
      </c>
      <c r="KUT619" s="5" t="s">
        <v>3728</v>
      </c>
      <c r="KUU619" s="17">
        <v>44925</v>
      </c>
      <c r="KUV619" s="5" t="s">
        <v>3728</v>
      </c>
      <c r="KUW619" s="17">
        <v>44925</v>
      </c>
      <c r="KUX619" s="5" t="s">
        <v>3728</v>
      </c>
      <c r="KUY619" s="17">
        <v>44925</v>
      </c>
      <c r="KUZ619" s="5" t="s">
        <v>3728</v>
      </c>
      <c r="KVA619" s="17">
        <v>44925</v>
      </c>
      <c r="KVB619" s="5" t="s">
        <v>3728</v>
      </c>
      <c r="KVC619" s="17">
        <v>44925</v>
      </c>
      <c r="KVD619" s="5" t="s">
        <v>3728</v>
      </c>
      <c r="KVE619" s="17">
        <v>44925</v>
      </c>
      <c r="KVF619" s="5" t="s">
        <v>3728</v>
      </c>
      <c r="KVG619" s="17">
        <v>44925</v>
      </c>
      <c r="KVH619" s="5" t="s">
        <v>3728</v>
      </c>
      <c r="KVI619" s="17">
        <v>44925</v>
      </c>
      <c r="KVJ619" s="5" t="s">
        <v>3728</v>
      </c>
      <c r="KVK619" s="17">
        <v>44925</v>
      </c>
      <c r="KVL619" s="5" t="s">
        <v>3728</v>
      </c>
      <c r="KVM619" s="17">
        <v>44925</v>
      </c>
      <c r="KVN619" s="5" t="s">
        <v>3728</v>
      </c>
      <c r="KVO619" s="17">
        <v>44925</v>
      </c>
      <c r="KVP619" s="5" t="s">
        <v>3728</v>
      </c>
      <c r="KVQ619" s="17">
        <v>44925</v>
      </c>
      <c r="KVR619" s="5" t="s">
        <v>3728</v>
      </c>
      <c r="KVS619" s="17">
        <v>44925</v>
      </c>
      <c r="KVT619" s="5" t="s">
        <v>3728</v>
      </c>
      <c r="KVU619" s="17">
        <v>44925</v>
      </c>
      <c r="KVV619" s="5" t="s">
        <v>3728</v>
      </c>
      <c r="KVW619" s="17">
        <v>44925</v>
      </c>
      <c r="KVX619" s="5" t="s">
        <v>3728</v>
      </c>
      <c r="KVY619" s="17">
        <v>44925</v>
      </c>
      <c r="KVZ619" s="5" t="s">
        <v>3728</v>
      </c>
      <c r="KWA619" s="17">
        <v>44925</v>
      </c>
      <c r="KWB619" s="5" t="s">
        <v>3728</v>
      </c>
      <c r="KWC619" s="17">
        <v>44925</v>
      </c>
      <c r="KWD619" s="5" t="s">
        <v>3728</v>
      </c>
      <c r="KWE619" s="17">
        <v>44925</v>
      </c>
      <c r="KWF619" s="5" t="s">
        <v>3728</v>
      </c>
      <c r="KWG619" s="17">
        <v>44925</v>
      </c>
      <c r="KWH619" s="5" t="s">
        <v>3728</v>
      </c>
      <c r="KWI619" s="17">
        <v>44925</v>
      </c>
      <c r="KWJ619" s="5" t="s">
        <v>3728</v>
      </c>
      <c r="KWK619" s="17">
        <v>44925</v>
      </c>
      <c r="KWL619" s="5" t="s">
        <v>3728</v>
      </c>
      <c r="KWM619" s="17">
        <v>44925</v>
      </c>
      <c r="KWN619" s="5" t="s">
        <v>3728</v>
      </c>
      <c r="KWO619" s="17">
        <v>44925</v>
      </c>
      <c r="KWP619" s="5" t="s">
        <v>3728</v>
      </c>
      <c r="KWQ619" s="17">
        <v>44925</v>
      </c>
      <c r="KWR619" s="5" t="s">
        <v>3728</v>
      </c>
      <c r="KWS619" s="17">
        <v>44925</v>
      </c>
      <c r="KWT619" s="5" t="s">
        <v>3728</v>
      </c>
      <c r="KWU619" s="17">
        <v>44925</v>
      </c>
      <c r="KWV619" s="5" t="s">
        <v>3728</v>
      </c>
      <c r="KWW619" s="17">
        <v>44925</v>
      </c>
      <c r="KWX619" s="5" t="s">
        <v>3728</v>
      </c>
      <c r="KWY619" s="17">
        <v>44925</v>
      </c>
      <c r="KWZ619" s="5" t="s">
        <v>3728</v>
      </c>
      <c r="KXA619" s="17">
        <v>44925</v>
      </c>
      <c r="KXB619" s="5" t="s">
        <v>3728</v>
      </c>
      <c r="KXC619" s="17">
        <v>44925</v>
      </c>
      <c r="KXD619" s="5" t="s">
        <v>3728</v>
      </c>
      <c r="KXE619" s="17">
        <v>44925</v>
      </c>
      <c r="KXF619" s="5" t="s">
        <v>3728</v>
      </c>
      <c r="KXG619" s="17">
        <v>44925</v>
      </c>
      <c r="KXH619" s="5" t="s">
        <v>3728</v>
      </c>
      <c r="KXI619" s="17">
        <v>44925</v>
      </c>
      <c r="KXJ619" s="5" t="s">
        <v>3728</v>
      </c>
      <c r="KXK619" s="17">
        <v>44925</v>
      </c>
      <c r="KXL619" s="5" t="s">
        <v>3728</v>
      </c>
      <c r="KXM619" s="17">
        <v>44925</v>
      </c>
      <c r="KXN619" s="5" t="s">
        <v>3728</v>
      </c>
      <c r="KXO619" s="17">
        <v>44925</v>
      </c>
      <c r="KXP619" s="5" t="s">
        <v>3728</v>
      </c>
      <c r="KXQ619" s="17">
        <v>44925</v>
      </c>
      <c r="KXR619" s="5" t="s">
        <v>3728</v>
      </c>
      <c r="KXS619" s="17">
        <v>44925</v>
      </c>
      <c r="KXT619" s="5" t="s">
        <v>3728</v>
      </c>
      <c r="KXU619" s="17">
        <v>44925</v>
      </c>
      <c r="KXV619" s="5" t="s">
        <v>3728</v>
      </c>
      <c r="KXW619" s="17">
        <v>44925</v>
      </c>
      <c r="KXX619" s="5" t="s">
        <v>3728</v>
      </c>
      <c r="KXY619" s="17">
        <v>44925</v>
      </c>
      <c r="KXZ619" s="5" t="s">
        <v>3728</v>
      </c>
      <c r="KYA619" s="17">
        <v>44925</v>
      </c>
      <c r="KYB619" s="5" t="s">
        <v>3728</v>
      </c>
      <c r="KYC619" s="17">
        <v>44925</v>
      </c>
      <c r="KYD619" s="5" t="s">
        <v>3728</v>
      </c>
      <c r="KYE619" s="17">
        <v>44925</v>
      </c>
      <c r="KYF619" s="5" t="s">
        <v>3728</v>
      </c>
      <c r="KYG619" s="17">
        <v>44925</v>
      </c>
      <c r="KYH619" s="5" t="s">
        <v>3728</v>
      </c>
      <c r="KYI619" s="17">
        <v>44925</v>
      </c>
      <c r="KYJ619" s="5" t="s">
        <v>3728</v>
      </c>
      <c r="KYK619" s="17">
        <v>44925</v>
      </c>
      <c r="KYL619" s="5" t="s">
        <v>3728</v>
      </c>
      <c r="KYM619" s="17">
        <v>44925</v>
      </c>
      <c r="KYN619" s="5" t="s">
        <v>3728</v>
      </c>
      <c r="KYO619" s="17">
        <v>44925</v>
      </c>
      <c r="KYP619" s="5" t="s">
        <v>3728</v>
      </c>
      <c r="KYQ619" s="17">
        <v>44925</v>
      </c>
      <c r="KYR619" s="5" t="s">
        <v>3728</v>
      </c>
      <c r="KYS619" s="17">
        <v>44925</v>
      </c>
      <c r="KYT619" s="5" t="s">
        <v>3728</v>
      </c>
      <c r="KYU619" s="17">
        <v>44925</v>
      </c>
      <c r="KYV619" s="5" t="s">
        <v>3728</v>
      </c>
      <c r="KYW619" s="17">
        <v>44925</v>
      </c>
      <c r="KYX619" s="5" t="s">
        <v>3728</v>
      </c>
      <c r="KYY619" s="17">
        <v>44925</v>
      </c>
      <c r="KYZ619" s="5" t="s">
        <v>3728</v>
      </c>
      <c r="KZA619" s="17">
        <v>44925</v>
      </c>
      <c r="KZB619" s="5" t="s">
        <v>3728</v>
      </c>
      <c r="KZC619" s="17">
        <v>44925</v>
      </c>
      <c r="KZD619" s="5" t="s">
        <v>3728</v>
      </c>
      <c r="KZE619" s="17">
        <v>44925</v>
      </c>
      <c r="KZF619" s="5" t="s">
        <v>3728</v>
      </c>
      <c r="KZG619" s="17">
        <v>44925</v>
      </c>
      <c r="KZH619" s="5" t="s">
        <v>3728</v>
      </c>
      <c r="KZI619" s="17">
        <v>44925</v>
      </c>
      <c r="KZJ619" s="5" t="s">
        <v>3728</v>
      </c>
      <c r="KZK619" s="17">
        <v>44925</v>
      </c>
      <c r="KZL619" s="5" t="s">
        <v>3728</v>
      </c>
      <c r="KZM619" s="17">
        <v>44925</v>
      </c>
      <c r="KZN619" s="5" t="s">
        <v>3728</v>
      </c>
      <c r="KZO619" s="17">
        <v>44925</v>
      </c>
      <c r="KZP619" s="5" t="s">
        <v>3728</v>
      </c>
      <c r="KZQ619" s="17">
        <v>44925</v>
      </c>
      <c r="KZR619" s="5" t="s">
        <v>3728</v>
      </c>
      <c r="KZS619" s="17">
        <v>44925</v>
      </c>
      <c r="KZT619" s="5" t="s">
        <v>3728</v>
      </c>
      <c r="KZU619" s="17">
        <v>44925</v>
      </c>
      <c r="KZV619" s="5" t="s">
        <v>3728</v>
      </c>
      <c r="KZW619" s="17">
        <v>44925</v>
      </c>
      <c r="KZX619" s="5" t="s">
        <v>3728</v>
      </c>
      <c r="KZY619" s="17">
        <v>44925</v>
      </c>
      <c r="KZZ619" s="5" t="s">
        <v>3728</v>
      </c>
      <c r="LAA619" s="17">
        <v>44925</v>
      </c>
      <c r="LAB619" s="5" t="s">
        <v>3728</v>
      </c>
      <c r="LAC619" s="17">
        <v>44925</v>
      </c>
      <c r="LAD619" s="5" t="s">
        <v>3728</v>
      </c>
      <c r="LAE619" s="17">
        <v>44925</v>
      </c>
      <c r="LAF619" s="5" t="s">
        <v>3728</v>
      </c>
      <c r="LAG619" s="17">
        <v>44925</v>
      </c>
      <c r="LAH619" s="5" t="s">
        <v>3728</v>
      </c>
      <c r="LAI619" s="17">
        <v>44925</v>
      </c>
      <c r="LAJ619" s="5" t="s">
        <v>3728</v>
      </c>
      <c r="LAK619" s="17">
        <v>44925</v>
      </c>
      <c r="LAL619" s="5" t="s">
        <v>3728</v>
      </c>
      <c r="LAM619" s="17">
        <v>44925</v>
      </c>
      <c r="LAN619" s="5" t="s">
        <v>3728</v>
      </c>
      <c r="LAO619" s="17">
        <v>44925</v>
      </c>
      <c r="LAP619" s="5" t="s">
        <v>3728</v>
      </c>
      <c r="LAQ619" s="17">
        <v>44925</v>
      </c>
      <c r="LAR619" s="5" t="s">
        <v>3728</v>
      </c>
      <c r="LAS619" s="17">
        <v>44925</v>
      </c>
      <c r="LAT619" s="5" t="s">
        <v>3728</v>
      </c>
      <c r="LAU619" s="17">
        <v>44925</v>
      </c>
      <c r="LAV619" s="5" t="s">
        <v>3728</v>
      </c>
      <c r="LAW619" s="17">
        <v>44925</v>
      </c>
      <c r="LAX619" s="5" t="s">
        <v>3728</v>
      </c>
      <c r="LAY619" s="17">
        <v>44925</v>
      </c>
      <c r="LAZ619" s="5" t="s">
        <v>3728</v>
      </c>
      <c r="LBA619" s="17">
        <v>44925</v>
      </c>
      <c r="LBB619" s="5" t="s">
        <v>3728</v>
      </c>
      <c r="LBC619" s="17">
        <v>44925</v>
      </c>
      <c r="LBD619" s="5" t="s">
        <v>3728</v>
      </c>
      <c r="LBE619" s="17">
        <v>44925</v>
      </c>
      <c r="LBF619" s="5" t="s">
        <v>3728</v>
      </c>
      <c r="LBG619" s="17">
        <v>44925</v>
      </c>
      <c r="LBH619" s="5" t="s">
        <v>3728</v>
      </c>
      <c r="LBI619" s="17">
        <v>44925</v>
      </c>
      <c r="LBJ619" s="5" t="s">
        <v>3728</v>
      </c>
      <c r="LBK619" s="17">
        <v>44925</v>
      </c>
      <c r="LBL619" s="5" t="s">
        <v>3728</v>
      </c>
      <c r="LBM619" s="17">
        <v>44925</v>
      </c>
      <c r="LBN619" s="5" t="s">
        <v>3728</v>
      </c>
      <c r="LBO619" s="17">
        <v>44925</v>
      </c>
      <c r="LBP619" s="5" t="s">
        <v>3728</v>
      </c>
      <c r="LBQ619" s="17">
        <v>44925</v>
      </c>
      <c r="LBR619" s="5" t="s">
        <v>3728</v>
      </c>
      <c r="LBS619" s="17">
        <v>44925</v>
      </c>
      <c r="LBT619" s="5" t="s">
        <v>3728</v>
      </c>
      <c r="LBU619" s="17">
        <v>44925</v>
      </c>
      <c r="LBV619" s="5" t="s">
        <v>3728</v>
      </c>
      <c r="LBW619" s="17">
        <v>44925</v>
      </c>
      <c r="LBX619" s="5" t="s">
        <v>3728</v>
      </c>
      <c r="LBY619" s="17">
        <v>44925</v>
      </c>
      <c r="LBZ619" s="5" t="s">
        <v>3728</v>
      </c>
      <c r="LCA619" s="17">
        <v>44925</v>
      </c>
      <c r="LCB619" s="5" t="s">
        <v>3728</v>
      </c>
      <c r="LCC619" s="17">
        <v>44925</v>
      </c>
      <c r="LCD619" s="5" t="s">
        <v>3728</v>
      </c>
      <c r="LCE619" s="17">
        <v>44925</v>
      </c>
      <c r="LCF619" s="5" t="s">
        <v>3728</v>
      </c>
      <c r="LCG619" s="17">
        <v>44925</v>
      </c>
      <c r="LCH619" s="5" t="s">
        <v>3728</v>
      </c>
      <c r="LCI619" s="17">
        <v>44925</v>
      </c>
      <c r="LCJ619" s="5" t="s">
        <v>3728</v>
      </c>
      <c r="LCK619" s="17">
        <v>44925</v>
      </c>
      <c r="LCL619" s="5" t="s">
        <v>3728</v>
      </c>
      <c r="LCM619" s="17">
        <v>44925</v>
      </c>
      <c r="LCN619" s="5" t="s">
        <v>3728</v>
      </c>
      <c r="LCO619" s="17">
        <v>44925</v>
      </c>
      <c r="LCP619" s="5" t="s">
        <v>3728</v>
      </c>
      <c r="LCQ619" s="17">
        <v>44925</v>
      </c>
      <c r="LCR619" s="5" t="s">
        <v>3728</v>
      </c>
      <c r="LCS619" s="17">
        <v>44925</v>
      </c>
      <c r="LCT619" s="5" t="s">
        <v>3728</v>
      </c>
      <c r="LCU619" s="17">
        <v>44925</v>
      </c>
      <c r="LCV619" s="5" t="s">
        <v>3728</v>
      </c>
      <c r="LCW619" s="17">
        <v>44925</v>
      </c>
      <c r="LCX619" s="5" t="s">
        <v>3728</v>
      </c>
      <c r="LCY619" s="17">
        <v>44925</v>
      </c>
      <c r="LCZ619" s="5" t="s">
        <v>3728</v>
      </c>
      <c r="LDA619" s="17">
        <v>44925</v>
      </c>
      <c r="LDB619" s="5" t="s">
        <v>3728</v>
      </c>
      <c r="LDC619" s="17">
        <v>44925</v>
      </c>
      <c r="LDD619" s="5" t="s">
        <v>3728</v>
      </c>
      <c r="LDE619" s="17">
        <v>44925</v>
      </c>
      <c r="LDF619" s="5" t="s">
        <v>3728</v>
      </c>
      <c r="LDG619" s="17">
        <v>44925</v>
      </c>
      <c r="LDH619" s="5" t="s">
        <v>3728</v>
      </c>
      <c r="LDI619" s="17">
        <v>44925</v>
      </c>
      <c r="LDJ619" s="5" t="s">
        <v>3728</v>
      </c>
      <c r="LDK619" s="17">
        <v>44925</v>
      </c>
      <c r="LDL619" s="5" t="s">
        <v>3728</v>
      </c>
      <c r="LDM619" s="17">
        <v>44925</v>
      </c>
      <c r="LDN619" s="5" t="s">
        <v>3728</v>
      </c>
      <c r="LDO619" s="17">
        <v>44925</v>
      </c>
      <c r="LDP619" s="5" t="s">
        <v>3728</v>
      </c>
      <c r="LDQ619" s="17">
        <v>44925</v>
      </c>
      <c r="LDR619" s="5" t="s">
        <v>3728</v>
      </c>
      <c r="LDS619" s="17">
        <v>44925</v>
      </c>
      <c r="LDT619" s="5" t="s">
        <v>3728</v>
      </c>
      <c r="LDU619" s="17">
        <v>44925</v>
      </c>
      <c r="LDV619" s="5" t="s">
        <v>3728</v>
      </c>
      <c r="LDW619" s="17">
        <v>44925</v>
      </c>
      <c r="LDX619" s="5" t="s">
        <v>3728</v>
      </c>
      <c r="LDY619" s="17">
        <v>44925</v>
      </c>
      <c r="LDZ619" s="5" t="s">
        <v>3728</v>
      </c>
      <c r="LEA619" s="17">
        <v>44925</v>
      </c>
      <c r="LEB619" s="5" t="s">
        <v>3728</v>
      </c>
      <c r="LEC619" s="17">
        <v>44925</v>
      </c>
      <c r="LED619" s="5" t="s">
        <v>3728</v>
      </c>
      <c r="LEE619" s="17">
        <v>44925</v>
      </c>
      <c r="LEF619" s="5" t="s">
        <v>3728</v>
      </c>
      <c r="LEG619" s="17">
        <v>44925</v>
      </c>
      <c r="LEH619" s="5" t="s">
        <v>3728</v>
      </c>
      <c r="LEI619" s="17">
        <v>44925</v>
      </c>
      <c r="LEJ619" s="5" t="s">
        <v>3728</v>
      </c>
      <c r="LEK619" s="17">
        <v>44925</v>
      </c>
      <c r="LEL619" s="5" t="s">
        <v>3728</v>
      </c>
      <c r="LEM619" s="17">
        <v>44925</v>
      </c>
      <c r="LEN619" s="5" t="s">
        <v>3728</v>
      </c>
      <c r="LEO619" s="17">
        <v>44925</v>
      </c>
      <c r="LEP619" s="5" t="s">
        <v>3728</v>
      </c>
      <c r="LEQ619" s="17">
        <v>44925</v>
      </c>
      <c r="LER619" s="5" t="s">
        <v>3728</v>
      </c>
      <c r="LES619" s="17">
        <v>44925</v>
      </c>
      <c r="LET619" s="5" t="s">
        <v>3728</v>
      </c>
      <c r="LEU619" s="17">
        <v>44925</v>
      </c>
      <c r="LEV619" s="5" t="s">
        <v>3728</v>
      </c>
      <c r="LEW619" s="17">
        <v>44925</v>
      </c>
      <c r="LEX619" s="5" t="s">
        <v>3728</v>
      </c>
      <c r="LEY619" s="17">
        <v>44925</v>
      </c>
      <c r="LEZ619" s="5" t="s">
        <v>3728</v>
      </c>
      <c r="LFA619" s="17">
        <v>44925</v>
      </c>
      <c r="LFB619" s="5" t="s">
        <v>3728</v>
      </c>
      <c r="LFC619" s="17">
        <v>44925</v>
      </c>
      <c r="LFD619" s="5" t="s">
        <v>3728</v>
      </c>
      <c r="LFE619" s="17">
        <v>44925</v>
      </c>
      <c r="LFF619" s="5" t="s">
        <v>3728</v>
      </c>
      <c r="LFG619" s="17">
        <v>44925</v>
      </c>
      <c r="LFH619" s="5" t="s">
        <v>3728</v>
      </c>
      <c r="LFI619" s="17">
        <v>44925</v>
      </c>
      <c r="LFJ619" s="5" t="s">
        <v>3728</v>
      </c>
      <c r="LFK619" s="17">
        <v>44925</v>
      </c>
      <c r="LFL619" s="5" t="s">
        <v>3728</v>
      </c>
      <c r="LFM619" s="17">
        <v>44925</v>
      </c>
      <c r="LFN619" s="5" t="s">
        <v>3728</v>
      </c>
      <c r="LFO619" s="17">
        <v>44925</v>
      </c>
      <c r="LFP619" s="5" t="s">
        <v>3728</v>
      </c>
      <c r="LFQ619" s="17">
        <v>44925</v>
      </c>
      <c r="LFR619" s="5" t="s">
        <v>3728</v>
      </c>
      <c r="LFS619" s="17">
        <v>44925</v>
      </c>
      <c r="LFT619" s="5" t="s">
        <v>3728</v>
      </c>
      <c r="LFU619" s="17">
        <v>44925</v>
      </c>
      <c r="LFV619" s="5" t="s">
        <v>3728</v>
      </c>
      <c r="LFW619" s="17">
        <v>44925</v>
      </c>
      <c r="LFX619" s="5" t="s">
        <v>3728</v>
      </c>
      <c r="LFY619" s="17">
        <v>44925</v>
      </c>
      <c r="LFZ619" s="5" t="s">
        <v>3728</v>
      </c>
      <c r="LGA619" s="17">
        <v>44925</v>
      </c>
      <c r="LGB619" s="5" t="s">
        <v>3728</v>
      </c>
      <c r="LGC619" s="17">
        <v>44925</v>
      </c>
      <c r="LGD619" s="5" t="s">
        <v>3728</v>
      </c>
      <c r="LGE619" s="17">
        <v>44925</v>
      </c>
      <c r="LGF619" s="5" t="s">
        <v>3728</v>
      </c>
      <c r="LGG619" s="17">
        <v>44925</v>
      </c>
      <c r="LGH619" s="5" t="s">
        <v>3728</v>
      </c>
      <c r="LGI619" s="17">
        <v>44925</v>
      </c>
      <c r="LGJ619" s="5" t="s">
        <v>3728</v>
      </c>
      <c r="LGK619" s="17">
        <v>44925</v>
      </c>
      <c r="LGL619" s="5" t="s">
        <v>3728</v>
      </c>
      <c r="LGM619" s="17">
        <v>44925</v>
      </c>
      <c r="LGN619" s="5" t="s">
        <v>3728</v>
      </c>
      <c r="LGO619" s="17">
        <v>44925</v>
      </c>
      <c r="LGP619" s="5" t="s">
        <v>3728</v>
      </c>
      <c r="LGQ619" s="17">
        <v>44925</v>
      </c>
      <c r="LGR619" s="5" t="s">
        <v>3728</v>
      </c>
      <c r="LGS619" s="17">
        <v>44925</v>
      </c>
      <c r="LGT619" s="5" t="s">
        <v>3728</v>
      </c>
      <c r="LGU619" s="17">
        <v>44925</v>
      </c>
      <c r="LGV619" s="5" t="s">
        <v>3728</v>
      </c>
      <c r="LGW619" s="17">
        <v>44925</v>
      </c>
      <c r="LGX619" s="5" t="s">
        <v>3728</v>
      </c>
      <c r="LGY619" s="17">
        <v>44925</v>
      </c>
      <c r="LGZ619" s="5" t="s">
        <v>3728</v>
      </c>
      <c r="LHA619" s="17">
        <v>44925</v>
      </c>
      <c r="LHB619" s="5" t="s">
        <v>3728</v>
      </c>
      <c r="LHC619" s="17">
        <v>44925</v>
      </c>
      <c r="LHD619" s="5" t="s">
        <v>3728</v>
      </c>
      <c r="LHE619" s="17">
        <v>44925</v>
      </c>
      <c r="LHF619" s="5" t="s">
        <v>3728</v>
      </c>
      <c r="LHG619" s="17">
        <v>44925</v>
      </c>
      <c r="LHH619" s="5" t="s">
        <v>3728</v>
      </c>
      <c r="LHI619" s="17">
        <v>44925</v>
      </c>
      <c r="LHJ619" s="5" t="s">
        <v>3728</v>
      </c>
      <c r="LHK619" s="17">
        <v>44925</v>
      </c>
      <c r="LHL619" s="5" t="s">
        <v>3728</v>
      </c>
      <c r="LHM619" s="17">
        <v>44925</v>
      </c>
      <c r="LHN619" s="5" t="s">
        <v>3728</v>
      </c>
      <c r="LHO619" s="17">
        <v>44925</v>
      </c>
      <c r="LHP619" s="5" t="s">
        <v>3728</v>
      </c>
      <c r="LHQ619" s="17">
        <v>44925</v>
      </c>
      <c r="LHR619" s="5" t="s">
        <v>3728</v>
      </c>
      <c r="LHS619" s="17">
        <v>44925</v>
      </c>
      <c r="LHT619" s="5" t="s">
        <v>3728</v>
      </c>
      <c r="LHU619" s="17">
        <v>44925</v>
      </c>
      <c r="LHV619" s="5" t="s">
        <v>3728</v>
      </c>
      <c r="LHW619" s="17">
        <v>44925</v>
      </c>
      <c r="LHX619" s="5" t="s">
        <v>3728</v>
      </c>
      <c r="LHY619" s="17">
        <v>44925</v>
      </c>
      <c r="LHZ619" s="5" t="s">
        <v>3728</v>
      </c>
      <c r="LIA619" s="17">
        <v>44925</v>
      </c>
      <c r="LIB619" s="5" t="s">
        <v>3728</v>
      </c>
      <c r="LIC619" s="17">
        <v>44925</v>
      </c>
      <c r="LID619" s="5" t="s">
        <v>3728</v>
      </c>
      <c r="LIE619" s="17">
        <v>44925</v>
      </c>
      <c r="LIF619" s="5" t="s">
        <v>3728</v>
      </c>
      <c r="LIG619" s="17">
        <v>44925</v>
      </c>
      <c r="LIH619" s="5" t="s">
        <v>3728</v>
      </c>
      <c r="LII619" s="17">
        <v>44925</v>
      </c>
      <c r="LIJ619" s="5" t="s">
        <v>3728</v>
      </c>
      <c r="LIK619" s="17">
        <v>44925</v>
      </c>
      <c r="LIL619" s="5" t="s">
        <v>3728</v>
      </c>
      <c r="LIM619" s="17">
        <v>44925</v>
      </c>
      <c r="LIN619" s="5" t="s">
        <v>3728</v>
      </c>
      <c r="LIO619" s="17">
        <v>44925</v>
      </c>
      <c r="LIP619" s="5" t="s">
        <v>3728</v>
      </c>
      <c r="LIQ619" s="17">
        <v>44925</v>
      </c>
      <c r="LIR619" s="5" t="s">
        <v>3728</v>
      </c>
      <c r="LIS619" s="17">
        <v>44925</v>
      </c>
      <c r="LIT619" s="5" t="s">
        <v>3728</v>
      </c>
      <c r="LIU619" s="17">
        <v>44925</v>
      </c>
      <c r="LIV619" s="5" t="s">
        <v>3728</v>
      </c>
      <c r="LIW619" s="17">
        <v>44925</v>
      </c>
      <c r="LIX619" s="5" t="s">
        <v>3728</v>
      </c>
      <c r="LIY619" s="17">
        <v>44925</v>
      </c>
      <c r="LIZ619" s="5" t="s">
        <v>3728</v>
      </c>
      <c r="LJA619" s="17">
        <v>44925</v>
      </c>
      <c r="LJB619" s="5" t="s">
        <v>3728</v>
      </c>
      <c r="LJC619" s="17">
        <v>44925</v>
      </c>
      <c r="LJD619" s="5" t="s">
        <v>3728</v>
      </c>
      <c r="LJE619" s="17">
        <v>44925</v>
      </c>
      <c r="LJF619" s="5" t="s">
        <v>3728</v>
      </c>
      <c r="LJG619" s="17">
        <v>44925</v>
      </c>
      <c r="LJH619" s="5" t="s">
        <v>3728</v>
      </c>
      <c r="LJI619" s="17">
        <v>44925</v>
      </c>
      <c r="LJJ619" s="5" t="s">
        <v>3728</v>
      </c>
      <c r="LJK619" s="17">
        <v>44925</v>
      </c>
      <c r="LJL619" s="5" t="s">
        <v>3728</v>
      </c>
      <c r="LJM619" s="17">
        <v>44925</v>
      </c>
      <c r="LJN619" s="5" t="s">
        <v>3728</v>
      </c>
      <c r="LJO619" s="17">
        <v>44925</v>
      </c>
      <c r="LJP619" s="5" t="s">
        <v>3728</v>
      </c>
      <c r="LJQ619" s="17">
        <v>44925</v>
      </c>
      <c r="LJR619" s="5" t="s">
        <v>3728</v>
      </c>
      <c r="LJS619" s="17">
        <v>44925</v>
      </c>
      <c r="LJT619" s="5" t="s">
        <v>3728</v>
      </c>
      <c r="LJU619" s="17">
        <v>44925</v>
      </c>
      <c r="LJV619" s="5" t="s">
        <v>3728</v>
      </c>
      <c r="LJW619" s="17">
        <v>44925</v>
      </c>
      <c r="LJX619" s="5" t="s">
        <v>3728</v>
      </c>
      <c r="LJY619" s="17">
        <v>44925</v>
      </c>
      <c r="LJZ619" s="5" t="s">
        <v>3728</v>
      </c>
      <c r="LKA619" s="17">
        <v>44925</v>
      </c>
      <c r="LKB619" s="5" t="s">
        <v>3728</v>
      </c>
      <c r="LKC619" s="17">
        <v>44925</v>
      </c>
      <c r="LKD619" s="5" t="s">
        <v>3728</v>
      </c>
      <c r="LKE619" s="17">
        <v>44925</v>
      </c>
      <c r="LKF619" s="5" t="s">
        <v>3728</v>
      </c>
      <c r="LKG619" s="17">
        <v>44925</v>
      </c>
      <c r="LKH619" s="5" t="s">
        <v>3728</v>
      </c>
      <c r="LKI619" s="17">
        <v>44925</v>
      </c>
      <c r="LKJ619" s="5" t="s">
        <v>3728</v>
      </c>
      <c r="LKK619" s="17">
        <v>44925</v>
      </c>
      <c r="LKL619" s="5" t="s">
        <v>3728</v>
      </c>
      <c r="LKM619" s="17">
        <v>44925</v>
      </c>
      <c r="LKN619" s="5" t="s">
        <v>3728</v>
      </c>
      <c r="LKO619" s="17">
        <v>44925</v>
      </c>
      <c r="LKP619" s="5" t="s">
        <v>3728</v>
      </c>
      <c r="LKQ619" s="17">
        <v>44925</v>
      </c>
      <c r="LKR619" s="5" t="s">
        <v>3728</v>
      </c>
      <c r="LKS619" s="17">
        <v>44925</v>
      </c>
      <c r="LKT619" s="5" t="s">
        <v>3728</v>
      </c>
      <c r="LKU619" s="17">
        <v>44925</v>
      </c>
      <c r="LKV619" s="5" t="s">
        <v>3728</v>
      </c>
      <c r="LKW619" s="17">
        <v>44925</v>
      </c>
      <c r="LKX619" s="5" t="s">
        <v>3728</v>
      </c>
      <c r="LKY619" s="17">
        <v>44925</v>
      </c>
      <c r="LKZ619" s="5" t="s">
        <v>3728</v>
      </c>
      <c r="LLA619" s="17">
        <v>44925</v>
      </c>
      <c r="LLB619" s="5" t="s">
        <v>3728</v>
      </c>
      <c r="LLC619" s="17">
        <v>44925</v>
      </c>
      <c r="LLD619" s="5" t="s">
        <v>3728</v>
      </c>
      <c r="LLE619" s="17">
        <v>44925</v>
      </c>
      <c r="LLF619" s="5" t="s">
        <v>3728</v>
      </c>
      <c r="LLG619" s="17">
        <v>44925</v>
      </c>
      <c r="LLH619" s="5" t="s">
        <v>3728</v>
      </c>
      <c r="LLI619" s="17">
        <v>44925</v>
      </c>
      <c r="LLJ619" s="5" t="s">
        <v>3728</v>
      </c>
      <c r="LLK619" s="17">
        <v>44925</v>
      </c>
      <c r="LLL619" s="5" t="s">
        <v>3728</v>
      </c>
      <c r="LLM619" s="17">
        <v>44925</v>
      </c>
      <c r="LLN619" s="5" t="s">
        <v>3728</v>
      </c>
      <c r="LLO619" s="17">
        <v>44925</v>
      </c>
      <c r="LLP619" s="5" t="s">
        <v>3728</v>
      </c>
      <c r="LLQ619" s="17">
        <v>44925</v>
      </c>
      <c r="LLR619" s="5" t="s">
        <v>3728</v>
      </c>
      <c r="LLS619" s="17">
        <v>44925</v>
      </c>
      <c r="LLT619" s="5" t="s">
        <v>3728</v>
      </c>
      <c r="LLU619" s="17">
        <v>44925</v>
      </c>
      <c r="LLV619" s="5" t="s">
        <v>3728</v>
      </c>
      <c r="LLW619" s="17">
        <v>44925</v>
      </c>
      <c r="LLX619" s="5" t="s">
        <v>3728</v>
      </c>
      <c r="LLY619" s="17">
        <v>44925</v>
      </c>
      <c r="LLZ619" s="5" t="s">
        <v>3728</v>
      </c>
      <c r="LMA619" s="17">
        <v>44925</v>
      </c>
      <c r="LMB619" s="5" t="s">
        <v>3728</v>
      </c>
      <c r="LMC619" s="17">
        <v>44925</v>
      </c>
      <c r="LMD619" s="5" t="s">
        <v>3728</v>
      </c>
      <c r="LME619" s="17">
        <v>44925</v>
      </c>
      <c r="LMF619" s="5" t="s">
        <v>3728</v>
      </c>
      <c r="LMG619" s="17">
        <v>44925</v>
      </c>
      <c r="LMH619" s="5" t="s">
        <v>3728</v>
      </c>
      <c r="LMI619" s="17">
        <v>44925</v>
      </c>
      <c r="LMJ619" s="5" t="s">
        <v>3728</v>
      </c>
      <c r="LMK619" s="17">
        <v>44925</v>
      </c>
      <c r="LML619" s="5" t="s">
        <v>3728</v>
      </c>
      <c r="LMM619" s="17">
        <v>44925</v>
      </c>
      <c r="LMN619" s="5" t="s">
        <v>3728</v>
      </c>
      <c r="LMO619" s="17">
        <v>44925</v>
      </c>
      <c r="LMP619" s="5" t="s">
        <v>3728</v>
      </c>
      <c r="LMQ619" s="17">
        <v>44925</v>
      </c>
      <c r="LMR619" s="5" t="s">
        <v>3728</v>
      </c>
      <c r="LMS619" s="17">
        <v>44925</v>
      </c>
      <c r="LMT619" s="5" t="s">
        <v>3728</v>
      </c>
      <c r="LMU619" s="17">
        <v>44925</v>
      </c>
      <c r="LMV619" s="5" t="s">
        <v>3728</v>
      </c>
      <c r="LMW619" s="17">
        <v>44925</v>
      </c>
      <c r="LMX619" s="5" t="s">
        <v>3728</v>
      </c>
      <c r="LMY619" s="17">
        <v>44925</v>
      </c>
      <c r="LMZ619" s="5" t="s">
        <v>3728</v>
      </c>
      <c r="LNA619" s="17">
        <v>44925</v>
      </c>
      <c r="LNB619" s="5" t="s">
        <v>3728</v>
      </c>
      <c r="LNC619" s="17">
        <v>44925</v>
      </c>
      <c r="LND619" s="5" t="s">
        <v>3728</v>
      </c>
      <c r="LNE619" s="17">
        <v>44925</v>
      </c>
      <c r="LNF619" s="5" t="s">
        <v>3728</v>
      </c>
      <c r="LNG619" s="17">
        <v>44925</v>
      </c>
      <c r="LNH619" s="5" t="s">
        <v>3728</v>
      </c>
      <c r="LNI619" s="17">
        <v>44925</v>
      </c>
      <c r="LNJ619" s="5" t="s">
        <v>3728</v>
      </c>
      <c r="LNK619" s="17">
        <v>44925</v>
      </c>
      <c r="LNL619" s="5" t="s">
        <v>3728</v>
      </c>
      <c r="LNM619" s="17">
        <v>44925</v>
      </c>
      <c r="LNN619" s="5" t="s">
        <v>3728</v>
      </c>
      <c r="LNO619" s="17">
        <v>44925</v>
      </c>
      <c r="LNP619" s="5" t="s">
        <v>3728</v>
      </c>
      <c r="LNQ619" s="17">
        <v>44925</v>
      </c>
      <c r="LNR619" s="5" t="s">
        <v>3728</v>
      </c>
      <c r="LNS619" s="17">
        <v>44925</v>
      </c>
      <c r="LNT619" s="5" t="s">
        <v>3728</v>
      </c>
      <c r="LNU619" s="17">
        <v>44925</v>
      </c>
      <c r="LNV619" s="5" t="s">
        <v>3728</v>
      </c>
      <c r="LNW619" s="17">
        <v>44925</v>
      </c>
      <c r="LNX619" s="5" t="s">
        <v>3728</v>
      </c>
      <c r="LNY619" s="17">
        <v>44925</v>
      </c>
      <c r="LNZ619" s="5" t="s">
        <v>3728</v>
      </c>
      <c r="LOA619" s="17">
        <v>44925</v>
      </c>
      <c r="LOB619" s="5" t="s">
        <v>3728</v>
      </c>
      <c r="LOC619" s="17">
        <v>44925</v>
      </c>
      <c r="LOD619" s="5" t="s">
        <v>3728</v>
      </c>
      <c r="LOE619" s="17">
        <v>44925</v>
      </c>
      <c r="LOF619" s="5" t="s">
        <v>3728</v>
      </c>
      <c r="LOG619" s="17">
        <v>44925</v>
      </c>
      <c r="LOH619" s="5" t="s">
        <v>3728</v>
      </c>
      <c r="LOI619" s="17">
        <v>44925</v>
      </c>
      <c r="LOJ619" s="5" t="s">
        <v>3728</v>
      </c>
      <c r="LOK619" s="17">
        <v>44925</v>
      </c>
      <c r="LOL619" s="5" t="s">
        <v>3728</v>
      </c>
      <c r="LOM619" s="17">
        <v>44925</v>
      </c>
      <c r="LON619" s="5" t="s">
        <v>3728</v>
      </c>
      <c r="LOO619" s="17">
        <v>44925</v>
      </c>
      <c r="LOP619" s="5" t="s">
        <v>3728</v>
      </c>
      <c r="LOQ619" s="17">
        <v>44925</v>
      </c>
      <c r="LOR619" s="5" t="s">
        <v>3728</v>
      </c>
      <c r="LOS619" s="17">
        <v>44925</v>
      </c>
      <c r="LOT619" s="5" t="s">
        <v>3728</v>
      </c>
      <c r="LOU619" s="17">
        <v>44925</v>
      </c>
      <c r="LOV619" s="5" t="s">
        <v>3728</v>
      </c>
      <c r="LOW619" s="17">
        <v>44925</v>
      </c>
      <c r="LOX619" s="5" t="s">
        <v>3728</v>
      </c>
      <c r="LOY619" s="17">
        <v>44925</v>
      </c>
      <c r="LOZ619" s="5" t="s">
        <v>3728</v>
      </c>
      <c r="LPA619" s="17">
        <v>44925</v>
      </c>
      <c r="LPB619" s="5" t="s">
        <v>3728</v>
      </c>
      <c r="LPC619" s="17">
        <v>44925</v>
      </c>
      <c r="LPD619" s="5" t="s">
        <v>3728</v>
      </c>
      <c r="LPE619" s="17">
        <v>44925</v>
      </c>
      <c r="LPF619" s="5" t="s">
        <v>3728</v>
      </c>
      <c r="LPG619" s="17">
        <v>44925</v>
      </c>
      <c r="LPH619" s="5" t="s">
        <v>3728</v>
      </c>
      <c r="LPI619" s="17">
        <v>44925</v>
      </c>
      <c r="LPJ619" s="5" t="s">
        <v>3728</v>
      </c>
      <c r="LPK619" s="17">
        <v>44925</v>
      </c>
      <c r="LPL619" s="5" t="s">
        <v>3728</v>
      </c>
      <c r="LPM619" s="17">
        <v>44925</v>
      </c>
      <c r="LPN619" s="5" t="s">
        <v>3728</v>
      </c>
      <c r="LPO619" s="17">
        <v>44925</v>
      </c>
      <c r="LPP619" s="5" t="s">
        <v>3728</v>
      </c>
      <c r="LPQ619" s="17">
        <v>44925</v>
      </c>
      <c r="LPR619" s="5" t="s">
        <v>3728</v>
      </c>
      <c r="LPS619" s="17">
        <v>44925</v>
      </c>
      <c r="LPT619" s="5" t="s">
        <v>3728</v>
      </c>
      <c r="LPU619" s="17">
        <v>44925</v>
      </c>
      <c r="LPV619" s="5" t="s">
        <v>3728</v>
      </c>
      <c r="LPW619" s="17">
        <v>44925</v>
      </c>
      <c r="LPX619" s="5" t="s">
        <v>3728</v>
      </c>
      <c r="LPY619" s="17">
        <v>44925</v>
      </c>
      <c r="LPZ619" s="5" t="s">
        <v>3728</v>
      </c>
      <c r="LQA619" s="17">
        <v>44925</v>
      </c>
      <c r="LQB619" s="5" t="s">
        <v>3728</v>
      </c>
      <c r="LQC619" s="17">
        <v>44925</v>
      </c>
      <c r="LQD619" s="5" t="s">
        <v>3728</v>
      </c>
      <c r="LQE619" s="17">
        <v>44925</v>
      </c>
      <c r="LQF619" s="5" t="s">
        <v>3728</v>
      </c>
      <c r="LQG619" s="17">
        <v>44925</v>
      </c>
      <c r="LQH619" s="5" t="s">
        <v>3728</v>
      </c>
      <c r="LQI619" s="17">
        <v>44925</v>
      </c>
      <c r="LQJ619" s="5" t="s">
        <v>3728</v>
      </c>
      <c r="LQK619" s="17">
        <v>44925</v>
      </c>
      <c r="LQL619" s="5" t="s">
        <v>3728</v>
      </c>
      <c r="LQM619" s="17">
        <v>44925</v>
      </c>
      <c r="LQN619" s="5" t="s">
        <v>3728</v>
      </c>
      <c r="LQO619" s="17">
        <v>44925</v>
      </c>
      <c r="LQP619" s="5" t="s">
        <v>3728</v>
      </c>
      <c r="LQQ619" s="17">
        <v>44925</v>
      </c>
      <c r="LQR619" s="5" t="s">
        <v>3728</v>
      </c>
      <c r="LQS619" s="17">
        <v>44925</v>
      </c>
      <c r="LQT619" s="5" t="s">
        <v>3728</v>
      </c>
      <c r="LQU619" s="17">
        <v>44925</v>
      </c>
      <c r="LQV619" s="5" t="s">
        <v>3728</v>
      </c>
      <c r="LQW619" s="17">
        <v>44925</v>
      </c>
      <c r="LQX619" s="5" t="s">
        <v>3728</v>
      </c>
      <c r="LQY619" s="17">
        <v>44925</v>
      </c>
      <c r="LQZ619" s="5" t="s">
        <v>3728</v>
      </c>
      <c r="LRA619" s="17">
        <v>44925</v>
      </c>
      <c r="LRB619" s="5" t="s">
        <v>3728</v>
      </c>
      <c r="LRC619" s="17">
        <v>44925</v>
      </c>
      <c r="LRD619" s="5" t="s">
        <v>3728</v>
      </c>
      <c r="LRE619" s="17">
        <v>44925</v>
      </c>
      <c r="LRF619" s="5" t="s">
        <v>3728</v>
      </c>
      <c r="LRG619" s="17">
        <v>44925</v>
      </c>
      <c r="LRH619" s="5" t="s">
        <v>3728</v>
      </c>
      <c r="LRI619" s="17">
        <v>44925</v>
      </c>
      <c r="LRJ619" s="5" t="s">
        <v>3728</v>
      </c>
      <c r="LRK619" s="17">
        <v>44925</v>
      </c>
      <c r="LRL619" s="5" t="s">
        <v>3728</v>
      </c>
      <c r="LRM619" s="17">
        <v>44925</v>
      </c>
      <c r="LRN619" s="5" t="s">
        <v>3728</v>
      </c>
      <c r="LRO619" s="17">
        <v>44925</v>
      </c>
      <c r="LRP619" s="5" t="s">
        <v>3728</v>
      </c>
      <c r="LRQ619" s="17">
        <v>44925</v>
      </c>
      <c r="LRR619" s="5" t="s">
        <v>3728</v>
      </c>
      <c r="LRS619" s="17">
        <v>44925</v>
      </c>
      <c r="LRT619" s="5" t="s">
        <v>3728</v>
      </c>
      <c r="LRU619" s="17">
        <v>44925</v>
      </c>
      <c r="LRV619" s="5" t="s">
        <v>3728</v>
      </c>
      <c r="LRW619" s="17">
        <v>44925</v>
      </c>
      <c r="LRX619" s="5" t="s">
        <v>3728</v>
      </c>
      <c r="LRY619" s="17">
        <v>44925</v>
      </c>
      <c r="LRZ619" s="5" t="s">
        <v>3728</v>
      </c>
      <c r="LSA619" s="17">
        <v>44925</v>
      </c>
      <c r="LSB619" s="5" t="s">
        <v>3728</v>
      </c>
      <c r="LSC619" s="17">
        <v>44925</v>
      </c>
      <c r="LSD619" s="5" t="s">
        <v>3728</v>
      </c>
      <c r="LSE619" s="17">
        <v>44925</v>
      </c>
      <c r="LSF619" s="5" t="s">
        <v>3728</v>
      </c>
      <c r="LSG619" s="17">
        <v>44925</v>
      </c>
      <c r="LSH619" s="5" t="s">
        <v>3728</v>
      </c>
      <c r="LSI619" s="17">
        <v>44925</v>
      </c>
      <c r="LSJ619" s="5" t="s">
        <v>3728</v>
      </c>
      <c r="LSK619" s="17">
        <v>44925</v>
      </c>
      <c r="LSL619" s="5" t="s">
        <v>3728</v>
      </c>
      <c r="LSM619" s="17">
        <v>44925</v>
      </c>
      <c r="LSN619" s="5" t="s">
        <v>3728</v>
      </c>
      <c r="LSO619" s="17">
        <v>44925</v>
      </c>
      <c r="LSP619" s="5" t="s">
        <v>3728</v>
      </c>
      <c r="LSQ619" s="17">
        <v>44925</v>
      </c>
      <c r="LSR619" s="5" t="s">
        <v>3728</v>
      </c>
      <c r="LSS619" s="17">
        <v>44925</v>
      </c>
      <c r="LST619" s="5" t="s">
        <v>3728</v>
      </c>
      <c r="LSU619" s="17">
        <v>44925</v>
      </c>
      <c r="LSV619" s="5" t="s">
        <v>3728</v>
      </c>
      <c r="LSW619" s="17">
        <v>44925</v>
      </c>
      <c r="LSX619" s="5" t="s">
        <v>3728</v>
      </c>
      <c r="LSY619" s="17">
        <v>44925</v>
      </c>
      <c r="LSZ619" s="5" t="s">
        <v>3728</v>
      </c>
      <c r="LTA619" s="17">
        <v>44925</v>
      </c>
      <c r="LTB619" s="5" t="s">
        <v>3728</v>
      </c>
      <c r="LTC619" s="17">
        <v>44925</v>
      </c>
      <c r="LTD619" s="5" t="s">
        <v>3728</v>
      </c>
      <c r="LTE619" s="17">
        <v>44925</v>
      </c>
      <c r="LTF619" s="5" t="s">
        <v>3728</v>
      </c>
      <c r="LTG619" s="17">
        <v>44925</v>
      </c>
      <c r="LTH619" s="5" t="s">
        <v>3728</v>
      </c>
      <c r="LTI619" s="17">
        <v>44925</v>
      </c>
      <c r="LTJ619" s="5" t="s">
        <v>3728</v>
      </c>
      <c r="LTK619" s="17">
        <v>44925</v>
      </c>
      <c r="LTL619" s="5" t="s">
        <v>3728</v>
      </c>
      <c r="LTM619" s="17">
        <v>44925</v>
      </c>
      <c r="LTN619" s="5" t="s">
        <v>3728</v>
      </c>
      <c r="LTO619" s="17">
        <v>44925</v>
      </c>
      <c r="LTP619" s="5" t="s">
        <v>3728</v>
      </c>
      <c r="LTQ619" s="17">
        <v>44925</v>
      </c>
      <c r="LTR619" s="5" t="s">
        <v>3728</v>
      </c>
      <c r="LTS619" s="17">
        <v>44925</v>
      </c>
      <c r="LTT619" s="5" t="s">
        <v>3728</v>
      </c>
      <c r="LTU619" s="17">
        <v>44925</v>
      </c>
      <c r="LTV619" s="5" t="s">
        <v>3728</v>
      </c>
      <c r="LTW619" s="17">
        <v>44925</v>
      </c>
      <c r="LTX619" s="5" t="s">
        <v>3728</v>
      </c>
      <c r="LTY619" s="17">
        <v>44925</v>
      </c>
      <c r="LTZ619" s="5" t="s">
        <v>3728</v>
      </c>
      <c r="LUA619" s="17">
        <v>44925</v>
      </c>
      <c r="LUB619" s="5" t="s">
        <v>3728</v>
      </c>
      <c r="LUC619" s="17">
        <v>44925</v>
      </c>
      <c r="LUD619" s="5" t="s">
        <v>3728</v>
      </c>
      <c r="LUE619" s="17">
        <v>44925</v>
      </c>
      <c r="LUF619" s="5" t="s">
        <v>3728</v>
      </c>
      <c r="LUG619" s="17">
        <v>44925</v>
      </c>
      <c r="LUH619" s="5" t="s">
        <v>3728</v>
      </c>
      <c r="LUI619" s="17">
        <v>44925</v>
      </c>
      <c r="LUJ619" s="5" t="s">
        <v>3728</v>
      </c>
      <c r="LUK619" s="17">
        <v>44925</v>
      </c>
      <c r="LUL619" s="5" t="s">
        <v>3728</v>
      </c>
      <c r="LUM619" s="17">
        <v>44925</v>
      </c>
      <c r="LUN619" s="5" t="s">
        <v>3728</v>
      </c>
      <c r="LUO619" s="17">
        <v>44925</v>
      </c>
      <c r="LUP619" s="5" t="s">
        <v>3728</v>
      </c>
      <c r="LUQ619" s="17">
        <v>44925</v>
      </c>
      <c r="LUR619" s="5" t="s">
        <v>3728</v>
      </c>
      <c r="LUS619" s="17">
        <v>44925</v>
      </c>
      <c r="LUT619" s="5" t="s">
        <v>3728</v>
      </c>
      <c r="LUU619" s="17">
        <v>44925</v>
      </c>
      <c r="LUV619" s="5" t="s">
        <v>3728</v>
      </c>
      <c r="LUW619" s="17">
        <v>44925</v>
      </c>
      <c r="LUX619" s="5" t="s">
        <v>3728</v>
      </c>
      <c r="LUY619" s="17">
        <v>44925</v>
      </c>
      <c r="LUZ619" s="5" t="s">
        <v>3728</v>
      </c>
      <c r="LVA619" s="17">
        <v>44925</v>
      </c>
      <c r="LVB619" s="5" t="s">
        <v>3728</v>
      </c>
      <c r="LVC619" s="17">
        <v>44925</v>
      </c>
      <c r="LVD619" s="5" t="s">
        <v>3728</v>
      </c>
      <c r="LVE619" s="17">
        <v>44925</v>
      </c>
      <c r="LVF619" s="5" t="s">
        <v>3728</v>
      </c>
      <c r="LVG619" s="17">
        <v>44925</v>
      </c>
      <c r="LVH619" s="5" t="s">
        <v>3728</v>
      </c>
      <c r="LVI619" s="17">
        <v>44925</v>
      </c>
      <c r="LVJ619" s="5" t="s">
        <v>3728</v>
      </c>
      <c r="LVK619" s="17">
        <v>44925</v>
      </c>
      <c r="LVL619" s="5" t="s">
        <v>3728</v>
      </c>
      <c r="LVM619" s="17">
        <v>44925</v>
      </c>
      <c r="LVN619" s="5" t="s">
        <v>3728</v>
      </c>
      <c r="LVO619" s="17">
        <v>44925</v>
      </c>
      <c r="LVP619" s="5" t="s">
        <v>3728</v>
      </c>
      <c r="LVQ619" s="17">
        <v>44925</v>
      </c>
      <c r="LVR619" s="5" t="s">
        <v>3728</v>
      </c>
      <c r="LVS619" s="17">
        <v>44925</v>
      </c>
      <c r="LVT619" s="5" t="s">
        <v>3728</v>
      </c>
      <c r="LVU619" s="17">
        <v>44925</v>
      </c>
      <c r="LVV619" s="5" t="s">
        <v>3728</v>
      </c>
      <c r="LVW619" s="17">
        <v>44925</v>
      </c>
      <c r="LVX619" s="5" t="s">
        <v>3728</v>
      </c>
      <c r="LVY619" s="17">
        <v>44925</v>
      </c>
      <c r="LVZ619" s="5" t="s">
        <v>3728</v>
      </c>
      <c r="LWA619" s="17">
        <v>44925</v>
      </c>
      <c r="LWB619" s="5" t="s">
        <v>3728</v>
      </c>
      <c r="LWC619" s="17">
        <v>44925</v>
      </c>
      <c r="LWD619" s="5" t="s">
        <v>3728</v>
      </c>
      <c r="LWE619" s="17">
        <v>44925</v>
      </c>
      <c r="LWF619" s="5" t="s">
        <v>3728</v>
      </c>
      <c r="LWG619" s="17">
        <v>44925</v>
      </c>
      <c r="LWH619" s="5" t="s">
        <v>3728</v>
      </c>
      <c r="LWI619" s="17">
        <v>44925</v>
      </c>
      <c r="LWJ619" s="5" t="s">
        <v>3728</v>
      </c>
      <c r="LWK619" s="17">
        <v>44925</v>
      </c>
      <c r="LWL619" s="5" t="s">
        <v>3728</v>
      </c>
      <c r="LWM619" s="17">
        <v>44925</v>
      </c>
      <c r="LWN619" s="5" t="s">
        <v>3728</v>
      </c>
      <c r="LWO619" s="17">
        <v>44925</v>
      </c>
      <c r="LWP619" s="5" t="s">
        <v>3728</v>
      </c>
      <c r="LWQ619" s="17">
        <v>44925</v>
      </c>
      <c r="LWR619" s="5" t="s">
        <v>3728</v>
      </c>
      <c r="LWS619" s="17">
        <v>44925</v>
      </c>
      <c r="LWT619" s="5" t="s">
        <v>3728</v>
      </c>
      <c r="LWU619" s="17">
        <v>44925</v>
      </c>
      <c r="LWV619" s="5" t="s">
        <v>3728</v>
      </c>
      <c r="LWW619" s="17">
        <v>44925</v>
      </c>
      <c r="LWX619" s="5" t="s">
        <v>3728</v>
      </c>
      <c r="LWY619" s="17">
        <v>44925</v>
      </c>
      <c r="LWZ619" s="5" t="s">
        <v>3728</v>
      </c>
      <c r="LXA619" s="17">
        <v>44925</v>
      </c>
      <c r="LXB619" s="5" t="s">
        <v>3728</v>
      </c>
      <c r="LXC619" s="17">
        <v>44925</v>
      </c>
      <c r="LXD619" s="5" t="s">
        <v>3728</v>
      </c>
      <c r="LXE619" s="17">
        <v>44925</v>
      </c>
      <c r="LXF619" s="5" t="s">
        <v>3728</v>
      </c>
      <c r="LXG619" s="17">
        <v>44925</v>
      </c>
      <c r="LXH619" s="5" t="s">
        <v>3728</v>
      </c>
      <c r="LXI619" s="17">
        <v>44925</v>
      </c>
      <c r="LXJ619" s="5" t="s">
        <v>3728</v>
      </c>
      <c r="LXK619" s="17">
        <v>44925</v>
      </c>
      <c r="LXL619" s="5" t="s">
        <v>3728</v>
      </c>
      <c r="LXM619" s="17">
        <v>44925</v>
      </c>
      <c r="LXN619" s="5" t="s">
        <v>3728</v>
      </c>
      <c r="LXO619" s="17">
        <v>44925</v>
      </c>
      <c r="LXP619" s="5" t="s">
        <v>3728</v>
      </c>
      <c r="LXQ619" s="17">
        <v>44925</v>
      </c>
      <c r="LXR619" s="5" t="s">
        <v>3728</v>
      </c>
      <c r="LXS619" s="17">
        <v>44925</v>
      </c>
      <c r="LXT619" s="5" t="s">
        <v>3728</v>
      </c>
      <c r="LXU619" s="17">
        <v>44925</v>
      </c>
      <c r="LXV619" s="5" t="s">
        <v>3728</v>
      </c>
      <c r="LXW619" s="17">
        <v>44925</v>
      </c>
      <c r="LXX619" s="5" t="s">
        <v>3728</v>
      </c>
      <c r="LXY619" s="17">
        <v>44925</v>
      </c>
      <c r="LXZ619" s="5" t="s">
        <v>3728</v>
      </c>
      <c r="LYA619" s="17">
        <v>44925</v>
      </c>
      <c r="LYB619" s="5" t="s">
        <v>3728</v>
      </c>
      <c r="LYC619" s="17">
        <v>44925</v>
      </c>
      <c r="LYD619" s="5" t="s">
        <v>3728</v>
      </c>
      <c r="LYE619" s="17">
        <v>44925</v>
      </c>
      <c r="LYF619" s="5" t="s">
        <v>3728</v>
      </c>
      <c r="LYG619" s="17">
        <v>44925</v>
      </c>
      <c r="LYH619" s="5" t="s">
        <v>3728</v>
      </c>
      <c r="LYI619" s="17">
        <v>44925</v>
      </c>
      <c r="LYJ619" s="5" t="s">
        <v>3728</v>
      </c>
      <c r="LYK619" s="17">
        <v>44925</v>
      </c>
      <c r="LYL619" s="5" t="s">
        <v>3728</v>
      </c>
      <c r="LYM619" s="17">
        <v>44925</v>
      </c>
      <c r="LYN619" s="5" t="s">
        <v>3728</v>
      </c>
      <c r="LYO619" s="17">
        <v>44925</v>
      </c>
      <c r="LYP619" s="5" t="s">
        <v>3728</v>
      </c>
      <c r="LYQ619" s="17">
        <v>44925</v>
      </c>
      <c r="LYR619" s="5" t="s">
        <v>3728</v>
      </c>
      <c r="LYS619" s="17">
        <v>44925</v>
      </c>
      <c r="LYT619" s="5" t="s">
        <v>3728</v>
      </c>
      <c r="LYU619" s="17">
        <v>44925</v>
      </c>
      <c r="LYV619" s="5" t="s">
        <v>3728</v>
      </c>
      <c r="LYW619" s="17">
        <v>44925</v>
      </c>
      <c r="LYX619" s="5" t="s">
        <v>3728</v>
      </c>
      <c r="LYY619" s="17">
        <v>44925</v>
      </c>
      <c r="LYZ619" s="5" t="s">
        <v>3728</v>
      </c>
      <c r="LZA619" s="17">
        <v>44925</v>
      </c>
      <c r="LZB619" s="5" t="s">
        <v>3728</v>
      </c>
      <c r="LZC619" s="17">
        <v>44925</v>
      </c>
      <c r="LZD619" s="5" t="s">
        <v>3728</v>
      </c>
      <c r="LZE619" s="17">
        <v>44925</v>
      </c>
      <c r="LZF619" s="5" t="s">
        <v>3728</v>
      </c>
      <c r="LZG619" s="17">
        <v>44925</v>
      </c>
      <c r="LZH619" s="5" t="s">
        <v>3728</v>
      </c>
      <c r="LZI619" s="17">
        <v>44925</v>
      </c>
      <c r="LZJ619" s="5" t="s">
        <v>3728</v>
      </c>
      <c r="LZK619" s="17">
        <v>44925</v>
      </c>
      <c r="LZL619" s="5" t="s">
        <v>3728</v>
      </c>
      <c r="LZM619" s="17">
        <v>44925</v>
      </c>
      <c r="LZN619" s="5" t="s">
        <v>3728</v>
      </c>
      <c r="LZO619" s="17">
        <v>44925</v>
      </c>
      <c r="LZP619" s="5" t="s">
        <v>3728</v>
      </c>
      <c r="LZQ619" s="17">
        <v>44925</v>
      </c>
      <c r="LZR619" s="5" t="s">
        <v>3728</v>
      </c>
      <c r="LZS619" s="17">
        <v>44925</v>
      </c>
      <c r="LZT619" s="5" t="s">
        <v>3728</v>
      </c>
      <c r="LZU619" s="17">
        <v>44925</v>
      </c>
      <c r="LZV619" s="5" t="s">
        <v>3728</v>
      </c>
      <c r="LZW619" s="17">
        <v>44925</v>
      </c>
      <c r="LZX619" s="5" t="s">
        <v>3728</v>
      </c>
      <c r="LZY619" s="17">
        <v>44925</v>
      </c>
      <c r="LZZ619" s="5" t="s">
        <v>3728</v>
      </c>
      <c r="MAA619" s="17">
        <v>44925</v>
      </c>
      <c r="MAB619" s="5" t="s">
        <v>3728</v>
      </c>
      <c r="MAC619" s="17">
        <v>44925</v>
      </c>
      <c r="MAD619" s="5" t="s">
        <v>3728</v>
      </c>
      <c r="MAE619" s="17">
        <v>44925</v>
      </c>
      <c r="MAF619" s="5" t="s">
        <v>3728</v>
      </c>
      <c r="MAG619" s="17">
        <v>44925</v>
      </c>
      <c r="MAH619" s="5" t="s">
        <v>3728</v>
      </c>
      <c r="MAI619" s="17">
        <v>44925</v>
      </c>
      <c r="MAJ619" s="5" t="s">
        <v>3728</v>
      </c>
      <c r="MAK619" s="17">
        <v>44925</v>
      </c>
      <c r="MAL619" s="5" t="s">
        <v>3728</v>
      </c>
      <c r="MAM619" s="17">
        <v>44925</v>
      </c>
      <c r="MAN619" s="5" t="s">
        <v>3728</v>
      </c>
      <c r="MAO619" s="17">
        <v>44925</v>
      </c>
      <c r="MAP619" s="5" t="s">
        <v>3728</v>
      </c>
      <c r="MAQ619" s="17">
        <v>44925</v>
      </c>
      <c r="MAR619" s="5" t="s">
        <v>3728</v>
      </c>
      <c r="MAS619" s="17">
        <v>44925</v>
      </c>
      <c r="MAT619" s="5" t="s">
        <v>3728</v>
      </c>
      <c r="MAU619" s="17">
        <v>44925</v>
      </c>
      <c r="MAV619" s="5" t="s">
        <v>3728</v>
      </c>
      <c r="MAW619" s="17">
        <v>44925</v>
      </c>
      <c r="MAX619" s="5" t="s">
        <v>3728</v>
      </c>
      <c r="MAY619" s="17">
        <v>44925</v>
      </c>
      <c r="MAZ619" s="5" t="s">
        <v>3728</v>
      </c>
      <c r="MBA619" s="17">
        <v>44925</v>
      </c>
      <c r="MBB619" s="5" t="s">
        <v>3728</v>
      </c>
      <c r="MBC619" s="17">
        <v>44925</v>
      </c>
      <c r="MBD619" s="5" t="s">
        <v>3728</v>
      </c>
      <c r="MBE619" s="17">
        <v>44925</v>
      </c>
      <c r="MBF619" s="5" t="s">
        <v>3728</v>
      </c>
      <c r="MBG619" s="17">
        <v>44925</v>
      </c>
      <c r="MBH619" s="5" t="s">
        <v>3728</v>
      </c>
      <c r="MBI619" s="17">
        <v>44925</v>
      </c>
      <c r="MBJ619" s="5" t="s">
        <v>3728</v>
      </c>
      <c r="MBK619" s="17">
        <v>44925</v>
      </c>
      <c r="MBL619" s="5" t="s">
        <v>3728</v>
      </c>
      <c r="MBM619" s="17">
        <v>44925</v>
      </c>
      <c r="MBN619" s="5" t="s">
        <v>3728</v>
      </c>
      <c r="MBO619" s="17">
        <v>44925</v>
      </c>
      <c r="MBP619" s="5" t="s">
        <v>3728</v>
      </c>
      <c r="MBQ619" s="17">
        <v>44925</v>
      </c>
      <c r="MBR619" s="5" t="s">
        <v>3728</v>
      </c>
      <c r="MBS619" s="17">
        <v>44925</v>
      </c>
      <c r="MBT619" s="5" t="s">
        <v>3728</v>
      </c>
      <c r="MBU619" s="17">
        <v>44925</v>
      </c>
      <c r="MBV619" s="5" t="s">
        <v>3728</v>
      </c>
      <c r="MBW619" s="17">
        <v>44925</v>
      </c>
      <c r="MBX619" s="5" t="s">
        <v>3728</v>
      </c>
      <c r="MBY619" s="17">
        <v>44925</v>
      </c>
      <c r="MBZ619" s="5" t="s">
        <v>3728</v>
      </c>
      <c r="MCA619" s="17">
        <v>44925</v>
      </c>
      <c r="MCB619" s="5" t="s">
        <v>3728</v>
      </c>
      <c r="MCC619" s="17">
        <v>44925</v>
      </c>
      <c r="MCD619" s="5" t="s">
        <v>3728</v>
      </c>
      <c r="MCE619" s="17">
        <v>44925</v>
      </c>
      <c r="MCF619" s="5" t="s">
        <v>3728</v>
      </c>
      <c r="MCG619" s="17">
        <v>44925</v>
      </c>
      <c r="MCH619" s="5" t="s">
        <v>3728</v>
      </c>
      <c r="MCI619" s="17">
        <v>44925</v>
      </c>
      <c r="MCJ619" s="5" t="s">
        <v>3728</v>
      </c>
      <c r="MCK619" s="17">
        <v>44925</v>
      </c>
      <c r="MCL619" s="5" t="s">
        <v>3728</v>
      </c>
      <c r="MCM619" s="17">
        <v>44925</v>
      </c>
      <c r="MCN619" s="5" t="s">
        <v>3728</v>
      </c>
      <c r="MCO619" s="17">
        <v>44925</v>
      </c>
      <c r="MCP619" s="5" t="s">
        <v>3728</v>
      </c>
      <c r="MCQ619" s="17">
        <v>44925</v>
      </c>
      <c r="MCR619" s="5" t="s">
        <v>3728</v>
      </c>
      <c r="MCS619" s="17">
        <v>44925</v>
      </c>
      <c r="MCT619" s="5" t="s">
        <v>3728</v>
      </c>
      <c r="MCU619" s="17">
        <v>44925</v>
      </c>
      <c r="MCV619" s="5" t="s">
        <v>3728</v>
      </c>
      <c r="MCW619" s="17">
        <v>44925</v>
      </c>
      <c r="MCX619" s="5" t="s">
        <v>3728</v>
      </c>
      <c r="MCY619" s="17">
        <v>44925</v>
      </c>
      <c r="MCZ619" s="5" t="s">
        <v>3728</v>
      </c>
      <c r="MDA619" s="17">
        <v>44925</v>
      </c>
      <c r="MDB619" s="5" t="s">
        <v>3728</v>
      </c>
      <c r="MDC619" s="17">
        <v>44925</v>
      </c>
      <c r="MDD619" s="5" t="s">
        <v>3728</v>
      </c>
      <c r="MDE619" s="17">
        <v>44925</v>
      </c>
      <c r="MDF619" s="5" t="s">
        <v>3728</v>
      </c>
      <c r="MDG619" s="17">
        <v>44925</v>
      </c>
      <c r="MDH619" s="5" t="s">
        <v>3728</v>
      </c>
      <c r="MDI619" s="17">
        <v>44925</v>
      </c>
      <c r="MDJ619" s="5" t="s">
        <v>3728</v>
      </c>
      <c r="MDK619" s="17">
        <v>44925</v>
      </c>
      <c r="MDL619" s="5" t="s">
        <v>3728</v>
      </c>
      <c r="MDM619" s="17">
        <v>44925</v>
      </c>
      <c r="MDN619" s="5" t="s">
        <v>3728</v>
      </c>
      <c r="MDO619" s="17">
        <v>44925</v>
      </c>
      <c r="MDP619" s="5" t="s">
        <v>3728</v>
      </c>
      <c r="MDQ619" s="17">
        <v>44925</v>
      </c>
      <c r="MDR619" s="5" t="s">
        <v>3728</v>
      </c>
      <c r="MDS619" s="17">
        <v>44925</v>
      </c>
      <c r="MDT619" s="5" t="s">
        <v>3728</v>
      </c>
      <c r="MDU619" s="17">
        <v>44925</v>
      </c>
      <c r="MDV619" s="5" t="s">
        <v>3728</v>
      </c>
      <c r="MDW619" s="17">
        <v>44925</v>
      </c>
      <c r="MDX619" s="5" t="s">
        <v>3728</v>
      </c>
      <c r="MDY619" s="17">
        <v>44925</v>
      </c>
      <c r="MDZ619" s="5" t="s">
        <v>3728</v>
      </c>
      <c r="MEA619" s="17">
        <v>44925</v>
      </c>
      <c r="MEB619" s="5" t="s">
        <v>3728</v>
      </c>
      <c r="MEC619" s="17">
        <v>44925</v>
      </c>
      <c r="MED619" s="5" t="s">
        <v>3728</v>
      </c>
      <c r="MEE619" s="17">
        <v>44925</v>
      </c>
      <c r="MEF619" s="5" t="s">
        <v>3728</v>
      </c>
      <c r="MEG619" s="17">
        <v>44925</v>
      </c>
      <c r="MEH619" s="5" t="s">
        <v>3728</v>
      </c>
      <c r="MEI619" s="17">
        <v>44925</v>
      </c>
      <c r="MEJ619" s="5" t="s">
        <v>3728</v>
      </c>
      <c r="MEK619" s="17">
        <v>44925</v>
      </c>
      <c r="MEL619" s="5" t="s">
        <v>3728</v>
      </c>
      <c r="MEM619" s="17">
        <v>44925</v>
      </c>
      <c r="MEN619" s="5" t="s">
        <v>3728</v>
      </c>
      <c r="MEO619" s="17">
        <v>44925</v>
      </c>
      <c r="MEP619" s="5" t="s">
        <v>3728</v>
      </c>
      <c r="MEQ619" s="17">
        <v>44925</v>
      </c>
      <c r="MER619" s="5" t="s">
        <v>3728</v>
      </c>
      <c r="MES619" s="17">
        <v>44925</v>
      </c>
      <c r="MET619" s="5" t="s">
        <v>3728</v>
      </c>
      <c r="MEU619" s="17">
        <v>44925</v>
      </c>
      <c r="MEV619" s="5" t="s">
        <v>3728</v>
      </c>
      <c r="MEW619" s="17">
        <v>44925</v>
      </c>
      <c r="MEX619" s="5" t="s">
        <v>3728</v>
      </c>
      <c r="MEY619" s="17">
        <v>44925</v>
      </c>
      <c r="MEZ619" s="5" t="s">
        <v>3728</v>
      </c>
      <c r="MFA619" s="17">
        <v>44925</v>
      </c>
      <c r="MFB619" s="5" t="s">
        <v>3728</v>
      </c>
      <c r="MFC619" s="17">
        <v>44925</v>
      </c>
      <c r="MFD619" s="5" t="s">
        <v>3728</v>
      </c>
      <c r="MFE619" s="17">
        <v>44925</v>
      </c>
      <c r="MFF619" s="5" t="s">
        <v>3728</v>
      </c>
      <c r="MFG619" s="17">
        <v>44925</v>
      </c>
      <c r="MFH619" s="5" t="s">
        <v>3728</v>
      </c>
      <c r="MFI619" s="17">
        <v>44925</v>
      </c>
      <c r="MFJ619" s="5" t="s">
        <v>3728</v>
      </c>
      <c r="MFK619" s="17">
        <v>44925</v>
      </c>
      <c r="MFL619" s="5" t="s">
        <v>3728</v>
      </c>
      <c r="MFM619" s="17">
        <v>44925</v>
      </c>
      <c r="MFN619" s="5" t="s">
        <v>3728</v>
      </c>
      <c r="MFO619" s="17">
        <v>44925</v>
      </c>
      <c r="MFP619" s="5" t="s">
        <v>3728</v>
      </c>
      <c r="MFQ619" s="17">
        <v>44925</v>
      </c>
      <c r="MFR619" s="5" t="s">
        <v>3728</v>
      </c>
      <c r="MFS619" s="17">
        <v>44925</v>
      </c>
      <c r="MFT619" s="5" t="s">
        <v>3728</v>
      </c>
      <c r="MFU619" s="17">
        <v>44925</v>
      </c>
      <c r="MFV619" s="5" t="s">
        <v>3728</v>
      </c>
      <c r="MFW619" s="17">
        <v>44925</v>
      </c>
      <c r="MFX619" s="5" t="s">
        <v>3728</v>
      </c>
      <c r="MFY619" s="17">
        <v>44925</v>
      </c>
      <c r="MFZ619" s="5" t="s">
        <v>3728</v>
      </c>
      <c r="MGA619" s="17">
        <v>44925</v>
      </c>
      <c r="MGB619" s="5" t="s">
        <v>3728</v>
      </c>
      <c r="MGC619" s="17">
        <v>44925</v>
      </c>
      <c r="MGD619" s="5" t="s">
        <v>3728</v>
      </c>
      <c r="MGE619" s="17">
        <v>44925</v>
      </c>
      <c r="MGF619" s="5" t="s">
        <v>3728</v>
      </c>
      <c r="MGG619" s="17">
        <v>44925</v>
      </c>
      <c r="MGH619" s="5" t="s">
        <v>3728</v>
      </c>
      <c r="MGI619" s="17">
        <v>44925</v>
      </c>
      <c r="MGJ619" s="5" t="s">
        <v>3728</v>
      </c>
      <c r="MGK619" s="17">
        <v>44925</v>
      </c>
      <c r="MGL619" s="5" t="s">
        <v>3728</v>
      </c>
      <c r="MGM619" s="17">
        <v>44925</v>
      </c>
      <c r="MGN619" s="5" t="s">
        <v>3728</v>
      </c>
      <c r="MGO619" s="17">
        <v>44925</v>
      </c>
      <c r="MGP619" s="5" t="s">
        <v>3728</v>
      </c>
      <c r="MGQ619" s="17">
        <v>44925</v>
      </c>
      <c r="MGR619" s="5" t="s">
        <v>3728</v>
      </c>
      <c r="MGS619" s="17">
        <v>44925</v>
      </c>
      <c r="MGT619" s="5" t="s">
        <v>3728</v>
      </c>
      <c r="MGU619" s="17">
        <v>44925</v>
      </c>
      <c r="MGV619" s="5" t="s">
        <v>3728</v>
      </c>
      <c r="MGW619" s="17">
        <v>44925</v>
      </c>
      <c r="MGX619" s="5" t="s">
        <v>3728</v>
      </c>
      <c r="MGY619" s="17">
        <v>44925</v>
      </c>
      <c r="MGZ619" s="5" t="s">
        <v>3728</v>
      </c>
      <c r="MHA619" s="17">
        <v>44925</v>
      </c>
      <c r="MHB619" s="5" t="s">
        <v>3728</v>
      </c>
      <c r="MHC619" s="17">
        <v>44925</v>
      </c>
      <c r="MHD619" s="5" t="s">
        <v>3728</v>
      </c>
      <c r="MHE619" s="17">
        <v>44925</v>
      </c>
      <c r="MHF619" s="5" t="s">
        <v>3728</v>
      </c>
      <c r="MHG619" s="17">
        <v>44925</v>
      </c>
      <c r="MHH619" s="5" t="s">
        <v>3728</v>
      </c>
      <c r="MHI619" s="17">
        <v>44925</v>
      </c>
      <c r="MHJ619" s="5" t="s">
        <v>3728</v>
      </c>
      <c r="MHK619" s="17">
        <v>44925</v>
      </c>
      <c r="MHL619" s="5" t="s">
        <v>3728</v>
      </c>
      <c r="MHM619" s="17">
        <v>44925</v>
      </c>
      <c r="MHN619" s="5" t="s">
        <v>3728</v>
      </c>
      <c r="MHO619" s="17">
        <v>44925</v>
      </c>
      <c r="MHP619" s="5" t="s">
        <v>3728</v>
      </c>
      <c r="MHQ619" s="17">
        <v>44925</v>
      </c>
      <c r="MHR619" s="5" t="s">
        <v>3728</v>
      </c>
      <c r="MHS619" s="17">
        <v>44925</v>
      </c>
      <c r="MHT619" s="5" t="s">
        <v>3728</v>
      </c>
      <c r="MHU619" s="17">
        <v>44925</v>
      </c>
      <c r="MHV619" s="5" t="s">
        <v>3728</v>
      </c>
      <c r="MHW619" s="17">
        <v>44925</v>
      </c>
      <c r="MHX619" s="5" t="s">
        <v>3728</v>
      </c>
      <c r="MHY619" s="17">
        <v>44925</v>
      </c>
      <c r="MHZ619" s="5" t="s">
        <v>3728</v>
      </c>
      <c r="MIA619" s="17">
        <v>44925</v>
      </c>
      <c r="MIB619" s="5" t="s">
        <v>3728</v>
      </c>
      <c r="MIC619" s="17">
        <v>44925</v>
      </c>
      <c r="MID619" s="5" t="s">
        <v>3728</v>
      </c>
      <c r="MIE619" s="17">
        <v>44925</v>
      </c>
      <c r="MIF619" s="5" t="s">
        <v>3728</v>
      </c>
      <c r="MIG619" s="17">
        <v>44925</v>
      </c>
      <c r="MIH619" s="5" t="s">
        <v>3728</v>
      </c>
      <c r="MII619" s="17">
        <v>44925</v>
      </c>
      <c r="MIJ619" s="5" t="s">
        <v>3728</v>
      </c>
      <c r="MIK619" s="17">
        <v>44925</v>
      </c>
      <c r="MIL619" s="5" t="s">
        <v>3728</v>
      </c>
      <c r="MIM619" s="17">
        <v>44925</v>
      </c>
      <c r="MIN619" s="5" t="s">
        <v>3728</v>
      </c>
      <c r="MIO619" s="17">
        <v>44925</v>
      </c>
      <c r="MIP619" s="5" t="s">
        <v>3728</v>
      </c>
      <c r="MIQ619" s="17">
        <v>44925</v>
      </c>
      <c r="MIR619" s="5" t="s">
        <v>3728</v>
      </c>
      <c r="MIS619" s="17">
        <v>44925</v>
      </c>
      <c r="MIT619" s="5" t="s">
        <v>3728</v>
      </c>
      <c r="MIU619" s="17">
        <v>44925</v>
      </c>
      <c r="MIV619" s="5" t="s">
        <v>3728</v>
      </c>
      <c r="MIW619" s="17">
        <v>44925</v>
      </c>
      <c r="MIX619" s="5" t="s">
        <v>3728</v>
      </c>
      <c r="MIY619" s="17">
        <v>44925</v>
      </c>
      <c r="MIZ619" s="5" t="s">
        <v>3728</v>
      </c>
      <c r="MJA619" s="17">
        <v>44925</v>
      </c>
      <c r="MJB619" s="5" t="s">
        <v>3728</v>
      </c>
      <c r="MJC619" s="17">
        <v>44925</v>
      </c>
      <c r="MJD619" s="5" t="s">
        <v>3728</v>
      </c>
      <c r="MJE619" s="17">
        <v>44925</v>
      </c>
      <c r="MJF619" s="5" t="s">
        <v>3728</v>
      </c>
      <c r="MJG619" s="17">
        <v>44925</v>
      </c>
      <c r="MJH619" s="5" t="s">
        <v>3728</v>
      </c>
      <c r="MJI619" s="17">
        <v>44925</v>
      </c>
      <c r="MJJ619" s="5" t="s">
        <v>3728</v>
      </c>
      <c r="MJK619" s="17">
        <v>44925</v>
      </c>
      <c r="MJL619" s="5" t="s">
        <v>3728</v>
      </c>
      <c r="MJM619" s="17">
        <v>44925</v>
      </c>
      <c r="MJN619" s="5" t="s">
        <v>3728</v>
      </c>
      <c r="MJO619" s="17">
        <v>44925</v>
      </c>
      <c r="MJP619" s="5" t="s">
        <v>3728</v>
      </c>
      <c r="MJQ619" s="17">
        <v>44925</v>
      </c>
      <c r="MJR619" s="5" t="s">
        <v>3728</v>
      </c>
      <c r="MJS619" s="17">
        <v>44925</v>
      </c>
      <c r="MJT619" s="5" t="s">
        <v>3728</v>
      </c>
      <c r="MJU619" s="17">
        <v>44925</v>
      </c>
      <c r="MJV619" s="5" t="s">
        <v>3728</v>
      </c>
      <c r="MJW619" s="17">
        <v>44925</v>
      </c>
      <c r="MJX619" s="5" t="s">
        <v>3728</v>
      </c>
      <c r="MJY619" s="17">
        <v>44925</v>
      </c>
      <c r="MJZ619" s="5" t="s">
        <v>3728</v>
      </c>
      <c r="MKA619" s="17">
        <v>44925</v>
      </c>
      <c r="MKB619" s="5" t="s">
        <v>3728</v>
      </c>
      <c r="MKC619" s="17">
        <v>44925</v>
      </c>
      <c r="MKD619" s="5" t="s">
        <v>3728</v>
      </c>
      <c r="MKE619" s="17">
        <v>44925</v>
      </c>
      <c r="MKF619" s="5" t="s">
        <v>3728</v>
      </c>
      <c r="MKG619" s="17">
        <v>44925</v>
      </c>
      <c r="MKH619" s="5" t="s">
        <v>3728</v>
      </c>
      <c r="MKI619" s="17">
        <v>44925</v>
      </c>
      <c r="MKJ619" s="5" t="s">
        <v>3728</v>
      </c>
      <c r="MKK619" s="17">
        <v>44925</v>
      </c>
      <c r="MKL619" s="5" t="s">
        <v>3728</v>
      </c>
      <c r="MKM619" s="17">
        <v>44925</v>
      </c>
      <c r="MKN619" s="5" t="s">
        <v>3728</v>
      </c>
      <c r="MKO619" s="17">
        <v>44925</v>
      </c>
      <c r="MKP619" s="5" t="s">
        <v>3728</v>
      </c>
      <c r="MKQ619" s="17">
        <v>44925</v>
      </c>
      <c r="MKR619" s="5" t="s">
        <v>3728</v>
      </c>
      <c r="MKS619" s="17">
        <v>44925</v>
      </c>
      <c r="MKT619" s="5" t="s">
        <v>3728</v>
      </c>
      <c r="MKU619" s="17">
        <v>44925</v>
      </c>
      <c r="MKV619" s="5" t="s">
        <v>3728</v>
      </c>
      <c r="MKW619" s="17">
        <v>44925</v>
      </c>
      <c r="MKX619" s="5" t="s">
        <v>3728</v>
      </c>
      <c r="MKY619" s="17">
        <v>44925</v>
      </c>
      <c r="MKZ619" s="5" t="s">
        <v>3728</v>
      </c>
      <c r="MLA619" s="17">
        <v>44925</v>
      </c>
      <c r="MLB619" s="5" t="s">
        <v>3728</v>
      </c>
      <c r="MLC619" s="17">
        <v>44925</v>
      </c>
      <c r="MLD619" s="5" t="s">
        <v>3728</v>
      </c>
      <c r="MLE619" s="17">
        <v>44925</v>
      </c>
      <c r="MLF619" s="5" t="s">
        <v>3728</v>
      </c>
      <c r="MLG619" s="17">
        <v>44925</v>
      </c>
      <c r="MLH619" s="5" t="s">
        <v>3728</v>
      </c>
      <c r="MLI619" s="17">
        <v>44925</v>
      </c>
      <c r="MLJ619" s="5" t="s">
        <v>3728</v>
      </c>
      <c r="MLK619" s="17">
        <v>44925</v>
      </c>
      <c r="MLL619" s="5" t="s">
        <v>3728</v>
      </c>
      <c r="MLM619" s="17">
        <v>44925</v>
      </c>
      <c r="MLN619" s="5" t="s">
        <v>3728</v>
      </c>
      <c r="MLO619" s="17">
        <v>44925</v>
      </c>
      <c r="MLP619" s="5" t="s">
        <v>3728</v>
      </c>
      <c r="MLQ619" s="17">
        <v>44925</v>
      </c>
      <c r="MLR619" s="5" t="s">
        <v>3728</v>
      </c>
      <c r="MLS619" s="17">
        <v>44925</v>
      </c>
      <c r="MLT619" s="5" t="s">
        <v>3728</v>
      </c>
      <c r="MLU619" s="17">
        <v>44925</v>
      </c>
      <c r="MLV619" s="5" t="s">
        <v>3728</v>
      </c>
      <c r="MLW619" s="17">
        <v>44925</v>
      </c>
      <c r="MLX619" s="5" t="s">
        <v>3728</v>
      </c>
      <c r="MLY619" s="17">
        <v>44925</v>
      </c>
      <c r="MLZ619" s="5" t="s">
        <v>3728</v>
      </c>
      <c r="MMA619" s="17">
        <v>44925</v>
      </c>
      <c r="MMB619" s="5" t="s">
        <v>3728</v>
      </c>
      <c r="MMC619" s="17">
        <v>44925</v>
      </c>
      <c r="MMD619" s="5" t="s">
        <v>3728</v>
      </c>
      <c r="MME619" s="17">
        <v>44925</v>
      </c>
      <c r="MMF619" s="5" t="s">
        <v>3728</v>
      </c>
      <c r="MMG619" s="17">
        <v>44925</v>
      </c>
      <c r="MMH619" s="5" t="s">
        <v>3728</v>
      </c>
      <c r="MMI619" s="17">
        <v>44925</v>
      </c>
      <c r="MMJ619" s="5" t="s">
        <v>3728</v>
      </c>
      <c r="MMK619" s="17">
        <v>44925</v>
      </c>
      <c r="MML619" s="5" t="s">
        <v>3728</v>
      </c>
      <c r="MMM619" s="17">
        <v>44925</v>
      </c>
      <c r="MMN619" s="5" t="s">
        <v>3728</v>
      </c>
      <c r="MMO619" s="17">
        <v>44925</v>
      </c>
      <c r="MMP619" s="5" t="s">
        <v>3728</v>
      </c>
      <c r="MMQ619" s="17">
        <v>44925</v>
      </c>
      <c r="MMR619" s="5" t="s">
        <v>3728</v>
      </c>
      <c r="MMS619" s="17">
        <v>44925</v>
      </c>
      <c r="MMT619" s="5" t="s">
        <v>3728</v>
      </c>
      <c r="MMU619" s="17">
        <v>44925</v>
      </c>
      <c r="MMV619" s="5" t="s">
        <v>3728</v>
      </c>
      <c r="MMW619" s="17">
        <v>44925</v>
      </c>
      <c r="MMX619" s="5" t="s">
        <v>3728</v>
      </c>
      <c r="MMY619" s="17">
        <v>44925</v>
      </c>
      <c r="MMZ619" s="5" t="s">
        <v>3728</v>
      </c>
      <c r="MNA619" s="17">
        <v>44925</v>
      </c>
      <c r="MNB619" s="5" t="s">
        <v>3728</v>
      </c>
      <c r="MNC619" s="17">
        <v>44925</v>
      </c>
      <c r="MND619" s="5" t="s">
        <v>3728</v>
      </c>
      <c r="MNE619" s="17">
        <v>44925</v>
      </c>
      <c r="MNF619" s="5" t="s">
        <v>3728</v>
      </c>
      <c r="MNG619" s="17">
        <v>44925</v>
      </c>
      <c r="MNH619" s="5" t="s">
        <v>3728</v>
      </c>
      <c r="MNI619" s="17">
        <v>44925</v>
      </c>
      <c r="MNJ619" s="5" t="s">
        <v>3728</v>
      </c>
      <c r="MNK619" s="17">
        <v>44925</v>
      </c>
      <c r="MNL619" s="5" t="s">
        <v>3728</v>
      </c>
      <c r="MNM619" s="17">
        <v>44925</v>
      </c>
      <c r="MNN619" s="5" t="s">
        <v>3728</v>
      </c>
      <c r="MNO619" s="17">
        <v>44925</v>
      </c>
      <c r="MNP619" s="5" t="s">
        <v>3728</v>
      </c>
      <c r="MNQ619" s="17">
        <v>44925</v>
      </c>
      <c r="MNR619" s="5" t="s">
        <v>3728</v>
      </c>
      <c r="MNS619" s="17">
        <v>44925</v>
      </c>
      <c r="MNT619" s="5" t="s">
        <v>3728</v>
      </c>
      <c r="MNU619" s="17">
        <v>44925</v>
      </c>
      <c r="MNV619" s="5" t="s">
        <v>3728</v>
      </c>
      <c r="MNW619" s="17">
        <v>44925</v>
      </c>
      <c r="MNX619" s="5" t="s">
        <v>3728</v>
      </c>
      <c r="MNY619" s="17">
        <v>44925</v>
      </c>
      <c r="MNZ619" s="5" t="s">
        <v>3728</v>
      </c>
      <c r="MOA619" s="17">
        <v>44925</v>
      </c>
      <c r="MOB619" s="5" t="s">
        <v>3728</v>
      </c>
      <c r="MOC619" s="17">
        <v>44925</v>
      </c>
      <c r="MOD619" s="5" t="s">
        <v>3728</v>
      </c>
      <c r="MOE619" s="17">
        <v>44925</v>
      </c>
      <c r="MOF619" s="5" t="s">
        <v>3728</v>
      </c>
      <c r="MOG619" s="17">
        <v>44925</v>
      </c>
      <c r="MOH619" s="5" t="s">
        <v>3728</v>
      </c>
      <c r="MOI619" s="17">
        <v>44925</v>
      </c>
      <c r="MOJ619" s="5" t="s">
        <v>3728</v>
      </c>
      <c r="MOK619" s="17">
        <v>44925</v>
      </c>
      <c r="MOL619" s="5" t="s">
        <v>3728</v>
      </c>
      <c r="MOM619" s="17">
        <v>44925</v>
      </c>
      <c r="MON619" s="5" t="s">
        <v>3728</v>
      </c>
      <c r="MOO619" s="17">
        <v>44925</v>
      </c>
      <c r="MOP619" s="5" t="s">
        <v>3728</v>
      </c>
      <c r="MOQ619" s="17">
        <v>44925</v>
      </c>
      <c r="MOR619" s="5" t="s">
        <v>3728</v>
      </c>
      <c r="MOS619" s="17">
        <v>44925</v>
      </c>
      <c r="MOT619" s="5" t="s">
        <v>3728</v>
      </c>
      <c r="MOU619" s="17">
        <v>44925</v>
      </c>
      <c r="MOV619" s="5" t="s">
        <v>3728</v>
      </c>
      <c r="MOW619" s="17">
        <v>44925</v>
      </c>
      <c r="MOX619" s="5" t="s">
        <v>3728</v>
      </c>
      <c r="MOY619" s="17">
        <v>44925</v>
      </c>
      <c r="MOZ619" s="5" t="s">
        <v>3728</v>
      </c>
      <c r="MPA619" s="17">
        <v>44925</v>
      </c>
      <c r="MPB619" s="5" t="s">
        <v>3728</v>
      </c>
      <c r="MPC619" s="17">
        <v>44925</v>
      </c>
      <c r="MPD619" s="5" t="s">
        <v>3728</v>
      </c>
      <c r="MPE619" s="17">
        <v>44925</v>
      </c>
      <c r="MPF619" s="5" t="s">
        <v>3728</v>
      </c>
      <c r="MPG619" s="17">
        <v>44925</v>
      </c>
      <c r="MPH619" s="5" t="s">
        <v>3728</v>
      </c>
      <c r="MPI619" s="17">
        <v>44925</v>
      </c>
      <c r="MPJ619" s="5" t="s">
        <v>3728</v>
      </c>
      <c r="MPK619" s="17">
        <v>44925</v>
      </c>
      <c r="MPL619" s="5" t="s">
        <v>3728</v>
      </c>
      <c r="MPM619" s="17">
        <v>44925</v>
      </c>
      <c r="MPN619" s="5" t="s">
        <v>3728</v>
      </c>
      <c r="MPO619" s="17">
        <v>44925</v>
      </c>
      <c r="MPP619" s="5" t="s">
        <v>3728</v>
      </c>
      <c r="MPQ619" s="17">
        <v>44925</v>
      </c>
      <c r="MPR619" s="5" t="s">
        <v>3728</v>
      </c>
      <c r="MPS619" s="17">
        <v>44925</v>
      </c>
      <c r="MPT619" s="5" t="s">
        <v>3728</v>
      </c>
      <c r="MPU619" s="17">
        <v>44925</v>
      </c>
      <c r="MPV619" s="5" t="s">
        <v>3728</v>
      </c>
      <c r="MPW619" s="17">
        <v>44925</v>
      </c>
      <c r="MPX619" s="5" t="s">
        <v>3728</v>
      </c>
      <c r="MPY619" s="17">
        <v>44925</v>
      </c>
      <c r="MPZ619" s="5" t="s">
        <v>3728</v>
      </c>
      <c r="MQA619" s="17">
        <v>44925</v>
      </c>
      <c r="MQB619" s="5" t="s">
        <v>3728</v>
      </c>
      <c r="MQC619" s="17">
        <v>44925</v>
      </c>
      <c r="MQD619" s="5" t="s">
        <v>3728</v>
      </c>
      <c r="MQE619" s="17">
        <v>44925</v>
      </c>
      <c r="MQF619" s="5" t="s">
        <v>3728</v>
      </c>
      <c r="MQG619" s="17">
        <v>44925</v>
      </c>
      <c r="MQH619" s="5" t="s">
        <v>3728</v>
      </c>
      <c r="MQI619" s="17">
        <v>44925</v>
      </c>
      <c r="MQJ619" s="5" t="s">
        <v>3728</v>
      </c>
      <c r="MQK619" s="17">
        <v>44925</v>
      </c>
      <c r="MQL619" s="5" t="s">
        <v>3728</v>
      </c>
      <c r="MQM619" s="17">
        <v>44925</v>
      </c>
      <c r="MQN619" s="5" t="s">
        <v>3728</v>
      </c>
      <c r="MQO619" s="17">
        <v>44925</v>
      </c>
      <c r="MQP619" s="5" t="s">
        <v>3728</v>
      </c>
      <c r="MQQ619" s="17">
        <v>44925</v>
      </c>
      <c r="MQR619" s="5" t="s">
        <v>3728</v>
      </c>
      <c r="MQS619" s="17">
        <v>44925</v>
      </c>
      <c r="MQT619" s="5" t="s">
        <v>3728</v>
      </c>
      <c r="MQU619" s="17">
        <v>44925</v>
      </c>
      <c r="MQV619" s="5" t="s">
        <v>3728</v>
      </c>
      <c r="MQW619" s="17">
        <v>44925</v>
      </c>
      <c r="MQX619" s="5" t="s">
        <v>3728</v>
      </c>
      <c r="MQY619" s="17">
        <v>44925</v>
      </c>
      <c r="MQZ619" s="5" t="s">
        <v>3728</v>
      </c>
      <c r="MRA619" s="17">
        <v>44925</v>
      </c>
      <c r="MRB619" s="5" t="s">
        <v>3728</v>
      </c>
      <c r="MRC619" s="17">
        <v>44925</v>
      </c>
      <c r="MRD619" s="5" t="s">
        <v>3728</v>
      </c>
      <c r="MRE619" s="17">
        <v>44925</v>
      </c>
      <c r="MRF619" s="5" t="s">
        <v>3728</v>
      </c>
      <c r="MRG619" s="17">
        <v>44925</v>
      </c>
      <c r="MRH619" s="5" t="s">
        <v>3728</v>
      </c>
      <c r="MRI619" s="17">
        <v>44925</v>
      </c>
      <c r="MRJ619" s="5" t="s">
        <v>3728</v>
      </c>
      <c r="MRK619" s="17">
        <v>44925</v>
      </c>
      <c r="MRL619" s="5" t="s">
        <v>3728</v>
      </c>
      <c r="MRM619" s="17">
        <v>44925</v>
      </c>
      <c r="MRN619" s="5" t="s">
        <v>3728</v>
      </c>
      <c r="MRO619" s="17">
        <v>44925</v>
      </c>
      <c r="MRP619" s="5" t="s">
        <v>3728</v>
      </c>
      <c r="MRQ619" s="17">
        <v>44925</v>
      </c>
      <c r="MRR619" s="5" t="s">
        <v>3728</v>
      </c>
      <c r="MRS619" s="17">
        <v>44925</v>
      </c>
      <c r="MRT619" s="5" t="s">
        <v>3728</v>
      </c>
      <c r="MRU619" s="17">
        <v>44925</v>
      </c>
      <c r="MRV619" s="5" t="s">
        <v>3728</v>
      </c>
      <c r="MRW619" s="17">
        <v>44925</v>
      </c>
      <c r="MRX619" s="5" t="s">
        <v>3728</v>
      </c>
      <c r="MRY619" s="17">
        <v>44925</v>
      </c>
      <c r="MRZ619" s="5" t="s">
        <v>3728</v>
      </c>
      <c r="MSA619" s="17">
        <v>44925</v>
      </c>
      <c r="MSB619" s="5" t="s">
        <v>3728</v>
      </c>
      <c r="MSC619" s="17">
        <v>44925</v>
      </c>
      <c r="MSD619" s="5" t="s">
        <v>3728</v>
      </c>
      <c r="MSE619" s="17">
        <v>44925</v>
      </c>
      <c r="MSF619" s="5" t="s">
        <v>3728</v>
      </c>
      <c r="MSG619" s="17">
        <v>44925</v>
      </c>
      <c r="MSH619" s="5" t="s">
        <v>3728</v>
      </c>
      <c r="MSI619" s="17">
        <v>44925</v>
      </c>
      <c r="MSJ619" s="5" t="s">
        <v>3728</v>
      </c>
      <c r="MSK619" s="17">
        <v>44925</v>
      </c>
      <c r="MSL619" s="5" t="s">
        <v>3728</v>
      </c>
      <c r="MSM619" s="17">
        <v>44925</v>
      </c>
      <c r="MSN619" s="5" t="s">
        <v>3728</v>
      </c>
      <c r="MSO619" s="17">
        <v>44925</v>
      </c>
      <c r="MSP619" s="5" t="s">
        <v>3728</v>
      </c>
      <c r="MSQ619" s="17">
        <v>44925</v>
      </c>
      <c r="MSR619" s="5" t="s">
        <v>3728</v>
      </c>
      <c r="MSS619" s="17">
        <v>44925</v>
      </c>
      <c r="MST619" s="5" t="s">
        <v>3728</v>
      </c>
      <c r="MSU619" s="17">
        <v>44925</v>
      </c>
      <c r="MSV619" s="5" t="s">
        <v>3728</v>
      </c>
      <c r="MSW619" s="17">
        <v>44925</v>
      </c>
      <c r="MSX619" s="5" t="s">
        <v>3728</v>
      </c>
      <c r="MSY619" s="17">
        <v>44925</v>
      </c>
      <c r="MSZ619" s="5" t="s">
        <v>3728</v>
      </c>
      <c r="MTA619" s="17">
        <v>44925</v>
      </c>
      <c r="MTB619" s="5" t="s">
        <v>3728</v>
      </c>
      <c r="MTC619" s="17">
        <v>44925</v>
      </c>
      <c r="MTD619" s="5" t="s">
        <v>3728</v>
      </c>
      <c r="MTE619" s="17">
        <v>44925</v>
      </c>
      <c r="MTF619" s="5" t="s">
        <v>3728</v>
      </c>
      <c r="MTG619" s="17">
        <v>44925</v>
      </c>
      <c r="MTH619" s="5" t="s">
        <v>3728</v>
      </c>
      <c r="MTI619" s="17">
        <v>44925</v>
      </c>
      <c r="MTJ619" s="5" t="s">
        <v>3728</v>
      </c>
      <c r="MTK619" s="17">
        <v>44925</v>
      </c>
      <c r="MTL619" s="5" t="s">
        <v>3728</v>
      </c>
      <c r="MTM619" s="17">
        <v>44925</v>
      </c>
      <c r="MTN619" s="5" t="s">
        <v>3728</v>
      </c>
      <c r="MTO619" s="17">
        <v>44925</v>
      </c>
      <c r="MTP619" s="5" t="s">
        <v>3728</v>
      </c>
      <c r="MTQ619" s="17">
        <v>44925</v>
      </c>
      <c r="MTR619" s="5" t="s">
        <v>3728</v>
      </c>
      <c r="MTS619" s="17">
        <v>44925</v>
      </c>
      <c r="MTT619" s="5" t="s">
        <v>3728</v>
      </c>
      <c r="MTU619" s="17">
        <v>44925</v>
      </c>
      <c r="MTV619" s="5" t="s">
        <v>3728</v>
      </c>
      <c r="MTW619" s="17">
        <v>44925</v>
      </c>
      <c r="MTX619" s="5" t="s">
        <v>3728</v>
      </c>
      <c r="MTY619" s="17">
        <v>44925</v>
      </c>
      <c r="MTZ619" s="5" t="s">
        <v>3728</v>
      </c>
      <c r="MUA619" s="17">
        <v>44925</v>
      </c>
      <c r="MUB619" s="5" t="s">
        <v>3728</v>
      </c>
      <c r="MUC619" s="17">
        <v>44925</v>
      </c>
      <c r="MUD619" s="5" t="s">
        <v>3728</v>
      </c>
      <c r="MUE619" s="17">
        <v>44925</v>
      </c>
      <c r="MUF619" s="5" t="s">
        <v>3728</v>
      </c>
      <c r="MUG619" s="17">
        <v>44925</v>
      </c>
      <c r="MUH619" s="5" t="s">
        <v>3728</v>
      </c>
      <c r="MUI619" s="17">
        <v>44925</v>
      </c>
      <c r="MUJ619" s="5" t="s">
        <v>3728</v>
      </c>
      <c r="MUK619" s="17">
        <v>44925</v>
      </c>
      <c r="MUL619" s="5" t="s">
        <v>3728</v>
      </c>
      <c r="MUM619" s="17">
        <v>44925</v>
      </c>
      <c r="MUN619" s="5" t="s">
        <v>3728</v>
      </c>
      <c r="MUO619" s="17">
        <v>44925</v>
      </c>
      <c r="MUP619" s="5" t="s">
        <v>3728</v>
      </c>
      <c r="MUQ619" s="17">
        <v>44925</v>
      </c>
      <c r="MUR619" s="5" t="s">
        <v>3728</v>
      </c>
      <c r="MUS619" s="17">
        <v>44925</v>
      </c>
      <c r="MUT619" s="5" t="s">
        <v>3728</v>
      </c>
      <c r="MUU619" s="17">
        <v>44925</v>
      </c>
      <c r="MUV619" s="5" t="s">
        <v>3728</v>
      </c>
      <c r="MUW619" s="17">
        <v>44925</v>
      </c>
      <c r="MUX619" s="5" t="s">
        <v>3728</v>
      </c>
      <c r="MUY619" s="17">
        <v>44925</v>
      </c>
      <c r="MUZ619" s="5" t="s">
        <v>3728</v>
      </c>
      <c r="MVA619" s="17">
        <v>44925</v>
      </c>
      <c r="MVB619" s="5" t="s">
        <v>3728</v>
      </c>
      <c r="MVC619" s="17">
        <v>44925</v>
      </c>
      <c r="MVD619" s="5" t="s">
        <v>3728</v>
      </c>
      <c r="MVE619" s="17">
        <v>44925</v>
      </c>
      <c r="MVF619" s="5" t="s">
        <v>3728</v>
      </c>
      <c r="MVG619" s="17">
        <v>44925</v>
      </c>
      <c r="MVH619" s="5" t="s">
        <v>3728</v>
      </c>
      <c r="MVI619" s="17">
        <v>44925</v>
      </c>
      <c r="MVJ619" s="5" t="s">
        <v>3728</v>
      </c>
      <c r="MVK619" s="17">
        <v>44925</v>
      </c>
      <c r="MVL619" s="5" t="s">
        <v>3728</v>
      </c>
      <c r="MVM619" s="17">
        <v>44925</v>
      </c>
      <c r="MVN619" s="5" t="s">
        <v>3728</v>
      </c>
      <c r="MVO619" s="17">
        <v>44925</v>
      </c>
      <c r="MVP619" s="5" t="s">
        <v>3728</v>
      </c>
      <c r="MVQ619" s="17">
        <v>44925</v>
      </c>
      <c r="MVR619" s="5" t="s">
        <v>3728</v>
      </c>
      <c r="MVS619" s="17">
        <v>44925</v>
      </c>
      <c r="MVT619" s="5" t="s">
        <v>3728</v>
      </c>
      <c r="MVU619" s="17">
        <v>44925</v>
      </c>
      <c r="MVV619" s="5" t="s">
        <v>3728</v>
      </c>
      <c r="MVW619" s="17">
        <v>44925</v>
      </c>
      <c r="MVX619" s="5" t="s">
        <v>3728</v>
      </c>
      <c r="MVY619" s="17">
        <v>44925</v>
      </c>
      <c r="MVZ619" s="5" t="s">
        <v>3728</v>
      </c>
      <c r="MWA619" s="17">
        <v>44925</v>
      </c>
      <c r="MWB619" s="5" t="s">
        <v>3728</v>
      </c>
      <c r="MWC619" s="17">
        <v>44925</v>
      </c>
      <c r="MWD619" s="5" t="s">
        <v>3728</v>
      </c>
      <c r="MWE619" s="17">
        <v>44925</v>
      </c>
      <c r="MWF619" s="5" t="s">
        <v>3728</v>
      </c>
      <c r="MWG619" s="17">
        <v>44925</v>
      </c>
      <c r="MWH619" s="5" t="s">
        <v>3728</v>
      </c>
      <c r="MWI619" s="17">
        <v>44925</v>
      </c>
      <c r="MWJ619" s="5" t="s">
        <v>3728</v>
      </c>
      <c r="MWK619" s="17">
        <v>44925</v>
      </c>
      <c r="MWL619" s="5" t="s">
        <v>3728</v>
      </c>
      <c r="MWM619" s="17">
        <v>44925</v>
      </c>
      <c r="MWN619" s="5" t="s">
        <v>3728</v>
      </c>
      <c r="MWO619" s="17">
        <v>44925</v>
      </c>
      <c r="MWP619" s="5" t="s">
        <v>3728</v>
      </c>
      <c r="MWQ619" s="17">
        <v>44925</v>
      </c>
      <c r="MWR619" s="5" t="s">
        <v>3728</v>
      </c>
      <c r="MWS619" s="17">
        <v>44925</v>
      </c>
      <c r="MWT619" s="5" t="s">
        <v>3728</v>
      </c>
      <c r="MWU619" s="17">
        <v>44925</v>
      </c>
      <c r="MWV619" s="5" t="s">
        <v>3728</v>
      </c>
      <c r="MWW619" s="17">
        <v>44925</v>
      </c>
      <c r="MWX619" s="5" t="s">
        <v>3728</v>
      </c>
      <c r="MWY619" s="17">
        <v>44925</v>
      </c>
      <c r="MWZ619" s="5" t="s">
        <v>3728</v>
      </c>
      <c r="MXA619" s="17">
        <v>44925</v>
      </c>
      <c r="MXB619" s="5" t="s">
        <v>3728</v>
      </c>
      <c r="MXC619" s="17">
        <v>44925</v>
      </c>
      <c r="MXD619" s="5" t="s">
        <v>3728</v>
      </c>
      <c r="MXE619" s="17">
        <v>44925</v>
      </c>
      <c r="MXF619" s="5" t="s">
        <v>3728</v>
      </c>
      <c r="MXG619" s="17">
        <v>44925</v>
      </c>
      <c r="MXH619" s="5" t="s">
        <v>3728</v>
      </c>
      <c r="MXI619" s="17">
        <v>44925</v>
      </c>
      <c r="MXJ619" s="5" t="s">
        <v>3728</v>
      </c>
      <c r="MXK619" s="17">
        <v>44925</v>
      </c>
      <c r="MXL619" s="5" t="s">
        <v>3728</v>
      </c>
      <c r="MXM619" s="17">
        <v>44925</v>
      </c>
      <c r="MXN619" s="5" t="s">
        <v>3728</v>
      </c>
      <c r="MXO619" s="17">
        <v>44925</v>
      </c>
      <c r="MXP619" s="5" t="s">
        <v>3728</v>
      </c>
      <c r="MXQ619" s="17">
        <v>44925</v>
      </c>
      <c r="MXR619" s="5" t="s">
        <v>3728</v>
      </c>
      <c r="MXS619" s="17">
        <v>44925</v>
      </c>
      <c r="MXT619" s="5" t="s">
        <v>3728</v>
      </c>
      <c r="MXU619" s="17">
        <v>44925</v>
      </c>
      <c r="MXV619" s="5" t="s">
        <v>3728</v>
      </c>
      <c r="MXW619" s="17">
        <v>44925</v>
      </c>
      <c r="MXX619" s="5" t="s">
        <v>3728</v>
      </c>
      <c r="MXY619" s="17">
        <v>44925</v>
      </c>
      <c r="MXZ619" s="5" t="s">
        <v>3728</v>
      </c>
      <c r="MYA619" s="17">
        <v>44925</v>
      </c>
      <c r="MYB619" s="5" t="s">
        <v>3728</v>
      </c>
      <c r="MYC619" s="17">
        <v>44925</v>
      </c>
      <c r="MYD619" s="5" t="s">
        <v>3728</v>
      </c>
      <c r="MYE619" s="17">
        <v>44925</v>
      </c>
      <c r="MYF619" s="5" t="s">
        <v>3728</v>
      </c>
      <c r="MYG619" s="17">
        <v>44925</v>
      </c>
      <c r="MYH619" s="5" t="s">
        <v>3728</v>
      </c>
      <c r="MYI619" s="17">
        <v>44925</v>
      </c>
      <c r="MYJ619" s="5" t="s">
        <v>3728</v>
      </c>
      <c r="MYK619" s="17">
        <v>44925</v>
      </c>
      <c r="MYL619" s="5" t="s">
        <v>3728</v>
      </c>
      <c r="MYM619" s="17">
        <v>44925</v>
      </c>
      <c r="MYN619" s="5" t="s">
        <v>3728</v>
      </c>
      <c r="MYO619" s="17">
        <v>44925</v>
      </c>
      <c r="MYP619" s="5" t="s">
        <v>3728</v>
      </c>
      <c r="MYQ619" s="17">
        <v>44925</v>
      </c>
      <c r="MYR619" s="5" t="s">
        <v>3728</v>
      </c>
      <c r="MYS619" s="17">
        <v>44925</v>
      </c>
      <c r="MYT619" s="5" t="s">
        <v>3728</v>
      </c>
      <c r="MYU619" s="17">
        <v>44925</v>
      </c>
      <c r="MYV619" s="5" t="s">
        <v>3728</v>
      </c>
      <c r="MYW619" s="17">
        <v>44925</v>
      </c>
      <c r="MYX619" s="5" t="s">
        <v>3728</v>
      </c>
      <c r="MYY619" s="17">
        <v>44925</v>
      </c>
      <c r="MYZ619" s="5" t="s">
        <v>3728</v>
      </c>
      <c r="MZA619" s="17">
        <v>44925</v>
      </c>
      <c r="MZB619" s="5" t="s">
        <v>3728</v>
      </c>
      <c r="MZC619" s="17">
        <v>44925</v>
      </c>
      <c r="MZD619" s="5" t="s">
        <v>3728</v>
      </c>
      <c r="MZE619" s="17">
        <v>44925</v>
      </c>
      <c r="MZF619" s="5" t="s">
        <v>3728</v>
      </c>
      <c r="MZG619" s="17">
        <v>44925</v>
      </c>
      <c r="MZH619" s="5" t="s">
        <v>3728</v>
      </c>
      <c r="MZI619" s="17">
        <v>44925</v>
      </c>
      <c r="MZJ619" s="5" t="s">
        <v>3728</v>
      </c>
      <c r="MZK619" s="17">
        <v>44925</v>
      </c>
      <c r="MZL619" s="5" t="s">
        <v>3728</v>
      </c>
      <c r="MZM619" s="17">
        <v>44925</v>
      </c>
      <c r="MZN619" s="5" t="s">
        <v>3728</v>
      </c>
      <c r="MZO619" s="17">
        <v>44925</v>
      </c>
      <c r="MZP619" s="5" t="s">
        <v>3728</v>
      </c>
      <c r="MZQ619" s="17">
        <v>44925</v>
      </c>
      <c r="MZR619" s="5" t="s">
        <v>3728</v>
      </c>
      <c r="MZS619" s="17">
        <v>44925</v>
      </c>
      <c r="MZT619" s="5" t="s">
        <v>3728</v>
      </c>
      <c r="MZU619" s="17">
        <v>44925</v>
      </c>
      <c r="MZV619" s="5" t="s">
        <v>3728</v>
      </c>
      <c r="MZW619" s="17">
        <v>44925</v>
      </c>
      <c r="MZX619" s="5" t="s">
        <v>3728</v>
      </c>
      <c r="MZY619" s="17">
        <v>44925</v>
      </c>
      <c r="MZZ619" s="5" t="s">
        <v>3728</v>
      </c>
      <c r="NAA619" s="17">
        <v>44925</v>
      </c>
      <c r="NAB619" s="5" t="s">
        <v>3728</v>
      </c>
      <c r="NAC619" s="17">
        <v>44925</v>
      </c>
      <c r="NAD619" s="5" t="s">
        <v>3728</v>
      </c>
      <c r="NAE619" s="17">
        <v>44925</v>
      </c>
      <c r="NAF619" s="5" t="s">
        <v>3728</v>
      </c>
      <c r="NAG619" s="17">
        <v>44925</v>
      </c>
      <c r="NAH619" s="5" t="s">
        <v>3728</v>
      </c>
      <c r="NAI619" s="17">
        <v>44925</v>
      </c>
      <c r="NAJ619" s="5" t="s">
        <v>3728</v>
      </c>
      <c r="NAK619" s="17">
        <v>44925</v>
      </c>
      <c r="NAL619" s="5" t="s">
        <v>3728</v>
      </c>
      <c r="NAM619" s="17">
        <v>44925</v>
      </c>
      <c r="NAN619" s="5" t="s">
        <v>3728</v>
      </c>
      <c r="NAO619" s="17">
        <v>44925</v>
      </c>
      <c r="NAP619" s="5" t="s">
        <v>3728</v>
      </c>
      <c r="NAQ619" s="17">
        <v>44925</v>
      </c>
      <c r="NAR619" s="5" t="s">
        <v>3728</v>
      </c>
      <c r="NAS619" s="17">
        <v>44925</v>
      </c>
      <c r="NAT619" s="5" t="s">
        <v>3728</v>
      </c>
      <c r="NAU619" s="17">
        <v>44925</v>
      </c>
      <c r="NAV619" s="5" t="s">
        <v>3728</v>
      </c>
      <c r="NAW619" s="17">
        <v>44925</v>
      </c>
      <c r="NAX619" s="5" t="s">
        <v>3728</v>
      </c>
      <c r="NAY619" s="17">
        <v>44925</v>
      </c>
      <c r="NAZ619" s="5" t="s">
        <v>3728</v>
      </c>
      <c r="NBA619" s="17">
        <v>44925</v>
      </c>
      <c r="NBB619" s="5" t="s">
        <v>3728</v>
      </c>
      <c r="NBC619" s="17">
        <v>44925</v>
      </c>
      <c r="NBD619" s="5" t="s">
        <v>3728</v>
      </c>
      <c r="NBE619" s="17">
        <v>44925</v>
      </c>
      <c r="NBF619" s="5" t="s">
        <v>3728</v>
      </c>
      <c r="NBG619" s="17">
        <v>44925</v>
      </c>
      <c r="NBH619" s="5" t="s">
        <v>3728</v>
      </c>
      <c r="NBI619" s="17">
        <v>44925</v>
      </c>
      <c r="NBJ619" s="5" t="s">
        <v>3728</v>
      </c>
      <c r="NBK619" s="17">
        <v>44925</v>
      </c>
      <c r="NBL619" s="5" t="s">
        <v>3728</v>
      </c>
      <c r="NBM619" s="17">
        <v>44925</v>
      </c>
      <c r="NBN619" s="5" t="s">
        <v>3728</v>
      </c>
      <c r="NBO619" s="17">
        <v>44925</v>
      </c>
      <c r="NBP619" s="5" t="s">
        <v>3728</v>
      </c>
      <c r="NBQ619" s="17">
        <v>44925</v>
      </c>
      <c r="NBR619" s="5" t="s">
        <v>3728</v>
      </c>
      <c r="NBS619" s="17">
        <v>44925</v>
      </c>
      <c r="NBT619" s="5" t="s">
        <v>3728</v>
      </c>
      <c r="NBU619" s="17">
        <v>44925</v>
      </c>
      <c r="NBV619" s="5" t="s">
        <v>3728</v>
      </c>
      <c r="NBW619" s="17">
        <v>44925</v>
      </c>
      <c r="NBX619" s="5" t="s">
        <v>3728</v>
      </c>
      <c r="NBY619" s="17">
        <v>44925</v>
      </c>
      <c r="NBZ619" s="5" t="s">
        <v>3728</v>
      </c>
      <c r="NCA619" s="17">
        <v>44925</v>
      </c>
      <c r="NCB619" s="5" t="s">
        <v>3728</v>
      </c>
      <c r="NCC619" s="17">
        <v>44925</v>
      </c>
      <c r="NCD619" s="5" t="s">
        <v>3728</v>
      </c>
      <c r="NCE619" s="17">
        <v>44925</v>
      </c>
      <c r="NCF619" s="5" t="s">
        <v>3728</v>
      </c>
      <c r="NCG619" s="17">
        <v>44925</v>
      </c>
      <c r="NCH619" s="5" t="s">
        <v>3728</v>
      </c>
      <c r="NCI619" s="17">
        <v>44925</v>
      </c>
      <c r="NCJ619" s="5" t="s">
        <v>3728</v>
      </c>
      <c r="NCK619" s="17">
        <v>44925</v>
      </c>
      <c r="NCL619" s="5" t="s">
        <v>3728</v>
      </c>
      <c r="NCM619" s="17">
        <v>44925</v>
      </c>
      <c r="NCN619" s="5" t="s">
        <v>3728</v>
      </c>
      <c r="NCO619" s="17">
        <v>44925</v>
      </c>
      <c r="NCP619" s="5" t="s">
        <v>3728</v>
      </c>
      <c r="NCQ619" s="17">
        <v>44925</v>
      </c>
      <c r="NCR619" s="5" t="s">
        <v>3728</v>
      </c>
      <c r="NCS619" s="17">
        <v>44925</v>
      </c>
      <c r="NCT619" s="5" t="s">
        <v>3728</v>
      </c>
      <c r="NCU619" s="17">
        <v>44925</v>
      </c>
      <c r="NCV619" s="5" t="s">
        <v>3728</v>
      </c>
      <c r="NCW619" s="17">
        <v>44925</v>
      </c>
      <c r="NCX619" s="5" t="s">
        <v>3728</v>
      </c>
      <c r="NCY619" s="17">
        <v>44925</v>
      </c>
      <c r="NCZ619" s="5" t="s">
        <v>3728</v>
      </c>
      <c r="NDA619" s="17">
        <v>44925</v>
      </c>
      <c r="NDB619" s="5" t="s">
        <v>3728</v>
      </c>
      <c r="NDC619" s="17">
        <v>44925</v>
      </c>
      <c r="NDD619" s="5" t="s">
        <v>3728</v>
      </c>
      <c r="NDE619" s="17">
        <v>44925</v>
      </c>
      <c r="NDF619" s="5" t="s">
        <v>3728</v>
      </c>
      <c r="NDG619" s="17">
        <v>44925</v>
      </c>
      <c r="NDH619" s="5" t="s">
        <v>3728</v>
      </c>
      <c r="NDI619" s="17">
        <v>44925</v>
      </c>
      <c r="NDJ619" s="5" t="s">
        <v>3728</v>
      </c>
      <c r="NDK619" s="17">
        <v>44925</v>
      </c>
      <c r="NDL619" s="5" t="s">
        <v>3728</v>
      </c>
      <c r="NDM619" s="17">
        <v>44925</v>
      </c>
      <c r="NDN619" s="5" t="s">
        <v>3728</v>
      </c>
      <c r="NDO619" s="17">
        <v>44925</v>
      </c>
      <c r="NDP619" s="5" t="s">
        <v>3728</v>
      </c>
      <c r="NDQ619" s="17">
        <v>44925</v>
      </c>
      <c r="NDR619" s="5" t="s">
        <v>3728</v>
      </c>
      <c r="NDS619" s="17">
        <v>44925</v>
      </c>
      <c r="NDT619" s="5" t="s">
        <v>3728</v>
      </c>
      <c r="NDU619" s="17">
        <v>44925</v>
      </c>
      <c r="NDV619" s="5" t="s">
        <v>3728</v>
      </c>
      <c r="NDW619" s="17">
        <v>44925</v>
      </c>
      <c r="NDX619" s="5" t="s">
        <v>3728</v>
      </c>
      <c r="NDY619" s="17">
        <v>44925</v>
      </c>
      <c r="NDZ619" s="5" t="s">
        <v>3728</v>
      </c>
      <c r="NEA619" s="17">
        <v>44925</v>
      </c>
      <c r="NEB619" s="5" t="s">
        <v>3728</v>
      </c>
      <c r="NEC619" s="17">
        <v>44925</v>
      </c>
      <c r="NED619" s="5" t="s">
        <v>3728</v>
      </c>
      <c r="NEE619" s="17">
        <v>44925</v>
      </c>
      <c r="NEF619" s="5" t="s">
        <v>3728</v>
      </c>
      <c r="NEG619" s="17">
        <v>44925</v>
      </c>
      <c r="NEH619" s="5" t="s">
        <v>3728</v>
      </c>
      <c r="NEI619" s="17">
        <v>44925</v>
      </c>
      <c r="NEJ619" s="5" t="s">
        <v>3728</v>
      </c>
      <c r="NEK619" s="17">
        <v>44925</v>
      </c>
      <c r="NEL619" s="5" t="s">
        <v>3728</v>
      </c>
      <c r="NEM619" s="17">
        <v>44925</v>
      </c>
      <c r="NEN619" s="5" t="s">
        <v>3728</v>
      </c>
      <c r="NEO619" s="17">
        <v>44925</v>
      </c>
      <c r="NEP619" s="5" t="s">
        <v>3728</v>
      </c>
      <c r="NEQ619" s="17">
        <v>44925</v>
      </c>
      <c r="NER619" s="5" t="s">
        <v>3728</v>
      </c>
      <c r="NES619" s="17">
        <v>44925</v>
      </c>
      <c r="NET619" s="5" t="s">
        <v>3728</v>
      </c>
      <c r="NEU619" s="17">
        <v>44925</v>
      </c>
      <c r="NEV619" s="5" t="s">
        <v>3728</v>
      </c>
      <c r="NEW619" s="17">
        <v>44925</v>
      </c>
      <c r="NEX619" s="5" t="s">
        <v>3728</v>
      </c>
      <c r="NEY619" s="17">
        <v>44925</v>
      </c>
      <c r="NEZ619" s="5" t="s">
        <v>3728</v>
      </c>
      <c r="NFA619" s="17">
        <v>44925</v>
      </c>
      <c r="NFB619" s="5" t="s">
        <v>3728</v>
      </c>
      <c r="NFC619" s="17">
        <v>44925</v>
      </c>
      <c r="NFD619" s="5" t="s">
        <v>3728</v>
      </c>
      <c r="NFE619" s="17">
        <v>44925</v>
      </c>
      <c r="NFF619" s="5" t="s">
        <v>3728</v>
      </c>
      <c r="NFG619" s="17">
        <v>44925</v>
      </c>
      <c r="NFH619" s="5" t="s">
        <v>3728</v>
      </c>
      <c r="NFI619" s="17">
        <v>44925</v>
      </c>
      <c r="NFJ619" s="5" t="s">
        <v>3728</v>
      </c>
      <c r="NFK619" s="17">
        <v>44925</v>
      </c>
      <c r="NFL619" s="5" t="s">
        <v>3728</v>
      </c>
      <c r="NFM619" s="17">
        <v>44925</v>
      </c>
      <c r="NFN619" s="5" t="s">
        <v>3728</v>
      </c>
      <c r="NFO619" s="17">
        <v>44925</v>
      </c>
      <c r="NFP619" s="5" t="s">
        <v>3728</v>
      </c>
      <c r="NFQ619" s="17">
        <v>44925</v>
      </c>
      <c r="NFR619" s="5" t="s">
        <v>3728</v>
      </c>
      <c r="NFS619" s="17">
        <v>44925</v>
      </c>
      <c r="NFT619" s="5" t="s">
        <v>3728</v>
      </c>
      <c r="NFU619" s="17">
        <v>44925</v>
      </c>
      <c r="NFV619" s="5" t="s">
        <v>3728</v>
      </c>
      <c r="NFW619" s="17">
        <v>44925</v>
      </c>
      <c r="NFX619" s="5" t="s">
        <v>3728</v>
      </c>
      <c r="NFY619" s="17">
        <v>44925</v>
      </c>
      <c r="NFZ619" s="5" t="s">
        <v>3728</v>
      </c>
      <c r="NGA619" s="17">
        <v>44925</v>
      </c>
      <c r="NGB619" s="5" t="s">
        <v>3728</v>
      </c>
      <c r="NGC619" s="17">
        <v>44925</v>
      </c>
      <c r="NGD619" s="5" t="s">
        <v>3728</v>
      </c>
      <c r="NGE619" s="17">
        <v>44925</v>
      </c>
      <c r="NGF619" s="5" t="s">
        <v>3728</v>
      </c>
      <c r="NGG619" s="17">
        <v>44925</v>
      </c>
      <c r="NGH619" s="5" t="s">
        <v>3728</v>
      </c>
      <c r="NGI619" s="17">
        <v>44925</v>
      </c>
      <c r="NGJ619" s="5" t="s">
        <v>3728</v>
      </c>
      <c r="NGK619" s="17">
        <v>44925</v>
      </c>
      <c r="NGL619" s="5" t="s">
        <v>3728</v>
      </c>
      <c r="NGM619" s="17">
        <v>44925</v>
      </c>
      <c r="NGN619" s="5" t="s">
        <v>3728</v>
      </c>
      <c r="NGO619" s="17">
        <v>44925</v>
      </c>
      <c r="NGP619" s="5" t="s">
        <v>3728</v>
      </c>
      <c r="NGQ619" s="17">
        <v>44925</v>
      </c>
      <c r="NGR619" s="5" t="s">
        <v>3728</v>
      </c>
      <c r="NGS619" s="17">
        <v>44925</v>
      </c>
      <c r="NGT619" s="5" t="s">
        <v>3728</v>
      </c>
      <c r="NGU619" s="17">
        <v>44925</v>
      </c>
      <c r="NGV619" s="5" t="s">
        <v>3728</v>
      </c>
      <c r="NGW619" s="17">
        <v>44925</v>
      </c>
      <c r="NGX619" s="5" t="s">
        <v>3728</v>
      </c>
      <c r="NGY619" s="17">
        <v>44925</v>
      </c>
      <c r="NGZ619" s="5" t="s">
        <v>3728</v>
      </c>
      <c r="NHA619" s="17">
        <v>44925</v>
      </c>
      <c r="NHB619" s="5" t="s">
        <v>3728</v>
      </c>
      <c r="NHC619" s="17">
        <v>44925</v>
      </c>
      <c r="NHD619" s="5" t="s">
        <v>3728</v>
      </c>
      <c r="NHE619" s="17">
        <v>44925</v>
      </c>
      <c r="NHF619" s="5" t="s">
        <v>3728</v>
      </c>
      <c r="NHG619" s="17">
        <v>44925</v>
      </c>
      <c r="NHH619" s="5" t="s">
        <v>3728</v>
      </c>
      <c r="NHI619" s="17">
        <v>44925</v>
      </c>
      <c r="NHJ619" s="5" t="s">
        <v>3728</v>
      </c>
      <c r="NHK619" s="17">
        <v>44925</v>
      </c>
      <c r="NHL619" s="5" t="s">
        <v>3728</v>
      </c>
      <c r="NHM619" s="17">
        <v>44925</v>
      </c>
      <c r="NHN619" s="5" t="s">
        <v>3728</v>
      </c>
      <c r="NHO619" s="17">
        <v>44925</v>
      </c>
      <c r="NHP619" s="5" t="s">
        <v>3728</v>
      </c>
      <c r="NHQ619" s="17">
        <v>44925</v>
      </c>
      <c r="NHR619" s="5" t="s">
        <v>3728</v>
      </c>
      <c r="NHS619" s="17">
        <v>44925</v>
      </c>
      <c r="NHT619" s="5" t="s">
        <v>3728</v>
      </c>
      <c r="NHU619" s="17">
        <v>44925</v>
      </c>
      <c r="NHV619" s="5" t="s">
        <v>3728</v>
      </c>
      <c r="NHW619" s="17">
        <v>44925</v>
      </c>
      <c r="NHX619" s="5" t="s">
        <v>3728</v>
      </c>
      <c r="NHY619" s="17">
        <v>44925</v>
      </c>
      <c r="NHZ619" s="5" t="s">
        <v>3728</v>
      </c>
      <c r="NIA619" s="17">
        <v>44925</v>
      </c>
      <c r="NIB619" s="5" t="s">
        <v>3728</v>
      </c>
      <c r="NIC619" s="17">
        <v>44925</v>
      </c>
      <c r="NID619" s="5" t="s">
        <v>3728</v>
      </c>
      <c r="NIE619" s="17">
        <v>44925</v>
      </c>
      <c r="NIF619" s="5" t="s">
        <v>3728</v>
      </c>
      <c r="NIG619" s="17">
        <v>44925</v>
      </c>
      <c r="NIH619" s="5" t="s">
        <v>3728</v>
      </c>
      <c r="NII619" s="17">
        <v>44925</v>
      </c>
      <c r="NIJ619" s="5" t="s">
        <v>3728</v>
      </c>
      <c r="NIK619" s="17">
        <v>44925</v>
      </c>
      <c r="NIL619" s="5" t="s">
        <v>3728</v>
      </c>
      <c r="NIM619" s="17">
        <v>44925</v>
      </c>
      <c r="NIN619" s="5" t="s">
        <v>3728</v>
      </c>
      <c r="NIO619" s="17">
        <v>44925</v>
      </c>
      <c r="NIP619" s="5" t="s">
        <v>3728</v>
      </c>
      <c r="NIQ619" s="17">
        <v>44925</v>
      </c>
      <c r="NIR619" s="5" t="s">
        <v>3728</v>
      </c>
      <c r="NIS619" s="17">
        <v>44925</v>
      </c>
      <c r="NIT619" s="5" t="s">
        <v>3728</v>
      </c>
      <c r="NIU619" s="17">
        <v>44925</v>
      </c>
      <c r="NIV619" s="5" t="s">
        <v>3728</v>
      </c>
      <c r="NIW619" s="17">
        <v>44925</v>
      </c>
      <c r="NIX619" s="5" t="s">
        <v>3728</v>
      </c>
      <c r="NIY619" s="17">
        <v>44925</v>
      </c>
      <c r="NIZ619" s="5" t="s">
        <v>3728</v>
      </c>
      <c r="NJA619" s="17">
        <v>44925</v>
      </c>
      <c r="NJB619" s="5" t="s">
        <v>3728</v>
      </c>
      <c r="NJC619" s="17">
        <v>44925</v>
      </c>
      <c r="NJD619" s="5" t="s">
        <v>3728</v>
      </c>
      <c r="NJE619" s="17">
        <v>44925</v>
      </c>
      <c r="NJF619" s="5" t="s">
        <v>3728</v>
      </c>
      <c r="NJG619" s="17">
        <v>44925</v>
      </c>
      <c r="NJH619" s="5" t="s">
        <v>3728</v>
      </c>
      <c r="NJI619" s="17">
        <v>44925</v>
      </c>
      <c r="NJJ619" s="5" t="s">
        <v>3728</v>
      </c>
      <c r="NJK619" s="17">
        <v>44925</v>
      </c>
      <c r="NJL619" s="5" t="s">
        <v>3728</v>
      </c>
      <c r="NJM619" s="17">
        <v>44925</v>
      </c>
      <c r="NJN619" s="5" t="s">
        <v>3728</v>
      </c>
      <c r="NJO619" s="17">
        <v>44925</v>
      </c>
      <c r="NJP619" s="5" t="s">
        <v>3728</v>
      </c>
      <c r="NJQ619" s="17">
        <v>44925</v>
      </c>
      <c r="NJR619" s="5" t="s">
        <v>3728</v>
      </c>
      <c r="NJS619" s="17">
        <v>44925</v>
      </c>
      <c r="NJT619" s="5" t="s">
        <v>3728</v>
      </c>
      <c r="NJU619" s="17">
        <v>44925</v>
      </c>
      <c r="NJV619" s="5" t="s">
        <v>3728</v>
      </c>
      <c r="NJW619" s="17">
        <v>44925</v>
      </c>
      <c r="NJX619" s="5" t="s">
        <v>3728</v>
      </c>
      <c r="NJY619" s="17">
        <v>44925</v>
      </c>
      <c r="NJZ619" s="5" t="s">
        <v>3728</v>
      </c>
      <c r="NKA619" s="17">
        <v>44925</v>
      </c>
      <c r="NKB619" s="5" t="s">
        <v>3728</v>
      </c>
      <c r="NKC619" s="17">
        <v>44925</v>
      </c>
      <c r="NKD619" s="5" t="s">
        <v>3728</v>
      </c>
      <c r="NKE619" s="17">
        <v>44925</v>
      </c>
      <c r="NKF619" s="5" t="s">
        <v>3728</v>
      </c>
      <c r="NKG619" s="17">
        <v>44925</v>
      </c>
      <c r="NKH619" s="5" t="s">
        <v>3728</v>
      </c>
      <c r="NKI619" s="17">
        <v>44925</v>
      </c>
      <c r="NKJ619" s="5" t="s">
        <v>3728</v>
      </c>
      <c r="NKK619" s="17">
        <v>44925</v>
      </c>
      <c r="NKL619" s="5" t="s">
        <v>3728</v>
      </c>
      <c r="NKM619" s="17">
        <v>44925</v>
      </c>
      <c r="NKN619" s="5" t="s">
        <v>3728</v>
      </c>
      <c r="NKO619" s="17">
        <v>44925</v>
      </c>
      <c r="NKP619" s="5" t="s">
        <v>3728</v>
      </c>
      <c r="NKQ619" s="17">
        <v>44925</v>
      </c>
      <c r="NKR619" s="5" t="s">
        <v>3728</v>
      </c>
      <c r="NKS619" s="17">
        <v>44925</v>
      </c>
      <c r="NKT619" s="5" t="s">
        <v>3728</v>
      </c>
      <c r="NKU619" s="17">
        <v>44925</v>
      </c>
      <c r="NKV619" s="5" t="s">
        <v>3728</v>
      </c>
      <c r="NKW619" s="17">
        <v>44925</v>
      </c>
      <c r="NKX619" s="5" t="s">
        <v>3728</v>
      </c>
      <c r="NKY619" s="17">
        <v>44925</v>
      </c>
      <c r="NKZ619" s="5" t="s">
        <v>3728</v>
      </c>
      <c r="NLA619" s="17">
        <v>44925</v>
      </c>
      <c r="NLB619" s="5" t="s">
        <v>3728</v>
      </c>
      <c r="NLC619" s="17">
        <v>44925</v>
      </c>
      <c r="NLD619" s="5" t="s">
        <v>3728</v>
      </c>
      <c r="NLE619" s="17">
        <v>44925</v>
      </c>
      <c r="NLF619" s="5" t="s">
        <v>3728</v>
      </c>
      <c r="NLG619" s="17">
        <v>44925</v>
      </c>
      <c r="NLH619" s="5" t="s">
        <v>3728</v>
      </c>
      <c r="NLI619" s="17">
        <v>44925</v>
      </c>
      <c r="NLJ619" s="5" t="s">
        <v>3728</v>
      </c>
      <c r="NLK619" s="17">
        <v>44925</v>
      </c>
      <c r="NLL619" s="5" t="s">
        <v>3728</v>
      </c>
      <c r="NLM619" s="17">
        <v>44925</v>
      </c>
      <c r="NLN619" s="5" t="s">
        <v>3728</v>
      </c>
      <c r="NLO619" s="17">
        <v>44925</v>
      </c>
      <c r="NLP619" s="5" t="s">
        <v>3728</v>
      </c>
      <c r="NLQ619" s="17">
        <v>44925</v>
      </c>
      <c r="NLR619" s="5" t="s">
        <v>3728</v>
      </c>
      <c r="NLS619" s="17">
        <v>44925</v>
      </c>
      <c r="NLT619" s="5" t="s">
        <v>3728</v>
      </c>
      <c r="NLU619" s="17">
        <v>44925</v>
      </c>
      <c r="NLV619" s="5" t="s">
        <v>3728</v>
      </c>
      <c r="NLW619" s="17">
        <v>44925</v>
      </c>
      <c r="NLX619" s="5" t="s">
        <v>3728</v>
      </c>
      <c r="NLY619" s="17">
        <v>44925</v>
      </c>
      <c r="NLZ619" s="5" t="s">
        <v>3728</v>
      </c>
      <c r="NMA619" s="17">
        <v>44925</v>
      </c>
      <c r="NMB619" s="5" t="s">
        <v>3728</v>
      </c>
      <c r="NMC619" s="17">
        <v>44925</v>
      </c>
      <c r="NMD619" s="5" t="s">
        <v>3728</v>
      </c>
      <c r="NME619" s="17">
        <v>44925</v>
      </c>
      <c r="NMF619" s="5" t="s">
        <v>3728</v>
      </c>
      <c r="NMG619" s="17">
        <v>44925</v>
      </c>
      <c r="NMH619" s="5" t="s">
        <v>3728</v>
      </c>
      <c r="NMI619" s="17">
        <v>44925</v>
      </c>
      <c r="NMJ619" s="5" t="s">
        <v>3728</v>
      </c>
      <c r="NMK619" s="17">
        <v>44925</v>
      </c>
      <c r="NML619" s="5" t="s">
        <v>3728</v>
      </c>
      <c r="NMM619" s="17">
        <v>44925</v>
      </c>
      <c r="NMN619" s="5" t="s">
        <v>3728</v>
      </c>
      <c r="NMO619" s="17">
        <v>44925</v>
      </c>
      <c r="NMP619" s="5" t="s">
        <v>3728</v>
      </c>
      <c r="NMQ619" s="17">
        <v>44925</v>
      </c>
      <c r="NMR619" s="5" t="s">
        <v>3728</v>
      </c>
      <c r="NMS619" s="17">
        <v>44925</v>
      </c>
      <c r="NMT619" s="5" t="s">
        <v>3728</v>
      </c>
      <c r="NMU619" s="17">
        <v>44925</v>
      </c>
      <c r="NMV619" s="5" t="s">
        <v>3728</v>
      </c>
      <c r="NMW619" s="17">
        <v>44925</v>
      </c>
      <c r="NMX619" s="5" t="s">
        <v>3728</v>
      </c>
      <c r="NMY619" s="17">
        <v>44925</v>
      </c>
      <c r="NMZ619" s="5" t="s">
        <v>3728</v>
      </c>
      <c r="NNA619" s="17">
        <v>44925</v>
      </c>
      <c r="NNB619" s="5" t="s">
        <v>3728</v>
      </c>
      <c r="NNC619" s="17">
        <v>44925</v>
      </c>
      <c r="NND619" s="5" t="s">
        <v>3728</v>
      </c>
      <c r="NNE619" s="17">
        <v>44925</v>
      </c>
      <c r="NNF619" s="5" t="s">
        <v>3728</v>
      </c>
      <c r="NNG619" s="17">
        <v>44925</v>
      </c>
      <c r="NNH619" s="5" t="s">
        <v>3728</v>
      </c>
      <c r="NNI619" s="17">
        <v>44925</v>
      </c>
      <c r="NNJ619" s="5" t="s">
        <v>3728</v>
      </c>
      <c r="NNK619" s="17">
        <v>44925</v>
      </c>
      <c r="NNL619" s="5" t="s">
        <v>3728</v>
      </c>
      <c r="NNM619" s="17">
        <v>44925</v>
      </c>
      <c r="NNN619" s="5" t="s">
        <v>3728</v>
      </c>
      <c r="NNO619" s="17">
        <v>44925</v>
      </c>
      <c r="NNP619" s="5" t="s">
        <v>3728</v>
      </c>
      <c r="NNQ619" s="17">
        <v>44925</v>
      </c>
      <c r="NNR619" s="5" t="s">
        <v>3728</v>
      </c>
      <c r="NNS619" s="17">
        <v>44925</v>
      </c>
      <c r="NNT619" s="5" t="s">
        <v>3728</v>
      </c>
      <c r="NNU619" s="17">
        <v>44925</v>
      </c>
      <c r="NNV619" s="5" t="s">
        <v>3728</v>
      </c>
      <c r="NNW619" s="17">
        <v>44925</v>
      </c>
      <c r="NNX619" s="5" t="s">
        <v>3728</v>
      </c>
      <c r="NNY619" s="17">
        <v>44925</v>
      </c>
      <c r="NNZ619" s="5" t="s">
        <v>3728</v>
      </c>
      <c r="NOA619" s="17">
        <v>44925</v>
      </c>
      <c r="NOB619" s="5" t="s">
        <v>3728</v>
      </c>
      <c r="NOC619" s="17">
        <v>44925</v>
      </c>
      <c r="NOD619" s="5" t="s">
        <v>3728</v>
      </c>
      <c r="NOE619" s="17">
        <v>44925</v>
      </c>
      <c r="NOF619" s="5" t="s">
        <v>3728</v>
      </c>
      <c r="NOG619" s="17">
        <v>44925</v>
      </c>
      <c r="NOH619" s="5" t="s">
        <v>3728</v>
      </c>
      <c r="NOI619" s="17">
        <v>44925</v>
      </c>
      <c r="NOJ619" s="5" t="s">
        <v>3728</v>
      </c>
      <c r="NOK619" s="17">
        <v>44925</v>
      </c>
      <c r="NOL619" s="5" t="s">
        <v>3728</v>
      </c>
      <c r="NOM619" s="17">
        <v>44925</v>
      </c>
      <c r="NON619" s="5" t="s">
        <v>3728</v>
      </c>
      <c r="NOO619" s="17">
        <v>44925</v>
      </c>
      <c r="NOP619" s="5" t="s">
        <v>3728</v>
      </c>
      <c r="NOQ619" s="17">
        <v>44925</v>
      </c>
      <c r="NOR619" s="5" t="s">
        <v>3728</v>
      </c>
      <c r="NOS619" s="17">
        <v>44925</v>
      </c>
      <c r="NOT619" s="5" t="s">
        <v>3728</v>
      </c>
      <c r="NOU619" s="17">
        <v>44925</v>
      </c>
      <c r="NOV619" s="5" t="s">
        <v>3728</v>
      </c>
      <c r="NOW619" s="17">
        <v>44925</v>
      </c>
      <c r="NOX619" s="5" t="s">
        <v>3728</v>
      </c>
      <c r="NOY619" s="17">
        <v>44925</v>
      </c>
      <c r="NOZ619" s="5" t="s">
        <v>3728</v>
      </c>
      <c r="NPA619" s="17">
        <v>44925</v>
      </c>
      <c r="NPB619" s="5" t="s">
        <v>3728</v>
      </c>
      <c r="NPC619" s="17">
        <v>44925</v>
      </c>
      <c r="NPD619" s="5" t="s">
        <v>3728</v>
      </c>
      <c r="NPE619" s="17">
        <v>44925</v>
      </c>
      <c r="NPF619" s="5" t="s">
        <v>3728</v>
      </c>
      <c r="NPG619" s="17">
        <v>44925</v>
      </c>
      <c r="NPH619" s="5" t="s">
        <v>3728</v>
      </c>
      <c r="NPI619" s="17">
        <v>44925</v>
      </c>
      <c r="NPJ619" s="5" t="s">
        <v>3728</v>
      </c>
      <c r="NPK619" s="17">
        <v>44925</v>
      </c>
      <c r="NPL619" s="5" t="s">
        <v>3728</v>
      </c>
      <c r="NPM619" s="17">
        <v>44925</v>
      </c>
      <c r="NPN619" s="5" t="s">
        <v>3728</v>
      </c>
      <c r="NPO619" s="17">
        <v>44925</v>
      </c>
      <c r="NPP619" s="5" t="s">
        <v>3728</v>
      </c>
      <c r="NPQ619" s="17">
        <v>44925</v>
      </c>
      <c r="NPR619" s="5" t="s">
        <v>3728</v>
      </c>
      <c r="NPS619" s="17">
        <v>44925</v>
      </c>
      <c r="NPT619" s="5" t="s">
        <v>3728</v>
      </c>
      <c r="NPU619" s="17">
        <v>44925</v>
      </c>
      <c r="NPV619" s="5" t="s">
        <v>3728</v>
      </c>
      <c r="NPW619" s="17">
        <v>44925</v>
      </c>
      <c r="NPX619" s="5" t="s">
        <v>3728</v>
      </c>
      <c r="NPY619" s="17">
        <v>44925</v>
      </c>
      <c r="NPZ619" s="5" t="s">
        <v>3728</v>
      </c>
      <c r="NQA619" s="17">
        <v>44925</v>
      </c>
      <c r="NQB619" s="5" t="s">
        <v>3728</v>
      </c>
      <c r="NQC619" s="17">
        <v>44925</v>
      </c>
      <c r="NQD619" s="5" t="s">
        <v>3728</v>
      </c>
      <c r="NQE619" s="17">
        <v>44925</v>
      </c>
      <c r="NQF619" s="5" t="s">
        <v>3728</v>
      </c>
      <c r="NQG619" s="17">
        <v>44925</v>
      </c>
      <c r="NQH619" s="5" t="s">
        <v>3728</v>
      </c>
      <c r="NQI619" s="17">
        <v>44925</v>
      </c>
      <c r="NQJ619" s="5" t="s">
        <v>3728</v>
      </c>
      <c r="NQK619" s="17">
        <v>44925</v>
      </c>
      <c r="NQL619" s="5" t="s">
        <v>3728</v>
      </c>
      <c r="NQM619" s="17">
        <v>44925</v>
      </c>
      <c r="NQN619" s="5" t="s">
        <v>3728</v>
      </c>
      <c r="NQO619" s="17">
        <v>44925</v>
      </c>
      <c r="NQP619" s="5" t="s">
        <v>3728</v>
      </c>
      <c r="NQQ619" s="17">
        <v>44925</v>
      </c>
      <c r="NQR619" s="5" t="s">
        <v>3728</v>
      </c>
      <c r="NQS619" s="17">
        <v>44925</v>
      </c>
      <c r="NQT619" s="5" t="s">
        <v>3728</v>
      </c>
      <c r="NQU619" s="17">
        <v>44925</v>
      </c>
      <c r="NQV619" s="5" t="s">
        <v>3728</v>
      </c>
      <c r="NQW619" s="17">
        <v>44925</v>
      </c>
      <c r="NQX619" s="5" t="s">
        <v>3728</v>
      </c>
      <c r="NQY619" s="17">
        <v>44925</v>
      </c>
      <c r="NQZ619" s="5" t="s">
        <v>3728</v>
      </c>
      <c r="NRA619" s="17">
        <v>44925</v>
      </c>
      <c r="NRB619" s="5" t="s">
        <v>3728</v>
      </c>
      <c r="NRC619" s="17">
        <v>44925</v>
      </c>
      <c r="NRD619" s="5" t="s">
        <v>3728</v>
      </c>
      <c r="NRE619" s="17">
        <v>44925</v>
      </c>
      <c r="NRF619" s="5" t="s">
        <v>3728</v>
      </c>
      <c r="NRG619" s="17">
        <v>44925</v>
      </c>
      <c r="NRH619" s="5" t="s">
        <v>3728</v>
      </c>
      <c r="NRI619" s="17">
        <v>44925</v>
      </c>
      <c r="NRJ619" s="5" t="s">
        <v>3728</v>
      </c>
      <c r="NRK619" s="17">
        <v>44925</v>
      </c>
      <c r="NRL619" s="5" t="s">
        <v>3728</v>
      </c>
      <c r="NRM619" s="17">
        <v>44925</v>
      </c>
      <c r="NRN619" s="5" t="s">
        <v>3728</v>
      </c>
      <c r="NRO619" s="17">
        <v>44925</v>
      </c>
      <c r="NRP619" s="5" t="s">
        <v>3728</v>
      </c>
      <c r="NRQ619" s="17">
        <v>44925</v>
      </c>
      <c r="NRR619" s="5" t="s">
        <v>3728</v>
      </c>
      <c r="NRS619" s="17">
        <v>44925</v>
      </c>
      <c r="NRT619" s="5" t="s">
        <v>3728</v>
      </c>
      <c r="NRU619" s="17">
        <v>44925</v>
      </c>
      <c r="NRV619" s="5" t="s">
        <v>3728</v>
      </c>
      <c r="NRW619" s="17">
        <v>44925</v>
      </c>
      <c r="NRX619" s="5" t="s">
        <v>3728</v>
      </c>
      <c r="NRY619" s="17">
        <v>44925</v>
      </c>
      <c r="NRZ619" s="5" t="s">
        <v>3728</v>
      </c>
      <c r="NSA619" s="17">
        <v>44925</v>
      </c>
      <c r="NSB619" s="5" t="s">
        <v>3728</v>
      </c>
      <c r="NSC619" s="17">
        <v>44925</v>
      </c>
      <c r="NSD619" s="5" t="s">
        <v>3728</v>
      </c>
      <c r="NSE619" s="17">
        <v>44925</v>
      </c>
      <c r="NSF619" s="5" t="s">
        <v>3728</v>
      </c>
      <c r="NSG619" s="17">
        <v>44925</v>
      </c>
      <c r="NSH619" s="5" t="s">
        <v>3728</v>
      </c>
      <c r="NSI619" s="17">
        <v>44925</v>
      </c>
      <c r="NSJ619" s="5" t="s">
        <v>3728</v>
      </c>
      <c r="NSK619" s="17">
        <v>44925</v>
      </c>
      <c r="NSL619" s="5" t="s">
        <v>3728</v>
      </c>
      <c r="NSM619" s="17">
        <v>44925</v>
      </c>
      <c r="NSN619" s="5" t="s">
        <v>3728</v>
      </c>
      <c r="NSO619" s="17">
        <v>44925</v>
      </c>
      <c r="NSP619" s="5" t="s">
        <v>3728</v>
      </c>
      <c r="NSQ619" s="17">
        <v>44925</v>
      </c>
      <c r="NSR619" s="5" t="s">
        <v>3728</v>
      </c>
      <c r="NSS619" s="17">
        <v>44925</v>
      </c>
      <c r="NST619" s="5" t="s">
        <v>3728</v>
      </c>
      <c r="NSU619" s="17">
        <v>44925</v>
      </c>
      <c r="NSV619" s="5" t="s">
        <v>3728</v>
      </c>
      <c r="NSW619" s="17">
        <v>44925</v>
      </c>
      <c r="NSX619" s="5" t="s">
        <v>3728</v>
      </c>
      <c r="NSY619" s="17">
        <v>44925</v>
      </c>
      <c r="NSZ619" s="5" t="s">
        <v>3728</v>
      </c>
      <c r="NTA619" s="17">
        <v>44925</v>
      </c>
      <c r="NTB619" s="5" t="s">
        <v>3728</v>
      </c>
      <c r="NTC619" s="17">
        <v>44925</v>
      </c>
      <c r="NTD619" s="5" t="s">
        <v>3728</v>
      </c>
      <c r="NTE619" s="17">
        <v>44925</v>
      </c>
      <c r="NTF619" s="5" t="s">
        <v>3728</v>
      </c>
      <c r="NTG619" s="17">
        <v>44925</v>
      </c>
      <c r="NTH619" s="5" t="s">
        <v>3728</v>
      </c>
      <c r="NTI619" s="17">
        <v>44925</v>
      </c>
      <c r="NTJ619" s="5" t="s">
        <v>3728</v>
      </c>
      <c r="NTK619" s="17">
        <v>44925</v>
      </c>
      <c r="NTL619" s="5" t="s">
        <v>3728</v>
      </c>
      <c r="NTM619" s="17">
        <v>44925</v>
      </c>
      <c r="NTN619" s="5" t="s">
        <v>3728</v>
      </c>
      <c r="NTO619" s="17">
        <v>44925</v>
      </c>
      <c r="NTP619" s="5" t="s">
        <v>3728</v>
      </c>
      <c r="NTQ619" s="17">
        <v>44925</v>
      </c>
      <c r="NTR619" s="5" t="s">
        <v>3728</v>
      </c>
      <c r="NTS619" s="17">
        <v>44925</v>
      </c>
      <c r="NTT619" s="5" t="s">
        <v>3728</v>
      </c>
      <c r="NTU619" s="17">
        <v>44925</v>
      </c>
      <c r="NTV619" s="5" t="s">
        <v>3728</v>
      </c>
      <c r="NTW619" s="17">
        <v>44925</v>
      </c>
      <c r="NTX619" s="5" t="s">
        <v>3728</v>
      </c>
      <c r="NTY619" s="17">
        <v>44925</v>
      </c>
      <c r="NTZ619" s="5" t="s">
        <v>3728</v>
      </c>
      <c r="NUA619" s="17">
        <v>44925</v>
      </c>
      <c r="NUB619" s="5" t="s">
        <v>3728</v>
      </c>
      <c r="NUC619" s="17">
        <v>44925</v>
      </c>
      <c r="NUD619" s="5" t="s">
        <v>3728</v>
      </c>
      <c r="NUE619" s="17">
        <v>44925</v>
      </c>
      <c r="NUF619" s="5" t="s">
        <v>3728</v>
      </c>
      <c r="NUG619" s="17">
        <v>44925</v>
      </c>
      <c r="NUH619" s="5" t="s">
        <v>3728</v>
      </c>
      <c r="NUI619" s="17">
        <v>44925</v>
      </c>
      <c r="NUJ619" s="5" t="s">
        <v>3728</v>
      </c>
      <c r="NUK619" s="17">
        <v>44925</v>
      </c>
      <c r="NUL619" s="5" t="s">
        <v>3728</v>
      </c>
      <c r="NUM619" s="17">
        <v>44925</v>
      </c>
      <c r="NUN619" s="5" t="s">
        <v>3728</v>
      </c>
      <c r="NUO619" s="17">
        <v>44925</v>
      </c>
      <c r="NUP619" s="5" t="s">
        <v>3728</v>
      </c>
      <c r="NUQ619" s="17">
        <v>44925</v>
      </c>
      <c r="NUR619" s="5" t="s">
        <v>3728</v>
      </c>
      <c r="NUS619" s="17">
        <v>44925</v>
      </c>
      <c r="NUT619" s="5" t="s">
        <v>3728</v>
      </c>
      <c r="NUU619" s="17">
        <v>44925</v>
      </c>
      <c r="NUV619" s="5" t="s">
        <v>3728</v>
      </c>
      <c r="NUW619" s="17">
        <v>44925</v>
      </c>
      <c r="NUX619" s="5" t="s">
        <v>3728</v>
      </c>
      <c r="NUY619" s="17">
        <v>44925</v>
      </c>
      <c r="NUZ619" s="5" t="s">
        <v>3728</v>
      </c>
      <c r="NVA619" s="17">
        <v>44925</v>
      </c>
      <c r="NVB619" s="5" t="s">
        <v>3728</v>
      </c>
      <c r="NVC619" s="17">
        <v>44925</v>
      </c>
      <c r="NVD619" s="5" t="s">
        <v>3728</v>
      </c>
      <c r="NVE619" s="17">
        <v>44925</v>
      </c>
      <c r="NVF619" s="5" t="s">
        <v>3728</v>
      </c>
      <c r="NVG619" s="17">
        <v>44925</v>
      </c>
      <c r="NVH619" s="5" t="s">
        <v>3728</v>
      </c>
      <c r="NVI619" s="17">
        <v>44925</v>
      </c>
      <c r="NVJ619" s="5" t="s">
        <v>3728</v>
      </c>
      <c r="NVK619" s="17">
        <v>44925</v>
      </c>
      <c r="NVL619" s="5" t="s">
        <v>3728</v>
      </c>
      <c r="NVM619" s="17">
        <v>44925</v>
      </c>
      <c r="NVN619" s="5" t="s">
        <v>3728</v>
      </c>
      <c r="NVO619" s="17">
        <v>44925</v>
      </c>
      <c r="NVP619" s="5" t="s">
        <v>3728</v>
      </c>
      <c r="NVQ619" s="17">
        <v>44925</v>
      </c>
      <c r="NVR619" s="5" t="s">
        <v>3728</v>
      </c>
      <c r="NVS619" s="17">
        <v>44925</v>
      </c>
      <c r="NVT619" s="5" t="s">
        <v>3728</v>
      </c>
      <c r="NVU619" s="17">
        <v>44925</v>
      </c>
      <c r="NVV619" s="5" t="s">
        <v>3728</v>
      </c>
      <c r="NVW619" s="17">
        <v>44925</v>
      </c>
      <c r="NVX619" s="5" t="s">
        <v>3728</v>
      </c>
      <c r="NVY619" s="17">
        <v>44925</v>
      </c>
      <c r="NVZ619" s="5" t="s">
        <v>3728</v>
      </c>
      <c r="NWA619" s="17">
        <v>44925</v>
      </c>
      <c r="NWB619" s="5" t="s">
        <v>3728</v>
      </c>
      <c r="NWC619" s="17">
        <v>44925</v>
      </c>
      <c r="NWD619" s="5" t="s">
        <v>3728</v>
      </c>
      <c r="NWE619" s="17">
        <v>44925</v>
      </c>
      <c r="NWF619" s="5" t="s">
        <v>3728</v>
      </c>
      <c r="NWG619" s="17">
        <v>44925</v>
      </c>
      <c r="NWH619" s="5" t="s">
        <v>3728</v>
      </c>
      <c r="NWI619" s="17">
        <v>44925</v>
      </c>
      <c r="NWJ619" s="5" t="s">
        <v>3728</v>
      </c>
      <c r="NWK619" s="17">
        <v>44925</v>
      </c>
      <c r="NWL619" s="5" t="s">
        <v>3728</v>
      </c>
      <c r="NWM619" s="17">
        <v>44925</v>
      </c>
      <c r="NWN619" s="5" t="s">
        <v>3728</v>
      </c>
      <c r="NWO619" s="17">
        <v>44925</v>
      </c>
      <c r="NWP619" s="5" t="s">
        <v>3728</v>
      </c>
      <c r="NWQ619" s="17">
        <v>44925</v>
      </c>
      <c r="NWR619" s="5" t="s">
        <v>3728</v>
      </c>
      <c r="NWS619" s="17">
        <v>44925</v>
      </c>
      <c r="NWT619" s="5" t="s">
        <v>3728</v>
      </c>
      <c r="NWU619" s="17">
        <v>44925</v>
      </c>
      <c r="NWV619" s="5" t="s">
        <v>3728</v>
      </c>
      <c r="NWW619" s="17">
        <v>44925</v>
      </c>
      <c r="NWX619" s="5" t="s">
        <v>3728</v>
      </c>
      <c r="NWY619" s="17">
        <v>44925</v>
      </c>
      <c r="NWZ619" s="5" t="s">
        <v>3728</v>
      </c>
      <c r="NXA619" s="17">
        <v>44925</v>
      </c>
      <c r="NXB619" s="5" t="s">
        <v>3728</v>
      </c>
      <c r="NXC619" s="17">
        <v>44925</v>
      </c>
      <c r="NXD619" s="5" t="s">
        <v>3728</v>
      </c>
      <c r="NXE619" s="17">
        <v>44925</v>
      </c>
      <c r="NXF619" s="5" t="s">
        <v>3728</v>
      </c>
      <c r="NXG619" s="17">
        <v>44925</v>
      </c>
      <c r="NXH619" s="5" t="s">
        <v>3728</v>
      </c>
      <c r="NXI619" s="17">
        <v>44925</v>
      </c>
      <c r="NXJ619" s="5" t="s">
        <v>3728</v>
      </c>
      <c r="NXK619" s="17">
        <v>44925</v>
      </c>
      <c r="NXL619" s="5" t="s">
        <v>3728</v>
      </c>
      <c r="NXM619" s="17">
        <v>44925</v>
      </c>
      <c r="NXN619" s="5" t="s">
        <v>3728</v>
      </c>
      <c r="NXO619" s="17">
        <v>44925</v>
      </c>
      <c r="NXP619" s="5" t="s">
        <v>3728</v>
      </c>
      <c r="NXQ619" s="17">
        <v>44925</v>
      </c>
      <c r="NXR619" s="5" t="s">
        <v>3728</v>
      </c>
      <c r="NXS619" s="17">
        <v>44925</v>
      </c>
      <c r="NXT619" s="5" t="s">
        <v>3728</v>
      </c>
      <c r="NXU619" s="17">
        <v>44925</v>
      </c>
      <c r="NXV619" s="5" t="s">
        <v>3728</v>
      </c>
      <c r="NXW619" s="17">
        <v>44925</v>
      </c>
      <c r="NXX619" s="5" t="s">
        <v>3728</v>
      </c>
      <c r="NXY619" s="17">
        <v>44925</v>
      </c>
      <c r="NXZ619" s="5" t="s">
        <v>3728</v>
      </c>
      <c r="NYA619" s="17">
        <v>44925</v>
      </c>
      <c r="NYB619" s="5" t="s">
        <v>3728</v>
      </c>
      <c r="NYC619" s="17">
        <v>44925</v>
      </c>
      <c r="NYD619" s="5" t="s">
        <v>3728</v>
      </c>
      <c r="NYE619" s="17">
        <v>44925</v>
      </c>
      <c r="NYF619" s="5" t="s">
        <v>3728</v>
      </c>
      <c r="NYG619" s="17">
        <v>44925</v>
      </c>
      <c r="NYH619" s="5" t="s">
        <v>3728</v>
      </c>
      <c r="NYI619" s="17">
        <v>44925</v>
      </c>
      <c r="NYJ619" s="5" t="s">
        <v>3728</v>
      </c>
      <c r="NYK619" s="17">
        <v>44925</v>
      </c>
      <c r="NYL619" s="5" t="s">
        <v>3728</v>
      </c>
      <c r="NYM619" s="17">
        <v>44925</v>
      </c>
      <c r="NYN619" s="5" t="s">
        <v>3728</v>
      </c>
      <c r="NYO619" s="17">
        <v>44925</v>
      </c>
      <c r="NYP619" s="5" t="s">
        <v>3728</v>
      </c>
      <c r="NYQ619" s="17">
        <v>44925</v>
      </c>
      <c r="NYR619" s="5" t="s">
        <v>3728</v>
      </c>
      <c r="NYS619" s="17">
        <v>44925</v>
      </c>
      <c r="NYT619" s="5" t="s">
        <v>3728</v>
      </c>
      <c r="NYU619" s="17">
        <v>44925</v>
      </c>
      <c r="NYV619" s="5" t="s">
        <v>3728</v>
      </c>
      <c r="NYW619" s="17">
        <v>44925</v>
      </c>
      <c r="NYX619" s="5" t="s">
        <v>3728</v>
      </c>
      <c r="NYY619" s="17">
        <v>44925</v>
      </c>
      <c r="NYZ619" s="5" t="s">
        <v>3728</v>
      </c>
      <c r="NZA619" s="17">
        <v>44925</v>
      </c>
      <c r="NZB619" s="5" t="s">
        <v>3728</v>
      </c>
      <c r="NZC619" s="17">
        <v>44925</v>
      </c>
      <c r="NZD619" s="5" t="s">
        <v>3728</v>
      </c>
      <c r="NZE619" s="17">
        <v>44925</v>
      </c>
      <c r="NZF619" s="5" t="s">
        <v>3728</v>
      </c>
      <c r="NZG619" s="17">
        <v>44925</v>
      </c>
      <c r="NZH619" s="5" t="s">
        <v>3728</v>
      </c>
      <c r="NZI619" s="17">
        <v>44925</v>
      </c>
      <c r="NZJ619" s="5" t="s">
        <v>3728</v>
      </c>
      <c r="NZK619" s="17">
        <v>44925</v>
      </c>
      <c r="NZL619" s="5" t="s">
        <v>3728</v>
      </c>
      <c r="NZM619" s="17">
        <v>44925</v>
      </c>
      <c r="NZN619" s="5" t="s">
        <v>3728</v>
      </c>
      <c r="NZO619" s="17">
        <v>44925</v>
      </c>
      <c r="NZP619" s="5" t="s">
        <v>3728</v>
      </c>
      <c r="NZQ619" s="17">
        <v>44925</v>
      </c>
      <c r="NZR619" s="5" t="s">
        <v>3728</v>
      </c>
      <c r="NZS619" s="17">
        <v>44925</v>
      </c>
      <c r="NZT619" s="5" t="s">
        <v>3728</v>
      </c>
      <c r="NZU619" s="17">
        <v>44925</v>
      </c>
      <c r="NZV619" s="5" t="s">
        <v>3728</v>
      </c>
      <c r="NZW619" s="17">
        <v>44925</v>
      </c>
      <c r="NZX619" s="5" t="s">
        <v>3728</v>
      </c>
      <c r="NZY619" s="17">
        <v>44925</v>
      </c>
      <c r="NZZ619" s="5" t="s">
        <v>3728</v>
      </c>
      <c r="OAA619" s="17">
        <v>44925</v>
      </c>
      <c r="OAB619" s="5" t="s">
        <v>3728</v>
      </c>
      <c r="OAC619" s="17">
        <v>44925</v>
      </c>
      <c r="OAD619" s="5" t="s">
        <v>3728</v>
      </c>
      <c r="OAE619" s="17">
        <v>44925</v>
      </c>
      <c r="OAF619" s="5" t="s">
        <v>3728</v>
      </c>
      <c r="OAG619" s="17">
        <v>44925</v>
      </c>
      <c r="OAH619" s="5" t="s">
        <v>3728</v>
      </c>
      <c r="OAI619" s="17">
        <v>44925</v>
      </c>
      <c r="OAJ619" s="5" t="s">
        <v>3728</v>
      </c>
      <c r="OAK619" s="17">
        <v>44925</v>
      </c>
      <c r="OAL619" s="5" t="s">
        <v>3728</v>
      </c>
      <c r="OAM619" s="17">
        <v>44925</v>
      </c>
      <c r="OAN619" s="5" t="s">
        <v>3728</v>
      </c>
      <c r="OAO619" s="17">
        <v>44925</v>
      </c>
      <c r="OAP619" s="5" t="s">
        <v>3728</v>
      </c>
      <c r="OAQ619" s="17">
        <v>44925</v>
      </c>
      <c r="OAR619" s="5" t="s">
        <v>3728</v>
      </c>
      <c r="OAS619" s="17">
        <v>44925</v>
      </c>
      <c r="OAT619" s="5" t="s">
        <v>3728</v>
      </c>
      <c r="OAU619" s="17">
        <v>44925</v>
      </c>
      <c r="OAV619" s="5" t="s">
        <v>3728</v>
      </c>
      <c r="OAW619" s="17">
        <v>44925</v>
      </c>
      <c r="OAX619" s="5" t="s">
        <v>3728</v>
      </c>
      <c r="OAY619" s="17">
        <v>44925</v>
      </c>
      <c r="OAZ619" s="5" t="s">
        <v>3728</v>
      </c>
      <c r="OBA619" s="17">
        <v>44925</v>
      </c>
      <c r="OBB619" s="5" t="s">
        <v>3728</v>
      </c>
      <c r="OBC619" s="17">
        <v>44925</v>
      </c>
      <c r="OBD619" s="5" t="s">
        <v>3728</v>
      </c>
      <c r="OBE619" s="17">
        <v>44925</v>
      </c>
      <c r="OBF619" s="5" t="s">
        <v>3728</v>
      </c>
      <c r="OBG619" s="17">
        <v>44925</v>
      </c>
      <c r="OBH619" s="5" t="s">
        <v>3728</v>
      </c>
      <c r="OBI619" s="17">
        <v>44925</v>
      </c>
      <c r="OBJ619" s="5" t="s">
        <v>3728</v>
      </c>
      <c r="OBK619" s="17">
        <v>44925</v>
      </c>
      <c r="OBL619" s="5" t="s">
        <v>3728</v>
      </c>
      <c r="OBM619" s="17">
        <v>44925</v>
      </c>
      <c r="OBN619" s="5" t="s">
        <v>3728</v>
      </c>
      <c r="OBO619" s="17">
        <v>44925</v>
      </c>
      <c r="OBP619" s="5" t="s">
        <v>3728</v>
      </c>
      <c r="OBQ619" s="17">
        <v>44925</v>
      </c>
      <c r="OBR619" s="5" t="s">
        <v>3728</v>
      </c>
      <c r="OBS619" s="17">
        <v>44925</v>
      </c>
      <c r="OBT619" s="5" t="s">
        <v>3728</v>
      </c>
      <c r="OBU619" s="17">
        <v>44925</v>
      </c>
      <c r="OBV619" s="5" t="s">
        <v>3728</v>
      </c>
      <c r="OBW619" s="17">
        <v>44925</v>
      </c>
      <c r="OBX619" s="5" t="s">
        <v>3728</v>
      </c>
      <c r="OBY619" s="17">
        <v>44925</v>
      </c>
      <c r="OBZ619" s="5" t="s">
        <v>3728</v>
      </c>
      <c r="OCA619" s="17">
        <v>44925</v>
      </c>
      <c r="OCB619" s="5" t="s">
        <v>3728</v>
      </c>
      <c r="OCC619" s="17">
        <v>44925</v>
      </c>
      <c r="OCD619" s="5" t="s">
        <v>3728</v>
      </c>
      <c r="OCE619" s="17">
        <v>44925</v>
      </c>
      <c r="OCF619" s="5" t="s">
        <v>3728</v>
      </c>
      <c r="OCG619" s="17">
        <v>44925</v>
      </c>
      <c r="OCH619" s="5" t="s">
        <v>3728</v>
      </c>
      <c r="OCI619" s="17">
        <v>44925</v>
      </c>
      <c r="OCJ619" s="5" t="s">
        <v>3728</v>
      </c>
      <c r="OCK619" s="17">
        <v>44925</v>
      </c>
      <c r="OCL619" s="5" t="s">
        <v>3728</v>
      </c>
      <c r="OCM619" s="17">
        <v>44925</v>
      </c>
      <c r="OCN619" s="5" t="s">
        <v>3728</v>
      </c>
      <c r="OCO619" s="17">
        <v>44925</v>
      </c>
      <c r="OCP619" s="5" t="s">
        <v>3728</v>
      </c>
      <c r="OCQ619" s="17">
        <v>44925</v>
      </c>
      <c r="OCR619" s="5" t="s">
        <v>3728</v>
      </c>
      <c r="OCS619" s="17">
        <v>44925</v>
      </c>
      <c r="OCT619" s="5" t="s">
        <v>3728</v>
      </c>
      <c r="OCU619" s="17">
        <v>44925</v>
      </c>
      <c r="OCV619" s="5" t="s">
        <v>3728</v>
      </c>
      <c r="OCW619" s="17">
        <v>44925</v>
      </c>
      <c r="OCX619" s="5" t="s">
        <v>3728</v>
      </c>
      <c r="OCY619" s="17">
        <v>44925</v>
      </c>
      <c r="OCZ619" s="5" t="s">
        <v>3728</v>
      </c>
      <c r="ODA619" s="17">
        <v>44925</v>
      </c>
      <c r="ODB619" s="5" t="s">
        <v>3728</v>
      </c>
      <c r="ODC619" s="17">
        <v>44925</v>
      </c>
      <c r="ODD619" s="5" t="s">
        <v>3728</v>
      </c>
      <c r="ODE619" s="17">
        <v>44925</v>
      </c>
      <c r="ODF619" s="5" t="s">
        <v>3728</v>
      </c>
      <c r="ODG619" s="17">
        <v>44925</v>
      </c>
      <c r="ODH619" s="5" t="s">
        <v>3728</v>
      </c>
      <c r="ODI619" s="17">
        <v>44925</v>
      </c>
      <c r="ODJ619" s="5" t="s">
        <v>3728</v>
      </c>
      <c r="ODK619" s="17">
        <v>44925</v>
      </c>
      <c r="ODL619" s="5" t="s">
        <v>3728</v>
      </c>
      <c r="ODM619" s="17">
        <v>44925</v>
      </c>
      <c r="ODN619" s="5" t="s">
        <v>3728</v>
      </c>
      <c r="ODO619" s="17">
        <v>44925</v>
      </c>
      <c r="ODP619" s="5" t="s">
        <v>3728</v>
      </c>
      <c r="ODQ619" s="17">
        <v>44925</v>
      </c>
      <c r="ODR619" s="5" t="s">
        <v>3728</v>
      </c>
      <c r="ODS619" s="17">
        <v>44925</v>
      </c>
      <c r="ODT619" s="5" t="s">
        <v>3728</v>
      </c>
      <c r="ODU619" s="17">
        <v>44925</v>
      </c>
      <c r="ODV619" s="5" t="s">
        <v>3728</v>
      </c>
      <c r="ODW619" s="17">
        <v>44925</v>
      </c>
      <c r="ODX619" s="5" t="s">
        <v>3728</v>
      </c>
      <c r="ODY619" s="17">
        <v>44925</v>
      </c>
      <c r="ODZ619" s="5" t="s">
        <v>3728</v>
      </c>
      <c r="OEA619" s="17">
        <v>44925</v>
      </c>
      <c r="OEB619" s="5" t="s">
        <v>3728</v>
      </c>
      <c r="OEC619" s="17">
        <v>44925</v>
      </c>
      <c r="OED619" s="5" t="s">
        <v>3728</v>
      </c>
      <c r="OEE619" s="17">
        <v>44925</v>
      </c>
      <c r="OEF619" s="5" t="s">
        <v>3728</v>
      </c>
      <c r="OEG619" s="17">
        <v>44925</v>
      </c>
      <c r="OEH619" s="5" t="s">
        <v>3728</v>
      </c>
      <c r="OEI619" s="17">
        <v>44925</v>
      </c>
      <c r="OEJ619" s="5" t="s">
        <v>3728</v>
      </c>
      <c r="OEK619" s="17">
        <v>44925</v>
      </c>
      <c r="OEL619" s="5" t="s">
        <v>3728</v>
      </c>
      <c r="OEM619" s="17">
        <v>44925</v>
      </c>
      <c r="OEN619" s="5" t="s">
        <v>3728</v>
      </c>
      <c r="OEO619" s="17">
        <v>44925</v>
      </c>
      <c r="OEP619" s="5" t="s">
        <v>3728</v>
      </c>
      <c r="OEQ619" s="17">
        <v>44925</v>
      </c>
      <c r="OER619" s="5" t="s">
        <v>3728</v>
      </c>
      <c r="OES619" s="17">
        <v>44925</v>
      </c>
      <c r="OET619" s="5" t="s">
        <v>3728</v>
      </c>
      <c r="OEU619" s="17">
        <v>44925</v>
      </c>
      <c r="OEV619" s="5" t="s">
        <v>3728</v>
      </c>
      <c r="OEW619" s="17">
        <v>44925</v>
      </c>
      <c r="OEX619" s="5" t="s">
        <v>3728</v>
      </c>
      <c r="OEY619" s="17">
        <v>44925</v>
      </c>
      <c r="OEZ619" s="5" t="s">
        <v>3728</v>
      </c>
      <c r="OFA619" s="17">
        <v>44925</v>
      </c>
      <c r="OFB619" s="5" t="s">
        <v>3728</v>
      </c>
      <c r="OFC619" s="17">
        <v>44925</v>
      </c>
      <c r="OFD619" s="5" t="s">
        <v>3728</v>
      </c>
      <c r="OFE619" s="17">
        <v>44925</v>
      </c>
      <c r="OFF619" s="5" t="s">
        <v>3728</v>
      </c>
      <c r="OFG619" s="17">
        <v>44925</v>
      </c>
      <c r="OFH619" s="5" t="s">
        <v>3728</v>
      </c>
      <c r="OFI619" s="17">
        <v>44925</v>
      </c>
      <c r="OFJ619" s="5" t="s">
        <v>3728</v>
      </c>
      <c r="OFK619" s="17">
        <v>44925</v>
      </c>
      <c r="OFL619" s="5" t="s">
        <v>3728</v>
      </c>
      <c r="OFM619" s="17">
        <v>44925</v>
      </c>
      <c r="OFN619" s="5" t="s">
        <v>3728</v>
      </c>
      <c r="OFO619" s="17">
        <v>44925</v>
      </c>
      <c r="OFP619" s="5" t="s">
        <v>3728</v>
      </c>
      <c r="OFQ619" s="17">
        <v>44925</v>
      </c>
      <c r="OFR619" s="5" t="s">
        <v>3728</v>
      </c>
      <c r="OFS619" s="17">
        <v>44925</v>
      </c>
      <c r="OFT619" s="5" t="s">
        <v>3728</v>
      </c>
      <c r="OFU619" s="17">
        <v>44925</v>
      </c>
      <c r="OFV619" s="5" t="s">
        <v>3728</v>
      </c>
      <c r="OFW619" s="17">
        <v>44925</v>
      </c>
      <c r="OFX619" s="5" t="s">
        <v>3728</v>
      </c>
      <c r="OFY619" s="17">
        <v>44925</v>
      </c>
      <c r="OFZ619" s="5" t="s">
        <v>3728</v>
      </c>
      <c r="OGA619" s="17">
        <v>44925</v>
      </c>
      <c r="OGB619" s="5" t="s">
        <v>3728</v>
      </c>
      <c r="OGC619" s="17">
        <v>44925</v>
      </c>
      <c r="OGD619" s="5" t="s">
        <v>3728</v>
      </c>
      <c r="OGE619" s="17">
        <v>44925</v>
      </c>
      <c r="OGF619" s="5" t="s">
        <v>3728</v>
      </c>
      <c r="OGG619" s="17">
        <v>44925</v>
      </c>
      <c r="OGH619" s="5" t="s">
        <v>3728</v>
      </c>
      <c r="OGI619" s="17">
        <v>44925</v>
      </c>
      <c r="OGJ619" s="5" t="s">
        <v>3728</v>
      </c>
      <c r="OGK619" s="17">
        <v>44925</v>
      </c>
      <c r="OGL619" s="5" t="s">
        <v>3728</v>
      </c>
      <c r="OGM619" s="17">
        <v>44925</v>
      </c>
      <c r="OGN619" s="5" t="s">
        <v>3728</v>
      </c>
      <c r="OGO619" s="17">
        <v>44925</v>
      </c>
      <c r="OGP619" s="5" t="s">
        <v>3728</v>
      </c>
      <c r="OGQ619" s="17">
        <v>44925</v>
      </c>
      <c r="OGR619" s="5" t="s">
        <v>3728</v>
      </c>
      <c r="OGS619" s="17">
        <v>44925</v>
      </c>
      <c r="OGT619" s="5" t="s">
        <v>3728</v>
      </c>
      <c r="OGU619" s="17">
        <v>44925</v>
      </c>
      <c r="OGV619" s="5" t="s">
        <v>3728</v>
      </c>
      <c r="OGW619" s="17">
        <v>44925</v>
      </c>
      <c r="OGX619" s="5" t="s">
        <v>3728</v>
      </c>
      <c r="OGY619" s="17">
        <v>44925</v>
      </c>
      <c r="OGZ619" s="5" t="s">
        <v>3728</v>
      </c>
      <c r="OHA619" s="17">
        <v>44925</v>
      </c>
      <c r="OHB619" s="5" t="s">
        <v>3728</v>
      </c>
      <c r="OHC619" s="17">
        <v>44925</v>
      </c>
      <c r="OHD619" s="5" t="s">
        <v>3728</v>
      </c>
      <c r="OHE619" s="17">
        <v>44925</v>
      </c>
      <c r="OHF619" s="5" t="s">
        <v>3728</v>
      </c>
      <c r="OHG619" s="17">
        <v>44925</v>
      </c>
      <c r="OHH619" s="5" t="s">
        <v>3728</v>
      </c>
      <c r="OHI619" s="17">
        <v>44925</v>
      </c>
      <c r="OHJ619" s="5" t="s">
        <v>3728</v>
      </c>
      <c r="OHK619" s="17">
        <v>44925</v>
      </c>
      <c r="OHL619" s="5" t="s">
        <v>3728</v>
      </c>
      <c r="OHM619" s="17">
        <v>44925</v>
      </c>
      <c r="OHN619" s="5" t="s">
        <v>3728</v>
      </c>
      <c r="OHO619" s="17">
        <v>44925</v>
      </c>
      <c r="OHP619" s="5" t="s">
        <v>3728</v>
      </c>
      <c r="OHQ619" s="17">
        <v>44925</v>
      </c>
      <c r="OHR619" s="5" t="s">
        <v>3728</v>
      </c>
      <c r="OHS619" s="17">
        <v>44925</v>
      </c>
      <c r="OHT619" s="5" t="s">
        <v>3728</v>
      </c>
      <c r="OHU619" s="17">
        <v>44925</v>
      </c>
      <c r="OHV619" s="5" t="s">
        <v>3728</v>
      </c>
      <c r="OHW619" s="17">
        <v>44925</v>
      </c>
      <c r="OHX619" s="5" t="s">
        <v>3728</v>
      </c>
      <c r="OHY619" s="17">
        <v>44925</v>
      </c>
      <c r="OHZ619" s="5" t="s">
        <v>3728</v>
      </c>
      <c r="OIA619" s="17">
        <v>44925</v>
      </c>
      <c r="OIB619" s="5" t="s">
        <v>3728</v>
      </c>
      <c r="OIC619" s="17">
        <v>44925</v>
      </c>
      <c r="OID619" s="5" t="s">
        <v>3728</v>
      </c>
      <c r="OIE619" s="17">
        <v>44925</v>
      </c>
      <c r="OIF619" s="5" t="s">
        <v>3728</v>
      </c>
      <c r="OIG619" s="17">
        <v>44925</v>
      </c>
      <c r="OIH619" s="5" t="s">
        <v>3728</v>
      </c>
      <c r="OII619" s="17">
        <v>44925</v>
      </c>
      <c r="OIJ619" s="5" t="s">
        <v>3728</v>
      </c>
      <c r="OIK619" s="17">
        <v>44925</v>
      </c>
      <c r="OIL619" s="5" t="s">
        <v>3728</v>
      </c>
      <c r="OIM619" s="17">
        <v>44925</v>
      </c>
      <c r="OIN619" s="5" t="s">
        <v>3728</v>
      </c>
      <c r="OIO619" s="17">
        <v>44925</v>
      </c>
      <c r="OIP619" s="5" t="s">
        <v>3728</v>
      </c>
      <c r="OIQ619" s="17">
        <v>44925</v>
      </c>
      <c r="OIR619" s="5" t="s">
        <v>3728</v>
      </c>
      <c r="OIS619" s="17">
        <v>44925</v>
      </c>
      <c r="OIT619" s="5" t="s">
        <v>3728</v>
      </c>
      <c r="OIU619" s="17">
        <v>44925</v>
      </c>
      <c r="OIV619" s="5" t="s">
        <v>3728</v>
      </c>
      <c r="OIW619" s="17">
        <v>44925</v>
      </c>
      <c r="OIX619" s="5" t="s">
        <v>3728</v>
      </c>
      <c r="OIY619" s="17">
        <v>44925</v>
      </c>
      <c r="OIZ619" s="5" t="s">
        <v>3728</v>
      </c>
      <c r="OJA619" s="17">
        <v>44925</v>
      </c>
      <c r="OJB619" s="5" t="s">
        <v>3728</v>
      </c>
      <c r="OJC619" s="17">
        <v>44925</v>
      </c>
      <c r="OJD619" s="5" t="s">
        <v>3728</v>
      </c>
      <c r="OJE619" s="17">
        <v>44925</v>
      </c>
      <c r="OJF619" s="5" t="s">
        <v>3728</v>
      </c>
      <c r="OJG619" s="17">
        <v>44925</v>
      </c>
      <c r="OJH619" s="5" t="s">
        <v>3728</v>
      </c>
      <c r="OJI619" s="17">
        <v>44925</v>
      </c>
      <c r="OJJ619" s="5" t="s">
        <v>3728</v>
      </c>
      <c r="OJK619" s="17">
        <v>44925</v>
      </c>
      <c r="OJL619" s="5" t="s">
        <v>3728</v>
      </c>
      <c r="OJM619" s="17">
        <v>44925</v>
      </c>
      <c r="OJN619" s="5" t="s">
        <v>3728</v>
      </c>
      <c r="OJO619" s="17">
        <v>44925</v>
      </c>
      <c r="OJP619" s="5" t="s">
        <v>3728</v>
      </c>
      <c r="OJQ619" s="17">
        <v>44925</v>
      </c>
      <c r="OJR619" s="5" t="s">
        <v>3728</v>
      </c>
      <c r="OJS619" s="17">
        <v>44925</v>
      </c>
      <c r="OJT619" s="5" t="s">
        <v>3728</v>
      </c>
      <c r="OJU619" s="17">
        <v>44925</v>
      </c>
      <c r="OJV619" s="5" t="s">
        <v>3728</v>
      </c>
      <c r="OJW619" s="17">
        <v>44925</v>
      </c>
      <c r="OJX619" s="5" t="s">
        <v>3728</v>
      </c>
      <c r="OJY619" s="17">
        <v>44925</v>
      </c>
      <c r="OJZ619" s="5" t="s">
        <v>3728</v>
      </c>
      <c r="OKA619" s="17">
        <v>44925</v>
      </c>
      <c r="OKB619" s="5" t="s">
        <v>3728</v>
      </c>
      <c r="OKC619" s="17">
        <v>44925</v>
      </c>
      <c r="OKD619" s="5" t="s">
        <v>3728</v>
      </c>
      <c r="OKE619" s="17">
        <v>44925</v>
      </c>
      <c r="OKF619" s="5" t="s">
        <v>3728</v>
      </c>
      <c r="OKG619" s="17">
        <v>44925</v>
      </c>
      <c r="OKH619" s="5" t="s">
        <v>3728</v>
      </c>
      <c r="OKI619" s="17">
        <v>44925</v>
      </c>
      <c r="OKJ619" s="5" t="s">
        <v>3728</v>
      </c>
      <c r="OKK619" s="17">
        <v>44925</v>
      </c>
      <c r="OKL619" s="5" t="s">
        <v>3728</v>
      </c>
      <c r="OKM619" s="17">
        <v>44925</v>
      </c>
      <c r="OKN619" s="5" t="s">
        <v>3728</v>
      </c>
      <c r="OKO619" s="17">
        <v>44925</v>
      </c>
      <c r="OKP619" s="5" t="s">
        <v>3728</v>
      </c>
      <c r="OKQ619" s="17">
        <v>44925</v>
      </c>
      <c r="OKR619" s="5" t="s">
        <v>3728</v>
      </c>
      <c r="OKS619" s="17">
        <v>44925</v>
      </c>
      <c r="OKT619" s="5" t="s">
        <v>3728</v>
      </c>
      <c r="OKU619" s="17">
        <v>44925</v>
      </c>
      <c r="OKV619" s="5" t="s">
        <v>3728</v>
      </c>
      <c r="OKW619" s="17">
        <v>44925</v>
      </c>
      <c r="OKX619" s="5" t="s">
        <v>3728</v>
      </c>
      <c r="OKY619" s="17">
        <v>44925</v>
      </c>
      <c r="OKZ619" s="5" t="s">
        <v>3728</v>
      </c>
      <c r="OLA619" s="17">
        <v>44925</v>
      </c>
      <c r="OLB619" s="5" t="s">
        <v>3728</v>
      </c>
      <c r="OLC619" s="17">
        <v>44925</v>
      </c>
      <c r="OLD619" s="5" t="s">
        <v>3728</v>
      </c>
      <c r="OLE619" s="17">
        <v>44925</v>
      </c>
      <c r="OLF619" s="5" t="s">
        <v>3728</v>
      </c>
      <c r="OLG619" s="17">
        <v>44925</v>
      </c>
      <c r="OLH619" s="5" t="s">
        <v>3728</v>
      </c>
      <c r="OLI619" s="17">
        <v>44925</v>
      </c>
      <c r="OLJ619" s="5" t="s">
        <v>3728</v>
      </c>
      <c r="OLK619" s="17">
        <v>44925</v>
      </c>
      <c r="OLL619" s="5" t="s">
        <v>3728</v>
      </c>
      <c r="OLM619" s="17">
        <v>44925</v>
      </c>
      <c r="OLN619" s="5" t="s">
        <v>3728</v>
      </c>
      <c r="OLO619" s="17">
        <v>44925</v>
      </c>
      <c r="OLP619" s="5" t="s">
        <v>3728</v>
      </c>
      <c r="OLQ619" s="17">
        <v>44925</v>
      </c>
      <c r="OLR619" s="5" t="s">
        <v>3728</v>
      </c>
      <c r="OLS619" s="17">
        <v>44925</v>
      </c>
      <c r="OLT619" s="5" t="s">
        <v>3728</v>
      </c>
      <c r="OLU619" s="17">
        <v>44925</v>
      </c>
      <c r="OLV619" s="5" t="s">
        <v>3728</v>
      </c>
      <c r="OLW619" s="17">
        <v>44925</v>
      </c>
      <c r="OLX619" s="5" t="s">
        <v>3728</v>
      </c>
      <c r="OLY619" s="17">
        <v>44925</v>
      </c>
      <c r="OLZ619" s="5" t="s">
        <v>3728</v>
      </c>
      <c r="OMA619" s="17">
        <v>44925</v>
      </c>
      <c r="OMB619" s="5" t="s">
        <v>3728</v>
      </c>
      <c r="OMC619" s="17">
        <v>44925</v>
      </c>
      <c r="OMD619" s="5" t="s">
        <v>3728</v>
      </c>
      <c r="OME619" s="17">
        <v>44925</v>
      </c>
      <c r="OMF619" s="5" t="s">
        <v>3728</v>
      </c>
      <c r="OMG619" s="17">
        <v>44925</v>
      </c>
      <c r="OMH619" s="5" t="s">
        <v>3728</v>
      </c>
      <c r="OMI619" s="17">
        <v>44925</v>
      </c>
      <c r="OMJ619" s="5" t="s">
        <v>3728</v>
      </c>
      <c r="OMK619" s="17">
        <v>44925</v>
      </c>
      <c r="OML619" s="5" t="s">
        <v>3728</v>
      </c>
      <c r="OMM619" s="17">
        <v>44925</v>
      </c>
      <c r="OMN619" s="5" t="s">
        <v>3728</v>
      </c>
      <c r="OMO619" s="17">
        <v>44925</v>
      </c>
      <c r="OMP619" s="5" t="s">
        <v>3728</v>
      </c>
      <c r="OMQ619" s="17">
        <v>44925</v>
      </c>
      <c r="OMR619" s="5" t="s">
        <v>3728</v>
      </c>
      <c r="OMS619" s="17">
        <v>44925</v>
      </c>
      <c r="OMT619" s="5" t="s">
        <v>3728</v>
      </c>
      <c r="OMU619" s="17">
        <v>44925</v>
      </c>
      <c r="OMV619" s="5" t="s">
        <v>3728</v>
      </c>
      <c r="OMW619" s="17">
        <v>44925</v>
      </c>
      <c r="OMX619" s="5" t="s">
        <v>3728</v>
      </c>
      <c r="OMY619" s="17">
        <v>44925</v>
      </c>
      <c r="OMZ619" s="5" t="s">
        <v>3728</v>
      </c>
      <c r="ONA619" s="17">
        <v>44925</v>
      </c>
      <c r="ONB619" s="5" t="s">
        <v>3728</v>
      </c>
      <c r="ONC619" s="17">
        <v>44925</v>
      </c>
      <c r="OND619" s="5" t="s">
        <v>3728</v>
      </c>
      <c r="ONE619" s="17">
        <v>44925</v>
      </c>
      <c r="ONF619" s="5" t="s">
        <v>3728</v>
      </c>
      <c r="ONG619" s="17">
        <v>44925</v>
      </c>
      <c r="ONH619" s="5" t="s">
        <v>3728</v>
      </c>
      <c r="ONI619" s="17">
        <v>44925</v>
      </c>
      <c r="ONJ619" s="5" t="s">
        <v>3728</v>
      </c>
      <c r="ONK619" s="17">
        <v>44925</v>
      </c>
      <c r="ONL619" s="5" t="s">
        <v>3728</v>
      </c>
      <c r="ONM619" s="17">
        <v>44925</v>
      </c>
      <c r="ONN619" s="5" t="s">
        <v>3728</v>
      </c>
      <c r="ONO619" s="17">
        <v>44925</v>
      </c>
      <c r="ONP619" s="5" t="s">
        <v>3728</v>
      </c>
      <c r="ONQ619" s="17">
        <v>44925</v>
      </c>
      <c r="ONR619" s="5" t="s">
        <v>3728</v>
      </c>
      <c r="ONS619" s="17">
        <v>44925</v>
      </c>
      <c r="ONT619" s="5" t="s">
        <v>3728</v>
      </c>
      <c r="ONU619" s="17">
        <v>44925</v>
      </c>
      <c r="ONV619" s="5" t="s">
        <v>3728</v>
      </c>
      <c r="ONW619" s="17">
        <v>44925</v>
      </c>
      <c r="ONX619" s="5" t="s">
        <v>3728</v>
      </c>
      <c r="ONY619" s="17">
        <v>44925</v>
      </c>
      <c r="ONZ619" s="5" t="s">
        <v>3728</v>
      </c>
      <c r="OOA619" s="17">
        <v>44925</v>
      </c>
      <c r="OOB619" s="5" t="s">
        <v>3728</v>
      </c>
      <c r="OOC619" s="17">
        <v>44925</v>
      </c>
      <c r="OOD619" s="5" t="s">
        <v>3728</v>
      </c>
      <c r="OOE619" s="17">
        <v>44925</v>
      </c>
      <c r="OOF619" s="5" t="s">
        <v>3728</v>
      </c>
      <c r="OOG619" s="17">
        <v>44925</v>
      </c>
      <c r="OOH619" s="5" t="s">
        <v>3728</v>
      </c>
      <c r="OOI619" s="17">
        <v>44925</v>
      </c>
      <c r="OOJ619" s="5" t="s">
        <v>3728</v>
      </c>
      <c r="OOK619" s="17">
        <v>44925</v>
      </c>
      <c r="OOL619" s="5" t="s">
        <v>3728</v>
      </c>
      <c r="OOM619" s="17">
        <v>44925</v>
      </c>
      <c r="OON619" s="5" t="s">
        <v>3728</v>
      </c>
      <c r="OOO619" s="17">
        <v>44925</v>
      </c>
      <c r="OOP619" s="5" t="s">
        <v>3728</v>
      </c>
      <c r="OOQ619" s="17">
        <v>44925</v>
      </c>
      <c r="OOR619" s="5" t="s">
        <v>3728</v>
      </c>
      <c r="OOS619" s="17">
        <v>44925</v>
      </c>
      <c r="OOT619" s="5" t="s">
        <v>3728</v>
      </c>
      <c r="OOU619" s="17">
        <v>44925</v>
      </c>
      <c r="OOV619" s="5" t="s">
        <v>3728</v>
      </c>
      <c r="OOW619" s="17">
        <v>44925</v>
      </c>
      <c r="OOX619" s="5" t="s">
        <v>3728</v>
      </c>
      <c r="OOY619" s="17">
        <v>44925</v>
      </c>
      <c r="OOZ619" s="5" t="s">
        <v>3728</v>
      </c>
      <c r="OPA619" s="17">
        <v>44925</v>
      </c>
      <c r="OPB619" s="5" t="s">
        <v>3728</v>
      </c>
      <c r="OPC619" s="17">
        <v>44925</v>
      </c>
      <c r="OPD619" s="5" t="s">
        <v>3728</v>
      </c>
      <c r="OPE619" s="17">
        <v>44925</v>
      </c>
      <c r="OPF619" s="5" t="s">
        <v>3728</v>
      </c>
      <c r="OPG619" s="17">
        <v>44925</v>
      </c>
      <c r="OPH619" s="5" t="s">
        <v>3728</v>
      </c>
      <c r="OPI619" s="17">
        <v>44925</v>
      </c>
      <c r="OPJ619" s="5" t="s">
        <v>3728</v>
      </c>
      <c r="OPK619" s="17">
        <v>44925</v>
      </c>
      <c r="OPL619" s="5" t="s">
        <v>3728</v>
      </c>
      <c r="OPM619" s="17">
        <v>44925</v>
      </c>
      <c r="OPN619" s="5" t="s">
        <v>3728</v>
      </c>
      <c r="OPO619" s="17">
        <v>44925</v>
      </c>
      <c r="OPP619" s="5" t="s">
        <v>3728</v>
      </c>
      <c r="OPQ619" s="17">
        <v>44925</v>
      </c>
      <c r="OPR619" s="5" t="s">
        <v>3728</v>
      </c>
      <c r="OPS619" s="17">
        <v>44925</v>
      </c>
      <c r="OPT619" s="5" t="s">
        <v>3728</v>
      </c>
      <c r="OPU619" s="17">
        <v>44925</v>
      </c>
      <c r="OPV619" s="5" t="s">
        <v>3728</v>
      </c>
      <c r="OPW619" s="17">
        <v>44925</v>
      </c>
      <c r="OPX619" s="5" t="s">
        <v>3728</v>
      </c>
      <c r="OPY619" s="17">
        <v>44925</v>
      </c>
      <c r="OPZ619" s="5" t="s">
        <v>3728</v>
      </c>
      <c r="OQA619" s="17">
        <v>44925</v>
      </c>
      <c r="OQB619" s="5" t="s">
        <v>3728</v>
      </c>
      <c r="OQC619" s="17">
        <v>44925</v>
      </c>
      <c r="OQD619" s="5" t="s">
        <v>3728</v>
      </c>
      <c r="OQE619" s="17">
        <v>44925</v>
      </c>
      <c r="OQF619" s="5" t="s">
        <v>3728</v>
      </c>
      <c r="OQG619" s="17">
        <v>44925</v>
      </c>
      <c r="OQH619" s="5" t="s">
        <v>3728</v>
      </c>
      <c r="OQI619" s="17">
        <v>44925</v>
      </c>
      <c r="OQJ619" s="5" t="s">
        <v>3728</v>
      </c>
      <c r="OQK619" s="17">
        <v>44925</v>
      </c>
      <c r="OQL619" s="5" t="s">
        <v>3728</v>
      </c>
      <c r="OQM619" s="17">
        <v>44925</v>
      </c>
      <c r="OQN619" s="5" t="s">
        <v>3728</v>
      </c>
      <c r="OQO619" s="17">
        <v>44925</v>
      </c>
      <c r="OQP619" s="5" t="s">
        <v>3728</v>
      </c>
      <c r="OQQ619" s="17">
        <v>44925</v>
      </c>
      <c r="OQR619" s="5" t="s">
        <v>3728</v>
      </c>
      <c r="OQS619" s="17">
        <v>44925</v>
      </c>
      <c r="OQT619" s="5" t="s">
        <v>3728</v>
      </c>
      <c r="OQU619" s="17">
        <v>44925</v>
      </c>
      <c r="OQV619" s="5" t="s">
        <v>3728</v>
      </c>
      <c r="OQW619" s="17">
        <v>44925</v>
      </c>
      <c r="OQX619" s="5" t="s">
        <v>3728</v>
      </c>
      <c r="OQY619" s="17">
        <v>44925</v>
      </c>
      <c r="OQZ619" s="5" t="s">
        <v>3728</v>
      </c>
      <c r="ORA619" s="17">
        <v>44925</v>
      </c>
      <c r="ORB619" s="5" t="s">
        <v>3728</v>
      </c>
      <c r="ORC619" s="17">
        <v>44925</v>
      </c>
      <c r="ORD619" s="5" t="s">
        <v>3728</v>
      </c>
      <c r="ORE619" s="17">
        <v>44925</v>
      </c>
      <c r="ORF619" s="5" t="s">
        <v>3728</v>
      </c>
      <c r="ORG619" s="17">
        <v>44925</v>
      </c>
      <c r="ORH619" s="5" t="s">
        <v>3728</v>
      </c>
      <c r="ORI619" s="17">
        <v>44925</v>
      </c>
      <c r="ORJ619" s="5" t="s">
        <v>3728</v>
      </c>
      <c r="ORK619" s="17">
        <v>44925</v>
      </c>
      <c r="ORL619" s="5" t="s">
        <v>3728</v>
      </c>
      <c r="ORM619" s="17">
        <v>44925</v>
      </c>
      <c r="ORN619" s="5" t="s">
        <v>3728</v>
      </c>
      <c r="ORO619" s="17">
        <v>44925</v>
      </c>
      <c r="ORP619" s="5" t="s">
        <v>3728</v>
      </c>
      <c r="ORQ619" s="17">
        <v>44925</v>
      </c>
      <c r="ORR619" s="5" t="s">
        <v>3728</v>
      </c>
      <c r="ORS619" s="17">
        <v>44925</v>
      </c>
      <c r="ORT619" s="5" t="s">
        <v>3728</v>
      </c>
      <c r="ORU619" s="17">
        <v>44925</v>
      </c>
      <c r="ORV619" s="5" t="s">
        <v>3728</v>
      </c>
      <c r="ORW619" s="17">
        <v>44925</v>
      </c>
      <c r="ORX619" s="5" t="s">
        <v>3728</v>
      </c>
      <c r="ORY619" s="17">
        <v>44925</v>
      </c>
      <c r="ORZ619" s="5" t="s">
        <v>3728</v>
      </c>
      <c r="OSA619" s="17">
        <v>44925</v>
      </c>
      <c r="OSB619" s="5" t="s">
        <v>3728</v>
      </c>
      <c r="OSC619" s="17">
        <v>44925</v>
      </c>
      <c r="OSD619" s="5" t="s">
        <v>3728</v>
      </c>
      <c r="OSE619" s="17">
        <v>44925</v>
      </c>
      <c r="OSF619" s="5" t="s">
        <v>3728</v>
      </c>
      <c r="OSG619" s="17">
        <v>44925</v>
      </c>
      <c r="OSH619" s="5" t="s">
        <v>3728</v>
      </c>
      <c r="OSI619" s="17">
        <v>44925</v>
      </c>
      <c r="OSJ619" s="5" t="s">
        <v>3728</v>
      </c>
      <c r="OSK619" s="17">
        <v>44925</v>
      </c>
      <c r="OSL619" s="5" t="s">
        <v>3728</v>
      </c>
      <c r="OSM619" s="17">
        <v>44925</v>
      </c>
      <c r="OSN619" s="5" t="s">
        <v>3728</v>
      </c>
      <c r="OSO619" s="17">
        <v>44925</v>
      </c>
      <c r="OSP619" s="5" t="s">
        <v>3728</v>
      </c>
      <c r="OSQ619" s="17">
        <v>44925</v>
      </c>
      <c r="OSR619" s="5" t="s">
        <v>3728</v>
      </c>
      <c r="OSS619" s="17">
        <v>44925</v>
      </c>
      <c r="OST619" s="5" t="s">
        <v>3728</v>
      </c>
      <c r="OSU619" s="17">
        <v>44925</v>
      </c>
      <c r="OSV619" s="5" t="s">
        <v>3728</v>
      </c>
      <c r="OSW619" s="17">
        <v>44925</v>
      </c>
      <c r="OSX619" s="5" t="s">
        <v>3728</v>
      </c>
      <c r="OSY619" s="17">
        <v>44925</v>
      </c>
      <c r="OSZ619" s="5" t="s">
        <v>3728</v>
      </c>
      <c r="OTA619" s="17">
        <v>44925</v>
      </c>
      <c r="OTB619" s="5" t="s">
        <v>3728</v>
      </c>
      <c r="OTC619" s="17">
        <v>44925</v>
      </c>
      <c r="OTD619" s="5" t="s">
        <v>3728</v>
      </c>
      <c r="OTE619" s="17">
        <v>44925</v>
      </c>
      <c r="OTF619" s="5" t="s">
        <v>3728</v>
      </c>
      <c r="OTG619" s="17">
        <v>44925</v>
      </c>
      <c r="OTH619" s="5" t="s">
        <v>3728</v>
      </c>
      <c r="OTI619" s="17">
        <v>44925</v>
      </c>
      <c r="OTJ619" s="5" t="s">
        <v>3728</v>
      </c>
      <c r="OTK619" s="17">
        <v>44925</v>
      </c>
      <c r="OTL619" s="5" t="s">
        <v>3728</v>
      </c>
      <c r="OTM619" s="17">
        <v>44925</v>
      </c>
      <c r="OTN619" s="5" t="s">
        <v>3728</v>
      </c>
      <c r="OTO619" s="17">
        <v>44925</v>
      </c>
      <c r="OTP619" s="5" t="s">
        <v>3728</v>
      </c>
      <c r="OTQ619" s="17">
        <v>44925</v>
      </c>
      <c r="OTR619" s="5" t="s">
        <v>3728</v>
      </c>
      <c r="OTS619" s="17">
        <v>44925</v>
      </c>
      <c r="OTT619" s="5" t="s">
        <v>3728</v>
      </c>
      <c r="OTU619" s="17">
        <v>44925</v>
      </c>
      <c r="OTV619" s="5" t="s">
        <v>3728</v>
      </c>
      <c r="OTW619" s="17">
        <v>44925</v>
      </c>
      <c r="OTX619" s="5" t="s">
        <v>3728</v>
      </c>
      <c r="OTY619" s="17">
        <v>44925</v>
      </c>
      <c r="OTZ619" s="5" t="s">
        <v>3728</v>
      </c>
      <c r="OUA619" s="17">
        <v>44925</v>
      </c>
      <c r="OUB619" s="5" t="s">
        <v>3728</v>
      </c>
      <c r="OUC619" s="17">
        <v>44925</v>
      </c>
      <c r="OUD619" s="5" t="s">
        <v>3728</v>
      </c>
      <c r="OUE619" s="17">
        <v>44925</v>
      </c>
      <c r="OUF619" s="5" t="s">
        <v>3728</v>
      </c>
      <c r="OUG619" s="17">
        <v>44925</v>
      </c>
      <c r="OUH619" s="5" t="s">
        <v>3728</v>
      </c>
      <c r="OUI619" s="17">
        <v>44925</v>
      </c>
      <c r="OUJ619" s="5" t="s">
        <v>3728</v>
      </c>
      <c r="OUK619" s="17">
        <v>44925</v>
      </c>
      <c r="OUL619" s="5" t="s">
        <v>3728</v>
      </c>
      <c r="OUM619" s="17">
        <v>44925</v>
      </c>
      <c r="OUN619" s="5" t="s">
        <v>3728</v>
      </c>
      <c r="OUO619" s="17">
        <v>44925</v>
      </c>
      <c r="OUP619" s="5" t="s">
        <v>3728</v>
      </c>
      <c r="OUQ619" s="17">
        <v>44925</v>
      </c>
      <c r="OUR619" s="5" t="s">
        <v>3728</v>
      </c>
      <c r="OUS619" s="17">
        <v>44925</v>
      </c>
      <c r="OUT619" s="5" t="s">
        <v>3728</v>
      </c>
      <c r="OUU619" s="17">
        <v>44925</v>
      </c>
      <c r="OUV619" s="5" t="s">
        <v>3728</v>
      </c>
      <c r="OUW619" s="17">
        <v>44925</v>
      </c>
      <c r="OUX619" s="5" t="s">
        <v>3728</v>
      </c>
      <c r="OUY619" s="17">
        <v>44925</v>
      </c>
      <c r="OUZ619" s="5" t="s">
        <v>3728</v>
      </c>
      <c r="OVA619" s="17">
        <v>44925</v>
      </c>
      <c r="OVB619" s="5" t="s">
        <v>3728</v>
      </c>
      <c r="OVC619" s="17">
        <v>44925</v>
      </c>
      <c r="OVD619" s="5" t="s">
        <v>3728</v>
      </c>
      <c r="OVE619" s="17">
        <v>44925</v>
      </c>
      <c r="OVF619" s="5" t="s">
        <v>3728</v>
      </c>
      <c r="OVG619" s="17">
        <v>44925</v>
      </c>
      <c r="OVH619" s="5" t="s">
        <v>3728</v>
      </c>
      <c r="OVI619" s="17">
        <v>44925</v>
      </c>
      <c r="OVJ619" s="5" t="s">
        <v>3728</v>
      </c>
      <c r="OVK619" s="17">
        <v>44925</v>
      </c>
      <c r="OVL619" s="5" t="s">
        <v>3728</v>
      </c>
      <c r="OVM619" s="17">
        <v>44925</v>
      </c>
      <c r="OVN619" s="5" t="s">
        <v>3728</v>
      </c>
      <c r="OVO619" s="17">
        <v>44925</v>
      </c>
      <c r="OVP619" s="5" t="s">
        <v>3728</v>
      </c>
      <c r="OVQ619" s="17">
        <v>44925</v>
      </c>
      <c r="OVR619" s="5" t="s">
        <v>3728</v>
      </c>
      <c r="OVS619" s="17">
        <v>44925</v>
      </c>
      <c r="OVT619" s="5" t="s">
        <v>3728</v>
      </c>
      <c r="OVU619" s="17">
        <v>44925</v>
      </c>
      <c r="OVV619" s="5" t="s">
        <v>3728</v>
      </c>
      <c r="OVW619" s="17">
        <v>44925</v>
      </c>
      <c r="OVX619" s="5" t="s">
        <v>3728</v>
      </c>
      <c r="OVY619" s="17">
        <v>44925</v>
      </c>
      <c r="OVZ619" s="5" t="s">
        <v>3728</v>
      </c>
      <c r="OWA619" s="17">
        <v>44925</v>
      </c>
      <c r="OWB619" s="5" t="s">
        <v>3728</v>
      </c>
      <c r="OWC619" s="17">
        <v>44925</v>
      </c>
      <c r="OWD619" s="5" t="s">
        <v>3728</v>
      </c>
      <c r="OWE619" s="17">
        <v>44925</v>
      </c>
      <c r="OWF619" s="5" t="s">
        <v>3728</v>
      </c>
      <c r="OWG619" s="17">
        <v>44925</v>
      </c>
      <c r="OWH619" s="5" t="s">
        <v>3728</v>
      </c>
      <c r="OWI619" s="17">
        <v>44925</v>
      </c>
      <c r="OWJ619" s="5" t="s">
        <v>3728</v>
      </c>
      <c r="OWK619" s="17">
        <v>44925</v>
      </c>
      <c r="OWL619" s="5" t="s">
        <v>3728</v>
      </c>
      <c r="OWM619" s="17">
        <v>44925</v>
      </c>
      <c r="OWN619" s="5" t="s">
        <v>3728</v>
      </c>
      <c r="OWO619" s="17">
        <v>44925</v>
      </c>
      <c r="OWP619" s="5" t="s">
        <v>3728</v>
      </c>
      <c r="OWQ619" s="17">
        <v>44925</v>
      </c>
      <c r="OWR619" s="5" t="s">
        <v>3728</v>
      </c>
      <c r="OWS619" s="17">
        <v>44925</v>
      </c>
      <c r="OWT619" s="5" t="s">
        <v>3728</v>
      </c>
      <c r="OWU619" s="17">
        <v>44925</v>
      </c>
      <c r="OWV619" s="5" t="s">
        <v>3728</v>
      </c>
      <c r="OWW619" s="17">
        <v>44925</v>
      </c>
      <c r="OWX619" s="5" t="s">
        <v>3728</v>
      </c>
      <c r="OWY619" s="17">
        <v>44925</v>
      </c>
      <c r="OWZ619" s="5" t="s">
        <v>3728</v>
      </c>
      <c r="OXA619" s="17">
        <v>44925</v>
      </c>
      <c r="OXB619" s="5" t="s">
        <v>3728</v>
      </c>
      <c r="OXC619" s="17">
        <v>44925</v>
      </c>
      <c r="OXD619" s="5" t="s">
        <v>3728</v>
      </c>
      <c r="OXE619" s="17">
        <v>44925</v>
      </c>
      <c r="OXF619" s="5" t="s">
        <v>3728</v>
      </c>
      <c r="OXG619" s="17">
        <v>44925</v>
      </c>
      <c r="OXH619" s="5" t="s">
        <v>3728</v>
      </c>
      <c r="OXI619" s="17">
        <v>44925</v>
      </c>
      <c r="OXJ619" s="5" t="s">
        <v>3728</v>
      </c>
      <c r="OXK619" s="17">
        <v>44925</v>
      </c>
      <c r="OXL619" s="5" t="s">
        <v>3728</v>
      </c>
      <c r="OXM619" s="17">
        <v>44925</v>
      </c>
      <c r="OXN619" s="5" t="s">
        <v>3728</v>
      </c>
      <c r="OXO619" s="17">
        <v>44925</v>
      </c>
      <c r="OXP619" s="5" t="s">
        <v>3728</v>
      </c>
      <c r="OXQ619" s="17">
        <v>44925</v>
      </c>
      <c r="OXR619" s="5" t="s">
        <v>3728</v>
      </c>
      <c r="OXS619" s="17">
        <v>44925</v>
      </c>
      <c r="OXT619" s="5" t="s">
        <v>3728</v>
      </c>
      <c r="OXU619" s="17">
        <v>44925</v>
      </c>
      <c r="OXV619" s="5" t="s">
        <v>3728</v>
      </c>
      <c r="OXW619" s="17">
        <v>44925</v>
      </c>
      <c r="OXX619" s="5" t="s">
        <v>3728</v>
      </c>
      <c r="OXY619" s="17">
        <v>44925</v>
      </c>
      <c r="OXZ619" s="5" t="s">
        <v>3728</v>
      </c>
      <c r="OYA619" s="17">
        <v>44925</v>
      </c>
      <c r="OYB619" s="5" t="s">
        <v>3728</v>
      </c>
      <c r="OYC619" s="17">
        <v>44925</v>
      </c>
      <c r="OYD619" s="5" t="s">
        <v>3728</v>
      </c>
      <c r="OYE619" s="17">
        <v>44925</v>
      </c>
      <c r="OYF619" s="5" t="s">
        <v>3728</v>
      </c>
      <c r="OYG619" s="17">
        <v>44925</v>
      </c>
      <c r="OYH619" s="5" t="s">
        <v>3728</v>
      </c>
      <c r="OYI619" s="17">
        <v>44925</v>
      </c>
      <c r="OYJ619" s="5" t="s">
        <v>3728</v>
      </c>
      <c r="OYK619" s="17">
        <v>44925</v>
      </c>
      <c r="OYL619" s="5" t="s">
        <v>3728</v>
      </c>
      <c r="OYM619" s="17">
        <v>44925</v>
      </c>
      <c r="OYN619" s="5" t="s">
        <v>3728</v>
      </c>
      <c r="OYO619" s="17">
        <v>44925</v>
      </c>
      <c r="OYP619" s="5" t="s">
        <v>3728</v>
      </c>
      <c r="OYQ619" s="17">
        <v>44925</v>
      </c>
      <c r="OYR619" s="5" t="s">
        <v>3728</v>
      </c>
      <c r="OYS619" s="17">
        <v>44925</v>
      </c>
      <c r="OYT619" s="5" t="s">
        <v>3728</v>
      </c>
      <c r="OYU619" s="17">
        <v>44925</v>
      </c>
      <c r="OYV619" s="5" t="s">
        <v>3728</v>
      </c>
      <c r="OYW619" s="17">
        <v>44925</v>
      </c>
      <c r="OYX619" s="5" t="s">
        <v>3728</v>
      </c>
      <c r="OYY619" s="17">
        <v>44925</v>
      </c>
      <c r="OYZ619" s="5" t="s">
        <v>3728</v>
      </c>
      <c r="OZA619" s="17">
        <v>44925</v>
      </c>
      <c r="OZB619" s="5" t="s">
        <v>3728</v>
      </c>
      <c r="OZC619" s="17">
        <v>44925</v>
      </c>
      <c r="OZD619" s="5" t="s">
        <v>3728</v>
      </c>
      <c r="OZE619" s="17">
        <v>44925</v>
      </c>
      <c r="OZF619" s="5" t="s">
        <v>3728</v>
      </c>
      <c r="OZG619" s="17">
        <v>44925</v>
      </c>
      <c r="OZH619" s="5" t="s">
        <v>3728</v>
      </c>
      <c r="OZI619" s="17">
        <v>44925</v>
      </c>
      <c r="OZJ619" s="5" t="s">
        <v>3728</v>
      </c>
      <c r="OZK619" s="17">
        <v>44925</v>
      </c>
      <c r="OZL619" s="5" t="s">
        <v>3728</v>
      </c>
      <c r="OZM619" s="17">
        <v>44925</v>
      </c>
      <c r="OZN619" s="5" t="s">
        <v>3728</v>
      </c>
      <c r="OZO619" s="17">
        <v>44925</v>
      </c>
      <c r="OZP619" s="5" t="s">
        <v>3728</v>
      </c>
      <c r="OZQ619" s="17">
        <v>44925</v>
      </c>
      <c r="OZR619" s="5" t="s">
        <v>3728</v>
      </c>
      <c r="OZS619" s="17">
        <v>44925</v>
      </c>
      <c r="OZT619" s="5" t="s">
        <v>3728</v>
      </c>
      <c r="OZU619" s="17">
        <v>44925</v>
      </c>
      <c r="OZV619" s="5" t="s">
        <v>3728</v>
      </c>
      <c r="OZW619" s="17">
        <v>44925</v>
      </c>
      <c r="OZX619" s="5" t="s">
        <v>3728</v>
      </c>
      <c r="OZY619" s="17">
        <v>44925</v>
      </c>
      <c r="OZZ619" s="5" t="s">
        <v>3728</v>
      </c>
      <c r="PAA619" s="17">
        <v>44925</v>
      </c>
      <c r="PAB619" s="5" t="s">
        <v>3728</v>
      </c>
      <c r="PAC619" s="17">
        <v>44925</v>
      </c>
      <c r="PAD619" s="5" t="s">
        <v>3728</v>
      </c>
      <c r="PAE619" s="17">
        <v>44925</v>
      </c>
      <c r="PAF619" s="5" t="s">
        <v>3728</v>
      </c>
      <c r="PAG619" s="17">
        <v>44925</v>
      </c>
      <c r="PAH619" s="5" t="s">
        <v>3728</v>
      </c>
      <c r="PAI619" s="17">
        <v>44925</v>
      </c>
      <c r="PAJ619" s="5" t="s">
        <v>3728</v>
      </c>
      <c r="PAK619" s="17">
        <v>44925</v>
      </c>
      <c r="PAL619" s="5" t="s">
        <v>3728</v>
      </c>
      <c r="PAM619" s="17">
        <v>44925</v>
      </c>
      <c r="PAN619" s="5" t="s">
        <v>3728</v>
      </c>
      <c r="PAO619" s="17">
        <v>44925</v>
      </c>
      <c r="PAP619" s="5" t="s">
        <v>3728</v>
      </c>
      <c r="PAQ619" s="17">
        <v>44925</v>
      </c>
      <c r="PAR619" s="5" t="s">
        <v>3728</v>
      </c>
      <c r="PAS619" s="17">
        <v>44925</v>
      </c>
      <c r="PAT619" s="5" t="s">
        <v>3728</v>
      </c>
      <c r="PAU619" s="17">
        <v>44925</v>
      </c>
      <c r="PAV619" s="5" t="s">
        <v>3728</v>
      </c>
      <c r="PAW619" s="17">
        <v>44925</v>
      </c>
      <c r="PAX619" s="5" t="s">
        <v>3728</v>
      </c>
      <c r="PAY619" s="17">
        <v>44925</v>
      </c>
      <c r="PAZ619" s="5" t="s">
        <v>3728</v>
      </c>
      <c r="PBA619" s="17">
        <v>44925</v>
      </c>
      <c r="PBB619" s="5" t="s">
        <v>3728</v>
      </c>
      <c r="PBC619" s="17">
        <v>44925</v>
      </c>
      <c r="PBD619" s="5" t="s">
        <v>3728</v>
      </c>
      <c r="PBE619" s="17">
        <v>44925</v>
      </c>
      <c r="PBF619" s="5" t="s">
        <v>3728</v>
      </c>
      <c r="PBG619" s="17">
        <v>44925</v>
      </c>
      <c r="PBH619" s="5" t="s">
        <v>3728</v>
      </c>
      <c r="PBI619" s="17">
        <v>44925</v>
      </c>
      <c r="PBJ619" s="5" t="s">
        <v>3728</v>
      </c>
      <c r="PBK619" s="17">
        <v>44925</v>
      </c>
      <c r="PBL619" s="5" t="s">
        <v>3728</v>
      </c>
      <c r="PBM619" s="17">
        <v>44925</v>
      </c>
      <c r="PBN619" s="5" t="s">
        <v>3728</v>
      </c>
      <c r="PBO619" s="17">
        <v>44925</v>
      </c>
      <c r="PBP619" s="5" t="s">
        <v>3728</v>
      </c>
      <c r="PBQ619" s="17">
        <v>44925</v>
      </c>
      <c r="PBR619" s="5" t="s">
        <v>3728</v>
      </c>
      <c r="PBS619" s="17">
        <v>44925</v>
      </c>
      <c r="PBT619" s="5" t="s">
        <v>3728</v>
      </c>
      <c r="PBU619" s="17">
        <v>44925</v>
      </c>
      <c r="PBV619" s="5" t="s">
        <v>3728</v>
      </c>
      <c r="PBW619" s="17">
        <v>44925</v>
      </c>
      <c r="PBX619" s="5" t="s">
        <v>3728</v>
      </c>
      <c r="PBY619" s="17">
        <v>44925</v>
      </c>
      <c r="PBZ619" s="5" t="s">
        <v>3728</v>
      </c>
      <c r="PCA619" s="17">
        <v>44925</v>
      </c>
      <c r="PCB619" s="5" t="s">
        <v>3728</v>
      </c>
      <c r="PCC619" s="17">
        <v>44925</v>
      </c>
      <c r="PCD619" s="5" t="s">
        <v>3728</v>
      </c>
      <c r="PCE619" s="17">
        <v>44925</v>
      </c>
      <c r="PCF619" s="5" t="s">
        <v>3728</v>
      </c>
      <c r="PCG619" s="17">
        <v>44925</v>
      </c>
      <c r="PCH619" s="5" t="s">
        <v>3728</v>
      </c>
      <c r="PCI619" s="17">
        <v>44925</v>
      </c>
      <c r="PCJ619" s="5" t="s">
        <v>3728</v>
      </c>
      <c r="PCK619" s="17">
        <v>44925</v>
      </c>
      <c r="PCL619" s="5" t="s">
        <v>3728</v>
      </c>
      <c r="PCM619" s="17">
        <v>44925</v>
      </c>
      <c r="PCN619" s="5" t="s">
        <v>3728</v>
      </c>
      <c r="PCO619" s="17">
        <v>44925</v>
      </c>
      <c r="PCP619" s="5" t="s">
        <v>3728</v>
      </c>
      <c r="PCQ619" s="17">
        <v>44925</v>
      </c>
      <c r="PCR619" s="5" t="s">
        <v>3728</v>
      </c>
      <c r="PCS619" s="17">
        <v>44925</v>
      </c>
      <c r="PCT619" s="5" t="s">
        <v>3728</v>
      </c>
      <c r="PCU619" s="17">
        <v>44925</v>
      </c>
      <c r="PCV619" s="5" t="s">
        <v>3728</v>
      </c>
      <c r="PCW619" s="17">
        <v>44925</v>
      </c>
      <c r="PCX619" s="5" t="s">
        <v>3728</v>
      </c>
      <c r="PCY619" s="17">
        <v>44925</v>
      </c>
      <c r="PCZ619" s="5" t="s">
        <v>3728</v>
      </c>
      <c r="PDA619" s="17">
        <v>44925</v>
      </c>
      <c r="PDB619" s="5" t="s">
        <v>3728</v>
      </c>
      <c r="PDC619" s="17">
        <v>44925</v>
      </c>
      <c r="PDD619" s="5" t="s">
        <v>3728</v>
      </c>
      <c r="PDE619" s="17">
        <v>44925</v>
      </c>
      <c r="PDF619" s="5" t="s">
        <v>3728</v>
      </c>
      <c r="PDG619" s="17">
        <v>44925</v>
      </c>
      <c r="PDH619" s="5" t="s">
        <v>3728</v>
      </c>
      <c r="PDI619" s="17">
        <v>44925</v>
      </c>
      <c r="PDJ619" s="5" t="s">
        <v>3728</v>
      </c>
      <c r="PDK619" s="17">
        <v>44925</v>
      </c>
      <c r="PDL619" s="5" t="s">
        <v>3728</v>
      </c>
      <c r="PDM619" s="17">
        <v>44925</v>
      </c>
      <c r="PDN619" s="5" t="s">
        <v>3728</v>
      </c>
      <c r="PDO619" s="17">
        <v>44925</v>
      </c>
      <c r="PDP619" s="5" t="s">
        <v>3728</v>
      </c>
      <c r="PDQ619" s="17">
        <v>44925</v>
      </c>
      <c r="PDR619" s="5" t="s">
        <v>3728</v>
      </c>
      <c r="PDS619" s="17">
        <v>44925</v>
      </c>
      <c r="PDT619" s="5" t="s">
        <v>3728</v>
      </c>
      <c r="PDU619" s="17">
        <v>44925</v>
      </c>
      <c r="PDV619" s="5" t="s">
        <v>3728</v>
      </c>
      <c r="PDW619" s="17">
        <v>44925</v>
      </c>
      <c r="PDX619" s="5" t="s">
        <v>3728</v>
      </c>
      <c r="PDY619" s="17">
        <v>44925</v>
      </c>
      <c r="PDZ619" s="5" t="s">
        <v>3728</v>
      </c>
      <c r="PEA619" s="17">
        <v>44925</v>
      </c>
      <c r="PEB619" s="5" t="s">
        <v>3728</v>
      </c>
      <c r="PEC619" s="17">
        <v>44925</v>
      </c>
      <c r="PED619" s="5" t="s">
        <v>3728</v>
      </c>
      <c r="PEE619" s="17">
        <v>44925</v>
      </c>
      <c r="PEF619" s="5" t="s">
        <v>3728</v>
      </c>
      <c r="PEG619" s="17">
        <v>44925</v>
      </c>
      <c r="PEH619" s="5" t="s">
        <v>3728</v>
      </c>
      <c r="PEI619" s="17">
        <v>44925</v>
      </c>
      <c r="PEJ619" s="5" t="s">
        <v>3728</v>
      </c>
      <c r="PEK619" s="17">
        <v>44925</v>
      </c>
      <c r="PEL619" s="5" t="s">
        <v>3728</v>
      </c>
      <c r="PEM619" s="17">
        <v>44925</v>
      </c>
      <c r="PEN619" s="5" t="s">
        <v>3728</v>
      </c>
      <c r="PEO619" s="17">
        <v>44925</v>
      </c>
      <c r="PEP619" s="5" t="s">
        <v>3728</v>
      </c>
      <c r="PEQ619" s="17">
        <v>44925</v>
      </c>
      <c r="PER619" s="5" t="s">
        <v>3728</v>
      </c>
      <c r="PES619" s="17">
        <v>44925</v>
      </c>
      <c r="PET619" s="5" t="s">
        <v>3728</v>
      </c>
      <c r="PEU619" s="17">
        <v>44925</v>
      </c>
      <c r="PEV619" s="5" t="s">
        <v>3728</v>
      </c>
      <c r="PEW619" s="17">
        <v>44925</v>
      </c>
      <c r="PEX619" s="5" t="s">
        <v>3728</v>
      </c>
      <c r="PEY619" s="17">
        <v>44925</v>
      </c>
      <c r="PEZ619" s="5" t="s">
        <v>3728</v>
      </c>
      <c r="PFA619" s="17">
        <v>44925</v>
      </c>
      <c r="PFB619" s="5" t="s">
        <v>3728</v>
      </c>
      <c r="PFC619" s="17">
        <v>44925</v>
      </c>
      <c r="PFD619" s="5" t="s">
        <v>3728</v>
      </c>
      <c r="PFE619" s="17">
        <v>44925</v>
      </c>
      <c r="PFF619" s="5" t="s">
        <v>3728</v>
      </c>
      <c r="PFG619" s="17">
        <v>44925</v>
      </c>
      <c r="PFH619" s="5" t="s">
        <v>3728</v>
      </c>
      <c r="PFI619" s="17">
        <v>44925</v>
      </c>
      <c r="PFJ619" s="5" t="s">
        <v>3728</v>
      </c>
      <c r="PFK619" s="17">
        <v>44925</v>
      </c>
      <c r="PFL619" s="5" t="s">
        <v>3728</v>
      </c>
      <c r="PFM619" s="17">
        <v>44925</v>
      </c>
      <c r="PFN619" s="5" t="s">
        <v>3728</v>
      </c>
      <c r="PFO619" s="17">
        <v>44925</v>
      </c>
      <c r="PFP619" s="5" t="s">
        <v>3728</v>
      </c>
      <c r="PFQ619" s="17">
        <v>44925</v>
      </c>
      <c r="PFR619" s="5" t="s">
        <v>3728</v>
      </c>
      <c r="PFS619" s="17">
        <v>44925</v>
      </c>
      <c r="PFT619" s="5" t="s">
        <v>3728</v>
      </c>
      <c r="PFU619" s="17">
        <v>44925</v>
      </c>
      <c r="PFV619" s="5" t="s">
        <v>3728</v>
      </c>
      <c r="PFW619" s="17">
        <v>44925</v>
      </c>
      <c r="PFX619" s="5" t="s">
        <v>3728</v>
      </c>
      <c r="PFY619" s="17">
        <v>44925</v>
      </c>
      <c r="PFZ619" s="5" t="s">
        <v>3728</v>
      </c>
      <c r="PGA619" s="17">
        <v>44925</v>
      </c>
      <c r="PGB619" s="5" t="s">
        <v>3728</v>
      </c>
      <c r="PGC619" s="17">
        <v>44925</v>
      </c>
      <c r="PGD619" s="5" t="s">
        <v>3728</v>
      </c>
      <c r="PGE619" s="17">
        <v>44925</v>
      </c>
      <c r="PGF619" s="5" t="s">
        <v>3728</v>
      </c>
      <c r="PGG619" s="17">
        <v>44925</v>
      </c>
      <c r="PGH619" s="5" t="s">
        <v>3728</v>
      </c>
      <c r="PGI619" s="17">
        <v>44925</v>
      </c>
      <c r="PGJ619" s="5" t="s">
        <v>3728</v>
      </c>
      <c r="PGK619" s="17">
        <v>44925</v>
      </c>
      <c r="PGL619" s="5" t="s">
        <v>3728</v>
      </c>
      <c r="PGM619" s="17">
        <v>44925</v>
      </c>
      <c r="PGN619" s="5" t="s">
        <v>3728</v>
      </c>
      <c r="PGO619" s="17">
        <v>44925</v>
      </c>
      <c r="PGP619" s="5" t="s">
        <v>3728</v>
      </c>
      <c r="PGQ619" s="17">
        <v>44925</v>
      </c>
      <c r="PGR619" s="5" t="s">
        <v>3728</v>
      </c>
      <c r="PGS619" s="17">
        <v>44925</v>
      </c>
      <c r="PGT619" s="5" t="s">
        <v>3728</v>
      </c>
      <c r="PGU619" s="17">
        <v>44925</v>
      </c>
      <c r="PGV619" s="5" t="s">
        <v>3728</v>
      </c>
      <c r="PGW619" s="17">
        <v>44925</v>
      </c>
      <c r="PGX619" s="5" t="s">
        <v>3728</v>
      </c>
      <c r="PGY619" s="17">
        <v>44925</v>
      </c>
      <c r="PGZ619" s="5" t="s">
        <v>3728</v>
      </c>
      <c r="PHA619" s="17">
        <v>44925</v>
      </c>
      <c r="PHB619" s="5" t="s">
        <v>3728</v>
      </c>
      <c r="PHC619" s="17">
        <v>44925</v>
      </c>
      <c r="PHD619" s="5" t="s">
        <v>3728</v>
      </c>
      <c r="PHE619" s="17">
        <v>44925</v>
      </c>
      <c r="PHF619" s="5" t="s">
        <v>3728</v>
      </c>
      <c r="PHG619" s="17">
        <v>44925</v>
      </c>
      <c r="PHH619" s="5" t="s">
        <v>3728</v>
      </c>
      <c r="PHI619" s="17">
        <v>44925</v>
      </c>
      <c r="PHJ619" s="5" t="s">
        <v>3728</v>
      </c>
      <c r="PHK619" s="17">
        <v>44925</v>
      </c>
      <c r="PHL619" s="5" t="s">
        <v>3728</v>
      </c>
      <c r="PHM619" s="17">
        <v>44925</v>
      </c>
      <c r="PHN619" s="5" t="s">
        <v>3728</v>
      </c>
      <c r="PHO619" s="17">
        <v>44925</v>
      </c>
      <c r="PHP619" s="5" t="s">
        <v>3728</v>
      </c>
      <c r="PHQ619" s="17">
        <v>44925</v>
      </c>
      <c r="PHR619" s="5" t="s">
        <v>3728</v>
      </c>
      <c r="PHS619" s="17">
        <v>44925</v>
      </c>
      <c r="PHT619" s="5" t="s">
        <v>3728</v>
      </c>
      <c r="PHU619" s="17">
        <v>44925</v>
      </c>
      <c r="PHV619" s="5" t="s">
        <v>3728</v>
      </c>
      <c r="PHW619" s="17">
        <v>44925</v>
      </c>
      <c r="PHX619" s="5" t="s">
        <v>3728</v>
      </c>
      <c r="PHY619" s="17">
        <v>44925</v>
      </c>
      <c r="PHZ619" s="5" t="s">
        <v>3728</v>
      </c>
      <c r="PIA619" s="17">
        <v>44925</v>
      </c>
      <c r="PIB619" s="5" t="s">
        <v>3728</v>
      </c>
      <c r="PIC619" s="17">
        <v>44925</v>
      </c>
      <c r="PID619" s="5" t="s">
        <v>3728</v>
      </c>
      <c r="PIE619" s="17">
        <v>44925</v>
      </c>
      <c r="PIF619" s="5" t="s">
        <v>3728</v>
      </c>
      <c r="PIG619" s="17">
        <v>44925</v>
      </c>
      <c r="PIH619" s="5" t="s">
        <v>3728</v>
      </c>
      <c r="PII619" s="17">
        <v>44925</v>
      </c>
      <c r="PIJ619" s="5" t="s">
        <v>3728</v>
      </c>
      <c r="PIK619" s="17">
        <v>44925</v>
      </c>
      <c r="PIL619" s="5" t="s">
        <v>3728</v>
      </c>
      <c r="PIM619" s="17">
        <v>44925</v>
      </c>
      <c r="PIN619" s="5" t="s">
        <v>3728</v>
      </c>
      <c r="PIO619" s="17">
        <v>44925</v>
      </c>
      <c r="PIP619" s="5" t="s">
        <v>3728</v>
      </c>
      <c r="PIQ619" s="17">
        <v>44925</v>
      </c>
      <c r="PIR619" s="5" t="s">
        <v>3728</v>
      </c>
      <c r="PIS619" s="17">
        <v>44925</v>
      </c>
      <c r="PIT619" s="5" t="s">
        <v>3728</v>
      </c>
      <c r="PIU619" s="17">
        <v>44925</v>
      </c>
      <c r="PIV619" s="5" t="s">
        <v>3728</v>
      </c>
      <c r="PIW619" s="17">
        <v>44925</v>
      </c>
      <c r="PIX619" s="5" t="s">
        <v>3728</v>
      </c>
      <c r="PIY619" s="17">
        <v>44925</v>
      </c>
      <c r="PIZ619" s="5" t="s">
        <v>3728</v>
      </c>
      <c r="PJA619" s="17">
        <v>44925</v>
      </c>
      <c r="PJB619" s="5" t="s">
        <v>3728</v>
      </c>
      <c r="PJC619" s="17">
        <v>44925</v>
      </c>
      <c r="PJD619" s="5" t="s">
        <v>3728</v>
      </c>
      <c r="PJE619" s="17">
        <v>44925</v>
      </c>
      <c r="PJF619" s="5" t="s">
        <v>3728</v>
      </c>
      <c r="PJG619" s="17">
        <v>44925</v>
      </c>
      <c r="PJH619" s="5" t="s">
        <v>3728</v>
      </c>
      <c r="PJI619" s="17">
        <v>44925</v>
      </c>
      <c r="PJJ619" s="5" t="s">
        <v>3728</v>
      </c>
      <c r="PJK619" s="17">
        <v>44925</v>
      </c>
      <c r="PJL619" s="5" t="s">
        <v>3728</v>
      </c>
      <c r="PJM619" s="17">
        <v>44925</v>
      </c>
      <c r="PJN619" s="5" t="s">
        <v>3728</v>
      </c>
      <c r="PJO619" s="17">
        <v>44925</v>
      </c>
      <c r="PJP619" s="5" t="s">
        <v>3728</v>
      </c>
      <c r="PJQ619" s="17">
        <v>44925</v>
      </c>
      <c r="PJR619" s="5" t="s">
        <v>3728</v>
      </c>
      <c r="PJS619" s="17">
        <v>44925</v>
      </c>
      <c r="PJT619" s="5" t="s">
        <v>3728</v>
      </c>
      <c r="PJU619" s="17">
        <v>44925</v>
      </c>
      <c r="PJV619" s="5" t="s">
        <v>3728</v>
      </c>
      <c r="PJW619" s="17">
        <v>44925</v>
      </c>
      <c r="PJX619" s="5" t="s">
        <v>3728</v>
      </c>
      <c r="PJY619" s="17">
        <v>44925</v>
      </c>
      <c r="PJZ619" s="5" t="s">
        <v>3728</v>
      </c>
      <c r="PKA619" s="17">
        <v>44925</v>
      </c>
      <c r="PKB619" s="5" t="s">
        <v>3728</v>
      </c>
      <c r="PKC619" s="17">
        <v>44925</v>
      </c>
      <c r="PKD619" s="5" t="s">
        <v>3728</v>
      </c>
      <c r="PKE619" s="17">
        <v>44925</v>
      </c>
      <c r="PKF619" s="5" t="s">
        <v>3728</v>
      </c>
      <c r="PKG619" s="17">
        <v>44925</v>
      </c>
      <c r="PKH619" s="5" t="s">
        <v>3728</v>
      </c>
      <c r="PKI619" s="17">
        <v>44925</v>
      </c>
      <c r="PKJ619" s="5" t="s">
        <v>3728</v>
      </c>
      <c r="PKK619" s="17">
        <v>44925</v>
      </c>
      <c r="PKL619" s="5" t="s">
        <v>3728</v>
      </c>
      <c r="PKM619" s="17">
        <v>44925</v>
      </c>
      <c r="PKN619" s="5" t="s">
        <v>3728</v>
      </c>
      <c r="PKO619" s="17">
        <v>44925</v>
      </c>
      <c r="PKP619" s="5" t="s">
        <v>3728</v>
      </c>
      <c r="PKQ619" s="17">
        <v>44925</v>
      </c>
      <c r="PKR619" s="5" t="s">
        <v>3728</v>
      </c>
      <c r="PKS619" s="17">
        <v>44925</v>
      </c>
      <c r="PKT619" s="5" t="s">
        <v>3728</v>
      </c>
      <c r="PKU619" s="17">
        <v>44925</v>
      </c>
      <c r="PKV619" s="5" t="s">
        <v>3728</v>
      </c>
      <c r="PKW619" s="17">
        <v>44925</v>
      </c>
      <c r="PKX619" s="5" t="s">
        <v>3728</v>
      </c>
      <c r="PKY619" s="17">
        <v>44925</v>
      </c>
      <c r="PKZ619" s="5" t="s">
        <v>3728</v>
      </c>
      <c r="PLA619" s="17">
        <v>44925</v>
      </c>
      <c r="PLB619" s="5" t="s">
        <v>3728</v>
      </c>
      <c r="PLC619" s="17">
        <v>44925</v>
      </c>
      <c r="PLD619" s="5" t="s">
        <v>3728</v>
      </c>
      <c r="PLE619" s="17">
        <v>44925</v>
      </c>
      <c r="PLF619" s="5" t="s">
        <v>3728</v>
      </c>
      <c r="PLG619" s="17">
        <v>44925</v>
      </c>
      <c r="PLH619" s="5" t="s">
        <v>3728</v>
      </c>
      <c r="PLI619" s="17">
        <v>44925</v>
      </c>
      <c r="PLJ619" s="5" t="s">
        <v>3728</v>
      </c>
      <c r="PLK619" s="17">
        <v>44925</v>
      </c>
      <c r="PLL619" s="5" t="s">
        <v>3728</v>
      </c>
      <c r="PLM619" s="17">
        <v>44925</v>
      </c>
      <c r="PLN619" s="5" t="s">
        <v>3728</v>
      </c>
      <c r="PLO619" s="17">
        <v>44925</v>
      </c>
      <c r="PLP619" s="5" t="s">
        <v>3728</v>
      </c>
      <c r="PLQ619" s="17">
        <v>44925</v>
      </c>
      <c r="PLR619" s="5" t="s">
        <v>3728</v>
      </c>
      <c r="PLS619" s="17">
        <v>44925</v>
      </c>
      <c r="PLT619" s="5" t="s">
        <v>3728</v>
      </c>
      <c r="PLU619" s="17">
        <v>44925</v>
      </c>
      <c r="PLV619" s="5" t="s">
        <v>3728</v>
      </c>
      <c r="PLW619" s="17">
        <v>44925</v>
      </c>
      <c r="PLX619" s="5" t="s">
        <v>3728</v>
      </c>
      <c r="PLY619" s="17">
        <v>44925</v>
      </c>
      <c r="PLZ619" s="5" t="s">
        <v>3728</v>
      </c>
      <c r="PMA619" s="17">
        <v>44925</v>
      </c>
      <c r="PMB619" s="5" t="s">
        <v>3728</v>
      </c>
      <c r="PMC619" s="17">
        <v>44925</v>
      </c>
      <c r="PMD619" s="5" t="s">
        <v>3728</v>
      </c>
      <c r="PME619" s="17">
        <v>44925</v>
      </c>
      <c r="PMF619" s="5" t="s">
        <v>3728</v>
      </c>
      <c r="PMG619" s="17">
        <v>44925</v>
      </c>
      <c r="PMH619" s="5" t="s">
        <v>3728</v>
      </c>
      <c r="PMI619" s="17">
        <v>44925</v>
      </c>
      <c r="PMJ619" s="5" t="s">
        <v>3728</v>
      </c>
      <c r="PMK619" s="17">
        <v>44925</v>
      </c>
      <c r="PML619" s="5" t="s">
        <v>3728</v>
      </c>
      <c r="PMM619" s="17">
        <v>44925</v>
      </c>
      <c r="PMN619" s="5" t="s">
        <v>3728</v>
      </c>
      <c r="PMO619" s="17">
        <v>44925</v>
      </c>
      <c r="PMP619" s="5" t="s">
        <v>3728</v>
      </c>
      <c r="PMQ619" s="17">
        <v>44925</v>
      </c>
      <c r="PMR619" s="5" t="s">
        <v>3728</v>
      </c>
      <c r="PMS619" s="17">
        <v>44925</v>
      </c>
      <c r="PMT619" s="5" t="s">
        <v>3728</v>
      </c>
      <c r="PMU619" s="17">
        <v>44925</v>
      </c>
      <c r="PMV619" s="5" t="s">
        <v>3728</v>
      </c>
      <c r="PMW619" s="17">
        <v>44925</v>
      </c>
      <c r="PMX619" s="5" t="s">
        <v>3728</v>
      </c>
      <c r="PMY619" s="17">
        <v>44925</v>
      </c>
      <c r="PMZ619" s="5" t="s">
        <v>3728</v>
      </c>
      <c r="PNA619" s="17">
        <v>44925</v>
      </c>
      <c r="PNB619" s="5" t="s">
        <v>3728</v>
      </c>
      <c r="PNC619" s="17">
        <v>44925</v>
      </c>
      <c r="PND619" s="5" t="s">
        <v>3728</v>
      </c>
      <c r="PNE619" s="17">
        <v>44925</v>
      </c>
      <c r="PNF619" s="5" t="s">
        <v>3728</v>
      </c>
      <c r="PNG619" s="17">
        <v>44925</v>
      </c>
      <c r="PNH619" s="5" t="s">
        <v>3728</v>
      </c>
      <c r="PNI619" s="17">
        <v>44925</v>
      </c>
      <c r="PNJ619" s="5" t="s">
        <v>3728</v>
      </c>
      <c r="PNK619" s="17">
        <v>44925</v>
      </c>
      <c r="PNL619" s="5" t="s">
        <v>3728</v>
      </c>
      <c r="PNM619" s="17">
        <v>44925</v>
      </c>
      <c r="PNN619" s="5" t="s">
        <v>3728</v>
      </c>
      <c r="PNO619" s="17">
        <v>44925</v>
      </c>
      <c r="PNP619" s="5" t="s">
        <v>3728</v>
      </c>
      <c r="PNQ619" s="17">
        <v>44925</v>
      </c>
      <c r="PNR619" s="5" t="s">
        <v>3728</v>
      </c>
      <c r="PNS619" s="17">
        <v>44925</v>
      </c>
      <c r="PNT619" s="5" t="s">
        <v>3728</v>
      </c>
      <c r="PNU619" s="17">
        <v>44925</v>
      </c>
      <c r="PNV619" s="5" t="s">
        <v>3728</v>
      </c>
      <c r="PNW619" s="17">
        <v>44925</v>
      </c>
      <c r="PNX619" s="5" t="s">
        <v>3728</v>
      </c>
      <c r="PNY619" s="17">
        <v>44925</v>
      </c>
      <c r="PNZ619" s="5" t="s">
        <v>3728</v>
      </c>
      <c r="POA619" s="17">
        <v>44925</v>
      </c>
      <c r="POB619" s="5" t="s">
        <v>3728</v>
      </c>
      <c r="POC619" s="17">
        <v>44925</v>
      </c>
      <c r="POD619" s="5" t="s">
        <v>3728</v>
      </c>
      <c r="POE619" s="17">
        <v>44925</v>
      </c>
      <c r="POF619" s="5" t="s">
        <v>3728</v>
      </c>
      <c r="POG619" s="17">
        <v>44925</v>
      </c>
      <c r="POH619" s="5" t="s">
        <v>3728</v>
      </c>
      <c r="POI619" s="17">
        <v>44925</v>
      </c>
      <c r="POJ619" s="5" t="s">
        <v>3728</v>
      </c>
      <c r="POK619" s="17">
        <v>44925</v>
      </c>
      <c r="POL619" s="5" t="s">
        <v>3728</v>
      </c>
      <c r="POM619" s="17">
        <v>44925</v>
      </c>
      <c r="PON619" s="5" t="s">
        <v>3728</v>
      </c>
      <c r="POO619" s="17">
        <v>44925</v>
      </c>
      <c r="POP619" s="5" t="s">
        <v>3728</v>
      </c>
      <c r="POQ619" s="17">
        <v>44925</v>
      </c>
      <c r="POR619" s="5" t="s">
        <v>3728</v>
      </c>
      <c r="POS619" s="17">
        <v>44925</v>
      </c>
      <c r="POT619" s="5" t="s">
        <v>3728</v>
      </c>
      <c r="POU619" s="17">
        <v>44925</v>
      </c>
      <c r="POV619" s="5" t="s">
        <v>3728</v>
      </c>
      <c r="POW619" s="17">
        <v>44925</v>
      </c>
      <c r="POX619" s="5" t="s">
        <v>3728</v>
      </c>
      <c r="POY619" s="17">
        <v>44925</v>
      </c>
      <c r="POZ619" s="5" t="s">
        <v>3728</v>
      </c>
      <c r="PPA619" s="17">
        <v>44925</v>
      </c>
      <c r="PPB619" s="5" t="s">
        <v>3728</v>
      </c>
      <c r="PPC619" s="17">
        <v>44925</v>
      </c>
      <c r="PPD619" s="5" t="s">
        <v>3728</v>
      </c>
      <c r="PPE619" s="17">
        <v>44925</v>
      </c>
      <c r="PPF619" s="5" t="s">
        <v>3728</v>
      </c>
      <c r="PPG619" s="17">
        <v>44925</v>
      </c>
      <c r="PPH619" s="5" t="s">
        <v>3728</v>
      </c>
      <c r="PPI619" s="17">
        <v>44925</v>
      </c>
      <c r="PPJ619" s="5" t="s">
        <v>3728</v>
      </c>
      <c r="PPK619" s="17">
        <v>44925</v>
      </c>
      <c r="PPL619" s="5" t="s">
        <v>3728</v>
      </c>
      <c r="PPM619" s="17">
        <v>44925</v>
      </c>
      <c r="PPN619" s="5" t="s">
        <v>3728</v>
      </c>
      <c r="PPO619" s="17">
        <v>44925</v>
      </c>
      <c r="PPP619" s="5" t="s">
        <v>3728</v>
      </c>
      <c r="PPQ619" s="17">
        <v>44925</v>
      </c>
      <c r="PPR619" s="5" t="s">
        <v>3728</v>
      </c>
      <c r="PPS619" s="17">
        <v>44925</v>
      </c>
      <c r="PPT619" s="5" t="s">
        <v>3728</v>
      </c>
      <c r="PPU619" s="17">
        <v>44925</v>
      </c>
      <c r="PPV619" s="5" t="s">
        <v>3728</v>
      </c>
      <c r="PPW619" s="17">
        <v>44925</v>
      </c>
      <c r="PPX619" s="5" t="s">
        <v>3728</v>
      </c>
      <c r="PPY619" s="17">
        <v>44925</v>
      </c>
      <c r="PPZ619" s="5" t="s">
        <v>3728</v>
      </c>
      <c r="PQA619" s="17">
        <v>44925</v>
      </c>
      <c r="PQB619" s="5" t="s">
        <v>3728</v>
      </c>
      <c r="PQC619" s="17">
        <v>44925</v>
      </c>
      <c r="PQD619" s="5" t="s">
        <v>3728</v>
      </c>
      <c r="PQE619" s="17">
        <v>44925</v>
      </c>
      <c r="PQF619" s="5" t="s">
        <v>3728</v>
      </c>
      <c r="PQG619" s="17">
        <v>44925</v>
      </c>
      <c r="PQH619" s="5" t="s">
        <v>3728</v>
      </c>
      <c r="PQI619" s="17">
        <v>44925</v>
      </c>
      <c r="PQJ619" s="5" t="s">
        <v>3728</v>
      </c>
      <c r="PQK619" s="17">
        <v>44925</v>
      </c>
      <c r="PQL619" s="5" t="s">
        <v>3728</v>
      </c>
      <c r="PQM619" s="17">
        <v>44925</v>
      </c>
      <c r="PQN619" s="5" t="s">
        <v>3728</v>
      </c>
      <c r="PQO619" s="17">
        <v>44925</v>
      </c>
      <c r="PQP619" s="5" t="s">
        <v>3728</v>
      </c>
      <c r="PQQ619" s="17">
        <v>44925</v>
      </c>
      <c r="PQR619" s="5" t="s">
        <v>3728</v>
      </c>
      <c r="PQS619" s="17">
        <v>44925</v>
      </c>
      <c r="PQT619" s="5" t="s">
        <v>3728</v>
      </c>
      <c r="PQU619" s="17">
        <v>44925</v>
      </c>
      <c r="PQV619" s="5" t="s">
        <v>3728</v>
      </c>
      <c r="PQW619" s="17">
        <v>44925</v>
      </c>
      <c r="PQX619" s="5" t="s">
        <v>3728</v>
      </c>
      <c r="PQY619" s="17">
        <v>44925</v>
      </c>
      <c r="PQZ619" s="5" t="s">
        <v>3728</v>
      </c>
      <c r="PRA619" s="17">
        <v>44925</v>
      </c>
      <c r="PRB619" s="5" t="s">
        <v>3728</v>
      </c>
      <c r="PRC619" s="17">
        <v>44925</v>
      </c>
      <c r="PRD619" s="5" t="s">
        <v>3728</v>
      </c>
      <c r="PRE619" s="17">
        <v>44925</v>
      </c>
      <c r="PRF619" s="5" t="s">
        <v>3728</v>
      </c>
      <c r="PRG619" s="17">
        <v>44925</v>
      </c>
      <c r="PRH619" s="5" t="s">
        <v>3728</v>
      </c>
      <c r="PRI619" s="17">
        <v>44925</v>
      </c>
      <c r="PRJ619" s="5" t="s">
        <v>3728</v>
      </c>
      <c r="PRK619" s="17">
        <v>44925</v>
      </c>
      <c r="PRL619" s="5" t="s">
        <v>3728</v>
      </c>
      <c r="PRM619" s="17">
        <v>44925</v>
      </c>
      <c r="PRN619" s="5" t="s">
        <v>3728</v>
      </c>
      <c r="PRO619" s="17">
        <v>44925</v>
      </c>
      <c r="PRP619" s="5" t="s">
        <v>3728</v>
      </c>
      <c r="PRQ619" s="17">
        <v>44925</v>
      </c>
      <c r="PRR619" s="5" t="s">
        <v>3728</v>
      </c>
      <c r="PRS619" s="17">
        <v>44925</v>
      </c>
      <c r="PRT619" s="5" t="s">
        <v>3728</v>
      </c>
      <c r="PRU619" s="17">
        <v>44925</v>
      </c>
      <c r="PRV619" s="5" t="s">
        <v>3728</v>
      </c>
      <c r="PRW619" s="17">
        <v>44925</v>
      </c>
      <c r="PRX619" s="5" t="s">
        <v>3728</v>
      </c>
      <c r="PRY619" s="17">
        <v>44925</v>
      </c>
      <c r="PRZ619" s="5" t="s">
        <v>3728</v>
      </c>
      <c r="PSA619" s="17">
        <v>44925</v>
      </c>
      <c r="PSB619" s="5" t="s">
        <v>3728</v>
      </c>
      <c r="PSC619" s="17">
        <v>44925</v>
      </c>
      <c r="PSD619" s="5" t="s">
        <v>3728</v>
      </c>
      <c r="PSE619" s="17">
        <v>44925</v>
      </c>
      <c r="PSF619" s="5" t="s">
        <v>3728</v>
      </c>
      <c r="PSG619" s="17">
        <v>44925</v>
      </c>
      <c r="PSH619" s="5" t="s">
        <v>3728</v>
      </c>
      <c r="PSI619" s="17">
        <v>44925</v>
      </c>
      <c r="PSJ619" s="5" t="s">
        <v>3728</v>
      </c>
      <c r="PSK619" s="17">
        <v>44925</v>
      </c>
      <c r="PSL619" s="5" t="s">
        <v>3728</v>
      </c>
      <c r="PSM619" s="17">
        <v>44925</v>
      </c>
      <c r="PSN619" s="5" t="s">
        <v>3728</v>
      </c>
      <c r="PSO619" s="17">
        <v>44925</v>
      </c>
      <c r="PSP619" s="5" t="s">
        <v>3728</v>
      </c>
      <c r="PSQ619" s="17">
        <v>44925</v>
      </c>
      <c r="PSR619" s="5" t="s">
        <v>3728</v>
      </c>
      <c r="PSS619" s="17">
        <v>44925</v>
      </c>
      <c r="PST619" s="5" t="s">
        <v>3728</v>
      </c>
      <c r="PSU619" s="17">
        <v>44925</v>
      </c>
      <c r="PSV619" s="5" t="s">
        <v>3728</v>
      </c>
      <c r="PSW619" s="17">
        <v>44925</v>
      </c>
      <c r="PSX619" s="5" t="s">
        <v>3728</v>
      </c>
      <c r="PSY619" s="17">
        <v>44925</v>
      </c>
      <c r="PSZ619" s="5" t="s">
        <v>3728</v>
      </c>
      <c r="PTA619" s="17">
        <v>44925</v>
      </c>
      <c r="PTB619" s="5" t="s">
        <v>3728</v>
      </c>
      <c r="PTC619" s="17">
        <v>44925</v>
      </c>
      <c r="PTD619" s="5" t="s">
        <v>3728</v>
      </c>
      <c r="PTE619" s="17">
        <v>44925</v>
      </c>
      <c r="PTF619" s="5" t="s">
        <v>3728</v>
      </c>
      <c r="PTG619" s="17">
        <v>44925</v>
      </c>
      <c r="PTH619" s="5" t="s">
        <v>3728</v>
      </c>
      <c r="PTI619" s="17">
        <v>44925</v>
      </c>
      <c r="PTJ619" s="5" t="s">
        <v>3728</v>
      </c>
      <c r="PTK619" s="17">
        <v>44925</v>
      </c>
      <c r="PTL619" s="5" t="s">
        <v>3728</v>
      </c>
      <c r="PTM619" s="17">
        <v>44925</v>
      </c>
      <c r="PTN619" s="5" t="s">
        <v>3728</v>
      </c>
      <c r="PTO619" s="17">
        <v>44925</v>
      </c>
      <c r="PTP619" s="5" t="s">
        <v>3728</v>
      </c>
      <c r="PTQ619" s="17">
        <v>44925</v>
      </c>
      <c r="PTR619" s="5" t="s">
        <v>3728</v>
      </c>
      <c r="PTS619" s="17">
        <v>44925</v>
      </c>
      <c r="PTT619" s="5" t="s">
        <v>3728</v>
      </c>
      <c r="PTU619" s="17">
        <v>44925</v>
      </c>
      <c r="PTV619" s="5" t="s">
        <v>3728</v>
      </c>
      <c r="PTW619" s="17">
        <v>44925</v>
      </c>
      <c r="PTX619" s="5" t="s">
        <v>3728</v>
      </c>
      <c r="PTY619" s="17">
        <v>44925</v>
      </c>
      <c r="PTZ619" s="5" t="s">
        <v>3728</v>
      </c>
      <c r="PUA619" s="17">
        <v>44925</v>
      </c>
      <c r="PUB619" s="5" t="s">
        <v>3728</v>
      </c>
      <c r="PUC619" s="17">
        <v>44925</v>
      </c>
      <c r="PUD619" s="5" t="s">
        <v>3728</v>
      </c>
      <c r="PUE619" s="17">
        <v>44925</v>
      </c>
      <c r="PUF619" s="5" t="s">
        <v>3728</v>
      </c>
      <c r="PUG619" s="17">
        <v>44925</v>
      </c>
      <c r="PUH619" s="5" t="s">
        <v>3728</v>
      </c>
      <c r="PUI619" s="17">
        <v>44925</v>
      </c>
      <c r="PUJ619" s="5" t="s">
        <v>3728</v>
      </c>
      <c r="PUK619" s="17">
        <v>44925</v>
      </c>
      <c r="PUL619" s="5" t="s">
        <v>3728</v>
      </c>
      <c r="PUM619" s="17">
        <v>44925</v>
      </c>
      <c r="PUN619" s="5" t="s">
        <v>3728</v>
      </c>
      <c r="PUO619" s="17">
        <v>44925</v>
      </c>
      <c r="PUP619" s="5" t="s">
        <v>3728</v>
      </c>
      <c r="PUQ619" s="17">
        <v>44925</v>
      </c>
      <c r="PUR619" s="5" t="s">
        <v>3728</v>
      </c>
      <c r="PUS619" s="17">
        <v>44925</v>
      </c>
      <c r="PUT619" s="5" t="s">
        <v>3728</v>
      </c>
      <c r="PUU619" s="17">
        <v>44925</v>
      </c>
      <c r="PUV619" s="5" t="s">
        <v>3728</v>
      </c>
      <c r="PUW619" s="17">
        <v>44925</v>
      </c>
      <c r="PUX619" s="5" t="s">
        <v>3728</v>
      </c>
      <c r="PUY619" s="17">
        <v>44925</v>
      </c>
      <c r="PUZ619" s="5" t="s">
        <v>3728</v>
      </c>
      <c r="PVA619" s="17">
        <v>44925</v>
      </c>
      <c r="PVB619" s="5" t="s">
        <v>3728</v>
      </c>
      <c r="PVC619" s="17">
        <v>44925</v>
      </c>
      <c r="PVD619" s="5" t="s">
        <v>3728</v>
      </c>
      <c r="PVE619" s="17">
        <v>44925</v>
      </c>
      <c r="PVF619" s="5" t="s">
        <v>3728</v>
      </c>
      <c r="PVG619" s="17">
        <v>44925</v>
      </c>
      <c r="PVH619" s="5" t="s">
        <v>3728</v>
      </c>
      <c r="PVI619" s="17">
        <v>44925</v>
      </c>
      <c r="PVJ619" s="5" t="s">
        <v>3728</v>
      </c>
      <c r="PVK619" s="17">
        <v>44925</v>
      </c>
      <c r="PVL619" s="5" t="s">
        <v>3728</v>
      </c>
      <c r="PVM619" s="17">
        <v>44925</v>
      </c>
      <c r="PVN619" s="5" t="s">
        <v>3728</v>
      </c>
      <c r="PVO619" s="17">
        <v>44925</v>
      </c>
      <c r="PVP619" s="5" t="s">
        <v>3728</v>
      </c>
      <c r="PVQ619" s="17">
        <v>44925</v>
      </c>
      <c r="PVR619" s="5" t="s">
        <v>3728</v>
      </c>
      <c r="PVS619" s="17">
        <v>44925</v>
      </c>
      <c r="PVT619" s="5" t="s">
        <v>3728</v>
      </c>
      <c r="PVU619" s="17">
        <v>44925</v>
      </c>
      <c r="PVV619" s="5" t="s">
        <v>3728</v>
      </c>
      <c r="PVW619" s="17">
        <v>44925</v>
      </c>
      <c r="PVX619" s="5" t="s">
        <v>3728</v>
      </c>
      <c r="PVY619" s="17">
        <v>44925</v>
      </c>
      <c r="PVZ619" s="5" t="s">
        <v>3728</v>
      </c>
      <c r="PWA619" s="17">
        <v>44925</v>
      </c>
      <c r="PWB619" s="5" t="s">
        <v>3728</v>
      </c>
      <c r="PWC619" s="17">
        <v>44925</v>
      </c>
      <c r="PWD619" s="5" t="s">
        <v>3728</v>
      </c>
      <c r="PWE619" s="17">
        <v>44925</v>
      </c>
      <c r="PWF619" s="5" t="s">
        <v>3728</v>
      </c>
      <c r="PWG619" s="17">
        <v>44925</v>
      </c>
      <c r="PWH619" s="5" t="s">
        <v>3728</v>
      </c>
      <c r="PWI619" s="17">
        <v>44925</v>
      </c>
      <c r="PWJ619" s="5" t="s">
        <v>3728</v>
      </c>
      <c r="PWK619" s="17">
        <v>44925</v>
      </c>
      <c r="PWL619" s="5" t="s">
        <v>3728</v>
      </c>
      <c r="PWM619" s="17">
        <v>44925</v>
      </c>
      <c r="PWN619" s="5" t="s">
        <v>3728</v>
      </c>
      <c r="PWO619" s="17">
        <v>44925</v>
      </c>
      <c r="PWP619" s="5" t="s">
        <v>3728</v>
      </c>
      <c r="PWQ619" s="17">
        <v>44925</v>
      </c>
      <c r="PWR619" s="5" t="s">
        <v>3728</v>
      </c>
      <c r="PWS619" s="17">
        <v>44925</v>
      </c>
      <c r="PWT619" s="5" t="s">
        <v>3728</v>
      </c>
      <c r="PWU619" s="17">
        <v>44925</v>
      </c>
      <c r="PWV619" s="5" t="s">
        <v>3728</v>
      </c>
      <c r="PWW619" s="17">
        <v>44925</v>
      </c>
      <c r="PWX619" s="5" t="s">
        <v>3728</v>
      </c>
      <c r="PWY619" s="17">
        <v>44925</v>
      </c>
      <c r="PWZ619" s="5" t="s">
        <v>3728</v>
      </c>
      <c r="PXA619" s="17">
        <v>44925</v>
      </c>
      <c r="PXB619" s="5" t="s">
        <v>3728</v>
      </c>
      <c r="PXC619" s="17">
        <v>44925</v>
      </c>
      <c r="PXD619" s="5" t="s">
        <v>3728</v>
      </c>
      <c r="PXE619" s="17">
        <v>44925</v>
      </c>
      <c r="PXF619" s="5" t="s">
        <v>3728</v>
      </c>
      <c r="PXG619" s="17">
        <v>44925</v>
      </c>
      <c r="PXH619" s="5" t="s">
        <v>3728</v>
      </c>
      <c r="PXI619" s="17">
        <v>44925</v>
      </c>
      <c r="PXJ619" s="5" t="s">
        <v>3728</v>
      </c>
      <c r="PXK619" s="17">
        <v>44925</v>
      </c>
      <c r="PXL619" s="5" t="s">
        <v>3728</v>
      </c>
      <c r="PXM619" s="17">
        <v>44925</v>
      </c>
      <c r="PXN619" s="5" t="s">
        <v>3728</v>
      </c>
      <c r="PXO619" s="17">
        <v>44925</v>
      </c>
      <c r="PXP619" s="5" t="s">
        <v>3728</v>
      </c>
      <c r="PXQ619" s="17">
        <v>44925</v>
      </c>
      <c r="PXR619" s="5" t="s">
        <v>3728</v>
      </c>
      <c r="PXS619" s="17">
        <v>44925</v>
      </c>
      <c r="PXT619" s="5" t="s">
        <v>3728</v>
      </c>
      <c r="PXU619" s="17">
        <v>44925</v>
      </c>
      <c r="PXV619" s="5" t="s">
        <v>3728</v>
      </c>
      <c r="PXW619" s="17">
        <v>44925</v>
      </c>
      <c r="PXX619" s="5" t="s">
        <v>3728</v>
      </c>
      <c r="PXY619" s="17">
        <v>44925</v>
      </c>
      <c r="PXZ619" s="5" t="s">
        <v>3728</v>
      </c>
      <c r="PYA619" s="17">
        <v>44925</v>
      </c>
      <c r="PYB619" s="5" t="s">
        <v>3728</v>
      </c>
      <c r="PYC619" s="17">
        <v>44925</v>
      </c>
      <c r="PYD619" s="5" t="s">
        <v>3728</v>
      </c>
      <c r="PYE619" s="17">
        <v>44925</v>
      </c>
      <c r="PYF619" s="5" t="s">
        <v>3728</v>
      </c>
      <c r="PYG619" s="17">
        <v>44925</v>
      </c>
      <c r="PYH619" s="5" t="s">
        <v>3728</v>
      </c>
      <c r="PYI619" s="17">
        <v>44925</v>
      </c>
      <c r="PYJ619" s="5" t="s">
        <v>3728</v>
      </c>
      <c r="PYK619" s="17">
        <v>44925</v>
      </c>
      <c r="PYL619" s="5" t="s">
        <v>3728</v>
      </c>
      <c r="PYM619" s="17">
        <v>44925</v>
      </c>
      <c r="PYN619" s="5" t="s">
        <v>3728</v>
      </c>
      <c r="PYO619" s="17">
        <v>44925</v>
      </c>
      <c r="PYP619" s="5" t="s">
        <v>3728</v>
      </c>
      <c r="PYQ619" s="17">
        <v>44925</v>
      </c>
      <c r="PYR619" s="5" t="s">
        <v>3728</v>
      </c>
      <c r="PYS619" s="17">
        <v>44925</v>
      </c>
      <c r="PYT619" s="5" t="s">
        <v>3728</v>
      </c>
      <c r="PYU619" s="17">
        <v>44925</v>
      </c>
      <c r="PYV619" s="5" t="s">
        <v>3728</v>
      </c>
      <c r="PYW619" s="17">
        <v>44925</v>
      </c>
      <c r="PYX619" s="5" t="s">
        <v>3728</v>
      </c>
      <c r="PYY619" s="17">
        <v>44925</v>
      </c>
      <c r="PYZ619" s="5" t="s">
        <v>3728</v>
      </c>
      <c r="PZA619" s="17">
        <v>44925</v>
      </c>
      <c r="PZB619" s="5" t="s">
        <v>3728</v>
      </c>
      <c r="PZC619" s="17">
        <v>44925</v>
      </c>
      <c r="PZD619" s="5" t="s">
        <v>3728</v>
      </c>
      <c r="PZE619" s="17">
        <v>44925</v>
      </c>
      <c r="PZF619" s="5" t="s">
        <v>3728</v>
      </c>
      <c r="PZG619" s="17">
        <v>44925</v>
      </c>
      <c r="PZH619" s="5" t="s">
        <v>3728</v>
      </c>
      <c r="PZI619" s="17">
        <v>44925</v>
      </c>
      <c r="PZJ619" s="5" t="s">
        <v>3728</v>
      </c>
      <c r="PZK619" s="17">
        <v>44925</v>
      </c>
      <c r="PZL619" s="5" t="s">
        <v>3728</v>
      </c>
      <c r="PZM619" s="17">
        <v>44925</v>
      </c>
      <c r="PZN619" s="5" t="s">
        <v>3728</v>
      </c>
      <c r="PZO619" s="17">
        <v>44925</v>
      </c>
      <c r="PZP619" s="5" t="s">
        <v>3728</v>
      </c>
      <c r="PZQ619" s="17">
        <v>44925</v>
      </c>
      <c r="PZR619" s="5" t="s">
        <v>3728</v>
      </c>
      <c r="PZS619" s="17">
        <v>44925</v>
      </c>
      <c r="PZT619" s="5" t="s">
        <v>3728</v>
      </c>
      <c r="PZU619" s="17">
        <v>44925</v>
      </c>
      <c r="PZV619" s="5" t="s">
        <v>3728</v>
      </c>
      <c r="PZW619" s="17">
        <v>44925</v>
      </c>
      <c r="PZX619" s="5" t="s">
        <v>3728</v>
      </c>
      <c r="PZY619" s="17">
        <v>44925</v>
      </c>
      <c r="PZZ619" s="5" t="s">
        <v>3728</v>
      </c>
      <c r="QAA619" s="17">
        <v>44925</v>
      </c>
      <c r="QAB619" s="5" t="s">
        <v>3728</v>
      </c>
      <c r="QAC619" s="17">
        <v>44925</v>
      </c>
      <c r="QAD619" s="5" t="s">
        <v>3728</v>
      </c>
      <c r="QAE619" s="17">
        <v>44925</v>
      </c>
      <c r="QAF619" s="5" t="s">
        <v>3728</v>
      </c>
      <c r="QAG619" s="17">
        <v>44925</v>
      </c>
      <c r="QAH619" s="5" t="s">
        <v>3728</v>
      </c>
      <c r="QAI619" s="17">
        <v>44925</v>
      </c>
      <c r="QAJ619" s="5" t="s">
        <v>3728</v>
      </c>
      <c r="QAK619" s="17">
        <v>44925</v>
      </c>
      <c r="QAL619" s="5" t="s">
        <v>3728</v>
      </c>
      <c r="QAM619" s="17">
        <v>44925</v>
      </c>
      <c r="QAN619" s="5" t="s">
        <v>3728</v>
      </c>
      <c r="QAO619" s="17">
        <v>44925</v>
      </c>
      <c r="QAP619" s="5" t="s">
        <v>3728</v>
      </c>
      <c r="QAQ619" s="17">
        <v>44925</v>
      </c>
      <c r="QAR619" s="5" t="s">
        <v>3728</v>
      </c>
      <c r="QAS619" s="17">
        <v>44925</v>
      </c>
      <c r="QAT619" s="5" t="s">
        <v>3728</v>
      </c>
      <c r="QAU619" s="17">
        <v>44925</v>
      </c>
      <c r="QAV619" s="5" t="s">
        <v>3728</v>
      </c>
      <c r="QAW619" s="17">
        <v>44925</v>
      </c>
      <c r="QAX619" s="5" t="s">
        <v>3728</v>
      </c>
      <c r="QAY619" s="17">
        <v>44925</v>
      </c>
      <c r="QAZ619" s="5" t="s">
        <v>3728</v>
      </c>
      <c r="QBA619" s="17">
        <v>44925</v>
      </c>
      <c r="QBB619" s="5" t="s">
        <v>3728</v>
      </c>
      <c r="QBC619" s="17">
        <v>44925</v>
      </c>
      <c r="QBD619" s="5" t="s">
        <v>3728</v>
      </c>
      <c r="QBE619" s="17">
        <v>44925</v>
      </c>
      <c r="QBF619" s="5" t="s">
        <v>3728</v>
      </c>
      <c r="QBG619" s="17">
        <v>44925</v>
      </c>
      <c r="QBH619" s="5" t="s">
        <v>3728</v>
      </c>
      <c r="QBI619" s="17">
        <v>44925</v>
      </c>
      <c r="QBJ619" s="5" t="s">
        <v>3728</v>
      </c>
      <c r="QBK619" s="17">
        <v>44925</v>
      </c>
      <c r="QBL619" s="5" t="s">
        <v>3728</v>
      </c>
      <c r="QBM619" s="17">
        <v>44925</v>
      </c>
      <c r="QBN619" s="5" t="s">
        <v>3728</v>
      </c>
      <c r="QBO619" s="17">
        <v>44925</v>
      </c>
      <c r="QBP619" s="5" t="s">
        <v>3728</v>
      </c>
      <c r="QBQ619" s="17">
        <v>44925</v>
      </c>
      <c r="QBR619" s="5" t="s">
        <v>3728</v>
      </c>
      <c r="QBS619" s="17">
        <v>44925</v>
      </c>
      <c r="QBT619" s="5" t="s">
        <v>3728</v>
      </c>
      <c r="QBU619" s="17">
        <v>44925</v>
      </c>
      <c r="QBV619" s="5" t="s">
        <v>3728</v>
      </c>
      <c r="QBW619" s="17">
        <v>44925</v>
      </c>
      <c r="QBX619" s="5" t="s">
        <v>3728</v>
      </c>
      <c r="QBY619" s="17">
        <v>44925</v>
      </c>
      <c r="QBZ619" s="5" t="s">
        <v>3728</v>
      </c>
      <c r="QCA619" s="17">
        <v>44925</v>
      </c>
      <c r="QCB619" s="5" t="s">
        <v>3728</v>
      </c>
      <c r="QCC619" s="17">
        <v>44925</v>
      </c>
      <c r="QCD619" s="5" t="s">
        <v>3728</v>
      </c>
      <c r="QCE619" s="17">
        <v>44925</v>
      </c>
      <c r="QCF619" s="5" t="s">
        <v>3728</v>
      </c>
      <c r="QCG619" s="17">
        <v>44925</v>
      </c>
      <c r="QCH619" s="5" t="s">
        <v>3728</v>
      </c>
      <c r="QCI619" s="17">
        <v>44925</v>
      </c>
      <c r="QCJ619" s="5" t="s">
        <v>3728</v>
      </c>
      <c r="QCK619" s="17">
        <v>44925</v>
      </c>
      <c r="QCL619" s="5" t="s">
        <v>3728</v>
      </c>
      <c r="QCM619" s="17">
        <v>44925</v>
      </c>
      <c r="QCN619" s="5" t="s">
        <v>3728</v>
      </c>
      <c r="QCO619" s="17">
        <v>44925</v>
      </c>
      <c r="QCP619" s="5" t="s">
        <v>3728</v>
      </c>
      <c r="QCQ619" s="17">
        <v>44925</v>
      </c>
      <c r="QCR619" s="5" t="s">
        <v>3728</v>
      </c>
      <c r="QCS619" s="17">
        <v>44925</v>
      </c>
      <c r="QCT619" s="5" t="s">
        <v>3728</v>
      </c>
      <c r="QCU619" s="17">
        <v>44925</v>
      </c>
      <c r="QCV619" s="5" t="s">
        <v>3728</v>
      </c>
      <c r="QCW619" s="17">
        <v>44925</v>
      </c>
      <c r="QCX619" s="5" t="s">
        <v>3728</v>
      </c>
      <c r="QCY619" s="17">
        <v>44925</v>
      </c>
      <c r="QCZ619" s="5" t="s">
        <v>3728</v>
      </c>
      <c r="QDA619" s="17">
        <v>44925</v>
      </c>
      <c r="QDB619" s="5" t="s">
        <v>3728</v>
      </c>
      <c r="QDC619" s="17">
        <v>44925</v>
      </c>
      <c r="QDD619" s="5" t="s">
        <v>3728</v>
      </c>
      <c r="QDE619" s="17">
        <v>44925</v>
      </c>
      <c r="QDF619" s="5" t="s">
        <v>3728</v>
      </c>
      <c r="QDG619" s="17">
        <v>44925</v>
      </c>
      <c r="QDH619" s="5" t="s">
        <v>3728</v>
      </c>
      <c r="QDI619" s="17">
        <v>44925</v>
      </c>
      <c r="QDJ619" s="5" t="s">
        <v>3728</v>
      </c>
      <c r="QDK619" s="17">
        <v>44925</v>
      </c>
      <c r="QDL619" s="5" t="s">
        <v>3728</v>
      </c>
      <c r="QDM619" s="17">
        <v>44925</v>
      </c>
      <c r="QDN619" s="5" t="s">
        <v>3728</v>
      </c>
      <c r="QDO619" s="17">
        <v>44925</v>
      </c>
      <c r="QDP619" s="5" t="s">
        <v>3728</v>
      </c>
      <c r="QDQ619" s="17">
        <v>44925</v>
      </c>
      <c r="QDR619" s="5" t="s">
        <v>3728</v>
      </c>
      <c r="QDS619" s="17">
        <v>44925</v>
      </c>
      <c r="QDT619" s="5" t="s">
        <v>3728</v>
      </c>
      <c r="QDU619" s="17">
        <v>44925</v>
      </c>
      <c r="QDV619" s="5" t="s">
        <v>3728</v>
      </c>
      <c r="QDW619" s="17">
        <v>44925</v>
      </c>
      <c r="QDX619" s="5" t="s">
        <v>3728</v>
      </c>
      <c r="QDY619" s="17">
        <v>44925</v>
      </c>
      <c r="QDZ619" s="5" t="s">
        <v>3728</v>
      </c>
      <c r="QEA619" s="17">
        <v>44925</v>
      </c>
      <c r="QEB619" s="5" t="s">
        <v>3728</v>
      </c>
      <c r="QEC619" s="17">
        <v>44925</v>
      </c>
      <c r="QED619" s="5" t="s">
        <v>3728</v>
      </c>
      <c r="QEE619" s="17">
        <v>44925</v>
      </c>
      <c r="QEF619" s="5" t="s">
        <v>3728</v>
      </c>
      <c r="QEG619" s="17">
        <v>44925</v>
      </c>
      <c r="QEH619" s="5" t="s">
        <v>3728</v>
      </c>
      <c r="QEI619" s="17">
        <v>44925</v>
      </c>
      <c r="QEJ619" s="5" t="s">
        <v>3728</v>
      </c>
      <c r="QEK619" s="17">
        <v>44925</v>
      </c>
      <c r="QEL619" s="5" t="s">
        <v>3728</v>
      </c>
      <c r="QEM619" s="17">
        <v>44925</v>
      </c>
      <c r="QEN619" s="5" t="s">
        <v>3728</v>
      </c>
      <c r="QEO619" s="17">
        <v>44925</v>
      </c>
      <c r="QEP619" s="5" t="s">
        <v>3728</v>
      </c>
      <c r="QEQ619" s="17">
        <v>44925</v>
      </c>
      <c r="QER619" s="5" t="s">
        <v>3728</v>
      </c>
      <c r="QES619" s="17">
        <v>44925</v>
      </c>
      <c r="QET619" s="5" t="s">
        <v>3728</v>
      </c>
      <c r="QEU619" s="17">
        <v>44925</v>
      </c>
      <c r="QEV619" s="5" t="s">
        <v>3728</v>
      </c>
      <c r="QEW619" s="17">
        <v>44925</v>
      </c>
      <c r="QEX619" s="5" t="s">
        <v>3728</v>
      </c>
      <c r="QEY619" s="17">
        <v>44925</v>
      </c>
      <c r="QEZ619" s="5" t="s">
        <v>3728</v>
      </c>
      <c r="QFA619" s="17">
        <v>44925</v>
      </c>
      <c r="QFB619" s="5" t="s">
        <v>3728</v>
      </c>
      <c r="QFC619" s="17">
        <v>44925</v>
      </c>
      <c r="QFD619" s="5" t="s">
        <v>3728</v>
      </c>
      <c r="QFE619" s="17">
        <v>44925</v>
      </c>
      <c r="QFF619" s="5" t="s">
        <v>3728</v>
      </c>
      <c r="QFG619" s="17">
        <v>44925</v>
      </c>
      <c r="QFH619" s="5" t="s">
        <v>3728</v>
      </c>
      <c r="QFI619" s="17">
        <v>44925</v>
      </c>
      <c r="QFJ619" s="5" t="s">
        <v>3728</v>
      </c>
      <c r="QFK619" s="17">
        <v>44925</v>
      </c>
      <c r="QFL619" s="5" t="s">
        <v>3728</v>
      </c>
      <c r="QFM619" s="17">
        <v>44925</v>
      </c>
      <c r="QFN619" s="5" t="s">
        <v>3728</v>
      </c>
      <c r="QFO619" s="17">
        <v>44925</v>
      </c>
      <c r="QFP619" s="5" t="s">
        <v>3728</v>
      </c>
      <c r="QFQ619" s="17">
        <v>44925</v>
      </c>
      <c r="QFR619" s="5" t="s">
        <v>3728</v>
      </c>
      <c r="QFS619" s="17">
        <v>44925</v>
      </c>
      <c r="QFT619" s="5" t="s">
        <v>3728</v>
      </c>
      <c r="QFU619" s="17">
        <v>44925</v>
      </c>
      <c r="QFV619" s="5" t="s">
        <v>3728</v>
      </c>
      <c r="QFW619" s="17">
        <v>44925</v>
      </c>
      <c r="QFX619" s="5" t="s">
        <v>3728</v>
      </c>
      <c r="QFY619" s="17">
        <v>44925</v>
      </c>
      <c r="QFZ619" s="5" t="s">
        <v>3728</v>
      </c>
      <c r="QGA619" s="17">
        <v>44925</v>
      </c>
      <c r="QGB619" s="5" t="s">
        <v>3728</v>
      </c>
      <c r="QGC619" s="17">
        <v>44925</v>
      </c>
      <c r="QGD619" s="5" t="s">
        <v>3728</v>
      </c>
      <c r="QGE619" s="17">
        <v>44925</v>
      </c>
      <c r="QGF619" s="5" t="s">
        <v>3728</v>
      </c>
      <c r="QGG619" s="17">
        <v>44925</v>
      </c>
      <c r="QGH619" s="5" t="s">
        <v>3728</v>
      </c>
      <c r="QGI619" s="17">
        <v>44925</v>
      </c>
      <c r="QGJ619" s="5" t="s">
        <v>3728</v>
      </c>
      <c r="QGK619" s="17">
        <v>44925</v>
      </c>
      <c r="QGL619" s="5" t="s">
        <v>3728</v>
      </c>
      <c r="QGM619" s="17">
        <v>44925</v>
      </c>
      <c r="QGN619" s="5" t="s">
        <v>3728</v>
      </c>
      <c r="QGO619" s="17">
        <v>44925</v>
      </c>
      <c r="QGP619" s="5" t="s">
        <v>3728</v>
      </c>
      <c r="QGQ619" s="17">
        <v>44925</v>
      </c>
      <c r="QGR619" s="5" t="s">
        <v>3728</v>
      </c>
      <c r="QGS619" s="17">
        <v>44925</v>
      </c>
      <c r="QGT619" s="5" t="s">
        <v>3728</v>
      </c>
      <c r="QGU619" s="17">
        <v>44925</v>
      </c>
      <c r="QGV619" s="5" t="s">
        <v>3728</v>
      </c>
      <c r="QGW619" s="17">
        <v>44925</v>
      </c>
      <c r="QGX619" s="5" t="s">
        <v>3728</v>
      </c>
      <c r="QGY619" s="17">
        <v>44925</v>
      </c>
      <c r="QGZ619" s="5" t="s">
        <v>3728</v>
      </c>
      <c r="QHA619" s="17">
        <v>44925</v>
      </c>
      <c r="QHB619" s="5" t="s">
        <v>3728</v>
      </c>
      <c r="QHC619" s="17">
        <v>44925</v>
      </c>
      <c r="QHD619" s="5" t="s">
        <v>3728</v>
      </c>
      <c r="QHE619" s="17">
        <v>44925</v>
      </c>
      <c r="QHF619" s="5" t="s">
        <v>3728</v>
      </c>
      <c r="QHG619" s="17">
        <v>44925</v>
      </c>
      <c r="QHH619" s="5" t="s">
        <v>3728</v>
      </c>
      <c r="QHI619" s="17">
        <v>44925</v>
      </c>
      <c r="QHJ619" s="5" t="s">
        <v>3728</v>
      </c>
      <c r="QHK619" s="17">
        <v>44925</v>
      </c>
      <c r="QHL619" s="5" t="s">
        <v>3728</v>
      </c>
      <c r="QHM619" s="17">
        <v>44925</v>
      </c>
      <c r="QHN619" s="5" t="s">
        <v>3728</v>
      </c>
      <c r="QHO619" s="17">
        <v>44925</v>
      </c>
      <c r="QHP619" s="5" t="s">
        <v>3728</v>
      </c>
      <c r="QHQ619" s="17">
        <v>44925</v>
      </c>
      <c r="QHR619" s="5" t="s">
        <v>3728</v>
      </c>
      <c r="QHS619" s="17">
        <v>44925</v>
      </c>
      <c r="QHT619" s="5" t="s">
        <v>3728</v>
      </c>
      <c r="QHU619" s="17">
        <v>44925</v>
      </c>
      <c r="QHV619" s="5" t="s">
        <v>3728</v>
      </c>
      <c r="QHW619" s="17">
        <v>44925</v>
      </c>
      <c r="QHX619" s="5" t="s">
        <v>3728</v>
      </c>
      <c r="QHY619" s="17">
        <v>44925</v>
      </c>
      <c r="QHZ619" s="5" t="s">
        <v>3728</v>
      </c>
      <c r="QIA619" s="17">
        <v>44925</v>
      </c>
      <c r="QIB619" s="5" t="s">
        <v>3728</v>
      </c>
      <c r="QIC619" s="17">
        <v>44925</v>
      </c>
      <c r="QID619" s="5" t="s">
        <v>3728</v>
      </c>
      <c r="QIE619" s="17">
        <v>44925</v>
      </c>
      <c r="QIF619" s="5" t="s">
        <v>3728</v>
      </c>
      <c r="QIG619" s="17">
        <v>44925</v>
      </c>
      <c r="QIH619" s="5" t="s">
        <v>3728</v>
      </c>
      <c r="QII619" s="17">
        <v>44925</v>
      </c>
      <c r="QIJ619" s="5" t="s">
        <v>3728</v>
      </c>
      <c r="QIK619" s="17">
        <v>44925</v>
      </c>
      <c r="QIL619" s="5" t="s">
        <v>3728</v>
      </c>
      <c r="QIM619" s="17">
        <v>44925</v>
      </c>
      <c r="QIN619" s="5" t="s">
        <v>3728</v>
      </c>
      <c r="QIO619" s="17">
        <v>44925</v>
      </c>
      <c r="QIP619" s="5" t="s">
        <v>3728</v>
      </c>
      <c r="QIQ619" s="17">
        <v>44925</v>
      </c>
      <c r="QIR619" s="5" t="s">
        <v>3728</v>
      </c>
      <c r="QIS619" s="17">
        <v>44925</v>
      </c>
      <c r="QIT619" s="5" t="s">
        <v>3728</v>
      </c>
      <c r="QIU619" s="17">
        <v>44925</v>
      </c>
      <c r="QIV619" s="5" t="s">
        <v>3728</v>
      </c>
      <c r="QIW619" s="17">
        <v>44925</v>
      </c>
      <c r="QIX619" s="5" t="s">
        <v>3728</v>
      </c>
      <c r="QIY619" s="17">
        <v>44925</v>
      </c>
      <c r="QIZ619" s="5" t="s">
        <v>3728</v>
      </c>
      <c r="QJA619" s="17">
        <v>44925</v>
      </c>
      <c r="QJB619" s="5" t="s">
        <v>3728</v>
      </c>
      <c r="QJC619" s="17">
        <v>44925</v>
      </c>
      <c r="QJD619" s="5" t="s">
        <v>3728</v>
      </c>
      <c r="QJE619" s="17">
        <v>44925</v>
      </c>
      <c r="QJF619" s="5" t="s">
        <v>3728</v>
      </c>
      <c r="QJG619" s="17">
        <v>44925</v>
      </c>
      <c r="QJH619" s="5" t="s">
        <v>3728</v>
      </c>
      <c r="QJI619" s="17">
        <v>44925</v>
      </c>
      <c r="QJJ619" s="5" t="s">
        <v>3728</v>
      </c>
      <c r="QJK619" s="17">
        <v>44925</v>
      </c>
      <c r="QJL619" s="5" t="s">
        <v>3728</v>
      </c>
      <c r="QJM619" s="17">
        <v>44925</v>
      </c>
      <c r="QJN619" s="5" t="s">
        <v>3728</v>
      </c>
      <c r="QJO619" s="17">
        <v>44925</v>
      </c>
      <c r="QJP619" s="5" t="s">
        <v>3728</v>
      </c>
      <c r="QJQ619" s="17">
        <v>44925</v>
      </c>
      <c r="QJR619" s="5" t="s">
        <v>3728</v>
      </c>
      <c r="QJS619" s="17">
        <v>44925</v>
      </c>
      <c r="QJT619" s="5" t="s">
        <v>3728</v>
      </c>
      <c r="QJU619" s="17">
        <v>44925</v>
      </c>
      <c r="QJV619" s="5" t="s">
        <v>3728</v>
      </c>
      <c r="QJW619" s="17">
        <v>44925</v>
      </c>
      <c r="QJX619" s="5" t="s">
        <v>3728</v>
      </c>
      <c r="QJY619" s="17">
        <v>44925</v>
      </c>
      <c r="QJZ619" s="5" t="s">
        <v>3728</v>
      </c>
      <c r="QKA619" s="17">
        <v>44925</v>
      </c>
      <c r="QKB619" s="5" t="s">
        <v>3728</v>
      </c>
      <c r="QKC619" s="17">
        <v>44925</v>
      </c>
      <c r="QKD619" s="5" t="s">
        <v>3728</v>
      </c>
      <c r="QKE619" s="17">
        <v>44925</v>
      </c>
      <c r="QKF619" s="5" t="s">
        <v>3728</v>
      </c>
      <c r="QKG619" s="17">
        <v>44925</v>
      </c>
      <c r="QKH619" s="5" t="s">
        <v>3728</v>
      </c>
      <c r="QKI619" s="17">
        <v>44925</v>
      </c>
      <c r="QKJ619" s="5" t="s">
        <v>3728</v>
      </c>
      <c r="QKK619" s="17">
        <v>44925</v>
      </c>
      <c r="QKL619" s="5" t="s">
        <v>3728</v>
      </c>
      <c r="QKM619" s="17">
        <v>44925</v>
      </c>
      <c r="QKN619" s="5" t="s">
        <v>3728</v>
      </c>
      <c r="QKO619" s="17">
        <v>44925</v>
      </c>
      <c r="QKP619" s="5" t="s">
        <v>3728</v>
      </c>
      <c r="QKQ619" s="17">
        <v>44925</v>
      </c>
      <c r="QKR619" s="5" t="s">
        <v>3728</v>
      </c>
      <c r="QKS619" s="17">
        <v>44925</v>
      </c>
      <c r="QKT619" s="5" t="s">
        <v>3728</v>
      </c>
      <c r="QKU619" s="17">
        <v>44925</v>
      </c>
      <c r="QKV619" s="5" t="s">
        <v>3728</v>
      </c>
      <c r="QKW619" s="17">
        <v>44925</v>
      </c>
      <c r="QKX619" s="5" t="s">
        <v>3728</v>
      </c>
      <c r="QKY619" s="17">
        <v>44925</v>
      </c>
      <c r="QKZ619" s="5" t="s">
        <v>3728</v>
      </c>
      <c r="QLA619" s="17">
        <v>44925</v>
      </c>
      <c r="QLB619" s="5" t="s">
        <v>3728</v>
      </c>
      <c r="QLC619" s="17">
        <v>44925</v>
      </c>
      <c r="QLD619" s="5" t="s">
        <v>3728</v>
      </c>
      <c r="QLE619" s="17">
        <v>44925</v>
      </c>
      <c r="QLF619" s="5" t="s">
        <v>3728</v>
      </c>
      <c r="QLG619" s="17">
        <v>44925</v>
      </c>
      <c r="QLH619" s="5" t="s">
        <v>3728</v>
      </c>
      <c r="QLI619" s="17">
        <v>44925</v>
      </c>
      <c r="QLJ619" s="5" t="s">
        <v>3728</v>
      </c>
      <c r="QLK619" s="17">
        <v>44925</v>
      </c>
      <c r="QLL619" s="5" t="s">
        <v>3728</v>
      </c>
      <c r="QLM619" s="17">
        <v>44925</v>
      </c>
      <c r="QLN619" s="5" t="s">
        <v>3728</v>
      </c>
      <c r="QLO619" s="17">
        <v>44925</v>
      </c>
      <c r="QLP619" s="5" t="s">
        <v>3728</v>
      </c>
      <c r="QLQ619" s="17">
        <v>44925</v>
      </c>
      <c r="QLR619" s="5" t="s">
        <v>3728</v>
      </c>
      <c r="QLS619" s="17">
        <v>44925</v>
      </c>
      <c r="QLT619" s="5" t="s">
        <v>3728</v>
      </c>
      <c r="QLU619" s="17">
        <v>44925</v>
      </c>
      <c r="QLV619" s="5" t="s">
        <v>3728</v>
      </c>
      <c r="QLW619" s="17">
        <v>44925</v>
      </c>
      <c r="QLX619" s="5" t="s">
        <v>3728</v>
      </c>
      <c r="QLY619" s="17">
        <v>44925</v>
      </c>
      <c r="QLZ619" s="5" t="s">
        <v>3728</v>
      </c>
      <c r="QMA619" s="17">
        <v>44925</v>
      </c>
      <c r="QMB619" s="5" t="s">
        <v>3728</v>
      </c>
      <c r="QMC619" s="17">
        <v>44925</v>
      </c>
      <c r="QMD619" s="5" t="s">
        <v>3728</v>
      </c>
      <c r="QME619" s="17">
        <v>44925</v>
      </c>
      <c r="QMF619" s="5" t="s">
        <v>3728</v>
      </c>
      <c r="QMG619" s="17">
        <v>44925</v>
      </c>
      <c r="QMH619" s="5" t="s">
        <v>3728</v>
      </c>
      <c r="QMI619" s="17">
        <v>44925</v>
      </c>
      <c r="QMJ619" s="5" t="s">
        <v>3728</v>
      </c>
      <c r="QMK619" s="17">
        <v>44925</v>
      </c>
      <c r="QML619" s="5" t="s">
        <v>3728</v>
      </c>
      <c r="QMM619" s="17">
        <v>44925</v>
      </c>
      <c r="QMN619" s="5" t="s">
        <v>3728</v>
      </c>
      <c r="QMO619" s="17">
        <v>44925</v>
      </c>
      <c r="QMP619" s="5" t="s">
        <v>3728</v>
      </c>
      <c r="QMQ619" s="17">
        <v>44925</v>
      </c>
      <c r="QMR619" s="5" t="s">
        <v>3728</v>
      </c>
      <c r="QMS619" s="17">
        <v>44925</v>
      </c>
      <c r="QMT619" s="5" t="s">
        <v>3728</v>
      </c>
      <c r="QMU619" s="17">
        <v>44925</v>
      </c>
      <c r="QMV619" s="5" t="s">
        <v>3728</v>
      </c>
      <c r="QMW619" s="17">
        <v>44925</v>
      </c>
      <c r="QMX619" s="5" t="s">
        <v>3728</v>
      </c>
      <c r="QMY619" s="17">
        <v>44925</v>
      </c>
      <c r="QMZ619" s="5" t="s">
        <v>3728</v>
      </c>
      <c r="QNA619" s="17">
        <v>44925</v>
      </c>
      <c r="QNB619" s="5" t="s">
        <v>3728</v>
      </c>
      <c r="QNC619" s="17">
        <v>44925</v>
      </c>
      <c r="QND619" s="5" t="s">
        <v>3728</v>
      </c>
      <c r="QNE619" s="17">
        <v>44925</v>
      </c>
      <c r="QNF619" s="5" t="s">
        <v>3728</v>
      </c>
      <c r="QNG619" s="17">
        <v>44925</v>
      </c>
      <c r="QNH619" s="5" t="s">
        <v>3728</v>
      </c>
      <c r="QNI619" s="17">
        <v>44925</v>
      </c>
      <c r="QNJ619" s="5" t="s">
        <v>3728</v>
      </c>
      <c r="QNK619" s="17">
        <v>44925</v>
      </c>
      <c r="QNL619" s="5" t="s">
        <v>3728</v>
      </c>
      <c r="QNM619" s="17">
        <v>44925</v>
      </c>
      <c r="QNN619" s="5" t="s">
        <v>3728</v>
      </c>
      <c r="QNO619" s="17">
        <v>44925</v>
      </c>
      <c r="QNP619" s="5" t="s">
        <v>3728</v>
      </c>
      <c r="QNQ619" s="17">
        <v>44925</v>
      </c>
      <c r="QNR619" s="5" t="s">
        <v>3728</v>
      </c>
      <c r="QNS619" s="17">
        <v>44925</v>
      </c>
      <c r="QNT619" s="5" t="s">
        <v>3728</v>
      </c>
      <c r="QNU619" s="17">
        <v>44925</v>
      </c>
      <c r="QNV619" s="5" t="s">
        <v>3728</v>
      </c>
      <c r="QNW619" s="17">
        <v>44925</v>
      </c>
      <c r="QNX619" s="5" t="s">
        <v>3728</v>
      </c>
      <c r="QNY619" s="17">
        <v>44925</v>
      </c>
      <c r="QNZ619" s="5" t="s">
        <v>3728</v>
      </c>
      <c r="QOA619" s="17">
        <v>44925</v>
      </c>
      <c r="QOB619" s="5" t="s">
        <v>3728</v>
      </c>
      <c r="QOC619" s="17">
        <v>44925</v>
      </c>
      <c r="QOD619" s="5" t="s">
        <v>3728</v>
      </c>
      <c r="QOE619" s="17">
        <v>44925</v>
      </c>
      <c r="QOF619" s="5" t="s">
        <v>3728</v>
      </c>
      <c r="QOG619" s="17">
        <v>44925</v>
      </c>
      <c r="QOH619" s="5" t="s">
        <v>3728</v>
      </c>
      <c r="QOI619" s="17">
        <v>44925</v>
      </c>
      <c r="QOJ619" s="5" t="s">
        <v>3728</v>
      </c>
      <c r="QOK619" s="17">
        <v>44925</v>
      </c>
      <c r="QOL619" s="5" t="s">
        <v>3728</v>
      </c>
      <c r="QOM619" s="17">
        <v>44925</v>
      </c>
      <c r="QON619" s="5" t="s">
        <v>3728</v>
      </c>
      <c r="QOO619" s="17">
        <v>44925</v>
      </c>
      <c r="QOP619" s="5" t="s">
        <v>3728</v>
      </c>
      <c r="QOQ619" s="17">
        <v>44925</v>
      </c>
      <c r="QOR619" s="5" t="s">
        <v>3728</v>
      </c>
      <c r="QOS619" s="17">
        <v>44925</v>
      </c>
      <c r="QOT619" s="5" t="s">
        <v>3728</v>
      </c>
      <c r="QOU619" s="17">
        <v>44925</v>
      </c>
      <c r="QOV619" s="5" t="s">
        <v>3728</v>
      </c>
      <c r="QOW619" s="17">
        <v>44925</v>
      </c>
      <c r="QOX619" s="5" t="s">
        <v>3728</v>
      </c>
      <c r="QOY619" s="17">
        <v>44925</v>
      </c>
      <c r="QOZ619" s="5" t="s">
        <v>3728</v>
      </c>
      <c r="QPA619" s="17">
        <v>44925</v>
      </c>
      <c r="QPB619" s="5" t="s">
        <v>3728</v>
      </c>
      <c r="QPC619" s="17">
        <v>44925</v>
      </c>
      <c r="QPD619" s="5" t="s">
        <v>3728</v>
      </c>
      <c r="QPE619" s="17">
        <v>44925</v>
      </c>
      <c r="QPF619" s="5" t="s">
        <v>3728</v>
      </c>
      <c r="QPG619" s="17">
        <v>44925</v>
      </c>
      <c r="QPH619" s="5" t="s">
        <v>3728</v>
      </c>
      <c r="QPI619" s="17">
        <v>44925</v>
      </c>
      <c r="QPJ619" s="5" t="s">
        <v>3728</v>
      </c>
      <c r="QPK619" s="17">
        <v>44925</v>
      </c>
      <c r="QPL619" s="5" t="s">
        <v>3728</v>
      </c>
      <c r="QPM619" s="17">
        <v>44925</v>
      </c>
      <c r="QPN619" s="5" t="s">
        <v>3728</v>
      </c>
      <c r="QPO619" s="17">
        <v>44925</v>
      </c>
      <c r="QPP619" s="5" t="s">
        <v>3728</v>
      </c>
      <c r="QPQ619" s="17">
        <v>44925</v>
      </c>
      <c r="QPR619" s="5" t="s">
        <v>3728</v>
      </c>
      <c r="QPS619" s="17">
        <v>44925</v>
      </c>
      <c r="QPT619" s="5" t="s">
        <v>3728</v>
      </c>
      <c r="QPU619" s="17">
        <v>44925</v>
      </c>
      <c r="QPV619" s="5" t="s">
        <v>3728</v>
      </c>
      <c r="QPW619" s="17">
        <v>44925</v>
      </c>
      <c r="QPX619" s="5" t="s">
        <v>3728</v>
      </c>
      <c r="QPY619" s="17">
        <v>44925</v>
      </c>
      <c r="QPZ619" s="5" t="s">
        <v>3728</v>
      </c>
      <c r="QQA619" s="17">
        <v>44925</v>
      </c>
      <c r="QQB619" s="5" t="s">
        <v>3728</v>
      </c>
      <c r="QQC619" s="17">
        <v>44925</v>
      </c>
      <c r="QQD619" s="5" t="s">
        <v>3728</v>
      </c>
      <c r="QQE619" s="17">
        <v>44925</v>
      </c>
      <c r="QQF619" s="5" t="s">
        <v>3728</v>
      </c>
      <c r="QQG619" s="17">
        <v>44925</v>
      </c>
      <c r="QQH619" s="5" t="s">
        <v>3728</v>
      </c>
      <c r="QQI619" s="17">
        <v>44925</v>
      </c>
      <c r="QQJ619" s="5" t="s">
        <v>3728</v>
      </c>
      <c r="QQK619" s="17">
        <v>44925</v>
      </c>
      <c r="QQL619" s="5" t="s">
        <v>3728</v>
      </c>
      <c r="QQM619" s="17">
        <v>44925</v>
      </c>
      <c r="QQN619" s="5" t="s">
        <v>3728</v>
      </c>
      <c r="QQO619" s="17">
        <v>44925</v>
      </c>
      <c r="QQP619" s="5" t="s">
        <v>3728</v>
      </c>
      <c r="QQQ619" s="17">
        <v>44925</v>
      </c>
      <c r="QQR619" s="5" t="s">
        <v>3728</v>
      </c>
      <c r="QQS619" s="17">
        <v>44925</v>
      </c>
      <c r="QQT619" s="5" t="s">
        <v>3728</v>
      </c>
      <c r="QQU619" s="17">
        <v>44925</v>
      </c>
      <c r="QQV619" s="5" t="s">
        <v>3728</v>
      </c>
      <c r="QQW619" s="17">
        <v>44925</v>
      </c>
      <c r="QQX619" s="5" t="s">
        <v>3728</v>
      </c>
      <c r="QQY619" s="17">
        <v>44925</v>
      </c>
      <c r="QQZ619" s="5" t="s">
        <v>3728</v>
      </c>
      <c r="QRA619" s="17">
        <v>44925</v>
      </c>
      <c r="QRB619" s="5" t="s">
        <v>3728</v>
      </c>
      <c r="QRC619" s="17">
        <v>44925</v>
      </c>
      <c r="QRD619" s="5" t="s">
        <v>3728</v>
      </c>
      <c r="QRE619" s="17">
        <v>44925</v>
      </c>
      <c r="QRF619" s="5" t="s">
        <v>3728</v>
      </c>
      <c r="QRG619" s="17">
        <v>44925</v>
      </c>
      <c r="QRH619" s="5" t="s">
        <v>3728</v>
      </c>
      <c r="QRI619" s="17">
        <v>44925</v>
      </c>
      <c r="QRJ619" s="5" t="s">
        <v>3728</v>
      </c>
      <c r="QRK619" s="17">
        <v>44925</v>
      </c>
      <c r="QRL619" s="5" t="s">
        <v>3728</v>
      </c>
      <c r="QRM619" s="17">
        <v>44925</v>
      </c>
      <c r="QRN619" s="5" t="s">
        <v>3728</v>
      </c>
      <c r="QRO619" s="17">
        <v>44925</v>
      </c>
      <c r="QRP619" s="5" t="s">
        <v>3728</v>
      </c>
      <c r="QRQ619" s="17">
        <v>44925</v>
      </c>
      <c r="QRR619" s="5" t="s">
        <v>3728</v>
      </c>
      <c r="QRS619" s="17">
        <v>44925</v>
      </c>
      <c r="QRT619" s="5" t="s">
        <v>3728</v>
      </c>
      <c r="QRU619" s="17">
        <v>44925</v>
      </c>
      <c r="QRV619" s="5" t="s">
        <v>3728</v>
      </c>
      <c r="QRW619" s="17">
        <v>44925</v>
      </c>
      <c r="QRX619" s="5" t="s">
        <v>3728</v>
      </c>
      <c r="QRY619" s="17">
        <v>44925</v>
      </c>
      <c r="QRZ619" s="5" t="s">
        <v>3728</v>
      </c>
      <c r="QSA619" s="17">
        <v>44925</v>
      </c>
      <c r="QSB619" s="5" t="s">
        <v>3728</v>
      </c>
      <c r="QSC619" s="17">
        <v>44925</v>
      </c>
      <c r="QSD619" s="5" t="s">
        <v>3728</v>
      </c>
      <c r="QSE619" s="17">
        <v>44925</v>
      </c>
      <c r="QSF619" s="5" t="s">
        <v>3728</v>
      </c>
      <c r="QSG619" s="17">
        <v>44925</v>
      </c>
      <c r="QSH619" s="5" t="s">
        <v>3728</v>
      </c>
      <c r="QSI619" s="17">
        <v>44925</v>
      </c>
      <c r="QSJ619" s="5" t="s">
        <v>3728</v>
      </c>
      <c r="QSK619" s="17">
        <v>44925</v>
      </c>
      <c r="QSL619" s="5" t="s">
        <v>3728</v>
      </c>
      <c r="QSM619" s="17">
        <v>44925</v>
      </c>
      <c r="QSN619" s="5" t="s">
        <v>3728</v>
      </c>
      <c r="QSO619" s="17">
        <v>44925</v>
      </c>
      <c r="QSP619" s="5" t="s">
        <v>3728</v>
      </c>
      <c r="QSQ619" s="17">
        <v>44925</v>
      </c>
      <c r="QSR619" s="5" t="s">
        <v>3728</v>
      </c>
      <c r="QSS619" s="17">
        <v>44925</v>
      </c>
      <c r="QST619" s="5" t="s">
        <v>3728</v>
      </c>
      <c r="QSU619" s="17">
        <v>44925</v>
      </c>
      <c r="QSV619" s="5" t="s">
        <v>3728</v>
      </c>
      <c r="QSW619" s="17">
        <v>44925</v>
      </c>
      <c r="QSX619" s="5" t="s">
        <v>3728</v>
      </c>
      <c r="QSY619" s="17">
        <v>44925</v>
      </c>
      <c r="QSZ619" s="5" t="s">
        <v>3728</v>
      </c>
      <c r="QTA619" s="17">
        <v>44925</v>
      </c>
      <c r="QTB619" s="5" t="s">
        <v>3728</v>
      </c>
      <c r="QTC619" s="17">
        <v>44925</v>
      </c>
      <c r="QTD619" s="5" t="s">
        <v>3728</v>
      </c>
      <c r="QTE619" s="17">
        <v>44925</v>
      </c>
      <c r="QTF619" s="5" t="s">
        <v>3728</v>
      </c>
      <c r="QTG619" s="17">
        <v>44925</v>
      </c>
      <c r="QTH619" s="5" t="s">
        <v>3728</v>
      </c>
      <c r="QTI619" s="17">
        <v>44925</v>
      </c>
      <c r="QTJ619" s="5" t="s">
        <v>3728</v>
      </c>
      <c r="QTK619" s="17">
        <v>44925</v>
      </c>
      <c r="QTL619" s="5" t="s">
        <v>3728</v>
      </c>
      <c r="QTM619" s="17">
        <v>44925</v>
      </c>
      <c r="QTN619" s="5" t="s">
        <v>3728</v>
      </c>
      <c r="QTO619" s="17">
        <v>44925</v>
      </c>
      <c r="QTP619" s="5" t="s">
        <v>3728</v>
      </c>
      <c r="QTQ619" s="17">
        <v>44925</v>
      </c>
      <c r="QTR619" s="5" t="s">
        <v>3728</v>
      </c>
      <c r="QTS619" s="17">
        <v>44925</v>
      </c>
      <c r="QTT619" s="5" t="s">
        <v>3728</v>
      </c>
      <c r="QTU619" s="17">
        <v>44925</v>
      </c>
      <c r="QTV619" s="5" t="s">
        <v>3728</v>
      </c>
      <c r="QTW619" s="17">
        <v>44925</v>
      </c>
      <c r="QTX619" s="5" t="s">
        <v>3728</v>
      </c>
      <c r="QTY619" s="17">
        <v>44925</v>
      </c>
      <c r="QTZ619" s="5" t="s">
        <v>3728</v>
      </c>
      <c r="QUA619" s="17">
        <v>44925</v>
      </c>
      <c r="QUB619" s="5" t="s">
        <v>3728</v>
      </c>
      <c r="QUC619" s="17">
        <v>44925</v>
      </c>
      <c r="QUD619" s="5" t="s">
        <v>3728</v>
      </c>
      <c r="QUE619" s="17">
        <v>44925</v>
      </c>
      <c r="QUF619" s="5" t="s">
        <v>3728</v>
      </c>
      <c r="QUG619" s="17">
        <v>44925</v>
      </c>
      <c r="QUH619" s="5" t="s">
        <v>3728</v>
      </c>
      <c r="QUI619" s="17">
        <v>44925</v>
      </c>
      <c r="QUJ619" s="5" t="s">
        <v>3728</v>
      </c>
      <c r="QUK619" s="17">
        <v>44925</v>
      </c>
      <c r="QUL619" s="5" t="s">
        <v>3728</v>
      </c>
      <c r="QUM619" s="17">
        <v>44925</v>
      </c>
      <c r="QUN619" s="5" t="s">
        <v>3728</v>
      </c>
      <c r="QUO619" s="17">
        <v>44925</v>
      </c>
      <c r="QUP619" s="5" t="s">
        <v>3728</v>
      </c>
      <c r="QUQ619" s="17">
        <v>44925</v>
      </c>
      <c r="QUR619" s="5" t="s">
        <v>3728</v>
      </c>
      <c r="QUS619" s="17">
        <v>44925</v>
      </c>
      <c r="QUT619" s="5" t="s">
        <v>3728</v>
      </c>
      <c r="QUU619" s="17">
        <v>44925</v>
      </c>
      <c r="QUV619" s="5" t="s">
        <v>3728</v>
      </c>
      <c r="QUW619" s="17">
        <v>44925</v>
      </c>
      <c r="QUX619" s="5" t="s">
        <v>3728</v>
      </c>
      <c r="QUY619" s="17">
        <v>44925</v>
      </c>
      <c r="QUZ619" s="5" t="s">
        <v>3728</v>
      </c>
      <c r="QVA619" s="17">
        <v>44925</v>
      </c>
      <c r="QVB619" s="5" t="s">
        <v>3728</v>
      </c>
      <c r="QVC619" s="17">
        <v>44925</v>
      </c>
      <c r="QVD619" s="5" t="s">
        <v>3728</v>
      </c>
      <c r="QVE619" s="17">
        <v>44925</v>
      </c>
      <c r="QVF619" s="5" t="s">
        <v>3728</v>
      </c>
      <c r="QVG619" s="17">
        <v>44925</v>
      </c>
      <c r="QVH619" s="5" t="s">
        <v>3728</v>
      </c>
      <c r="QVI619" s="17">
        <v>44925</v>
      </c>
      <c r="QVJ619" s="5" t="s">
        <v>3728</v>
      </c>
      <c r="QVK619" s="17">
        <v>44925</v>
      </c>
      <c r="QVL619" s="5" t="s">
        <v>3728</v>
      </c>
      <c r="QVM619" s="17">
        <v>44925</v>
      </c>
      <c r="QVN619" s="5" t="s">
        <v>3728</v>
      </c>
      <c r="QVO619" s="17">
        <v>44925</v>
      </c>
      <c r="QVP619" s="5" t="s">
        <v>3728</v>
      </c>
      <c r="QVQ619" s="17">
        <v>44925</v>
      </c>
      <c r="QVR619" s="5" t="s">
        <v>3728</v>
      </c>
      <c r="QVS619" s="17">
        <v>44925</v>
      </c>
      <c r="QVT619" s="5" t="s">
        <v>3728</v>
      </c>
      <c r="QVU619" s="17">
        <v>44925</v>
      </c>
      <c r="QVV619" s="5" t="s">
        <v>3728</v>
      </c>
      <c r="QVW619" s="17">
        <v>44925</v>
      </c>
      <c r="QVX619" s="5" t="s">
        <v>3728</v>
      </c>
      <c r="QVY619" s="17">
        <v>44925</v>
      </c>
      <c r="QVZ619" s="5" t="s">
        <v>3728</v>
      </c>
      <c r="QWA619" s="17">
        <v>44925</v>
      </c>
      <c r="QWB619" s="5" t="s">
        <v>3728</v>
      </c>
      <c r="QWC619" s="17">
        <v>44925</v>
      </c>
      <c r="QWD619" s="5" t="s">
        <v>3728</v>
      </c>
      <c r="QWE619" s="17">
        <v>44925</v>
      </c>
      <c r="QWF619" s="5" t="s">
        <v>3728</v>
      </c>
      <c r="QWG619" s="17">
        <v>44925</v>
      </c>
      <c r="QWH619" s="5" t="s">
        <v>3728</v>
      </c>
      <c r="QWI619" s="17">
        <v>44925</v>
      </c>
      <c r="QWJ619" s="5" t="s">
        <v>3728</v>
      </c>
      <c r="QWK619" s="17">
        <v>44925</v>
      </c>
      <c r="QWL619" s="5" t="s">
        <v>3728</v>
      </c>
      <c r="QWM619" s="17">
        <v>44925</v>
      </c>
      <c r="QWN619" s="5" t="s">
        <v>3728</v>
      </c>
      <c r="QWO619" s="17">
        <v>44925</v>
      </c>
      <c r="QWP619" s="5" t="s">
        <v>3728</v>
      </c>
      <c r="QWQ619" s="17">
        <v>44925</v>
      </c>
      <c r="QWR619" s="5" t="s">
        <v>3728</v>
      </c>
      <c r="QWS619" s="17">
        <v>44925</v>
      </c>
      <c r="QWT619" s="5" t="s">
        <v>3728</v>
      </c>
      <c r="QWU619" s="17">
        <v>44925</v>
      </c>
      <c r="QWV619" s="5" t="s">
        <v>3728</v>
      </c>
      <c r="QWW619" s="17">
        <v>44925</v>
      </c>
      <c r="QWX619" s="5" t="s">
        <v>3728</v>
      </c>
      <c r="QWY619" s="17">
        <v>44925</v>
      </c>
      <c r="QWZ619" s="5" t="s">
        <v>3728</v>
      </c>
      <c r="QXA619" s="17">
        <v>44925</v>
      </c>
      <c r="QXB619" s="5" t="s">
        <v>3728</v>
      </c>
      <c r="QXC619" s="17">
        <v>44925</v>
      </c>
      <c r="QXD619" s="5" t="s">
        <v>3728</v>
      </c>
      <c r="QXE619" s="17">
        <v>44925</v>
      </c>
      <c r="QXF619" s="5" t="s">
        <v>3728</v>
      </c>
      <c r="QXG619" s="17">
        <v>44925</v>
      </c>
      <c r="QXH619" s="5" t="s">
        <v>3728</v>
      </c>
      <c r="QXI619" s="17">
        <v>44925</v>
      </c>
      <c r="QXJ619" s="5" t="s">
        <v>3728</v>
      </c>
      <c r="QXK619" s="17">
        <v>44925</v>
      </c>
      <c r="QXL619" s="5" t="s">
        <v>3728</v>
      </c>
      <c r="QXM619" s="17">
        <v>44925</v>
      </c>
      <c r="QXN619" s="5" t="s">
        <v>3728</v>
      </c>
      <c r="QXO619" s="17">
        <v>44925</v>
      </c>
      <c r="QXP619" s="5" t="s">
        <v>3728</v>
      </c>
      <c r="QXQ619" s="17">
        <v>44925</v>
      </c>
      <c r="QXR619" s="5" t="s">
        <v>3728</v>
      </c>
      <c r="QXS619" s="17">
        <v>44925</v>
      </c>
      <c r="QXT619" s="5" t="s">
        <v>3728</v>
      </c>
      <c r="QXU619" s="17">
        <v>44925</v>
      </c>
      <c r="QXV619" s="5" t="s">
        <v>3728</v>
      </c>
      <c r="QXW619" s="17">
        <v>44925</v>
      </c>
      <c r="QXX619" s="5" t="s">
        <v>3728</v>
      </c>
      <c r="QXY619" s="17">
        <v>44925</v>
      </c>
      <c r="QXZ619" s="5" t="s">
        <v>3728</v>
      </c>
      <c r="QYA619" s="17">
        <v>44925</v>
      </c>
      <c r="QYB619" s="5" t="s">
        <v>3728</v>
      </c>
      <c r="QYC619" s="17">
        <v>44925</v>
      </c>
      <c r="QYD619" s="5" t="s">
        <v>3728</v>
      </c>
      <c r="QYE619" s="17">
        <v>44925</v>
      </c>
      <c r="QYF619" s="5" t="s">
        <v>3728</v>
      </c>
      <c r="QYG619" s="17">
        <v>44925</v>
      </c>
      <c r="QYH619" s="5" t="s">
        <v>3728</v>
      </c>
      <c r="QYI619" s="17">
        <v>44925</v>
      </c>
      <c r="QYJ619" s="5" t="s">
        <v>3728</v>
      </c>
      <c r="QYK619" s="17">
        <v>44925</v>
      </c>
      <c r="QYL619" s="5" t="s">
        <v>3728</v>
      </c>
      <c r="QYM619" s="17">
        <v>44925</v>
      </c>
      <c r="QYN619" s="5" t="s">
        <v>3728</v>
      </c>
      <c r="QYO619" s="17">
        <v>44925</v>
      </c>
      <c r="QYP619" s="5" t="s">
        <v>3728</v>
      </c>
      <c r="QYQ619" s="17">
        <v>44925</v>
      </c>
      <c r="QYR619" s="5" t="s">
        <v>3728</v>
      </c>
      <c r="QYS619" s="17">
        <v>44925</v>
      </c>
      <c r="QYT619" s="5" t="s">
        <v>3728</v>
      </c>
      <c r="QYU619" s="17">
        <v>44925</v>
      </c>
      <c r="QYV619" s="5" t="s">
        <v>3728</v>
      </c>
      <c r="QYW619" s="17">
        <v>44925</v>
      </c>
      <c r="QYX619" s="5" t="s">
        <v>3728</v>
      </c>
      <c r="QYY619" s="17">
        <v>44925</v>
      </c>
      <c r="QYZ619" s="5" t="s">
        <v>3728</v>
      </c>
      <c r="QZA619" s="17">
        <v>44925</v>
      </c>
      <c r="QZB619" s="5" t="s">
        <v>3728</v>
      </c>
      <c r="QZC619" s="17">
        <v>44925</v>
      </c>
      <c r="QZD619" s="5" t="s">
        <v>3728</v>
      </c>
      <c r="QZE619" s="17">
        <v>44925</v>
      </c>
      <c r="QZF619" s="5" t="s">
        <v>3728</v>
      </c>
      <c r="QZG619" s="17">
        <v>44925</v>
      </c>
      <c r="QZH619" s="5" t="s">
        <v>3728</v>
      </c>
      <c r="QZI619" s="17">
        <v>44925</v>
      </c>
      <c r="QZJ619" s="5" t="s">
        <v>3728</v>
      </c>
      <c r="QZK619" s="17">
        <v>44925</v>
      </c>
      <c r="QZL619" s="5" t="s">
        <v>3728</v>
      </c>
      <c r="QZM619" s="17">
        <v>44925</v>
      </c>
      <c r="QZN619" s="5" t="s">
        <v>3728</v>
      </c>
      <c r="QZO619" s="17">
        <v>44925</v>
      </c>
      <c r="QZP619" s="5" t="s">
        <v>3728</v>
      </c>
      <c r="QZQ619" s="17">
        <v>44925</v>
      </c>
      <c r="QZR619" s="5" t="s">
        <v>3728</v>
      </c>
      <c r="QZS619" s="17">
        <v>44925</v>
      </c>
      <c r="QZT619" s="5" t="s">
        <v>3728</v>
      </c>
      <c r="QZU619" s="17">
        <v>44925</v>
      </c>
      <c r="QZV619" s="5" t="s">
        <v>3728</v>
      </c>
      <c r="QZW619" s="17">
        <v>44925</v>
      </c>
      <c r="QZX619" s="5" t="s">
        <v>3728</v>
      </c>
      <c r="QZY619" s="17">
        <v>44925</v>
      </c>
      <c r="QZZ619" s="5" t="s">
        <v>3728</v>
      </c>
      <c r="RAA619" s="17">
        <v>44925</v>
      </c>
      <c r="RAB619" s="5" t="s">
        <v>3728</v>
      </c>
      <c r="RAC619" s="17">
        <v>44925</v>
      </c>
      <c r="RAD619" s="5" t="s">
        <v>3728</v>
      </c>
      <c r="RAE619" s="17">
        <v>44925</v>
      </c>
      <c r="RAF619" s="5" t="s">
        <v>3728</v>
      </c>
      <c r="RAG619" s="17">
        <v>44925</v>
      </c>
      <c r="RAH619" s="5" t="s">
        <v>3728</v>
      </c>
      <c r="RAI619" s="17">
        <v>44925</v>
      </c>
      <c r="RAJ619" s="5" t="s">
        <v>3728</v>
      </c>
      <c r="RAK619" s="17">
        <v>44925</v>
      </c>
      <c r="RAL619" s="5" t="s">
        <v>3728</v>
      </c>
      <c r="RAM619" s="17">
        <v>44925</v>
      </c>
      <c r="RAN619" s="5" t="s">
        <v>3728</v>
      </c>
      <c r="RAO619" s="17">
        <v>44925</v>
      </c>
      <c r="RAP619" s="5" t="s">
        <v>3728</v>
      </c>
      <c r="RAQ619" s="17">
        <v>44925</v>
      </c>
      <c r="RAR619" s="5" t="s">
        <v>3728</v>
      </c>
      <c r="RAS619" s="17">
        <v>44925</v>
      </c>
      <c r="RAT619" s="5" t="s">
        <v>3728</v>
      </c>
      <c r="RAU619" s="17">
        <v>44925</v>
      </c>
      <c r="RAV619" s="5" t="s">
        <v>3728</v>
      </c>
      <c r="RAW619" s="17">
        <v>44925</v>
      </c>
      <c r="RAX619" s="5" t="s">
        <v>3728</v>
      </c>
      <c r="RAY619" s="17">
        <v>44925</v>
      </c>
      <c r="RAZ619" s="5" t="s">
        <v>3728</v>
      </c>
      <c r="RBA619" s="17">
        <v>44925</v>
      </c>
      <c r="RBB619" s="5" t="s">
        <v>3728</v>
      </c>
      <c r="RBC619" s="17">
        <v>44925</v>
      </c>
      <c r="RBD619" s="5" t="s">
        <v>3728</v>
      </c>
      <c r="RBE619" s="17">
        <v>44925</v>
      </c>
      <c r="RBF619" s="5" t="s">
        <v>3728</v>
      </c>
      <c r="RBG619" s="17">
        <v>44925</v>
      </c>
      <c r="RBH619" s="5" t="s">
        <v>3728</v>
      </c>
      <c r="RBI619" s="17">
        <v>44925</v>
      </c>
      <c r="RBJ619" s="5" t="s">
        <v>3728</v>
      </c>
      <c r="RBK619" s="17">
        <v>44925</v>
      </c>
      <c r="RBL619" s="5" t="s">
        <v>3728</v>
      </c>
      <c r="RBM619" s="17">
        <v>44925</v>
      </c>
      <c r="RBN619" s="5" t="s">
        <v>3728</v>
      </c>
      <c r="RBO619" s="17">
        <v>44925</v>
      </c>
      <c r="RBP619" s="5" t="s">
        <v>3728</v>
      </c>
      <c r="RBQ619" s="17">
        <v>44925</v>
      </c>
      <c r="RBR619" s="5" t="s">
        <v>3728</v>
      </c>
      <c r="RBS619" s="17">
        <v>44925</v>
      </c>
      <c r="RBT619" s="5" t="s">
        <v>3728</v>
      </c>
      <c r="RBU619" s="17">
        <v>44925</v>
      </c>
      <c r="RBV619" s="5" t="s">
        <v>3728</v>
      </c>
      <c r="RBW619" s="17">
        <v>44925</v>
      </c>
      <c r="RBX619" s="5" t="s">
        <v>3728</v>
      </c>
      <c r="RBY619" s="17">
        <v>44925</v>
      </c>
      <c r="RBZ619" s="5" t="s">
        <v>3728</v>
      </c>
      <c r="RCA619" s="17">
        <v>44925</v>
      </c>
      <c r="RCB619" s="5" t="s">
        <v>3728</v>
      </c>
      <c r="RCC619" s="17">
        <v>44925</v>
      </c>
      <c r="RCD619" s="5" t="s">
        <v>3728</v>
      </c>
      <c r="RCE619" s="17">
        <v>44925</v>
      </c>
      <c r="RCF619" s="5" t="s">
        <v>3728</v>
      </c>
      <c r="RCG619" s="17">
        <v>44925</v>
      </c>
      <c r="RCH619" s="5" t="s">
        <v>3728</v>
      </c>
      <c r="RCI619" s="17">
        <v>44925</v>
      </c>
      <c r="RCJ619" s="5" t="s">
        <v>3728</v>
      </c>
      <c r="RCK619" s="17">
        <v>44925</v>
      </c>
      <c r="RCL619" s="5" t="s">
        <v>3728</v>
      </c>
      <c r="RCM619" s="17">
        <v>44925</v>
      </c>
      <c r="RCN619" s="5" t="s">
        <v>3728</v>
      </c>
      <c r="RCO619" s="17">
        <v>44925</v>
      </c>
      <c r="RCP619" s="5" t="s">
        <v>3728</v>
      </c>
      <c r="RCQ619" s="17">
        <v>44925</v>
      </c>
      <c r="RCR619" s="5" t="s">
        <v>3728</v>
      </c>
      <c r="RCS619" s="17">
        <v>44925</v>
      </c>
      <c r="RCT619" s="5" t="s">
        <v>3728</v>
      </c>
      <c r="RCU619" s="17">
        <v>44925</v>
      </c>
      <c r="RCV619" s="5" t="s">
        <v>3728</v>
      </c>
      <c r="RCW619" s="17">
        <v>44925</v>
      </c>
      <c r="RCX619" s="5" t="s">
        <v>3728</v>
      </c>
      <c r="RCY619" s="17">
        <v>44925</v>
      </c>
      <c r="RCZ619" s="5" t="s">
        <v>3728</v>
      </c>
      <c r="RDA619" s="17">
        <v>44925</v>
      </c>
      <c r="RDB619" s="5" t="s">
        <v>3728</v>
      </c>
      <c r="RDC619" s="17">
        <v>44925</v>
      </c>
      <c r="RDD619" s="5" t="s">
        <v>3728</v>
      </c>
      <c r="RDE619" s="17">
        <v>44925</v>
      </c>
      <c r="RDF619" s="5" t="s">
        <v>3728</v>
      </c>
      <c r="RDG619" s="17">
        <v>44925</v>
      </c>
      <c r="RDH619" s="5" t="s">
        <v>3728</v>
      </c>
      <c r="RDI619" s="17">
        <v>44925</v>
      </c>
      <c r="RDJ619" s="5" t="s">
        <v>3728</v>
      </c>
      <c r="RDK619" s="17">
        <v>44925</v>
      </c>
      <c r="RDL619" s="5" t="s">
        <v>3728</v>
      </c>
      <c r="RDM619" s="17">
        <v>44925</v>
      </c>
      <c r="RDN619" s="5" t="s">
        <v>3728</v>
      </c>
      <c r="RDO619" s="17">
        <v>44925</v>
      </c>
      <c r="RDP619" s="5" t="s">
        <v>3728</v>
      </c>
      <c r="RDQ619" s="17">
        <v>44925</v>
      </c>
      <c r="RDR619" s="5" t="s">
        <v>3728</v>
      </c>
      <c r="RDS619" s="17">
        <v>44925</v>
      </c>
      <c r="RDT619" s="5" t="s">
        <v>3728</v>
      </c>
      <c r="RDU619" s="17">
        <v>44925</v>
      </c>
      <c r="RDV619" s="5" t="s">
        <v>3728</v>
      </c>
      <c r="RDW619" s="17">
        <v>44925</v>
      </c>
      <c r="RDX619" s="5" t="s">
        <v>3728</v>
      </c>
      <c r="RDY619" s="17">
        <v>44925</v>
      </c>
      <c r="RDZ619" s="5" t="s">
        <v>3728</v>
      </c>
      <c r="REA619" s="17">
        <v>44925</v>
      </c>
      <c r="REB619" s="5" t="s">
        <v>3728</v>
      </c>
      <c r="REC619" s="17">
        <v>44925</v>
      </c>
      <c r="RED619" s="5" t="s">
        <v>3728</v>
      </c>
      <c r="REE619" s="17">
        <v>44925</v>
      </c>
      <c r="REF619" s="5" t="s">
        <v>3728</v>
      </c>
      <c r="REG619" s="17">
        <v>44925</v>
      </c>
      <c r="REH619" s="5" t="s">
        <v>3728</v>
      </c>
      <c r="REI619" s="17">
        <v>44925</v>
      </c>
      <c r="REJ619" s="5" t="s">
        <v>3728</v>
      </c>
      <c r="REK619" s="17">
        <v>44925</v>
      </c>
      <c r="REL619" s="5" t="s">
        <v>3728</v>
      </c>
      <c r="REM619" s="17">
        <v>44925</v>
      </c>
      <c r="REN619" s="5" t="s">
        <v>3728</v>
      </c>
      <c r="REO619" s="17">
        <v>44925</v>
      </c>
      <c r="REP619" s="5" t="s">
        <v>3728</v>
      </c>
      <c r="REQ619" s="17">
        <v>44925</v>
      </c>
      <c r="RER619" s="5" t="s">
        <v>3728</v>
      </c>
      <c r="RES619" s="17">
        <v>44925</v>
      </c>
      <c r="RET619" s="5" t="s">
        <v>3728</v>
      </c>
      <c r="REU619" s="17">
        <v>44925</v>
      </c>
      <c r="REV619" s="5" t="s">
        <v>3728</v>
      </c>
      <c r="REW619" s="17">
        <v>44925</v>
      </c>
      <c r="REX619" s="5" t="s">
        <v>3728</v>
      </c>
      <c r="REY619" s="17">
        <v>44925</v>
      </c>
      <c r="REZ619" s="5" t="s">
        <v>3728</v>
      </c>
      <c r="RFA619" s="17">
        <v>44925</v>
      </c>
      <c r="RFB619" s="5" t="s">
        <v>3728</v>
      </c>
      <c r="RFC619" s="17">
        <v>44925</v>
      </c>
      <c r="RFD619" s="5" t="s">
        <v>3728</v>
      </c>
      <c r="RFE619" s="17">
        <v>44925</v>
      </c>
      <c r="RFF619" s="5" t="s">
        <v>3728</v>
      </c>
      <c r="RFG619" s="17">
        <v>44925</v>
      </c>
      <c r="RFH619" s="5" t="s">
        <v>3728</v>
      </c>
      <c r="RFI619" s="17">
        <v>44925</v>
      </c>
      <c r="RFJ619" s="5" t="s">
        <v>3728</v>
      </c>
      <c r="RFK619" s="17">
        <v>44925</v>
      </c>
      <c r="RFL619" s="5" t="s">
        <v>3728</v>
      </c>
      <c r="RFM619" s="17">
        <v>44925</v>
      </c>
      <c r="RFN619" s="5" t="s">
        <v>3728</v>
      </c>
      <c r="RFO619" s="17">
        <v>44925</v>
      </c>
      <c r="RFP619" s="5" t="s">
        <v>3728</v>
      </c>
      <c r="RFQ619" s="17">
        <v>44925</v>
      </c>
      <c r="RFR619" s="5" t="s">
        <v>3728</v>
      </c>
      <c r="RFS619" s="17">
        <v>44925</v>
      </c>
      <c r="RFT619" s="5" t="s">
        <v>3728</v>
      </c>
      <c r="RFU619" s="17">
        <v>44925</v>
      </c>
      <c r="RFV619" s="5" t="s">
        <v>3728</v>
      </c>
      <c r="RFW619" s="17">
        <v>44925</v>
      </c>
      <c r="RFX619" s="5" t="s">
        <v>3728</v>
      </c>
      <c r="RFY619" s="17">
        <v>44925</v>
      </c>
      <c r="RFZ619" s="5" t="s">
        <v>3728</v>
      </c>
      <c r="RGA619" s="17">
        <v>44925</v>
      </c>
      <c r="RGB619" s="5" t="s">
        <v>3728</v>
      </c>
      <c r="RGC619" s="17">
        <v>44925</v>
      </c>
      <c r="RGD619" s="5" t="s">
        <v>3728</v>
      </c>
      <c r="RGE619" s="17">
        <v>44925</v>
      </c>
      <c r="RGF619" s="5" t="s">
        <v>3728</v>
      </c>
      <c r="RGG619" s="17">
        <v>44925</v>
      </c>
      <c r="RGH619" s="5" t="s">
        <v>3728</v>
      </c>
      <c r="RGI619" s="17">
        <v>44925</v>
      </c>
      <c r="RGJ619" s="5" t="s">
        <v>3728</v>
      </c>
      <c r="RGK619" s="17">
        <v>44925</v>
      </c>
      <c r="RGL619" s="5" t="s">
        <v>3728</v>
      </c>
      <c r="RGM619" s="17">
        <v>44925</v>
      </c>
      <c r="RGN619" s="5" t="s">
        <v>3728</v>
      </c>
      <c r="RGO619" s="17">
        <v>44925</v>
      </c>
      <c r="RGP619" s="5" t="s">
        <v>3728</v>
      </c>
      <c r="RGQ619" s="17">
        <v>44925</v>
      </c>
      <c r="RGR619" s="5" t="s">
        <v>3728</v>
      </c>
      <c r="RGS619" s="17">
        <v>44925</v>
      </c>
      <c r="RGT619" s="5" t="s">
        <v>3728</v>
      </c>
      <c r="RGU619" s="17">
        <v>44925</v>
      </c>
      <c r="RGV619" s="5" t="s">
        <v>3728</v>
      </c>
      <c r="RGW619" s="17">
        <v>44925</v>
      </c>
      <c r="RGX619" s="5" t="s">
        <v>3728</v>
      </c>
      <c r="RGY619" s="17">
        <v>44925</v>
      </c>
      <c r="RGZ619" s="5" t="s">
        <v>3728</v>
      </c>
      <c r="RHA619" s="17">
        <v>44925</v>
      </c>
      <c r="RHB619" s="5" t="s">
        <v>3728</v>
      </c>
      <c r="RHC619" s="17">
        <v>44925</v>
      </c>
      <c r="RHD619" s="5" t="s">
        <v>3728</v>
      </c>
      <c r="RHE619" s="17">
        <v>44925</v>
      </c>
      <c r="RHF619" s="5" t="s">
        <v>3728</v>
      </c>
      <c r="RHG619" s="17">
        <v>44925</v>
      </c>
      <c r="RHH619" s="5" t="s">
        <v>3728</v>
      </c>
      <c r="RHI619" s="17">
        <v>44925</v>
      </c>
      <c r="RHJ619" s="5" t="s">
        <v>3728</v>
      </c>
      <c r="RHK619" s="17">
        <v>44925</v>
      </c>
      <c r="RHL619" s="5" t="s">
        <v>3728</v>
      </c>
      <c r="RHM619" s="17">
        <v>44925</v>
      </c>
      <c r="RHN619" s="5" t="s">
        <v>3728</v>
      </c>
      <c r="RHO619" s="17">
        <v>44925</v>
      </c>
      <c r="RHP619" s="5" t="s">
        <v>3728</v>
      </c>
      <c r="RHQ619" s="17">
        <v>44925</v>
      </c>
      <c r="RHR619" s="5" t="s">
        <v>3728</v>
      </c>
      <c r="RHS619" s="17">
        <v>44925</v>
      </c>
      <c r="RHT619" s="5" t="s">
        <v>3728</v>
      </c>
      <c r="RHU619" s="17">
        <v>44925</v>
      </c>
      <c r="RHV619" s="5" t="s">
        <v>3728</v>
      </c>
      <c r="RHW619" s="17">
        <v>44925</v>
      </c>
      <c r="RHX619" s="5" t="s">
        <v>3728</v>
      </c>
      <c r="RHY619" s="17">
        <v>44925</v>
      </c>
      <c r="RHZ619" s="5" t="s">
        <v>3728</v>
      </c>
      <c r="RIA619" s="17">
        <v>44925</v>
      </c>
      <c r="RIB619" s="5" t="s">
        <v>3728</v>
      </c>
      <c r="RIC619" s="17">
        <v>44925</v>
      </c>
      <c r="RID619" s="5" t="s">
        <v>3728</v>
      </c>
      <c r="RIE619" s="17">
        <v>44925</v>
      </c>
      <c r="RIF619" s="5" t="s">
        <v>3728</v>
      </c>
      <c r="RIG619" s="17">
        <v>44925</v>
      </c>
      <c r="RIH619" s="5" t="s">
        <v>3728</v>
      </c>
      <c r="RII619" s="17">
        <v>44925</v>
      </c>
      <c r="RIJ619" s="5" t="s">
        <v>3728</v>
      </c>
      <c r="RIK619" s="17">
        <v>44925</v>
      </c>
      <c r="RIL619" s="5" t="s">
        <v>3728</v>
      </c>
      <c r="RIM619" s="17">
        <v>44925</v>
      </c>
      <c r="RIN619" s="5" t="s">
        <v>3728</v>
      </c>
      <c r="RIO619" s="17">
        <v>44925</v>
      </c>
      <c r="RIP619" s="5" t="s">
        <v>3728</v>
      </c>
      <c r="RIQ619" s="17">
        <v>44925</v>
      </c>
      <c r="RIR619" s="5" t="s">
        <v>3728</v>
      </c>
      <c r="RIS619" s="17">
        <v>44925</v>
      </c>
      <c r="RIT619" s="5" t="s">
        <v>3728</v>
      </c>
      <c r="RIU619" s="17">
        <v>44925</v>
      </c>
      <c r="RIV619" s="5" t="s">
        <v>3728</v>
      </c>
      <c r="RIW619" s="17">
        <v>44925</v>
      </c>
      <c r="RIX619" s="5" t="s">
        <v>3728</v>
      </c>
      <c r="RIY619" s="17">
        <v>44925</v>
      </c>
      <c r="RIZ619" s="5" t="s">
        <v>3728</v>
      </c>
      <c r="RJA619" s="17">
        <v>44925</v>
      </c>
      <c r="RJB619" s="5" t="s">
        <v>3728</v>
      </c>
      <c r="RJC619" s="17">
        <v>44925</v>
      </c>
      <c r="RJD619" s="5" t="s">
        <v>3728</v>
      </c>
      <c r="RJE619" s="17">
        <v>44925</v>
      </c>
      <c r="RJF619" s="5" t="s">
        <v>3728</v>
      </c>
      <c r="RJG619" s="17">
        <v>44925</v>
      </c>
      <c r="RJH619" s="5" t="s">
        <v>3728</v>
      </c>
      <c r="RJI619" s="17">
        <v>44925</v>
      </c>
      <c r="RJJ619" s="5" t="s">
        <v>3728</v>
      </c>
      <c r="RJK619" s="17">
        <v>44925</v>
      </c>
      <c r="RJL619" s="5" t="s">
        <v>3728</v>
      </c>
      <c r="RJM619" s="17">
        <v>44925</v>
      </c>
      <c r="RJN619" s="5" t="s">
        <v>3728</v>
      </c>
      <c r="RJO619" s="17">
        <v>44925</v>
      </c>
      <c r="RJP619" s="5" t="s">
        <v>3728</v>
      </c>
      <c r="RJQ619" s="17">
        <v>44925</v>
      </c>
      <c r="RJR619" s="5" t="s">
        <v>3728</v>
      </c>
      <c r="RJS619" s="17">
        <v>44925</v>
      </c>
      <c r="RJT619" s="5" t="s">
        <v>3728</v>
      </c>
      <c r="RJU619" s="17">
        <v>44925</v>
      </c>
      <c r="RJV619" s="5" t="s">
        <v>3728</v>
      </c>
      <c r="RJW619" s="17">
        <v>44925</v>
      </c>
      <c r="RJX619" s="5" t="s">
        <v>3728</v>
      </c>
      <c r="RJY619" s="17">
        <v>44925</v>
      </c>
      <c r="RJZ619" s="5" t="s">
        <v>3728</v>
      </c>
      <c r="RKA619" s="17">
        <v>44925</v>
      </c>
      <c r="RKB619" s="5" t="s">
        <v>3728</v>
      </c>
      <c r="RKC619" s="17">
        <v>44925</v>
      </c>
      <c r="RKD619" s="5" t="s">
        <v>3728</v>
      </c>
      <c r="RKE619" s="17">
        <v>44925</v>
      </c>
      <c r="RKF619" s="5" t="s">
        <v>3728</v>
      </c>
      <c r="RKG619" s="17">
        <v>44925</v>
      </c>
      <c r="RKH619" s="5" t="s">
        <v>3728</v>
      </c>
      <c r="RKI619" s="17">
        <v>44925</v>
      </c>
      <c r="RKJ619" s="5" t="s">
        <v>3728</v>
      </c>
      <c r="RKK619" s="17">
        <v>44925</v>
      </c>
      <c r="RKL619" s="5" t="s">
        <v>3728</v>
      </c>
      <c r="RKM619" s="17">
        <v>44925</v>
      </c>
      <c r="RKN619" s="5" t="s">
        <v>3728</v>
      </c>
      <c r="RKO619" s="17">
        <v>44925</v>
      </c>
      <c r="RKP619" s="5" t="s">
        <v>3728</v>
      </c>
      <c r="RKQ619" s="17">
        <v>44925</v>
      </c>
      <c r="RKR619" s="5" t="s">
        <v>3728</v>
      </c>
      <c r="RKS619" s="17">
        <v>44925</v>
      </c>
      <c r="RKT619" s="5" t="s">
        <v>3728</v>
      </c>
      <c r="RKU619" s="17">
        <v>44925</v>
      </c>
      <c r="RKV619" s="5" t="s">
        <v>3728</v>
      </c>
      <c r="RKW619" s="17">
        <v>44925</v>
      </c>
      <c r="RKX619" s="5" t="s">
        <v>3728</v>
      </c>
      <c r="RKY619" s="17">
        <v>44925</v>
      </c>
      <c r="RKZ619" s="5" t="s">
        <v>3728</v>
      </c>
      <c r="RLA619" s="17">
        <v>44925</v>
      </c>
      <c r="RLB619" s="5" t="s">
        <v>3728</v>
      </c>
      <c r="RLC619" s="17">
        <v>44925</v>
      </c>
      <c r="RLD619" s="5" t="s">
        <v>3728</v>
      </c>
      <c r="RLE619" s="17">
        <v>44925</v>
      </c>
      <c r="RLF619" s="5" t="s">
        <v>3728</v>
      </c>
      <c r="RLG619" s="17">
        <v>44925</v>
      </c>
      <c r="RLH619" s="5" t="s">
        <v>3728</v>
      </c>
      <c r="RLI619" s="17">
        <v>44925</v>
      </c>
      <c r="RLJ619" s="5" t="s">
        <v>3728</v>
      </c>
      <c r="RLK619" s="17">
        <v>44925</v>
      </c>
      <c r="RLL619" s="5" t="s">
        <v>3728</v>
      </c>
      <c r="RLM619" s="17">
        <v>44925</v>
      </c>
      <c r="RLN619" s="5" t="s">
        <v>3728</v>
      </c>
      <c r="RLO619" s="17">
        <v>44925</v>
      </c>
      <c r="RLP619" s="5" t="s">
        <v>3728</v>
      </c>
      <c r="RLQ619" s="17">
        <v>44925</v>
      </c>
      <c r="RLR619" s="5" t="s">
        <v>3728</v>
      </c>
      <c r="RLS619" s="17">
        <v>44925</v>
      </c>
      <c r="RLT619" s="5" t="s">
        <v>3728</v>
      </c>
      <c r="RLU619" s="17">
        <v>44925</v>
      </c>
      <c r="RLV619" s="5" t="s">
        <v>3728</v>
      </c>
      <c r="RLW619" s="17">
        <v>44925</v>
      </c>
      <c r="RLX619" s="5" t="s">
        <v>3728</v>
      </c>
      <c r="RLY619" s="17">
        <v>44925</v>
      </c>
      <c r="RLZ619" s="5" t="s">
        <v>3728</v>
      </c>
      <c r="RMA619" s="17">
        <v>44925</v>
      </c>
      <c r="RMB619" s="5" t="s">
        <v>3728</v>
      </c>
      <c r="RMC619" s="17">
        <v>44925</v>
      </c>
      <c r="RMD619" s="5" t="s">
        <v>3728</v>
      </c>
      <c r="RME619" s="17">
        <v>44925</v>
      </c>
      <c r="RMF619" s="5" t="s">
        <v>3728</v>
      </c>
      <c r="RMG619" s="17">
        <v>44925</v>
      </c>
      <c r="RMH619" s="5" t="s">
        <v>3728</v>
      </c>
      <c r="RMI619" s="17">
        <v>44925</v>
      </c>
      <c r="RMJ619" s="5" t="s">
        <v>3728</v>
      </c>
      <c r="RMK619" s="17">
        <v>44925</v>
      </c>
      <c r="RML619" s="5" t="s">
        <v>3728</v>
      </c>
      <c r="RMM619" s="17">
        <v>44925</v>
      </c>
      <c r="RMN619" s="5" t="s">
        <v>3728</v>
      </c>
      <c r="RMO619" s="17">
        <v>44925</v>
      </c>
      <c r="RMP619" s="5" t="s">
        <v>3728</v>
      </c>
      <c r="RMQ619" s="17">
        <v>44925</v>
      </c>
      <c r="RMR619" s="5" t="s">
        <v>3728</v>
      </c>
      <c r="RMS619" s="17">
        <v>44925</v>
      </c>
      <c r="RMT619" s="5" t="s">
        <v>3728</v>
      </c>
      <c r="RMU619" s="17">
        <v>44925</v>
      </c>
      <c r="RMV619" s="5" t="s">
        <v>3728</v>
      </c>
      <c r="RMW619" s="17">
        <v>44925</v>
      </c>
      <c r="RMX619" s="5" t="s">
        <v>3728</v>
      </c>
      <c r="RMY619" s="17">
        <v>44925</v>
      </c>
      <c r="RMZ619" s="5" t="s">
        <v>3728</v>
      </c>
      <c r="RNA619" s="17">
        <v>44925</v>
      </c>
      <c r="RNB619" s="5" t="s">
        <v>3728</v>
      </c>
      <c r="RNC619" s="17">
        <v>44925</v>
      </c>
      <c r="RND619" s="5" t="s">
        <v>3728</v>
      </c>
      <c r="RNE619" s="17">
        <v>44925</v>
      </c>
      <c r="RNF619" s="5" t="s">
        <v>3728</v>
      </c>
      <c r="RNG619" s="17">
        <v>44925</v>
      </c>
      <c r="RNH619" s="5" t="s">
        <v>3728</v>
      </c>
      <c r="RNI619" s="17">
        <v>44925</v>
      </c>
      <c r="RNJ619" s="5" t="s">
        <v>3728</v>
      </c>
      <c r="RNK619" s="17">
        <v>44925</v>
      </c>
      <c r="RNL619" s="5" t="s">
        <v>3728</v>
      </c>
      <c r="RNM619" s="17">
        <v>44925</v>
      </c>
      <c r="RNN619" s="5" t="s">
        <v>3728</v>
      </c>
      <c r="RNO619" s="17">
        <v>44925</v>
      </c>
      <c r="RNP619" s="5" t="s">
        <v>3728</v>
      </c>
      <c r="RNQ619" s="17">
        <v>44925</v>
      </c>
      <c r="RNR619" s="5" t="s">
        <v>3728</v>
      </c>
      <c r="RNS619" s="17">
        <v>44925</v>
      </c>
      <c r="RNT619" s="5" t="s">
        <v>3728</v>
      </c>
      <c r="RNU619" s="17">
        <v>44925</v>
      </c>
      <c r="RNV619" s="5" t="s">
        <v>3728</v>
      </c>
      <c r="RNW619" s="17">
        <v>44925</v>
      </c>
      <c r="RNX619" s="5" t="s">
        <v>3728</v>
      </c>
      <c r="RNY619" s="17">
        <v>44925</v>
      </c>
      <c r="RNZ619" s="5" t="s">
        <v>3728</v>
      </c>
      <c r="ROA619" s="17">
        <v>44925</v>
      </c>
      <c r="ROB619" s="5" t="s">
        <v>3728</v>
      </c>
      <c r="ROC619" s="17">
        <v>44925</v>
      </c>
      <c r="ROD619" s="5" t="s">
        <v>3728</v>
      </c>
      <c r="ROE619" s="17">
        <v>44925</v>
      </c>
      <c r="ROF619" s="5" t="s">
        <v>3728</v>
      </c>
      <c r="ROG619" s="17">
        <v>44925</v>
      </c>
      <c r="ROH619" s="5" t="s">
        <v>3728</v>
      </c>
      <c r="ROI619" s="17">
        <v>44925</v>
      </c>
      <c r="ROJ619" s="5" t="s">
        <v>3728</v>
      </c>
      <c r="ROK619" s="17">
        <v>44925</v>
      </c>
      <c r="ROL619" s="5" t="s">
        <v>3728</v>
      </c>
      <c r="ROM619" s="17">
        <v>44925</v>
      </c>
      <c r="RON619" s="5" t="s">
        <v>3728</v>
      </c>
      <c r="ROO619" s="17">
        <v>44925</v>
      </c>
      <c r="ROP619" s="5" t="s">
        <v>3728</v>
      </c>
      <c r="ROQ619" s="17">
        <v>44925</v>
      </c>
      <c r="ROR619" s="5" t="s">
        <v>3728</v>
      </c>
      <c r="ROS619" s="17">
        <v>44925</v>
      </c>
      <c r="ROT619" s="5" t="s">
        <v>3728</v>
      </c>
      <c r="ROU619" s="17">
        <v>44925</v>
      </c>
      <c r="ROV619" s="5" t="s">
        <v>3728</v>
      </c>
      <c r="ROW619" s="17">
        <v>44925</v>
      </c>
      <c r="ROX619" s="5" t="s">
        <v>3728</v>
      </c>
      <c r="ROY619" s="17">
        <v>44925</v>
      </c>
      <c r="ROZ619" s="5" t="s">
        <v>3728</v>
      </c>
      <c r="RPA619" s="17">
        <v>44925</v>
      </c>
      <c r="RPB619" s="5" t="s">
        <v>3728</v>
      </c>
      <c r="RPC619" s="17">
        <v>44925</v>
      </c>
      <c r="RPD619" s="5" t="s">
        <v>3728</v>
      </c>
      <c r="RPE619" s="17">
        <v>44925</v>
      </c>
      <c r="RPF619" s="5" t="s">
        <v>3728</v>
      </c>
      <c r="RPG619" s="17">
        <v>44925</v>
      </c>
      <c r="RPH619" s="5" t="s">
        <v>3728</v>
      </c>
      <c r="RPI619" s="17">
        <v>44925</v>
      </c>
      <c r="RPJ619" s="5" t="s">
        <v>3728</v>
      </c>
      <c r="RPK619" s="17">
        <v>44925</v>
      </c>
      <c r="RPL619" s="5" t="s">
        <v>3728</v>
      </c>
      <c r="RPM619" s="17">
        <v>44925</v>
      </c>
      <c r="RPN619" s="5" t="s">
        <v>3728</v>
      </c>
      <c r="RPO619" s="17">
        <v>44925</v>
      </c>
      <c r="RPP619" s="5" t="s">
        <v>3728</v>
      </c>
      <c r="RPQ619" s="17">
        <v>44925</v>
      </c>
      <c r="RPR619" s="5" t="s">
        <v>3728</v>
      </c>
      <c r="RPS619" s="17">
        <v>44925</v>
      </c>
      <c r="RPT619" s="5" t="s">
        <v>3728</v>
      </c>
      <c r="RPU619" s="17">
        <v>44925</v>
      </c>
      <c r="RPV619" s="5" t="s">
        <v>3728</v>
      </c>
      <c r="RPW619" s="17">
        <v>44925</v>
      </c>
      <c r="RPX619" s="5" t="s">
        <v>3728</v>
      </c>
      <c r="RPY619" s="17">
        <v>44925</v>
      </c>
      <c r="RPZ619" s="5" t="s">
        <v>3728</v>
      </c>
      <c r="RQA619" s="17">
        <v>44925</v>
      </c>
      <c r="RQB619" s="5" t="s">
        <v>3728</v>
      </c>
      <c r="RQC619" s="17">
        <v>44925</v>
      </c>
      <c r="RQD619" s="5" t="s">
        <v>3728</v>
      </c>
      <c r="RQE619" s="17">
        <v>44925</v>
      </c>
      <c r="RQF619" s="5" t="s">
        <v>3728</v>
      </c>
      <c r="RQG619" s="17">
        <v>44925</v>
      </c>
      <c r="RQH619" s="5" t="s">
        <v>3728</v>
      </c>
      <c r="RQI619" s="17">
        <v>44925</v>
      </c>
      <c r="RQJ619" s="5" t="s">
        <v>3728</v>
      </c>
      <c r="RQK619" s="17">
        <v>44925</v>
      </c>
      <c r="RQL619" s="5" t="s">
        <v>3728</v>
      </c>
      <c r="RQM619" s="17">
        <v>44925</v>
      </c>
      <c r="RQN619" s="5" t="s">
        <v>3728</v>
      </c>
      <c r="RQO619" s="17">
        <v>44925</v>
      </c>
      <c r="RQP619" s="5" t="s">
        <v>3728</v>
      </c>
      <c r="RQQ619" s="17">
        <v>44925</v>
      </c>
      <c r="RQR619" s="5" t="s">
        <v>3728</v>
      </c>
      <c r="RQS619" s="17">
        <v>44925</v>
      </c>
      <c r="RQT619" s="5" t="s">
        <v>3728</v>
      </c>
      <c r="RQU619" s="17">
        <v>44925</v>
      </c>
      <c r="RQV619" s="5" t="s">
        <v>3728</v>
      </c>
      <c r="RQW619" s="17">
        <v>44925</v>
      </c>
      <c r="RQX619" s="5" t="s">
        <v>3728</v>
      </c>
      <c r="RQY619" s="17">
        <v>44925</v>
      </c>
      <c r="RQZ619" s="5" t="s">
        <v>3728</v>
      </c>
      <c r="RRA619" s="17">
        <v>44925</v>
      </c>
      <c r="RRB619" s="5" t="s">
        <v>3728</v>
      </c>
      <c r="RRC619" s="17">
        <v>44925</v>
      </c>
      <c r="RRD619" s="5" t="s">
        <v>3728</v>
      </c>
      <c r="RRE619" s="17">
        <v>44925</v>
      </c>
      <c r="RRF619" s="5" t="s">
        <v>3728</v>
      </c>
      <c r="RRG619" s="17">
        <v>44925</v>
      </c>
      <c r="RRH619" s="5" t="s">
        <v>3728</v>
      </c>
      <c r="RRI619" s="17">
        <v>44925</v>
      </c>
      <c r="RRJ619" s="5" t="s">
        <v>3728</v>
      </c>
      <c r="RRK619" s="17">
        <v>44925</v>
      </c>
      <c r="RRL619" s="5" t="s">
        <v>3728</v>
      </c>
      <c r="RRM619" s="17">
        <v>44925</v>
      </c>
      <c r="RRN619" s="5" t="s">
        <v>3728</v>
      </c>
      <c r="RRO619" s="17">
        <v>44925</v>
      </c>
      <c r="RRP619" s="5" t="s">
        <v>3728</v>
      </c>
      <c r="RRQ619" s="17">
        <v>44925</v>
      </c>
      <c r="RRR619" s="5" t="s">
        <v>3728</v>
      </c>
      <c r="RRS619" s="17">
        <v>44925</v>
      </c>
      <c r="RRT619" s="5" t="s">
        <v>3728</v>
      </c>
      <c r="RRU619" s="17">
        <v>44925</v>
      </c>
      <c r="RRV619" s="5" t="s">
        <v>3728</v>
      </c>
      <c r="RRW619" s="17">
        <v>44925</v>
      </c>
      <c r="RRX619" s="5" t="s">
        <v>3728</v>
      </c>
      <c r="RRY619" s="17">
        <v>44925</v>
      </c>
      <c r="RRZ619" s="5" t="s">
        <v>3728</v>
      </c>
      <c r="RSA619" s="17">
        <v>44925</v>
      </c>
      <c r="RSB619" s="5" t="s">
        <v>3728</v>
      </c>
      <c r="RSC619" s="17">
        <v>44925</v>
      </c>
      <c r="RSD619" s="5" t="s">
        <v>3728</v>
      </c>
      <c r="RSE619" s="17">
        <v>44925</v>
      </c>
      <c r="RSF619" s="5" t="s">
        <v>3728</v>
      </c>
      <c r="RSG619" s="17">
        <v>44925</v>
      </c>
      <c r="RSH619" s="5" t="s">
        <v>3728</v>
      </c>
      <c r="RSI619" s="17">
        <v>44925</v>
      </c>
      <c r="RSJ619" s="5" t="s">
        <v>3728</v>
      </c>
      <c r="RSK619" s="17">
        <v>44925</v>
      </c>
      <c r="RSL619" s="5" t="s">
        <v>3728</v>
      </c>
      <c r="RSM619" s="17">
        <v>44925</v>
      </c>
      <c r="RSN619" s="5" t="s">
        <v>3728</v>
      </c>
      <c r="RSO619" s="17">
        <v>44925</v>
      </c>
      <c r="RSP619" s="5" t="s">
        <v>3728</v>
      </c>
      <c r="RSQ619" s="17">
        <v>44925</v>
      </c>
      <c r="RSR619" s="5" t="s">
        <v>3728</v>
      </c>
      <c r="RSS619" s="17">
        <v>44925</v>
      </c>
      <c r="RST619" s="5" t="s">
        <v>3728</v>
      </c>
      <c r="RSU619" s="17">
        <v>44925</v>
      </c>
      <c r="RSV619" s="5" t="s">
        <v>3728</v>
      </c>
      <c r="RSW619" s="17">
        <v>44925</v>
      </c>
      <c r="RSX619" s="5" t="s">
        <v>3728</v>
      </c>
      <c r="RSY619" s="17">
        <v>44925</v>
      </c>
      <c r="RSZ619" s="5" t="s">
        <v>3728</v>
      </c>
      <c r="RTA619" s="17">
        <v>44925</v>
      </c>
      <c r="RTB619" s="5" t="s">
        <v>3728</v>
      </c>
      <c r="RTC619" s="17">
        <v>44925</v>
      </c>
      <c r="RTD619" s="5" t="s">
        <v>3728</v>
      </c>
      <c r="RTE619" s="17">
        <v>44925</v>
      </c>
      <c r="RTF619" s="5" t="s">
        <v>3728</v>
      </c>
      <c r="RTG619" s="17">
        <v>44925</v>
      </c>
      <c r="RTH619" s="5" t="s">
        <v>3728</v>
      </c>
      <c r="RTI619" s="17">
        <v>44925</v>
      </c>
      <c r="RTJ619" s="5" t="s">
        <v>3728</v>
      </c>
      <c r="RTK619" s="17">
        <v>44925</v>
      </c>
      <c r="RTL619" s="5" t="s">
        <v>3728</v>
      </c>
      <c r="RTM619" s="17">
        <v>44925</v>
      </c>
      <c r="RTN619" s="5" t="s">
        <v>3728</v>
      </c>
      <c r="RTO619" s="17">
        <v>44925</v>
      </c>
      <c r="RTP619" s="5" t="s">
        <v>3728</v>
      </c>
      <c r="RTQ619" s="17">
        <v>44925</v>
      </c>
      <c r="RTR619" s="5" t="s">
        <v>3728</v>
      </c>
      <c r="RTS619" s="17">
        <v>44925</v>
      </c>
      <c r="RTT619" s="5" t="s">
        <v>3728</v>
      </c>
      <c r="RTU619" s="17">
        <v>44925</v>
      </c>
      <c r="RTV619" s="5" t="s">
        <v>3728</v>
      </c>
      <c r="RTW619" s="17">
        <v>44925</v>
      </c>
      <c r="RTX619" s="5" t="s">
        <v>3728</v>
      </c>
      <c r="RTY619" s="17">
        <v>44925</v>
      </c>
      <c r="RTZ619" s="5" t="s">
        <v>3728</v>
      </c>
      <c r="RUA619" s="17">
        <v>44925</v>
      </c>
      <c r="RUB619" s="5" t="s">
        <v>3728</v>
      </c>
      <c r="RUC619" s="17">
        <v>44925</v>
      </c>
      <c r="RUD619" s="5" t="s">
        <v>3728</v>
      </c>
      <c r="RUE619" s="17">
        <v>44925</v>
      </c>
      <c r="RUF619" s="5" t="s">
        <v>3728</v>
      </c>
      <c r="RUG619" s="17">
        <v>44925</v>
      </c>
      <c r="RUH619" s="5" t="s">
        <v>3728</v>
      </c>
      <c r="RUI619" s="17">
        <v>44925</v>
      </c>
      <c r="RUJ619" s="5" t="s">
        <v>3728</v>
      </c>
      <c r="RUK619" s="17">
        <v>44925</v>
      </c>
      <c r="RUL619" s="5" t="s">
        <v>3728</v>
      </c>
      <c r="RUM619" s="17">
        <v>44925</v>
      </c>
      <c r="RUN619" s="5" t="s">
        <v>3728</v>
      </c>
      <c r="RUO619" s="17">
        <v>44925</v>
      </c>
      <c r="RUP619" s="5" t="s">
        <v>3728</v>
      </c>
      <c r="RUQ619" s="17">
        <v>44925</v>
      </c>
      <c r="RUR619" s="5" t="s">
        <v>3728</v>
      </c>
      <c r="RUS619" s="17">
        <v>44925</v>
      </c>
      <c r="RUT619" s="5" t="s">
        <v>3728</v>
      </c>
      <c r="RUU619" s="17">
        <v>44925</v>
      </c>
      <c r="RUV619" s="5" t="s">
        <v>3728</v>
      </c>
      <c r="RUW619" s="17">
        <v>44925</v>
      </c>
      <c r="RUX619" s="5" t="s">
        <v>3728</v>
      </c>
      <c r="RUY619" s="17">
        <v>44925</v>
      </c>
      <c r="RUZ619" s="5" t="s">
        <v>3728</v>
      </c>
      <c r="RVA619" s="17">
        <v>44925</v>
      </c>
      <c r="RVB619" s="5" t="s">
        <v>3728</v>
      </c>
      <c r="RVC619" s="17">
        <v>44925</v>
      </c>
      <c r="RVD619" s="5" t="s">
        <v>3728</v>
      </c>
      <c r="RVE619" s="17">
        <v>44925</v>
      </c>
      <c r="RVF619" s="5" t="s">
        <v>3728</v>
      </c>
      <c r="RVG619" s="17">
        <v>44925</v>
      </c>
      <c r="RVH619" s="5" t="s">
        <v>3728</v>
      </c>
      <c r="RVI619" s="17">
        <v>44925</v>
      </c>
      <c r="RVJ619" s="5" t="s">
        <v>3728</v>
      </c>
      <c r="RVK619" s="17">
        <v>44925</v>
      </c>
      <c r="RVL619" s="5" t="s">
        <v>3728</v>
      </c>
      <c r="RVM619" s="17">
        <v>44925</v>
      </c>
      <c r="RVN619" s="5" t="s">
        <v>3728</v>
      </c>
      <c r="RVO619" s="17">
        <v>44925</v>
      </c>
      <c r="RVP619" s="5" t="s">
        <v>3728</v>
      </c>
      <c r="RVQ619" s="17">
        <v>44925</v>
      </c>
      <c r="RVR619" s="5" t="s">
        <v>3728</v>
      </c>
      <c r="RVS619" s="17">
        <v>44925</v>
      </c>
      <c r="RVT619" s="5" t="s">
        <v>3728</v>
      </c>
      <c r="RVU619" s="17">
        <v>44925</v>
      </c>
      <c r="RVV619" s="5" t="s">
        <v>3728</v>
      </c>
      <c r="RVW619" s="17">
        <v>44925</v>
      </c>
      <c r="RVX619" s="5" t="s">
        <v>3728</v>
      </c>
      <c r="RVY619" s="17">
        <v>44925</v>
      </c>
      <c r="RVZ619" s="5" t="s">
        <v>3728</v>
      </c>
      <c r="RWA619" s="17">
        <v>44925</v>
      </c>
      <c r="RWB619" s="5" t="s">
        <v>3728</v>
      </c>
      <c r="RWC619" s="17">
        <v>44925</v>
      </c>
      <c r="RWD619" s="5" t="s">
        <v>3728</v>
      </c>
      <c r="RWE619" s="17">
        <v>44925</v>
      </c>
      <c r="RWF619" s="5" t="s">
        <v>3728</v>
      </c>
      <c r="RWG619" s="17">
        <v>44925</v>
      </c>
      <c r="RWH619" s="5" t="s">
        <v>3728</v>
      </c>
      <c r="RWI619" s="17">
        <v>44925</v>
      </c>
      <c r="RWJ619" s="5" t="s">
        <v>3728</v>
      </c>
      <c r="RWK619" s="17">
        <v>44925</v>
      </c>
      <c r="RWL619" s="5" t="s">
        <v>3728</v>
      </c>
      <c r="RWM619" s="17">
        <v>44925</v>
      </c>
      <c r="RWN619" s="5" t="s">
        <v>3728</v>
      </c>
      <c r="RWO619" s="17">
        <v>44925</v>
      </c>
      <c r="RWP619" s="5" t="s">
        <v>3728</v>
      </c>
      <c r="RWQ619" s="17">
        <v>44925</v>
      </c>
      <c r="RWR619" s="5" t="s">
        <v>3728</v>
      </c>
      <c r="RWS619" s="17">
        <v>44925</v>
      </c>
      <c r="RWT619" s="5" t="s">
        <v>3728</v>
      </c>
      <c r="RWU619" s="17">
        <v>44925</v>
      </c>
      <c r="RWV619" s="5" t="s">
        <v>3728</v>
      </c>
      <c r="RWW619" s="17">
        <v>44925</v>
      </c>
      <c r="RWX619" s="5" t="s">
        <v>3728</v>
      </c>
      <c r="RWY619" s="17">
        <v>44925</v>
      </c>
      <c r="RWZ619" s="5" t="s">
        <v>3728</v>
      </c>
      <c r="RXA619" s="17">
        <v>44925</v>
      </c>
      <c r="RXB619" s="5" t="s">
        <v>3728</v>
      </c>
      <c r="RXC619" s="17">
        <v>44925</v>
      </c>
      <c r="RXD619" s="5" t="s">
        <v>3728</v>
      </c>
      <c r="RXE619" s="17">
        <v>44925</v>
      </c>
      <c r="RXF619" s="5" t="s">
        <v>3728</v>
      </c>
      <c r="RXG619" s="17">
        <v>44925</v>
      </c>
      <c r="RXH619" s="5" t="s">
        <v>3728</v>
      </c>
      <c r="RXI619" s="17">
        <v>44925</v>
      </c>
      <c r="RXJ619" s="5" t="s">
        <v>3728</v>
      </c>
      <c r="RXK619" s="17">
        <v>44925</v>
      </c>
      <c r="RXL619" s="5" t="s">
        <v>3728</v>
      </c>
      <c r="RXM619" s="17">
        <v>44925</v>
      </c>
      <c r="RXN619" s="5" t="s">
        <v>3728</v>
      </c>
      <c r="RXO619" s="17">
        <v>44925</v>
      </c>
      <c r="RXP619" s="5" t="s">
        <v>3728</v>
      </c>
      <c r="RXQ619" s="17">
        <v>44925</v>
      </c>
      <c r="RXR619" s="5" t="s">
        <v>3728</v>
      </c>
      <c r="RXS619" s="17">
        <v>44925</v>
      </c>
      <c r="RXT619" s="5" t="s">
        <v>3728</v>
      </c>
      <c r="RXU619" s="17">
        <v>44925</v>
      </c>
      <c r="RXV619" s="5" t="s">
        <v>3728</v>
      </c>
      <c r="RXW619" s="17">
        <v>44925</v>
      </c>
      <c r="RXX619" s="5" t="s">
        <v>3728</v>
      </c>
      <c r="RXY619" s="17">
        <v>44925</v>
      </c>
      <c r="RXZ619" s="5" t="s">
        <v>3728</v>
      </c>
      <c r="RYA619" s="17">
        <v>44925</v>
      </c>
      <c r="RYB619" s="5" t="s">
        <v>3728</v>
      </c>
      <c r="RYC619" s="17">
        <v>44925</v>
      </c>
      <c r="RYD619" s="5" t="s">
        <v>3728</v>
      </c>
      <c r="RYE619" s="17">
        <v>44925</v>
      </c>
      <c r="RYF619" s="5" t="s">
        <v>3728</v>
      </c>
      <c r="RYG619" s="17">
        <v>44925</v>
      </c>
      <c r="RYH619" s="5" t="s">
        <v>3728</v>
      </c>
      <c r="RYI619" s="17">
        <v>44925</v>
      </c>
      <c r="RYJ619" s="5" t="s">
        <v>3728</v>
      </c>
      <c r="RYK619" s="17">
        <v>44925</v>
      </c>
      <c r="RYL619" s="5" t="s">
        <v>3728</v>
      </c>
      <c r="RYM619" s="17">
        <v>44925</v>
      </c>
      <c r="RYN619" s="5" t="s">
        <v>3728</v>
      </c>
      <c r="RYO619" s="17">
        <v>44925</v>
      </c>
      <c r="RYP619" s="5" t="s">
        <v>3728</v>
      </c>
      <c r="RYQ619" s="17">
        <v>44925</v>
      </c>
      <c r="RYR619" s="5" t="s">
        <v>3728</v>
      </c>
      <c r="RYS619" s="17">
        <v>44925</v>
      </c>
      <c r="RYT619" s="5" t="s">
        <v>3728</v>
      </c>
      <c r="RYU619" s="17">
        <v>44925</v>
      </c>
      <c r="RYV619" s="5" t="s">
        <v>3728</v>
      </c>
      <c r="RYW619" s="17">
        <v>44925</v>
      </c>
      <c r="RYX619" s="5" t="s">
        <v>3728</v>
      </c>
      <c r="RYY619" s="17">
        <v>44925</v>
      </c>
      <c r="RYZ619" s="5" t="s">
        <v>3728</v>
      </c>
      <c r="RZA619" s="17">
        <v>44925</v>
      </c>
      <c r="RZB619" s="5" t="s">
        <v>3728</v>
      </c>
      <c r="RZC619" s="17">
        <v>44925</v>
      </c>
      <c r="RZD619" s="5" t="s">
        <v>3728</v>
      </c>
      <c r="RZE619" s="17">
        <v>44925</v>
      </c>
      <c r="RZF619" s="5" t="s">
        <v>3728</v>
      </c>
      <c r="RZG619" s="17">
        <v>44925</v>
      </c>
      <c r="RZH619" s="5" t="s">
        <v>3728</v>
      </c>
      <c r="RZI619" s="17">
        <v>44925</v>
      </c>
      <c r="RZJ619" s="5" t="s">
        <v>3728</v>
      </c>
      <c r="RZK619" s="17">
        <v>44925</v>
      </c>
      <c r="RZL619" s="5" t="s">
        <v>3728</v>
      </c>
      <c r="RZM619" s="17">
        <v>44925</v>
      </c>
      <c r="RZN619" s="5" t="s">
        <v>3728</v>
      </c>
      <c r="RZO619" s="17">
        <v>44925</v>
      </c>
      <c r="RZP619" s="5" t="s">
        <v>3728</v>
      </c>
      <c r="RZQ619" s="17">
        <v>44925</v>
      </c>
      <c r="RZR619" s="5" t="s">
        <v>3728</v>
      </c>
      <c r="RZS619" s="17">
        <v>44925</v>
      </c>
      <c r="RZT619" s="5" t="s">
        <v>3728</v>
      </c>
      <c r="RZU619" s="17">
        <v>44925</v>
      </c>
      <c r="RZV619" s="5" t="s">
        <v>3728</v>
      </c>
      <c r="RZW619" s="17">
        <v>44925</v>
      </c>
      <c r="RZX619" s="5" t="s">
        <v>3728</v>
      </c>
      <c r="RZY619" s="17">
        <v>44925</v>
      </c>
      <c r="RZZ619" s="5" t="s">
        <v>3728</v>
      </c>
      <c r="SAA619" s="17">
        <v>44925</v>
      </c>
      <c r="SAB619" s="5" t="s">
        <v>3728</v>
      </c>
      <c r="SAC619" s="17">
        <v>44925</v>
      </c>
      <c r="SAD619" s="5" t="s">
        <v>3728</v>
      </c>
      <c r="SAE619" s="17">
        <v>44925</v>
      </c>
      <c r="SAF619" s="5" t="s">
        <v>3728</v>
      </c>
      <c r="SAG619" s="17">
        <v>44925</v>
      </c>
      <c r="SAH619" s="5" t="s">
        <v>3728</v>
      </c>
      <c r="SAI619" s="17">
        <v>44925</v>
      </c>
      <c r="SAJ619" s="5" t="s">
        <v>3728</v>
      </c>
      <c r="SAK619" s="17">
        <v>44925</v>
      </c>
      <c r="SAL619" s="5" t="s">
        <v>3728</v>
      </c>
      <c r="SAM619" s="17">
        <v>44925</v>
      </c>
      <c r="SAN619" s="5" t="s">
        <v>3728</v>
      </c>
      <c r="SAO619" s="17">
        <v>44925</v>
      </c>
      <c r="SAP619" s="5" t="s">
        <v>3728</v>
      </c>
      <c r="SAQ619" s="17">
        <v>44925</v>
      </c>
      <c r="SAR619" s="5" t="s">
        <v>3728</v>
      </c>
      <c r="SAS619" s="17">
        <v>44925</v>
      </c>
      <c r="SAT619" s="5" t="s">
        <v>3728</v>
      </c>
      <c r="SAU619" s="17">
        <v>44925</v>
      </c>
      <c r="SAV619" s="5" t="s">
        <v>3728</v>
      </c>
      <c r="SAW619" s="17">
        <v>44925</v>
      </c>
      <c r="SAX619" s="5" t="s">
        <v>3728</v>
      </c>
      <c r="SAY619" s="17">
        <v>44925</v>
      </c>
      <c r="SAZ619" s="5" t="s">
        <v>3728</v>
      </c>
      <c r="SBA619" s="17">
        <v>44925</v>
      </c>
      <c r="SBB619" s="5" t="s">
        <v>3728</v>
      </c>
      <c r="SBC619" s="17">
        <v>44925</v>
      </c>
      <c r="SBD619" s="5" t="s">
        <v>3728</v>
      </c>
      <c r="SBE619" s="17">
        <v>44925</v>
      </c>
      <c r="SBF619" s="5" t="s">
        <v>3728</v>
      </c>
      <c r="SBG619" s="17">
        <v>44925</v>
      </c>
      <c r="SBH619" s="5" t="s">
        <v>3728</v>
      </c>
      <c r="SBI619" s="17">
        <v>44925</v>
      </c>
      <c r="SBJ619" s="5" t="s">
        <v>3728</v>
      </c>
      <c r="SBK619" s="17">
        <v>44925</v>
      </c>
      <c r="SBL619" s="5" t="s">
        <v>3728</v>
      </c>
      <c r="SBM619" s="17">
        <v>44925</v>
      </c>
      <c r="SBN619" s="5" t="s">
        <v>3728</v>
      </c>
      <c r="SBO619" s="17">
        <v>44925</v>
      </c>
      <c r="SBP619" s="5" t="s">
        <v>3728</v>
      </c>
      <c r="SBQ619" s="17">
        <v>44925</v>
      </c>
      <c r="SBR619" s="5" t="s">
        <v>3728</v>
      </c>
      <c r="SBS619" s="17">
        <v>44925</v>
      </c>
      <c r="SBT619" s="5" t="s">
        <v>3728</v>
      </c>
      <c r="SBU619" s="17">
        <v>44925</v>
      </c>
      <c r="SBV619" s="5" t="s">
        <v>3728</v>
      </c>
      <c r="SBW619" s="17">
        <v>44925</v>
      </c>
      <c r="SBX619" s="5" t="s">
        <v>3728</v>
      </c>
      <c r="SBY619" s="17">
        <v>44925</v>
      </c>
      <c r="SBZ619" s="5" t="s">
        <v>3728</v>
      </c>
      <c r="SCA619" s="17">
        <v>44925</v>
      </c>
      <c r="SCB619" s="5" t="s">
        <v>3728</v>
      </c>
      <c r="SCC619" s="17">
        <v>44925</v>
      </c>
      <c r="SCD619" s="5" t="s">
        <v>3728</v>
      </c>
      <c r="SCE619" s="17">
        <v>44925</v>
      </c>
      <c r="SCF619" s="5" t="s">
        <v>3728</v>
      </c>
      <c r="SCG619" s="17">
        <v>44925</v>
      </c>
      <c r="SCH619" s="5" t="s">
        <v>3728</v>
      </c>
      <c r="SCI619" s="17">
        <v>44925</v>
      </c>
      <c r="SCJ619" s="5" t="s">
        <v>3728</v>
      </c>
      <c r="SCK619" s="17">
        <v>44925</v>
      </c>
      <c r="SCL619" s="5" t="s">
        <v>3728</v>
      </c>
      <c r="SCM619" s="17">
        <v>44925</v>
      </c>
      <c r="SCN619" s="5" t="s">
        <v>3728</v>
      </c>
      <c r="SCO619" s="17">
        <v>44925</v>
      </c>
      <c r="SCP619" s="5" t="s">
        <v>3728</v>
      </c>
      <c r="SCQ619" s="17">
        <v>44925</v>
      </c>
      <c r="SCR619" s="5" t="s">
        <v>3728</v>
      </c>
      <c r="SCS619" s="17">
        <v>44925</v>
      </c>
      <c r="SCT619" s="5" t="s">
        <v>3728</v>
      </c>
      <c r="SCU619" s="17">
        <v>44925</v>
      </c>
      <c r="SCV619" s="5" t="s">
        <v>3728</v>
      </c>
      <c r="SCW619" s="17">
        <v>44925</v>
      </c>
      <c r="SCX619" s="5" t="s">
        <v>3728</v>
      </c>
      <c r="SCY619" s="17">
        <v>44925</v>
      </c>
      <c r="SCZ619" s="5" t="s">
        <v>3728</v>
      </c>
      <c r="SDA619" s="17">
        <v>44925</v>
      </c>
      <c r="SDB619" s="5" t="s">
        <v>3728</v>
      </c>
      <c r="SDC619" s="17">
        <v>44925</v>
      </c>
      <c r="SDD619" s="5" t="s">
        <v>3728</v>
      </c>
      <c r="SDE619" s="17">
        <v>44925</v>
      </c>
      <c r="SDF619" s="5" t="s">
        <v>3728</v>
      </c>
      <c r="SDG619" s="17">
        <v>44925</v>
      </c>
      <c r="SDH619" s="5" t="s">
        <v>3728</v>
      </c>
      <c r="SDI619" s="17">
        <v>44925</v>
      </c>
      <c r="SDJ619" s="5" t="s">
        <v>3728</v>
      </c>
      <c r="SDK619" s="17">
        <v>44925</v>
      </c>
      <c r="SDL619" s="5" t="s">
        <v>3728</v>
      </c>
      <c r="SDM619" s="17">
        <v>44925</v>
      </c>
      <c r="SDN619" s="5" t="s">
        <v>3728</v>
      </c>
      <c r="SDO619" s="17">
        <v>44925</v>
      </c>
      <c r="SDP619" s="5" t="s">
        <v>3728</v>
      </c>
      <c r="SDQ619" s="17">
        <v>44925</v>
      </c>
      <c r="SDR619" s="5" t="s">
        <v>3728</v>
      </c>
      <c r="SDS619" s="17">
        <v>44925</v>
      </c>
      <c r="SDT619" s="5" t="s">
        <v>3728</v>
      </c>
      <c r="SDU619" s="17">
        <v>44925</v>
      </c>
      <c r="SDV619" s="5" t="s">
        <v>3728</v>
      </c>
      <c r="SDW619" s="17">
        <v>44925</v>
      </c>
      <c r="SDX619" s="5" t="s">
        <v>3728</v>
      </c>
      <c r="SDY619" s="17">
        <v>44925</v>
      </c>
      <c r="SDZ619" s="5" t="s">
        <v>3728</v>
      </c>
      <c r="SEA619" s="17">
        <v>44925</v>
      </c>
      <c r="SEB619" s="5" t="s">
        <v>3728</v>
      </c>
      <c r="SEC619" s="17">
        <v>44925</v>
      </c>
      <c r="SED619" s="5" t="s">
        <v>3728</v>
      </c>
      <c r="SEE619" s="17">
        <v>44925</v>
      </c>
      <c r="SEF619" s="5" t="s">
        <v>3728</v>
      </c>
      <c r="SEG619" s="17">
        <v>44925</v>
      </c>
      <c r="SEH619" s="5" t="s">
        <v>3728</v>
      </c>
      <c r="SEI619" s="17">
        <v>44925</v>
      </c>
      <c r="SEJ619" s="5" t="s">
        <v>3728</v>
      </c>
      <c r="SEK619" s="17">
        <v>44925</v>
      </c>
      <c r="SEL619" s="5" t="s">
        <v>3728</v>
      </c>
      <c r="SEM619" s="17">
        <v>44925</v>
      </c>
      <c r="SEN619" s="5" t="s">
        <v>3728</v>
      </c>
      <c r="SEO619" s="17">
        <v>44925</v>
      </c>
      <c r="SEP619" s="5" t="s">
        <v>3728</v>
      </c>
      <c r="SEQ619" s="17">
        <v>44925</v>
      </c>
      <c r="SER619" s="5" t="s">
        <v>3728</v>
      </c>
      <c r="SES619" s="17">
        <v>44925</v>
      </c>
      <c r="SET619" s="5" t="s">
        <v>3728</v>
      </c>
      <c r="SEU619" s="17">
        <v>44925</v>
      </c>
      <c r="SEV619" s="5" t="s">
        <v>3728</v>
      </c>
      <c r="SEW619" s="17">
        <v>44925</v>
      </c>
      <c r="SEX619" s="5" t="s">
        <v>3728</v>
      </c>
      <c r="SEY619" s="17">
        <v>44925</v>
      </c>
      <c r="SEZ619" s="5" t="s">
        <v>3728</v>
      </c>
      <c r="SFA619" s="17">
        <v>44925</v>
      </c>
      <c r="SFB619" s="5" t="s">
        <v>3728</v>
      </c>
      <c r="SFC619" s="17">
        <v>44925</v>
      </c>
      <c r="SFD619" s="5" t="s">
        <v>3728</v>
      </c>
      <c r="SFE619" s="17">
        <v>44925</v>
      </c>
      <c r="SFF619" s="5" t="s">
        <v>3728</v>
      </c>
      <c r="SFG619" s="17">
        <v>44925</v>
      </c>
      <c r="SFH619" s="5" t="s">
        <v>3728</v>
      </c>
      <c r="SFI619" s="17">
        <v>44925</v>
      </c>
      <c r="SFJ619" s="5" t="s">
        <v>3728</v>
      </c>
      <c r="SFK619" s="17">
        <v>44925</v>
      </c>
      <c r="SFL619" s="5" t="s">
        <v>3728</v>
      </c>
      <c r="SFM619" s="17">
        <v>44925</v>
      </c>
      <c r="SFN619" s="5" t="s">
        <v>3728</v>
      </c>
      <c r="SFO619" s="17">
        <v>44925</v>
      </c>
      <c r="SFP619" s="5" t="s">
        <v>3728</v>
      </c>
      <c r="SFQ619" s="17">
        <v>44925</v>
      </c>
      <c r="SFR619" s="5" t="s">
        <v>3728</v>
      </c>
      <c r="SFS619" s="17">
        <v>44925</v>
      </c>
      <c r="SFT619" s="5" t="s">
        <v>3728</v>
      </c>
      <c r="SFU619" s="17">
        <v>44925</v>
      </c>
      <c r="SFV619" s="5" t="s">
        <v>3728</v>
      </c>
      <c r="SFW619" s="17">
        <v>44925</v>
      </c>
      <c r="SFX619" s="5" t="s">
        <v>3728</v>
      </c>
      <c r="SFY619" s="17">
        <v>44925</v>
      </c>
      <c r="SFZ619" s="5" t="s">
        <v>3728</v>
      </c>
      <c r="SGA619" s="17">
        <v>44925</v>
      </c>
      <c r="SGB619" s="5" t="s">
        <v>3728</v>
      </c>
      <c r="SGC619" s="17">
        <v>44925</v>
      </c>
      <c r="SGD619" s="5" t="s">
        <v>3728</v>
      </c>
      <c r="SGE619" s="17">
        <v>44925</v>
      </c>
      <c r="SGF619" s="5" t="s">
        <v>3728</v>
      </c>
      <c r="SGG619" s="17">
        <v>44925</v>
      </c>
      <c r="SGH619" s="5" t="s">
        <v>3728</v>
      </c>
      <c r="SGI619" s="17">
        <v>44925</v>
      </c>
      <c r="SGJ619" s="5" t="s">
        <v>3728</v>
      </c>
      <c r="SGK619" s="17">
        <v>44925</v>
      </c>
      <c r="SGL619" s="5" t="s">
        <v>3728</v>
      </c>
      <c r="SGM619" s="17">
        <v>44925</v>
      </c>
      <c r="SGN619" s="5" t="s">
        <v>3728</v>
      </c>
      <c r="SGO619" s="17">
        <v>44925</v>
      </c>
      <c r="SGP619" s="5" t="s">
        <v>3728</v>
      </c>
      <c r="SGQ619" s="17">
        <v>44925</v>
      </c>
      <c r="SGR619" s="5" t="s">
        <v>3728</v>
      </c>
      <c r="SGS619" s="17">
        <v>44925</v>
      </c>
      <c r="SGT619" s="5" t="s">
        <v>3728</v>
      </c>
      <c r="SGU619" s="17">
        <v>44925</v>
      </c>
      <c r="SGV619" s="5" t="s">
        <v>3728</v>
      </c>
      <c r="SGW619" s="17">
        <v>44925</v>
      </c>
      <c r="SGX619" s="5" t="s">
        <v>3728</v>
      </c>
      <c r="SGY619" s="17">
        <v>44925</v>
      </c>
      <c r="SGZ619" s="5" t="s">
        <v>3728</v>
      </c>
      <c r="SHA619" s="17">
        <v>44925</v>
      </c>
      <c r="SHB619" s="5" t="s">
        <v>3728</v>
      </c>
      <c r="SHC619" s="17">
        <v>44925</v>
      </c>
      <c r="SHD619" s="5" t="s">
        <v>3728</v>
      </c>
      <c r="SHE619" s="17">
        <v>44925</v>
      </c>
      <c r="SHF619" s="5" t="s">
        <v>3728</v>
      </c>
      <c r="SHG619" s="17">
        <v>44925</v>
      </c>
      <c r="SHH619" s="5" t="s">
        <v>3728</v>
      </c>
      <c r="SHI619" s="17">
        <v>44925</v>
      </c>
      <c r="SHJ619" s="5" t="s">
        <v>3728</v>
      </c>
      <c r="SHK619" s="17">
        <v>44925</v>
      </c>
      <c r="SHL619" s="5" t="s">
        <v>3728</v>
      </c>
      <c r="SHM619" s="17">
        <v>44925</v>
      </c>
      <c r="SHN619" s="5" t="s">
        <v>3728</v>
      </c>
      <c r="SHO619" s="17">
        <v>44925</v>
      </c>
      <c r="SHP619" s="5" t="s">
        <v>3728</v>
      </c>
      <c r="SHQ619" s="17">
        <v>44925</v>
      </c>
      <c r="SHR619" s="5" t="s">
        <v>3728</v>
      </c>
      <c r="SHS619" s="17">
        <v>44925</v>
      </c>
      <c r="SHT619" s="5" t="s">
        <v>3728</v>
      </c>
      <c r="SHU619" s="17">
        <v>44925</v>
      </c>
      <c r="SHV619" s="5" t="s">
        <v>3728</v>
      </c>
      <c r="SHW619" s="17">
        <v>44925</v>
      </c>
      <c r="SHX619" s="5" t="s">
        <v>3728</v>
      </c>
      <c r="SHY619" s="17">
        <v>44925</v>
      </c>
      <c r="SHZ619" s="5" t="s">
        <v>3728</v>
      </c>
      <c r="SIA619" s="17">
        <v>44925</v>
      </c>
      <c r="SIB619" s="5" t="s">
        <v>3728</v>
      </c>
      <c r="SIC619" s="17">
        <v>44925</v>
      </c>
      <c r="SID619" s="5" t="s">
        <v>3728</v>
      </c>
      <c r="SIE619" s="17">
        <v>44925</v>
      </c>
      <c r="SIF619" s="5" t="s">
        <v>3728</v>
      </c>
      <c r="SIG619" s="17">
        <v>44925</v>
      </c>
      <c r="SIH619" s="5" t="s">
        <v>3728</v>
      </c>
      <c r="SII619" s="17">
        <v>44925</v>
      </c>
      <c r="SIJ619" s="5" t="s">
        <v>3728</v>
      </c>
      <c r="SIK619" s="17">
        <v>44925</v>
      </c>
      <c r="SIL619" s="5" t="s">
        <v>3728</v>
      </c>
      <c r="SIM619" s="17">
        <v>44925</v>
      </c>
      <c r="SIN619" s="5" t="s">
        <v>3728</v>
      </c>
      <c r="SIO619" s="17">
        <v>44925</v>
      </c>
      <c r="SIP619" s="5" t="s">
        <v>3728</v>
      </c>
      <c r="SIQ619" s="17">
        <v>44925</v>
      </c>
      <c r="SIR619" s="5" t="s">
        <v>3728</v>
      </c>
      <c r="SIS619" s="17">
        <v>44925</v>
      </c>
      <c r="SIT619" s="5" t="s">
        <v>3728</v>
      </c>
      <c r="SIU619" s="17">
        <v>44925</v>
      </c>
      <c r="SIV619" s="5" t="s">
        <v>3728</v>
      </c>
      <c r="SIW619" s="17">
        <v>44925</v>
      </c>
      <c r="SIX619" s="5" t="s">
        <v>3728</v>
      </c>
      <c r="SIY619" s="17">
        <v>44925</v>
      </c>
      <c r="SIZ619" s="5" t="s">
        <v>3728</v>
      </c>
      <c r="SJA619" s="17">
        <v>44925</v>
      </c>
      <c r="SJB619" s="5" t="s">
        <v>3728</v>
      </c>
      <c r="SJC619" s="17">
        <v>44925</v>
      </c>
      <c r="SJD619" s="5" t="s">
        <v>3728</v>
      </c>
      <c r="SJE619" s="17">
        <v>44925</v>
      </c>
      <c r="SJF619" s="5" t="s">
        <v>3728</v>
      </c>
      <c r="SJG619" s="17">
        <v>44925</v>
      </c>
      <c r="SJH619" s="5" t="s">
        <v>3728</v>
      </c>
      <c r="SJI619" s="17">
        <v>44925</v>
      </c>
      <c r="SJJ619" s="5" t="s">
        <v>3728</v>
      </c>
      <c r="SJK619" s="17">
        <v>44925</v>
      </c>
      <c r="SJL619" s="5" t="s">
        <v>3728</v>
      </c>
      <c r="SJM619" s="17">
        <v>44925</v>
      </c>
      <c r="SJN619" s="5" t="s">
        <v>3728</v>
      </c>
      <c r="SJO619" s="17">
        <v>44925</v>
      </c>
      <c r="SJP619" s="5" t="s">
        <v>3728</v>
      </c>
      <c r="SJQ619" s="17">
        <v>44925</v>
      </c>
      <c r="SJR619" s="5" t="s">
        <v>3728</v>
      </c>
      <c r="SJS619" s="17">
        <v>44925</v>
      </c>
      <c r="SJT619" s="5" t="s">
        <v>3728</v>
      </c>
      <c r="SJU619" s="17">
        <v>44925</v>
      </c>
      <c r="SJV619" s="5" t="s">
        <v>3728</v>
      </c>
      <c r="SJW619" s="17">
        <v>44925</v>
      </c>
      <c r="SJX619" s="5" t="s">
        <v>3728</v>
      </c>
      <c r="SJY619" s="17">
        <v>44925</v>
      </c>
      <c r="SJZ619" s="5" t="s">
        <v>3728</v>
      </c>
      <c r="SKA619" s="17">
        <v>44925</v>
      </c>
      <c r="SKB619" s="5" t="s">
        <v>3728</v>
      </c>
      <c r="SKC619" s="17">
        <v>44925</v>
      </c>
      <c r="SKD619" s="5" t="s">
        <v>3728</v>
      </c>
      <c r="SKE619" s="17">
        <v>44925</v>
      </c>
      <c r="SKF619" s="5" t="s">
        <v>3728</v>
      </c>
      <c r="SKG619" s="17">
        <v>44925</v>
      </c>
      <c r="SKH619" s="5" t="s">
        <v>3728</v>
      </c>
      <c r="SKI619" s="17">
        <v>44925</v>
      </c>
      <c r="SKJ619" s="5" t="s">
        <v>3728</v>
      </c>
      <c r="SKK619" s="17">
        <v>44925</v>
      </c>
      <c r="SKL619" s="5" t="s">
        <v>3728</v>
      </c>
      <c r="SKM619" s="17">
        <v>44925</v>
      </c>
      <c r="SKN619" s="5" t="s">
        <v>3728</v>
      </c>
      <c r="SKO619" s="17">
        <v>44925</v>
      </c>
      <c r="SKP619" s="5" t="s">
        <v>3728</v>
      </c>
      <c r="SKQ619" s="17">
        <v>44925</v>
      </c>
      <c r="SKR619" s="5" t="s">
        <v>3728</v>
      </c>
      <c r="SKS619" s="17">
        <v>44925</v>
      </c>
      <c r="SKT619" s="5" t="s">
        <v>3728</v>
      </c>
      <c r="SKU619" s="17">
        <v>44925</v>
      </c>
      <c r="SKV619" s="5" t="s">
        <v>3728</v>
      </c>
      <c r="SKW619" s="17">
        <v>44925</v>
      </c>
      <c r="SKX619" s="5" t="s">
        <v>3728</v>
      </c>
      <c r="SKY619" s="17">
        <v>44925</v>
      </c>
      <c r="SKZ619" s="5" t="s">
        <v>3728</v>
      </c>
      <c r="SLA619" s="17">
        <v>44925</v>
      </c>
      <c r="SLB619" s="5" t="s">
        <v>3728</v>
      </c>
      <c r="SLC619" s="17">
        <v>44925</v>
      </c>
      <c r="SLD619" s="5" t="s">
        <v>3728</v>
      </c>
      <c r="SLE619" s="17">
        <v>44925</v>
      </c>
      <c r="SLF619" s="5" t="s">
        <v>3728</v>
      </c>
      <c r="SLG619" s="17">
        <v>44925</v>
      </c>
      <c r="SLH619" s="5" t="s">
        <v>3728</v>
      </c>
      <c r="SLI619" s="17">
        <v>44925</v>
      </c>
      <c r="SLJ619" s="5" t="s">
        <v>3728</v>
      </c>
      <c r="SLK619" s="17">
        <v>44925</v>
      </c>
      <c r="SLL619" s="5" t="s">
        <v>3728</v>
      </c>
      <c r="SLM619" s="17">
        <v>44925</v>
      </c>
      <c r="SLN619" s="5" t="s">
        <v>3728</v>
      </c>
      <c r="SLO619" s="17">
        <v>44925</v>
      </c>
      <c r="SLP619" s="5" t="s">
        <v>3728</v>
      </c>
      <c r="SLQ619" s="17">
        <v>44925</v>
      </c>
      <c r="SLR619" s="5" t="s">
        <v>3728</v>
      </c>
      <c r="SLS619" s="17">
        <v>44925</v>
      </c>
      <c r="SLT619" s="5" t="s">
        <v>3728</v>
      </c>
      <c r="SLU619" s="17">
        <v>44925</v>
      </c>
      <c r="SLV619" s="5" t="s">
        <v>3728</v>
      </c>
      <c r="SLW619" s="17">
        <v>44925</v>
      </c>
      <c r="SLX619" s="5" t="s">
        <v>3728</v>
      </c>
      <c r="SLY619" s="17">
        <v>44925</v>
      </c>
      <c r="SLZ619" s="5" t="s">
        <v>3728</v>
      </c>
      <c r="SMA619" s="17">
        <v>44925</v>
      </c>
      <c r="SMB619" s="5" t="s">
        <v>3728</v>
      </c>
      <c r="SMC619" s="17">
        <v>44925</v>
      </c>
      <c r="SMD619" s="5" t="s">
        <v>3728</v>
      </c>
      <c r="SME619" s="17">
        <v>44925</v>
      </c>
      <c r="SMF619" s="5" t="s">
        <v>3728</v>
      </c>
      <c r="SMG619" s="17">
        <v>44925</v>
      </c>
      <c r="SMH619" s="5" t="s">
        <v>3728</v>
      </c>
      <c r="SMI619" s="17">
        <v>44925</v>
      </c>
      <c r="SMJ619" s="5" t="s">
        <v>3728</v>
      </c>
      <c r="SMK619" s="17">
        <v>44925</v>
      </c>
      <c r="SML619" s="5" t="s">
        <v>3728</v>
      </c>
      <c r="SMM619" s="17">
        <v>44925</v>
      </c>
      <c r="SMN619" s="5" t="s">
        <v>3728</v>
      </c>
      <c r="SMO619" s="17">
        <v>44925</v>
      </c>
      <c r="SMP619" s="5" t="s">
        <v>3728</v>
      </c>
      <c r="SMQ619" s="17">
        <v>44925</v>
      </c>
      <c r="SMR619" s="5" t="s">
        <v>3728</v>
      </c>
      <c r="SMS619" s="17">
        <v>44925</v>
      </c>
      <c r="SMT619" s="5" t="s">
        <v>3728</v>
      </c>
      <c r="SMU619" s="17">
        <v>44925</v>
      </c>
      <c r="SMV619" s="5" t="s">
        <v>3728</v>
      </c>
      <c r="SMW619" s="17">
        <v>44925</v>
      </c>
      <c r="SMX619" s="5" t="s">
        <v>3728</v>
      </c>
      <c r="SMY619" s="17">
        <v>44925</v>
      </c>
      <c r="SMZ619" s="5" t="s">
        <v>3728</v>
      </c>
      <c r="SNA619" s="17">
        <v>44925</v>
      </c>
      <c r="SNB619" s="5" t="s">
        <v>3728</v>
      </c>
      <c r="SNC619" s="17">
        <v>44925</v>
      </c>
      <c r="SND619" s="5" t="s">
        <v>3728</v>
      </c>
      <c r="SNE619" s="17">
        <v>44925</v>
      </c>
      <c r="SNF619" s="5" t="s">
        <v>3728</v>
      </c>
      <c r="SNG619" s="17">
        <v>44925</v>
      </c>
      <c r="SNH619" s="5" t="s">
        <v>3728</v>
      </c>
      <c r="SNI619" s="17">
        <v>44925</v>
      </c>
      <c r="SNJ619" s="5" t="s">
        <v>3728</v>
      </c>
      <c r="SNK619" s="17">
        <v>44925</v>
      </c>
      <c r="SNL619" s="5" t="s">
        <v>3728</v>
      </c>
      <c r="SNM619" s="17">
        <v>44925</v>
      </c>
      <c r="SNN619" s="5" t="s">
        <v>3728</v>
      </c>
      <c r="SNO619" s="17">
        <v>44925</v>
      </c>
      <c r="SNP619" s="5" t="s">
        <v>3728</v>
      </c>
      <c r="SNQ619" s="17">
        <v>44925</v>
      </c>
      <c r="SNR619" s="5" t="s">
        <v>3728</v>
      </c>
      <c r="SNS619" s="17">
        <v>44925</v>
      </c>
      <c r="SNT619" s="5" t="s">
        <v>3728</v>
      </c>
      <c r="SNU619" s="17">
        <v>44925</v>
      </c>
      <c r="SNV619" s="5" t="s">
        <v>3728</v>
      </c>
      <c r="SNW619" s="17">
        <v>44925</v>
      </c>
      <c r="SNX619" s="5" t="s">
        <v>3728</v>
      </c>
      <c r="SNY619" s="17">
        <v>44925</v>
      </c>
      <c r="SNZ619" s="5" t="s">
        <v>3728</v>
      </c>
      <c r="SOA619" s="17">
        <v>44925</v>
      </c>
      <c r="SOB619" s="5" t="s">
        <v>3728</v>
      </c>
      <c r="SOC619" s="17">
        <v>44925</v>
      </c>
      <c r="SOD619" s="5" t="s">
        <v>3728</v>
      </c>
      <c r="SOE619" s="17">
        <v>44925</v>
      </c>
      <c r="SOF619" s="5" t="s">
        <v>3728</v>
      </c>
      <c r="SOG619" s="17">
        <v>44925</v>
      </c>
      <c r="SOH619" s="5" t="s">
        <v>3728</v>
      </c>
      <c r="SOI619" s="17">
        <v>44925</v>
      </c>
      <c r="SOJ619" s="5" t="s">
        <v>3728</v>
      </c>
      <c r="SOK619" s="17">
        <v>44925</v>
      </c>
      <c r="SOL619" s="5" t="s">
        <v>3728</v>
      </c>
      <c r="SOM619" s="17">
        <v>44925</v>
      </c>
      <c r="SON619" s="5" t="s">
        <v>3728</v>
      </c>
      <c r="SOO619" s="17">
        <v>44925</v>
      </c>
      <c r="SOP619" s="5" t="s">
        <v>3728</v>
      </c>
      <c r="SOQ619" s="17">
        <v>44925</v>
      </c>
      <c r="SOR619" s="5" t="s">
        <v>3728</v>
      </c>
      <c r="SOS619" s="17">
        <v>44925</v>
      </c>
      <c r="SOT619" s="5" t="s">
        <v>3728</v>
      </c>
      <c r="SOU619" s="17">
        <v>44925</v>
      </c>
      <c r="SOV619" s="5" t="s">
        <v>3728</v>
      </c>
      <c r="SOW619" s="17">
        <v>44925</v>
      </c>
      <c r="SOX619" s="5" t="s">
        <v>3728</v>
      </c>
      <c r="SOY619" s="17">
        <v>44925</v>
      </c>
      <c r="SOZ619" s="5" t="s">
        <v>3728</v>
      </c>
      <c r="SPA619" s="17">
        <v>44925</v>
      </c>
      <c r="SPB619" s="5" t="s">
        <v>3728</v>
      </c>
      <c r="SPC619" s="17">
        <v>44925</v>
      </c>
      <c r="SPD619" s="5" t="s">
        <v>3728</v>
      </c>
      <c r="SPE619" s="17">
        <v>44925</v>
      </c>
      <c r="SPF619" s="5" t="s">
        <v>3728</v>
      </c>
      <c r="SPG619" s="17">
        <v>44925</v>
      </c>
      <c r="SPH619" s="5" t="s">
        <v>3728</v>
      </c>
      <c r="SPI619" s="17">
        <v>44925</v>
      </c>
      <c r="SPJ619" s="5" t="s">
        <v>3728</v>
      </c>
      <c r="SPK619" s="17">
        <v>44925</v>
      </c>
      <c r="SPL619" s="5" t="s">
        <v>3728</v>
      </c>
      <c r="SPM619" s="17">
        <v>44925</v>
      </c>
      <c r="SPN619" s="5" t="s">
        <v>3728</v>
      </c>
      <c r="SPO619" s="17">
        <v>44925</v>
      </c>
      <c r="SPP619" s="5" t="s">
        <v>3728</v>
      </c>
      <c r="SPQ619" s="17">
        <v>44925</v>
      </c>
      <c r="SPR619" s="5" t="s">
        <v>3728</v>
      </c>
      <c r="SPS619" s="17">
        <v>44925</v>
      </c>
      <c r="SPT619" s="5" t="s">
        <v>3728</v>
      </c>
      <c r="SPU619" s="17">
        <v>44925</v>
      </c>
      <c r="SPV619" s="5" t="s">
        <v>3728</v>
      </c>
      <c r="SPW619" s="17">
        <v>44925</v>
      </c>
      <c r="SPX619" s="5" t="s">
        <v>3728</v>
      </c>
      <c r="SPY619" s="17">
        <v>44925</v>
      </c>
      <c r="SPZ619" s="5" t="s">
        <v>3728</v>
      </c>
      <c r="SQA619" s="17">
        <v>44925</v>
      </c>
      <c r="SQB619" s="5" t="s">
        <v>3728</v>
      </c>
      <c r="SQC619" s="17">
        <v>44925</v>
      </c>
      <c r="SQD619" s="5" t="s">
        <v>3728</v>
      </c>
      <c r="SQE619" s="17">
        <v>44925</v>
      </c>
      <c r="SQF619" s="5" t="s">
        <v>3728</v>
      </c>
      <c r="SQG619" s="17">
        <v>44925</v>
      </c>
      <c r="SQH619" s="5" t="s">
        <v>3728</v>
      </c>
      <c r="SQI619" s="17">
        <v>44925</v>
      </c>
      <c r="SQJ619" s="5" t="s">
        <v>3728</v>
      </c>
      <c r="SQK619" s="17">
        <v>44925</v>
      </c>
      <c r="SQL619" s="5" t="s">
        <v>3728</v>
      </c>
      <c r="SQM619" s="17">
        <v>44925</v>
      </c>
      <c r="SQN619" s="5" t="s">
        <v>3728</v>
      </c>
      <c r="SQO619" s="17">
        <v>44925</v>
      </c>
      <c r="SQP619" s="5" t="s">
        <v>3728</v>
      </c>
      <c r="SQQ619" s="17">
        <v>44925</v>
      </c>
      <c r="SQR619" s="5" t="s">
        <v>3728</v>
      </c>
      <c r="SQS619" s="17">
        <v>44925</v>
      </c>
      <c r="SQT619" s="5" t="s">
        <v>3728</v>
      </c>
      <c r="SQU619" s="17">
        <v>44925</v>
      </c>
      <c r="SQV619" s="5" t="s">
        <v>3728</v>
      </c>
      <c r="SQW619" s="17">
        <v>44925</v>
      </c>
      <c r="SQX619" s="5" t="s">
        <v>3728</v>
      </c>
      <c r="SQY619" s="17">
        <v>44925</v>
      </c>
      <c r="SQZ619" s="5" t="s">
        <v>3728</v>
      </c>
      <c r="SRA619" s="17">
        <v>44925</v>
      </c>
      <c r="SRB619" s="5" t="s">
        <v>3728</v>
      </c>
      <c r="SRC619" s="17">
        <v>44925</v>
      </c>
      <c r="SRD619" s="5" t="s">
        <v>3728</v>
      </c>
      <c r="SRE619" s="17">
        <v>44925</v>
      </c>
      <c r="SRF619" s="5" t="s">
        <v>3728</v>
      </c>
      <c r="SRG619" s="17">
        <v>44925</v>
      </c>
      <c r="SRH619" s="5" t="s">
        <v>3728</v>
      </c>
      <c r="SRI619" s="17">
        <v>44925</v>
      </c>
      <c r="SRJ619" s="5" t="s">
        <v>3728</v>
      </c>
      <c r="SRK619" s="17">
        <v>44925</v>
      </c>
      <c r="SRL619" s="5" t="s">
        <v>3728</v>
      </c>
      <c r="SRM619" s="17">
        <v>44925</v>
      </c>
      <c r="SRN619" s="5" t="s">
        <v>3728</v>
      </c>
      <c r="SRO619" s="17">
        <v>44925</v>
      </c>
      <c r="SRP619" s="5" t="s">
        <v>3728</v>
      </c>
      <c r="SRQ619" s="17">
        <v>44925</v>
      </c>
      <c r="SRR619" s="5" t="s">
        <v>3728</v>
      </c>
      <c r="SRS619" s="17">
        <v>44925</v>
      </c>
      <c r="SRT619" s="5" t="s">
        <v>3728</v>
      </c>
      <c r="SRU619" s="17">
        <v>44925</v>
      </c>
      <c r="SRV619" s="5" t="s">
        <v>3728</v>
      </c>
      <c r="SRW619" s="17">
        <v>44925</v>
      </c>
      <c r="SRX619" s="5" t="s">
        <v>3728</v>
      </c>
      <c r="SRY619" s="17">
        <v>44925</v>
      </c>
      <c r="SRZ619" s="5" t="s">
        <v>3728</v>
      </c>
      <c r="SSA619" s="17">
        <v>44925</v>
      </c>
      <c r="SSB619" s="5" t="s">
        <v>3728</v>
      </c>
      <c r="SSC619" s="17">
        <v>44925</v>
      </c>
      <c r="SSD619" s="5" t="s">
        <v>3728</v>
      </c>
      <c r="SSE619" s="17">
        <v>44925</v>
      </c>
      <c r="SSF619" s="5" t="s">
        <v>3728</v>
      </c>
      <c r="SSG619" s="17">
        <v>44925</v>
      </c>
      <c r="SSH619" s="5" t="s">
        <v>3728</v>
      </c>
      <c r="SSI619" s="17">
        <v>44925</v>
      </c>
      <c r="SSJ619" s="5" t="s">
        <v>3728</v>
      </c>
      <c r="SSK619" s="17">
        <v>44925</v>
      </c>
      <c r="SSL619" s="5" t="s">
        <v>3728</v>
      </c>
      <c r="SSM619" s="17">
        <v>44925</v>
      </c>
      <c r="SSN619" s="5" t="s">
        <v>3728</v>
      </c>
      <c r="SSO619" s="17">
        <v>44925</v>
      </c>
      <c r="SSP619" s="5" t="s">
        <v>3728</v>
      </c>
      <c r="SSQ619" s="17">
        <v>44925</v>
      </c>
      <c r="SSR619" s="5" t="s">
        <v>3728</v>
      </c>
      <c r="SSS619" s="17">
        <v>44925</v>
      </c>
      <c r="SST619" s="5" t="s">
        <v>3728</v>
      </c>
      <c r="SSU619" s="17">
        <v>44925</v>
      </c>
      <c r="SSV619" s="5" t="s">
        <v>3728</v>
      </c>
      <c r="SSW619" s="17">
        <v>44925</v>
      </c>
      <c r="SSX619" s="5" t="s">
        <v>3728</v>
      </c>
      <c r="SSY619" s="17">
        <v>44925</v>
      </c>
      <c r="SSZ619" s="5" t="s">
        <v>3728</v>
      </c>
      <c r="STA619" s="17">
        <v>44925</v>
      </c>
      <c r="STB619" s="5" t="s">
        <v>3728</v>
      </c>
      <c r="STC619" s="17">
        <v>44925</v>
      </c>
      <c r="STD619" s="5" t="s">
        <v>3728</v>
      </c>
      <c r="STE619" s="17">
        <v>44925</v>
      </c>
      <c r="STF619" s="5" t="s">
        <v>3728</v>
      </c>
      <c r="STG619" s="17">
        <v>44925</v>
      </c>
      <c r="STH619" s="5" t="s">
        <v>3728</v>
      </c>
      <c r="STI619" s="17">
        <v>44925</v>
      </c>
      <c r="STJ619" s="5" t="s">
        <v>3728</v>
      </c>
      <c r="STK619" s="17">
        <v>44925</v>
      </c>
      <c r="STL619" s="5" t="s">
        <v>3728</v>
      </c>
      <c r="STM619" s="17">
        <v>44925</v>
      </c>
      <c r="STN619" s="5" t="s">
        <v>3728</v>
      </c>
      <c r="STO619" s="17">
        <v>44925</v>
      </c>
      <c r="STP619" s="5" t="s">
        <v>3728</v>
      </c>
      <c r="STQ619" s="17">
        <v>44925</v>
      </c>
      <c r="STR619" s="5" t="s">
        <v>3728</v>
      </c>
      <c r="STS619" s="17">
        <v>44925</v>
      </c>
      <c r="STT619" s="5" t="s">
        <v>3728</v>
      </c>
      <c r="STU619" s="17">
        <v>44925</v>
      </c>
      <c r="STV619" s="5" t="s">
        <v>3728</v>
      </c>
      <c r="STW619" s="17">
        <v>44925</v>
      </c>
      <c r="STX619" s="5" t="s">
        <v>3728</v>
      </c>
      <c r="STY619" s="17">
        <v>44925</v>
      </c>
      <c r="STZ619" s="5" t="s">
        <v>3728</v>
      </c>
      <c r="SUA619" s="17">
        <v>44925</v>
      </c>
      <c r="SUB619" s="5" t="s">
        <v>3728</v>
      </c>
      <c r="SUC619" s="17">
        <v>44925</v>
      </c>
      <c r="SUD619" s="5" t="s">
        <v>3728</v>
      </c>
      <c r="SUE619" s="17">
        <v>44925</v>
      </c>
      <c r="SUF619" s="5" t="s">
        <v>3728</v>
      </c>
      <c r="SUG619" s="17">
        <v>44925</v>
      </c>
      <c r="SUH619" s="5" t="s">
        <v>3728</v>
      </c>
      <c r="SUI619" s="17">
        <v>44925</v>
      </c>
      <c r="SUJ619" s="5" t="s">
        <v>3728</v>
      </c>
      <c r="SUK619" s="17">
        <v>44925</v>
      </c>
      <c r="SUL619" s="5" t="s">
        <v>3728</v>
      </c>
      <c r="SUM619" s="17">
        <v>44925</v>
      </c>
      <c r="SUN619" s="5" t="s">
        <v>3728</v>
      </c>
      <c r="SUO619" s="17">
        <v>44925</v>
      </c>
      <c r="SUP619" s="5" t="s">
        <v>3728</v>
      </c>
      <c r="SUQ619" s="17">
        <v>44925</v>
      </c>
      <c r="SUR619" s="5" t="s">
        <v>3728</v>
      </c>
      <c r="SUS619" s="17">
        <v>44925</v>
      </c>
      <c r="SUT619" s="5" t="s">
        <v>3728</v>
      </c>
      <c r="SUU619" s="17">
        <v>44925</v>
      </c>
      <c r="SUV619" s="5" t="s">
        <v>3728</v>
      </c>
      <c r="SUW619" s="17">
        <v>44925</v>
      </c>
      <c r="SUX619" s="5" t="s">
        <v>3728</v>
      </c>
      <c r="SUY619" s="17">
        <v>44925</v>
      </c>
      <c r="SUZ619" s="5" t="s">
        <v>3728</v>
      </c>
      <c r="SVA619" s="17">
        <v>44925</v>
      </c>
      <c r="SVB619" s="5" t="s">
        <v>3728</v>
      </c>
      <c r="SVC619" s="17">
        <v>44925</v>
      </c>
      <c r="SVD619" s="5" t="s">
        <v>3728</v>
      </c>
      <c r="SVE619" s="17">
        <v>44925</v>
      </c>
      <c r="SVF619" s="5" t="s">
        <v>3728</v>
      </c>
      <c r="SVG619" s="17">
        <v>44925</v>
      </c>
      <c r="SVH619" s="5" t="s">
        <v>3728</v>
      </c>
      <c r="SVI619" s="17">
        <v>44925</v>
      </c>
      <c r="SVJ619" s="5" t="s">
        <v>3728</v>
      </c>
      <c r="SVK619" s="17">
        <v>44925</v>
      </c>
      <c r="SVL619" s="5" t="s">
        <v>3728</v>
      </c>
      <c r="SVM619" s="17">
        <v>44925</v>
      </c>
      <c r="SVN619" s="5" t="s">
        <v>3728</v>
      </c>
      <c r="SVO619" s="17">
        <v>44925</v>
      </c>
      <c r="SVP619" s="5" t="s">
        <v>3728</v>
      </c>
      <c r="SVQ619" s="17">
        <v>44925</v>
      </c>
      <c r="SVR619" s="5" t="s">
        <v>3728</v>
      </c>
      <c r="SVS619" s="17">
        <v>44925</v>
      </c>
      <c r="SVT619" s="5" t="s">
        <v>3728</v>
      </c>
      <c r="SVU619" s="17">
        <v>44925</v>
      </c>
      <c r="SVV619" s="5" t="s">
        <v>3728</v>
      </c>
      <c r="SVW619" s="17">
        <v>44925</v>
      </c>
      <c r="SVX619" s="5" t="s">
        <v>3728</v>
      </c>
      <c r="SVY619" s="17">
        <v>44925</v>
      </c>
      <c r="SVZ619" s="5" t="s">
        <v>3728</v>
      </c>
      <c r="SWA619" s="17">
        <v>44925</v>
      </c>
      <c r="SWB619" s="5" t="s">
        <v>3728</v>
      </c>
      <c r="SWC619" s="17">
        <v>44925</v>
      </c>
      <c r="SWD619" s="5" t="s">
        <v>3728</v>
      </c>
      <c r="SWE619" s="17">
        <v>44925</v>
      </c>
      <c r="SWF619" s="5" t="s">
        <v>3728</v>
      </c>
      <c r="SWG619" s="17">
        <v>44925</v>
      </c>
      <c r="SWH619" s="5" t="s">
        <v>3728</v>
      </c>
      <c r="SWI619" s="17">
        <v>44925</v>
      </c>
      <c r="SWJ619" s="5" t="s">
        <v>3728</v>
      </c>
      <c r="SWK619" s="17">
        <v>44925</v>
      </c>
      <c r="SWL619" s="5" t="s">
        <v>3728</v>
      </c>
      <c r="SWM619" s="17">
        <v>44925</v>
      </c>
      <c r="SWN619" s="5" t="s">
        <v>3728</v>
      </c>
      <c r="SWO619" s="17">
        <v>44925</v>
      </c>
      <c r="SWP619" s="5" t="s">
        <v>3728</v>
      </c>
      <c r="SWQ619" s="17">
        <v>44925</v>
      </c>
      <c r="SWR619" s="5" t="s">
        <v>3728</v>
      </c>
      <c r="SWS619" s="17">
        <v>44925</v>
      </c>
      <c r="SWT619" s="5" t="s">
        <v>3728</v>
      </c>
      <c r="SWU619" s="17">
        <v>44925</v>
      </c>
      <c r="SWV619" s="5" t="s">
        <v>3728</v>
      </c>
      <c r="SWW619" s="17">
        <v>44925</v>
      </c>
      <c r="SWX619" s="5" t="s">
        <v>3728</v>
      </c>
      <c r="SWY619" s="17">
        <v>44925</v>
      </c>
      <c r="SWZ619" s="5" t="s">
        <v>3728</v>
      </c>
      <c r="SXA619" s="17">
        <v>44925</v>
      </c>
      <c r="SXB619" s="5" t="s">
        <v>3728</v>
      </c>
      <c r="SXC619" s="17">
        <v>44925</v>
      </c>
      <c r="SXD619" s="5" t="s">
        <v>3728</v>
      </c>
      <c r="SXE619" s="17">
        <v>44925</v>
      </c>
      <c r="SXF619" s="5" t="s">
        <v>3728</v>
      </c>
      <c r="SXG619" s="17">
        <v>44925</v>
      </c>
      <c r="SXH619" s="5" t="s">
        <v>3728</v>
      </c>
      <c r="SXI619" s="17">
        <v>44925</v>
      </c>
      <c r="SXJ619" s="5" t="s">
        <v>3728</v>
      </c>
      <c r="SXK619" s="17">
        <v>44925</v>
      </c>
      <c r="SXL619" s="5" t="s">
        <v>3728</v>
      </c>
      <c r="SXM619" s="17">
        <v>44925</v>
      </c>
      <c r="SXN619" s="5" t="s">
        <v>3728</v>
      </c>
      <c r="SXO619" s="17">
        <v>44925</v>
      </c>
      <c r="SXP619" s="5" t="s">
        <v>3728</v>
      </c>
      <c r="SXQ619" s="17">
        <v>44925</v>
      </c>
      <c r="SXR619" s="5" t="s">
        <v>3728</v>
      </c>
      <c r="SXS619" s="17">
        <v>44925</v>
      </c>
      <c r="SXT619" s="5" t="s">
        <v>3728</v>
      </c>
      <c r="SXU619" s="17">
        <v>44925</v>
      </c>
      <c r="SXV619" s="5" t="s">
        <v>3728</v>
      </c>
      <c r="SXW619" s="17">
        <v>44925</v>
      </c>
      <c r="SXX619" s="5" t="s">
        <v>3728</v>
      </c>
      <c r="SXY619" s="17">
        <v>44925</v>
      </c>
      <c r="SXZ619" s="5" t="s">
        <v>3728</v>
      </c>
      <c r="SYA619" s="17">
        <v>44925</v>
      </c>
      <c r="SYB619" s="5" t="s">
        <v>3728</v>
      </c>
      <c r="SYC619" s="17">
        <v>44925</v>
      </c>
      <c r="SYD619" s="5" t="s">
        <v>3728</v>
      </c>
      <c r="SYE619" s="17">
        <v>44925</v>
      </c>
      <c r="SYF619" s="5" t="s">
        <v>3728</v>
      </c>
      <c r="SYG619" s="17">
        <v>44925</v>
      </c>
      <c r="SYH619" s="5" t="s">
        <v>3728</v>
      </c>
      <c r="SYI619" s="17">
        <v>44925</v>
      </c>
      <c r="SYJ619" s="5" t="s">
        <v>3728</v>
      </c>
      <c r="SYK619" s="17">
        <v>44925</v>
      </c>
      <c r="SYL619" s="5" t="s">
        <v>3728</v>
      </c>
      <c r="SYM619" s="17">
        <v>44925</v>
      </c>
      <c r="SYN619" s="5" t="s">
        <v>3728</v>
      </c>
      <c r="SYO619" s="17">
        <v>44925</v>
      </c>
      <c r="SYP619" s="5" t="s">
        <v>3728</v>
      </c>
      <c r="SYQ619" s="17">
        <v>44925</v>
      </c>
      <c r="SYR619" s="5" t="s">
        <v>3728</v>
      </c>
      <c r="SYS619" s="17">
        <v>44925</v>
      </c>
      <c r="SYT619" s="5" t="s">
        <v>3728</v>
      </c>
      <c r="SYU619" s="17">
        <v>44925</v>
      </c>
      <c r="SYV619" s="5" t="s">
        <v>3728</v>
      </c>
      <c r="SYW619" s="17">
        <v>44925</v>
      </c>
      <c r="SYX619" s="5" t="s">
        <v>3728</v>
      </c>
      <c r="SYY619" s="17">
        <v>44925</v>
      </c>
      <c r="SYZ619" s="5" t="s">
        <v>3728</v>
      </c>
      <c r="SZA619" s="17">
        <v>44925</v>
      </c>
      <c r="SZB619" s="5" t="s">
        <v>3728</v>
      </c>
      <c r="SZC619" s="17">
        <v>44925</v>
      </c>
      <c r="SZD619" s="5" t="s">
        <v>3728</v>
      </c>
      <c r="SZE619" s="17">
        <v>44925</v>
      </c>
      <c r="SZF619" s="5" t="s">
        <v>3728</v>
      </c>
      <c r="SZG619" s="17">
        <v>44925</v>
      </c>
      <c r="SZH619" s="5" t="s">
        <v>3728</v>
      </c>
      <c r="SZI619" s="17">
        <v>44925</v>
      </c>
      <c r="SZJ619" s="5" t="s">
        <v>3728</v>
      </c>
      <c r="SZK619" s="17">
        <v>44925</v>
      </c>
      <c r="SZL619" s="5" t="s">
        <v>3728</v>
      </c>
      <c r="SZM619" s="17">
        <v>44925</v>
      </c>
      <c r="SZN619" s="5" t="s">
        <v>3728</v>
      </c>
      <c r="SZO619" s="17">
        <v>44925</v>
      </c>
      <c r="SZP619" s="5" t="s">
        <v>3728</v>
      </c>
      <c r="SZQ619" s="17">
        <v>44925</v>
      </c>
      <c r="SZR619" s="5" t="s">
        <v>3728</v>
      </c>
      <c r="SZS619" s="17">
        <v>44925</v>
      </c>
      <c r="SZT619" s="5" t="s">
        <v>3728</v>
      </c>
      <c r="SZU619" s="17">
        <v>44925</v>
      </c>
      <c r="SZV619" s="5" t="s">
        <v>3728</v>
      </c>
      <c r="SZW619" s="17">
        <v>44925</v>
      </c>
      <c r="SZX619" s="5" t="s">
        <v>3728</v>
      </c>
      <c r="SZY619" s="17">
        <v>44925</v>
      </c>
      <c r="SZZ619" s="5" t="s">
        <v>3728</v>
      </c>
      <c r="TAA619" s="17">
        <v>44925</v>
      </c>
      <c r="TAB619" s="5" t="s">
        <v>3728</v>
      </c>
      <c r="TAC619" s="17">
        <v>44925</v>
      </c>
      <c r="TAD619" s="5" t="s">
        <v>3728</v>
      </c>
      <c r="TAE619" s="17">
        <v>44925</v>
      </c>
      <c r="TAF619" s="5" t="s">
        <v>3728</v>
      </c>
      <c r="TAG619" s="17">
        <v>44925</v>
      </c>
      <c r="TAH619" s="5" t="s">
        <v>3728</v>
      </c>
      <c r="TAI619" s="17">
        <v>44925</v>
      </c>
      <c r="TAJ619" s="5" t="s">
        <v>3728</v>
      </c>
      <c r="TAK619" s="17">
        <v>44925</v>
      </c>
      <c r="TAL619" s="5" t="s">
        <v>3728</v>
      </c>
      <c r="TAM619" s="17">
        <v>44925</v>
      </c>
      <c r="TAN619" s="5" t="s">
        <v>3728</v>
      </c>
      <c r="TAO619" s="17">
        <v>44925</v>
      </c>
      <c r="TAP619" s="5" t="s">
        <v>3728</v>
      </c>
      <c r="TAQ619" s="17">
        <v>44925</v>
      </c>
      <c r="TAR619" s="5" t="s">
        <v>3728</v>
      </c>
      <c r="TAS619" s="17">
        <v>44925</v>
      </c>
      <c r="TAT619" s="5" t="s">
        <v>3728</v>
      </c>
      <c r="TAU619" s="17">
        <v>44925</v>
      </c>
      <c r="TAV619" s="5" t="s">
        <v>3728</v>
      </c>
      <c r="TAW619" s="17">
        <v>44925</v>
      </c>
      <c r="TAX619" s="5" t="s">
        <v>3728</v>
      </c>
      <c r="TAY619" s="17">
        <v>44925</v>
      </c>
      <c r="TAZ619" s="5" t="s">
        <v>3728</v>
      </c>
      <c r="TBA619" s="17">
        <v>44925</v>
      </c>
      <c r="TBB619" s="5" t="s">
        <v>3728</v>
      </c>
      <c r="TBC619" s="17">
        <v>44925</v>
      </c>
      <c r="TBD619" s="5" t="s">
        <v>3728</v>
      </c>
      <c r="TBE619" s="17">
        <v>44925</v>
      </c>
      <c r="TBF619" s="5" t="s">
        <v>3728</v>
      </c>
      <c r="TBG619" s="17">
        <v>44925</v>
      </c>
      <c r="TBH619" s="5" t="s">
        <v>3728</v>
      </c>
      <c r="TBI619" s="17">
        <v>44925</v>
      </c>
      <c r="TBJ619" s="5" t="s">
        <v>3728</v>
      </c>
      <c r="TBK619" s="17">
        <v>44925</v>
      </c>
      <c r="TBL619" s="5" t="s">
        <v>3728</v>
      </c>
      <c r="TBM619" s="17">
        <v>44925</v>
      </c>
      <c r="TBN619" s="5" t="s">
        <v>3728</v>
      </c>
      <c r="TBO619" s="17">
        <v>44925</v>
      </c>
      <c r="TBP619" s="5" t="s">
        <v>3728</v>
      </c>
      <c r="TBQ619" s="17">
        <v>44925</v>
      </c>
      <c r="TBR619" s="5" t="s">
        <v>3728</v>
      </c>
      <c r="TBS619" s="17">
        <v>44925</v>
      </c>
      <c r="TBT619" s="5" t="s">
        <v>3728</v>
      </c>
      <c r="TBU619" s="17">
        <v>44925</v>
      </c>
      <c r="TBV619" s="5" t="s">
        <v>3728</v>
      </c>
      <c r="TBW619" s="17">
        <v>44925</v>
      </c>
      <c r="TBX619" s="5" t="s">
        <v>3728</v>
      </c>
      <c r="TBY619" s="17">
        <v>44925</v>
      </c>
      <c r="TBZ619" s="5" t="s">
        <v>3728</v>
      </c>
      <c r="TCA619" s="17">
        <v>44925</v>
      </c>
      <c r="TCB619" s="5" t="s">
        <v>3728</v>
      </c>
      <c r="TCC619" s="17">
        <v>44925</v>
      </c>
      <c r="TCD619" s="5" t="s">
        <v>3728</v>
      </c>
      <c r="TCE619" s="17">
        <v>44925</v>
      </c>
      <c r="TCF619" s="5" t="s">
        <v>3728</v>
      </c>
      <c r="TCG619" s="17">
        <v>44925</v>
      </c>
      <c r="TCH619" s="5" t="s">
        <v>3728</v>
      </c>
      <c r="TCI619" s="17">
        <v>44925</v>
      </c>
      <c r="TCJ619" s="5" t="s">
        <v>3728</v>
      </c>
      <c r="TCK619" s="17">
        <v>44925</v>
      </c>
      <c r="TCL619" s="5" t="s">
        <v>3728</v>
      </c>
      <c r="TCM619" s="17">
        <v>44925</v>
      </c>
      <c r="TCN619" s="5" t="s">
        <v>3728</v>
      </c>
      <c r="TCO619" s="17">
        <v>44925</v>
      </c>
      <c r="TCP619" s="5" t="s">
        <v>3728</v>
      </c>
      <c r="TCQ619" s="17">
        <v>44925</v>
      </c>
      <c r="TCR619" s="5" t="s">
        <v>3728</v>
      </c>
      <c r="TCS619" s="17">
        <v>44925</v>
      </c>
      <c r="TCT619" s="5" t="s">
        <v>3728</v>
      </c>
      <c r="TCU619" s="17">
        <v>44925</v>
      </c>
      <c r="TCV619" s="5" t="s">
        <v>3728</v>
      </c>
      <c r="TCW619" s="17">
        <v>44925</v>
      </c>
      <c r="TCX619" s="5" t="s">
        <v>3728</v>
      </c>
      <c r="TCY619" s="17">
        <v>44925</v>
      </c>
      <c r="TCZ619" s="5" t="s">
        <v>3728</v>
      </c>
      <c r="TDA619" s="17">
        <v>44925</v>
      </c>
      <c r="TDB619" s="5" t="s">
        <v>3728</v>
      </c>
      <c r="TDC619" s="17">
        <v>44925</v>
      </c>
      <c r="TDD619" s="5" t="s">
        <v>3728</v>
      </c>
      <c r="TDE619" s="17">
        <v>44925</v>
      </c>
      <c r="TDF619" s="5" t="s">
        <v>3728</v>
      </c>
      <c r="TDG619" s="17">
        <v>44925</v>
      </c>
      <c r="TDH619" s="5" t="s">
        <v>3728</v>
      </c>
      <c r="TDI619" s="17">
        <v>44925</v>
      </c>
      <c r="TDJ619" s="5" t="s">
        <v>3728</v>
      </c>
      <c r="TDK619" s="17">
        <v>44925</v>
      </c>
      <c r="TDL619" s="5" t="s">
        <v>3728</v>
      </c>
      <c r="TDM619" s="17">
        <v>44925</v>
      </c>
      <c r="TDN619" s="5" t="s">
        <v>3728</v>
      </c>
      <c r="TDO619" s="17">
        <v>44925</v>
      </c>
      <c r="TDP619" s="5" t="s">
        <v>3728</v>
      </c>
      <c r="TDQ619" s="17">
        <v>44925</v>
      </c>
      <c r="TDR619" s="5" t="s">
        <v>3728</v>
      </c>
      <c r="TDS619" s="17">
        <v>44925</v>
      </c>
      <c r="TDT619" s="5" t="s">
        <v>3728</v>
      </c>
      <c r="TDU619" s="17">
        <v>44925</v>
      </c>
      <c r="TDV619" s="5" t="s">
        <v>3728</v>
      </c>
      <c r="TDW619" s="17">
        <v>44925</v>
      </c>
      <c r="TDX619" s="5" t="s">
        <v>3728</v>
      </c>
      <c r="TDY619" s="17">
        <v>44925</v>
      </c>
      <c r="TDZ619" s="5" t="s">
        <v>3728</v>
      </c>
      <c r="TEA619" s="17">
        <v>44925</v>
      </c>
      <c r="TEB619" s="5" t="s">
        <v>3728</v>
      </c>
      <c r="TEC619" s="17">
        <v>44925</v>
      </c>
      <c r="TED619" s="5" t="s">
        <v>3728</v>
      </c>
      <c r="TEE619" s="17">
        <v>44925</v>
      </c>
      <c r="TEF619" s="5" t="s">
        <v>3728</v>
      </c>
      <c r="TEG619" s="17">
        <v>44925</v>
      </c>
      <c r="TEH619" s="5" t="s">
        <v>3728</v>
      </c>
      <c r="TEI619" s="17">
        <v>44925</v>
      </c>
      <c r="TEJ619" s="5" t="s">
        <v>3728</v>
      </c>
      <c r="TEK619" s="17">
        <v>44925</v>
      </c>
      <c r="TEL619" s="5" t="s">
        <v>3728</v>
      </c>
      <c r="TEM619" s="17">
        <v>44925</v>
      </c>
      <c r="TEN619" s="5" t="s">
        <v>3728</v>
      </c>
      <c r="TEO619" s="17">
        <v>44925</v>
      </c>
      <c r="TEP619" s="5" t="s">
        <v>3728</v>
      </c>
      <c r="TEQ619" s="17">
        <v>44925</v>
      </c>
      <c r="TER619" s="5" t="s">
        <v>3728</v>
      </c>
      <c r="TES619" s="17">
        <v>44925</v>
      </c>
      <c r="TET619" s="5" t="s">
        <v>3728</v>
      </c>
      <c r="TEU619" s="17">
        <v>44925</v>
      </c>
      <c r="TEV619" s="5" t="s">
        <v>3728</v>
      </c>
      <c r="TEW619" s="17">
        <v>44925</v>
      </c>
      <c r="TEX619" s="5" t="s">
        <v>3728</v>
      </c>
      <c r="TEY619" s="17">
        <v>44925</v>
      </c>
      <c r="TEZ619" s="5" t="s">
        <v>3728</v>
      </c>
      <c r="TFA619" s="17">
        <v>44925</v>
      </c>
      <c r="TFB619" s="5" t="s">
        <v>3728</v>
      </c>
      <c r="TFC619" s="17">
        <v>44925</v>
      </c>
      <c r="TFD619" s="5" t="s">
        <v>3728</v>
      </c>
      <c r="TFE619" s="17">
        <v>44925</v>
      </c>
      <c r="TFF619" s="5" t="s">
        <v>3728</v>
      </c>
      <c r="TFG619" s="17">
        <v>44925</v>
      </c>
      <c r="TFH619" s="5" t="s">
        <v>3728</v>
      </c>
      <c r="TFI619" s="17">
        <v>44925</v>
      </c>
      <c r="TFJ619" s="5" t="s">
        <v>3728</v>
      </c>
      <c r="TFK619" s="17">
        <v>44925</v>
      </c>
      <c r="TFL619" s="5" t="s">
        <v>3728</v>
      </c>
      <c r="TFM619" s="17">
        <v>44925</v>
      </c>
      <c r="TFN619" s="5" t="s">
        <v>3728</v>
      </c>
      <c r="TFO619" s="17">
        <v>44925</v>
      </c>
      <c r="TFP619" s="5" t="s">
        <v>3728</v>
      </c>
      <c r="TFQ619" s="17">
        <v>44925</v>
      </c>
      <c r="TFR619" s="5" t="s">
        <v>3728</v>
      </c>
      <c r="TFS619" s="17">
        <v>44925</v>
      </c>
      <c r="TFT619" s="5" t="s">
        <v>3728</v>
      </c>
      <c r="TFU619" s="17">
        <v>44925</v>
      </c>
      <c r="TFV619" s="5" t="s">
        <v>3728</v>
      </c>
      <c r="TFW619" s="17">
        <v>44925</v>
      </c>
      <c r="TFX619" s="5" t="s">
        <v>3728</v>
      </c>
      <c r="TFY619" s="17">
        <v>44925</v>
      </c>
      <c r="TFZ619" s="5" t="s">
        <v>3728</v>
      </c>
      <c r="TGA619" s="17">
        <v>44925</v>
      </c>
      <c r="TGB619" s="5" t="s">
        <v>3728</v>
      </c>
      <c r="TGC619" s="17">
        <v>44925</v>
      </c>
      <c r="TGD619" s="5" t="s">
        <v>3728</v>
      </c>
      <c r="TGE619" s="17">
        <v>44925</v>
      </c>
      <c r="TGF619" s="5" t="s">
        <v>3728</v>
      </c>
      <c r="TGG619" s="17">
        <v>44925</v>
      </c>
      <c r="TGH619" s="5" t="s">
        <v>3728</v>
      </c>
      <c r="TGI619" s="17">
        <v>44925</v>
      </c>
      <c r="TGJ619" s="5" t="s">
        <v>3728</v>
      </c>
      <c r="TGK619" s="17">
        <v>44925</v>
      </c>
      <c r="TGL619" s="5" t="s">
        <v>3728</v>
      </c>
      <c r="TGM619" s="17">
        <v>44925</v>
      </c>
      <c r="TGN619" s="5" t="s">
        <v>3728</v>
      </c>
      <c r="TGO619" s="17">
        <v>44925</v>
      </c>
      <c r="TGP619" s="5" t="s">
        <v>3728</v>
      </c>
      <c r="TGQ619" s="17">
        <v>44925</v>
      </c>
      <c r="TGR619" s="5" t="s">
        <v>3728</v>
      </c>
      <c r="TGS619" s="17">
        <v>44925</v>
      </c>
      <c r="TGT619" s="5" t="s">
        <v>3728</v>
      </c>
      <c r="TGU619" s="17">
        <v>44925</v>
      </c>
      <c r="TGV619" s="5" t="s">
        <v>3728</v>
      </c>
      <c r="TGW619" s="17">
        <v>44925</v>
      </c>
      <c r="TGX619" s="5" t="s">
        <v>3728</v>
      </c>
      <c r="TGY619" s="17">
        <v>44925</v>
      </c>
      <c r="TGZ619" s="5" t="s">
        <v>3728</v>
      </c>
      <c r="THA619" s="17">
        <v>44925</v>
      </c>
      <c r="THB619" s="5" t="s">
        <v>3728</v>
      </c>
      <c r="THC619" s="17">
        <v>44925</v>
      </c>
      <c r="THD619" s="5" t="s">
        <v>3728</v>
      </c>
      <c r="THE619" s="17">
        <v>44925</v>
      </c>
      <c r="THF619" s="5" t="s">
        <v>3728</v>
      </c>
      <c r="THG619" s="17">
        <v>44925</v>
      </c>
      <c r="THH619" s="5" t="s">
        <v>3728</v>
      </c>
      <c r="THI619" s="17">
        <v>44925</v>
      </c>
      <c r="THJ619" s="5" t="s">
        <v>3728</v>
      </c>
      <c r="THK619" s="17">
        <v>44925</v>
      </c>
      <c r="THL619" s="5" t="s">
        <v>3728</v>
      </c>
      <c r="THM619" s="17">
        <v>44925</v>
      </c>
      <c r="THN619" s="5" t="s">
        <v>3728</v>
      </c>
      <c r="THO619" s="17">
        <v>44925</v>
      </c>
      <c r="THP619" s="5" t="s">
        <v>3728</v>
      </c>
      <c r="THQ619" s="17">
        <v>44925</v>
      </c>
      <c r="THR619" s="5" t="s">
        <v>3728</v>
      </c>
      <c r="THS619" s="17">
        <v>44925</v>
      </c>
      <c r="THT619" s="5" t="s">
        <v>3728</v>
      </c>
      <c r="THU619" s="17">
        <v>44925</v>
      </c>
      <c r="THV619" s="5" t="s">
        <v>3728</v>
      </c>
      <c r="THW619" s="17">
        <v>44925</v>
      </c>
      <c r="THX619" s="5" t="s">
        <v>3728</v>
      </c>
      <c r="THY619" s="17">
        <v>44925</v>
      </c>
      <c r="THZ619" s="5" t="s">
        <v>3728</v>
      </c>
      <c r="TIA619" s="17">
        <v>44925</v>
      </c>
      <c r="TIB619" s="5" t="s">
        <v>3728</v>
      </c>
      <c r="TIC619" s="17">
        <v>44925</v>
      </c>
      <c r="TID619" s="5" t="s">
        <v>3728</v>
      </c>
      <c r="TIE619" s="17">
        <v>44925</v>
      </c>
      <c r="TIF619" s="5" t="s">
        <v>3728</v>
      </c>
      <c r="TIG619" s="17">
        <v>44925</v>
      </c>
      <c r="TIH619" s="5" t="s">
        <v>3728</v>
      </c>
      <c r="TII619" s="17">
        <v>44925</v>
      </c>
      <c r="TIJ619" s="5" t="s">
        <v>3728</v>
      </c>
      <c r="TIK619" s="17">
        <v>44925</v>
      </c>
      <c r="TIL619" s="5" t="s">
        <v>3728</v>
      </c>
      <c r="TIM619" s="17">
        <v>44925</v>
      </c>
      <c r="TIN619" s="5" t="s">
        <v>3728</v>
      </c>
      <c r="TIO619" s="17">
        <v>44925</v>
      </c>
      <c r="TIP619" s="5" t="s">
        <v>3728</v>
      </c>
      <c r="TIQ619" s="17">
        <v>44925</v>
      </c>
      <c r="TIR619" s="5" t="s">
        <v>3728</v>
      </c>
      <c r="TIS619" s="17">
        <v>44925</v>
      </c>
      <c r="TIT619" s="5" t="s">
        <v>3728</v>
      </c>
      <c r="TIU619" s="17">
        <v>44925</v>
      </c>
      <c r="TIV619" s="5" t="s">
        <v>3728</v>
      </c>
      <c r="TIW619" s="17">
        <v>44925</v>
      </c>
      <c r="TIX619" s="5" t="s">
        <v>3728</v>
      </c>
      <c r="TIY619" s="17">
        <v>44925</v>
      </c>
      <c r="TIZ619" s="5" t="s">
        <v>3728</v>
      </c>
      <c r="TJA619" s="17">
        <v>44925</v>
      </c>
      <c r="TJB619" s="5" t="s">
        <v>3728</v>
      </c>
      <c r="TJC619" s="17">
        <v>44925</v>
      </c>
      <c r="TJD619" s="5" t="s">
        <v>3728</v>
      </c>
      <c r="TJE619" s="17">
        <v>44925</v>
      </c>
      <c r="TJF619" s="5" t="s">
        <v>3728</v>
      </c>
      <c r="TJG619" s="17">
        <v>44925</v>
      </c>
      <c r="TJH619" s="5" t="s">
        <v>3728</v>
      </c>
      <c r="TJI619" s="17">
        <v>44925</v>
      </c>
      <c r="TJJ619" s="5" t="s">
        <v>3728</v>
      </c>
      <c r="TJK619" s="17">
        <v>44925</v>
      </c>
      <c r="TJL619" s="5" t="s">
        <v>3728</v>
      </c>
      <c r="TJM619" s="17">
        <v>44925</v>
      </c>
      <c r="TJN619" s="5" t="s">
        <v>3728</v>
      </c>
      <c r="TJO619" s="17">
        <v>44925</v>
      </c>
      <c r="TJP619" s="5" t="s">
        <v>3728</v>
      </c>
      <c r="TJQ619" s="17">
        <v>44925</v>
      </c>
      <c r="TJR619" s="5" t="s">
        <v>3728</v>
      </c>
      <c r="TJS619" s="17">
        <v>44925</v>
      </c>
      <c r="TJT619" s="5" t="s">
        <v>3728</v>
      </c>
      <c r="TJU619" s="17">
        <v>44925</v>
      </c>
      <c r="TJV619" s="5" t="s">
        <v>3728</v>
      </c>
      <c r="TJW619" s="17">
        <v>44925</v>
      </c>
      <c r="TJX619" s="5" t="s">
        <v>3728</v>
      </c>
      <c r="TJY619" s="17">
        <v>44925</v>
      </c>
      <c r="TJZ619" s="5" t="s">
        <v>3728</v>
      </c>
      <c r="TKA619" s="17">
        <v>44925</v>
      </c>
      <c r="TKB619" s="5" t="s">
        <v>3728</v>
      </c>
      <c r="TKC619" s="17">
        <v>44925</v>
      </c>
      <c r="TKD619" s="5" t="s">
        <v>3728</v>
      </c>
      <c r="TKE619" s="17">
        <v>44925</v>
      </c>
      <c r="TKF619" s="5" t="s">
        <v>3728</v>
      </c>
      <c r="TKG619" s="17">
        <v>44925</v>
      </c>
      <c r="TKH619" s="5" t="s">
        <v>3728</v>
      </c>
      <c r="TKI619" s="17">
        <v>44925</v>
      </c>
      <c r="TKJ619" s="5" t="s">
        <v>3728</v>
      </c>
      <c r="TKK619" s="17">
        <v>44925</v>
      </c>
      <c r="TKL619" s="5" t="s">
        <v>3728</v>
      </c>
      <c r="TKM619" s="17">
        <v>44925</v>
      </c>
      <c r="TKN619" s="5" t="s">
        <v>3728</v>
      </c>
      <c r="TKO619" s="17">
        <v>44925</v>
      </c>
      <c r="TKP619" s="5" t="s">
        <v>3728</v>
      </c>
      <c r="TKQ619" s="17">
        <v>44925</v>
      </c>
      <c r="TKR619" s="5" t="s">
        <v>3728</v>
      </c>
      <c r="TKS619" s="17">
        <v>44925</v>
      </c>
      <c r="TKT619" s="5" t="s">
        <v>3728</v>
      </c>
      <c r="TKU619" s="17">
        <v>44925</v>
      </c>
      <c r="TKV619" s="5" t="s">
        <v>3728</v>
      </c>
      <c r="TKW619" s="17">
        <v>44925</v>
      </c>
      <c r="TKX619" s="5" t="s">
        <v>3728</v>
      </c>
      <c r="TKY619" s="17">
        <v>44925</v>
      </c>
      <c r="TKZ619" s="5" t="s">
        <v>3728</v>
      </c>
      <c r="TLA619" s="17">
        <v>44925</v>
      </c>
      <c r="TLB619" s="5" t="s">
        <v>3728</v>
      </c>
      <c r="TLC619" s="17">
        <v>44925</v>
      </c>
      <c r="TLD619" s="5" t="s">
        <v>3728</v>
      </c>
      <c r="TLE619" s="17">
        <v>44925</v>
      </c>
      <c r="TLF619" s="5" t="s">
        <v>3728</v>
      </c>
      <c r="TLG619" s="17">
        <v>44925</v>
      </c>
      <c r="TLH619" s="5" t="s">
        <v>3728</v>
      </c>
      <c r="TLI619" s="17">
        <v>44925</v>
      </c>
      <c r="TLJ619" s="5" t="s">
        <v>3728</v>
      </c>
      <c r="TLK619" s="17">
        <v>44925</v>
      </c>
      <c r="TLL619" s="5" t="s">
        <v>3728</v>
      </c>
      <c r="TLM619" s="17">
        <v>44925</v>
      </c>
      <c r="TLN619" s="5" t="s">
        <v>3728</v>
      </c>
      <c r="TLO619" s="17">
        <v>44925</v>
      </c>
      <c r="TLP619" s="5" t="s">
        <v>3728</v>
      </c>
      <c r="TLQ619" s="17">
        <v>44925</v>
      </c>
      <c r="TLR619" s="5" t="s">
        <v>3728</v>
      </c>
      <c r="TLS619" s="17">
        <v>44925</v>
      </c>
      <c r="TLT619" s="5" t="s">
        <v>3728</v>
      </c>
      <c r="TLU619" s="17">
        <v>44925</v>
      </c>
      <c r="TLV619" s="5" t="s">
        <v>3728</v>
      </c>
      <c r="TLW619" s="17">
        <v>44925</v>
      </c>
      <c r="TLX619" s="5" t="s">
        <v>3728</v>
      </c>
      <c r="TLY619" s="17">
        <v>44925</v>
      </c>
      <c r="TLZ619" s="5" t="s">
        <v>3728</v>
      </c>
      <c r="TMA619" s="17">
        <v>44925</v>
      </c>
      <c r="TMB619" s="5" t="s">
        <v>3728</v>
      </c>
      <c r="TMC619" s="17">
        <v>44925</v>
      </c>
      <c r="TMD619" s="5" t="s">
        <v>3728</v>
      </c>
      <c r="TME619" s="17">
        <v>44925</v>
      </c>
      <c r="TMF619" s="5" t="s">
        <v>3728</v>
      </c>
      <c r="TMG619" s="17">
        <v>44925</v>
      </c>
      <c r="TMH619" s="5" t="s">
        <v>3728</v>
      </c>
      <c r="TMI619" s="17">
        <v>44925</v>
      </c>
      <c r="TMJ619" s="5" t="s">
        <v>3728</v>
      </c>
      <c r="TMK619" s="17">
        <v>44925</v>
      </c>
      <c r="TML619" s="5" t="s">
        <v>3728</v>
      </c>
      <c r="TMM619" s="17">
        <v>44925</v>
      </c>
      <c r="TMN619" s="5" t="s">
        <v>3728</v>
      </c>
      <c r="TMO619" s="17">
        <v>44925</v>
      </c>
      <c r="TMP619" s="5" t="s">
        <v>3728</v>
      </c>
      <c r="TMQ619" s="17">
        <v>44925</v>
      </c>
      <c r="TMR619" s="5" t="s">
        <v>3728</v>
      </c>
      <c r="TMS619" s="17">
        <v>44925</v>
      </c>
      <c r="TMT619" s="5" t="s">
        <v>3728</v>
      </c>
      <c r="TMU619" s="17">
        <v>44925</v>
      </c>
      <c r="TMV619" s="5" t="s">
        <v>3728</v>
      </c>
      <c r="TMW619" s="17">
        <v>44925</v>
      </c>
      <c r="TMX619" s="5" t="s">
        <v>3728</v>
      </c>
      <c r="TMY619" s="17">
        <v>44925</v>
      </c>
      <c r="TMZ619" s="5" t="s">
        <v>3728</v>
      </c>
      <c r="TNA619" s="17">
        <v>44925</v>
      </c>
      <c r="TNB619" s="5" t="s">
        <v>3728</v>
      </c>
      <c r="TNC619" s="17">
        <v>44925</v>
      </c>
      <c r="TND619" s="5" t="s">
        <v>3728</v>
      </c>
      <c r="TNE619" s="17">
        <v>44925</v>
      </c>
      <c r="TNF619" s="5" t="s">
        <v>3728</v>
      </c>
      <c r="TNG619" s="17">
        <v>44925</v>
      </c>
      <c r="TNH619" s="5" t="s">
        <v>3728</v>
      </c>
      <c r="TNI619" s="17">
        <v>44925</v>
      </c>
      <c r="TNJ619" s="5" t="s">
        <v>3728</v>
      </c>
      <c r="TNK619" s="17">
        <v>44925</v>
      </c>
      <c r="TNL619" s="5" t="s">
        <v>3728</v>
      </c>
      <c r="TNM619" s="17">
        <v>44925</v>
      </c>
      <c r="TNN619" s="5" t="s">
        <v>3728</v>
      </c>
      <c r="TNO619" s="17">
        <v>44925</v>
      </c>
      <c r="TNP619" s="5" t="s">
        <v>3728</v>
      </c>
      <c r="TNQ619" s="17">
        <v>44925</v>
      </c>
      <c r="TNR619" s="5" t="s">
        <v>3728</v>
      </c>
      <c r="TNS619" s="17">
        <v>44925</v>
      </c>
      <c r="TNT619" s="5" t="s">
        <v>3728</v>
      </c>
      <c r="TNU619" s="17">
        <v>44925</v>
      </c>
      <c r="TNV619" s="5" t="s">
        <v>3728</v>
      </c>
      <c r="TNW619" s="17">
        <v>44925</v>
      </c>
      <c r="TNX619" s="5" t="s">
        <v>3728</v>
      </c>
      <c r="TNY619" s="17">
        <v>44925</v>
      </c>
      <c r="TNZ619" s="5" t="s">
        <v>3728</v>
      </c>
      <c r="TOA619" s="17">
        <v>44925</v>
      </c>
      <c r="TOB619" s="5" t="s">
        <v>3728</v>
      </c>
      <c r="TOC619" s="17">
        <v>44925</v>
      </c>
      <c r="TOD619" s="5" t="s">
        <v>3728</v>
      </c>
      <c r="TOE619" s="17">
        <v>44925</v>
      </c>
      <c r="TOF619" s="5" t="s">
        <v>3728</v>
      </c>
      <c r="TOG619" s="17">
        <v>44925</v>
      </c>
      <c r="TOH619" s="5" t="s">
        <v>3728</v>
      </c>
      <c r="TOI619" s="17">
        <v>44925</v>
      </c>
      <c r="TOJ619" s="5" t="s">
        <v>3728</v>
      </c>
      <c r="TOK619" s="17">
        <v>44925</v>
      </c>
      <c r="TOL619" s="5" t="s">
        <v>3728</v>
      </c>
      <c r="TOM619" s="17">
        <v>44925</v>
      </c>
      <c r="TON619" s="5" t="s">
        <v>3728</v>
      </c>
      <c r="TOO619" s="17">
        <v>44925</v>
      </c>
      <c r="TOP619" s="5" t="s">
        <v>3728</v>
      </c>
      <c r="TOQ619" s="17">
        <v>44925</v>
      </c>
      <c r="TOR619" s="5" t="s">
        <v>3728</v>
      </c>
      <c r="TOS619" s="17">
        <v>44925</v>
      </c>
      <c r="TOT619" s="5" t="s">
        <v>3728</v>
      </c>
      <c r="TOU619" s="17">
        <v>44925</v>
      </c>
      <c r="TOV619" s="5" t="s">
        <v>3728</v>
      </c>
      <c r="TOW619" s="17">
        <v>44925</v>
      </c>
      <c r="TOX619" s="5" t="s">
        <v>3728</v>
      </c>
      <c r="TOY619" s="17">
        <v>44925</v>
      </c>
      <c r="TOZ619" s="5" t="s">
        <v>3728</v>
      </c>
      <c r="TPA619" s="17">
        <v>44925</v>
      </c>
      <c r="TPB619" s="5" t="s">
        <v>3728</v>
      </c>
      <c r="TPC619" s="17">
        <v>44925</v>
      </c>
      <c r="TPD619" s="5" t="s">
        <v>3728</v>
      </c>
      <c r="TPE619" s="17">
        <v>44925</v>
      </c>
      <c r="TPF619" s="5" t="s">
        <v>3728</v>
      </c>
      <c r="TPG619" s="17">
        <v>44925</v>
      </c>
      <c r="TPH619" s="5" t="s">
        <v>3728</v>
      </c>
      <c r="TPI619" s="17">
        <v>44925</v>
      </c>
      <c r="TPJ619" s="5" t="s">
        <v>3728</v>
      </c>
      <c r="TPK619" s="17">
        <v>44925</v>
      </c>
      <c r="TPL619" s="5" t="s">
        <v>3728</v>
      </c>
      <c r="TPM619" s="17">
        <v>44925</v>
      </c>
      <c r="TPN619" s="5" t="s">
        <v>3728</v>
      </c>
      <c r="TPO619" s="17">
        <v>44925</v>
      </c>
      <c r="TPP619" s="5" t="s">
        <v>3728</v>
      </c>
      <c r="TPQ619" s="17">
        <v>44925</v>
      </c>
      <c r="TPR619" s="5" t="s">
        <v>3728</v>
      </c>
      <c r="TPS619" s="17">
        <v>44925</v>
      </c>
      <c r="TPT619" s="5" t="s">
        <v>3728</v>
      </c>
      <c r="TPU619" s="17">
        <v>44925</v>
      </c>
      <c r="TPV619" s="5" t="s">
        <v>3728</v>
      </c>
      <c r="TPW619" s="17">
        <v>44925</v>
      </c>
      <c r="TPX619" s="5" t="s">
        <v>3728</v>
      </c>
      <c r="TPY619" s="17">
        <v>44925</v>
      </c>
      <c r="TPZ619" s="5" t="s">
        <v>3728</v>
      </c>
      <c r="TQA619" s="17">
        <v>44925</v>
      </c>
      <c r="TQB619" s="5" t="s">
        <v>3728</v>
      </c>
      <c r="TQC619" s="17">
        <v>44925</v>
      </c>
      <c r="TQD619" s="5" t="s">
        <v>3728</v>
      </c>
      <c r="TQE619" s="17">
        <v>44925</v>
      </c>
      <c r="TQF619" s="5" t="s">
        <v>3728</v>
      </c>
      <c r="TQG619" s="17">
        <v>44925</v>
      </c>
      <c r="TQH619" s="5" t="s">
        <v>3728</v>
      </c>
      <c r="TQI619" s="17">
        <v>44925</v>
      </c>
      <c r="TQJ619" s="5" t="s">
        <v>3728</v>
      </c>
      <c r="TQK619" s="17">
        <v>44925</v>
      </c>
      <c r="TQL619" s="5" t="s">
        <v>3728</v>
      </c>
      <c r="TQM619" s="17">
        <v>44925</v>
      </c>
      <c r="TQN619" s="5" t="s">
        <v>3728</v>
      </c>
      <c r="TQO619" s="17">
        <v>44925</v>
      </c>
      <c r="TQP619" s="5" t="s">
        <v>3728</v>
      </c>
      <c r="TQQ619" s="17">
        <v>44925</v>
      </c>
      <c r="TQR619" s="5" t="s">
        <v>3728</v>
      </c>
      <c r="TQS619" s="17">
        <v>44925</v>
      </c>
      <c r="TQT619" s="5" t="s">
        <v>3728</v>
      </c>
      <c r="TQU619" s="17">
        <v>44925</v>
      </c>
      <c r="TQV619" s="5" t="s">
        <v>3728</v>
      </c>
      <c r="TQW619" s="17">
        <v>44925</v>
      </c>
      <c r="TQX619" s="5" t="s">
        <v>3728</v>
      </c>
      <c r="TQY619" s="17">
        <v>44925</v>
      </c>
      <c r="TQZ619" s="5" t="s">
        <v>3728</v>
      </c>
      <c r="TRA619" s="17">
        <v>44925</v>
      </c>
      <c r="TRB619" s="5" t="s">
        <v>3728</v>
      </c>
      <c r="TRC619" s="17">
        <v>44925</v>
      </c>
      <c r="TRD619" s="5" t="s">
        <v>3728</v>
      </c>
      <c r="TRE619" s="17">
        <v>44925</v>
      </c>
      <c r="TRF619" s="5" t="s">
        <v>3728</v>
      </c>
      <c r="TRG619" s="17">
        <v>44925</v>
      </c>
      <c r="TRH619" s="5" t="s">
        <v>3728</v>
      </c>
      <c r="TRI619" s="17">
        <v>44925</v>
      </c>
      <c r="TRJ619" s="5" t="s">
        <v>3728</v>
      </c>
      <c r="TRK619" s="17">
        <v>44925</v>
      </c>
      <c r="TRL619" s="5" t="s">
        <v>3728</v>
      </c>
      <c r="TRM619" s="17">
        <v>44925</v>
      </c>
      <c r="TRN619" s="5" t="s">
        <v>3728</v>
      </c>
      <c r="TRO619" s="17">
        <v>44925</v>
      </c>
      <c r="TRP619" s="5" t="s">
        <v>3728</v>
      </c>
      <c r="TRQ619" s="17">
        <v>44925</v>
      </c>
      <c r="TRR619" s="5" t="s">
        <v>3728</v>
      </c>
      <c r="TRS619" s="17">
        <v>44925</v>
      </c>
      <c r="TRT619" s="5" t="s">
        <v>3728</v>
      </c>
      <c r="TRU619" s="17">
        <v>44925</v>
      </c>
      <c r="TRV619" s="5" t="s">
        <v>3728</v>
      </c>
      <c r="TRW619" s="17">
        <v>44925</v>
      </c>
      <c r="TRX619" s="5" t="s">
        <v>3728</v>
      </c>
      <c r="TRY619" s="17">
        <v>44925</v>
      </c>
      <c r="TRZ619" s="5" t="s">
        <v>3728</v>
      </c>
      <c r="TSA619" s="17">
        <v>44925</v>
      </c>
      <c r="TSB619" s="5" t="s">
        <v>3728</v>
      </c>
      <c r="TSC619" s="17">
        <v>44925</v>
      </c>
      <c r="TSD619" s="5" t="s">
        <v>3728</v>
      </c>
      <c r="TSE619" s="17">
        <v>44925</v>
      </c>
      <c r="TSF619" s="5" t="s">
        <v>3728</v>
      </c>
      <c r="TSG619" s="17">
        <v>44925</v>
      </c>
      <c r="TSH619" s="5" t="s">
        <v>3728</v>
      </c>
      <c r="TSI619" s="17">
        <v>44925</v>
      </c>
      <c r="TSJ619" s="5" t="s">
        <v>3728</v>
      </c>
      <c r="TSK619" s="17">
        <v>44925</v>
      </c>
      <c r="TSL619" s="5" t="s">
        <v>3728</v>
      </c>
      <c r="TSM619" s="17">
        <v>44925</v>
      </c>
      <c r="TSN619" s="5" t="s">
        <v>3728</v>
      </c>
      <c r="TSO619" s="17">
        <v>44925</v>
      </c>
      <c r="TSP619" s="5" t="s">
        <v>3728</v>
      </c>
      <c r="TSQ619" s="17">
        <v>44925</v>
      </c>
      <c r="TSR619" s="5" t="s">
        <v>3728</v>
      </c>
      <c r="TSS619" s="17">
        <v>44925</v>
      </c>
      <c r="TST619" s="5" t="s">
        <v>3728</v>
      </c>
      <c r="TSU619" s="17">
        <v>44925</v>
      </c>
      <c r="TSV619" s="5" t="s">
        <v>3728</v>
      </c>
      <c r="TSW619" s="17">
        <v>44925</v>
      </c>
      <c r="TSX619" s="5" t="s">
        <v>3728</v>
      </c>
      <c r="TSY619" s="17">
        <v>44925</v>
      </c>
      <c r="TSZ619" s="5" t="s">
        <v>3728</v>
      </c>
      <c r="TTA619" s="17">
        <v>44925</v>
      </c>
      <c r="TTB619" s="5" t="s">
        <v>3728</v>
      </c>
      <c r="TTC619" s="17">
        <v>44925</v>
      </c>
      <c r="TTD619" s="5" t="s">
        <v>3728</v>
      </c>
      <c r="TTE619" s="17">
        <v>44925</v>
      </c>
      <c r="TTF619" s="5" t="s">
        <v>3728</v>
      </c>
      <c r="TTG619" s="17">
        <v>44925</v>
      </c>
      <c r="TTH619" s="5" t="s">
        <v>3728</v>
      </c>
      <c r="TTI619" s="17">
        <v>44925</v>
      </c>
      <c r="TTJ619" s="5" t="s">
        <v>3728</v>
      </c>
      <c r="TTK619" s="17">
        <v>44925</v>
      </c>
      <c r="TTL619" s="5" t="s">
        <v>3728</v>
      </c>
      <c r="TTM619" s="17">
        <v>44925</v>
      </c>
      <c r="TTN619" s="5" t="s">
        <v>3728</v>
      </c>
      <c r="TTO619" s="17">
        <v>44925</v>
      </c>
      <c r="TTP619" s="5" t="s">
        <v>3728</v>
      </c>
      <c r="TTQ619" s="17">
        <v>44925</v>
      </c>
      <c r="TTR619" s="5" t="s">
        <v>3728</v>
      </c>
      <c r="TTS619" s="17">
        <v>44925</v>
      </c>
      <c r="TTT619" s="5" t="s">
        <v>3728</v>
      </c>
      <c r="TTU619" s="17">
        <v>44925</v>
      </c>
      <c r="TTV619" s="5" t="s">
        <v>3728</v>
      </c>
      <c r="TTW619" s="17">
        <v>44925</v>
      </c>
      <c r="TTX619" s="5" t="s">
        <v>3728</v>
      </c>
      <c r="TTY619" s="17">
        <v>44925</v>
      </c>
      <c r="TTZ619" s="5" t="s">
        <v>3728</v>
      </c>
      <c r="TUA619" s="17">
        <v>44925</v>
      </c>
      <c r="TUB619" s="5" t="s">
        <v>3728</v>
      </c>
      <c r="TUC619" s="17">
        <v>44925</v>
      </c>
      <c r="TUD619" s="5" t="s">
        <v>3728</v>
      </c>
      <c r="TUE619" s="17">
        <v>44925</v>
      </c>
      <c r="TUF619" s="5" t="s">
        <v>3728</v>
      </c>
      <c r="TUG619" s="17">
        <v>44925</v>
      </c>
      <c r="TUH619" s="5" t="s">
        <v>3728</v>
      </c>
      <c r="TUI619" s="17">
        <v>44925</v>
      </c>
      <c r="TUJ619" s="5" t="s">
        <v>3728</v>
      </c>
      <c r="TUK619" s="17">
        <v>44925</v>
      </c>
      <c r="TUL619" s="5" t="s">
        <v>3728</v>
      </c>
      <c r="TUM619" s="17">
        <v>44925</v>
      </c>
      <c r="TUN619" s="5" t="s">
        <v>3728</v>
      </c>
      <c r="TUO619" s="17">
        <v>44925</v>
      </c>
      <c r="TUP619" s="5" t="s">
        <v>3728</v>
      </c>
      <c r="TUQ619" s="17">
        <v>44925</v>
      </c>
      <c r="TUR619" s="5" t="s">
        <v>3728</v>
      </c>
      <c r="TUS619" s="17">
        <v>44925</v>
      </c>
      <c r="TUT619" s="5" t="s">
        <v>3728</v>
      </c>
      <c r="TUU619" s="17">
        <v>44925</v>
      </c>
      <c r="TUV619" s="5" t="s">
        <v>3728</v>
      </c>
      <c r="TUW619" s="17">
        <v>44925</v>
      </c>
      <c r="TUX619" s="5" t="s">
        <v>3728</v>
      </c>
      <c r="TUY619" s="17">
        <v>44925</v>
      </c>
      <c r="TUZ619" s="5" t="s">
        <v>3728</v>
      </c>
      <c r="TVA619" s="17">
        <v>44925</v>
      </c>
      <c r="TVB619" s="5" t="s">
        <v>3728</v>
      </c>
      <c r="TVC619" s="17">
        <v>44925</v>
      </c>
      <c r="TVD619" s="5" t="s">
        <v>3728</v>
      </c>
      <c r="TVE619" s="17">
        <v>44925</v>
      </c>
      <c r="TVF619" s="5" t="s">
        <v>3728</v>
      </c>
      <c r="TVG619" s="17">
        <v>44925</v>
      </c>
      <c r="TVH619" s="5" t="s">
        <v>3728</v>
      </c>
      <c r="TVI619" s="17">
        <v>44925</v>
      </c>
      <c r="TVJ619" s="5" t="s">
        <v>3728</v>
      </c>
      <c r="TVK619" s="17">
        <v>44925</v>
      </c>
      <c r="TVL619" s="5" t="s">
        <v>3728</v>
      </c>
      <c r="TVM619" s="17">
        <v>44925</v>
      </c>
      <c r="TVN619" s="5" t="s">
        <v>3728</v>
      </c>
      <c r="TVO619" s="17">
        <v>44925</v>
      </c>
      <c r="TVP619" s="5" t="s">
        <v>3728</v>
      </c>
      <c r="TVQ619" s="17">
        <v>44925</v>
      </c>
      <c r="TVR619" s="5" t="s">
        <v>3728</v>
      </c>
      <c r="TVS619" s="17">
        <v>44925</v>
      </c>
      <c r="TVT619" s="5" t="s">
        <v>3728</v>
      </c>
      <c r="TVU619" s="17">
        <v>44925</v>
      </c>
      <c r="TVV619" s="5" t="s">
        <v>3728</v>
      </c>
      <c r="TVW619" s="17">
        <v>44925</v>
      </c>
      <c r="TVX619" s="5" t="s">
        <v>3728</v>
      </c>
      <c r="TVY619" s="17">
        <v>44925</v>
      </c>
      <c r="TVZ619" s="5" t="s">
        <v>3728</v>
      </c>
      <c r="TWA619" s="17">
        <v>44925</v>
      </c>
      <c r="TWB619" s="5" t="s">
        <v>3728</v>
      </c>
      <c r="TWC619" s="17">
        <v>44925</v>
      </c>
      <c r="TWD619" s="5" t="s">
        <v>3728</v>
      </c>
      <c r="TWE619" s="17">
        <v>44925</v>
      </c>
      <c r="TWF619" s="5" t="s">
        <v>3728</v>
      </c>
      <c r="TWG619" s="17">
        <v>44925</v>
      </c>
      <c r="TWH619" s="5" t="s">
        <v>3728</v>
      </c>
      <c r="TWI619" s="17">
        <v>44925</v>
      </c>
      <c r="TWJ619" s="5" t="s">
        <v>3728</v>
      </c>
      <c r="TWK619" s="17">
        <v>44925</v>
      </c>
      <c r="TWL619" s="5" t="s">
        <v>3728</v>
      </c>
      <c r="TWM619" s="17">
        <v>44925</v>
      </c>
      <c r="TWN619" s="5" t="s">
        <v>3728</v>
      </c>
      <c r="TWO619" s="17">
        <v>44925</v>
      </c>
      <c r="TWP619" s="5" t="s">
        <v>3728</v>
      </c>
      <c r="TWQ619" s="17">
        <v>44925</v>
      </c>
      <c r="TWR619" s="5" t="s">
        <v>3728</v>
      </c>
      <c r="TWS619" s="17">
        <v>44925</v>
      </c>
      <c r="TWT619" s="5" t="s">
        <v>3728</v>
      </c>
      <c r="TWU619" s="17">
        <v>44925</v>
      </c>
      <c r="TWV619" s="5" t="s">
        <v>3728</v>
      </c>
      <c r="TWW619" s="17">
        <v>44925</v>
      </c>
      <c r="TWX619" s="5" t="s">
        <v>3728</v>
      </c>
      <c r="TWY619" s="17">
        <v>44925</v>
      </c>
      <c r="TWZ619" s="5" t="s">
        <v>3728</v>
      </c>
      <c r="TXA619" s="17">
        <v>44925</v>
      </c>
      <c r="TXB619" s="5" t="s">
        <v>3728</v>
      </c>
      <c r="TXC619" s="17">
        <v>44925</v>
      </c>
      <c r="TXD619" s="5" t="s">
        <v>3728</v>
      </c>
      <c r="TXE619" s="17">
        <v>44925</v>
      </c>
      <c r="TXF619" s="5" t="s">
        <v>3728</v>
      </c>
      <c r="TXG619" s="17">
        <v>44925</v>
      </c>
      <c r="TXH619" s="5" t="s">
        <v>3728</v>
      </c>
      <c r="TXI619" s="17">
        <v>44925</v>
      </c>
      <c r="TXJ619" s="5" t="s">
        <v>3728</v>
      </c>
      <c r="TXK619" s="17">
        <v>44925</v>
      </c>
      <c r="TXL619" s="5" t="s">
        <v>3728</v>
      </c>
      <c r="TXM619" s="17">
        <v>44925</v>
      </c>
      <c r="TXN619" s="5" t="s">
        <v>3728</v>
      </c>
      <c r="TXO619" s="17">
        <v>44925</v>
      </c>
      <c r="TXP619" s="5" t="s">
        <v>3728</v>
      </c>
      <c r="TXQ619" s="17">
        <v>44925</v>
      </c>
      <c r="TXR619" s="5" t="s">
        <v>3728</v>
      </c>
      <c r="TXS619" s="17">
        <v>44925</v>
      </c>
      <c r="TXT619" s="5" t="s">
        <v>3728</v>
      </c>
      <c r="TXU619" s="17">
        <v>44925</v>
      </c>
      <c r="TXV619" s="5" t="s">
        <v>3728</v>
      </c>
      <c r="TXW619" s="17">
        <v>44925</v>
      </c>
      <c r="TXX619" s="5" t="s">
        <v>3728</v>
      </c>
      <c r="TXY619" s="17">
        <v>44925</v>
      </c>
      <c r="TXZ619" s="5" t="s">
        <v>3728</v>
      </c>
      <c r="TYA619" s="17">
        <v>44925</v>
      </c>
      <c r="TYB619" s="5" t="s">
        <v>3728</v>
      </c>
      <c r="TYC619" s="17">
        <v>44925</v>
      </c>
      <c r="TYD619" s="5" t="s">
        <v>3728</v>
      </c>
      <c r="TYE619" s="17">
        <v>44925</v>
      </c>
      <c r="TYF619" s="5" t="s">
        <v>3728</v>
      </c>
      <c r="TYG619" s="17">
        <v>44925</v>
      </c>
      <c r="TYH619" s="5" t="s">
        <v>3728</v>
      </c>
      <c r="TYI619" s="17">
        <v>44925</v>
      </c>
      <c r="TYJ619" s="5" t="s">
        <v>3728</v>
      </c>
      <c r="TYK619" s="17">
        <v>44925</v>
      </c>
      <c r="TYL619" s="5" t="s">
        <v>3728</v>
      </c>
      <c r="TYM619" s="17">
        <v>44925</v>
      </c>
      <c r="TYN619" s="5" t="s">
        <v>3728</v>
      </c>
      <c r="TYO619" s="17">
        <v>44925</v>
      </c>
      <c r="TYP619" s="5" t="s">
        <v>3728</v>
      </c>
      <c r="TYQ619" s="17">
        <v>44925</v>
      </c>
      <c r="TYR619" s="5" t="s">
        <v>3728</v>
      </c>
      <c r="TYS619" s="17">
        <v>44925</v>
      </c>
      <c r="TYT619" s="5" t="s">
        <v>3728</v>
      </c>
      <c r="TYU619" s="17">
        <v>44925</v>
      </c>
      <c r="TYV619" s="5" t="s">
        <v>3728</v>
      </c>
      <c r="TYW619" s="17">
        <v>44925</v>
      </c>
      <c r="TYX619" s="5" t="s">
        <v>3728</v>
      </c>
      <c r="TYY619" s="17">
        <v>44925</v>
      </c>
      <c r="TYZ619" s="5" t="s">
        <v>3728</v>
      </c>
      <c r="TZA619" s="17">
        <v>44925</v>
      </c>
      <c r="TZB619" s="5" t="s">
        <v>3728</v>
      </c>
      <c r="TZC619" s="17">
        <v>44925</v>
      </c>
      <c r="TZD619" s="5" t="s">
        <v>3728</v>
      </c>
      <c r="TZE619" s="17">
        <v>44925</v>
      </c>
      <c r="TZF619" s="5" t="s">
        <v>3728</v>
      </c>
      <c r="TZG619" s="17">
        <v>44925</v>
      </c>
      <c r="TZH619" s="5" t="s">
        <v>3728</v>
      </c>
      <c r="TZI619" s="17">
        <v>44925</v>
      </c>
      <c r="TZJ619" s="5" t="s">
        <v>3728</v>
      </c>
      <c r="TZK619" s="17">
        <v>44925</v>
      </c>
      <c r="TZL619" s="5" t="s">
        <v>3728</v>
      </c>
      <c r="TZM619" s="17">
        <v>44925</v>
      </c>
      <c r="TZN619" s="5" t="s">
        <v>3728</v>
      </c>
      <c r="TZO619" s="17">
        <v>44925</v>
      </c>
      <c r="TZP619" s="5" t="s">
        <v>3728</v>
      </c>
      <c r="TZQ619" s="17">
        <v>44925</v>
      </c>
      <c r="TZR619" s="5" t="s">
        <v>3728</v>
      </c>
      <c r="TZS619" s="17">
        <v>44925</v>
      </c>
      <c r="TZT619" s="5" t="s">
        <v>3728</v>
      </c>
      <c r="TZU619" s="17">
        <v>44925</v>
      </c>
      <c r="TZV619" s="5" t="s">
        <v>3728</v>
      </c>
      <c r="TZW619" s="17">
        <v>44925</v>
      </c>
      <c r="TZX619" s="5" t="s">
        <v>3728</v>
      </c>
      <c r="TZY619" s="17">
        <v>44925</v>
      </c>
      <c r="TZZ619" s="5" t="s">
        <v>3728</v>
      </c>
      <c r="UAA619" s="17">
        <v>44925</v>
      </c>
      <c r="UAB619" s="5" t="s">
        <v>3728</v>
      </c>
      <c r="UAC619" s="17">
        <v>44925</v>
      </c>
      <c r="UAD619" s="5" t="s">
        <v>3728</v>
      </c>
      <c r="UAE619" s="17">
        <v>44925</v>
      </c>
      <c r="UAF619" s="5" t="s">
        <v>3728</v>
      </c>
      <c r="UAG619" s="17">
        <v>44925</v>
      </c>
      <c r="UAH619" s="5" t="s">
        <v>3728</v>
      </c>
      <c r="UAI619" s="17">
        <v>44925</v>
      </c>
      <c r="UAJ619" s="5" t="s">
        <v>3728</v>
      </c>
      <c r="UAK619" s="17">
        <v>44925</v>
      </c>
      <c r="UAL619" s="5" t="s">
        <v>3728</v>
      </c>
      <c r="UAM619" s="17">
        <v>44925</v>
      </c>
      <c r="UAN619" s="5" t="s">
        <v>3728</v>
      </c>
      <c r="UAO619" s="17">
        <v>44925</v>
      </c>
      <c r="UAP619" s="5" t="s">
        <v>3728</v>
      </c>
      <c r="UAQ619" s="17">
        <v>44925</v>
      </c>
      <c r="UAR619" s="5" t="s">
        <v>3728</v>
      </c>
      <c r="UAS619" s="17">
        <v>44925</v>
      </c>
      <c r="UAT619" s="5" t="s">
        <v>3728</v>
      </c>
      <c r="UAU619" s="17">
        <v>44925</v>
      </c>
      <c r="UAV619" s="5" t="s">
        <v>3728</v>
      </c>
      <c r="UAW619" s="17">
        <v>44925</v>
      </c>
      <c r="UAX619" s="5" t="s">
        <v>3728</v>
      </c>
      <c r="UAY619" s="17">
        <v>44925</v>
      </c>
      <c r="UAZ619" s="5" t="s">
        <v>3728</v>
      </c>
      <c r="UBA619" s="17">
        <v>44925</v>
      </c>
      <c r="UBB619" s="5" t="s">
        <v>3728</v>
      </c>
      <c r="UBC619" s="17">
        <v>44925</v>
      </c>
      <c r="UBD619" s="5" t="s">
        <v>3728</v>
      </c>
      <c r="UBE619" s="17">
        <v>44925</v>
      </c>
      <c r="UBF619" s="5" t="s">
        <v>3728</v>
      </c>
      <c r="UBG619" s="17">
        <v>44925</v>
      </c>
      <c r="UBH619" s="5" t="s">
        <v>3728</v>
      </c>
      <c r="UBI619" s="17">
        <v>44925</v>
      </c>
      <c r="UBJ619" s="5" t="s">
        <v>3728</v>
      </c>
      <c r="UBK619" s="17">
        <v>44925</v>
      </c>
      <c r="UBL619" s="5" t="s">
        <v>3728</v>
      </c>
      <c r="UBM619" s="17">
        <v>44925</v>
      </c>
      <c r="UBN619" s="5" t="s">
        <v>3728</v>
      </c>
      <c r="UBO619" s="17">
        <v>44925</v>
      </c>
      <c r="UBP619" s="5" t="s">
        <v>3728</v>
      </c>
      <c r="UBQ619" s="17">
        <v>44925</v>
      </c>
      <c r="UBR619" s="5" t="s">
        <v>3728</v>
      </c>
      <c r="UBS619" s="17">
        <v>44925</v>
      </c>
      <c r="UBT619" s="5" t="s">
        <v>3728</v>
      </c>
      <c r="UBU619" s="17">
        <v>44925</v>
      </c>
      <c r="UBV619" s="5" t="s">
        <v>3728</v>
      </c>
      <c r="UBW619" s="17">
        <v>44925</v>
      </c>
      <c r="UBX619" s="5" t="s">
        <v>3728</v>
      </c>
      <c r="UBY619" s="17">
        <v>44925</v>
      </c>
      <c r="UBZ619" s="5" t="s">
        <v>3728</v>
      </c>
      <c r="UCA619" s="17">
        <v>44925</v>
      </c>
      <c r="UCB619" s="5" t="s">
        <v>3728</v>
      </c>
      <c r="UCC619" s="17">
        <v>44925</v>
      </c>
      <c r="UCD619" s="5" t="s">
        <v>3728</v>
      </c>
      <c r="UCE619" s="17">
        <v>44925</v>
      </c>
      <c r="UCF619" s="5" t="s">
        <v>3728</v>
      </c>
      <c r="UCG619" s="17">
        <v>44925</v>
      </c>
      <c r="UCH619" s="5" t="s">
        <v>3728</v>
      </c>
      <c r="UCI619" s="17">
        <v>44925</v>
      </c>
      <c r="UCJ619" s="5" t="s">
        <v>3728</v>
      </c>
      <c r="UCK619" s="17">
        <v>44925</v>
      </c>
      <c r="UCL619" s="5" t="s">
        <v>3728</v>
      </c>
      <c r="UCM619" s="17">
        <v>44925</v>
      </c>
      <c r="UCN619" s="5" t="s">
        <v>3728</v>
      </c>
      <c r="UCO619" s="17">
        <v>44925</v>
      </c>
      <c r="UCP619" s="5" t="s">
        <v>3728</v>
      </c>
      <c r="UCQ619" s="17">
        <v>44925</v>
      </c>
      <c r="UCR619" s="5" t="s">
        <v>3728</v>
      </c>
      <c r="UCS619" s="17">
        <v>44925</v>
      </c>
      <c r="UCT619" s="5" t="s">
        <v>3728</v>
      </c>
      <c r="UCU619" s="17">
        <v>44925</v>
      </c>
      <c r="UCV619" s="5" t="s">
        <v>3728</v>
      </c>
      <c r="UCW619" s="17">
        <v>44925</v>
      </c>
      <c r="UCX619" s="5" t="s">
        <v>3728</v>
      </c>
      <c r="UCY619" s="17">
        <v>44925</v>
      </c>
      <c r="UCZ619" s="5" t="s">
        <v>3728</v>
      </c>
      <c r="UDA619" s="17">
        <v>44925</v>
      </c>
      <c r="UDB619" s="5" t="s">
        <v>3728</v>
      </c>
      <c r="UDC619" s="17">
        <v>44925</v>
      </c>
      <c r="UDD619" s="5" t="s">
        <v>3728</v>
      </c>
      <c r="UDE619" s="17">
        <v>44925</v>
      </c>
      <c r="UDF619" s="5" t="s">
        <v>3728</v>
      </c>
      <c r="UDG619" s="17">
        <v>44925</v>
      </c>
      <c r="UDH619" s="5" t="s">
        <v>3728</v>
      </c>
      <c r="UDI619" s="17">
        <v>44925</v>
      </c>
      <c r="UDJ619" s="5" t="s">
        <v>3728</v>
      </c>
      <c r="UDK619" s="17">
        <v>44925</v>
      </c>
      <c r="UDL619" s="5" t="s">
        <v>3728</v>
      </c>
      <c r="UDM619" s="17">
        <v>44925</v>
      </c>
      <c r="UDN619" s="5" t="s">
        <v>3728</v>
      </c>
      <c r="UDO619" s="17">
        <v>44925</v>
      </c>
      <c r="UDP619" s="5" t="s">
        <v>3728</v>
      </c>
      <c r="UDQ619" s="17">
        <v>44925</v>
      </c>
      <c r="UDR619" s="5" t="s">
        <v>3728</v>
      </c>
      <c r="UDS619" s="17">
        <v>44925</v>
      </c>
      <c r="UDT619" s="5" t="s">
        <v>3728</v>
      </c>
      <c r="UDU619" s="17">
        <v>44925</v>
      </c>
      <c r="UDV619" s="5" t="s">
        <v>3728</v>
      </c>
      <c r="UDW619" s="17">
        <v>44925</v>
      </c>
      <c r="UDX619" s="5" t="s">
        <v>3728</v>
      </c>
      <c r="UDY619" s="17">
        <v>44925</v>
      </c>
      <c r="UDZ619" s="5" t="s">
        <v>3728</v>
      </c>
      <c r="UEA619" s="17">
        <v>44925</v>
      </c>
      <c r="UEB619" s="5" t="s">
        <v>3728</v>
      </c>
      <c r="UEC619" s="17">
        <v>44925</v>
      </c>
      <c r="UED619" s="5" t="s">
        <v>3728</v>
      </c>
      <c r="UEE619" s="17">
        <v>44925</v>
      </c>
      <c r="UEF619" s="5" t="s">
        <v>3728</v>
      </c>
      <c r="UEG619" s="17">
        <v>44925</v>
      </c>
      <c r="UEH619" s="5" t="s">
        <v>3728</v>
      </c>
      <c r="UEI619" s="17">
        <v>44925</v>
      </c>
      <c r="UEJ619" s="5" t="s">
        <v>3728</v>
      </c>
      <c r="UEK619" s="17">
        <v>44925</v>
      </c>
      <c r="UEL619" s="5" t="s">
        <v>3728</v>
      </c>
      <c r="UEM619" s="17">
        <v>44925</v>
      </c>
      <c r="UEN619" s="5" t="s">
        <v>3728</v>
      </c>
      <c r="UEO619" s="17">
        <v>44925</v>
      </c>
      <c r="UEP619" s="5" t="s">
        <v>3728</v>
      </c>
      <c r="UEQ619" s="17">
        <v>44925</v>
      </c>
      <c r="UER619" s="5" t="s">
        <v>3728</v>
      </c>
      <c r="UES619" s="17">
        <v>44925</v>
      </c>
      <c r="UET619" s="5" t="s">
        <v>3728</v>
      </c>
      <c r="UEU619" s="17">
        <v>44925</v>
      </c>
      <c r="UEV619" s="5" t="s">
        <v>3728</v>
      </c>
      <c r="UEW619" s="17">
        <v>44925</v>
      </c>
      <c r="UEX619" s="5" t="s">
        <v>3728</v>
      </c>
      <c r="UEY619" s="17">
        <v>44925</v>
      </c>
      <c r="UEZ619" s="5" t="s">
        <v>3728</v>
      </c>
      <c r="UFA619" s="17">
        <v>44925</v>
      </c>
      <c r="UFB619" s="5" t="s">
        <v>3728</v>
      </c>
      <c r="UFC619" s="17">
        <v>44925</v>
      </c>
      <c r="UFD619" s="5" t="s">
        <v>3728</v>
      </c>
      <c r="UFE619" s="17">
        <v>44925</v>
      </c>
      <c r="UFF619" s="5" t="s">
        <v>3728</v>
      </c>
      <c r="UFG619" s="17">
        <v>44925</v>
      </c>
      <c r="UFH619" s="5" t="s">
        <v>3728</v>
      </c>
      <c r="UFI619" s="17">
        <v>44925</v>
      </c>
      <c r="UFJ619" s="5" t="s">
        <v>3728</v>
      </c>
      <c r="UFK619" s="17">
        <v>44925</v>
      </c>
      <c r="UFL619" s="5" t="s">
        <v>3728</v>
      </c>
      <c r="UFM619" s="17">
        <v>44925</v>
      </c>
      <c r="UFN619" s="5" t="s">
        <v>3728</v>
      </c>
      <c r="UFO619" s="17">
        <v>44925</v>
      </c>
      <c r="UFP619" s="5" t="s">
        <v>3728</v>
      </c>
      <c r="UFQ619" s="17">
        <v>44925</v>
      </c>
      <c r="UFR619" s="5" t="s">
        <v>3728</v>
      </c>
      <c r="UFS619" s="17">
        <v>44925</v>
      </c>
      <c r="UFT619" s="5" t="s">
        <v>3728</v>
      </c>
      <c r="UFU619" s="17">
        <v>44925</v>
      </c>
      <c r="UFV619" s="5" t="s">
        <v>3728</v>
      </c>
      <c r="UFW619" s="17">
        <v>44925</v>
      </c>
      <c r="UFX619" s="5" t="s">
        <v>3728</v>
      </c>
      <c r="UFY619" s="17">
        <v>44925</v>
      </c>
      <c r="UFZ619" s="5" t="s">
        <v>3728</v>
      </c>
      <c r="UGA619" s="17">
        <v>44925</v>
      </c>
      <c r="UGB619" s="5" t="s">
        <v>3728</v>
      </c>
      <c r="UGC619" s="17">
        <v>44925</v>
      </c>
      <c r="UGD619" s="5" t="s">
        <v>3728</v>
      </c>
      <c r="UGE619" s="17">
        <v>44925</v>
      </c>
      <c r="UGF619" s="5" t="s">
        <v>3728</v>
      </c>
      <c r="UGG619" s="17">
        <v>44925</v>
      </c>
      <c r="UGH619" s="5" t="s">
        <v>3728</v>
      </c>
      <c r="UGI619" s="17">
        <v>44925</v>
      </c>
      <c r="UGJ619" s="5" t="s">
        <v>3728</v>
      </c>
      <c r="UGK619" s="17">
        <v>44925</v>
      </c>
      <c r="UGL619" s="5" t="s">
        <v>3728</v>
      </c>
      <c r="UGM619" s="17">
        <v>44925</v>
      </c>
      <c r="UGN619" s="5" t="s">
        <v>3728</v>
      </c>
      <c r="UGO619" s="17">
        <v>44925</v>
      </c>
      <c r="UGP619" s="5" t="s">
        <v>3728</v>
      </c>
      <c r="UGQ619" s="17">
        <v>44925</v>
      </c>
      <c r="UGR619" s="5" t="s">
        <v>3728</v>
      </c>
      <c r="UGS619" s="17">
        <v>44925</v>
      </c>
      <c r="UGT619" s="5" t="s">
        <v>3728</v>
      </c>
      <c r="UGU619" s="17">
        <v>44925</v>
      </c>
      <c r="UGV619" s="5" t="s">
        <v>3728</v>
      </c>
      <c r="UGW619" s="17">
        <v>44925</v>
      </c>
      <c r="UGX619" s="5" t="s">
        <v>3728</v>
      </c>
      <c r="UGY619" s="17">
        <v>44925</v>
      </c>
      <c r="UGZ619" s="5" t="s">
        <v>3728</v>
      </c>
      <c r="UHA619" s="17">
        <v>44925</v>
      </c>
      <c r="UHB619" s="5" t="s">
        <v>3728</v>
      </c>
      <c r="UHC619" s="17">
        <v>44925</v>
      </c>
      <c r="UHD619" s="5" t="s">
        <v>3728</v>
      </c>
      <c r="UHE619" s="17">
        <v>44925</v>
      </c>
      <c r="UHF619" s="5" t="s">
        <v>3728</v>
      </c>
      <c r="UHG619" s="17">
        <v>44925</v>
      </c>
      <c r="UHH619" s="5" t="s">
        <v>3728</v>
      </c>
      <c r="UHI619" s="17">
        <v>44925</v>
      </c>
      <c r="UHJ619" s="5" t="s">
        <v>3728</v>
      </c>
      <c r="UHK619" s="17">
        <v>44925</v>
      </c>
      <c r="UHL619" s="5" t="s">
        <v>3728</v>
      </c>
      <c r="UHM619" s="17">
        <v>44925</v>
      </c>
      <c r="UHN619" s="5" t="s">
        <v>3728</v>
      </c>
      <c r="UHO619" s="17">
        <v>44925</v>
      </c>
      <c r="UHP619" s="5" t="s">
        <v>3728</v>
      </c>
      <c r="UHQ619" s="17">
        <v>44925</v>
      </c>
      <c r="UHR619" s="5" t="s">
        <v>3728</v>
      </c>
      <c r="UHS619" s="17">
        <v>44925</v>
      </c>
      <c r="UHT619" s="5" t="s">
        <v>3728</v>
      </c>
      <c r="UHU619" s="17">
        <v>44925</v>
      </c>
      <c r="UHV619" s="5" t="s">
        <v>3728</v>
      </c>
      <c r="UHW619" s="17">
        <v>44925</v>
      </c>
      <c r="UHX619" s="5" t="s">
        <v>3728</v>
      </c>
      <c r="UHY619" s="17">
        <v>44925</v>
      </c>
      <c r="UHZ619" s="5" t="s">
        <v>3728</v>
      </c>
      <c r="UIA619" s="17">
        <v>44925</v>
      </c>
      <c r="UIB619" s="5" t="s">
        <v>3728</v>
      </c>
      <c r="UIC619" s="17">
        <v>44925</v>
      </c>
      <c r="UID619" s="5" t="s">
        <v>3728</v>
      </c>
      <c r="UIE619" s="17">
        <v>44925</v>
      </c>
      <c r="UIF619" s="5" t="s">
        <v>3728</v>
      </c>
      <c r="UIG619" s="17">
        <v>44925</v>
      </c>
      <c r="UIH619" s="5" t="s">
        <v>3728</v>
      </c>
      <c r="UII619" s="17">
        <v>44925</v>
      </c>
      <c r="UIJ619" s="5" t="s">
        <v>3728</v>
      </c>
      <c r="UIK619" s="17">
        <v>44925</v>
      </c>
      <c r="UIL619" s="5" t="s">
        <v>3728</v>
      </c>
      <c r="UIM619" s="17">
        <v>44925</v>
      </c>
      <c r="UIN619" s="5" t="s">
        <v>3728</v>
      </c>
      <c r="UIO619" s="17">
        <v>44925</v>
      </c>
      <c r="UIP619" s="5" t="s">
        <v>3728</v>
      </c>
      <c r="UIQ619" s="17">
        <v>44925</v>
      </c>
      <c r="UIR619" s="5" t="s">
        <v>3728</v>
      </c>
      <c r="UIS619" s="17">
        <v>44925</v>
      </c>
      <c r="UIT619" s="5" t="s">
        <v>3728</v>
      </c>
      <c r="UIU619" s="17">
        <v>44925</v>
      </c>
      <c r="UIV619" s="5" t="s">
        <v>3728</v>
      </c>
      <c r="UIW619" s="17">
        <v>44925</v>
      </c>
      <c r="UIX619" s="5" t="s">
        <v>3728</v>
      </c>
      <c r="UIY619" s="17">
        <v>44925</v>
      </c>
      <c r="UIZ619" s="5" t="s">
        <v>3728</v>
      </c>
      <c r="UJA619" s="17">
        <v>44925</v>
      </c>
      <c r="UJB619" s="5" t="s">
        <v>3728</v>
      </c>
      <c r="UJC619" s="17">
        <v>44925</v>
      </c>
      <c r="UJD619" s="5" t="s">
        <v>3728</v>
      </c>
      <c r="UJE619" s="17">
        <v>44925</v>
      </c>
      <c r="UJF619" s="5" t="s">
        <v>3728</v>
      </c>
      <c r="UJG619" s="17">
        <v>44925</v>
      </c>
      <c r="UJH619" s="5" t="s">
        <v>3728</v>
      </c>
      <c r="UJI619" s="17">
        <v>44925</v>
      </c>
      <c r="UJJ619" s="5" t="s">
        <v>3728</v>
      </c>
      <c r="UJK619" s="17">
        <v>44925</v>
      </c>
      <c r="UJL619" s="5" t="s">
        <v>3728</v>
      </c>
      <c r="UJM619" s="17">
        <v>44925</v>
      </c>
      <c r="UJN619" s="5" t="s">
        <v>3728</v>
      </c>
      <c r="UJO619" s="17">
        <v>44925</v>
      </c>
      <c r="UJP619" s="5" t="s">
        <v>3728</v>
      </c>
      <c r="UJQ619" s="17">
        <v>44925</v>
      </c>
      <c r="UJR619" s="5" t="s">
        <v>3728</v>
      </c>
      <c r="UJS619" s="17">
        <v>44925</v>
      </c>
      <c r="UJT619" s="5" t="s">
        <v>3728</v>
      </c>
      <c r="UJU619" s="17">
        <v>44925</v>
      </c>
      <c r="UJV619" s="5" t="s">
        <v>3728</v>
      </c>
      <c r="UJW619" s="17">
        <v>44925</v>
      </c>
      <c r="UJX619" s="5" t="s">
        <v>3728</v>
      </c>
      <c r="UJY619" s="17">
        <v>44925</v>
      </c>
      <c r="UJZ619" s="5" t="s">
        <v>3728</v>
      </c>
      <c r="UKA619" s="17">
        <v>44925</v>
      </c>
      <c r="UKB619" s="5" t="s">
        <v>3728</v>
      </c>
      <c r="UKC619" s="17">
        <v>44925</v>
      </c>
      <c r="UKD619" s="5" t="s">
        <v>3728</v>
      </c>
      <c r="UKE619" s="17">
        <v>44925</v>
      </c>
      <c r="UKF619" s="5" t="s">
        <v>3728</v>
      </c>
      <c r="UKG619" s="17">
        <v>44925</v>
      </c>
      <c r="UKH619" s="5" t="s">
        <v>3728</v>
      </c>
      <c r="UKI619" s="17">
        <v>44925</v>
      </c>
      <c r="UKJ619" s="5" t="s">
        <v>3728</v>
      </c>
      <c r="UKK619" s="17">
        <v>44925</v>
      </c>
      <c r="UKL619" s="5" t="s">
        <v>3728</v>
      </c>
      <c r="UKM619" s="17">
        <v>44925</v>
      </c>
      <c r="UKN619" s="5" t="s">
        <v>3728</v>
      </c>
      <c r="UKO619" s="17">
        <v>44925</v>
      </c>
      <c r="UKP619" s="5" t="s">
        <v>3728</v>
      </c>
      <c r="UKQ619" s="17">
        <v>44925</v>
      </c>
      <c r="UKR619" s="5" t="s">
        <v>3728</v>
      </c>
      <c r="UKS619" s="17">
        <v>44925</v>
      </c>
      <c r="UKT619" s="5" t="s">
        <v>3728</v>
      </c>
      <c r="UKU619" s="17">
        <v>44925</v>
      </c>
      <c r="UKV619" s="5" t="s">
        <v>3728</v>
      </c>
      <c r="UKW619" s="17">
        <v>44925</v>
      </c>
      <c r="UKX619" s="5" t="s">
        <v>3728</v>
      </c>
      <c r="UKY619" s="17">
        <v>44925</v>
      </c>
      <c r="UKZ619" s="5" t="s">
        <v>3728</v>
      </c>
      <c r="ULA619" s="17">
        <v>44925</v>
      </c>
      <c r="ULB619" s="5" t="s">
        <v>3728</v>
      </c>
      <c r="ULC619" s="17">
        <v>44925</v>
      </c>
      <c r="ULD619" s="5" t="s">
        <v>3728</v>
      </c>
      <c r="ULE619" s="17">
        <v>44925</v>
      </c>
      <c r="ULF619" s="5" t="s">
        <v>3728</v>
      </c>
      <c r="ULG619" s="17">
        <v>44925</v>
      </c>
      <c r="ULH619" s="5" t="s">
        <v>3728</v>
      </c>
      <c r="ULI619" s="17">
        <v>44925</v>
      </c>
      <c r="ULJ619" s="5" t="s">
        <v>3728</v>
      </c>
      <c r="ULK619" s="17">
        <v>44925</v>
      </c>
      <c r="ULL619" s="5" t="s">
        <v>3728</v>
      </c>
      <c r="ULM619" s="17">
        <v>44925</v>
      </c>
      <c r="ULN619" s="5" t="s">
        <v>3728</v>
      </c>
      <c r="ULO619" s="17">
        <v>44925</v>
      </c>
      <c r="ULP619" s="5" t="s">
        <v>3728</v>
      </c>
      <c r="ULQ619" s="17">
        <v>44925</v>
      </c>
      <c r="ULR619" s="5" t="s">
        <v>3728</v>
      </c>
      <c r="ULS619" s="17">
        <v>44925</v>
      </c>
      <c r="ULT619" s="5" t="s">
        <v>3728</v>
      </c>
      <c r="ULU619" s="17">
        <v>44925</v>
      </c>
      <c r="ULV619" s="5" t="s">
        <v>3728</v>
      </c>
      <c r="ULW619" s="17">
        <v>44925</v>
      </c>
      <c r="ULX619" s="5" t="s">
        <v>3728</v>
      </c>
      <c r="ULY619" s="17">
        <v>44925</v>
      </c>
      <c r="ULZ619" s="5" t="s">
        <v>3728</v>
      </c>
      <c r="UMA619" s="17">
        <v>44925</v>
      </c>
      <c r="UMB619" s="5" t="s">
        <v>3728</v>
      </c>
      <c r="UMC619" s="17">
        <v>44925</v>
      </c>
      <c r="UMD619" s="5" t="s">
        <v>3728</v>
      </c>
      <c r="UME619" s="17">
        <v>44925</v>
      </c>
      <c r="UMF619" s="5" t="s">
        <v>3728</v>
      </c>
      <c r="UMG619" s="17">
        <v>44925</v>
      </c>
      <c r="UMH619" s="5" t="s">
        <v>3728</v>
      </c>
      <c r="UMI619" s="17">
        <v>44925</v>
      </c>
      <c r="UMJ619" s="5" t="s">
        <v>3728</v>
      </c>
      <c r="UMK619" s="17">
        <v>44925</v>
      </c>
      <c r="UML619" s="5" t="s">
        <v>3728</v>
      </c>
      <c r="UMM619" s="17">
        <v>44925</v>
      </c>
      <c r="UMN619" s="5" t="s">
        <v>3728</v>
      </c>
      <c r="UMO619" s="17">
        <v>44925</v>
      </c>
      <c r="UMP619" s="5" t="s">
        <v>3728</v>
      </c>
      <c r="UMQ619" s="17">
        <v>44925</v>
      </c>
      <c r="UMR619" s="5" t="s">
        <v>3728</v>
      </c>
      <c r="UMS619" s="17">
        <v>44925</v>
      </c>
      <c r="UMT619" s="5" t="s">
        <v>3728</v>
      </c>
      <c r="UMU619" s="17">
        <v>44925</v>
      </c>
      <c r="UMV619" s="5" t="s">
        <v>3728</v>
      </c>
      <c r="UMW619" s="17">
        <v>44925</v>
      </c>
      <c r="UMX619" s="5" t="s">
        <v>3728</v>
      </c>
      <c r="UMY619" s="17">
        <v>44925</v>
      </c>
      <c r="UMZ619" s="5" t="s">
        <v>3728</v>
      </c>
      <c r="UNA619" s="17">
        <v>44925</v>
      </c>
      <c r="UNB619" s="5" t="s">
        <v>3728</v>
      </c>
      <c r="UNC619" s="17">
        <v>44925</v>
      </c>
      <c r="UND619" s="5" t="s">
        <v>3728</v>
      </c>
      <c r="UNE619" s="17">
        <v>44925</v>
      </c>
      <c r="UNF619" s="5" t="s">
        <v>3728</v>
      </c>
      <c r="UNG619" s="17">
        <v>44925</v>
      </c>
      <c r="UNH619" s="5" t="s">
        <v>3728</v>
      </c>
      <c r="UNI619" s="17">
        <v>44925</v>
      </c>
      <c r="UNJ619" s="5" t="s">
        <v>3728</v>
      </c>
      <c r="UNK619" s="17">
        <v>44925</v>
      </c>
      <c r="UNL619" s="5" t="s">
        <v>3728</v>
      </c>
      <c r="UNM619" s="17">
        <v>44925</v>
      </c>
      <c r="UNN619" s="5" t="s">
        <v>3728</v>
      </c>
      <c r="UNO619" s="17">
        <v>44925</v>
      </c>
      <c r="UNP619" s="5" t="s">
        <v>3728</v>
      </c>
      <c r="UNQ619" s="17">
        <v>44925</v>
      </c>
      <c r="UNR619" s="5" t="s">
        <v>3728</v>
      </c>
      <c r="UNS619" s="17">
        <v>44925</v>
      </c>
      <c r="UNT619" s="5" t="s">
        <v>3728</v>
      </c>
      <c r="UNU619" s="17">
        <v>44925</v>
      </c>
      <c r="UNV619" s="5" t="s">
        <v>3728</v>
      </c>
      <c r="UNW619" s="17">
        <v>44925</v>
      </c>
      <c r="UNX619" s="5" t="s">
        <v>3728</v>
      </c>
      <c r="UNY619" s="17">
        <v>44925</v>
      </c>
      <c r="UNZ619" s="5" t="s">
        <v>3728</v>
      </c>
      <c r="UOA619" s="17">
        <v>44925</v>
      </c>
      <c r="UOB619" s="5" t="s">
        <v>3728</v>
      </c>
      <c r="UOC619" s="17">
        <v>44925</v>
      </c>
      <c r="UOD619" s="5" t="s">
        <v>3728</v>
      </c>
      <c r="UOE619" s="17">
        <v>44925</v>
      </c>
      <c r="UOF619" s="5" t="s">
        <v>3728</v>
      </c>
      <c r="UOG619" s="17">
        <v>44925</v>
      </c>
      <c r="UOH619" s="5" t="s">
        <v>3728</v>
      </c>
      <c r="UOI619" s="17">
        <v>44925</v>
      </c>
      <c r="UOJ619" s="5" t="s">
        <v>3728</v>
      </c>
      <c r="UOK619" s="17">
        <v>44925</v>
      </c>
      <c r="UOL619" s="5" t="s">
        <v>3728</v>
      </c>
      <c r="UOM619" s="17">
        <v>44925</v>
      </c>
      <c r="UON619" s="5" t="s">
        <v>3728</v>
      </c>
      <c r="UOO619" s="17">
        <v>44925</v>
      </c>
      <c r="UOP619" s="5" t="s">
        <v>3728</v>
      </c>
      <c r="UOQ619" s="17">
        <v>44925</v>
      </c>
      <c r="UOR619" s="5" t="s">
        <v>3728</v>
      </c>
      <c r="UOS619" s="17">
        <v>44925</v>
      </c>
      <c r="UOT619" s="5" t="s">
        <v>3728</v>
      </c>
      <c r="UOU619" s="17">
        <v>44925</v>
      </c>
      <c r="UOV619" s="5" t="s">
        <v>3728</v>
      </c>
      <c r="UOW619" s="17">
        <v>44925</v>
      </c>
      <c r="UOX619" s="5" t="s">
        <v>3728</v>
      </c>
      <c r="UOY619" s="17">
        <v>44925</v>
      </c>
      <c r="UOZ619" s="5" t="s">
        <v>3728</v>
      </c>
      <c r="UPA619" s="17">
        <v>44925</v>
      </c>
      <c r="UPB619" s="5" t="s">
        <v>3728</v>
      </c>
      <c r="UPC619" s="17">
        <v>44925</v>
      </c>
      <c r="UPD619" s="5" t="s">
        <v>3728</v>
      </c>
      <c r="UPE619" s="17">
        <v>44925</v>
      </c>
      <c r="UPF619" s="5" t="s">
        <v>3728</v>
      </c>
      <c r="UPG619" s="17">
        <v>44925</v>
      </c>
      <c r="UPH619" s="5" t="s">
        <v>3728</v>
      </c>
      <c r="UPI619" s="17">
        <v>44925</v>
      </c>
      <c r="UPJ619" s="5" t="s">
        <v>3728</v>
      </c>
      <c r="UPK619" s="17">
        <v>44925</v>
      </c>
      <c r="UPL619" s="5" t="s">
        <v>3728</v>
      </c>
      <c r="UPM619" s="17">
        <v>44925</v>
      </c>
      <c r="UPN619" s="5" t="s">
        <v>3728</v>
      </c>
      <c r="UPO619" s="17">
        <v>44925</v>
      </c>
      <c r="UPP619" s="5" t="s">
        <v>3728</v>
      </c>
      <c r="UPQ619" s="17">
        <v>44925</v>
      </c>
      <c r="UPR619" s="5" t="s">
        <v>3728</v>
      </c>
      <c r="UPS619" s="17">
        <v>44925</v>
      </c>
      <c r="UPT619" s="5" t="s">
        <v>3728</v>
      </c>
      <c r="UPU619" s="17">
        <v>44925</v>
      </c>
      <c r="UPV619" s="5" t="s">
        <v>3728</v>
      </c>
      <c r="UPW619" s="17">
        <v>44925</v>
      </c>
      <c r="UPX619" s="5" t="s">
        <v>3728</v>
      </c>
      <c r="UPY619" s="17">
        <v>44925</v>
      </c>
      <c r="UPZ619" s="5" t="s">
        <v>3728</v>
      </c>
      <c r="UQA619" s="17">
        <v>44925</v>
      </c>
      <c r="UQB619" s="5" t="s">
        <v>3728</v>
      </c>
      <c r="UQC619" s="17">
        <v>44925</v>
      </c>
      <c r="UQD619" s="5" t="s">
        <v>3728</v>
      </c>
      <c r="UQE619" s="17">
        <v>44925</v>
      </c>
      <c r="UQF619" s="5" t="s">
        <v>3728</v>
      </c>
      <c r="UQG619" s="17">
        <v>44925</v>
      </c>
      <c r="UQH619" s="5" t="s">
        <v>3728</v>
      </c>
      <c r="UQI619" s="17">
        <v>44925</v>
      </c>
      <c r="UQJ619" s="5" t="s">
        <v>3728</v>
      </c>
      <c r="UQK619" s="17">
        <v>44925</v>
      </c>
      <c r="UQL619" s="5" t="s">
        <v>3728</v>
      </c>
      <c r="UQM619" s="17">
        <v>44925</v>
      </c>
      <c r="UQN619" s="5" t="s">
        <v>3728</v>
      </c>
      <c r="UQO619" s="17">
        <v>44925</v>
      </c>
      <c r="UQP619" s="5" t="s">
        <v>3728</v>
      </c>
      <c r="UQQ619" s="17">
        <v>44925</v>
      </c>
      <c r="UQR619" s="5" t="s">
        <v>3728</v>
      </c>
      <c r="UQS619" s="17">
        <v>44925</v>
      </c>
      <c r="UQT619" s="5" t="s">
        <v>3728</v>
      </c>
      <c r="UQU619" s="17">
        <v>44925</v>
      </c>
      <c r="UQV619" s="5" t="s">
        <v>3728</v>
      </c>
      <c r="UQW619" s="17">
        <v>44925</v>
      </c>
      <c r="UQX619" s="5" t="s">
        <v>3728</v>
      </c>
      <c r="UQY619" s="17">
        <v>44925</v>
      </c>
      <c r="UQZ619" s="5" t="s">
        <v>3728</v>
      </c>
      <c r="URA619" s="17">
        <v>44925</v>
      </c>
      <c r="URB619" s="5" t="s">
        <v>3728</v>
      </c>
      <c r="URC619" s="17">
        <v>44925</v>
      </c>
      <c r="URD619" s="5" t="s">
        <v>3728</v>
      </c>
      <c r="URE619" s="17">
        <v>44925</v>
      </c>
      <c r="URF619" s="5" t="s">
        <v>3728</v>
      </c>
      <c r="URG619" s="17">
        <v>44925</v>
      </c>
      <c r="URH619" s="5" t="s">
        <v>3728</v>
      </c>
      <c r="URI619" s="17">
        <v>44925</v>
      </c>
      <c r="URJ619" s="5" t="s">
        <v>3728</v>
      </c>
      <c r="URK619" s="17">
        <v>44925</v>
      </c>
      <c r="URL619" s="5" t="s">
        <v>3728</v>
      </c>
      <c r="URM619" s="17">
        <v>44925</v>
      </c>
      <c r="URN619" s="5" t="s">
        <v>3728</v>
      </c>
      <c r="URO619" s="17">
        <v>44925</v>
      </c>
      <c r="URP619" s="5" t="s">
        <v>3728</v>
      </c>
      <c r="URQ619" s="17">
        <v>44925</v>
      </c>
      <c r="URR619" s="5" t="s">
        <v>3728</v>
      </c>
      <c r="URS619" s="17">
        <v>44925</v>
      </c>
      <c r="URT619" s="5" t="s">
        <v>3728</v>
      </c>
      <c r="URU619" s="17">
        <v>44925</v>
      </c>
      <c r="URV619" s="5" t="s">
        <v>3728</v>
      </c>
      <c r="URW619" s="17">
        <v>44925</v>
      </c>
      <c r="URX619" s="5" t="s">
        <v>3728</v>
      </c>
      <c r="URY619" s="17">
        <v>44925</v>
      </c>
      <c r="URZ619" s="5" t="s">
        <v>3728</v>
      </c>
      <c r="USA619" s="17">
        <v>44925</v>
      </c>
      <c r="USB619" s="5" t="s">
        <v>3728</v>
      </c>
      <c r="USC619" s="17">
        <v>44925</v>
      </c>
      <c r="USD619" s="5" t="s">
        <v>3728</v>
      </c>
      <c r="USE619" s="17">
        <v>44925</v>
      </c>
      <c r="USF619" s="5" t="s">
        <v>3728</v>
      </c>
      <c r="USG619" s="17">
        <v>44925</v>
      </c>
      <c r="USH619" s="5" t="s">
        <v>3728</v>
      </c>
      <c r="USI619" s="17">
        <v>44925</v>
      </c>
      <c r="USJ619" s="5" t="s">
        <v>3728</v>
      </c>
      <c r="USK619" s="17">
        <v>44925</v>
      </c>
      <c r="USL619" s="5" t="s">
        <v>3728</v>
      </c>
      <c r="USM619" s="17">
        <v>44925</v>
      </c>
      <c r="USN619" s="5" t="s">
        <v>3728</v>
      </c>
      <c r="USO619" s="17">
        <v>44925</v>
      </c>
      <c r="USP619" s="5" t="s">
        <v>3728</v>
      </c>
      <c r="USQ619" s="17">
        <v>44925</v>
      </c>
      <c r="USR619" s="5" t="s">
        <v>3728</v>
      </c>
      <c r="USS619" s="17">
        <v>44925</v>
      </c>
      <c r="UST619" s="5" t="s">
        <v>3728</v>
      </c>
      <c r="USU619" s="17">
        <v>44925</v>
      </c>
      <c r="USV619" s="5" t="s">
        <v>3728</v>
      </c>
      <c r="USW619" s="17">
        <v>44925</v>
      </c>
      <c r="USX619" s="5" t="s">
        <v>3728</v>
      </c>
      <c r="USY619" s="17">
        <v>44925</v>
      </c>
      <c r="USZ619" s="5" t="s">
        <v>3728</v>
      </c>
      <c r="UTA619" s="17">
        <v>44925</v>
      </c>
      <c r="UTB619" s="5" t="s">
        <v>3728</v>
      </c>
      <c r="UTC619" s="17">
        <v>44925</v>
      </c>
      <c r="UTD619" s="5" t="s">
        <v>3728</v>
      </c>
      <c r="UTE619" s="17">
        <v>44925</v>
      </c>
      <c r="UTF619" s="5" t="s">
        <v>3728</v>
      </c>
      <c r="UTG619" s="17">
        <v>44925</v>
      </c>
      <c r="UTH619" s="5" t="s">
        <v>3728</v>
      </c>
      <c r="UTI619" s="17">
        <v>44925</v>
      </c>
      <c r="UTJ619" s="5" t="s">
        <v>3728</v>
      </c>
      <c r="UTK619" s="17">
        <v>44925</v>
      </c>
      <c r="UTL619" s="5" t="s">
        <v>3728</v>
      </c>
      <c r="UTM619" s="17">
        <v>44925</v>
      </c>
      <c r="UTN619" s="5" t="s">
        <v>3728</v>
      </c>
      <c r="UTO619" s="17">
        <v>44925</v>
      </c>
      <c r="UTP619" s="5" t="s">
        <v>3728</v>
      </c>
      <c r="UTQ619" s="17">
        <v>44925</v>
      </c>
      <c r="UTR619" s="5" t="s">
        <v>3728</v>
      </c>
      <c r="UTS619" s="17">
        <v>44925</v>
      </c>
      <c r="UTT619" s="5" t="s">
        <v>3728</v>
      </c>
      <c r="UTU619" s="17">
        <v>44925</v>
      </c>
      <c r="UTV619" s="5" t="s">
        <v>3728</v>
      </c>
      <c r="UTW619" s="17">
        <v>44925</v>
      </c>
      <c r="UTX619" s="5" t="s">
        <v>3728</v>
      </c>
      <c r="UTY619" s="17">
        <v>44925</v>
      </c>
      <c r="UTZ619" s="5" t="s">
        <v>3728</v>
      </c>
      <c r="UUA619" s="17">
        <v>44925</v>
      </c>
      <c r="UUB619" s="5" t="s">
        <v>3728</v>
      </c>
      <c r="UUC619" s="17">
        <v>44925</v>
      </c>
      <c r="UUD619" s="5" t="s">
        <v>3728</v>
      </c>
      <c r="UUE619" s="17">
        <v>44925</v>
      </c>
      <c r="UUF619" s="5" t="s">
        <v>3728</v>
      </c>
      <c r="UUG619" s="17">
        <v>44925</v>
      </c>
      <c r="UUH619" s="5" t="s">
        <v>3728</v>
      </c>
      <c r="UUI619" s="17">
        <v>44925</v>
      </c>
      <c r="UUJ619" s="5" t="s">
        <v>3728</v>
      </c>
      <c r="UUK619" s="17">
        <v>44925</v>
      </c>
      <c r="UUL619" s="5" t="s">
        <v>3728</v>
      </c>
      <c r="UUM619" s="17">
        <v>44925</v>
      </c>
      <c r="UUN619" s="5" t="s">
        <v>3728</v>
      </c>
      <c r="UUO619" s="17">
        <v>44925</v>
      </c>
      <c r="UUP619" s="5" t="s">
        <v>3728</v>
      </c>
      <c r="UUQ619" s="17">
        <v>44925</v>
      </c>
      <c r="UUR619" s="5" t="s">
        <v>3728</v>
      </c>
      <c r="UUS619" s="17">
        <v>44925</v>
      </c>
      <c r="UUT619" s="5" t="s">
        <v>3728</v>
      </c>
      <c r="UUU619" s="17">
        <v>44925</v>
      </c>
      <c r="UUV619" s="5" t="s">
        <v>3728</v>
      </c>
      <c r="UUW619" s="17">
        <v>44925</v>
      </c>
      <c r="UUX619" s="5" t="s">
        <v>3728</v>
      </c>
      <c r="UUY619" s="17">
        <v>44925</v>
      </c>
      <c r="UUZ619" s="5" t="s">
        <v>3728</v>
      </c>
      <c r="UVA619" s="17">
        <v>44925</v>
      </c>
      <c r="UVB619" s="5" t="s">
        <v>3728</v>
      </c>
      <c r="UVC619" s="17">
        <v>44925</v>
      </c>
      <c r="UVD619" s="5" t="s">
        <v>3728</v>
      </c>
      <c r="UVE619" s="17">
        <v>44925</v>
      </c>
      <c r="UVF619" s="5" t="s">
        <v>3728</v>
      </c>
      <c r="UVG619" s="17">
        <v>44925</v>
      </c>
      <c r="UVH619" s="5" t="s">
        <v>3728</v>
      </c>
      <c r="UVI619" s="17">
        <v>44925</v>
      </c>
      <c r="UVJ619" s="5" t="s">
        <v>3728</v>
      </c>
      <c r="UVK619" s="17">
        <v>44925</v>
      </c>
      <c r="UVL619" s="5" t="s">
        <v>3728</v>
      </c>
      <c r="UVM619" s="17">
        <v>44925</v>
      </c>
      <c r="UVN619" s="5" t="s">
        <v>3728</v>
      </c>
      <c r="UVO619" s="17">
        <v>44925</v>
      </c>
      <c r="UVP619" s="5" t="s">
        <v>3728</v>
      </c>
      <c r="UVQ619" s="17">
        <v>44925</v>
      </c>
      <c r="UVR619" s="5" t="s">
        <v>3728</v>
      </c>
      <c r="UVS619" s="17">
        <v>44925</v>
      </c>
      <c r="UVT619" s="5" t="s">
        <v>3728</v>
      </c>
      <c r="UVU619" s="17">
        <v>44925</v>
      </c>
      <c r="UVV619" s="5" t="s">
        <v>3728</v>
      </c>
      <c r="UVW619" s="17">
        <v>44925</v>
      </c>
      <c r="UVX619" s="5" t="s">
        <v>3728</v>
      </c>
      <c r="UVY619" s="17">
        <v>44925</v>
      </c>
      <c r="UVZ619" s="5" t="s">
        <v>3728</v>
      </c>
      <c r="UWA619" s="17">
        <v>44925</v>
      </c>
      <c r="UWB619" s="5" t="s">
        <v>3728</v>
      </c>
      <c r="UWC619" s="17">
        <v>44925</v>
      </c>
      <c r="UWD619" s="5" t="s">
        <v>3728</v>
      </c>
      <c r="UWE619" s="17">
        <v>44925</v>
      </c>
      <c r="UWF619" s="5" t="s">
        <v>3728</v>
      </c>
      <c r="UWG619" s="17">
        <v>44925</v>
      </c>
      <c r="UWH619" s="5" t="s">
        <v>3728</v>
      </c>
      <c r="UWI619" s="17">
        <v>44925</v>
      </c>
      <c r="UWJ619" s="5" t="s">
        <v>3728</v>
      </c>
      <c r="UWK619" s="17">
        <v>44925</v>
      </c>
      <c r="UWL619" s="5" t="s">
        <v>3728</v>
      </c>
      <c r="UWM619" s="17">
        <v>44925</v>
      </c>
      <c r="UWN619" s="5" t="s">
        <v>3728</v>
      </c>
      <c r="UWO619" s="17">
        <v>44925</v>
      </c>
      <c r="UWP619" s="5" t="s">
        <v>3728</v>
      </c>
      <c r="UWQ619" s="17">
        <v>44925</v>
      </c>
      <c r="UWR619" s="5" t="s">
        <v>3728</v>
      </c>
      <c r="UWS619" s="17">
        <v>44925</v>
      </c>
      <c r="UWT619" s="5" t="s">
        <v>3728</v>
      </c>
      <c r="UWU619" s="17">
        <v>44925</v>
      </c>
      <c r="UWV619" s="5" t="s">
        <v>3728</v>
      </c>
      <c r="UWW619" s="17">
        <v>44925</v>
      </c>
      <c r="UWX619" s="5" t="s">
        <v>3728</v>
      </c>
      <c r="UWY619" s="17">
        <v>44925</v>
      </c>
      <c r="UWZ619" s="5" t="s">
        <v>3728</v>
      </c>
      <c r="UXA619" s="17">
        <v>44925</v>
      </c>
      <c r="UXB619" s="5" t="s">
        <v>3728</v>
      </c>
      <c r="UXC619" s="17">
        <v>44925</v>
      </c>
      <c r="UXD619" s="5" t="s">
        <v>3728</v>
      </c>
      <c r="UXE619" s="17">
        <v>44925</v>
      </c>
      <c r="UXF619" s="5" t="s">
        <v>3728</v>
      </c>
      <c r="UXG619" s="17">
        <v>44925</v>
      </c>
      <c r="UXH619" s="5" t="s">
        <v>3728</v>
      </c>
      <c r="UXI619" s="17">
        <v>44925</v>
      </c>
      <c r="UXJ619" s="5" t="s">
        <v>3728</v>
      </c>
      <c r="UXK619" s="17">
        <v>44925</v>
      </c>
      <c r="UXL619" s="5" t="s">
        <v>3728</v>
      </c>
      <c r="UXM619" s="17">
        <v>44925</v>
      </c>
      <c r="UXN619" s="5" t="s">
        <v>3728</v>
      </c>
      <c r="UXO619" s="17">
        <v>44925</v>
      </c>
      <c r="UXP619" s="5" t="s">
        <v>3728</v>
      </c>
      <c r="UXQ619" s="17">
        <v>44925</v>
      </c>
      <c r="UXR619" s="5" t="s">
        <v>3728</v>
      </c>
      <c r="UXS619" s="17">
        <v>44925</v>
      </c>
      <c r="UXT619" s="5" t="s">
        <v>3728</v>
      </c>
      <c r="UXU619" s="17">
        <v>44925</v>
      </c>
      <c r="UXV619" s="5" t="s">
        <v>3728</v>
      </c>
      <c r="UXW619" s="17">
        <v>44925</v>
      </c>
      <c r="UXX619" s="5" t="s">
        <v>3728</v>
      </c>
      <c r="UXY619" s="17">
        <v>44925</v>
      </c>
      <c r="UXZ619" s="5" t="s">
        <v>3728</v>
      </c>
      <c r="UYA619" s="17">
        <v>44925</v>
      </c>
      <c r="UYB619" s="5" t="s">
        <v>3728</v>
      </c>
      <c r="UYC619" s="17">
        <v>44925</v>
      </c>
      <c r="UYD619" s="5" t="s">
        <v>3728</v>
      </c>
      <c r="UYE619" s="17">
        <v>44925</v>
      </c>
      <c r="UYF619" s="5" t="s">
        <v>3728</v>
      </c>
      <c r="UYG619" s="17">
        <v>44925</v>
      </c>
      <c r="UYH619" s="5" t="s">
        <v>3728</v>
      </c>
      <c r="UYI619" s="17">
        <v>44925</v>
      </c>
      <c r="UYJ619" s="5" t="s">
        <v>3728</v>
      </c>
      <c r="UYK619" s="17">
        <v>44925</v>
      </c>
      <c r="UYL619" s="5" t="s">
        <v>3728</v>
      </c>
      <c r="UYM619" s="17">
        <v>44925</v>
      </c>
      <c r="UYN619" s="5" t="s">
        <v>3728</v>
      </c>
      <c r="UYO619" s="17">
        <v>44925</v>
      </c>
      <c r="UYP619" s="5" t="s">
        <v>3728</v>
      </c>
      <c r="UYQ619" s="17">
        <v>44925</v>
      </c>
      <c r="UYR619" s="5" t="s">
        <v>3728</v>
      </c>
      <c r="UYS619" s="17">
        <v>44925</v>
      </c>
      <c r="UYT619" s="5" t="s">
        <v>3728</v>
      </c>
      <c r="UYU619" s="17">
        <v>44925</v>
      </c>
      <c r="UYV619" s="5" t="s">
        <v>3728</v>
      </c>
      <c r="UYW619" s="17">
        <v>44925</v>
      </c>
      <c r="UYX619" s="5" t="s">
        <v>3728</v>
      </c>
      <c r="UYY619" s="17">
        <v>44925</v>
      </c>
      <c r="UYZ619" s="5" t="s">
        <v>3728</v>
      </c>
      <c r="UZA619" s="17">
        <v>44925</v>
      </c>
      <c r="UZB619" s="5" t="s">
        <v>3728</v>
      </c>
      <c r="UZC619" s="17">
        <v>44925</v>
      </c>
      <c r="UZD619" s="5" t="s">
        <v>3728</v>
      </c>
      <c r="UZE619" s="17">
        <v>44925</v>
      </c>
      <c r="UZF619" s="5" t="s">
        <v>3728</v>
      </c>
      <c r="UZG619" s="17">
        <v>44925</v>
      </c>
      <c r="UZH619" s="5" t="s">
        <v>3728</v>
      </c>
      <c r="UZI619" s="17">
        <v>44925</v>
      </c>
      <c r="UZJ619" s="5" t="s">
        <v>3728</v>
      </c>
      <c r="UZK619" s="17">
        <v>44925</v>
      </c>
      <c r="UZL619" s="5" t="s">
        <v>3728</v>
      </c>
      <c r="UZM619" s="17">
        <v>44925</v>
      </c>
      <c r="UZN619" s="5" t="s">
        <v>3728</v>
      </c>
      <c r="UZO619" s="17">
        <v>44925</v>
      </c>
      <c r="UZP619" s="5" t="s">
        <v>3728</v>
      </c>
      <c r="UZQ619" s="17">
        <v>44925</v>
      </c>
      <c r="UZR619" s="5" t="s">
        <v>3728</v>
      </c>
      <c r="UZS619" s="17">
        <v>44925</v>
      </c>
      <c r="UZT619" s="5" t="s">
        <v>3728</v>
      </c>
      <c r="UZU619" s="17">
        <v>44925</v>
      </c>
      <c r="UZV619" s="5" t="s">
        <v>3728</v>
      </c>
      <c r="UZW619" s="17">
        <v>44925</v>
      </c>
      <c r="UZX619" s="5" t="s">
        <v>3728</v>
      </c>
      <c r="UZY619" s="17">
        <v>44925</v>
      </c>
      <c r="UZZ619" s="5" t="s">
        <v>3728</v>
      </c>
      <c r="VAA619" s="17">
        <v>44925</v>
      </c>
      <c r="VAB619" s="5" t="s">
        <v>3728</v>
      </c>
      <c r="VAC619" s="17">
        <v>44925</v>
      </c>
      <c r="VAD619" s="5" t="s">
        <v>3728</v>
      </c>
      <c r="VAE619" s="17">
        <v>44925</v>
      </c>
      <c r="VAF619" s="5" t="s">
        <v>3728</v>
      </c>
      <c r="VAG619" s="17">
        <v>44925</v>
      </c>
      <c r="VAH619" s="5" t="s">
        <v>3728</v>
      </c>
      <c r="VAI619" s="17">
        <v>44925</v>
      </c>
      <c r="VAJ619" s="5" t="s">
        <v>3728</v>
      </c>
      <c r="VAK619" s="17">
        <v>44925</v>
      </c>
      <c r="VAL619" s="5" t="s">
        <v>3728</v>
      </c>
      <c r="VAM619" s="17">
        <v>44925</v>
      </c>
      <c r="VAN619" s="5" t="s">
        <v>3728</v>
      </c>
      <c r="VAO619" s="17">
        <v>44925</v>
      </c>
      <c r="VAP619" s="5" t="s">
        <v>3728</v>
      </c>
      <c r="VAQ619" s="17">
        <v>44925</v>
      </c>
      <c r="VAR619" s="5" t="s">
        <v>3728</v>
      </c>
      <c r="VAS619" s="17">
        <v>44925</v>
      </c>
      <c r="VAT619" s="5" t="s">
        <v>3728</v>
      </c>
      <c r="VAU619" s="17">
        <v>44925</v>
      </c>
      <c r="VAV619" s="5" t="s">
        <v>3728</v>
      </c>
      <c r="VAW619" s="17">
        <v>44925</v>
      </c>
      <c r="VAX619" s="5" t="s">
        <v>3728</v>
      </c>
      <c r="VAY619" s="17">
        <v>44925</v>
      </c>
      <c r="VAZ619" s="5" t="s">
        <v>3728</v>
      </c>
      <c r="VBA619" s="17">
        <v>44925</v>
      </c>
      <c r="VBB619" s="5" t="s">
        <v>3728</v>
      </c>
      <c r="VBC619" s="17">
        <v>44925</v>
      </c>
      <c r="VBD619" s="5" t="s">
        <v>3728</v>
      </c>
      <c r="VBE619" s="17">
        <v>44925</v>
      </c>
      <c r="VBF619" s="5" t="s">
        <v>3728</v>
      </c>
      <c r="VBG619" s="17">
        <v>44925</v>
      </c>
      <c r="VBH619" s="5" t="s">
        <v>3728</v>
      </c>
      <c r="VBI619" s="17">
        <v>44925</v>
      </c>
      <c r="VBJ619" s="5" t="s">
        <v>3728</v>
      </c>
      <c r="VBK619" s="17">
        <v>44925</v>
      </c>
      <c r="VBL619" s="5" t="s">
        <v>3728</v>
      </c>
      <c r="VBM619" s="17">
        <v>44925</v>
      </c>
      <c r="VBN619" s="5" t="s">
        <v>3728</v>
      </c>
      <c r="VBO619" s="17">
        <v>44925</v>
      </c>
      <c r="VBP619" s="5" t="s">
        <v>3728</v>
      </c>
      <c r="VBQ619" s="17">
        <v>44925</v>
      </c>
      <c r="VBR619" s="5" t="s">
        <v>3728</v>
      </c>
      <c r="VBS619" s="17">
        <v>44925</v>
      </c>
      <c r="VBT619" s="5" t="s">
        <v>3728</v>
      </c>
      <c r="VBU619" s="17">
        <v>44925</v>
      </c>
      <c r="VBV619" s="5" t="s">
        <v>3728</v>
      </c>
      <c r="VBW619" s="17">
        <v>44925</v>
      </c>
      <c r="VBX619" s="5" t="s">
        <v>3728</v>
      </c>
      <c r="VBY619" s="17">
        <v>44925</v>
      </c>
      <c r="VBZ619" s="5" t="s">
        <v>3728</v>
      </c>
      <c r="VCA619" s="17">
        <v>44925</v>
      </c>
      <c r="VCB619" s="5" t="s">
        <v>3728</v>
      </c>
      <c r="VCC619" s="17">
        <v>44925</v>
      </c>
      <c r="VCD619" s="5" t="s">
        <v>3728</v>
      </c>
      <c r="VCE619" s="17">
        <v>44925</v>
      </c>
      <c r="VCF619" s="5" t="s">
        <v>3728</v>
      </c>
      <c r="VCG619" s="17">
        <v>44925</v>
      </c>
      <c r="VCH619" s="5" t="s">
        <v>3728</v>
      </c>
      <c r="VCI619" s="17">
        <v>44925</v>
      </c>
      <c r="VCJ619" s="5" t="s">
        <v>3728</v>
      </c>
      <c r="VCK619" s="17">
        <v>44925</v>
      </c>
      <c r="VCL619" s="5" t="s">
        <v>3728</v>
      </c>
      <c r="VCM619" s="17">
        <v>44925</v>
      </c>
      <c r="VCN619" s="5" t="s">
        <v>3728</v>
      </c>
      <c r="VCO619" s="17">
        <v>44925</v>
      </c>
      <c r="VCP619" s="5" t="s">
        <v>3728</v>
      </c>
      <c r="VCQ619" s="17">
        <v>44925</v>
      </c>
      <c r="VCR619" s="5" t="s">
        <v>3728</v>
      </c>
      <c r="VCS619" s="17">
        <v>44925</v>
      </c>
      <c r="VCT619" s="5" t="s">
        <v>3728</v>
      </c>
      <c r="VCU619" s="17">
        <v>44925</v>
      </c>
      <c r="VCV619" s="5" t="s">
        <v>3728</v>
      </c>
      <c r="VCW619" s="17">
        <v>44925</v>
      </c>
      <c r="VCX619" s="5" t="s">
        <v>3728</v>
      </c>
      <c r="VCY619" s="17">
        <v>44925</v>
      </c>
      <c r="VCZ619" s="5" t="s">
        <v>3728</v>
      </c>
      <c r="VDA619" s="17">
        <v>44925</v>
      </c>
      <c r="VDB619" s="5" t="s">
        <v>3728</v>
      </c>
      <c r="VDC619" s="17">
        <v>44925</v>
      </c>
      <c r="VDD619" s="5" t="s">
        <v>3728</v>
      </c>
      <c r="VDE619" s="17">
        <v>44925</v>
      </c>
      <c r="VDF619" s="5" t="s">
        <v>3728</v>
      </c>
      <c r="VDG619" s="17">
        <v>44925</v>
      </c>
      <c r="VDH619" s="5" t="s">
        <v>3728</v>
      </c>
      <c r="VDI619" s="17">
        <v>44925</v>
      </c>
      <c r="VDJ619" s="5" t="s">
        <v>3728</v>
      </c>
      <c r="VDK619" s="17">
        <v>44925</v>
      </c>
      <c r="VDL619" s="5" t="s">
        <v>3728</v>
      </c>
      <c r="VDM619" s="17">
        <v>44925</v>
      </c>
      <c r="VDN619" s="5" t="s">
        <v>3728</v>
      </c>
      <c r="VDO619" s="17">
        <v>44925</v>
      </c>
      <c r="VDP619" s="5" t="s">
        <v>3728</v>
      </c>
      <c r="VDQ619" s="17">
        <v>44925</v>
      </c>
      <c r="VDR619" s="5" t="s">
        <v>3728</v>
      </c>
      <c r="VDS619" s="17">
        <v>44925</v>
      </c>
      <c r="VDT619" s="5" t="s">
        <v>3728</v>
      </c>
      <c r="VDU619" s="17">
        <v>44925</v>
      </c>
      <c r="VDV619" s="5" t="s">
        <v>3728</v>
      </c>
      <c r="VDW619" s="17">
        <v>44925</v>
      </c>
      <c r="VDX619" s="5" t="s">
        <v>3728</v>
      </c>
      <c r="VDY619" s="17">
        <v>44925</v>
      </c>
      <c r="VDZ619" s="5" t="s">
        <v>3728</v>
      </c>
      <c r="VEA619" s="17">
        <v>44925</v>
      </c>
      <c r="VEB619" s="5" t="s">
        <v>3728</v>
      </c>
      <c r="VEC619" s="17">
        <v>44925</v>
      </c>
      <c r="VED619" s="5" t="s">
        <v>3728</v>
      </c>
      <c r="VEE619" s="17">
        <v>44925</v>
      </c>
      <c r="VEF619" s="5" t="s">
        <v>3728</v>
      </c>
      <c r="VEG619" s="17">
        <v>44925</v>
      </c>
      <c r="VEH619" s="5" t="s">
        <v>3728</v>
      </c>
      <c r="VEI619" s="17">
        <v>44925</v>
      </c>
      <c r="VEJ619" s="5" t="s">
        <v>3728</v>
      </c>
      <c r="VEK619" s="17">
        <v>44925</v>
      </c>
      <c r="VEL619" s="5" t="s">
        <v>3728</v>
      </c>
      <c r="VEM619" s="17">
        <v>44925</v>
      </c>
      <c r="VEN619" s="5" t="s">
        <v>3728</v>
      </c>
      <c r="VEO619" s="17">
        <v>44925</v>
      </c>
      <c r="VEP619" s="5" t="s">
        <v>3728</v>
      </c>
      <c r="VEQ619" s="17">
        <v>44925</v>
      </c>
      <c r="VER619" s="5" t="s">
        <v>3728</v>
      </c>
      <c r="VES619" s="17">
        <v>44925</v>
      </c>
      <c r="VET619" s="5" t="s">
        <v>3728</v>
      </c>
      <c r="VEU619" s="17">
        <v>44925</v>
      </c>
      <c r="VEV619" s="5" t="s">
        <v>3728</v>
      </c>
      <c r="VEW619" s="17">
        <v>44925</v>
      </c>
      <c r="VEX619" s="5" t="s">
        <v>3728</v>
      </c>
      <c r="VEY619" s="17">
        <v>44925</v>
      </c>
      <c r="VEZ619" s="5" t="s">
        <v>3728</v>
      </c>
      <c r="VFA619" s="17">
        <v>44925</v>
      </c>
      <c r="VFB619" s="5" t="s">
        <v>3728</v>
      </c>
      <c r="VFC619" s="17">
        <v>44925</v>
      </c>
      <c r="VFD619" s="5" t="s">
        <v>3728</v>
      </c>
      <c r="VFE619" s="17">
        <v>44925</v>
      </c>
      <c r="VFF619" s="5" t="s">
        <v>3728</v>
      </c>
      <c r="VFG619" s="17">
        <v>44925</v>
      </c>
      <c r="VFH619" s="5" t="s">
        <v>3728</v>
      </c>
      <c r="VFI619" s="17">
        <v>44925</v>
      </c>
      <c r="VFJ619" s="5" t="s">
        <v>3728</v>
      </c>
      <c r="VFK619" s="17">
        <v>44925</v>
      </c>
      <c r="VFL619" s="5" t="s">
        <v>3728</v>
      </c>
      <c r="VFM619" s="17">
        <v>44925</v>
      </c>
      <c r="VFN619" s="5" t="s">
        <v>3728</v>
      </c>
      <c r="VFO619" s="17">
        <v>44925</v>
      </c>
      <c r="VFP619" s="5" t="s">
        <v>3728</v>
      </c>
      <c r="VFQ619" s="17">
        <v>44925</v>
      </c>
      <c r="VFR619" s="5" t="s">
        <v>3728</v>
      </c>
      <c r="VFS619" s="17">
        <v>44925</v>
      </c>
      <c r="VFT619" s="5" t="s">
        <v>3728</v>
      </c>
      <c r="VFU619" s="17">
        <v>44925</v>
      </c>
      <c r="VFV619" s="5" t="s">
        <v>3728</v>
      </c>
      <c r="VFW619" s="17">
        <v>44925</v>
      </c>
      <c r="VFX619" s="5" t="s">
        <v>3728</v>
      </c>
      <c r="VFY619" s="17">
        <v>44925</v>
      </c>
      <c r="VFZ619" s="5" t="s">
        <v>3728</v>
      </c>
      <c r="VGA619" s="17">
        <v>44925</v>
      </c>
      <c r="VGB619" s="5" t="s">
        <v>3728</v>
      </c>
      <c r="VGC619" s="17">
        <v>44925</v>
      </c>
      <c r="VGD619" s="5" t="s">
        <v>3728</v>
      </c>
      <c r="VGE619" s="17">
        <v>44925</v>
      </c>
      <c r="VGF619" s="5" t="s">
        <v>3728</v>
      </c>
      <c r="VGG619" s="17">
        <v>44925</v>
      </c>
      <c r="VGH619" s="5" t="s">
        <v>3728</v>
      </c>
      <c r="VGI619" s="17">
        <v>44925</v>
      </c>
      <c r="VGJ619" s="5" t="s">
        <v>3728</v>
      </c>
      <c r="VGK619" s="17">
        <v>44925</v>
      </c>
      <c r="VGL619" s="5" t="s">
        <v>3728</v>
      </c>
      <c r="VGM619" s="17">
        <v>44925</v>
      </c>
      <c r="VGN619" s="5" t="s">
        <v>3728</v>
      </c>
      <c r="VGO619" s="17">
        <v>44925</v>
      </c>
      <c r="VGP619" s="5" t="s">
        <v>3728</v>
      </c>
      <c r="VGQ619" s="17">
        <v>44925</v>
      </c>
      <c r="VGR619" s="5" t="s">
        <v>3728</v>
      </c>
      <c r="VGS619" s="17">
        <v>44925</v>
      </c>
      <c r="VGT619" s="5" t="s">
        <v>3728</v>
      </c>
      <c r="VGU619" s="17">
        <v>44925</v>
      </c>
      <c r="VGV619" s="5" t="s">
        <v>3728</v>
      </c>
      <c r="VGW619" s="17">
        <v>44925</v>
      </c>
      <c r="VGX619" s="5" t="s">
        <v>3728</v>
      </c>
      <c r="VGY619" s="17">
        <v>44925</v>
      </c>
      <c r="VGZ619" s="5" t="s">
        <v>3728</v>
      </c>
      <c r="VHA619" s="17">
        <v>44925</v>
      </c>
      <c r="VHB619" s="5" t="s">
        <v>3728</v>
      </c>
      <c r="VHC619" s="17">
        <v>44925</v>
      </c>
      <c r="VHD619" s="5" t="s">
        <v>3728</v>
      </c>
      <c r="VHE619" s="17">
        <v>44925</v>
      </c>
      <c r="VHF619" s="5" t="s">
        <v>3728</v>
      </c>
      <c r="VHG619" s="17">
        <v>44925</v>
      </c>
      <c r="VHH619" s="5" t="s">
        <v>3728</v>
      </c>
      <c r="VHI619" s="17">
        <v>44925</v>
      </c>
      <c r="VHJ619" s="5" t="s">
        <v>3728</v>
      </c>
      <c r="VHK619" s="17">
        <v>44925</v>
      </c>
      <c r="VHL619" s="5" t="s">
        <v>3728</v>
      </c>
      <c r="VHM619" s="17">
        <v>44925</v>
      </c>
      <c r="VHN619" s="5" t="s">
        <v>3728</v>
      </c>
      <c r="VHO619" s="17">
        <v>44925</v>
      </c>
      <c r="VHP619" s="5" t="s">
        <v>3728</v>
      </c>
      <c r="VHQ619" s="17">
        <v>44925</v>
      </c>
      <c r="VHR619" s="5" t="s">
        <v>3728</v>
      </c>
      <c r="VHS619" s="17">
        <v>44925</v>
      </c>
      <c r="VHT619" s="5" t="s">
        <v>3728</v>
      </c>
      <c r="VHU619" s="17">
        <v>44925</v>
      </c>
      <c r="VHV619" s="5" t="s">
        <v>3728</v>
      </c>
      <c r="VHW619" s="17">
        <v>44925</v>
      </c>
      <c r="VHX619" s="5" t="s">
        <v>3728</v>
      </c>
      <c r="VHY619" s="17">
        <v>44925</v>
      </c>
      <c r="VHZ619" s="5" t="s">
        <v>3728</v>
      </c>
      <c r="VIA619" s="17">
        <v>44925</v>
      </c>
      <c r="VIB619" s="5" t="s">
        <v>3728</v>
      </c>
      <c r="VIC619" s="17">
        <v>44925</v>
      </c>
      <c r="VID619" s="5" t="s">
        <v>3728</v>
      </c>
      <c r="VIE619" s="17">
        <v>44925</v>
      </c>
      <c r="VIF619" s="5" t="s">
        <v>3728</v>
      </c>
      <c r="VIG619" s="17">
        <v>44925</v>
      </c>
      <c r="VIH619" s="5" t="s">
        <v>3728</v>
      </c>
      <c r="VII619" s="17">
        <v>44925</v>
      </c>
      <c r="VIJ619" s="5" t="s">
        <v>3728</v>
      </c>
      <c r="VIK619" s="17">
        <v>44925</v>
      </c>
      <c r="VIL619" s="5" t="s">
        <v>3728</v>
      </c>
      <c r="VIM619" s="17">
        <v>44925</v>
      </c>
      <c r="VIN619" s="5" t="s">
        <v>3728</v>
      </c>
      <c r="VIO619" s="17">
        <v>44925</v>
      </c>
      <c r="VIP619" s="5" t="s">
        <v>3728</v>
      </c>
      <c r="VIQ619" s="17">
        <v>44925</v>
      </c>
      <c r="VIR619" s="5" t="s">
        <v>3728</v>
      </c>
      <c r="VIS619" s="17">
        <v>44925</v>
      </c>
      <c r="VIT619" s="5" t="s">
        <v>3728</v>
      </c>
      <c r="VIU619" s="17">
        <v>44925</v>
      </c>
      <c r="VIV619" s="5" t="s">
        <v>3728</v>
      </c>
      <c r="VIW619" s="17">
        <v>44925</v>
      </c>
      <c r="VIX619" s="5" t="s">
        <v>3728</v>
      </c>
      <c r="VIY619" s="17">
        <v>44925</v>
      </c>
      <c r="VIZ619" s="5" t="s">
        <v>3728</v>
      </c>
      <c r="VJA619" s="17">
        <v>44925</v>
      </c>
      <c r="VJB619" s="5" t="s">
        <v>3728</v>
      </c>
      <c r="VJC619" s="17">
        <v>44925</v>
      </c>
      <c r="VJD619" s="5" t="s">
        <v>3728</v>
      </c>
      <c r="VJE619" s="17">
        <v>44925</v>
      </c>
      <c r="VJF619" s="5" t="s">
        <v>3728</v>
      </c>
      <c r="VJG619" s="17">
        <v>44925</v>
      </c>
      <c r="VJH619" s="5" t="s">
        <v>3728</v>
      </c>
      <c r="VJI619" s="17">
        <v>44925</v>
      </c>
      <c r="VJJ619" s="5" t="s">
        <v>3728</v>
      </c>
      <c r="VJK619" s="17">
        <v>44925</v>
      </c>
      <c r="VJL619" s="5" t="s">
        <v>3728</v>
      </c>
      <c r="VJM619" s="17">
        <v>44925</v>
      </c>
      <c r="VJN619" s="5" t="s">
        <v>3728</v>
      </c>
      <c r="VJO619" s="17">
        <v>44925</v>
      </c>
      <c r="VJP619" s="5" t="s">
        <v>3728</v>
      </c>
      <c r="VJQ619" s="17">
        <v>44925</v>
      </c>
      <c r="VJR619" s="5" t="s">
        <v>3728</v>
      </c>
      <c r="VJS619" s="17">
        <v>44925</v>
      </c>
      <c r="VJT619" s="5" t="s">
        <v>3728</v>
      </c>
      <c r="VJU619" s="17">
        <v>44925</v>
      </c>
      <c r="VJV619" s="5" t="s">
        <v>3728</v>
      </c>
      <c r="VJW619" s="17">
        <v>44925</v>
      </c>
      <c r="VJX619" s="5" t="s">
        <v>3728</v>
      </c>
      <c r="VJY619" s="17">
        <v>44925</v>
      </c>
      <c r="VJZ619" s="5" t="s">
        <v>3728</v>
      </c>
      <c r="VKA619" s="17">
        <v>44925</v>
      </c>
      <c r="VKB619" s="5" t="s">
        <v>3728</v>
      </c>
      <c r="VKC619" s="17">
        <v>44925</v>
      </c>
      <c r="VKD619" s="5" t="s">
        <v>3728</v>
      </c>
      <c r="VKE619" s="17">
        <v>44925</v>
      </c>
      <c r="VKF619" s="5" t="s">
        <v>3728</v>
      </c>
      <c r="VKG619" s="17">
        <v>44925</v>
      </c>
      <c r="VKH619" s="5" t="s">
        <v>3728</v>
      </c>
      <c r="VKI619" s="17">
        <v>44925</v>
      </c>
      <c r="VKJ619" s="5" t="s">
        <v>3728</v>
      </c>
      <c r="VKK619" s="17">
        <v>44925</v>
      </c>
      <c r="VKL619" s="5" t="s">
        <v>3728</v>
      </c>
      <c r="VKM619" s="17">
        <v>44925</v>
      </c>
      <c r="VKN619" s="5" t="s">
        <v>3728</v>
      </c>
      <c r="VKO619" s="17">
        <v>44925</v>
      </c>
      <c r="VKP619" s="5" t="s">
        <v>3728</v>
      </c>
      <c r="VKQ619" s="17">
        <v>44925</v>
      </c>
      <c r="VKR619" s="5" t="s">
        <v>3728</v>
      </c>
      <c r="VKS619" s="17">
        <v>44925</v>
      </c>
      <c r="VKT619" s="5" t="s">
        <v>3728</v>
      </c>
      <c r="VKU619" s="17">
        <v>44925</v>
      </c>
      <c r="VKV619" s="5" t="s">
        <v>3728</v>
      </c>
      <c r="VKW619" s="17">
        <v>44925</v>
      </c>
      <c r="VKX619" s="5" t="s">
        <v>3728</v>
      </c>
      <c r="VKY619" s="17">
        <v>44925</v>
      </c>
      <c r="VKZ619" s="5" t="s">
        <v>3728</v>
      </c>
      <c r="VLA619" s="17">
        <v>44925</v>
      </c>
      <c r="VLB619" s="5" t="s">
        <v>3728</v>
      </c>
      <c r="VLC619" s="17">
        <v>44925</v>
      </c>
      <c r="VLD619" s="5" t="s">
        <v>3728</v>
      </c>
      <c r="VLE619" s="17">
        <v>44925</v>
      </c>
      <c r="VLF619" s="5" t="s">
        <v>3728</v>
      </c>
      <c r="VLG619" s="17">
        <v>44925</v>
      </c>
      <c r="VLH619" s="5" t="s">
        <v>3728</v>
      </c>
      <c r="VLI619" s="17">
        <v>44925</v>
      </c>
      <c r="VLJ619" s="5" t="s">
        <v>3728</v>
      </c>
      <c r="VLK619" s="17">
        <v>44925</v>
      </c>
      <c r="VLL619" s="5" t="s">
        <v>3728</v>
      </c>
      <c r="VLM619" s="17">
        <v>44925</v>
      </c>
      <c r="VLN619" s="5" t="s">
        <v>3728</v>
      </c>
      <c r="VLO619" s="17">
        <v>44925</v>
      </c>
      <c r="VLP619" s="5" t="s">
        <v>3728</v>
      </c>
      <c r="VLQ619" s="17">
        <v>44925</v>
      </c>
      <c r="VLR619" s="5" t="s">
        <v>3728</v>
      </c>
      <c r="VLS619" s="17">
        <v>44925</v>
      </c>
      <c r="VLT619" s="5" t="s">
        <v>3728</v>
      </c>
      <c r="VLU619" s="17">
        <v>44925</v>
      </c>
      <c r="VLV619" s="5" t="s">
        <v>3728</v>
      </c>
      <c r="VLW619" s="17">
        <v>44925</v>
      </c>
      <c r="VLX619" s="5" t="s">
        <v>3728</v>
      </c>
      <c r="VLY619" s="17">
        <v>44925</v>
      </c>
      <c r="VLZ619" s="5" t="s">
        <v>3728</v>
      </c>
      <c r="VMA619" s="17">
        <v>44925</v>
      </c>
      <c r="VMB619" s="5" t="s">
        <v>3728</v>
      </c>
      <c r="VMC619" s="17">
        <v>44925</v>
      </c>
      <c r="VMD619" s="5" t="s">
        <v>3728</v>
      </c>
      <c r="VME619" s="17">
        <v>44925</v>
      </c>
      <c r="VMF619" s="5" t="s">
        <v>3728</v>
      </c>
      <c r="VMG619" s="17">
        <v>44925</v>
      </c>
      <c r="VMH619" s="5" t="s">
        <v>3728</v>
      </c>
      <c r="VMI619" s="17">
        <v>44925</v>
      </c>
      <c r="VMJ619" s="5" t="s">
        <v>3728</v>
      </c>
      <c r="VMK619" s="17">
        <v>44925</v>
      </c>
      <c r="VML619" s="5" t="s">
        <v>3728</v>
      </c>
      <c r="VMM619" s="17">
        <v>44925</v>
      </c>
      <c r="VMN619" s="5" t="s">
        <v>3728</v>
      </c>
      <c r="VMO619" s="17">
        <v>44925</v>
      </c>
      <c r="VMP619" s="5" t="s">
        <v>3728</v>
      </c>
      <c r="VMQ619" s="17">
        <v>44925</v>
      </c>
      <c r="VMR619" s="5" t="s">
        <v>3728</v>
      </c>
      <c r="VMS619" s="17">
        <v>44925</v>
      </c>
      <c r="VMT619" s="5" t="s">
        <v>3728</v>
      </c>
      <c r="VMU619" s="17">
        <v>44925</v>
      </c>
      <c r="VMV619" s="5" t="s">
        <v>3728</v>
      </c>
      <c r="VMW619" s="17">
        <v>44925</v>
      </c>
      <c r="VMX619" s="5" t="s">
        <v>3728</v>
      </c>
      <c r="VMY619" s="17">
        <v>44925</v>
      </c>
      <c r="VMZ619" s="5" t="s">
        <v>3728</v>
      </c>
      <c r="VNA619" s="17">
        <v>44925</v>
      </c>
      <c r="VNB619" s="5" t="s">
        <v>3728</v>
      </c>
      <c r="VNC619" s="17">
        <v>44925</v>
      </c>
      <c r="VND619" s="5" t="s">
        <v>3728</v>
      </c>
      <c r="VNE619" s="17">
        <v>44925</v>
      </c>
      <c r="VNF619" s="5" t="s">
        <v>3728</v>
      </c>
      <c r="VNG619" s="17">
        <v>44925</v>
      </c>
      <c r="VNH619" s="5" t="s">
        <v>3728</v>
      </c>
      <c r="VNI619" s="17">
        <v>44925</v>
      </c>
      <c r="VNJ619" s="5" t="s">
        <v>3728</v>
      </c>
      <c r="VNK619" s="17">
        <v>44925</v>
      </c>
      <c r="VNL619" s="5" t="s">
        <v>3728</v>
      </c>
      <c r="VNM619" s="17">
        <v>44925</v>
      </c>
      <c r="VNN619" s="5" t="s">
        <v>3728</v>
      </c>
      <c r="VNO619" s="17">
        <v>44925</v>
      </c>
      <c r="VNP619" s="5" t="s">
        <v>3728</v>
      </c>
      <c r="VNQ619" s="17">
        <v>44925</v>
      </c>
      <c r="VNR619" s="5" t="s">
        <v>3728</v>
      </c>
      <c r="VNS619" s="17">
        <v>44925</v>
      </c>
      <c r="VNT619" s="5" t="s">
        <v>3728</v>
      </c>
      <c r="VNU619" s="17">
        <v>44925</v>
      </c>
      <c r="VNV619" s="5" t="s">
        <v>3728</v>
      </c>
      <c r="VNW619" s="17">
        <v>44925</v>
      </c>
      <c r="VNX619" s="5" t="s">
        <v>3728</v>
      </c>
      <c r="VNY619" s="17">
        <v>44925</v>
      </c>
      <c r="VNZ619" s="5" t="s">
        <v>3728</v>
      </c>
      <c r="VOA619" s="17">
        <v>44925</v>
      </c>
      <c r="VOB619" s="5" t="s">
        <v>3728</v>
      </c>
      <c r="VOC619" s="17">
        <v>44925</v>
      </c>
      <c r="VOD619" s="5" t="s">
        <v>3728</v>
      </c>
      <c r="VOE619" s="17">
        <v>44925</v>
      </c>
      <c r="VOF619" s="5" t="s">
        <v>3728</v>
      </c>
      <c r="VOG619" s="17">
        <v>44925</v>
      </c>
      <c r="VOH619" s="5" t="s">
        <v>3728</v>
      </c>
      <c r="VOI619" s="17">
        <v>44925</v>
      </c>
      <c r="VOJ619" s="5" t="s">
        <v>3728</v>
      </c>
      <c r="VOK619" s="17">
        <v>44925</v>
      </c>
      <c r="VOL619" s="5" t="s">
        <v>3728</v>
      </c>
      <c r="VOM619" s="17">
        <v>44925</v>
      </c>
      <c r="VON619" s="5" t="s">
        <v>3728</v>
      </c>
      <c r="VOO619" s="17">
        <v>44925</v>
      </c>
      <c r="VOP619" s="5" t="s">
        <v>3728</v>
      </c>
      <c r="VOQ619" s="17">
        <v>44925</v>
      </c>
      <c r="VOR619" s="5" t="s">
        <v>3728</v>
      </c>
      <c r="VOS619" s="17">
        <v>44925</v>
      </c>
      <c r="VOT619" s="5" t="s">
        <v>3728</v>
      </c>
      <c r="VOU619" s="17">
        <v>44925</v>
      </c>
      <c r="VOV619" s="5" t="s">
        <v>3728</v>
      </c>
      <c r="VOW619" s="17">
        <v>44925</v>
      </c>
      <c r="VOX619" s="5" t="s">
        <v>3728</v>
      </c>
      <c r="VOY619" s="17">
        <v>44925</v>
      </c>
      <c r="VOZ619" s="5" t="s">
        <v>3728</v>
      </c>
      <c r="VPA619" s="17">
        <v>44925</v>
      </c>
      <c r="VPB619" s="5" t="s">
        <v>3728</v>
      </c>
      <c r="VPC619" s="17">
        <v>44925</v>
      </c>
      <c r="VPD619" s="5" t="s">
        <v>3728</v>
      </c>
      <c r="VPE619" s="17">
        <v>44925</v>
      </c>
      <c r="VPF619" s="5" t="s">
        <v>3728</v>
      </c>
      <c r="VPG619" s="17">
        <v>44925</v>
      </c>
      <c r="VPH619" s="5" t="s">
        <v>3728</v>
      </c>
      <c r="VPI619" s="17">
        <v>44925</v>
      </c>
      <c r="VPJ619" s="5" t="s">
        <v>3728</v>
      </c>
      <c r="VPK619" s="17">
        <v>44925</v>
      </c>
      <c r="VPL619" s="5" t="s">
        <v>3728</v>
      </c>
      <c r="VPM619" s="17">
        <v>44925</v>
      </c>
      <c r="VPN619" s="5" t="s">
        <v>3728</v>
      </c>
      <c r="VPO619" s="17">
        <v>44925</v>
      </c>
      <c r="VPP619" s="5" t="s">
        <v>3728</v>
      </c>
      <c r="VPQ619" s="17">
        <v>44925</v>
      </c>
      <c r="VPR619" s="5" t="s">
        <v>3728</v>
      </c>
      <c r="VPS619" s="17">
        <v>44925</v>
      </c>
      <c r="VPT619" s="5" t="s">
        <v>3728</v>
      </c>
      <c r="VPU619" s="17">
        <v>44925</v>
      </c>
      <c r="VPV619" s="5" t="s">
        <v>3728</v>
      </c>
      <c r="VPW619" s="17">
        <v>44925</v>
      </c>
      <c r="VPX619" s="5" t="s">
        <v>3728</v>
      </c>
      <c r="VPY619" s="17">
        <v>44925</v>
      </c>
      <c r="VPZ619" s="5" t="s">
        <v>3728</v>
      </c>
      <c r="VQA619" s="17">
        <v>44925</v>
      </c>
      <c r="VQB619" s="5" t="s">
        <v>3728</v>
      </c>
      <c r="VQC619" s="17">
        <v>44925</v>
      </c>
      <c r="VQD619" s="5" t="s">
        <v>3728</v>
      </c>
      <c r="VQE619" s="17">
        <v>44925</v>
      </c>
      <c r="VQF619" s="5" t="s">
        <v>3728</v>
      </c>
      <c r="VQG619" s="17">
        <v>44925</v>
      </c>
      <c r="VQH619" s="5" t="s">
        <v>3728</v>
      </c>
      <c r="VQI619" s="17">
        <v>44925</v>
      </c>
      <c r="VQJ619" s="5" t="s">
        <v>3728</v>
      </c>
      <c r="VQK619" s="17">
        <v>44925</v>
      </c>
      <c r="VQL619" s="5" t="s">
        <v>3728</v>
      </c>
      <c r="VQM619" s="17">
        <v>44925</v>
      </c>
      <c r="VQN619" s="5" t="s">
        <v>3728</v>
      </c>
      <c r="VQO619" s="17">
        <v>44925</v>
      </c>
      <c r="VQP619" s="5" t="s">
        <v>3728</v>
      </c>
      <c r="VQQ619" s="17">
        <v>44925</v>
      </c>
      <c r="VQR619" s="5" t="s">
        <v>3728</v>
      </c>
      <c r="VQS619" s="17">
        <v>44925</v>
      </c>
      <c r="VQT619" s="5" t="s">
        <v>3728</v>
      </c>
      <c r="VQU619" s="17">
        <v>44925</v>
      </c>
      <c r="VQV619" s="5" t="s">
        <v>3728</v>
      </c>
      <c r="VQW619" s="17">
        <v>44925</v>
      </c>
      <c r="VQX619" s="5" t="s">
        <v>3728</v>
      </c>
      <c r="VQY619" s="17">
        <v>44925</v>
      </c>
      <c r="VQZ619" s="5" t="s">
        <v>3728</v>
      </c>
      <c r="VRA619" s="17">
        <v>44925</v>
      </c>
      <c r="VRB619" s="5" t="s">
        <v>3728</v>
      </c>
      <c r="VRC619" s="17">
        <v>44925</v>
      </c>
      <c r="VRD619" s="5" t="s">
        <v>3728</v>
      </c>
      <c r="VRE619" s="17">
        <v>44925</v>
      </c>
      <c r="VRF619" s="5" t="s">
        <v>3728</v>
      </c>
      <c r="VRG619" s="17">
        <v>44925</v>
      </c>
      <c r="VRH619" s="5" t="s">
        <v>3728</v>
      </c>
      <c r="VRI619" s="17">
        <v>44925</v>
      </c>
      <c r="VRJ619" s="5" t="s">
        <v>3728</v>
      </c>
      <c r="VRK619" s="17">
        <v>44925</v>
      </c>
      <c r="VRL619" s="5" t="s">
        <v>3728</v>
      </c>
      <c r="VRM619" s="17">
        <v>44925</v>
      </c>
      <c r="VRN619" s="5" t="s">
        <v>3728</v>
      </c>
      <c r="VRO619" s="17">
        <v>44925</v>
      </c>
      <c r="VRP619" s="5" t="s">
        <v>3728</v>
      </c>
      <c r="VRQ619" s="17">
        <v>44925</v>
      </c>
      <c r="VRR619" s="5" t="s">
        <v>3728</v>
      </c>
      <c r="VRS619" s="17">
        <v>44925</v>
      </c>
      <c r="VRT619" s="5" t="s">
        <v>3728</v>
      </c>
      <c r="VRU619" s="17">
        <v>44925</v>
      </c>
      <c r="VRV619" s="5" t="s">
        <v>3728</v>
      </c>
      <c r="VRW619" s="17">
        <v>44925</v>
      </c>
      <c r="VRX619" s="5" t="s">
        <v>3728</v>
      </c>
      <c r="VRY619" s="17">
        <v>44925</v>
      </c>
      <c r="VRZ619" s="5" t="s">
        <v>3728</v>
      </c>
      <c r="VSA619" s="17">
        <v>44925</v>
      </c>
      <c r="VSB619" s="5" t="s">
        <v>3728</v>
      </c>
      <c r="VSC619" s="17">
        <v>44925</v>
      </c>
      <c r="VSD619" s="5" t="s">
        <v>3728</v>
      </c>
      <c r="VSE619" s="17">
        <v>44925</v>
      </c>
      <c r="VSF619" s="5" t="s">
        <v>3728</v>
      </c>
      <c r="VSG619" s="17">
        <v>44925</v>
      </c>
      <c r="VSH619" s="5" t="s">
        <v>3728</v>
      </c>
      <c r="VSI619" s="17">
        <v>44925</v>
      </c>
      <c r="VSJ619" s="5" t="s">
        <v>3728</v>
      </c>
      <c r="VSK619" s="17">
        <v>44925</v>
      </c>
      <c r="VSL619" s="5" t="s">
        <v>3728</v>
      </c>
      <c r="VSM619" s="17">
        <v>44925</v>
      </c>
      <c r="VSN619" s="5" t="s">
        <v>3728</v>
      </c>
      <c r="VSO619" s="17">
        <v>44925</v>
      </c>
      <c r="VSP619" s="5" t="s">
        <v>3728</v>
      </c>
      <c r="VSQ619" s="17">
        <v>44925</v>
      </c>
      <c r="VSR619" s="5" t="s">
        <v>3728</v>
      </c>
      <c r="VSS619" s="17">
        <v>44925</v>
      </c>
      <c r="VST619" s="5" t="s">
        <v>3728</v>
      </c>
      <c r="VSU619" s="17">
        <v>44925</v>
      </c>
      <c r="VSV619" s="5" t="s">
        <v>3728</v>
      </c>
      <c r="VSW619" s="17">
        <v>44925</v>
      </c>
      <c r="VSX619" s="5" t="s">
        <v>3728</v>
      </c>
      <c r="VSY619" s="17">
        <v>44925</v>
      </c>
      <c r="VSZ619" s="5" t="s">
        <v>3728</v>
      </c>
      <c r="VTA619" s="17">
        <v>44925</v>
      </c>
      <c r="VTB619" s="5" t="s">
        <v>3728</v>
      </c>
      <c r="VTC619" s="17">
        <v>44925</v>
      </c>
      <c r="VTD619" s="5" t="s">
        <v>3728</v>
      </c>
      <c r="VTE619" s="17">
        <v>44925</v>
      </c>
      <c r="VTF619" s="5" t="s">
        <v>3728</v>
      </c>
      <c r="VTG619" s="17">
        <v>44925</v>
      </c>
      <c r="VTH619" s="5" t="s">
        <v>3728</v>
      </c>
      <c r="VTI619" s="17">
        <v>44925</v>
      </c>
      <c r="VTJ619" s="5" t="s">
        <v>3728</v>
      </c>
      <c r="VTK619" s="17">
        <v>44925</v>
      </c>
      <c r="VTL619" s="5" t="s">
        <v>3728</v>
      </c>
      <c r="VTM619" s="17">
        <v>44925</v>
      </c>
      <c r="VTN619" s="5" t="s">
        <v>3728</v>
      </c>
      <c r="VTO619" s="17">
        <v>44925</v>
      </c>
      <c r="VTP619" s="5" t="s">
        <v>3728</v>
      </c>
      <c r="VTQ619" s="17">
        <v>44925</v>
      </c>
      <c r="VTR619" s="5" t="s">
        <v>3728</v>
      </c>
      <c r="VTS619" s="17">
        <v>44925</v>
      </c>
      <c r="VTT619" s="5" t="s">
        <v>3728</v>
      </c>
      <c r="VTU619" s="17">
        <v>44925</v>
      </c>
      <c r="VTV619" s="5" t="s">
        <v>3728</v>
      </c>
      <c r="VTW619" s="17">
        <v>44925</v>
      </c>
      <c r="VTX619" s="5" t="s">
        <v>3728</v>
      </c>
      <c r="VTY619" s="17">
        <v>44925</v>
      </c>
      <c r="VTZ619" s="5" t="s">
        <v>3728</v>
      </c>
      <c r="VUA619" s="17">
        <v>44925</v>
      </c>
      <c r="VUB619" s="5" t="s">
        <v>3728</v>
      </c>
      <c r="VUC619" s="17">
        <v>44925</v>
      </c>
      <c r="VUD619" s="5" t="s">
        <v>3728</v>
      </c>
      <c r="VUE619" s="17">
        <v>44925</v>
      </c>
      <c r="VUF619" s="5" t="s">
        <v>3728</v>
      </c>
      <c r="VUG619" s="17">
        <v>44925</v>
      </c>
      <c r="VUH619" s="5" t="s">
        <v>3728</v>
      </c>
      <c r="VUI619" s="17">
        <v>44925</v>
      </c>
      <c r="VUJ619" s="5" t="s">
        <v>3728</v>
      </c>
      <c r="VUK619" s="17">
        <v>44925</v>
      </c>
      <c r="VUL619" s="5" t="s">
        <v>3728</v>
      </c>
      <c r="VUM619" s="17">
        <v>44925</v>
      </c>
      <c r="VUN619" s="5" t="s">
        <v>3728</v>
      </c>
      <c r="VUO619" s="17">
        <v>44925</v>
      </c>
      <c r="VUP619" s="5" t="s">
        <v>3728</v>
      </c>
      <c r="VUQ619" s="17">
        <v>44925</v>
      </c>
      <c r="VUR619" s="5" t="s">
        <v>3728</v>
      </c>
      <c r="VUS619" s="17">
        <v>44925</v>
      </c>
      <c r="VUT619" s="5" t="s">
        <v>3728</v>
      </c>
      <c r="VUU619" s="17">
        <v>44925</v>
      </c>
      <c r="VUV619" s="5" t="s">
        <v>3728</v>
      </c>
      <c r="VUW619" s="17">
        <v>44925</v>
      </c>
      <c r="VUX619" s="5" t="s">
        <v>3728</v>
      </c>
      <c r="VUY619" s="17">
        <v>44925</v>
      </c>
      <c r="VUZ619" s="5" t="s">
        <v>3728</v>
      </c>
      <c r="VVA619" s="17">
        <v>44925</v>
      </c>
      <c r="VVB619" s="5" t="s">
        <v>3728</v>
      </c>
      <c r="VVC619" s="17">
        <v>44925</v>
      </c>
      <c r="VVD619" s="5" t="s">
        <v>3728</v>
      </c>
      <c r="VVE619" s="17">
        <v>44925</v>
      </c>
      <c r="VVF619" s="5" t="s">
        <v>3728</v>
      </c>
      <c r="VVG619" s="17">
        <v>44925</v>
      </c>
      <c r="VVH619" s="5" t="s">
        <v>3728</v>
      </c>
      <c r="VVI619" s="17">
        <v>44925</v>
      </c>
      <c r="VVJ619" s="5" t="s">
        <v>3728</v>
      </c>
      <c r="VVK619" s="17">
        <v>44925</v>
      </c>
      <c r="VVL619" s="5" t="s">
        <v>3728</v>
      </c>
      <c r="VVM619" s="17">
        <v>44925</v>
      </c>
      <c r="VVN619" s="5" t="s">
        <v>3728</v>
      </c>
      <c r="VVO619" s="17">
        <v>44925</v>
      </c>
      <c r="VVP619" s="5" t="s">
        <v>3728</v>
      </c>
      <c r="VVQ619" s="17">
        <v>44925</v>
      </c>
      <c r="VVR619" s="5" t="s">
        <v>3728</v>
      </c>
      <c r="VVS619" s="17">
        <v>44925</v>
      </c>
      <c r="VVT619" s="5" t="s">
        <v>3728</v>
      </c>
      <c r="VVU619" s="17">
        <v>44925</v>
      </c>
      <c r="VVV619" s="5" t="s">
        <v>3728</v>
      </c>
      <c r="VVW619" s="17">
        <v>44925</v>
      </c>
      <c r="VVX619" s="5" t="s">
        <v>3728</v>
      </c>
      <c r="VVY619" s="17">
        <v>44925</v>
      </c>
      <c r="VVZ619" s="5" t="s">
        <v>3728</v>
      </c>
      <c r="VWA619" s="17">
        <v>44925</v>
      </c>
      <c r="VWB619" s="5" t="s">
        <v>3728</v>
      </c>
      <c r="VWC619" s="17">
        <v>44925</v>
      </c>
      <c r="VWD619" s="5" t="s">
        <v>3728</v>
      </c>
      <c r="VWE619" s="17">
        <v>44925</v>
      </c>
      <c r="VWF619" s="5" t="s">
        <v>3728</v>
      </c>
      <c r="VWG619" s="17">
        <v>44925</v>
      </c>
      <c r="VWH619" s="5" t="s">
        <v>3728</v>
      </c>
      <c r="VWI619" s="17">
        <v>44925</v>
      </c>
      <c r="VWJ619" s="5" t="s">
        <v>3728</v>
      </c>
      <c r="VWK619" s="17">
        <v>44925</v>
      </c>
      <c r="VWL619" s="5" t="s">
        <v>3728</v>
      </c>
      <c r="VWM619" s="17">
        <v>44925</v>
      </c>
      <c r="VWN619" s="5" t="s">
        <v>3728</v>
      </c>
      <c r="VWO619" s="17">
        <v>44925</v>
      </c>
      <c r="VWP619" s="5" t="s">
        <v>3728</v>
      </c>
      <c r="VWQ619" s="17">
        <v>44925</v>
      </c>
      <c r="VWR619" s="5" t="s">
        <v>3728</v>
      </c>
      <c r="VWS619" s="17">
        <v>44925</v>
      </c>
      <c r="VWT619" s="5" t="s">
        <v>3728</v>
      </c>
      <c r="VWU619" s="17">
        <v>44925</v>
      </c>
      <c r="VWV619" s="5" t="s">
        <v>3728</v>
      </c>
      <c r="VWW619" s="17">
        <v>44925</v>
      </c>
      <c r="VWX619" s="5" t="s">
        <v>3728</v>
      </c>
      <c r="VWY619" s="17">
        <v>44925</v>
      </c>
      <c r="VWZ619" s="5" t="s">
        <v>3728</v>
      </c>
      <c r="VXA619" s="17">
        <v>44925</v>
      </c>
      <c r="VXB619" s="5" t="s">
        <v>3728</v>
      </c>
      <c r="VXC619" s="17">
        <v>44925</v>
      </c>
      <c r="VXD619" s="5" t="s">
        <v>3728</v>
      </c>
      <c r="VXE619" s="17">
        <v>44925</v>
      </c>
      <c r="VXF619" s="5" t="s">
        <v>3728</v>
      </c>
      <c r="VXG619" s="17">
        <v>44925</v>
      </c>
      <c r="VXH619" s="5" t="s">
        <v>3728</v>
      </c>
      <c r="VXI619" s="17">
        <v>44925</v>
      </c>
      <c r="VXJ619" s="5" t="s">
        <v>3728</v>
      </c>
      <c r="VXK619" s="17">
        <v>44925</v>
      </c>
      <c r="VXL619" s="5" t="s">
        <v>3728</v>
      </c>
      <c r="VXM619" s="17">
        <v>44925</v>
      </c>
      <c r="VXN619" s="5" t="s">
        <v>3728</v>
      </c>
      <c r="VXO619" s="17">
        <v>44925</v>
      </c>
      <c r="VXP619" s="5" t="s">
        <v>3728</v>
      </c>
      <c r="VXQ619" s="17">
        <v>44925</v>
      </c>
      <c r="VXR619" s="5" t="s">
        <v>3728</v>
      </c>
      <c r="VXS619" s="17">
        <v>44925</v>
      </c>
      <c r="VXT619" s="5" t="s">
        <v>3728</v>
      </c>
      <c r="VXU619" s="17">
        <v>44925</v>
      </c>
      <c r="VXV619" s="5" t="s">
        <v>3728</v>
      </c>
      <c r="VXW619" s="17">
        <v>44925</v>
      </c>
      <c r="VXX619" s="5" t="s">
        <v>3728</v>
      </c>
      <c r="VXY619" s="17">
        <v>44925</v>
      </c>
      <c r="VXZ619" s="5" t="s">
        <v>3728</v>
      </c>
      <c r="VYA619" s="17">
        <v>44925</v>
      </c>
      <c r="VYB619" s="5" t="s">
        <v>3728</v>
      </c>
      <c r="VYC619" s="17">
        <v>44925</v>
      </c>
      <c r="VYD619" s="5" t="s">
        <v>3728</v>
      </c>
      <c r="VYE619" s="17">
        <v>44925</v>
      </c>
      <c r="VYF619" s="5" t="s">
        <v>3728</v>
      </c>
      <c r="VYG619" s="17">
        <v>44925</v>
      </c>
      <c r="VYH619" s="5" t="s">
        <v>3728</v>
      </c>
      <c r="VYI619" s="17">
        <v>44925</v>
      </c>
      <c r="VYJ619" s="5" t="s">
        <v>3728</v>
      </c>
      <c r="VYK619" s="17">
        <v>44925</v>
      </c>
      <c r="VYL619" s="5" t="s">
        <v>3728</v>
      </c>
      <c r="VYM619" s="17">
        <v>44925</v>
      </c>
      <c r="VYN619" s="5" t="s">
        <v>3728</v>
      </c>
      <c r="VYO619" s="17">
        <v>44925</v>
      </c>
      <c r="VYP619" s="5" t="s">
        <v>3728</v>
      </c>
      <c r="VYQ619" s="17">
        <v>44925</v>
      </c>
      <c r="VYR619" s="5" t="s">
        <v>3728</v>
      </c>
      <c r="VYS619" s="17">
        <v>44925</v>
      </c>
      <c r="VYT619" s="5" t="s">
        <v>3728</v>
      </c>
      <c r="VYU619" s="17">
        <v>44925</v>
      </c>
      <c r="VYV619" s="5" t="s">
        <v>3728</v>
      </c>
      <c r="VYW619" s="17">
        <v>44925</v>
      </c>
      <c r="VYX619" s="5" t="s">
        <v>3728</v>
      </c>
      <c r="VYY619" s="17">
        <v>44925</v>
      </c>
      <c r="VYZ619" s="5" t="s">
        <v>3728</v>
      </c>
      <c r="VZA619" s="17">
        <v>44925</v>
      </c>
      <c r="VZB619" s="5" t="s">
        <v>3728</v>
      </c>
      <c r="VZC619" s="17">
        <v>44925</v>
      </c>
      <c r="VZD619" s="5" t="s">
        <v>3728</v>
      </c>
      <c r="VZE619" s="17">
        <v>44925</v>
      </c>
      <c r="VZF619" s="5" t="s">
        <v>3728</v>
      </c>
      <c r="VZG619" s="17">
        <v>44925</v>
      </c>
      <c r="VZH619" s="5" t="s">
        <v>3728</v>
      </c>
      <c r="VZI619" s="17">
        <v>44925</v>
      </c>
      <c r="VZJ619" s="5" t="s">
        <v>3728</v>
      </c>
      <c r="VZK619" s="17">
        <v>44925</v>
      </c>
      <c r="VZL619" s="5" t="s">
        <v>3728</v>
      </c>
      <c r="VZM619" s="17">
        <v>44925</v>
      </c>
      <c r="VZN619" s="5" t="s">
        <v>3728</v>
      </c>
      <c r="VZO619" s="17">
        <v>44925</v>
      </c>
      <c r="VZP619" s="5" t="s">
        <v>3728</v>
      </c>
      <c r="VZQ619" s="17">
        <v>44925</v>
      </c>
      <c r="VZR619" s="5" t="s">
        <v>3728</v>
      </c>
      <c r="VZS619" s="17">
        <v>44925</v>
      </c>
      <c r="VZT619" s="5" t="s">
        <v>3728</v>
      </c>
      <c r="VZU619" s="17">
        <v>44925</v>
      </c>
      <c r="VZV619" s="5" t="s">
        <v>3728</v>
      </c>
      <c r="VZW619" s="17">
        <v>44925</v>
      </c>
      <c r="VZX619" s="5" t="s">
        <v>3728</v>
      </c>
      <c r="VZY619" s="17">
        <v>44925</v>
      </c>
      <c r="VZZ619" s="5" t="s">
        <v>3728</v>
      </c>
      <c r="WAA619" s="17">
        <v>44925</v>
      </c>
      <c r="WAB619" s="5" t="s">
        <v>3728</v>
      </c>
      <c r="WAC619" s="17">
        <v>44925</v>
      </c>
      <c r="WAD619" s="5" t="s">
        <v>3728</v>
      </c>
      <c r="WAE619" s="17">
        <v>44925</v>
      </c>
      <c r="WAF619" s="5" t="s">
        <v>3728</v>
      </c>
      <c r="WAG619" s="17">
        <v>44925</v>
      </c>
      <c r="WAH619" s="5" t="s">
        <v>3728</v>
      </c>
      <c r="WAI619" s="17">
        <v>44925</v>
      </c>
      <c r="WAJ619" s="5" t="s">
        <v>3728</v>
      </c>
      <c r="WAK619" s="17">
        <v>44925</v>
      </c>
      <c r="WAL619" s="5" t="s">
        <v>3728</v>
      </c>
      <c r="WAM619" s="17">
        <v>44925</v>
      </c>
      <c r="WAN619" s="5" t="s">
        <v>3728</v>
      </c>
      <c r="WAO619" s="17">
        <v>44925</v>
      </c>
      <c r="WAP619" s="5" t="s">
        <v>3728</v>
      </c>
      <c r="WAQ619" s="17">
        <v>44925</v>
      </c>
      <c r="WAR619" s="5" t="s">
        <v>3728</v>
      </c>
      <c r="WAS619" s="17">
        <v>44925</v>
      </c>
      <c r="WAT619" s="5" t="s">
        <v>3728</v>
      </c>
      <c r="WAU619" s="17">
        <v>44925</v>
      </c>
      <c r="WAV619" s="5" t="s">
        <v>3728</v>
      </c>
      <c r="WAW619" s="17">
        <v>44925</v>
      </c>
      <c r="WAX619" s="5" t="s">
        <v>3728</v>
      </c>
      <c r="WAY619" s="17">
        <v>44925</v>
      </c>
      <c r="WAZ619" s="5" t="s">
        <v>3728</v>
      </c>
      <c r="WBA619" s="17">
        <v>44925</v>
      </c>
      <c r="WBB619" s="5" t="s">
        <v>3728</v>
      </c>
      <c r="WBC619" s="17">
        <v>44925</v>
      </c>
      <c r="WBD619" s="5" t="s">
        <v>3728</v>
      </c>
      <c r="WBE619" s="17">
        <v>44925</v>
      </c>
      <c r="WBF619" s="5" t="s">
        <v>3728</v>
      </c>
      <c r="WBG619" s="17">
        <v>44925</v>
      </c>
      <c r="WBH619" s="5" t="s">
        <v>3728</v>
      </c>
      <c r="WBI619" s="17">
        <v>44925</v>
      </c>
      <c r="WBJ619" s="5" t="s">
        <v>3728</v>
      </c>
      <c r="WBK619" s="17">
        <v>44925</v>
      </c>
      <c r="WBL619" s="5" t="s">
        <v>3728</v>
      </c>
      <c r="WBM619" s="17">
        <v>44925</v>
      </c>
      <c r="WBN619" s="5" t="s">
        <v>3728</v>
      </c>
      <c r="WBO619" s="17">
        <v>44925</v>
      </c>
      <c r="WBP619" s="5" t="s">
        <v>3728</v>
      </c>
      <c r="WBQ619" s="17">
        <v>44925</v>
      </c>
      <c r="WBR619" s="5" t="s">
        <v>3728</v>
      </c>
      <c r="WBS619" s="17">
        <v>44925</v>
      </c>
      <c r="WBT619" s="5" t="s">
        <v>3728</v>
      </c>
      <c r="WBU619" s="17">
        <v>44925</v>
      </c>
      <c r="WBV619" s="5" t="s">
        <v>3728</v>
      </c>
      <c r="WBW619" s="17">
        <v>44925</v>
      </c>
      <c r="WBX619" s="5" t="s">
        <v>3728</v>
      </c>
      <c r="WBY619" s="17">
        <v>44925</v>
      </c>
      <c r="WBZ619" s="5" t="s">
        <v>3728</v>
      </c>
      <c r="WCA619" s="17">
        <v>44925</v>
      </c>
      <c r="WCB619" s="5" t="s">
        <v>3728</v>
      </c>
      <c r="WCC619" s="17">
        <v>44925</v>
      </c>
      <c r="WCD619" s="5" t="s">
        <v>3728</v>
      </c>
      <c r="WCE619" s="17">
        <v>44925</v>
      </c>
      <c r="WCF619" s="5" t="s">
        <v>3728</v>
      </c>
      <c r="WCG619" s="17">
        <v>44925</v>
      </c>
      <c r="WCH619" s="5" t="s">
        <v>3728</v>
      </c>
      <c r="WCI619" s="17">
        <v>44925</v>
      </c>
      <c r="WCJ619" s="5" t="s">
        <v>3728</v>
      </c>
      <c r="WCK619" s="17">
        <v>44925</v>
      </c>
      <c r="WCL619" s="5" t="s">
        <v>3728</v>
      </c>
      <c r="WCM619" s="17">
        <v>44925</v>
      </c>
      <c r="WCN619" s="5" t="s">
        <v>3728</v>
      </c>
      <c r="WCO619" s="17">
        <v>44925</v>
      </c>
      <c r="WCP619" s="5" t="s">
        <v>3728</v>
      </c>
      <c r="WCQ619" s="17">
        <v>44925</v>
      </c>
      <c r="WCR619" s="5" t="s">
        <v>3728</v>
      </c>
      <c r="WCS619" s="17">
        <v>44925</v>
      </c>
      <c r="WCT619" s="5" t="s">
        <v>3728</v>
      </c>
      <c r="WCU619" s="17">
        <v>44925</v>
      </c>
      <c r="WCV619" s="5" t="s">
        <v>3728</v>
      </c>
      <c r="WCW619" s="17">
        <v>44925</v>
      </c>
      <c r="WCX619" s="5" t="s">
        <v>3728</v>
      </c>
      <c r="WCY619" s="17">
        <v>44925</v>
      </c>
      <c r="WCZ619" s="5" t="s">
        <v>3728</v>
      </c>
      <c r="WDA619" s="17">
        <v>44925</v>
      </c>
      <c r="WDB619" s="5" t="s">
        <v>3728</v>
      </c>
      <c r="WDC619" s="17">
        <v>44925</v>
      </c>
      <c r="WDD619" s="5" t="s">
        <v>3728</v>
      </c>
      <c r="WDE619" s="17">
        <v>44925</v>
      </c>
      <c r="WDF619" s="5" t="s">
        <v>3728</v>
      </c>
      <c r="WDG619" s="17">
        <v>44925</v>
      </c>
      <c r="WDH619" s="5" t="s">
        <v>3728</v>
      </c>
      <c r="WDI619" s="17">
        <v>44925</v>
      </c>
      <c r="WDJ619" s="5" t="s">
        <v>3728</v>
      </c>
      <c r="WDK619" s="17">
        <v>44925</v>
      </c>
      <c r="WDL619" s="5" t="s">
        <v>3728</v>
      </c>
      <c r="WDM619" s="17">
        <v>44925</v>
      </c>
      <c r="WDN619" s="5" t="s">
        <v>3728</v>
      </c>
      <c r="WDO619" s="17">
        <v>44925</v>
      </c>
      <c r="WDP619" s="5" t="s">
        <v>3728</v>
      </c>
      <c r="WDQ619" s="17">
        <v>44925</v>
      </c>
      <c r="WDR619" s="5" t="s">
        <v>3728</v>
      </c>
      <c r="WDS619" s="17">
        <v>44925</v>
      </c>
      <c r="WDT619" s="5" t="s">
        <v>3728</v>
      </c>
      <c r="WDU619" s="17">
        <v>44925</v>
      </c>
      <c r="WDV619" s="5" t="s">
        <v>3728</v>
      </c>
      <c r="WDW619" s="17">
        <v>44925</v>
      </c>
      <c r="WDX619" s="5" t="s">
        <v>3728</v>
      </c>
      <c r="WDY619" s="17">
        <v>44925</v>
      </c>
      <c r="WDZ619" s="5" t="s">
        <v>3728</v>
      </c>
      <c r="WEA619" s="17">
        <v>44925</v>
      </c>
      <c r="WEB619" s="5" t="s">
        <v>3728</v>
      </c>
      <c r="WEC619" s="17">
        <v>44925</v>
      </c>
      <c r="WED619" s="5" t="s">
        <v>3728</v>
      </c>
      <c r="WEE619" s="17">
        <v>44925</v>
      </c>
      <c r="WEF619" s="5" t="s">
        <v>3728</v>
      </c>
      <c r="WEG619" s="17">
        <v>44925</v>
      </c>
      <c r="WEH619" s="5" t="s">
        <v>3728</v>
      </c>
      <c r="WEI619" s="17">
        <v>44925</v>
      </c>
      <c r="WEJ619" s="5" t="s">
        <v>3728</v>
      </c>
      <c r="WEK619" s="17">
        <v>44925</v>
      </c>
      <c r="WEL619" s="5" t="s">
        <v>3728</v>
      </c>
      <c r="WEM619" s="17">
        <v>44925</v>
      </c>
      <c r="WEN619" s="5" t="s">
        <v>3728</v>
      </c>
      <c r="WEO619" s="17">
        <v>44925</v>
      </c>
      <c r="WEP619" s="5" t="s">
        <v>3728</v>
      </c>
      <c r="WEQ619" s="17">
        <v>44925</v>
      </c>
      <c r="WER619" s="5" t="s">
        <v>3728</v>
      </c>
      <c r="WES619" s="17">
        <v>44925</v>
      </c>
      <c r="WET619" s="5" t="s">
        <v>3728</v>
      </c>
      <c r="WEU619" s="17">
        <v>44925</v>
      </c>
      <c r="WEV619" s="5" t="s">
        <v>3728</v>
      </c>
      <c r="WEW619" s="17">
        <v>44925</v>
      </c>
      <c r="WEX619" s="5" t="s">
        <v>3728</v>
      </c>
      <c r="WEY619" s="17">
        <v>44925</v>
      </c>
      <c r="WEZ619" s="5" t="s">
        <v>3728</v>
      </c>
      <c r="WFA619" s="17">
        <v>44925</v>
      </c>
      <c r="WFB619" s="5" t="s">
        <v>3728</v>
      </c>
      <c r="WFC619" s="17">
        <v>44925</v>
      </c>
      <c r="WFD619" s="5" t="s">
        <v>3728</v>
      </c>
      <c r="WFE619" s="17">
        <v>44925</v>
      </c>
      <c r="WFF619" s="5" t="s">
        <v>3728</v>
      </c>
      <c r="WFG619" s="17">
        <v>44925</v>
      </c>
      <c r="WFH619" s="5" t="s">
        <v>3728</v>
      </c>
      <c r="WFI619" s="17">
        <v>44925</v>
      </c>
      <c r="WFJ619" s="5" t="s">
        <v>3728</v>
      </c>
      <c r="WFK619" s="17">
        <v>44925</v>
      </c>
      <c r="WFL619" s="5" t="s">
        <v>3728</v>
      </c>
      <c r="WFM619" s="17">
        <v>44925</v>
      </c>
      <c r="WFN619" s="5" t="s">
        <v>3728</v>
      </c>
      <c r="WFO619" s="17">
        <v>44925</v>
      </c>
      <c r="WFP619" s="5" t="s">
        <v>3728</v>
      </c>
      <c r="WFQ619" s="17">
        <v>44925</v>
      </c>
      <c r="WFR619" s="5" t="s">
        <v>3728</v>
      </c>
      <c r="WFS619" s="17">
        <v>44925</v>
      </c>
      <c r="WFT619" s="5" t="s">
        <v>3728</v>
      </c>
      <c r="WFU619" s="17">
        <v>44925</v>
      </c>
      <c r="WFV619" s="5" t="s">
        <v>3728</v>
      </c>
      <c r="WFW619" s="17">
        <v>44925</v>
      </c>
      <c r="WFX619" s="5" t="s">
        <v>3728</v>
      </c>
      <c r="WFY619" s="17">
        <v>44925</v>
      </c>
      <c r="WFZ619" s="5" t="s">
        <v>3728</v>
      </c>
      <c r="WGA619" s="17">
        <v>44925</v>
      </c>
      <c r="WGB619" s="5" t="s">
        <v>3728</v>
      </c>
      <c r="WGC619" s="17">
        <v>44925</v>
      </c>
      <c r="WGD619" s="5" t="s">
        <v>3728</v>
      </c>
      <c r="WGE619" s="17">
        <v>44925</v>
      </c>
      <c r="WGF619" s="5" t="s">
        <v>3728</v>
      </c>
      <c r="WGG619" s="17">
        <v>44925</v>
      </c>
      <c r="WGH619" s="5" t="s">
        <v>3728</v>
      </c>
      <c r="WGI619" s="17">
        <v>44925</v>
      </c>
      <c r="WGJ619" s="5" t="s">
        <v>3728</v>
      </c>
      <c r="WGK619" s="17">
        <v>44925</v>
      </c>
      <c r="WGL619" s="5" t="s">
        <v>3728</v>
      </c>
      <c r="WGM619" s="17">
        <v>44925</v>
      </c>
      <c r="WGN619" s="5" t="s">
        <v>3728</v>
      </c>
      <c r="WGO619" s="17">
        <v>44925</v>
      </c>
      <c r="WGP619" s="5" t="s">
        <v>3728</v>
      </c>
      <c r="WGQ619" s="17">
        <v>44925</v>
      </c>
      <c r="WGR619" s="5" t="s">
        <v>3728</v>
      </c>
      <c r="WGS619" s="17">
        <v>44925</v>
      </c>
      <c r="WGT619" s="5" t="s">
        <v>3728</v>
      </c>
      <c r="WGU619" s="17">
        <v>44925</v>
      </c>
      <c r="WGV619" s="5" t="s">
        <v>3728</v>
      </c>
      <c r="WGW619" s="17">
        <v>44925</v>
      </c>
      <c r="WGX619" s="5" t="s">
        <v>3728</v>
      </c>
      <c r="WGY619" s="17">
        <v>44925</v>
      </c>
      <c r="WGZ619" s="5" t="s">
        <v>3728</v>
      </c>
      <c r="WHA619" s="17">
        <v>44925</v>
      </c>
      <c r="WHB619" s="5" t="s">
        <v>3728</v>
      </c>
      <c r="WHC619" s="17">
        <v>44925</v>
      </c>
      <c r="WHD619" s="5" t="s">
        <v>3728</v>
      </c>
      <c r="WHE619" s="17">
        <v>44925</v>
      </c>
      <c r="WHF619" s="5" t="s">
        <v>3728</v>
      </c>
      <c r="WHG619" s="17">
        <v>44925</v>
      </c>
      <c r="WHH619" s="5" t="s">
        <v>3728</v>
      </c>
      <c r="WHI619" s="17">
        <v>44925</v>
      </c>
      <c r="WHJ619" s="5" t="s">
        <v>3728</v>
      </c>
      <c r="WHK619" s="17">
        <v>44925</v>
      </c>
      <c r="WHL619" s="5" t="s">
        <v>3728</v>
      </c>
      <c r="WHM619" s="17">
        <v>44925</v>
      </c>
      <c r="WHN619" s="5" t="s">
        <v>3728</v>
      </c>
      <c r="WHO619" s="17">
        <v>44925</v>
      </c>
      <c r="WHP619" s="5" t="s">
        <v>3728</v>
      </c>
      <c r="WHQ619" s="17">
        <v>44925</v>
      </c>
      <c r="WHR619" s="5" t="s">
        <v>3728</v>
      </c>
      <c r="WHS619" s="17">
        <v>44925</v>
      </c>
      <c r="WHT619" s="5" t="s">
        <v>3728</v>
      </c>
      <c r="WHU619" s="17">
        <v>44925</v>
      </c>
      <c r="WHV619" s="5" t="s">
        <v>3728</v>
      </c>
      <c r="WHW619" s="17">
        <v>44925</v>
      </c>
      <c r="WHX619" s="5" t="s">
        <v>3728</v>
      </c>
      <c r="WHY619" s="17">
        <v>44925</v>
      </c>
      <c r="WHZ619" s="5" t="s">
        <v>3728</v>
      </c>
      <c r="WIA619" s="17">
        <v>44925</v>
      </c>
      <c r="WIB619" s="5" t="s">
        <v>3728</v>
      </c>
      <c r="WIC619" s="17">
        <v>44925</v>
      </c>
      <c r="WID619" s="5" t="s">
        <v>3728</v>
      </c>
      <c r="WIE619" s="17">
        <v>44925</v>
      </c>
      <c r="WIF619" s="5" t="s">
        <v>3728</v>
      </c>
      <c r="WIG619" s="17">
        <v>44925</v>
      </c>
      <c r="WIH619" s="5" t="s">
        <v>3728</v>
      </c>
      <c r="WII619" s="17">
        <v>44925</v>
      </c>
      <c r="WIJ619" s="5" t="s">
        <v>3728</v>
      </c>
      <c r="WIK619" s="17">
        <v>44925</v>
      </c>
      <c r="WIL619" s="5" t="s">
        <v>3728</v>
      </c>
      <c r="WIM619" s="17">
        <v>44925</v>
      </c>
      <c r="WIN619" s="5" t="s">
        <v>3728</v>
      </c>
      <c r="WIO619" s="17">
        <v>44925</v>
      </c>
      <c r="WIP619" s="5" t="s">
        <v>3728</v>
      </c>
      <c r="WIQ619" s="17">
        <v>44925</v>
      </c>
      <c r="WIR619" s="5" t="s">
        <v>3728</v>
      </c>
      <c r="WIS619" s="17">
        <v>44925</v>
      </c>
      <c r="WIT619" s="5" t="s">
        <v>3728</v>
      </c>
      <c r="WIU619" s="17">
        <v>44925</v>
      </c>
      <c r="WIV619" s="5" t="s">
        <v>3728</v>
      </c>
      <c r="WIW619" s="17">
        <v>44925</v>
      </c>
      <c r="WIX619" s="5" t="s">
        <v>3728</v>
      </c>
      <c r="WIY619" s="17">
        <v>44925</v>
      </c>
      <c r="WIZ619" s="5" t="s">
        <v>3728</v>
      </c>
      <c r="WJA619" s="17">
        <v>44925</v>
      </c>
      <c r="WJB619" s="5" t="s">
        <v>3728</v>
      </c>
      <c r="WJC619" s="17">
        <v>44925</v>
      </c>
      <c r="WJD619" s="5" t="s">
        <v>3728</v>
      </c>
      <c r="WJE619" s="17">
        <v>44925</v>
      </c>
      <c r="WJF619" s="5" t="s">
        <v>3728</v>
      </c>
      <c r="WJG619" s="17">
        <v>44925</v>
      </c>
      <c r="WJH619" s="5" t="s">
        <v>3728</v>
      </c>
      <c r="WJI619" s="17">
        <v>44925</v>
      </c>
      <c r="WJJ619" s="5" t="s">
        <v>3728</v>
      </c>
      <c r="WJK619" s="17">
        <v>44925</v>
      </c>
      <c r="WJL619" s="5" t="s">
        <v>3728</v>
      </c>
      <c r="WJM619" s="17">
        <v>44925</v>
      </c>
      <c r="WJN619" s="5" t="s">
        <v>3728</v>
      </c>
      <c r="WJO619" s="17">
        <v>44925</v>
      </c>
      <c r="WJP619" s="5" t="s">
        <v>3728</v>
      </c>
      <c r="WJQ619" s="17">
        <v>44925</v>
      </c>
      <c r="WJR619" s="5" t="s">
        <v>3728</v>
      </c>
      <c r="WJS619" s="17">
        <v>44925</v>
      </c>
      <c r="WJT619" s="5" t="s">
        <v>3728</v>
      </c>
      <c r="WJU619" s="17">
        <v>44925</v>
      </c>
      <c r="WJV619" s="5" t="s">
        <v>3728</v>
      </c>
      <c r="WJW619" s="17">
        <v>44925</v>
      </c>
      <c r="WJX619" s="5" t="s">
        <v>3728</v>
      </c>
      <c r="WJY619" s="17">
        <v>44925</v>
      </c>
      <c r="WJZ619" s="5" t="s">
        <v>3728</v>
      </c>
      <c r="WKA619" s="17">
        <v>44925</v>
      </c>
      <c r="WKB619" s="5" t="s">
        <v>3728</v>
      </c>
      <c r="WKC619" s="17">
        <v>44925</v>
      </c>
      <c r="WKD619" s="5" t="s">
        <v>3728</v>
      </c>
      <c r="WKE619" s="17">
        <v>44925</v>
      </c>
      <c r="WKF619" s="5" t="s">
        <v>3728</v>
      </c>
      <c r="WKG619" s="17">
        <v>44925</v>
      </c>
      <c r="WKH619" s="5" t="s">
        <v>3728</v>
      </c>
      <c r="WKI619" s="17">
        <v>44925</v>
      </c>
      <c r="WKJ619" s="5" t="s">
        <v>3728</v>
      </c>
      <c r="WKK619" s="17">
        <v>44925</v>
      </c>
      <c r="WKL619" s="5" t="s">
        <v>3728</v>
      </c>
      <c r="WKM619" s="17">
        <v>44925</v>
      </c>
      <c r="WKN619" s="5" t="s">
        <v>3728</v>
      </c>
      <c r="WKO619" s="17">
        <v>44925</v>
      </c>
      <c r="WKP619" s="5" t="s">
        <v>3728</v>
      </c>
      <c r="WKQ619" s="17">
        <v>44925</v>
      </c>
      <c r="WKR619" s="5" t="s">
        <v>3728</v>
      </c>
      <c r="WKS619" s="17">
        <v>44925</v>
      </c>
      <c r="WKT619" s="5" t="s">
        <v>3728</v>
      </c>
      <c r="WKU619" s="17">
        <v>44925</v>
      </c>
      <c r="WKV619" s="5" t="s">
        <v>3728</v>
      </c>
      <c r="WKW619" s="17">
        <v>44925</v>
      </c>
      <c r="WKX619" s="5" t="s">
        <v>3728</v>
      </c>
      <c r="WKY619" s="17">
        <v>44925</v>
      </c>
      <c r="WKZ619" s="5" t="s">
        <v>3728</v>
      </c>
      <c r="WLA619" s="17">
        <v>44925</v>
      </c>
      <c r="WLB619" s="5" t="s">
        <v>3728</v>
      </c>
      <c r="WLC619" s="17">
        <v>44925</v>
      </c>
      <c r="WLD619" s="5" t="s">
        <v>3728</v>
      </c>
      <c r="WLE619" s="17">
        <v>44925</v>
      </c>
      <c r="WLF619" s="5" t="s">
        <v>3728</v>
      </c>
      <c r="WLG619" s="17">
        <v>44925</v>
      </c>
      <c r="WLH619" s="5" t="s">
        <v>3728</v>
      </c>
      <c r="WLI619" s="17">
        <v>44925</v>
      </c>
      <c r="WLJ619" s="5" t="s">
        <v>3728</v>
      </c>
      <c r="WLK619" s="17">
        <v>44925</v>
      </c>
      <c r="WLL619" s="5" t="s">
        <v>3728</v>
      </c>
      <c r="WLM619" s="17">
        <v>44925</v>
      </c>
      <c r="WLN619" s="5" t="s">
        <v>3728</v>
      </c>
      <c r="WLO619" s="17">
        <v>44925</v>
      </c>
      <c r="WLP619" s="5" t="s">
        <v>3728</v>
      </c>
      <c r="WLQ619" s="17">
        <v>44925</v>
      </c>
      <c r="WLR619" s="5" t="s">
        <v>3728</v>
      </c>
      <c r="WLS619" s="17">
        <v>44925</v>
      </c>
      <c r="WLT619" s="5" t="s">
        <v>3728</v>
      </c>
      <c r="WLU619" s="17">
        <v>44925</v>
      </c>
      <c r="WLV619" s="5" t="s">
        <v>3728</v>
      </c>
      <c r="WLW619" s="17">
        <v>44925</v>
      </c>
      <c r="WLX619" s="5" t="s">
        <v>3728</v>
      </c>
      <c r="WLY619" s="17">
        <v>44925</v>
      </c>
      <c r="WLZ619" s="5" t="s">
        <v>3728</v>
      </c>
      <c r="WMA619" s="17">
        <v>44925</v>
      </c>
      <c r="WMB619" s="5" t="s">
        <v>3728</v>
      </c>
      <c r="WMC619" s="17">
        <v>44925</v>
      </c>
      <c r="WMD619" s="5" t="s">
        <v>3728</v>
      </c>
      <c r="WME619" s="17">
        <v>44925</v>
      </c>
      <c r="WMF619" s="5" t="s">
        <v>3728</v>
      </c>
      <c r="WMG619" s="17">
        <v>44925</v>
      </c>
      <c r="WMH619" s="5" t="s">
        <v>3728</v>
      </c>
      <c r="WMI619" s="17">
        <v>44925</v>
      </c>
      <c r="WMJ619" s="5" t="s">
        <v>3728</v>
      </c>
      <c r="WMK619" s="17">
        <v>44925</v>
      </c>
      <c r="WML619" s="5" t="s">
        <v>3728</v>
      </c>
      <c r="WMM619" s="17">
        <v>44925</v>
      </c>
      <c r="WMN619" s="5" t="s">
        <v>3728</v>
      </c>
      <c r="WMO619" s="17">
        <v>44925</v>
      </c>
      <c r="WMP619" s="5" t="s">
        <v>3728</v>
      </c>
      <c r="WMQ619" s="17">
        <v>44925</v>
      </c>
      <c r="WMR619" s="5" t="s">
        <v>3728</v>
      </c>
      <c r="WMS619" s="17">
        <v>44925</v>
      </c>
      <c r="WMT619" s="5" t="s">
        <v>3728</v>
      </c>
      <c r="WMU619" s="17">
        <v>44925</v>
      </c>
      <c r="WMV619" s="5" t="s">
        <v>3728</v>
      </c>
      <c r="WMW619" s="17">
        <v>44925</v>
      </c>
      <c r="WMX619" s="5" t="s">
        <v>3728</v>
      </c>
      <c r="WMY619" s="17">
        <v>44925</v>
      </c>
      <c r="WMZ619" s="5" t="s">
        <v>3728</v>
      </c>
      <c r="WNA619" s="17">
        <v>44925</v>
      </c>
      <c r="WNB619" s="5" t="s">
        <v>3728</v>
      </c>
      <c r="WNC619" s="17">
        <v>44925</v>
      </c>
      <c r="WND619" s="5" t="s">
        <v>3728</v>
      </c>
      <c r="WNE619" s="17">
        <v>44925</v>
      </c>
      <c r="WNF619" s="5" t="s">
        <v>3728</v>
      </c>
      <c r="WNG619" s="17">
        <v>44925</v>
      </c>
      <c r="WNH619" s="5" t="s">
        <v>3728</v>
      </c>
      <c r="WNI619" s="17">
        <v>44925</v>
      </c>
      <c r="WNJ619" s="5" t="s">
        <v>3728</v>
      </c>
      <c r="WNK619" s="17">
        <v>44925</v>
      </c>
      <c r="WNL619" s="5" t="s">
        <v>3728</v>
      </c>
      <c r="WNM619" s="17">
        <v>44925</v>
      </c>
      <c r="WNN619" s="5" t="s">
        <v>3728</v>
      </c>
      <c r="WNO619" s="17">
        <v>44925</v>
      </c>
      <c r="WNP619" s="5" t="s">
        <v>3728</v>
      </c>
      <c r="WNQ619" s="17">
        <v>44925</v>
      </c>
      <c r="WNR619" s="5" t="s">
        <v>3728</v>
      </c>
      <c r="WNS619" s="17">
        <v>44925</v>
      </c>
      <c r="WNT619" s="5" t="s">
        <v>3728</v>
      </c>
      <c r="WNU619" s="17">
        <v>44925</v>
      </c>
      <c r="WNV619" s="5" t="s">
        <v>3728</v>
      </c>
      <c r="WNW619" s="17">
        <v>44925</v>
      </c>
      <c r="WNX619" s="5" t="s">
        <v>3728</v>
      </c>
      <c r="WNY619" s="17">
        <v>44925</v>
      </c>
      <c r="WNZ619" s="5" t="s">
        <v>3728</v>
      </c>
      <c r="WOA619" s="17">
        <v>44925</v>
      </c>
      <c r="WOB619" s="5" t="s">
        <v>3728</v>
      </c>
      <c r="WOC619" s="17">
        <v>44925</v>
      </c>
      <c r="WOD619" s="5" t="s">
        <v>3728</v>
      </c>
      <c r="WOE619" s="17">
        <v>44925</v>
      </c>
      <c r="WOF619" s="5" t="s">
        <v>3728</v>
      </c>
      <c r="WOG619" s="17">
        <v>44925</v>
      </c>
      <c r="WOH619" s="5" t="s">
        <v>3728</v>
      </c>
      <c r="WOI619" s="17">
        <v>44925</v>
      </c>
      <c r="WOJ619" s="5" t="s">
        <v>3728</v>
      </c>
      <c r="WOK619" s="17">
        <v>44925</v>
      </c>
      <c r="WOL619" s="5" t="s">
        <v>3728</v>
      </c>
      <c r="WOM619" s="17">
        <v>44925</v>
      </c>
      <c r="WON619" s="5" t="s">
        <v>3728</v>
      </c>
      <c r="WOO619" s="17">
        <v>44925</v>
      </c>
      <c r="WOP619" s="5" t="s">
        <v>3728</v>
      </c>
      <c r="WOQ619" s="17">
        <v>44925</v>
      </c>
      <c r="WOR619" s="5" t="s">
        <v>3728</v>
      </c>
      <c r="WOS619" s="17">
        <v>44925</v>
      </c>
      <c r="WOT619" s="5" t="s">
        <v>3728</v>
      </c>
      <c r="WOU619" s="17">
        <v>44925</v>
      </c>
      <c r="WOV619" s="5" t="s">
        <v>3728</v>
      </c>
      <c r="WOW619" s="17">
        <v>44925</v>
      </c>
      <c r="WOX619" s="5" t="s">
        <v>3728</v>
      </c>
      <c r="WOY619" s="17">
        <v>44925</v>
      </c>
      <c r="WOZ619" s="5" t="s">
        <v>3728</v>
      </c>
      <c r="WPA619" s="17">
        <v>44925</v>
      </c>
      <c r="WPB619" s="5" t="s">
        <v>3728</v>
      </c>
      <c r="WPC619" s="17">
        <v>44925</v>
      </c>
      <c r="WPD619" s="5" t="s">
        <v>3728</v>
      </c>
      <c r="WPE619" s="17">
        <v>44925</v>
      </c>
      <c r="WPF619" s="5" t="s">
        <v>3728</v>
      </c>
      <c r="WPG619" s="17">
        <v>44925</v>
      </c>
      <c r="WPH619" s="5" t="s">
        <v>3728</v>
      </c>
      <c r="WPI619" s="17">
        <v>44925</v>
      </c>
      <c r="WPJ619" s="5" t="s">
        <v>3728</v>
      </c>
      <c r="WPK619" s="17">
        <v>44925</v>
      </c>
      <c r="WPL619" s="5" t="s">
        <v>3728</v>
      </c>
      <c r="WPM619" s="17">
        <v>44925</v>
      </c>
      <c r="WPN619" s="5" t="s">
        <v>3728</v>
      </c>
      <c r="WPO619" s="17">
        <v>44925</v>
      </c>
      <c r="WPP619" s="5" t="s">
        <v>3728</v>
      </c>
      <c r="WPQ619" s="17">
        <v>44925</v>
      </c>
      <c r="WPR619" s="5" t="s">
        <v>3728</v>
      </c>
      <c r="WPS619" s="17">
        <v>44925</v>
      </c>
      <c r="WPT619" s="5" t="s">
        <v>3728</v>
      </c>
      <c r="WPU619" s="17">
        <v>44925</v>
      </c>
      <c r="WPV619" s="5" t="s">
        <v>3728</v>
      </c>
      <c r="WPW619" s="17">
        <v>44925</v>
      </c>
      <c r="WPX619" s="5" t="s">
        <v>3728</v>
      </c>
      <c r="WPY619" s="17">
        <v>44925</v>
      </c>
      <c r="WPZ619" s="5" t="s">
        <v>3728</v>
      </c>
      <c r="WQA619" s="17">
        <v>44925</v>
      </c>
      <c r="WQB619" s="5" t="s">
        <v>3728</v>
      </c>
      <c r="WQC619" s="17">
        <v>44925</v>
      </c>
      <c r="WQD619" s="5" t="s">
        <v>3728</v>
      </c>
      <c r="WQE619" s="17">
        <v>44925</v>
      </c>
      <c r="WQF619" s="5" t="s">
        <v>3728</v>
      </c>
      <c r="WQG619" s="17">
        <v>44925</v>
      </c>
      <c r="WQH619" s="5" t="s">
        <v>3728</v>
      </c>
      <c r="WQI619" s="17">
        <v>44925</v>
      </c>
      <c r="WQJ619" s="5" t="s">
        <v>3728</v>
      </c>
      <c r="WQK619" s="17">
        <v>44925</v>
      </c>
      <c r="WQL619" s="5" t="s">
        <v>3728</v>
      </c>
      <c r="WQM619" s="17">
        <v>44925</v>
      </c>
      <c r="WQN619" s="5" t="s">
        <v>3728</v>
      </c>
      <c r="WQO619" s="17">
        <v>44925</v>
      </c>
      <c r="WQP619" s="5" t="s">
        <v>3728</v>
      </c>
      <c r="WQQ619" s="17">
        <v>44925</v>
      </c>
      <c r="WQR619" s="5" t="s">
        <v>3728</v>
      </c>
      <c r="WQS619" s="17">
        <v>44925</v>
      </c>
      <c r="WQT619" s="5" t="s">
        <v>3728</v>
      </c>
      <c r="WQU619" s="17">
        <v>44925</v>
      </c>
      <c r="WQV619" s="5" t="s">
        <v>3728</v>
      </c>
      <c r="WQW619" s="17">
        <v>44925</v>
      </c>
      <c r="WQX619" s="5" t="s">
        <v>3728</v>
      </c>
      <c r="WQY619" s="17">
        <v>44925</v>
      </c>
      <c r="WQZ619" s="5" t="s">
        <v>3728</v>
      </c>
      <c r="WRA619" s="17">
        <v>44925</v>
      </c>
      <c r="WRB619" s="5" t="s">
        <v>3728</v>
      </c>
      <c r="WRC619" s="17">
        <v>44925</v>
      </c>
      <c r="WRD619" s="5" t="s">
        <v>3728</v>
      </c>
      <c r="WRE619" s="17">
        <v>44925</v>
      </c>
      <c r="WRF619" s="5" t="s">
        <v>3728</v>
      </c>
      <c r="WRG619" s="17">
        <v>44925</v>
      </c>
      <c r="WRH619" s="5" t="s">
        <v>3728</v>
      </c>
      <c r="WRI619" s="17">
        <v>44925</v>
      </c>
      <c r="WRJ619" s="5" t="s">
        <v>3728</v>
      </c>
      <c r="WRK619" s="17">
        <v>44925</v>
      </c>
      <c r="WRL619" s="5" t="s">
        <v>3728</v>
      </c>
      <c r="WRM619" s="17">
        <v>44925</v>
      </c>
      <c r="WRN619" s="5" t="s">
        <v>3728</v>
      </c>
      <c r="WRO619" s="17">
        <v>44925</v>
      </c>
      <c r="WRP619" s="5" t="s">
        <v>3728</v>
      </c>
      <c r="WRQ619" s="17">
        <v>44925</v>
      </c>
      <c r="WRR619" s="5" t="s">
        <v>3728</v>
      </c>
      <c r="WRS619" s="17">
        <v>44925</v>
      </c>
      <c r="WRT619" s="5" t="s">
        <v>3728</v>
      </c>
      <c r="WRU619" s="17">
        <v>44925</v>
      </c>
      <c r="WRV619" s="5" t="s">
        <v>3728</v>
      </c>
      <c r="WRW619" s="17">
        <v>44925</v>
      </c>
      <c r="WRX619" s="5" t="s">
        <v>3728</v>
      </c>
      <c r="WRY619" s="17">
        <v>44925</v>
      </c>
      <c r="WRZ619" s="5" t="s">
        <v>3728</v>
      </c>
      <c r="WSA619" s="17">
        <v>44925</v>
      </c>
      <c r="WSB619" s="5" t="s">
        <v>3728</v>
      </c>
      <c r="WSC619" s="17">
        <v>44925</v>
      </c>
      <c r="WSD619" s="5" t="s">
        <v>3728</v>
      </c>
      <c r="WSE619" s="17">
        <v>44925</v>
      </c>
      <c r="WSF619" s="5" t="s">
        <v>3728</v>
      </c>
      <c r="WSG619" s="17">
        <v>44925</v>
      </c>
      <c r="WSH619" s="5" t="s">
        <v>3728</v>
      </c>
      <c r="WSI619" s="17">
        <v>44925</v>
      </c>
      <c r="WSJ619" s="5" t="s">
        <v>3728</v>
      </c>
      <c r="WSK619" s="17">
        <v>44925</v>
      </c>
      <c r="WSL619" s="5" t="s">
        <v>3728</v>
      </c>
      <c r="WSM619" s="17">
        <v>44925</v>
      </c>
      <c r="WSN619" s="5" t="s">
        <v>3728</v>
      </c>
      <c r="WSO619" s="17">
        <v>44925</v>
      </c>
      <c r="WSP619" s="5" t="s">
        <v>3728</v>
      </c>
      <c r="WSQ619" s="17">
        <v>44925</v>
      </c>
      <c r="WSR619" s="5" t="s">
        <v>3728</v>
      </c>
      <c r="WSS619" s="17">
        <v>44925</v>
      </c>
      <c r="WST619" s="5" t="s">
        <v>3728</v>
      </c>
      <c r="WSU619" s="17">
        <v>44925</v>
      </c>
      <c r="WSV619" s="5" t="s">
        <v>3728</v>
      </c>
      <c r="WSW619" s="17">
        <v>44925</v>
      </c>
      <c r="WSX619" s="5" t="s">
        <v>3728</v>
      </c>
      <c r="WSY619" s="17">
        <v>44925</v>
      </c>
      <c r="WSZ619" s="5" t="s">
        <v>3728</v>
      </c>
      <c r="WTA619" s="17">
        <v>44925</v>
      </c>
      <c r="WTB619" s="5" t="s">
        <v>3728</v>
      </c>
      <c r="WTC619" s="17">
        <v>44925</v>
      </c>
      <c r="WTD619" s="5" t="s">
        <v>3728</v>
      </c>
      <c r="WTE619" s="17">
        <v>44925</v>
      </c>
      <c r="WTF619" s="5" t="s">
        <v>3728</v>
      </c>
      <c r="WTG619" s="17">
        <v>44925</v>
      </c>
      <c r="WTH619" s="5" t="s">
        <v>3728</v>
      </c>
      <c r="WTI619" s="17">
        <v>44925</v>
      </c>
      <c r="WTJ619" s="5" t="s">
        <v>3728</v>
      </c>
      <c r="WTK619" s="17">
        <v>44925</v>
      </c>
      <c r="WTL619" s="5" t="s">
        <v>3728</v>
      </c>
      <c r="WTM619" s="17">
        <v>44925</v>
      </c>
      <c r="WTN619" s="5" t="s">
        <v>3728</v>
      </c>
      <c r="WTO619" s="17">
        <v>44925</v>
      </c>
      <c r="WTP619" s="5" t="s">
        <v>3728</v>
      </c>
      <c r="WTQ619" s="17">
        <v>44925</v>
      </c>
      <c r="WTR619" s="5" t="s">
        <v>3728</v>
      </c>
      <c r="WTS619" s="17">
        <v>44925</v>
      </c>
      <c r="WTT619" s="5" t="s">
        <v>3728</v>
      </c>
      <c r="WTU619" s="17">
        <v>44925</v>
      </c>
      <c r="WTV619" s="5" t="s">
        <v>3728</v>
      </c>
      <c r="WTW619" s="17">
        <v>44925</v>
      </c>
      <c r="WTX619" s="5" t="s">
        <v>3728</v>
      </c>
      <c r="WTY619" s="17">
        <v>44925</v>
      </c>
      <c r="WTZ619" s="5" t="s">
        <v>3728</v>
      </c>
      <c r="WUA619" s="17">
        <v>44925</v>
      </c>
      <c r="WUB619" s="5" t="s">
        <v>3728</v>
      </c>
      <c r="WUC619" s="17">
        <v>44925</v>
      </c>
      <c r="WUD619" s="5" t="s">
        <v>3728</v>
      </c>
      <c r="WUE619" s="17">
        <v>44925</v>
      </c>
      <c r="WUF619" s="5" t="s">
        <v>3728</v>
      </c>
      <c r="WUG619" s="17">
        <v>44925</v>
      </c>
      <c r="WUH619" s="5" t="s">
        <v>3728</v>
      </c>
      <c r="WUI619" s="17">
        <v>44925</v>
      </c>
      <c r="WUJ619" s="5" t="s">
        <v>3728</v>
      </c>
      <c r="WUK619" s="17">
        <v>44925</v>
      </c>
      <c r="WUL619" s="5" t="s">
        <v>3728</v>
      </c>
      <c r="WUM619" s="17">
        <v>44925</v>
      </c>
      <c r="WUN619" s="5" t="s">
        <v>3728</v>
      </c>
      <c r="WUO619" s="17">
        <v>44925</v>
      </c>
      <c r="WUP619" s="5" t="s">
        <v>3728</v>
      </c>
      <c r="WUQ619" s="17">
        <v>44925</v>
      </c>
      <c r="WUR619" s="5" t="s">
        <v>3728</v>
      </c>
      <c r="WUS619" s="17">
        <v>44925</v>
      </c>
      <c r="WUT619" s="5" t="s">
        <v>3728</v>
      </c>
      <c r="WUU619" s="17">
        <v>44925</v>
      </c>
      <c r="WUV619" s="5" t="s">
        <v>3728</v>
      </c>
      <c r="WUW619" s="17">
        <v>44925</v>
      </c>
      <c r="WUX619" s="5" t="s">
        <v>3728</v>
      </c>
      <c r="WUY619" s="17">
        <v>44925</v>
      </c>
      <c r="WUZ619" s="5" t="s">
        <v>3728</v>
      </c>
      <c r="WVA619" s="17">
        <v>44925</v>
      </c>
      <c r="WVB619" s="5" t="s">
        <v>3728</v>
      </c>
      <c r="WVC619" s="17">
        <v>44925</v>
      </c>
      <c r="WVD619" s="5" t="s">
        <v>3728</v>
      </c>
      <c r="WVE619" s="17">
        <v>44925</v>
      </c>
      <c r="WVF619" s="5" t="s">
        <v>3728</v>
      </c>
      <c r="WVG619" s="17">
        <v>44925</v>
      </c>
      <c r="WVH619" s="5" t="s">
        <v>3728</v>
      </c>
      <c r="WVI619" s="17">
        <v>44925</v>
      </c>
      <c r="WVJ619" s="5" t="s">
        <v>3728</v>
      </c>
      <c r="WVK619" s="17">
        <v>44925</v>
      </c>
      <c r="WVL619" s="5" t="s">
        <v>3728</v>
      </c>
      <c r="WVM619" s="17">
        <v>44925</v>
      </c>
      <c r="WVN619" s="5" t="s">
        <v>3728</v>
      </c>
      <c r="WVO619" s="17">
        <v>44925</v>
      </c>
      <c r="WVP619" s="5" t="s">
        <v>3728</v>
      </c>
      <c r="WVQ619" s="17">
        <v>44925</v>
      </c>
      <c r="WVR619" s="5" t="s">
        <v>3728</v>
      </c>
      <c r="WVS619" s="17">
        <v>44925</v>
      </c>
      <c r="WVT619" s="5" t="s">
        <v>3728</v>
      </c>
      <c r="WVU619" s="17">
        <v>44925</v>
      </c>
      <c r="WVV619" s="5" t="s">
        <v>3728</v>
      </c>
      <c r="WVW619" s="17">
        <v>44925</v>
      </c>
      <c r="WVX619" s="5" t="s">
        <v>3728</v>
      </c>
      <c r="WVY619" s="17">
        <v>44925</v>
      </c>
      <c r="WVZ619" s="5" t="s">
        <v>3728</v>
      </c>
      <c r="WWA619" s="17">
        <v>44925</v>
      </c>
      <c r="WWB619" s="5" t="s">
        <v>3728</v>
      </c>
      <c r="WWC619" s="17">
        <v>44925</v>
      </c>
      <c r="WWD619" s="5" t="s">
        <v>3728</v>
      </c>
      <c r="WWE619" s="17">
        <v>44925</v>
      </c>
      <c r="WWF619" s="5" t="s">
        <v>3728</v>
      </c>
      <c r="WWG619" s="17">
        <v>44925</v>
      </c>
      <c r="WWH619" s="5" t="s">
        <v>3728</v>
      </c>
      <c r="WWI619" s="17">
        <v>44925</v>
      </c>
      <c r="WWJ619" s="5" t="s">
        <v>3728</v>
      </c>
      <c r="WWK619" s="17">
        <v>44925</v>
      </c>
      <c r="WWL619" s="5" t="s">
        <v>3728</v>
      </c>
      <c r="WWM619" s="17">
        <v>44925</v>
      </c>
      <c r="WWN619" s="5" t="s">
        <v>3728</v>
      </c>
      <c r="WWO619" s="17">
        <v>44925</v>
      </c>
      <c r="WWP619" s="5" t="s">
        <v>3728</v>
      </c>
      <c r="WWQ619" s="17">
        <v>44925</v>
      </c>
      <c r="WWR619" s="5" t="s">
        <v>3728</v>
      </c>
      <c r="WWS619" s="17">
        <v>44925</v>
      </c>
      <c r="WWT619" s="5" t="s">
        <v>3728</v>
      </c>
      <c r="WWU619" s="17">
        <v>44925</v>
      </c>
      <c r="WWV619" s="5" t="s">
        <v>3728</v>
      </c>
      <c r="WWW619" s="17">
        <v>44925</v>
      </c>
      <c r="WWX619" s="5" t="s">
        <v>3728</v>
      </c>
      <c r="WWY619" s="17">
        <v>44925</v>
      </c>
      <c r="WWZ619" s="5" t="s">
        <v>3728</v>
      </c>
      <c r="WXA619" s="17">
        <v>44925</v>
      </c>
      <c r="WXB619" s="5" t="s">
        <v>3728</v>
      </c>
      <c r="WXC619" s="17">
        <v>44925</v>
      </c>
      <c r="WXD619" s="5" t="s">
        <v>3728</v>
      </c>
      <c r="WXE619" s="17">
        <v>44925</v>
      </c>
      <c r="WXF619" s="5" t="s">
        <v>3728</v>
      </c>
      <c r="WXG619" s="17">
        <v>44925</v>
      </c>
      <c r="WXH619" s="5" t="s">
        <v>3728</v>
      </c>
      <c r="WXI619" s="17">
        <v>44925</v>
      </c>
      <c r="WXJ619" s="5" t="s">
        <v>3728</v>
      </c>
      <c r="WXK619" s="17">
        <v>44925</v>
      </c>
      <c r="WXL619" s="5" t="s">
        <v>3728</v>
      </c>
      <c r="WXM619" s="17">
        <v>44925</v>
      </c>
      <c r="WXN619" s="5" t="s">
        <v>3728</v>
      </c>
      <c r="WXO619" s="17">
        <v>44925</v>
      </c>
      <c r="WXP619" s="5" t="s">
        <v>3728</v>
      </c>
      <c r="WXQ619" s="17">
        <v>44925</v>
      </c>
      <c r="WXR619" s="5" t="s">
        <v>3728</v>
      </c>
      <c r="WXS619" s="17">
        <v>44925</v>
      </c>
      <c r="WXT619" s="5" t="s">
        <v>3728</v>
      </c>
      <c r="WXU619" s="17">
        <v>44925</v>
      </c>
      <c r="WXV619" s="5" t="s">
        <v>3728</v>
      </c>
      <c r="WXW619" s="17">
        <v>44925</v>
      </c>
      <c r="WXX619" s="5" t="s">
        <v>3728</v>
      </c>
      <c r="WXY619" s="17">
        <v>44925</v>
      </c>
      <c r="WXZ619" s="5" t="s">
        <v>3728</v>
      </c>
      <c r="WYA619" s="17">
        <v>44925</v>
      </c>
      <c r="WYB619" s="5" t="s">
        <v>3728</v>
      </c>
      <c r="WYC619" s="17">
        <v>44925</v>
      </c>
      <c r="WYD619" s="5" t="s">
        <v>3728</v>
      </c>
      <c r="WYE619" s="17">
        <v>44925</v>
      </c>
      <c r="WYF619" s="5" t="s">
        <v>3728</v>
      </c>
      <c r="WYG619" s="17">
        <v>44925</v>
      </c>
      <c r="WYH619" s="5" t="s">
        <v>3728</v>
      </c>
      <c r="WYI619" s="17">
        <v>44925</v>
      </c>
      <c r="WYJ619" s="5" t="s">
        <v>3728</v>
      </c>
      <c r="WYK619" s="17">
        <v>44925</v>
      </c>
      <c r="WYL619" s="5" t="s">
        <v>3728</v>
      </c>
      <c r="WYM619" s="17">
        <v>44925</v>
      </c>
      <c r="WYN619" s="5" t="s">
        <v>3728</v>
      </c>
      <c r="WYO619" s="17">
        <v>44925</v>
      </c>
      <c r="WYP619" s="5" t="s">
        <v>3728</v>
      </c>
      <c r="WYQ619" s="17">
        <v>44925</v>
      </c>
      <c r="WYR619" s="5" t="s">
        <v>3728</v>
      </c>
      <c r="WYS619" s="17">
        <v>44925</v>
      </c>
      <c r="WYT619" s="5" t="s">
        <v>3728</v>
      </c>
      <c r="WYU619" s="17">
        <v>44925</v>
      </c>
      <c r="WYV619" s="5" t="s">
        <v>3728</v>
      </c>
      <c r="WYW619" s="17">
        <v>44925</v>
      </c>
      <c r="WYX619" s="5" t="s">
        <v>3728</v>
      </c>
      <c r="WYY619" s="17">
        <v>44925</v>
      </c>
      <c r="WYZ619" s="5" t="s">
        <v>3728</v>
      </c>
      <c r="WZA619" s="17">
        <v>44925</v>
      </c>
      <c r="WZB619" s="5" t="s">
        <v>3728</v>
      </c>
      <c r="WZC619" s="17">
        <v>44925</v>
      </c>
      <c r="WZD619" s="5" t="s">
        <v>3728</v>
      </c>
      <c r="WZE619" s="17">
        <v>44925</v>
      </c>
      <c r="WZF619" s="5" t="s">
        <v>3728</v>
      </c>
      <c r="WZG619" s="17">
        <v>44925</v>
      </c>
      <c r="WZH619" s="5" t="s">
        <v>3728</v>
      </c>
      <c r="WZI619" s="17">
        <v>44925</v>
      </c>
      <c r="WZJ619" s="5" t="s">
        <v>3728</v>
      </c>
      <c r="WZK619" s="17">
        <v>44925</v>
      </c>
      <c r="WZL619" s="5" t="s">
        <v>3728</v>
      </c>
      <c r="WZM619" s="17">
        <v>44925</v>
      </c>
      <c r="WZN619" s="5" t="s">
        <v>3728</v>
      </c>
      <c r="WZO619" s="17">
        <v>44925</v>
      </c>
      <c r="WZP619" s="5" t="s">
        <v>3728</v>
      </c>
      <c r="WZQ619" s="17">
        <v>44925</v>
      </c>
      <c r="WZR619" s="5" t="s">
        <v>3728</v>
      </c>
      <c r="WZS619" s="17">
        <v>44925</v>
      </c>
      <c r="WZT619" s="5" t="s">
        <v>3728</v>
      </c>
      <c r="WZU619" s="17">
        <v>44925</v>
      </c>
      <c r="WZV619" s="5" t="s">
        <v>3728</v>
      </c>
      <c r="WZW619" s="17">
        <v>44925</v>
      </c>
      <c r="WZX619" s="5" t="s">
        <v>3728</v>
      </c>
      <c r="WZY619" s="17">
        <v>44925</v>
      </c>
      <c r="WZZ619" s="5" t="s">
        <v>3728</v>
      </c>
      <c r="XAA619" s="17">
        <v>44925</v>
      </c>
      <c r="XAB619" s="5" t="s">
        <v>3728</v>
      </c>
      <c r="XAC619" s="17">
        <v>44925</v>
      </c>
      <c r="XAD619" s="5" t="s">
        <v>3728</v>
      </c>
      <c r="XAE619" s="17">
        <v>44925</v>
      </c>
      <c r="XAF619" s="5" t="s">
        <v>3728</v>
      </c>
      <c r="XAG619" s="17">
        <v>44925</v>
      </c>
      <c r="XAH619" s="5" t="s">
        <v>3728</v>
      </c>
      <c r="XAI619" s="17">
        <v>44925</v>
      </c>
      <c r="XAJ619" s="5" t="s">
        <v>3728</v>
      </c>
      <c r="XAK619" s="17">
        <v>44925</v>
      </c>
      <c r="XAL619" s="5" t="s">
        <v>3728</v>
      </c>
      <c r="XAM619" s="17">
        <v>44925</v>
      </c>
      <c r="XAN619" s="5" t="s">
        <v>3728</v>
      </c>
      <c r="XAO619" s="17">
        <v>44925</v>
      </c>
      <c r="XAP619" s="5" t="s">
        <v>3728</v>
      </c>
      <c r="XAQ619" s="17">
        <v>44925</v>
      </c>
      <c r="XAR619" s="5" t="s">
        <v>3728</v>
      </c>
      <c r="XAS619" s="17">
        <v>44925</v>
      </c>
      <c r="XAT619" s="5" t="s">
        <v>3728</v>
      </c>
      <c r="XAU619" s="17">
        <v>44925</v>
      </c>
      <c r="XAV619" s="5" t="s">
        <v>3728</v>
      </c>
      <c r="XAW619" s="17">
        <v>44925</v>
      </c>
      <c r="XAX619" s="5" t="s">
        <v>3728</v>
      </c>
      <c r="XAY619" s="17">
        <v>44925</v>
      </c>
      <c r="XAZ619" s="5" t="s">
        <v>3728</v>
      </c>
      <c r="XBA619" s="17">
        <v>44925</v>
      </c>
      <c r="XBB619" s="5" t="s">
        <v>3728</v>
      </c>
      <c r="XBC619" s="17">
        <v>44925</v>
      </c>
      <c r="XBD619" s="5" t="s">
        <v>3728</v>
      </c>
      <c r="XBE619" s="17">
        <v>44925</v>
      </c>
      <c r="XBF619" s="5" t="s">
        <v>3728</v>
      </c>
      <c r="XBG619" s="17">
        <v>44925</v>
      </c>
      <c r="XBH619" s="5" t="s">
        <v>3728</v>
      </c>
      <c r="XBI619" s="17">
        <v>44925</v>
      </c>
      <c r="XBJ619" s="5" t="s">
        <v>3728</v>
      </c>
      <c r="XBK619" s="17">
        <v>44925</v>
      </c>
      <c r="XBL619" s="5" t="s">
        <v>3728</v>
      </c>
      <c r="XBM619" s="17">
        <v>44925</v>
      </c>
      <c r="XBN619" s="5" t="s">
        <v>3728</v>
      </c>
      <c r="XBO619" s="17">
        <v>44925</v>
      </c>
      <c r="XBP619" s="5" t="s">
        <v>3728</v>
      </c>
      <c r="XBQ619" s="17">
        <v>44925</v>
      </c>
      <c r="XBR619" s="5" t="s">
        <v>3728</v>
      </c>
      <c r="XBS619" s="17">
        <v>44925</v>
      </c>
      <c r="XBT619" s="5" t="s">
        <v>3728</v>
      </c>
      <c r="XBU619" s="17">
        <v>44925</v>
      </c>
      <c r="XBV619" s="5" t="s">
        <v>3728</v>
      </c>
      <c r="XBW619" s="17">
        <v>44925</v>
      </c>
      <c r="XBX619" s="5" t="s">
        <v>3728</v>
      </c>
      <c r="XBY619" s="17">
        <v>44925</v>
      </c>
      <c r="XBZ619" s="5" t="s">
        <v>3728</v>
      </c>
      <c r="XCA619" s="17">
        <v>44925</v>
      </c>
      <c r="XCB619" s="5" t="s">
        <v>3728</v>
      </c>
      <c r="XCC619" s="17">
        <v>44925</v>
      </c>
      <c r="XCD619" s="5" t="s">
        <v>3728</v>
      </c>
      <c r="XCE619" s="17">
        <v>44925</v>
      </c>
      <c r="XCF619" s="5" t="s">
        <v>3728</v>
      </c>
      <c r="XCG619" s="17">
        <v>44925</v>
      </c>
      <c r="XCH619" s="5" t="s">
        <v>3728</v>
      </c>
      <c r="XCI619" s="17">
        <v>44925</v>
      </c>
      <c r="XCJ619" s="5" t="s">
        <v>3728</v>
      </c>
      <c r="XCK619" s="17">
        <v>44925</v>
      </c>
      <c r="XCL619" s="5" t="s">
        <v>3728</v>
      </c>
      <c r="XCM619" s="17">
        <v>44925</v>
      </c>
      <c r="XCN619" s="5" t="s">
        <v>3728</v>
      </c>
      <c r="XCO619" s="17">
        <v>44925</v>
      </c>
      <c r="XCP619" s="5" t="s">
        <v>3728</v>
      </c>
      <c r="XCQ619" s="17">
        <v>44925</v>
      </c>
      <c r="XCR619" s="5" t="s">
        <v>3728</v>
      </c>
      <c r="XCS619" s="17">
        <v>44925</v>
      </c>
      <c r="XCT619" s="5" t="s">
        <v>3728</v>
      </c>
      <c r="XCU619" s="17">
        <v>44925</v>
      </c>
      <c r="XCV619" s="5" t="s">
        <v>3728</v>
      </c>
      <c r="XCW619" s="17">
        <v>44925</v>
      </c>
      <c r="XCX619" s="5" t="s">
        <v>3728</v>
      </c>
      <c r="XCY619" s="17">
        <v>44925</v>
      </c>
      <c r="XCZ619" s="5" t="s">
        <v>3728</v>
      </c>
      <c r="XDA619" s="17">
        <v>44925</v>
      </c>
      <c r="XDB619" s="5" t="s">
        <v>3728</v>
      </c>
      <c r="XDC619" s="17">
        <v>44925</v>
      </c>
      <c r="XDD619" s="5" t="s">
        <v>3728</v>
      </c>
      <c r="XDE619" s="17">
        <v>44925</v>
      </c>
      <c r="XDF619" s="5" t="s">
        <v>3728</v>
      </c>
      <c r="XDG619" s="17">
        <v>44925</v>
      </c>
      <c r="XDH619" s="5" t="s">
        <v>3728</v>
      </c>
      <c r="XDI619" s="17">
        <v>44925</v>
      </c>
      <c r="XDJ619" s="5" t="s">
        <v>3728</v>
      </c>
      <c r="XDK619" s="17">
        <v>44925</v>
      </c>
      <c r="XDL619" s="5" t="s">
        <v>3728</v>
      </c>
      <c r="XDM619" s="17">
        <v>44925</v>
      </c>
      <c r="XDN619" s="5" t="s">
        <v>3728</v>
      </c>
      <c r="XDO619" s="17">
        <v>44925</v>
      </c>
      <c r="XDP619" s="5" t="s">
        <v>3728</v>
      </c>
      <c r="XDQ619" s="17">
        <v>44925</v>
      </c>
      <c r="XDR619" s="5" t="s">
        <v>3728</v>
      </c>
      <c r="XDS619" s="17">
        <v>44925</v>
      </c>
      <c r="XDT619" s="5" t="s">
        <v>3728</v>
      </c>
      <c r="XDU619" s="17">
        <v>44925</v>
      </c>
      <c r="XDV619" s="5" t="s">
        <v>3728</v>
      </c>
      <c r="XDW619" s="17">
        <v>44925</v>
      </c>
      <c r="XDX619" s="5" t="s">
        <v>3728</v>
      </c>
      <c r="XDY619" s="17">
        <v>44925</v>
      </c>
      <c r="XDZ619" s="5" t="s">
        <v>3728</v>
      </c>
      <c r="XEA619" s="17">
        <v>44925</v>
      </c>
      <c r="XEB619" s="5" t="s">
        <v>3728</v>
      </c>
      <c r="XEC619" s="17">
        <v>44925</v>
      </c>
      <c r="XED619" s="5" t="s">
        <v>3728</v>
      </c>
      <c r="XEE619" s="17">
        <v>44925</v>
      </c>
      <c r="XEF619" s="5" t="s">
        <v>3728</v>
      </c>
      <c r="XEG619" s="17">
        <v>44925</v>
      </c>
      <c r="XEH619" s="5" t="s">
        <v>3728</v>
      </c>
      <c r="XEI619" s="17">
        <v>44925</v>
      </c>
      <c r="XEJ619" s="5" t="s">
        <v>3728</v>
      </c>
      <c r="XEK619" s="17">
        <v>44925</v>
      </c>
      <c r="XEL619" s="5" t="s">
        <v>3728</v>
      </c>
      <c r="XEM619" s="17">
        <v>44925</v>
      </c>
      <c r="XEN619" s="5" t="s">
        <v>3728</v>
      </c>
      <c r="XEO619" s="17">
        <v>44925</v>
      </c>
      <c r="XEP619" s="5" t="s">
        <v>3728</v>
      </c>
      <c r="XEQ619" s="17">
        <v>44925</v>
      </c>
      <c r="XER619" s="5" t="s">
        <v>3728</v>
      </c>
      <c r="XES619" s="17">
        <v>44925</v>
      </c>
      <c r="XET619" s="5" t="s">
        <v>3728</v>
      </c>
      <c r="XEU619" s="17">
        <v>44925</v>
      </c>
      <c r="XEV619" s="5" t="s">
        <v>3728</v>
      </c>
      <c r="XEW619" s="17">
        <v>44925</v>
      </c>
      <c r="XEX619" s="5" t="s">
        <v>3728</v>
      </c>
      <c r="XEY619" s="17">
        <v>44925</v>
      </c>
      <c r="XEZ619" s="5" t="s">
        <v>3728</v>
      </c>
      <c r="XFA619" s="17">
        <v>44925</v>
      </c>
      <c r="XFB619" s="5" t="s">
        <v>3728</v>
      </c>
    </row>
    <row r="620" spans="1:16382" ht="17.25" customHeight="1" x14ac:dyDescent="0.3">
      <c r="A620" s="169">
        <f t="shared" si="66"/>
        <v>534</v>
      </c>
      <c r="B620" s="21" t="s">
        <v>620</v>
      </c>
      <c r="C620" s="5">
        <v>1956</v>
      </c>
      <c r="D620" s="3"/>
      <c r="E620" s="15" t="s">
        <v>3645</v>
      </c>
      <c r="F620" s="15">
        <v>2</v>
      </c>
      <c r="G620" s="100"/>
      <c r="H620" s="15">
        <v>586.20000000000005</v>
      </c>
      <c r="I620" s="15">
        <v>19</v>
      </c>
      <c r="J620" s="19">
        <f t="shared" si="70"/>
        <v>115004.78</v>
      </c>
      <c r="K620" s="105"/>
      <c r="L620" s="105"/>
      <c r="M620" s="105"/>
      <c r="N620" s="19">
        <f>SUMIF('2020'!B:B,B620,'2020'!C:C)+SUMIF('2021'!B:B,B620,'2021'!C:C)+SUMIF('2022'!B:B,B620,'2022'!C:C)</f>
        <v>115004.78</v>
      </c>
      <c r="O620" s="17">
        <v>44925</v>
      </c>
      <c r="P620" s="5" t="s">
        <v>3728</v>
      </c>
      <c r="Q620" s="17">
        <v>44925</v>
      </c>
      <c r="R620" s="5" t="s">
        <v>3728</v>
      </c>
      <c r="S620" s="17">
        <v>44925</v>
      </c>
      <c r="T620" s="5" t="s">
        <v>3728</v>
      </c>
      <c r="U620" s="17">
        <v>44925</v>
      </c>
      <c r="V620" s="5" t="s">
        <v>3728</v>
      </c>
      <c r="W620" s="17">
        <v>44925</v>
      </c>
      <c r="X620" s="5" t="s">
        <v>3728</v>
      </c>
      <c r="Y620" s="17">
        <v>44925</v>
      </c>
      <c r="Z620" s="5" t="s">
        <v>3728</v>
      </c>
      <c r="AA620" s="17">
        <v>44925</v>
      </c>
      <c r="AB620" s="5" t="s">
        <v>3728</v>
      </c>
      <c r="AC620" s="17">
        <v>44925</v>
      </c>
      <c r="AD620" s="5" t="s">
        <v>3728</v>
      </c>
      <c r="AE620" s="17">
        <v>44925</v>
      </c>
      <c r="AF620" s="5" t="s">
        <v>3728</v>
      </c>
      <c r="AG620" s="17">
        <v>44925</v>
      </c>
      <c r="AH620" s="5" t="s">
        <v>3728</v>
      </c>
      <c r="AI620" s="17">
        <v>44925</v>
      </c>
      <c r="AJ620" s="5" t="s">
        <v>3728</v>
      </c>
      <c r="AK620" s="17">
        <v>44925</v>
      </c>
      <c r="AL620" s="5" t="s">
        <v>3728</v>
      </c>
      <c r="AM620" s="17">
        <v>44925</v>
      </c>
      <c r="AN620" s="5" t="s">
        <v>3728</v>
      </c>
      <c r="AO620" s="17">
        <v>44925</v>
      </c>
      <c r="AP620" s="5" t="s">
        <v>3728</v>
      </c>
      <c r="AQ620" s="17">
        <v>44925</v>
      </c>
      <c r="AR620" s="5" t="s">
        <v>3728</v>
      </c>
      <c r="AS620" s="17">
        <v>44925</v>
      </c>
      <c r="AT620" s="5" t="s">
        <v>3728</v>
      </c>
      <c r="AU620" s="17">
        <v>44925</v>
      </c>
      <c r="AV620" s="5" t="s">
        <v>3728</v>
      </c>
      <c r="AW620" s="17">
        <v>44925</v>
      </c>
      <c r="AX620" s="5" t="s">
        <v>3728</v>
      </c>
      <c r="AY620" s="17">
        <v>44925</v>
      </c>
      <c r="AZ620" s="5" t="s">
        <v>3728</v>
      </c>
      <c r="BA620" s="17">
        <v>44925</v>
      </c>
      <c r="BB620" s="5" t="s">
        <v>3728</v>
      </c>
      <c r="BC620" s="17">
        <v>44925</v>
      </c>
      <c r="BD620" s="5" t="s">
        <v>3728</v>
      </c>
      <c r="BE620" s="17">
        <v>44925</v>
      </c>
      <c r="BF620" s="5" t="s">
        <v>3728</v>
      </c>
      <c r="BG620" s="17">
        <v>44925</v>
      </c>
      <c r="BH620" s="5" t="s">
        <v>3728</v>
      </c>
      <c r="BI620" s="17">
        <v>44925</v>
      </c>
      <c r="BJ620" s="5" t="s">
        <v>3728</v>
      </c>
      <c r="BK620" s="17">
        <v>44925</v>
      </c>
      <c r="BL620" s="5" t="s">
        <v>3728</v>
      </c>
      <c r="BM620" s="17">
        <v>44925</v>
      </c>
      <c r="BN620" s="5" t="s">
        <v>3728</v>
      </c>
      <c r="BO620" s="17">
        <v>44925</v>
      </c>
      <c r="BP620" s="5" t="s">
        <v>3728</v>
      </c>
      <c r="BQ620" s="17">
        <v>44925</v>
      </c>
      <c r="BR620" s="5" t="s">
        <v>3728</v>
      </c>
      <c r="BS620" s="17">
        <v>44925</v>
      </c>
      <c r="BT620" s="5" t="s">
        <v>3728</v>
      </c>
      <c r="BU620" s="17">
        <v>44925</v>
      </c>
      <c r="BV620" s="5" t="s">
        <v>3728</v>
      </c>
      <c r="BW620" s="17">
        <v>44925</v>
      </c>
      <c r="BX620" s="5" t="s">
        <v>3728</v>
      </c>
      <c r="BY620" s="17">
        <v>44925</v>
      </c>
      <c r="BZ620" s="5" t="s">
        <v>3728</v>
      </c>
      <c r="CA620" s="17">
        <v>44925</v>
      </c>
      <c r="CB620" s="5" t="s">
        <v>3728</v>
      </c>
      <c r="CC620" s="17">
        <v>44925</v>
      </c>
      <c r="CD620" s="5" t="s">
        <v>3728</v>
      </c>
      <c r="CE620" s="17">
        <v>44925</v>
      </c>
      <c r="CF620" s="5" t="s">
        <v>3728</v>
      </c>
      <c r="CG620" s="17">
        <v>44925</v>
      </c>
      <c r="CH620" s="5" t="s">
        <v>3728</v>
      </c>
      <c r="CI620" s="17">
        <v>44925</v>
      </c>
      <c r="CJ620" s="5" t="s">
        <v>3728</v>
      </c>
      <c r="CK620" s="17">
        <v>44925</v>
      </c>
      <c r="CL620" s="5" t="s">
        <v>3728</v>
      </c>
      <c r="CM620" s="17">
        <v>44925</v>
      </c>
      <c r="CN620" s="5" t="s">
        <v>3728</v>
      </c>
      <c r="CO620" s="17">
        <v>44925</v>
      </c>
      <c r="CP620" s="5" t="s">
        <v>3728</v>
      </c>
      <c r="CQ620" s="17">
        <v>44925</v>
      </c>
      <c r="CR620" s="5" t="s">
        <v>3728</v>
      </c>
      <c r="CS620" s="17">
        <v>44925</v>
      </c>
      <c r="CT620" s="5" t="s">
        <v>3728</v>
      </c>
      <c r="CU620" s="17">
        <v>44925</v>
      </c>
      <c r="CV620" s="5" t="s">
        <v>3728</v>
      </c>
      <c r="CW620" s="17">
        <v>44925</v>
      </c>
      <c r="CX620" s="5" t="s">
        <v>3728</v>
      </c>
      <c r="CY620" s="17">
        <v>44925</v>
      </c>
      <c r="CZ620" s="5" t="s">
        <v>3728</v>
      </c>
      <c r="DA620" s="17">
        <v>44925</v>
      </c>
      <c r="DB620" s="5" t="s">
        <v>3728</v>
      </c>
      <c r="DC620" s="17">
        <v>44925</v>
      </c>
      <c r="DD620" s="5" t="s">
        <v>3728</v>
      </c>
      <c r="DE620" s="17">
        <v>44925</v>
      </c>
      <c r="DF620" s="5" t="s">
        <v>3728</v>
      </c>
      <c r="DG620" s="17">
        <v>44925</v>
      </c>
      <c r="DH620" s="5" t="s">
        <v>3728</v>
      </c>
      <c r="DI620" s="17">
        <v>44925</v>
      </c>
      <c r="DJ620" s="5" t="s">
        <v>3728</v>
      </c>
      <c r="DK620" s="17">
        <v>44925</v>
      </c>
      <c r="DL620" s="5" t="s">
        <v>3728</v>
      </c>
      <c r="DM620" s="17">
        <v>44925</v>
      </c>
      <c r="DN620" s="5" t="s">
        <v>3728</v>
      </c>
      <c r="DO620" s="17">
        <v>44925</v>
      </c>
      <c r="DP620" s="5" t="s">
        <v>3728</v>
      </c>
      <c r="DQ620" s="17">
        <v>44925</v>
      </c>
      <c r="DR620" s="5" t="s">
        <v>3728</v>
      </c>
      <c r="DS620" s="17">
        <v>44925</v>
      </c>
      <c r="DT620" s="5" t="s">
        <v>3728</v>
      </c>
      <c r="DU620" s="17">
        <v>44925</v>
      </c>
      <c r="DV620" s="5" t="s">
        <v>3728</v>
      </c>
      <c r="DW620" s="17">
        <v>44925</v>
      </c>
      <c r="DX620" s="5" t="s">
        <v>3728</v>
      </c>
      <c r="DY620" s="17">
        <v>44925</v>
      </c>
      <c r="DZ620" s="5" t="s">
        <v>3728</v>
      </c>
      <c r="EA620" s="17">
        <v>44925</v>
      </c>
      <c r="EB620" s="5" t="s">
        <v>3728</v>
      </c>
      <c r="EC620" s="17">
        <v>44925</v>
      </c>
      <c r="ED620" s="5" t="s">
        <v>3728</v>
      </c>
      <c r="EE620" s="17">
        <v>44925</v>
      </c>
      <c r="EF620" s="5" t="s">
        <v>3728</v>
      </c>
      <c r="EG620" s="17">
        <v>44925</v>
      </c>
      <c r="EH620" s="5" t="s">
        <v>3728</v>
      </c>
      <c r="EI620" s="17">
        <v>44925</v>
      </c>
      <c r="EJ620" s="5" t="s">
        <v>3728</v>
      </c>
      <c r="EK620" s="17">
        <v>44925</v>
      </c>
      <c r="EL620" s="5" t="s">
        <v>3728</v>
      </c>
      <c r="EM620" s="17">
        <v>44925</v>
      </c>
      <c r="EN620" s="5" t="s">
        <v>3728</v>
      </c>
      <c r="EO620" s="17">
        <v>44925</v>
      </c>
      <c r="EP620" s="5" t="s">
        <v>3728</v>
      </c>
      <c r="EQ620" s="17">
        <v>44925</v>
      </c>
      <c r="ER620" s="5" t="s">
        <v>3728</v>
      </c>
      <c r="ES620" s="17">
        <v>44925</v>
      </c>
      <c r="ET620" s="5" t="s">
        <v>3728</v>
      </c>
      <c r="EU620" s="17">
        <v>44925</v>
      </c>
      <c r="EV620" s="5" t="s">
        <v>3728</v>
      </c>
      <c r="EW620" s="17">
        <v>44925</v>
      </c>
      <c r="EX620" s="5" t="s">
        <v>3728</v>
      </c>
      <c r="EY620" s="17">
        <v>44925</v>
      </c>
      <c r="EZ620" s="5" t="s">
        <v>3728</v>
      </c>
      <c r="FA620" s="17">
        <v>44925</v>
      </c>
    </row>
    <row r="621" spans="1:16382" ht="17.25" customHeight="1" x14ac:dyDescent="0.3">
      <c r="A621" s="169">
        <f t="shared" si="66"/>
        <v>535</v>
      </c>
      <c r="B621" s="21" t="s">
        <v>621</v>
      </c>
      <c r="C621" s="5">
        <v>1956</v>
      </c>
      <c r="D621" s="3"/>
      <c r="E621" s="15" t="s">
        <v>3645</v>
      </c>
      <c r="F621" s="15">
        <v>2</v>
      </c>
      <c r="G621" s="100"/>
      <c r="H621" s="15">
        <v>566.5</v>
      </c>
      <c r="I621" s="15">
        <v>19</v>
      </c>
      <c r="J621" s="19">
        <f t="shared" si="70"/>
        <v>111953.23</v>
      </c>
      <c r="K621" s="105"/>
      <c r="L621" s="105"/>
      <c r="M621" s="105"/>
      <c r="N621" s="19">
        <f>SUMIF('2020'!B:B,B621,'2020'!C:C)+SUMIF('2021'!B:B,B621,'2021'!C:C)+SUMIF('2022'!B:B,B621,'2022'!C:C)</f>
        <v>111953.23</v>
      </c>
      <c r="O621" s="17">
        <v>44925</v>
      </c>
      <c r="P621" s="5" t="s">
        <v>3728</v>
      </c>
    </row>
    <row r="622" spans="1:16382" ht="17.25" customHeight="1" x14ac:dyDescent="0.3">
      <c r="A622" s="169">
        <f t="shared" si="66"/>
        <v>536</v>
      </c>
      <c r="B622" s="21" t="s">
        <v>622</v>
      </c>
      <c r="C622" s="5">
        <v>1961</v>
      </c>
      <c r="D622" s="3"/>
      <c r="E622" s="15" t="s">
        <v>3645</v>
      </c>
      <c r="F622" s="15">
        <v>2</v>
      </c>
      <c r="G622" s="100"/>
      <c r="H622" s="15">
        <v>634.1</v>
      </c>
      <c r="I622" s="15">
        <v>23</v>
      </c>
      <c r="J622" s="19">
        <f t="shared" si="70"/>
        <v>453446.11</v>
      </c>
      <c r="K622" s="105"/>
      <c r="L622" s="105"/>
      <c r="M622" s="105"/>
      <c r="N622" s="19">
        <f>SUMIF('2020'!B:B,B622,'2020'!C:C)+SUMIF('2021'!B:B,B622,'2021'!C:C)+SUMIF('2022'!B:B,B622,'2022'!C:C)</f>
        <v>453446.11</v>
      </c>
      <c r="O622" s="17">
        <v>44925</v>
      </c>
      <c r="P622" s="5" t="s">
        <v>3728</v>
      </c>
    </row>
    <row r="623" spans="1:16382" ht="17.25" customHeight="1" x14ac:dyDescent="0.3">
      <c r="A623" s="169">
        <f t="shared" si="66"/>
        <v>537</v>
      </c>
      <c r="B623" s="21" t="s">
        <v>623</v>
      </c>
      <c r="C623" s="5">
        <v>1961</v>
      </c>
      <c r="D623" s="3"/>
      <c r="E623" s="15" t="s">
        <v>3645</v>
      </c>
      <c r="F623" s="15">
        <v>2</v>
      </c>
      <c r="G623" s="100"/>
      <c r="H623" s="15">
        <v>591.70000000000005</v>
      </c>
      <c r="I623" s="15">
        <v>33</v>
      </c>
      <c r="J623" s="19">
        <f t="shared" si="70"/>
        <v>564504.1</v>
      </c>
      <c r="K623" s="105"/>
      <c r="L623" s="105"/>
      <c r="M623" s="105"/>
      <c r="N623" s="19">
        <f>SUMIF('2020'!B:B,B623,'2020'!C:C)+SUMIF('2021'!B:B,B623,'2021'!C:C)+SUMIF('2022'!B:B,B623,'2022'!C:C)</f>
        <v>564504.1</v>
      </c>
      <c r="O623" s="17">
        <v>44925</v>
      </c>
      <c r="P623" s="5" t="s">
        <v>3728</v>
      </c>
    </row>
    <row r="624" spans="1:16382" ht="17.25" customHeight="1" x14ac:dyDescent="0.3">
      <c r="A624" s="169">
        <f t="shared" si="66"/>
        <v>538</v>
      </c>
      <c r="B624" s="21" t="s">
        <v>624</v>
      </c>
      <c r="C624" s="5">
        <v>1959</v>
      </c>
      <c r="D624" s="3"/>
      <c r="E624" s="15" t="s">
        <v>3645</v>
      </c>
      <c r="F624" s="15">
        <v>3</v>
      </c>
      <c r="G624" s="100"/>
      <c r="H624" s="15">
        <v>1207</v>
      </c>
      <c r="I624" s="15">
        <v>32</v>
      </c>
      <c r="J624" s="19">
        <f t="shared" si="70"/>
        <v>423629.6</v>
      </c>
      <c r="K624" s="105"/>
      <c r="L624" s="105"/>
      <c r="M624" s="105"/>
      <c r="N624" s="19">
        <f>SUMIF('2020'!B:B,B624,'2020'!C:C)+SUMIF('2021'!B:B,B624,'2021'!C:C)+SUMIF('2022'!B:B,B624,'2022'!C:C)</f>
        <v>423629.6</v>
      </c>
      <c r="O624" s="17">
        <v>44925</v>
      </c>
      <c r="P624" s="5" t="s">
        <v>3728</v>
      </c>
    </row>
    <row r="625" spans="1:16" ht="17.25" customHeight="1" x14ac:dyDescent="0.3">
      <c r="A625" s="169">
        <f t="shared" si="66"/>
        <v>539</v>
      </c>
      <c r="B625" s="21" t="s">
        <v>625</v>
      </c>
      <c r="C625" s="5">
        <v>1962</v>
      </c>
      <c r="D625" s="3"/>
      <c r="E625" s="15" t="s">
        <v>3645</v>
      </c>
      <c r="F625" s="15">
        <v>2</v>
      </c>
      <c r="G625" s="100"/>
      <c r="H625" s="15">
        <v>406.09</v>
      </c>
      <c r="I625" s="15">
        <v>18</v>
      </c>
      <c r="J625" s="19">
        <f t="shared" si="70"/>
        <v>249451.4</v>
      </c>
      <c r="K625" s="105"/>
      <c r="L625" s="105"/>
      <c r="M625" s="105"/>
      <c r="N625" s="19">
        <f>SUMIF('2020'!B:B,B625,'2020'!C:C)+SUMIF('2021'!B:B,B625,'2021'!C:C)+SUMIF('2022'!B:B,B625,'2022'!C:C)</f>
        <v>249451.4</v>
      </c>
      <c r="O625" s="17">
        <v>44925</v>
      </c>
      <c r="P625" s="5" t="s">
        <v>3728</v>
      </c>
    </row>
    <row r="626" spans="1:16" ht="17.25" customHeight="1" x14ac:dyDescent="0.3">
      <c r="A626" s="169">
        <f t="shared" si="66"/>
        <v>540</v>
      </c>
      <c r="B626" s="21" t="s">
        <v>626</v>
      </c>
      <c r="C626" s="5">
        <v>1962</v>
      </c>
      <c r="D626" s="3"/>
      <c r="E626" s="15" t="s">
        <v>3645</v>
      </c>
      <c r="F626" s="15">
        <v>2</v>
      </c>
      <c r="G626" s="100"/>
      <c r="H626" s="15">
        <v>416.6</v>
      </c>
      <c r="I626" s="15">
        <v>10</v>
      </c>
      <c r="J626" s="19">
        <f t="shared" si="70"/>
        <v>90520.43</v>
      </c>
      <c r="K626" s="105"/>
      <c r="L626" s="105"/>
      <c r="M626" s="105"/>
      <c r="N626" s="19">
        <f>SUMIF('2020'!B:B,B626,'2020'!C:C)+SUMIF('2021'!B:B,B626,'2021'!C:C)+SUMIF('2022'!B:B,B626,'2022'!C:C)</f>
        <v>90520.43</v>
      </c>
      <c r="O626" s="17">
        <v>44925</v>
      </c>
      <c r="P626" s="5" t="s">
        <v>3728</v>
      </c>
    </row>
    <row r="627" spans="1:16" ht="17.25" customHeight="1" x14ac:dyDescent="0.3">
      <c r="A627" s="169">
        <f t="shared" si="66"/>
        <v>541</v>
      </c>
      <c r="B627" s="21" t="s">
        <v>627</v>
      </c>
      <c r="C627" s="5">
        <v>1961</v>
      </c>
      <c r="D627" s="3"/>
      <c r="E627" s="15" t="s">
        <v>3645</v>
      </c>
      <c r="F627" s="15">
        <v>2</v>
      </c>
      <c r="G627" s="100"/>
      <c r="H627" s="15">
        <v>727.77</v>
      </c>
      <c r="I627" s="15">
        <v>31</v>
      </c>
      <c r="J627" s="19">
        <f t="shared" si="70"/>
        <v>248489.28</v>
      </c>
      <c r="K627" s="105"/>
      <c r="L627" s="105"/>
      <c r="M627" s="105"/>
      <c r="N627" s="19">
        <f>SUMIF('2020'!B:B,B627,'2020'!C:C)+SUMIF('2021'!B:B,B627,'2021'!C:C)+SUMIF('2022'!B:B,B627,'2022'!C:C)</f>
        <v>248489.28</v>
      </c>
      <c r="O627" s="17">
        <v>44925</v>
      </c>
      <c r="P627" s="5" t="s">
        <v>3728</v>
      </c>
    </row>
    <row r="628" spans="1:16" ht="17.25" customHeight="1" x14ac:dyDescent="0.3">
      <c r="A628" s="169">
        <f t="shared" si="66"/>
        <v>542</v>
      </c>
      <c r="B628" s="21" t="s">
        <v>628</v>
      </c>
      <c r="C628" s="5">
        <v>1955</v>
      </c>
      <c r="D628" s="3"/>
      <c r="E628" s="15" t="s">
        <v>3645</v>
      </c>
      <c r="F628" s="15">
        <v>2</v>
      </c>
      <c r="G628" s="100"/>
      <c r="H628" s="15">
        <v>328.6</v>
      </c>
      <c r="I628" s="15">
        <v>19</v>
      </c>
      <c r="J628" s="19">
        <f t="shared" si="70"/>
        <v>70691.03</v>
      </c>
      <c r="K628" s="105"/>
      <c r="L628" s="105"/>
      <c r="M628" s="105"/>
      <c r="N628" s="19">
        <f>SUMIF('2020'!B:B,B628,'2020'!C:C)+SUMIF('2021'!B:B,B628,'2021'!C:C)+SUMIF('2022'!B:B,B628,'2022'!C:C)</f>
        <v>70691.03</v>
      </c>
      <c r="O628" s="17">
        <v>44925</v>
      </c>
      <c r="P628" s="5" t="s">
        <v>3728</v>
      </c>
    </row>
    <row r="629" spans="1:16" ht="17.25" customHeight="1" x14ac:dyDescent="0.3">
      <c r="A629" s="169">
        <f t="shared" si="66"/>
        <v>543</v>
      </c>
      <c r="B629" s="21" t="s">
        <v>629</v>
      </c>
      <c r="C629" s="5">
        <v>1973</v>
      </c>
      <c r="D629" s="3"/>
      <c r="E629" s="15" t="s">
        <v>3645</v>
      </c>
      <c r="F629" s="15">
        <v>5</v>
      </c>
      <c r="G629" s="100"/>
      <c r="H629" s="15">
        <v>5242.89</v>
      </c>
      <c r="I629" s="15">
        <v>216</v>
      </c>
      <c r="J629" s="19">
        <f t="shared" si="70"/>
        <v>1469311.36</v>
      </c>
      <c r="K629" s="105"/>
      <c r="L629" s="105"/>
      <c r="M629" s="105"/>
      <c r="N629" s="19">
        <f>SUMIF('2020'!B:B,B629,'2020'!C:C)+SUMIF('2021'!B:B,B629,'2021'!C:C)+SUMIF('2022'!B:B,B629,'2022'!C:C)</f>
        <v>1469311.36</v>
      </c>
      <c r="O629" s="17">
        <v>44925</v>
      </c>
      <c r="P629" s="5" t="s">
        <v>3728</v>
      </c>
    </row>
    <row r="630" spans="1:16" ht="17.25" customHeight="1" x14ac:dyDescent="0.3">
      <c r="A630" s="169">
        <f t="shared" si="66"/>
        <v>544</v>
      </c>
      <c r="B630" s="21" t="s">
        <v>630</v>
      </c>
      <c r="C630" s="5">
        <v>1954</v>
      </c>
      <c r="D630" s="3"/>
      <c r="E630" s="15" t="s">
        <v>3645</v>
      </c>
      <c r="F630" s="15">
        <v>2</v>
      </c>
      <c r="G630" s="100"/>
      <c r="H630" s="15">
        <v>952.2</v>
      </c>
      <c r="I630" s="15">
        <v>48</v>
      </c>
      <c r="J630" s="19">
        <f t="shared" si="70"/>
        <v>104134.33</v>
      </c>
      <c r="K630" s="105"/>
      <c r="L630" s="105"/>
      <c r="M630" s="105"/>
      <c r="N630" s="19">
        <f>SUMIF('2020'!B:B,B630,'2020'!C:C)+SUMIF('2021'!B:B,B630,'2021'!C:C)+SUMIF('2022'!B:B,B630,'2022'!C:C)</f>
        <v>104134.33</v>
      </c>
      <c r="O630" s="17">
        <v>44925</v>
      </c>
      <c r="P630" s="5" t="s">
        <v>3728</v>
      </c>
    </row>
    <row r="631" spans="1:16" ht="17.25" customHeight="1" x14ac:dyDescent="0.3">
      <c r="A631" s="169">
        <f t="shared" si="66"/>
        <v>545</v>
      </c>
      <c r="B631" s="21" t="s">
        <v>631</v>
      </c>
      <c r="C631" s="5">
        <v>1983</v>
      </c>
      <c r="D631" s="3"/>
      <c r="E631" s="15" t="s">
        <v>3776</v>
      </c>
      <c r="F631" s="15">
        <v>5</v>
      </c>
      <c r="G631" s="100"/>
      <c r="H631" s="15">
        <v>5593.35</v>
      </c>
      <c r="I631" s="15">
        <v>210</v>
      </c>
      <c r="J631" s="19">
        <f t="shared" si="70"/>
        <v>1444649.53</v>
      </c>
      <c r="K631" s="105"/>
      <c r="L631" s="105"/>
      <c r="M631" s="105"/>
      <c r="N631" s="19">
        <f>SUMIF('2020'!B:B,B631,'2020'!C:C)+SUMIF('2021'!B:B,B631,'2021'!C:C)+SUMIF('2022'!B:B,B631,'2022'!C:C)</f>
        <v>1444649.53</v>
      </c>
      <c r="O631" s="17">
        <v>44925</v>
      </c>
      <c r="P631" s="5" t="s">
        <v>3728</v>
      </c>
    </row>
    <row r="632" spans="1:16" ht="17.25" customHeight="1" x14ac:dyDescent="0.3">
      <c r="A632" s="169">
        <f t="shared" si="66"/>
        <v>546</v>
      </c>
      <c r="B632" s="21" t="s">
        <v>632</v>
      </c>
      <c r="C632" s="5">
        <v>1956</v>
      </c>
      <c r="D632" s="3"/>
      <c r="E632" s="15" t="s">
        <v>3645</v>
      </c>
      <c r="F632" s="15">
        <v>2</v>
      </c>
      <c r="G632" s="100"/>
      <c r="H632" s="15">
        <v>949.7</v>
      </c>
      <c r="I632" s="15">
        <v>30</v>
      </c>
      <c r="J632" s="19">
        <f t="shared" si="70"/>
        <v>103913.86</v>
      </c>
      <c r="K632" s="105"/>
      <c r="L632" s="105"/>
      <c r="M632" s="105"/>
      <c r="N632" s="19">
        <f>SUMIF('2020'!B:B,B632,'2020'!C:C)+SUMIF('2021'!B:B,B632,'2021'!C:C)+SUMIF('2022'!B:B,B632,'2022'!C:C)</f>
        <v>103913.86</v>
      </c>
      <c r="O632" s="17">
        <v>44925</v>
      </c>
      <c r="P632" s="5" t="s">
        <v>3728</v>
      </c>
    </row>
    <row r="633" spans="1:16" ht="17.25" customHeight="1" x14ac:dyDescent="0.3">
      <c r="A633" s="169">
        <f t="shared" si="66"/>
        <v>547</v>
      </c>
      <c r="B633" s="21" t="s">
        <v>633</v>
      </c>
      <c r="C633" s="5">
        <v>1960</v>
      </c>
      <c r="D633" s="3"/>
      <c r="E633" s="15" t="s">
        <v>3645</v>
      </c>
      <c r="F633" s="15">
        <v>2</v>
      </c>
      <c r="G633" s="100"/>
      <c r="H633" s="15">
        <v>609</v>
      </c>
      <c r="I633" s="15">
        <v>24</v>
      </c>
      <c r="J633" s="19">
        <f t="shared" si="70"/>
        <v>551760.11</v>
      </c>
      <c r="K633" s="105"/>
      <c r="L633" s="105"/>
      <c r="M633" s="105"/>
      <c r="N633" s="19">
        <f>SUMIF('2020'!B:B,B633,'2020'!C:C)+SUMIF('2021'!B:B,B633,'2021'!C:C)+SUMIF('2022'!B:B,B633,'2022'!C:C)</f>
        <v>551760.11</v>
      </c>
      <c r="O633" s="17">
        <v>44925</v>
      </c>
      <c r="P633" s="5" t="s">
        <v>3728</v>
      </c>
    </row>
    <row r="634" spans="1:16" ht="17.25" customHeight="1" x14ac:dyDescent="0.3">
      <c r="A634" s="169">
        <f t="shared" si="66"/>
        <v>548</v>
      </c>
      <c r="B634" s="21" t="s">
        <v>634</v>
      </c>
      <c r="C634" s="5">
        <v>1960</v>
      </c>
      <c r="D634" s="3"/>
      <c r="E634" s="15" t="s">
        <v>3645</v>
      </c>
      <c r="F634" s="15">
        <v>2</v>
      </c>
      <c r="G634" s="100"/>
      <c r="H634" s="15">
        <v>800.7</v>
      </c>
      <c r="I634" s="15">
        <v>23</v>
      </c>
      <c r="J634" s="19">
        <f t="shared" si="70"/>
        <v>283358.82</v>
      </c>
      <c r="K634" s="105"/>
      <c r="L634" s="105"/>
      <c r="M634" s="105"/>
      <c r="N634" s="19">
        <f>SUMIF('2020'!B:B,B634,'2020'!C:C)+SUMIF('2021'!B:B,B634,'2021'!C:C)+SUMIF('2022'!B:B,B634,'2022'!C:C)</f>
        <v>283358.82</v>
      </c>
      <c r="O634" s="17">
        <v>44925</v>
      </c>
      <c r="P634" s="5" t="s">
        <v>3728</v>
      </c>
    </row>
    <row r="635" spans="1:16" ht="17.25" customHeight="1" x14ac:dyDescent="0.3">
      <c r="A635" s="169">
        <f t="shared" si="66"/>
        <v>549</v>
      </c>
      <c r="B635" s="21" t="s">
        <v>635</v>
      </c>
      <c r="C635" s="5">
        <v>1960</v>
      </c>
      <c r="D635" s="3"/>
      <c r="E635" s="15" t="s">
        <v>3645</v>
      </c>
      <c r="F635" s="15">
        <v>2</v>
      </c>
      <c r="G635" s="100"/>
      <c r="H635" s="15">
        <v>577.9</v>
      </c>
      <c r="I635" s="15">
        <v>24</v>
      </c>
      <c r="J635" s="19">
        <f t="shared" si="70"/>
        <v>225087.2</v>
      </c>
      <c r="K635" s="105"/>
      <c r="L635" s="105"/>
      <c r="M635" s="105"/>
      <c r="N635" s="19">
        <f>SUMIF('2020'!B:B,B635,'2020'!C:C)+SUMIF('2021'!B:B,B635,'2021'!C:C)+SUMIF('2022'!B:B,B635,'2022'!C:C)</f>
        <v>225087.2</v>
      </c>
      <c r="O635" s="17">
        <v>44925</v>
      </c>
      <c r="P635" s="5" t="s">
        <v>3728</v>
      </c>
    </row>
    <row r="636" spans="1:16" ht="17.25" customHeight="1" x14ac:dyDescent="0.3">
      <c r="A636" s="169">
        <f t="shared" si="66"/>
        <v>550</v>
      </c>
      <c r="B636" s="21" t="s">
        <v>636</v>
      </c>
      <c r="C636" s="5">
        <v>1960</v>
      </c>
      <c r="D636" s="3"/>
      <c r="E636" s="15" t="s">
        <v>3645</v>
      </c>
      <c r="F636" s="15">
        <v>2</v>
      </c>
      <c r="G636" s="100"/>
      <c r="H636" s="15">
        <v>609</v>
      </c>
      <c r="I636" s="15">
        <v>24</v>
      </c>
      <c r="J636" s="19">
        <f t="shared" si="70"/>
        <v>551760.11</v>
      </c>
      <c r="K636" s="105"/>
      <c r="L636" s="105"/>
      <c r="M636" s="105"/>
      <c r="N636" s="19">
        <f>SUMIF('2020'!B:B,B636,'2020'!C:C)+SUMIF('2021'!B:B,B636,'2021'!C:C)+SUMIF('2022'!B:B,B636,'2022'!C:C)</f>
        <v>551760.11</v>
      </c>
      <c r="O636" s="17">
        <v>44925</v>
      </c>
      <c r="P636" s="5" t="s">
        <v>3728</v>
      </c>
    </row>
    <row r="637" spans="1:16" ht="17.25" customHeight="1" x14ac:dyDescent="0.3">
      <c r="A637" s="169">
        <f t="shared" si="66"/>
        <v>551</v>
      </c>
      <c r="B637" s="21" t="s">
        <v>637</v>
      </c>
      <c r="C637" s="5">
        <v>1960</v>
      </c>
      <c r="D637" s="3"/>
      <c r="E637" s="15" t="s">
        <v>3645</v>
      </c>
      <c r="F637" s="15">
        <v>2</v>
      </c>
      <c r="G637" s="100"/>
      <c r="H637" s="15">
        <v>786.6</v>
      </c>
      <c r="I637" s="15">
        <v>30</v>
      </c>
      <c r="J637" s="19">
        <f t="shared" si="70"/>
        <v>279213.73</v>
      </c>
      <c r="K637" s="105"/>
      <c r="L637" s="105"/>
      <c r="M637" s="105"/>
      <c r="N637" s="19">
        <f>SUMIF('2020'!B:B,B637,'2020'!C:C)+SUMIF('2021'!B:B,B637,'2021'!C:C)+SUMIF('2022'!B:B,B637,'2022'!C:C)</f>
        <v>279213.73</v>
      </c>
      <c r="O637" s="17">
        <v>44925</v>
      </c>
      <c r="P637" s="5" t="s">
        <v>3728</v>
      </c>
    </row>
    <row r="638" spans="1:16" ht="17.25" customHeight="1" x14ac:dyDescent="0.3">
      <c r="A638" s="169">
        <f t="shared" si="66"/>
        <v>552</v>
      </c>
      <c r="B638" s="21" t="s">
        <v>638</v>
      </c>
      <c r="C638" s="5">
        <v>1960</v>
      </c>
      <c r="D638" s="3"/>
      <c r="E638" s="15" t="s">
        <v>3645</v>
      </c>
      <c r="F638" s="15">
        <v>2</v>
      </c>
      <c r="G638" s="100"/>
      <c r="H638" s="15">
        <v>609</v>
      </c>
      <c r="I638" s="15">
        <v>24</v>
      </c>
      <c r="J638" s="19">
        <f t="shared" si="70"/>
        <v>551760.11</v>
      </c>
      <c r="K638" s="105"/>
      <c r="L638" s="105"/>
      <c r="M638" s="105"/>
      <c r="N638" s="19">
        <f>SUMIF('2020'!B:B,B638,'2020'!C:C)+SUMIF('2021'!B:B,B638,'2021'!C:C)+SUMIF('2022'!B:B,B638,'2022'!C:C)</f>
        <v>551760.11</v>
      </c>
      <c r="O638" s="17">
        <v>44925</v>
      </c>
      <c r="P638" s="5" t="s">
        <v>3728</v>
      </c>
    </row>
    <row r="639" spans="1:16" ht="17.25" customHeight="1" x14ac:dyDescent="0.3">
      <c r="A639" s="169">
        <f t="shared" si="66"/>
        <v>553</v>
      </c>
      <c r="B639" s="21" t="s">
        <v>639</v>
      </c>
      <c r="C639" s="5">
        <v>1961</v>
      </c>
      <c r="D639" s="3"/>
      <c r="E639" s="15" t="s">
        <v>3645</v>
      </c>
      <c r="F639" s="15">
        <v>2</v>
      </c>
      <c r="G639" s="100"/>
      <c r="H639" s="15">
        <v>704.51</v>
      </c>
      <c r="I639" s="15">
        <v>24</v>
      </c>
      <c r="J639" s="19">
        <f t="shared" si="70"/>
        <v>502773.12</v>
      </c>
      <c r="K639" s="105"/>
      <c r="L639" s="105"/>
      <c r="M639" s="105"/>
      <c r="N639" s="19">
        <f>SUMIF('2020'!B:B,B639,'2020'!C:C)+SUMIF('2021'!B:B,B639,'2021'!C:C)+SUMIF('2022'!B:B,B639,'2022'!C:C)</f>
        <v>502773.12</v>
      </c>
      <c r="O639" s="17">
        <v>44925</v>
      </c>
      <c r="P639" s="5" t="s">
        <v>3728</v>
      </c>
    </row>
    <row r="640" spans="1:16" ht="17.25" customHeight="1" x14ac:dyDescent="0.3">
      <c r="A640" s="169">
        <f t="shared" si="66"/>
        <v>554</v>
      </c>
      <c r="B640" s="21" t="s">
        <v>640</v>
      </c>
      <c r="C640" s="5">
        <v>1961</v>
      </c>
      <c r="D640" s="3"/>
      <c r="E640" s="15" t="s">
        <v>3645</v>
      </c>
      <c r="F640" s="15">
        <v>2</v>
      </c>
      <c r="G640" s="100"/>
      <c r="H640" s="15">
        <v>406.1</v>
      </c>
      <c r="I640" s="15">
        <v>17</v>
      </c>
      <c r="J640" s="19">
        <f t="shared" si="70"/>
        <v>193195.95</v>
      </c>
      <c r="K640" s="105"/>
      <c r="L640" s="105"/>
      <c r="M640" s="105"/>
      <c r="N640" s="19">
        <f>SUMIF('2020'!B:B,B640,'2020'!C:C)+SUMIF('2021'!B:B,B640,'2021'!C:C)+SUMIF('2022'!B:B,B640,'2022'!C:C)</f>
        <v>193195.95</v>
      </c>
      <c r="O640" s="17">
        <v>44925</v>
      </c>
      <c r="P640" s="5" t="s">
        <v>3728</v>
      </c>
    </row>
    <row r="641" spans="1:16" ht="17.25" customHeight="1" x14ac:dyDescent="0.3">
      <c r="A641" s="169">
        <f t="shared" si="66"/>
        <v>555</v>
      </c>
      <c r="B641" s="21" t="s">
        <v>641</v>
      </c>
      <c r="C641" s="5">
        <v>1962</v>
      </c>
      <c r="D641" s="3"/>
      <c r="E641" s="15" t="s">
        <v>3645</v>
      </c>
      <c r="F641" s="15">
        <v>2</v>
      </c>
      <c r="G641" s="100"/>
      <c r="H641" s="15">
        <v>742.1</v>
      </c>
      <c r="I641" s="15">
        <v>26</v>
      </c>
      <c r="J641" s="19">
        <f t="shared" si="70"/>
        <v>273361.01</v>
      </c>
      <c r="K641" s="105"/>
      <c r="L641" s="105"/>
      <c r="M641" s="105"/>
      <c r="N641" s="19">
        <f>SUMIF('2020'!B:B,B641,'2020'!C:C)+SUMIF('2021'!B:B,B641,'2021'!C:C)+SUMIF('2022'!B:B,B641,'2022'!C:C)</f>
        <v>273361.01</v>
      </c>
      <c r="O641" s="17">
        <v>44925</v>
      </c>
      <c r="P641" s="5" t="s">
        <v>3728</v>
      </c>
    </row>
    <row r="642" spans="1:16" ht="17.25" customHeight="1" x14ac:dyDescent="0.3">
      <c r="A642" s="169">
        <f t="shared" si="66"/>
        <v>556</v>
      </c>
      <c r="B642" s="21" t="s">
        <v>642</v>
      </c>
      <c r="C642" s="5">
        <v>1960</v>
      </c>
      <c r="D642" s="3"/>
      <c r="E642" s="15" t="s">
        <v>3645</v>
      </c>
      <c r="F642" s="15">
        <v>2</v>
      </c>
      <c r="G642" s="100"/>
      <c r="H642" s="15">
        <v>737.8</v>
      </c>
      <c r="I642" s="15">
        <v>33</v>
      </c>
      <c r="J642" s="19">
        <f t="shared" si="70"/>
        <v>218837.13</v>
      </c>
      <c r="K642" s="105"/>
      <c r="L642" s="105"/>
      <c r="M642" s="105"/>
      <c r="N642" s="19">
        <f>SUMIF('2020'!B:B,B642,'2020'!C:C)+SUMIF('2021'!B:B,B642,'2021'!C:C)+SUMIF('2022'!B:B,B642,'2022'!C:C)</f>
        <v>218837.13</v>
      </c>
      <c r="O642" s="17">
        <v>44925</v>
      </c>
      <c r="P642" s="5" t="s">
        <v>3728</v>
      </c>
    </row>
    <row r="643" spans="1:16" ht="17.25" customHeight="1" x14ac:dyDescent="0.3">
      <c r="A643" s="210" t="s">
        <v>211</v>
      </c>
      <c r="B643" s="21"/>
      <c r="C643" s="3"/>
      <c r="D643" s="3"/>
      <c r="E643" s="3"/>
      <c r="F643" s="3"/>
      <c r="G643" s="26"/>
      <c r="H643" s="73">
        <f t="shared" ref="H643:M643" si="71">SUM(H610:H642)</f>
        <v>41477.009999999995</v>
      </c>
      <c r="I643" s="73">
        <f t="shared" si="71"/>
        <v>1604</v>
      </c>
      <c r="J643" s="73">
        <f t="shared" si="71"/>
        <v>13026730.429999996</v>
      </c>
      <c r="K643" s="73">
        <f t="shared" si="71"/>
        <v>0</v>
      </c>
      <c r="L643" s="73">
        <f t="shared" si="71"/>
        <v>0</v>
      </c>
      <c r="M643" s="73">
        <f t="shared" si="71"/>
        <v>0</v>
      </c>
      <c r="N643" s="73">
        <f>SUM(N610:N642)</f>
        <v>13026730.429999996</v>
      </c>
      <c r="O643" s="3"/>
      <c r="P643" s="3"/>
    </row>
    <row r="644" spans="1:16" ht="17.25" customHeight="1" x14ac:dyDescent="0.3">
      <c r="A644" s="210" t="s">
        <v>643</v>
      </c>
      <c r="B644" s="21"/>
      <c r="C644" s="3"/>
      <c r="D644" s="3"/>
      <c r="E644" s="3"/>
      <c r="F644" s="3"/>
      <c r="G644" s="26"/>
      <c r="H644" s="3"/>
      <c r="I644" s="3"/>
      <c r="J644" s="73"/>
      <c r="K644" s="73"/>
      <c r="L644" s="73"/>
      <c r="M644" s="73"/>
      <c r="N644" s="73"/>
      <c r="O644" s="3"/>
      <c r="P644" s="3"/>
    </row>
    <row r="645" spans="1:16" ht="17.25" customHeight="1" x14ac:dyDescent="0.3">
      <c r="A645" s="169">
        <f>A642+1</f>
        <v>557</v>
      </c>
      <c r="B645" s="21" t="s">
        <v>644</v>
      </c>
      <c r="C645" s="5">
        <v>1967</v>
      </c>
      <c r="D645" s="3"/>
      <c r="E645" s="15" t="s">
        <v>3645</v>
      </c>
      <c r="F645" s="15">
        <v>2</v>
      </c>
      <c r="G645" s="100"/>
      <c r="H645" s="15">
        <v>670.14</v>
      </c>
      <c r="I645" s="15">
        <v>45</v>
      </c>
      <c r="J645" s="19">
        <f t="shared" ref="J645:J686" si="72">K645+L645+M645+N645</f>
        <v>306158.86</v>
      </c>
      <c r="K645" s="73"/>
      <c r="L645" s="73"/>
      <c r="M645" s="73"/>
      <c r="N645" s="19">
        <f>SUMIF('2020'!B:B,B645,'2020'!C:C)+SUMIF('2021'!B:B,B645,'2021'!C:C)+SUMIF('2022'!B:B,B645,'2022'!C:C)</f>
        <v>306158.86</v>
      </c>
      <c r="O645" s="17">
        <v>44925</v>
      </c>
      <c r="P645" s="5" t="s">
        <v>3728</v>
      </c>
    </row>
    <row r="646" spans="1:16" ht="17.25" customHeight="1" x14ac:dyDescent="0.3">
      <c r="A646" s="169">
        <f t="shared" si="66"/>
        <v>558</v>
      </c>
      <c r="B646" s="21" t="s">
        <v>645</v>
      </c>
      <c r="C646" s="5">
        <v>1967</v>
      </c>
      <c r="D646" s="3"/>
      <c r="E646" s="15" t="s">
        <v>3645</v>
      </c>
      <c r="F646" s="15">
        <v>2</v>
      </c>
      <c r="G646" s="100"/>
      <c r="H646" s="15">
        <v>668.87</v>
      </c>
      <c r="I646" s="15">
        <v>49</v>
      </c>
      <c r="J646" s="19">
        <f t="shared" si="72"/>
        <v>694255.5</v>
      </c>
      <c r="K646" s="73"/>
      <c r="L646" s="73"/>
      <c r="M646" s="73"/>
      <c r="N646" s="19">
        <f>SUMIF('2020'!B:B,B646,'2020'!C:C)+SUMIF('2021'!B:B,B646,'2021'!C:C)+SUMIF('2022'!B:B,B646,'2022'!C:C)</f>
        <v>694255.5</v>
      </c>
      <c r="O646" s="17">
        <v>44925</v>
      </c>
      <c r="P646" s="5" t="s">
        <v>3728</v>
      </c>
    </row>
    <row r="647" spans="1:16" ht="17.25" customHeight="1" x14ac:dyDescent="0.3">
      <c r="A647" s="169">
        <f t="shared" si="66"/>
        <v>559</v>
      </c>
      <c r="B647" s="21" t="s">
        <v>646</v>
      </c>
      <c r="C647" s="5">
        <v>1971</v>
      </c>
      <c r="D647" s="3"/>
      <c r="E647" s="15" t="s">
        <v>3730</v>
      </c>
      <c r="F647" s="15">
        <v>2</v>
      </c>
      <c r="G647" s="100"/>
      <c r="H647" s="15">
        <v>224.3</v>
      </c>
      <c r="I647" s="15">
        <v>3</v>
      </c>
      <c r="J647" s="19">
        <f t="shared" si="72"/>
        <v>404622.37</v>
      </c>
      <c r="K647" s="73"/>
      <c r="L647" s="73"/>
      <c r="M647" s="73"/>
      <c r="N647" s="19">
        <f>SUMIF('2020'!B:B,B647,'2020'!C:C)+SUMIF('2021'!B:B,B647,'2021'!C:C)+SUMIF('2022'!B:B,B647,'2022'!C:C)</f>
        <v>404622.37</v>
      </c>
      <c r="O647" s="17">
        <v>44925</v>
      </c>
      <c r="P647" s="5" t="s">
        <v>3728</v>
      </c>
    </row>
    <row r="648" spans="1:16" ht="17.25" customHeight="1" x14ac:dyDescent="0.3">
      <c r="A648" s="169">
        <f t="shared" si="66"/>
        <v>560</v>
      </c>
      <c r="B648" s="21" t="s">
        <v>647</v>
      </c>
      <c r="C648" s="5">
        <v>1904</v>
      </c>
      <c r="D648" s="3"/>
      <c r="E648" s="15" t="s">
        <v>3730</v>
      </c>
      <c r="F648" s="15">
        <v>1</v>
      </c>
      <c r="G648" s="100"/>
      <c r="H648" s="15">
        <v>186.6</v>
      </c>
      <c r="I648" s="15">
        <v>15</v>
      </c>
      <c r="J648" s="19">
        <f t="shared" si="72"/>
        <v>384756.16</v>
      </c>
      <c r="K648" s="73"/>
      <c r="L648" s="73"/>
      <c r="M648" s="73"/>
      <c r="N648" s="19">
        <f>SUMIF('2020'!B:B,B648,'2020'!C:C)+SUMIF('2021'!B:B,B648,'2021'!C:C)+SUMIF('2022'!B:B,B648,'2022'!C:C)</f>
        <v>384756.16</v>
      </c>
      <c r="O648" s="17">
        <v>44925</v>
      </c>
      <c r="P648" s="5" t="s">
        <v>3728</v>
      </c>
    </row>
    <row r="649" spans="1:16" ht="17.25" customHeight="1" x14ac:dyDescent="0.3">
      <c r="A649" s="169">
        <f t="shared" si="66"/>
        <v>561</v>
      </c>
      <c r="B649" s="21" t="s">
        <v>648</v>
      </c>
      <c r="C649" s="5">
        <v>1930</v>
      </c>
      <c r="D649" s="3"/>
      <c r="E649" s="15" t="s">
        <v>3730</v>
      </c>
      <c r="F649" s="15">
        <v>2</v>
      </c>
      <c r="G649" s="100"/>
      <c r="H649" s="15">
        <v>107.8</v>
      </c>
      <c r="I649" s="15">
        <v>7</v>
      </c>
      <c r="J649" s="19">
        <f t="shared" si="72"/>
        <v>774114.43</v>
      </c>
      <c r="K649" s="73"/>
      <c r="L649" s="73"/>
      <c r="M649" s="73"/>
      <c r="N649" s="19">
        <f>SUMIF('2020'!B:B,B649,'2020'!C:C)+SUMIF('2021'!B:B,B649,'2021'!C:C)+SUMIF('2022'!B:B,B649,'2022'!C:C)</f>
        <v>774114.43</v>
      </c>
      <c r="O649" s="17">
        <v>44925</v>
      </c>
      <c r="P649" s="5" t="s">
        <v>3728</v>
      </c>
    </row>
    <row r="650" spans="1:16" ht="17.25" customHeight="1" x14ac:dyDescent="0.3">
      <c r="A650" s="169">
        <f t="shared" si="66"/>
        <v>562</v>
      </c>
      <c r="B650" s="21" t="s">
        <v>649</v>
      </c>
      <c r="C650" s="5">
        <v>1950</v>
      </c>
      <c r="D650" s="3"/>
      <c r="E650" s="15" t="s">
        <v>3730</v>
      </c>
      <c r="F650" s="15">
        <v>2</v>
      </c>
      <c r="G650" s="100"/>
      <c r="H650" s="15">
        <v>183.4</v>
      </c>
      <c r="I650" s="15">
        <v>7</v>
      </c>
      <c r="J650" s="19">
        <f t="shared" si="72"/>
        <v>130000</v>
      </c>
      <c r="K650" s="73"/>
      <c r="L650" s="73"/>
      <c r="M650" s="73"/>
      <c r="N650" s="19">
        <f>SUMIF('2020'!B:B,B650,'2020'!C:C)+SUMIF('2021'!B:B,B650,'2021'!C:C)+SUMIF('2022'!B:B,B650,'2022'!C:C)</f>
        <v>130000</v>
      </c>
      <c r="O650" s="17">
        <v>44925</v>
      </c>
      <c r="P650" s="5" t="s">
        <v>3728</v>
      </c>
    </row>
    <row r="651" spans="1:16" ht="17.25" customHeight="1" x14ac:dyDescent="0.3">
      <c r="A651" s="169">
        <f t="shared" si="66"/>
        <v>563</v>
      </c>
      <c r="B651" s="21" t="s">
        <v>650</v>
      </c>
      <c r="C651" s="5">
        <v>1967</v>
      </c>
      <c r="D651" s="3"/>
      <c r="E651" s="15" t="s">
        <v>3645</v>
      </c>
      <c r="F651" s="15">
        <v>2</v>
      </c>
      <c r="G651" s="100"/>
      <c r="H651" s="15">
        <v>652.6</v>
      </c>
      <c r="I651" s="15">
        <v>30</v>
      </c>
      <c r="J651" s="19">
        <f t="shared" si="72"/>
        <v>894929.09000000008</v>
      </c>
      <c r="K651" s="73"/>
      <c r="L651" s="73"/>
      <c r="M651" s="73"/>
      <c r="N651" s="19">
        <f>SUMIF('2020'!B:B,B651,'2020'!C:C)+SUMIF('2021'!B:B,B651,'2021'!C:C)+SUMIF('2022'!B:B,B651,'2022'!C:C)</f>
        <v>894929.09000000008</v>
      </c>
      <c r="O651" s="17">
        <v>44925</v>
      </c>
      <c r="P651" s="5" t="s">
        <v>3728</v>
      </c>
    </row>
    <row r="652" spans="1:16" ht="17.25" customHeight="1" x14ac:dyDescent="0.3">
      <c r="A652" s="169">
        <f t="shared" si="66"/>
        <v>564</v>
      </c>
      <c r="B652" s="21" t="s">
        <v>651</v>
      </c>
      <c r="C652" s="5">
        <v>1980</v>
      </c>
      <c r="D652" s="3"/>
      <c r="E652" s="15" t="s">
        <v>3730</v>
      </c>
      <c r="F652" s="15">
        <v>2</v>
      </c>
      <c r="G652" s="100"/>
      <c r="H652" s="15">
        <v>164.2</v>
      </c>
      <c r="I652" s="15">
        <v>6</v>
      </c>
      <c r="J652" s="19">
        <f t="shared" si="72"/>
        <v>415512.79</v>
      </c>
      <c r="K652" s="73"/>
      <c r="L652" s="73"/>
      <c r="M652" s="73"/>
      <c r="N652" s="19">
        <f>SUMIF('2020'!B:B,B652,'2020'!C:C)+SUMIF('2021'!B:B,B652,'2021'!C:C)+SUMIF('2022'!B:B,B652,'2022'!C:C)</f>
        <v>415512.79</v>
      </c>
      <c r="O652" s="17">
        <v>44925</v>
      </c>
      <c r="P652" s="5" t="s">
        <v>3728</v>
      </c>
    </row>
    <row r="653" spans="1:16" ht="17.25" customHeight="1" x14ac:dyDescent="0.3">
      <c r="A653" s="169">
        <f t="shared" si="66"/>
        <v>565</v>
      </c>
      <c r="B653" s="21" t="s">
        <v>652</v>
      </c>
      <c r="C653" s="5">
        <v>1965</v>
      </c>
      <c r="D653" s="3"/>
      <c r="E653" s="15" t="s">
        <v>3730</v>
      </c>
      <c r="F653" s="15">
        <v>2</v>
      </c>
      <c r="G653" s="100"/>
      <c r="H653" s="15">
        <v>214.24</v>
      </c>
      <c r="I653" s="15">
        <v>16</v>
      </c>
      <c r="J653" s="19">
        <f t="shared" si="72"/>
        <v>505026.24</v>
      </c>
      <c r="K653" s="73"/>
      <c r="L653" s="73"/>
      <c r="M653" s="73"/>
      <c r="N653" s="19">
        <f>SUMIF('2020'!B:B,B653,'2020'!C:C)+SUMIF('2021'!B:B,B653,'2021'!C:C)+SUMIF('2022'!B:B,B653,'2022'!C:C)</f>
        <v>505026.24</v>
      </c>
      <c r="O653" s="17">
        <v>44925</v>
      </c>
      <c r="P653" s="5" t="s">
        <v>3728</v>
      </c>
    </row>
    <row r="654" spans="1:16" ht="17.25" customHeight="1" x14ac:dyDescent="0.3">
      <c r="A654" s="169">
        <f t="shared" si="66"/>
        <v>566</v>
      </c>
      <c r="B654" s="21" t="s">
        <v>653</v>
      </c>
      <c r="C654" s="5">
        <v>1964</v>
      </c>
      <c r="D654" s="3"/>
      <c r="E654" s="15" t="s">
        <v>3645</v>
      </c>
      <c r="F654" s="15">
        <v>2</v>
      </c>
      <c r="G654" s="100"/>
      <c r="H654" s="15">
        <v>648.29999999999995</v>
      </c>
      <c r="I654" s="15">
        <v>34</v>
      </c>
      <c r="J654" s="19">
        <f t="shared" si="72"/>
        <v>692986.09</v>
      </c>
      <c r="K654" s="73"/>
      <c r="L654" s="73"/>
      <c r="M654" s="73"/>
      <c r="N654" s="19">
        <f>SUMIF('2020'!B:B,B654,'2020'!C:C)+SUMIF('2021'!B:B,B654,'2021'!C:C)+SUMIF('2022'!B:B,B654,'2022'!C:C)</f>
        <v>692986.09</v>
      </c>
      <c r="O654" s="17">
        <v>44925</v>
      </c>
      <c r="P654" s="5" t="s">
        <v>3728</v>
      </c>
    </row>
    <row r="655" spans="1:16" ht="17.25" customHeight="1" x14ac:dyDescent="0.3">
      <c r="A655" s="169">
        <f t="shared" si="66"/>
        <v>567</v>
      </c>
      <c r="B655" s="21" t="s">
        <v>654</v>
      </c>
      <c r="C655" s="5">
        <v>1970</v>
      </c>
      <c r="D655" s="3"/>
      <c r="E655" s="15" t="s">
        <v>3730</v>
      </c>
      <c r="F655" s="15">
        <v>2</v>
      </c>
      <c r="G655" s="100"/>
      <c r="H655" s="15">
        <v>216</v>
      </c>
      <c r="I655" s="15">
        <v>25</v>
      </c>
      <c r="J655" s="19">
        <f t="shared" si="72"/>
        <v>1053510.51</v>
      </c>
      <c r="K655" s="73"/>
      <c r="L655" s="73"/>
      <c r="M655" s="73"/>
      <c r="N655" s="19">
        <f>SUMIF('2020'!B:B,B655,'2020'!C:C)+SUMIF('2021'!B:B,B655,'2021'!C:C)+SUMIF('2022'!B:B,B655,'2022'!C:C)</f>
        <v>1053510.51</v>
      </c>
      <c r="O655" s="17">
        <v>44925</v>
      </c>
      <c r="P655" s="5" t="s">
        <v>3728</v>
      </c>
    </row>
    <row r="656" spans="1:16" ht="17.25" customHeight="1" x14ac:dyDescent="0.3">
      <c r="A656" s="169">
        <f t="shared" si="66"/>
        <v>568</v>
      </c>
      <c r="B656" s="21" t="s">
        <v>655</v>
      </c>
      <c r="C656" s="5">
        <v>1961</v>
      </c>
      <c r="D656" s="3"/>
      <c r="E656" s="15" t="s">
        <v>3645</v>
      </c>
      <c r="F656" s="15">
        <v>2</v>
      </c>
      <c r="G656" s="100"/>
      <c r="H656" s="15">
        <v>472.4</v>
      </c>
      <c r="I656" s="15">
        <v>45</v>
      </c>
      <c r="J656" s="19">
        <f t="shared" si="72"/>
        <v>1285861.9500000002</v>
      </c>
      <c r="K656" s="73"/>
      <c r="L656" s="73"/>
      <c r="M656" s="73"/>
      <c r="N656" s="19">
        <f>SUMIF('2020'!B:B,B656,'2020'!C:C)+SUMIF('2021'!B:B,B656,'2021'!C:C)+SUMIF('2022'!B:B,B656,'2022'!C:C)</f>
        <v>1285861.9500000002</v>
      </c>
      <c r="O656" s="17">
        <v>44925</v>
      </c>
      <c r="P656" s="5" t="s">
        <v>3728</v>
      </c>
    </row>
    <row r="657" spans="1:16" ht="17.25" customHeight="1" x14ac:dyDescent="0.3">
      <c r="A657" s="169">
        <f t="shared" si="66"/>
        <v>569</v>
      </c>
      <c r="B657" s="21" t="s">
        <v>656</v>
      </c>
      <c r="C657" s="5">
        <v>1962</v>
      </c>
      <c r="D657" s="3"/>
      <c r="E657" s="15" t="s">
        <v>3645</v>
      </c>
      <c r="F657" s="15">
        <v>2</v>
      </c>
      <c r="G657" s="100"/>
      <c r="H657" s="15">
        <v>522.1</v>
      </c>
      <c r="I657" s="15">
        <v>34</v>
      </c>
      <c r="J657" s="19">
        <f t="shared" si="72"/>
        <v>1406422.87</v>
      </c>
      <c r="K657" s="73"/>
      <c r="L657" s="73"/>
      <c r="M657" s="73"/>
      <c r="N657" s="19">
        <f>SUMIF('2020'!B:B,B657,'2020'!C:C)+SUMIF('2021'!B:B,B657,'2021'!C:C)+SUMIF('2022'!B:B,B657,'2022'!C:C)</f>
        <v>1406422.87</v>
      </c>
      <c r="O657" s="17">
        <v>44925</v>
      </c>
      <c r="P657" s="5" t="s">
        <v>3728</v>
      </c>
    </row>
    <row r="658" spans="1:16" ht="17.25" customHeight="1" x14ac:dyDescent="0.3">
      <c r="A658" s="169">
        <f t="shared" si="66"/>
        <v>570</v>
      </c>
      <c r="B658" s="21" t="s">
        <v>657</v>
      </c>
      <c r="C658" s="5">
        <v>1969</v>
      </c>
      <c r="D658" s="3"/>
      <c r="E658" s="15" t="s">
        <v>3737</v>
      </c>
      <c r="F658" s="15">
        <v>5</v>
      </c>
      <c r="G658" s="100"/>
      <c r="H658" s="15">
        <v>4458.9399999999996</v>
      </c>
      <c r="I658" s="15">
        <v>240</v>
      </c>
      <c r="J658" s="19">
        <f t="shared" si="72"/>
        <v>2245499.2599999998</v>
      </c>
      <c r="K658" s="73"/>
      <c r="L658" s="73"/>
      <c r="M658" s="73"/>
      <c r="N658" s="19">
        <f>SUMIF('2020'!B:B,B658,'2020'!C:C)+SUMIF('2021'!B:B,B658,'2021'!C:C)+SUMIF('2022'!B:B,B658,'2022'!C:C)</f>
        <v>2245499.2599999998</v>
      </c>
      <c r="O658" s="17">
        <v>44925</v>
      </c>
      <c r="P658" s="5" t="s">
        <v>3728</v>
      </c>
    </row>
    <row r="659" spans="1:16" ht="17.25" customHeight="1" x14ac:dyDescent="0.3">
      <c r="A659" s="169">
        <f t="shared" si="66"/>
        <v>571</v>
      </c>
      <c r="B659" s="21" t="s">
        <v>658</v>
      </c>
      <c r="C659" s="5">
        <v>1969</v>
      </c>
      <c r="D659" s="3"/>
      <c r="E659" s="15" t="s">
        <v>3737</v>
      </c>
      <c r="F659" s="15">
        <v>5</v>
      </c>
      <c r="G659" s="100"/>
      <c r="H659" s="15">
        <v>3620.1</v>
      </c>
      <c r="I659" s="15">
        <v>228</v>
      </c>
      <c r="J659" s="19">
        <f t="shared" si="72"/>
        <v>805943.40999999992</v>
      </c>
      <c r="K659" s="73"/>
      <c r="L659" s="73"/>
      <c r="M659" s="73"/>
      <c r="N659" s="19">
        <f>SUMIF('2020'!B:B,B659,'2020'!C:C)+SUMIF('2021'!B:B,B659,'2021'!C:C)+SUMIF('2022'!B:B,B659,'2022'!C:C)</f>
        <v>805943.40999999992</v>
      </c>
      <c r="O659" s="17">
        <v>44925</v>
      </c>
      <c r="P659" s="5" t="s">
        <v>3728</v>
      </c>
    </row>
    <row r="660" spans="1:16" ht="17.25" customHeight="1" x14ac:dyDescent="0.3">
      <c r="A660" s="169">
        <f t="shared" si="66"/>
        <v>572</v>
      </c>
      <c r="B660" s="21" t="s">
        <v>659</v>
      </c>
      <c r="C660" s="5">
        <v>1976</v>
      </c>
      <c r="D660" s="3"/>
      <c r="E660" s="15" t="s">
        <v>3645</v>
      </c>
      <c r="F660" s="15">
        <v>5</v>
      </c>
      <c r="G660" s="100"/>
      <c r="H660" s="15">
        <v>1687</v>
      </c>
      <c r="I660" s="15">
        <v>82</v>
      </c>
      <c r="J660" s="19">
        <f t="shared" si="72"/>
        <v>1190041.6399999999</v>
      </c>
      <c r="K660" s="73"/>
      <c r="L660" s="73"/>
      <c r="M660" s="73"/>
      <c r="N660" s="19">
        <f>SUMIF('2020'!B:B,B660,'2020'!C:C)+SUMIF('2021'!B:B,B660,'2021'!C:C)+SUMIF('2022'!B:B,B660,'2022'!C:C)</f>
        <v>1190041.6399999999</v>
      </c>
      <c r="O660" s="17">
        <v>44925</v>
      </c>
      <c r="P660" s="5" t="s">
        <v>3728</v>
      </c>
    </row>
    <row r="661" spans="1:16" ht="17.25" customHeight="1" x14ac:dyDescent="0.3">
      <c r="A661" s="169">
        <f t="shared" si="66"/>
        <v>573</v>
      </c>
      <c r="B661" s="21" t="s">
        <v>660</v>
      </c>
      <c r="C661" s="5">
        <v>1977</v>
      </c>
      <c r="D661" s="3"/>
      <c r="E661" s="15" t="s">
        <v>3645</v>
      </c>
      <c r="F661" s="15">
        <v>5</v>
      </c>
      <c r="G661" s="100"/>
      <c r="H661" s="15">
        <v>1438.5</v>
      </c>
      <c r="I661" s="15">
        <v>59</v>
      </c>
      <c r="J661" s="19">
        <f t="shared" si="72"/>
        <v>1190041.6399999999</v>
      </c>
      <c r="K661" s="73"/>
      <c r="L661" s="73"/>
      <c r="M661" s="73"/>
      <c r="N661" s="19">
        <f>SUMIF('2020'!B:B,B661,'2020'!C:C)+SUMIF('2021'!B:B,B661,'2021'!C:C)+SUMIF('2022'!B:B,B661,'2022'!C:C)</f>
        <v>1190041.6399999999</v>
      </c>
      <c r="O661" s="17">
        <v>44925</v>
      </c>
      <c r="P661" s="5" t="s">
        <v>3728</v>
      </c>
    </row>
    <row r="662" spans="1:16" ht="17.25" customHeight="1" x14ac:dyDescent="0.3">
      <c r="A662" s="169">
        <f t="shared" ref="A662:A725" si="73">A661+1</f>
        <v>574</v>
      </c>
      <c r="B662" s="21" t="s">
        <v>661</v>
      </c>
      <c r="C662" s="5">
        <v>1992</v>
      </c>
      <c r="D662" s="3"/>
      <c r="E662" s="15" t="s">
        <v>3737</v>
      </c>
      <c r="F662" s="15">
        <v>9</v>
      </c>
      <c r="G662" s="100"/>
      <c r="H662" s="15">
        <v>16048.5</v>
      </c>
      <c r="I662" s="15">
        <v>732</v>
      </c>
      <c r="J662" s="19">
        <f t="shared" si="72"/>
        <v>130000</v>
      </c>
      <c r="K662" s="73"/>
      <c r="L662" s="73"/>
      <c r="M662" s="73"/>
      <c r="N662" s="19">
        <f>SUMIF('2020'!B:B,B662,'2020'!C:C)+SUMIF('2021'!B:B,B662,'2021'!C:C)+SUMIF('2022'!B:B,B662,'2022'!C:C)</f>
        <v>130000</v>
      </c>
      <c r="O662" s="17">
        <v>44925</v>
      </c>
      <c r="P662" s="5" t="s">
        <v>3728</v>
      </c>
    </row>
    <row r="663" spans="1:16" ht="17.25" customHeight="1" x14ac:dyDescent="0.3">
      <c r="A663" s="169">
        <f t="shared" si="73"/>
        <v>575</v>
      </c>
      <c r="B663" s="21" t="s">
        <v>662</v>
      </c>
      <c r="C663" s="5">
        <v>1936</v>
      </c>
      <c r="D663" s="3"/>
      <c r="E663" s="15" t="s">
        <v>3645</v>
      </c>
      <c r="F663" s="15">
        <v>2</v>
      </c>
      <c r="G663" s="100"/>
      <c r="H663" s="15">
        <v>951.9</v>
      </c>
      <c r="I663" s="15">
        <v>45</v>
      </c>
      <c r="J663" s="19">
        <f t="shared" si="72"/>
        <v>1332931.52</v>
      </c>
      <c r="K663" s="73"/>
      <c r="L663" s="73"/>
      <c r="M663" s="73"/>
      <c r="N663" s="19">
        <f>SUMIF('2020'!B:B,B663,'2020'!C:C)+SUMIF('2021'!B:B,B663,'2021'!C:C)+SUMIF('2022'!B:B,B663,'2022'!C:C)</f>
        <v>1332931.52</v>
      </c>
      <c r="O663" s="17">
        <v>44925</v>
      </c>
      <c r="P663" s="5" t="s">
        <v>3728</v>
      </c>
    </row>
    <row r="664" spans="1:16" ht="17.25" customHeight="1" x14ac:dyDescent="0.3">
      <c r="A664" s="169">
        <f t="shared" si="73"/>
        <v>576</v>
      </c>
      <c r="B664" s="21" t="s">
        <v>663</v>
      </c>
      <c r="C664" s="5">
        <v>1965</v>
      </c>
      <c r="D664" s="3"/>
      <c r="E664" s="15" t="s">
        <v>3645</v>
      </c>
      <c r="F664" s="15">
        <v>3</v>
      </c>
      <c r="G664" s="100"/>
      <c r="H664" s="15">
        <v>1911.2</v>
      </c>
      <c r="I664" s="15">
        <v>54</v>
      </c>
      <c r="J664" s="19">
        <f t="shared" si="72"/>
        <v>1020218.1799999999</v>
      </c>
      <c r="K664" s="73"/>
      <c r="L664" s="73"/>
      <c r="M664" s="73"/>
      <c r="N664" s="19">
        <f>SUMIF('2020'!B:B,B664,'2020'!C:C)+SUMIF('2021'!B:B,B664,'2021'!C:C)+SUMIF('2022'!B:B,B664,'2022'!C:C)</f>
        <v>1020218.1799999999</v>
      </c>
      <c r="O664" s="17">
        <v>44925</v>
      </c>
      <c r="P664" s="5" t="s">
        <v>3728</v>
      </c>
    </row>
    <row r="665" spans="1:16" ht="17.25" customHeight="1" x14ac:dyDescent="0.3">
      <c r="A665" s="169">
        <f t="shared" si="73"/>
        <v>577</v>
      </c>
      <c r="B665" s="21" t="s">
        <v>664</v>
      </c>
      <c r="C665" s="5">
        <v>1936</v>
      </c>
      <c r="D665" s="3"/>
      <c r="E665" s="15" t="s">
        <v>3645</v>
      </c>
      <c r="F665" s="15">
        <v>2</v>
      </c>
      <c r="G665" s="100"/>
      <c r="H665" s="15">
        <v>1046.5</v>
      </c>
      <c r="I665" s="15">
        <v>41</v>
      </c>
      <c r="J665" s="19">
        <f t="shared" si="72"/>
        <v>1405311.66</v>
      </c>
      <c r="K665" s="73"/>
      <c r="L665" s="73"/>
      <c r="M665" s="73"/>
      <c r="N665" s="19">
        <f>SUMIF('2020'!B:B,B665,'2020'!C:C)+SUMIF('2021'!B:B,B665,'2021'!C:C)+SUMIF('2022'!B:B,B665,'2022'!C:C)</f>
        <v>1405311.66</v>
      </c>
      <c r="O665" s="17">
        <v>44925</v>
      </c>
      <c r="P665" s="5" t="s">
        <v>3728</v>
      </c>
    </row>
    <row r="666" spans="1:16" ht="17.25" customHeight="1" x14ac:dyDescent="0.3">
      <c r="A666" s="169">
        <f t="shared" si="73"/>
        <v>578</v>
      </c>
      <c r="B666" s="21" t="s">
        <v>665</v>
      </c>
      <c r="C666" s="5">
        <v>1936</v>
      </c>
      <c r="D666" s="3"/>
      <c r="E666" s="15" t="s">
        <v>3645</v>
      </c>
      <c r="F666" s="15">
        <v>2</v>
      </c>
      <c r="G666" s="100"/>
      <c r="H666" s="15">
        <v>419.1</v>
      </c>
      <c r="I666" s="15">
        <v>17</v>
      </c>
      <c r="J666" s="19">
        <f t="shared" si="72"/>
        <v>1293236.6499999999</v>
      </c>
      <c r="K666" s="73"/>
      <c r="L666" s="73"/>
      <c r="M666" s="73"/>
      <c r="N666" s="19">
        <f>SUMIF('2020'!B:B,B666,'2020'!C:C)+SUMIF('2021'!B:B,B666,'2021'!C:C)+SUMIF('2022'!B:B,B666,'2022'!C:C)</f>
        <v>1293236.6499999999</v>
      </c>
      <c r="O666" s="17">
        <v>44925</v>
      </c>
      <c r="P666" s="5" t="s">
        <v>3728</v>
      </c>
    </row>
    <row r="667" spans="1:16" ht="17.25" customHeight="1" x14ac:dyDescent="0.3">
      <c r="A667" s="169">
        <f t="shared" si="73"/>
        <v>579</v>
      </c>
      <c r="B667" s="21" t="s">
        <v>666</v>
      </c>
      <c r="C667" s="5">
        <v>1976</v>
      </c>
      <c r="D667" s="3"/>
      <c r="E667" s="15" t="s">
        <v>3645</v>
      </c>
      <c r="F667" s="15">
        <v>4</v>
      </c>
      <c r="G667" s="100"/>
      <c r="H667" s="15">
        <v>3214.3</v>
      </c>
      <c r="I667" s="15">
        <v>95</v>
      </c>
      <c r="J667" s="19">
        <f t="shared" si="72"/>
        <v>1467542.6400000001</v>
      </c>
      <c r="K667" s="73"/>
      <c r="L667" s="73"/>
      <c r="M667" s="73"/>
      <c r="N667" s="19">
        <f>SUMIF('2020'!B:B,B667,'2020'!C:C)+SUMIF('2021'!B:B,B667,'2021'!C:C)+SUMIF('2022'!B:B,B667,'2022'!C:C)</f>
        <v>1467542.6400000001</v>
      </c>
      <c r="O667" s="17">
        <v>44925</v>
      </c>
      <c r="P667" s="5" t="s">
        <v>3728</v>
      </c>
    </row>
    <row r="668" spans="1:16" ht="17.25" customHeight="1" x14ac:dyDescent="0.3">
      <c r="A668" s="169">
        <f t="shared" si="73"/>
        <v>580</v>
      </c>
      <c r="B668" s="21" t="s">
        <v>667</v>
      </c>
      <c r="C668" s="5">
        <v>1965</v>
      </c>
      <c r="D668" s="3"/>
      <c r="E668" s="15" t="s">
        <v>3730</v>
      </c>
      <c r="F668" s="15">
        <v>1</v>
      </c>
      <c r="G668" s="100"/>
      <c r="H668" s="15">
        <v>248.9</v>
      </c>
      <c r="I668" s="15">
        <v>15</v>
      </c>
      <c r="J668" s="19">
        <f t="shared" si="72"/>
        <v>298136.15000000002</v>
      </c>
      <c r="K668" s="73"/>
      <c r="L668" s="73"/>
      <c r="M668" s="73"/>
      <c r="N668" s="19">
        <f>SUMIF('2020'!B:B,B668,'2020'!C:C)+SUMIF('2021'!B:B,B668,'2021'!C:C)+SUMIF('2022'!B:B,B668,'2022'!C:C)</f>
        <v>298136.15000000002</v>
      </c>
      <c r="O668" s="17">
        <v>44925</v>
      </c>
      <c r="P668" s="5" t="s">
        <v>3728</v>
      </c>
    </row>
    <row r="669" spans="1:16" ht="17.25" customHeight="1" x14ac:dyDescent="0.3">
      <c r="A669" s="169">
        <f>A668+1</f>
        <v>581</v>
      </c>
      <c r="B669" s="21" t="s">
        <v>668</v>
      </c>
      <c r="C669" s="5">
        <v>1938</v>
      </c>
      <c r="D669" s="3"/>
      <c r="E669" s="15" t="s">
        <v>3645</v>
      </c>
      <c r="F669" s="15">
        <v>1</v>
      </c>
      <c r="G669" s="100"/>
      <c r="H669" s="15">
        <v>134.69999999999999</v>
      </c>
      <c r="I669" s="15">
        <v>5</v>
      </c>
      <c r="J669" s="19">
        <f t="shared" si="72"/>
        <v>381166.65</v>
      </c>
      <c r="K669" s="73"/>
      <c r="L669" s="73"/>
      <c r="M669" s="73"/>
      <c r="N669" s="19">
        <f>SUMIF('2020'!B:B,B669,'2020'!C:C)+SUMIF('2021'!B:B,B669,'2021'!C:C)+SUMIF('2022'!B:B,B669,'2022'!C:C)</f>
        <v>381166.65</v>
      </c>
      <c r="O669" s="17">
        <v>44925</v>
      </c>
      <c r="P669" s="5" t="s">
        <v>3728</v>
      </c>
    </row>
    <row r="670" spans="1:16" ht="17.25" customHeight="1" x14ac:dyDescent="0.3">
      <c r="A670" s="169">
        <f t="shared" si="73"/>
        <v>582</v>
      </c>
      <c r="B670" s="21" t="s">
        <v>669</v>
      </c>
      <c r="C670" s="5">
        <v>1976</v>
      </c>
      <c r="D670" s="3"/>
      <c r="E670" s="15" t="s">
        <v>3645</v>
      </c>
      <c r="F670" s="15">
        <v>4</v>
      </c>
      <c r="G670" s="100"/>
      <c r="H670" s="15">
        <v>3214.3</v>
      </c>
      <c r="I670" s="15">
        <v>97</v>
      </c>
      <c r="J670" s="19">
        <f t="shared" si="72"/>
        <v>1467542.6400000001</v>
      </c>
      <c r="K670" s="73"/>
      <c r="L670" s="73"/>
      <c r="M670" s="73"/>
      <c r="N670" s="19">
        <f>SUMIF('2020'!B:B,B670,'2020'!C:C)+SUMIF('2021'!B:B,B670,'2021'!C:C)+SUMIF('2022'!B:B,B670,'2022'!C:C)</f>
        <v>1467542.6400000001</v>
      </c>
      <c r="O670" s="17">
        <v>44925</v>
      </c>
      <c r="P670" s="5" t="s">
        <v>3728</v>
      </c>
    </row>
    <row r="671" spans="1:16" ht="17.25" customHeight="1" x14ac:dyDescent="0.3">
      <c r="A671" s="169">
        <f t="shared" si="73"/>
        <v>583</v>
      </c>
      <c r="B671" s="21" t="s">
        <v>670</v>
      </c>
      <c r="C671" s="5">
        <v>1983</v>
      </c>
      <c r="D671" s="3"/>
      <c r="E671" s="15" t="s">
        <v>3645</v>
      </c>
      <c r="F671" s="15">
        <v>3</v>
      </c>
      <c r="G671" s="100"/>
      <c r="H671" s="15">
        <v>1459.1</v>
      </c>
      <c r="I671" s="15">
        <v>62</v>
      </c>
      <c r="J671" s="19">
        <f t="shared" si="72"/>
        <v>1123443.17</v>
      </c>
      <c r="K671" s="73"/>
      <c r="L671" s="73"/>
      <c r="M671" s="73"/>
      <c r="N671" s="19">
        <f>SUMIF('2020'!B:B,B671,'2020'!C:C)+SUMIF('2021'!B:B,B671,'2021'!C:C)+SUMIF('2022'!B:B,B671,'2022'!C:C)</f>
        <v>1123443.17</v>
      </c>
      <c r="O671" s="17">
        <v>44925</v>
      </c>
      <c r="P671" s="5" t="s">
        <v>3728</v>
      </c>
    </row>
    <row r="672" spans="1:16" ht="17.25" customHeight="1" x14ac:dyDescent="0.3">
      <c r="A672" s="169">
        <f t="shared" si="73"/>
        <v>584</v>
      </c>
      <c r="B672" s="21" t="s">
        <v>671</v>
      </c>
      <c r="C672" s="5">
        <v>1965</v>
      </c>
      <c r="D672" s="3"/>
      <c r="E672" s="15" t="s">
        <v>3645</v>
      </c>
      <c r="F672" s="15">
        <v>5</v>
      </c>
      <c r="G672" s="100"/>
      <c r="H672" s="15">
        <v>4007.62</v>
      </c>
      <c r="I672" s="15">
        <v>186</v>
      </c>
      <c r="J672" s="19">
        <f t="shared" si="72"/>
        <v>437334.08</v>
      </c>
      <c r="K672" s="73"/>
      <c r="L672" s="73"/>
      <c r="M672" s="73"/>
      <c r="N672" s="19">
        <f>SUMIF('2020'!B:B,B672,'2020'!C:C)+SUMIF('2021'!B:B,B672,'2021'!C:C)+SUMIF('2022'!B:B,B672,'2022'!C:C)</f>
        <v>437334.08</v>
      </c>
      <c r="O672" s="17">
        <v>44925</v>
      </c>
      <c r="P672" s="5" t="s">
        <v>3728</v>
      </c>
    </row>
    <row r="673" spans="1:16" ht="17.25" customHeight="1" x14ac:dyDescent="0.3">
      <c r="A673" s="169">
        <f t="shared" si="73"/>
        <v>585</v>
      </c>
      <c r="B673" s="21" t="s">
        <v>672</v>
      </c>
      <c r="C673" s="5">
        <v>1964</v>
      </c>
      <c r="D673" s="3"/>
      <c r="E673" s="15" t="s">
        <v>3645</v>
      </c>
      <c r="F673" s="15">
        <v>5</v>
      </c>
      <c r="G673" s="100"/>
      <c r="H673" s="15">
        <v>2926.27</v>
      </c>
      <c r="I673" s="15">
        <v>149</v>
      </c>
      <c r="J673" s="19">
        <f t="shared" si="72"/>
        <v>561555.14</v>
      </c>
      <c r="K673" s="73"/>
      <c r="L673" s="73"/>
      <c r="M673" s="73"/>
      <c r="N673" s="19">
        <f>SUMIF('2020'!B:B,B673,'2020'!C:C)+SUMIF('2021'!B:B,B673,'2021'!C:C)+SUMIF('2022'!B:B,B673,'2022'!C:C)</f>
        <v>561555.14</v>
      </c>
      <c r="O673" s="17">
        <v>44925</v>
      </c>
      <c r="P673" s="5" t="s">
        <v>3728</v>
      </c>
    </row>
    <row r="674" spans="1:16" ht="17.25" customHeight="1" x14ac:dyDescent="0.3">
      <c r="A674" s="169">
        <f t="shared" si="73"/>
        <v>586</v>
      </c>
      <c r="B674" s="21" t="s">
        <v>673</v>
      </c>
      <c r="C674" s="5">
        <v>1962</v>
      </c>
      <c r="D674" s="3"/>
      <c r="E674" s="15" t="s">
        <v>3645</v>
      </c>
      <c r="F674" s="15">
        <v>4</v>
      </c>
      <c r="G674" s="100"/>
      <c r="H674" s="15">
        <v>3098.29</v>
      </c>
      <c r="I674" s="15">
        <v>144</v>
      </c>
      <c r="J674" s="19">
        <f t="shared" si="72"/>
        <v>601958.77</v>
      </c>
      <c r="K674" s="73"/>
      <c r="L674" s="73"/>
      <c r="M674" s="73"/>
      <c r="N674" s="19">
        <f>SUMIF('2020'!B:B,B674,'2020'!C:C)+SUMIF('2021'!B:B,B674,'2021'!C:C)+SUMIF('2022'!B:B,B674,'2022'!C:C)</f>
        <v>601958.77</v>
      </c>
      <c r="O674" s="17">
        <v>44925</v>
      </c>
      <c r="P674" s="5" t="s">
        <v>3728</v>
      </c>
    </row>
    <row r="675" spans="1:16" ht="17.25" customHeight="1" x14ac:dyDescent="0.3">
      <c r="A675" s="169">
        <f t="shared" si="73"/>
        <v>587</v>
      </c>
      <c r="B675" s="21" t="s">
        <v>674</v>
      </c>
      <c r="C675" s="5">
        <v>1962</v>
      </c>
      <c r="D675" s="3"/>
      <c r="E675" s="15" t="s">
        <v>3645</v>
      </c>
      <c r="F675" s="15">
        <v>3</v>
      </c>
      <c r="G675" s="100"/>
      <c r="H675" s="15">
        <v>3658</v>
      </c>
      <c r="I675" s="15">
        <v>22</v>
      </c>
      <c r="J675" s="19">
        <f t="shared" si="72"/>
        <v>1453506.31</v>
      </c>
      <c r="K675" s="73"/>
      <c r="L675" s="73"/>
      <c r="M675" s="73"/>
      <c r="N675" s="19">
        <f>SUMIF('2020'!B:B,B675,'2020'!C:C)+SUMIF('2021'!B:B,B675,'2021'!C:C)+SUMIF('2022'!B:B,B675,'2022'!C:C)</f>
        <v>1453506.31</v>
      </c>
      <c r="O675" s="17">
        <v>44925</v>
      </c>
      <c r="P675" s="5" t="s">
        <v>3728</v>
      </c>
    </row>
    <row r="676" spans="1:16" ht="17.25" customHeight="1" x14ac:dyDescent="0.3">
      <c r="A676" s="169">
        <f t="shared" si="73"/>
        <v>588</v>
      </c>
      <c r="B676" s="21" t="s">
        <v>675</v>
      </c>
      <c r="C676" s="5">
        <v>1956</v>
      </c>
      <c r="D676" s="3"/>
      <c r="E676" s="15" t="s">
        <v>3645</v>
      </c>
      <c r="F676" s="15">
        <v>2</v>
      </c>
      <c r="G676" s="100"/>
      <c r="H676" s="15">
        <v>1589.3</v>
      </c>
      <c r="I676" s="15">
        <v>47</v>
      </c>
      <c r="J676" s="19">
        <f t="shared" si="72"/>
        <v>1289401.3800000001</v>
      </c>
      <c r="K676" s="73"/>
      <c r="L676" s="73"/>
      <c r="M676" s="73"/>
      <c r="N676" s="19">
        <f>SUMIF('2020'!B:B,B676,'2020'!C:C)+SUMIF('2021'!B:B,B676,'2021'!C:C)+SUMIF('2022'!B:B,B676,'2022'!C:C)</f>
        <v>1289401.3800000001</v>
      </c>
      <c r="O676" s="17">
        <v>44925</v>
      </c>
      <c r="P676" s="5" t="s">
        <v>3728</v>
      </c>
    </row>
    <row r="677" spans="1:16" ht="17.25" customHeight="1" x14ac:dyDescent="0.3">
      <c r="A677" s="169">
        <f t="shared" si="73"/>
        <v>589</v>
      </c>
      <c r="B677" s="21" t="s">
        <v>676</v>
      </c>
      <c r="C677" s="5">
        <v>1962</v>
      </c>
      <c r="D677" s="3"/>
      <c r="E677" s="15" t="s">
        <v>3645</v>
      </c>
      <c r="F677" s="15">
        <v>4</v>
      </c>
      <c r="G677" s="100"/>
      <c r="H677" s="15">
        <v>3118.36</v>
      </c>
      <c r="I677" s="15">
        <v>161</v>
      </c>
      <c r="J677" s="19">
        <f t="shared" si="72"/>
        <v>2222798.5099999998</v>
      </c>
      <c r="K677" s="73"/>
      <c r="L677" s="73"/>
      <c r="M677" s="73"/>
      <c r="N677" s="19">
        <f>SUMIF('2020'!B:B,B677,'2020'!C:C)+SUMIF('2021'!B:B,B677,'2021'!C:C)+SUMIF('2022'!B:B,B677,'2022'!C:C)</f>
        <v>2222798.5099999998</v>
      </c>
      <c r="O677" s="17">
        <v>44925</v>
      </c>
      <c r="P677" s="5" t="s">
        <v>3728</v>
      </c>
    </row>
    <row r="678" spans="1:16" ht="17.25" customHeight="1" x14ac:dyDescent="0.3">
      <c r="A678" s="169">
        <f t="shared" si="73"/>
        <v>590</v>
      </c>
      <c r="B678" s="21" t="s">
        <v>677</v>
      </c>
      <c r="C678" s="5">
        <v>1956</v>
      </c>
      <c r="D678" s="3"/>
      <c r="E678" s="15" t="s">
        <v>3645</v>
      </c>
      <c r="F678" s="15">
        <v>3</v>
      </c>
      <c r="G678" s="100"/>
      <c r="H678" s="15">
        <v>824.34</v>
      </c>
      <c r="I678" s="15">
        <v>20</v>
      </c>
      <c r="J678" s="19">
        <f t="shared" si="72"/>
        <v>1435681.82</v>
      </c>
      <c r="K678" s="73"/>
      <c r="L678" s="73"/>
      <c r="M678" s="73"/>
      <c r="N678" s="19">
        <f>SUMIF('2020'!B:B,B678,'2020'!C:C)+SUMIF('2021'!B:B,B678,'2021'!C:C)+SUMIF('2022'!B:B,B678,'2022'!C:C)</f>
        <v>1435681.82</v>
      </c>
      <c r="O678" s="17">
        <v>44925</v>
      </c>
      <c r="P678" s="5" t="s">
        <v>3728</v>
      </c>
    </row>
    <row r="679" spans="1:16" ht="17.25" customHeight="1" x14ac:dyDescent="0.3">
      <c r="A679" s="169">
        <f t="shared" si="73"/>
        <v>591</v>
      </c>
      <c r="B679" s="21" t="s">
        <v>678</v>
      </c>
      <c r="C679" s="5">
        <v>1954</v>
      </c>
      <c r="D679" s="3"/>
      <c r="E679" s="15" t="s">
        <v>3645</v>
      </c>
      <c r="F679" s="15">
        <v>3</v>
      </c>
      <c r="G679" s="100"/>
      <c r="H679" s="15">
        <v>1976.8</v>
      </c>
      <c r="I679" s="15">
        <v>68</v>
      </c>
      <c r="J679" s="19">
        <f t="shared" si="72"/>
        <v>685213.01</v>
      </c>
      <c r="K679" s="73"/>
      <c r="L679" s="73"/>
      <c r="M679" s="73"/>
      <c r="N679" s="19">
        <f>SUMIF('2020'!B:B,B679,'2020'!C:C)+SUMIF('2021'!B:B,B679,'2021'!C:C)+SUMIF('2022'!B:B,B679,'2022'!C:C)</f>
        <v>685213.01</v>
      </c>
      <c r="O679" s="17">
        <v>44925</v>
      </c>
      <c r="P679" s="5" t="s">
        <v>3728</v>
      </c>
    </row>
    <row r="680" spans="1:16" ht="17.25" customHeight="1" x14ac:dyDescent="0.3">
      <c r="A680" s="169">
        <f t="shared" si="73"/>
        <v>592</v>
      </c>
      <c r="B680" s="21" t="s">
        <v>679</v>
      </c>
      <c r="C680" s="5">
        <v>1972</v>
      </c>
      <c r="D680" s="3"/>
      <c r="E680" s="15" t="s">
        <v>3645</v>
      </c>
      <c r="F680" s="15">
        <v>5</v>
      </c>
      <c r="G680" s="100"/>
      <c r="H680" s="15">
        <v>7163.3</v>
      </c>
      <c r="I680" s="15">
        <v>234</v>
      </c>
      <c r="J680" s="19">
        <f t="shared" si="72"/>
        <v>538483.79</v>
      </c>
      <c r="K680" s="73"/>
      <c r="L680" s="73"/>
      <c r="M680" s="73"/>
      <c r="N680" s="19">
        <f>SUMIF('2020'!B:B,B680,'2020'!C:C)+SUMIF('2021'!B:B,B680,'2021'!C:C)+SUMIF('2022'!B:B,B680,'2022'!C:C)</f>
        <v>538483.79</v>
      </c>
      <c r="O680" s="17">
        <v>44925</v>
      </c>
      <c r="P680" s="5" t="s">
        <v>3728</v>
      </c>
    </row>
    <row r="681" spans="1:16" ht="17.25" customHeight="1" x14ac:dyDescent="0.3">
      <c r="A681" s="169">
        <f t="shared" si="73"/>
        <v>593</v>
      </c>
      <c r="B681" s="21" t="s">
        <v>680</v>
      </c>
      <c r="C681" s="5">
        <v>1957</v>
      </c>
      <c r="D681" s="3"/>
      <c r="E681" s="15" t="s">
        <v>3645</v>
      </c>
      <c r="F681" s="15">
        <v>3</v>
      </c>
      <c r="G681" s="100"/>
      <c r="H681" s="15">
        <v>1906.6</v>
      </c>
      <c r="I681" s="15">
        <v>68</v>
      </c>
      <c r="J681" s="19">
        <f t="shared" si="72"/>
        <v>940455.78</v>
      </c>
      <c r="K681" s="73"/>
      <c r="L681" s="73"/>
      <c r="M681" s="73"/>
      <c r="N681" s="19">
        <f>SUMIF('2020'!B:B,B681,'2020'!C:C)+SUMIF('2021'!B:B,B681,'2021'!C:C)+SUMIF('2022'!B:B,B681,'2022'!C:C)</f>
        <v>940455.78</v>
      </c>
      <c r="O681" s="17">
        <v>44925</v>
      </c>
      <c r="P681" s="5" t="s">
        <v>3728</v>
      </c>
    </row>
    <row r="682" spans="1:16" ht="17.25" customHeight="1" x14ac:dyDescent="0.3">
      <c r="A682" s="169">
        <f t="shared" si="73"/>
        <v>594</v>
      </c>
      <c r="B682" s="21" t="s">
        <v>681</v>
      </c>
      <c r="C682" s="5">
        <v>1957</v>
      </c>
      <c r="D682" s="3"/>
      <c r="E682" s="15" t="s">
        <v>3645</v>
      </c>
      <c r="F682" s="15">
        <v>2</v>
      </c>
      <c r="G682" s="100"/>
      <c r="H682" s="15">
        <v>1927.7</v>
      </c>
      <c r="I682" s="15">
        <v>49</v>
      </c>
      <c r="J682" s="19">
        <f t="shared" si="72"/>
        <v>709319.13</v>
      </c>
      <c r="K682" s="73"/>
      <c r="L682" s="73"/>
      <c r="M682" s="73"/>
      <c r="N682" s="19">
        <f>SUMIF('2020'!B:B,B682,'2020'!C:C)+SUMIF('2021'!B:B,B682,'2021'!C:C)+SUMIF('2022'!B:B,B682,'2022'!C:C)</f>
        <v>709319.13</v>
      </c>
      <c r="O682" s="17">
        <v>44925</v>
      </c>
      <c r="P682" s="5" t="s">
        <v>3728</v>
      </c>
    </row>
    <row r="683" spans="1:16" ht="17.25" customHeight="1" x14ac:dyDescent="0.3">
      <c r="A683" s="169">
        <f t="shared" si="73"/>
        <v>595</v>
      </c>
      <c r="B683" s="21" t="s">
        <v>682</v>
      </c>
      <c r="C683" s="5">
        <v>1956</v>
      </c>
      <c r="D683" s="3"/>
      <c r="E683" s="15" t="s">
        <v>3645</v>
      </c>
      <c r="F683" s="15">
        <v>2</v>
      </c>
      <c r="G683" s="100"/>
      <c r="H683" s="15">
        <v>1930.1</v>
      </c>
      <c r="I683" s="15">
        <v>66</v>
      </c>
      <c r="J683" s="19">
        <f t="shared" si="72"/>
        <v>742278.4</v>
      </c>
      <c r="K683" s="73"/>
      <c r="L683" s="73"/>
      <c r="M683" s="73"/>
      <c r="N683" s="19">
        <f>SUMIF('2020'!B:B,B683,'2020'!C:C)+SUMIF('2021'!B:B,B683,'2021'!C:C)+SUMIF('2022'!B:B,B683,'2022'!C:C)</f>
        <v>742278.4</v>
      </c>
      <c r="O683" s="17">
        <v>44925</v>
      </c>
      <c r="P683" s="5" t="s">
        <v>3728</v>
      </c>
    </row>
    <row r="684" spans="1:16" ht="17.25" customHeight="1" x14ac:dyDescent="0.3">
      <c r="A684" s="169">
        <f t="shared" si="73"/>
        <v>596</v>
      </c>
      <c r="B684" s="21" t="s">
        <v>683</v>
      </c>
      <c r="C684" s="5">
        <v>1968</v>
      </c>
      <c r="D684" s="3"/>
      <c r="E684" s="15" t="s">
        <v>3645</v>
      </c>
      <c r="F684" s="15">
        <v>5</v>
      </c>
      <c r="G684" s="100"/>
      <c r="H684" s="15">
        <v>7173.9</v>
      </c>
      <c r="I684" s="15">
        <v>227</v>
      </c>
      <c r="J684" s="19">
        <f t="shared" si="72"/>
        <v>539974.5</v>
      </c>
      <c r="K684" s="73"/>
      <c r="L684" s="73"/>
      <c r="M684" s="73"/>
      <c r="N684" s="19">
        <f>SUMIF('2020'!B:B,B684,'2020'!C:C)+SUMIF('2021'!B:B,B684,'2021'!C:C)+SUMIF('2022'!B:B,B684,'2022'!C:C)</f>
        <v>539974.5</v>
      </c>
      <c r="O684" s="17">
        <v>44925</v>
      </c>
      <c r="P684" s="5" t="s">
        <v>3728</v>
      </c>
    </row>
    <row r="685" spans="1:16" ht="17.25" customHeight="1" x14ac:dyDescent="0.3">
      <c r="A685" s="169">
        <f t="shared" si="73"/>
        <v>597</v>
      </c>
      <c r="B685" s="21" t="s">
        <v>684</v>
      </c>
      <c r="C685" s="5">
        <v>1973</v>
      </c>
      <c r="D685" s="3"/>
      <c r="E685" s="15" t="s">
        <v>3645</v>
      </c>
      <c r="F685" s="15">
        <v>2</v>
      </c>
      <c r="G685" s="100"/>
      <c r="H685" s="15">
        <v>1035.5999999999999</v>
      </c>
      <c r="I685" s="15">
        <v>39</v>
      </c>
      <c r="J685" s="19">
        <f t="shared" si="72"/>
        <v>314445.46999999997</v>
      </c>
      <c r="K685" s="73"/>
      <c r="L685" s="73"/>
      <c r="M685" s="73"/>
      <c r="N685" s="19">
        <f>SUMIF('2020'!B:B,B685,'2020'!C:C)+SUMIF('2021'!B:B,B685,'2021'!C:C)+SUMIF('2022'!B:B,B685,'2022'!C:C)</f>
        <v>314445.46999999997</v>
      </c>
      <c r="O685" s="17">
        <v>44925</v>
      </c>
      <c r="P685" s="5" t="s">
        <v>3728</v>
      </c>
    </row>
    <row r="686" spans="1:16" ht="17.25" customHeight="1" x14ac:dyDescent="0.3">
      <c r="A686" s="169">
        <f t="shared" si="73"/>
        <v>598</v>
      </c>
      <c r="B686" s="21" t="s">
        <v>685</v>
      </c>
      <c r="C686" s="5">
        <v>1935</v>
      </c>
      <c r="D686" s="3"/>
      <c r="E686" s="15" t="s">
        <v>3730</v>
      </c>
      <c r="F686" s="3">
        <v>2</v>
      </c>
      <c r="G686" s="26"/>
      <c r="H686" s="3">
        <v>565.5</v>
      </c>
      <c r="I686" s="3">
        <v>18</v>
      </c>
      <c r="J686" s="19">
        <f t="shared" si="72"/>
        <v>130000</v>
      </c>
      <c r="K686" s="73"/>
      <c r="L686" s="73"/>
      <c r="M686" s="73"/>
      <c r="N686" s="19">
        <f>SUMIF('2020'!B:B,B686,'2020'!C:C)+SUMIF('2021'!B:B,B686,'2021'!C:C)+SUMIF('2022'!B:B,B686,'2022'!C:C)</f>
        <v>130000</v>
      </c>
      <c r="O686" s="17">
        <v>44925</v>
      </c>
      <c r="P686" s="5" t="s">
        <v>3728</v>
      </c>
    </row>
    <row r="687" spans="1:16" ht="17.25" customHeight="1" x14ac:dyDescent="0.3">
      <c r="A687" s="210" t="s">
        <v>211</v>
      </c>
      <c r="B687" s="21"/>
      <c r="C687" s="3"/>
      <c r="D687" s="3"/>
      <c r="E687" s="3"/>
      <c r="F687" s="3"/>
      <c r="G687" s="26"/>
      <c r="H687" s="73">
        <f t="shared" ref="H687:M687" si="74">SUM(H645:H686)</f>
        <v>87685.670000000013</v>
      </c>
      <c r="I687" s="73">
        <f t="shared" si="74"/>
        <v>3586</v>
      </c>
      <c r="J687" s="73">
        <f t="shared" si="74"/>
        <v>36901618.159999996</v>
      </c>
      <c r="K687" s="73">
        <f t="shared" si="74"/>
        <v>0</v>
      </c>
      <c r="L687" s="73">
        <f t="shared" si="74"/>
        <v>0</v>
      </c>
      <c r="M687" s="73">
        <f t="shared" si="74"/>
        <v>0</v>
      </c>
      <c r="N687" s="73">
        <f>SUM(N645:N686)</f>
        <v>36901618.159999996</v>
      </c>
      <c r="O687" s="3"/>
      <c r="P687" s="3"/>
    </row>
    <row r="688" spans="1:16" ht="17.25" customHeight="1" x14ac:dyDescent="0.3">
      <c r="A688" s="210" t="s">
        <v>686</v>
      </c>
      <c r="B688" s="21"/>
      <c r="C688" s="3"/>
      <c r="D688" s="3"/>
      <c r="E688" s="3"/>
      <c r="F688" s="3"/>
      <c r="G688" s="26"/>
      <c r="H688" s="3"/>
      <c r="I688" s="3"/>
      <c r="J688" s="73"/>
      <c r="K688" s="73"/>
      <c r="L688" s="73"/>
      <c r="M688" s="73"/>
      <c r="N688" s="73"/>
      <c r="O688" s="3"/>
      <c r="P688" s="3"/>
    </row>
    <row r="689" spans="1:16" ht="17.25" customHeight="1" x14ac:dyDescent="0.3">
      <c r="A689" s="169">
        <f>A686+1</f>
        <v>599</v>
      </c>
      <c r="B689" s="21" t="s">
        <v>687</v>
      </c>
      <c r="C689" s="5">
        <v>1960</v>
      </c>
      <c r="D689" s="3"/>
      <c r="E689" s="15" t="s">
        <v>3645</v>
      </c>
      <c r="F689" s="15">
        <v>2</v>
      </c>
      <c r="G689" s="100"/>
      <c r="H689" s="15">
        <v>877.5</v>
      </c>
      <c r="I689" s="15">
        <v>27</v>
      </c>
      <c r="J689" s="19">
        <f t="shared" ref="J689:J694" si="75">K689+L689+M689+N689</f>
        <v>11877358</v>
      </c>
      <c r="K689" s="73"/>
      <c r="L689" s="73"/>
      <c r="M689" s="73"/>
      <c r="N689" s="19">
        <f>SUMIF('2020'!B:B,B689,'2020'!C:C)+SUMIF('2021'!B:B,B689,'2021'!C:C)+SUMIF('2022'!B:B,B689,'2022'!C:C)</f>
        <v>11877358</v>
      </c>
      <c r="O689" s="17">
        <v>44925</v>
      </c>
      <c r="P689" s="5" t="s">
        <v>3728</v>
      </c>
    </row>
    <row r="690" spans="1:16" ht="17.25" customHeight="1" x14ac:dyDescent="0.3">
      <c r="A690" s="169">
        <f t="shared" si="73"/>
        <v>600</v>
      </c>
      <c r="B690" s="21" t="s">
        <v>688</v>
      </c>
      <c r="C690" s="5">
        <v>1957</v>
      </c>
      <c r="D690" s="3"/>
      <c r="E690" s="15" t="s">
        <v>3645</v>
      </c>
      <c r="F690" s="15">
        <v>2</v>
      </c>
      <c r="G690" s="100"/>
      <c r="H690" s="15">
        <v>1433.8</v>
      </c>
      <c r="I690" s="15">
        <v>64</v>
      </c>
      <c r="J690" s="19">
        <f t="shared" si="75"/>
        <v>5213906.2</v>
      </c>
      <c r="K690" s="73"/>
      <c r="L690" s="73"/>
      <c r="M690" s="73"/>
      <c r="N690" s="19">
        <f>SUMIF('2020'!B:B,B690,'2020'!C:C)+SUMIF('2021'!B:B,B690,'2021'!C:C)+SUMIF('2022'!B:B,B690,'2022'!C:C)</f>
        <v>5213906.2</v>
      </c>
      <c r="O690" s="17">
        <v>44925</v>
      </c>
      <c r="P690" s="5" t="s">
        <v>3728</v>
      </c>
    </row>
    <row r="691" spans="1:16" ht="17.25" customHeight="1" x14ac:dyDescent="0.3">
      <c r="A691" s="169">
        <f t="shared" si="73"/>
        <v>601</v>
      </c>
      <c r="B691" s="21" t="s">
        <v>689</v>
      </c>
      <c r="C691" s="5">
        <v>1957</v>
      </c>
      <c r="D691" s="3"/>
      <c r="E691" s="15" t="s">
        <v>3645</v>
      </c>
      <c r="F691" s="15">
        <v>2</v>
      </c>
      <c r="G691" s="100"/>
      <c r="H691" s="15">
        <v>897</v>
      </c>
      <c r="I691" s="15">
        <v>27</v>
      </c>
      <c r="J691" s="19">
        <f t="shared" si="75"/>
        <v>11971116.859999999</v>
      </c>
      <c r="K691" s="73"/>
      <c r="L691" s="73"/>
      <c r="M691" s="73"/>
      <c r="N691" s="19">
        <f>SUMIF('2020'!B:B,B691,'2020'!C:C)+SUMIF('2021'!B:B,B691,'2021'!C:C)+SUMIF('2022'!B:B,B691,'2022'!C:C)</f>
        <v>11971116.859999999</v>
      </c>
      <c r="O691" s="17">
        <v>44925</v>
      </c>
      <c r="P691" s="5" t="s">
        <v>3728</v>
      </c>
    </row>
    <row r="692" spans="1:16" ht="17.25" customHeight="1" x14ac:dyDescent="0.3">
      <c r="A692" s="169">
        <f t="shared" si="73"/>
        <v>602</v>
      </c>
      <c r="B692" s="21" t="s">
        <v>690</v>
      </c>
      <c r="C692" s="5">
        <v>1959</v>
      </c>
      <c r="D692" s="3"/>
      <c r="E692" s="15" t="s">
        <v>3645</v>
      </c>
      <c r="F692" s="15">
        <v>2</v>
      </c>
      <c r="G692" s="100"/>
      <c r="H692" s="15">
        <v>1396.6</v>
      </c>
      <c r="I692" s="15">
        <v>48</v>
      </c>
      <c r="J692" s="19">
        <f t="shared" si="75"/>
        <v>14622160.57</v>
      </c>
      <c r="K692" s="73"/>
      <c r="L692" s="73"/>
      <c r="M692" s="73"/>
      <c r="N692" s="19">
        <f>SUMIF('2020'!B:B,B692,'2020'!C:C)+SUMIF('2021'!B:B,B692,'2021'!C:C)+SUMIF('2022'!B:B,B692,'2022'!C:C)</f>
        <v>14622160.57</v>
      </c>
      <c r="O692" s="17">
        <v>44925</v>
      </c>
      <c r="P692" s="5" t="s">
        <v>3728</v>
      </c>
    </row>
    <row r="693" spans="1:16" ht="17.25" customHeight="1" x14ac:dyDescent="0.3">
      <c r="A693" s="169">
        <f t="shared" si="73"/>
        <v>603</v>
      </c>
      <c r="B693" s="21" t="s">
        <v>691</v>
      </c>
      <c r="C693" s="5">
        <v>1958</v>
      </c>
      <c r="D693" s="3"/>
      <c r="E693" s="15" t="s">
        <v>3645</v>
      </c>
      <c r="F693" s="15">
        <v>2</v>
      </c>
      <c r="G693" s="100"/>
      <c r="H693" s="15">
        <v>875.5</v>
      </c>
      <c r="I693" s="15">
        <v>34</v>
      </c>
      <c r="J693" s="19">
        <f t="shared" si="75"/>
        <v>12014018.4</v>
      </c>
      <c r="K693" s="73"/>
      <c r="L693" s="73"/>
      <c r="M693" s="73"/>
      <c r="N693" s="19">
        <f>SUMIF('2020'!B:B,B693,'2020'!C:C)+SUMIF('2021'!B:B,B693,'2021'!C:C)+SUMIF('2022'!B:B,B693,'2022'!C:C)</f>
        <v>12014018.4</v>
      </c>
      <c r="O693" s="17">
        <v>44925</v>
      </c>
      <c r="P693" s="5" t="s">
        <v>3728</v>
      </c>
    </row>
    <row r="694" spans="1:16" ht="17.25" customHeight="1" x14ac:dyDescent="0.3">
      <c r="A694" s="169">
        <f t="shared" si="73"/>
        <v>604</v>
      </c>
      <c r="B694" s="21" t="s">
        <v>692</v>
      </c>
      <c r="C694" s="5">
        <v>1968</v>
      </c>
      <c r="D694" s="3"/>
      <c r="E694" s="15" t="s">
        <v>3645</v>
      </c>
      <c r="F694" s="15">
        <v>5</v>
      </c>
      <c r="G694" s="100"/>
      <c r="H694" s="15">
        <v>5475.5</v>
      </c>
      <c r="I694" s="15">
        <v>244</v>
      </c>
      <c r="J694" s="19">
        <f t="shared" si="75"/>
        <v>929213.39</v>
      </c>
      <c r="K694" s="73"/>
      <c r="L694" s="73"/>
      <c r="M694" s="73"/>
      <c r="N694" s="19">
        <f>SUMIF('2020'!B:B,B694,'2020'!C:C)+SUMIF('2021'!B:B,B694,'2021'!C:C)+SUMIF('2022'!B:B,B694,'2022'!C:C)</f>
        <v>929213.39</v>
      </c>
      <c r="O694" s="17">
        <v>44925</v>
      </c>
      <c r="P694" s="5" t="s">
        <v>3728</v>
      </c>
    </row>
    <row r="695" spans="1:16" ht="17.25" customHeight="1" x14ac:dyDescent="0.3">
      <c r="A695" s="210" t="s">
        <v>211</v>
      </c>
      <c r="B695" s="21"/>
      <c r="C695" s="3"/>
      <c r="D695" s="3"/>
      <c r="E695" s="3"/>
      <c r="F695" s="3"/>
      <c r="G695" s="26"/>
      <c r="H695" s="73">
        <f t="shared" ref="H695:M695" si="76">SUM(H689:H694)</f>
        <v>10955.9</v>
      </c>
      <c r="I695" s="73">
        <f t="shared" si="76"/>
        <v>444</v>
      </c>
      <c r="J695" s="73">
        <f t="shared" si="76"/>
        <v>56627773.419999994</v>
      </c>
      <c r="K695" s="73">
        <f t="shared" si="76"/>
        <v>0</v>
      </c>
      <c r="L695" s="73">
        <f t="shared" si="76"/>
        <v>0</v>
      </c>
      <c r="M695" s="73">
        <f t="shared" si="76"/>
        <v>0</v>
      </c>
      <c r="N695" s="73">
        <f>SUM(N689:N694)</f>
        <v>56627773.419999994</v>
      </c>
      <c r="O695" s="3"/>
      <c r="P695" s="3"/>
    </row>
    <row r="696" spans="1:16" ht="17.25" customHeight="1" x14ac:dyDescent="0.3">
      <c r="A696" s="210" t="s">
        <v>693</v>
      </c>
      <c r="B696" s="21"/>
      <c r="C696" s="3"/>
      <c r="D696" s="3"/>
      <c r="E696" s="3"/>
      <c r="F696" s="3"/>
      <c r="G696" s="26"/>
      <c r="H696" s="3"/>
      <c r="I696" s="3"/>
      <c r="J696" s="73"/>
      <c r="K696" s="73"/>
      <c r="L696" s="73"/>
      <c r="M696" s="73"/>
      <c r="N696" s="73"/>
      <c r="O696" s="3"/>
      <c r="P696" s="3"/>
    </row>
    <row r="697" spans="1:16" ht="17.25" customHeight="1" x14ac:dyDescent="0.3">
      <c r="A697" s="169">
        <f>A694+1</f>
        <v>605</v>
      </c>
      <c r="B697" s="21" t="s">
        <v>694</v>
      </c>
      <c r="C697" s="5">
        <v>1937</v>
      </c>
      <c r="D697" s="3"/>
      <c r="E697" s="15" t="s">
        <v>3645</v>
      </c>
      <c r="F697" s="169">
        <v>4</v>
      </c>
      <c r="G697" s="26"/>
      <c r="H697" s="2">
        <v>2455</v>
      </c>
      <c r="I697" s="22">
        <v>95</v>
      </c>
      <c r="J697" s="19">
        <f>K697+L697+M697+N697</f>
        <v>882747.78999999992</v>
      </c>
      <c r="K697" s="73"/>
      <c r="L697" s="73"/>
      <c r="M697" s="73"/>
      <c r="N697" s="19">
        <f>SUMIF('2020'!B:B,B697,'2020'!C:C)+SUMIF('2021'!B:B,B697,'2021'!C:C)+SUMIF('2022'!B:B,B697,'2022'!C:C)</f>
        <v>882747.78999999992</v>
      </c>
      <c r="O697" s="17">
        <v>44925</v>
      </c>
      <c r="P697" s="5" t="s">
        <v>3728</v>
      </c>
    </row>
    <row r="698" spans="1:16" ht="17.25" customHeight="1" x14ac:dyDescent="0.3">
      <c r="A698" s="169">
        <f t="shared" si="73"/>
        <v>606</v>
      </c>
      <c r="B698" s="21" t="s">
        <v>695</v>
      </c>
      <c r="C698" s="5">
        <v>1937</v>
      </c>
      <c r="D698" s="3"/>
      <c r="E698" s="15" t="s">
        <v>3645</v>
      </c>
      <c r="F698" s="169">
        <v>4</v>
      </c>
      <c r="G698" s="26"/>
      <c r="H698" s="2">
        <v>2409</v>
      </c>
      <c r="I698" s="22">
        <v>109</v>
      </c>
      <c r="J698" s="19">
        <f>K698+L698+M698+N698</f>
        <v>881600.06</v>
      </c>
      <c r="K698" s="73"/>
      <c r="L698" s="73"/>
      <c r="M698" s="73"/>
      <c r="N698" s="19">
        <f>SUMIF('2020'!B:B,B698,'2020'!C:C)+SUMIF('2021'!B:B,B698,'2021'!C:C)+SUMIF('2022'!B:B,B698,'2022'!C:C)</f>
        <v>881600.06</v>
      </c>
      <c r="O698" s="17">
        <v>44925</v>
      </c>
      <c r="P698" s="5" t="s">
        <v>3728</v>
      </c>
    </row>
    <row r="699" spans="1:16" ht="17.25" customHeight="1" x14ac:dyDescent="0.3">
      <c r="A699" s="210" t="s">
        <v>211</v>
      </c>
      <c r="B699" s="21"/>
      <c r="C699" s="3"/>
      <c r="D699" s="3"/>
      <c r="E699" s="3"/>
      <c r="F699" s="3"/>
      <c r="G699" s="26"/>
      <c r="H699" s="73">
        <f t="shared" ref="H699:M699" si="77">SUM(H697:H698)</f>
        <v>4864</v>
      </c>
      <c r="I699" s="73">
        <f t="shared" si="77"/>
        <v>204</v>
      </c>
      <c r="J699" s="73">
        <f t="shared" si="77"/>
        <v>1764347.85</v>
      </c>
      <c r="K699" s="73">
        <f t="shared" si="77"/>
        <v>0</v>
      </c>
      <c r="L699" s="73">
        <f t="shared" si="77"/>
        <v>0</v>
      </c>
      <c r="M699" s="73">
        <f t="shared" si="77"/>
        <v>0</v>
      </c>
      <c r="N699" s="73">
        <f>SUM(N697:N698)</f>
        <v>1764347.85</v>
      </c>
      <c r="O699" s="3"/>
      <c r="P699" s="3"/>
    </row>
    <row r="700" spans="1:16" ht="17.25" customHeight="1" x14ac:dyDescent="0.3">
      <c r="A700" s="210" t="s">
        <v>696</v>
      </c>
      <c r="B700" s="21"/>
      <c r="C700" s="3"/>
      <c r="D700" s="3"/>
      <c r="E700" s="3"/>
      <c r="F700" s="3"/>
      <c r="G700" s="26"/>
      <c r="H700" s="3"/>
      <c r="I700" s="3"/>
      <c r="J700" s="73"/>
      <c r="K700" s="73"/>
      <c r="L700" s="73"/>
      <c r="M700" s="73"/>
      <c r="N700" s="73"/>
      <c r="O700" s="3"/>
      <c r="P700" s="3"/>
    </row>
    <row r="701" spans="1:16" ht="17.25" customHeight="1" x14ac:dyDescent="0.3">
      <c r="A701" s="169">
        <f>A698+1</f>
        <v>607</v>
      </c>
      <c r="B701" s="21" t="s">
        <v>697</v>
      </c>
      <c r="C701" s="5">
        <v>1977</v>
      </c>
      <c r="D701" s="3"/>
      <c r="E701" s="3" t="s">
        <v>3732</v>
      </c>
      <c r="F701" s="3">
        <v>5</v>
      </c>
      <c r="G701" s="26"/>
      <c r="H701" s="3">
        <v>3114.4</v>
      </c>
      <c r="I701" s="3">
        <v>123</v>
      </c>
      <c r="J701" s="19">
        <f t="shared" ref="J701:J707" si="78">K701+L701+M701+N701</f>
        <v>18955621.200000003</v>
      </c>
      <c r="K701" s="73"/>
      <c r="L701" s="73"/>
      <c r="M701" s="73"/>
      <c r="N701" s="19">
        <f>SUMIF('2020'!B:B,B701,'2020'!C:C)+SUMIF('2021'!B:B,B701,'2021'!C:C)+SUMIF('2022'!B:B,B701,'2022'!C:C)</f>
        <v>18955621.200000003</v>
      </c>
      <c r="O701" s="17">
        <v>44925</v>
      </c>
      <c r="P701" s="5" t="s">
        <v>3728</v>
      </c>
    </row>
    <row r="702" spans="1:16" ht="17.25" customHeight="1" x14ac:dyDescent="0.3">
      <c r="A702" s="169">
        <f t="shared" si="73"/>
        <v>608</v>
      </c>
      <c r="B702" s="21" t="s">
        <v>698</v>
      </c>
      <c r="C702" s="5">
        <v>1977</v>
      </c>
      <c r="D702" s="3"/>
      <c r="E702" s="3" t="s">
        <v>3732</v>
      </c>
      <c r="F702" s="3">
        <v>5</v>
      </c>
      <c r="G702" s="26"/>
      <c r="H702" s="3">
        <v>4364.8999999999996</v>
      </c>
      <c r="I702" s="3">
        <v>172</v>
      </c>
      <c r="J702" s="19">
        <f t="shared" si="78"/>
        <v>21891252</v>
      </c>
      <c r="K702" s="73"/>
      <c r="L702" s="73"/>
      <c r="M702" s="73"/>
      <c r="N702" s="19">
        <f>SUMIF('2020'!B:B,B702,'2020'!C:C)+SUMIF('2021'!B:B,B702,'2021'!C:C)+SUMIF('2022'!B:B,B702,'2022'!C:C)</f>
        <v>21891252</v>
      </c>
      <c r="O702" s="17">
        <v>44925</v>
      </c>
      <c r="P702" s="5" t="s">
        <v>3728</v>
      </c>
    </row>
    <row r="703" spans="1:16" ht="17.25" customHeight="1" x14ac:dyDescent="0.3">
      <c r="A703" s="169">
        <f t="shared" si="73"/>
        <v>609</v>
      </c>
      <c r="B703" s="21" t="s">
        <v>699</v>
      </c>
      <c r="C703" s="5">
        <v>1978</v>
      </c>
      <c r="D703" s="3"/>
      <c r="E703" s="3" t="s">
        <v>3732</v>
      </c>
      <c r="F703" s="3">
        <v>5</v>
      </c>
      <c r="G703" s="26"/>
      <c r="H703" s="3">
        <v>3115.7</v>
      </c>
      <c r="I703" s="3">
        <v>152</v>
      </c>
      <c r="J703" s="19">
        <f t="shared" si="78"/>
        <v>403249.63</v>
      </c>
      <c r="K703" s="73"/>
      <c r="L703" s="73"/>
      <c r="M703" s="73"/>
      <c r="N703" s="19">
        <f>SUMIF('2020'!B:B,B703,'2020'!C:C)+SUMIF('2021'!B:B,B703,'2021'!C:C)+SUMIF('2022'!B:B,B703,'2022'!C:C)</f>
        <v>403249.63</v>
      </c>
      <c r="O703" s="17">
        <v>44925</v>
      </c>
      <c r="P703" s="5" t="s">
        <v>3728</v>
      </c>
    </row>
    <row r="704" spans="1:16" ht="17.25" customHeight="1" x14ac:dyDescent="0.3">
      <c r="A704" s="169">
        <f t="shared" si="73"/>
        <v>610</v>
      </c>
      <c r="B704" s="21" t="s">
        <v>700</v>
      </c>
      <c r="C704" s="5">
        <v>1977</v>
      </c>
      <c r="D704" s="3"/>
      <c r="E704" s="3" t="s">
        <v>3732</v>
      </c>
      <c r="F704" s="3">
        <v>5</v>
      </c>
      <c r="G704" s="26"/>
      <c r="H704" s="3">
        <v>4029.9</v>
      </c>
      <c r="I704" s="3">
        <v>183</v>
      </c>
      <c r="J704" s="19">
        <f t="shared" si="78"/>
        <v>21065848.800000001</v>
      </c>
      <c r="K704" s="73"/>
      <c r="L704" s="73"/>
      <c r="M704" s="73"/>
      <c r="N704" s="19">
        <f>SUMIF('2020'!B:B,B704,'2020'!C:C)+SUMIF('2021'!B:B,B704,'2021'!C:C)+SUMIF('2022'!B:B,B704,'2022'!C:C)</f>
        <v>21065848.800000001</v>
      </c>
      <c r="O704" s="17">
        <v>44925</v>
      </c>
      <c r="P704" s="5" t="s">
        <v>3728</v>
      </c>
    </row>
    <row r="705" spans="1:16" ht="17.25" customHeight="1" x14ac:dyDescent="0.3">
      <c r="A705" s="169">
        <f t="shared" si="73"/>
        <v>611</v>
      </c>
      <c r="B705" s="21" t="s">
        <v>701</v>
      </c>
      <c r="C705" s="5">
        <v>1936</v>
      </c>
      <c r="D705" s="3"/>
      <c r="E705" s="15" t="s">
        <v>3730</v>
      </c>
      <c r="F705" s="3">
        <v>2</v>
      </c>
      <c r="G705" s="26"/>
      <c r="H705" s="3">
        <v>183.4</v>
      </c>
      <c r="I705" s="3">
        <v>5</v>
      </c>
      <c r="J705" s="19">
        <f t="shared" si="78"/>
        <v>130000</v>
      </c>
      <c r="K705" s="73"/>
      <c r="L705" s="73"/>
      <c r="M705" s="73"/>
      <c r="N705" s="19">
        <f>SUMIF('2020'!B:B,B705,'2020'!C:C)+SUMIF('2021'!B:B,B705,'2021'!C:C)+SUMIF('2022'!B:B,B705,'2022'!C:C)</f>
        <v>130000</v>
      </c>
      <c r="O705" s="17">
        <v>44925</v>
      </c>
      <c r="P705" s="5" t="s">
        <v>3728</v>
      </c>
    </row>
    <row r="706" spans="1:16" ht="17.25" customHeight="1" x14ac:dyDescent="0.3">
      <c r="A706" s="169">
        <f t="shared" si="73"/>
        <v>612</v>
      </c>
      <c r="B706" s="21" t="s">
        <v>702</v>
      </c>
      <c r="C706" s="5">
        <v>1940</v>
      </c>
      <c r="D706" s="3"/>
      <c r="E706" s="15" t="s">
        <v>3645</v>
      </c>
      <c r="F706" s="3">
        <v>4</v>
      </c>
      <c r="G706" s="26"/>
      <c r="H706" s="3">
        <v>2215.8000000000002</v>
      </c>
      <c r="I706" s="3">
        <v>116</v>
      </c>
      <c r="J706" s="19">
        <f t="shared" si="78"/>
        <v>444026.45000000007</v>
      </c>
      <c r="K706" s="73"/>
      <c r="L706" s="73"/>
      <c r="M706" s="73"/>
      <c r="N706" s="19">
        <f>SUMIF('2020'!B:B,B706,'2020'!C:C)+SUMIF('2021'!B:B,B706,'2021'!C:C)+SUMIF('2022'!B:B,B706,'2022'!C:C)</f>
        <v>444026.45000000007</v>
      </c>
      <c r="O706" s="17">
        <v>44925</v>
      </c>
      <c r="P706" s="5" t="s">
        <v>3728</v>
      </c>
    </row>
    <row r="707" spans="1:16" ht="17.25" customHeight="1" x14ac:dyDescent="0.3">
      <c r="A707" s="169">
        <f t="shared" si="73"/>
        <v>613</v>
      </c>
      <c r="B707" s="21" t="s">
        <v>703</v>
      </c>
      <c r="C707" s="5">
        <v>1936</v>
      </c>
      <c r="D707" s="3"/>
      <c r="E707" s="15" t="s">
        <v>3645</v>
      </c>
      <c r="F707" s="3">
        <v>4</v>
      </c>
      <c r="G707" s="26"/>
      <c r="H707" s="3">
        <v>1784.2</v>
      </c>
      <c r="I707" s="3">
        <v>83</v>
      </c>
      <c r="J707" s="19">
        <f t="shared" si="78"/>
        <v>504169.01</v>
      </c>
      <c r="K707" s="73"/>
      <c r="L707" s="73"/>
      <c r="M707" s="73"/>
      <c r="N707" s="19">
        <f>SUMIF('2020'!B:B,B707,'2020'!C:C)+SUMIF('2021'!B:B,B707,'2021'!C:C)+SUMIF('2022'!B:B,B707,'2022'!C:C)</f>
        <v>504169.01</v>
      </c>
      <c r="O707" s="17">
        <v>44925</v>
      </c>
      <c r="P707" s="5" t="s">
        <v>3728</v>
      </c>
    </row>
    <row r="708" spans="1:16" ht="17.25" customHeight="1" x14ac:dyDescent="0.3">
      <c r="A708" s="210" t="s">
        <v>211</v>
      </c>
      <c r="B708" s="21"/>
      <c r="C708" s="3"/>
      <c r="D708" s="3"/>
      <c r="E708" s="3"/>
      <c r="F708" s="3"/>
      <c r="G708" s="26"/>
      <c r="H708" s="73">
        <f t="shared" ref="H708:M708" si="79">SUM(H701:H707)</f>
        <v>18808.3</v>
      </c>
      <c r="I708" s="73">
        <f t="shared" si="79"/>
        <v>834</v>
      </c>
      <c r="J708" s="73">
        <f t="shared" si="79"/>
        <v>63394167.090000011</v>
      </c>
      <c r="K708" s="73">
        <f t="shared" si="79"/>
        <v>0</v>
      </c>
      <c r="L708" s="73">
        <f t="shared" si="79"/>
        <v>0</v>
      </c>
      <c r="M708" s="73">
        <f t="shared" si="79"/>
        <v>0</v>
      </c>
      <c r="N708" s="73">
        <f>SUM(N701:N707)</f>
        <v>63394167.090000011</v>
      </c>
      <c r="O708" s="3"/>
      <c r="P708" s="3"/>
    </row>
    <row r="709" spans="1:16" ht="17.25" customHeight="1" x14ac:dyDescent="0.3">
      <c r="A709" s="169" t="s">
        <v>704</v>
      </c>
      <c r="B709" s="21"/>
      <c r="C709" s="3"/>
      <c r="D709" s="3"/>
      <c r="E709" s="3"/>
      <c r="F709" s="3"/>
      <c r="G709" s="26"/>
      <c r="H709" s="3"/>
      <c r="I709" s="3"/>
      <c r="J709" s="73"/>
      <c r="K709" s="73"/>
      <c r="L709" s="73"/>
      <c r="M709" s="73"/>
      <c r="N709" s="73"/>
      <c r="O709" s="3"/>
      <c r="P709" s="3"/>
    </row>
    <row r="710" spans="1:16" ht="17.25" customHeight="1" x14ac:dyDescent="0.3">
      <c r="A710" s="169">
        <f>A707+1</f>
        <v>614</v>
      </c>
      <c r="B710" s="21" t="s">
        <v>705</v>
      </c>
      <c r="C710" s="5">
        <v>1964</v>
      </c>
      <c r="D710" s="3"/>
      <c r="E710" s="101" t="s">
        <v>3645</v>
      </c>
      <c r="F710" s="101">
        <v>2</v>
      </c>
      <c r="G710" s="26"/>
      <c r="H710" s="101">
        <v>522</v>
      </c>
      <c r="I710" s="101">
        <v>34</v>
      </c>
      <c r="J710" s="19">
        <f t="shared" ref="J710:J772" si="80">K710+L710+M710+N710</f>
        <v>7419823.7000000002</v>
      </c>
      <c r="K710" s="73"/>
      <c r="L710" s="73"/>
      <c r="M710" s="73"/>
      <c r="N710" s="19">
        <f>SUMIF('2020'!B:B,B710,'2020'!C:C)+SUMIF('2021'!B:B,B710,'2021'!C:C)+SUMIF('2022'!B:B,B710,'2022'!C:C)</f>
        <v>7419823.7000000002</v>
      </c>
      <c r="O710" s="17">
        <v>44925</v>
      </c>
      <c r="P710" s="5" t="s">
        <v>3728</v>
      </c>
    </row>
    <row r="711" spans="1:16" ht="17.25" customHeight="1" x14ac:dyDescent="0.3">
      <c r="A711" s="169">
        <f t="shared" si="73"/>
        <v>615</v>
      </c>
      <c r="B711" s="21" t="s">
        <v>706</v>
      </c>
      <c r="C711" s="5">
        <v>1968</v>
      </c>
      <c r="D711" s="3"/>
      <c r="E711" s="101" t="s">
        <v>3645</v>
      </c>
      <c r="F711" s="101">
        <v>2</v>
      </c>
      <c r="G711" s="26"/>
      <c r="H711" s="101">
        <v>551</v>
      </c>
      <c r="I711" s="101">
        <v>23</v>
      </c>
      <c r="J711" s="19">
        <f t="shared" si="80"/>
        <v>9954197.2999999989</v>
      </c>
      <c r="K711" s="73"/>
      <c r="L711" s="73"/>
      <c r="M711" s="73"/>
      <c r="N711" s="19">
        <f>SUMIF('2020'!B:B,B711,'2020'!C:C)+SUMIF('2021'!B:B,B711,'2021'!C:C)+SUMIF('2022'!B:B,B711,'2022'!C:C)</f>
        <v>9954197.2999999989</v>
      </c>
      <c r="O711" s="17">
        <v>44925</v>
      </c>
      <c r="P711" s="5" t="s">
        <v>3728</v>
      </c>
    </row>
    <row r="712" spans="1:16" ht="17.25" customHeight="1" x14ac:dyDescent="0.3">
      <c r="A712" s="169">
        <f t="shared" si="73"/>
        <v>616</v>
      </c>
      <c r="B712" s="21" t="s">
        <v>707</v>
      </c>
      <c r="C712" s="5">
        <v>1968</v>
      </c>
      <c r="D712" s="3"/>
      <c r="E712" s="101" t="s">
        <v>3731</v>
      </c>
      <c r="F712" s="101">
        <v>4</v>
      </c>
      <c r="G712" s="26"/>
      <c r="H712" s="101">
        <v>2645.7</v>
      </c>
      <c r="I712" s="101">
        <v>60</v>
      </c>
      <c r="J712" s="19">
        <f t="shared" si="80"/>
        <v>1125914.0699999998</v>
      </c>
      <c r="K712" s="73"/>
      <c r="L712" s="73"/>
      <c r="M712" s="73"/>
      <c r="N712" s="19">
        <f>SUMIF('2020'!B:B,B712,'2020'!C:C)+SUMIF('2021'!B:B,B712,'2021'!C:C)+SUMIF('2022'!B:B,B712,'2022'!C:C)</f>
        <v>1125914.0699999998</v>
      </c>
      <c r="O712" s="17">
        <v>44925</v>
      </c>
      <c r="P712" s="5" t="s">
        <v>3728</v>
      </c>
    </row>
    <row r="713" spans="1:16" ht="17.25" customHeight="1" x14ac:dyDescent="0.3">
      <c r="A713" s="169">
        <f t="shared" si="73"/>
        <v>617</v>
      </c>
      <c r="B713" s="21" t="s">
        <v>708</v>
      </c>
      <c r="C713" s="5">
        <v>1987</v>
      </c>
      <c r="D713" s="3"/>
      <c r="E713" s="101" t="s">
        <v>3731</v>
      </c>
      <c r="F713" s="101">
        <v>5</v>
      </c>
      <c r="G713" s="26"/>
      <c r="H713" s="101">
        <v>7242</v>
      </c>
      <c r="I713" s="101">
        <v>269</v>
      </c>
      <c r="J713" s="19">
        <f t="shared" si="80"/>
        <v>2009036</v>
      </c>
      <c r="K713" s="73"/>
      <c r="L713" s="73"/>
      <c r="M713" s="73"/>
      <c r="N713" s="19">
        <f>SUMIF('2020'!B:B,B713,'2020'!C:C)+SUMIF('2021'!B:B,B713,'2021'!C:C)+SUMIF('2022'!B:B,B713,'2022'!C:C)</f>
        <v>2009036</v>
      </c>
      <c r="O713" s="17">
        <v>44925</v>
      </c>
      <c r="P713" s="5" t="s">
        <v>3728</v>
      </c>
    </row>
    <row r="714" spans="1:16" ht="17.25" customHeight="1" x14ac:dyDescent="0.3">
      <c r="A714" s="169">
        <f t="shared" si="73"/>
        <v>618</v>
      </c>
      <c r="B714" s="21" t="s">
        <v>709</v>
      </c>
      <c r="C714" s="5">
        <v>1991</v>
      </c>
      <c r="D714" s="3"/>
      <c r="E714" s="101" t="s">
        <v>3731</v>
      </c>
      <c r="F714" s="101">
        <v>5</v>
      </c>
      <c r="G714" s="26"/>
      <c r="H714" s="101">
        <v>8524</v>
      </c>
      <c r="I714" s="101">
        <v>359</v>
      </c>
      <c r="J714" s="19">
        <f t="shared" si="80"/>
        <v>2051025.13</v>
      </c>
      <c r="K714" s="73"/>
      <c r="L714" s="73"/>
      <c r="M714" s="73"/>
      <c r="N714" s="19">
        <f>SUMIF('2020'!B:B,B714,'2020'!C:C)+SUMIF('2021'!B:B,B714,'2021'!C:C)+SUMIF('2022'!B:B,B714,'2022'!C:C)</f>
        <v>2051025.13</v>
      </c>
      <c r="O714" s="17">
        <v>44925</v>
      </c>
      <c r="P714" s="5" t="s">
        <v>3728</v>
      </c>
    </row>
    <row r="715" spans="1:16" ht="17.25" customHeight="1" x14ac:dyDescent="0.3">
      <c r="A715" s="169">
        <f t="shared" si="73"/>
        <v>619</v>
      </c>
      <c r="B715" s="21" t="s">
        <v>710</v>
      </c>
      <c r="C715" s="5">
        <v>1955</v>
      </c>
      <c r="D715" s="3"/>
      <c r="E715" s="101" t="s">
        <v>3645</v>
      </c>
      <c r="F715" s="101">
        <v>3</v>
      </c>
      <c r="G715" s="26"/>
      <c r="H715" s="101">
        <v>2105.66</v>
      </c>
      <c r="I715" s="101">
        <v>76</v>
      </c>
      <c r="J715" s="19">
        <f t="shared" si="80"/>
        <v>866119.42</v>
      </c>
      <c r="K715" s="73"/>
      <c r="L715" s="73"/>
      <c r="M715" s="73"/>
      <c r="N715" s="19">
        <f>SUMIF('2020'!B:B,B715,'2020'!C:C)+SUMIF('2021'!B:B,B715,'2021'!C:C)+SUMIF('2022'!B:B,B715,'2022'!C:C)</f>
        <v>866119.42</v>
      </c>
      <c r="O715" s="17">
        <v>44925</v>
      </c>
      <c r="P715" s="5" t="s">
        <v>3728</v>
      </c>
    </row>
    <row r="716" spans="1:16" ht="17.25" customHeight="1" x14ac:dyDescent="0.3">
      <c r="A716" s="169">
        <f t="shared" si="73"/>
        <v>620</v>
      </c>
      <c r="B716" s="21" t="s">
        <v>711</v>
      </c>
      <c r="C716" s="5">
        <v>1957</v>
      </c>
      <c r="D716" s="3"/>
      <c r="E716" s="101" t="s">
        <v>3645</v>
      </c>
      <c r="F716" s="101">
        <v>3</v>
      </c>
      <c r="G716" s="26"/>
      <c r="H716" s="101">
        <v>1624</v>
      </c>
      <c r="I716" s="101">
        <v>53</v>
      </c>
      <c r="J716" s="19">
        <f t="shared" si="80"/>
        <v>881987.27</v>
      </c>
      <c r="K716" s="73"/>
      <c r="L716" s="73"/>
      <c r="M716" s="73"/>
      <c r="N716" s="19">
        <f>SUMIF('2020'!B:B,B716,'2020'!C:C)+SUMIF('2021'!B:B,B716,'2021'!C:C)+SUMIF('2022'!B:B,B716,'2022'!C:C)</f>
        <v>881987.27</v>
      </c>
      <c r="O716" s="17">
        <v>44925</v>
      </c>
      <c r="P716" s="5" t="s">
        <v>3728</v>
      </c>
    </row>
    <row r="717" spans="1:16" ht="17.25" customHeight="1" x14ac:dyDescent="0.3">
      <c r="A717" s="169">
        <f t="shared" si="73"/>
        <v>621</v>
      </c>
      <c r="B717" s="21" t="s">
        <v>712</v>
      </c>
      <c r="C717" s="5">
        <v>1972</v>
      </c>
      <c r="D717" s="3"/>
      <c r="E717" s="101" t="s">
        <v>3645</v>
      </c>
      <c r="F717" s="101">
        <v>5</v>
      </c>
      <c r="G717" s="26"/>
      <c r="H717" s="101">
        <v>3687</v>
      </c>
      <c r="I717" s="101">
        <v>167</v>
      </c>
      <c r="J717" s="19">
        <f t="shared" si="80"/>
        <v>1272852.31</v>
      </c>
      <c r="K717" s="73"/>
      <c r="L717" s="73"/>
      <c r="M717" s="73"/>
      <c r="N717" s="19">
        <f>SUMIF('2020'!B:B,B717,'2020'!C:C)+SUMIF('2021'!B:B,B717,'2021'!C:C)+SUMIF('2022'!B:B,B717,'2022'!C:C)</f>
        <v>1272852.31</v>
      </c>
      <c r="O717" s="17">
        <v>44925</v>
      </c>
      <c r="P717" s="5" t="s">
        <v>3728</v>
      </c>
    </row>
    <row r="718" spans="1:16" ht="17.25" customHeight="1" x14ac:dyDescent="0.3">
      <c r="A718" s="169">
        <f t="shared" si="73"/>
        <v>622</v>
      </c>
      <c r="B718" s="21" t="s">
        <v>713</v>
      </c>
      <c r="C718" s="5">
        <v>1973</v>
      </c>
      <c r="D718" s="3"/>
      <c r="E718" s="101" t="s">
        <v>3645</v>
      </c>
      <c r="F718" s="101">
        <v>5</v>
      </c>
      <c r="G718" s="26"/>
      <c r="H718" s="101">
        <v>5040</v>
      </c>
      <c r="I718" s="101">
        <v>210</v>
      </c>
      <c r="J718" s="19">
        <f t="shared" si="80"/>
        <v>1507637.5299999998</v>
      </c>
      <c r="K718" s="73"/>
      <c r="L718" s="73"/>
      <c r="M718" s="73"/>
      <c r="N718" s="19">
        <f>SUMIF('2020'!B:B,B718,'2020'!C:C)+SUMIF('2021'!B:B,B718,'2021'!C:C)+SUMIF('2022'!B:B,B718,'2022'!C:C)</f>
        <v>1507637.5299999998</v>
      </c>
      <c r="O718" s="17">
        <v>44925</v>
      </c>
      <c r="P718" s="5" t="s">
        <v>3728</v>
      </c>
    </row>
    <row r="719" spans="1:16" ht="17.25" customHeight="1" x14ac:dyDescent="0.3">
      <c r="A719" s="169">
        <f t="shared" si="73"/>
        <v>623</v>
      </c>
      <c r="B719" s="21" t="s">
        <v>714</v>
      </c>
      <c r="C719" s="5">
        <v>1980</v>
      </c>
      <c r="D719" s="3"/>
      <c r="E719" s="101" t="s">
        <v>3731</v>
      </c>
      <c r="F719" s="101">
        <v>5</v>
      </c>
      <c r="G719" s="26"/>
      <c r="H719" s="101">
        <v>6336</v>
      </c>
      <c r="I719" s="101">
        <v>307</v>
      </c>
      <c r="J719" s="19">
        <f t="shared" si="80"/>
        <v>1728418.89</v>
      </c>
      <c r="K719" s="73"/>
      <c r="L719" s="73"/>
      <c r="M719" s="73"/>
      <c r="N719" s="19">
        <f>SUMIF('2020'!B:B,B719,'2020'!C:C)+SUMIF('2021'!B:B,B719,'2021'!C:C)+SUMIF('2022'!B:B,B719,'2022'!C:C)</f>
        <v>1728418.89</v>
      </c>
      <c r="O719" s="17">
        <v>44925</v>
      </c>
      <c r="P719" s="5" t="s">
        <v>3728</v>
      </c>
    </row>
    <row r="720" spans="1:16" ht="17.25" customHeight="1" x14ac:dyDescent="0.3">
      <c r="A720" s="169">
        <f t="shared" si="73"/>
        <v>624</v>
      </c>
      <c r="B720" s="21" t="s">
        <v>715</v>
      </c>
      <c r="C720" s="5">
        <v>1975</v>
      </c>
      <c r="D720" s="3"/>
      <c r="E720" s="101" t="s">
        <v>3731</v>
      </c>
      <c r="F720" s="101">
        <v>5</v>
      </c>
      <c r="G720" s="26"/>
      <c r="H720" s="101">
        <v>4446</v>
      </c>
      <c r="I720" s="101">
        <v>147</v>
      </c>
      <c r="J720" s="19">
        <f t="shared" si="80"/>
        <v>26074906.530000001</v>
      </c>
      <c r="K720" s="73"/>
      <c r="L720" s="73"/>
      <c r="M720" s="73"/>
      <c r="N720" s="19">
        <f>SUMIF('2020'!B:B,B720,'2020'!C:C)+SUMIF('2021'!B:B,B720,'2021'!C:C)+SUMIF('2022'!B:B,B720,'2022'!C:C)</f>
        <v>26074906.530000001</v>
      </c>
      <c r="O720" s="17">
        <v>44925</v>
      </c>
      <c r="P720" s="5" t="s">
        <v>3728</v>
      </c>
    </row>
    <row r="721" spans="1:16" ht="17.25" customHeight="1" x14ac:dyDescent="0.3">
      <c r="A721" s="169">
        <f t="shared" si="73"/>
        <v>625</v>
      </c>
      <c r="B721" s="21" t="s">
        <v>716</v>
      </c>
      <c r="C721" s="5">
        <v>1978</v>
      </c>
      <c r="D721" s="3"/>
      <c r="E721" s="101" t="s">
        <v>3731</v>
      </c>
      <c r="F721" s="101">
        <v>5</v>
      </c>
      <c r="G721" s="26"/>
      <c r="H721" s="101">
        <v>3315</v>
      </c>
      <c r="I721" s="101">
        <v>139</v>
      </c>
      <c r="J721" s="19">
        <f t="shared" si="80"/>
        <v>18874663.560000002</v>
      </c>
      <c r="K721" s="73"/>
      <c r="L721" s="73"/>
      <c r="M721" s="73"/>
      <c r="N721" s="19">
        <f>SUMIF('2020'!B:B,B721,'2020'!C:C)+SUMIF('2021'!B:B,B721,'2021'!C:C)+SUMIF('2022'!B:B,B721,'2022'!C:C)</f>
        <v>18874663.560000002</v>
      </c>
      <c r="O721" s="17">
        <v>44925</v>
      </c>
      <c r="P721" s="5" t="s">
        <v>3728</v>
      </c>
    </row>
    <row r="722" spans="1:16" ht="17.25" customHeight="1" x14ac:dyDescent="0.3">
      <c r="A722" s="169">
        <f t="shared" si="73"/>
        <v>626</v>
      </c>
      <c r="B722" s="21" t="s">
        <v>717</v>
      </c>
      <c r="C722" s="5">
        <v>1979</v>
      </c>
      <c r="D722" s="3"/>
      <c r="E722" s="101" t="s">
        <v>3731</v>
      </c>
      <c r="F722" s="101">
        <v>5</v>
      </c>
      <c r="G722" s="26"/>
      <c r="H722" s="101">
        <v>3616</v>
      </c>
      <c r="I722" s="101">
        <v>127</v>
      </c>
      <c r="J722" s="19">
        <f t="shared" si="80"/>
        <v>18659558.66</v>
      </c>
      <c r="K722" s="73"/>
      <c r="L722" s="73"/>
      <c r="M722" s="73"/>
      <c r="N722" s="19">
        <f>SUMIF('2020'!B:B,B722,'2020'!C:C)+SUMIF('2021'!B:B,B722,'2021'!C:C)+SUMIF('2022'!B:B,B722,'2022'!C:C)</f>
        <v>18659558.66</v>
      </c>
      <c r="O722" s="17">
        <v>44925</v>
      </c>
      <c r="P722" s="5" t="s">
        <v>3728</v>
      </c>
    </row>
    <row r="723" spans="1:16" ht="17.25" customHeight="1" x14ac:dyDescent="0.3">
      <c r="A723" s="169">
        <f t="shared" si="73"/>
        <v>627</v>
      </c>
      <c r="B723" s="21" t="s">
        <v>718</v>
      </c>
      <c r="C723" s="5">
        <v>1979</v>
      </c>
      <c r="D723" s="3"/>
      <c r="E723" s="101" t="s">
        <v>3731</v>
      </c>
      <c r="F723" s="101">
        <v>5</v>
      </c>
      <c r="G723" s="26"/>
      <c r="H723" s="101">
        <v>6416</v>
      </c>
      <c r="I723" s="101">
        <v>301</v>
      </c>
      <c r="J723" s="19">
        <f t="shared" si="80"/>
        <v>39414487.909999996</v>
      </c>
      <c r="K723" s="73"/>
      <c r="L723" s="73"/>
      <c r="M723" s="73"/>
      <c r="N723" s="19">
        <f>SUMIF('2020'!B:B,B723,'2020'!C:C)+SUMIF('2021'!B:B,B723,'2021'!C:C)+SUMIF('2022'!B:B,B723,'2022'!C:C)</f>
        <v>39414487.909999996</v>
      </c>
      <c r="O723" s="17">
        <v>44925</v>
      </c>
      <c r="P723" s="5" t="s">
        <v>3728</v>
      </c>
    </row>
    <row r="724" spans="1:16" ht="17.25" customHeight="1" x14ac:dyDescent="0.3">
      <c r="A724" s="169">
        <f t="shared" si="73"/>
        <v>628</v>
      </c>
      <c r="B724" s="21" t="s">
        <v>719</v>
      </c>
      <c r="C724" s="5">
        <v>1978</v>
      </c>
      <c r="D724" s="3"/>
      <c r="E724" s="101" t="s">
        <v>3731</v>
      </c>
      <c r="F724" s="101">
        <v>5</v>
      </c>
      <c r="G724" s="26"/>
      <c r="H724" s="101">
        <v>7323</v>
      </c>
      <c r="I724" s="101">
        <v>242</v>
      </c>
      <c r="J724" s="19">
        <f t="shared" si="80"/>
        <v>28820304.460000001</v>
      </c>
      <c r="K724" s="73"/>
      <c r="L724" s="73"/>
      <c r="M724" s="73"/>
      <c r="N724" s="19">
        <f>SUMIF('2020'!B:B,B724,'2020'!C:C)+SUMIF('2021'!B:B,B724,'2021'!C:C)+SUMIF('2022'!B:B,B724,'2022'!C:C)</f>
        <v>28820304.460000001</v>
      </c>
      <c r="O724" s="17">
        <v>44925</v>
      </c>
      <c r="P724" s="5" t="s">
        <v>3728</v>
      </c>
    </row>
    <row r="725" spans="1:16" ht="17.25" customHeight="1" x14ac:dyDescent="0.3">
      <c r="A725" s="169">
        <f t="shared" si="73"/>
        <v>629</v>
      </c>
      <c r="B725" s="21" t="s">
        <v>720</v>
      </c>
      <c r="C725" s="5">
        <v>1958</v>
      </c>
      <c r="D725" s="3"/>
      <c r="E725" s="101" t="s">
        <v>3645</v>
      </c>
      <c r="F725" s="101">
        <v>3</v>
      </c>
      <c r="G725" s="26"/>
      <c r="H725" s="101">
        <v>2372</v>
      </c>
      <c r="I725" s="101">
        <v>112</v>
      </c>
      <c r="J725" s="19">
        <f t="shared" si="80"/>
        <v>1275278.1400000001</v>
      </c>
      <c r="K725" s="73"/>
      <c r="L725" s="73"/>
      <c r="M725" s="73"/>
      <c r="N725" s="19">
        <f>SUMIF('2020'!B:B,B725,'2020'!C:C)+SUMIF('2021'!B:B,B725,'2021'!C:C)+SUMIF('2022'!B:B,B725,'2022'!C:C)</f>
        <v>1275278.1400000001</v>
      </c>
      <c r="O725" s="17">
        <v>44925</v>
      </c>
      <c r="P725" s="5" t="s">
        <v>3728</v>
      </c>
    </row>
    <row r="726" spans="1:16" ht="17.25" customHeight="1" x14ac:dyDescent="0.3">
      <c r="A726" s="169">
        <f t="shared" ref="A726:A784" si="81">A725+1</f>
        <v>630</v>
      </c>
      <c r="B726" s="21" t="s">
        <v>721</v>
      </c>
      <c r="C726" s="5">
        <v>1980</v>
      </c>
      <c r="D726" s="3"/>
      <c r="E726" s="101" t="s">
        <v>3777</v>
      </c>
      <c r="F726" s="101">
        <v>5</v>
      </c>
      <c r="G726" s="26"/>
      <c r="H726" s="101">
        <v>10378.4</v>
      </c>
      <c r="I726" s="101">
        <v>335</v>
      </c>
      <c r="J726" s="19">
        <f t="shared" si="80"/>
        <v>2229261.1999999997</v>
      </c>
      <c r="K726" s="73"/>
      <c r="L726" s="73"/>
      <c r="M726" s="73"/>
      <c r="N726" s="19">
        <f>SUMIF('2020'!B:B,B726,'2020'!C:C)+SUMIF('2021'!B:B,B726,'2021'!C:C)+SUMIF('2022'!B:B,B726,'2022'!C:C)</f>
        <v>2229261.1999999997</v>
      </c>
      <c r="O726" s="17">
        <v>44925</v>
      </c>
      <c r="P726" s="5" t="s">
        <v>3728</v>
      </c>
    </row>
    <row r="727" spans="1:16" ht="17.25" customHeight="1" x14ac:dyDescent="0.3">
      <c r="A727" s="169">
        <f t="shared" si="81"/>
        <v>631</v>
      </c>
      <c r="B727" s="21" t="s">
        <v>722</v>
      </c>
      <c r="C727" s="5">
        <v>1982</v>
      </c>
      <c r="D727" s="3"/>
      <c r="E727" s="101" t="s">
        <v>3731</v>
      </c>
      <c r="F727" s="101">
        <v>5</v>
      </c>
      <c r="G727" s="26"/>
      <c r="H727" s="101">
        <v>7448.5</v>
      </c>
      <c r="I727" s="101">
        <v>267</v>
      </c>
      <c r="J727" s="19">
        <f t="shared" si="80"/>
        <v>1781774.68</v>
      </c>
      <c r="K727" s="73"/>
      <c r="L727" s="73"/>
      <c r="M727" s="73"/>
      <c r="N727" s="19">
        <f>SUMIF('2020'!B:B,B727,'2020'!C:C)+SUMIF('2021'!B:B,B727,'2021'!C:C)+SUMIF('2022'!B:B,B727,'2022'!C:C)</f>
        <v>1781774.68</v>
      </c>
      <c r="O727" s="17">
        <v>44925</v>
      </c>
      <c r="P727" s="5" t="s">
        <v>3728</v>
      </c>
    </row>
    <row r="728" spans="1:16" ht="17.25" customHeight="1" x14ac:dyDescent="0.3">
      <c r="A728" s="169">
        <f t="shared" si="81"/>
        <v>632</v>
      </c>
      <c r="B728" s="21" t="s">
        <v>723</v>
      </c>
      <c r="C728" s="5">
        <v>1981</v>
      </c>
      <c r="D728" s="3"/>
      <c r="E728" s="101" t="s">
        <v>3645</v>
      </c>
      <c r="F728" s="101">
        <v>5</v>
      </c>
      <c r="G728" s="26"/>
      <c r="H728" s="101">
        <v>5522.1</v>
      </c>
      <c r="I728" s="101">
        <v>280</v>
      </c>
      <c r="J728" s="19">
        <f t="shared" si="80"/>
        <v>1956326.31</v>
      </c>
      <c r="K728" s="73"/>
      <c r="L728" s="73"/>
      <c r="M728" s="73"/>
      <c r="N728" s="19">
        <f>SUMIF('2020'!B:B,B728,'2020'!C:C)+SUMIF('2021'!B:B,B728,'2021'!C:C)+SUMIF('2022'!B:B,B728,'2022'!C:C)</f>
        <v>1956326.31</v>
      </c>
      <c r="O728" s="17">
        <v>44925</v>
      </c>
      <c r="P728" s="5" t="s">
        <v>3728</v>
      </c>
    </row>
    <row r="729" spans="1:16" ht="17.25" customHeight="1" x14ac:dyDescent="0.3">
      <c r="A729" s="169">
        <f t="shared" si="81"/>
        <v>633</v>
      </c>
      <c r="B729" s="21" t="s">
        <v>724</v>
      </c>
      <c r="C729" s="5">
        <v>1957</v>
      </c>
      <c r="D729" s="3"/>
      <c r="E729" s="101" t="s">
        <v>3645</v>
      </c>
      <c r="F729" s="101">
        <v>3</v>
      </c>
      <c r="G729" s="26"/>
      <c r="H729" s="101">
        <v>1861.9</v>
      </c>
      <c r="I729" s="101">
        <v>64</v>
      </c>
      <c r="J729" s="19">
        <f t="shared" si="80"/>
        <v>961644.70000000007</v>
      </c>
      <c r="K729" s="73"/>
      <c r="L729" s="73"/>
      <c r="M729" s="73"/>
      <c r="N729" s="19">
        <f>SUMIF('2020'!B:B,B729,'2020'!C:C)+SUMIF('2021'!B:B,B729,'2021'!C:C)+SUMIF('2022'!B:B,B729,'2022'!C:C)</f>
        <v>961644.70000000007</v>
      </c>
      <c r="O729" s="17">
        <v>44925</v>
      </c>
      <c r="P729" s="5" t="s">
        <v>3728</v>
      </c>
    </row>
    <row r="730" spans="1:16" ht="17.25" customHeight="1" x14ac:dyDescent="0.3">
      <c r="A730" s="169">
        <f t="shared" si="81"/>
        <v>634</v>
      </c>
      <c r="B730" s="21" t="s">
        <v>725</v>
      </c>
      <c r="C730" s="5">
        <v>1956</v>
      </c>
      <c r="D730" s="3"/>
      <c r="E730" s="101" t="s">
        <v>3645</v>
      </c>
      <c r="F730" s="101">
        <v>2</v>
      </c>
      <c r="G730" s="26"/>
      <c r="H730" s="101">
        <v>665.22</v>
      </c>
      <c r="I730" s="101">
        <v>27</v>
      </c>
      <c r="J730" s="19">
        <f t="shared" si="80"/>
        <v>671350.09000000008</v>
      </c>
      <c r="K730" s="73"/>
      <c r="L730" s="73"/>
      <c r="M730" s="73"/>
      <c r="N730" s="19">
        <f>SUMIF('2020'!B:B,B730,'2020'!C:C)+SUMIF('2021'!B:B,B730,'2021'!C:C)+SUMIF('2022'!B:B,B730,'2022'!C:C)</f>
        <v>671350.09000000008</v>
      </c>
      <c r="O730" s="17">
        <v>44925</v>
      </c>
      <c r="P730" s="5" t="s">
        <v>3728</v>
      </c>
    </row>
    <row r="731" spans="1:16" ht="17.25" customHeight="1" x14ac:dyDescent="0.3">
      <c r="A731" s="169">
        <f t="shared" si="81"/>
        <v>635</v>
      </c>
      <c r="B731" s="21" t="s">
        <v>726</v>
      </c>
      <c r="C731" s="5">
        <v>1956</v>
      </c>
      <c r="D731" s="3"/>
      <c r="E731" s="101" t="s">
        <v>3645</v>
      </c>
      <c r="F731" s="101">
        <v>2</v>
      </c>
      <c r="G731" s="26"/>
      <c r="H731" s="101">
        <v>656.4</v>
      </c>
      <c r="I731" s="101">
        <v>23</v>
      </c>
      <c r="J731" s="19">
        <f t="shared" si="80"/>
        <v>637810.30000000005</v>
      </c>
      <c r="K731" s="73"/>
      <c r="L731" s="73"/>
      <c r="M731" s="73"/>
      <c r="N731" s="19">
        <f>SUMIF('2020'!B:B,B731,'2020'!C:C)+SUMIF('2021'!B:B,B731,'2021'!C:C)+SUMIF('2022'!B:B,B731,'2022'!C:C)</f>
        <v>637810.30000000005</v>
      </c>
      <c r="O731" s="17">
        <v>44925</v>
      </c>
      <c r="P731" s="5" t="s">
        <v>3728</v>
      </c>
    </row>
    <row r="732" spans="1:16" ht="17.25" customHeight="1" x14ac:dyDescent="0.3">
      <c r="A732" s="169">
        <f t="shared" si="81"/>
        <v>636</v>
      </c>
      <c r="B732" s="21" t="s">
        <v>727</v>
      </c>
      <c r="C732" s="5">
        <v>1956</v>
      </c>
      <c r="D732" s="3"/>
      <c r="E732" s="101" t="s">
        <v>3645</v>
      </c>
      <c r="F732" s="101">
        <v>3</v>
      </c>
      <c r="G732" s="26"/>
      <c r="H732" s="101">
        <v>667.18</v>
      </c>
      <c r="I732" s="101">
        <v>29</v>
      </c>
      <c r="J732" s="19">
        <f t="shared" si="80"/>
        <v>645776.47</v>
      </c>
      <c r="K732" s="73"/>
      <c r="L732" s="73"/>
      <c r="M732" s="73"/>
      <c r="N732" s="19">
        <f>SUMIF('2020'!B:B,B732,'2020'!C:C)+SUMIF('2021'!B:B,B732,'2021'!C:C)+SUMIF('2022'!B:B,B732,'2022'!C:C)</f>
        <v>645776.47</v>
      </c>
      <c r="O732" s="17">
        <v>44925</v>
      </c>
      <c r="P732" s="5" t="s">
        <v>3728</v>
      </c>
    </row>
    <row r="733" spans="1:16" ht="17.25" customHeight="1" x14ac:dyDescent="0.3">
      <c r="A733" s="169">
        <f t="shared" si="81"/>
        <v>637</v>
      </c>
      <c r="B733" s="21" t="s">
        <v>728</v>
      </c>
      <c r="C733" s="5">
        <v>1956</v>
      </c>
      <c r="D733" s="3"/>
      <c r="E733" s="101" t="s">
        <v>3645</v>
      </c>
      <c r="F733" s="101">
        <v>2</v>
      </c>
      <c r="G733" s="26"/>
      <c r="H733" s="101">
        <v>659.6</v>
      </c>
      <c r="I733" s="101">
        <v>25</v>
      </c>
      <c r="J733" s="19">
        <f t="shared" si="80"/>
        <v>650411.64</v>
      </c>
      <c r="K733" s="73"/>
      <c r="L733" s="73"/>
      <c r="M733" s="73"/>
      <c r="N733" s="19">
        <f>SUMIF('2020'!B:B,B733,'2020'!C:C)+SUMIF('2021'!B:B,B733,'2021'!C:C)+SUMIF('2022'!B:B,B733,'2022'!C:C)</f>
        <v>650411.64</v>
      </c>
      <c r="O733" s="17">
        <v>44925</v>
      </c>
      <c r="P733" s="5" t="s">
        <v>3728</v>
      </c>
    </row>
    <row r="734" spans="1:16" ht="17.25" customHeight="1" x14ac:dyDescent="0.3">
      <c r="A734" s="169">
        <f t="shared" si="81"/>
        <v>638</v>
      </c>
      <c r="B734" s="21" t="s">
        <v>729</v>
      </c>
      <c r="C734" s="5">
        <v>1960</v>
      </c>
      <c r="D734" s="3"/>
      <c r="E734" s="101" t="s">
        <v>3645</v>
      </c>
      <c r="F734" s="101">
        <v>3</v>
      </c>
      <c r="G734" s="26"/>
      <c r="H734" s="101">
        <v>1586.96</v>
      </c>
      <c r="I734" s="101">
        <v>70</v>
      </c>
      <c r="J734" s="19">
        <f t="shared" si="80"/>
        <v>777422.59</v>
      </c>
      <c r="K734" s="73"/>
      <c r="L734" s="73"/>
      <c r="M734" s="73"/>
      <c r="N734" s="19">
        <f>SUMIF('2020'!B:B,B734,'2020'!C:C)+SUMIF('2021'!B:B,B734,'2021'!C:C)+SUMIF('2022'!B:B,B734,'2022'!C:C)</f>
        <v>777422.59</v>
      </c>
      <c r="O734" s="17">
        <v>44925</v>
      </c>
      <c r="P734" s="5" t="s">
        <v>3728</v>
      </c>
    </row>
    <row r="735" spans="1:16" ht="17.25" customHeight="1" x14ac:dyDescent="0.3">
      <c r="A735" s="169">
        <f t="shared" si="81"/>
        <v>639</v>
      </c>
      <c r="B735" s="21" t="s">
        <v>730</v>
      </c>
      <c r="C735" s="5">
        <v>1910</v>
      </c>
      <c r="D735" s="3"/>
      <c r="E735" s="101" t="s">
        <v>3645</v>
      </c>
      <c r="F735" s="101">
        <v>2</v>
      </c>
      <c r="G735" s="26"/>
      <c r="H735" s="101">
        <v>1148.4000000000001</v>
      </c>
      <c r="I735" s="101">
        <v>51</v>
      </c>
      <c r="J735" s="19">
        <f t="shared" si="80"/>
        <v>924937.8600000001</v>
      </c>
      <c r="K735" s="73"/>
      <c r="L735" s="73"/>
      <c r="M735" s="73"/>
      <c r="N735" s="19">
        <f>SUMIF('2020'!B:B,B735,'2020'!C:C)+SUMIF('2021'!B:B,B735,'2021'!C:C)+SUMIF('2022'!B:B,B735,'2022'!C:C)</f>
        <v>924937.8600000001</v>
      </c>
      <c r="O735" s="17">
        <v>44925</v>
      </c>
      <c r="P735" s="5" t="s">
        <v>3728</v>
      </c>
    </row>
    <row r="736" spans="1:16" ht="17.25" customHeight="1" x14ac:dyDescent="0.3">
      <c r="A736" s="169">
        <f t="shared" si="81"/>
        <v>640</v>
      </c>
      <c r="B736" s="21" t="s">
        <v>731</v>
      </c>
      <c r="C736" s="5">
        <v>1972</v>
      </c>
      <c r="D736" s="3"/>
      <c r="E736" s="101" t="s">
        <v>3645</v>
      </c>
      <c r="F736" s="101">
        <v>5</v>
      </c>
      <c r="G736" s="26"/>
      <c r="H736" s="101">
        <v>5033</v>
      </c>
      <c r="I736" s="101">
        <v>212</v>
      </c>
      <c r="J736" s="19">
        <f t="shared" si="80"/>
        <v>8262969.9100000001</v>
      </c>
      <c r="K736" s="73"/>
      <c r="L736" s="73"/>
      <c r="M736" s="73"/>
      <c r="N736" s="19">
        <f>SUMIF('2020'!B:B,B736,'2020'!C:C)+SUMIF('2021'!B:B,B736,'2021'!C:C)+SUMIF('2022'!B:B,B736,'2022'!C:C)</f>
        <v>8262969.9100000001</v>
      </c>
      <c r="O736" s="17">
        <v>44925</v>
      </c>
      <c r="P736" s="5" t="s">
        <v>3728</v>
      </c>
    </row>
    <row r="737" spans="1:16" ht="17.25" customHeight="1" x14ac:dyDescent="0.3">
      <c r="A737" s="169">
        <f t="shared" si="81"/>
        <v>641</v>
      </c>
      <c r="B737" s="21" t="s">
        <v>732</v>
      </c>
      <c r="C737" s="5">
        <v>1913</v>
      </c>
      <c r="D737" s="3"/>
      <c r="E737" s="101" t="s">
        <v>3645</v>
      </c>
      <c r="F737" s="101">
        <v>3</v>
      </c>
      <c r="G737" s="26"/>
      <c r="H737" s="101">
        <v>2635</v>
      </c>
      <c r="I737" s="101">
        <v>115</v>
      </c>
      <c r="J737" s="19">
        <f t="shared" si="80"/>
        <v>1686311.3199999998</v>
      </c>
      <c r="K737" s="73"/>
      <c r="L737" s="73"/>
      <c r="M737" s="73"/>
      <c r="N737" s="19">
        <f>SUMIF('2020'!B:B,B737,'2020'!C:C)+SUMIF('2021'!B:B,B737,'2021'!C:C)+SUMIF('2022'!B:B,B737,'2022'!C:C)</f>
        <v>1686311.3199999998</v>
      </c>
      <c r="O737" s="17">
        <v>44925</v>
      </c>
      <c r="P737" s="5" t="s">
        <v>3728</v>
      </c>
    </row>
    <row r="738" spans="1:16" ht="17.25" customHeight="1" x14ac:dyDescent="0.3">
      <c r="A738" s="169">
        <f t="shared" si="81"/>
        <v>642</v>
      </c>
      <c r="B738" s="21" t="s">
        <v>733</v>
      </c>
      <c r="C738" s="5">
        <v>1910</v>
      </c>
      <c r="D738" s="3"/>
      <c r="E738" s="101" t="s">
        <v>3645</v>
      </c>
      <c r="F738" s="101">
        <v>2</v>
      </c>
      <c r="G738" s="26"/>
      <c r="H738" s="101">
        <v>910</v>
      </c>
      <c r="I738" s="101">
        <v>53</v>
      </c>
      <c r="J738" s="19">
        <f t="shared" si="80"/>
        <v>706477</v>
      </c>
      <c r="K738" s="73"/>
      <c r="L738" s="73"/>
      <c r="M738" s="73"/>
      <c r="N738" s="19">
        <f>SUMIF('2020'!B:B,B738,'2020'!C:C)+SUMIF('2021'!B:B,B738,'2021'!C:C)+SUMIF('2022'!B:B,B738,'2022'!C:C)</f>
        <v>706477</v>
      </c>
      <c r="O738" s="17">
        <v>44925</v>
      </c>
      <c r="P738" s="5" t="s">
        <v>3728</v>
      </c>
    </row>
    <row r="739" spans="1:16" ht="17.25" customHeight="1" x14ac:dyDescent="0.3">
      <c r="A739" s="169">
        <f t="shared" si="81"/>
        <v>643</v>
      </c>
      <c r="B739" s="21" t="s">
        <v>734</v>
      </c>
      <c r="C739" s="5">
        <v>1953</v>
      </c>
      <c r="D739" s="3"/>
      <c r="E739" s="101" t="s">
        <v>3645</v>
      </c>
      <c r="F739" s="101">
        <v>3</v>
      </c>
      <c r="G739" s="26"/>
      <c r="H739" s="101">
        <v>2026.4</v>
      </c>
      <c r="I739" s="101">
        <v>64</v>
      </c>
      <c r="J739" s="19">
        <f t="shared" si="80"/>
        <v>1034712.19</v>
      </c>
      <c r="K739" s="73"/>
      <c r="L739" s="73"/>
      <c r="M739" s="73"/>
      <c r="N739" s="19">
        <f>SUMIF('2020'!B:B,B739,'2020'!C:C)+SUMIF('2021'!B:B,B739,'2021'!C:C)+SUMIF('2022'!B:B,B739,'2022'!C:C)</f>
        <v>1034712.19</v>
      </c>
      <c r="O739" s="17">
        <v>44925</v>
      </c>
      <c r="P739" s="5" t="s">
        <v>3728</v>
      </c>
    </row>
    <row r="740" spans="1:16" ht="17.25" customHeight="1" x14ac:dyDescent="0.3">
      <c r="A740" s="169">
        <f t="shared" si="81"/>
        <v>644</v>
      </c>
      <c r="B740" s="21" t="s">
        <v>735</v>
      </c>
      <c r="C740" s="5">
        <v>1952</v>
      </c>
      <c r="D740" s="3"/>
      <c r="E740" s="101" t="s">
        <v>3645</v>
      </c>
      <c r="F740" s="101">
        <v>2</v>
      </c>
      <c r="G740" s="26"/>
      <c r="H740" s="101">
        <v>544.16</v>
      </c>
      <c r="I740" s="101">
        <v>18</v>
      </c>
      <c r="J740" s="19">
        <f t="shared" si="80"/>
        <v>633971.85999999987</v>
      </c>
      <c r="K740" s="73"/>
      <c r="L740" s="73"/>
      <c r="M740" s="73"/>
      <c r="N740" s="19">
        <f>SUMIF('2020'!B:B,B740,'2020'!C:C)+SUMIF('2021'!B:B,B740,'2021'!C:C)+SUMIF('2022'!B:B,B740,'2022'!C:C)</f>
        <v>633971.85999999987</v>
      </c>
      <c r="O740" s="17">
        <v>44925</v>
      </c>
      <c r="P740" s="5" t="s">
        <v>3728</v>
      </c>
    </row>
    <row r="741" spans="1:16" ht="17.25" customHeight="1" x14ac:dyDescent="0.3">
      <c r="A741" s="169">
        <f t="shared" si="81"/>
        <v>645</v>
      </c>
      <c r="B741" s="21" t="s">
        <v>736</v>
      </c>
      <c r="C741" s="5">
        <v>1964</v>
      </c>
      <c r="D741" s="3"/>
      <c r="E741" s="101" t="s">
        <v>3645</v>
      </c>
      <c r="F741" s="101">
        <v>4</v>
      </c>
      <c r="G741" s="26"/>
      <c r="H741" s="101">
        <v>1361.4</v>
      </c>
      <c r="I741" s="101">
        <v>58</v>
      </c>
      <c r="J741" s="19">
        <f t="shared" si="80"/>
        <v>723954.71</v>
      </c>
      <c r="K741" s="73"/>
      <c r="L741" s="73"/>
      <c r="M741" s="73"/>
      <c r="N741" s="19">
        <f>SUMIF('2020'!B:B,B741,'2020'!C:C)+SUMIF('2021'!B:B,B741,'2021'!C:C)+SUMIF('2022'!B:B,B741,'2022'!C:C)</f>
        <v>723954.71</v>
      </c>
      <c r="O741" s="17">
        <v>44925</v>
      </c>
      <c r="P741" s="5" t="s">
        <v>3728</v>
      </c>
    </row>
    <row r="742" spans="1:16" ht="17.25" customHeight="1" x14ac:dyDescent="0.3">
      <c r="A742" s="169">
        <f t="shared" si="81"/>
        <v>646</v>
      </c>
      <c r="B742" s="21" t="s">
        <v>737</v>
      </c>
      <c r="C742" s="5">
        <v>1976</v>
      </c>
      <c r="D742" s="3"/>
      <c r="E742" s="101" t="s">
        <v>3645</v>
      </c>
      <c r="F742" s="101">
        <v>4</v>
      </c>
      <c r="G742" s="26"/>
      <c r="H742" s="101">
        <v>2747.6</v>
      </c>
      <c r="I742" s="101">
        <v>86</v>
      </c>
      <c r="J742" s="19">
        <f t="shared" si="80"/>
        <v>1115169.3999999999</v>
      </c>
      <c r="K742" s="73"/>
      <c r="L742" s="73"/>
      <c r="M742" s="73"/>
      <c r="N742" s="19">
        <f>SUMIF('2020'!B:B,B742,'2020'!C:C)+SUMIF('2021'!B:B,B742,'2021'!C:C)+SUMIF('2022'!B:B,B742,'2022'!C:C)</f>
        <v>1115169.3999999999</v>
      </c>
      <c r="O742" s="17">
        <v>44925</v>
      </c>
      <c r="P742" s="5" t="s">
        <v>3728</v>
      </c>
    </row>
    <row r="743" spans="1:16" ht="17.25" customHeight="1" x14ac:dyDescent="0.3">
      <c r="A743" s="169">
        <f t="shared" si="81"/>
        <v>647</v>
      </c>
      <c r="B743" s="21" t="s">
        <v>738</v>
      </c>
      <c r="C743" s="5">
        <v>1963</v>
      </c>
      <c r="D743" s="3"/>
      <c r="E743" s="101" t="s">
        <v>3645</v>
      </c>
      <c r="F743" s="101">
        <v>5</v>
      </c>
      <c r="G743" s="26"/>
      <c r="H743" s="101">
        <v>3215.9</v>
      </c>
      <c r="I743" s="101">
        <v>130</v>
      </c>
      <c r="J743" s="19">
        <f t="shared" si="80"/>
        <v>23077566.060000002</v>
      </c>
      <c r="K743" s="73"/>
      <c r="L743" s="73"/>
      <c r="M743" s="73"/>
      <c r="N743" s="19">
        <f>SUMIF('2020'!B:B,B743,'2020'!C:C)+SUMIF('2021'!B:B,B743,'2021'!C:C)+SUMIF('2022'!B:B,B743,'2022'!C:C)</f>
        <v>23077566.060000002</v>
      </c>
      <c r="O743" s="17">
        <v>44925</v>
      </c>
      <c r="P743" s="5" t="s">
        <v>3728</v>
      </c>
    </row>
    <row r="744" spans="1:16" ht="17.25" customHeight="1" x14ac:dyDescent="0.3">
      <c r="A744" s="169">
        <f t="shared" si="81"/>
        <v>648</v>
      </c>
      <c r="B744" s="21" t="s">
        <v>739</v>
      </c>
      <c r="C744" s="5">
        <v>1952</v>
      </c>
      <c r="D744" s="3"/>
      <c r="E744" s="101" t="s">
        <v>3645</v>
      </c>
      <c r="F744" s="101">
        <v>2</v>
      </c>
      <c r="G744" s="26"/>
      <c r="H744" s="101">
        <v>547.26</v>
      </c>
      <c r="I744" s="101">
        <v>17</v>
      </c>
      <c r="J744" s="19">
        <f t="shared" si="80"/>
        <v>654412.07999999996</v>
      </c>
      <c r="K744" s="73"/>
      <c r="L744" s="73"/>
      <c r="M744" s="73"/>
      <c r="N744" s="19">
        <f>SUMIF('2020'!B:B,B744,'2020'!C:C)+SUMIF('2021'!B:B,B744,'2021'!C:C)+SUMIF('2022'!B:B,B744,'2022'!C:C)</f>
        <v>654412.07999999996</v>
      </c>
      <c r="O744" s="17">
        <v>44925</v>
      </c>
      <c r="P744" s="5" t="s">
        <v>3728</v>
      </c>
    </row>
    <row r="745" spans="1:16" ht="17.25" customHeight="1" x14ac:dyDescent="0.3">
      <c r="A745" s="169">
        <f t="shared" si="81"/>
        <v>649</v>
      </c>
      <c r="B745" s="21" t="s">
        <v>740</v>
      </c>
      <c r="C745" s="5">
        <v>1968</v>
      </c>
      <c r="D745" s="3"/>
      <c r="E745" s="101" t="s">
        <v>3645</v>
      </c>
      <c r="F745" s="101">
        <v>5</v>
      </c>
      <c r="G745" s="26"/>
      <c r="H745" s="101">
        <v>3849.9</v>
      </c>
      <c r="I745" s="101">
        <v>151</v>
      </c>
      <c r="J745" s="19">
        <f t="shared" si="80"/>
        <v>28519482.459999997</v>
      </c>
      <c r="K745" s="73"/>
      <c r="L745" s="73"/>
      <c r="M745" s="73"/>
      <c r="N745" s="19">
        <f>SUMIF('2020'!B:B,B745,'2020'!C:C)+SUMIF('2021'!B:B,B745,'2021'!C:C)+SUMIF('2022'!B:B,B745,'2022'!C:C)</f>
        <v>28519482.459999997</v>
      </c>
      <c r="O745" s="17">
        <v>44925</v>
      </c>
      <c r="P745" s="5" t="s">
        <v>3728</v>
      </c>
    </row>
    <row r="746" spans="1:16" ht="17.25" customHeight="1" x14ac:dyDescent="0.3">
      <c r="A746" s="169">
        <f t="shared" si="81"/>
        <v>650</v>
      </c>
      <c r="B746" s="21" t="s">
        <v>741</v>
      </c>
      <c r="C746" s="5">
        <v>1988</v>
      </c>
      <c r="D746" s="3"/>
      <c r="E746" s="101" t="s">
        <v>3731</v>
      </c>
      <c r="F746" s="101">
        <v>5</v>
      </c>
      <c r="G746" s="26"/>
      <c r="H746" s="101">
        <v>3901.4</v>
      </c>
      <c r="I746" s="101">
        <v>142</v>
      </c>
      <c r="J746" s="19">
        <f t="shared" si="80"/>
        <v>1237620.1800000002</v>
      </c>
      <c r="K746" s="73"/>
      <c r="L746" s="73"/>
      <c r="M746" s="73"/>
      <c r="N746" s="19">
        <f>SUMIF('2020'!B:B,B746,'2020'!C:C)+SUMIF('2021'!B:B,B746,'2021'!C:C)+SUMIF('2022'!B:B,B746,'2022'!C:C)</f>
        <v>1237620.1800000002</v>
      </c>
      <c r="O746" s="17">
        <v>44925</v>
      </c>
      <c r="P746" s="5" t="s">
        <v>3728</v>
      </c>
    </row>
    <row r="747" spans="1:16" ht="17.25" customHeight="1" x14ac:dyDescent="0.3">
      <c r="A747" s="169">
        <f t="shared" si="81"/>
        <v>651</v>
      </c>
      <c r="B747" s="21" t="s">
        <v>742</v>
      </c>
      <c r="C747" s="5">
        <v>1990</v>
      </c>
      <c r="D747" s="3"/>
      <c r="E747" s="101" t="s">
        <v>3731</v>
      </c>
      <c r="F747" s="101">
        <v>5</v>
      </c>
      <c r="G747" s="26"/>
      <c r="H747" s="101">
        <v>5178</v>
      </c>
      <c r="I747" s="101">
        <v>186</v>
      </c>
      <c r="J747" s="19">
        <f t="shared" si="80"/>
        <v>1649172.03</v>
      </c>
      <c r="K747" s="73"/>
      <c r="L747" s="73"/>
      <c r="M747" s="73"/>
      <c r="N747" s="19">
        <f>SUMIF('2020'!B:B,B747,'2020'!C:C)+SUMIF('2021'!B:B,B747,'2021'!C:C)+SUMIF('2022'!B:B,B747,'2022'!C:C)</f>
        <v>1649172.03</v>
      </c>
      <c r="O747" s="17">
        <v>44925</v>
      </c>
      <c r="P747" s="5" t="s">
        <v>3728</v>
      </c>
    </row>
    <row r="748" spans="1:16" ht="17.25" customHeight="1" x14ac:dyDescent="0.3">
      <c r="A748" s="169">
        <f t="shared" si="81"/>
        <v>652</v>
      </c>
      <c r="B748" s="21" t="s">
        <v>743</v>
      </c>
      <c r="C748" s="5">
        <v>2000</v>
      </c>
      <c r="D748" s="3"/>
      <c r="E748" s="101" t="s">
        <v>3731</v>
      </c>
      <c r="F748" s="101">
        <v>5</v>
      </c>
      <c r="G748" s="26"/>
      <c r="H748" s="101">
        <v>3715.76</v>
      </c>
      <c r="I748" s="101">
        <v>221</v>
      </c>
      <c r="J748" s="19">
        <f t="shared" si="80"/>
        <v>1524664.7</v>
      </c>
      <c r="K748" s="73"/>
      <c r="L748" s="73"/>
      <c r="M748" s="73"/>
      <c r="N748" s="19">
        <f>SUMIF('2020'!B:B,B748,'2020'!C:C)+SUMIF('2021'!B:B,B748,'2021'!C:C)+SUMIF('2022'!B:B,B748,'2022'!C:C)</f>
        <v>1524664.7</v>
      </c>
      <c r="O748" s="17">
        <v>44925</v>
      </c>
      <c r="P748" s="5" t="s">
        <v>3728</v>
      </c>
    </row>
    <row r="749" spans="1:16" ht="17.25" customHeight="1" x14ac:dyDescent="0.3">
      <c r="A749" s="169">
        <f t="shared" si="81"/>
        <v>653</v>
      </c>
      <c r="B749" s="21" t="s">
        <v>744</v>
      </c>
      <c r="C749" s="5">
        <v>1968</v>
      </c>
      <c r="D749" s="3"/>
      <c r="E749" s="101" t="s">
        <v>3645</v>
      </c>
      <c r="F749" s="101">
        <v>5</v>
      </c>
      <c r="G749" s="26"/>
      <c r="H749" s="101">
        <v>5052</v>
      </c>
      <c r="I749" s="101">
        <v>193</v>
      </c>
      <c r="J749" s="19">
        <f t="shared" si="80"/>
        <v>1419720.9</v>
      </c>
      <c r="K749" s="73"/>
      <c r="L749" s="73"/>
      <c r="M749" s="73"/>
      <c r="N749" s="19">
        <f>SUMIF('2020'!B:B,B749,'2020'!C:C)+SUMIF('2021'!B:B,B749,'2021'!C:C)+SUMIF('2022'!B:B,B749,'2022'!C:C)</f>
        <v>1419720.9</v>
      </c>
      <c r="O749" s="17">
        <v>44925</v>
      </c>
      <c r="P749" s="5" t="s">
        <v>3728</v>
      </c>
    </row>
    <row r="750" spans="1:16" ht="17.25" customHeight="1" x14ac:dyDescent="0.3">
      <c r="A750" s="169">
        <f t="shared" si="81"/>
        <v>654</v>
      </c>
      <c r="B750" s="21" t="s">
        <v>745</v>
      </c>
      <c r="C750" s="5">
        <v>1973</v>
      </c>
      <c r="D750" s="3"/>
      <c r="E750" s="101" t="s">
        <v>3731</v>
      </c>
      <c r="F750" s="101">
        <v>5</v>
      </c>
      <c r="G750" s="26"/>
      <c r="H750" s="101">
        <v>3107.2</v>
      </c>
      <c r="I750" s="101">
        <v>122</v>
      </c>
      <c r="J750" s="19">
        <f t="shared" si="80"/>
        <v>956075.97</v>
      </c>
      <c r="K750" s="73"/>
      <c r="L750" s="73"/>
      <c r="M750" s="73"/>
      <c r="N750" s="19">
        <f>SUMIF('2020'!B:B,B750,'2020'!C:C)+SUMIF('2021'!B:B,B750,'2021'!C:C)+SUMIF('2022'!B:B,B750,'2022'!C:C)</f>
        <v>956075.97</v>
      </c>
      <c r="O750" s="17">
        <v>44925</v>
      </c>
      <c r="P750" s="5" t="s">
        <v>3728</v>
      </c>
    </row>
    <row r="751" spans="1:16" ht="17.25" customHeight="1" x14ac:dyDescent="0.3">
      <c r="A751" s="169">
        <f t="shared" si="81"/>
        <v>655</v>
      </c>
      <c r="B751" s="21" t="s">
        <v>746</v>
      </c>
      <c r="C751" s="5">
        <v>1973</v>
      </c>
      <c r="D751" s="3"/>
      <c r="E751" s="101" t="s">
        <v>3731</v>
      </c>
      <c r="F751" s="101">
        <v>5</v>
      </c>
      <c r="G751" s="26"/>
      <c r="H751" s="101">
        <v>3129.5</v>
      </c>
      <c r="I751" s="101">
        <v>124</v>
      </c>
      <c r="J751" s="19">
        <f t="shared" si="80"/>
        <v>953223.33000000007</v>
      </c>
      <c r="K751" s="73"/>
      <c r="L751" s="73"/>
      <c r="M751" s="73"/>
      <c r="N751" s="19">
        <f>SUMIF('2020'!B:B,B751,'2020'!C:C)+SUMIF('2021'!B:B,B751,'2021'!C:C)+SUMIF('2022'!B:B,B751,'2022'!C:C)</f>
        <v>953223.33000000007</v>
      </c>
      <c r="O751" s="17">
        <v>44925</v>
      </c>
      <c r="P751" s="5" t="s">
        <v>3728</v>
      </c>
    </row>
    <row r="752" spans="1:16" ht="17.25" customHeight="1" x14ac:dyDescent="0.3">
      <c r="A752" s="169">
        <f t="shared" si="81"/>
        <v>656</v>
      </c>
      <c r="B752" s="21" t="s">
        <v>747</v>
      </c>
      <c r="C752" s="5">
        <v>1923</v>
      </c>
      <c r="D752" s="3"/>
      <c r="E752" s="101" t="s">
        <v>3645</v>
      </c>
      <c r="F752" s="101">
        <v>3</v>
      </c>
      <c r="G752" s="26"/>
      <c r="H752" s="101">
        <v>1650.4</v>
      </c>
      <c r="I752" s="101">
        <v>45</v>
      </c>
      <c r="J752" s="19">
        <f t="shared" si="80"/>
        <v>1228635.3899999999</v>
      </c>
      <c r="K752" s="73"/>
      <c r="L752" s="73"/>
      <c r="M752" s="73"/>
      <c r="N752" s="19">
        <f>SUMIF('2020'!B:B,B752,'2020'!C:C)+SUMIF('2021'!B:B,B752,'2021'!C:C)+SUMIF('2022'!B:B,B752,'2022'!C:C)</f>
        <v>1228635.3899999999</v>
      </c>
      <c r="O752" s="17">
        <v>44925</v>
      </c>
      <c r="P752" s="5" t="s">
        <v>3728</v>
      </c>
    </row>
    <row r="753" spans="1:16" ht="17.25" customHeight="1" x14ac:dyDescent="0.3">
      <c r="A753" s="169">
        <f t="shared" si="81"/>
        <v>657</v>
      </c>
      <c r="B753" s="21" t="s">
        <v>748</v>
      </c>
      <c r="C753" s="5">
        <v>1977</v>
      </c>
      <c r="D753" s="3"/>
      <c r="E753" s="101" t="s">
        <v>3731</v>
      </c>
      <c r="F753" s="101">
        <v>5</v>
      </c>
      <c r="G753" s="26"/>
      <c r="H753" s="101">
        <v>3014.1</v>
      </c>
      <c r="I753" s="101">
        <v>139</v>
      </c>
      <c r="J753" s="19">
        <f t="shared" si="80"/>
        <v>1057135.8900000001</v>
      </c>
      <c r="K753" s="73"/>
      <c r="L753" s="73"/>
      <c r="M753" s="73"/>
      <c r="N753" s="19">
        <f>SUMIF('2020'!B:B,B753,'2020'!C:C)+SUMIF('2021'!B:B,B753,'2021'!C:C)+SUMIF('2022'!B:B,B753,'2022'!C:C)</f>
        <v>1057135.8900000001</v>
      </c>
      <c r="O753" s="17">
        <v>44925</v>
      </c>
      <c r="P753" s="5" t="s">
        <v>3728</v>
      </c>
    </row>
    <row r="754" spans="1:16" ht="17.25" customHeight="1" x14ac:dyDescent="0.3">
      <c r="A754" s="169">
        <f t="shared" si="81"/>
        <v>658</v>
      </c>
      <c r="B754" s="21" t="s">
        <v>749</v>
      </c>
      <c r="C754" s="5">
        <v>1983</v>
      </c>
      <c r="D754" s="3"/>
      <c r="E754" s="101" t="s">
        <v>3731</v>
      </c>
      <c r="F754" s="101">
        <v>5</v>
      </c>
      <c r="G754" s="26"/>
      <c r="H754" s="101">
        <v>7334.18</v>
      </c>
      <c r="I754" s="101">
        <v>297</v>
      </c>
      <c r="J754" s="19">
        <f t="shared" si="80"/>
        <v>2053804.15</v>
      </c>
      <c r="K754" s="73"/>
      <c r="L754" s="73"/>
      <c r="M754" s="73"/>
      <c r="N754" s="19">
        <f>SUMIF('2020'!B:B,B754,'2020'!C:C)+SUMIF('2021'!B:B,B754,'2021'!C:C)+SUMIF('2022'!B:B,B754,'2022'!C:C)</f>
        <v>2053804.15</v>
      </c>
      <c r="O754" s="17">
        <v>44925</v>
      </c>
      <c r="P754" s="5" t="s">
        <v>3728</v>
      </c>
    </row>
    <row r="755" spans="1:16" ht="17.25" customHeight="1" x14ac:dyDescent="0.3">
      <c r="A755" s="169">
        <f t="shared" si="81"/>
        <v>659</v>
      </c>
      <c r="B755" s="21" t="s">
        <v>750</v>
      </c>
      <c r="C755" s="5">
        <v>1936</v>
      </c>
      <c r="D755" s="3"/>
      <c r="E755" s="101" t="s">
        <v>3645</v>
      </c>
      <c r="F755" s="101">
        <v>2</v>
      </c>
      <c r="G755" s="26"/>
      <c r="H755" s="101">
        <v>636.47</v>
      </c>
      <c r="I755" s="101">
        <v>27</v>
      </c>
      <c r="J755" s="19">
        <f t="shared" si="80"/>
        <v>743066.37000000011</v>
      </c>
      <c r="K755" s="73"/>
      <c r="L755" s="73"/>
      <c r="M755" s="73"/>
      <c r="N755" s="19">
        <f>SUMIF('2020'!B:B,B755,'2020'!C:C)+SUMIF('2021'!B:B,B755,'2021'!C:C)+SUMIF('2022'!B:B,B755,'2022'!C:C)</f>
        <v>743066.37000000011</v>
      </c>
      <c r="O755" s="17">
        <v>44925</v>
      </c>
      <c r="P755" s="5" t="s">
        <v>3728</v>
      </c>
    </row>
    <row r="756" spans="1:16" ht="17.25" customHeight="1" x14ac:dyDescent="0.3">
      <c r="A756" s="169">
        <f t="shared" si="81"/>
        <v>660</v>
      </c>
      <c r="B756" s="21" t="s">
        <v>751</v>
      </c>
      <c r="C756" s="5">
        <v>1985</v>
      </c>
      <c r="D756" s="3"/>
      <c r="E756" s="101" t="s">
        <v>3731</v>
      </c>
      <c r="F756" s="101">
        <v>5</v>
      </c>
      <c r="G756" s="26"/>
      <c r="H756" s="101">
        <v>5386.1</v>
      </c>
      <c r="I756" s="101">
        <v>220</v>
      </c>
      <c r="J756" s="19">
        <f t="shared" si="80"/>
        <v>1594928.6</v>
      </c>
      <c r="K756" s="73"/>
      <c r="L756" s="73"/>
      <c r="M756" s="73"/>
      <c r="N756" s="19">
        <f>SUMIF('2020'!B:B,B756,'2020'!C:C)+SUMIF('2021'!B:B,B756,'2021'!C:C)+SUMIF('2022'!B:B,B756,'2022'!C:C)</f>
        <v>1594928.6</v>
      </c>
      <c r="O756" s="17">
        <v>44925</v>
      </c>
      <c r="P756" s="5" t="s">
        <v>3728</v>
      </c>
    </row>
    <row r="757" spans="1:16" ht="17.25" customHeight="1" x14ac:dyDescent="0.3">
      <c r="A757" s="169">
        <f t="shared" si="81"/>
        <v>661</v>
      </c>
      <c r="B757" s="21" t="s">
        <v>752</v>
      </c>
      <c r="C757" s="5">
        <v>1939</v>
      </c>
      <c r="D757" s="3"/>
      <c r="E757" s="101" t="s">
        <v>3645</v>
      </c>
      <c r="F757" s="101">
        <v>3</v>
      </c>
      <c r="G757" s="26"/>
      <c r="H757" s="101">
        <v>1464.9</v>
      </c>
      <c r="I757" s="101">
        <v>52</v>
      </c>
      <c r="J757" s="19">
        <f t="shared" si="80"/>
        <v>835194.96</v>
      </c>
      <c r="K757" s="73"/>
      <c r="L757" s="73"/>
      <c r="M757" s="73"/>
      <c r="N757" s="19">
        <f>SUMIF('2020'!B:B,B757,'2020'!C:C)+SUMIF('2021'!B:B,B757,'2021'!C:C)+SUMIF('2022'!B:B,B757,'2022'!C:C)</f>
        <v>835194.96</v>
      </c>
      <c r="O757" s="17">
        <v>44925</v>
      </c>
      <c r="P757" s="5" t="s">
        <v>3728</v>
      </c>
    </row>
    <row r="758" spans="1:16" ht="17.25" customHeight="1" x14ac:dyDescent="0.3">
      <c r="A758" s="169">
        <f t="shared" si="81"/>
        <v>662</v>
      </c>
      <c r="B758" s="21" t="s">
        <v>753</v>
      </c>
      <c r="C758" s="5">
        <v>1960</v>
      </c>
      <c r="D758" s="3"/>
      <c r="E758" s="101" t="s">
        <v>3645</v>
      </c>
      <c r="F758" s="101">
        <v>3</v>
      </c>
      <c r="G758" s="26"/>
      <c r="H758" s="101">
        <v>1021.1</v>
      </c>
      <c r="I758" s="101">
        <v>40</v>
      </c>
      <c r="J758" s="19">
        <f t="shared" si="80"/>
        <v>728056</v>
      </c>
      <c r="K758" s="73"/>
      <c r="L758" s="73"/>
      <c r="M758" s="73"/>
      <c r="N758" s="19">
        <f>SUMIF('2020'!B:B,B758,'2020'!C:C)+SUMIF('2021'!B:B,B758,'2021'!C:C)+SUMIF('2022'!B:B,B758,'2022'!C:C)</f>
        <v>728056</v>
      </c>
      <c r="O758" s="17">
        <v>44925</v>
      </c>
      <c r="P758" s="5" t="s">
        <v>3728</v>
      </c>
    </row>
    <row r="759" spans="1:16" ht="17.25" customHeight="1" x14ac:dyDescent="0.3">
      <c r="A759" s="169">
        <f t="shared" si="81"/>
        <v>663</v>
      </c>
      <c r="B759" s="21" t="s">
        <v>754</v>
      </c>
      <c r="C759" s="5">
        <v>1934</v>
      </c>
      <c r="D759" s="3"/>
      <c r="E759" s="101" t="s">
        <v>3645</v>
      </c>
      <c r="F759" s="101">
        <v>3</v>
      </c>
      <c r="G759" s="26"/>
      <c r="H759" s="101">
        <v>1646.2</v>
      </c>
      <c r="I759" s="101">
        <v>82</v>
      </c>
      <c r="J759" s="19">
        <f t="shared" si="80"/>
        <v>919324.85000000009</v>
      </c>
      <c r="K759" s="73"/>
      <c r="L759" s="73"/>
      <c r="M759" s="73"/>
      <c r="N759" s="19">
        <f>SUMIF('2020'!B:B,B759,'2020'!C:C)+SUMIF('2021'!B:B,B759,'2021'!C:C)+SUMIF('2022'!B:B,B759,'2022'!C:C)</f>
        <v>919324.85000000009</v>
      </c>
      <c r="O759" s="17">
        <v>44925</v>
      </c>
      <c r="P759" s="5" t="s">
        <v>3728</v>
      </c>
    </row>
    <row r="760" spans="1:16" ht="17.25" customHeight="1" x14ac:dyDescent="0.3">
      <c r="A760" s="169">
        <f t="shared" si="81"/>
        <v>664</v>
      </c>
      <c r="B760" s="21" t="s">
        <v>755</v>
      </c>
      <c r="C760" s="5">
        <v>1949</v>
      </c>
      <c r="D760" s="3"/>
      <c r="E760" s="101" t="s">
        <v>3645</v>
      </c>
      <c r="F760" s="101">
        <v>2</v>
      </c>
      <c r="G760" s="26"/>
      <c r="H760" s="101">
        <v>557.29999999999995</v>
      </c>
      <c r="I760" s="101">
        <v>17</v>
      </c>
      <c r="J760" s="19">
        <f t="shared" si="80"/>
        <v>596526.12</v>
      </c>
      <c r="K760" s="73"/>
      <c r="L760" s="73"/>
      <c r="M760" s="73"/>
      <c r="N760" s="19">
        <f>SUMIF('2020'!B:B,B760,'2020'!C:C)+SUMIF('2021'!B:B,B760,'2021'!C:C)+SUMIF('2022'!B:B,B760,'2022'!C:C)</f>
        <v>596526.12</v>
      </c>
      <c r="O760" s="17">
        <v>44925</v>
      </c>
      <c r="P760" s="5" t="s">
        <v>3728</v>
      </c>
    </row>
    <row r="761" spans="1:16" ht="17.25" customHeight="1" x14ac:dyDescent="0.3">
      <c r="A761" s="169">
        <f t="shared" si="81"/>
        <v>665</v>
      </c>
      <c r="B761" s="21" t="s">
        <v>756</v>
      </c>
      <c r="C761" s="5">
        <v>1962</v>
      </c>
      <c r="D761" s="3"/>
      <c r="E761" s="101" t="s">
        <v>3645</v>
      </c>
      <c r="F761" s="101">
        <v>5</v>
      </c>
      <c r="G761" s="26"/>
      <c r="H761" s="101">
        <v>2943.8</v>
      </c>
      <c r="I761" s="101">
        <v>128</v>
      </c>
      <c r="J761" s="19">
        <f t="shared" si="80"/>
        <v>6044529.5700000003</v>
      </c>
      <c r="K761" s="73"/>
      <c r="L761" s="73"/>
      <c r="M761" s="73"/>
      <c r="N761" s="19">
        <f>SUMIF('2020'!B:B,B761,'2020'!C:C)+SUMIF('2021'!B:B,B761,'2021'!C:C)+SUMIF('2022'!B:B,B761,'2022'!C:C)</f>
        <v>6044529.5700000003</v>
      </c>
      <c r="O761" s="17">
        <v>44925</v>
      </c>
      <c r="P761" s="5" t="s">
        <v>3728</v>
      </c>
    </row>
    <row r="762" spans="1:16" ht="17.25" customHeight="1" x14ac:dyDescent="0.3">
      <c r="A762" s="169">
        <f t="shared" si="81"/>
        <v>666</v>
      </c>
      <c r="B762" s="21" t="s">
        <v>757</v>
      </c>
      <c r="C762" s="5">
        <v>1951</v>
      </c>
      <c r="D762" s="3"/>
      <c r="E762" s="101" t="s">
        <v>3645</v>
      </c>
      <c r="F762" s="101">
        <v>2</v>
      </c>
      <c r="G762" s="26"/>
      <c r="H762" s="101">
        <v>752.1</v>
      </c>
      <c r="I762" s="101">
        <v>34</v>
      </c>
      <c r="J762" s="19">
        <f t="shared" si="80"/>
        <v>836431.23</v>
      </c>
      <c r="K762" s="73"/>
      <c r="L762" s="73"/>
      <c r="M762" s="73"/>
      <c r="N762" s="19">
        <f>SUMIF('2020'!B:B,B762,'2020'!C:C)+SUMIF('2021'!B:B,B762,'2021'!C:C)+SUMIF('2022'!B:B,B762,'2022'!C:C)</f>
        <v>836431.23</v>
      </c>
      <c r="O762" s="17">
        <v>44925</v>
      </c>
      <c r="P762" s="5" t="s">
        <v>3728</v>
      </c>
    </row>
    <row r="763" spans="1:16" ht="17.25" customHeight="1" x14ac:dyDescent="0.3">
      <c r="A763" s="169">
        <f t="shared" si="81"/>
        <v>667</v>
      </c>
      <c r="B763" s="21" t="s">
        <v>758</v>
      </c>
      <c r="C763" s="5">
        <v>1964</v>
      </c>
      <c r="D763" s="3"/>
      <c r="E763" s="101" t="s">
        <v>3645</v>
      </c>
      <c r="F763" s="101">
        <v>5</v>
      </c>
      <c r="G763" s="26"/>
      <c r="H763" s="101">
        <v>3720.6</v>
      </c>
      <c r="I763" s="101">
        <v>161</v>
      </c>
      <c r="J763" s="19">
        <f t="shared" si="80"/>
        <v>1542301.7799999998</v>
      </c>
      <c r="K763" s="73"/>
      <c r="L763" s="73"/>
      <c r="M763" s="73"/>
      <c r="N763" s="19">
        <f>SUMIF('2020'!B:B,B763,'2020'!C:C)+SUMIF('2021'!B:B,B763,'2021'!C:C)+SUMIF('2022'!B:B,B763,'2022'!C:C)</f>
        <v>1542301.7799999998</v>
      </c>
      <c r="O763" s="17">
        <v>44925</v>
      </c>
      <c r="P763" s="5" t="s">
        <v>3728</v>
      </c>
    </row>
    <row r="764" spans="1:16" ht="17.25" customHeight="1" x14ac:dyDescent="0.3">
      <c r="A764" s="169">
        <f t="shared" si="81"/>
        <v>668</v>
      </c>
      <c r="B764" s="21" t="s">
        <v>759</v>
      </c>
      <c r="C764" s="5">
        <v>1970</v>
      </c>
      <c r="D764" s="3"/>
      <c r="E764" s="101" t="s">
        <v>3645</v>
      </c>
      <c r="F764" s="101">
        <v>5</v>
      </c>
      <c r="G764" s="26"/>
      <c r="H764" s="101">
        <v>3704.1</v>
      </c>
      <c r="I764" s="101">
        <v>157</v>
      </c>
      <c r="J764" s="19">
        <f t="shared" si="80"/>
        <v>21322665.109999999</v>
      </c>
      <c r="K764" s="73"/>
      <c r="L764" s="73"/>
      <c r="M764" s="73"/>
      <c r="N764" s="19">
        <f>SUMIF('2020'!B:B,B764,'2020'!C:C)+SUMIF('2021'!B:B,B764,'2021'!C:C)+SUMIF('2022'!B:B,B764,'2022'!C:C)</f>
        <v>21322665.109999999</v>
      </c>
      <c r="O764" s="17">
        <v>44925</v>
      </c>
      <c r="P764" s="5" t="s">
        <v>3728</v>
      </c>
    </row>
    <row r="765" spans="1:16" ht="17.25" customHeight="1" x14ac:dyDescent="0.3">
      <c r="A765" s="169">
        <f t="shared" si="81"/>
        <v>669</v>
      </c>
      <c r="B765" s="21" t="s">
        <v>760</v>
      </c>
      <c r="C765" s="5">
        <v>1966</v>
      </c>
      <c r="D765" s="3"/>
      <c r="E765" s="101" t="s">
        <v>3645</v>
      </c>
      <c r="F765" s="101">
        <v>5</v>
      </c>
      <c r="G765" s="26"/>
      <c r="H765" s="101">
        <v>3752.7</v>
      </c>
      <c r="I765" s="101">
        <v>150</v>
      </c>
      <c r="J765" s="19">
        <f t="shared" si="80"/>
        <v>1394982.68</v>
      </c>
      <c r="K765" s="73"/>
      <c r="L765" s="73"/>
      <c r="M765" s="73"/>
      <c r="N765" s="19">
        <f>SUMIF('2020'!B:B,B765,'2020'!C:C)+SUMIF('2021'!B:B,B765,'2021'!C:C)+SUMIF('2022'!B:B,B765,'2022'!C:C)</f>
        <v>1394982.68</v>
      </c>
      <c r="O765" s="17">
        <v>44925</v>
      </c>
      <c r="P765" s="5" t="s">
        <v>3728</v>
      </c>
    </row>
    <row r="766" spans="1:16" ht="17.25" customHeight="1" x14ac:dyDescent="0.3">
      <c r="A766" s="169">
        <f t="shared" si="81"/>
        <v>670</v>
      </c>
      <c r="B766" s="21" t="s">
        <v>761</v>
      </c>
      <c r="C766" s="5">
        <v>1971</v>
      </c>
      <c r="D766" s="3"/>
      <c r="E766" s="101" t="s">
        <v>3645</v>
      </c>
      <c r="F766" s="101">
        <v>5</v>
      </c>
      <c r="G766" s="26"/>
      <c r="H766" s="101">
        <v>3772.8</v>
      </c>
      <c r="I766" s="101">
        <v>152</v>
      </c>
      <c r="J766" s="19">
        <f t="shared" si="80"/>
        <v>21173942.43</v>
      </c>
      <c r="K766" s="73"/>
      <c r="L766" s="73"/>
      <c r="M766" s="73"/>
      <c r="N766" s="19">
        <f>SUMIF('2020'!B:B,B766,'2020'!C:C)+SUMIF('2021'!B:B,B766,'2021'!C:C)+SUMIF('2022'!B:B,B766,'2022'!C:C)</f>
        <v>21173942.43</v>
      </c>
      <c r="O766" s="17">
        <v>44925</v>
      </c>
      <c r="P766" s="5" t="s">
        <v>3728</v>
      </c>
    </row>
    <row r="767" spans="1:16" ht="17.25" customHeight="1" x14ac:dyDescent="0.3">
      <c r="A767" s="169">
        <f t="shared" si="81"/>
        <v>671</v>
      </c>
      <c r="B767" s="21" t="s">
        <v>762</v>
      </c>
      <c r="C767" s="5">
        <v>1971</v>
      </c>
      <c r="D767" s="3"/>
      <c r="E767" s="101" t="s">
        <v>3645</v>
      </c>
      <c r="F767" s="101">
        <v>5</v>
      </c>
      <c r="G767" s="26"/>
      <c r="H767" s="101">
        <v>3692.9</v>
      </c>
      <c r="I767" s="101">
        <v>137</v>
      </c>
      <c r="J767" s="19">
        <f t="shared" si="80"/>
        <v>1292709.8599999999</v>
      </c>
      <c r="K767" s="73"/>
      <c r="L767" s="73"/>
      <c r="M767" s="73"/>
      <c r="N767" s="19">
        <f>SUMIF('2020'!B:B,B767,'2020'!C:C)+SUMIF('2021'!B:B,B767,'2021'!C:C)+SUMIF('2022'!B:B,B767,'2022'!C:C)</f>
        <v>1292709.8599999999</v>
      </c>
      <c r="O767" s="17">
        <v>44925</v>
      </c>
      <c r="P767" s="5" t="s">
        <v>3728</v>
      </c>
    </row>
    <row r="768" spans="1:16" ht="17.25" customHeight="1" x14ac:dyDescent="0.3">
      <c r="A768" s="169">
        <f t="shared" si="81"/>
        <v>672</v>
      </c>
      <c r="B768" s="21" t="s">
        <v>763</v>
      </c>
      <c r="C768" s="5">
        <v>1974</v>
      </c>
      <c r="D768" s="3"/>
      <c r="E768" s="101" t="s">
        <v>3731</v>
      </c>
      <c r="F768" s="101">
        <v>5</v>
      </c>
      <c r="G768" s="26"/>
      <c r="H768" s="101">
        <v>5232.6000000000004</v>
      </c>
      <c r="I768" s="101">
        <v>193</v>
      </c>
      <c r="J768" s="19">
        <f t="shared" si="80"/>
        <v>1511917.4900000002</v>
      </c>
      <c r="K768" s="73"/>
      <c r="L768" s="73"/>
      <c r="M768" s="73"/>
      <c r="N768" s="19">
        <f>SUMIF('2020'!B:B,B768,'2020'!C:C)+SUMIF('2021'!B:B,B768,'2021'!C:C)+SUMIF('2022'!B:B,B768,'2022'!C:C)</f>
        <v>1511917.4900000002</v>
      </c>
      <c r="O768" s="17">
        <v>44925</v>
      </c>
      <c r="P768" s="5" t="s">
        <v>3728</v>
      </c>
    </row>
    <row r="769" spans="1:16" ht="17.25" customHeight="1" x14ac:dyDescent="0.3">
      <c r="A769" s="169">
        <f t="shared" si="81"/>
        <v>673</v>
      </c>
      <c r="B769" s="21" t="s">
        <v>764</v>
      </c>
      <c r="C769" s="5">
        <v>1976</v>
      </c>
      <c r="D769" s="3"/>
      <c r="E769" s="101" t="s">
        <v>3731</v>
      </c>
      <c r="F769" s="101">
        <v>5</v>
      </c>
      <c r="G769" s="26"/>
      <c r="H769" s="101">
        <v>3504.4</v>
      </c>
      <c r="I769" s="101">
        <v>134</v>
      </c>
      <c r="J769" s="19">
        <f t="shared" si="80"/>
        <v>1189260.45</v>
      </c>
      <c r="K769" s="73"/>
      <c r="L769" s="73"/>
      <c r="M769" s="73"/>
      <c r="N769" s="19">
        <f>SUMIF('2020'!B:B,B769,'2020'!C:C)+SUMIF('2021'!B:B,B769,'2021'!C:C)+SUMIF('2022'!B:B,B769,'2022'!C:C)</f>
        <v>1189260.45</v>
      </c>
      <c r="O769" s="17">
        <v>44925</v>
      </c>
      <c r="P769" s="5" t="s">
        <v>3728</v>
      </c>
    </row>
    <row r="770" spans="1:16" ht="17.25" customHeight="1" x14ac:dyDescent="0.3">
      <c r="A770" s="169">
        <f t="shared" si="81"/>
        <v>674</v>
      </c>
      <c r="B770" s="21" t="s">
        <v>765</v>
      </c>
      <c r="C770" s="5">
        <v>1986</v>
      </c>
      <c r="D770" s="3"/>
      <c r="E770" s="101" t="s">
        <v>3731</v>
      </c>
      <c r="F770" s="101">
        <v>5</v>
      </c>
      <c r="G770" s="26"/>
      <c r="H770" s="101">
        <v>5500</v>
      </c>
      <c r="I770" s="101">
        <v>221</v>
      </c>
      <c r="J770" s="19">
        <f t="shared" si="80"/>
        <v>1415132.3800000001</v>
      </c>
      <c r="K770" s="73"/>
      <c r="L770" s="73"/>
      <c r="M770" s="73"/>
      <c r="N770" s="19">
        <f>SUMIF('2020'!B:B,B770,'2020'!C:C)+SUMIF('2021'!B:B,B770,'2021'!C:C)+SUMIF('2022'!B:B,B770,'2022'!C:C)</f>
        <v>1415132.3800000001</v>
      </c>
      <c r="O770" s="17">
        <v>44925</v>
      </c>
      <c r="P770" s="5" t="s">
        <v>3728</v>
      </c>
    </row>
    <row r="771" spans="1:16" ht="17.25" customHeight="1" x14ac:dyDescent="0.3">
      <c r="A771" s="169">
        <f t="shared" si="81"/>
        <v>675</v>
      </c>
      <c r="B771" s="21" t="s">
        <v>766</v>
      </c>
      <c r="C771" s="5">
        <v>1933</v>
      </c>
      <c r="D771" s="3"/>
      <c r="E771" s="101" t="s">
        <v>3645</v>
      </c>
      <c r="F771" s="101">
        <v>3</v>
      </c>
      <c r="G771" s="26"/>
      <c r="H771" s="101">
        <v>1296.9000000000001</v>
      </c>
      <c r="I771" s="101">
        <v>49</v>
      </c>
      <c r="J771" s="19">
        <f t="shared" si="80"/>
        <v>676937.33000000007</v>
      </c>
      <c r="K771" s="73"/>
      <c r="L771" s="73"/>
      <c r="M771" s="73"/>
      <c r="N771" s="19">
        <f>SUMIF('2020'!B:B,B771,'2020'!C:C)+SUMIF('2021'!B:B,B771,'2021'!C:C)+SUMIF('2022'!B:B,B771,'2022'!C:C)</f>
        <v>676937.33000000007</v>
      </c>
      <c r="O771" s="17">
        <v>44925</v>
      </c>
      <c r="P771" s="5" t="s">
        <v>3728</v>
      </c>
    </row>
    <row r="772" spans="1:16" ht="17.25" customHeight="1" x14ac:dyDescent="0.3">
      <c r="A772" s="169">
        <f t="shared" si="81"/>
        <v>676</v>
      </c>
      <c r="B772" s="21" t="s">
        <v>767</v>
      </c>
      <c r="C772" s="5">
        <v>1985</v>
      </c>
      <c r="D772" s="3"/>
      <c r="E772" s="101" t="s">
        <v>3731</v>
      </c>
      <c r="F772" s="101">
        <v>5</v>
      </c>
      <c r="G772" s="26"/>
      <c r="H772" s="101">
        <v>3648.8</v>
      </c>
      <c r="I772" s="101">
        <v>125</v>
      </c>
      <c r="J772" s="19">
        <f t="shared" si="80"/>
        <v>1181233.3999999999</v>
      </c>
      <c r="K772" s="73"/>
      <c r="L772" s="73"/>
      <c r="M772" s="73"/>
      <c r="N772" s="19">
        <f>SUMIF('2020'!B:B,B772,'2020'!C:C)+SUMIF('2021'!B:B,B772,'2021'!C:C)+SUMIF('2022'!B:B,B772,'2022'!C:C)</f>
        <v>1181233.3999999999</v>
      </c>
      <c r="O772" s="17">
        <v>44925</v>
      </c>
      <c r="P772" s="5" t="s">
        <v>3728</v>
      </c>
    </row>
    <row r="773" spans="1:16" ht="17.25" customHeight="1" x14ac:dyDescent="0.3">
      <c r="A773" s="210" t="s">
        <v>211</v>
      </c>
      <c r="B773" s="21"/>
      <c r="C773" s="3"/>
      <c r="D773" s="3"/>
      <c r="E773" s="3"/>
      <c r="F773" s="3"/>
      <c r="G773" s="26"/>
      <c r="H773" s="73">
        <f t="shared" ref="H773:M773" si="82">SUM(H710:H772)</f>
        <v>207546.94999999995</v>
      </c>
      <c r="I773" s="73">
        <f t="shared" si="82"/>
        <v>8249</v>
      </c>
      <c r="J773" s="73">
        <f t="shared" si="82"/>
        <v>316667146.86000001</v>
      </c>
      <c r="K773" s="73">
        <f t="shared" si="82"/>
        <v>0</v>
      </c>
      <c r="L773" s="73">
        <f t="shared" si="82"/>
        <v>0</v>
      </c>
      <c r="M773" s="73">
        <f t="shared" si="82"/>
        <v>0</v>
      </c>
      <c r="N773" s="73">
        <f>SUM(N710:N772)</f>
        <v>316667146.86000001</v>
      </c>
      <c r="O773" s="3"/>
      <c r="P773" s="3"/>
    </row>
    <row r="774" spans="1:16" ht="17.25" customHeight="1" x14ac:dyDescent="0.3">
      <c r="A774" s="210" t="s">
        <v>768</v>
      </c>
      <c r="B774" s="21"/>
      <c r="C774" s="3"/>
      <c r="D774" s="3"/>
      <c r="E774" s="3"/>
      <c r="F774" s="3"/>
      <c r="G774" s="26"/>
      <c r="H774" s="3"/>
      <c r="I774" s="3"/>
      <c r="J774" s="19"/>
      <c r="K774" s="73"/>
      <c r="L774" s="73"/>
      <c r="M774" s="73"/>
      <c r="N774" s="73"/>
      <c r="O774" s="3"/>
      <c r="P774" s="3"/>
    </row>
    <row r="775" spans="1:16" ht="17.25" customHeight="1" x14ac:dyDescent="0.3">
      <c r="A775" s="169">
        <f>A772+1</f>
        <v>677</v>
      </c>
      <c r="B775" s="21" t="s">
        <v>769</v>
      </c>
      <c r="C775" s="5">
        <v>1984</v>
      </c>
      <c r="D775" s="3"/>
      <c r="E775" s="101" t="s">
        <v>3731</v>
      </c>
      <c r="F775" s="101">
        <v>5</v>
      </c>
      <c r="G775" s="106"/>
      <c r="H775" s="101">
        <v>3631.7</v>
      </c>
      <c r="I775" s="101">
        <v>230</v>
      </c>
      <c r="J775" s="19">
        <f t="shared" ref="J775:J811" si="83">K775+L775+M775+N775</f>
        <v>27208839.409999996</v>
      </c>
      <c r="K775" s="73"/>
      <c r="L775" s="73"/>
      <c r="M775" s="73"/>
      <c r="N775" s="19">
        <f>SUMIF('2020'!B:B,B775,'2020'!C:C)+SUMIF('2021'!B:B,B775,'2021'!C:C)+SUMIF('2022'!B:B,B775,'2022'!C:C)</f>
        <v>27208839.409999996</v>
      </c>
      <c r="O775" s="17">
        <v>44925</v>
      </c>
      <c r="P775" s="5" t="s">
        <v>3728</v>
      </c>
    </row>
    <row r="776" spans="1:16" ht="17.25" customHeight="1" x14ac:dyDescent="0.3">
      <c r="A776" s="169">
        <f t="shared" si="81"/>
        <v>678</v>
      </c>
      <c r="B776" s="21" t="s">
        <v>770</v>
      </c>
      <c r="C776" s="5">
        <v>1994</v>
      </c>
      <c r="D776" s="3"/>
      <c r="E776" s="101" t="s">
        <v>3731</v>
      </c>
      <c r="F776" s="101">
        <v>5</v>
      </c>
      <c r="G776" s="106"/>
      <c r="H776" s="101">
        <v>8348.52</v>
      </c>
      <c r="I776" s="101">
        <v>325</v>
      </c>
      <c r="J776" s="19">
        <f t="shared" si="83"/>
        <v>58732114.140000001</v>
      </c>
      <c r="K776" s="73"/>
      <c r="L776" s="73"/>
      <c r="M776" s="73"/>
      <c r="N776" s="19">
        <f>SUMIF('2020'!B:B,B776,'2020'!C:C)+SUMIF('2021'!B:B,B776,'2021'!C:C)+SUMIF('2022'!B:B,B776,'2022'!C:C)</f>
        <v>58732114.140000001</v>
      </c>
      <c r="O776" s="17">
        <v>44925</v>
      </c>
      <c r="P776" s="5" t="s">
        <v>3728</v>
      </c>
    </row>
    <row r="777" spans="1:16" ht="17.25" customHeight="1" x14ac:dyDescent="0.3">
      <c r="A777" s="169">
        <f t="shared" si="81"/>
        <v>679</v>
      </c>
      <c r="B777" s="21" t="s">
        <v>771</v>
      </c>
      <c r="C777" s="5">
        <v>1969</v>
      </c>
      <c r="D777" s="3"/>
      <c r="E777" s="101" t="s">
        <v>3645</v>
      </c>
      <c r="F777" s="101">
        <v>3</v>
      </c>
      <c r="G777" s="106"/>
      <c r="H777" s="101">
        <v>1679.28</v>
      </c>
      <c r="I777" s="101">
        <v>76</v>
      </c>
      <c r="J777" s="19">
        <f t="shared" si="83"/>
        <v>182039</v>
      </c>
      <c r="K777" s="73"/>
      <c r="L777" s="73"/>
      <c r="M777" s="73"/>
      <c r="N777" s="19">
        <f>SUMIF('2020'!B:B,B777,'2020'!C:C)+SUMIF('2021'!B:B,B777,'2021'!C:C)+SUMIF('2022'!B:B,B777,'2022'!C:C)</f>
        <v>182039</v>
      </c>
      <c r="O777" s="17">
        <v>44925</v>
      </c>
      <c r="P777" s="5" t="s">
        <v>3728</v>
      </c>
    </row>
    <row r="778" spans="1:16" ht="17.25" customHeight="1" x14ac:dyDescent="0.3">
      <c r="A778" s="210" t="s">
        <v>211</v>
      </c>
      <c r="B778" s="21"/>
      <c r="C778" s="3"/>
      <c r="D778" s="3"/>
      <c r="E778" s="3"/>
      <c r="F778" s="3"/>
      <c r="G778" s="26"/>
      <c r="H778" s="73">
        <f t="shared" ref="H778:M778" si="84">SUM(H775:H777)</f>
        <v>13659.500000000002</v>
      </c>
      <c r="I778" s="73">
        <f t="shared" si="84"/>
        <v>631</v>
      </c>
      <c r="J778" s="73">
        <f t="shared" si="84"/>
        <v>86122992.549999997</v>
      </c>
      <c r="K778" s="73">
        <f t="shared" si="84"/>
        <v>0</v>
      </c>
      <c r="L778" s="73">
        <f t="shared" si="84"/>
        <v>0</v>
      </c>
      <c r="M778" s="73">
        <f t="shared" si="84"/>
        <v>0</v>
      </c>
      <c r="N778" s="73">
        <f>SUM(N775:N777)</f>
        <v>86122992.549999997</v>
      </c>
      <c r="O778" s="3"/>
      <c r="P778" s="3"/>
    </row>
    <row r="779" spans="1:16" ht="17.25" customHeight="1" x14ac:dyDescent="0.3">
      <c r="A779" s="210" t="s">
        <v>772</v>
      </c>
      <c r="B779" s="21"/>
      <c r="C779" s="3"/>
      <c r="D779" s="3"/>
      <c r="E779" s="3"/>
      <c r="F779" s="3"/>
      <c r="G779" s="26"/>
      <c r="H779" s="3"/>
      <c r="I779" s="3"/>
      <c r="J779" s="19"/>
      <c r="K779" s="73"/>
      <c r="L779" s="73"/>
      <c r="M779" s="73"/>
      <c r="N779" s="73"/>
      <c r="O779" s="3"/>
      <c r="P779" s="3"/>
    </row>
    <row r="780" spans="1:16" ht="17.25" customHeight="1" x14ac:dyDescent="0.3">
      <c r="A780" s="169">
        <f>A777+1</f>
        <v>680</v>
      </c>
      <c r="B780" s="21" t="s">
        <v>773</v>
      </c>
      <c r="C780" s="5">
        <v>1987</v>
      </c>
      <c r="D780" s="3"/>
      <c r="E780" s="101" t="s">
        <v>3645</v>
      </c>
      <c r="F780" s="23">
        <v>5</v>
      </c>
      <c r="G780" s="26"/>
      <c r="H780" s="23">
        <v>5171.7</v>
      </c>
      <c r="I780" s="24" t="s">
        <v>3699</v>
      </c>
      <c r="J780" s="19">
        <f t="shared" si="83"/>
        <v>146491.6</v>
      </c>
      <c r="K780" s="73"/>
      <c r="L780" s="73"/>
      <c r="M780" s="73"/>
      <c r="N780" s="19">
        <f>SUMIF('2020'!B:B,B780,'2020'!C:C)+SUMIF('2021'!B:B,B780,'2021'!C:C)+SUMIF('2022'!B:B,B780,'2022'!C:C)</f>
        <v>146491.6</v>
      </c>
      <c r="O780" s="17">
        <v>44925</v>
      </c>
      <c r="P780" s="5" t="s">
        <v>3728</v>
      </c>
    </row>
    <row r="781" spans="1:16" ht="17.25" customHeight="1" x14ac:dyDescent="0.3">
      <c r="A781" s="169">
        <f t="shared" si="81"/>
        <v>681</v>
      </c>
      <c r="B781" s="21" t="s">
        <v>774</v>
      </c>
      <c r="C781" s="5">
        <v>1979</v>
      </c>
      <c r="D781" s="3"/>
      <c r="E781" s="101" t="s">
        <v>3645</v>
      </c>
      <c r="F781" s="23">
        <v>5</v>
      </c>
      <c r="G781" s="26"/>
      <c r="H781" s="23">
        <v>3091</v>
      </c>
      <c r="I781" s="24" t="s">
        <v>3778</v>
      </c>
      <c r="J781" s="19">
        <f t="shared" si="83"/>
        <v>152584</v>
      </c>
      <c r="K781" s="73"/>
      <c r="L781" s="73"/>
      <c r="M781" s="73"/>
      <c r="N781" s="19">
        <f>SUMIF('2020'!B:B,B781,'2020'!C:C)+SUMIF('2021'!B:B,B781,'2021'!C:C)+SUMIF('2022'!B:B,B781,'2022'!C:C)</f>
        <v>152584</v>
      </c>
      <c r="O781" s="17">
        <v>44925</v>
      </c>
      <c r="P781" s="5" t="s">
        <v>3728</v>
      </c>
    </row>
    <row r="782" spans="1:16" ht="17.25" customHeight="1" x14ac:dyDescent="0.3">
      <c r="A782" s="169">
        <f t="shared" si="81"/>
        <v>682</v>
      </c>
      <c r="B782" s="21" t="s">
        <v>775</v>
      </c>
      <c r="C782" s="5">
        <v>1986</v>
      </c>
      <c r="D782" s="3"/>
      <c r="E782" s="101" t="s">
        <v>3645</v>
      </c>
      <c r="F782" s="23">
        <v>5</v>
      </c>
      <c r="G782" s="26"/>
      <c r="H782" s="23">
        <v>4489.1000000000004</v>
      </c>
      <c r="I782" s="24" t="s">
        <v>3779</v>
      </c>
      <c r="J782" s="19">
        <f t="shared" si="83"/>
        <v>167213.20000000001</v>
      </c>
      <c r="K782" s="73"/>
      <c r="L782" s="73"/>
      <c r="M782" s="73"/>
      <c r="N782" s="19">
        <f>SUMIF('2020'!B:B,B782,'2020'!C:C)+SUMIF('2021'!B:B,B782,'2021'!C:C)+SUMIF('2022'!B:B,B782,'2022'!C:C)</f>
        <v>167213.20000000001</v>
      </c>
      <c r="O782" s="17">
        <v>44925</v>
      </c>
      <c r="P782" s="5" t="s">
        <v>3728</v>
      </c>
    </row>
    <row r="783" spans="1:16" ht="17.25" customHeight="1" x14ac:dyDescent="0.3">
      <c r="A783" s="169">
        <f t="shared" si="81"/>
        <v>683</v>
      </c>
      <c r="B783" s="21" t="s">
        <v>776</v>
      </c>
      <c r="C783" s="5">
        <v>1983</v>
      </c>
      <c r="D783" s="3"/>
      <c r="E783" s="101" t="s">
        <v>3645</v>
      </c>
      <c r="F783" s="23">
        <v>5</v>
      </c>
      <c r="G783" s="26"/>
      <c r="H783" s="23">
        <v>6300.6</v>
      </c>
      <c r="I783" s="24" t="s">
        <v>3780</v>
      </c>
      <c r="J783" s="19">
        <f t="shared" si="83"/>
        <v>130000</v>
      </c>
      <c r="K783" s="73"/>
      <c r="L783" s="73"/>
      <c r="M783" s="73"/>
      <c r="N783" s="19">
        <f>SUMIF('2020'!B:B,B783,'2020'!C:C)+SUMIF('2021'!B:B,B783,'2021'!C:C)+SUMIF('2022'!B:B,B783,'2022'!C:C)</f>
        <v>130000</v>
      </c>
      <c r="O783" s="17">
        <v>44925</v>
      </c>
      <c r="P783" s="5" t="s">
        <v>3728</v>
      </c>
    </row>
    <row r="784" spans="1:16" ht="17.25" customHeight="1" x14ac:dyDescent="0.3">
      <c r="A784" s="169">
        <f t="shared" si="81"/>
        <v>684</v>
      </c>
      <c r="B784" s="21" t="s">
        <v>777</v>
      </c>
      <c r="C784" s="5">
        <v>1967</v>
      </c>
      <c r="D784" s="3"/>
      <c r="E784" s="101" t="s">
        <v>3645</v>
      </c>
      <c r="F784" s="23">
        <v>4</v>
      </c>
      <c r="G784" s="26"/>
      <c r="H784" s="23">
        <v>2776.7</v>
      </c>
      <c r="I784" s="24" t="s">
        <v>3781</v>
      </c>
      <c r="J784" s="19">
        <f t="shared" si="83"/>
        <v>145532.79999999999</v>
      </c>
      <c r="K784" s="73"/>
      <c r="L784" s="73"/>
      <c r="M784" s="73"/>
      <c r="N784" s="19">
        <f>SUMIF('2020'!B:B,B784,'2020'!C:C)+SUMIF('2021'!B:B,B784,'2021'!C:C)+SUMIF('2022'!B:B,B784,'2022'!C:C)</f>
        <v>145532.79999999999</v>
      </c>
      <c r="O784" s="17">
        <v>44925</v>
      </c>
      <c r="P784" s="5" t="s">
        <v>3728</v>
      </c>
    </row>
    <row r="785" spans="1:16" ht="17.25" customHeight="1" x14ac:dyDescent="0.3">
      <c r="A785" s="210" t="s">
        <v>211</v>
      </c>
      <c r="B785" s="21"/>
      <c r="C785" s="3"/>
      <c r="D785" s="3"/>
      <c r="E785" s="3"/>
      <c r="F785" s="3"/>
      <c r="G785" s="26"/>
      <c r="H785" s="73">
        <f t="shared" ref="H785:M785" si="85">SUM(H780:H784)</f>
        <v>21829.100000000002</v>
      </c>
      <c r="I785" s="73">
        <f t="shared" si="85"/>
        <v>0</v>
      </c>
      <c r="J785" s="73">
        <f t="shared" si="85"/>
        <v>741821.60000000009</v>
      </c>
      <c r="K785" s="73">
        <f t="shared" si="85"/>
        <v>0</v>
      </c>
      <c r="L785" s="73">
        <f t="shared" si="85"/>
        <v>0</v>
      </c>
      <c r="M785" s="73">
        <f t="shared" si="85"/>
        <v>0</v>
      </c>
      <c r="N785" s="73">
        <f>SUM(N780:N784)</f>
        <v>741821.60000000009</v>
      </c>
      <c r="O785" s="3"/>
      <c r="P785" s="3"/>
    </row>
    <row r="786" spans="1:16" ht="17.25" customHeight="1" x14ac:dyDescent="0.3">
      <c r="A786" s="210" t="s">
        <v>778</v>
      </c>
      <c r="B786" s="21"/>
      <c r="C786" s="3"/>
      <c r="D786" s="3"/>
      <c r="E786" s="3"/>
      <c r="F786" s="3"/>
      <c r="G786" s="26"/>
      <c r="H786" s="3"/>
      <c r="I786" s="3"/>
      <c r="J786" s="19"/>
      <c r="K786" s="73"/>
      <c r="L786" s="73"/>
      <c r="M786" s="73"/>
      <c r="N786" s="73"/>
      <c r="O786" s="3"/>
      <c r="P786" s="3"/>
    </row>
    <row r="787" spans="1:16" ht="17.25" customHeight="1" x14ac:dyDescent="0.3">
      <c r="A787" s="169">
        <f>A784+1</f>
        <v>685</v>
      </c>
      <c r="B787" s="21" t="s">
        <v>779</v>
      </c>
      <c r="C787" s="5">
        <v>1957</v>
      </c>
      <c r="D787" s="3"/>
      <c r="E787" s="101" t="s">
        <v>3645</v>
      </c>
      <c r="F787" s="101">
        <v>2</v>
      </c>
      <c r="G787" s="106"/>
      <c r="H787" s="101">
        <v>355.4</v>
      </c>
      <c r="I787" s="101">
        <v>21</v>
      </c>
      <c r="J787" s="19">
        <f t="shared" si="83"/>
        <v>1564199.12</v>
      </c>
      <c r="K787" s="107"/>
      <c r="L787" s="73"/>
      <c r="M787" s="73"/>
      <c r="N787" s="19">
        <f>SUMIF('2020'!B:B,B787,'2020'!C:C)+SUMIF('2021'!B:B,B787,'2021'!C:C)+SUMIF('2022'!B:B,B787,'2022'!C:C)</f>
        <v>1564199.12</v>
      </c>
      <c r="O787" s="17">
        <v>44925</v>
      </c>
      <c r="P787" s="5" t="s">
        <v>3728</v>
      </c>
    </row>
    <row r="788" spans="1:16" ht="17.25" customHeight="1" x14ac:dyDescent="0.3">
      <c r="A788" s="169">
        <f t="shared" ref="A788:A811" si="86">A787+1</f>
        <v>686</v>
      </c>
      <c r="B788" s="21" t="s">
        <v>780</v>
      </c>
      <c r="C788" s="5">
        <v>1970</v>
      </c>
      <c r="D788" s="3"/>
      <c r="E788" s="101" t="s">
        <v>3645</v>
      </c>
      <c r="F788" s="101">
        <v>2</v>
      </c>
      <c r="G788" s="106"/>
      <c r="H788" s="101">
        <v>970.2</v>
      </c>
      <c r="I788" s="101">
        <v>46</v>
      </c>
      <c r="J788" s="19">
        <f t="shared" si="83"/>
        <v>127773.2</v>
      </c>
      <c r="K788" s="107"/>
      <c r="L788" s="73"/>
      <c r="M788" s="73"/>
      <c r="N788" s="19">
        <f>SUMIF('2020'!B:B,B788,'2020'!C:C)+SUMIF('2021'!B:B,B788,'2021'!C:C)+SUMIF('2022'!B:B,B788,'2022'!C:C)</f>
        <v>127773.2</v>
      </c>
      <c r="O788" s="17">
        <v>44925</v>
      </c>
      <c r="P788" s="5" t="s">
        <v>3728</v>
      </c>
    </row>
    <row r="789" spans="1:16" ht="17.25" customHeight="1" x14ac:dyDescent="0.3">
      <c r="A789" s="169">
        <f t="shared" si="86"/>
        <v>687</v>
      </c>
      <c r="B789" s="21" t="s">
        <v>781</v>
      </c>
      <c r="C789" s="5">
        <v>1972</v>
      </c>
      <c r="D789" s="3"/>
      <c r="E789" s="101" t="s">
        <v>3645</v>
      </c>
      <c r="F789" s="101">
        <v>2</v>
      </c>
      <c r="G789" s="106"/>
      <c r="H789" s="101">
        <v>892</v>
      </c>
      <c r="I789" s="101">
        <v>49</v>
      </c>
      <c r="J789" s="19">
        <f t="shared" si="83"/>
        <v>607446.57000000007</v>
      </c>
      <c r="K789" s="107"/>
      <c r="L789" s="73"/>
      <c r="M789" s="73"/>
      <c r="N789" s="19">
        <f>SUMIF('2020'!B:B,B789,'2020'!C:C)+SUMIF('2021'!B:B,B789,'2021'!C:C)+SUMIF('2022'!B:B,B789,'2022'!C:C)</f>
        <v>607446.57000000007</v>
      </c>
      <c r="O789" s="17">
        <v>44925</v>
      </c>
      <c r="P789" s="5" t="s">
        <v>3728</v>
      </c>
    </row>
    <row r="790" spans="1:16" ht="17.25" customHeight="1" x14ac:dyDescent="0.3">
      <c r="A790" s="169">
        <f t="shared" si="86"/>
        <v>688</v>
      </c>
      <c r="B790" s="21" t="s">
        <v>782</v>
      </c>
      <c r="C790" s="5">
        <v>1973</v>
      </c>
      <c r="D790" s="3"/>
      <c r="E790" s="101" t="s">
        <v>3645</v>
      </c>
      <c r="F790" s="101">
        <v>2</v>
      </c>
      <c r="G790" s="106"/>
      <c r="H790" s="101">
        <v>890.8</v>
      </c>
      <c r="I790" s="101">
        <v>63</v>
      </c>
      <c r="J790" s="19">
        <f t="shared" si="83"/>
        <v>481704.61</v>
      </c>
      <c r="K790" s="107"/>
      <c r="L790" s="73"/>
      <c r="M790" s="73"/>
      <c r="N790" s="19">
        <f>SUMIF('2020'!B:B,B790,'2020'!C:C)+SUMIF('2021'!B:B,B790,'2021'!C:C)+SUMIF('2022'!B:B,B790,'2022'!C:C)</f>
        <v>481704.61</v>
      </c>
      <c r="O790" s="17">
        <v>44925</v>
      </c>
      <c r="P790" s="5" t="s">
        <v>3728</v>
      </c>
    </row>
    <row r="791" spans="1:16" ht="17.25" customHeight="1" x14ac:dyDescent="0.3">
      <c r="A791" s="169">
        <f t="shared" si="86"/>
        <v>689</v>
      </c>
      <c r="B791" s="21" t="s">
        <v>783</v>
      </c>
      <c r="C791" s="5">
        <v>1971</v>
      </c>
      <c r="D791" s="3"/>
      <c r="E791" s="101" t="s">
        <v>3645</v>
      </c>
      <c r="F791" s="101">
        <v>2</v>
      </c>
      <c r="G791" s="106"/>
      <c r="H791" s="101">
        <v>956.4</v>
      </c>
      <c r="I791" s="101">
        <v>46</v>
      </c>
      <c r="J791" s="19">
        <f t="shared" si="83"/>
        <v>991063.7</v>
      </c>
      <c r="K791" s="107"/>
      <c r="L791" s="73"/>
      <c r="M791" s="73"/>
      <c r="N791" s="19">
        <f>SUMIF('2020'!B:B,B791,'2020'!C:C)+SUMIF('2021'!B:B,B791,'2021'!C:C)+SUMIF('2022'!B:B,B791,'2022'!C:C)</f>
        <v>991063.7</v>
      </c>
      <c r="O791" s="17">
        <v>44925</v>
      </c>
      <c r="P791" s="5" t="s">
        <v>3728</v>
      </c>
    </row>
    <row r="792" spans="1:16" ht="17.25" customHeight="1" x14ac:dyDescent="0.3">
      <c r="A792" s="169">
        <f t="shared" si="86"/>
        <v>690</v>
      </c>
      <c r="B792" s="21" t="s">
        <v>784</v>
      </c>
      <c r="C792" s="5">
        <v>1974</v>
      </c>
      <c r="D792" s="3"/>
      <c r="E792" s="101" t="s">
        <v>3645</v>
      </c>
      <c r="F792" s="101">
        <v>3</v>
      </c>
      <c r="G792" s="106"/>
      <c r="H792" s="101">
        <v>1283.5</v>
      </c>
      <c r="I792" s="101">
        <v>67</v>
      </c>
      <c r="J792" s="19">
        <f t="shared" si="83"/>
        <v>398259.3</v>
      </c>
      <c r="K792" s="107"/>
      <c r="L792" s="73"/>
      <c r="M792" s="73"/>
      <c r="N792" s="19">
        <f>SUMIF('2020'!B:B,B792,'2020'!C:C)+SUMIF('2021'!B:B,B792,'2021'!C:C)+SUMIF('2022'!B:B,B792,'2022'!C:C)</f>
        <v>398259.3</v>
      </c>
      <c r="O792" s="17">
        <v>44925</v>
      </c>
      <c r="P792" s="5" t="s">
        <v>3728</v>
      </c>
    </row>
    <row r="793" spans="1:16" ht="17.25" customHeight="1" x14ac:dyDescent="0.3">
      <c r="A793" s="169">
        <f t="shared" si="86"/>
        <v>691</v>
      </c>
      <c r="B793" s="21" t="s">
        <v>785</v>
      </c>
      <c r="C793" s="5">
        <v>1966</v>
      </c>
      <c r="D793" s="3"/>
      <c r="E793" s="101" t="s">
        <v>3645</v>
      </c>
      <c r="F793" s="101">
        <v>5</v>
      </c>
      <c r="G793" s="106"/>
      <c r="H793" s="101">
        <v>3761.85</v>
      </c>
      <c r="I793" s="101">
        <v>166</v>
      </c>
      <c r="J793" s="19">
        <f t="shared" si="83"/>
        <v>227138.35</v>
      </c>
      <c r="K793" s="107"/>
      <c r="L793" s="73"/>
      <c r="M793" s="73"/>
      <c r="N793" s="19">
        <f>SUMIF('2020'!B:B,B793,'2020'!C:C)+SUMIF('2021'!B:B,B793,'2021'!C:C)+SUMIF('2022'!B:B,B793,'2022'!C:C)</f>
        <v>227138.35</v>
      </c>
      <c r="O793" s="17">
        <v>44925</v>
      </c>
      <c r="P793" s="5" t="s">
        <v>3728</v>
      </c>
    </row>
    <row r="794" spans="1:16" ht="17.25" customHeight="1" x14ac:dyDescent="0.3">
      <c r="A794" s="169">
        <f>A793+1</f>
        <v>692</v>
      </c>
      <c r="B794" s="21" t="s">
        <v>786</v>
      </c>
      <c r="C794" s="5">
        <v>1972</v>
      </c>
      <c r="D794" s="3"/>
      <c r="E794" s="101" t="s">
        <v>3645</v>
      </c>
      <c r="F794" s="101">
        <v>2</v>
      </c>
      <c r="G794" s="106"/>
      <c r="H794" s="101">
        <v>759.2</v>
      </c>
      <c r="I794" s="101">
        <v>32</v>
      </c>
      <c r="J794" s="19">
        <f t="shared" si="83"/>
        <v>5151852.4099999992</v>
      </c>
      <c r="K794" s="107"/>
      <c r="L794" s="73"/>
      <c r="M794" s="73"/>
      <c r="N794" s="19">
        <f>SUMIF('2020'!B:B,B794,'2020'!C:C)+SUMIF('2021'!B:B,B794,'2021'!C:C)+SUMIF('2022'!B:B,B794,'2022'!C:C)</f>
        <v>5151852.4099999992</v>
      </c>
      <c r="O794" s="17">
        <v>44925</v>
      </c>
      <c r="P794" s="5" t="s">
        <v>3728</v>
      </c>
    </row>
    <row r="795" spans="1:16" ht="17.25" customHeight="1" x14ac:dyDescent="0.3">
      <c r="A795" s="169">
        <f t="shared" si="86"/>
        <v>693</v>
      </c>
      <c r="B795" s="21" t="s">
        <v>787</v>
      </c>
      <c r="C795" s="5">
        <v>1973</v>
      </c>
      <c r="D795" s="3"/>
      <c r="E795" s="101" t="s">
        <v>3645</v>
      </c>
      <c r="F795" s="101">
        <v>2</v>
      </c>
      <c r="G795" s="106"/>
      <c r="H795" s="101">
        <v>509</v>
      </c>
      <c r="I795" s="101">
        <v>28</v>
      </c>
      <c r="J795" s="19">
        <f t="shared" si="83"/>
        <v>478246.27</v>
      </c>
      <c r="K795" s="107"/>
      <c r="L795" s="73"/>
      <c r="M795" s="73"/>
      <c r="N795" s="19">
        <f>SUMIF('2020'!B:B,B795,'2020'!C:C)+SUMIF('2021'!B:B,B795,'2021'!C:C)+SUMIF('2022'!B:B,B795,'2022'!C:C)</f>
        <v>478246.27</v>
      </c>
      <c r="O795" s="17">
        <v>44925</v>
      </c>
      <c r="P795" s="5" t="s">
        <v>3728</v>
      </c>
    </row>
    <row r="796" spans="1:16" ht="17.25" customHeight="1" x14ac:dyDescent="0.3">
      <c r="A796" s="169">
        <f t="shared" si="86"/>
        <v>694</v>
      </c>
      <c r="B796" s="21" t="s">
        <v>788</v>
      </c>
      <c r="C796" s="5">
        <v>1977</v>
      </c>
      <c r="D796" s="3"/>
      <c r="E796" s="101" t="s">
        <v>3645</v>
      </c>
      <c r="F796" s="101">
        <v>2</v>
      </c>
      <c r="G796" s="106"/>
      <c r="H796" s="101">
        <v>886.05</v>
      </c>
      <c r="I796" s="101">
        <v>41</v>
      </c>
      <c r="J796" s="19">
        <f t="shared" si="83"/>
        <v>482414.72</v>
      </c>
      <c r="K796" s="107"/>
      <c r="L796" s="73"/>
      <c r="M796" s="73"/>
      <c r="N796" s="19">
        <f>SUMIF('2020'!B:B,B796,'2020'!C:C)+SUMIF('2021'!B:B,B796,'2021'!C:C)+SUMIF('2022'!B:B,B796,'2022'!C:C)</f>
        <v>482414.72</v>
      </c>
      <c r="O796" s="17">
        <v>44925</v>
      </c>
      <c r="P796" s="5" t="s">
        <v>3728</v>
      </c>
    </row>
    <row r="797" spans="1:16" ht="17.25" customHeight="1" x14ac:dyDescent="0.3">
      <c r="A797" s="169">
        <f t="shared" si="86"/>
        <v>695</v>
      </c>
      <c r="B797" s="21" t="s">
        <v>789</v>
      </c>
      <c r="C797" s="5">
        <v>1977</v>
      </c>
      <c r="D797" s="3"/>
      <c r="E797" s="101" t="s">
        <v>3645</v>
      </c>
      <c r="F797" s="101">
        <v>2</v>
      </c>
      <c r="G797" s="106"/>
      <c r="H797" s="101">
        <v>827</v>
      </c>
      <c r="I797" s="101">
        <v>42</v>
      </c>
      <c r="J797" s="19">
        <f t="shared" si="83"/>
        <v>408750.82</v>
      </c>
      <c r="K797" s="107"/>
      <c r="L797" s="73"/>
      <c r="M797" s="73"/>
      <c r="N797" s="19">
        <f>SUMIF('2020'!B:B,B797,'2020'!C:C)+SUMIF('2021'!B:B,B797,'2021'!C:C)+SUMIF('2022'!B:B,B797,'2022'!C:C)</f>
        <v>408750.82</v>
      </c>
      <c r="O797" s="17">
        <v>44925</v>
      </c>
      <c r="P797" s="5" t="s">
        <v>3728</v>
      </c>
    </row>
    <row r="798" spans="1:16" ht="17.25" customHeight="1" x14ac:dyDescent="0.3">
      <c r="A798" s="169">
        <f t="shared" si="86"/>
        <v>696</v>
      </c>
      <c r="B798" s="21" t="s">
        <v>790</v>
      </c>
      <c r="C798" s="5">
        <v>1953</v>
      </c>
      <c r="D798" s="3"/>
      <c r="E798" s="101" t="s">
        <v>3730</v>
      </c>
      <c r="F798" s="101">
        <v>2</v>
      </c>
      <c r="G798" s="106"/>
      <c r="H798" s="101">
        <v>137.5</v>
      </c>
      <c r="I798" s="101">
        <v>12</v>
      </c>
      <c r="J798" s="19">
        <f t="shared" si="83"/>
        <v>130000</v>
      </c>
      <c r="K798" s="107"/>
      <c r="L798" s="73"/>
      <c r="M798" s="73"/>
      <c r="N798" s="19">
        <f>SUMIF('2020'!B:B,B798,'2020'!C:C)+SUMIF('2021'!B:B,B798,'2021'!C:C)+SUMIF('2022'!B:B,B798,'2022'!C:C)</f>
        <v>130000</v>
      </c>
      <c r="O798" s="17">
        <v>44925</v>
      </c>
      <c r="P798" s="5" t="s">
        <v>3728</v>
      </c>
    </row>
    <row r="799" spans="1:16" ht="17.25" customHeight="1" x14ac:dyDescent="0.3">
      <c r="A799" s="169">
        <f t="shared" si="86"/>
        <v>697</v>
      </c>
      <c r="B799" s="21" t="s">
        <v>791</v>
      </c>
      <c r="C799" s="5">
        <v>1955</v>
      </c>
      <c r="D799" s="3"/>
      <c r="E799" s="101" t="s">
        <v>3645</v>
      </c>
      <c r="F799" s="101">
        <v>2</v>
      </c>
      <c r="G799" s="106"/>
      <c r="H799" s="101">
        <v>560</v>
      </c>
      <c r="I799" s="101">
        <v>18</v>
      </c>
      <c r="J799" s="19">
        <f t="shared" si="83"/>
        <v>475216.70000000007</v>
      </c>
      <c r="K799" s="107"/>
      <c r="L799" s="73"/>
      <c r="M799" s="73"/>
      <c r="N799" s="19">
        <f>SUMIF('2020'!B:B,B799,'2020'!C:C)+SUMIF('2021'!B:B,B799,'2021'!C:C)+SUMIF('2022'!B:B,B799,'2022'!C:C)</f>
        <v>475216.70000000007</v>
      </c>
      <c r="O799" s="17">
        <v>44925</v>
      </c>
      <c r="P799" s="5" t="s">
        <v>3728</v>
      </c>
    </row>
    <row r="800" spans="1:16" ht="17.25" customHeight="1" x14ac:dyDescent="0.3">
      <c r="A800" s="169">
        <f t="shared" si="86"/>
        <v>698</v>
      </c>
      <c r="B800" s="21" t="s">
        <v>792</v>
      </c>
      <c r="C800" s="5">
        <v>1959</v>
      </c>
      <c r="D800" s="3"/>
      <c r="E800" s="101" t="s">
        <v>3730</v>
      </c>
      <c r="F800" s="101">
        <v>2</v>
      </c>
      <c r="G800" s="106"/>
      <c r="H800" s="101">
        <v>168.7</v>
      </c>
      <c r="I800" s="101">
        <v>5</v>
      </c>
      <c r="J800" s="19">
        <f t="shared" si="83"/>
        <v>144156.19</v>
      </c>
      <c r="K800" s="107"/>
      <c r="L800" s="73"/>
      <c r="M800" s="73"/>
      <c r="N800" s="19">
        <f>SUMIF('2020'!B:B,B800,'2020'!C:C)+SUMIF('2021'!B:B,B800,'2021'!C:C)+SUMIF('2022'!B:B,B800,'2022'!C:C)</f>
        <v>144156.19</v>
      </c>
      <c r="O800" s="17">
        <v>44925</v>
      </c>
      <c r="P800" s="5" t="s">
        <v>3728</v>
      </c>
    </row>
    <row r="801" spans="1:16" ht="17.25" customHeight="1" x14ac:dyDescent="0.3">
      <c r="A801" s="169">
        <f>A800+1</f>
        <v>699</v>
      </c>
      <c r="B801" s="60" t="s">
        <v>4181</v>
      </c>
      <c r="C801" s="5">
        <v>1950</v>
      </c>
      <c r="D801" s="3"/>
      <c r="E801" s="101" t="s">
        <v>3645</v>
      </c>
      <c r="F801" s="101">
        <v>2</v>
      </c>
      <c r="G801" s="106"/>
      <c r="H801" s="101">
        <v>226.2</v>
      </c>
      <c r="I801" s="101">
        <v>6</v>
      </c>
      <c r="J801" s="19">
        <f t="shared" si="83"/>
        <v>130000</v>
      </c>
      <c r="K801" s="107"/>
      <c r="L801" s="73"/>
      <c r="M801" s="73"/>
      <c r="N801" s="19">
        <f>SUMIF('2020'!B:B,B801,'2020'!C:C)+SUMIF('2021'!B:B,B801,'2021'!C:C)+SUMIF('2022'!B:B,B801,'2022'!C:C)</f>
        <v>130000</v>
      </c>
      <c r="O801" s="17">
        <v>44925</v>
      </c>
      <c r="P801" s="5" t="s">
        <v>3728</v>
      </c>
    </row>
    <row r="802" spans="1:16" ht="17.25" customHeight="1" x14ac:dyDescent="0.3">
      <c r="A802" s="169">
        <f>A801+1</f>
        <v>700</v>
      </c>
      <c r="B802" s="21" t="s">
        <v>793</v>
      </c>
      <c r="C802" s="5">
        <v>1960</v>
      </c>
      <c r="D802" s="3"/>
      <c r="E802" s="101" t="s">
        <v>3645</v>
      </c>
      <c r="F802" s="101">
        <v>2</v>
      </c>
      <c r="G802" s="106"/>
      <c r="H802" s="101">
        <v>653.29999999999995</v>
      </c>
      <c r="I802" s="101">
        <v>40</v>
      </c>
      <c r="J802" s="19">
        <f t="shared" si="83"/>
        <v>5051189.42</v>
      </c>
      <c r="K802" s="107"/>
      <c r="L802" s="73"/>
      <c r="M802" s="73"/>
      <c r="N802" s="19">
        <f>SUMIF('2020'!B:B,B802,'2020'!C:C)+SUMIF('2021'!B:B,B802,'2021'!C:C)+SUMIF('2022'!B:B,B802,'2022'!C:C)</f>
        <v>5051189.42</v>
      </c>
      <c r="O802" s="17">
        <v>44925</v>
      </c>
      <c r="P802" s="5" t="s">
        <v>3728</v>
      </c>
    </row>
    <row r="803" spans="1:16" ht="17.25" customHeight="1" x14ac:dyDescent="0.3">
      <c r="A803" s="169">
        <f t="shared" si="86"/>
        <v>701</v>
      </c>
      <c r="B803" s="21" t="s">
        <v>794</v>
      </c>
      <c r="C803" s="5">
        <v>1964</v>
      </c>
      <c r="D803" s="3"/>
      <c r="E803" s="101" t="s">
        <v>3645</v>
      </c>
      <c r="F803" s="101">
        <v>2</v>
      </c>
      <c r="G803" s="106"/>
      <c r="H803" s="101">
        <v>704.8</v>
      </c>
      <c r="I803" s="101">
        <v>28</v>
      </c>
      <c r="J803" s="19">
        <f t="shared" si="83"/>
        <v>5248983.3500000006</v>
      </c>
      <c r="K803" s="107"/>
      <c r="L803" s="73"/>
      <c r="M803" s="73"/>
      <c r="N803" s="19">
        <f>SUMIF('2020'!B:B,B803,'2020'!C:C)+SUMIF('2021'!B:B,B803,'2021'!C:C)+SUMIF('2022'!B:B,B803,'2022'!C:C)</f>
        <v>5248983.3500000006</v>
      </c>
      <c r="O803" s="17">
        <v>44925</v>
      </c>
      <c r="P803" s="5" t="s">
        <v>3728</v>
      </c>
    </row>
    <row r="804" spans="1:16" ht="17.25" customHeight="1" x14ac:dyDescent="0.3">
      <c r="A804" s="169">
        <f t="shared" si="86"/>
        <v>702</v>
      </c>
      <c r="B804" s="21" t="s">
        <v>795</v>
      </c>
      <c r="C804" s="5">
        <v>1956</v>
      </c>
      <c r="D804" s="3"/>
      <c r="E804" s="101" t="s">
        <v>3645</v>
      </c>
      <c r="F804" s="101">
        <v>2</v>
      </c>
      <c r="G804" s="106"/>
      <c r="H804" s="101">
        <v>879.5</v>
      </c>
      <c r="I804" s="101">
        <v>36</v>
      </c>
      <c r="J804" s="19">
        <f t="shared" si="83"/>
        <v>462098.1</v>
      </c>
      <c r="K804" s="107"/>
      <c r="L804" s="73"/>
      <c r="M804" s="73"/>
      <c r="N804" s="19">
        <f>SUMIF('2020'!B:B,B804,'2020'!C:C)+SUMIF('2021'!B:B,B804,'2021'!C:C)+SUMIF('2022'!B:B,B804,'2022'!C:C)</f>
        <v>462098.1</v>
      </c>
      <c r="O804" s="17">
        <v>44925</v>
      </c>
      <c r="P804" s="5" t="s">
        <v>3728</v>
      </c>
    </row>
    <row r="805" spans="1:16" ht="17.25" customHeight="1" x14ac:dyDescent="0.3">
      <c r="A805" s="169">
        <f t="shared" si="86"/>
        <v>703</v>
      </c>
      <c r="B805" s="21" t="s">
        <v>796</v>
      </c>
      <c r="C805" s="5">
        <v>1964</v>
      </c>
      <c r="D805" s="3"/>
      <c r="E805" s="101" t="s">
        <v>3645</v>
      </c>
      <c r="F805" s="101">
        <v>2</v>
      </c>
      <c r="G805" s="106"/>
      <c r="H805" s="101">
        <v>706.9</v>
      </c>
      <c r="I805" s="101">
        <v>38</v>
      </c>
      <c r="J805" s="19">
        <f t="shared" si="83"/>
        <v>5089704.6400000006</v>
      </c>
      <c r="K805" s="107"/>
      <c r="L805" s="73"/>
      <c r="M805" s="73"/>
      <c r="N805" s="19">
        <f>SUMIF('2020'!B:B,B805,'2020'!C:C)+SUMIF('2021'!B:B,B805,'2021'!C:C)+SUMIF('2022'!B:B,B805,'2022'!C:C)</f>
        <v>5089704.6400000006</v>
      </c>
      <c r="O805" s="17">
        <v>44925</v>
      </c>
      <c r="P805" s="5" t="s">
        <v>3728</v>
      </c>
    </row>
    <row r="806" spans="1:16" ht="17.25" customHeight="1" x14ac:dyDescent="0.3">
      <c r="A806" s="169">
        <f t="shared" si="86"/>
        <v>704</v>
      </c>
      <c r="B806" s="21" t="s">
        <v>797</v>
      </c>
      <c r="C806" s="5">
        <v>1956</v>
      </c>
      <c r="D806" s="3"/>
      <c r="E806" s="101" t="s">
        <v>3645</v>
      </c>
      <c r="F806" s="101">
        <v>2</v>
      </c>
      <c r="G806" s="106"/>
      <c r="H806" s="101">
        <v>887</v>
      </c>
      <c r="I806" s="101">
        <v>29</v>
      </c>
      <c r="J806" s="19">
        <f t="shared" si="83"/>
        <v>499484.41000000003</v>
      </c>
      <c r="K806" s="107"/>
      <c r="L806" s="73"/>
      <c r="M806" s="73"/>
      <c r="N806" s="19">
        <f>SUMIF('2020'!B:B,B806,'2020'!C:C)+SUMIF('2021'!B:B,B806,'2021'!C:C)+SUMIF('2022'!B:B,B806,'2022'!C:C)</f>
        <v>499484.41000000003</v>
      </c>
      <c r="O806" s="17">
        <v>44925</v>
      </c>
      <c r="P806" s="5" t="s">
        <v>3728</v>
      </c>
    </row>
    <row r="807" spans="1:16" ht="17.25" customHeight="1" x14ac:dyDescent="0.3">
      <c r="A807" s="169">
        <f t="shared" si="86"/>
        <v>705</v>
      </c>
      <c r="B807" s="21" t="s">
        <v>798</v>
      </c>
      <c r="C807" s="5">
        <v>1974</v>
      </c>
      <c r="D807" s="3"/>
      <c r="E807" s="101" t="s">
        <v>3645</v>
      </c>
      <c r="F807" s="101">
        <v>5</v>
      </c>
      <c r="G807" s="106"/>
      <c r="H807" s="101">
        <v>4000.7</v>
      </c>
      <c r="I807" s="101">
        <v>200</v>
      </c>
      <c r="J807" s="19">
        <f t="shared" si="83"/>
        <v>629179.93000000005</v>
      </c>
      <c r="K807" s="107"/>
      <c r="L807" s="73"/>
      <c r="M807" s="73"/>
      <c r="N807" s="19">
        <f>SUMIF('2020'!B:B,B807,'2020'!C:C)+SUMIF('2021'!B:B,B807,'2021'!C:C)+SUMIF('2022'!B:B,B807,'2022'!C:C)</f>
        <v>629179.93000000005</v>
      </c>
      <c r="O807" s="17">
        <v>44925</v>
      </c>
      <c r="P807" s="5" t="s">
        <v>3728</v>
      </c>
    </row>
    <row r="808" spans="1:16" ht="17.25" customHeight="1" x14ac:dyDescent="0.3">
      <c r="A808" s="169">
        <f t="shared" si="86"/>
        <v>706</v>
      </c>
      <c r="B808" s="21" t="s">
        <v>799</v>
      </c>
      <c r="C808" s="5">
        <v>1977</v>
      </c>
      <c r="D808" s="3"/>
      <c r="E808" s="101" t="s">
        <v>3645</v>
      </c>
      <c r="F808" s="101">
        <v>5</v>
      </c>
      <c r="G808" s="106"/>
      <c r="H808" s="101">
        <v>4949.8999999999996</v>
      </c>
      <c r="I808" s="101">
        <v>206</v>
      </c>
      <c r="J808" s="19">
        <f t="shared" si="83"/>
        <v>1155963.1299999999</v>
      </c>
      <c r="K808" s="107"/>
      <c r="L808" s="73"/>
      <c r="M808" s="73"/>
      <c r="N808" s="19">
        <f>SUMIF('2020'!B:B,B808,'2020'!C:C)+SUMIF('2021'!B:B,B808,'2021'!C:C)+SUMIF('2022'!B:B,B808,'2022'!C:C)</f>
        <v>1155963.1299999999</v>
      </c>
      <c r="O808" s="17">
        <v>44925</v>
      </c>
      <c r="P808" s="5" t="s">
        <v>3728</v>
      </c>
    </row>
    <row r="809" spans="1:16" ht="17.25" customHeight="1" x14ac:dyDescent="0.3">
      <c r="A809" s="169">
        <f t="shared" si="86"/>
        <v>707</v>
      </c>
      <c r="B809" s="21" t="s">
        <v>800</v>
      </c>
      <c r="C809" s="5">
        <v>1977</v>
      </c>
      <c r="D809" s="3"/>
      <c r="E809" s="101" t="s">
        <v>3729</v>
      </c>
      <c r="F809" s="101">
        <v>5</v>
      </c>
      <c r="G809" s="106"/>
      <c r="H809" s="101">
        <v>4001.5</v>
      </c>
      <c r="I809" s="101">
        <v>208</v>
      </c>
      <c r="J809" s="19">
        <f t="shared" si="83"/>
        <v>188970.86</v>
      </c>
      <c r="K809" s="107"/>
      <c r="L809" s="73"/>
      <c r="M809" s="73"/>
      <c r="N809" s="19">
        <f>SUMIF('2020'!B:B,B809,'2020'!C:C)+SUMIF('2021'!B:B,B809,'2021'!C:C)+SUMIF('2022'!B:B,B809,'2022'!C:C)</f>
        <v>188970.86</v>
      </c>
      <c r="O809" s="17">
        <v>44925</v>
      </c>
      <c r="P809" s="5" t="s">
        <v>3728</v>
      </c>
    </row>
    <row r="810" spans="1:16" ht="17.25" customHeight="1" x14ac:dyDescent="0.3">
      <c r="A810" s="169">
        <f t="shared" si="86"/>
        <v>708</v>
      </c>
      <c r="B810" s="21" t="s">
        <v>801</v>
      </c>
      <c r="C810" s="5">
        <v>1977</v>
      </c>
      <c r="D810" s="3"/>
      <c r="E810" s="101" t="s">
        <v>3729</v>
      </c>
      <c r="F810" s="101">
        <v>5</v>
      </c>
      <c r="G810" s="106"/>
      <c r="H810" s="101">
        <v>4011.3</v>
      </c>
      <c r="I810" s="101">
        <v>222</v>
      </c>
      <c r="J810" s="19">
        <f t="shared" si="83"/>
        <v>586295.06000000006</v>
      </c>
      <c r="K810" s="107"/>
      <c r="L810" s="73"/>
      <c r="M810" s="73"/>
      <c r="N810" s="19">
        <f>SUMIF('2020'!B:B,B810,'2020'!C:C)+SUMIF('2021'!B:B,B810,'2021'!C:C)+SUMIF('2022'!B:B,B810,'2022'!C:C)</f>
        <v>586295.06000000006</v>
      </c>
      <c r="O810" s="17">
        <v>44925</v>
      </c>
      <c r="P810" s="5" t="s">
        <v>3728</v>
      </c>
    </row>
    <row r="811" spans="1:16" ht="17.25" customHeight="1" x14ac:dyDescent="0.3">
      <c r="A811" s="169">
        <f t="shared" si="86"/>
        <v>709</v>
      </c>
      <c r="B811" s="21" t="s">
        <v>802</v>
      </c>
      <c r="C811" s="5">
        <v>1941</v>
      </c>
      <c r="D811" s="3"/>
      <c r="E811" s="101" t="s">
        <v>3645</v>
      </c>
      <c r="F811" s="101">
        <v>1</v>
      </c>
      <c r="G811" s="106"/>
      <c r="H811" s="101">
        <v>284.2</v>
      </c>
      <c r="I811" s="101">
        <v>12</v>
      </c>
      <c r="J811" s="19">
        <f t="shared" si="83"/>
        <v>188121.68</v>
      </c>
      <c r="K811" s="107"/>
      <c r="L811" s="73"/>
      <c r="M811" s="73"/>
      <c r="N811" s="19">
        <f>SUMIF('2020'!B:B,B811,'2020'!C:C)+SUMIF('2021'!B:B,B811,'2021'!C:C)+SUMIF('2022'!B:B,B811,'2022'!C:C)</f>
        <v>188121.68</v>
      </c>
      <c r="O811" s="17">
        <v>44925</v>
      </c>
      <c r="P811" s="5" t="s">
        <v>3728</v>
      </c>
    </row>
    <row r="812" spans="1:16" ht="17.25" customHeight="1" x14ac:dyDescent="0.3">
      <c r="A812" s="210" t="s">
        <v>211</v>
      </c>
      <c r="B812" s="21"/>
      <c r="C812" s="3"/>
      <c r="D812" s="3"/>
      <c r="E812" s="20"/>
      <c r="F812" s="20"/>
      <c r="G812" s="108"/>
      <c r="H812" s="73">
        <f t="shared" ref="H812:M812" si="87">SUM(H787:H811)</f>
        <v>34262.9</v>
      </c>
      <c r="I812" s="73">
        <f t="shared" si="87"/>
        <v>1661</v>
      </c>
      <c r="J812" s="73">
        <f t="shared" si="87"/>
        <v>30898212.539999995</v>
      </c>
      <c r="K812" s="73">
        <f t="shared" si="87"/>
        <v>0</v>
      </c>
      <c r="L812" s="73">
        <f t="shared" si="87"/>
        <v>0</v>
      </c>
      <c r="M812" s="73">
        <f t="shared" si="87"/>
        <v>0</v>
      </c>
      <c r="N812" s="73">
        <f>SUM(N787:N811)</f>
        <v>30898212.539999995</v>
      </c>
      <c r="O812" s="3"/>
      <c r="P812" s="3"/>
    </row>
    <row r="813" spans="1:16" s="160" customFormat="1" ht="17.25" customHeight="1" x14ac:dyDescent="0.3">
      <c r="A813" s="90" t="s">
        <v>3766</v>
      </c>
      <c r="B813" s="157"/>
      <c r="C813" s="153"/>
      <c r="D813" s="153"/>
      <c r="E813" s="158"/>
      <c r="F813" s="158"/>
      <c r="G813" s="159"/>
      <c r="H813" s="155">
        <f t="shared" ref="H813:M813" si="88">H812+H785+H778+H708+H699+H695+H687+H643+H608+H599+H566+H773+H595</f>
        <v>619041.17999999993</v>
      </c>
      <c r="I813" s="155">
        <f t="shared" si="88"/>
        <v>24609</v>
      </c>
      <c r="J813" s="155">
        <f t="shared" si="88"/>
        <v>758805349.40999997</v>
      </c>
      <c r="K813" s="155">
        <f t="shared" si="88"/>
        <v>0</v>
      </c>
      <c r="L813" s="155">
        <f t="shared" si="88"/>
        <v>0</v>
      </c>
      <c r="M813" s="155">
        <f t="shared" si="88"/>
        <v>0</v>
      </c>
      <c r="N813" s="155">
        <f>N812+N785+N778+N708+N699+N695+N687+N643+N608+N599+N566+N773+N595</f>
        <v>758805349.40999997</v>
      </c>
      <c r="O813" s="153"/>
      <c r="P813" s="153"/>
    </row>
    <row r="814" spans="1:16" s="160" customFormat="1" ht="17.25" customHeight="1" x14ac:dyDescent="0.3">
      <c r="A814" s="467" t="s">
        <v>803</v>
      </c>
      <c r="B814" s="468"/>
      <c r="C814" s="468"/>
      <c r="D814" s="468"/>
      <c r="E814" s="468"/>
      <c r="F814" s="468"/>
      <c r="G814" s="468"/>
      <c r="H814" s="468"/>
      <c r="I814" s="468"/>
      <c r="J814" s="468"/>
      <c r="K814" s="468"/>
      <c r="L814" s="468"/>
      <c r="M814" s="468"/>
      <c r="N814" s="468"/>
      <c r="O814" s="468"/>
      <c r="P814" s="469"/>
    </row>
    <row r="815" spans="1:16" ht="17.25" customHeight="1" x14ac:dyDescent="0.3">
      <c r="A815" s="210" t="s">
        <v>804</v>
      </c>
      <c r="B815" s="217"/>
      <c r="C815" s="3"/>
      <c r="D815" s="3"/>
      <c r="E815" s="3"/>
      <c r="F815" s="3"/>
      <c r="G815" s="26"/>
      <c r="H815" s="3"/>
      <c r="I815" s="3"/>
      <c r="J815" s="73"/>
      <c r="K815" s="73"/>
      <c r="L815" s="73"/>
      <c r="M815" s="73"/>
      <c r="N815" s="73"/>
      <c r="O815" s="3"/>
      <c r="P815" s="3"/>
    </row>
    <row r="816" spans="1:16" ht="17.25" customHeight="1" x14ac:dyDescent="0.3">
      <c r="A816" s="169">
        <f>A811+1</f>
        <v>710</v>
      </c>
      <c r="B816" s="21" t="s">
        <v>805</v>
      </c>
      <c r="C816" s="5">
        <v>1961</v>
      </c>
      <c r="D816" s="5"/>
      <c r="E816" s="5" t="s">
        <v>3729</v>
      </c>
      <c r="F816" s="5">
        <v>3</v>
      </c>
      <c r="G816" s="14"/>
      <c r="H816" s="5">
        <v>930.3</v>
      </c>
      <c r="I816" s="5">
        <v>65</v>
      </c>
      <c r="J816" s="19">
        <f t="shared" ref="J816:J879" si="89">K816+L816+M816+N816</f>
        <v>3625925.6999999997</v>
      </c>
      <c r="K816" s="72"/>
      <c r="L816" s="72"/>
      <c r="M816" s="72"/>
      <c r="N816" s="19">
        <f>SUMIF('2020'!B:B,B816,'2020'!C:C)+SUMIF('2021'!B:B,B816,'2021'!C:C)+SUMIF('2022'!B:B,B816,'2022'!C:C)</f>
        <v>3625925.6999999997</v>
      </c>
      <c r="O816" s="17">
        <v>44925</v>
      </c>
      <c r="P816" s="5" t="s">
        <v>3728</v>
      </c>
    </row>
    <row r="817" spans="1:16" ht="17.25" customHeight="1" x14ac:dyDescent="0.3">
      <c r="A817" s="169">
        <f>A816+1</f>
        <v>711</v>
      </c>
      <c r="B817" s="21" t="s">
        <v>806</v>
      </c>
      <c r="C817" s="5">
        <v>1955</v>
      </c>
      <c r="D817" s="5"/>
      <c r="E817" s="5" t="s">
        <v>3645</v>
      </c>
      <c r="F817" s="5">
        <v>2</v>
      </c>
      <c r="G817" s="14"/>
      <c r="H817" s="5">
        <v>614.08000000000004</v>
      </c>
      <c r="I817" s="5">
        <v>65</v>
      </c>
      <c r="J817" s="19">
        <f t="shared" si="89"/>
        <v>3260722.13</v>
      </c>
      <c r="K817" s="72"/>
      <c r="L817" s="72"/>
      <c r="M817" s="72"/>
      <c r="N817" s="19">
        <f>SUMIF('2020'!B:B,B817,'2020'!C:C)+SUMIF('2021'!B:B,B817,'2021'!C:C)+SUMIF('2022'!B:B,B817,'2022'!C:C)</f>
        <v>3260722.13</v>
      </c>
      <c r="O817" s="17">
        <v>44925</v>
      </c>
      <c r="P817" s="5" t="s">
        <v>3728</v>
      </c>
    </row>
    <row r="818" spans="1:16" ht="17.25" customHeight="1" x14ac:dyDescent="0.3">
      <c r="A818" s="210" t="s">
        <v>211</v>
      </c>
      <c r="B818" s="21"/>
      <c r="C818" s="3"/>
      <c r="D818" s="3"/>
      <c r="E818" s="3"/>
      <c r="F818" s="3"/>
      <c r="G818" s="26"/>
      <c r="H818" s="73">
        <f t="shared" ref="H818:M818" si="90">SUM(H816:H817)</f>
        <v>1544.38</v>
      </c>
      <c r="I818" s="73">
        <f t="shared" si="90"/>
        <v>130</v>
      </c>
      <c r="J818" s="73">
        <f t="shared" si="90"/>
        <v>6886647.8300000001</v>
      </c>
      <c r="K818" s="73">
        <f t="shared" si="90"/>
        <v>0</v>
      </c>
      <c r="L818" s="73">
        <f t="shared" si="90"/>
        <v>0</v>
      </c>
      <c r="M818" s="73">
        <f t="shared" si="90"/>
        <v>0</v>
      </c>
      <c r="N818" s="73">
        <f>SUM(N816:N817)</f>
        <v>6886647.8300000001</v>
      </c>
      <c r="O818" s="3"/>
      <c r="P818" s="3"/>
    </row>
    <row r="819" spans="1:16" ht="17.25" customHeight="1" x14ac:dyDescent="0.3">
      <c r="A819" s="210" t="s">
        <v>807</v>
      </c>
      <c r="B819" s="77"/>
      <c r="C819" s="3"/>
      <c r="D819" s="3"/>
      <c r="E819" s="3"/>
      <c r="F819" s="3"/>
      <c r="G819" s="26"/>
      <c r="H819" s="3"/>
      <c r="I819" s="3"/>
      <c r="J819" s="19"/>
      <c r="K819" s="73"/>
      <c r="L819" s="73"/>
      <c r="M819" s="73"/>
      <c r="N819" s="73"/>
      <c r="O819" s="3"/>
      <c r="P819" s="3"/>
    </row>
    <row r="820" spans="1:16" ht="17.25" customHeight="1" x14ac:dyDescent="0.3">
      <c r="A820" s="169">
        <f>A817+1</f>
        <v>712</v>
      </c>
      <c r="B820" s="21" t="s">
        <v>808</v>
      </c>
      <c r="C820" s="5">
        <v>1973</v>
      </c>
      <c r="D820" s="3"/>
      <c r="E820" s="109" t="s">
        <v>3645</v>
      </c>
      <c r="F820" s="109">
        <v>5</v>
      </c>
      <c r="G820" s="25">
        <v>1</v>
      </c>
      <c r="H820" s="109">
        <v>1344.91</v>
      </c>
      <c r="I820" s="109">
        <v>57</v>
      </c>
      <c r="J820" s="19">
        <f t="shared" si="89"/>
        <v>397657.22</v>
      </c>
      <c r="K820" s="73"/>
      <c r="L820" s="73"/>
      <c r="M820" s="73"/>
      <c r="N820" s="19">
        <f>SUMIF('2020'!B:B,B820,'2020'!C:C)+SUMIF('2021'!B:B,B820,'2021'!C:C)+SUMIF('2022'!B:B,B820,'2022'!C:C)</f>
        <v>397657.22</v>
      </c>
      <c r="O820" s="17">
        <v>44925</v>
      </c>
      <c r="P820" s="110" t="s">
        <v>3728</v>
      </c>
    </row>
    <row r="821" spans="1:16" ht="17.25" customHeight="1" x14ac:dyDescent="0.3">
      <c r="A821" s="169">
        <f t="shared" ref="A821:A884" si="91">A820+1</f>
        <v>713</v>
      </c>
      <c r="B821" s="21" t="s">
        <v>809</v>
      </c>
      <c r="C821" s="5">
        <v>1938</v>
      </c>
      <c r="D821" s="3"/>
      <c r="E821" s="109" t="s">
        <v>3645</v>
      </c>
      <c r="F821" s="111">
        <v>7</v>
      </c>
      <c r="G821" s="25"/>
      <c r="H821" s="111">
        <v>4341.8999999999996</v>
      </c>
      <c r="I821" s="111">
        <v>156</v>
      </c>
      <c r="J821" s="19">
        <f t="shared" si="89"/>
        <v>130000</v>
      </c>
      <c r="K821" s="73"/>
      <c r="L821" s="73"/>
      <c r="M821" s="73"/>
      <c r="N821" s="19">
        <f>SUMIF('2020'!B:B,B821,'2020'!C:C)+SUMIF('2021'!B:B,B821,'2021'!C:C)+SUMIF('2022'!B:B,B821,'2022'!C:C)</f>
        <v>130000</v>
      </c>
      <c r="O821" s="17">
        <v>44925</v>
      </c>
      <c r="P821" s="110" t="s">
        <v>3787</v>
      </c>
    </row>
    <row r="822" spans="1:16" ht="17.25" customHeight="1" x14ac:dyDescent="0.3">
      <c r="A822" s="169">
        <f t="shared" si="91"/>
        <v>714</v>
      </c>
      <c r="B822" s="21" t="s">
        <v>810</v>
      </c>
      <c r="C822" s="5">
        <v>1950</v>
      </c>
      <c r="D822" s="3"/>
      <c r="E822" s="109" t="s">
        <v>3645</v>
      </c>
      <c r="F822" s="109">
        <v>5</v>
      </c>
      <c r="G822" s="25">
        <v>1</v>
      </c>
      <c r="H822" s="109">
        <v>2585.38</v>
      </c>
      <c r="I822" s="109">
        <v>72</v>
      </c>
      <c r="J822" s="19">
        <f t="shared" si="89"/>
        <v>536418.6</v>
      </c>
      <c r="K822" s="73"/>
      <c r="L822" s="73"/>
      <c r="M822" s="73"/>
      <c r="N822" s="19">
        <f>SUMIF('2020'!B:B,B822,'2020'!C:C)+SUMIF('2021'!B:B,B822,'2021'!C:C)+SUMIF('2022'!B:B,B822,'2022'!C:C)</f>
        <v>536418.6</v>
      </c>
      <c r="O822" s="17">
        <v>44925</v>
      </c>
      <c r="P822" s="110" t="s">
        <v>2042</v>
      </c>
    </row>
    <row r="823" spans="1:16" ht="17.25" customHeight="1" x14ac:dyDescent="0.3">
      <c r="A823" s="169">
        <f t="shared" si="91"/>
        <v>715</v>
      </c>
      <c r="B823" s="21" t="s">
        <v>811</v>
      </c>
      <c r="C823" s="5">
        <v>1940</v>
      </c>
      <c r="D823" s="3"/>
      <c r="E823" s="109" t="s">
        <v>3645</v>
      </c>
      <c r="F823" s="109">
        <v>6</v>
      </c>
      <c r="G823" s="25">
        <v>2</v>
      </c>
      <c r="H823" s="109">
        <v>2910.22</v>
      </c>
      <c r="I823" s="109">
        <v>80</v>
      </c>
      <c r="J823" s="19">
        <f t="shared" si="89"/>
        <v>834617.62000000011</v>
      </c>
      <c r="K823" s="73"/>
      <c r="L823" s="73"/>
      <c r="M823" s="73"/>
      <c r="N823" s="19">
        <f>SUMIF('2020'!B:B,B823,'2020'!C:C)+SUMIF('2021'!B:B,B823,'2021'!C:C)+SUMIF('2022'!B:B,B823,'2022'!C:C)</f>
        <v>834617.62000000011</v>
      </c>
      <c r="O823" s="17">
        <v>44925</v>
      </c>
      <c r="P823" s="110" t="s">
        <v>3728</v>
      </c>
    </row>
    <row r="824" spans="1:16" ht="17.25" customHeight="1" x14ac:dyDescent="0.3">
      <c r="A824" s="169">
        <f t="shared" si="91"/>
        <v>716</v>
      </c>
      <c r="B824" s="21" t="s">
        <v>812</v>
      </c>
      <c r="C824" s="5">
        <v>1940</v>
      </c>
      <c r="D824" s="3"/>
      <c r="E824" s="109" t="s">
        <v>3645</v>
      </c>
      <c r="F824" s="109">
        <v>6</v>
      </c>
      <c r="G824" s="25">
        <v>3</v>
      </c>
      <c r="H824" s="109">
        <v>3015.7</v>
      </c>
      <c r="I824" s="109">
        <v>83</v>
      </c>
      <c r="J824" s="19">
        <f t="shared" si="89"/>
        <v>885535.72</v>
      </c>
      <c r="K824" s="73"/>
      <c r="L824" s="73"/>
      <c r="M824" s="73"/>
      <c r="N824" s="19">
        <f>SUMIF('2020'!B:B,B824,'2020'!C:C)+SUMIF('2021'!B:B,B824,'2021'!C:C)+SUMIF('2022'!B:B,B824,'2022'!C:C)</f>
        <v>885535.72</v>
      </c>
      <c r="O824" s="17">
        <v>44925</v>
      </c>
      <c r="P824" s="110" t="s">
        <v>3728</v>
      </c>
    </row>
    <row r="825" spans="1:16" ht="17.25" customHeight="1" x14ac:dyDescent="0.3">
      <c r="A825" s="169">
        <f t="shared" si="91"/>
        <v>717</v>
      </c>
      <c r="B825" s="21" t="s">
        <v>813</v>
      </c>
      <c r="C825" s="5">
        <v>1940</v>
      </c>
      <c r="D825" s="3"/>
      <c r="E825" s="109" t="s">
        <v>3645</v>
      </c>
      <c r="F825" s="109" t="s">
        <v>3788</v>
      </c>
      <c r="G825" s="25">
        <v>4</v>
      </c>
      <c r="H825" s="109">
        <v>4315.9399999999996</v>
      </c>
      <c r="I825" s="109">
        <v>137</v>
      </c>
      <c r="J825" s="19">
        <f t="shared" si="89"/>
        <v>927828.54</v>
      </c>
      <c r="K825" s="73"/>
      <c r="L825" s="73"/>
      <c r="M825" s="73"/>
      <c r="N825" s="19">
        <f>SUMIF('2020'!B:B,B825,'2020'!C:C)+SUMIF('2021'!B:B,B825,'2021'!C:C)+SUMIF('2022'!B:B,B825,'2022'!C:C)</f>
        <v>927828.54</v>
      </c>
      <c r="O825" s="17">
        <v>44925</v>
      </c>
      <c r="P825" s="110" t="s">
        <v>3728</v>
      </c>
    </row>
    <row r="826" spans="1:16" ht="17.25" customHeight="1" x14ac:dyDescent="0.3">
      <c r="A826" s="169">
        <f t="shared" si="91"/>
        <v>718</v>
      </c>
      <c r="B826" s="21" t="s">
        <v>814</v>
      </c>
      <c r="C826" s="5">
        <v>1940</v>
      </c>
      <c r="D826" s="3"/>
      <c r="E826" s="109" t="s">
        <v>3645</v>
      </c>
      <c r="F826" s="109">
        <v>3</v>
      </c>
      <c r="G826" s="25">
        <v>1</v>
      </c>
      <c r="H826" s="109">
        <v>144.97999999999999</v>
      </c>
      <c r="I826" s="109">
        <v>6</v>
      </c>
      <c r="J826" s="19">
        <f t="shared" si="89"/>
        <v>340010.91000000003</v>
      </c>
      <c r="K826" s="73"/>
      <c r="L826" s="73"/>
      <c r="M826" s="73"/>
      <c r="N826" s="19">
        <f>SUMIF('2020'!B:B,B826,'2020'!C:C)+SUMIF('2021'!B:B,B826,'2021'!C:C)+SUMIF('2022'!B:B,B826,'2022'!C:C)</f>
        <v>340010.91000000003</v>
      </c>
      <c r="O826" s="17">
        <v>44925</v>
      </c>
      <c r="P826" s="110" t="s">
        <v>3728</v>
      </c>
    </row>
    <row r="827" spans="1:16" ht="17.25" customHeight="1" x14ac:dyDescent="0.3">
      <c r="A827" s="169">
        <f t="shared" si="91"/>
        <v>719</v>
      </c>
      <c r="B827" s="21" t="s">
        <v>815</v>
      </c>
      <c r="C827" s="5">
        <v>1940</v>
      </c>
      <c r="D827" s="3"/>
      <c r="E827" s="109" t="s">
        <v>3645</v>
      </c>
      <c r="F827" s="109">
        <v>2</v>
      </c>
      <c r="G827" s="25">
        <v>1</v>
      </c>
      <c r="H827" s="109">
        <v>175.8</v>
      </c>
      <c r="I827" s="109">
        <v>10</v>
      </c>
      <c r="J827" s="19">
        <f t="shared" si="89"/>
        <v>315227.3</v>
      </c>
      <c r="K827" s="73"/>
      <c r="L827" s="73"/>
      <c r="M827" s="73"/>
      <c r="N827" s="19">
        <f>SUMIF('2020'!B:B,B827,'2020'!C:C)+SUMIF('2021'!B:B,B827,'2021'!C:C)+SUMIF('2022'!B:B,B827,'2022'!C:C)</f>
        <v>315227.3</v>
      </c>
      <c r="O827" s="17">
        <v>44925</v>
      </c>
      <c r="P827" s="110" t="s">
        <v>3728</v>
      </c>
    </row>
    <row r="828" spans="1:16" ht="17.25" customHeight="1" x14ac:dyDescent="0.3">
      <c r="A828" s="169">
        <f t="shared" si="91"/>
        <v>720</v>
      </c>
      <c r="B828" s="21" t="s">
        <v>816</v>
      </c>
      <c r="C828" s="5">
        <v>1940</v>
      </c>
      <c r="D828" s="3"/>
      <c r="E828" s="109" t="s">
        <v>3645</v>
      </c>
      <c r="F828" s="109">
        <v>7</v>
      </c>
      <c r="G828" s="25">
        <v>1</v>
      </c>
      <c r="H828" s="109">
        <v>1836.44</v>
      </c>
      <c r="I828" s="109">
        <v>72</v>
      </c>
      <c r="J828" s="19">
        <f t="shared" si="89"/>
        <v>701432.56</v>
      </c>
      <c r="K828" s="73"/>
      <c r="L828" s="73"/>
      <c r="M828" s="73"/>
      <c r="N828" s="19">
        <f>SUMIF('2020'!B:B,B828,'2020'!C:C)+SUMIF('2021'!B:B,B828,'2021'!C:C)+SUMIF('2022'!B:B,B828,'2022'!C:C)</f>
        <v>701432.56</v>
      </c>
      <c r="O828" s="17">
        <v>44925</v>
      </c>
      <c r="P828" s="110" t="s">
        <v>3728</v>
      </c>
    </row>
    <row r="829" spans="1:16" ht="17.25" customHeight="1" x14ac:dyDescent="0.3">
      <c r="A829" s="169">
        <f t="shared" si="91"/>
        <v>721</v>
      </c>
      <c r="B829" s="21" t="s">
        <v>817</v>
      </c>
      <c r="C829" s="5">
        <v>1940</v>
      </c>
      <c r="D829" s="3"/>
      <c r="E829" s="109" t="s">
        <v>3645</v>
      </c>
      <c r="F829" s="109">
        <v>3</v>
      </c>
      <c r="G829" s="25">
        <v>1</v>
      </c>
      <c r="H829" s="109">
        <v>689.84</v>
      </c>
      <c r="I829" s="109">
        <v>28</v>
      </c>
      <c r="J829" s="19">
        <f t="shared" si="89"/>
        <v>450515.52</v>
      </c>
      <c r="K829" s="73"/>
      <c r="L829" s="73"/>
      <c r="M829" s="73"/>
      <c r="N829" s="19">
        <f>SUMIF('2020'!B:B,B829,'2020'!C:C)+SUMIF('2021'!B:B,B829,'2021'!C:C)+SUMIF('2022'!B:B,B829,'2022'!C:C)</f>
        <v>450515.52</v>
      </c>
      <c r="O829" s="17">
        <v>44925</v>
      </c>
      <c r="P829" s="110" t="s">
        <v>3728</v>
      </c>
    </row>
    <row r="830" spans="1:16" ht="17.25" customHeight="1" x14ac:dyDescent="0.3">
      <c r="A830" s="169">
        <f t="shared" si="91"/>
        <v>722</v>
      </c>
      <c r="B830" s="21" t="s">
        <v>818</v>
      </c>
      <c r="C830" s="5">
        <v>1976</v>
      </c>
      <c r="D830" s="3"/>
      <c r="E830" s="109" t="s">
        <v>3645</v>
      </c>
      <c r="F830" s="109">
        <v>9</v>
      </c>
      <c r="G830" s="25">
        <v>5</v>
      </c>
      <c r="H830" s="109">
        <v>6808.74</v>
      </c>
      <c r="I830" s="109">
        <v>243</v>
      </c>
      <c r="J830" s="19">
        <f t="shared" si="89"/>
        <v>33288931.41</v>
      </c>
      <c r="K830" s="73"/>
      <c r="L830" s="73"/>
      <c r="M830" s="73"/>
      <c r="N830" s="19">
        <f>SUMIF('2020'!B:B,B830,'2020'!C:C)+SUMIF('2021'!B:B,B830,'2021'!C:C)+SUMIF('2022'!B:B,B830,'2022'!C:C)</f>
        <v>33288931.41</v>
      </c>
      <c r="O830" s="17">
        <v>44925</v>
      </c>
      <c r="P830" s="110" t="s">
        <v>3728</v>
      </c>
    </row>
    <row r="831" spans="1:16" ht="17.25" customHeight="1" x14ac:dyDescent="0.3">
      <c r="A831" s="169">
        <f t="shared" si="91"/>
        <v>723</v>
      </c>
      <c r="B831" s="21" t="s">
        <v>819</v>
      </c>
      <c r="C831" s="5">
        <v>1940</v>
      </c>
      <c r="D831" s="3"/>
      <c r="E831" s="109" t="s">
        <v>3645</v>
      </c>
      <c r="F831" s="109">
        <v>4</v>
      </c>
      <c r="G831" s="25">
        <v>1</v>
      </c>
      <c r="H831" s="109">
        <v>1829.23</v>
      </c>
      <c r="I831" s="109">
        <v>58</v>
      </c>
      <c r="J831" s="19">
        <f t="shared" si="89"/>
        <v>672502.64</v>
      </c>
      <c r="K831" s="73"/>
      <c r="L831" s="73"/>
      <c r="M831" s="73"/>
      <c r="N831" s="19">
        <f>SUMIF('2020'!B:B,B831,'2020'!C:C)+SUMIF('2021'!B:B,B831,'2021'!C:C)+SUMIF('2022'!B:B,B831,'2022'!C:C)</f>
        <v>672502.64</v>
      </c>
      <c r="O831" s="17">
        <v>44925</v>
      </c>
      <c r="P831" s="110" t="s">
        <v>3728</v>
      </c>
    </row>
    <row r="832" spans="1:16" ht="17.25" customHeight="1" x14ac:dyDescent="0.3">
      <c r="A832" s="169">
        <f t="shared" si="91"/>
        <v>724</v>
      </c>
      <c r="B832" s="21" t="s">
        <v>820</v>
      </c>
      <c r="C832" s="5">
        <v>1940</v>
      </c>
      <c r="D832" s="3"/>
      <c r="E832" s="109" t="s">
        <v>3645</v>
      </c>
      <c r="F832" s="109">
        <v>3</v>
      </c>
      <c r="G832" s="25">
        <v>1</v>
      </c>
      <c r="H832" s="109">
        <v>236.45</v>
      </c>
      <c r="I832" s="109">
        <v>8</v>
      </c>
      <c r="J832" s="19">
        <f t="shared" si="89"/>
        <v>273654.53999999998</v>
      </c>
      <c r="K832" s="73"/>
      <c r="L832" s="73"/>
      <c r="M832" s="73"/>
      <c r="N832" s="19">
        <f>SUMIF('2020'!B:B,B832,'2020'!C:C)+SUMIF('2021'!B:B,B832,'2021'!C:C)+SUMIF('2022'!B:B,B832,'2022'!C:C)</f>
        <v>273654.53999999998</v>
      </c>
      <c r="O832" s="17">
        <v>44925</v>
      </c>
      <c r="P832" s="110" t="s">
        <v>3728</v>
      </c>
    </row>
    <row r="833" spans="1:16" ht="17.25" customHeight="1" x14ac:dyDescent="0.3">
      <c r="A833" s="169">
        <f t="shared" si="91"/>
        <v>725</v>
      </c>
      <c r="B833" s="21" t="s">
        <v>821</v>
      </c>
      <c r="C833" s="5">
        <v>1940</v>
      </c>
      <c r="D833" s="3"/>
      <c r="E833" s="112" t="s">
        <v>3645</v>
      </c>
      <c r="F833" s="109">
        <v>6</v>
      </c>
      <c r="G833" s="25">
        <v>1</v>
      </c>
      <c r="H833" s="112">
        <v>2833.18</v>
      </c>
      <c r="I833" s="109">
        <v>103</v>
      </c>
      <c r="J833" s="19">
        <f t="shared" si="89"/>
        <v>965232.27999999991</v>
      </c>
      <c r="K833" s="73"/>
      <c r="L833" s="73"/>
      <c r="M833" s="73"/>
      <c r="N833" s="19">
        <f>SUMIF('2020'!B:B,B833,'2020'!C:C)+SUMIF('2021'!B:B,B833,'2021'!C:C)+SUMIF('2022'!B:B,B833,'2022'!C:C)</f>
        <v>965232.27999999991</v>
      </c>
      <c r="O833" s="17">
        <v>44925</v>
      </c>
      <c r="P833" s="110" t="s">
        <v>3728</v>
      </c>
    </row>
    <row r="834" spans="1:16" ht="17.25" customHeight="1" x14ac:dyDescent="0.3">
      <c r="A834" s="169">
        <f t="shared" si="91"/>
        <v>726</v>
      </c>
      <c r="B834" s="21" t="s">
        <v>822</v>
      </c>
      <c r="C834" s="5">
        <v>1940</v>
      </c>
      <c r="D834" s="3"/>
      <c r="E834" s="109" t="s">
        <v>3645</v>
      </c>
      <c r="F834" s="109">
        <v>6</v>
      </c>
      <c r="G834" s="25">
        <v>3</v>
      </c>
      <c r="H834" s="109">
        <v>3016.4</v>
      </c>
      <c r="I834" s="109">
        <v>94</v>
      </c>
      <c r="J834" s="19">
        <f t="shared" si="89"/>
        <v>872530.79</v>
      </c>
      <c r="K834" s="73"/>
      <c r="L834" s="73"/>
      <c r="M834" s="73"/>
      <c r="N834" s="19">
        <f>SUMIF('2020'!B:B,B834,'2020'!C:C)+SUMIF('2021'!B:B,B834,'2021'!C:C)+SUMIF('2022'!B:B,B834,'2022'!C:C)</f>
        <v>872530.79</v>
      </c>
      <c r="O834" s="17">
        <v>44925</v>
      </c>
      <c r="P834" s="110" t="s">
        <v>3728</v>
      </c>
    </row>
    <row r="835" spans="1:16" ht="17.25" customHeight="1" x14ac:dyDescent="0.3">
      <c r="A835" s="169">
        <f t="shared" si="91"/>
        <v>727</v>
      </c>
      <c r="B835" s="21" t="s">
        <v>823</v>
      </c>
      <c r="C835" s="5">
        <v>1940</v>
      </c>
      <c r="D835" s="3"/>
      <c r="E835" s="109" t="s">
        <v>3645</v>
      </c>
      <c r="F835" s="109">
        <v>7</v>
      </c>
      <c r="G835" s="25">
        <v>1</v>
      </c>
      <c r="H835" s="109">
        <v>2253.15</v>
      </c>
      <c r="I835" s="109">
        <v>83</v>
      </c>
      <c r="J835" s="19">
        <f t="shared" si="89"/>
        <v>771238.42999999993</v>
      </c>
      <c r="K835" s="73"/>
      <c r="L835" s="73"/>
      <c r="M835" s="73"/>
      <c r="N835" s="19">
        <f>SUMIF('2020'!B:B,B835,'2020'!C:C)+SUMIF('2021'!B:B,B835,'2021'!C:C)+SUMIF('2022'!B:B,B835,'2022'!C:C)</f>
        <v>771238.42999999993</v>
      </c>
      <c r="O835" s="17">
        <v>44925</v>
      </c>
      <c r="P835" s="110" t="s">
        <v>3728</v>
      </c>
    </row>
    <row r="836" spans="1:16" ht="17.25" customHeight="1" x14ac:dyDescent="0.3">
      <c r="A836" s="169">
        <f t="shared" si="91"/>
        <v>728</v>
      </c>
      <c r="B836" s="21" t="s">
        <v>824</v>
      </c>
      <c r="C836" s="5">
        <v>1940</v>
      </c>
      <c r="D836" s="3"/>
      <c r="E836" s="113" t="s">
        <v>3645</v>
      </c>
      <c r="F836" s="109">
        <v>5</v>
      </c>
      <c r="G836" s="25">
        <v>2</v>
      </c>
      <c r="H836" s="109">
        <v>4172</v>
      </c>
      <c r="I836" s="109">
        <v>124</v>
      </c>
      <c r="J836" s="19">
        <f t="shared" si="89"/>
        <v>884332.48</v>
      </c>
      <c r="K836" s="73"/>
      <c r="L836" s="73"/>
      <c r="M836" s="73"/>
      <c r="N836" s="19">
        <f>SUMIF('2020'!B:B,B836,'2020'!C:C)+SUMIF('2021'!B:B,B836,'2021'!C:C)+SUMIF('2022'!B:B,B836,'2022'!C:C)</f>
        <v>884332.48</v>
      </c>
      <c r="O836" s="17">
        <v>44925</v>
      </c>
      <c r="P836" s="110" t="s">
        <v>3728</v>
      </c>
    </row>
    <row r="837" spans="1:16" ht="17.25" customHeight="1" x14ac:dyDescent="0.3">
      <c r="A837" s="169">
        <f t="shared" si="91"/>
        <v>729</v>
      </c>
      <c r="B837" s="21" t="s">
        <v>825</v>
      </c>
      <c r="C837" s="5">
        <v>1940</v>
      </c>
      <c r="D837" s="3"/>
      <c r="E837" s="109" t="s">
        <v>3729</v>
      </c>
      <c r="F837" s="114">
        <v>5</v>
      </c>
      <c r="G837" s="25">
        <v>1</v>
      </c>
      <c r="H837" s="109">
        <v>4410.7</v>
      </c>
      <c r="I837" s="109">
        <v>15</v>
      </c>
      <c r="J837" s="19">
        <f t="shared" si="89"/>
        <v>485884.96</v>
      </c>
      <c r="K837" s="73"/>
      <c r="L837" s="73"/>
      <c r="M837" s="73"/>
      <c r="N837" s="19">
        <f>SUMIF('2020'!B:B,B837,'2020'!C:C)+SUMIF('2021'!B:B,B837,'2021'!C:C)+SUMIF('2022'!B:B,B837,'2022'!C:C)</f>
        <v>485884.96</v>
      </c>
      <c r="O837" s="17">
        <v>44925</v>
      </c>
      <c r="P837" s="110" t="s">
        <v>3728</v>
      </c>
    </row>
    <row r="838" spans="1:16" ht="17.25" customHeight="1" x14ac:dyDescent="0.3">
      <c r="A838" s="169">
        <f t="shared" si="91"/>
        <v>730</v>
      </c>
      <c r="B838" s="21" t="s">
        <v>826</v>
      </c>
      <c r="C838" s="5">
        <v>1940</v>
      </c>
      <c r="D838" s="3"/>
      <c r="E838" s="109" t="s">
        <v>3730</v>
      </c>
      <c r="F838" s="109">
        <v>2</v>
      </c>
      <c r="G838" s="25">
        <v>1</v>
      </c>
      <c r="H838" s="109">
        <v>265.23</v>
      </c>
      <c r="I838" s="109">
        <v>8</v>
      </c>
      <c r="J838" s="19">
        <f t="shared" si="89"/>
        <v>507596.74</v>
      </c>
      <c r="K838" s="73"/>
      <c r="L838" s="73"/>
      <c r="M838" s="73"/>
      <c r="N838" s="19">
        <f>SUMIF('2020'!B:B,B838,'2020'!C:C)+SUMIF('2021'!B:B,B838,'2021'!C:C)+SUMIF('2022'!B:B,B838,'2022'!C:C)</f>
        <v>507596.74</v>
      </c>
      <c r="O838" s="17">
        <v>44925</v>
      </c>
      <c r="P838" s="110" t="s">
        <v>3728</v>
      </c>
    </row>
    <row r="839" spans="1:16" ht="17.25" customHeight="1" x14ac:dyDescent="0.3">
      <c r="A839" s="169">
        <f t="shared" si="91"/>
        <v>731</v>
      </c>
      <c r="B839" s="21" t="s">
        <v>827</v>
      </c>
      <c r="C839" s="5">
        <v>1940</v>
      </c>
      <c r="D839" s="3"/>
      <c r="E839" s="109" t="s">
        <v>3645</v>
      </c>
      <c r="F839" s="109">
        <v>2</v>
      </c>
      <c r="G839" s="25">
        <v>1</v>
      </c>
      <c r="H839" s="109">
        <v>340.26</v>
      </c>
      <c r="I839" s="109">
        <v>22</v>
      </c>
      <c r="J839" s="19">
        <f t="shared" si="89"/>
        <v>279949.39</v>
      </c>
      <c r="K839" s="73"/>
      <c r="L839" s="73"/>
      <c r="M839" s="73"/>
      <c r="N839" s="19">
        <f>SUMIF('2020'!B:B,B839,'2020'!C:C)+SUMIF('2021'!B:B,B839,'2021'!C:C)+SUMIF('2022'!B:B,B839,'2022'!C:C)</f>
        <v>279949.39</v>
      </c>
      <c r="O839" s="17">
        <v>44925</v>
      </c>
      <c r="P839" s="110" t="s">
        <v>3728</v>
      </c>
    </row>
    <row r="840" spans="1:16" ht="17.25" customHeight="1" x14ac:dyDescent="0.3">
      <c r="A840" s="169">
        <f t="shared" si="91"/>
        <v>732</v>
      </c>
      <c r="B840" s="21" t="s">
        <v>828</v>
      </c>
      <c r="C840" s="5">
        <v>1940</v>
      </c>
      <c r="D840" s="3"/>
      <c r="E840" s="109" t="s">
        <v>3645</v>
      </c>
      <c r="F840" s="109">
        <v>5</v>
      </c>
      <c r="G840" s="25">
        <v>1</v>
      </c>
      <c r="H840" s="109">
        <v>2250.23</v>
      </c>
      <c r="I840" s="109">
        <v>60</v>
      </c>
      <c r="J840" s="19">
        <f t="shared" si="89"/>
        <v>792639.46</v>
      </c>
      <c r="K840" s="73"/>
      <c r="L840" s="73"/>
      <c r="M840" s="73"/>
      <c r="N840" s="19">
        <f>SUMIF('2020'!B:B,B840,'2020'!C:C)+SUMIF('2021'!B:B,B840,'2021'!C:C)+SUMIF('2022'!B:B,B840,'2022'!C:C)</f>
        <v>792639.46</v>
      </c>
      <c r="O840" s="17">
        <v>44925</v>
      </c>
      <c r="P840" s="110" t="s">
        <v>3728</v>
      </c>
    </row>
    <row r="841" spans="1:16" ht="17.25" customHeight="1" x14ac:dyDescent="0.3">
      <c r="A841" s="169">
        <f t="shared" si="91"/>
        <v>733</v>
      </c>
      <c r="B841" s="21" t="s">
        <v>829</v>
      </c>
      <c r="C841" s="5">
        <v>1962</v>
      </c>
      <c r="D841" s="3"/>
      <c r="E841" s="109" t="s">
        <v>3645</v>
      </c>
      <c r="F841" s="109">
        <v>4</v>
      </c>
      <c r="G841" s="25">
        <v>2</v>
      </c>
      <c r="H841" s="109">
        <v>1028.22</v>
      </c>
      <c r="I841" s="109">
        <v>56</v>
      </c>
      <c r="J841" s="19">
        <f t="shared" si="89"/>
        <v>7929399.5999999996</v>
      </c>
      <c r="K841" s="73"/>
      <c r="L841" s="73"/>
      <c r="M841" s="73"/>
      <c r="N841" s="19">
        <f>SUMIF('2020'!B:B,B841,'2020'!C:C)+SUMIF('2021'!B:B,B841,'2021'!C:C)+SUMIF('2022'!B:B,B841,'2022'!C:C)</f>
        <v>7929399.5999999996</v>
      </c>
      <c r="O841" s="17">
        <v>44925</v>
      </c>
      <c r="P841" s="110" t="s">
        <v>3728</v>
      </c>
    </row>
    <row r="842" spans="1:16" ht="17.25" customHeight="1" x14ac:dyDescent="0.3">
      <c r="A842" s="169">
        <f t="shared" si="91"/>
        <v>734</v>
      </c>
      <c r="B842" s="21" t="s">
        <v>830</v>
      </c>
      <c r="C842" s="5">
        <v>1940</v>
      </c>
      <c r="D842" s="3"/>
      <c r="E842" s="113" t="s">
        <v>3645</v>
      </c>
      <c r="F842" s="109">
        <v>2</v>
      </c>
      <c r="G842" s="25">
        <v>1</v>
      </c>
      <c r="H842" s="112">
        <v>291.74</v>
      </c>
      <c r="I842" s="109">
        <v>12</v>
      </c>
      <c r="J842" s="19">
        <f t="shared" si="89"/>
        <v>416620.55000000005</v>
      </c>
      <c r="K842" s="73"/>
      <c r="L842" s="73"/>
      <c r="M842" s="73"/>
      <c r="N842" s="19">
        <f>SUMIF('2020'!B:B,B842,'2020'!C:C)+SUMIF('2021'!B:B,B842,'2021'!C:C)+SUMIF('2022'!B:B,B842,'2022'!C:C)</f>
        <v>416620.55000000005</v>
      </c>
      <c r="O842" s="17">
        <v>44925</v>
      </c>
      <c r="P842" s="110" t="s">
        <v>3728</v>
      </c>
    </row>
    <row r="843" spans="1:16" ht="17.25" customHeight="1" x14ac:dyDescent="0.3">
      <c r="A843" s="169">
        <f t="shared" si="91"/>
        <v>735</v>
      </c>
      <c r="B843" s="21" t="s">
        <v>831</v>
      </c>
      <c r="C843" s="5">
        <v>1940</v>
      </c>
      <c r="D843" s="3"/>
      <c r="E843" s="109" t="s">
        <v>3730</v>
      </c>
      <c r="F843" s="109">
        <v>2</v>
      </c>
      <c r="G843" s="25">
        <v>2</v>
      </c>
      <c r="H843" s="109">
        <v>247.55</v>
      </c>
      <c r="I843" s="109">
        <v>4</v>
      </c>
      <c r="J843" s="19">
        <f t="shared" si="89"/>
        <v>523392.46</v>
      </c>
      <c r="K843" s="73"/>
      <c r="L843" s="73"/>
      <c r="M843" s="73"/>
      <c r="N843" s="19">
        <f>SUMIF('2020'!B:B,B843,'2020'!C:C)+SUMIF('2021'!B:B,B843,'2021'!C:C)+SUMIF('2022'!B:B,B843,'2022'!C:C)</f>
        <v>523392.46</v>
      </c>
      <c r="O843" s="17">
        <v>44925</v>
      </c>
      <c r="P843" s="110" t="s">
        <v>3728</v>
      </c>
    </row>
    <row r="844" spans="1:16" ht="17.25" customHeight="1" x14ac:dyDescent="0.3">
      <c r="A844" s="169">
        <f t="shared" si="91"/>
        <v>736</v>
      </c>
      <c r="B844" s="21" t="s">
        <v>832</v>
      </c>
      <c r="C844" s="5">
        <v>1940</v>
      </c>
      <c r="D844" s="3"/>
      <c r="E844" s="115" t="s">
        <v>3782</v>
      </c>
      <c r="F844" s="109">
        <v>1</v>
      </c>
      <c r="G844" s="25">
        <v>1</v>
      </c>
      <c r="H844" s="109">
        <v>140.44</v>
      </c>
      <c r="I844" s="109">
        <v>5</v>
      </c>
      <c r="J844" s="19">
        <f t="shared" si="89"/>
        <v>130000</v>
      </c>
      <c r="K844" s="73"/>
      <c r="L844" s="73"/>
      <c r="M844" s="73"/>
      <c r="N844" s="19">
        <f>SUMIF('2020'!B:B,B844,'2020'!C:C)+SUMIF('2021'!B:B,B844,'2021'!C:C)+SUMIF('2022'!B:B,B844,'2022'!C:C)</f>
        <v>130000</v>
      </c>
      <c r="O844" s="17">
        <v>44925</v>
      </c>
      <c r="P844" s="110" t="s">
        <v>3728</v>
      </c>
    </row>
    <row r="845" spans="1:16" ht="17.25" customHeight="1" x14ac:dyDescent="0.3">
      <c r="A845" s="169">
        <f t="shared" si="91"/>
        <v>737</v>
      </c>
      <c r="B845" s="21" t="s">
        <v>833</v>
      </c>
      <c r="C845" s="5">
        <v>1940</v>
      </c>
      <c r="D845" s="3"/>
      <c r="E845" s="109" t="s">
        <v>3730</v>
      </c>
      <c r="F845" s="109">
        <v>2</v>
      </c>
      <c r="G845" s="25">
        <v>2</v>
      </c>
      <c r="H845" s="109">
        <v>196.32</v>
      </c>
      <c r="I845" s="109">
        <v>5</v>
      </c>
      <c r="J845" s="19">
        <f t="shared" si="89"/>
        <v>407173.24</v>
      </c>
      <c r="K845" s="73"/>
      <c r="L845" s="73"/>
      <c r="M845" s="73"/>
      <c r="N845" s="19">
        <f>SUMIF('2020'!B:B,B845,'2020'!C:C)+SUMIF('2021'!B:B,B845,'2021'!C:C)+SUMIF('2022'!B:B,B845,'2022'!C:C)</f>
        <v>407173.24</v>
      </c>
      <c r="O845" s="17">
        <v>44925</v>
      </c>
      <c r="P845" s="110" t="s">
        <v>3728</v>
      </c>
    </row>
    <row r="846" spans="1:16" ht="17.25" customHeight="1" x14ac:dyDescent="0.3">
      <c r="A846" s="169">
        <f t="shared" si="91"/>
        <v>738</v>
      </c>
      <c r="B846" s="21" t="s">
        <v>834</v>
      </c>
      <c r="C846" s="5">
        <v>1940</v>
      </c>
      <c r="D846" s="3"/>
      <c r="E846" s="109" t="s">
        <v>3783</v>
      </c>
      <c r="F846" s="109">
        <v>2</v>
      </c>
      <c r="G846" s="25">
        <v>1</v>
      </c>
      <c r="H846" s="109">
        <v>131.65</v>
      </c>
      <c r="I846" s="109">
        <v>15</v>
      </c>
      <c r="J846" s="19">
        <f t="shared" si="89"/>
        <v>381183.66000000003</v>
      </c>
      <c r="K846" s="73"/>
      <c r="L846" s="73"/>
      <c r="M846" s="73"/>
      <c r="N846" s="19">
        <f>SUMIF('2020'!B:B,B846,'2020'!C:C)+SUMIF('2021'!B:B,B846,'2021'!C:C)+SUMIF('2022'!B:B,B846,'2022'!C:C)</f>
        <v>381183.66000000003</v>
      </c>
      <c r="O846" s="17">
        <v>44925</v>
      </c>
      <c r="P846" s="110" t="s">
        <v>3728</v>
      </c>
    </row>
    <row r="847" spans="1:16" ht="17.25" customHeight="1" x14ac:dyDescent="0.3">
      <c r="A847" s="169">
        <f t="shared" si="91"/>
        <v>739</v>
      </c>
      <c r="B847" s="21" t="s">
        <v>835</v>
      </c>
      <c r="C847" s="5">
        <v>1940</v>
      </c>
      <c r="D847" s="3"/>
      <c r="E847" s="112" t="s">
        <v>3645</v>
      </c>
      <c r="F847" s="109" t="s">
        <v>3789</v>
      </c>
      <c r="G847" s="25">
        <v>2</v>
      </c>
      <c r="H847" s="112">
        <v>5049.51</v>
      </c>
      <c r="I847" s="109">
        <v>150</v>
      </c>
      <c r="J847" s="19">
        <f t="shared" si="89"/>
        <v>1340851.1299999999</v>
      </c>
      <c r="K847" s="73"/>
      <c r="L847" s="73"/>
      <c r="M847" s="73"/>
      <c r="N847" s="19">
        <f>SUMIF('2020'!B:B,B847,'2020'!C:C)+SUMIF('2021'!B:B,B847,'2021'!C:C)+SUMIF('2022'!B:B,B847,'2022'!C:C)</f>
        <v>1340851.1299999999</v>
      </c>
      <c r="O847" s="17">
        <v>44925</v>
      </c>
      <c r="P847" s="110" t="s">
        <v>3728</v>
      </c>
    </row>
    <row r="848" spans="1:16" ht="17.25" customHeight="1" x14ac:dyDescent="0.3">
      <c r="A848" s="169">
        <f t="shared" si="91"/>
        <v>740</v>
      </c>
      <c r="B848" s="21" t="s">
        <v>836</v>
      </c>
      <c r="C848" s="5">
        <v>1940</v>
      </c>
      <c r="D848" s="3"/>
      <c r="E848" s="109" t="s">
        <v>3730</v>
      </c>
      <c r="F848" s="109">
        <v>2</v>
      </c>
      <c r="G848" s="25">
        <v>1</v>
      </c>
      <c r="H848" s="109">
        <v>177</v>
      </c>
      <c r="I848" s="112">
        <v>9</v>
      </c>
      <c r="J848" s="19">
        <f t="shared" si="89"/>
        <v>461224.83999999997</v>
      </c>
      <c r="K848" s="73"/>
      <c r="L848" s="73"/>
      <c r="M848" s="73"/>
      <c r="N848" s="19">
        <f>SUMIF('2020'!B:B,B848,'2020'!C:C)+SUMIF('2021'!B:B,B848,'2021'!C:C)+SUMIF('2022'!B:B,B848,'2022'!C:C)</f>
        <v>461224.83999999997</v>
      </c>
      <c r="O848" s="17">
        <v>44925</v>
      </c>
      <c r="P848" s="110" t="s">
        <v>3728</v>
      </c>
    </row>
    <row r="849" spans="1:16" ht="17.25" customHeight="1" x14ac:dyDescent="0.3">
      <c r="A849" s="169">
        <f t="shared" si="91"/>
        <v>741</v>
      </c>
      <c r="B849" s="21" t="s">
        <v>837</v>
      </c>
      <c r="C849" s="5">
        <v>1940</v>
      </c>
      <c r="D849" s="3"/>
      <c r="E849" s="109" t="s">
        <v>3645</v>
      </c>
      <c r="F849" s="109">
        <v>5</v>
      </c>
      <c r="G849" s="25">
        <v>1</v>
      </c>
      <c r="H849" s="109">
        <v>6787.63</v>
      </c>
      <c r="I849" s="109">
        <v>38</v>
      </c>
      <c r="J849" s="19">
        <f t="shared" si="89"/>
        <v>1319051.27</v>
      </c>
      <c r="K849" s="73"/>
      <c r="L849" s="73"/>
      <c r="M849" s="73"/>
      <c r="N849" s="19">
        <f>SUMIF('2020'!B:B,B849,'2020'!C:C)+SUMIF('2021'!B:B,B849,'2021'!C:C)+SUMIF('2022'!B:B,B849,'2022'!C:C)</f>
        <v>1319051.27</v>
      </c>
      <c r="O849" s="17">
        <v>44925</v>
      </c>
      <c r="P849" s="110" t="s">
        <v>3728</v>
      </c>
    </row>
    <row r="850" spans="1:16" ht="17.25" customHeight="1" x14ac:dyDescent="0.3">
      <c r="A850" s="169">
        <f t="shared" si="91"/>
        <v>742</v>
      </c>
      <c r="B850" s="21" t="s">
        <v>838</v>
      </c>
      <c r="C850" s="5">
        <v>1940</v>
      </c>
      <c r="D850" s="3"/>
      <c r="E850" s="112" t="s">
        <v>3645</v>
      </c>
      <c r="F850" s="109" t="s">
        <v>3789</v>
      </c>
      <c r="G850" s="25">
        <v>2</v>
      </c>
      <c r="H850" s="112">
        <v>1638.51</v>
      </c>
      <c r="I850" s="109">
        <v>54</v>
      </c>
      <c r="J850" s="19">
        <f t="shared" si="89"/>
        <v>644927.16999999993</v>
      </c>
      <c r="K850" s="73"/>
      <c r="L850" s="73"/>
      <c r="M850" s="73"/>
      <c r="N850" s="19">
        <f>SUMIF('2020'!B:B,B850,'2020'!C:C)+SUMIF('2021'!B:B,B850,'2021'!C:C)+SUMIF('2022'!B:B,B850,'2022'!C:C)</f>
        <v>644927.16999999993</v>
      </c>
      <c r="O850" s="17">
        <v>44925</v>
      </c>
      <c r="P850" s="110" t="s">
        <v>3728</v>
      </c>
    </row>
    <row r="851" spans="1:16" ht="17.25" customHeight="1" x14ac:dyDescent="0.3">
      <c r="A851" s="169">
        <f t="shared" si="91"/>
        <v>743</v>
      </c>
      <c r="B851" s="21" t="s">
        <v>839</v>
      </c>
      <c r="C851" s="5">
        <v>1940</v>
      </c>
      <c r="D851" s="3"/>
      <c r="E851" s="109" t="s">
        <v>3645</v>
      </c>
      <c r="F851" s="109">
        <v>6</v>
      </c>
      <c r="G851" s="25">
        <v>2</v>
      </c>
      <c r="H851" s="109">
        <v>6206.68</v>
      </c>
      <c r="I851" s="109">
        <v>145</v>
      </c>
      <c r="J851" s="19">
        <f t="shared" si="89"/>
        <v>1267559.6099999999</v>
      </c>
      <c r="K851" s="73"/>
      <c r="L851" s="73"/>
      <c r="M851" s="73"/>
      <c r="N851" s="19">
        <f>SUMIF('2020'!B:B,B851,'2020'!C:C)+SUMIF('2021'!B:B,B851,'2021'!C:C)+SUMIF('2022'!B:B,B851,'2022'!C:C)</f>
        <v>1267559.6099999999</v>
      </c>
      <c r="O851" s="17">
        <v>44925</v>
      </c>
      <c r="P851" s="110" t="s">
        <v>3728</v>
      </c>
    </row>
    <row r="852" spans="1:16" ht="17.25" customHeight="1" x14ac:dyDescent="0.3">
      <c r="A852" s="169">
        <f t="shared" si="91"/>
        <v>744</v>
      </c>
      <c r="B852" s="21" t="s">
        <v>840</v>
      </c>
      <c r="C852" s="5">
        <v>1940</v>
      </c>
      <c r="D852" s="3"/>
      <c r="E852" s="112" t="s">
        <v>3645</v>
      </c>
      <c r="F852" s="109">
        <v>2</v>
      </c>
      <c r="G852" s="25">
        <v>1</v>
      </c>
      <c r="H852" s="112">
        <v>1147.6500000000001</v>
      </c>
      <c r="I852" s="109">
        <v>1</v>
      </c>
      <c r="J852" s="19">
        <f t="shared" si="89"/>
        <v>414148.08999999997</v>
      </c>
      <c r="K852" s="73"/>
      <c r="L852" s="73"/>
      <c r="M852" s="73"/>
      <c r="N852" s="19">
        <f>SUMIF('2020'!B:B,B852,'2020'!C:C)+SUMIF('2021'!B:B,B852,'2021'!C:C)+SUMIF('2022'!B:B,B852,'2022'!C:C)</f>
        <v>414148.08999999997</v>
      </c>
      <c r="O852" s="17">
        <v>44925</v>
      </c>
      <c r="P852" s="110" t="s">
        <v>3728</v>
      </c>
    </row>
    <row r="853" spans="1:16" ht="17.25" customHeight="1" x14ac:dyDescent="0.3">
      <c r="A853" s="169">
        <f t="shared" si="91"/>
        <v>745</v>
      </c>
      <c r="B853" s="21" t="s">
        <v>841</v>
      </c>
      <c r="C853" s="5">
        <v>1940</v>
      </c>
      <c r="D853" s="3"/>
      <c r="E853" s="109" t="s">
        <v>3645</v>
      </c>
      <c r="F853" s="109">
        <v>4</v>
      </c>
      <c r="G853" s="25">
        <v>1</v>
      </c>
      <c r="H853" s="109">
        <v>1212.44</v>
      </c>
      <c r="I853" s="109">
        <v>12</v>
      </c>
      <c r="J853" s="19">
        <f t="shared" si="89"/>
        <v>783189.21</v>
      </c>
      <c r="K853" s="73"/>
      <c r="L853" s="73"/>
      <c r="M853" s="73"/>
      <c r="N853" s="19">
        <f>SUMIF('2020'!B:B,B853,'2020'!C:C)+SUMIF('2021'!B:B,B853,'2021'!C:C)+SUMIF('2022'!B:B,B853,'2022'!C:C)</f>
        <v>783189.21</v>
      </c>
      <c r="O853" s="17">
        <v>44925</v>
      </c>
      <c r="P853" s="110" t="s">
        <v>3728</v>
      </c>
    </row>
    <row r="854" spans="1:16" ht="17.25" customHeight="1" x14ac:dyDescent="0.3">
      <c r="A854" s="169">
        <f t="shared" si="91"/>
        <v>746</v>
      </c>
      <c r="B854" s="21" t="s">
        <v>842</v>
      </c>
      <c r="C854" s="5">
        <v>1940</v>
      </c>
      <c r="D854" s="3"/>
      <c r="E854" s="109" t="s">
        <v>3645</v>
      </c>
      <c r="F854" s="109">
        <v>5</v>
      </c>
      <c r="G854" s="25"/>
      <c r="H854" s="109">
        <v>2595.7600000000002</v>
      </c>
      <c r="I854" s="109">
        <v>67</v>
      </c>
      <c r="J854" s="19">
        <f t="shared" si="89"/>
        <v>92576.9</v>
      </c>
      <c r="K854" s="73"/>
      <c r="L854" s="73"/>
      <c r="M854" s="73"/>
      <c r="N854" s="19">
        <f>SUMIF('2020'!B:B,B854,'2020'!C:C)+SUMIF('2021'!B:B,B854,'2021'!C:C)+SUMIF('2022'!B:B,B854,'2022'!C:C)</f>
        <v>92576.9</v>
      </c>
      <c r="O854" s="17">
        <v>44925</v>
      </c>
      <c r="P854" s="110" t="s">
        <v>3728</v>
      </c>
    </row>
    <row r="855" spans="1:16" ht="17.25" customHeight="1" x14ac:dyDescent="0.3">
      <c r="A855" s="169">
        <f t="shared" si="91"/>
        <v>747</v>
      </c>
      <c r="B855" s="21" t="s">
        <v>843</v>
      </c>
      <c r="C855" s="5">
        <v>1949</v>
      </c>
      <c r="D855" s="3"/>
      <c r="E855" s="112" t="s">
        <v>3645</v>
      </c>
      <c r="F855" s="109">
        <v>4</v>
      </c>
      <c r="G855" s="25">
        <v>4</v>
      </c>
      <c r="H855" s="112">
        <v>3225.8</v>
      </c>
      <c r="I855" s="109">
        <v>79</v>
      </c>
      <c r="J855" s="19">
        <f t="shared" si="89"/>
        <v>847127.99</v>
      </c>
      <c r="K855" s="73"/>
      <c r="L855" s="73"/>
      <c r="M855" s="73"/>
      <c r="N855" s="19">
        <f>SUMIF('2020'!B:B,B855,'2020'!C:C)+SUMIF('2021'!B:B,B855,'2021'!C:C)+SUMIF('2022'!B:B,B855,'2022'!C:C)</f>
        <v>847127.99</v>
      </c>
      <c r="O855" s="17">
        <v>44925</v>
      </c>
      <c r="P855" s="110" t="s">
        <v>3728</v>
      </c>
    </row>
    <row r="856" spans="1:16" ht="17.25" customHeight="1" x14ac:dyDescent="0.3">
      <c r="A856" s="169">
        <f t="shared" si="91"/>
        <v>748</v>
      </c>
      <c r="B856" s="21" t="s">
        <v>844</v>
      </c>
      <c r="C856" s="5">
        <v>1940</v>
      </c>
      <c r="D856" s="3"/>
      <c r="E856" s="109" t="s">
        <v>3645</v>
      </c>
      <c r="F856" s="109">
        <v>5</v>
      </c>
      <c r="G856" s="25">
        <v>3</v>
      </c>
      <c r="H856" s="109">
        <v>4093.62</v>
      </c>
      <c r="I856" s="109">
        <v>168</v>
      </c>
      <c r="J856" s="19">
        <f t="shared" si="89"/>
        <v>965856.32000000007</v>
      </c>
      <c r="K856" s="73"/>
      <c r="L856" s="73"/>
      <c r="M856" s="73"/>
      <c r="N856" s="19">
        <f>SUMIF('2020'!B:B,B856,'2020'!C:C)+SUMIF('2021'!B:B,B856,'2021'!C:C)+SUMIF('2022'!B:B,B856,'2022'!C:C)</f>
        <v>965856.32000000007</v>
      </c>
      <c r="O856" s="17">
        <v>44925</v>
      </c>
      <c r="P856" s="110" t="s">
        <v>3728</v>
      </c>
    </row>
    <row r="857" spans="1:16" ht="17.25" customHeight="1" x14ac:dyDescent="0.3">
      <c r="A857" s="169">
        <f t="shared" si="91"/>
        <v>749</v>
      </c>
      <c r="B857" s="21" t="s">
        <v>845</v>
      </c>
      <c r="C857" s="5">
        <v>1940</v>
      </c>
      <c r="D857" s="3"/>
      <c r="E857" s="109" t="s">
        <v>3645</v>
      </c>
      <c r="F857" s="109">
        <v>5</v>
      </c>
      <c r="G857" s="25">
        <v>2</v>
      </c>
      <c r="H857" s="109">
        <v>2343.73</v>
      </c>
      <c r="I857" s="109">
        <v>43</v>
      </c>
      <c r="J857" s="19">
        <f t="shared" si="89"/>
        <v>668111.81000000006</v>
      </c>
      <c r="K857" s="73"/>
      <c r="L857" s="73"/>
      <c r="M857" s="73"/>
      <c r="N857" s="19">
        <f>SUMIF('2020'!B:B,B857,'2020'!C:C)+SUMIF('2021'!B:B,B857,'2021'!C:C)+SUMIF('2022'!B:B,B857,'2022'!C:C)</f>
        <v>668111.81000000006</v>
      </c>
      <c r="O857" s="17">
        <v>44925</v>
      </c>
      <c r="P857" s="110" t="s">
        <v>3728</v>
      </c>
    </row>
    <row r="858" spans="1:16" ht="17.25" customHeight="1" x14ac:dyDescent="0.3">
      <c r="A858" s="169">
        <f t="shared" si="91"/>
        <v>750</v>
      </c>
      <c r="B858" s="21" t="s">
        <v>846</v>
      </c>
      <c r="C858" s="5">
        <v>1940</v>
      </c>
      <c r="D858" s="3"/>
      <c r="E858" s="109" t="s">
        <v>3645</v>
      </c>
      <c r="F858" s="109">
        <v>6</v>
      </c>
      <c r="G858" s="25">
        <v>1</v>
      </c>
      <c r="H858" s="109">
        <v>2565.7800000000002</v>
      </c>
      <c r="I858" s="109">
        <v>48</v>
      </c>
      <c r="J858" s="19">
        <f t="shared" si="89"/>
        <v>448942.95</v>
      </c>
      <c r="K858" s="73"/>
      <c r="L858" s="73"/>
      <c r="M858" s="73"/>
      <c r="N858" s="19">
        <f>SUMIF('2020'!B:B,B858,'2020'!C:C)+SUMIF('2021'!B:B,B858,'2021'!C:C)+SUMIF('2022'!B:B,B858,'2022'!C:C)</f>
        <v>448942.95</v>
      </c>
      <c r="O858" s="17">
        <v>44925</v>
      </c>
      <c r="P858" s="110" t="s">
        <v>3728</v>
      </c>
    </row>
    <row r="859" spans="1:16" ht="17.25" customHeight="1" x14ac:dyDescent="0.3">
      <c r="A859" s="169">
        <f t="shared" si="91"/>
        <v>751</v>
      </c>
      <c r="B859" s="21" t="s">
        <v>847</v>
      </c>
      <c r="C859" s="5">
        <v>1940</v>
      </c>
      <c r="D859" s="3"/>
      <c r="E859" s="109" t="s">
        <v>3645</v>
      </c>
      <c r="F859" s="109">
        <v>2</v>
      </c>
      <c r="G859" s="25">
        <v>1</v>
      </c>
      <c r="H859" s="109">
        <v>888.81</v>
      </c>
      <c r="I859" s="109">
        <v>23</v>
      </c>
      <c r="J859" s="19">
        <f t="shared" si="89"/>
        <v>530547.05000000005</v>
      </c>
      <c r="K859" s="73"/>
      <c r="L859" s="73"/>
      <c r="M859" s="73"/>
      <c r="N859" s="19">
        <f>SUMIF('2020'!B:B,B859,'2020'!C:C)+SUMIF('2021'!B:B,B859,'2021'!C:C)+SUMIF('2022'!B:B,B859,'2022'!C:C)</f>
        <v>530547.05000000005</v>
      </c>
      <c r="O859" s="17">
        <v>44925</v>
      </c>
      <c r="P859" s="110" t="s">
        <v>3728</v>
      </c>
    </row>
    <row r="860" spans="1:16" ht="17.25" customHeight="1" x14ac:dyDescent="0.3">
      <c r="A860" s="169">
        <f t="shared" si="91"/>
        <v>752</v>
      </c>
      <c r="B860" s="21" t="s">
        <v>848</v>
      </c>
      <c r="C860" s="5">
        <v>1940</v>
      </c>
      <c r="D860" s="3"/>
      <c r="E860" s="112" t="s">
        <v>3645</v>
      </c>
      <c r="F860" s="109">
        <v>2</v>
      </c>
      <c r="G860" s="25">
        <v>2</v>
      </c>
      <c r="H860" s="112">
        <v>197.34</v>
      </c>
      <c r="I860" s="109">
        <v>4</v>
      </c>
      <c r="J860" s="19">
        <f t="shared" si="89"/>
        <v>605879.25</v>
      </c>
      <c r="K860" s="73"/>
      <c r="L860" s="73"/>
      <c r="M860" s="73"/>
      <c r="N860" s="19">
        <f>SUMIF('2020'!B:B,B860,'2020'!C:C)+SUMIF('2021'!B:B,B860,'2021'!C:C)+SUMIF('2022'!B:B,B860,'2022'!C:C)</f>
        <v>605879.25</v>
      </c>
      <c r="O860" s="17">
        <v>44925</v>
      </c>
      <c r="P860" s="110" t="s">
        <v>3728</v>
      </c>
    </row>
    <row r="861" spans="1:16" ht="17.25" customHeight="1" x14ac:dyDescent="0.3">
      <c r="A861" s="169">
        <f t="shared" si="91"/>
        <v>753</v>
      </c>
      <c r="B861" s="21" t="s">
        <v>849</v>
      </c>
      <c r="C861" s="5">
        <v>1952</v>
      </c>
      <c r="D861" s="3"/>
      <c r="E861" s="109" t="s">
        <v>3645</v>
      </c>
      <c r="F861" s="109">
        <v>3</v>
      </c>
      <c r="G861" s="25"/>
      <c r="H861" s="109">
        <v>1484.87</v>
      </c>
      <c r="I861" s="109">
        <v>34</v>
      </c>
      <c r="J861" s="19">
        <f t="shared" si="89"/>
        <v>310992.12</v>
      </c>
      <c r="K861" s="73"/>
      <c r="L861" s="73"/>
      <c r="M861" s="73"/>
      <c r="N861" s="19">
        <f>SUMIF('2020'!B:B,B861,'2020'!C:C)+SUMIF('2021'!B:B,B861,'2021'!C:C)+SUMIF('2022'!B:B,B861,'2022'!C:C)</f>
        <v>310992.12</v>
      </c>
      <c r="O861" s="17">
        <v>44925</v>
      </c>
      <c r="P861" s="110" t="s">
        <v>3728</v>
      </c>
    </row>
    <row r="862" spans="1:16" ht="17.25" customHeight="1" x14ac:dyDescent="0.3">
      <c r="A862" s="169">
        <f t="shared" si="91"/>
        <v>754</v>
      </c>
      <c r="B862" s="21" t="s">
        <v>850</v>
      </c>
      <c r="C862" s="5">
        <v>1940</v>
      </c>
      <c r="D862" s="3"/>
      <c r="E862" s="109" t="s">
        <v>3645</v>
      </c>
      <c r="F862" s="109">
        <v>5</v>
      </c>
      <c r="G862" s="25">
        <v>8</v>
      </c>
      <c r="H862" s="109">
        <v>4734.7700000000004</v>
      </c>
      <c r="I862" s="109">
        <v>140</v>
      </c>
      <c r="J862" s="19">
        <f t="shared" si="89"/>
        <v>734769.91</v>
      </c>
      <c r="K862" s="73"/>
      <c r="L862" s="73"/>
      <c r="M862" s="73"/>
      <c r="N862" s="19">
        <f>SUMIF('2020'!B:B,B862,'2020'!C:C)+SUMIF('2021'!B:B,B862,'2021'!C:C)+SUMIF('2022'!B:B,B862,'2022'!C:C)</f>
        <v>734769.91</v>
      </c>
      <c r="O862" s="17">
        <v>44925</v>
      </c>
      <c r="P862" s="110" t="s">
        <v>3728</v>
      </c>
    </row>
    <row r="863" spans="1:16" ht="17.25" customHeight="1" x14ac:dyDescent="0.3">
      <c r="A863" s="169">
        <f t="shared" si="91"/>
        <v>755</v>
      </c>
      <c r="B863" s="21" t="s">
        <v>851</v>
      </c>
      <c r="C863" s="5">
        <v>1907</v>
      </c>
      <c r="D863" s="3"/>
      <c r="E863" s="109" t="s">
        <v>3645</v>
      </c>
      <c r="F863" s="109">
        <v>6</v>
      </c>
      <c r="G863" s="25"/>
      <c r="H863" s="109">
        <v>5516.04</v>
      </c>
      <c r="I863" s="109">
        <v>168</v>
      </c>
      <c r="J863" s="19">
        <f t="shared" si="89"/>
        <v>138241.57</v>
      </c>
      <c r="K863" s="73"/>
      <c r="L863" s="73"/>
      <c r="M863" s="73"/>
      <c r="N863" s="19">
        <f>SUMIF('2020'!B:B,B863,'2020'!C:C)+SUMIF('2021'!B:B,B863,'2021'!C:C)+SUMIF('2022'!B:B,B863,'2022'!C:C)</f>
        <v>138241.57</v>
      </c>
      <c r="O863" s="17">
        <v>44925</v>
      </c>
      <c r="P863" s="110" t="s">
        <v>3728</v>
      </c>
    </row>
    <row r="864" spans="1:16" ht="17.25" customHeight="1" x14ac:dyDescent="0.3">
      <c r="A864" s="169">
        <f t="shared" si="91"/>
        <v>756</v>
      </c>
      <c r="B864" s="21" t="s">
        <v>852</v>
      </c>
      <c r="C864" s="5">
        <v>1940</v>
      </c>
      <c r="D864" s="3"/>
      <c r="E864" s="109" t="s">
        <v>3645</v>
      </c>
      <c r="F864" s="109">
        <v>3</v>
      </c>
      <c r="G864" s="25">
        <v>3</v>
      </c>
      <c r="H864" s="109">
        <v>1966.56</v>
      </c>
      <c r="I864" s="109">
        <v>66</v>
      </c>
      <c r="J864" s="19">
        <f t="shared" si="89"/>
        <v>677854.45</v>
      </c>
      <c r="K864" s="73"/>
      <c r="L864" s="73"/>
      <c r="M864" s="73"/>
      <c r="N864" s="19">
        <f>SUMIF('2020'!B:B,B864,'2020'!C:C)+SUMIF('2021'!B:B,B864,'2021'!C:C)+SUMIF('2022'!B:B,B864,'2022'!C:C)</f>
        <v>677854.45</v>
      </c>
      <c r="O864" s="17">
        <v>44925</v>
      </c>
      <c r="P864" s="116" t="s">
        <v>3728</v>
      </c>
    </row>
    <row r="865" spans="1:16" ht="17.25" customHeight="1" x14ac:dyDescent="0.3">
      <c r="A865" s="169">
        <f t="shared" si="91"/>
        <v>757</v>
      </c>
      <c r="B865" s="21" t="s">
        <v>853</v>
      </c>
      <c r="C865" s="5">
        <v>1940</v>
      </c>
      <c r="D865" s="3"/>
      <c r="E865" s="109" t="s">
        <v>3645</v>
      </c>
      <c r="F865" s="109">
        <v>5</v>
      </c>
      <c r="G865" s="25">
        <v>2</v>
      </c>
      <c r="H865" s="109">
        <v>5683.56</v>
      </c>
      <c r="I865" s="109">
        <v>138</v>
      </c>
      <c r="J865" s="19">
        <f t="shared" si="89"/>
        <v>1450360.88</v>
      </c>
      <c r="K865" s="73"/>
      <c r="L865" s="73"/>
      <c r="M865" s="73"/>
      <c r="N865" s="19">
        <f>SUMIF('2020'!B:B,B865,'2020'!C:C)+SUMIF('2021'!B:B,B865,'2021'!C:C)+SUMIF('2022'!B:B,B865,'2022'!C:C)</f>
        <v>1450360.88</v>
      </c>
      <c r="O865" s="17">
        <v>44925</v>
      </c>
      <c r="P865" s="116" t="s">
        <v>3728</v>
      </c>
    </row>
    <row r="866" spans="1:16" ht="17.25" customHeight="1" x14ac:dyDescent="0.3">
      <c r="A866" s="169">
        <f t="shared" si="91"/>
        <v>758</v>
      </c>
      <c r="B866" s="21" t="s">
        <v>854</v>
      </c>
      <c r="C866" s="5">
        <v>1934</v>
      </c>
      <c r="D866" s="3"/>
      <c r="E866" s="109" t="s">
        <v>3786</v>
      </c>
      <c r="F866" s="109" t="s">
        <v>3790</v>
      </c>
      <c r="G866" s="25">
        <v>3</v>
      </c>
      <c r="H866" s="109">
        <v>5809.49</v>
      </c>
      <c r="I866" s="109">
        <v>167</v>
      </c>
      <c r="J866" s="19">
        <f t="shared" si="89"/>
        <v>1390693.52</v>
      </c>
      <c r="K866" s="73"/>
      <c r="L866" s="73"/>
      <c r="M866" s="73"/>
      <c r="N866" s="19">
        <f>SUMIF('2020'!B:B,B866,'2020'!C:C)+SUMIF('2021'!B:B,B866,'2021'!C:C)+SUMIF('2022'!B:B,B866,'2022'!C:C)</f>
        <v>1390693.52</v>
      </c>
      <c r="O866" s="17">
        <v>44925</v>
      </c>
      <c r="P866" s="116" t="s">
        <v>3728</v>
      </c>
    </row>
    <row r="867" spans="1:16" ht="17.25" customHeight="1" x14ac:dyDescent="0.3">
      <c r="A867" s="169">
        <f t="shared" si="91"/>
        <v>759</v>
      </c>
      <c r="B867" s="21" t="s">
        <v>855</v>
      </c>
      <c r="C867" s="5">
        <v>1940</v>
      </c>
      <c r="D867" s="3"/>
      <c r="E867" s="109" t="s">
        <v>3645</v>
      </c>
      <c r="F867" s="109">
        <v>7</v>
      </c>
      <c r="G867" s="25">
        <v>1</v>
      </c>
      <c r="H867" s="109">
        <v>2078.11</v>
      </c>
      <c r="I867" s="109">
        <v>67</v>
      </c>
      <c r="J867" s="19">
        <f t="shared" si="89"/>
        <v>738008.8899999999</v>
      </c>
      <c r="K867" s="73"/>
      <c r="L867" s="73"/>
      <c r="M867" s="73"/>
      <c r="N867" s="19">
        <f>SUMIF('2020'!B:B,B867,'2020'!C:C)+SUMIF('2021'!B:B,B867,'2021'!C:C)+SUMIF('2022'!B:B,B867,'2022'!C:C)</f>
        <v>738008.8899999999</v>
      </c>
      <c r="O867" s="17">
        <v>44925</v>
      </c>
      <c r="P867" s="116" t="s">
        <v>3728</v>
      </c>
    </row>
    <row r="868" spans="1:16" ht="17.25" customHeight="1" x14ac:dyDescent="0.3">
      <c r="A868" s="169">
        <f t="shared" si="91"/>
        <v>760</v>
      </c>
      <c r="B868" s="21" t="s">
        <v>856</v>
      </c>
      <c r="C868" s="5">
        <v>1940</v>
      </c>
      <c r="D868" s="3"/>
      <c r="E868" s="109" t="s">
        <v>3645</v>
      </c>
      <c r="F868" s="109">
        <v>3</v>
      </c>
      <c r="G868" s="25">
        <v>3</v>
      </c>
      <c r="H868" s="109">
        <v>1392.16</v>
      </c>
      <c r="I868" s="109">
        <v>71</v>
      </c>
      <c r="J868" s="19">
        <f t="shared" si="89"/>
        <v>550284.11</v>
      </c>
      <c r="K868" s="73"/>
      <c r="L868" s="73"/>
      <c r="M868" s="73"/>
      <c r="N868" s="19">
        <f>SUMIF('2020'!B:B,B868,'2020'!C:C)+SUMIF('2021'!B:B,B868,'2021'!C:C)+SUMIF('2022'!B:B,B868,'2022'!C:C)</f>
        <v>550284.11</v>
      </c>
      <c r="O868" s="17">
        <v>44925</v>
      </c>
      <c r="P868" s="116" t="s">
        <v>3728</v>
      </c>
    </row>
    <row r="869" spans="1:16" ht="17.25" customHeight="1" x14ac:dyDescent="0.3">
      <c r="A869" s="169">
        <f t="shared" si="91"/>
        <v>761</v>
      </c>
      <c r="B869" s="21" t="s">
        <v>857</v>
      </c>
      <c r="C869" s="5">
        <v>1940</v>
      </c>
      <c r="D869" s="3"/>
      <c r="E869" s="109" t="s">
        <v>3645</v>
      </c>
      <c r="F869" s="109">
        <v>7</v>
      </c>
      <c r="G869" s="25">
        <v>2</v>
      </c>
      <c r="H869" s="109">
        <v>2168.2800000000002</v>
      </c>
      <c r="I869" s="109">
        <v>77</v>
      </c>
      <c r="J869" s="19">
        <f t="shared" si="89"/>
        <v>942685.12999999989</v>
      </c>
      <c r="K869" s="73"/>
      <c r="L869" s="73"/>
      <c r="M869" s="73"/>
      <c r="N869" s="19">
        <f>SUMIF('2020'!B:B,B869,'2020'!C:C)+SUMIF('2021'!B:B,B869,'2021'!C:C)+SUMIF('2022'!B:B,B869,'2022'!C:C)</f>
        <v>942685.12999999989</v>
      </c>
      <c r="O869" s="17">
        <v>44925</v>
      </c>
      <c r="P869" s="116" t="s">
        <v>3728</v>
      </c>
    </row>
    <row r="870" spans="1:16" ht="17.25" customHeight="1" x14ac:dyDescent="0.3">
      <c r="A870" s="169">
        <f t="shared" si="91"/>
        <v>762</v>
      </c>
      <c r="B870" s="21" t="s">
        <v>858</v>
      </c>
      <c r="C870" s="5">
        <v>1940</v>
      </c>
      <c r="D870" s="3"/>
      <c r="E870" s="117" t="s">
        <v>3645</v>
      </c>
      <c r="F870" s="109">
        <v>4</v>
      </c>
      <c r="G870" s="25">
        <v>1</v>
      </c>
      <c r="H870" s="117">
        <v>1602.32</v>
      </c>
      <c r="I870" s="109">
        <v>31</v>
      </c>
      <c r="J870" s="19">
        <f t="shared" si="89"/>
        <v>521791.82</v>
      </c>
      <c r="K870" s="73"/>
      <c r="L870" s="73"/>
      <c r="M870" s="73"/>
      <c r="N870" s="19">
        <f>SUMIF('2020'!B:B,B870,'2020'!C:C)+SUMIF('2021'!B:B,B870,'2021'!C:C)+SUMIF('2022'!B:B,B870,'2022'!C:C)</f>
        <v>521791.82</v>
      </c>
      <c r="O870" s="17">
        <v>44925</v>
      </c>
      <c r="P870" s="116" t="s">
        <v>2042</v>
      </c>
    </row>
    <row r="871" spans="1:16" ht="17.25" customHeight="1" x14ac:dyDescent="0.3">
      <c r="A871" s="169">
        <f t="shared" si="91"/>
        <v>763</v>
      </c>
      <c r="B871" s="21" t="s">
        <v>859</v>
      </c>
      <c r="C871" s="5">
        <v>1936</v>
      </c>
      <c r="D871" s="3"/>
      <c r="E871" s="109" t="s">
        <v>3645</v>
      </c>
      <c r="F871" s="109">
        <v>6</v>
      </c>
      <c r="G871" s="25"/>
      <c r="H871" s="109">
        <v>8372.7199999999993</v>
      </c>
      <c r="I871" s="109">
        <v>200</v>
      </c>
      <c r="J871" s="19">
        <f t="shared" si="89"/>
        <v>2344103.3199999998</v>
      </c>
      <c r="K871" s="73"/>
      <c r="L871" s="73"/>
      <c r="M871" s="73"/>
      <c r="N871" s="19">
        <f>SUMIF('2020'!B:B,B871,'2020'!C:C)+SUMIF('2021'!B:B,B871,'2021'!C:C)+SUMIF('2022'!B:B,B871,'2022'!C:C)</f>
        <v>2344103.3199999998</v>
      </c>
      <c r="O871" s="17">
        <v>44925</v>
      </c>
      <c r="P871" s="116" t="s">
        <v>3728</v>
      </c>
    </row>
    <row r="872" spans="1:16" ht="17.25" customHeight="1" x14ac:dyDescent="0.3">
      <c r="A872" s="169">
        <f t="shared" si="91"/>
        <v>764</v>
      </c>
      <c r="B872" s="21" t="s">
        <v>860</v>
      </c>
      <c r="C872" s="5">
        <v>1940</v>
      </c>
      <c r="D872" s="3"/>
      <c r="E872" s="109" t="s">
        <v>3645</v>
      </c>
      <c r="F872" s="109">
        <v>4</v>
      </c>
      <c r="G872" s="25">
        <v>2</v>
      </c>
      <c r="H872" s="109">
        <v>1280.56</v>
      </c>
      <c r="I872" s="109">
        <v>13</v>
      </c>
      <c r="J872" s="19">
        <f t="shared" si="89"/>
        <v>527941.06999999995</v>
      </c>
      <c r="K872" s="73"/>
      <c r="L872" s="73"/>
      <c r="M872" s="73"/>
      <c r="N872" s="19">
        <f>SUMIF('2020'!B:B,B872,'2020'!C:C)+SUMIF('2021'!B:B,B872,'2021'!C:C)+SUMIF('2022'!B:B,B872,'2022'!C:C)</f>
        <v>527941.06999999995</v>
      </c>
      <c r="O872" s="17">
        <v>44925</v>
      </c>
      <c r="P872" s="116" t="s">
        <v>3728</v>
      </c>
    </row>
    <row r="873" spans="1:16" ht="17.25" customHeight="1" x14ac:dyDescent="0.3">
      <c r="A873" s="169">
        <f t="shared" si="91"/>
        <v>765</v>
      </c>
      <c r="B873" s="21" t="s">
        <v>861</v>
      </c>
      <c r="C873" s="5">
        <v>1958</v>
      </c>
      <c r="D873" s="3"/>
      <c r="E873" s="109" t="s">
        <v>3645</v>
      </c>
      <c r="F873" s="109">
        <v>4</v>
      </c>
      <c r="G873" s="25">
        <v>2</v>
      </c>
      <c r="H873" s="109">
        <v>1378.22</v>
      </c>
      <c r="I873" s="109">
        <v>50</v>
      </c>
      <c r="J873" s="19">
        <f t="shared" si="89"/>
        <v>4700336.3600000003</v>
      </c>
      <c r="K873" s="73"/>
      <c r="L873" s="73"/>
      <c r="M873" s="73"/>
      <c r="N873" s="19">
        <f>SUMIF('2020'!B:B,B873,'2020'!C:C)+SUMIF('2021'!B:B,B873,'2021'!C:C)+SUMIF('2022'!B:B,B873,'2022'!C:C)</f>
        <v>4700336.3600000003</v>
      </c>
      <c r="O873" s="17">
        <v>44925</v>
      </c>
      <c r="P873" s="116" t="s">
        <v>3728</v>
      </c>
    </row>
    <row r="874" spans="1:16" ht="17.25" customHeight="1" x14ac:dyDescent="0.3">
      <c r="A874" s="169">
        <f t="shared" si="91"/>
        <v>766</v>
      </c>
      <c r="B874" s="21" t="s">
        <v>862</v>
      </c>
      <c r="C874" s="5">
        <v>1940</v>
      </c>
      <c r="D874" s="3"/>
      <c r="E874" s="109" t="s">
        <v>3645</v>
      </c>
      <c r="F874" s="109">
        <v>6</v>
      </c>
      <c r="G874" s="25"/>
      <c r="H874" s="109">
        <v>8725.25</v>
      </c>
      <c r="I874" s="109">
        <v>155</v>
      </c>
      <c r="J874" s="19">
        <f t="shared" si="89"/>
        <v>1888468.8599999999</v>
      </c>
      <c r="K874" s="73"/>
      <c r="L874" s="73"/>
      <c r="M874" s="73"/>
      <c r="N874" s="19">
        <f>SUMIF('2020'!B:B,B874,'2020'!C:C)+SUMIF('2021'!B:B,B874,'2021'!C:C)+SUMIF('2022'!B:B,B874,'2022'!C:C)</f>
        <v>1888468.8599999999</v>
      </c>
      <c r="O874" s="17">
        <v>44925</v>
      </c>
      <c r="P874" s="116" t="s">
        <v>3728</v>
      </c>
    </row>
    <row r="875" spans="1:16" ht="17.25" customHeight="1" x14ac:dyDescent="0.3">
      <c r="A875" s="169">
        <f t="shared" si="91"/>
        <v>767</v>
      </c>
      <c r="B875" s="21" t="s">
        <v>863</v>
      </c>
      <c r="C875" s="5">
        <v>1940</v>
      </c>
      <c r="D875" s="3"/>
      <c r="E875" s="115" t="s">
        <v>3730</v>
      </c>
      <c r="F875" s="109">
        <v>1</v>
      </c>
      <c r="G875" s="25">
        <v>1</v>
      </c>
      <c r="H875" s="115">
        <v>116.56</v>
      </c>
      <c r="I875" s="109">
        <v>3</v>
      </c>
      <c r="J875" s="19">
        <f t="shared" si="89"/>
        <v>118244.45999999999</v>
      </c>
      <c r="K875" s="73"/>
      <c r="L875" s="73"/>
      <c r="M875" s="73"/>
      <c r="N875" s="19">
        <f>SUMIF('2020'!B:B,B875,'2020'!C:C)+SUMIF('2021'!B:B,B875,'2021'!C:C)+SUMIF('2022'!B:B,B875,'2022'!C:C)</f>
        <v>118244.45999999999</v>
      </c>
      <c r="O875" s="17">
        <v>44925</v>
      </c>
      <c r="P875" s="116" t="s">
        <v>3728</v>
      </c>
    </row>
    <row r="876" spans="1:16" ht="17.25" customHeight="1" x14ac:dyDescent="0.3">
      <c r="A876" s="169">
        <f t="shared" si="91"/>
        <v>768</v>
      </c>
      <c r="B876" s="21" t="s">
        <v>864</v>
      </c>
      <c r="C876" s="5">
        <v>1940</v>
      </c>
      <c r="D876" s="3"/>
      <c r="E876" s="115" t="s">
        <v>3730</v>
      </c>
      <c r="F876" s="109">
        <v>2</v>
      </c>
      <c r="G876" s="25">
        <v>1</v>
      </c>
      <c r="H876" s="115">
        <v>276.08</v>
      </c>
      <c r="I876" s="109">
        <v>19</v>
      </c>
      <c r="J876" s="19">
        <f t="shared" si="89"/>
        <v>494648.69</v>
      </c>
      <c r="K876" s="73"/>
      <c r="L876" s="73"/>
      <c r="M876" s="73"/>
      <c r="N876" s="19">
        <f>SUMIF('2020'!B:B,B876,'2020'!C:C)+SUMIF('2021'!B:B,B876,'2021'!C:C)+SUMIF('2022'!B:B,B876,'2022'!C:C)</f>
        <v>494648.69</v>
      </c>
      <c r="O876" s="17">
        <v>44925</v>
      </c>
      <c r="P876" s="116" t="s">
        <v>3728</v>
      </c>
    </row>
    <row r="877" spans="1:16" ht="17.25" customHeight="1" x14ac:dyDescent="0.3">
      <c r="A877" s="169">
        <f t="shared" si="91"/>
        <v>769</v>
      </c>
      <c r="B877" s="21" t="s">
        <v>865</v>
      </c>
      <c r="C877" s="5">
        <v>1940</v>
      </c>
      <c r="D877" s="3"/>
      <c r="E877" s="115" t="s">
        <v>3730</v>
      </c>
      <c r="F877" s="109">
        <v>2</v>
      </c>
      <c r="G877" s="25">
        <v>1</v>
      </c>
      <c r="H877" s="115">
        <v>85.38</v>
      </c>
      <c r="I877" s="109">
        <v>9</v>
      </c>
      <c r="J877" s="19">
        <f t="shared" si="89"/>
        <v>143042.82</v>
      </c>
      <c r="K877" s="73"/>
      <c r="L877" s="73"/>
      <c r="M877" s="73"/>
      <c r="N877" s="19">
        <f>SUMIF('2020'!B:B,B877,'2020'!C:C)+SUMIF('2021'!B:B,B877,'2021'!C:C)+SUMIF('2022'!B:B,B877,'2022'!C:C)</f>
        <v>143042.82</v>
      </c>
      <c r="O877" s="17">
        <v>44925</v>
      </c>
      <c r="P877" s="116" t="s">
        <v>3728</v>
      </c>
    </row>
    <row r="878" spans="1:16" ht="17.25" customHeight="1" x14ac:dyDescent="0.3">
      <c r="A878" s="169">
        <f t="shared" si="91"/>
        <v>770</v>
      </c>
      <c r="B878" s="21" t="s">
        <v>866</v>
      </c>
      <c r="C878" s="5">
        <v>1940</v>
      </c>
      <c r="D878" s="3"/>
      <c r="E878" s="115" t="s">
        <v>3730</v>
      </c>
      <c r="F878" s="109">
        <v>2</v>
      </c>
      <c r="G878" s="25">
        <v>1</v>
      </c>
      <c r="H878" s="115">
        <v>227.4</v>
      </c>
      <c r="I878" s="109">
        <v>16</v>
      </c>
      <c r="J878" s="19">
        <f t="shared" si="89"/>
        <v>434327.39</v>
      </c>
      <c r="K878" s="73"/>
      <c r="L878" s="73"/>
      <c r="M878" s="73"/>
      <c r="N878" s="19">
        <f>SUMIF('2020'!B:B,B878,'2020'!C:C)+SUMIF('2021'!B:B,B878,'2021'!C:C)+SUMIF('2022'!B:B,B878,'2022'!C:C)</f>
        <v>434327.39</v>
      </c>
      <c r="O878" s="17">
        <v>44925</v>
      </c>
      <c r="P878" s="116" t="s">
        <v>3728</v>
      </c>
    </row>
    <row r="879" spans="1:16" ht="17.25" customHeight="1" x14ac:dyDescent="0.3">
      <c r="A879" s="169">
        <f t="shared" si="91"/>
        <v>771</v>
      </c>
      <c r="B879" s="21" t="s">
        <v>867</v>
      </c>
      <c r="C879" s="5">
        <v>1940</v>
      </c>
      <c r="D879" s="3"/>
      <c r="E879" s="115" t="s">
        <v>3730</v>
      </c>
      <c r="F879" s="109">
        <v>1</v>
      </c>
      <c r="G879" s="25">
        <v>1</v>
      </c>
      <c r="H879" s="115">
        <v>103.13</v>
      </c>
      <c r="I879" s="109">
        <v>6</v>
      </c>
      <c r="J879" s="19">
        <f t="shared" si="89"/>
        <v>112483.59</v>
      </c>
      <c r="K879" s="73"/>
      <c r="L879" s="73"/>
      <c r="M879" s="73"/>
      <c r="N879" s="19">
        <f>SUMIF('2020'!B:B,B879,'2020'!C:C)+SUMIF('2021'!B:B,B879,'2021'!C:C)+SUMIF('2022'!B:B,B879,'2022'!C:C)</f>
        <v>112483.59</v>
      </c>
      <c r="O879" s="17">
        <v>44925</v>
      </c>
      <c r="P879" s="116" t="s">
        <v>3728</v>
      </c>
    </row>
    <row r="880" spans="1:16" ht="17.25" customHeight="1" x14ac:dyDescent="0.3">
      <c r="A880" s="169">
        <f t="shared" si="91"/>
        <v>772</v>
      </c>
      <c r="B880" s="21" t="s">
        <v>868</v>
      </c>
      <c r="C880" s="5">
        <v>1940</v>
      </c>
      <c r="D880" s="3"/>
      <c r="E880" s="109" t="s">
        <v>3645</v>
      </c>
      <c r="F880" s="109">
        <v>2</v>
      </c>
      <c r="G880" s="25">
        <v>1</v>
      </c>
      <c r="H880" s="109">
        <v>221.6</v>
      </c>
      <c r="I880" s="109">
        <v>6</v>
      </c>
      <c r="J880" s="19">
        <f t="shared" ref="J880:J943" si="92">K880+L880+M880+N880</f>
        <v>275306.38</v>
      </c>
      <c r="K880" s="73"/>
      <c r="L880" s="73"/>
      <c r="M880" s="73"/>
      <c r="N880" s="19">
        <f>SUMIF('2020'!B:B,B880,'2020'!C:C)+SUMIF('2021'!B:B,B880,'2021'!C:C)+SUMIF('2022'!B:B,B880,'2022'!C:C)</f>
        <v>275306.38</v>
      </c>
      <c r="O880" s="17">
        <v>44925</v>
      </c>
      <c r="P880" s="116" t="s">
        <v>3728</v>
      </c>
    </row>
    <row r="881" spans="1:16" ht="17.25" customHeight="1" x14ac:dyDescent="0.3">
      <c r="A881" s="169">
        <f t="shared" si="91"/>
        <v>773</v>
      </c>
      <c r="B881" s="21" t="s">
        <v>869</v>
      </c>
      <c r="C881" s="5">
        <v>1940</v>
      </c>
      <c r="D881" s="3"/>
      <c r="E881" s="115" t="s">
        <v>3730</v>
      </c>
      <c r="F881" s="109">
        <v>2</v>
      </c>
      <c r="G881" s="25">
        <v>1</v>
      </c>
      <c r="H881" s="115">
        <v>136.91</v>
      </c>
      <c r="I881" s="109">
        <v>12</v>
      </c>
      <c r="J881" s="19">
        <f t="shared" si="92"/>
        <v>389167.78</v>
      </c>
      <c r="K881" s="73"/>
      <c r="L881" s="73"/>
      <c r="M881" s="73"/>
      <c r="N881" s="19">
        <f>SUMIF('2020'!B:B,B881,'2020'!C:C)+SUMIF('2021'!B:B,B881,'2021'!C:C)+SUMIF('2022'!B:B,B881,'2022'!C:C)</f>
        <v>389167.78</v>
      </c>
      <c r="O881" s="17">
        <v>44925</v>
      </c>
      <c r="P881" s="116" t="s">
        <v>3728</v>
      </c>
    </row>
    <row r="882" spans="1:16" ht="17.25" customHeight="1" x14ac:dyDescent="0.3">
      <c r="A882" s="169">
        <f t="shared" si="91"/>
        <v>774</v>
      </c>
      <c r="B882" s="21" t="s">
        <v>870</v>
      </c>
      <c r="C882" s="5">
        <v>1940</v>
      </c>
      <c r="D882" s="3"/>
      <c r="E882" s="115" t="s">
        <v>3782</v>
      </c>
      <c r="F882" s="109">
        <v>2</v>
      </c>
      <c r="G882" s="25">
        <v>1</v>
      </c>
      <c r="H882" s="109">
        <v>165.9</v>
      </c>
      <c r="I882" s="109">
        <v>17</v>
      </c>
      <c r="J882" s="19">
        <f t="shared" si="92"/>
        <v>427099.18</v>
      </c>
      <c r="K882" s="73"/>
      <c r="L882" s="73"/>
      <c r="M882" s="73"/>
      <c r="N882" s="19">
        <f>SUMIF('2020'!B:B,B882,'2020'!C:C)+SUMIF('2021'!B:B,B882,'2021'!C:C)+SUMIF('2022'!B:B,B882,'2022'!C:C)</f>
        <v>427099.18</v>
      </c>
      <c r="O882" s="17">
        <v>44925</v>
      </c>
      <c r="P882" s="116" t="s">
        <v>3728</v>
      </c>
    </row>
    <row r="883" spans="1:16" ht="17.25" customHeight="1" x14ac:dyDescent="0.3">
      <c r="A883" s="169">
        <f t="shared" si="91"/>
        <v>775</v>
      </c>
      <c r="B883" s="21" t="s">
        <v>871</v>
      </c>
      <c r="C883" s="5">
        <v>1940</v>
      </c>
      <c r="D883" s="3"/>
      <c r="E883" s="115" t="s">
        <v>3730</v>
      </c>
      <c r="F883" s="109">
        <v>2</v>
      </c>
      <c r="G883" s="25">
        <v>1</v>
      </c>
      <c r="H883" s="115">
        <v>211.72</v>
      </c>
      <c r="I883" s="109">
        <v>18</v>
      </c>
      <c r="J883" s="19">
        <f t="shared" si="92"/>
        <v>433239.92000000004</v>
      </c>
      <c r="K883" s="73"/>
      <c r="L883" s="73"/>
      <c r="M883" s="73"/>
      <c r="N883" s="19">
        <f>SUMIF('2020'!B:B,B883,'2020'!C:C)+SUMIF('2021'!B:B,B883,'2021'!C:C)+SUMIF('2022'!B:B,B883,'2022'!C:C)</f>
        <v>433239.92000000004</v>
      </c>
      <c r="O883" s="17">
        <v>44925</v>
      </c>
      <c r="P883" s="116" t="s">
        <v>3728</v>
      </c>
    </row>
    <row r="884" spans="1:16" ht="17.25" customHeight="1" x14ac:dyDescent="0.3">
      <c r="A884" s="169">
        <f t="shared" si="91"/>
        <v>776</v>
      </c>
      <c r="B884" s="21" t="s">
        <v>872</v>
      </c>
      <c r="C884" s="5">
        <v>1940</v>
      </c>
      <c r="D884" s="3"/>
      <c r="E884" s="115" t="s">
        <v>3730</v>
      </c>
      <c r="F884" s="109">
        <v>2</v>
      </c>
      <c r="G884" s="25">
        <v>1</v>
      </c>
      <c r="H884" s="115">
        <v>161.4</v>
      </c>
      <c r="I884" s="109">
        <v>21</v>
      </c>
      <c r="J884" s="19">
        <f t="shared" si="92"/>
        <v>401406</v>
      </c>
      <c r="K884" s="73"/>
      <c r="L884" s="73"/>
      <c r="M884" s="73"/>
      <c r="N884" s="19">
        <f>SUMIF('2020'!B:B,B884,'2020'!C:C)+SUMIF('2021'!B:B,B884,'2021'!C:C)+SUMIF('2022'!B:B,B884,'2022'!C:C)</f>
        <v>401406</v>
      </c>
      <c r="O884" s="17">
        <v>44925</v>
      </c>
      <c r="P884" s="116" t="s">
        <v>3728</v>
      </c>
    </row>
    <row r="885" spans="1:16" ht="17.25" customHeight="1" x14ac:dyDescent="0.3">
      <c r="A885" s="169">
        <f t="shared" ref="A885:A948" si="93">A884+1</f>
        <v>777</v>
      </c>
      <c r="B885" s="21" t="s">
        <v>873</v>
      </c>
      <c r="C885" s="5">
        <v>1940</v>
      </c>
      <c r="D885" s="3"/>
      <c r="E885" s="115" t="s">
        <v>3730</v>
      </c>
      <c r="F885" s="109">
        <v>2</v>
      </c>
      <c r="G885" s="25">
        <v>1</v>
      </c>
      <c r="H885" s="115">
        <v>160.38</v>
      </c>
      <c r="I885" s="109">
        <v>4</v>
      </c>
      <c r="J885" s="19">
        <f t="shared" si="92"/>
        <v>403601.52</v>
      </c>
      <c r="K885" s="73"/>
      <c r="L885" s="73"/>
      <c r="M885" s="73"/>
      <c r="N885" s="19">
        <f>SUMIF('2020'!B:B,B885,'2020'!C:C)+SUMIF('2021'!B:B,B885,'2021'!C:C)+SUMIF('2022'!B:B,B885,'2022'!C:C)</f>
        <v>403601.52</v>
      </c>
      <c r="O885" s="17">
        <v>44925</v>
      </c>
      <c r="P885" s="116" t="s">
        <v>3728</v>
      </c>
    </row>
    <row r="886" spans="1:16" ht="17.25" customHeight="1" x14ac:dyDescent="0.3">
      <c r="A886" s="169">
        <f t="shared" si="93"/>
        <v>778</v>
      </c>
      <c r="B886" s="21" t="s">
        <v>874</v>
      </c>
      <c r="C886" s="5">
        <v>1940</v>
      </c>
      <c r="D886" s="3"/>
      <c r="E886" s="109" t="s">
        <v>3645</v>
      </c>
      <c r="F886" s="109">
        <v>4</v>
      </c>
      <c r="G886" s="25">
        <v>1</v>
      </c>
      <c r="H886" s="109">
        <v>1810</v>
      </c>
      <c r="I886" s="109">
        <v>42</v>
      </c>
      <c r="J886" s="19">
        <f t="shared" si="92"/>
        <v>596199.09</v>
      </c>
      <c r="K886" s="73"/>
      <c r="L886" s="73"/>
      <c r="M886" s="73"/>
      <c r="N886" s="19">
        <f>SUMIF('2020'!B:B,B886,'2020'!C:C)+SUMIF('2021'!B:B,B886,'2021'!C:C)+SUMIF('2022'!B:B,B886,'2022'!C:C)</f>
        <v>596199.09</v>
      </c>
      <c r="O886" s="17">
        <v>44925</v>
      </c>
      <c r="P886" s="116" t="s">
        <v>3728</v>
      </c>
    </row>
    <row r="887" spans="1:16" ht="17.25" customHeight="1" x14ac:dyDescent="0.3">
      <c r="A887" s="169">
        <f t="shared" si="93"/>
        <v>779</v>
      </c>
      <c r="B887" s="21" t="s">
        <v>875</v>
      </c>
      <c r="C887" s="5">
        <v>1940</v>
      </c>
      <c r="D887" s="3"/>
      <c r="E887" s="118" t="s">
        <v>3730</v>
      </c>
      <c r="F887" s="118">
        <v>2</v>
      </c>
      <c r="G887" s="25"/>
      <c r="H887" s="118">
        <v>242.9</v>
      </c>
      <c r="I887" s="118">
        <v>8</v>
      </c>
      <c r="J887" s="19">
        <f t="shared" si="92"/>
        <v>130000</v>
      </c>
      <c r="K887" s="73"/>
      <c r="L887" s="73"/>
      <c r="M887" s="73"/>
      <c r="N887" s="19">
        <f>SUMIF('2020'!B:B,B887,'2020'!C:C)+SUMIF('2021'!B:B,B887,'2021'!C:C)+SUMIF('2022'!B:B,B887,'2022'!C:C)</f>
        <v>130000</v>
      </c>
      <c r="O887" s="17">
        <v>44925</v>
      </c>
      <c r="P887" s="116" t="s">
        <v>3728</v>
      </c>
    </row>
    <row r="888" spans="1:16" ht="17.25" customHeight="1" x14ac:dyDescent="0.3">
      <c r="A888" s="169">
        <f t="shared" si="93"/>
        <v>780</v>
      </c>
      <c r="B888" s="21" t="s">
        <v>876</v>
      </c>
      <c r="C888" s="5">
        <v>1951</v>
      </c>
      <c r="D888" s="3"/>
      <c r="E888" s="109" t="s">
        <v>3730</v>
      </c>
      <c r="F888" s="109">
        <v>2</v>
      </c>
      <c r="G888" s="25">
        <v>1</v>
      </c>
      <c r="H888" s="109">
        <v>249.45</v>
      </c>
      <c r="I888" s="109">
        <v>15</v>
      </c>
      <c r="J888" s="19">
        <f t="shared" si="92"/>
        <v>227761.88</v>
      </c>
      <c r="K888" s="73"/>
      <c r="L888" s="73"/>
      <c r="M888" s="73"/>
      <c r="N888" s="19">
        <f>SUMIF('2020'!B:B,B888,'2020'!C:C)+SUMIF('2021'!B:B,B888,'2021'!C:C)+SUMIF('2022'!B:B,B888,'2022'!C:C)</f>
        <v>227761.88</v>
      </c>
      <c r="O888" s="17">
        <v>44925</v>
      </c>
      <c r="P888" s="110" t="s">
        <v>3728</v>
      </c>
    </row>
    <row r="889" spans="1:16" ht="17.25" customHeight="1" x14ac:dyDescent="0.3">
      <c r="A889" s="169">
        <f t="shared" si="93"/>
        <v>781</v>
      </c>
      <c r="B889" s="21" t="s">
        <v>877</v>
      </c>
      <c r="C889" s="5">
        <v>1940</v>
      </c>
      <c r="D889" s="3"/>
      <c r="E889" s="109" t="s">
        <v>3730</v>
      </c>
      <c r="F889" s="109">
        <v>2</v>
      </c>
      <c r="G889" s="25">
        <v>1</v>
      </c>
      <c r="H889" s="115">
        <v>179.36</v>
      </c>
      <c r="I889" s="109">
        <v>14</v>
      </c>
      <c r="J889" s="19">
        <f t="shared" si="92"/>
        <v>293674.75</v>
      </c>
      <c r="K889" s="73"/>
      <c r="L889" s="73"/>
      <c r="M889" s="73"/>
      <c r="N889" s="19">
        <f>SUMIF('2020'!B:B,B889,'2020'!C:C)+SUMIF('2021'!B:B,B889,'2021'!C:C)+SUMIF('2022'!B:B,B889,'2022'!C:C)</f>
        <v>293674.75</v>
      </c>
      <c r="O889" s="17">
        <v>44925</v>
      </c>
      <c r="P889" s="116" t="s">
        <v>3728</v>
      </c>
    </row>
    <row r="890" spans="1:16" ht="17.25" customHeight="1" x14ac:dyDescent="0.3">
      <c r="A890" s="169">
        <f t="shared" si="93"/>
        <v>782</v>
      </c>
      <c r="B890" s="21" t="s">
        <v>878</v>
      </c>
      <c r="C890" s="5">
        <v>1940</v>
      </c>
      <c r="D890" s="3"/>
      <c r="E890" s="115" t="s">
        <v>3730</v>
      </c>
      <c r="F890" s="109">
        <v>2</v>
      </c>
      <c r="G890" s="25">
        <v>1</v>
      </c>
      <c r="H890" s="115">
        <v>183.7</v>
      </c>
      <c r="I890" s="109">
        <v>4</v>
      </c>
      <c r="J890" s="19">
        <f t="shared" si="92"/>
        <v>487490.54000000004</v>
      </c>
      <c r="K890" s="73"/>
      <c r="L890" s="73"/>
      <c r="M890" s="73"/>
      <c r="N890" s="19">
        <f>SUMIF('2020'!B:B,B890,'2020'!C:C)+SUMIF('2021'!B:B,B890,'2021'!C:C)+SUMIF('2022'!B:B,B890,'2022'!C:C)</f>
        <v>487490.54000000004</v>
      </c>
      <c r="O890" s="17">
        <v>44925</v>
      </c>
      <c r="P890" s="116" t="s">
        <v>3728</v>
      </c>
    </row>
    <row r="891" spans="1:16" ht="17.25" customHeight="1" x14ac:dyDescent="0.3">
      <c r="A891" s="169">
        <f t="shared" si="93"/>
        <v>783</v>
      </c>
      <c r="B891" s="21" t="s">
        <v>879</v>
      </c>
      <c r="C891" s="5">
        <v>1966</v>
      </c>
      <c r="D891" s="3"/>
      <c r="E891" s="109" t="s">
        <v>3645</v>
      </c>
      <c r="F891" s="109">
        <v>9</v>
      </c>
      <c r="G891" s="25"/>
      <c r="H891" s="111">
        <v>1993.66</v>
      </c>
      <c r="I891" s="109">
        <v>84</v>
      </c>
      <c r="J891" s="19">
        <f t="shared" si="92"/>
        <v>130000</v>
      </c>
      <c r="K891" s="73"/>
      <c r="L891" s="73"/>
      <c r="M891" s="73"/>
      <c r="N891" s="19">
        <f>SUMIF('2020'!B:B,B891,'2020'!C:C)+SUMIF('2021'!B:B,B891,'2021'!C:C)+SUMIF('2022'!B:B,B891,'2022'!C:C)</f>
        <v>130000</v>
      </c>
      <c r="O891" s="17">
        <v>44925</v>
      </c>
      <c r="P891" s="116" t="s">
        <v>3728</v>
      </c>
    </row>
    <row r="892" spans="1:16" ht="17.25" customHeight="1" x14ac:dyDescent="0.3">
      <c r="A892" s="169">
        <f t="shared" si="93"/>
        <v>784</v>
      </c>
      <c r="B892" s="21" t="s">
        <v>880</v>
      </c>
      <c r="C892" s="5">
        <v>1967</v>
      </c>
      <c r="D892" s="3"/>
      <c r="E892" s="109" t="s">
        <v>3645</v>
      </c>
      <c r="F892" s="109">
        <v>9</v>
      </c>
      <c r="G892" s="25"/>
      <c r="H892" s="111">
        <v>2035.73</v>
      </c>
      <c r="I892" s="109">
        <v>89</v>
      </c>
      <c r="J892" s="19">
        <f t="shared" si="92"/>
        <v>130000</v>
      </c>
      <c r="K892" s="73"/>
      <c r="L892" s="73"/>
      <c r="M892" s="73"/>
      <c r="N892" s="19">
        <f>SUMIF('2020'!B:B,B892,'2020'!C:C)+SUMIF('2021'!B:B,B892,'2021'!C:C)+SUMIF('2022'!B:B,B892,'2022'!C:C)</f>
        <v>130000</v>
      </c>
      <c r="O892" s="17">
        <v>44925</v>
      </c>
      <c r="P892" s="116" t="s">
        <v>3728</v>
      </c>
    </row>
    <row r="893" spans="1:16" ht="17.25" customHeight="1" x14ac:dyDescent="0.3">
      <c r="A893" s="169">
        <f t="shared" si="93"/>
        <v>785</v>
      </c>
      <c r="B893" s="21" t="s">
        <v>881</v>
      </c>
      <c r="C893" s="5">
        <v>1966</v>
      </c>
      <c r="D893" s="3"/>
      <c r="E893" s="109" t="s">
        <v>3645</v>
      </c>
      <c r="F893" s="109">
        <v>9</v>
      </c>
      <c r="G893" s="25"/>
      <c r="H893" s="109">
        <v>2104.67</v>
      </c>
      <c r="I893" s="109">
        <v>84</v>
      </c>
      <c r="J893" s="19">
        <f t="shared" si="92"/>
        <v>130000</v>
      </c>
      <c r="K893" s="73"/>
      <c r="L893" s="73"/>
      <c r="M893" s="73"/>
      <c r="N893" s="19">
        <f>SUMIF('2020'!B:B,B893,'2020'!C:C)+SUMIF('2021'!B:B,B893,'2021'!C:C)+SUMIF('2022'!B:B,B893,'2022'!C:C)</f>
        <v>130000</v>
      </c>
      <c r="O893" s="17">
        <v>44925</v>
      </c>
      <c r="P893" s="116" t="s">
        <v>3728</v>
      </c>
    </row>
    <row r="894" spans="1:16" ht="17.25" customHeight="1" x14ac:dyDescent="0.3">
      <c r="A894" s="169">
        <f t="shared" si="93"/>
        <v>786</v>
      </c>
      <c r="B894" s="21" t="s">
        <v>882</v>
      </c>
      <c r="C894" s="5">
        <v>1959</v>
      </c>
      <c r="D894" s="3"/>
      <c r="E894" s="113" t="s">
        <v>3645</v>
      </c>
      <c r="F894" s="109">
        <v>2</v>
      </c>
      <c r="G894" s="25"/>
      <c r="H894" s="115">
        <v>447</v>
      </c>
      <c r="I894" s="109">
        <v>12</v>
      </c>
      <c r="J894" s="19">
        <f t="shared" si="92"/>
        <v>2534614.8400000003</v>
      </c>
      <c r="K894" s="73"/>
      <c r="L894" s="73"/>
      <c r="M894" s="73"/>
      <c r="N894" s="19">
        <f>SUMIF('2020'!B:B,B894,'2020'!C:C)+SUMIF('2021'!B:B,B894,'2021'!C:C)+SUMIF('2022'!B:B,B894,'2022'!C:C)</f>
        <v>2534614.8400000003</v>
      </c>
      <c r="O894" s="17">
        <v>44925</v>
      </c>
      <c r="P894" s="116" t="s">
        <v>3728</v>
      </c>
    </row>
    <row r="895" spans="1:16" ht="17.25" customHeight="1" x14ac:dyDescent="0.3">
      <c r="A895" s="169">
        <f t="shared" si="93"/>
        <v>787</v>
      </c>
      <c r="B895" s="21" t="s">
        <v>883</v>
      </c>
      <c r="C895" s="5">
        <v>1940</v>
      </c>
      <c r="D895" s="3"/>
      <c r="E895" s="113" t="s">
        <v>3645</v>
      </c>
      <c r="F895" s="109">
        <v>2</v>
      </c>
      <c r="G895" s="25">
        <v>2</v>
      </c>
      <c r="H895" s="115">
        <v>521.23</v>
      </c>
      <c r="I895" s="109">
        <v>12</v>
      </c>
      <c r="J895" s="19">
        <f t="shared" si="92"/>
        <v>352425.77</v>
      </c>
      <c r="K895" s="73"/>
      <c r="L895" s="73"/>
      <c r="M895" s="73"/>
      <c r="N895" s="19">
        <f>SUMIF('2020'!B:B,B895,'2020'!C:C)+SUMIF('2021'!B:B,B895,'2021'!C:C)+SUMIF('2022'!B:B,B895,'2022'!C:C)</f>
        <v>352425.77</v>
      </c>
      <c r="O895" s="17">
        <v>44925</v>
      </c>
      <c r="P895" s="116" t="s">
        <v>3728</v>
      </c>
    </row>
    <row r="896" spans="1:16" ht="17.25" customHeight="1" x14ac:dyDescent="0.3">
      <c r="A896" s="169">
        <f t="shared" si="93"/>
        <v>788</v>
      </c>
      <c r="B896" s="21" t="s">
        <v>884</v>
      </c>
      <c r="C896" s="5">
        <v>1940</v>
      </c>
      <c r="D896" s="3"/>
      <c r="E896" s="118" t="s">
        <v>3834</v>
      </c>
      <c r="F896" s="118">
        <v>10</v>
      </c>
      <c r="G896" s="25"/>
      <c r="H896" s="118">
        <v>6273</v>
      </c>
      <c r="I896" s="118">
        <v>231</v>
      </c>
      <c r="J896" s="19">
        <f t="shared" si="92"/>
        <v>130000</v>
      </c>
      <c r="K896" s="73"/>
      <c r="L896" s="73"/>
      <c r="M896" s="73"/>
      <c r="N896" s="19">
        <f>SUMIF('2020'!B:B,B896,'2020'!C:C)+SUMIF('2021'!B:B,B896,'2021'!C:C)+SUMIF('2022'!B:B,B896,'2022'!C:C)</f>
        <v>130000</v>
      </c>
      <c r="O896" s="17">
        <v>44925</v>
      </c>
      <c r="P896" s="116" t="s">
        <v>3787</v>
      </c>
    </row>
    <row r="897" spans="1:16" ht="17.25" customHeight="1" x14ac:dyDescent="0.3">
      <c r="A897" s="169">
        <f t="shared" si="93"/>
        <v>789</v>
      </c>
      <c r="B897" s="21" t="s">
        <v>885</v>
      </c>
      <c r="C897" s="5">
        <v>1948</v>
      </c>
      <c r="D897" s="3"/>
      <c r="E897" s="109" t="s">
        <v>3645</v>
      </c>
      <c r="F897" s="109">
        <v>4</v>
      </c>
      <c r="G897" s="25">
        <v>7</v>
      </c>
      <c r="H897" s="109">
        <v>3274.59</v>
      </c>
      <c r="I897" s="109">
        <v>106</v>
      </c>
      <c r="J897" s="19">
        <f t="shared" si="92"/>
        <v>753712.41</v>
      </c>
      <c r="K897" s="73"/>
      <c r="L897" s="73"/>
      <c r="M897" s="73"/>
      <c r="N897" s="19">
        <f>SUMIF('2020'!B:B,B897,'2020'!C:C)+SUMIF('2021'!B:B,B897,'2021'!C:C)+SUMIF('2022'!B:B,B897,'2022'!C:C)</f>
        <v>753712.41</v>
      </c>
      <c r="O897" s="17">
        <v>44925</v>
      </c>
      <c r="P897" s="116" t="s">
        <v>3728</v>
      </c>
    </row>
    <row r="898" spans="1:16" ht="17.25" customHeight="1" x14ac:dyDescent="0.3">
      <c r="A898" s="169">
        <f t="shared" si="93"/>
        <v>790</v>
      </c>
      <c r="B898" s="21" t="s">
        <v>886</v>
      </c>
      <c r="C898" s="5">
        <v>1940</v>
      </c>
      <c r="D898" s="3"/>
      <c r="E898" s="115" t="s">
        <v>3730</v>
      </c>
      <c r="F898" s="109">
        <v>2</v>
      </c>
      <c r="G898" s="25">
        <v>1</v>
      </c>
      <c r="H898" s="115">
        <v>208.08</v>
      </c>
      <c r="I898" s="113">
        <v>16</v>
      </c>
      <c r="J898" s="19">
        <f t="shared" si="92"/>
        <v>405671.81</v>
      </c>
      <c r="K898" s="73"/>
      <c r="L898" s="73"/>
      <c r="M898" s="73"/>
      <c r="N898" s="19">
        <f>SUMIF('2020'!B:B,B898,'2020'!C:C)+SUMIF('2021'!B:B,B898,'2021'!C:C)+SUMIF('2022'!B:B,B898,'2022'!C:C)</f>
        <v>405671.81</v>
      </c>
      <c r="O898" s="17">
        <v>44925</v>
      </c>
      <c r="P898" s="116" t="s">
        <v>3728</v>
      </c>
    </row>
    <row r="899" spans="1:16" ht="17.25" customHeight="1" x14ac:dyDescent="0.3">
      <c r="A899" s="169">
        <f t="shared" si="93"/>
        <v>791</v>
      </c>
      <c r="B899" s="21" t="s">
        <v>887</v>
      </c>
      <c r="C899" s="5">
        <v>1940</v>
      </c>
      <c r="D899" s="3"/>
      <c r="E899" s="115" t="s">
        <v>3730</v>
      </c>
      <c r="F899" s="109">
        <v>2</v>
      </c>
      <c r="G899" s="25">
        <v>1</v>
      </c>
      <c r="H899" s="115">
        <v>287.77999999999997</v>
      </c>
      <c r="I899" s="113">
        <v>14</v>
      </c>
      <c r="J899" s="19">
        <f t="shared" si="92"/>
        <v>528992.54</v>
      </c>
      <c r="K899" s="73"/>
      <c r="L899" s="73"/>
      <c r="M899" s="73"/>
      <c r="N899" s="19">
        <f>SUMIF('2020'!B:B,B899,'2020'!C:C)+SUMIF('2021'!B:B,B899,'2021'!C:C)+SUMIF('2022'!B:B,B899,'2022'!C:C)</f>
        <v>528992.54</v>
      </c>
      <c r="O899" s="17">
        <v>44925</v>
      </c>
      <c r="P899" s="116" t="s">
        <v>3728</v>
      </c>
    </row>
    <row r="900" spans="1:16" ht="17.25" customHeight="1" x14ac:dyDescent="0.3">
      <c r="A900" s="169">
        <f t="shared" si="93"/>
        <v>792</v>
      </c>
      <c r="B900" s="21" t="s">
        <v>888</v>
      </c>
      <c r="C900" s="5">
        <v>1925</v>
      </c>
      <c r="D900" s="3"/>
      <c r="E900" s="115" t="s">
        <v>3730</v>
      </c>
      <c r="F900" s="109">
        <v>2</v>
      </c>
      <c r="G900" s="25">
        <v>1</v>
      </c>
      <c r="H900" s="115">
        <v>246.4</v>
      </c>
      <c r="I900" s="113">
        <v>14</v>
      </c>
      <c r="J900" s="19">
        <f t="shared" si="92"/>
        <v>490536</v>
      </c>
      <c r="K900" s="73"/>
      <c r="L900" s="73"/>
      <c r="M900" s="73"/>
      <c r="N900" s="19">
        <f>SUMIF('2020'!B:B,B900,'2020'!C:C)+SUMIF('2021'!B:B,B900,'2021'!C:C)+SUMIF('2022'!B:B,B900,'2022'!C:C)</f>
        <v>490536</v>
      </c>
      <c r="O900" s="17">
        <v>44925</v>
      </c>
      <c r="P900" s="116" t="s">
        <v>3728</v>
      </c>
    </row>
    <row r="901" spans="1:16" ht="17.25" customHeight="1" x14ac:dyDescent="0.3">
      <c r="A901" s="169">
        <f t="shared" si="93"/>
        <v>793</v>
      </c>
      <c r="B901" s="21" t="s">
        <v>889</v>
      </c>
      <c r="C901" s="5">
        <v>1940</v>
      </c>
      <c r="D901" s="3"/>
      <c r="E901" s="115" t="s">
        <v>3782</v>
      </c>
      <c r="F901" s="109">
        <v>2</v>
      </c>
      <c r="G901" s="25">
        <v>1</v>
      </c>
      <c r="H901" s="115">
        <v>230.19</v>
      </c>
      <c r="I901" s="113">
        <v>12</v>
      </c>
      <c r="J901" s="19">
        <f t="shared" si="92"/>
        <v>472410</v>
      </c>
      <c r="K901" s="73"/>
      <c r="L901" s="73"/>
      <c r="M901" s="73"/>
      <c r="N901" s="19">
        <f>SUMIF('2020'!B:B,B901,'2020'!C:C)+SUMIF('2021'!B:B,B901,'2021'!C:C)+SUMIF('2022'!B:B,B901,'2022'!C:C)</f>
        <v>472410</v>
      </c>
      <c r="O901" s="17">
        <v>44925</v>
      </c>
      <c r="P901" s="116" t="s">
        <v>3728</v>
      </c>
    </row>
    <row r="902" spans="1:16" ht="17.25" customHeight="1" x14ac:dyDescent="0.3">
      <c r="A902" s="169">
        <f t="shared" si="93"/>
        <v>794</v>
      </c>
      <c r="B902" s="21" t="s">
        <v>890</v>
      </c>
      <c r="C902" s="5">
        <v>1940</v>
      </c>
      <c r="D902" s="3"/>
      <c r="E902" s="115" t="s">
        <v>3782</v>
      </c>
      <c r="F902" s="109">
        <v>1</v>
      </c>
      <c r="G902" s="25">
        <v>1</v>
      </c>
      <c r="H902" s="115">
        <v>116.53</v>
      </c>
      <c r="I902" s="109">
        <v>3</v>
      </c>
      <c r="J902" s="19">
        <f t="shared" si="92"/>
        <v>118158.12</v>
      </c>
      <c r="K902" s="73"/>
      <c r="L902" s="73"/>
      <c r="M902" s="73"/>
      <c r="N902" s="19">
        <f>SUMIF('2020'!B:B,B902,'2020'!C:C)+SUMIF('2021'!B:B,B902,'2021'!C:C)+SUMIF('2022'!B:B,B902,'2022'!C:C)</f>
        <v>118158.12</v>
      </c>
      <c r="O902" s="17">
        <v>44925</v>
      </c>
      <c r="P902" s="116" t="s">
        <v>3728</v>
      </c>
    </row>
    <row r="903" spans="1:16" ht="17.25" customHeight="1" x14ac:dyDescent="0.3">
      <c r="A903" s="169">
        <f t="shared" si="93"/>
        <v>795</v>
      </c>
      <c r="B903" s="21" t="s">
        <v>891</v>
      </c>
      <c r="C903" s="5">
        <v>1921</v>
      </c>
      <c r="D903" s="3"/>
      <c r="E903" s="115" t="s">
        <v>3730</v>
      </c>
      <c r="F903" s="109">
        <v>2</v>
      </c>
      <c r="G903" s="25">
        <v>1</v>
      </c>
      <c r="H903" s="115">
        <v>215.23</v>
      </c>
      <c r="I903" s="109">
        <v>14</v>
      </c>
      <c r="J903" s="19">
        <f t="shared" si="92"/>
        <v>541115.19999999995</v>
      </c>
      <c r="K903" s="73"/>
      <c r="L903" s="73"/>
      <c r="M903" s="73"/>
      <c r="N903" s="19">
        <f>SUMIF('2020'!B:B,B903,'2020'!C:C)+SUMIF('2021'!B:B,B903,'2021'!C:C)+SUMIF('2022'!B:B,B903,'2022'!C:C)</f>
        <v>541115.19999999995</v>
      </c>
      <c r="O903" s="17">
        <v>44925</v>
      </c>
      <c r="P903" s="116" t="s">
        <v>3728</v>
      </c>
    </row>
    <row r="904" spans="1:16" ht="17.25" customHeight="1" x14ac:dyDescent="0.3">
      <c r="A904" s="169">
        <f t="shared" si="93"/>
        <v>796</v>
      </c>
      <c r="B904" s="21" t="s">
        <v>892</v>
      </c>
      <c r="C904" s="5">
        <v>1940</v>
      </c>
      <c r="D904" s="3"/>
      <c r="E904" s="115" t="s">
        <v>3730</v>
      </c>
      <c r="F904" s="109">
        <v>2</v>
      </c>
      <c r="G904" s="25">
        <v>1</v>
      </c>
      <c r="H904" s="115">
        <v>372.24</v>
      </c>
      <c r="I904" s="109">
        <v>12</v>
      </c>
      <c r="J904" s="19">
        <f t="shared" si="92"/>
        <v>598165.37</v>
      </c>
      <c r="K904" s="73"/>
      <c r="L904" s="73"/>
      <c r="M904" s="73"/>
      <c r="N904" s="19">
        <f>SUMIF('2020'!B:B,B904,'2020'!C:C)+SUMIF('2021'!B:B,B904,'2021'!C:C)+SUMIF('2022'!B:B,B904,'2022'!C:C)</f>
        <v>598165.37</v>
      </c>
      <c r="O904" s="17">
        <v>44925</v>
      </c>
      <c r="P904" s="116" t="s">
        <v>3728</v>
      </c>
    </row>
    <row r="905" spans="1:16" ht="17.25" customHeight="1" x14ac:dyDescent="0.3">
      <c r="A905" s="169">
        <f t="shared" si="93"/>
        <v>797</v>
      </c>
      <c r="B905" s="21" t="s">
        <v>893</v>
      </c>
      <c r="C905" s="5">
        <v>1940</v>
      </c>
      <c r="D905" s="3"/>
      <c r="E905" s="109" t="s">
        <v>3645</v>
      </c>
      <c r="F905" s="109">
        <v>1</v>
      </c>
      <c r="G905" s="25">
        <v>1</v>
      </c>
      <c r="H905" s="109">
        <v>181.08</v>
      </c>
      <c r="I905" s="109">
        <v>12</v>
      </c>
      <c r="J905" s="19">
        <f t="shared" si="92"/>
        <v>196453.13</v>
      </c>
      <c r="K905" s="73"/>
      <c r="L905" s="73"/>
      <c r="M905" s="73"/>
      <c r="N905" s="19">
        <f>SUMIF('2020'!B:B,B905,'2020'!C:C)+SUMIF('2021'!B:B,B905,'2021'!C:C)+SUMIF('2022'!B:B,B905,'2022'!C:C)</f>
        <v>196453.13</v>
      </c>
      <c r="O905" s="17">
        <v>44925</v>
      </c>
      <c r="P905" s="116" t="s">
        <v>3728</v>
      </c>
    </row>
    <row r="906" spans="1:16" ht="17.25" customHeight="1" x14ac:dyDescent="0.3">
      <c r="A906" s="169">
        <f t="shared" si="93"/>
        <v>798</v>
      </c>
      <c r="B906" s="21" t="s">
        <v>894</v>
      </c>
      <c r="C906" s="5">
        <v>1940</v>
      </c>
      <c r="D906" s="3"/>
      <c r="E906" s="109" t="s">
        <v>3645</v>
      </c>
      <c r="F906" s="109">
        <v>4</v>
      </c>
      <c r="G906" s="25">
        <v>3</v>
      </c>
      <c r="H906" s="109">
        <v>1229.72</v>
      </c>
      <c r="I906" s="109">
        <v>80</v>
      </c>
      <c r="J906" s="19">
        <f t="shared" si="92"/>
        <v>527411.94999999995</v>
      </c>
      <c r="K906" s="73"/>
      <c r="L906" s="73"/>
      <c r="M906" s="73"/>
      <c r="N906" s="19">
        <f>SUMIF('2020'!B:B,B906,'2020'!C:C)+SUMIF('2021'!B:B,B906,'2021'!C:C)+SUMIF('2022'!B:B,B906,'2022'!C:C)</f>
        <v>527411.94999999995</v>
      </c>
      <c r="O906" s="17">
        <v>44925</v>
      </c>
      <c r="P906" s="116" t="s">
        <v>3728</v>
      </c>
    </row>
    <row r="907" spans="1:16" ht="17.25" customHeight="1" x14ac:dyDescent="0.3">
      <c r="A907" s="169">
        <f t="shared" si="93"/>
        <v>799</v>
      </c>
      <c r="B907" s="21" t="s">
        <v>895</v>
      </c>
      <c r="C907" s="5">
        <v>1940</v>
      </c>
      <c r="D907" s="3"/>
      <c r="E907" s="109" t="s">
        <v>3645</v>
      </c>
      <c r="F907" s="109">
        <v>6</v>
      </c>
      <c r="G907" s="25">
        <v>6</v>
      </c>
      <c r="H907" s="109">
        <v>6150.4</v>
      </c>
      <c r="I907" s="109">
        <v>193</v>
      </c>
      <c r="J907" s="19">
        <f t="shared" si="92"/>
        <v>1628439.6300000001</v>
      </c>
      <c r="K907" s="73"/>
      <c r="L907" s="73"/>
      <c r="M907" s="73"/>
      <c r="N907" s="19">
        <f>SUMIF('2020'!B:B,B907,'2020'!C:C)+SUMIF('2021'!B:B,B907,'2021'!C:C)+SUMIF('2022'!B:B,B907,'2022'!C:C)</f>
        <v>1628439.6300000001</v>
      </c>
      <c r="O907" s="17">
        <v>44925</v>
      </c>
      <c r="P907" s="116" t="s">
        <v>3728</v>
      </c>
    </row>
    <row r="908" spans="1:16" ht="17.25" customHeight="1" x14ac:dyDescent="0.3">
      <c r="A908" s="169">
        <f t="shared" si="93"/>
        <v>800</v>
      </c>
      <c r="B908" s="21" t="s">
        <v>896</v>
      </c>
      <c r="C908" s="5">
        <v>1940</v>
      </c>
      <c r="D908" s="3"/>
      <c r="E908" s="118" t="s">
        <v>3730</v>
      </c>
      <c r="F908" s="118">
        <v>2</v>
      </c>
      <c r="G908" s="25"/>
      <c r="H908" s="118">
        <v>233.4</v>
      </c>
      <c r="I908" s="118">
        <v>5</v>
      </c>
      <c r="J908" s="19">
        <f t="shared" si="92"/>
        <v>130000</v>
      </c>
      <c r="K908" s="73"/>
      <c r="L908" s="73"/>
      <c r="M908" s="73"/>
      <c r="N908" s="19">
        <f>SUMIF('2020'!B:B,B908,'2020'!C:C)+SUMIF('2021'!B:B,B908,'2021'!C:C)+SUMIF('2022'!B:B,B908,'2022'!C:C)</f>
        <v>130000</v>
      </c>
      <c r="O908" s="17">
        <v>44925</v>
      </c>
      <c r="P908" s="116" t="s">
        <v>3728</v>
      </c>
    </row>
    <row r="909" spans="1:16" ht="17.25" customHeight="1" x14ac:dyDescent="0.3">
      <c r="A909" s="169">
        <f t="shared" si="93"/>
        <v>801</v>
      </c>
      <c r="B909" s="21" t="s">
        <v>897</v>
      </c>
      <c r="C909" s="5">
        <v>1940</v>
      </c>
      <c r="D909" s="3"/>
      <c r="E909" s="109" t="s">
        <v>3645</v>
      </c>
      <c r="F909" s="109">
        <v>3</v>
      </c>
      <c r="G909" s="25">
        <v>1</v>
      </c>
      <c r="H909" s="109">
        <v>816.5</v>
      </c>
      <c r="I909" s="109">
        <v>34</v>
      </c>
      <c r="J909" s="19">
        <f t="shared" si="92"/>
        <v>130000</v>
      </c>
      <c r="K909" s="73"/>
      <c r="L909" s="73"/>
      <c r="M909" s="73"/>
      <c r="N909" s="19">
        <f>SUMIF('2020'!B:B,B909,'2020'!C:C)+SUMIF('2021'!B:B,B909,'2021'!C:C)+SUMIF('2022'!B:B,B909,'2022'!C:C)</f>
        <v>130000</v>
      </c>
      <c r="O909" s="17">
        <v>44925</v>
      </c>
      <c r="P909" s="116" t="s">
        <v>3728</v>
      </c>
    </row>
    <row r="910" spans="1:16" ht="17.25" customHeight="1" x14ac:dyDescent="0.3">
      <c r="A910" s="169">
        <f t="shared" si="93"/>
        <v>802</v>
      </c>
      <c r="B910" s="21" t="s">
        <v>898</v>
      </c>
      <c r="C910" s="5">
        <v>1940</v>
      </c>
      <c r="D910" s="3"/>
      <c r="E910" s="113" t="s">
        <v>3645</v>
      </c>
      <c r="F910" s="109">
        <v>2</v>
      </c>
      <c r="G910" s="25">
        <v>1</v>
      </c>
      <c r="H910" s="109">
        <v>402.49</v>
      </c>
      <c r="I910" s="109">
        <v>19</v>
      </c>
      <c r="J910" s="19">
        <f t="shared" si="92"/>
        <v>275483.71999999997</v>
      </c>
      <c r="K910" s="73"/>
      <c r="L910" s="73"/>
      <c r="M910" s="73"/>
      <c r="N910" s="19">
        <f>SUMIF('2020'!B:B,B910,'2020'!C:C)+SUMIF('2021'!B:B,B910,'2021'!C:C)+SUMIF('2022'!B:B,B910,'2022'!C:C)</f>
        <v>275483.71999999997</v>
      </c>
      <c r="O910" s="17">
        <v>44925</v>
      </c>
      <c r="P910" s="116" t="s">
        <v>3728</v>
      </c>
    </row>
    <row r="911" spans="1:16" ht="17.25" customHeight="1" x14ac:dyDescent="0.3">
      <c r="A911" s="169">
        <f t="shared" si="93"/>
        <v>803</v>
      </c>
      <c r="B911" s="21" t="s">
        <v>899</v>
      </c>
      <c r="C911" s="5">
        <v>1940</v>
      </c>
      <c r="D911" s="3"/>
      <c r="E911" s="109" t="s">
        <v>3645</v>
      </c>
      <c r="F911" s="109">
        <v>3</v>
      </c>
      <c r="G911" s="25">
        <v>2</v>
      </c>
      <c r="H911" s="109">
        <v>787.54</v>
      </c>
      <c r="I911" s="109">
        <v>31</v>
      </c>
      <c r="J911" s="19">
        <f t="shared" si="92"/>
        <v>403994.74</v>
      </c>
      <c r="K911" s="73"/>
      <c r="L911" s="73"/>
      <c r="M911" s="73"/>
      <c r="N911" s="19">
        <f>SUMIF('2020'!B:B,B911,'2020'!C:C)+SUMIF('2021'!B:B,B911,'2021'!C:C)+SUMIF('2022'!B:B,B911,'2022'!C:C)</f>
        <v>403994.74</v>
      </c>
      <c r="O911" s="17">
        <v>44925</v>
      </c>
      <c r="P911" s="116" t="s">
        <v>3728</v>
      </c>
    </row>
    <row r="912" spans="1:16" ht="17.25" customHeight="1" x14ac:dyDescent="0.3">
      <c r="A912" s="169">
        <f t="shared" si="93"/>
        <v>804</v>
      </c>
      <c r="B912" s="21" t="s">
        <v>900</v>
      </c>
      <c r="C912" s="5">
        <v>1940</v>
      </c>
      <c r="D912" s="3"/>
      <c r="E912" s="109" t="s">
        <v>3730</v>
      </c>
      <c r="F912" s="109">
        <v>1</v>
      </c>
      <c r="G912" s="25">
        <v>1</v>
      </c>
      <c r="H912" s="109">
        <v>177.66</v>
      </c>
      <c r="I912" s="109">
        <v>12</v>
      </c>
      <c r="J912" s="19">
        <f t="shared" si="92"/>
        <v>120194.72</v>
      </c>
      <c r="K912" s="73"/>
      <c r="L912" s="73"/>
      <c r="M912" s="73"/>
      <c r="N912" s="19">
        <f>SUMIF('2020'!B:B,B912,'2020'!C:C)+SUMIF('2021'!B:B,B912,'2021'!C:C)+SUMIF('2022'!B:B,B912,'2022'!C:C)</f>
        <v>120194.72</v>
      </c>
      <c r="O912" s="17">
        <v>44925</v>
      </c>
      <c r="P912" s="116" t="s">
        <v>3728</v>
      </c>
    </row>
    <row r="913" spans="1:16" ht="17.25" customHeight="1" x14ac:dyDescent="0.3">
      <c r="A913" s="169">
        <f t="shared" si="93"/>
        <v>805</v>
      </c>
      <c r="B913" s="21" t="s">
        <v>901</v>
      </c>
      <c r="C913" s="5">
        <v>1951</v>
      </c>
      <c r="D913" s="3"/>
      <c r="E913" s="109" t="s">
        <v>3645</v>
      </c>
      <c r="F913" s="109">
        <v>4</v>
      </c>
      <c r="G913" s="25">
        <v>1</v>
      </c>
      <c r="H913" s="109">
        <v>607.92999999999995</v>
      </c>
      <c r="I913" s="109">
        <v>28</v>
      </c>
      <c r="J913" s="19">
        <f t="shared" si="92"/>
        <v>407490.67</v>
      </c>
      <c r="K913" s="73"/>
      <c r="L913" s="73"/>
      <c r="M913" s="73"/>
      <c r="N913" s="19">
        <f>SUMIF('2020'!B:B,B913,'2020'!C:C)+SUMIF('2021'!B:B,B913,'2021'!C:C)+SUMIF('2022'!B:B,B913,'2022'!C:C)</f>
        <v>407490.67</v>
      </c>
      <c r="O913" s="17">
        <v>44925</v>
      </c>
      <c r="P913" s="116" t="s">
        <v>3728</v>
      </c>
    </row>
    <row r="914" spans="1:16" ht="17.25" customHeight="1" x14ac:dyDescent="0.3">
      <c r="A914" s="169">
        <f t="shared" si="93"/>
        <v>806</v>
      </c>
      <c r="B914" s="21" t="s">
        <v>902</v>
      </c>
      <c r="C914" s="5">
        <v>1940</v>
      </c>
      <c r="D914" s="3"/>
      <c r="E914" s="109" t="s">
        <v>3730</v>
      </c>
      <c r="F914" s="109">
        <v>1</v>
      </c>
      <c r="G914" s="25">
        <v>1</v>
      </c>
      <c r="H914" s="109">
        <v>223.4</v>
      </c>
      <c r="I914" s="109">
        <v>13</v>
      </c>
      <c r="J914" s="19">
        <f t="shared" si="92"/>
        <v>120194.72</v>
      </c>
      <c r="K914" s="73"/>
      <c r="L914" s="73"/>
      <c r="M914" s="73"/>
      <c r="N914" s="19">
        <f>SUMIF('2020'!B:B,B914,'2020'!C:C)+SUMIF('2021'!B:B,B914,'2021'!C:C)+SUMIF('2022'!B:B,B914,'2022'!C:C)</f>
        <v>120194.72</v>
      </c>
      <c r="O914" s="17">
        <v>44925</v>
      </c>
      <c r="P914" s="116" t="s">
        <v>3728</v>
      </c>
    </row>
    <row r="915" spans="1:16" ht="17.25" customHeight="1" x14ac:dyDescent="0.3">
      <c r="A915" s="169">
        <f t="shared" si="93"/>
        <v>807</v>
      </c>
      <c r="B915" s="21" t="s">
        <v>903</v>
      </c>
      <c r="C915" s="5">
        <v>1940</v>
      </c>
      <c r="D915" s="3"/>
      <c r="E915" s="109" t="s">
        <v>3645</v>
      </c>
      <c r="F915" s="109">
        <v>3</v>
      </c>
      <c r="G915" s="25">
        <v>1</v>
      </c>
      <c r="H915" s="109">
        <v>448</v>
      </c>
      <c r="I915" s="109">
        <v>15</v>
      </c>
      <c r="J915" s="19">
        <f t="shared" si="92"/>
        <v>397285.27</v>
      </c>
      <c r="K915" s="73"/>
      <c r="L915" s="73"/>
      <c r="M915" s="73"/>
      <c r="N915" s="19">
        <f>SUMIF('2020'!B:B,B915,'2020'!C:C)+SUMIF('2021'!B:B,B915,'2021'!C:C)+SUMIF('2022'!B:B,B915,'2022'!C:C)</f>
        <v>397285.27</v>
      </c>
      <c r="O915" s="17">
        <v>44925</v>
      </c>
      <c r="P915" s="116" t="s">
        <v>3728</v>
      </c>
    </row>
    <row r="916" spans="1:16" ht="17.25" customHeight="1" x14ac:dyDescent="0.3">
      <c r="A916" s="169">
        <f t="shared" si="93"/>
        <v>808</v>
      </c>
      <c r="B916" s="21" t="s">
        <v>904</v>
      </c>
      <c r="C916" s="5">
        <v>1940</v>
      </c>
      <c r="D916" s="3"/>
      <c r="E916" s="109" t="s">
        <v>3645</v>
      </c>
      <c r="F916" s="109">
        <v>3</v>
      </c>
      <c r="G916" s="25">
        <v>1</v>
      </c>
      <c r="H916" s="109">
        <v>581.20000000000005</v>
      </c>
      <c r="I916" s="109">
        <v>14</v>
      </c>
      <c r="J916" s="19">
        <f t="shared" si="92"/>
        <v>355747.80000000005</v>
      </c>
      <c r="K916" s="73"/>
      <c r="L916" s="73"/>
      <c r="M916" s="73"/>
      <c r="N916" s="19">
        <f>SUMIF('2020'!B:B,B916,'2020'!C:C)+SUMIF('2021'!B:B,B916,'2021'!C:C)+SUMIF('2022'!B:B,B916,'2022'!C:C)</f>
        <v>355747.80000000005</v>
      </c>
      <c r="O916" s="17">
        <v>44925</v>
      </c>
      <c r="P916" s="116" t="s">
        <v>3728</v>
      </c>
    </row>
    <row r="917" spans="1:16" ht="17.25" customHeight="1" x14ac:dyDescent="0.3">
      <c r="A917" s="169">
        <f t="shared" si="93"/>
        <v>809</v>
      </c>
      <c r="B917" s="21" t="s">
        <v>905</v>
      </c>
      <c r="C917" s="5">
        <v>1940</v>
      </c>
      <c r="D917" s="3"/>
      <c r="E917" s="109" t="s">
        <v>3645</v>
      </c>
      <c r="F917" s="109">
        <v>3</v>
      </c>
      <c r="G917" s="25">
        <v>6</v>
      </c>
      <c r="H917" s="109">
        <v>444.3</v>
      </c>
      <c r="I917" s="109">
        <v>11</v>
      </c>
      <c r="J917" s="19">
        <f t="shared" si="92"/>
        <v>470197.43</v>
      </c>
      <c r="K917" s="73"/>
      <c r="L917" s="73"/>
      <c r="M917" s="73"/>
      <c r="N917" s="19">
        <f>SUMIF('2020'!B:B,B917,'2020'!C:C)+SUMIF('2021'!B:B,B917,'2021'!C:C)+SUMIF('2022'!B:B,B917,'2022'!C:C)</f>
        <v>470197.43</v>
      </c>
      <c r="O917" s="17">
        <v>44925</v>
      </c>
      <c r="P917" s="116" t="s">
        <v>3728</v>
      </c>
    </row>
    <row r="918" spans="1:16" ht="17.25" customHeight="1" x14ac:dyDescent="0.3">
      <c r="A918" s="169">
        <f t="shared" si="93"/>
        <v>810</v>
      </c>
      <c r="B918" s="21" t="s">
        <v>906</v>
      </c>
      <c r="C918" s="5">
        <v>1977</v>
      </c>
      <c r="D918" s="3"/>
      <c r="E918" s="109" t="s">
        <v>3729</v>
      </c>
      <c r="F918" s="109">
        <v>5</v>
      </c>
      <c r="G918" s="25"/>
      <c r="H918" s="109">
        <v>4410.7</v>
      </c>
      <c r="I918" s="109">
        <v>220</v>
      </c>
      <c r="J918" s="19">
        <f t="shared" si="92"/>
        <v>6605808.0999999996</v>
      </c>
      <c r="K918" s="73"/>
      <c r="L918" s="73"/>
      <c r="M918" s="73"/>
      <c r="N918" s="19">
        <f>SUMIF('2020'!B:B,B918,'2020'!C:C)+SUMIF('2021'!B:B,B918,'2021'!C:C)+SUMIF('2022'!B:B,B918,'2022'!C:C)</f>
        <v>6605808.0999999996</v>
      </c>
      <c r="O918" s="17">
        <v>44925</v>
      </c>
      <c r="P918" s="116" t="s">
        <v>3728</v>
      </c>
    </row>
    <row r="919" spans="1:16" ht="17.25" customHeight="1" x14ac:dyDescent="0.3">
      <c r="A919" s="169">
        <f t="shared" si="93"/>
        <v>811</v>
      </c>
      <c r="B919" s="21" t="s">
        <v>907</v>
      </c>
      <c r="C919" s="5">
        <v>1957</v>
      </c>
      <c r="D919" s="3"/>
      <c r="E919" s="116" t="s">
        <v>3645</v>
      </c>
      <c r="F919" s="114">
        <v>5</v>
      </c>
      <c r="G919" s="25"/>
      <c r="H919" s="116">
        <v>752.02</v>
      </c>
      <c r="I919" s="109">
        <v>15</v>
      </c>
      <c r="J919" s="19">
        <f t="shared" si="92"/>
        <v>4719641.3</v>
      </c>
      <c r="K919" s="73"/>
      <c r="L919" s="73"/>
      <c r="M919" s="73"/>
      <c r="N919" s="19">
        <f>SUMIF('2020'!B:B,B919,'2020'!C:C)+SUMIF('2021'!B:B,B919,'2021'!C:C)+SUMIF('2022'!B:B,B919,'2022'!C:C)</f>
        <v>4719641.3</v>
      </c>
      <c r="O919" s="17">
        <v>44925</v>
      </c>
      <c r="P919" s="116" t="s">
        <v>3728</v>
      </c>
    </row>
    <row r="920" spans="1:16" ht="17.25" customHeight="1" x14ac:dyDescent="0.3">
      <c r="A920" s="169">
        <f t="shared" si="93"/>
        <v>812</v>
      </c>
      <c r="B920" s="21" t="s">
        <v>908</v>
      </c>
      <c r="C920" s="5">
        <v>1940</v>
      </c>
      <c r="D920" s="3"/>
      <c r="E920" s="118" t="s">
        <v>3834</v>
      </c>
      <c r="F920" s="118" t="s">
        <v>3789</v>
      </c>
      <c r="G920" s="25"/>
      <c r="H920" s="119">
        <v>10080</v>
      </c>
      <c r="I920" s="118">
        <v>120</v>
      </c>
      <c r="J920" s="19">
        <f t="shared" si="92"/>
        <v>130000</v>
      </c>
      <c r="K920" s="73"/>
      <c r="L920" s="73"/>
      <c r="M920" s="73"/>
      <c r="N920" s="19">
        <f>SUMIF('2020'!B:B,B920,'2020'!C:C)+SUMIF('2021'!B:B,B920,'2021'!C:C)+SUMIF('2022'!B:B,B920,'2022'!C:C)</f>
        <v>130000</v>
      </c>
      <c r="O920" s="17">
        <v>44925</v>
      </c>
      <c r="P920" s="116" t="s">
        <v>3787</v>
      </c>
    </row>
    <row r="921" spans="1:16" ht="17.25" customHeight="1" x14ac:dyDescent="0.3">
      <c r="A921" s="169">
        <f t="shared" si="93"/>
        <v>813</v>
      </c>
      <c r="B921" s="21" t="s">
        <v>909</v>
      </c>
      <c r="C921" s="5">
        <v>1940</v>
      </c>
      <c r="D921" s="3"/>
      <c r="E921" s="113" t="s">
        <v>3645</v>
      </c>
      <c r="F921" s="109">
        <v>2</v>
      </c>
      <c r="G921" s="25">
        <v>1</v>
      </c>
      <c r="H921" s="109">
        <v>249.2</v>
      </c>
      <c r="I921" s="109">
        <v>12</v>
      </c>
      <c r="J921" s="19">
        <f t="shared" si="92"/>
        <v>310772.21999999997</v>
      </c>
      <c r="K921" s="73"/>
      <c r="L921" s="73"/>
      <c r="M921" s="73"/>
      <c r="N921" s="19">
        <f>SUMIF('2020'!B:B,B921,'2020'!C:C)+SUMIF('2021'!B:B,B921,'2021'!C:C)+SUMIF('2022'!B:B,B921,'2022'!C:C)</f>
        <v>310772.21999999997</v>
      </c>
      <c r="O921" s="17">
        <v>44925</v>
      </c>
      <c r="P921" s="116" t="s">
        <v>3728</v>
      </c>
    </row>
    <row r="922" spans="1:16" ht="17.25" customHeight="1" x14ac:dyDescent="0.3">
      <c r="A922" s="169">
        <f t="shared" si="93"/>
        <v>814</v>
      </c>
      <c r="B922" s="21" t="s">
        <v>910</v>
      </c>
      <c r="C922" s="5">
        <v>1940</v>
      </c>
      <c r="D922" s="3"/>
      <c r="E922" s="115" t="s">
        <v>3730</v>
      </c>
      <c r="F922" s="109">
        <v>2</v>
      </c>
      <c r="G922" s="25">
        <v>1</v>
      </c>
      <c r="H922" s="115">
        <v>204.5</v>
      </c>
      <c r="I922" s="109">
        <v>13</v>
      </c>
      <c r="J922" s="19">
        <f t="shared" si="92"/>
        <v>424232.26</v>
      </c>
      <c r="K922" s="73"/>
      <c r="L922" s="73"/>
      <c r="M922" s="73"/>
      <c r="N922" s="19">
        <f>SUMIF('2020'!B:B,B922,'2020'!C:C)+SUMIF('2021'!B:B,B922,'2021'!C:C)+SUMIF('2022'!B:B,B922,'2022'!C:C)</f>
        <v>424232.26</v>
      </c>
      <c r="O922" s="17">
        <v>44925</v>
      </c>
      <c r="P922" s="116" t="s">
        <v>3728</v>
      </c>
    </row>
    <row r="923" spans="1:16" ht="17.25" customHeight="1" x14ac:dyDescent="0.3">
      <c r="A923" s="169">
        <f t="shared" si="93"/>
        <v>815</v>
      </c>
      <c r="B923" s="21" t="s">
        <v>911</v>
      </c>
      <c r="C923" s="5">
        <v>1940</v>
      </c>
      <c r="D923" s="3"/>
      <c r="E923" s="113" t="s">
        <v>3645</v>
      </c>
      <c r="F923" s="113">
        <v>3</v>
      </c>
      <c r="G923" s="25">
        <v>1</v>
      </c>
      <c r="H923" s="113">
        <v>846.4</v>
      </c>
      <c r="I923" s="113">
        <v>60</v>
      </c>
      <c r="J923" s="19">
        <f t="shared" si="92"/>
        <v>397910.43</v>
      </c>
      <c r="K923" s="73"/>
      <c r="L923" s="73"/>
      <c r="M923" s="73"/>
      <c r="N923" s="19">
        <f>SUMIF('2020'!B:B,B923,'2020'!C:C)+SUMIF('2021'!B:B,B923,'2021'!C:C)+SUMIF('2022'!B:B,B923,'2022'!C:C)</f>
        <v>397910.43</v>
      </c>
      <c r="O923" s="17">
        <v>44925</v>
      </c>
      <c r="P923" s="116" t="s">
        <v>3728</v>
      </c>
    </row>
    <row r="924" spans="1:16" ht="17.25" customHeight="1" x14ac:dyDescent="0.3">
      <c r="A924" s="169">
        <f t="shared" si="93"/>
        <v>816</v>
      </c>
      <c r="B924" s="21" t="s">
        <v>912</v>
      </c>
      <c r="C924" s="5">
        <v>1940</v>
      </c>
      <c r="D924" s="3"/>
      <c r="E924" s="109" t="s">
        <v>3645</v>
      </c>
      <c r="F924" s="109">
        <v>4</v>
      </c>
      <c r="G924" s="25">
        <v>2</v>
      </c>
      <c r="H924" s="109">
        <v>1095.81</v>
      </c>
      <c r="I924" s="109">
        <v>41</v>
      </c>
      <c r="J924" s="19">
        <f t="shared" si="92"/>
        <v>493219.9</v>
      </c>
      <c r="K924" s="73"/>
      <c r="L924" s="73"/>
      <c r="M924" s="73"/>
      <c r="N924" s="19">
        <f>SUMIF('2020'!B:B,B924,'2020'!C:C)+SUMIF('2021'!B:B,B924,'2021'!C:C)+SUMIF('2022'!B:B,B924,'2022'!C:C)</f>
        <v>493219.9</v>
      </c>
      <c r="O924" s="17">
        <v>44925</v>
      </c>
      <c r="P924" s="116" t="s">
        <v>3728</v>
      </c>
    </row>
    <row r="925" spans="1:16" ht="17.25" customHeight="1" x14ac:dyDescent="0.3">
      <c r="A925" s="169">
        <f t="shared" si="93"/>
        <v>817</v>
      </c>
      <c r="B925" s="21" t="s">
        <v>913</v>
      </c>
      <c r="C925" s="5">
        <v>1973</v>
      </c>
      <c r="D925" s="3"/>
      <c r="E925" s="116" t="s">
        <v>3645</v>
      </c>
      <c r="F925" s="109">
        <v>5</v>
      </c>
      <c r="G925" s="25"/>
      <c r="H925" s="113">
        <v>4551.5</v>
      </c>
      <c r="I925" s="109">
        <v>97</v>
      </c>
      <c r="J925" s="19">
        <f t="shared" si="92"/>
        <v>16872390.600000001</v>
      </c>
      <c r="K925" s="73"/>
      <c r="L925" s="73"/>
      <c r="M925" s="73"/>
      <c r="N925" s="19">
        <f>SUMIF('2020'!B:B,B925,'2020'!C:C)+SUMIF('2021'!B:B,B925,'2021'!C:C)+SUMIF('2022'!B:B,B925,'2022'!C:C)</f>
        <v>16872390.600000001</v>
      </c>
      <c r="O925" s="17">
        <v>44925</v>
      </c>
      <c r="P925" s="116" t="s">
        <v>3728</v>
      </c>
    </row>
    <row r="926" spans="1:16" ht="17.25" customHeight="1" x14ac:dyDescent="0.3">
      <c r="A926" s="169">
        <f t="shared" si="93"/>
        <v>818</v>
      </c>
      <c r="B926" s="21" t="s">
        <v>914</v>
      </c>
      <c r="C926" s="5">
        <v>1976</v>
      </c>
      <c r="D926" s="3"/>
      <c r="E926" s="109" t="s">
        <v>3645</v>
      </c>
      <c r="F926" s="109">
        <v>7</v>
      </c>
      <c r="G926" s="25"/>
      <c r="H926" s="109">
        <v>2877.24</v>
      </c>
      <c r="I926" s="109">
        <v>97</v>
      </c>
      <c r="J926" s="19">
        <f t="shared" si="92"/>
        <v>381632.86</v>
      </c>
      <c r="K926" s="73"/>
      <c r="L926" s="73"/>
      <c r="M926" s="73"/>
      <c r="N926" s="19">
        <f>SUMIF('2020'!B:B,B926,'2020'!C:C)+SUMIF('2021'!B:B,B926,'2021'!C:C)+SUMIF('2022'!B:B,B926,'2022'!C:C)</f>
        <v>381632.86</v>
      </c>
      <c r="O926" s="17">
        <v>44925</v>
      </c>
      <c r="P926" s="116" t="s">
        <v>2042</v>
      </c>
    </row>
    <row r="927" spans="1:16" ht="17.25" customHeight="1" x14ac:dyDescent="0.3">
      <c r="A927" s="169">
        <f t="shared" si="93"/>
        <v>819</v>
      </c>
      <c r="B927" s="21" t="s">
        <v>915</v>
      </c>
      <c r="C927" s="5">
        <v>1940</v>
      </c>
      <c r="D927" s="3"/>
      <c r="E927" s="109" t="s">
        <v>3645</v>
      </c>
      <c r="F927" s="109">
        <v>4</v>
      </c>
      <c r="G927" s="25">
        <v>2</v>
      </c>
      <c r="H927" s="109">
        <v>928.2</v>
      </c>
      <c r="I927" s="109">
        <v>31</v>
      </c>
      <c r="J927" s="19">
        <f t="shared" si="92"/>
        <v>432316.98</v>
      </c>
      <c r="K927" s="73"/>
      <c r="L927" s="73"/>
      <c r="M927" s="73"/>
      <c r="N927" s="19">
        <f>SUMIF('2020'!B:B,B927,'2020'!C:C)+SUMIF('2021'!B:B,B927,'2021'!C:C)+SUMIF('2022'!B:B,B927,'2022'!C:C)</f>
        <v>432316.98</v>
      </c>
      <c r="O927" s="17">
        <v>44925</v>
      </c>
      <c r="P927" s="116" t="s">
        <v>3728</v>
      </c>
    </row>
    <row r="928" spans="1:16" ht="17.25" customHeight="1" x14ac:dyDescent="0.3">
      <c r="A928" s="169">
        <f t="shared" si="93"/>
        <v>820</v>
      </c>
      <c r="B928" s="21" t="s">
        <v>916</v>
      </c>
      <c r="C928" s="5">
        <v>1940</v>
      </c>
      <c r="D928" s="3"/>
      <c r="E928" s="109" t="s">
        <v>3645</v>
      </c>
      <c r="F928" s="109" t="s">
        <v>3791</v>
      </c>
      <c r="G928" s="25">
        <v>2</v>
      </c>
      <c r="H928" s="109">
        <v>864.9</v>
      </c>
      <c r="I928" s="109">
        <v>22</v>
      </c>
      <c r="J928" s="19">
        <f t="shared" si="92"/>
        <v>315842.38</v>
      </c>
      <c r="K928" s="73"/>
      <c r="L928" s="73"/>
      <c r="M928" s="73"/>
      <c r="N928" s="19">
        <f>SUMIF('2020'!B:B,B928,'2020'!C:C)+SUMIF('2021'!B:B,B928,'2021'!C:C)+SUMIF('2022'!B:B,B928,'2022'!C:C)</f>
        <v>315842.38</v>
      </c>
      <c r="O928" s="17">
        <v>44925</v>
      </c>
      <c r="P928" s="116" t="s">
        <v>3728</v>
      </c>
    </row>
    <row r="929" spans="1:16" ht="17.25" customHeight="1" x14ac:dyDescent="0.3">
      <c r="A929" s="169">
        <f t="shared" si="93"/>
        <v>821</v>
      </c>
      <c r="B929" s="21" t="s">
        <v>917</v>
      </c>
      <c r="C929" s="5">
        <v>1940</v>
      </c>
      <c r="D929" s="3"/>
      <c r="E929" s="118" t="s">
        <v>3730</v>
      </c>
      <c r="F929" s="118">
        <v>2</v>
      </c>
      <c r="G929" s="25"/>
      <c r="H929" s="118">
        <v>137.30000000000001</v>
      </c>
      <c r="I929" s="118">
        <v>7</v>
      </c>
      <c r="J929" s="19">
        <f t="shared" si="92"/>
        <v>130000</v>
      </c>
      <c r="K929" s="73"/>
      <c r="L929" s="73"/>
      <c r="M929" s="73"/>
      <c r="N929" s="19">
        <f>SUMIF('2020'!B:B,B929,'2020'!C:C)+SUMIF('2021'!B:B,B929,'2021'!C:C)+SUMIF('2022'!B:B,B929,'2022'!C:C)</f>
        <v>130000</v>
      </c>
      <c r="O929" s="17">
        <v>44925</v>
      </c>
      <c r="P929" s="116" t="s">
        <v>3728</v>
      </c>
    </row>
    <row r="930" spans="1:16" ht="17.25" customHeight="1" x14ac:dyDescent="0.3">
      <c r="A930" s="169">
        <f t="shared" si="93"/>
        <v>822</v>
      </c>
      <c r="B930" s="21" t="s">
        <v>918</v>
      </c>
      <c r="C930" s="5">
        <v>1915</v>
      </c>
      <c r="D930" s="3"/>
      <c r="E930" s="118" t="s">
        <v>3730</v>
      </c>
      <c r="F930" s="109">
        <v>2</v>
      </c>
      <c r="G930" s="25">
        <v>1</v>
      </c>
      <c r="H930" s="109">
        <v>461.5</v>
      </c>
      <c r="I930" s="109">
        <v>16</v>
      </c>
      <c r="J930" s="19">
        <f t="shared" si="92"/>
        <v>130000</v>
      </c>
      <c r="K930" s="73"/>
      <c r="L930" s="73"/>
      <c r="M930" s="73"/>
      <c r="N930" s="19">
        <f>SUMIF('2020'!B:B,B930,'2020'!C:C)+SUMIF('2021'!B:B,B930,'2021'!C:C)+SUMIF('2022'!B:B,B930,'2022'!C:C)</f>
        <v>130000</v>
      </c>
      <c r="O930" s="17">
        <v>44925</v>
      </c>
      <c r="P930" s="116" t="s">
        <v>3728</v>
      </c>
    </row>
    <row r="931" spans="1:16" ht="17.25" customHeight="1" x14ac:dyDescent="0.3">
      <c r="A931" s="169">
        <f t="shared" si="93"/>
        <v>823</v>
      </c>
      <c r="B931" s="21" t="s">
        <v>919</v>
      </c>
      <c r="C931" s="5">
        <v>1940</v>
      </c>
      <c r="D931" s="3"/>
      <c r="E931" s="109" t="s">
        <v>3645</v>
      </c>
      <c r="F931" s="109">
        <v>5</v>
      </c>
      <c r="G931" s="25"/>
      <c r="H931" s="109">
        <v>7064.24</v>
      </c>
      <c r="I931" s="109">
        <v>148</v>
      </c>
      <c r="J931" s="19">
        <f t="shared" si="92"/>
        <v>625823.22</v>
      </c>
      <c r="K931" s="73"/>
      <c r="L931" s="73"/>
      <c r="M931" s="73"/>
      <c r="N931" s="19">
        <f>SUMIF('2020'!B:B,B931,'2020'!C:C)+SUMIF('2021'!B:B,B931,'2021'!C:C)+SUMIF('2022'!B:B,B931,'2022'!C:C)</f>
        <v>625823.22</v>
      </c>
      <c r="O931" s="17">
        <v>44925</v>
      </c>
      <c r="P931" s="116" t="s">
        <v>3728</v>
      </c>
    </row>
    <row r="932" spans="1:16" ht="17.25" customHeight="1" x14ac:dyDescent="0.3">
      <c r="A932" s="169">
        <f t="shared" si="93"/>
        <v>824</v>
      </c>
      <c r="B932" s="21" t="s">
        <v>920</v>
      </c>
      <c r="C932" s="5">
        <v>1940</v>
      </c>
      <c r="D932" s="3"/>
      <c r="E932" s="109" t="s">
        <v>3645</v>
      </c>
      <c r="F932" s="109">
        <v>4</v>
      </c>
      <c r="G932" s="25"/>
      <c r="H932" s="109">
        <v>2011.54</v>
      </c>
      <c r="I932" s="109">
        <v>42</v>
      </c>
      <c r="J932" s="19">
        <f t="shared" si="92"/>
        <v>228919.55</v>
      </c>
      <c r="K932" s="73"/>
      <c r="L932" s="73"/>
      <c r="M932" s="73"/>
      <c r="N932" s="19">
        <f>SUMIF('2020'!B:B,B932,'2020'!C:C)+SUMIF('2021'!B:B,B932,'2021'!C:C)+SUMIF('2022'!B:B,B932,'2022'!C:C)</f>
        <v>228919.55</v>
      </c>
      <c r="O932" s="17">
        <v>44925</v>
      </c>
      <c r="P932" s="116" t="s">
        <v>3728</v>
      </c>
    </row>
    <row r="933" spans="1:16" ht="17.25" customHeight="1" x14ac:dyDescent="0.3">
      <c r="A933" s="169">
        <f t="shared" si="93"/>
        <v>825</v>
      </c>
      <c r="B933" s="21" t="s">
        <v>921</v>
      </c>
      <c r="C933" s="5">
        <v>1940</v>
      </c>
      <c r="D933" s="3"/>
      <c r="E933" s="115" t="s">
        <v>3730</v>
      </c>
      <c r="F933" s="109">
        <v>2</v>
      </c>
      <c r="G933" s="25">
        <v>1</v>
      </c>
      <c r="H933" s="115">
        <v>216</v>
      </c>
      <c r="I933" s="109">
        <v>6</v>
      </c>
      <c r="J933" s="19">
        <f t="shared" si="92"/>
        <v>495423.45999999996</v>
      </c>
      <c r="K933" s="73"/>
      <c r="L933" s="73"/>
      <c r="M933" s="73"/>
      <c r="N933" s="19">
        <f>SUMIF('2020'!B:B,B933,'2020'!C:C)+SUMIF('2021'!B:B,B933,'2021'!C:C)+SUMIF('2022'!B:B,B933,'2022'!C:C)</f>
        <v>495423.45999999996</v>
      </c>
      <c r="O933" s="17">
        <v>44925</v>
      </c>
      <c r="P933" s="116" t="s">
        <v>3728</v>
      </c>
    </row>
    <row r="934" spans="1:16" ht="17.25" customHeight="1" x14ac:dyDescent="0.3">
      <c r="A934" s="169">
        <f t="shared" si="93"/>
        <v>826</v>
      </c>
      <c r="B934" s="21" t="s">
        <v>922</v>
      </c>
      <c r="C934" s="5">
        <v>1940</v>
      </c>
      <c r="D934" s="3"/>
      <c r="E934" s="115" t="s">
        <v>3730</v>
      </c>
      <c r="F934" s="109">
        <v>1</v>
      </c>
      <c r="G934" s="25">
        <v>1</v>
      </c>
      <c r="H934" s="115">
        <v>86</v>
      </c>
      <c r="I934" s="109">
        <v>3</v>
      </c>
      <c r="J934" s="19">
        <f t="shared" si="92"/>
        <v>122918.04000000001</v>
      </c>
      <c r="K934" s="73"/>
      <c r="L934" s="73"/>
      <c r="M934" s="73"/>
      <c r="N934" s="19">
        <f>SUMIF('2020'!B:B,B934,'2020'!C:C)+SUMIF('2021'!B:B,B934,'2021'!C:C)+SUMIF('2022'!B:B,B934,'2022'!C:C)</f>
        <v>122918.04000000001</v>
      </c>
      <c r="O934" s="17">
        <v>44925</v>
      </c>
      <c r="P934" s="116" t="s">
        <v>3728</v>
      </c>
    </row>
    <row r="935" spans="1:16" ht="17.25" customHeight="1" x14ac:dyDescent="0.3">
      <c r="A935" s="169">
        <f t="shared" si="93"/>
        <v>827</v>
      </c>
      <c r="B935" s="21" t="s">
        <v>923</v>
      </c>
      <c r="C935" s="5">
        <v>1940</v>
      </c>
      <c r="D935" s="3"/>
      <c r="E935" s="115" t="s">
        <v>3730</v>
      </c>
      <c r="F935" s="109">
        <v>2</v>
      </c>
      <c r="G935" s="25">
        <v>2</v>
      </c>
      <c r="H935" s="115">
        <v>283.72000000000003</v>
      </c>
      <c r="I935" s="109">
        <v>7</v>
      </c>
      <c r="J935" s="19">
        <f t="shared" si="92"/>
        <v>347197.29</v>
      </c>
      <c r="K935" s="73"/>
      <c r="L935" s="73"/>
      <c r="M935" s="73"/>
      <c r="N935" s="19">
        <f>SUMIF('2020'!B:B,B935,'2020'!C:C)+SUMIF('2021'!B:B,B935,'2021'!C:C)+SUMIF('2022'!B:B,B935,'2022'!C:C)</f>
        <v>347197.29</v>
      </c>
      <c r="O935" s="17">
        <v>44925</v>
      </c>
      <c r="P935" s="116" t="s">
        <v>3728</v>
      </c>
    </row>
    <row r="936" spans="1:16" ht="17.25" customHeight="1" x14ac:dyDescent="0.3">
      <c r="A936" s="169">
        <f t="shared" si="93"/>
        <v>828</v>
      </c>
      <c r="B936" s="21" t="s">
        <v>924</v>
      </c>
      <c r="C936" s="5">
        <v>1940</v>
      </c>
      <c r="D936" s="3"/>
      <c r="E936" s="113" t="s">
        <v>3645</v>
      </c>
      <c r="F936" s="115">
        <v>4</v>
      </c>
      <c r="G936" s="25">
        <v>1</v>
      </c>
      <c r="H936" s="115">
        <v>804.66</v>
      </c>
      <c r="I936" s="113">
        <v>46</v>
      </c>
      <c r="J936" s="19">
        <f t="shared" si="92"/>
        <v>510529.53</v>
      </c>
      <c r="K936" s="73"/>
      <c r="L936" s="73"/>
      <c r="M936" s="73"/>
      <c r="N936" s="19">
        <f>SUMIF('2020'!B:B,B936,'2020'!C:C)+SUMIF('2021'!B:B,B936,'2021'!C:C)+SUMIF('2022'!B:B,B936,'2022'!C:C)</f>
        <v>510529.53</v>
      </c>
      <c r="O936" s="17">
        <v>44925</v>
      </c>
      <c r="P936" s="116" t="s">
        <v>3728</v>
      </c>
    </row>
    <row r="937" spans="1:16" ht="17.25" customHeight="1" x14ac:dyDescent="0.3">
      <c r="A937" s="169">
        <f t="shared" si="93"/>
        <v>829</v>
      </c>
      <c r="B937" s="21" t="s">
        <v>925</v>
      </c>
      <c r="C937" s="5">
        <v>1940</v>
      </c>
      <c r="D937" s="3"/>
      <c r="E937" s="113" t="s">
        <v>3645</v>
      </c>
      <c r="F937" s="115">
        <v>2</v>
      </c>
      <c r="G937" s="25">
        <v>1</v>
      </c>
      <c r="H937" s="115">
        <v>788.62</v>
      </c>
      <c r="I937" s="113">
        <v>12</v>
      </c>
      <c r="J937" s="19">
        <f t="shared" si="92"/>
        <v>644698.81000000006</v>
      </c>
      <c r="K937" s="73"/>
      <c r="L937" s="73"/>
      <c r="M937" s="73"/>
      <c r="N937" s="19">
        <f>SUMIF('2020'!B:B,B937,'2020'!C:C)+SUMIF('2021'!B:B,B937,'2021'!C:C)+SUMIF('2022'!B:B,B937,'2022'!C:C)</f>
        <v>644698.81000000006</v>
      </c>
      <c r="O937" s="17">
        <v>44925</v>
      </c>
      <c r="P937" s="116" t="s">
        <v>3728</v>
      </c>
    </row>
    <row r="938" spans="1:16" ht="17.25" customHeight="1" x14ac:dyDescent="0.3">
      <c r="A938" s="169">
        <f t="shared" si="93"/>
        <v>830</v>
      </c>
      <c r="B938" s="21" t="s">
        <v>926</v>
      </c>
      <c r="C938" s="5">
        <v>1940</v>
      </c>
      <c r="D938" s="3"/>
      <c r="E938" s="113" t="s">
        <v>3645</v>
      </c>
      <c r="F938" s="115">
        <v>2</v>
      </c>
      <c r="G938" s="25">
        <v>1</v>
      </c>
      <c r="H938" s="115">
        <v>452.05</v>
      </c>
      <c r="I938" s="113">
        <v>11</v>
      </c>
      <c r="J938" s="19">
        <f t="shared" si="92"/>
        <v>602301.46</v>
      </c>
      <c r="K938" s="73"/>
      <c r="L938" s="73"/>
      <c r="M938" s="73"/>
      <c r="N938" s="19">
        <f>SUMIF('2020'!B:B,B938,'2020'!C:C)+SUMIF('2021'!B:B,B938,'2021'!C:C)+SUMIF('2022'!B:B,B938,'2022'!C:C)</f>
        <v>602301.46</v>
      </c>
      <c r="O938" s="17">
        <v>44925</v>
      </c>
      <c r="P938" s="116" t="s">
        <v>3728</v>
      </c>
    </row>
    <row r="939" spans="1:16" ht="17.25" customHeight="1" x14ac:dyDescent="0.3">
      <c r="A939" s="169">
        <f t="shared" si="93"/>
        <v>831</v>
      </c>
      <c r="B939" s="21" t="s">
        <v>927</v>
      </c>
      <c r="C939" s="5">
        <v>1940</v>
      </c>
      <c r="D939" s="3"/>
      <c r="E939" s="109" t="s">
        <v>3729</v>
      </c>
      <c r="F939" s="109">
        <v>5</v>
      </c>
      <c r="G939" s="25">
        <v>4</v>
      </c>
      <c r="H939" s="109" t="s">
        <v>3793</v>
      </c>
      <c r="I939" s="109">
        <v>147</v>
      </c>
      <c r="J939" s="19">
        <f t="shared" si="92"/>
        <v>478439.23</v>
      </c>
      <c r="K939" s="73"/>
      <c r="L939" s="73"/>
      <c r="M939" s="73"/>
      <c r="N939" s="19">
        <f>SUMIF('2020'!B:B,B939,'2020'!C:C)+SUMIF('2021'!B:B,B939,'2021'!C:C)+SUMIF('2022'!B:B,B939,'2022'!C:C)</f>
        <v>478439.23</v>
      </c>
      <c r="O939" s="17">
        <v>44925</v>
      </c>
      <c r="P939" s="116" t="s">
        <v>3728</v>
      </c>
    </row>
    <row r="940" spans="1:16" ht="17.25" customHeight="1" x14ac:dyDescent="0.3">
      <c r="A940" s="169">
        <f t="shared" si="93"/>
        <v>832</v>
      </c>
      <c r="B940" s="21" t="s">
        <v>928</v>
      </c>
      <c r="C940" s="5">
        <v>1940</v>
      </c>
      <c r="D940" s="3"/>
      <c r="E940" s="109" t="s">
        <v>3645</v>
      </c>
      <c r="F940" s="109">
        <v>7</v>
      </c>
      <c r="G940" s="25">
        <v>1</v>
      </c>
      <c r="H940" s="109">
        <v>2244.6999999999998</v>
      </c>
      <c r="I940" s="109">
        <v>63</v>
      </c>
      <c r="J940" s="19">
        <f t="shared" si="92"/>
        <v>752308.52</v>
      </c>
      <c r="K940" s="73"/>
      <c r="L940" s="73"/>
      <c r="M940" s="73"/>
      <c r="N940" s="19">
        <f>SUMIF('2020'!B:B,B940,'2020'!C:C)+SUMIF('2021'!B:B,B940,'2021'!C:C)+SUMIF('2022'!B:B,B940,'2022'!C:C)</f>
        <v>752308.52</v>
      </c>
      <c r="O940" s="17">
        <v>44925</v>
      </c>
      <c r="P940" s="116" t="s">
        <v>3728</v>
      </c>
    </row>
    <row r="941" spans="1:16" ht="17.25" customHeight="1" x14ac:dyDescent="0.3">
      <c r="A941" s="169">
        <f t="shared" si="93"/>
        <v>833</v>
      </c>
      <c r="B941" s="21" t="s">
        <v>929</v>
      </c>
      <c r="C941" s="5">
        <v>1926</v>
      </c>
      <c r="D941" s="3"/>
      <c r="E941" s="109" t="s">
        <v>3730</v>
      </c>
      <c r="F941" s="109">
        <v>2</v>
      </c>
      <c r="G941" s="25">
        <v>1</v>
      </c>
      <c r="H941" s="109">
        <v>368.96</v>
      </c>
      <c r="I941" s="109">
        <v>21</v>
      </c>
      <c r="J941" s="19">
        <f t="shared" si="92"/>
        <v>565107.5</v>
      </c>
      <c r="K941" s="73"/>
      <c r="L941" s="73"/>
      <c r="M941" s="73"/>
      <c r="N941" s="19">
        <f>SUMIF('2020'!B:B,B941,'2020'!C:C)+SUMIF('2021'!B:B,B941,'2021'!C:C)+SUMIF('2022'!B:B,B941,'2022'!C:C)</f>
        <v>565107.5</v>
      </c>
      <c r="O941" s="17">
        <v>44925</v>
      </c>
      <c r="P941" s="116" t="s">
        <v>3728</v>
      </c>
    </row>
    <row r="942" spans="1:16" ht="17.25" customHeight="1" x14ac:dyDescent="0.3">
      <c r="A942" s="169">
        <f t="shared" si="93"/>
        <v>834</v>
      </c>
      <c r="B942" s="21" t="s">
        <v>930</v>
      </c>
      <c r="C942" s="5">
        <v>1940</v>
      </c>
      <c r="D942" s="3"/>
      <c r="E942" s="115" t="s">
        <v>3730</v>
      </c>
      <c r="F942" s="109">
        <v>1</v>
      </c>
      <c r="G942" s="25">
        <v>1</v>
      </c>
      <c r="H942" s="115">
        <v>158.26</v>
      </c>
      <c r="I942" s="109">
        <v>3</v>
      </c>
      <c r="J942" s="19">
        <f t="shared" si="92"/>
        <v>133642.66999999998</v>
      </c>
      <c r="K942" s="73"/>
      <c r="L942" s="73"/>
      <c r="M942" s="73"/>
      <c r="N942" s="19">
        <f>SUMIF('2020'!B:B,B942,'2020'!C:C)+SUMIF('2021'!B:B,B942,'2021'!C:C)+SUMIF('2022'!B:B,B942,'2022'!C:C)</f>
        <v>133642.66999999998</v>
      </c>
      <c r="O942" s="17">
        <v>44925</v>
      </c>
      <c r="P942" s="116" t="s">
        <v>3728</v>
      </c>
    </row>
    <row r="943" spans="1:16" ht="17.25" customHeight="1" x14ac:dyDescent="0.3">
      <c r="A943" s="169">
        <f t="shared" si="93"/>
        <v>835</v>
      </c>
      <c r="B943" s="21" t="s">
        <v>931</v>
      </c>
      <c r="C943" s="5">
        <v>1940</v>
      </c>
      <c r="D943" s="3"/>
      <c r="E943" s="113" t="s">
        <v>3645</v>
      </c>
      <c r="F943" s="109">
        <v>1</v>
      </c>
      <c r="G943" s="25">
        <v>2</v>
      </c>
      <c r="H943" s="113">
        <v>213.42</v>
      </c>
      <c r="I943" s="109">
        <v>5</v>
      </c>
      <c r="J943" s="19">
        <f t="shared" si="92"/>
        <v>160296.98000000001</v>
      </c>
      <c r="K943" s="73"/>
      <c r="L943" s="73"/>
      <c r="M943" s="73"/>
      <c r="N943" s="19">
        <f>SUMIF('2020'!B:B,B943,'2020'!C:C)+SUMIF('2021'!B:B,B943,'2021'!C:C)+SUMIF('2022'!B:B,B943,'2022'!C:C)</f>
        <v>160296.98000000001</v>
      </c>
      <c r="O943" s="17">
        <v>44925</v>
      </c>
      <c r="P943" s="116" t="s">
        <v>3728</v>
      </c>
    </row>
    <row r="944" spans="1:16" ht="17.25" customHeight="1" x14ac:dyDescent="0.3">
      <c r="A944" s="169">
        <f t="shared" si="93"/>
        <v>836</v>
      </c>
      <c r="B944" s="21" t="s">
        <v>932</v>
      </c>
      <c r="C944" s="5">
        <v>1940</v>
      </c>
      <c r="D944" s="3"/>
      <c r="E944" s="109" t="s">
        <v>3645</v>
      </c>
      <c r="F944" s="109">
        <v>2</v>
      </c>
      <c r="G944" s="25">
        <v>2</v>
      </c>
      <c r="H944" s="109">
        <v>659.71</v>
      </c>
      <c r="I944" s="109">
        <v>26</v>
      </c>
      <c r="J944" s="19">
        <f t="shared" ref="J944:J1007" si="94">K944+L944+M944+N944</f>
        <v>321146.03000000003</v>
      </c>
      <c r="K944" s="73"/>
      <c r="L944" s="73"/>
      <c r="M944" s="73"/>
      <c r="N944" s="19">
        <f>SUMIF('2020'!B:B,B944,'2020'!C:C)+SUMIF('2021'!B:B,B944,'2021'!C:C)+SUMIF('2022'!B:B,B944,'2022'!C:C)</f>
        <v>321146.03000000003</v>
      </c>
      <c r="O944" s="17">
        <v>44925</v>
      </c>
      <c r="P944" s="116" t="s">
        <v>3728</v>
      </c>
    </row>
    <row r="945" spans="1:16" ht="17.25" customHeight="1" x14ac:dyDescent="0.3">
      <c r="A945" s="169">
        <f t="shared" si="93"/>
        <v>837</v>
      </c>
      <c r="B945" s="21" t="s">
        <v>933</v>
      </c>
      <c r="C945" s="5">
        <v>1940</v>
      </c>
      <c r="D945" s="3"/>
      <c r="E945" s="109" t="s">
        <v>3645</v>
      </c>
      <c r="F945" s="109" t="s">
        <v>3791</v>
      </c>
      <c r="G945" s="25">
        <v>2</v>
      </c>
      <c r="H945" s="109">
        <v>1482.74</v>
      </c>
      <c r="I945" s="109">
        <v>42</v>
      </c>
      <c r="J945" s="19">
        <f t="shared" si="94"/>
        <v>446045.85</v>
      </c>
      <c r="K945" s="73"/>
      <c r="L945" s="73"/>
      <c r="M945" s="73"/>
      <c r="N945" s="19">
        <f>SUMIF('2020'!B:B,B945,'2020'!C:C)+SUMIF('2021'!B:B,B945,'2021'!C:C)+SUMIF('2022'!B:B,B945,'2022'!C:C)</f>
        <v>446045.85</v>
      </c>
      <c r="O945" s="17">
        <v>44925</v>
      </c>
      <c r="P945" s="116" t="s">
        <v>3728</v>
      </c>
    </row>
    <row r="946" spans="1:16" ht="17.25" customHeight="1" x14ac:dyDescent="0.3">
      <c r="A946" s="169">
        <f t="shared" si="93"/>
        <v>838</v>
      </c>
      <c r="B946" s="21" t="s">
        <v>934</v>
      </c>
      <c r="C946" s="5">
        <v>1940</v>
      </c>
      <c r="D946" s="3"/>
      <c r="E946" s="109" t="s">
        <v>3645</v>
      </c>
      <c r="F946" s="109" t="s">
        <v>3791</v>
      </c>
      <c r="G946" s="25">
        <v>1</v>
      </c>
      <c r="H946" s="109">
        <v>478.21</v>
      </c>
      <c r="I946" s="109">
        <v>22</v>
      </c>
      <c r="J946" s="19">
        <f t="shared" si="94"/>
        <v>349306.14</v>
      </c>
      <c r="K946" s="73"/>
      <c r="L946" s="73"/>
      <c r="M946" s="73"/>
      <c r="N946" s="19">
        <f>SUMIF('2020'!B:B,B946,'2020'!C:C)+SUMIF('2021'!B:B,B946,'2021'!C:C)+SUMIF('2022'!B:B,B946,'2022'!C:C)</f>
        <v>349306.14</v>
      </c>
      <c r="O946" s="17">
        <v>44925</v>
      </c>
      <c r="P946" s="116" t="s">
        <v>3728</v>
      </c>
    </row>
    <row r="947" spans="1:16" ht="17.25" customHeight="1" x14ac:dyDescent="0.3">
      <c r="A947" s="169">
        <f t="shared" si="93"/>
        <v>839</v>
      </c>
      <c r="B947" s="21" t="s">
        <v>935</v>
      </c>
      <c r="C947" s="5">
        <v>1940</v>
      </c>
      <c r="D947" s="3"/>
      <c r="E947" s="113" t="s">
        <v>3645</v>
      </c>
      <c r="F947" s="109">
        <v>2</v>
      </c>
      <c r="G947" s="25">
        <v>1</v>
      </c>
      <c r="H947" s="113">
        <v>425.8</v>
      </c>
      <c r="I947" s="109">
        <v>17</v>
      </c>
      <c r="J947" s="19">
        <f t="shared" si="94"/>
        <v>341949.79000000004</v>
      </c>
      <c r="K947" s="73"/>
      <c r="L947" s="73"/>
      <c r="M947" s="73"/>
      <c r="N947" s="19">
        <f>SUMIF('2020'!B:B,B947,'2020'!C:C)+SUMIF('2021'!B:B,B947,'2021'!C:C)+SUMIF('2022'!B:B,B947,'2022'!C:C)</f>
        <v>341949.79000000004</v>
      </c>
      <c r="O947" s="17">
        <v>44925</v>
      </c>
      <c r="P947" s="116" t="s">
        <v>3728</v>
      </c>
    </row>
    <row r="948" spans="1:16" ht="17.25" customHeight="1" x14ac:dyDescent="0.3">
      <c r="A948" s="169">
        <f t="shared" si="93"/>
        <v>840</v>
      </c>
      <c r="B948" s="21" t="s">
        <v>936</v>
      </c>
      <c r="C948" s="5">
        <v>1940</v>
      </c>
      <c r="D948" s="3"/>
      <c r="E948" s="109" t="s">
        <v>3730</v>
      </c>
      <c r="F948" s="109">
        <v>1</v>
      </c>
      <c r="G948" s="25">
        <v>1</v>
      </c>
      <c r="H948" s="113">
        <v>133.28</v>
      </c>
      <c r="I948" s="109">
        <v>15</v>
      </c>
      <c r="J948" s="19">
        <f t="shared" si="94"/>
        <v>153108.62</v>
      </c>
      <c r="K948" s="73"/>
      <c r="L948" s="73"/>
      <c r="M948" s="73"/>
      <c r="N948" s="19">
        <f>SUMIF('2020'!B:B,B948,'2020'!C:C)+SUMIF('2021'!B:B,B948,'2021'!C:C)+SUMIF('2022'!B:B,B948,'2022'!C:C)</f>
        <v>153108.62</v>
      </c>
      <c r="O948" s="17">
        <v>44925</v>
      </c>
      <c r="P948" s="116" t="s">
        <v>3728</v>
      </c>
    </row>
    <row r="949" spans="1:16" ht="17.25" customHeight="1" x14ac:dyDescent="0.3">
      <c r="A949" s="169">
        <f t="shared" ref="A949:A1012" si="95">A948+1</f>
        <v>841</v>
      </c>
      <c r="B949" s="21" t="s">
        <v>937</v>
      </c>
      <c r="C949" s="5">
        <v>1940</v>
      </c>
      <c r="D949" s="3"/>
      <c r="E949" s="109" t="s">
        <v>3645</v>
      </c>
      <c r="F949" s="109">
        <v>3</v>
      </c>
      <c r="G949" s="25">
        <v>2</v>
      </c>
      <c r="H949" s="109">
        <v>1273.8800000000001</v>
      </c>
      <c r="I949" s="109">
        <v>58</v>
      </c>
      <c r="J949" s="19">
        <f t="shared" si="94"/>
        <v>374091.16</v>
      </c>
      <c r="K949" s="73"/>
      <c r="L949" s="73"/>
      <c r="M949" s="73"/>
      <c r="N949" s="19">
        <f>SUMIF('2020'!B:B,B949,'2020'!C:C)+SUMIF('2021'!B:B,B949,'2021'!C:C)+SUMIF('2022'!B:B,B949,'2022'!C:C)</f>
        <v>374091.16</v>
      </c>
      <c r="O949" s="17">
        <v>44925</v>
      </c>
      <c r="P949" s="116" t="s">
        <v>3728</v>
      </c>
    </row>
    <row r="950" spans="1:16" ht="17.25" customHeight="1" x14ac:dyDescent="0.3">
      <c r="A950" s="169">
        <f t="shared" si="95"/>
        <v>842</v>
      </c>
      <c r="B950" s="21" t="s">
        <v>938</v>
      </c>
      <c r="C950" s="5">
        <v>1940</v>
      </c>
      <c r="D950" s="3"/>
      <c r="E950" s="109" t="s">
        <v>3645</v>
      </c>
      <c r="F950" s="109">
        <v>4</v>
      </c>
      <c r="G950" s="25">
        <v>1</v>
      </c>
      <c r="H950" s="109" t="s">
        <v>3794</v>
      </c>
      <c r="I950" s="109">
        <v>74</v>
      </c>
      <c r="J950" s="19">
        <f t="shared" si="94"/>
        <v>780640.52</v>
      </c>
      <c r="K950" s="73"/>
      <c r="L950" s="73"/>
      <c r="M950" s="73"/>
      <c r="N950" s="19">
        <f>SUMIF('2020'!B:B,B950,'2020'!C:C)+SUMIF('2021'!B:B,B950,'2021'!C:C)+SUMIF('2022'!B:B,B950,'2022'!C:C)</f>
        <v>780640.52</v>
      </c>
      <c r="O950" s="17">
        <v>44925</v>
      </c>
      <c r="P950" s="116" t="s">
        <v>3728</v>
      </c>
    </row>
    <row r="951" spans="1:16" ht="17.25" customHeight="1" x14ac:dyDescent="0.3">
      <c r="A951" s="169">
        <f t="shared" si="95"/>
        <v>843</v>
      </c>
      <c r="B951" s="21" t="s">
        <v>939</v>
      </c>
      <c r="C951" s="5">
        <v>1940</v>
      </c>
      <c r="D951" s="3"/>
      <c r="E951" s="109" t="s">
        <v>3645</v>
      </c>
      <c r="F951" s="109">
        <v>3</v>
      </c>
      <c r="G951" s="25">
        <v>1</v>
      </c>
      <c r="H951" s="109">
        <v>596.1</v>
      </c>
      <c r="I951" s="109">
        <v>17</v>
      </c>
      <c r="J951" s="19">
        <f t="shared" si="94"/>
        <v>359249.15</v>
      </c>
      <c r="K951" s="73"/>
      <c r="L951" s="73"/>
      <c r="M951" s="73"/>
      <c r="N951" s="19">
        <f>SUMIF('2020'!B:B,B951,'2020'!C:C)+SUMIF('2021'!B:B,B951,'2021'!C:C)+SUMIF('2022'!B:B,B951,'2022'!C:C)</f>
        <v>359249.15</v>
      </c>
      <c r="O951" s="17">
        <v>44925</v>
      </c>
      <c r="P951" s="116" t="s">
        <v>3728</v>
      </c>
    </row>
    <row r="952" spans="1:16" ht="17.25" customHeight="1" x14ac:dyDescent="0.3">
      <c r="A952" s="169">
        <f t="shared" si="95"/>
        <v>844</v>
      </c>
      <c r="B952" s="21" t="s">
        <v>940</v>
      </c>
      <c r="C952" s="5">
        <v>1940</v>
      </c>
      <c r="D952" s="3"/>
      <c r="E952" s="109" t="s">
        <v>3645</v>
      </c>
      <c r="F952" s="109" t="s">
        <v>3791</v>
      </c>
      <c r="G952" s="25">
        <v>1</v>
      </c>
      <c r="H952" s="109">
        <v>579.6</v>
      </c>
      <c r="I952" s="109">
        <v>11</v>
      </c>
      <c r="J952" s="19">
        <f t="shared" si="94"/>
        <v>358125.09</v>
      </c>
      <c r="K952" s="73"/>
      <c r="L952" s="73"/>
      <c r="M952" s="73"/>
      <c r="N952" s="19">
        <f>SUMIF('2020'!B:B,B952,'2020'!C:C)+SUMIF('2021'!B:B,B952,'2021'!C:C)+SUMIF('2022'!B:B,B952,'2022'!C:C)</f>
        <v>358125.09</v>
      </c>
      <c r="O952" s="17">
        <v>44925</v>
      </c>
      <c r="P952" s="116" t="s">
        <v>3728</v>
      </c>
    </row>
    <row r="953" spans="1:16" ht="17.25" customHeight="1" x14ac:dyDescent="0.3">
      <c r="A953" s="169">
        <f t="shared" si="95"/>
        <v>845</v>
      </c>
      <c r="B953" s="21" t="s">
        <v>941</v>
      </c>
      <c r="C953" s="5">
        <v>1940</v>
      </c>
      <c r="D953" s="3"/>
      <c r="E953" s="109" t="s">
        <v>3645</v>
      </c>
      <c r="F953" s="109" t="s">
        <v>3791</v>
      </c>
      <c r="G953" s="25">
        <v>1</v>
      </c>
      <c r="H953" s="109">
        <v>189.6</v>
      </c>
      <c r="I953" s="109">
        <v>8</v>
      </c>
      <c r="J953" s="19">
        <f t="shared" si="94"/>
        <v>284498.09000000003</v>
      </c>
      <c r="K953" s="73"/>
      <c r="L953" s="73"/>
      <c r="M953" s="73"/>
      <c r="N953" s="19">
        <f>SUMIF('2020'!B:B,B953,'2020'!C:C)+SUMIF('2021'!B:B,B953,'2021'!C:C)+SUMIF('2022'!B:B,B953,'2022'!C:C)</f>
        <v>284498.09000000003</v>
      </c>
      <c r="O953" s="17">
        <v>44925</v>
      </c>
      <c r="P953" s="116" t="s">
        <v>3728</v>
      </c>
    </row>
    <row r="954" spans="1:16" ht="17.25" customHeight="1" x14ac:dyDescent="0.3">
      <c r="A954" s="169">
        <f t="shared" si="95"/>
        <v>846</v>
      </c>
      <c r="B954" s="21" t="s">
        <v>942</v>
      </c>
      <c r="C954" s="5">
        <v>1940</v>
      </c>
      <c r="D954" s="3"/>
      <c r="E954" s="113" t="s">
        <v>3645</v>
      </c>
      <c r="F954" s="109">
        <v>4</v>
      </c>
      <c r="G954" s="25">
        <v>1</v>
      </c>
      <c r="H954" s="113">
        <v>2142.88</v>
      </c>
      <c r="I954" s="109">
        <v>66</v>
      </c>
      <c r="J954" s="19">
        <f t="shared" si="94"/>
        <v>580667.22</v>
      </c>
      <c r="K954" s="73"/>
      <c r="L954" s="73"/>
      <c r="M954" s="73"/>
      <c r="N954" s="19">
        <f>SUMIF('2020'!B:B,B954,'2020'!C:C)+SUMIF('2021'!B:B,B954,'2021'!C:C)+SUMIF('2022'!B:B,B954,'2022'!C:C)</f>
        <v>580667.22</v>
      </c>
      <c r="O954" s="17">
        <v>44925</v>
      </c>
      <c r="P954" s="116" t="s">
        <v>3728</v>
      </c>
    </row>
    <row r="955" spans="1:16" ht="17.25" customHeight="1" x14ac:dyDescent="0.3">
      <c r="A955" s="169">
        <f t="shared" si="95"/>
        <v>847</v>
      </c>
      <c r="B955" s="21" t="s">
        <v>943</v>
      </c>
      <c r="C955" s="5">
        <v>1940</v>
      </c>
      <c r="D955" s="3"/>
      <c r="E955" s="109" t="s">
        <v>3645</v>
      </c>
      <c r="F955" s="109">
        <v>5</v>
      </c>
      <c r="G955" s="25">
        <v>1</v>
      </c>
      <c r="H955" s="109">
        <v>925.56</v>
      </c>
      <c r="I955" s="109">
        <v>44</v>
      </c>
      <c r="J955" s="19">
        <f t="shared" si="94"/>
        <v>488421.19</v>
      </c>
      <c r="K955" s="73"/>
      <c r="L955" s="73"/>
      <c r="M955" s="73"/>
      <c r="N955" s="19">
        <f>SUMIF('2020'!B:B,B955,'2020'!C:C)+SUMIF('2021'!B:B,B955,'2021'!C:C)+SUMIF('2022'!B:B,B955,'2022'!C:C)</f>
        <v>488421.19</v>
      </c>
      <c r="O955" s="17">
        <v>44925</v>
      </c>
      <c r="P955" s="116" t="s">
        <v>3728</v>
      </c>
    </row>
    <row r="956" spans="1:16" ht="17.25" customHeight="1" x14ac:dyDescent="0.3">
      <c r="A956" s="169">
        <f t="shared" si="95"/>
        <v>848</v>
      </c>
      <c r="B956" s="21" t="s">
        <v>944</v>
      </c>
      <c r="C956" s="5">
        <v>1940</v>
      </c>
      <c r="D956" s="3"/>
      <c r="E956" s="113" t="s">
        <v>3645</v>
      </c>
      <c r="F956" s="109">
        <v>2</v>
      </c>
      <c r="G956" s="25">
        <v>1</v>
      </c>
      <c r="H956" s="113">
        <v>129.44</v>
      </c>
      <c r="I956" s="109">
        <v>4</v>
      </c>
      <c r="J956" s="19">
        <f t="shared" si="94"/>
        <v>410221.4</v>
      </c>
      <c r="K956" s="73"/>
      <c r="L956" s="73"/>
      <c r="M956" s="73"/>
      <c r="N956" s="19">
        <f>SUMIF('2020'!B:B,B956,'2020'!C:C)+SUMIF('2021'!B:B,B956,'2021'!C:C)+SUMIF('2022'!B:B,B956,'2022'!C:C)</f>
        <v>410221.4</v>
      </c>
      <c r="O956" s="17">
        <v>44925</v>
      </c>
      <c r="P956" s="116" t="s">
        <v>3728</v>
      </c>
    </row>
    <row r="957" spans="1:16" ht="17.25" customHeight="1" x14ac:dyDescent="0.3">
      <c r="A957" s="169">
        <f t="shared" si="95"/>
        <v>849</v>
      </c>
      <c r="B957" s="21" t="s">
        <v>945</v>
      </c>
      <c r="C957" s="5">
        <v>1940</v>
      </c>
      <c r="D957" s="3"/>
      <c r="E957" s="109" t="s">
        <v>3645</v>
      </c>
      <c r="F957" s="109">
        <v>3</v>
      </c>
      <c r="G957" s="25">
        <v>1</v>
      </c>
      <c r="H957" s="109">
        <v>1582.4</v>
      </c>
      <c r="I957" s="109">
        <v>24</v>
      </c>
      <c r="J957" s="19">
        <f t="shared" si="94"/>
        <v>464375.17</v>
      </c>
      <c r="K957" s="73"/>
      <c r="L957" s="73"/>
      <c r="M957" s="73"/>
      <c r="N957" s="19">
        <f>SUMIF('2020'!B:B,B957,'2020'!C:C)+SUMIF('2021'!B:B,B957,'2021'!C:C)+SUMIF('2022'!B:B,B957,'2022'!C:C)</f>
        <v>464375.17</v>
      </c>
      <c r="O957" s="17">
        <v>44925</v>
      </c>
      <c r="P957" s="116" t="s">
        <v>3728</v>
      </c>
    </row>
    <row r="958" spans="1:16" ht="17.25" customHeight="1" x14ac:dyDescent="0.3">
      <c r="A958" s="169">
        <f t="shared" si="95"/>
        <v>850</v>
      </c>
      <c r="B958" s="21" t="s">
        <v>946</v>
      </c>
      <c r="C958" s="5">
        <v>1940</v>
      </c>
      <c r="D958" s="3"/>
      <c r="E958" s="109" t="s">
        <v>3645</v>
      </c>
      <c r="F958" s="109">
        <v>4</v>
      </c>
      <c r="G958" s="25"/>
      <c r="H958" s="109">
        <v>3612.4</v>
      </c>
      <c r="I958" s="109">
        <v>103</v>
      </c>
      <c r="J958" s="19">
        <f t="shared" si="94"/>
        <v>993248.72000000009</v>
      </c>
      <c r="K958" s="73"/>
      <c r="L958" s="73"/>
      <c r="M958" s="73"/>
      <c r="N958" s="19">
        <f>SUMIF('2020'!B:B,B958,'2020'!C:C)+SUMIF('2021'!B:B,B958,'2021'!C:C)+SUMIF('2022'!B:B,B958,'2022'!C:C)</f>
        <v>993248.72000000009</v>
      </c>
      <c r="O958" s="17">
        <v>44925</v>
      </c>
      <c r="P958" s="116" t="s">
        <v>3728</v>
      </c>
    </row>
    <row r="959" spans="1:16" ht="17.25" customHeight="1" x14ac:dyDescent="0.3">
      <c r="A959" s="169">
        <f t="shared" si="95"/>
        <v>851</v>
      </c>
      <c r="B959" s="21" t="s">
        <v>947</v>
      </c>
      <c r="C959" s="5">
        <v>1940</v>
      </c>
      <c r="D959" s="3"/>
      <c r="E959" s="109" t="s">
        <v>3645</v>
      </c>
      <c r="F959" s="109" t="s">
        <v>3791</v>
      </c>
      <c r="G959" s="25">
        <v>1</v>
      </c>
      <c r="H959" s="109">
        <v>657.49</v>
      </c>
      <c r="I959" s="109">
        <v>44</v>
      </c>
      <c r="J959" s="19">
        <f t="shared" si="94"/>
        <v>333672.13</v>
      </c>
      <c r="K959" s="73"/>
      <c r="L959" s="73"/>
      <c r="M959" s="73"/>
      <c r="N959" s="19">
        <f>SUMIF('2020'!B:B,B959,'2020'!C:C)+SUMIF('2021'!B:B,B959,'2021'!C:C)+SUMIF('2022'!B:B,B959,'2022'!C:C)</f>
        <v>333672.13</v>
      </c>
      <c r="O959" s="17">
        <v>44925</v>
      </c>
      <c r="P959" s="116" t="s">
        <v>3728</v>
      </c>
    </row>
    <row r="960" spans="1:16" ht="17.25" customHeight="1" x14ac:dyDescent="0.3">
      <c r="A960" s="169">
        <f t="shared" si="95"/>
        <v>852</v>
      </c>
      <c r="B960" s="21" t="s">
        <v>948</v>
      </c>
      <c r="C960" s="5">
        <v>1940</v>
      </c>
      <c r="D960" s="3"/>
      <c r="E960" s="109" t="s">
        <v>3645</v>
      </c>
      <c r="F960" s="109">
        <v>7</v>
      </c>
      <c r="G960" s="25">
        <v>1</v>
      </c>
      <c r="H960" s="109">
        <v>2246.81</v>
      </c>
      <c r="I960" s="109">
        <v>108</v>
      </c>
      <c r="J960" s="19">
        <f t="shared" si="94"/>
        <v>818237.33000000007</v>
      </c>
      <c r="K960" s="73"/>
      <c r="L960" s="73"/>
      <c r="M960" s="73"/>
      <c r="N960" s="19">
        <f>SUMIF('2020'!B:B,B960,'2020'!C:C)+SUMIF('2021'!B:B,B960,'2021'!C:C)+SUMIF('2022'!B:B,B960,'2022'!C:C)</f>
        <v>818237.33000000007</v>
      </c>
      <c r="O960" s="17">
        <v>44925</v>
      </c>
      <c r="P960" s="116" t="s">
        <v>3728</v>
      </c>
    </row>
    <row r="961" spans="1:16" ht="17.25" customHeight="1" x14ac:dyDescent="0.3">
      <c r="A961" s="169">
        <f t="shared" si="95"/>
        <v>853</v>
      </c>
      <c r="B961" s="21" t="s">
        <v>949</v>
      </c>
      <c r="C961" s="5">
        <v>1940</v>
      </c>
      <c r="D961" s="3"/>
      <c r="E961" s="109" t="s">
        <v>3645</v>
      </c>
      <c r="F961" s="109">
        <v>5</v>
      </c>
      <c r="G961" s="25">
        <v>1</v>
      </c>
      <c r="H961" s="109">
        <v>1592.84</v>
      </c>
      <c r="I961" s="109">
        <v>41</v>
      </c>
      <c r="J961" s="19">
        <f t="shared" si="94"/>
        <v>562431.57999999996</v>
      </c>
      <c r="K961" s="73"/>
      <c r="L961" s="73"/>
      <c r="M961" s="73"/>
      <c r="N961" s="19">
        <f>SUMIF('2020'!B:B,B961,'2020'!C:C)+SUMIF('2021'!B:B,B961,'2021'!C:C)+SUMIF('2022'!B:B,B961,'2022'!C:C)</f>
        <v>562431.57999999996</v>
      </c>
      <c r="O961" s="17">
        <v>44925</v>
      </c>
      <c r="P961" s="116" t="s">
        <v>3728</v>
      </c>
    </row>
    <row r="962" spans="1:16" ht="17.25" customHeight="1" x14ac:dyDescent="0.3">
      <c r="A962" s="169">
        <f t="shared" si="95"/>
        <v>854</v>
      </c>
      <c r="B962" s="21" t="s">
        <v>950</v>
      </c>
      <c r="C962" s="5">
        <v>1940</v>
      </c>
      <c r="D962" s="3"/>
      <c r="E962" s="109" t="s">
        <v>3645</v>
      </c>
      <c r="F962" s="109">
        <v>7</v>
      </c>
      <c r="G962" s="25">
        <v>1</v>
      </c>
      <c r="H962" s="109">
        <v>2222.62</v>
      </c>
      <c r="I962" s="109">
        <v>72</v>
      </c>
      <c r="J962" s="19">
        <f t="shared" si="94"/>
        <v>296791.39</v>
      </c>
      <c r="K962" s="73"/>
      <c r="L962" s="73"/>
      <c r="M962" s="73"/>
      <c r="N962" s="19">
        <f>SUMIF('2020'!B:B,B962,'2020'!C:C)+SUMIF('2021'!B:B,B962,'2021'!C:C)+SUMIF('2022'!B:B,B962,'2022'!C:C)</f>
        <v>296791.39</v>
      </c>
      <c r="O962" s="17">
        <v>44925</v>
      </c>
      <c r="P962" s="116" t="s">
        <v>3728</v>
      </c>
    </row>
    <row r="963" spans="1:16" ht="17.25" customHeight="1" x14ac:dyDescent="0.3">
      <c r="A963" s="169">
        <f t="shared" si="95"/>
        <v>855</v>
      </c>
      <c r="B963" s="21" t="s">
        <v>951</v>
      </c>
      <c r="C963" s="5">
        <v>1940</v>
      </c>
      <c r="D963" s="3"/>
      <c r="E963" s="109" t="s">
        <v>3645</v>
      </c>
      <c r="F963" s="109">
        <v>1</v>
      </c>
      <c r="G963" s="25">
        <v>1</v>
      </c>
      <c r="H963" s="109">
        <v>490.1</v>
      </c>
      <c r="I963" s="109">
        <v>10</v>
      </c>
      <c r="J963" s="19">
        <f t="shared" si="94"/>
        <v>130000</v>
      </c>
      <c r="K963" s="73"/>
      <c r="L963" s="73"/>
      <c r="M963" s="73"/>
      <c r="N963" s="19">
        <f>SUMIF('2020'!B:B,B963,'2020'!C:C)+SUMIF('2021'!B:B,B963,'2021'!C:C)+SUMIF('2022'!B:B,B963,'2022'!C:C)</f>
        <v>130000</v>
      </c>
      <c r="O963" s="17">
        <v>44925</v>
      </c>
      <c r="P963" s="116" t="s">
        <v>3728</v>
      </c>
    </row>
    <row r="964" spans="1:16" ht="17.25" customHeight="1" x14ac:dyDescent="0.3">
      <c r="A964" s="169">
        <f t="shared" si="95"/>
        <v>856</v>
      </c>
      <c r="B964" s="21" t="s">
        <v>952</v>
      </c>
      <c r="C964" s="5">
        <v>1940</v>
      </c>
      <c r="D964" s="3"/>
      <c r="E964" s="109" t="s">
        <v>3645</v>
      </c>
      <c r="F964" s="109">
        <v>3</v>
      </c>
      <c r="G964" s="25">
        <v>1</v>
      </c>
      <c r="H964" s="109">
        <v>456.7</v>
      </c>
      <c r="I964" s="109">
        <v>9</v>
      </c>
      <c r="J964" s="19">
        <f t="shared" si="94"/>
        <v>313740.40000000002</v>
      </c>
      <c r="K964" s="73"/>
      <c r="L964" s="73"/>
      <c r="M964" s="73"/>
      <c r="N964" s="19">
        <f>SUMIF('2020'!B:B,B964,'2020'!C:C)+SUMIF('2021'!B:B,B964,'2021'!C:C)+SUMIF('2022'!B:B,B964,'2022'!C:C)</f>
        <v>313740.40000000002</v>
      </c>
      <c r="O964" s="17">
        <v>44925</v>
      </c>
      <c r="P964" s="116" t="s">
        <v>3728</v>
      </c>
    </row>
    <row r="965" spans="1:16" ht="17.25" customHeight="1" x14ac:dyDescent="0.3">
      <c r="A965" s="169">
        <f t="shared" si="95"/>
        <v>857</v>
      </c>
      <c r="B965" s="21" t="s">
        <v>953</v>
      </c>
      <c r="C965" s="5">
        <v>1940</v>
      </c>
      <c r="D965" s="3"/>
      <c r="E965" s="109" t="s">
        <v>3645</v>
      </c>
      <c r="F965" s="109">
        <v>4</v>
      </c>
      <c r="G965" s="25">
        <v>2</v>
      </c>
      <c r="H965" s="109">
        <v>1734.66</v>
      </c>
      <c r="I965" s="109">
        <v>48</v>
      </c>
      <c r="J965" s="19">
        <f t="shared" si="94"/>
        <v>547899.69999999995</v>
      </c>
      <c r="K965" s="73"/>
      <c r="L965" s="73"/>
      <c r="M965" s="73"/>
      <c r="N965" s="19">
        <f>SUMIF('2020'!B:B,B965,'2020'!C:C)+SUMIF('2021'!B:B,B965,'2021'!C:C)+SUMIF('2022'!B:B,B965,'2022'!C:C)</f>
        <v>547899.69999999995</v>
      </c>
      <c r="O965" s="17">
        <v>44925</v>
      </c>
      <c r="P965" s="116" t="s">
        <v>3728</v>
      </c>
    </row>
    <row r="966" spans="1:16" ht="17.25" customHeight="1" x14ac:dyDescent="0.3">
      <c r="A966" s="169">
        <f t="shared" si="95"/>
        <v>858</v>
      </c>
      <c r="B966" s="21" t="s">
        <v>954</v>
      </c>
      <c r="C966" s="5">
        <v>1940</v>
      </c>
      <c r="D966" s="3"/>
      <c r="E966" s="109" t="s">
        <v>3645</v>
      </c>
      <c r="F966" s="109">
        <v>4</v>
      </c>
      <c r="G966" s="25">
        <v>1</v>
      </c>
      <c r="H966" s="109">
        <v>2091.6799999999998</v>
      </c>
      <c r="I966" s="109">
        <v>45</v>
      </c>
      <c r="J966" s="19">
        <f t="shared" si="94"/>
        <v>681233.52</v>
      </c>
      <c r="K966" s="73"/>
      <c r="L966" s="73"/>
      <c r="M966" s="73"/>
      <c r="N966" s="19">
        <f>SUMIF('2020'!B:B,B966,'2020'!C:C)+SUMIF('2021'!B:B,B966,'2021'!C:C)+SUMIF('2022'!B:B,B966,'2022'!C:C)</f>
        <v>681233.52</v>
      </c>
      <c r="O966" s="17">
        <v>44925</v>
      </c>
      <c r="P966" s="116" t="s">
        <v>2042</v>
      </c>
    </row>
    <row r="967" spans="1:16" ht="17.25" customHeight="1" x14ac:dyDescent="0.3">
      <c r="A967" s="169">
        <f t="shared" si="95"/>
        <v>859</v>
      </c>
      <c r="B967" s="21" t="s">
        <v>955</v>
      </c>
      <c r="C967" s="5">
        <v>1940</v>
      </c>
      <c r="D967" s="3"/>
      <c r="E967" s="113" t="s">
        <v>3645</v>
      </c>
      <c r="F967" s="109">
        <v>2</v>
      </c>
      <c r="G967" s="25">
        <v>1</v>
      </c>
      <c r="H967" s="113">
        <v>838.55</v>
      </c>
      <c r="I967" s="109">
        <v>17</v>
      </c>
      <c r="J967" s="19">
        <f t="shared" si="94"/>
        <v>394135.05000000005</v>
      </c>
      <c r="K967" s="73"/>
      <c r="L967" s="73"/>
      <c r="M967" s="73"/>
      <c r="N967" s="19">
        <f>SUMIF('2020'!B:B,B967,'2020'!C:C)+SUMIF('2021'!B:B,B967,'2021'!C:C)+SUMIF('2022'!B:B,B967,'2022'!C:C)</f>
        <v>394135.05000000005</v>
      </c>
      <c r="O967" s="17">
        <v>44925</v>
      </c>
      <c r="P967" s="116" t="s">
        <v>3728</v>
      </c>
    </row>
    <row r="968" spans="1:16" ht="17.25" customHeight="1" x14ac:dyDescent="0.3">
      <c r="A968" s="169">
        <f t="shared" si="95"/>
        <v>860</v>
      </c>
      <c r="B968" s="21" t="s">
        <v>956</v>
      </c>
      <c r="C968" s="5">
        <v>1940</v>
      </c>
      <c r="D968" s="3"/>
      <c r="E968" s="113" t="s">
        <v>3645</v>
      </c>
      <c r="F968" s="109">
        <v>1</v>
      </c>
      <c r="G968" s="25">
        <v>1</v>
      </c>
      <c r="H968" s="113">
        <v>166.1</v>
      </c>
      <c r="I968" s="109">
        <v>5</v>
      </c>
      <c r="J968" s="19">
        <f t="shared" si="94"/>
        <v>256041.51</v>
      </c>
      <c r="K968" s="73"/>
      <c r="L968" s="73"/>
      <c r="M968" s="73"/>
      <c r="N968" s="19">
        <f>SUMIF('2020'!B:B,B968,'2020'!C:C)+SUMIF('2021'!B:B,B968,'2021'!C:C)+SUMIF('2022'!B:B,B968,'2022'!C:C)</f>
        <v>256041.51</v>
      </c>
      <c r="O968" s="17">
        <v>44925</v>
      </c>
      <c r="P968" s="116" t="s">
        <v>3728</v>
      </c>
    </row>
    <row r="969" spans="1:16" ht="17.25" customHeight="1" x14ac:dyDescent="0.3">
      <c r="A969" s="169">
        <f t="shared" si="95"/>
        <v>861</v>
      </c>
      <c r="B969" s="21" t="s">
        <v>957</v>
      </c>
      <c r="C969" s="5">
        <v>1940</v>
      </c>
      <c r="D969" s="3"/>
      <c r="E969" s="113" t="s">
        <v>3645</v>
      </c>
      <c r="F969" s="109">
        <v>2</v>
      </c>
      <c r="G969" s="25">
        <v>1</v>
      </c>
      <c r="H969" s="113">
        <v>370.2</v>
      </c>
      <c r="I969" s="109">
        <v>15</v>
      </c>
      <c r="J969" s="19">
        <f t="shared" si="94"/>
        <v>674715.06</v>
      </c>
      <c r="K969" s="73"/>
      <c r="L969" s="73"/>
      <c r="M969" s="73"/>
      <c r="N969" s="19">
        <f>SUMIF('2020'!B:B,B969,'2020'!C:C)+SUMIF('2021'!B:B,B969,'2021'!C:C)+SUMIF('2022'!B:B,B969,'2022'!C:C)</f>
        <v>674715.06</v>
      </c>
      <c r="O969" s="17">
        <v>44925</v>
      </c>
      <c r="P969" s="116" t="s">
        <v>3728</v>
      </c>
    </row>
    <row r="970" spans="1:16" ht="17.25" customHeight="1" x14ac:dyDescent="0.3">
      <c r="A970" s="169">
        <f t="shared" si="95"/>
        <v>862</v>
      </c>
      <c r="B970" s="21" t="s">
        <v>958</v>
      </c>
      <c r="C970" s="5">
        <v>1940</v>
      </c>
      <c r="D970" s="3"/>
      <c r="E970" s="111" t="s">
        <v>3645</v>
      </c>
      <c r="F970" s="111">
        <v>3</v>
      </c>
      <c r="G970" s="25">
        <v>2</v>
      </c>
      <c r="H970" s="111">
        <v>157.69999999999999</v>
      </c>
      <c r="I970" s="111">
        <v>26</v>
      </c>
      <c r="J970" s="19">
        <f t="shared" si="94"/>
        <v>130000</v>
      </c>
      <c r="K970" s="73"/>
      <c r="L970" s="73"/>
      <c r="M970" s="73"/>
      <c r="N970" s="19">
        <f>SUMIF('2020'!B:B,B970,'2020'!C:C)+SUMIF('2021'!B:B,B970,'2021'!C:C)+SUMIF('2022'!B:B,B970,'2022'!C:C)</f>
        <v>130000</v>
      </c>
      <c r="O970" s="17">
        <v>44925</v>
      </c>
      <c r="P970" s="116" t="s">
        <v>3728</v>
      </c>
    </row>
    <row r="971" spans="1:16" ht="17.25" customHeight="1" x14ac:dyDescent="0.3">
      <c r="A971" s="169">
        <f t="shared" si="95"/>
        <v>863</v>
      </c>
      <c r="B971" s="21" t="s">
        <v>959</v>
      </c>
      <c r="C971" s="5">
        <v>1940</v>
      </c>
      <c r="D971" s="3"/>
      <c r="E971" s="109" t="s">
        <v>3645</v>
      </c>
      <c r="F971" s="109">
        <v>4</v>
      </c>
      <c r="G971" s="25">
        <v>3</v>
      </c>
      <c r="H971" s="109">
        <v>2041.36</v>
      </c>
      <c r="I971" s="109">
        <v>87</v>
      </c>
      <c r="J971" s="19">
        <f t="shared" si="94"/>
        <v>588875.87</v>
      </c>
      <c r="K971" s="73"/>
      <c r="L971" s="73"/>
      <c r="M971" s="73"/>
      <c r="N971" s="19">
        <f>SUMIF('2020'!B:B,B971,'2020'!C:C)+SUMIF('2021'!B:B,B971,'2021'!C:C)+SUMIF('2022'!B:B,B971,'2022'!C:C)</f>
        <v>588875.87</v>
      </c>
      <c r="O971" s="17">
        <v>44925</v>
      </c>
      <c r="P971" s="110" t="s">
        <v>3728</v>
      </c>
    </row>
    <row r="972" spans="1:16" ht="17.25" customHeight="1" x14ac:dyDescent="0.3">
      <c r="A972" s="169">
        <f t="shared" si="95"/>
        <v>864</v>
      </c>
      <c r="B972" s="21" t="s">
        <v>960</v>
      </c>
      <c r="C972" s="5">
        <v>1940</v>
      </c>
      <c r="D972" s="3"/>
      <c r="E972" s="113" t="s">
        <v>3645</v>
      </c>
      <c r="F972" s="109">
        <v>5</v>
      </c>
      <c r="G972" s="25">
        <v>3</v>
      </c>
      <c r="H972" s="113">
        <v>2794</v>
      </c>
      <c r="I972" s="109">
        <v>111</v>
      </c>
      <c r="J972" s="19">
        <f t="shared" si="94"/>
        <v>901035.64000000013</v>
      </c>
      <c r="K972" s="73"/>
      <c r="L972" s="73"/>
      <c r="M972" s="73"/>
      <c r="N972" s="19">
        <f>SUMIF('2020'!B:B,B972,'2020'!C:C)+SUMIF('2021'!B:B,B972,'2021'!C:C)+SUMIF('2022'!B:B,B972,'2022'!C:C)</f>
        <v>901035.64000000013</v>
      </c>
      <c r="O972" s="17">
        <v>44925</v>
      </c>
      <c r="P972" s="116" t="s">
        <v>3728</v>
      </c>
    </row>
    <row r="973" spans="1:16" ht="17.25" customHeight="1" x14ac:dyDescent="0.3">
      <c r="A973" s="169">
        <f t="shared" si="95"/>
        <v>865</v>
      </c>
      <c r="B973" s="21" t="s">
        <v>961</v>
      </c>
      <c r="C973" s="5">
        <v>1951</v>
      </c>
      <c r="D973" s="3"/>
      <c r="E973" s="109" t="s">
        <v>3645</v>
      </c>
      <c r="F973" s="109">
        <v>6</v>
      </c>
      <c r="G973" s="25">
        <v>3</v>
      </c>
      <c r="H973" s="109">
        <v>4142</v>
      </c>
      <c r="I973" s="109">
        <v>121</v>
      </c>
      <c r="J973" s="19">
        <f t="shared" si="94"/>
        <v>812837.34</v>
      </c>
      <c r="K973" s="73"/>
      <c r="L973" s="73"/>
      <c r="M973" s="73"/>
      <c r="N973" s="19">
        <f>SUMIF('2020'!B:B,B973,'2020'!C:C)+SUMIF('2021'!B:B,B973,'2021'!C:C)+SUMIF('2022'!B:B,B973,'2022'!C:C)</f>
        <v>812837.34</v>
      </c>
      <c r="O973" s="17">
        <v>44925</v>
      </c>
      <c r="P973" s="116" t="s">
        <v>3728</v>
      </c>
    </row>
    <row r="974" spans="1:16" ht="17.25" customHeight="1" x14ac:dyDescent="0.3">
      <c r="A974" s="169">
        <f t="shared" si="95"/>
        <v>866</v>
      </c>
      <c r="B974" s="21" t="s">
        <v>962</v>
      </c>
      <c r="C974" s="5">
        <v>1967</v>
      </c>
      <c r="D974" s="3"/>
      <c r="E974" s="109" t="s">
        <v>3645</v>
      </c>
      <c r="F974" s="109">
        <v>9</v>
      </c>
      <c r="G974" s="25"/>
      <c r="H974" s="109">
        <v>1997.03</v>
      </c>
      <c r="I974" s="109">
        <v>74</v>
      </c>
      <c r="J974" s="19">
        <f t="shared" si="94"/>
        <v>130000</v>
      </c>
      <c r="K974" s="73"/>
      <c r="L974" s="73"/>
      <c r="M974" s="73"/>
      <c r="N974" s="19">
        <f>SUMIF('2020'!B:B,B974,'2020'!C:C)+SUMIF('2021'!B:B,B974,'2021'!C:C)+SUMIF('2022'!B:B,B974,'2022'!C:C)</f>
        <v>130000</v>
      </c>
      <c r="O974" s="17">
        <v>44925</v>
      </c>
      <c r="P974" s="116" t="s">
        <v>3728</v>
      </c>
    </row>
    <row r="975" spans="1:16" ht="17.25" customHeight="1" x14ac:dyDescent="0.3">
      <c r="A975" s="169">
        <f t="shared" si="95"/>
        <v>867</v>
      </c>
      <c r="B975" s="21" t="s">
        <v>963</v>
      </c>
      <c r="C975" s="5">
        <v>1968</v>
      </c>
      <c r="D975" s="3"/>
      <c r="E975" s="109" t="s">
        <v>3645</v>
      </c>
      <c r="F975" s="109">
        <v>5</v>
      </c>
      <c r="G975" s="25"/>
      <c r="H975" s="109">
        <v>2538.04</v>
      </c>
      <c r="I975" s="109">
        <v>120</v>
      </c>
      <c r="J975" s="19">
        <f t="shared" si="94"/>
        <v>3060726.82</v>
      </c>
      <c r="K975" s="73"/>
      <c r="L975" s="73"/>
      <c r="M975" s="73"/>
      <c r="N975" s="19">
        <f>SUMIF('2020'!B:B,B975,'2020'!C:C)+SUMIF('2021'!B:B,B975,'2021'!C:C)+SUMIF('2022'!B:B,B975,'2022'!C:C)</f>
        <v>3060726.82</v>
      </c>
      <c r="O975" s="17">
        <v>44925</v>
      </c>
      <c r="P975" s="116" t="s">
        <v>3728</v>
      </c>
    </row>
    <row r="976" spans="1:16" ht="17.25" customHeight="1" x14ac:dyDescent="0.3">
      <c r="A976" s="169">
        <f t="shared" si="95"/>
        <v>868</v>
      </c>
      <c r="B976" s="21" t="s">
        <v>964</v>
      </c>
      <c r="C976" s="5">
        <v>1940</v>
      </c>
      <c r="D976" s="3"/>
      <c r="E976" s="109" t="s">
        <v>3645</v>
      </c>
      <c r="F976" s="109">
        <v>3</v>
      </c>
      <c r="G976" s="25">
        <v>4</v>
      </c>
      <c r="H976" s="109">
        <v>659.3</v>
      </c>
      <c r="I976" s="109">
        <v>11</v>
      </c>
      <c r="J976" s="19">
        <f t="shared" si="94"/>
        <v>486864.5</v>
      </c>
      <c r="K976" s="73"/>
      <c r="L976" s="73"/>
      <c r="M976" s="73"/>
      <c r="N976" s="19">
        <f>SUMIF('2020'!B:B,B976,'2020'!C:C)+SUMIF('2021'!B:B,B976,'2021'!C:C)+SUMIF('2022'!B:B,B976,'2022'!C:C)</f>
        <v>486864.5</v>
      </c>
      <c r="O976" s="17">
        <v>44925</v>
      </c>
      <c r="P976" s="116" t="s">
        <v>3728</v>
      </c>
    </row>
    <row r="977" spans="1:16" ht="17.25" customHeight="1" x14ac:dyDescent="0.3">
      <c r="A977" s="169">
        <f t="shared" si="95"/>
        <v>869</v>
      </c>
      <c r="B977" s="21" t="s">
        <v>965</v>
      </c>
      <c r="C977" s="5">
        <v>1928</v>
      </c>
      <c r="D977" s="3"/>
      <c r="E977" s="109" t="s">
        <v>3645</v>
      </c>
      <c r="F977" s="109">
        <v>5</v>
      </c>
      <c r="G977" s="25">
        <v>2</v>
      </c>
      <c r="H977" s="109">
        <v>2688</v>
      </c>
      <c r="I977" s="109">
        <v>58</v>
      </c>
      <c r="J977" s="19">
        <f t="shared" si="94"/>
        <v>1159566.2099999997</v>
      </c>
      <c r="K977" s="73"/>
      <c r="L977" s="73"/>
      <c r="M977" s="73"/>
      <c r="N977" s="19">
        <f>SUMIF('2020'!B:B,B977,'2020'!C:C)+SUMIF('2021'!B:B,B977,'2021'!C:C)+SUMIF('2022'!B:B,B977,'2022'!C:C)</f>
        <v>1159566.2099999997</v>
      </c>
      <c r="O977" s="17">
        <v>44925</v>
      </c>
      <c r="P977" s="116" t="s">
        <v>3728</v>
      </c>
    </row>
    <row r="978" spans="1:16" ht="17.25" customHeight="1" x14ac:dyDescent="0.3">
      <c r="A978" s="169">
        <f t="shared" si="95"/>
        <v>870</v>
      </c>
      <c r="B978" s="21" t="s">
        <v>966</v>
      </c>
      <c r="C978" s="5">
        <v>1940</v>
      </c>
      <c r="D978" s="3"/>
      <c r="E978" s="113" t="s">
        <v>3645</v>
      </c>
      <c r="F978" s="113">
        <v>3</v>
      </c>
      <c r="G978" s="25">
        <v>2</v>
      </c>
      <c r="H978" s="113">
        <v>868.09</v>
      </c>
      <c r="I978" s="113">
        <v>49</v>
      </c>
      <c r="J978" s="19">
        <f t="shared" si="94"/>
        <v>511038.97700000001</v>
      </c>
      <c r="K978" s="73"/>
      <c r="L978" s="73"/>
      <c r="M978" s="73"/>
      <c r="N978" s="19">
        <f>SUMIF('2020'!B:B,B978,'2020'!C:C)+SUMIF('2021'!B:B,B978,'2021'!C:C)+SUMIF('2022'!B:B,B978,'2022'!C:C)</f>
        <v>511038.97700000001</v>
      </c>
      <c r="O978" s="17">
        <v>44925</v>
      </c>
      <c r="P978" s="116" t="s">
        <v>3728</v>
      </c>
    </row>
    <row r="979" spans="1:16" ht="17.25" customHeight="1" x14ac:dyDescent="0.3">
      <c r="A979" s="169">
        <f t="shared" si="95"/>
        <v>871</v>
      </c>
      <c r="B979" s="21" t="s">
        <v>967</v>
      </c>
      <c r="C979" s="5">
        <v>1940</v>
      </c>
      <c r="D979" s="3"/>
      <c r="E979" s="113" t="s">
        <v>3645</v>
      </c>
      <c r="F979" s="113">
        <v>3</v>
      </c>
      <c r="G979" s="25">
        <v>2</v>
      </c>
      <c r="H979" s="113">
        <v>1077.7</v>
      </c>
      <c r="I979" s="113">
        <v>28</v>
      </c>
      <c r="J979" s="19">
        <f t="shared" si="94"/>
        <v>464405.01</v>
      </c>
      <c r="K979" s="73"/>
      <c r="L979" s="73"/>
      <c r="M979" s="73"/>
      <c r="N979" s="19">
        <f>SUMIF('2020'!B:B,B979,'2020'!C:C)+SUMIF('2021'!B:B,B979,'2021'!C:C)+SUMIF('2022'!B:B,B979,'2022'!C:C)</f>
        <v>464405.01</v>
      </c>
      <c r="O979" s="17">
        <v>44925</v>
      </c>
      <c r="P979" s="116" t="s">
        <v>3728</v>
      </c>
    </row>
    <row r="980" spans="1:16" ht="17.25" customHeight="1" x14ac:dyDescent="0.3">
      <c r="A980" s="169">
        <f t="shared" si="95"/>
        <v>872</v>
      </c>
      <c r="B980" s="21" t="s">
        <v>968</v>
      </c>
      <c r="C980" s="5">
        <v>1957</v>
      </c>
      <c r="D980" s="3"/>
      <c r="E980" s="109" t="s">
        <v>3645</v>
      </c>
      <c r="F980" s="109">
        <v>4</v>
      </c>
      <c r="G980" s="25">
        <v>3</v>
      </c>
      <c r="H980" s="109">
        <v>3142.92</v>
      </c>
      <c r="I980" s="109">
        <v>102</v>
      </c>
      <c r="J980" s="19">
        <f t="shared" si="94"/>
        <v>11261046.4</v>
      </c>
      <c r="K980" s="73"/>
      <c r="L980" s="73"/>
      <c r="M980" s="73"/>
      <c r="N980" s="19">
        <f>SUMIF('2020'!B:B,B980,'2020'!C:C)+SUMIF('2021'!B:B,B980,'2021'!C:C)+SUMIF('2022'!B:B,B980,'2022'!C:C)</f>
        <v>11261046.4</v>
      </c>
      <c r="O980" s="17">
        <v>44925</v>
      </c>
      <c r="P980" s="116" t="s">
        <v>3728</v>
      </c>
    </row>
    <row r="981" spans="1:16" ht="17.25" customHeight="1" x14ac:dyDescent="0.3">
      <c r="A981" s="169">
        <f t="shared" si="95"/>
        <v>873</v>
      </c>
      <c r="B981" s="21" t="s">
        <v>969</v>
      </c>
      <c r="C981" s="5">
        <v>1940</v>
      </c>
      <c r="D981" s="3"/>
      <c r="E981" s="113" t="s">
        <v>3645</v>
      </c>
      <c r="F981" s="109">
        <v>2</v>
      </c>
      <c r="G981" s="25">
        <v>1</v>
      </c>
      <c r="H981" s="113">
        <v>72.91</v>
      </c>
      <c r="I981" s="109">
        <v>3</v>
      </c>
      <c r="J981" s="19">
        <f t="shared" si="94"/>
        <v>408569.12</v>
      </c>
      <c r="K981" s="73"/>
      <c r="L981" s="73"/>
      <c r="M981" s="73"/>
      <c r="N981" s="19">
        <f>SUMIF('2020'!B:B,B981,'2020'!C:C)+SUMIF('2021'!B:B,B981,'2021'!C:C)+SUMIF('2022'!B:B,B981,'2022'!C:C)</f>
        <v>408569.12</v>
      </c>
      <c r="O981" s="17">
        <v>44925</v>
      </c>
      <c r="P981" s="116" t="s">
        <v>3728</v>
      </c>
    </row>
    <row r="982" spans="1:16" ht="17.25" customHeight="1" x14ac:dyDescent="0.3">
      <c r="A982" s="169">
        <f t="shared" si="95"/>
        <v>874</v>
      </c>
      <c r="B982" s="21" t="s">
        <v>970</v>
      </c>
      <c r="C982" s="5">
        <v>1940</v>
      </c>
      <c r="D982" s="3"/>
      <c r="E982" s="113" t="s">
        <v>3645</v>
      </c>
      <c r="F982" s="109">
        <v>4</v>
      </c>
      <c r="G982" s="25">
        <v>1</v>
      </c>
      <c r="H982" s="109">
        <v>186.3</v>
      </c>
      <c r="I982" s="109">
        <v>5</v>
      </c>
      <c r="J982" s="19">
        <f t="shared" si="94"/>
        <v>360139.83</v>
      </c>
      <c r="K982" s="73"/>
      <c r="L982" s="73"/>
      <c r="M982" s="73"/>
      <c r="N982" s="19">
        <f>SUMIF('2020'!B:B,B982,'2020'!C:C)+SUMIF('2021'!B:B,B982,'2021'!C:C)+SUMIF('2022'!B:B,B982,'2022'!C:C)</f>
        <v>360139.83</v>
      </c>
      <c r="O982" s="17">
        <v>44925</v>
      </c>
      <c r="P982" s="116" t="s">
        <v>3728</v>
      </c>
    </row>
    <row r="983" spans="1:16" ht="17.25" customHeight="1" x14ac:dyDescent="0.3">
      <c r="A983" s="169">
        <f t="shared" si="95"/>
        <v>875</v>
      </c>
      <c r="B983" s="21" t="s">
        <v>971</v>
      </c>
      <c r="C983" s="5">
        <v>1940</v>
      </c>
      <c r="D983" s="3"/>
      <c r="E983" s="109" t="s">
        <v>3645</v>
      </c>
      <c r="F983" s="109">
        <v>6</v>
      </c>
      <c r="G983" s="25">
        <v>3</v>
      </c>
      <c r="H983" s="109">
        <v>4793.4399999999996</v>
      </c>
      <c r="I983" s="109">
        <v>122</v>
      </c>
      <c r="J983" s="19">
        <f t="shared" si="94"/>
        <v>472207.94000000006</v>
      </c>
      <c r="K983" s="73"/>
      <c r="L983" s="73"/>
      <c r="M983" s="73"/>
      <c r="N983" s="19">
        <f>SUMIF('2020'!B:B,B983,'2020'!C:C)+SUMIF('2021'!B:B,B983,'2021'!C:C)+SUMIF('2022'!B:B,B983,'2022'!C:C)</f>
        <v>472207.94000000006</v>
      </c>
      <c r="O983" s="17">
        <v>44925</v>
      </c>
      <c r="P983" s="116" t="s">
        <v>3728</v>
      </c>
    </row>
    <row r="984" spans="1:16" ht="17.25" customHeight="1" x14ac:dyDescent="0.3">
      <c r="A984" s="169">
        <f t="shared" si="95"/>
        <v>876</v>
      </c>
      <c r="B984" s="21" t="s">
        <v>972</v>
      </c>
      <c r="C984" s="5">
        <v>1940</v>
      </c>
      <c r="D984" s="3"/>
      <c r="E984" s="109" t="s">
        <v>3645</v>
      </c>
      <c r="F984" s="109">
        <v>4</v>
      </c>
      <c r="G984" s="25">
        <v>1</v>
      </c>
      <c r="H984" s="109">
        <v>636.61</v>
      </c>
      <c r="I984" s="109">
        <v>29</v>
      </c>
      <c r="J984" s="19">
        <f t="shared" si="94"/>
        <v>18982545.43</v>
      </c>
      <c r="K984" s="73"/>
      <c r="L984" s="73"/>
      <c r="M984" s="73"/>
      <c r="N984" s="19">
        <f>SUMIF('2020'!B:B,B984,'2020'!C:C)+SUMIF('2021'!B:B,B984,'2021'!C:C)+SUMIF('2022'!B:B,B984,'2022'!C:C)</f>
        <v>18982545.43</v>
      </c>
      <c r="O984" s="17">
        <v>44925</v>
      </c>
      <c r="P984" s="116" t="s">
        <v>3728</v>
      </c>
    </row>
    <row r="985" spans="1:16" ht="17.25" customHeight="1" x14ac:dyDescent="0.3">
      <c r="A985" s="169">
        <f t="shared" si="95"/>
        <v>877</v>
      </c>
      <c r="B985" s="21" t="s">
        <v>973</v>
      </c>
      <c r="C985" s="5">
        <v>1940</v>
      </c>
      <c r="D985" s="3"/>
      <c r="E985" s="109" t="s">
        <v>3645</v>
      </c>
      <c r="F985" s="109">
        <v>4</v>
      </c>
      <c r="G985" s="25">
        <v>2</v>
      </c>
      <c r="H985" s="109">
        <v>1738.25</v>
      </c>
      <c r="I985" s="109">
        <v>16</v>
      </c>
      <c r="J985" s="19">
        <f t="shared" si="94"/>
        <v>492734.36</v>
      </c>
      <c r="K985" s="73"/>
      <c r="L985" s="73"/>
      <c r="M985" s="73"/>
      <c r="N985" s="19">
        <f>SUMIF('2020'!B:B,B985,'2020'!C:C)+SUMIF('2021'!B:B,B985,'2021'!C:C)+SUMIF('2022'!B:B,B985,'2022'!C:C)</f>
        <v>492734.36</v>
      </c>
      <c r="O985" s="17">
        <v>44925</v>
      </c>
      <c r="P985" s="116" t="s">
        <v>3728</v>
      </c>
    </row>
    <row r="986" spans="1:16" ht="17.25" customHeight="1" x14ac:dyDescent="0.3">
      <c r="A986" s="169">
        <f t="shared" si="95"/>
        <v>878</v>
      </c>
      <c r="B986" s="21" t="s">
        <v>974</v>
      </c>
      <c r="C986" s="5">
        <v>1940</v>
      </c>
      <c r="D986" s="3"/>
      <c r="E986" s="109" t="s">
        <v>3645</v>
      </c>
      <c r="F986" s="109">
        <v>5</v>
      </c>
      <c r="G986" s="25"/>
      <c r="H986" s="109">
        <v>1447.08</v>
      </c>
      <c r="I986" s="109">
        <v>37</v>
      </c>
      <c r="J986" s="19">
        <f t="shared" si="94"/>
        <v>130000</v>
      </c>
      <c r="K986" s="73"/>
      <c r="L986" s="73"/>
      <c r="M986" s="73"/>
      <c r="N986" s="19">
        <f>SUMIF('2020'!B:B,B986,'2020'!C:C)+SUMIF('2021'!B:B,B986,'2021'!C:C)+SUMIF('2022'!B:B,B986,'2022'!C:C)</f>
        <v>130000</v>
      </c>
      <c r="O986" s="17">
        <v>44925</v>
      </c>
      <c r="P986" s="116" t="s">
        <v>3728</v>
      </c>
    </row>
    <row r="987" spans="1:16" ht="17.25" customHeight="1" x14ac:dyDescent="0.3">
      <c r="A987" s="169">
        <f t="shared" si="95"/>
        <v>879</v>
      </c>
      <c r="B987" s="21" t="s">
        <v>975</v>
      </c>
      <c r="C987" s="5">
        <v>2013</v>
      </c>
      <c r="D987" s="3"/>
      <c r="E987" s="111" t="s">
        <v>3645</v>
      </c>
      <c r="F987" s="109">
        <v>5</v>
      </c>
      <c r="G987" s="25"/>
      <c r="H987" s="120">
        <v>1447.08</v>
      </c>
      <c r="I987" s="109">
        <v>34</v>
      </c>
      <c r="J987" s="19">
        <f t="shared" si="94"/>
        <v>6428324.7299999995</v>
      </c>
      <c r="K987" s="73"/>
      <c r="L987" s="73"/>
      <c r="M987" s="73"/>
      <c r="N987" s="19">
        <f>SUMIF('2020'!B:B,B987,'2020'!C:C)+SUMIF('2021'!B:B,B987,'2021'!C:C)+SUMIF('2022'!B:B,B987,'2022'!C:C)</f>
        <v>6428324.7299999995</v>
      </c>
      <c r="O987" s="17">
        <v>44925</v>
      </c>
      <c r="P987" s="116" t="s">
        <v>3728</v>
      </c>
    </row>
    <row r="988" spans="1:16" ht="17.25" customHeight="1" x14ac:dyDescent="0.3">
      <c r="A988" s="169">
        <f t="shared" si="95"/>
        <v>880</v>
      </c>
      <c r="B988" s="21" t="s">
        <v>976</v>
      </c>
      <c r="C988" s="5">
        <v>1960</v>
      </c>
      <c r="D988" s="3"/>
      <c r="E988" s="111" t="s">
        <v>3833</v>
      </c>
      <c r="F988" s="109">
        <v>5</v>
      </c>
      <c r="G988" s="25"/>
      <c r="H988" s="111">
        <v>1526.2</v>
      </c>
      <c r="I988" s="109">
        <v>81</v>
      </c>
      <c r="J988" s="19">
        <f t="shared" si="94"/>
        <v>8234188.3399999989</v>
      </c>
      <c r="K988" s="73"/>
      <c r="L988" s="73"/>
      <c r="M988" s="73"/>
      <c r="N988" s="19">
        <f>SUMIF('2020'!B:B,B988,'2020'!C:C)+SUMIF('2021'!B:B,B988,'2021'!C:C)+SUMIF('2022'!B:B,B988,'2022'!C:C)</f>
        <v>8234188.3399999989</v>
      </c>
      <c r="O988" s="17">
        <v>44925</v>
      </c>
      <c r="P988" s="116" t="s">
        <v>3728</v>
      </c>
    </row>
    <row r="989" spans="1:16" ht="17.25" customHeight="1" x14ac:dyDescent="0.3">
      <c r="A989" s="169">
        <f t="shared" si="95"/>
        <v>881</v>
      </c>
      <c r="B989" s="21" t="s">
        <v>977</v>
      </c>
      <c r="C989" s="5">
        <v>1940</v>
      </c>
      <c r="D989" s="3"/>
      <c r="E989" s="111" t="s">
        <v>3645</v>
      </c>
      <c r="F989" s="109">
        <v>3</v>
      </c>
      <c r="G989" s="25">
        <v>3</v>
      </c>
      <c r="H989" s="111">
        <v>161</v>
      </c>
      <c r="I989" s="109">
        <v>34</v>
      </c>
      <c r="J989" s="19">
        <f t="shared" si="94"/>
        <v>544999.52</v>
      </c>
      <c r="K989" s="73"/>
      <c r="L989" s="73"/>
      <c r="M989" s="73"/>
      <c r="N989" s="19">
        <f>SUMIF('2020'!B:B,B989,'2020'!C:C)+SUMIF('2021'!B:B,B989,'2021'!C:C)+SUMIF('2022'!B:B,B989,'2022'!C:C)</f>
        <v>544999.52</v>
      </c>
      <c r="O989" s="17">
        <v>44925</v>
      </c>
      <c r="P989" s="116" t="s">
        <v>3728</v>
      </c>
    </row>
    <row r="990" spans="1:16" ht="17.25" customHeight="1" x14ac:dyDescent="0.3">
      <c r="A990" s="169">
        <f t="shared" si="95"/>
        <v>882</v>
      </c>
      <c r="B990" s="21" t="s">
        <v>978</v>
      </c>
      <c r="C990" s="5">
        <v>1940</v>
      </c>
      <c r="D990" s="3"/>
      <c r="E990" s="111" t="s">
        <v>3833</v>
      </c>
      <c r="F990" s="109">
        <v>4</v>
      </c>
      <c r="G990" s="25"/>
      <c r="H990" s="111">
        <v>1526.2</v>
      </c>
      <c r="I990" s="109">
        <v>59</v>
      </c>
      <c r="J990" s="19">
        <f t="shared" si="94"/>
        <v>130000</v>
      </c>
      <c r="K990" s="73"/>
      <c r="L990" s="73"/>
      <c r="M990" s="73"/>
      <c r="N990" s="19">
        <f>SUMIF('2020'!B:B,B990,'2020'!C:C)+SUMIF('2021'!B:B,B990,'2021'!C:C)+SUMIF('2022'!B:B,B990,'2022'!C:C)</f>
        <v>130000</v>
      </c>
      <c r="O990" s="17">
        <v>44925</v>
      </c>
      <c r="P990" s="116" t="s">
        <v>3728</v>
      </c>
    </row>
    <row r="991" spans="1:16" ht="17.25" customHeight="1" x14ac:dyDescent="0.3">
      <c r="A991" s="169">
        <f t="shared" si="95"/>
        <v>883</v>
      </c>
      <c r="B991" s="21" t="s">
        <v>979</v>
      </c>
      <c r="C991" s="5">
        <v>1940</v>
      </c>
      <c r="D991" s="3"/>
      <c r="E991" s="111" t="s">
        <v>3645</v>
      </c>
      <c r="F991" s="109">
        <v>4</v>
      </c>
      <c r="G991" s="25"/>
      <c r="H991" s="111">
        <v>161</v>
      </c>
      <c r="I991" s="109">
        <v>43</v>
      </c>
      <c r="J991" s="19">
        <f t="shared" si="94"/>
        <v>130000</v>
      </c>
      <c r="K991" s="73"/>
      <c r="L991" s="73"/>
      <c r="M991" s="73"/>
      <c r="N991" s="19">
        <f>SUMIF('2020'!B:B,B991,'2020'!C:C)+SUMIF('2021'!B:B,B991,'2021'!C:C)+SUMIF('2022'!B:B,B991,'2022'!C:C)</f>
        <v>130000</v>
      </c>
      <c r="O991" s="17">
        <v>44925</v>
      </c>
      <c r="P991" s="116" t="s">
        <v>3728</v>
      </c>
    </row>
    <row r="992" spans="1:16" ht="17.25" customHeight="1" x14ac:dyDescent="0.3">
      <c r="A992" s="169">
        <f t="shared" si="95"/>
        <v>884</v>
      </c>
      <c r="B992" s="21" t="s">
        <v>980</v>
      </c>
      <c r="C992" s="5">
        <v>1940</v>
      </c>
      <c r="D992" s="3"/>
      <c r="E992" s="113" t="s">
        <v>3645</v>
      </c>
      <c r="F992" s="109">
        <v>3</v>
      </c>
      <c r="G992" s="25">
        <v>1</v>
      </c>
      <c r="H992" s="113">
        <v>153</v>
      </c>
      <c r="I992" s="109">
        <v>5</v>
      </c>
      <c r="J992" s="19">
        <f t="shared" si="94"/>
        <v>440704.20999999996</v>
      </c>
      <c r="K992" s="73"/>
      <c r="L992" s="73"/>
      <c r="M992" s="73"/>
      <c r="N992" s="19">
        <f>SUMIF('2020'!B:B,B992,'2020'!C:C)+SUMIF('2021'!B:B,B992,'2021'!C:C)+SUMIF('2022'!B:B,B992,'2022'!C:C)</f>
        <v>440704.20999999996</v>
      </c>
      <c r="O992" s="17">
        <v>44925</v>
      </c>
      <c r="P992" s="116" t="s">
        <v>3728</v>
      </c>
    </row>
    <row r="993" spans="1:16" ht="17.25" customHeight="1" x14ac:dyDescent="0.3">
      <c r="A993" s="169">
        <f t="shared" si="95"/>
        <v>885</v>
      </c>
      <c r="B993" s="21" t="s">
        <v>981</v>
      </c>
      <c r="C993" s="5">
        <v>1940</v>
      </c>
      <c r="D993" s="3"/>
      <c r="E993" s="109" t="s">
        <v>3645</v>
      </c>
      <c r="F993" s="109">
        <v>3</v>
      </c>
      <c r="G993" s="25">
        <v>1</v>
      </c>
      <c r="H993" s="109" t="s">
        <v>3795</v>
      </c>
      <c r="I993" s="109">
        <v>14</v>
      </c>
      <c r="J993" s="19">
        <f t="shared" si="94"/>
        <v>421830.81000000006</v>
      </c>
      <c r="K993" s="73"/>
      <c r="L993" s="73"/>
      <c r="M993" s="73"/>
      <c r="N993" s="19">
        <f>SUMIF('2020'!B:B,B993,'2020'!C:C)+SUMIF('2021'!B:B,B993,'2021'!C:C)+SUMIF('2022'!B:B,B993,'2022'!C:C)</f>
        <v>421830.81000000006</v>
      </c>
      <c r="O993" s="17">
        <v>44925</v>
      </c>
      <c r="P993" s="116" t="s">
        <v>3728</v>
      </c>
    </row>
    <row r="994" spans="1:16" ht="17.25" customHeight="1" x14ac:dyDescent="0.3">
      <c r="A994" s="169">
        <f t="shared" si="95"/>
        <v>886</v>
      </c>
      <c r="B994" s="21" t="s">
        <v>982</v>
      </c>
      <c r="C994" s="5">
        <v>1940</v>
      </c>
      <c r="D994" s="3"/>
      <c r="E994" s="109" t="s">
        <v>3645</v>
      </c>
      <c r="F994" s="109">
        <v>4</v>
      </c>
      <c r="G994" s="25"/>
      <c r="H994" s="109">
        <v>739.38</v>
      </c>
      <c r="I994" s="109">
        <v>24</v>
      </c>
      <c r="J994" s="19">
        <f t="shared" si="94"/>
        <v>225640.44</v>
      </c>
      <c r="K994" s="73"/>
      <c r="L994" s="73"/>
      <c r="M994" s="73"/>
      <c r="N994" s="19">
        <f>SUMIF('2020'!B:B,B994,'2020'!C:C)+SUMIF('2021'!B:B,B994,'2021'!C:C)+SUMIF('2022'!B:B,B994,'2022'!C:C)</f>
        <v>225640.44</v>
      </c>
      <c r="O994" s="17">
        <v>44925</v>
      </c>
      <c r="P994" s="116" t="s">
        <v>3728</v>
      </c>
    </row>
    <row r="995" spans="1:16" ht="17.25" customHeight="1" x14ac:dyDescent="0.3">
      <c r="A995" s="169">
        <f t="shared" si="95"/>
        <v>887</v>
      </c>
      <c r="B995" s="21" t="s">
        <v>983</v>
      </c>
      <c r="C995" s="5">
        <v>1940</v>
      </c>
      <c r="D995" s="3"/>
      <c r="E995" s="115" t="s">
        <v>3782</v>
      </c>
      <c r="F995" s="109">
        <v>1</v>
      </c>
      <c r="G995" s="25">
        <v>1</v>
      </c>
      <c r="H995" s="115">
        <v>176.6</v>
      </c>
      <c r="I995" s="113">
        <v>3</v>
      </c>
      <c r="J995" s="19">
        <f t="shared" si="94"/>
        <v>177702.00999999998</v>
      </c>
      <c r="K995" s="73"/>
      <c r="L995" s="73"/>
      <c r="M995" s="73"/>
      <c r="N995" s="19">
        <f>SUMIF('2020'!B:B,B995,'2020'!C:C)+SUMIF('2021'!B:B,B995,'2021'!C:C)+SUMIF('2022'!B:B,B995,'2022'!C:C)</f>
        <v>177702.00999999998</v>
      </c>
      <c r="O995" s="17">
        <v>44925</v>
      </c>
      <c r="P995" s="116" t="s">
        <v>3728</v>
      </c>
    </row>
    <row r="996" spans="1:16" ht="17.25" customHeight="1" x14ac:dyDescent="0.3">
      <c r="A996" s="169">
        <f t="shared" si="95"/>
        <v>888</v>
      </c>
      <c r="B996" s="21" t="s">
        <v>984</v>
      </c>
      <c r="C996" s="5">
        <v>1940</v>
      </c>
      <c r="D996" s="3"/>
      <c r="E996" s="115" t="s">
        <v>3782</v>
      </c>
      <c r="F996" s="109">
        <v>1</v>
      </c>
      <c r="G996" s="25">
        <v>1</v>
      </c>
      <c r="H996" s="115">
        <v>119.97</v>
      </c>
      <c r="I996" s="113">
        <v>4</v>
      </c>
      <c r="J996" s="19">
        <f t="shared" si="94"/>
        <v>385430.68</v>
      </c>
      <c r="K996" s="73"/>
      <c r="L996" s="73"/>
      <c r="M996" s="73"/>
      <c r="N996" s="19">
        <f>SUMIF('2020'!B:B,B996,'2020'!C:C)+SUMIF('2021'!B:B,B996,'2021'!C:C)+SUMIF('2022'!B:B,B996,'2022'!C:C)</f>
        <v>385430.68</v>
      </c>
      <c r="O996" s="17">
        <v>44925</v>
      </c>
      <c r="P996" s="116" t="s">
        <v>3728</v>
      </c>
    </row>
    <row r="997" spans="1:16" ht="17.25" customHeight="1" x14ac:dyDescent="0.3">
      <c r="A997" s="169">
        <f t="shared" si="95"/>
        <v>889</v>
      </c>
      <c r="B997" s="21" t="s">
        <v>985</v>
      </c>
      <c r="C997" s="5">
        <v>1940</v>
      </c>
      <c r="D997" s="3"/>
      <c r="E997" s="115" t="s">
        <v>3730</v>
      </c>
      <c r="F997" s="109">
        <v>1</v>
      </c>
      <c r="G997" s="25">
        <v>1</v>
      </c>
      <c r="H997" s="115">
        <v>178.4</v>
      </c>
      <c r="I997" s="109">
        <v>5</v>
      </c>
      <c r="J997" s="19">
        <f t="shared" si="94"/>
        <v>160099.33999999997</v>
      </c>
      <c r="K997" s="73"/>
      <c r="L997" s="73"/>
      <c r="M997" s="73"/>
      <c r="N997" s="19">
        <f>SUMIF('2020'!B:B,B997,'2020'!C:C)+SUMIF('2021'!B:B,B997,'2021'!C:C)+SUMIF('2022'!B:B,B997,'2022'!C:C)</f>
        <v>160099.33999999997</v>
      </c>
      <c r="O997" s="17">
        <v>44925</v>
      </c>
      <c r="P997" s="116" t="s">
        <v>3728</v>
      </c>
    </row>
    <row r="998" spans="1:16" ht="17.25" customHeight="1" x14ac:dyDescent="0.3">
      <c r="A998" s="169">
        <f t="shared" si="95"/>
        <v>890</v>
      </c>
      <c r="B998" s="21" t="s">
        <v>986</v>
      </c>
      <c r="C998" s="5">
        <v>1940</v>
      </c>
      <c r="D998" s="3"/>
      <c r="E998" s="115" t="s">
        <v>3782</v>
      </c>
      <c r="F998" s="109">
        <v>4</v>
      </c>
      <c r="G998" s="25">
        <v>1</v>
      </c>
      <c r="H998" s="115">
        <v>240.21</v>
      </c>
      <c r="I998" s="109">
        <v>12</v>
      </c>
      <c r="J998" s="19">
        <f t="shared" si="94"/>
        <v>502405.69999999995</v>
      </c>
      <c r="K998" s="73"/>
      <c r="L998" s="73"/>
      <c r="M998" s="73"/>
      <c r="N998" s="19">
        <f>SUMIF('2020'!B:B,B998,'2020'!C:C)+SUMIF('2021'!B:B,B998,'2021'!C:C)+SUMIF('2022'!B:B,B998,'2022'!C:C)</f>
        <v>502405.69999999995</v>
      </c>
      <c r="O998" s="17">
        <v>44925</v>
      </c>
      <c r="P998" s="116" t="s">
        <v>3728</v>
      </c>
    </row>
    <row r="999" spans="1:16" ht="17.25" customHeight="1" x14ac:dyDescent="0.3">
      <c r="A999" s="169">
        <f t="shared" si="95"/>
        <v>891</v>
      </c>
      <c r="B999" s="21" t="s">
        <v>987</v>
      </c>
      <c r="C999" s="5">
        <v>1940</v>
      </c>
      <c r="D999" s="3"/>
      <c r="E999" s="115" t="s">
        <v>3730</v>
      </c>
      <c r="F999" s="109">
        <v>2</v>
      </c>
      <c r="G999" s="25">
        <v>1</v>
      </c>
      <c r="H999" s="115">
        <v>229.59</v>
      </c>
      <c r="I999" s="109">
        <v>12</v>
      </c>
      <c r="J999" s="19">
        <f t="shared" si="94"/>
        <v>254591.46999999997</v>
      </c>
      <c r="K999" s="73"/>
      <c r="L999" s="73"/>
      <c r="M999" s="73"/>
      <c r="N999" s="19">
        <f>SUMIF('2020'!B:B,B999,'2020'!C:C)+SUMIF('2021'!B:B,B999,'2021'!C:C)+SUMIF('2022'!B:B,B999,'2022'!C:C)</f>
        <v>254591.46999999997</v>
      </c>
      <c r="O999" s="17">
        <v>44925</v>
      </c>
      <c r="P999" s="116" t="s">
        <v>3728</v>
      </c>
    </row>
    <row r="1000" spans="1:16" ht="17.25" customHeight="1" x14ac:dyDescent="0.3">
      <c r="A1000" s="169">
        <f t="shared" si="95"/>
        <v>892</v>
      </c>
      <c r="B1000" s="21" t="s">
        <v>988</v>
      </c>
      <c r="C1000" s="5">
        <v>1940</v>
      </c>
      <c r="D1000" s="3"/>
      <c r="E1000" s="115" t="s">
        <v>3782</v>
      </c>
      <c r="F1000" s="109">
        <v>8</v>
      </c>
      <c r="G1000" s="25">
        <v>2</v>
      </c>
      <c r="H1000" s="115">
        <v>434.51</v>
      </c>
      <c r="I1000" s="109">
        <v>27</v>
      </c>
      <c r="J1000" s="19">
        <f t="shared" si="94"/>
        <v>300434.08</v>
      </c>
      <c r="K1000" s="73"/>
      <c r="L1000" s="73"/>
      <c r="M1000" s="73"/>
      <c r="N1000" s="19">
        <f>SUMIF('2020'!B:B,B1000,'2020'!C:C)+SUMIF('2021'!B:B,B1000,'2021'!C:C)+SUMIF('2022'!B:B,B1000,'2022'!C:C)</f>
        <v>300434.08</v>
      </c>
      <c r="O1000" s="17">
        <v>44925</v>
      </c>
      <c r="P1000" s="116" t="s">
        <v>3728</v>
      </c>
    </row>
    <row r="1001" spans="1:16" ht="17.25" customHeight="1" x14ac:dyDescent="0.3">
      <c r="A1001" s="169">
        <f t="shared" si="95"/>
        <v>893</v>
      </c>
      <c r="B1001" s="21" t="s">
        <v>989</v>
      </c>
      <c r="C1001" s="5">
        <v>1940</v>
      </c>
      <c r="D1001" s="3"/>
      <c r="E1001" s="115" t="s">
        <v>3730</v>
      </c>
      <c r="F1001" s="109">
        <v>9</v>
      </c>
      <c r="G1001" s="25">
        <v>1</v>
      </c>
      <c r="H1001" s="115">
        <v>195.77</v>
      </c>
      <c r="I1001" s="109">
        <v>19</v>
      </c>
      <c r="J1001" s="19">
        <f t="shared" si="94"/>
        <v>425659.4</v>
      </c>
      <c r="K1001" s="73"/>
      <c r="L1001" s="73"/>
      <c r="M1001" s="73"/>
      <c r="N1001" s="19">
        <f>SUMIF('2020'!B:B,B1001,'2020'!C:C)+SUMIF('2021'!B:B,B1001,'2021'!C:C)+SUMIF('2022'!B:B,B1001,'2022'!C:C)</f>
        <v>425659.4</v>
      </c>
      <c r="O1001" s="17">
        <v>44925</v>
      </c>
      <c r="P1001" s="116" t="s">
        <v>3728</v>
      </c>
    </row>
    <row r="1002" spans="1:16" ht="17.25" customHeight="1" x14ac:dyDescent="0.3">
      <c r="A1002" s="169">
        <f t="shared" si="95"/>
        <v>894</v>
      </c>
      <c r="B1002" s="21" t="s">
        <v>990</v>
      </c>
      <c r="C1002" s="5">
        <v>1940</v>
      </c>
      <c r="D1002" s="3"/>
      <c r="E1002" s="113" t="s">
        <v>3645</v>
      </c>
      <c r="F1002" s="109">
        <v>1</v>
      </c>
      <c r="G1002" s="25">
        <v>1</v>
      </c>
      <c r="H1002" s="109">
        <v>209.54</v>
      </c>
      <c r="I1002" s="109">
        <v>8</v>
      </c>
      <c r="J1002" s="19">
        <f t="shared" si="94"/>
        <v>126227.63</v>
      </c>
      <c r="K1002" s="73"/>
      <c r="L1002" s="73"/>
      <c r="M1002" s="73"/>
      <c r="N1002" s="19">
        <f>SUMIF('2020'!B:B,B1002,'2020'!C:C)+SUMIF('2021'!B:B,B1002,'2021'!C:C)+SUMIF('2022'!B:B,B1002,'2022'!C:C)</f>
        <v>126227.63</v>
      </c>
      <c r="O1002" s="17">
        <v>44925</v>
      </c>
      <c r="P1002" s="116" t="s">
        <v>3728</v>
      </c>
    </row>
    <row r="1003" spans="1:16" ht="17.25" customHeight="1" x14ac:dyDescent="0.3">
      <c r="A1003" s="169">
        <f t="shared" si="95"/>
        <v>895</v>
      </c>
      <c r="B1003" s="21" t="s">
        <v>991</v>
      </c>
      <c r="C1003" s="5">
        <v>1940</v>
      </c>
      <c r="D1003" s="3"/>
      <c r="E1003" s="115" t="s">
        <v>3730</v>
      </c>
      <c r="F1003" s="109">
        <v>6</v>
      </c>
      <c r="G1003" s="25">
        <v>1</v>
      </c>
      <c r="H1003" s="115">
        <v>323.77999999999997</v>
      </c>
      <c r="I1003" s="109">
        <v>21</v>
      </c>
      <c r="J1003" s="19">
        <f t="shared" si="94"/>
        <v>564554.17999999993</v>
      </c>
      <c r="K1003" s="73"/>
      <c r="L1003" s="73"/>
      <c r="M1003" s="73"/>
      <c r="N1003" s="19">
        <f>SUMIF('2020'!B:B,B1003,'2020'!C:C)+SUMIF('2021'!B:B,B1003,'2021'!C:C)+SUMIF('2022'!B:B,B1003,'2022'!C:C)</f>
        <v>564554.17999999993</v>
      </c>
      <c r="O1003" s="17">
        <v>44925</v>
      </c>
      <c r="P1003" s="116" t="s">
        <v>3728</v>
      </c>
    </row>
    <row r="1004" spans="1:16" ht="17.25" customHeight="1" x14ac:dyDescent="0.3">
      <c r="A1004" s="169">
        <f t="shared" si="95"/>
        <v>896</v>
      </c>
      <c r="B1004" s="21" t="s">
        <v>992</v>
      </c>
      <c r="C1004" s="5">
        <v>1940</v>
      </c>
      <c r="D1004" s="3"/>
      <c r="E1004" s="115" t="s">
        <v>3783</v>
      </c>
      <c r="F1004" s="109">
        <v>8</v>
      </c>
      <c r="G1004" s="25">
        <v>1</v>
      </c>
      <c r="H1004" s="115">
        <v>172.32</v>
      </c>
      <c r="I1004" s="109">
        <v>8</v>
      </c>
      <c r="J1004" s="19">
        <f t="shared" si="94"/>
        <v>433332.18</v>
      </c>
      <c r="K1004" s="73"/>
      <c r="L1004" s="73"/>
      <c r="M1004" s="73"/>
      <c r="N1004" s="19">
        <f>SUMIF('2020'!B:B,B1004,'2020'!C:C)+SUMIF('2021'!B:B,B1004,'2021'!C:C)+SUMIF('2022'!B:B,B1004,'2022'!C:C)</f>
        <v>433332.18</v>
      </c>
      <c r="O1004" s="17">
        <v>44925</v>
      </c>
      <c r="P1004" s="116" t="s">
        <v>3728</v>
      </c>
    </row>
    <row r="1005" spans="1:16" ht="17.25" customHeight="1" x14ac:dyDescent="0.3">
      <c r="A1005" s="169">
        <f t="shared" si="95"/>
        <v>897</v>
      </c>
      <c r="B1005" s="21" t="s">
        <v>993</v>
      </c>
      <c r="C1005" s="5">
        <v>1940</v>
      </c>
      <c r="D1005" s="3"/>
      <c r="E1005" s="113" t="s">
        <v>3645</v>
      </c>
      <c r="F1005" s="109">
        <v>2</v>
      </c>
      <c r="G1005" s="25">
        <v>1</v>
      </c>
      <c r="H1005" s="115">
        <v>497.1</v>
      </c>
      <c r="I1005" s="113">
        <v>7</v>
      </c>
      <c r="J1005" s="19">
        <f t="shared" si="94"/>
        <v>379617.31</v>
      </c>
      <c r="K1005" s="73"/>
      <c r="L1005" s="73"/>
      <c r="M1005" s="73"/>
      <c r="N1005" s="19">
        <f>SUMIF('2020'!B:B,B1005,'2020'!C:C)+SUMIF('2021'!B:B,B1005,'2021'!C:C)+SUMIF('2022'!B:B,B1005,'2022'!C:C)</f>
        <v>379617.31</v>
      </c>
      <c r="O1005" s="17">
        <v>44925</v>
      </c>
      <c r="P1005" s="116" t="s">
        <v>3728</v>
      </c>
    </row>
    <row r="1006" spans="1:16" ht="17.25" customHeight="1" x14ac:dyDescent="0.3">
      <c r="A1006" s="169">
        <f t="shared" si="95"/>
        <v>898</v>
      </c>
      <c r="B1006" s="21" t="s">
        <v>994</v>
      </c>
      <c r="C1006" s="5">
        <v>1940</v>
      </c>
      <c r="D1006" s="3"/>
      <c r="E1006" s="113" t="s">
        <v>3645</v>
      </c>
      <c r="F1006" s="109">
        <v>2</v>
      </c>
      <c r="G1006" s="25">
        <v>2</v>
      </c>
      <c r="H1006" s="115">
        <v>402.97</v>
      </c>
      <c r="I1006" s="113">
        <v>4</v>
      </c>
      <c r="J1006" s="19">
        <f t="shared" si="94"/>
        <v>322628.45</v>
      </c>
      <c r="K1006" s="73"/>
      <c r="L1006" s="73"/>
      <c r="M1006" s="73"/>
      <c r="N1006" s="19">
        <f>SUMIF('2020'!B:B,B1006,'2020'!C:C)+SUMIF('2021'!B:B,B1006,'2021'!C:C)+SUMIF('2022'!B:B,B1006,'2022'!C:C)</f>
        <v>322628.45</v>
      </c>
      <c r="O1006" s="17">
        <v>44925</v>
      </c>
      <c r="P1006" s="116" t="s">
        <v>3728</v>
      </c>
    </row>
    <row r="1007" spans="1:16" ht="17.25" customHeight="1" x14ac:dyDescent="0.3">
      <c r="A1007" s="169">
        <f t="shared" si="95"/>
        <v>899</v>
      </c>
      <c r="B1007" s="21" t="s">
        <v>995</v>
      </c>
      <c r="C1007" s="5">
        <v>1940</v>
      </c>
      <c r="D1007" s="3"/>
      <c r="E1007" s="115" t="s">
        <v>3730</v>
      </c>
      <c r="F1007" s="109">
        <v>2</v>
      </c>
      <c r="G1007" s="25">
        <v>1</v>
      </c>
      <c r="H1007" s="113">
        <v>264.33</v>
      </c>
      <c r="I1007" s="109">
        <v>8</v>
      </c>
      <c r="J1007" s="19">
        <f t="shared" si="94"/>
        <v>304586.15999999997</v>
      </c>
      <c r="K1007" s="73"/>
      <c r="L1007" s="73"/>
      <c r="M1007" s="73"/>
      <c r="N1007" s="19">
        <f>SUMIF('2020'!B:B,B1007,'2020'!C:C)+SUMIF('2021'!B:B,B1007,'2021'!C:C)+SUMIF('2022'!B:B,B1007,'2022'!C:C)</f>
        <v>304586.15999999997</v>
      </c>
      <c r="O1007" s="17">
        <v>44925</v>
      </c>
      <c r="P1007" s="116" t="s">
        <v>3728</v>
      </c>
    </row>
    <row r="1008" spans="1:16" ht="17.25" customHeight="1" x14ac:dyDescent="0.3">
      <c r="A1008" s="169">
        <f t="shared" si="95"/>
        <v>900</v>
      </c>
      <c r="B1008" s="21" t="s">
        <v>996</v>
      </c>
      <c r="C1008" s="5">
        <v>1940</v>
      </c>
      <c r="D1008" s="3"/>
      <c r="E1008" s="109" t="s">
        <v>3645</v>
      </c>
      <c r="F1008" s="109">
        <v>4</v>
      </c>
      <c r="G1008" s="25">
        <v>2</v>
      </c>
      <c r="H1008" s="109">
        <v>1176</v>
      </c>
      <c r="I1008" s="109">
        <v>33</v>
      </c>
      <c r="J1008" s="19">
        <f t="shared" ref="J1008:J1071" si="96">K1008+L1008+M1008+N1008</f>
        <v>494093.81</v>
      </c>
      <c r="K1008" s="73"/>
      <c r="L1008" s="73"/>
      <c r="M1008" s="73"/>
      <c r="N1008" s="19">
        <f>SUMIF('2020'!B:B,B1008,'2020'!C:C)+SUMIF('2021'!B:B,B1008,'2021'!C:C)+SUMIF('2022'!B:B,B1008,'2022'!C:C)</f>
        <v>494093.81</v>
      </c>
      <c r="O1008" s="17">
        <v>44925</v>
      </c>
      <c r="P1008" s="116" t="s">
        <v>3728</v>
      </c>
    </row>
    <row r="1009" spans="1:16" ht="17.25" customHeight="1" x14ac:dyDescent="0.3">
      <c r="A1009" s="169">
        <f t="shared" si="95"/>
        <v>901</v>
      </c>
      <c r="B1009" s="21" t="s">
        <v>997</v>
      </c>
      <c r="C1009" s="5">
        <v>1966</v>
      </c>
      <c r="D1009" s="3"/>
      <c r="E1009" s="109" t="s">
        <v>3645</v>
      </c>
      <c r="F1009" s="109">
        <v>9</v>
      </c>
      <c r="G1009" s="25">
        <v>1</v>
      </c>
      <c r="H1009" s="109">
        <v>2044</v>
      </c>
      <c r="I1009" s="109">
        <v>65</v>
      </c>
      <c r="J1009" s="19">
        <f t="shared" si="96"/>
        <v>130000</v>
      </c>
      <c r="K1009" s="73"/>
      <c r="L1009" s="73"/>
      <c r="M1009" s="73"/>
      <c r="N1009" s="19">
        <f>SUMIF('2020'!B:B,B1009,'2020'!C:C)+SUMIF('2021'!B:B,B1009,'2021'!C:C)+SUMIF('2022'!B:B,B1009,'2022'!C:C)</f>
        <v>130000</v>
      </c>
      <c r="O1009" s="17">
        <v>44925</v>
      </c>
      <c r="P1009" s="116" t="s">
        <v>3728</v>
      </c>
    </row>
    <row r="1010" spans="1:16" ht="17.25" customHeight="1" x14ac:dyDescent="0.3">
      <c r="A1010" s="169">
        <f t="shared" si="95"/>
        <v>902</v>
      </c>
      <c r="B1010" s="21" t="s">
        <v>998</v>
      </c>
      <c r="C1010" s="5">
        <v>1940</v>
      </c>
      <c r="D1010" s="3"/>
      <c r="E1010" s="111" t="s">
        <v>3645</v>
      </c>
      <c r="F1010" s="111">
        <v>6</v>
      </c>
      <c r="G1010" s="25"/>
      <c r="H1010" s="111">
        <v>2710</v>
      </c>
      <c r="I1010" s="111">
        <v>42</v>
      </c>
      <c r="J1010" s="19">
        <f t="shared" si="96"/>
        <v>130000</v>
      </c>
      <c r="K1010" s="73"/>
      <c r="L1010" s="73"/>
      <c r="M1010" s="73"/>
      <c r="N1010" s="19">
        <f>SUMIF('2020'!B:B,B1010,'2020'!C:C)+SUMIF('2021'!B:B,B1010,'2021'!C:C)+SUMIF('2022'!B:B,B1010,'2022'!C:C)</f>
        <v>130000</v>
      </c>
      <c r="O1010" s="17">
        <v>44925</v>
      </c>
      <c r="P1010" s="116" t="s">
        <v>3728</v>
      </c>
    </row>
    <row r="1011" spans="1:16" ht="17.25" customHeight="1" x14ac:dyDescent="0.3">
      <c r="A1011" s="169">
        <f t="shared" si="95"/>
        <v>903</v>
      </c>
      <c r="B1011" s="21" t="s">
        <v>999</v>
      </c>
      <c r="C1011" s="5">
        <v>1940</v>
      </c>
      <c r="D1011" s="3"/>
      <c r="E1011" s="113" t="s">
        <v>3645</v>
      </c>
      <c r="F1011" s="113">
        <v>2</v>
      </c>
      <c r="G1011" s="25">
        <v>3</v>
      </c>
      <c r="H1011" s="113">
        <v>868.21</v>
      </c>
      <c r="I1011" s="113">
        <v>14</v>
      </c>
      <c r="J1011" s="19">
        <f t="shared" si="96"/>
        <v>568890.93999999994</v>
      </c>
      <c r="K1011" s="73"/>
      <c r="L1011" s="73"/>
      <c r="M1011" s="73"/>
      <c r="N1011" s="19">
        <f>SUMIF('2020'!B:B,B1011,'2020'!C:C)+SUMIF('2021'!B:B,B1011,'2021'!C:C)+SUMIF('2022'!B:B,B1011,'2022'!C:C)</f>
        <v>568890.93999999994</v>
      </c>
      <c r="O1011" s="17">
        <v>44925</v>
      </c>
      <c r="P1011" s="116" t="s">
        <v>3728</v>
      </c>
    </row>
    <row r="1012" spans="1:16" ht="17.25" customHeight="1" x14ac:dyDescent="0.3">
      <c r="A1012" s="169">
        <f t="shared" si="95"/>
        <v>904</v>
      </c>
      <c r="B1012" s="21" t="s">
        <v>1000</v>
      </c>
      <c r="C1012" s="5">
        <v>1940</v>
      </c>
      <c r="D1012" s="3"/>
      <c r="E1012" s="113" t="s">
        <v>3645</v>
      </c>
      <c r="F1012" s="113">
        <v>2</v>
      </c>
      <c r="G1012" s="25">
        <v>2</v>
      </c>
      <c r="H1012" s="113">
        <v>483.56</v>
      </c>
      <c r="I1012" s="113">
        <v>12</v>
      </c>
      <c r="J1012" s="19">
        <f t="shared" si="96"/>
        <v>398417.83</v>
      </c>
      <c r="K1012" s="73"/>
      <c r="L1012" s="73"/>
      <c r="M1012" s="73"/>
      <c r="N1012" s="19">
        <f>SUMIF('2020'!B:B,B1012,'2020'!C:C)+SUMIF('2021'!B:B,B1012,'2021'!C:C)+SUMIF('2022'!B:B,B1012,'2022'!C:C)</f>
        <v>398417.83</v>
      </c>
      <c r="O1012" s="17">
        <v>44925</v>
      </c>
      <c r="P1012" s="116" t="s">
        <v>3728</v>
      </c>
    </row>
    <row r="1013" spans="1:16" ht="17.25" customHeight="1" x14ac:dyDescent="0.3">
      <c r="A1013" s="169">
        <f t="shared" ref="A1013:A1076" si="97">A1012+1</f>
        <v>905</v>
      </c>
      <c r="B1013" s="21" t="s">
        <v>1001</v>
      </c>
      <c r="C1013" s="5">
        <v>1940</v>
      </c>
      <c r="D1013" s="3"/>
      <c r="E1013" s="109" t="s">
        <v>3645</v>
      </c>
      <c r="F1013" s="109">
        <v>3</v>
      </c>
      <c r="G1013" s="25">
        <v>1</v>
      </c>
      <c r="H1013" s="109">
        <v>1251.5999999999999</v>
      </c>
      <c r="I1013" s="109">
        <v>23</v>
      </c>
      <c r="J1013" s="19">
        <f t="shared" si="96"/>
        <v>130000</v>
      </c>
      <c r="K1013" s="73"/>
      <c r="L1013" s="73"/>
      <c r="M1013" s="73"/>
      <c r="N1013" s="19">
        <f>SUMIF('2020'!B:B,B1013,'2020'!C:C)+SUMIF('2021'!B:B,B1013,'2021'!C:C)+SUMIF('2022'!B:B,B1013,'2022'!C:C)</f>
        <v>130000</v>
      </c>
      <c r="O1013" s="17">
        <v>44925</v>
      </c>
      <c r="P1013" s="116" t="s">
        <v>3728</v>
      </c>
    </row>
    <row r="1014" spans="1:16" ht="17.25" customHeight="1" x14ac:dyDescent="0.3">
      <c r="A1014" s="169">
        <f t="shared" si="97"/>
        <v>906</v>
      </c>
      <c r="B1014" s="21" t="s">
        <v>1002</v>
      </c>
      <c r="C1014" s="5">
        <v>1997</v>
      </c>
      <c r="D1014" s="3"/>
      <c r="E1014" s="109" t="s">
        <v>3645</v>
      </c>
      <c r="F1014" s="109">
        <v>7</v>
      </c>
      <c r="G1014" s="25">
        <v>1</v>
      </c>
      <c r="H1014" s="109">
        <v>1685.2</v>
      </c>
      <c r="I1014" s="109">
        <v>45</v>
      </c>
      <c r="J1014" s="19">
        <f t="shared" si="96"/>
        <v>130000</v>
      </c>
      <c r="K1014" s="73"/>
      <c r="L1014" s="73"/>
      <c r="M1014" s="73"/>
      <c r="N1014" s="19">
        <f>SUMIF('2020'!B:B,B1014,'2020'!C:C)+SUMIF('2021'!B:B,B1014,'2021'!C:C)+SUMIF('2022'!B:B,B1014,'2022'!C:C)</f>
        <v>130000</v>
      </c>
      <c r="O1014" s="17">
        <v>44925</v>
      </c>
      <c r="P1014" s="116" t="s">
        <v>3728</v>
      </c>
    </row>
    <row r="1015" spans="1:16" ht="17.25" customHeight="1" x14ac:dyDescent="0.3">
      <c r="A1015" s="169">
        <f t="shared" si="97"/>
        <v>907</v>
      </c>
      <c r="B1015" s="21" t="s">
        <v>1003</v>
      </c>
      <c r="C1015" s="5">
        <v>1989</v>
      </c>
      <c r="D1015" s="3"/>
      <c r="E1015" s="109" t="s">
        <v>3729</v>
      </c>
      <c r="F1015" s="109">
        <v>5</v>
      </c>
      <c r="G1015" s="25">
        <v>4</v>
      </c>
      <c r="H1015" s="109">
        <v>3461.5</v>
      </c>
      <c r="I1015" s="109">
        <v>162</v>
      </c>
      <c r="J1015" s="19">
        <f t="shared" si="96"/>
        <v>328767.83</v>
      </c>
      <c r="K1015" s="73"/>
      <c r="L1015" s="73"/>
      <c r="M1015" s="73"/>
      <c r="N1015" s="19">
        <f>SUMIF('2020'!B:B,B1015,'2020'!C:C)+SUMIF('2021'!B:B,B1015,'2021'!C:C)+SUMIF('2022'!B:B,B1015,'2022'!C:C)</f>
        <v>328767.83</v>
      </c>
      <c r="O1015" s="17">
        <v>44925</v>
      </c>
      <c r="P1015" s="116" t="s">
        <v>3728</v>
      </c>
    </row>
    <row r="1016" spans="1:16" ht="17.25" customHeight="1" x14ac:dyDescent="0.3">
      <c r="A1016" s="169">
        <f t="shared" si="97"/>
        <v>908</v>
      </c>
      <c r="B1016" s="21" t="s">
        <v>1004</v>
      </c>
      <c r="C1016" s="5">
        <v>1989</v>
      </c>
      <c r="D1016" s="3"/>
      <c r="E1016" s="109" t="s">
        <v>3729</v>
      </c>
      <c r="F1016" s="109">
        <v>9</v>
      </c>
      <c r="G1016" s="25">
        <v>2</v>
      </c>
      <c r="H1016" s="109">
        <v>4002.9</v>
      </c>
      <c r="I1016" s="109">
        <v>112</v>
      </c>
      <c r="J1016" s="19">
        <f t="shared" si="96"/>
        <v>130000</v>
      </c>
      <c r="K1016" s="73"/>
      <c r="L1016" s="73"/>
      <c r="M1016" s="73"/>
      <c r="N1016" s="19">
        <f>SUMIF('2020'!B:B,B1016,'2020'!C:C)+SUMIF('2021'!B:B,B1016,'2021'!C:C)+SUMIF('2022'!B:B,B1016,'2022'!C:C)</f>
        <v>130000</v>
      </c>
      <c r="O1016" s="17">
        <v>44925</v>
      </c>
      <c r="P1016" s="110" t="s">
        <v>3728</v>
      </c>
    </row>
    <row r="1017" spans="1:16" ht="17.25" customHeight="1" x14ac:dyDescent="0.3">
      <c r="A1017" s="169">
        <f t="shared" si="97"/>
        <v>909</v>
      </c>
      <c r="B1017" s="21" t="s">
        <v>1005</v>
      </c>
      <c r="C1017" s="5">
        <v>1940</v>
      </c>
      <c r="D1017" s="3"/>
      <c r="E1017" s="109" t="s">
        <v>3645</v>
      </c>
      <c r="F1017" s="109" t="s">
        <v>3791</v>
      </c>
      <c r="G1017" s="25">
        <v>1</v>
      </c>
      <c r="H1017" s="109">
        <v>1018.74</v>
      </c>
      <c r="I1017" s="109">
        <v>33</v>
      </c>
      <c r="J1017" s="19">
        <f t="shared" si="96"/>
        <v>389049.08999999997</v>
      </c>
      <c r="K1017" s="73"/>
      <c r="L1017" s="73"/>
      <c r="M1017" s="73"/>
      <c r="N1017" s="19">
        <f>SUMIF('2020'!B:B,B1017,'2020'!C:C)+SUMIF('2021'!B:B,B1017,'2021'!C:C)+SUMIF('2022'!B:B,B1017,'2022'!C:C)</f>
        <v>389049.08999999997</v>
      </c>
      <c r="O1017" s="17">
        <v>44925</v>
      </c>
      <c r="P1017" s="116" t="s">
        <v>3728</v>
      </c>
    </row>
    <row r="1018" spans="1:16" ht="17.25" customHeight="1" x14ac:dyDescent="0.3">
      <c r="A1018" s="169">
        <f t="shared" si="97"/>
        <v>910</v>
      </c>
      <c r="B1018" s="21" t="s">
        <v>1006</v>
      </c>
      <c r="C1018" s="5">
        <v>1940</v>
      </c>
      <c r="D1018" s="3"/>
      <c r="E1018" s="109" t="s">
        <v>3645</v>
      </c>
      <c r="F1018" s="109">
        <v>3</v>
      </c>
      <c r="G1018" s="25">
        <v>1</v>
      </c>
      <c r="H1018" s="109">
        <v>802.93</v>
      </c>
      <c r="I1018" s="109">
        <v>28</v>
      </c>
      <c r="J1018" s="19">
        <f t="shared" si="96"/>
        <v>333455.69</v>
      </c>
      <c r="K1018" s="73"/>
      <c r="L1018" s="73"/>
      <c r="M1018" s="73"/>
      <c r="N1018" s="19">
        <f>SUMIF('2020'!B:B,B1018,'2020'!C:C)+SUMIF('2021'!B:B,B1018,'2021'!C:C)+SUMIF('2022'!B:B,B1018,'2022'!C:C)</f>
        <v>333455.69</v>
      </c>
      <c r="O1018" s="17">
        <v>44925</v>
      </c>
      <c r="P1018" s="116" t="s">
        <v>3728</v>
      </c>
    </row>
    <row r="1019" spans="1:16" ht="17.25" customHeight="1" x14ac:dyDescent="0.3">
      <c r="A1019" s="169">
        <f t="shared" si="97"/>
        <v>911</v>
      </c>
      <c r="B1019" s="21" t="s">
        <v>1007</v>
      </c>
      <c r="C1019" s="5">
        <v>1940</v>
      </c>
      <c r="D1019" s="3"/>
      <c r="E1019" s="109" t="s">
        <v>3645</v>
      </c>
      <c r="F1019" s="109" t="s">
        <v>3791</v>
      </c>
      <c r="G1019" s="25">
        <v>2</v>
      </c>
      <c r="H1019" s="109">
        <v>823.68</v>
      </c>
      <c r="I1019" s="109">
        <v>31</v>
      </c>
      <c r="J1019" s="19">
        <f t="shared" si="96"/>
        <v>392845.33</v>
      </c>
      <c r="K1019" s="73"/>
      <c r="L1019" s="73"/>
      <c r="M1019" s="73"/>
      <c r="N1019" s="19">
        <f>SUMIF('2020'!B:B,B1019,'2020'!C:C)+SUMIF('2021'!B:B,B1019,'2021'!C:C)+SUMIF('2022'!B:B,B1019,'2022'!C:C)</f>
        <v>392845.33</v>
      </c>
      <c r="O1019" s="17">
        <v>44925</v>
      </c>
      <c r="P1019" s="116" t="s">
        <v>3728</v>
      </c>
    </row>
    <row r="1020" spans="1:16" ht="17.25" customHeight="1" x14ac:dyDescent="0.3">
      <c r="A1020" s="169">
        <f t="shared" si="97"/>
        <v>912</v>
      </c>
      <c r="B1020" s="21" t="s">
        <v>1008</v>
      </c>
      <c r="C1020" s="5">
        <v>1976</v>
      </c>
      <c r="D1020" s="3"/>
      <c r="E1020" s="111" t="s">
        <v>3645</v>
      </c>
      <c r="F1020" s="111">
        <v>5</v>
      </c>
      <c r="G1020" s="25"/>
      <c r="H1020" s="111">
        <v>9317.4</v>
      </c>
      <c r="I1020" s="109">
        <v>498</v>
      </c>
      <c r="J1020" s="19">
        <f t="shared" si="96"/>
        <v>24607392.199999999</v>
      </c>
      <c r="K1020" s="73"/>
      <c r="L1020" s="73"/>
      <c r="M1020" s="73"/>
      <c r="N1020" s="19">
        <f>SUMIF('2020'!B:B,B1020,'2020'!C:C)+SUMIF('2021'!B:B,B1020,'2021'!C:C)+SUMIF('2022'!B:B,B1020,'2022'!C:C)</f>
        <v>24607392.199999999</v>
      </c>
      <c r="O1020" s="17">
        <v>44925</v>
      </c>
      <c r="P1020" s="116" t="s">
        <v>3728</v>
      </c>
    </row>
    <row r="1021" spans="1:16" ht="17.25" customHeight="1" x14ac:dyDescent="0.3">
      <c r="A1021" s="169">
        <f t="shared" si="97"/>
        <v>913</v>
      </c>
      <c r="B1021" s="21" t="s">
        <v>1009</v>
      </c>
      <c r="C1021" s="5">
        <v>1940</v>
      </c>
      <c r="D1021" s="3"/>
      <c r="E1021" s="109" t="s">
        <v>3645</v>
      </c>
      <c r="F1021" s="109">
        <v>3</v>
      </c>
      <c r="G1021" s="25">
        <v>1</v>
      </c>
      <c r="H1021" s="109">
        <v>1006.04</v>
      </c>
      <c r="I1021" s="109">
        <v>43</v>
      </c>
      <c r="J1021" s="19">
        <f t="shared" si="96"/>
        <v>7156010.4100000001</v>
      </c>
      <c r="K1021" s="73"/>
      <c r="L1021" s="73"/>
      <c r="M1021" s="73"/>
      <c r="N1021" s="19">
        <f>SUMIF('2020'!B:B,B1021,'2020'!C:C)+SUMIF('2021'!B:B,B1021,'2021'!C:C)+SUMIF('2022'!B:B,B1021,'2022'!C:C)</f>
        <v>7156010.4100000001</v>
      </c>
      <c r="O1021" s="17">
        <v>44925</v>
      </c>
      <c r="P1021" s="116" t="s">
        <v>3728</v>
      </c>
    </row>
    <row r="1022" spans="1:16" ht="17.25" customHeight="1" x14ac:dyDescent="0.3">
      <c r="A1022" s="169">
        <f t="shared" si="97"/>
        <v>914</v>
      </c>
      <c r="B1022" s="21" t="s">
        <v>1010</v>
      </c>
      <c r="C1022" s="5">
        <v>1940</v>
      </c>
      <c r="D1022" s="3"/>
      <c r="E1022" s="113" t="s">
        <v>3645</v>
      </c>
      <c r="F1022" s="109">
        <v>3</v>
      </c>
      <c r="G1022" s="25">
        <v>2</v>
      </c>
      <c r="H1022" s="109">
        <v>1287.83</v>
      </c>
      <c r="I1022" s="109">
        <v>60</v>
      </c>
      <c r="J1022" s="19">
        <f t="shared" si="96"/>
        <v>627571.53</v>
      </c>
      <c r="K1022" s="73"/>
      <c r="L1022" s="73"/>
      <c r="M1022" s="73"/>
      <c r="N1022" s="19">
        <f>SUMIF('2020'!B:B,B1022,'2020'!C:C)+SUMIF('2021'!B:B,B1022,'2021'!C:C)+SUMIF('2022'!B:B,B1022,'2022'!C:C)</f>
        <v>627571.53</v>
      </c>
      <c r="O1022" s="17">
        <v>44925</v>
      </c>
      <c r="P1022" s="116" t="s">
        <v>3728</v>
      </c>
    </row>
    <row r="1023" spans="1:16" ht="17.25" customHeight="1" x14ac:dyDescent="0.3">
      <c r="A1023" s="169">
        <f t="shared" si="97"/>
        <v>915</v>
      </c>
      <c r="B1023" s="21" t="s">
        <v>1011</v>
      </c>
      <c r="C1023" s="5">
        <v>1940</v>
      </c>
      <c r="D1023" s="3"/>
      <c r="E1023" s="112" t="s">
        <v>3645</v>
      </c>
      <c r="F1023" s="109">
        <v>2</v>
      </c>
      <c r="G1023" s="25">
        <v>1</v>
      </c>
      <c r="H1023" s="112">
        <v>105</v>
      </c>
      <c r="I1023" s="109">
        <v>8</v>
      </c>
      <c r="J1023" s="19">
        <f t="shared" si="96"/>
        <v>243510.76</v>
      </c>
      <c r="K1023" s="73"/>
      <c r="L1023" s="73"/>
      <c r="M1023" s="73"/>
      <c r="N1023" s="19">
        <f>SUMIF('2020'!B:B,B1023,'2020'!C:C)+SUMIF('2021'!B:B,B1023,'2021'!C:C)+SUMIF('2022'!B:B,B1023,'2022'!C:C)</f>
        <v>243510.76</v>
      </c>
      <c r="O1023" s="17">
        <v>44925</v>
      </c>
      <c r="P1023" s="116" t="s">
        <v>3728</v>
      </c>
    </row>
    <row r="1024" spans="1:16" ht="17.25" customHeight="1" x14ac:dyDescent="0.3">
      <c r="A1024" s="169">
        <f t="shared" si="97"/>
        <v>916</v>
      </c>
      <c r="B1024" s="21" t="s">
        <v>1012</v>
      </c>
      <c r="C1024" s="5">
        <v>1940</v>
      </c>
      <c r="D1024" s="3"/>
      <c r="E1024" s="113" t="s">
        <v>3645</v>
      </c>
      <c r="F1024" s="109">
        <v>2</v>
      </c>
      <c r="G1024" s="25">
        <v>1</v>
      </c>
      <c r="H1024" s="113">
        <v>154.99</v>
      </c>
      <c r="I1024" s="109">
        <v>8</v>
      </c>
      <c r="J1024" s="19">
        <f t="shared" si="96"/>
        <v>274313.8</v>
      </c>
      <c r="K1024" s="73"/>
      <c r="L1024" s="73"/>
      <c r="M1024" s="73"/>
      <c r="N1024" s="19">
        <f>SUMIF('2020'!B:B,B1024,'2020'!C:C)+SUMIF('2021'!B:B,B1024,'2021'!C:C)+SUMIF('2022'!B:B,B1024,'2022'!C:C)</f>
        <v>274313.8</v>
      </c>
      <c r="O1024" s="17">
        <v>44925</v>
      </c>
      <c r="P1024" s="116" t="s">
        <v>3728</v>
      </c>
    </row>
    <row r="1025" spans="1:16" ht="17.25" customHeight="1" x14ac:dyDescent="0.3">
      <c r="A1025" s="169">
        <f t="shared" si="97"/>
        <v>917</v>
      </c>
      <c r="B1025" s="21" t="s">
        <v>1013</v>
      </c>
      <c r="C1025" s="5">
        <v>1910</v>
      </c>
      <c r="D1025" s="3"/>
      <c r="E1025" s="109" t="s">
        <v>3645</v>
      </c>
      <c r="F1025" s="109">
        <v>5</v>
      </c>
      <c r="G1025" s="25">
        <v>1</v>
      </c>
      <c r="H1025" s="109">
        <v>5359.98</v>
      </c>
      <c r="I1025" s="109">
        <v>169</v>
      </c>
      <c r="J1025" s="19">
        <f t="shared" si="96"/>
        <v>1419305.5399999998</v>
      </c>
      <c r="K1025" s="73"/>
      <c r="L1025" s="73"/>
      <c r="M1025" s="73"/>
      <c r="N1025" s="19">
        <f>SUMIF('2020'!B:B,B1025,'2020'!C:C)+SUMIF('2021'!B:B,B1025,'2021'!C:C)+SUMIF('2022'!B:B,B1025,'2022'!C:C)</f>
        <v>1419305.5399999998</v>
      </c>
      <c r="O1025" s="17">
        <v>44925</v>
      </c>
      <c r="P1025" s="116" t="s">
        <v>3728</v>
      </c>
    </row>
    <row r="1026" spans="1:16" ht="17.25" customHeight="1" x14ac:dyDescent="0.3">
      <c r="A1026" s="169">
        <f t="shared" si="97"/>
        <v>918</v>
      </c>
      <c r="B1026" s="21" t="s">
        <v>1014</v>
      </c>
      <c r="C1026" s="5">
        <v>1972</v>
      </c>
      <c r="D1026" s="3"/>
      <c r="E1026" s="116" t="s">
        <v>3738</v>
      </c>
      <c r="F1026" s="109">
        <v>5</v>
      </c>
      <c r="G1026" s="25"/>
      <c r="H1026" s="116">
        <v>6267.25</v>
      </c>
      <c r="I1026" s="109">
        <v>118</v>
      </c>
      <c r="J1026" s="19">
        <f t="shared" si="96"/>
        <v>5847162.6799999997</v>
      </c>
      <c r="K1026" s="73"/>
      <c r="L1026" s="73"/>
      <c r="M1026" s="73"/>
      <c r="N1026" s="19">
        <f>SUMIF('2020'!B:B,B1026,'2020'!C:C)+SUMIF('2021'!B:B,B1026,'2021'!C:C)+SUMIF('2022'!B:B,B1026,'2022'!C:C)</f>
        <v>5847162.6799999997</v>
      </c>
      <c r="O1026" s="17">
        <v>44925</v>
      </c>
      <c r="P1026" s="116" t="s">
        <v>3728</v>
      </c>
    </row>
    <row r="1027" spans="1:16" ht="17.25" customHeight="1" x14ac:dyDescent="0.3">
      <c r="A1027" s="169">
        <f t="shared" si="97"/>
        <v>919</v>
      </c>
      <c r="B1027" s="21" t="s">
        <v>1015</v>
      </c>
      <c r="C1027" s="5">
        <v>1997</v>
      </c>
      <c r="D1027" s="3"/>
      <c r="E1027" s="109" t="s">
        <v>3645</v>
      </c>
      <c r="F1027" s="109">
        <v>14</v>
      </c>
      <c r="G1027" s="25"/>
      <c r="H1027" s="109">
        <v>5099.2</v>
      </c>
      <c r="I1027" s="109">
        <v>210</v>
      </c>
      <c r="J1027" s="19">
        <f t="shared" si="96"/>
        <v>1676564.84</v>
      </c>
      <c r="K1027" s="73"/>
      <c r="L1027" s="73"/>
      <c r="M1027" s="73"/>
      <c r="N1027" s="19">
        <f>SUMIF('2020'!B:B,B1027,'2020'!C:C)+SUMIF('2021'!B:B,B1027,'2021'!C:C)+SUMIF('2022'!B:B,B1027,'2022'!C:C)</f>
        <v>1676564.84</v>
      </c>
      <c r="O1027" s="17">
        <v>44925</v>
      </c>
      <c r="P1027" s="116" t="s">
        <v>3728</v>
      </c>
    </row>
    <row r="1028" spans="1:16" ht="17.25" customHeight="1" x14ac:dyDescent="0.3">
      <c r="A1028" s="169">
        <f t="shared" si="97"/>
        <v>920</v>
      </c>
      <c r="B1028" s="21" t="s">
        <v>1016</v>
      </c>
      <c r="C1028" s="5">
        <v>1940</v>
      </c>
      <c r="D1028" s="3"/>
      <c r="E1028" s="109" t="s">
        <v>3645</v>
      </c>
      <c r="F1028" s="109">
        <v>4</v>
      </c>
      <c r="G1028" s="25">
        <v>1</v>
      </c>
      <c r="H1028" s="109">
        <v>1078.77</v>
      </c>
      <c r="I1028" s="109">
        <v>35</v>
      </c>
      <c r="J1028" s="19">
        <f t="shared" si="96"/>
        <v>481390.49</v>
      </c>
      <c r="K1028" s="73"/>
      <c r="L1028" s="73"/>
      <c r="M1028" s="73"/>
      <c r="N1028" s="19">
        <f>SUMIF('2020'!B:B,B1028,'2020'!C:C)+SUMIF('2021'!B:B,B1028,'2021'!C:C)+SUMIF('2022'!B:B,B1028,'2022'!C:C)</f>
        <v>481390.49</v>
      </c>
      <c r="O1028" s="17">
        <v>44925</v>
      </c>
      <c r="P1028" s="116" t="s">
        <v>3728</v>
      </c>
    </row>
    <row r="1029" spans="1:16" ht="17.25" customHeight="1" x14ac:dyDescent="0.3">
      <c r="A1029" s="169">
        <f t="shared" si="97"/>
        <v>921</v>
      </c>
      <c r="B1029" s="21" t="s">
        <v>1017</v>
      </c>
      <c r="C1029" s="5">
        <v>1940</v>
      </c>
      <c r="D1029" s="3"/>
      <c r="E1029" s="109" t="s">
        <v>3645</v>
      </c>
      <c r="F1029" s="109">
        <v>7</v>
      </c>
      <c r="G1029" s="25">
        <v>1</v>
      </c>
      <c r="H1029" s="109">
        <v>6355.94</v>
      </c>
      <c r="I1029" s="109">
        <v>110</v>
      </c>
      <c r="J1029" s="19">
        <f t="shared" si="96"/>
        <v>1434884.74</v>
      </c>
      <c r="K1029" s="73"/>
      <c r="L1029" s="73"/>
      <c r="M1029" s="73"/>
      <c r="N1029" s="19">
        <f>SUMIF('2020'!B:B,B1029,'2020'!C:C)+SUMIF('2021'!B:B,B1029,'2021'!C:C)+SUMIF('2022'!B:B,B1029,'2022'!C:C)</f>
        <v>1434884.74</v>
      </c>
      <c r="O1029" s="17">
        <v>44925</v>
      </c>
      <c r="P1029" s="116" t="s">
        <v>3728</v>
      </c>
    </row>
    <row r="1030" spans="1:16" ht="17.25" customHeight="1" x14ac:dyDescent="0.3">
      <c r="A1030" s="169">
        <f t="shared" si="97"/>
        <v>922</v>
      </c>
      <c r="B1030" s="21" t="s">
        <v>1018</v>
      </c>
      <c r="C1030" s="5">
        <v>1940</v>
      </c>
      <c r="D1030" s="3"/>
      <c r="E1030" s="109" t="s">
        <v>3645</v>
      </c>
      <c r="F1030" s="109">
        <v>6</v>
      </c>
      <c r="G1030" s="25">
        <v>1</v>
      </c>
      <c r="H1030" s="109">
        <v>1858.67</v>
      </c>
      <c r="I1030" s="109">
        <v>43</v>
      </c>
      <c r="J1030" s="19">
        <f t="shared" si="96"/>
        <v>1339759.0000000002</v>
      </c>
      <c r="K1030" s="73"/>
      <c r="L1030" s="73"/>
      <c r="M1030" s="73"/>
      <c r="N1030" s="19">
        <f>SUMIF('2020'!B:B,B1030,'2020'!C:C)+SUMIF('2021'!B:B,B1030,'2021'!C:C)+SUMIF('2022'!B:B,B1030,'2022'!C:C)</f>
        <v>1339759.0000000002</v>
      </c>
      <c r="O1030" s="17">
        <v>44925</v>
      </c>
      <c r="P1030" s="116" t="s">
        <v>3728</v>
      </c>
    </row>
    <row r="1031" spans="1:16" ht="17.25" customHeight="1" x14ac:dyDescent="0.3">
      <c r="A1031" s="169">
        <f t="shared" si="97"/>
        <v>923</v>
      </c>
      <c r="B1031" s="21" t="s">
        <v>1019</v>
      </c>
      <c r="C1031" s="5">
        <v>1940</v>
      </c>
      <c r="D1031" s="3"/>
      <c r="E1031" s="109" t="s">
        <v>3645</v>
      </c>
      <c r="F1031" s="109">
        <v>2</v>
      </c>
      <c r="G1031" s="25"/>
      <c r="H1031" s="109">
        <v>498</v>
      </c>
      <c r="I1031" s="109">
        <v>14</v>
      </c>
      <c r="J1031" s="19">
        <f t="shared" si="96"/>
        <v>311478.44</v>
      </c>
      <c r="K1031" s="73"/>
      <c r="L1031" s="73"/>
      <c r="M1031" s="73"/>
      <c r="N1031" s="19">
        <f>SUMIF('2020'!B:B,B1031,'2020'!C:C)+SUMIF('2021'!B:B,B1031,'2021'!C:C)+SUMIF('2022'!B:B,B1031,'2022'!C:C)</f>
        <v>311478.44</v>
      </c>
      <c r="O1031" s="17">
        <v>44925</v>
      </c>
      <c r="P1031" s="116" t="s">
        <v>3728</v>
      </c>
    </row>
    <row r="1032" spans="1:16" ht="17.25" customHeight="1" x14ac:dyDescent="0.3">
      <c r="A1032" s="169">
        <f t="shared" si="97"/>
        <v>924</v>
      </c>
      <c r="B1032" s="21" t="s">
        <v>1020</v>
      </c>
      <c r="C1032" s="5">
        <v>1940</v>
      </c>
      <c r="D1032" s="3"/>
      <c r="E1032" s="109" t="s">
        <v>3645</v>
      </c>
      <c r="F1032" s="109">
        <v>7</v>
      </c>
      <c r="G1032" s="25">
        <v>1</v>
      </c>
      <c r="H1032" s="109">
        <v>7576</v>
      </c>
      <c r="I1032" s="109">
        <v>217</v>
      </c>
      <c r="J1032" s="19">
        <f t="shared" si="96"/>
        <v>855213.16</v>
      </c>
      <c r="K1032" s="73"/>
      <c r="L1032" s="73"/>
      <c r="M1032" s="73"/>
      <c r="N1032" s="19">
        <f>SUMIF('2020'!B:B,B1032,'2020'!C:C)+SUMIF('2021'!B:B,B1032,'2021'!C:C)+SUMIF('2022'!B:B,B1032,'2022'!C:C)</f>
        <v>855213.16</v>
      </c>
      <c r="O1032" s="17">
        <v>44925</v>
      </c>
      <c r="P1032" s="116" t="s">
        <v>3728</v>
      </c>
    </row>
    <row r="1033" spans="1:16" ht="17.25" customHeight="1" x14ac:dyDescent="0.3">
      <c r="A1033" s="169">
        <f t="shared" si="97"/>
        <v>925</v>
      </c>
      <c r="B1033" s="21" t="s">
        <v>1021</v>
      </c>
      <c r="C1033" s="5">
        <v>1940</v>
      </c>
      <c r="D1033" s="3"/>
      <c r="E1033" s="113" t="s">
        <v>3645</v>
      </c>
      <c r="F1033" s="109">
        <v>4</v>
      </c>
      <c r="G1033" s="25">
        <v>1</v>
      </c>
      <c r="H1033" s="109">
        <v>1840.4</v>
      </c>
      <c r="I1033" s="109">
        <v>47</v>
      </c>
      <c r="J1033" s="19">
        <f t="shared" si="96"/>
        <v>567102.76</v>
      </c>
      <c r="K1033" s="73"/>
      <c r="L1033" s="73"/>
      <c r="M1033" s="73"/>
      <c r="N1033" s="19">
        <f>SUMIF('2020'!B:B,B1033,'2020'!C:C)+SUMIF('2021'!B:B,B1033,'2021'!C:C)+SUMIF('2022'!B:B,B1033,'2022'!C:C)</f>
        <v>567102.76</v>
      </c>
      <c r="O1033" s="17">
        <v>44925</v>
      </c>
      <c r="P1033" s="116" t="s">
        <v>3728</v>
      </c>
    </row>
    <row r="1034" spans="1:16" ht="17.25" customHeight="1" x14ac:dyDescent="0.3">
      <c r="A1034" s="169">
        <f t="shared" si="97"/>
        <v>926</v>
      </c>
      <c r="B1034" s="21" t="s">
        <v>1022</v>
      </c>
      <c r="C1034" s="5">
        <v>1940</v>
      </c>
      <c r="D1034" s="3"/>
      <c r="E1034" s="111" t="s">
        <v>3730</v>
      </c>
      <c r="F1034" s="111">
        <v>2</v>
      </c>
      <c r="G1034" s="25">
        <v>1</v>
      </c>
      <c r="H1034" s="111">
        <v>220.3</v>
      </c>
      <c r="I1034" s="111">
        <v>3</v>
      </c>
      <c r="J1034" s="19">
        <f t="shared" si="96"/>
        <v>130000</v>
      </c>
      <c r="K1034" s="73"/>
      <c r="L1034" s="73"/>
      <c r="M1034" s="73"/>
      <c r="N1034" s="19">
        <f>SUMIF('2020'!B:B,B1034,'2020'!C:C)+SUMIF('2021'!B:B,B1034,'2021'!C:C)+SUMIF('2022'!B:B,B1034,'2022'!C:C)</f>
        <v>130000</v>
      </c>
      <c r="O1034" s="17">
        <v>44925</v>
      </c>
      <c r="P1034" s="116" t="s">
        <v>3728</v>
      </c>
    </row>
    <row r="1035" spans="1:16" ht="17.25" customHeight="1" x14ac:dyDescent="0.3">
      <c r="A1035" s="169">
        <f t="shared" si="97"/>
        <v>927</v>
      </c>
      <c r="B1035" s="21" t="s">
        <v>1023</v>
      </c>
      <c r="C1035" s="5">
        <v>1940</v>
      </c>
      <c r="D1035" s="3"/>
      <c r="E1035" s="111" t="s">
        <v>3730</v>
      </c>
      <c r="F1035" s="109">
        <v>1</v>
      </c>
      <c r="G1035" s="25">
        <v>1</v>
      </c>
      <c r="H1035" s="111">
        <v>113.4</v>
      </c>
      <c r="I1035" s="109">
        <v>3</v>
      </c>
      <c r="J1035" s="19">
        <f t="shared" si="96"/>
        <v>130000</v>
      </c>
      <c r="K1035" s="73"/>
      <c r="L1035" s="73"/>
      <c r="M1035" s="73"/>
      <c r="N1035" s="19">
        <f>SUMIF('2020'!B:B,B1035,'2020'!C:C)+SUMIF('2021'!B:B,B1035,'2021'!C:C)+SUMIF('2022'!B:B,B1035,'2022'!C:C)</f>
        <v>130000</v>
      </c>
      <c r="O1035" s="17">
        <v>44925</v>
      </c>
      <c r="P1035" s="116" t="s">
        <v>3728</v>
      </c>
    </row>
    <row r="1036" spans="1:16" ht="17.25" customHeight="1" x14ac:dyDescent="0.3">
      <c r="A1036" s="169">
        <f t="shared" si="97"/>
        <v>928</v>
      </c>
      <c r="B1036" s="21" t="s">
        <v>1024</v>
      </c>
      <c r="C1036" s="5">
        <v>1933</v>
      </c>
      <c r="D1036" s="3"/>
      <c r="E1036" s="115" t="s">
        <v>3782</v>
      </c>
      <c r="F1036" s="109">
        <v>1</v>
      </c>
      <c r="G1036" s="25">
        <v>1</v>
      </c>
      <c r="H1036" s="113">
        <v>75</v>
      </c>
      <c r="I1036" s="109">
        <v>3</v>
      </c>
      <c r="J1036" s="19">
        <f t="shared" si="96"/>
        <v>130000</v>
      </c>
      <c r="K1036" s="73"/>
      <c r="L1036" s="73"/>
      <c r="M1036" s="73"/>
      <c r="N1036" s="19">
        <f>SUMIF('2020'!B:B,B1036,'2020'!C:C)+SUMIF('2021'!B:B,B1036,'2021'!C:C)+SUMIF('2022'!B:B,B1036,'2022'!C:C)</f>
        <v>130000</v>
      </c>
      <c r="O1036" s="17">
        <v>44925</v>
      </c>
      <c r="P1036" s="116" t="s">
        <v>3728</v>
      </c>
    </row>
    <row r="1037" spans="1:16" ht="17.25" customHeight="1" x14ac:dyDescent="0.3">
      <c r="A1037" s="169">
        <f t="shared" si="97"/>
        <v>929</v>
      </c>
      <c r="B1037" s="21" t="s">
        <v>1025</v>
      </c>
      <c r="C1037" s="5">
        <v>1940</v>
      </c>
      <c r="D1037" s="3"/>
      <c r="E1037" s="109" t="s">
        <v>3645</v>
      </c>
      <c r="F1037" s="109">
        <v>4</v>
      </c>
      <c r="G1037" s="25">
        <v>3</v>
      </c>
      <c r="H1037" s="109">
        <v>1812.02</v>
      </c>
      <c r="I1037" s="109">
        <v>40</v>
      </c>
      <c r="J1037" s="19">
        <f t="shared" si="96"/>
        <v>599494.02</v>
      </c>
      <c r="K1037" s="73"/>
      <c r="L1037" s="73"/>
      <c r="M1037" s="73"/>
      <c r="N1037" s="19">
        <f>SUMIF('2020'!B:B,B1037,'2020'!C:C)+SUMIF('2021'!B:B,B1037,'2021'!C:C)+SUMIF('2022'!B:B,B1037,'2022'!C:C)</f>
        <v>599494.02</v>
      </c>
      <c r="O1037" s="17">
        <v>44925</v>
      </c>
      <c r="P1037" s="116" t="s">
        <v>3728</v>
      </c>
    </row>
    <row r="1038" spans="1:16" ht="17.25" customHeight="1" x14ac:dyDescent="0.3">
      <c r="A1038" s="169">
        <f t="shared" si="97"/>
        <v>930</v>
      </c>
      <c r="B1038" s="21" t="s">
        <v>1026</v>
      </c>
      <c r="C1038" s="5">
        <v>1940</v>
      </c>
      <c r="D1038" s="3"/>
      <c r="E1038" s="109" t="s">
        <v>3645</v>
      </c>
      <c r="F1038" s="109">
        <v>4</v>
      </c>
      <c r="G1038" s="25">
        <v>1</v>
      </c>
      <c r="H1038" s="109">
        <v>754.5</v>
      </c>
      <c r="I1038" s="109">
        <v>34</v>
      </c>
      <c r="J1038" s="19">
        <f t="shared" si="96"/>
        <v>416761.75</v>
      </c>
      <c r="K1038" s="73"/>
      <c r="L1038" s="73"/>
      <c r="M1038" s="73"/>
      <c r="N1038" s="19">
        <f>SUMIF('2020'!B:B,B1038,'2020'!C:C)+SUMIF('2021'!B:B,B1038,'2021'!C:C)+SUMIF('2022'!B:B,B1038,'2022'!C:C)</f>
        <v>416761.75</v>
      </c>
      <c r="O1038" s="17">
        <v>44925</v>
      </c>
      <c r="P1038" s="116" t="s">
        <v>3728</v>
      </c>
    </row>
    <row r="1039" spans="1:16" ht="17.25" customHeight="1" x14ac:dyDescent="0.3">
      <c r="A1039" s="169">
        <f t="shared" si="97"/>
        <v>931</v>
      </c>
      <c r="B1039" s="21" t="s">
        <v>1027</v>
      </c>
      <c r="C1039" s="5">
        <v>1940</v>
      </c>
      <c r="D1039" s="3"/>
      <c r="E1039" s="109" t="s">
        <v>3645</v>
      </c>
      <c r="F1039" s="109">
        <v>2</v>
      </c>
      <c r="G1039" s="25">
        <v>1</v>
      </c>
      <c r="H1039" s="109">
        <v>116</v>
      </c>
      <c r="I1039" s="109">
        <v>2</v>
      </c>
      <c r="J1039" s="19">
        <f t="shared" si="96"/>
        <v>130000</v>
      </c>
      <c r="K1039" s="73"/>
      <c r="L1039" s="73"/>
      <c r="M1039" s="73"/>
      <c r="N1039" s="19">
        <f>SUMIF('2020'!B:B,B1039,'2020'!C:C)+SUMIF('2021'!B:B,B1039,'2021'!C:C)+SUMIF('2022'!B:B,B1039,'2022'!C:C)</f>
        <v>130000</v>
      </c>
      <c r="O1039" s="17">
        <v>44925</v>
      </c>
      <c r="P1039" s="116" t="s">
        <v>3728</v>
      </c>
    </row>
    <row r="1040" spans="1:16" ht="17.25" customHeight="1" x14ac:dyDescent="0.3">
      <c r="A1040" s="169">
        <f t="shared" si="97"/>
        <v>932</v>
      </c>
      <c r="B1040" s="21" t="s">
        <v>1028</v>
      </c>
      <c r="C1040" s="5">
        <v>1940</v>
      </c>
      <c r="D1040" s="3"/>
      <c r="E1040" s="109" t="s">
        <v>3645</v>
      </c>
      <c r="F1040" s="109">
        <v>2</v>
      </c>
      <c r="G1040" s="25">
        <v>1</v>
      </c>
      <c r="H1040" s="109">
        <v>599.99</v>
      </c>
      <c r="I1040" s="109">
        <v>27</v>
      </c>
      <c r="J1040" s="19">
        <f t="shared" si="96"/>
        <v>418129.35000000003</v>
      </c>
      <c r="K1040" s="73"/>
      <c r="L1040" s="73"/>
      <c r="M1040" s="73"/>
      <c r="N1040" s="19">
        <f>SUMIF('2020'!B:B,B1040,'2020'!C:C)+SUMIF('2021'!B:B,B1040,'2021'!C:C)+SUMIF('2022'!B:B,B1040,'2022'!C:C)</f>
        <v>418129.35000000003</v>
      </c>
      <c r="O1040" s="17">
        <v>44925</v>
      </c>
      <c r="P1040" s="116" t="s">
        <v>3728</v>
      </c>
    </row>
    <row r="1041" spans="1:16" ht="17.25" customHeight="1" x14ac:dyDescent="0.3">
      <c r="A1041" s="169">
        <f t="shared" si="97"/>
        <v>933</v>
      </c>
      <c r="B1041" s="21" t="s">
        <v>1029</v>
      </c>
      <c r="C1041" s="5">
        <v>1940</v>
      </c>
      <c r="D1041" s="3"/>
      <c r="E1041" s="109" t="s">
        <v>3645</v>
      </c>
      <c r="F1041" s="109">
        <v>3</v>
      </c>
      <c r="G1041" s="25"/>
      <c r="H1041" s="109">
        <v>1293.9000000000001</v>
      </c>
      <c r="I1041" s="109">
        <v>47</v>
      </c>
      <c r="J1041" s="19">
        <f t="shared" si="96"/>
        <v>14403049.119999999</v>
      </c>
      <c r="K1041" s="73"/>
      <c r="L1041" s="73"/>
      <c r="M1041" s="73"/>
      <c r="N1041" s="19">
        <f>SUMIF('2020'!B:B,B1041,'2020'!C:C)+SUMIF('2021'!B:B,B1041,'2021'!C:C)+SUMIF('2022'!B:B,B1041,'2022'!C:C)</f>
        <v>14403049.119999999</v>
      </c>
      <c r="O1041" s="17">
        <v>44925</v>
      </c>
      <c r="P1041" s="116" t="s">
        <v>3728</v>
      </c>
    </row>
    <row r="1042" spans="1:16" ht="17.25" customHeight="1" x14ac:dyDescent="0.3">
      <c r="A1042" s="169">
        <f t="shared" si="97"/>
        <v>934</v>
      </c>
      <c r="B1042" s="21" t="s">
        <v>1030</v>
      </c>
      <c r="C1042" s="5">
        <v>1940</v>
      </c>
      <c r="D1042" s="3"/>
      <c r="E1042" s="109" t="s">
        <v>3645</v>
      </c>
      <c r="F1042" s="109">
        <v>1</v>
      </c>
      <c r="G1042" s="25">
        <v>1</v>
      </c>
      <c r="H1042" s="109" t="s">
        <v>3796</v>
      </c>
      <c r="I1042" s="109">
        <v>13</v>
      </c>
      <c r="J1042" s="19">
        <f t="shared" si="96"/>
        <v>273415.25</v>
      </c>
      <c r="K1042" s="73"/>
      <c r="L1042" s="73"/>
      <c r="M1042" s="73"/>
      <c r="N1042" s="19">
        <f>SUMIF('2020'!B:B,B1042,'2020'!C:C)+SUMIF('2021'!B:B,B1042,'2021'!C:C)+SUMIF('2022'!B:B,B1042,'2022'!C:C)</f>
        <v>273415.25</v>
      </c>
      <c r="O1042" s="17">
        <v>44925</v>
      </c>
      <c r="P1042" s="116" t="s">
        <v>3728</v>
      </c>
    </row>
    <row r="1043" spans="1:16" ht="17.25" customHeight="1" x14ac:dyDescent="0.3">
      <c r="A1043" s="169">
        <f t="shared" si="97"/>
        <v>935</v>
      </c>
      <c r="B1043" s="21" t="s">
        <v>1031</v>
      </c>
      <c r="C1043" s="5">
        <v>2013</v>
      </c>
      <c r="D1043" s="3"/>
      <c r="E1043" s="109" t="s">
        <v>3645</v>
      </c>
      <c r="F1043" s="109">
        <v>5</v>
      </c>
      <c r="G1043" s="25">
        <v>1</v>
      </c>
      <c r="H1043" s="109">
        <v>4503.8</v>
      </c>
      <c r="I1043" s="109">
        <v>225</v>
      </c>
      <c r="J1043" s="19">
        <f t="shared" si="96"/>
        <v>17124757.259999998</v>
      </c>
      <c r="K1043" s="73"/>
      <c r="L1043" s="73"/>
      <c r="M1043" s="73"/>
      <c r="N1043" s="19">
        <f>SUMIF('2020'!B:B,B1043,'2020'!C:C)+SUMIF('2021'!B:B,B1043,'2021'!C:C)+SUMIF('2022'!B:B,B1043,'2022'!C:C)</f>
        <v>17124757.259999998</v>
      </c>
      <c r="O1043" s="17">
        <v>44925</v>
      </c>
      <c r="P1043" s="116" t="s">
        <v>3728</v>
      </c>
    </row>
    <row r="1044" spans="1:16" ht="17.25" customHeight="1" x14ac:dyDescent="0.3">
      <c r="A1044" s="169">
        <f t="shared" si="97"/>
        <v>936</v>
      </c>
      <c r="B1044" s="21" t="s">
        <v>1032</v>
      </c>
      <c r="C1044" s="5">
        <v>1940</v>
      </c>
      <c r="D1044" s="3"/>
      <c r="E1044" s="115" t="s">
        <v>3730</v>
      </c>
      <c r="F1044" s="115">
        <v>2</v>
      </c>
      <c r="G1044" s="25">
        <v>2</v>
      </c>
      <c r="H1044" s="115">
        <v>278.27</v>
      </c>
      <c r="I1044" s="113">
        <v>4</v>
      </c>
      <c r="J1044" s="19">
        <f t="shared" si="96"/>
        <v>320035.43</v>
      </c>
      <c r="K1044" s="73"/>
      <c r="L1044" s="73"/>
      <c r="M1044" s="73"/>
      <c r="N1044" s="19">
        <f>SUMIF('2020'!B:B,B1044,'2020'!C:C)+SUMIF('2021'!B:B,B1044,'2021'!C:C)+SUMIF('2022'!B:B,B1044,'2022'!C:C)</f>
        <v>320035.43</v>
      </c>
      <c r="O1044" s="17">
        <v>44925</v>
      </c>
      <c r="P1044" s="116" t="s">
        <v>3728</v>
      </c>
    </row>
    <row r="1045" spans="1:16" ht="17.25" customHeight="1" x14ac:dyDescent="0.3">
      <c r="A1045" s="169">
        <f t="shared" si="97"/>
        <v>937</v>
      </c>
      <c r="B1045" s="21" t="s">
        <v>1033</v>
      </c>
      <c r="C1045" s="5">
        <v>1940</v>
      </c>
      <c r="D1045" s="3"/>
      <c r="E1045" s="115" t="s">
        <v>3730</v>
      </c>
      <c r="F1045" s="115">
        <v>1</v>
      </c>
      <c r="G1045" s="25">
        <v>2</v>
      </c>
      <c r="H1045" s="115">
        <v>323.36</v>
      </c>
      <c r="I1045" s="113">
        <v>3</v>
      </c>
      <c r="J1045" s="19">
        <f t="shared" si="96"/>
        <v>203711.11000000002</v>
      </c>
      <c r="K1045" s="73"/>
      <c r="L1045" s="73"/>
      <c r="M1045" s="73"/>
      <c r="N1045" s="19">
        <f>SUMIF('2020'!B:B,B1045,'2020'!C:C)+SUMIF('2021'!B:B,B1045,'2021'!C:C)+SUMIF('2022'!B:B,B1045,'2022'!C:C)</f>
        <v>203711.11000000002</v>
      </c>
      <c r="O1045" s="17">
        <v>44925</v>
      </c>
      <c r="P1045" s="116" t="s">
        <v>3728</v>
      </c>
    </row>
    <row r="1046" spans="1:16" ht="17.25" customHeight="1" x14ac:dyDescent="0.3">
      <c r="A1046" s="169">
        <f t="shared" si="97"/>
        <v>938</v>
      </c>
      <c r="B1046" s="21" t="s">
        <v>1034</v>
      </c>
      <c r="C1046" s="5">
        <v>1940</v>
      </c>
      <c r="D1046" s="3"/>
      <c r="E1046" s="115" t="s">
        <v>3730</v>
      </c>
      <c r="F1046" s="115">
        <v>2</v>
      </c>
      <c r="G1046" s="25">
        <v>1</v>
      </c>
      <c r="H1046" s="115">
        <v>123.86</v>
      </c>
      <c r="I1046" s="113">
        <v>5</v>
      </c>
      <c r="J1046" s="19">
        <f t="shared" si="96"/>
        <v>362426.43</v>
      </c>
      <c r="K1046" s="73"/>
      <c r="L1046" s="73"/>
      <c r="M1046" s="73"/>
      <c r="N1046" s="19">
        <f>SUMIF('2020'!B:B,B1046,'2020'!C:C)+SUMIF('2021'!B:B,B1046,'2021'!C:C)+SUMIF('2022'!B:B,B1046,'2022'!C:C)</f>
        <v>362426.43</v>
      </c>
      <c r="O1046" s="17">
        <v>44925</v>
      </c>
      <c r="P1046" s="116" t="s">
        <v>3728</v>
      </c>
    </row>
    <row r="1047" spans="1:16" ht="17.25" customHeight="1" x14ac:dyDescent="0.3">
      <c r="A1047" s="169">
        <f t="shared" si="97"/>
        <v>939</v>
      </c>
      <c r="B1047" s="21" t="s">
        <v>1035</v>
      </c>
      <c r="C1047" s="5">
        <v>1940</v>
      </c>
      <c r="D1047" s="3"/>
      <c r="E1047" s="115" t="s">
        <v>3783</v>
      </c>
      <c r="F1047" s="115">
        <v>2</v>
      </c>
      <c r="G1047" s="25">
        <v>1</v>
      </c>
      <c r="H1047" s="115">
        <v>151.6</v>
      </c>
      <c r="I1047" s="113">
        <v>5</v>
      </c>
      <c r="J1047" s="19">
        <f t="shared" si="96"/>
        <v>427899.9</v>
      </c>
      <c r="K1047" s="73"/>
      <c r="L1047" s="73"/>
      <c r="M1047" s="73"/>
      <c r="N1047" s="19">
        <f>SUMIF('2020'!B:B,B1047,'2020'!C:C)+SUMIF('2021'!B:B,B1047,'2021'!C:C)+SUMIF('2022'!B:B,B1047,'2022'!C:C)</f>
        <v>427899.9</v>
      </c>
      <c r="O1047" s="17">
        <v>44925</v>
      </c>
      <c r="P1047" s="116" t="s">
        <v>3728</v>
      </c>
    </row>
    <row r="1048" spans="1:16" ht="17.25" customHeight="1" x14ac:dyDescent="0.3">
      <c r="A1048" s="169">
        <f t="shared" si="97"/>
        <v>940</v>
      </c>
      <c r="B1048" s="21" t="s">
        <v>1036</v>
      </c>
      <c r="C1048" s="5">
        <v>1940</v>
      </c>
      <c r="D1048" s="3"/>
      <c r="E1048" s="109" t="s">
        <v>3730</v>
      </c>
      <c r="F1048" s="111">
        <v>2</v>
      </c>
      <c r="G1048" s="25">
        <v>1</v>
      </c>
      <c r="H1048" s="111">
        <v>98.2</v>
      </c>
      <c r="I1048" s="111">
        <v>4</v>
      </c>
      <c r="J1048" s="19">
        <f t="shared" si="96"/>
        <v>130000</v>
      </c>
      <c r="K1048" s="73"/>
      <c r="L1048" s="73"/>
      <c r="M1048" s="73"/>
      <c r="N1048" s="19">
        <f>SUMIF('2020'!B:B,B1048,'2020'!C:C)+SUMIF('2021'!B:B,B1048,'2021'!C:C)+SUMIF('2022'!B:B,B1048,'2022'!C:C)</f>
        <v>130000</v>
      </c>
      <c r="O1048" s="17">
        <v>44925</v>
      </c>
      <c r="P1048" s="116" t="s">
        <v>3728</v>
      </c>
    </row>
    <row r="1049" spans="1:16" ht="17.25" customHeight="1" x14ac:dyDescent="0.3">
      <c r="A1049" s="169">
        <f t="shared" si="97"/>
        <v>941</v>
      </c>
      <c r="B1049" s="21" t="s">
        <v>1037</v>
      </c>
      <c r="C1049" s="5">
        <v>1940</v>
      </c>
      <c r="D1049" s="3"/>
      <c r="E1049" s="109" t="s">
        <v>3645</v>
      </c>
      <c r="F1049" s="109">
        <v>4</v>
      </c>
      <c r="G1049" s="25">
        <v>1</v>
      </c>
      <c r="H1049" s="109">
        <v>609.13</v>
      </c>
      <c r="I1049" s="109">
        <v>22</v>
      </c>
      <c r="J1049" s="19">
        <f t="shared" si="96"/>
        <v>477868.55</v>
      </c>
      <c r="K1049" s="73"/>
      <c r="L1049" s="73"/>
      <c r="M1049" s="73"/>
      <c r="N1049" s="19">
        <f>SUMIF('2020'!B:B,B1049,'2020'!C:C)+SUMIF('2021'!B:B,B1049,'2021'!C:C)+SUMIF('2022'!B:B,B1049,'2022'!C:C)</f>
        <v>477868.55</v>
      </c>
      <c r="O1049" s="17">
        <v>44925</v>
      </c>
      <c r="P1049" s="116" t="s">
        <v>3728</v>
      </c>
    </row>
    <row r="1050" spans="1:16" ht="17.25" customHeight="1" x14ac:dyDescent="0.3">
      <c r="A1050" s="169">
        <f t="shared" si="97"/>
        <v>942</v>
      </c>
      <c r="B1050" s="21" t="s">
        <v>1038</v>
      </c>
      <c r="C1050" s="5">
        <v>1940</v>
      </c>
      <c r="D1050" s="3"/>
      <c r="E1050" s="109" t="s">
        <v>3645</v>
      </c>
      <c r="F1050" s="109">
        <v>4</v>
      </c>
      <c r="G1050" s="25">
        <v>3</v>
      </c>
      <c r="H1050" s="109">
        <v>1234</v>
      </c>
      <c r="I1050" s="109">
        <v>43</v>
      </c>
      <c r="J1050" s="19">
        <f t="shared" si="96"/>
        <v>512398.12</v>
      </c>
      <c r="K1050" s="73"/>
      <c r="L1050" s="73"/>
      <c r="M1050" s="73"/>
      <c r="N1050" s="19">
        <f>SUMIF('2020'!B:B,B1050,'2020'!C:C)+SUMIF('2021'!B:B,B1050,'2021'!C:C)+SUMIF('2022'!B:B,B1050,'2022'!C:C)</f>
        <v>512398.12</v>
      </c>
      <c r="O1050" s="17">
        <v>44925</v>
      </c>
      <c r="P1050" s="116" t="s">
        <v>3728</v>
      </c>
    </row>
    <row r="1051" spans="1:16" ht="17.25" customHeight="1" x14ac:dyDescent="0.3">
      <c r="A1051" s="169">
        <f t="shared" si="97"/>
        <v>943</v>
      </c>
      <c r="B1051" s="21" t="s">
        <v>1039</v>
      </c>
      <c r="C1051" s="5">
        <v>1940</v>
      </c>
      <c r="D1051" s="3"/>
      <c r="E1051" s="111" t="s">
        <v>3730</v>
      </c>
      <c r="F1051" s="111">
        <v>2</v>
      </c>
      <c r="G1051" s="25">
        <v>1</v>
      </c>
      <c r="H1051" s="111">
        <v>191.6</v>
      </c>
      <c r="I1051" s="111">
        <v>4</v>
      </c>
      <c r="J1051" s="19">
        <f t="shared" si="96"/>
        <v>130000</v>
      </c>
      <c r="K1051" s="73"/>
      <c r="L1051" s="73"/>
      <c r="M1051" s="73"/>
      <c r="N1051" s="19">
        <f>SUMIF('2020'!B:B,B1051,'2020'!C:C)+SUMIF('2021'!B:B,B1051,'2021'!C:C)+SUMIF('2022'!B:B,B1051,'2022'!C:C)</f>
        <v>130000</v>
      </c>
      <c r="O1051" s="17">
        <v>44925</v>
      </c>
      <c r="P1051" s="116" t="s">
        <v>3728</v>
      </c>
    </row>
    <row r="1052" spans="1:16" ht="17.25" customHeight="1" x14ac:dyDescent="0.3">
      <c r="A1052" s="169">
        <f t="shared" si="97"/>
        <v>944</v>
      </c>
      <c r="B1052" s="21" t="s">
        <v>1040</v>
      </c>
      <c r="C1052" s="5">
        <v>1940</v>
      </c>
      <c r="D1052" s="3"/>
      <c r="E1052" s="115" t="s">
        <v>3783</v>
      </c>
      <c r="F1052" s="115">
        <v>2</v>
      </c>
      <c r="G1052" s="25">
        <v>2</v>
      </c>
      <c r="H1052" s="115">
        <v>390.87</v>
      </c>
      <c r="I1052" s="109">
        <v>5</v>
      </c>
      <c r="J1052" s="19">
        <f t="shared" si="96"/>
        <v>305635.05000000005</v>
      </c>
      <c r="K1052" s="73"/>
      <c r="L1052" s="73"/>
      <c r="M1052" s="73"/>
      <c r="N1052" s="19">
        <f>SUMIF('2020'!B:B,B1052,'2020'!C:C)+SUMIF('2021'!B:B,B1052,'2021'!C:C)+SUMIF('2022'!B:B,B1052,'2022'!C:C)</f>
        <v>305635.05000000005</v>
      </c>
      <c r="O1052" s="17">
        <v>44925</v>
      </c>
      <c r="P1052" s="116" t="s">
        <v>3728</v>
      </c>
    </row>
    <row r="1053" spans="1:16" ht="17.25" customHeight="1" x14ac:dyDescent="0.3">
      <c r="A1053" s="169">
        <f t="shared" si="97"/>
        <v>945</v>
      </c>
      <c r="B1053" s="21" t="s">
        <v>1041</v>
      </c>
      <c r="C1053" s="5">
        <v>1940</v>
      </c>
      <c r="D1053" s="3"/>
      <c r="E1053" s="115" t="s">
        <v>3730</v>
      </c>
      <c r="F1053" s="115">
        <v>2</v>
      </c>
      <c r="G1053" s="25">
        <v>1</v>
      </c>
      <c r="H1053" s="115">
        <v>266.2</v>
      </c>
      <c r="I1053" s="109">
        <v>4</v>
      </c>
      <c r="J1053" s="19">
        <f t="shared" si="96"/>
        <v>314930.98</v>
      </c>
      <c r="K1053" s="73"/>
      <c r="L1053" s="73"/>
      <c r="M1053" s="73"/>
      <c r="N1053" s="19">
        <f>SUMIF('2020'!B:B,B1053,'2020'!C:C)+SUMIF('2021'!B:B,B1053,'2021'!C:C)+SUMIF('2022'!B:B,B1053,'2022'!C:C)</f>
        <v>314930.98</v>
      </c>
      <c r="O1053" s="17">
        <v>44925</v>
      </c>
      <c r="P1053" s="116" t="s">
        <v>3728</v>
      </c>
    </row>
    <row r="1054" spans="1:16" ht="17.25" customHeight="1" x14ac:dyDescent="0.3">
      <c r="A1054" s="169">
        <f t="shared" si="97"/>
        <v>946</v>
      </c>
      <c r="B1054" s="21" t="s">
        <v>1042</v>
      </c>
      <c r="C1054" s="5">
        <v>1940</v>
      </c>
      <c r="D1054" s="3"/>
      <c r="E1054" s="115" t="s">
        <v>3782</v>
      </c>
      <c r="F1054" s="115">
        <v>2</v>
      </c>
      <c r="G1054" s="25"/>
      <c r="H1054" s="115">
        <v>244.57</v>
      </c>
      <c r="I1054" s="109">
        <v>7</v>
      </c>
      <c r="J1054" s="19">
        <f t="shared" si="96"/>
        <v>281231.49</v>
      </c>
      <c r="K1054" s="73"/>
      <c r="L1054" s="73"/>
      <c r="M1054" s="73"/>
      <c r="N1054" s="19">
        <f>SUMIF('2020'!B:B,B1054,'2020'!C:C)+SUMIF('2021'!B:B,B1054,'2021'!C:C)+SUMIF('2022'!B:B,B1054,'2022'!C:C)</f>
        <v>281231.49</v>
      </c>
      <c r="O1054" s="17">
        <v>44925</v>
      </c>
      <c r="P1054" s="116" t="s">
        <v>3728</v>
      </c>
    </row>
    <row r="1055" spans="1:16" ht="17.25" customHeight="1" x14ac:dyDescent="0.3">
      <c r="A1055" s="169">
        <f t="shared" si="97"/>
        <v>947</v>
      </c>
      <c r="B1055" s="21" t="s">
        <v>1043</v>
      </c>
      <c r="C1055" s="5">
        <v>1940</v>
      </c>
      <c r="D1055" s="3"/>
      <c r="E1055" s="109" t="s">
        <v>3730</v>
      </c>
      <c r="F1055" s="109">
        <v>2</v>
      </c>
      <c r="G1055" s="25"/>
      <c r="H1055" s="111">
        <v>128.69999999999999</v>
      </c>
      <c r="I1055" s="111">
        <v>4</v>
      </c>
      <c r="J1055" s="19">
        <f t="shared" si="96"/>
        <v>130000</v>
      </c>
      <c r="K1055" s="73"/>
      <c r="L1055" s="73"/>
      <c r="M1055" s="73"/>
      <c r="N1055" s="19">
        <f>SUMIF('2020'!B:B,B1055,'2020'!C:C)+SUMIF('2021'!B:B,B1055,'2021'!C:C)+SUMIF('2022'!B:B,B1055,'2022'!C:C)</f>
        <v>130000</v>
      </c>
      <c r="O1055" s="17">
        <v>44925</v>
      </c>
      <c r="P1055" s="116" t="s">
        <v>3728</v>
      </c>
    </row>
    <row r="1056" spans="1:16" ht="17.25" customHeight="1" x14ac:dyDescent="0.3">
      <c r="A1056" s="169">
        <f t="shared" si="97"/>
        <v>948</v>
      </c>
      <c r="B1056" s="21" t="s">
        <v>1044</v>
      </c>
      <c r="C1056" s="5">
        <v>1940</v>
      </c>
      <c r="D1056" s="3"/>
      <c r="E1056" s="115" t="s">
        <v>3730</v>
      </c>
      <c r="F1056" s="115">
        <v>2</v>
      </c>
      <c r="G1056" s="25">
        <v>1</v>
      </c>
      <c r="H1056" s="115">
        <v>143.4</v>
      </c>
      <c r="I1056" s="109">
        <v>7</v>
      </c>
      <c r="J1056" s="19">
        <f t="shared" si="96"/>
        <v>430559.2</v>
      </c>
      <c r="K1056" s="73"/>
      <c r="L1056" s="73"/>
      <c r="M1056" s="73"/>
      <c r="N1056" s="19">
        <f>SUMIF('2020'!B:B,B1056,'2020'!C:C)+SUMIF('2021'!B:B,B1056,'2021'!C:C)+SUMIF('2022'!B:B,B1056,'2022'!C:C)</f>
        <v>430559.2</v>
      </c>
      <c r="O1056" s="17">
        <v>44925</v>
      </c>
      <c r="P1056" s="116" t="s">
        <v>3728</v>
      </c>
    </row>
    <row r="1057" spans="1:16" ht="17.25" customHeight="1" x14ac:dyDescent="0.3">
      <c r="A1057" s="169">
        <f t="shared" si="97"/>
        <v>949</v>
      </c>
      <c r="B1057" s="21" t="s">
        <v>1045</v>
      </c>
      <c r="C1057" s="5">
        <v>1940</v>
      </c>
      <c r="D1057" s="3"/>
      <c r="E1057" s="115" t="s">
        <v>3730</v>
      </c>
      <c r="F1057" s="115">
        <v>2</v>
      </c>
      <c r="G1057" s="25">
        <v>1</v>
      </c>
      <c r="H1057" s="115">
        <v>229.55</v>
      </c>
      <c r="I1057" s="109">
        <v>8</v>
      </c>
      <c r="J1057" s="19">
        <f t="shared" si="96"/>
        <v>481568.13</v>
      </c>
      <c r="K1057" s="73"/>
      <c r="L1057" s="73"/>
      <c r="M1057" s="73"/>
      <c r="N1057" s="19">
        <f>SUMIF('2020'!B:B,B1057,'2020'!C:C)+SUMIF('2021'!B:B,B1057,'2021'!C:C)+SUMIF('2022'!B:B,B1057,'2022'!C:C)</f>
        <v>481568.13</v>
      </c>
      <c r="O1057" s="17">
        <v>44925</v>
      </c>
      <c r="P1057" s="116" t="s">
        <v>3728</v>
      </c>
    </row>
    <row r="1058" spans="1:16" ht="17.25" customHeight="1" x14ac:dyDescent="0.3">
      <c r="A1058" s="169">
        <f t="shared" si="97"/>
        <v>950</v>
      </c>
      <c r="B1058" s="21" t="s">
        <v>1046</v>
      </c>
      <c r="C1058" s="5">
        <v>1940</v>
      </c>
      <c r="D1058" s="3"/>
      <c r="E1058" s="115" t="s">
        <v>3730</v>
      </c>
      <c r="F1058" s="109">
        <v>2</v>
      </c>
      <c r="G1058" s="25">
        <v>1</v>
      </c>
      <c r="H1058" s="115">
        <v>240.1</v>
      </c>
      <c r="I1058" s="109">
        <v>6</v>
      </c>
      <c r="J1058" s="19">
        <f t="shared" si="96"/>
        <v>475242.63</v>
      </c>
      <c r="K1058" s="73"/>
      <c r="L1058" s="73"/>
      <c r="M1058" s="73"/>
      <c r="N1058" s="19">
        <f>SUMIF('2020'!B:B,B1058,'2020'!C:C)+SUMIF('2021'!B:B,B1058,'2021'!C:C)+SUMIF('2022'!B:B,B1058,'2022'!C:C)</f>
        <v>475242.63</v>
      </c>
      <c r="O1058" s="17">
        <v>44925</v>
      </c>
      <c r="P1058" s="116" t="s">
        <v>3728</v>
      </c>
    </row>
    <row r="1059" spans="1:16" ht="17.25" customHeight="1" x14ac:dyDescent="0.3">
      <c r="A1059" s="169">
        <f t="shared" si="97"/>
        <v>951</v>
      </c>
      <c r="B1059" s="21" t="s">
        <v>1047</v>
      </c>
      <c r="C1059" s="5">
        <v>1917</v>
      </c>
      <c r="D1059" s="3"/>
      <c r="E1059" s="116" t="s">
        <v>3645</v>
      </c>
      <c r="F1059" s="112">
        <v>2</v>
      </c>
      <c r="G1059" s="25">
        <v>2</v>
      </c>
      <c r="H1059" s="113">
        <v>364.2</v>
      </c>
      <c r="I1059" s="109">
        <v>11</v>
      </c>
      <c r="J1059" s="19">
        <f t="shared" si="96"/>
        <v>963233.95</v>
      </c>
      <c r="K1059" s="73"/>
      <c r="L1059" s="73"/>
      <c r="M1059" s="73"/>
      <c r="N1059" s="19">
        <f>SUMIF('2020'!B:B,B1059,'2020'!C:C)+SUMIF('2021'!B:B,B1059,'2021'!C:C)+SUMIF('2022'!B:B,B1059,'2022'!C:C)</f>
        <v>963233.95</v>
      </c>
      <c r="O1059" s="17">
        <v>44925</v>
      </c>
      <c r="P1059" s="116" t="s">
        <v>3728</v>
      </c>
    </row>
    <row r="1060" spans="1:16" ht="17.25" customHeight="1" x14ac:dyDescent="0.3">
      <c r="A1060" s="169">
        <f t="shared" si="97"/>
        <v>952</v>
      </c>
      <c r="B1060" s="21" t="s">
        <v>1048</v>
      </c>
      <c r="C1060" s="5">
        <v>1940</v>
      </c>
      <c r="D1060" s="3"/>
      <c r="E1060" s="116" t="s">
        <v>3645</v>
      </c>
      <c r="F1060" s="112">
        <v>2</v>
      </c>
      <c r="G1060" s="25">
        <v>1</v>
      </c>
      <c r="H1060" s="113">
        <v>384.9</v>
      </c>
      <c r="I1060" s="109">
        <v>12</v>
      </c>
      <c r="J1060" s="19">
        <f t="shared" si="96"/>
        <v>284499.51</v>
      </c>
      <c r="K1060" s="73"/>
      <c r="L1060" s="73"/>
      <c r="M1060" s="73"/>
      <c r="N1060" s="19">
        <f>SUMIF('2020'!B:B,B1060,'2020'!C:C)+SUMIF('2021'!B:B,B1060,'2021'!C:C)+SUMIF('2022'!B:B,B1060,'2022'!C:C)</f>
        <v>284499.51</v>
      </c>
      <c r="O1060" s="17">
        <v>44925</v>
      </c>
      <c r="P1060" s="116" t="s">
        <v>3728</v>
      </c>
    </row>
    <row r="1061" spans="1:16" ht="17.25" customHeight="1" x14ac:dyDescent="0.3">
      <c r="A1061" s="169">
        <f t="shared" si="97"/>
        <v>953</v>
      </c>
      <c r="B1061" s="21" t="s">
        <v>1049</v>
      </c>
      <c r="C1061" s="5">
        <v>1917</v>
      </c>
      <c r="D1061" s="3"/>
      <c r="E1061" s="116" t="s">
        <v>3645</v>
      </c>
      <c r="F1061" s="112">
        <v>2</v>
      </c>
      <c r="G1061" s="25">
        <v>2</v>
      </c>
      <c r="H1061" s="113">
        <v>364.2</v>
      </c>
      <c r="I1061" s="109">
        <v>11</v>
      </c>
      <c r="J1061" s="19">
        <f t="shared" si="96"/>
        <v>963233.95</v>
      </c>
      <c r="K1061" s="73"/>
      <c r="L1061" s="73"/>
      <c r="M1061" s="73"/>
      <c r="N1061" s="19">
        <f>SUMIF('2020'!B:B,B1061,'2020'!C:C)+SUMIF('2021'!B:B,B1061,'2021'!C:C)+SUMIF('2022'!B:B,B1061,'2022'!C:C)</f>
        <v>963233.95</v>
      </c>
      <c r="O1061" s="17">
        <v>44925</v>
      </c>
      <c r="P1061" s="116" t="s">
        <v>3728</v>
      </c>
    </row>
    <row r="1062" spans="1:16" ht="17.25" customHeight="1" x14ac:dyDescent="0.3">
      <c r="A1062" s="169">
        <f t="shared" si="97"/>
        <v>954</v>
      </c>
      <c r="B1062" s="21" t="s">
        <v>1050</v>
      </c>
      <c r="C1062" s="5">
        <v>1940</v>
      </c>
      <c r="D1062" s="3"/>
      <c r="E1062" s="111" t="s">
        <v>3730</v>
      </c>
      <c r="F1062" s="111">
        <v>2</v>
      </c>
      <c r="G1062" s="25"/>
      <c r="H1062" s="111">
        <v>310.10000000000002</v>
      </c>
      <c r="I1062" s="111">
        <v>5</v>
      </c>
      <c r="J1062" s="19">
        <f t="shared" si="96"/>
        <v>130000</v>
      </c>
      <c r="K1062" s="73"/>
      <c r="L1062" s="73"/>
      <c r="M1062" s="73"/>
      <c r="N1062" s="19">
        <f>SUMIF('2020'!B:B,B1062,'2020'!C:C)+SUMIF('2021'!B:B,B1062,'2021'!C:C)+SUMIF('2022'!B:B,B1062,'2022'!C:C)</f>
        <v>130000</v>
      </c>
      <c r="O1062" s="17">
        <v>44925</v>
      </c>
      <c r="P1062" s="116" t="s">
        <v>3728</v>
      </c>
    </row>
    <row r="1063" spans="1:16" ht="17.25" customHeight="1" x14ac:dyDescent="0.3">
      <c r="A1063" s="169">
        <f t="shared" si="97"/>
        <v>955</v>
      </c>
      <c r="B1063" s="21" t="s">
        <v>1051</v>
      </c>
      <c r="C1063" s="5">
        <v>1950</v>
      </c>
      <c r="D1063" s="3"/>
      <c r="E1063" s="115" t="s">
        <v>3782</v>
      </c>
      <c r="F1063" s="109">
        <v>2</v>
      </c>
      <c r="G1063" s="25">
        <v>1</v>
      </c>
      <c r="H1063" s="115">
        <v>285.39999999999998</v>
      </c>
      <c r="I1063" s="109">
        <v>12</v>
      </c>
      <c r="J1063" s="19">
        <f t="shared" si="96"/>
        <v>221169.04</v>
      </c>
      <c r="K1063" s="73"/>
      <c r="L1063" s="73"/>
      <c r="M1063" s="73"/>
      <c r="N1063" s="19">
        <f>SUMIF('2020'!B:B,B1063,'2020'!C:C)+SUMIF('2021'!B:B,B1063,'2021'!C:C)+SUMIF('2022'!B:B,B1063,'2022'!C:C)</f>
        <v>221169.04</v>
      </c>
      <c r="O1063" s="17">
        <v>44925</v>
      </c>
      <c r="P1063" s="116" t="s">
        <v>3728</v>
      </c>
    </row>
    <row r="1064" spans="1:16" ht="17.25" customHeight="1" x14ac:dyDescent="0.3">
      <c r="A1064" s="169">
        <f t="shared" si="97"/>
        <v>956</v>
      </c>
      <c r="B1064" s="21" t="s">
        <v>1052</v>
      </c>
      <c r="C1064" s="5">
        <v>1940</v>
      </c>
      <c r="D1064" s="3"/>
      <c r="E1064" s="115" t="s">
        <v>3730</v>
      </c>
      <c r="F1064" s="109">
        <v>2</v>
      </c>
      <c r="G1064" s="25">
        <v>1</v>
      </c>
      <c r="H1064" s="115">
        <v>150.86000000000001</v>
      </c>
      <c r="I1064" s="109">
        <v>14</v>
      </c>
      <c r="J1064" s="19">
        <f t="shared" si="96"/>
        <v>237351.56</v>
      </c>
      <c r="K1064" s="73"/>
      <c r="L1064" s="73"/>
      <c r="M1064" s="73"/>
      <c r="N1064" s="19">
        <f>SUMIF('2020'!B:B,B1064,'2020'!C:C)+SUMIF('2021'!B:B,B1064,'2021'!C:C)+SUMIF('2022'!B:B,B1064,'2022'!C:C)</f>
        <v>237351.56</v>
      </c>
      <c r="O1064" s="17">
        <v>44925</v>
      </c>
      <c r="P1064" s="116" t="s">
        <v>3728</v>
      </c>
    </row>
    <row r="1065" spans="1:16" ht="17.25" customHeight="1" x14ac:dyDescent="0.3">
      <c r="A1065" s="169">
        <f t="shared" si="97"/>
        <v>957</v>
      </c>
      <c r="B1065" s="21" t="s">
        <v>1053</v>
      </c>
      <c r="C1065" s="5">
        <v>1940</v>
      </c>
      <c r="D1065" s="3"/>
      <c r="E1065" s="109" t="s">
        <v>3645</v>
      </c>
      <c r="F1065" s="109">
        <v>4</v>
      </c>
      <c r="G1065" s="25">
        <v>1</v>
      </c>
      <c r="H1065" s="109">
        <v>849.76</v>
      </c>
      <c r="I1065" s="109">
        <v>23</v>
      </c>
      <c r="J1065" s="19">
        <f t="shared" si="96"/>
        <v>509604.04000000004</v>
      </c>
      <c r="K1065" s="73"/>
      <c r="L1065" s="73"/>
      <c r="M1065" s="73"/>
      <c r="N1065" s="19">
        <f>SUMIF('2020'!B:B,B1065,'2020'!C:C)+SUMIF('2021'!B:B,B1065,'2021'!C:C)+SUMIF('2022'!B:B,B1065,'2022'!C:C)</f>
        <v>509604.04000000004</v>
      </c>
      <c r="O1065" s="17">
        <v>44925</v>
      </c>
      <c r="P1065" s="116" t="s">
        <v>3728</v>
      </c>
    </row>
    <row r="1066" spans="1:16" ht="17.25" customHeight="1" x14ac:dyDescent="0.3">
      <c r="A1066" s="169">
        <f t="shared" si="97"/>
        <v>958</v>
      </c>
      <c r="B1066" s="21" t="s">
        <v>1054</v>
      </c>
      <c r="C1066" s="5">
        <v>1940</v>
      </c>
      <c r="D1066" s="3"/>
      <c r="E1066" s="115" t="s">
        <v>3730</v>
      </c>
      <c r="F1066" s="115">
        <v>2</v>
      </c>
      <c r="G1066" s="25">
        <v>1</v>
      </c>
      <c r="H1066" s="115">
        <v>501.2</v>
      </c>
      <c r="I1066" s="113">
        <v>11</v>
      </c>
      <c r="J1066" s="19">
        <f t="shared" si="96"/>
        <v>607370.65999999992</v>
      </c>
      <c r="K1066" s="73"/>
      <c r="L1066" s="73"/>
      <c r="M1066" s="73"/>
      <c r="N1066" s="19">
        <f>SUMIF('2020'!B:B,B1066,'2020'!C:C)+SUMIF('2021'!B:B,B1066,'2021'!C:C)+SUMIF('2022'!B:B,B1066,'2022'!C:C)</f>
        <v>607370.65999999992</v>
      </c>
      <c r="O1066" s="17">
        <v>44925</v>
      </c>
      <c r="P1066" s="116" t="s">
        <v>3728</v>
      </c>
    </row>
    <row r="1067" spans="1:16" ht="17.25" customHeight="1" x14ac:dyDescent="0.3">
      <c r="A1067" s="169">
        <f t="shared" si="97"/>
        <v>959</v>
      </c>
      <c r="B1067" s="21" t="s">
        <v>1055</v>
      </c>
      <c r="C1067" s="5">
        <v>1940</v>
      </c>
      <c r="D1067" s="3"/>
      <c r="E1067" s="115" t="s">
        <v>3730</v>
      </c>
      <c r="F1067" s="115">
        <v>2</v>
      </c>
      <c r="G1067" s="25">
        <v>1</v>
      </c>
      <c r="H1067" s="115">
        <v>249.51</v>
      </c>
      <c r="I1067" s="113">
        <v>12</v>
      </c>
      <c r="J1067" s="19">
        <f t="shared" si="96"/>
        <v>756372.66</v>
      </c>
      <c r="K1067" s="73"/>
      <c r="L1067" s="73"/>
      <c r="M1067" s="73"/>
      <c r="N1067" s="19">
        <f>SUMIF('2020'!B:B,B1067,'2020'!C:C)+SUMIF('2021'!B:B,B1067,'2021'!C:C)+SUMIF('2022'!B:B,B1067,'2022'!C:C)</f>
        <v>756372.66</v>
      </c>
      <c r="O1067" s="17">
        <v>44925</v>
      </c>
      <c r="P1067" s="116" t="s">
        <v>3728</v>
      </c>
    </row>
    <row r="1068" spans="1:16" ht="17.25" customHeight="1" x14ac:dyDescent="0.3">
      <c r="A1068" s="169">
        <f t="shared" si="97"/>
        <v>960</v>
      </c>
      <c r="B1068" s="21" t="s">
        <v>1056</v>
      </c>
      <c r="C1068" s="5">
        <v>1940</v>
      </c>
      <c r="D1068" s="3"/>
      <c r="E1068" s="115" t="s">
        <v>3730</v>
      </c>
      <c r="F1068" s="115">
        <v>2</v>
      </c>
      <c r="G1068" s="25">
        <v>1</v>
      </c>
      <c r="H1068" s="115">
        <v>132.9</v>
      </c>
      <c r="I1068" s="113">
        <v>14</v>
      </c>
      <c r="J1068" s="19">
        <f t="shared" si="96"/>
        <v>259199.32</v>
      </c>
      <c r="K1068" s="73"/>
      <c r="L1068" s="73"/>
      <c r="M1068" s="73"/>
      <c r="N1068" s="19">
        <f>SUMIF('2020'!B:B,B1068,'2020'!C:C)+SUMIF('2021'!B:B,B1068,'2021'!C:C)+SUMIF('2022'!B:B,B1068,'2022'!C:C)</f>
        <v>259199.32</v>
      </c>
      <c r="O1068" s="17">
        <v>44925</v>
      </c>
      <c r="P1068" s="116" t="s">
        <v>3728</v>
      </c>
    </row>
    <row r="1069" spans="1:16" ht="17.25" customHeight="1" x14ac:dyDescent="0.3">
      <c r="A1069" s="169">
        <f t="shared" si="97"/>
        <v>961</v>
      </c>
      <c r="B1069" s="21" t="s">
        <v>1057</v>
      </c>
      <c r="C1069" s="5">
        <v>1915</v>
      </c>
      <c r="D1069" s="3"/>
      <c r="E1069" s="115" t="s">
        <v>3782</v>
      </c>
      <c r="F1069" s="109">
        <v>2</v>
      </c>
      <c r="G1069" s="25">
        <v>5</v>
      </c>
      <c r="H1069" s="109">
        <v>233.83</v>
      </c>
      <c r="I1069" s="109">
        <v>16</v>
      </c>
      <c r="J1069" s="19">
        <f t="shared" si="96"/>
        <v>347627.14</v>
      </c>
      <c r="K1069" s="73"/>
      <c r="L1069" s="73"/>
      <c r="M1069" s="73"/>
      <c r="N1069" s="19">
        <f>SUMIF('2020'!B:B,B1069,'2020'!C:C)+SUMIF('2021'!B:B,B1069,'2021'!C:C)+SUMIF('2022'!B:B,B1069,'2022'!C:C)</f>
        <v>347627.14</v>
      </c>
      <c r="O1069" s="17">
        <v>44925</v>
      </c>
      <c r="P1069" s="116" t="s">
        <v>3728</v>
      </c>
    </row>
    <row r="1070" spans="1:16" ht="17.25" customHeight="1" x14ac:dyDescent="0.3">
      <c r="A1070" s="169">
        <f t="shared" si="97"/>
        <v>962</v>
      </c>
      <c r="B1070" s="21" t="s">
        <v>1058</v>
      </c>
      <c r="C1070" s="5">
        <v>1988</v>
      </c>
      <c r="D1070" s="3"/>
      <c r="E1070" s="109" t="s">
        <v>3784</v>
      </c>
      <c r="F1070" s="109">
        <v>5</v>
      </c>
      <c r="G1070" s="25">
        <v>4</v>
      </c>
      <c r="H1070" s="109">
        <v>3291.3</v>
      </c>
      <c r="I1070" s="109">
        <v>152</v>
      </c>
      <c r="J1070" s="19">
        <f t="shared" si="96"/>
        <v>615222.17999999993</v>
      </c>
      <c r="K1070" s="73"/>
      <c r="L1070" s="73"/>
      <c r="M1070" s="73"/>
      <c r="N1070" s="19">
        <f>SUMIF('2020'!B:B,B1070,'2020'!C:C)+SUMIF('2021'!B:B,B1070,'2021'!C:C)+SUMIF('2022'!B:B,B1070,'2022'!C:C)</f>
        <v>615222.17999999993</v>
      </c>
      <c r="O1070" s="17">
        <v>44925</v>
      </c>
      <c r="P1070" s="116" t="s">
        <v>3728</v>
      </c>
    </row>
    <row r="1071" spans="1:16" ht="17.25" customHeight="1" x14ac:dyDescent="0.3">
      <c r="A1071" s="169">
        <f t="shared" si="97"/>
        <v>963</v>
      </c>
      <c r="B1071" s="21" t="s">
        <v>1059</v>
      </c>
      <c r="C1071" s="5">
        <v>1950</v>
      </c>
      <c r="D1071" s="3"/>
      <c r="E1071" s="109" t="s">
        <v>3785</v>
      </c>
      <c r="F1071" s="109">
        <v>3</v>
      </c>
      <c r="G1071" s="25">
        <v>1</v>
      </c>
      <c r="H1071" s="109">
        <v>1231.18</v>
      </c>
      <c r="I1071" s="109">
        <v>29</v>
      </c>
      <c r="J1071" s="19">
        <f t="shared" si="96"/>
        <v>475990.72</v>
      </c>
      <c r="K1071" s="73"/>
      <c r="L1071" s="73"/>
      <c r="M1071" s="73"/>
      <c r="N1071" s="19">
        <f>SUMIF('2020'!B:B,B1071,'2020'!C:C)+SUMIF('2021'!B:B,B1071,'2021'!C:C)+SUMIF('2022'!B:B,B1071,'2022'!C:C)</f>
        <v>475990.72</v>
      </c>
      <c r="O1071" s="17">
        <v>44925</v>
      </c>
      <c r="P1071" s="116" t="s">
        <v>3728</v>
      </c>
    </row>
    <row r="1072" spans="1:16" ht="17.25" customHeight="1" x14ac:dyDescent="0.3">
      <c r="A1072" s="169">
        <f t="shared" si="97"/>
        <v>964</v>
      </c>
      <c r="B1072" s="21" t="s">
        <v>1060</v>
      </c>
      <c r="C1072" s="5">
        <v>1940</v>
      </c>
      <c r="D1072" s="3"/>
      <c r="E1072" s="109" t="s">
        <v>3645</v>
      </c>
      <c r="F1072" s="109">
        <v>5</v>
      </c>
      <c r="G1072" s="25">
        <v>1</v>
      </c>
      <c r="H1072" s="109">
        <v>2503.7399999999998</v>
      </c>
      <c r="I1072" s="109">
        <v>62</v>
      </c>
      <c r="J1072" s="19">
        <f t="shared" ref="J1072:J1135" si="98">K1072+L1072+M1072+N1072</f>
        <v>681687.34</v>
      </c>
      <c r="K1072" s="73"/>
      <c r="L1072" s="73"/>
      <c r="M1072" s="73"/>
      <c r="N1072" s="19">
        <f>SUMIF('2020'!B:B,B1072,'2020'!C:C)+SUMIF('2021'!B:B,B1072,'2021'!C:C)+SUMIF('2022'!B:B,B1072,'2022'!C:C)</f>
        <v>681687.34</v>
      </c>
      <c r="O1072" s="17">
        <v>44925</v>
      </c>
      <c r="P1072" s="116" t="s">
        <v>2042</v>
      </c>
    </row>
    <row r="1073" spans="1:16" ht="17.25" customHeight="1" x14ac:dyDescent="0.3">
      <c r="A1073" s="169">
        <f t="shared" si="97"/>
        <v>965</v>
      </c>
      <c r="B1073" s="21" t="s">
        <v>1061</v>
      </c>
      <c r="C1073" s="5">
        <v>1940</v>
      </c>
      <c r="D1073" s="3"/>
      <c r="E1073" s="113" t="s">
        <v>3645</v>
      </c>
      <c r="F1073" s="109">
        <v>2</v>
      </c>
      <c r="G1073" s="25">
        <v>1</v>
      </c>
      <c r="H1073" s="113">
        <v>1250</v>
      </c>
      <c r="I1073" s="109">
        <v>6</v>
      </c>
      <c r="J1073" s="19">
        <f t="shared" si="98"/>
        <v>479451.23</v>
      </c>
      <c r="K1073" s="73"/>
      <c r="L1073" s="73"/>
      <c r="M1073" s="73"/>
      <c r="N1073" s="19">
        <f>SUMIF('2020'!B:B,B1073,'2020'!C:C)+SUMIF('2021'!B:B,B1073,'2021'!C:C)+SUMIF('2022'!B:B,B1073,'2022'!C:C)</f>
        <v>479451.23</v>
      </c>
      <c r="O1073" s="17">
        <v>44925</v>
      </c>
      <c r="P1073" s="116" t="s">
        <v>3728</v>
      </c>
    </row>
    <row r="1074" spans="1:16" ht="17.25" customHeight="1" x14ac:dyDescent="0.3">
      <c r="A1074" s="169">
        <f t="shared" si="97"/>
        <v>966</v>
      </c>
      <c r="B1074" s="21" t="s">
        <v>1062</v>
      </c>
      <c r="C1074" s="5">
        <v>1940</v>
      </c>
      <c r="D1074" s="3"/>
      <c r="E1074" s="109" t="s">
        <v>3645</v>
      </c>
      <c r="F1074" s="109">
        <v>6</v>
      </c>
      <c r="G1074" s="25">
        <v>4</v>
      </c>
      <c r="H1074" s="109">
        <v>6098.3</v>
      </c>
      <c r="I1074" s="109">
        <v>107</v>
      </c>
      <c r="J1074" s="19">
        <f t="shared" si="98"/>
        <v>871718.24</v>
      </c>
      <c r="K1074" s="73"/>
      <c r="L1074" s="73"/>
      <c r="M1074" s="73"/>
      <c r="N1074" s="19">
        <f>SUMIF('2020'!B:B,B1074,'2020'!C:C)+SUMIF('2021'!B:B,B1074,'2021'!C:C)+SUMIF('2022'!B:B,B1074,'2022'!C:C)</f>
        <v>871718.24</v>
      </c>
      <c r="O1074" s="17">
        <v>44925</v>
      </c>
      <c r="P1074" s="116" t="s">
        <v>3728</v>
      </c>
    </row>
    <row r="1075" spans="1:16" ht="17.25" customHeight="1" x14ac:dyDescent="0.3">
      <c r="A1075" s="169">
        <f t="shared" si="97"/>
        <v>967</v>
      </c>
      <c r="B1075" s="21" t="s">
        <v>1063</v>
      </c>
      <c r="C1075" s="5">
        <v>1955</v>
      </c>
      <c r="D1075" s="3"/>
      <c r="E1075" s="109" t="s">
        <v>3645</v>
      </c>
      <c r="F1075" s="109">
        <v>6</v>
      </c>
      <c r="G1075" s="25">
        <v>1</v>
      </c>
      <c r="H1075" s="109">
        <v>3368.4</v>
      </c>
      <c r="I1075" s="109">
        <v>86</v>
      </c>
      <c r="J1075" s="19">
        <f t="shared" si="98"/>
        <v>130000</v>
      </c>
      <c r="K1075" s="73"/>
      <c r="L1075" s="73"/>
      <c r="M1075" s="73"/>
      <c r="N1075" s="19">
        <f>SUMIF('2020'!B:B,B1075,'2020'!C:C)+SUMIF('2021'!B:B,B1075,'2021'!C:C)+SUMIF('2022'!B:B,B1075,'2022'!C:C)</f>
        <v>130000</v>
      </c>
      <c r="O1075" s="17">
        <v>44925</v>
      </c>
      <c r="P1075" s="116" t="s">
        <v>3728</v>
      </c>
    </row>
    <row r="1076" spans="1:16" ht="17.25" customHeight="1" x14ac:dyDescent="0.3">
      <c r="A1076" s="169">
        <f t="shared" si="97"/>
        <v>968</v>
      </c>
      <c r="B1076" s="21" t="s">
        <v>1064</v>
      </c>
      <c r="C1076" s="5">
        <v>1940</v>
      </c>
      <c r="D1076" s="3"/>
      <c r="E1076" s="109" t="s">
        <v>3645</v>
      </c>
      <c r="F1076" s="109">
        <v>6</v>
      </c>
      <c r="G1076" s="25">
        <v>1</v>
      </c>
      <c r="H1076" s="109">
        <v>6223.59</v>
      </c>
      <c r="I1076" s="109">
        <v>209</v>
      </c>
      <c r="J1076" s="19">
        <f t="shared" si="98"/>
        <v>1611006.36</v>
      </c>
      <c r="K1076" s="73"/>
      <c r="L1076" s="73"/>
      <c r="M1076" s="73"/>
      <c r="N1076" s="19">
        <f>SUMIF('2020'!B:B,B1076,'2020'!C:C)+SUMIF('2021'!B:B,B1076,'2021'!C:C)+SUMIF('2022'!B:B,B1076,'2022'!C:C)</f>
        <v>1611006.36</v>
      </c>
      <c r="O1076" s="17">
        <v>44925</v>
      </c>
      <c r="P1076" s="116" t="s">
        <v>3728</v>
      </c>
    </row>
    <row r="1077" spans="1:16" ht="17.25" customHeight="1" x14ac:dyDescent="0.3">
      <c r="A1077" s="169">
        <f t="shared" ref="A1077:A1140" si="99">A1076+1</f>
        <v>969</v>
      </c>
      <c r="B1077" s="21" t="s">
        <v>1065</v>
      </c>
      <c r="C1077" s="5">
        <v>1940</v>
      </c>
      <c r="D1077" s="3"/>
      <c r="E1077" s="109" t="s">
        <v>3645</v>
      </c>
      <c r="F1077" s="109" t="s">
        <v>3792</v>
      </c>
      <c r="G1077" s="25">
        <v>3</v>
      </c>
      <c r="H1077" s="109">
        <v>1948</v>
      </c>
      <c r="I1077" s="109">
        <v>55</v>
      </c>
      <c r="J1077" s="19">
        <f t="shared" si="98"/>
        <v>657594.15</v>
      </c>
      <c r="K1077" s="73"/>
      <c r="L1077" s="73"/>
      <c r="M1077" s="73"/>
      <c r="N1077" s="19">
        <f>SUMIF('2020'!B:B,B1077,'2020'!C:C)+SUMIF('2021'!B:B,B1077,'2021'!C:C)+SUMIF('2022'!B:B,B1077,'2022'!C:C)</f>
        <v>657594.15</v>
      </c>
      <c r="O1077" s="17">
        <v>44925</v>
      </c>
      <c r="P1077" s="116" t="s">
        <v>3728</v>
      </c>
    </row>
    <row r="1078" spans="1:16" ht="17.25" customHeight="1" x14ac:dyDescent="0.3">
      <c r="A1078" s="169">
        <f t="shared" si="99"/>
        <v>970</v>
      </c>
      <c r="B1078" s="21" t="s">
        <v>1066</v>
      </c>
      <c r="C1078" s="5">
        <v>1940</v>
      </c>
      <c r="D1078" s="3"/>
      <c r="E1078" s="109" t="s">
        <v>3645</v>
      </c>
      <c r="F1078" s="109">
        <v>4</v>
      </c>
      <c r="G1078" s="25">
        <v>3</v>
      </c>
      <c r="H1078" s="109">
        <v>1812.9</v>
      </c>
      <c r="I1078" s="109">
        <v>71</v>
      </c>
      <c r="J1078" s="19">
        <f t="shared" si="98"/>
        <v>581548.37</v>
      </c>
      <c r="K1078" s="73"/>
      <c r="L1078" s="73"/>
      <c r="M1078" s="73"/>
      <c r="N1078" s="19">
        <f>SUMIF('2020'!B:B,B1078,'2020'!C:C)+SUMIF('2021'!B:B,B1078,'2021'!C:C)+SUMIF('2022'!B:B,B1078,'2022'!C:C)</f>
        <v>581548.37</v>
      </c>
      <c r="O1078" s="17">
        <v>44925</v>
      </c>
      <c r="P1078" s="116" t="s">
        <v>3728</v>
      </c>
    </row>
    <row r="1079" spans="1:16" ht="17.25" customHeight="1" x14ac:dyDescent="0.3">
      <c r="A1079" s="169">
        <f t="shared" si="99"/>
        <v>971</v>
      </c>
      <c r="B1079" s="21" t="s">
        <v>1067</v>
      </c>
      <c r="C1079" s="5">
        <v>1952</v>
      </c>
      <c r="D1079" s="3"/>
      <c r="E1079" s="109" t="s">
        <v>3645</v>
      </c>
      <c r="F1079" s="109">
        <v>5</v>
      </c>
      <c r="G1079" s="25">
        <v>1</v>
      </c>
      <c r="H1079" s="109">
        <v>1401.13</v>
      </c>
      <c r="I1079" s="109">
        <v>32</v>
      </c>
      <c r="J1079" s="19">
        <f t="shared" si="98"/>
        <v>403668.37</v>
      </c>
      <c r="K1079" s="73"/>
      <c r="L1079" s="73"/>
      <c r="M1079" s="73"/>
      <c r="N1079" s="19">
        <f>SUMIF('2020'!B:B,B1079,'2020'!C:C)+SUMIF('2021'!B:B,B1079,'2021'!C:C)+SUMIF('2022'!B:B,B1079,'2022'!C:C)</f>
        <v>403668.37</v>
      </c>
      <c r="O1079" s="17">
        <v>44925</v>
      </c>
      <c r="P1079" s="116" t="s">
        <v>3728</v>
      </c>
    </row>
    <row r="1080" spans="1:16" ht="17.25" customHeight="1" x14ac:dyDescent="0.3">
      <c r="A1080" s="169">
        <f t="shared" si="99"/>
        <v>972</v>
      </c>
      <c r="B1080" s="21" t="s">
        <v>1068</v>
      </c>
      <c r="C1080" s="5">
        <v>1943</v>
      </c>
      <c r="D1080" s="3"/>
      <c r="E1080" s="109" t="s">
        <v>3738</v>
      </c>
      <c r="F1080" s="109">
        <v>11</v>
      </c>
      <c r="G1080" s="25">
        <v>1</v>
      </c>
      <c r="H1080" s="109">
        <v>4298.6899999999996</v>
      </c>
      <c r="I1080" s="109">
        <v>103</v>
      </c>
      <c r="J1080" s="19">
        <f t="shared" si="98"/>
        <v>870516.7</v>
      </c>
      <c r="K1080" s="73"/>
      <c r="L1080" s="73"/>
      <c r="M1080" s="73"/>
      <c r="N1080" s="19">
        <f>SUMIF('2020'!B:B,B1080,'2020'!C:C)+SUMIF('2021'!B:B,B1080,'2021'!C:C)+SUMIF('2022'!B:B,B1080,'2022'!C:C)</f>
        <v>870516.7</v>
      </c>
      <c r="O1080" s="17">
        <v>44925</v>
      </c>
      <c r="P1080" s="116" t="s">
        <v>3787</v>
      </c>
    </row>
    <row r="1081" spans="1:16" ht="17.25" customHeight="1" x14ac:dyDescent="0.3">
      <c r="A1081" s="169">
        <f t="shared" si="99"/>
        <v>973</v>
      </c>
      <c r="B1081" s="21" t="s">
        <v>1069</v>
      </c>
      <c r="C1081" s="5">
        <v>1950</v>
      </c>
      <c r="D1081" s="3"/>
      <c r="E1081" s="111" t="s">
        <v>3645</v>
      </c>
      <c r="F1081" s="111">
        <v>2</v>
      </c>
      <c r="G1081" s="25">
        <v>1</v>
      </c>
      <c r="H1081" s="111">
        <v>373.4</v>
      </c>
      <c r="I1081" s="111">
        <v>12</v>
      </c>
      <c r="J1081" s="19">
        <f t="shared" si="98"/>
        <v>2404747.6</v>
      </c>
      <c r="K1081" s="73"/>
      <c r="L1081" s="73"/>
      <c r="M1081" s="73"/>
      <c r="N1081" s="19">
        <f>SUMIF('2020'!B:B,B1081,'2020'!C:C)+SUMIF('2021'!B:B,B1081,'2021'!C:C)+SUMIF('2022'!B:B,B1081,'2022'!C:C)</f>
        <v>2404747.6</v>
      </c>
      <c r="O1081" s="17">
        <v>44925</v>
      </c>
      <c r="P1081" s="116" t="s">
        <v>3728</v>
      </c>
    </row>
    <row r="1082" spans="1:16" ht="17.25" customHeight="1" x14ac:dyDescent="0.3">
      <c r="A1082" s="169">
        <f t="shared" si="99"/>
        <v>974</v>
      </c>
      <c r="B1082" s="21" t="s">
        <v>1070</v>
      </c>
      <c r="C1082" s="5">
        <v>1940</v>
      </c>
      <c r="D1082" s="3"/>
      <c r="E1082" s="111" t="s">
        <v>3730</v>
      </c>
      <c r="F1082" s="111">
        <v>2</v>
      </c>
      <c r="G1082" s="25">
        <v>1</v>
      </c>
      <c r="H1082" s="111">
        <v>301.7</v>
      </c>
      <c r="I1082" s="111">
        <v>4</v>
      </c>
      <c r="J1082" s="19">
        <f t="shared" si="98"/>
        <v>130000</v>
      </c>
      <c r="K1082" s="73"/>
      <c r="L1082" s="73"/>
      <c r="M1082" s="73"/>
      <c r="N1082" s="19">
        <f>SUMIF('2020'!B:B,B1082,'2020'!C:C)+SUMIF('2021'!B:B,B1082,'2021'!C:C)+SUMIF('2022'!B:B,B1082,'2022'!C:C)</f>
        <v>130000</v>
      </c>
      <c r="O1082" s="17">
        <v>44925</v>
      </c>
      <c r="P1082" s="116" t="s">
        <v>3728</v>
      </c>
    </row>
    <row r="1083" spans="1:16" ht="17.25" customHeight="1" x14ac:dyDescent="0.3">
      <c r="A1083" s="210" t="s">
        <v>211</v>
      </c>
      <c r="B1083" s="21"/>
      <c r="C1083" s="5"/>
      <c r="D1083" s="3"/>
      <c r="E1083" s="3"/>
      <c r="F1083" s="3"/>
      <c r="G1083" s="26"/>
      <c r="H1083" s="73">
        <f t="shared" ref="H1083:M1083" si="100">SUM(H820:H1082)</f>
        <v>406853.36000000022</v>
      </c>
      <c r="I1083" s="73">
        <f t="shared" si="100"/>
        <v>12636</v>
      </c>
      <c r="J1083" s="73">
        <f t="shared" si="100"/>
        <v>314554444.96700019</v>
      </c>
      <c r="K1083" s="73">
        <f t="shared" si="100"/>
        <v>0</v>
      </c>
      <c r="L1083" s="73">
        <f t="shared" si="100"/>
        <v>0</v>
      </c>
      <c r="M1083" s="73">
        <f t="shared" si="100"/>
        <v>0</v>
      </c>
      <c r="N1083" s="73">
        <f>SUM(N820:N1082)</f>
        <v>314554444.96700019</v>
      </c>
      <c r="O1083" s="3"/>
      <c r="P1083" s="3"/>
    </row>
    <row r="1084" spans="1:16" ht="17.25" customHeight="1" x14ac:dyDescent="0.3">
      <c r="A1084" s="210" t="s">
        <v>1071</v>
      </c>
      <c r="B1084" s="21"/>
      <c r="C1084" s="3"/>
      <c r="D1084" s="3"/>
      <c r="E1084" s="3"/>
      <c r="F1084" s="3"/>
      <c r="G1084" s="26"/>
      <c r="H1084" s="3"/>
      <c r="I1084" s="3"/>
      <c r="J1084" s="19"/>
      <c r="K1084" s="73"/>
      <c r="L1084" s="73"/>
      <c r="M1084" s="73"/>
      <c r="N1084" s="73"/>
      <c r="O1084" s="3"/>
      <c r="P1084" s="3"/>
    </row>
    <row r="1085" spans="1:16" ht="17.25" customHeight="1" x14ac:dyDescent="0.3">
      <c r="A1085" s="169">
        <f>A1082+1</f>
        <v>975</v>
      </c>
      <c r="B1085" s="21" t="s">
        <v>1072</v>
      </c>
      <c r="C1085" s="5">
        <v>1968</v>
      </c>
      <c r="D1085" s="3"/>
      <c r="E1085" s="23" t="s">
        <v>3645</v>
      </c>
      <c r="F1085" s="24">
        <v>2</v>
      </c>
      <c r="G1085" s="25">
        <v>1</v>
      </c>
      <c r="H1085" s="121">
        <v>1021.77</v>
      </c>
      <c r="I1085" s="24" t="s">
        <v>3721</v>
      </c>
      <c r="J1085" s="19">
        <f t="shared" si="98"/>
        <v>625338.20000000007</v>
      </c>
      <c r="K1085" s="73"/>
      <c r="L1085" s="73"/>
      <c r="M1085" s="73"/>
      <c r="N1085" s="19">
        <f>SUMIF('2020'!B:B,B1085,'2020'!C:C)+SUMIF('2021'!B:B,B1085,'2021'!C:C)+SUMIF('2022'!B:B,B1085,'2022'!C:C)</f>
        <v>625338.20000000007</v>
      </c>
      <c r="O1085" s="17">
        <v>44925</v>
      </c>
      <c r="P1085" s="121" t="s">
        <v>3728</v>
      </c>
    </row>
    <row r="1086" spans="1:16" ht="17.25" customHeight="1" x14ac:dyDescent="0.3">
      <c r="A1086" s="169">
        <f t="shared" si="99"/>
        <v>976</v>
      </c>
      <c r="B1086" s="21" t="s">
        <v>1073</v>
      </c>
      <c r="C1086" s="5">
        <v>1954</v>
      </c>
      <c r="D1086" s="3"/>
      <c r="E1086" s="5" t="s">
        <v>3645</v>
      </c>
      <c r="F1086" s="4">
        <v>2</v>
      </c>
      <c r="G1086" s="25">
        <v>1</v>
      </c>
      <c r="H1086" s="2">
        <v>328.3</v>
      </c>
      <c r="I1086" s="4" t="s">
        <v>3703</v>
      </c>
      <c r="J1086" s="19">
        <f t="shared" si="98"/>
        <v>785485.23</v>
      </c>
      <c r="K1086" s="73"/>
      <c r="L1086" s="73"/>
      <c r="M1086" s="73"/>
      <c r="N1086" s="19">
        <f>SUMIF('2020'!B:B,B1086,'2020'!C:C)+SUMIF('2021'!B:B,B1086,'2021'!C:C)+SUMIF('2022'!B:B,B1086,'2022'!C:C)</f>
        <v>785485.23</v>
      </c>
      <c r="O1086" s="17">
        <v>44925</v>
      </c>
      <c r="P1086" s="2" t="s">
        <v>3728</v>
      </c>
    </row>
    <row r="1087" spans="1:16" ht="17.25" customHeight="1" x14ac:dyDescent="0.3">
      <c r="A1087" s="169">
        <f t="shared" si="99"/>
        <v>977</v>
      </c>
      <c r="B1087" s="21" t="s">
        <v>1074</v>
      </c>
      <c r="C1087" s="5">
        <v>1950</v>
      </c>
      <c r="D1087" s="3"/>
      <c r="E1087" s="5" t="s">
        <v>3645</v>
      </c>
      <c r="F1087" s="4">
        <v>2</v>
      </c>
      <c r="G1087" s="25">
        <v>1</v>
      </c>
      <c r="H1087" s="2">
        <v>475.2</v>
      </c>
      <c r="I1087" s="4" t="s">
        <v>3750</v>
      </c>
      <c r="J1087" s="19">
        <f t="shared" si="98"/>
        <v>16231951.380000001</v>
      </c>
      <c r="K1087" s="73"/>
      <c r="L1087" s="73"/>
      <c r="M1087" s="73"/>
      <c r="N1087" s="19">
        <f>SUMIF('2020'!B:B,B1087,'2020'!C:C)+SUMIF('2021'!B:B,B1087,'2021'!C:C)+SUMIF('2022'!B:B,B1087,'2022'!C:C)</f>
        <v>16231951.380000001</v>
      </c>
      <c r="O1087" s="17">
        <v>44925</v>
      </c>
      <c r="P1087" s="2" t="s">
        <v>3728</v>
      </c>
    </row>
    <row r="1088" spans="1:16" ht="17.25" customHeight="1" x14ac:dyDescent="0.3">
      <c r="A1088" s="169">
        <f t="shared" si="99"/>
        <v>978</v>
      </c>
      <c r="B1088" s="21" t="s">
        <v>1075</v>
      </c>
      <c r="C1088" s="5">
        <v>1940</v>
      </c>
      <c r="D1088" s="3"/>
      <c r="E1088" s="5" t="s">
        <v>3730</v>
      </c>
      <c r="F1088" s="4">
        <v>2</v>
      </c>
      <c r="G1088" s="25">
        <v>1</v>
      </c>
      <c r="H1088" s="2">
        <v>171.7</v>
      </c>
      <c r="I1088" s="4" t="s">
        <v>3758</v>
      </c>
      <c r="J1088" s="19">
        <f t="shared" si="98"/>
        <v>956727.36</v>
      </c>
      <c r="K1088" s="73"/>
      <c r="L1088" s="73"/>
      <c r="M1088" s="73"/>
      <c r="N1088" s="19">
        <f>SUMIF('2020'!B:B,B1088,'2020'!C:C)+SUMIF('2021'!B:B,B1088,'2021'!C:C)+SUMIF('2022'!B:B,B1088,'2022'!C:C)</f>
        <v>956727.36</v>
      </c>
      <c r="O1088" s="17">
        <v>44925</v>
      </c>
      <c r="P1088" s="2" t="s">
        <v>3728</v>
      </c>
    </row>
    <row r="1089" spans="1:16" ht="17.25" customHeight="1" x14ac:dyDescent="0.3">
      <c r="A1089" s="169">
        <f t="shared" si="99"/>
        <v>979</v>
      </c>
      <c r="B1089" s="21" t="s">
        <v>1076</v>
      </c>
      <c r="C1089" s="5">
        <v>1940</v>
      </c>
      <c r="D1089" s="3"/>
      <c r="E1089" s="5" t="s">
        <v>3730</v>
      </c>
      <c r="F1089" s="4">
        <v>2</v>
      </c>
      <c r="G1089" s="25">
        <v>1</v>
      </c>
      <c r="H1089" s="2">
        <v>248.4</v>
      </c>
      <c r="I1089" s="4" t="s">
        <v>3754</v>
      </c>
      <c r="J1089" s="19">
        <f t="shared" si="98"/>
        <v>307883</v>
      </c>
      <c r="K1089" s="73"/>
      <c r="L1089" s="73"/>
      <c r="M1089" s="73"/>
      <c r="N1089" s="19">
        <f>SUMIF('2020'!B:B,B1089,'2020'!C:C)+SUMIF('2021'!B:B,B1089,'2021'!C:C)+SUMIF('2022'!B:B,B1089,'2022'!C:C)</f>
        <v>307883</v>
      </c>
      <c r="O1089" s="17">
        <v>44925</v>
      </c>
      <c r="P1089" s="2" t="s">
        <v>3728</v>
      </c>
    </row>
    <row r="1090" spans="1:16" ht="17.25" customHeight="1" x14ac:dyDescent="0.3">
      <c r="A1090" s="169">
        <f t="shared" si="99"/>
        <v>980</v>
      </c>
      <c r="B1090" s="21" t="s">
        <v>1077</v>
      </c>
      <c r="C1090" s="5">
        <v>1970</v>
      </c>
      <c r="D1090" s="3"/>
      <c r="E1090" s="5" t="s">
        <v>3645</v>
      </c>
      <c r="F1090" s="4">
        <v>5</v>
      </c>
      <c r="G1090" s="25">
        <v>4</v>
      </c>
      <c r="H1090" s="2">
        <v>3469.68</v>
      </c>
      <c r="I1090" s="4" t="s">
        <v>3798</v>
      </c>
      <c r="J1090" s="19">
        <f t="shared" si="98"/>
        <v>226163.15</v>
      </c>
      <c r="K1090" s="73"/>
      <c r="L1090" s="73"/>
      <c r="M1090" s="73"/>
      <c r="N1090" s="19">
        <f>SUMIF('2020'!B:B,B1090,'2020'!C:C)+SUMIF('2021'!B:B,B1090,'2021'!C:C)+SUMIF('2022'!B:B,B1090,'2022'!C:C)</f>
        <v>226163.15</v>
      </c>
      <c r="O1090" s="17">
        <v>44925</v>
      </c>
      <c r="P1090" s="2" t="s">
        <v>3728</v>
      </c>
    </row>
    <row r="1091" spans="1:16" ht="17.25" customHeight="1" x14ac:dyDescent="0.3">
      <c r="A1091" s="169">
        <f t="shared" si="99"/>
        <v>981</v>
      </c>
      <c r="B1091" s="21" t="s">
        <v>1078</v>
      </c>
      <c r="C1091" s="5">
        <v>1964</v>
      </c>
      <c r="D1091" s="3"/>
      <c r="E1091" s="5" t="s">
        <v>3645</v>
      </c>
      <c r="F1091" s="4">
        <v>2</v>
      </c>
      <c r="G1091" s="25">
        <v>1</v>
      </c>
      <c r="H1091" s="2">
        <v>357.42</v>
      </c>
      <c r="I1091" s="4" t="s">
        <v>3754</v>
      </c>
      <c r="J1091" s="19">
        <f t="shared" si="98"/>
        <v>553799.80000000005</v>
      </c>
      <c r="K1091" s="73"/>
      <c r="L1091" s="73"/>
      <c r="M1091" s="73"/>
      <c r="N1091" s="19">
        <f>SUMIF('2020'!B:B,B1091,'2020'!C:C)+SUMIF('2021'!B:B,B1091,'2021'!C:C)+SUMIF('2022'!B:B,B1091,'2022'!C:C)</f>
        <v>553799.80000000005</v>
      </c>
      <c r="O1091" s="17">
        <v>44925</v>
      </c>
      <c r="P1091" s="2" t="s">
        <v>3728</v>
      </c>
    </row>
    <row r="1092" spans="1:16" ht="17.25" customHeight="1" x14ac:dyDescent="0.3">
      <c r="A1092" s="169">
        <f t="shared" si="99"/>
        <v>982</v>
      </c>
      <c r="B1092" s="21" t="s">
        <v>1079</v>
      </c>
      <c r="C1092" s="5">
        <v>1975</v>
      </c>
      <c r="D1092" s="3"/>
      <c r="E1092" s="5" t="s">
        <v>3645</v>
      </c>
      <c r="F1092" s="4">
        <v>3</v>
      </c>
      <c r="G1092" s="25">
        <v>1</v>
      </c>
      <c r="H1092" s="2">
        <v>584.70000000000005</v>
      </c>
      <c r="I1092" s="4" t="s">
        <v>3719</v>
      </c>
      <c r="J1092" s="19">
        <f t="shared" si="98"/>
        <v>326901.53000000003</v>
      </c>
      <c r="K1092" s="73"/>
      <c r="L1092" s="73"/>
      <c r="M1092" s="73"/>
      <c r="N1092" s="19">
        <f>SUMIF('2020'!B:B,B1092,'2020'!C:C)+SUMIF('2021'!B:B,B1092,'2021'!C:C)+SUMIF('2022'!B:B,B1092,'2022'!C:C)</f>
        <v>326901.53000000003</v>
      </c>
      <c r="O1092" s="17">
        <v>44925</v>
      </c>
      <c r="P1092" s="2" t="s">
        <v>3728</v>
      </c>
    </row>
    <row r="1093" spans="1:16" ht="17.25" customHeight="1" x14ac:dyDescent="0.3">
      <c r="A1093" s="169">
        <f t="shared" si="99"/>
        <v>983</v>
      </c>
      <c r="B1093" s="21" t="s">
        <v>1080</v>
      </c>
      <c r="C1093" s="5">
        <v>1978</v>
      </c>
      <c r="D1093" s="3"/>
      <c r="E1093" s="5" t="s">
        <v>3645</v>
      </c>
      <c r="F1093" s="4">
        <v>2</v>
      </c>
      <c r="G1093" s="25">
        <v>1</v>
      </c>
      <c r="H1093" s="2">
        <v>414.7</v>
      </c>
      <c r="I1093" s="4" t="s">
        <v>3720</v>
      </c>
      <c r="J1093" s="19">
        <f t="shared" si="98"/>
        <v>3336398.12</v>
      </c>
      <c r="K1093" s="73"/>
      <c r="L1093" s="73"/>
      <c r="M1093" s="73"/>
      <c r="N1093" s="19">
        <f>SUMIF('2020'!B:B,B1093,'2020'!C:C)+SUMIF('2021'!B:B,B1093,'2021'!C:C)+SUMIF('2022'!B:B,B1093,'2022'!C:C)</f>
        <v>3336398.12</v>
      </c>
      <c r="O1093" s="17">
        <v>44925</v>
      </c>
      <c r="P1093" s="2" t="s">
        <v>3728</v>
      </c>
    </row>
    <row r="1094" spans="1:16" ht="17.25" customHeight="1" x14ac:dyDescent="0.3">
      <c r="A1094" s="169">
        <f t="shared" si="99"/>
        <v>984</v>
      </c>
      <c r="B1094" s="21" t="s">
        <v>1081</v>
      </c>
      <c r="C1094" s="5">
        <v>1964</v>
      </c>
      <c r="D1094" s="3"/>
      <c r="E1094" s="5" t="s">
        <v>3645</v>
      </c>
      <c r="F1094" s="4">
        <v>2</v>
      </c>
      <c r="G1094" s="25">
        <v>1</v>
      </c>
      <c r="H1094" s="2">
        <v>342.36</v>
      </c>
      <c r="I1094" s="4" t="s">
        <v>3751</v>
      </c>
      <c r="J1094" s="19">
        <f t="shared" si="98"/>
        <v>825514.89</v>
      </c>
      <c r="K1094" s="73"/>
      <c r="L1094" s="73"/>
      <c r="M1094" s="73"/>
      <c r="N1094" s="19">
        <f>SUMIF('2020'!B:B,B1094,'2020'!C:C)+SUMIF('2021'!B:B,B1094,'2021'!C:C)+SUMIF('2022'!B:B,B1094,'2022'!C:C)</f>
        <v>825514.89</v>
      </c>
      <c r="O1094" s="17">
        <v>44925</v>
      </c>
      <c r="P1094" s="2" t="s">
        <v>3728</v>
      </c>
    </row>
    <row r="1095" spans="1:16" ht="17.25" customHeight="1" x14ac:dyDescent="0.3">
      <c r="A1095" s="169">
        <f t="shared" si="99"/>
        <v>985</v>
      </c>
      <c r="B1095" s="21" t="s">
        <v>1082</v>
      </c>
      <c r="C1095" s="5">
        <v>1974</v>
      </c>
      <c r="D1095" s="3"/>
      <c r="E1095" s="5" t="s">
        <v>3645</v>
      </c>
      <c r="F1095" s="4">
        <v>2</v>
      </c>
      <c r="G1095" s="25">
        <v>1</v>
      </c>
      <c r="H1095" s="2">
        <v>342.36</v>
      </c>
      <c r="I1095" s="4" t="s">
        <v>3754</v>
      </c>
      <c r="J1095" s="19">
        <f t="shared" si="98"/>
        <v>445237.13</v>
      </c>
      <c r="K1095" s="73"/>
      <c r="L1095" s="73"/>
      <c r="M1095" s="73"/>
      <c r="N1095" s="19">
        <f>SUMIF('2020'!B:B,B1095,'2020'!C:C)+SUMIF('2021'!B:B,B1095,'2021'!C:C)+SUMIF('2022'!B:B,B1095,'2022'!C:C)</f>
        <v>445237.13</v>
      </c>
      <c r="O1095" s="17">
        <v>44925</v>
      </c>
      <c r="P1095" s="2" t="s">
        <v>3728</v>
      </c>
    </row>
    <row r="1096" spans="1:16" ht="17.25" customHeight="1" x14ac:dyDescent="0.3">
      <c r="A1096" s="169">
        <f t="shared" si="99"/>
        <v>986</v>
      </c>
      <c r="B1096" s="21" t="s">
        <v>1083</v>
      </c>
      <c r="C1096" s="5">
        <v>1965</v>
      </c>
      <c r="D1096" s="3"/>
      <c r="E1096" s="5" t="s">
        <v>3645</v>
      </c>
      <c r="F1096" s="4">
        <v>2</v>
      </c>
      <c r="G1096" s="25">
        <v>1</v>
      </c>
      <c r="H1096" s="2">
        <v>381.97</v>
      </c>
      <c r="I1096" s="4" t="s">
        <v>3751</v>
      </c>
      <c r="J1096" s="19">
        <f t="shared" si="98"/>
        <v>470674.67</v>
      </c>
      <c r="K1096" s="73"/>
      <c r="L1096" s="73"/>
      <c r="M1096" s="73"/>
      <c r="N1096" s="19">
        <f>SUMIF('2020'!B:B,B1096,'2020'!C:C)+SUMIF('2021'!B:B,B1096,'2021'!C:C)+SUMIF('2022'!B:B,B1096,'2022'!C:C)</f>
        <v>470674.67</v>
      </c>
      <c r="O1096" s="17">
        <v>44925</v>
      </c>
      <c r="P1096" s="2" t="s">
        <v>3728</v>
      </c>
    </row>
    <row r="1097" spans="1:16" ht="17.25" customHeight="1" x14ac:dyDescent="0.3">
      <c r="A1097" s="169">
        <f t="shared" si="99"/>
        <v>987</v>
      </c>
      <c r="B1097" s="21" t="s">
        <v>1084</v>
      </c>
      <c r="C1097" s="5">
        <v>1962</v>
      </c>
      <c r="D1097" s="3"/>
      <c r="E1097" s="5" t="s">
        <v>3645</v>
      </c>
      <c r="F1097" s="4">
        <v>4</v>
      </c>
      <c r="G1097" s="25">
        <v>2</v>
      </c>
      <c r="H1097" s="2">
        <v>1394.56</v>
      </c>
      <c r="I1097" s="4" t="s">
        <v>3704</v>
      </c>
      <c r="J1097" s="19">
        <f t="shared" si="98"/>
        <v>9766585.25</v>
      </c>
      <c r="K1097" s="73"/>
      <c r="L1097" s="73"/>
      <c r="M1097" s="73"/>
      <c r="N1097" s="19">
        <f>SUMIF('2020'!B:B,B1097,'2020'!C:C)+SUMIF('2021'!B:B,B1097,'2021'!C:C)+SUMIF('2022'!B:B,B1097,'2022'!C:C)</f>
        <v>9766585.25</v>
      </c>
      <c r="O1097" s="17">
        <v>44925</v>
      </c>
      <c r="P1097" s="2" t="s">
        <v>3728</v>
      </c>
    </row>
    <row r="1098" spans="1:16" ht="17.25" customHeight="1" x14ac:dyDescent="0.3">
      <c r="A1098" s="169">
        <f t="shared" si="99"/>
        <v>988</v>
      </c>
      <c r="B1098" s="21" t="s">
        <v>1085</v>
      </c>
      <c r="C1098" s="5">
        <v>1968</v>
      </c>
      <c r="D1098" s="3"/>
      <c r="E1098" s="5" t="s">
        <v>3645</v>
      </c>
      <c r="F1098" s="4">
        <v>5</v>
      </c>
      <c r="G1098" s="25">
        <v>4</v>
      </c>
      <c r="H1098" s="2">
        <v>4147.5</v>
      </c>
      <c r="I1098" s="4" t="s">
        <v>3118</v>
      </c>
      <c r="J1098" s="19">
        <f t="shared" si="98"/>
        <v>462201.64</v>
      </c>
      <c r="K1098" s="73"/>
      <c r="L1098" s="73"/>
      <c r="M1098" s="73"/>
      <c r="N1098" s="19">
        <f>SUMIF('2020'!B:B,B1098,'2020'!C:C)+SUMIF('2021'!B:B,B1098,'2021'!C:C)+SUMIF('2022'!B:B,B1098,'2022'!C:C)</f>
        <v>462201.64</v>
      </c>
      <c r="O1098" s="17">
        <v>44925</v>
      </c>
      <c r="P1098" s="2" t="s">
        <v>3728</v>
      </c>
    </row>
    <row r="1099" spans="1:16" ht="17.25" customHeight="1" x14ac:dyDescent="0.3">
      <c r="A1099" s="169">
        <f t="shared" si="99"/>
        <v>989</v>
      </c>
      <c r="B1099" s="21" t="s">
        <v>1086</v>
      </c>
      <c r="C1099" s="5">
        <v>1964</v>
      </c>
      <c r="D1099" s="3"/>
      <c r="E1099" s="5" t="s">
        <v>3645</v>
      </c>
      <c r="F1099" s="4">
        <v>4</v>
      </c>
      <c r="G1099" s="25">
        <v>2</v>
      </c>
      <c r="H1099" s="2">
        <v>1307.2</v>
      </c>
      <c r="I1099" s="4" t="s">
        <v>3683</v>
      </c>
      <c r="J1099" s="19">
        <f t="shared" si="98"/>
        <v>39126.07</v>
      </c>
      <c r="K1099" s="73"/>
      <c r="L1099" s="73"/>
      <c r="M1099" s="73"/>
      <c r="N1099" s="19">
        <f>SUMIF('2020'!B:B,B1099,'2020'!C:C)+SUMIF('2021'!B:B,B1099,'2021'!C:C)+SUMIF('2022'!B:B,B1099,'2022'!C:C)</f>
        <v>39126.07</v>
      </c>
      <c r="O1099" s="17">
        <v>44925</v>
      </c>
      <c r="P1099" s="2" t="s">
        <v>3728</v>
      </c>
    </row>
    <row r="1100" spans="1:16" ht="17.25" customHeight="1" x14ac:dyDescent="0.3">
      <c r="A1100" s="169">
        <f t="shared" si="99"/>
        <v>990</v>
      </c>
      <c r="B1100" s="21" t="s">
        <v>1087</v>
      </c>
      <c r="C1100" s="5">
        <v>1974</v>
      </c>
      <c r="D1100" s="3"/>
      <c r="E1100" s="5" t="s">
        <v>3729</v>
      </c>
      <c r="F1100" s="4">
        <v>5</v>
      </c>
      <c r="G1100" s="25">
        <v>4</v>
      </c>
      <c r="H1100" s="2">
        <v>2706.9</v>
      </c>
      <c r="I1100" s="4" t="s">
        <v>3798</v>
      </c>
      <c r="J1100" s="19">
        <f t="shared" si="98"/>
        <v>490987.91</v>
      </c>
      <c r="K1100" s="73"/>
      <c r="L1100" s="73"/>
      <c r="M1100" s="73"/>
      <c r="N1100" s="19">
        <f>SUMIF('2020'!B:B,B1100,'2020'!C:C)+SUMIF('2021'!B:B,B1100,'2021'!C:C)+SUMIF('2022'!B:B,B1100,'2022'!C:C)</f>
        <v>490987.91</v>
      </c>
      <c r="O1100" s="17">
        <v>44925</v>
      </c>
      <c r="P1100" s="2" t="s">
        <v>3728</v>
      </c>
    </row>
    <row r="1101" spans="1:16" ht="17.25" customHeight="1" x14ac:dyDescent="0.3">
      <c r="A1101" s="169">
        <f t="shared" si="99"/>
        <v>991</v>
      </c>
      <c r="B1101" s="21" t="s">
        <v>1088</v>
      </c>
      <c r="C1101" s="5">
        <v>1976</v>
      </c>
      <c r="D1101" s="3"/>
      <c r="E1101" s="5" t="s">
        <v>3645</v>
      </c>
      <c r="F1101" s="4">
        <v>5</v>
      </c>
      <c r="G1101" s="25">
        <v>4</v>
      </c>
      <c r="H1101" s="2">
        <v>3121</v>
      </c>
      <c r="I1101" s="4" t="s">
        <v>3798</v>
      </c>
      <c r="J1101" s="19">
        <f t="shared" si="98"/>
        <v>978735.16</v>
      </c>
      <c r="K1101" s="73"/>
      <c r="L1101" s="73"/>
      <c r="M1101" s="73"/>
      <c r="N1101" s="19">
        <f>SUMIF('2020'!B:B,B1101,'2020'!C:C)+SUMIF('2021'!B:B,B1101,'2021'!C:C)+SUMIF('2022'!B:B,B1101,'2022'!C:C)</f>
        <v>978735.16</v>
      </c>
      <c r="O1101" s="17">
        <v>44925</v>
      </c>
      <c r="P1101" s="2" t="s">
        <v>3728</v>
      </c>
    </row>
    <row r="1102" spans="1:16" ht="17.25" customHeight="1" x14ac:dyDescent="0.3">
      <c r="A1102" s="169">
        <f t="shared" si="99"/>
        <v>992</v>
      </c>
      <c r="B1102" s="21" t="s">
        <v>1089</v>
      </c>
      <c r="C1102" s="5">
        <v>1975</v>
      </c>
      <c r="D1102" s="3"/>
      <c r="E1102" s="5" t="s">
        <v>3645</v>
      </c>
      <c r="F1102" s="4">
        <v>5</v>
      </c>
      <c r="G1102" s="25">
        <v>4</v>
      </c>
      <c r="H1102" s="2">
        <v>3303.5</v>
      </c>
      <c r="I1102" s="4" t="s">
        <v>3799</v>
      </c>
      <c r="J1102" s="19">
        <f t="shared" si="98"/>
        <v>872374.71</v>
      </c>
      <c r="K1102" s="73"/>
      <c r="L1102" s="73"/>
      <c r="M1102" s="73"/>
      <c r="N1102" s="19">
        <f>SUMIF('2020'!B:B,B1102,'2020'!C:C)+SUMIF('2021'!B:B,B1102,'2021'!C:C)+SUMIF('2022'!B:B,B1102,'2022'!C:C)</f>
        <v>872374.71</v>
      </c>
      <c r="O1102" s="17">
        <v>44925</v>
      </c>
      <c r="P1102" s="2" t="s">
        <v>3728</v>
      </c>
    </row>
    <row r="1103" spans="1:16" ht="17.25" customHeight="1" x14ac:dyDescent="0.3">
      <c r="A1103" s="169">
        <f t="shared" si="99"/>
        <v>993</v>
      </c>
      <c r="B1103" s="21" t="s">
        <v>1090</v>
      </c>
      <c r="C1103" s="5">
        <v>1970</v>
      </c>
      <c r="D1103" s="3"/>
      <c r="E1103" s="5" t="s">
        <v>3645</v>
      </c>
      <c r="F1103" s="4">
        <v>5</v>
      </c>
      <c r="G1103" s="25">
        <v>1</v>
      </c>
      <c r="H1103" s="2">
        <v>2090.1</v>
      </c>
      <c r="I1103" s="4" t="s">
        <v>3800</v>
      </c>
      <c r="J1103" s="19">
        <f t="shared" si="98"/>
        <v>403722.27</v>
      </c>
      <c r="K1103" s="73"/>
      <c r="L1103" s="73"/>
      <c r="M1103" s="73"/>
      <c r="N1103" s="19">
        <f>SUMIF('2020'!B:B,B1103,'2020'!C:C)+SUMIF('2021'!B:B,B1103,'2021'!C:C)+SUMIF('2022'!B:B,B1103,'2022'!C:C)</f>
        <v>403722.27</v>
      </c>
      <c r="O1103" s="17">
        <v>44925</v>
      </c>
      <c r="P1103" s="2" t="s">
        <v>3728</v>
      </c>
    </row>
    <row r="1104" spans="1:16" ht="17.25" customHeight="1" x14ac:dyDescent="0.3">
      <c r="A1104" s="169">
        <f t="shared" si="99"/>
        <v>994</v>
      </c>
      <c r="B1104" s="21" t="s">
        <v>1091</v>
      </c>
      <c r="C1104" s="5">
        <v>1974</v>
      </c>
      <c r="D1104" s="3"/>
      <c r="E1104" s="5" t="s">
        <v>3729</v>
      </c>
      <c r="F1104" s="4">
        <v>5</v>
      </c>
      <c r="G1104" s="25">
        <v>6</v>
      </c>
      <c r="H1104" s="2">
        <v>4320.1000000000004</v>
      </c>
      <c r="I1104" s="4" t="s">
        <v>3801</v>
      </c>
      <c r="J1104" s="19">
        <f t="shared" si="98"/>
        <v>1430434.13</v>
      </c>
      <c r="K1104" s="73"/>
      <c r="L1104" s="73"/>
      <c r="M1104" s="73"/>
      <c r="N1104" s="19">
        <f>SUMIF('2020'!B:B,B1104,'2020'!C:C)+SUMIF('2021'!B:B,B1104,'2021'!C:C)+SUMIF('2022'!B:B,B1104,'2022'!C:C)</f>
        <v>1430434.13</v>
      </c>
      <c r="O1104" s="17">
        <v>44925</v>
      </c>
      <c r="P1104" s="2" t="s">
        <v>3728</v>
      </c>
    </row>
    <row r="1105" spans="1:16" ht="17.25" customHeight="1" x14ac:dyDescent="0.3">
      <c r="A1105" s="169">
        <f t="shared" si="99"/>
        <v>995</v>
      </c>
      <c r="B1105" s="21" t="s">
        <v>1092</v>
      </c>
      <c r="C1105" s="5">
        <v>1980</v>
      </c>
      <c r="D1105" s="3"/>
      <c r="E1105" s="5" t="s">
        <v>3729</v>
      </c>
      <c r="F1105" s="4">
        <v>5</v>
      </c>
      <c r="G1105" s="25">
        <v>6</v>
      </c>
      <c r="H1105" s="2">
        <v>4446.5</v>
      </c>
      <c r="I1105" s="4" t="s">
        <v>3802</v>
      </c>
      <c r="J1105" s="19">
        <f t="shared" si="98"/>
        <v>1318832.3333333333</v>
      </c>
      <c r="K1105" s="73"/>
      <c r="L1105" s="73"/>
      <c r="M1105" s="73"/>
      <c r="N1105" s="19">
        <f>SUMIF('2020'!B:B,B1105,'2020'!C:C)+SUMIF('2021'!B:B,B1105,'2021'!C:C)+SUMIF('2022'!B:B,B1105,'2022'!C:C)</f>
        <v>1318832.3333333333</v>
      </c>
      <c r="O1105" s="17">
        <v>44925</v>
      </c>
      <c r="P1105" s="2" t="s">
        <v>3728</v>
      </c>
    </row>
    <row r="1106" spans="1:16" ht="17.25" customHeight="1" x14ac:dyDescent="0.3">
      <c r="A1106" s="169">
        <f t="shared" si="99"/>
        <v>996</v>
      </c>
      <c r="B1106" s="21" t="s">
        <v>1093</v>
      </c>
      <c r="C1106" s="5">
        <v>1976</v>
      </c>
      <c r="D1106" s="3"/>
      <c r="E1106" s="5" t="s">
        <v>3729</v>
      </c>
      <c r="F1106" s="4">
        <v>5</v>
      </c>
      <c r="G1106" s="25">
        <v>6</v>
      </c>
      <c r="H1106" s="2">
        <v>4442.5</v>
      </c>
      <c r="I1106" s="4" t="s">
        <v>3803</v>
      </c>
      <c r="J1106" s="19">
        <f t="shared" si="98"/>
        <v>989203.51</v>
      </c>
      <c r="K1106" s="73"/>
      <c r="L1106" s="73"/>
      <c r="M1106" s="73"/>
      <c r="N1106" s="19">
        <f>SUMIF('2020'!B:B,B1106,'2020'!C:C)+SUMIF('2021'!B:B,B1106,'2021'!C:C)+SUMIF('2022'!B:B,B1106,'2022'!C:C)</f>
        <v>989203.51</v>
      </c>
      <c r="O1106" s="17">
        <v>44925</v>
      </c>
      <c r="P1106" s="2" t="s">
        <v>3728</v>
      </c>
    </row>
    <row r="1107" spans="1:16" ht="17.25" customHeight="1" x14ac:dyDescent="0.3">
      <c r="A1107" s="169">
        <f t="shared" si="99"/>
        <v>997</v>
      </c>
      <c r="B1107" s="21" t="s">
        <v>1094</v>
      </c>
      <c r="C1107" s="5">
        <v>1949</v>
      </c>
      <c r="D1107" s="3"/>
      <c r="E1107" s="5" t="s">
        <v>3797</v>
      </c>
      <c r="F1107" s="4">
        <v>2</v>
      </c>
      <c r="G1107" s="25">
        <v>1</v>
      </c>
      <c r="H1107" s="2">
        <v>279.89999999999998</v>
      </c>
      <c r="I1107" s="4" t="s">
        <v>3756</v>
      </c>
      <c r="J1107" s="19">
        <f t="shared" si="98"/>
        <v>1192418.3900000001</v>
      </c>
      <c r="K1107" s="73"/>
      <c r="L1107" s="73"/>
      <c r="M1107" s="73"/>
      <c r="N1107" s="19">
        <f>SUMIF('2020'!B:B,B1107,'2020'!C:C)+SUMIF('2021'!B:B,B1107,'2021'!C:C)+SUMIF('2022'!B:B,B1107,'2022'!C:C)</f>
        <v>1192418.3900000001</v>
      </c>
      <c r="O1107" s="17">
        <v>44925</v>
      </c>
      <c r="P1107" s="2" t="s">
        <v>3728</v>
      </c>
    </row>
    <row r="1108" spans="1:16" ht="17.25" customHeight="1" x14ac:dyDescent="0.3">
      <c r="A1108" s="169">
        <f t="shared" si="99"/>
        <v>998</v>
      </c>
      <c r="B1108" s="21" t="s">
        <v>1095</v>
      </c>
      <c r="C1108" s="5">
        <v>1953</v>
      </c>
      <c r="D1108" s="3"/>
      <c r="E1108" s="5" t="s">
        <v>3645</v>
      </c>
      <c r="F1108" s="4">
        <v>2</v>
      </c>
      <c r="G1108" s="25">
        <v>1</v>
      </c>
      <c r="H1108" s="2">
        <v>247.91</v>
      </c>
      <c r="I1108" s="4" t="s">
        <v>3758</v>
      </c>
      <c r="J1108" s="19">
        <f t="shared" si="98"/>
        <v>505801.94000000006</v>
      </c>
      <c r="K1108" s="73"/>
      <c r="L1108" s="73"/>
      <c r="M1108" s="73"/>
      <c r="N1108" s="19">
        <f>SUMIF('2020'!B:B,B1108,'2020'!C:C)+SUMIF('2021'!B:B,B1108,'2021'!C:C)+SUMIF('2022'!B:B,B1108,'2022'!C:C)</f>
        <v>505801.94000000006</v>
      </c>
      <c r="O1108" s="17">
        <v>44925</v>
      </c>
      <c r="P1108" s="2" t="s">
        <v>3728</v>
      </c>
    </row>
    <row r="1109" spans="1:16" ht="17.25" customHeight="1" x14ac:dyDescent="0.3">
      <c r="A1109" s="169">
        <f>A1108+1</f>
        <v>999</v>
      </c>
      <c r="B1109" s="21" t="s">
        <v>1096</v>
      </c>
      <c r="C1109" s="5">
        <v>1973</v>
      </c>
      <c r="D1109" s="3"/>
      <c r="E1109" s="5" t="s">
        <v>3645</v>
      </c>
      <c r="F1109" s="4">
        <v>2</v>
      </c>
      <c r="G1109" s="25">
        <v>1</v>
      </c>
      <c r="H1109" s="2">
        <v>894.13</v>
      </c>
      <c r="I1109" s="4" t="s">
        <v>3679</v>
      </c>
      <c r="J1109" s="19">
        <f t="shared" si="98"/>
        <v>601365.46</v>
      </c>
      <c r="K1109" s="73"/>
      <c r="L1109" s="73"/>
      <c r="M1109" s="73"/>
      <c r="N1109" s="19">
        <f>SUMIF('2020'!B:B,B1109,'2020'!C:C)+SUMIF('2021'!B:B,B1109,'2021'!C:C)+SUMIF('2022'!B:B,B1109,'2022'!C:C)</f>
        <v>601365.46</v>
      </c>
      <c r="O1109" s="17">
        <v>44925</v>
      </c>
      <c r="P1109" s="2" t="s">
        <v>3728</v>
      </c>
    </row>
    <row r="1110" spans="1:16" ht="17.25" customHeight="1" x14ac:dyDescent="0.3">
      <c r="A1110" s="169">
        <f t="shared" si="99"/>
        <v>1000</v>
      </c>
      <c r="B1110" s="21" t="s">
        <v>1097</v>
      </c>
      <c r="C1110" s="5">
        <v>1971</v>
      </c>
      <c r="D1110" s="3"/>
      <c r="E1110" s="5" t="s">
        <v>3645</v>
      </c>
      <c r="F1110" s="4">
        <v>2</v>
      </c>
      <c r="G1110" s="25">
        <v>1</v>
      </c>
      <c r="H1110" s="2">
        <v>966.6</v>
      </c>
      <c r="I1110" s="4" t="s">
        <v>3683</v>
      </c>
      <c r="J1110" s="19">
        <f t="shared" si="98"/>
        <v>507597.86</v>
      </c>
      <c r="K1110" s="73"/>
      <c r="L1110" s="73"/>
      <c r="M1110" s="73"/>
      <c r="N1110" s="19">
        <f>SUMIF('2020'!B:B,B1110,'2020'!C:C)+SUMIF('2021'!B:B,B1110,'2021'!C:C)+SUMIF('2022'!B:B,B1110,'2022'!C:C)</f>
        <v>507597.86</v>
      </c>
      <c r="O1110" s="17">
        <v>44925</v>
      </c>
      <c r="P1110" s="2" t="s">
        <v>3728</v>
      </c>
    </row>
    <row r="1111" spans="1:16" ht="17.25" customHeight="1" x14ac:dyDescent="0.3">
      <c r="A1111" s="169">
        <f t="shared" si="99"/>
        <v>1001</v>
      </c>
      <c r="B1111" s="21" t="s">
        <v>1098</v>
      </c>
      <c r="C1111" s="5">
        <v>1980</v>
      </c>
      <c r="D1111" s="3"/>
      <c r="E1111" s="5" t="s">
        <v>3729</v>
      </c>
      <c r="F1111" s="4">
        <v>3</v>
      </c>
      <c r="G1111" s="25">
        <v>1</v>
      </c>
      <c r="H1111" s="2">
        <v>1444.4</v>
      </c>
      <c r="I1111" s="4" t="s">
        <v>3680</v>
      </c>
      <c r="J1111" s="19">
        <f t="shared" si="98"/>
        <v>1120003.1499999999</v>
      </c>
      <c r="K1111" s="73"/>
      <c r="L1111" s="73"/>
      <c r="M1111" s="73"/>
      <c r="N1111" s="19">
        <f>SUMIF('2020'!B:B,B1111,'2020'!C:C)+SUMIF('2021'!B:B,B1111,'2021'!C:C)+SUMIF('2022'!B:B,B1111,'2022'!C:C)</f>
        <v>1120003.1499999999</v>
      </c>
      <c r="O1111" s="17">
        <v>44925</v>
      </c>
      <c r="P1111" s="2" t="s">
        <v>3728</v>
      </c>
    </row>
    <row r="1112" spans="1:16" ht="17.25" customHeight="1" x14ac:dyDescent="0.3">
      <c r="A1112" s="169">
        <f t="shared" si="99"/>
        <v>1002</v>
      </c>
      <c r="B1112" s="21" t="s">
        <v>1099</v>
      </c>
      <c r="C1112" s="5">
        <v>1981</v>
      </c>
      <c r="D1112" s="3"/>
      <c r="E1112" s="5" t="s">
        <v>3729</v>
      </c>
      <c r="F1112" s="4">
        <v>3</v>
      </c>
      <c r="G1112" s="25">
        <v>1</v>
      </c>
      <c r="H1112" s="2">
        <v>1444.4</v>
      </c>
      <c r="I1112" s="4" t="s">
        <v>3673</v>
      </c>
      <c r="J1112" s="19">
        <f t="shared" si="98"/>
        <v>613640.35</v>
      </c>
      <c r="K1112" s="73"/>
      <c r="L1112" s="73"/>
      <c r="M1112" s="73"/>
      <c r="N1112" s="19">
        <f>SUMIF('2020'!B:B,B1112,'2020'!C:C)+SUMIF('2021'!B:B,B1112,'2021'!C:C)+SUMIF('2022'!B:B,B1112,'2022'!C:C)</f>
        <v>613640.35</v>
      </c>
      <c r="O1112" s="17">
        <v>44925</v>
      </c>
      <c r="P1112" s="2" t="s">
        <v>3728</v>
      </c>
    </row>
    <row r="1113" spans="1:16" ht="17.25" customHeight="1" x14ac:dyDescent="0.3">
      <c r="A1113" s="169">
        <f t="shared" si="99"/>
        <v>1003</v>
      </c>
      <c r="B1113" s="21" t="s">
        <v>1100</v>
      </c>
      <c r="C1113" s="5">
        <v>1972</v>
      </c>
      <c r="D1113" s="3"/>
      <c r="E1113" s="5" t="s">
        <v>3645</v>
      </c>
      <c r="F1113" s="4">
        <v>2</v>
      </c>
      <c r="G1113" s="25">
        <v>2</v>
      </c>
      <c r="H1113" s="2">
        <v>769.64</v>
      </c>
      <c r="I1113" s="4" t="s">
        <v>3804</v>
      </c>
      <c r="J1113" s="19">
        <f t="shared" si="98"/>
        <v>87327.18</v>
      </c>
      <c r="K1113" s="73"/>
      <c r="L1113" s="73"/>
      <c r="M1113" s="73"/>
      <c r="N1113" s="19">
        <f>SUMIF('2020'!B:B,B1113,'2020'!C:C)+SUMIF('2021'!B:B,B1113,'2021'!C:C)+SUMIF('2022'!B:B,B1113,'2022'!C:C)</f>
        <v>87327.18</v>
      </c>
      <c r="O1113" s="17">
        <v>44925</v>
      </c>
      <c r="P1113" s="2" t="s">
        <v>3728</v>
      </c>
    </row>
    <row r="1114" spans="1:16" ht="17.25" customHeight="1" x14ac:dyDescent="0.3">
      <c r="A1114" s="169">
        <f t="shared" si="99"/>
        <v>1004</v>
      </c>
      <c r="B1114" s="21" t="s">
        <v>1101</v>
      </c>
      <c r="C1114" s="5">
        <v>1972</v>
      </c>
      <c r="D1114" s="3"/>
      <c r="E1114" s="5" t="s">
        <v>3645</v>
      </c>
      <c r="F1114" s="4">
        <v>2</v>
      </c>
      <c r="G1114" s="25">
        <v>2</v>
      </c>
      <c r="H1114" s="2">
        <v>768.28</v>
      </c>
      <c r="I1114" s="4" t="s">
        <v>3702</v>
      </c>
      <c r="J1114" s="19">
        <f t="shared" si="98"/>
        <v>86339.46</v>
      </c>
      <c r="K1114" s="73"/>
      <c r="L1114" s="73"/>
      <c r="M1114" s="73"/>
      <c r="N1114" s="19">
        <f>SUMIF('2020'!B:B,B1114,'2020'!C:C)+SUMIF('2021'!B:B,B1114,'2021'!C:C)+SUMIF('2022'!B:B,B1114,'2022'!C:C)</f>
        <v>86339.46</v>
      </c>
      <c r="O1114" s="17">
        <v>44925</v>
      </c>
      <c r="P1114" s="2" t="s">
        <v>3728</v>
      </c>
    </row>
    <row r="1115" spans="1:16" ht="17.25" customHeight="1" x14ac:dyDescent="0.3">
      <c r="A1115" s="169">
        <f t="shared" si="99"/>
        <v>1005</v>
      </c>
      <c r="B1115" s="21" t="s">
        <v>1102</v>
      </c>
      <c r="C1115" s="5">
        <v>1978</v>
      </c>
      <c r="D1115" s="3"/>
      <c r="E1115" s="5" t="s">
        <v>3645</v>
      </c>
      <c r="F1115" s="4">
        <v>3</v>
      </c>
      <c r="G1115" s="25">
        <v>4</v>
      </c>
      <c r="H1115" s="2">
        <v>1745.3</v>
      </c>
      <c r="I1115" s="4" t="s">
        <v>3805</v>
      </c>
      <c r="J1115" s="19">
        <f t="shared" si="98"/>
        <v>315287.69</v>
      </c>
      <c r="K1115" s="73"/>
      <c r="L1115" s="73"/>
      <c r="M1115" s="73"/>
      <c r="N1115" s="19">
        <f>SUMIF('2020'!B:B,B1115,'2020'!C:C)+SUMIF('2021'!B:B,B1115,'2021'!C:C)+SUMIF('2022'!B:B,B1115,'2022'!C:C)</f>
        <v>315287.69</v>
      </c>
      <c r="O1115" s="17">
        <v>44925</v>
      </c>
      <c r="P1115" s="2" t="s">
        <v>3728</v>
      </c>
    </row>
    <row r="1116" spans="1:16" ht="17.25" customHeight="1" x14ac:dyDescent="0.3">
      <c r="A1116" s="169">
        <f t="shared" si="99"/>
        <v>1006</v>
      </c>
      <c r="B1116" s="21" t="s">
        <v>1103</v>
      </c>
      <c r="C1116" s="5">
        <v>1962</v>
      </c>
      <c r="D1116" s="3"/>
      <c r="E1116" s="5" t="s">
        <v>3645</v>
      </c>
      <c r="F1116" s="4">
        <v>2</v>
      </c>
      <c r="G1116" s="25">
        <v>1</v>
      </c>
      <c r="H1116" s="2">
        <v>453.3</v>
      </c>
      <c r="I1116" s="4" t="s">
        <v>3748</v>
      </c>
      <c r="J1116" s="19">
        <f t="shared" si="98"/>
        <v>359172.54000000004</v>
      </c>
      <c r="K1116" s="73"/>
      <c r="L1116" s="73"/>
      <c r="M1116" s="73"/>
      <c r="N1116" s="19">
        <f>SUMIF('2020'!B:B,B1116,'2020'!C:C)+SUMIF('2021'!B:B,B1116,'2021'!C:C)+SUMIF('2022'!B:B,B1116,'2022'!C:C)</f>
        <v>359172.54000000004</v>
      </c>
      <c r="O1116" s="17">
        <v>44925</v>
      </c>
      <c r="P1116" s="2" t="s">
        <v>3728</v>
      </c>
    </row>
    <row r="1117" spans="1:16" ht="17.25" customHeight="1" x14ac:dyDescent="0.3">
      <c r="A1117" s="169">
        <f t="shared" si="99"/>
        <v>1007</v>
      </c>
      <c r="B1117" s="21" t="s">
        <v>1104</v>
      </c>
      <c r="C1117" s="5">
        <v>1967</v>
      </c>
      <c r="D1117" s="3"/>
      <c r="E1117" s="5" t="s">
        <v>3645</v>
      </c>
      <c r="F1117" s="4">
        <v>2</v>
      </c>
      <c r="G1117" s="25"/>
      <c r="H1117" s="2">
        <v>535.4</v>
      </c>
      <c r="I1117" s="4" t="s">
        <v>3659</v>
      </c>
      <c r="J1117" s="19">
        <f t="shared" si="98"/>
        <v>457896</v>
      </c>
      <c r="K1117" s="73"/>
      <c r="L1117" s="73"/>
      <c r="M1117" s="73"/>
      <c r="N1117" s="19">
        <f>SUMIF('2020'!B:B,B1117,'2020'!C:C)+SUMIF('2021'!B:B,B1117,'2021'!C:C)+SUMIF('2022'!B:B,B1117,'2022'!C:C)</f>
        <v>457896</v>
      </c>
      <c r="O1117" s="17">
        <v>44925</v>
      </c>
      <c r="P1117" s="2" t="s">
        <v>3728</v>
      </c>
    </row>
    <row r="1118" spans="1:16" ht="17.25" customHeight="1" x14ac:dyDescent="0.3">
      <c r="A1118" s="169">
        <f t="shared" si="99"/>
        <v>1008</v>
      </c>
      <c r="B1118" s="21" t="s">
        <v>1105</v>
      </c>
      <c r="C1118" s="5">
        <v>1968</v>
      </c>
      <c r="D1118" s="3"/>
      <c r="E1118" s="5" t="s">
        <v>3645</v>
      </c>
      <c r="F1118" s="4">
        <v>2</v>
      </c>
      <c r="G1118" s="25"/>
      <c r="H1118" s="2">
        <v>531.15</v>
      </c>
      <c r="I1118" s="4" t="s">
        <v>3714</v>
      </c>
      <c r="J1118" s="19">
        <f t="shared" si="98"/>
        <v>502696.8</v>
      </c>
      <c r="K1118" s="73"/>
      <c r="L1118" s="73"/>
      <c r="M1118" s="73"/>
      <c r="N1118" s="19">
        <f>SUMIF('2020'!B:B,B1118,'2020'!C:C)+SUMIF('2021'!B:B,B1118,'2021'!C:C)+SUMIF('2022'!B:B,B1118,'2022'!C:C)</f>
        <v>502696.8</v>
      </c>
      <c r="O1118" s="17">
        <v>44925</v>
      </c>
      <c r="P1118" s="2" t="s">
        <v>3728</v>
      </c>
    </row>
    <row r="1119" spans="1:16" ht="17.25" customHeight="1" x14ac:dyDescent="0.3">
      <c r="A1119" s="169">
        <f t="shared" si="99"/>
        <v>1009</v>
      </c>
      <c r="B1119" s="21" t="s">
        <v>1106</v>
      </c>
      <c r="C1119" s="5">
        <v>1969</v>
      </c>
      <c r="D1119" s="3"/>
      <c r="E1119" s="5" t="s">
        <v>3645</v>
      </c>
      <c r="F1119" s="4">
        <v>2</v>
      </c>
      <c r="G1119" s="25"/>
      <c r="H1119" s="2">
        <v>574.25</v>
      </c>
      <c r="I1119" s="4" t="s">
        <v>3682</v>
      </c>
      <c r="J1119" s="19">
        <f t="shared" si="98"/>
        <v>576578.4</v>
      </c>
      <c r="K1119" s="73"/>
      <c r="L1119" s="73"/>
      <c r="M1119" s="73"/>
      <c r="N1119" s="19">
        <f>SUMIF('2020'!B:B,B1119,'2020'!C:C)+SUMIF('2021'!B:B,B1119,'2021'!C:C)+SUMIF('2022'!B:B,B1119,'2022'!C:C)</f>
        <v>576578.4</v>
      </c>
      <c r="O1119" s="17">
        <v>44925</v>
      </c>
      <c r="P1119" s="2" t="s">
        <v>3728</v>
      </c>
    </row>
    <row r="1120" spans="1:16" ht="17.25" customHeight="1" x14ac:dyDescent="0.3">
      <c r="A1120" s="169">
        <f t="shared" si="99"/>
        <v>1010</v>
      </c>
      <c r="B1120" s="21" t="s">
        <v>1107</v>
      </c>
      <c r="C1120" s="5">
        <v>1970</v>
      </c>
      <c r="D1120" s="3"/>
      <c r="E1120" s="5" t="s">
        <v>3645</v>
      </c>
      <c r="F1120" s="4">
        <v>2</v>
      </c>
      <c r="G1120" s="25"/>
      <c r="H1120" s="2">
        <v>573.22</v>
      </c>
      <c r="I1120" s="4" t="s">
        <v>3681</v>
      </c>
      <c r="J1120" s="19">
        <f t="shared" si="98"/>
        <v>576578.4</v>
      </c>
      <c r="K1120" s="73"/>
      <c r="L1120" s="73"/>
      <c r="M1120" s="73"/>
      <c r="N1120" s="19">
        <f>SUMIF('2020'!B:B,B1120,'2020'!C:C)+SUMIF('2021'!B:B,B1120,'2021'!C:C)+SUMIF('2022'!B:B,B1120,'2022'!C:C)</f>
        <v>576578.4</v>
      </c>
      <c r="O1120" s="17">
        <v>44925</v>
      </c>
      <c r="P1120" s="2" t="s">
        <v>3728</v>
      </c>
    </row>
    <row r="1121" spans="1:16" ht="17.25" customHeight="1" x14ac:dyDescent="0.3">
      <c r="A1121" s="169">
        <f t="shared" si="99"/>
        <v>1011</v>
      </c>
      <c r="B1121" s="21" t="s">
        <v>1108</v>
      </c>
      <c r="C1121" s="5">
        <v>1972</v>
      </c>
      <c r="D1121" s="3"/>
      <c r="E1121" s="5" t="s">
        <v>3645</v>
      </c>
      <c r="F1121" s="4" t="s">
        <v>3742</v>
      </c>
      <c r="G1121" s="25"/>
      <c r="H1121" s="2">
        <v>774.66</v>
      </c>
      <c r="I1121" s="4" t="s">
        <v>3692</v>
      </c>
      <c r="J1121" s="19">
        <f t="shared" si="98"/>
        <v>6845874.2699999996</v>
      </c>
      <c r="K1121" s="73"/>
      <c r="L1121" s="73"/>
      <c r="M1121" s="73"/>
      <c r="N1121" s="19">
        <f>SUMIF('2020'!B:B,B1121,'2020'!C:C)+SUMIF('2021'!B:B,B1121,'2021'!C:C)+SUMIF('2022'!B:B,B1121,'2022'!C:C)</f>
        <v>6845874.2699999996</v>
      </c>
      <c r="O1121" s="17">
        <v>44925</v>
      </c>
      <c r="P1121" s="2" t="s">
        <v>3728</v>
      </c>
    </row>
    <row r="1122" spans="1:16" ht="17.25" customHeight="1" x14ac:dyDescent="0.3">
      <c r="A1122" s="169">
        <f t="shared" si="99"/>
        <v>1012</v>
      </c>
      <c r="B1122" s="21" t="s">
        <v>1109</v>
      </c>
      <c r="C1122" s="5">
        <v>1978</v>
      </c>
      <c r="D1122" s="3"/>
      <c r="E1122" s="5" t="s">
        <v>3645</v>
      </c>
      <c r="F1122" s="4">
        <v>3</v>
      </c>
      <c r="G1122" s="25">
        <v>4</v>
      </c>
      <c r="H1122" s="2">
        <v>1934.85</v>
      </c>
      <c r="I1122" s="4" t="s">
        <v>3667</v>
      </c>
      <c r="J1122" s="19">
        <f t="shared" si="98"/>
        <v>866434.64</v>
      </c>
      <c r="K1122" s="73"/>
      <c r="L1122" s="73"/>
      <c r="M1122" s="73"/>
      <c r="N1122" s="19">
        <f>SUMIF('2020'!B:B,B1122,'2020'!C:C)+SUMIF('2021'!B:B,B1122,'2021'!C:C)+SUMIF('2022'!B:B,B1122,'2022'!C:C)</f>
        <v>866434.64</v>
      </c>
      <c r="O1122" s="17">
        <v>44925</v>
      </c>
      <c r="P1122" s="2" t="s">
        <v>3728</v>
      </c>
    </row>
    <row r="1123" spans="1:16" ht="17.25" customHeight="1" x14ac:dyDescent="0.3">
      <c r="A1123" s="169">
        <f t="shared" si="99"/>
        <v>1013</v>
      </c>
      <c r="B1123" s="21" t="s">
        <v>1110</v>
      </c>
      <c r="C1123" s="5">
        <v>1980</v>
      </c>
      <c r="D1123" s="3"/>
      <c r="E1123" s="5" t="s">
        <v>3645</v>
      </c>
      <c r="F1123" s="4" t="s">
        <v>3743</v>
      </c>
      <c r="G1123" s="25"/>
      <c r="H1123" s="2">
        <v>1785.2</v>
      </c>
      <c r="I1123" s="122" t="s">
        <v>3806</v>
      </c>
      <c r="J1123" s="19">
        <f t="shared" si="98"/>
        <v>236732.82</v>
      </c>
      <c r="K1123" s="73"/>
      <c r="L1123" s="73"/>
      <c r="M1123" s="73"/>
      <c r="N1123" s="19">
        <f>SUMIF('2020'!B:B,B1123,'2020'!C:C)+SUMIF('2021'!B:B,B1123,'2021'!C:C)+SUMIF('2022'!B:B,B1123,'2022'!C:C)</f>
        <v>236732.82</v>
      </c>
      <c r="O1123" s="17">
        <v>44925</v>
      </c>
      <c r="P1123" s="2" t="s">
        <v>3728</v>
      </c>
    </row>
    <row r="1124" spans="1:16" ht="17.25" customHeight="1" x14ac:dyDescent="0.3">
      <c r="A1124" s="169">
        <f t="shared" si="99"/>
        <v>1014</v>
      </c>
      <c r="B1124" s="21" t="s">
        <v>1111</v>
      </c>
      <c r="C1124" s="5">
        <v>1977</v>
      </c>
      <c r="D1124" s="3"/>
      <c r="E1124" s="5" t="s">
        <v>3729</v>
      </c>
      <c r="F1124" s="4">
        <v>5</v>
      </c>
      <c r="G1124" s="25"/>
      <c r="H1124" s="2">
        <v>3222</v>
      </c>
      <c r="I1124" s="4" t="s">
        <v>3807</v>
      </c>
      <c r="J1124" s="19">
        <f t="shared" si="98"/>
        <v>1310370.46</v>
      </c>
      <c r="K1124" s="73"/>
      <c r="L1124" s="73"/>
      <c r="M1124" s="73"/>
      <c r="N1124" s="19">
        <f>SUMIF('2020'!B:B,B1124,'2020'!C:C)+SUMIF('2021'!B:B,B1124,'2021'!C:C)+SUMIF('2022'!B:B,B1124,'2022'!C:C)</f>
        <v>1310370.46</v>
      </c>
      <c r="O1124" s="17">
        <v>44925</v>
      </c>
      <c r="P1124" s="2" t="s">
        <v>3728</v>
      </c>
    </row>
    <row r="1125" spans="1:16" ht="17.25" customHeight="1" x14ac:dyDescent="0.3">
      <c r="A1125" s="169">
        <f t="shared" si="99"/>
        <v>1015</v>
      </c>
      <c r="B1125" s="21" t="s">
        <v>1112</v>
      </c>
      <c r="C1125" s="5">
        <v>1978</v>
      </c>
      <c r="D1125" s="3"/>
      <c r="E1125" s="5" t="s">
        <v>3729</v>
      </c>
      <c r="F1125" s="4">
        <v>5</v>
      </c>
      <c r="G1125" s="25"/>
      <c r="H1125" s="2">
        <v>3222</v>
      </c>
      <c r="I1125" s="4" t="s">
        <v>3808</v>
      </c>
      <c r="J1125" s="19">
        <f t="shared" si="98"/>
        <v>339117.91</v>
      </c>
      <c r="K1125" s="73"/>
      <c r="L1125" s="73"/>
      <c r="M1125" s="73"/>
      <c r="N1125" s="19">
        <f>SUMIF('2020'!B:B,B1125,'2020'!C:C)+SUMIF('2021'!B:B,B1125,'2021'!C:C)+SUMIF('2022'!B:B,B1125,'2022'!C:C)</f>
        <v>339117.91</v>
      </c>
      <c r="O1125" s="17">
        <v>44925</v>
      </c>
      <c r="P1125" s="2" t="s">
        <v>3728</v>
      </c>
    </row>
    <row r="1126" spans="1:16" ht="17.25" customHeight="1" x14ac:dyDescent="0.3">
      <c r="A1126" s="169">
        <f t="shared" si="99"/>
        <v>1016</v>
      </c>
      <c r="B1126" s="21" t="s">
        <v>1113</v>
      </c>
      <c r="C1126" s="5">
        <v>1978</v>
      </c>
      <c r="D1126" s="3"/>
      <c r="E1126" s="5" t="s">
        <v>3729</v>
      </c>
      <c r="F1126" s="4">
        <v>5</v>
      </c>
      <c r="G1126" s="25"/>
      <c r="H1126" s="2">
        <v>2712.5</v>
      </c>
      <c r="I1126" s="4" t="s">
        <v>3778</v>
      </c>
      <c r="J1126" s="19">
        <f t="shared" si="98"/>
        <v>579633.69999999995</v>
      </c>
      <c r="K1126" s="73"/>
      <c r="L1126" s="73"/>
      <c r="M1126" s="73"/>
      <c r="N1126" s="19">
        <f>SUMIF('2020'!B:B,B1126,'2020'!C:C)+SUMIF('2021'!B:B,B1126,'2021'!C:C)+SUMIF('2022'!B:B,B1126,'2022'!C:C)</f>
        <v>579633.69999999995</v>
      </c>
      <c r="O1126" s="17">
        <v>44925</v>
      </c>
      <c r="P1126" s="2" t="s">
        <v>3728</v>
      </c>
    </row>
    <row r="1127" spans="1:16" ht="17.25" customHeight="1" x14ac:dyDescent="0.3">
      <c r="A1127" s="169">
        <f t="shared" si="99"/>
        <v>1017</v>
      </c>
      <c r="B1127" s="21" t="s">
        <v>1114</v>
      </c>
      <c r="C1127" s="5">
        <v>1966</v>
      </c>
      <c r="D1127" s="3"/>
      <c r="E1127" s="5" t="s">
        <v>3645</v>
      </c>
      <c r="F1127" s="4">
        <v>2</v>
      </c>
      <c r="G1127" s="25"/>
      <c r="H1127" s="2">
        <v>620.24</v>
      </c>
      <c r="I1127" s="4" t="s">
        <v>3682</v>
      </c>
      <c r="J1127" s="19">
        <f t="shared" si="98"/>
        <v>5101516.7999999998</v>
      </c>
      <c r="K1127" s="73"/>
      <c r="L1127" s="73"/>
      <c r="M1127" s="73"/>
      <c r="N1127" s="19">
        <f>SUMIF('2020'!B:B,B1127,'2020'!C:C)+SUMIF('2021'!B:B,B1127,'2021'!C:C)+SUMIF('2022'!B:B,B1127,'2022'!C:C)</f>
        <v>5101516.7999999998</v>
      </c>
      <c r="O1127" s="17">
        <v>44925</v>
      </c>
      <c r="P1127" s="2" t="s">
        <v>3728</v>
      </c>
    </row>
    <row r="1128" spans="1:16" ht="17.25" customHeight="1" x14ac:dyDescent="0.3">
      <c r="A1128" s="169">
        <f>A1127+1</f>
        <v>1018</v>
      </c>
      <c r="B1128" s="21" t="s">
        <v>1115</v>
      </c>
      <c r="C1128" s="5">
        <v>1978</v>
      </c>
      <c r="D1128" s="3"/>
      <c r="E1128" s="5" t="s">
        <v>3729</v>
      </c>
      <c r="F1128" s="4">
        <v>3</v>
      </c>
      <c r="G1128" s="25">
        <v>4</v>
      </c>
      <c r="H1128" s="2">
        <v>1240.5</v>
      </c>
      <c r="I1128" s="4" t="s">
        <v>3712</v>
      </c>
      <c r="J1128" s="19">
        <f t="shared" si="98"/>
        <v>254667.82</v>
      </c>
      <c r="K1128" s="73"/>
      <c r="L1128" s="73"/>
      <c r="M1128" s="73"/>
      <c r="N1128" s="19">
        <f>SUMIF('2020'!B:B,B1128,'2020'!C:C)+SUMIF('2021'!B:B,B1128,'2021'!C:C)+SUMIF('2022'!B:B,B1128,'2022'!C:C)</f>
        <v>254667.82</v>
      </c>
      <c r="O1128" s="17">
        <v>44925</v>
      </c>
      <c r="P1128" s="2" t="s">
        <v>3728</v>
      </c>
    </row>
    <row r="1129" spans="1:16" ht="17.25" customHeight="1" x14ac:dyDescent="0.3">
      <c r="A1129" s="169">
        <f t="shared" si="99"/>
        <v>1019</v>
      </c>
      <c r="B1129" s="21" t="s">
        <v>1116</v>
      </c>
      <c r="C1129" s="5">
        <v>1978</v>
      </c>
      <c r="D1129" s="3"/>
      <c r="E1129" s="5" t="s">
        <v>3729</v>
      </c>
      <c r="F1129" s="4">
        <v>3</v>
      </c>
      <c r="G1129" s="25">
        <v>4</v>
      </c>
      <c r="H1129" s="2">
        <v>1240.8</v>
      </c>
      <c r="I1129" s="4" t="s">
        <v>3673</v>
      </c>
      <c r="J1129" s="19">
        <f t="shared" si="98"/>
        <v>444756.56</v>
      </c>
      <c r="K1129" s="73"/>
      <c r="L1129" s="73"/>
      <c r="M1129" s="73"/>
      <c r="N1129" s="19">
        <f>SUMIF('2020'!B:B,B1129,'2020'!C:C)+SUMIF('2021'!B:B,B1129,'2021'!C:C)+SUMIF('2022'!B:B,B1129,'2022'!C:C)</f>
        <v>444756.56</v>
      </c>
      <c r="O1129" s="17">
        <v>44925</v>
      </c>
      <c r="P1129" s="2" t="s">
        <v>3728</v>
      </c>
    </row>
    <row r="1130" spans="1:16" ht="17.25" customHeight="1" x14ac:dyDescent="0.3">
      <c r="A1130" s="169">
        <f t="shared" si="99"/>
        <v>1020</v>
      </c>
      <c r="B1130" s="21" t="s">
        <v>1117</v>
      </c>
      <c r="C1130" s="5">
        <v>1978</v>
      </c>
      <c r="D1130" s="3"/>
      <c r="E1130" s="5" t="s">
        <v>3729</v>
      </c>
      <c r="F1130" s="4">
        <v>3</v>
      </c>
      <c r="G1130" s="25">
        <v>4</v>
      </c>
      <c r="H1130" s="2">
        <v>1244.45</v>
      </c>
      <c r="I1130" s="4" t="s">
        <v>3809</v>
      </c>
      <c r="J1130" s="19">
        <f t="shared" si="98"/>
        <v>254667.82</v>
      </c>
      <c r="K1130" s="73"/>
      <c r="L1130" s="73"/>
      <c r="M1130" s="73"/>
      <c r="N1130" s="19">
        <f>SUMIF('2020'!B:B,B1130,'2020'!C:C)+SUMIF('2021'!B:B,B1130,'2021'!C:C)+SUMIF('2022'!B:B,B1130,'2022'!C:C)</f>
        <v>254667.82</v>
      </c>
      <c r="O1130" s="17">
        <v>44925</v>
      </c>
      <c r="P1130" s="2" t="s">
        <v>3728</v>
      </c>
    </row>
    <row r="1131" spans="1:16" ht="17.25" customHeight="1" x14ac:dyDescent="0.3">
      <c r="A1131" s="169">
        <f t="shared" si="99"/>
        <v>1021</v>
      </c>
      <c r="B1131" s="21" t="s">
        <v>1118</v>
      </c>
      <c r="C1131" s="5">
        <v>1977</v>
      </c>
      <c r="D1131" s="3"/>
      <c r="E1131" s="5" t="s">
        <v>3729</v>
      </c>
      <c r="F1131" s="4">
        <v>5</v>
      </c>
      <c r="G1131" s="25">
        <v>1</v>
      </c>
      <c r="H1131" s="2">
        <v>3270</v>
      </c>
      <c r="I1131" s="4" t="s">
        <v>3810</v>
      </c>
      <c r="J1131" s="19">
        <f t="shared" si="98"/>
        <v>282419.57</v>
      </c>
      <c r="K1131" s="73"/>
      <c r="L1131" s="73"/>
      <c r="M1131" s="73"/>
      <c r="N1131" s="19">
        <f>SUMIF('2020'!B:B,B1131,'2020'!C:C)+SUMIF('2021'!B:B,B1131,'2021'!C:C)+SUMIF('2022'!B:B,B1131,'2022'!C:C)</f>
        <v>282419.57</v>
      </c>
      <c r="O1131" s="17">
        <v>44925</v>
      </c>
      <c r="P1131" s="2" t="s">
        <v>3728</v>
      </c>
    </row>
    <row r="1132" spans="1:16" ht="17.25" customHeight="1" x14ac:dyDescent="0.3">
      <c r="A1132" s="169">
        <f t="shared" si="99"/>
        <v>1022</v>
      </c>
      <c r="B1132" s="21" t="s">
        <v>1119</v>
      </c>
      <c r="C1132" s="5">
        <v>1961</v>
      </c>
      <c r="D1132" s="3"/>
      <c r="E1132" s="5" t="s">
        <v>3645</v>
      </c>
      <c r="F1132" s="4">
        <v>2</v>
      </c>
      <c r="G1132" s="25"/>
      <c r="H1132" s="2">
        <v>443.9</v>
      </c>
      <c r="I1132" s="4" t="s">
        <v>3719</v>
      </c>
      <c r="J1132" s="19">
        <f t="shared" si="98"/>
        <v>244141.63</v>
      </c>
      <c r="K1132" s="73"/>
      <c r="L1132" s="73"/>
      <c r="M1132" s="73"/>
      <c r="N1132" s="19">
        <f>SUMIF('2020'!B:B,B1132,'2020'!C:C)+SUMIF('2021'!B:B,B1132,'2021'!C:C)+SUMIF('2022'!B:B,B1132,'2022'!C:C)</f>
        <v>244141.63</v>
      </c>
      <c r="O1132" s="17">
        <v>44925</v>
      </c>
      <c r="P1132" s="2" t="s">
        <v>3728</v>
      </c>
    </row>
    <row r="1133" spans="1:16" ht="17.25" customHeight="1" x14ac:dyDescent="0.3">
      <c r="A1133" s="169">
        <f t="shared" si="99"/>
        <v>1023</v>
      </c>
      <c r="B1133" s="21" t="s">
        <v>1120</v>
      </c>
      <c r="C1133" s="5">
        <v>1973</v>
      </c>
      <c r="D1133" s="3"/>
      <c r="E1133" s="5" t="s">
        <v>3645</v>
      </c>
      <c r="F1133" s="4">
        <v>3</v>
      </c>
      <c r="G1133" s="25">
        <v>3</v>
      </c>
      <c r="H1133" s="2">
        <v>1625.12</v>
      </c>
      <c r="I1133" s="4" t="s">
        <v>3811</v>
      </c>
      <c r="J1133" s="19">
        <f t="shared" si="98"/>
        <v>127057.42</v>
      </c>
      <c r="K1133" s="73"/>
      <c r="L1133" s="73"/>
      <c r="M1133" s="73"/>
      <c r="N1133" s="19">
        <f>SUMIF('2020'!B:B,B1133,'2020'!C:C)+SUMIF('2021'!B:B,B1133,'2021'!C:C)+SUMIF('2022'!B:B,B1133,'2022'!C:C)</f>
        <v>127057.42</v>
      </c>
      <c r="O1133" s="17">
        <v>44925</v>
      </c>
      <c r="P1133" s="2" t="s">
        <v>3728</v>
      </c>
    </row>
    <row r="1134" spans="1:16" ht="17.25" customHeight="1" x14ac:dyDescent="0.3">
      <c r="A1134" s="169">
        <f t="shared" si="99"/>
        <v>1024</v>
      </c>
      <c r="B1134" s="21" t="s">
        <v>1121</v>
      </c>
      <c r="C1134" s="5">
        <v>1970</v>
      </c>
      <c r="D1134" s="3"/>
      <c r="E1134" s="5" t="s">
        <v>3645</v>
      </c>
      <c r="F1134" s="4">
        <v>3</v>
      </c>
      <c r="G1134" s="25">
        <v>2</v>
      </c>
      <c r="H1134" s="2">
        <v>952.56</v>
      </c>
      <c r="I1134" s="4" t="s">
        <v>3812</v>
      </c>
      <c r="J1134" s="19">
        <f t="shared" si="98"/>
        <v>253716.44999999998</v>
      </c>
      <c r="K1134" s="73"/>
      <c r="L1134" s="73"/>
      <c r="M1134" s="73"/>
      <c r="N1134" s="19">
        <f>SUMIF('2020'!B:B,B1134,'2020'!C:C)+SUMIF('2021'!B:B,B1134,'2021'!C:C)+SUMIF('2022'!B:B,B1134,'2022'!C:C)</f>
        <v>253716.44999999998</v>
      </c>
      <c r="O1134" s="17">
        <v>44925</v>
      </c>
      <c r="P1134" s="2" t="s">
        <v>3728</v>
      </c>
    </row>
    <row r="1135" spans="1:16" ht="17.25" customHeight="1" x14ac:dyDescent="0.3">
      <c r="A1135" s="169">
        <f t="shared" si="99"/>
        <v>1025</v>
      </c>
      <c r="B1135" s="21" t="s">
        <v>1122</v>
      </c>
      <c r="C1135" s="5">
        <v>1965</v>
      </c>
      <c r="D1135" s="3"/>
      <c r="E1135" s="5" t="s">
        <v>3645</v>
      </c>
      <c r="F1135" s="4">
        <v>2</v>
      </c>
      <c r="G1135" s="25">
        <v>3</v>
      </c>
      <c r="H1135" s="2">
        <v>1065.8800000000001</v>
      </c>
      <c r="I1135" s="4" t="s">
        <v>3674</v>
      </c>
      <c r="J1135" s="19">
        <f t="shared" si="98"/>
        <v>196349.22</v>
      </c>
      <c r="K1135" s="73"/>
      <c r="L1135" s="73"/>
      <c r="M1135" s="73"/>
      <c r="N1135" s="19">
        <f>SUMIF('2020'!B:B,B1135,'2020'!C:C)+SUMIF('2021'!B:B,B1135,'2021'!C:C)+SUMIF('2022'!B:B,B1135,'2022'!C:C)</f>
        <v>196349.22</v>
      </c>
      <c r="O1135" s="17">
        <v>44925</v>
      </c>
      <c r="P1135" s="2" t="s">
        <v>3728</v>
      </c>
    </row>
    <row r="1136" spans="1:16" ht="17.25" customHeight="1" x14ac:dyDescent="0.3">
      <c r="A1136" s="169">
        <f t="shared" si="99"/>
        <v>1026</v>
      </c>
      <c r="B1136" s="21" t="s">
        <v>1123</v>
      </c>
      <c r="C1136" s="5">
        <v>1968</v>
      </c>
      <c r="D1136" s="3"/>
      <c r="E1136" s="5" t="s">
        <v>3645</v>
      </c>
      <c r="F1136" s="4">
        <v>2</v>
      </c>
      <c r="G1136" s="25">
        <v>3</v>
      </c>
      <c r="H1136" s="2">
        <v>1004.92</v>
      </c>
      <c r="I1136" s="4" t="s">
        <v>3704</v>
      </c>
      <c r="J1136" s="19">
        <f t="shared" ref="J1136:J1199" si="101">K1136+L1136+M1136+N1136</f>
        <v>937144.14</v>
      </c>
      <c r="K1136" s="73"/>
      <c r="L1136" s="73"/>
      <c r="M1136" s="73"/>
      <c r="N1136" s="19">
        <f>SUMIF('2020'!B:B,B1136,'2020'!C:C)+SUMIF('2021'!B:B,B1136,'2021'!C:C)+SUMIF('2022'!B:B,B1136,'2022'!C:C)</f>
        <v>937144.14</v>
      </c>
      <c r="O1136" s="17">
        <v>44925</v>
      </c>
      <c r="P1136" s="2" t="s">
        <v>3728</v>
      </c>
    </row>
    <row r="1137" spans="1:16" ht="17.25" customHeight="1" x14ac:dyDescent="0.3">
      <c r="A1137" s="169">
        <f t="shared" si="99"/>
        <v>1027</v>
      </c>
      <c r="B1137" s="21" t="s">
        <v>1124</v>
      </c>
      <c r="C1137" s="5">
        <v>1969</v>
      </c>
      <c r="D1137" s="3"/>
      <c r="E1137" s="5" t="s">
        <v>3645</v>
      </c>
      <c r="F1137" s="4">
        <v>2</v>
      </c>
      <c r="G1137" s="25">
        <v>3</v>
      </c>
      <c r="H1137" s="2">
        <v>1005.64</v>
      </c>
      <c r="I1137" s="4" t="s">
        <v>3718</v>
      </c>
      <c r="J1137" s="19">
        <f t="shared" si="101"/>
        <v>916638.84</v>
      </c>
      <c r="K1137" s="73"/>
      <c r="L1137" s="73"/>
      <c r="M1137" s="73"/>
      <c r="N1137" s="19">
        <f>SUMIF('2020'!B:B,B1137,'2020'!C:C)+SUMIF('2021'!B:B,B1137,'2021'!C:C)+SUMIF('2022'!B:B,B1137,'2022'!C:C)</f>
        <v>916638.84</v>
      </c>
      <c r="O1137" s="17">
        <v>44925</v>
      </c>
      <c r="P1137" s="2" t="s">
        <v>3728</v>
      </c>
    </row>
    <row r="1138" spans="1:16" ht="17.25" customHeight="1" x14ac:dyDescent="0.3">
      <c r="A1138" s="169">
        <f t="shared" si="99"/>
        <v>1028</v>
      </c>
      <c r="B1138" s="21" t="s">
        <v>1125</v>
      </c>
      <c r="C1138" s="5">
        <v>1971</v>
      </c>
      <c r="D1138" s="3"/>
      <c r="E1138" s="5" t="s">
        <v>3645</v>
      </c>
      <c r="F1138" s="4">
        <v>2</v>
      </c>
      <c r="G1138" s="25">
        <v>3</v>
      </c>
      <c r="H1138" s="2">
        <v>1023.23</v>
      </c>
      <c r="I1138" s="4" t="s">
        <v>3813</v>
      </c>
      <c r="J1138" s="19">
        <f t="shared" si="101"/>
        <v>201510.12</v>
      </c>
      <c r="K1138" s="73"/>
      <c r="L1138" s="73"/>
      <c r="M1138" s="73"/>
      <c r="N1138" s="19">
        <f>SUMIF('2020'!B:B,B1138,'2020'!C:C)+SUMIF('2021'!B:B,B1138,'2021'!C:C)+SUMIF('2022'!B:B,B1138,'2022'!C:C)</f>
        <v>201510.12</v>
      </c>
      <c r="O1138" s="17">
        <v>44925</v>
      </c>
      <c r="P1138" s="2" t="s">
        <v>3728</v>
      </c>
    </row>
    <row r="1139" spans="1:16" ht="17.25" customHeight="1" x14ac:dyDescent="0.3">
      <c r="A1139" s="169">
        <f t="shared" si="99"/>
        <v>1029</v>
      </c>
      <c r="B1139" s="21" t="s">
        <v>1127</v>
      </c>
      <c r="C1139" s="5">
        <v>1963</v>
      </c>
      <c r="D1139" s="3"/>
      <c r="E1139" s="5" t="s">
        <v>3645</v>
      </c>
      <c r="F1139" s="4">
        <v>2</v>
      </c>
      <c r="G1139" s="25">
        <v>2</v>
      </c>
      <c r="H1139" s="2">
        <v>652</v>
      </c>
      <c r="I1139" s="4" t="s">
        <v>3706</v>
      </c>
      <c r="J1139" s="19">
        <f t="shared" si="101"/>
        <v>982523.9</v>
      </c>
      <c r="K1139" s="73"/>
      <c r="L1139" s="73"/>
      <c r="M1139" s="73"/>
      <c r="N1139" s="19">
        <f>SUMIF('2020'!B:B,B1139,'2020'!C:C)+SUMIF('2021'!B:B,B1139,'2021'!C:C)+SUMIF('2022'!B:B,B1139,'2022'!C:C)</f>
        <v>982523.9</v>
      </c>
      <c r="O1139" s="17">
        <v>44925</v>
      </c>
      <c r="P1139" s="2" t="s">
        <v>3728</v>
      </c>
    </row>
    <row r="1140" spans="1:16" ht="17.25" customHeight="1" x14ac:dyDescent="0.3">
      <c r="A1140" s="169">
        <f t="shared" si="99"/>
        <v>1030</v>
      </c>
      <c r="B1140" s="21" t="s">
        <v>1128</v>
      </c>
      <c r="C1140" s="5">
        <v>1964</v>
      </c>
      <c r="D1140" s="3"/>
      <c r="E1140" s="5" t="s">
        <v>3645</v>
      </c>
      <c r="F1140" s="4">
        <v>2</v>
      </c>
      <c r="G1140" s="25">
        <v>2</v>
      </c>
      <c r="H1140" s="2">
        <v>652</v>
      </c>
      <c r="I1140" s="4" t="s">
        <v>3669</v>
      </c>
      <c r="J1140" s="19">
        <f t="shared" si="101"/>
        <v>663414.96</v>
      </c>
      <c r="K1140" s="73"/>
      <c r="L1140" s="73"/>
      <c r="M1140" s="73"/>
      <c r="N1140" s="19">
        <f>SUMIF('2020'!B:B,B1140,'2020'!C:C)+SUMIF('2021'!B:B,B1140,'2021'!C:C)+SUMIF('2022'!B:B,B1140,'2022'!C:C)</f>
        <v>663414.96</v>
      </c>
      <c r="O1140" s="17">
        <v>44925</v>
      </c>
      <c r="P1140" s="2" t="s">
        <v>3728</v>
      </c>
    </row>
    <row r="1141" spans="1:16" ht="17.25" customHeight="1" x14ac:dyDescent="0.3">
      <c r="A1141" s="169">
        <f>A1140+1</f>
        <v>1031</v>
      </c>
      <c r="B1141" s="21" t="s">
        <v>1129</v>
      </c>
      <c r="C1141" s="5">
        <v>1973</v>
      </c>
      <c r="D1141" s="3"/>
      <c r="E1141" s="5" t="s">
        <v>3645</v>
      </c>
      <c r="F1141" s="4">
        <v>3</v>
      </c>
      <c r="G1141" s="25">
        <v>3</v>
      </c>
      <c r="H1141" s="2">
        <v>1834</v>
      </c>
      <c r="I1141" s="4" t="s">
        <v>3811</v>
      </c>
      <c r="J1141" s="19">
        <f t="shared" si="101"/>
        <v>1171278.3999999999</v>
      </c>
      <c r="K1141" s="73"/>
      <c r="L1141" s="73"/>
      <c r="M1141" s="73"/>
      <c r="N1141" s="19">
        <f>SUMIF('2020'!B:B,B1141,'2020'!C:C)+SUMIF('2021'!B:B,B1141,'2021'!C:C)+SUMIF('2022'!B:B,B1141,'2022'!C:C)</f>
        <v>1171278.3999999999</v>
      </c>
      <c r="O1141" s="17">
        <v>44925</v>
      </c>
      <c r="P1141" s="2" t="s">
        <v>3728</v>
      </c>
    </row>
    <row r="1142" spans="1:16" ht="17.25" customHeight="1" x14ac:dyDescent="0.3">
      <c r="A1142" s="210" t="s">
        <v>211</v>
      </c>
      <c r="B1142" s="21"/>
      <c r="C1142" s="3"/>
      <c r="D1142" s="3"/>
      <c r="E1142" s="5"/>
      <c r="F1142" s="4"/>
      <c r="G1142" s="26"/>
      <c r="H1142" s="73">
        <f t="shared" ref="H1142:M1142" si="102">SUM(H1085:H1141)</f>
        <v>82172.749999999985</v>
      </c>
      <c r="I1142" s="73">
        <f t="shared" si="102"/>
        <v>0</v>
      </c>
      <c r="J1142" s="73">
        <f t="shared" si="102"/>
        <v>71556948.51333335</v>
      </c>
      <c r="K1142" s="73">
        <f t="shared" si="102"/>
        <v>0</v>
      </c>
      <c r="L1142" s="73">
        <f t="shared" si="102"/>
        <v>0</v>
      </c>
      <c r="M1142" s="73">
        <f t="shared" si="102"/>
        <v>0</v>
      </c>
      <c r="N1142" s="73">
        <f>SUM(N1085:N1141)</f>
        <v>71556948.51333335</v>
      </c>
      <c r="O1142" s="17"/>
      <c r="P1142" s="2"/>
    </row>
    <row r="1143" spans="1:16" ht="17.25" customHeight="1" x14ac:dyDescent="0.3">
      <c r="A1143" s="210" t="s">
        <v>3814</v>
      </c>
      <c r="B1143" s="21"/>
      <c r="C1143" s="3"/>
      <c r="D1143" s="3"/>
      <c r="E1143" s="5"/>
      <c r="F1143" s="4"/>
      <c r="G1143" s="26"/>
      <c r="H1143" s="2"/>
      <c r="I1143" s="4"/>
      <c r="J1143" s="19"/>
      <c r="K1143" s="73"/>
      <c r="L1143" s="73"/>
      <c r="M1143" s="73"/>
      <c r="N1143" s="73"/>
      <c r="O1143" s="17"/>
      <c r="P1143" s="2"/>
    </row>
    <row r="1144" spans="1:16" ht="17.25" customHeight="1" x14ac:dyDescent="0.3">
      <c r="A1144" s="169">
        <f>A1141+1</f>
        <v>1032</v>
      </c>
      <c r="B1144" s="21" t="s">
        <v>1130</v>
      </c>
      <c r="C1144" s="5">
        <v>1940</v>
      </c>
      <c r="D1144" s="3"/>
      <c r="E1144" s="5" t="s">
        <v>3645</v>
      </c>
      <c r="F1144" s="4" t="s">
        <v>3742</v>
      </c>
      <c r="G1144" s="26"/>
      <c r="H1144" s="2">
        <v>186</v>
      </c>
      <c r="I1144" s="4" t="s">
        <v>3752</v>
      </c>
      <c r="J1144" s="19">
        <f t="shared" si="101"/>
        <v>130000</v>
      </c>
      <c r="K1144" s="73"/>
      <c r="L1144" s="73"/>
      <c r="M1144" s="73"/>
      <c r="N1144" s="19">
        <f>SUMIF('2020'!B:B,B1144,'2020'!C:C)+SUMIF('2021'!B:B,B1144,'2021'!C:C)+SUMIF('2022'!B:B,B1144,'2022'!C:C)</f>
        <v>130000</v>
      </c>
      <c r="O1144" s="17">
        <v>44925</v>
      </c>
      <c r="P1144" s="2" t="s">
        <v>3728</v>
      </c>
    </row>
    <row r="1145" spans="1:16" ht="17.25" customHeight="1" x14ac:dyDescent="0.3">
      <c r="A1145" s="210" t="s">
        <v>211</v>
      </c>
      <c r="B1145" s="21"/>
      <c r="C1145" s="3"/>
      <c r="D1145" s="3"/>
      <c r="E1145" s="3"/>
      <c r="F1145" s="3"/>
      <c r="G1145" s="26"/>
      <c r="H1145" s="73">
        <f t="shared" ref="H1145:M1145" si="103">SUM(H1144)</f>
        <v>186</v>
      </c>
      <c r="I1145" s="73">
        <f t="shared" si="103"/>
        <v>0</v>
      </c>
      <c r="J1145" s="73">
        <f t="shared" si="103"/>
        <v>130000</v>
      </c>
      <c r="K1145" s="73">
        <f t="shared" si="103"/>
        <v>0</v>
      </c>
      <c r="L1145" s="73">
        <f t="shared" si="103"/>
        <v>0</v>
      </c>
      <c r="M1145" s="73">
        <f t="shared" si="103"/>
        <v>0</v>
      </c>
      <c r="N1145" s="73">
        <f>SUM(N1144)</f>
        <v>130000</v>
      </c>
      <c r="O1145" s="3"/>
      <c r="P1145" s="3"/>
    </row>
    <row r="1146" spans="1:16" ht="17.25" customHeight="1" x14ac:dyDescent="0.3">
      <c r="A1146" s="210" t="s">
        <v>1126</v>
      </c>
      <c r="B1146" s="21"/>
      <c r="C1146" s="3"/>
      <c r="D1146" s="3"/>
      <c r="E1146" s="3"/>
      <c r="F1146" s="3"/>
      <c r="G1146" s="26"/>
      <c r="H1146" s="3"/>
      <c r="I1146" s="3"/>
      <c r="J1146" s="19"/>
      <c r="K1146" s="73"/>
      <c r="L1146" s="73"/>
      <c r="M1146" s="73"/>
      <c r="N1146" s="73"/>
      <c r="O1146" s="3"/>
      <c r="P1146" s="3"/>
    </row>
    <row r="1147" spans="1:16" ht="17.25" customHeight="1" x14ac:dyDescent="0.3">
      <c r="A1147" s="169">
        <f>A1144+1</f>
        <v>1033</v>
      </c>
      <c r="B1147" s="21" t="s">
        <v>1131</v>
      </c>
      <c r="C1147" s="5">
        <v>1950</v>
      </c>
      <c r="D1147" s="3"/>
      <c r="E1147" s="20" t="s">
        <v>3645</v>
      </c>
      <c r="F1147" s="20">
        <v>2</v>
      </c>
      <c r="G1147" s="25">
        <v>1</v>
      </c>
      <c r="H1147" s="2">
        <v>200.2</v>
      </c>
      <c r="I1147" s="20">
        <v>17</v>
      </c>
      <c r="J1147" s="19">
        <f t="shared" si="101"/>
        <v>155425.46</v>
      </c>
      <c r="K1147" s="73"/>
      <c r="L1147" s="73"/>
      <c r="M1147" s="73"/>
      <c r="N1147" s="19">
        <f>SUMIF('2020'!B:B,B1147,'2020'!C:C)+SUMIF('2021'!B:B,B1147,'2021'!C:C)+SUMIF('2022'!B:B,B1147,'2022'!C:C)</f>
        <v>155425.46</v>
      </c>
      <c r="O1147" s="17">
        <v>44925</v>
      </c>
      <c r="P1147" s="2" t="s">
        <v>3728</v>
      </c>
    </row>
    <row r="1148" spans="1:16" ht="17.25" customHeight="1" x14ac:dyDescent="0.3">
      <c r="A1148" s="169">
        <f t="shared" ref="A1148:A1208" si="104">A1147+1</f>
        <v>1034</v>
      </c>
      <c r="B1148" s="21" t="s">
        <v>1132</v>
      </c>
      <c r="C1148" s="5">
        <v>1951</v>
      </c>
      <c r="D1148" s="3"/>
      <c r="E1148" s="20" t="s">
        <v>3645</v>
      </c>
      <c r="F1148" s="20">
        <v>2</v>
      </c>
      <c r="G1148" s="25">
        <v>1</v>
      </c>
      <c r="H1148" s="2">
        <v>209.41</v>
      </c>
      <c r="I1148" s="20">
        <v>5</v>
      </c>
      <c r="J1148" s="19">
        <f t="shared" si="101"/>
        <v>148761.01</v>
      </c>
      <c r="K1148" s="73"/>
      <c r="L1148" s="73"/>
      <c r="M1148" s="73"/>
      <c r="N1148" s="19">
        <f>SUMIF('2020'!B:B,B1148,'2020'!C:C)+SUMIF('2021'!B:B,B1148,'2021'!C:C)+SUMIF('2022'!B:B,B1148,'2022'!C:C)</f>
        <v>148761.01</v>
      </c>
      <c r="O1148" s="17">
        <v>44925</v>
      </c>
      <c r="P1148" s="2" t="s">
        <v>3728</v>
      </c>
    </row>
    <row r="1149" spans="1:16" ht="17.25" customHeight="1" x14ac:dyDescent="0.3">
      <c r="A1149" s="169">
        <f t="shared" si="104"/>
        <v>1035</v>
      </c>
      <c r="B1149" s="21" t="s">
        <v>1133</v>
      </c>
      <c r="C1149" s="5">
        <v>1952</v>
      </c>
      <c r="D1149" s="3"/>
      <c r="E1149" s="20" t="s">
        <v>3645</v>
      </c>
      <c r="F1149" s="20">
        <v>2</v>
      </c>
      <c r="G1149" s="25">
        <v>3</v>
      </c>
      <c r="H1149" s="2">
        <v>671.6</v>
      </c>
      <c r="I1149" s="20">
        <v>33</v>
      </c>
      <c r="J1149" s="19">
        <f t="shared" si="101"/>
        <v>302727.75</v>
      </c>
      <c r="K1149" s="73"/>
      <c r="L1149" s="73"/>
      <c r="M1149" s="73"/>
      <c r="N1149" s="19">
        <f>SUMIF('2020'!B:B,B1149,'2020'!C:C)+SUMIF('2021'!B:B,B1149,'2021'!C:C)+SUMIF('2022'!B:B,B1149,'2022'!C:C)</f>
        <v>302727.75</v>
      </c>
      <c r="O1149" s="17">
        <v>44925</v>
      </c>
      <c r="P1149" s="2" t="s">
        <v>3728</v>
      </c>
    </row>
    <row r="1150" spans="1:16" ht="17.25" customHeight="1" x14ac:dyDescent="0.3">
      <c r="A1150" s="169">
        <f t="shared" si="104"/>
        <v>1036</v>
      </c>
      <c r="B1150" s="21" t="s">
        <v>1134</v>
      </c>
      <c r="C1150" s="5">
        <v>1950</v>
      </c>
      <c r="D1150" s="3"/>
      <c r="E1150" s="20" t="s">
        <v>3645</v>
      </c>
      <c r="F1150" s="20">
        <v>2</v>
      </c>
      <c r="G1150" s="25">
        <v>1</v>
      </c>
      <c r="H1150" s="2">
        <v>212.4</v>
      </c>
      <c r="I1150" s="20">
        <v>3</v>
      </c>
      <c r="J1150" s="19">
        <f t="shared" si="101"/>
        <v>143269.1</v>
      </c>
      <c r="K1150" s="73"/>
      <c r="L1150" s="73"/>
      <c r="M1150" s="73"/>
      <c r="N1150" s="19">
        <f>SUMIF('2020'!B:B,B1150,'2020'!C:C)+SUMIF('2021'!B:B,B1150,'2021'!C:C)+SUMIF('2022'!B:B,B1150,'2022'!C:C)</f>
        <v>143269.1</v>
      </c>
      <c r="O1150" s="17">
        <v>44925</v>
      </c>
      <c r="P1150" s="2" t="s">
        <v>3728</v>
      </c>
    </row>
    <row r="1151" spans="1:16" ht="17.25" customHeight="1" x14ac:dyDescent="0.3">
      <c r="A1151" s="169">
        <f t="shared" si="104"/>
        <v>1037</v>
      </c>
      <c r="B1151" s="21" t="s">
        <v>1135</v>
      </c>
      <c r="C1151" s="5">
        <v>1951</v>
      </c>
      <c r="D1151" s="3"/>
      <c r="E1151" s="20" t="s">
        <v>3645</v>
      </c>
      <c r="F1151" s="20">
        <v>2</v>
      </c>
      <c r="G1151" s="25">
        <v>1</v>
      </c>
      <c r="H1151" s="2">
        <v>214.9</v>
      </c>
      <c r="I1151" s="20">
        <v>12</v>
      </c>
      <c r="J1151" s="19">
        <f t="shared" si="101"/>
        <v>153597.48000000001</v>
      </c>
      <c r="K1151" s="73"/>
      <c r="L1151" s="73"/>
      <c r="M1151" s="73"/>
      <c r="N1151" s="19">
        <f>SUMIF('2020'!B:B,B1151,'2020'!C:C)+SUMIF('2021'!B:B,B1151,'2021'!C:C)+SUMIF('2022'!B:B,B1151,'2022'!C:C)</f>
        <v>153597.48000000001</v>
      </c>
      <c r="O1151" s="17">
        <v>44925</v>
      </c>
      <c r="P1151" s="2" t="s">
        <v>3728</v>
      </c>
    </row>
    <row r="1152" spans="1:16" ht="17.25" customHeight="1" x14ac:dyDescent="0.3">
      <c r="A1152" s="169">
        <f t="shared" si="104"/>
        <v>1038</v>
      </c>
      <c r="B1152" s="21" t="s">
        <v>1136</v>
      </c>
      <c r="C1152" s="5">
        <v>1952</v>
      </c>
      <c r="D1152" s="3"/>
      <c r="E1152" s="20" t="s">
        <v>3645</v>
      </c>
      <c r="F1152" s="20">
        <v>2</v>
      </c>
      <c r="G1152" s="25">
        <v>1</v>
      </c>
      <c r="H1152" s="2">
        <v>224.8</v>
      </c>
      <c r="I1152" s="20">
        <v>8</v>
      </c>
      <c r="J1152" s="19">
        <f t="shared" si="101"/>
        <v>154751.98000000001</v>
      </c>
      <c r="K1152" s="73"/>
      <c r="L1152" s="73"/>
      <c r="M1152" s="73"/>
      <c r="N1152" s="19">
        <f>SUMIF('2020'!B:B,B1152,'2020'!C:C)+SUMIF('2021'!B:B,B1152,'2021'!C:C)+SUMIF('2022'!B:B,B1152,'2022'!C:C)</f>
        <v>154751.98000000001</v>
      </c>
      <c r="O1152" s="17">
        <v>44925</v>
      </c>
      <c r="P1152" s="2" t="s">
        <v>3728</v>
      </c>
    </row>
    <row r="1153" spans="1:16" ht="17.25" customHeight="1" x14ac:dyDescent="0.3">
      <c r="A1153" s="169">
        <f>A1152+1</f>
        <v>1039</v>
      </c>
      <c r="B1153" s="21" t="s">
        <v>1137</v>
      </c>
      <c r="C1153" s="5">
        <v>1987</v>
      </c>
      <c r="D1153" s="3"/>
      <c r="E1153" s="20" t="s">
        <v>3729</v>
      </c>
      <c r="F1153" s="20">
        <v>5</v>
      </c>
      <c r="G1153" s="25">
        <v>3</v>
      </c>
      <c r="H1153" s="20">
        <v>3600</v>
      </c>
      <c r="I1153" s="20">
        <v>174</v>
      </c>
      <c r="J1153" s="19">
        <f t="shared" si="101"/>
        <v>851150.01</v>
      </c>
      <c r="K1153" s="73"/>
      <c r="L1153" s="73"/>
      <c r="M1153" s="73"/>
      <c r="N1153" s="19">
        <f>SUMIF('2020'!B:B,B1153,'2020'!C:C)+SUMIF('2021'!B:B,B1153,'2021'!C:C)+SUMIF('2022'!B:B,B1153,'2022'!C:C)</f>
        <v>851150.01</v>
      </c>
      <c r="O1153" s="17">
        <v>44925</v>
      </c>
      <c r="P1153" s="2" t="s">
        <v>3728</v>
      </c>
    </row>
    <row r="1154" spans="1:16" ht="17.25" customHeight="1" x14ac:dyDescent="0.3">
      <c r="A1154" s="169">
        <f t="shared" si="104"/>
        <v>1040</v>
      </c>
      <c r="B1154" s="21" t="s">
        <v>1138</v>
      </c>
      <c r="C1154" s="5">
        <v>1984</v>
      </c>
      <c r="D1154" s="3"/>
      <c r="E1154" s="20" t="s">
        <v>3645</v>
      </c>
      <c r="F1154" s="20">
        <v>3</v>
      </c>
      <c r="G1154" s="25"/>
      <c r="H1154" s="2">
        <v>1268.0999999999999</v>
      </c>
      <c r="I1154" s="20">
        <v>84</v>
      </c>
      <c r="J1154" s="19">
        <f t="shared" si="101"/>
        <v>8766033.1699999999</v>
      </c>
      <c r="K1154" s="73"/>
      <c r="L1154" s="73"/>
      <c r="M1154" s="73"/>
      <c r="N1154" s="19">
        <f>SUMIF('2020'!B:B,B1154,'2020'!C:C)+SUMIF('2021'!B:B,B1154,'2021'!C:C)+SUMIF('2022'!B:B,B1154,'2022'!C:C)</f>
        <v>8766033.1699999999</v>
      </c>
      <c r="O1154" s="17">
        <v>44925</v>
      </c>
      <c r="P1154" s="2" t="s">
        <v>3728</v>
      </c>
    </row>
    <row r="1155" spans="1:16" ht="17.25" customHeight="1" x14ac:dyDescent="0.3">
      <c r="A1155" s="169">
        <f t="shared" si="104"/>
        <v>1041</v>
      </c>
      <c r="B1155" s="21" t="s">
        <v>1139</v>
      </c>
      <c r="C1155" s="5">
        <v>1961</v>
      </c>
      <c r="D1155" s="3"/>
      <c r="E1155" s="20" t="s">
        <v>3645</v>
      </c>
      <c r="F1155" s="20">
        <v>2</v>
      </c>
      <c r="G1155" s="25"/>
      <c r="H1155" s="2">
        <v>312</v>
      </c>
      <c r="I1155" s="20">
        <v>15</v>
      </c>
      <c r="J1155" s="19">
        <f t="shared" si="101"/>
        <v>416666.81</v>
      </c>
      <c r="K1155" s="73"/>
      <c r="L1155" s="73"/>
      <c r="M1155" s="73"/>
      <c r="N1155" s="19">
        <f>SUMIF('2020'!B:B,B1155,'2020'!C:C)+SUMIF('2021'!B:B,B1155,'2021'!C:C)+SUMIF('2022'!B:B,B1155,'2022'!C:C)</f>
        <v>416666.81</v>
      </c>
      <c r="O1155" s="17">
        <v>44925</v>
      </c>
      <c r="P1155" s="2" t="s">
        <v>3728</v>
      </c>
    </row>
    <row r="1156" spans="1:16" ht="17.25" customHeight="1" x14ac:dyDescent="0.3">
      <c r="A1156" s="169">
        <f t="shared" si="104"/>
        <v>1042</v>
      </c>
      <c r="B1156" s="21" t="s">
        <v>1140</v>
      </c>
      <c r="C1156" s="5">
        <v>1960</v>
      </c>
      <c r="D1156" s="3"/>
      <c r="E1156" s="20" t="s">
        <v>3645</v>
      </c>
      <c r="F1156" s="20">
        <v>2</v>
      </c>
      <c r="G1156" s="25"/>
      <c r="H1156" s="20">
        <v>513.29999999999995</v>
      </c>
      <c r="I1156" s="20">
        <v>19</v>
      </c>
      <c r="J1156" s="19">
        <f t="shared" si="101"/>
        <v>181842.26</v>
      </c>
      <c r="K1156" s="73"/>
      <c r="L1156" s="73"/>
      <c r="M1156" s="73"/>
      <c r="N1156" s="19">
        <f>SUMIF('2020'!B:B,B1156,'2020'!C:C)+SUMIF('2021'!B:B,B1156,'2021'!C:C)+SUMIF('2022'!B:B,B1156,'2022'!C:C)</f>
        <v>181842.26</v>
      </c>
      <c r="O1156" s="17">
        <v>44925</v>
      </c>
      <c r="P1156" s="2" t="s">
        <v>3728</v>
      </c>
    </row>
    <row r="1157" spans="1:16" ht="17.25" customHeight="1" x14ac:dyDescent="0.3">
      <c r="A1157" s="169">
        <f t="shared" si="104"/>
        <v>1043</v>
      </c>
      <c r="B1157" s="21" t="s">
        <v>1141</v>
      </c>
      <c r="C1157" s="5">
        <v>1966</v>
      </c>
      <c r="D1157" s="3"/>
      <c r="E1157" s="20" t="s">
        <v>3645</v>
      </c>
      <c r="F1157" s="20">
        <v>2</v>
      </c>
      <c r="G1157" s="25"/>
      <c r="H1157" s="20">
        <v>1179</v>
      </c>
      <c r="I1157" s="20">
        <v>35</v>
      </c>
      <c r="J1157" s="19">
        <f t="shared" si="101"/>
        <v>289514.79000000004</v>
      </c>
      <c r="K1157" s="73"/>
      <c r="L1157" s="73"/>
      <c r="M1157" s="73"/>
      <c r="N1157" s="19">
        <f>SUMIF('2020'!B:B,B1157,'2020'!C:C)+SUMIF('2021'!B:B,B1157,'2021'!C:C)+SUMIF('2022'!B:B,B1157,'2022'!C:C)</f>
        <v>289514.79000000004</v>
      </c>
      <c r="O1157" s="17">
        <v>44925</v>
      </c>
      <c r="P1157" s="2" t="s">
        <v>3728</v>
      </c>
    </row>
    <row r="1158" spans="1:16" ht="17.25" customHeight="1" x14ac:dyDescent="0.3">
      <c r="A1158" s="169">
        <f t="shared" si="104"/>
        <v>1044</v>
      </c>
      <c r="B1158" s="21" t="s">
        <v>1142</v>
      </c>
      <c r="C1158" s="5">
        <v>1986</v>
      </c>
      <c r="D1158" s="3"/>
      <c r="E1158" s="20" t="s">
        <v>3645</v>
      </c>
      <c r="F1158" s="20">
        <v>5</v>
      </c>
      <c r="G1158" s="25"/>
      <c r="H1158" s="20">
        <v>3794</v>
      </c>
      <c r="I1158" s="20">
        <v>172</v>
      </c>
      <c r="J1158" s="19">
        <f t="shared" si="101"/>
        <v>4707022.6300000008</v>
      </c>
      <c r="K1158" s="73"/>
      <c r="L1158" s="73"/>
      <c r="M1158" s="73"/>
      <c r="N1158" s="19">
        <f>SUMIF('2020'!B:B,B1158,'2020'!C:C)+SUMIF('2021'!B:B,B1158,'2021'!C:C)+SUMIF('2022'!B:B,B1158,'2022'!C:C)</f>
        <v>4707022.6300000008</v>
      </c>
      <c r="O1158" s="17">
        <v>44925</v>
      </c>
      <c r="P1158" s="2" t="s">
        <v>3728</v>
      </c>
    </row>
    <row r="1159" spans="1:16" ht="17.25" customHeight="1" x14ac:dyDescent="0.3">
      <c r="A1159" s="169">
        <f t="shared" si="104"/>
        <v>1045</v>
      </c>
      <c r="B1159" s="21" t="s">
        <v>1143</v>
      </c>
      <c r="C1159" s="5">
        <v>1967</v>
      </c>
      <c r="D1159" s="3"/>
      <c r="E1159" s="20" t="s">
        <v>3645</v>
      </c>
      <c r="F1159" s="20">
        <v>2</v>
      </c>
      <c r="G1159" s="25"/>
      <c r="H1159" s="20">
        <v>525</v>
      </c>
      <c r="I1159" s="20">
        <v>42</v>
      </c>
      <c r="J1159" s="19">
        <f t="shared" si="101"/>
        <v>130000</v>
      </c>
      <c r="K1159" s="73"/>
      <c r="L1159" s="73"/>
      <c r="M1159" s="73"/>
      <c r="N1159" s="19">
        <f>SUMIF('2020'!B:B,B1159,'2020'!C:C)+SUMIF('2021'!B:B,B1159,'2021'!C:C)+SUMIF('2022'!B:B,B1159,'2022'!C:C)</f>
        <v>130000</v>
      </c>
      <c r="O1159" s="17">
        <v>44925</v>
      </c>
      <c r="P1159" s="2" t="s">
        <v>3728</v>
      </c>
    </row>
    <row r="1160" spans="1:16" ht="17.25" customHeight="1" x14ac:dyDescent="0.3">
      <c r="A1160" s="169">
        <f t="shared" si="104"/>
        <v>1046</v>
      </c>
      <c r="B1160" s="21" t="s">
        <v>1144</v>
      </c>
      <c r="C1160" s="5">
        <v>1967</v>
      </c>
      <c r="D1160" s="3"/>
      <c r="E1160" s="20" t="s">
        <v>3645</v>
      </c>
      <c r="F1160" s="20">
        <v>2</v>
      </c>
      <c r="G1160" s="25"/>
      <c r="H1160" s="20">
        <v>524.79999999999995</v>
      </c>
      <c r="I1160" s="20">
        <v>43</v>
      </c>
      <c r="J1160" s="19">
        <f t="shared" si="101"/>
        <v>130000</v>
      </c>
      <c r="K1160" s="73"/>
      <c r="L1160" s="73"/>
      <c r="M1160" s="73"/>
      <c r="N1160" s="19">
        <f>SUMIF('2020'!B:B,B1160,'2020'!C:C)+SUMIF('2021'!B:B,B1160,'2021'!C:C)+SUMIF('2022'!B:B,B1160,'2022'!C:C)</f>
        <v>130000</v>
      </c>
      <c r="O1160" s="17">
        <v>44925</v>
      </c>
      <c r="P1160" s="2" t="s">
        <v>3728</v>
      </c>
    </row>
    <row r="1161" spans="1:16" ht="17.25" customHeight="1" x14ac:dyDescent="0.3">
      <c r="A1161" s="169">
        <f t="shared" si="104"/>
        <v>1047</v>
      </c>
      <c r="B1161" s="21" t="s">
        <v>1145</v>
      </c>
      <c r="C1161" s="5">
        <v>1969</v>
      </c>
      <c r="D1161" s="3"/>
      <c r="E1161" s="20" t="s">
        <v>3645</v>
      </c>
      <c r="F1161" s="20">
        <v>2</v>
      </c>
      <c r="G1161" s="25"/>
      <c r="H1161" s="20">
        <v>525</v>
      </c>
      <c r="I1161" s="20">
        <v>29</v>
      </c>
      <c r="J1161" s="19">
        <f t="shared" si="101"/>
        <v>130000</v>
      </c>
      <c r="K1161" s="73"/>
      <c r="L1161" s="73"/>
      <c r="M1161" s="73"/>
      <c r="N1161" s="19">
        <f>SUMIF('2020'!B:B,B1161,'2020'!C:C)+SUMIF('2021'!B:B,B1161,'2021'!C:C)+SUMIF('2022'!B:B,B1161,'2022'!C:C)</f>
        <v>130000</v>
      </c>
      <c r="O1161" s="17">
        <v>44925</v>
      </c>
      <c r="P1161" s="2" t="s">
        <v>3728</v>
      </c>
    </row>
    <row r="1162" spans="1:16" ht="17.25" customHeight="1" x14ac:dyDescent="0.3">
      <c r="A1162" s="169">
        <f t="shared" si="104"/>
        <v>1048</v>
      </c>
      <c r="B1162" s="21" t="s">
        <v>1146</v>
      </c>
      <c r="C1162" s="5">
        <v>1969</v>
      </c>
      <c r="D1162" s="3"/>
      <c r="E1162" s="20" t="s">
        <v>3645</v>
      </c>
      <c r="F1162" s="20">
        <v>2</v>
      </c>
      <c r="G1162" s="25">
        <v>1</v>
      </c>
      <c r="H1162" s="20">
        <v>529.6</v>
      </c>
      <c r="I1162" s="20">
        <v>35</v>
      </c>
      <c r="J1162" s="19">
        <f t="shared" si="101"/>
        <v>49621.78</v>
      </c>
      <c r="K1162" s="73"/>
      <c r="L1162" s="73"/>
      <c r="M1162" s="73"/>
      <c r="N1162" s="19">
        <f>SUMIF('2020'!B:B,B1162,'2020'!C:C)+SUMIF('2021'!B:B,B1162,'2021'!C:C)+SUMIF('2022'!B:B,B1162,'2022'!C:C)</f>
        <v>49621.78</v>
      </c>
      <c r="O1162" s="17">
        <v>44925</v>
      </c>
      <c r="P1162" s="2" t="s">
        <v>3728</v>
      </c>
    </row>
    <row r="1163" spans="1:16" ht="17.25" customHeight="1" x14ac:dyDescent="0.3">
      <c r="A1163" s="169">
        <f t="shared" si="104"/>
        <v>1049</v>
      </c>
      <c r="B1163" s="21" t="s">
        <v>1147</v>
      </c>
      <c r="C1163" s="5">
        <v>1971</v>
      </c>
      <c r="D1163" s="3"/>
      <c r="E1163" s="20" t="s">
        <v>3729</v>
      </c>
      <c r="F1163" s="20">
        <v>5</v>
      </c>
      <c r="G1163" s="25"/>
      <c r="H1163" s="20">
        <v>3503.2</v>
      </c>
      <c r="I1163" s="20">
        <v>171</v>
      </c>
      <c r="J1163" s="19">
        <f t="shared" si="101"/>
        <v>1371044.81</v>
      </c>
      <c r="K1163" s="73"/>
      <c r="L1163" s="73"/>
      <c r="M1163" s="73"/>
      <c r="N1163" s="19">
        <f>SUMIF('2020'!B:B,B1163,'2020'!C:C)+SUMIF('2021'!B:B,B1163,'2021'!C:C)+SUMIF('2022'!B:B,B1163,'2022'!C:C)</f>
        <v>1371044.81</v>
      </c>
      <c r="O1163" s="17">
        <v>44925</v>
      </c>
      <c r="P1163" s="2" t="s">
        <v>3728</v>
      </c>
    </row>
    <row r="1164" spans="1:16" ht="17.25" customHeight="1" x14ac:dyDescent="0.3">
      <c r="A1164" s="169">
        <f t="shared" si="104"/>
        <v>1050</v>
      </c>
      <c r="B1164" s="21" t="s">
        <v>1148</v>
      </c>
      <c r="C1164" s="5">
        <v>1972</v>
      </c>
      <c r="D1164" s="3"/>
      <c r="E1164" s="20" t="s">
        <v>3729</v>
      </c>
      <c r="F1164" s="20">
        <v>5</v>
      </c>
      <c r="G1164" s="25">
        <v>3</v>
      </c>
      <c r="H1164" s="20">
        <v>3504.7</v>
      </c>
      <c r="I1164" s="20">
        <v>177</v>
      </c>
      <c r="J1164" s="19">
        <f t="shared" si="101"/>
        <v>450593.85</v>
      </c>
      <c r="K1164" s="73"/>
      <c r="L1164" s="73"/>
      <c r="M1164" s="73"/>
      <c r="N1164" s="19">
        <f>SUMIF('2020'!B:B,B1164,'2020'!C:C)+SUMIF('2021'!B:B,B1164,'2021'!C:C)+SUMIF('2022'!B:B,B1164,'2022'!C:C)</f>
        <v>450593.85</v>
      </c>
      <c r="O1164" s="17">
        <v>44925</v>
      </c>
      <c r="P1164" s="2" t="s">
        <v>3728</v>
      </c>
    </row>
    <row r="1165" spans="1:16" ht="17.25" customHeight="1" x14ac:dyDescent="0.3">
      <c r="A1165" s="169">
        <f t="shared" si="104"/>
        <v>1051</v>
      </c>
      <c r="B1165" s="21" t="s">
        <v>1149</v>
      </c>
      <c r="C1165" s="5">
        <v>1973</v>
      </c>
      <c r="D1165" s="3"/>
      <c r="E1165" s="20" t="s">
        <v>3729</v>
      </c>
      <c r="F1165" s="20">
        <v>5</v>
      </c>
      <c r="G1165" s="25">
        <v>3</v>
      </c>
      <c r="H1165" s="20">
        <v>3504.7</v>
      </c>
      <c r="I1165" s="20">
        <v>154</v>
      </c>
      <c r="J1165" s="19">
        <f t="shared" si="101"/>
        <v>1537215.88</v>
      </c>
      <c r="K1165" s="73"/>
      <c r="L1165" s="73"/>
      <c r="M1165" s="73"/>
      <c r="N1165" s="19">
        <f>SUMIF('2020'!B:B,B1165,'2020'!C:C)+SUMIF('2021'!B:B,B1165,'2021'!C:C)+SUMIF('2022'!B:B,B1165,'2022'!C:C)</f>
        <v>1537215.88</v>
      </c>
      <c r="O1165" s="17">
        <v>44925</v>
      </c>
      <c r="P1165" s="2" t="s">
        <v>3728</v>
      </c>
    </row>
    <row r="1166" spans="1:16" ht="17.25" customHeight="1" x14ac:dyDescent="0.3">
      <c r="A1166" s="169">
        <f t="shared" si="104"/>
        <v>1052</v>
      </c>
      <c r="B1166" s="21" t="s">
        <v>1150</v>
      </c>
      <c r="C1166" s="5">
        <v>1975</v>
      </c>
      <c r="D1166" s="3"/>
      <c r="E1166" s="20" t="s">
        <v>3729</v>
      </c>
      <c r="F1166" s="20">
        <v>5</v>
      </c>
      <c r="G1166" s="25">
        <v>4</v>
      </c>
      <c r="H1166" s="20">
        <v>3775.2</v>
      </c>
      <c r="I1166" s="20">
        <v>175</v>
      </c>
      <c r="J1166" s="19">
        <f t="shared" si="101"/>
        <v>1756893.3299999998</v>
      </c>
      <c r="K1166" s="73"/>
      <c r="L1166" s="73"/>
      <c r="M1166" s="73"/>
      <c r="N1166" s="19">
        <f>SUMIF('2020'!B:B,B1166,'2020'!C:C)+SUMIF('2021'!B:B,B1166,'2021'!C:C)+SUMIF('2022'!B:B,B1166,'2022'!C:C)</f>
        <v>1756893.3299999998</v>
      </c>
      <c r="O1166" s="17">
        <v>44925</v>
      </c>
      <c r="P1166" s="2" t="s">
        <v>3728</v>
      </c>
    </row>
    <row r="1167" spans="1:16" ht="17.25" customHeight="1" x14ac:dyDescent="0.3">
      <c r="A1167" s="169">
        <f t="shared" si="104"/>
        <v>1053</v>
      </c>
      <c r="B1167" s="21" t="s">
        <v>1151</v>
      </c>
      <c r="C1167" s="5">
        <v>1976</v>
      </c>
      <c r="D1167" s="3"/>
      <c r="E1167" s="20" t="s">
        <v>3729</v>
      </c>
      <c r="F1167" s="20">
        <v>5</v>
      </c>
      <c r="G1167" s="25">
        <v>4</v>
      </c>
      <c r="H1167" s="20">
        <v>3775.2</v>
      </c>
      <c r="I1167" s="20">
        <v>176</v>
      </c>
      <c r="J1167" s="19">
        <f t="shared" si="101"/>
        <v>1756893.3299999998</v>
      </c>
      <c r="K1167" s="73"/>
      <c r="L1167" s="73"/>
      <c r="M1167" s="73"/>
      <c r="N1167" s="19">
        <f>SUMIF('2020'!B:B,B1167,'2020'!C:C)+SUMIF('2021'!B:B,B1167,'2021'!C:C)+SUMIF('2022'!B:B,B1167,'2022'!C:C)</f>
        <v>1756893.3299999998</v>
      </c>
      <c r="O1167" s="17">
        <v>44925</v>
      </c>
      <c r="P1167" s="2" t="s">
        <v>3728</v>
      </c>
    </row>
    <row r="1168" spans="1:16" ht="17.25" customHeight="1" x14ac:dyDescent="0.3">
      <c r="A1168" s="169">
        <f t="shared" si="104"/>
        <v>1054</v>
      </c>
      <c r="B1168" s="21" t="s">
        <v>1152</v>
      </c>
      <c r="C1168" s="5">
        <v>1976</v>
      </c>
      <c r="D1168" s="3"/>
      <c r="E1168" s="20" t="s">
        <v>3729</v>
      </c>
      <c r="F1168" s="20">
        <v>5</v>
      </c>
      <c r="G1168" s="25">
        <v>4</v>
      </c>
      <c r="H1168" s="20">
        <v>3746.7</v>
      </c>
      <c r="I1168" s="20">
        <v>170</v>
      </c>
      <c r="J1168" s="19">
        <f t="shared" si="101"/>
        <v>1756893.3299999998</v>
      </c>
      <c r="K1168" s="73"/>
      <c r="L1168" s="73"/>
      <c r="M1168" s="73"/>
      <c r="N1168" s="19">
        <f>SUMIF('2020'!B:B,B1168,'2020'!C:C)+SUMIF('2021'!B:B,B1168,'2021'!C:C)+SUMIF('2022'!B:B,B1168,'2022'!C:C)</f>
        <v>1756893.3299999998</v>
      </c>
      <c r="O1168" s="17">
        <v>44925</v>
      </c>
      <c r="P1168" s="2" t="s">
        <v>3728</v>
      </c>
    </row>
    <row r="1169" spans="1:16" ht="17.25" customHeight="1" x14ac:dyDescent="0.3">
      <c r="A1169" s="169">
        <f t="shared" si="104"/>
        <v>1055</v>
      </c>
      <c r="B1169" s="21" t="s">
        <v>1153</v>
      </c>
      <c r="C1169" s="5">
        <v>1978</v>
      </c>
      <c r="D1169" s="3"/>
      <c r="E1169" s="20" t="s">
        <v>3729</v>
      </c>
      <c r="F1169" s="20">
        <v>5</v>
      </c>
      <c r="G1169" s="25">
        <v>4</v>
      </c>
      <c r="H1169" s="20">
        <v>3746.7</v>
      </c>
      <c r="I1169" s="20">
        <v>173</v>
      </c>
      <c r="J1169" s="19">
        <f t="shared" si="101"/>
        <v>1404859.66</v>
      </c>
      <c r="K1169" s="73"/>
      <c r="L1169" s="73"/>
      <c r="M1169" s="73"/>
      <c r="N1169" s="19">
        <f>SUMIF('2020'!B:B,B1169,'2020'!C:C)+SUMIF('2021'!B:B,B1169,'2021'!C:C)+SUMIF('2022'!B:B,B1169,'2022'!C:C)</f>
        <v>1404859.66</v>
      </c>
      <c r="O1169" s="17">
        <v>44925</v>
      </c>
      <c r="P1169" s="2" t="s">
        <v>3728</v>
      </c>
    </row>
    <row r="1170" spans="1:16" ht="17.25" customHeight="1" x14ac:dyDescent="0.3">
      <c r="A1170" s="210" t="s">
        <v>211</v>
      </c>
      <c r="B1170" s="21"/>
      <c r="C1170" s="3"/>
      <c r="D1170" s="3"/>
      <c r="E1170" s="3"/>
      <c r="F1170" s="3"/>
      <c r="G1170" s="26"/>
      <c r="H1170" s="73">
        <f t="shared" ref="H1170:M1170" si="105">SUM(H1147:H1169)</f>
        <v>40060.509999999995</v>
      </c>
      <c r="I1170" s="73">
        <f t="shared" si="105"/>
        <v>1922</v>
      </c>
      <c r="J1170" s="73">
        <f t="shared" si="105"/>
        <v>26744778.419999994</v>
      </c>
      <c r="K1170" s="73">
        <f t="shared" si="105"/>
        <v>0</v>
      </c>
      <c r="L1170" s="73">
        <f t="shared" si="105"/>
        <v>0</v>
      </c>
      <c r="M1170" s="73">
        <f t="shared" si="105"/>
        <v>0</v>
      </c>
      <c r="N1170" s="73">
        <f>SUM(N1147:N1169)</f>
        <v>26744778.419999994</v>
      </c>
      <c r="O1170" s="3"/>
      <c r="P1170" s="3"/>
    </row>
    <row r="1171" spans="1:16" ht="17.25" customHeight="1" x14ac:dyDescent="0.3">
      <c r="A1171" s="210" t="s">
        <v>1154</v>
      </c>
      <c r="B1171" s="21"/>
      <c r="C1171" s="3"/>
      <c r="D1171" s="3"/>
      <c r="E1171" s="3"/>
      <c r="F1171" s="3"/>
      <c r="G1171" s="26"/>
      <c r="H1171" s="3"/>
      <c r="I1171" s="3"/>
      <c r="J1171" s="19"/>
      <c r="K1171" s="73"/>
      <c r="L1171" s="73"/>
      <c r="M1171" s="73"/>
      <c r="N1171" s="73"/>
      <c r="O1171" s="3"/>
      <c r="P1171" s="3"/>
    </row>
    <row r="1172" spans="1:16" ht="30" customHeight="1" x14ac:dyDescent="0.3">
      <c r="A1172" s="169">
        <f>A1169+1</f>
        <v>1056</v>
      </c>
      <c r="B1172" s="66" t="s">
        <v>1155</v>
      </c>
      <c r="C1172" s="3">
        <v>1977</v>
      </c>
      <c r="D1172" s="3"/>
      <c r="E1172" s="20" t="s">
        <v>3645</v>
      </c>
      <c r="F1172" s="123">
        <v>4</v>
      </c>
      <c r="G1172" s="26"/>
      <c r="H1172" s="123">
        <v>1043</v>
      </c>
      <c r="I1172" s="123">
        <v>17</v>
      </c>
      <c r="J1172" s="19">
        <f t="shared" si="101"/>
        <v>522288.43</v>
      </c>
      <c r="K1172" s="73"/>
      <c r="L1172" s="73"/>
      <c r="M1172" s="73"/>
      <c r="N1172" s="19">
        <f>SUMIF('2020'!B:B,B1172,'2020'!C:C)+SUMIF('2021'!B:B,B1172,'2021'!C:C)+SUMIF('2022'!B:B,B1172,'2022'!C:C)</f>
        <v>522288.43</v>
      </c>
      <c r="O1172" s="17">
        <v>44925</v>
      </c>
      <c r="P1172" s="2" t="s">
        <v>3728</v>
      </c>
    </row>
    <row r="1173" spans="1:16" ht="30" customHeight="1" x14ac:dyDescent="0.3">
      <c r="A1173" s="169">
        <f>A1172+1</f>
        <v>1057</v>
      </c>
      <c r="B1173" s="66" t="s">
        <v>1156</v>
      </c>
      <c r="C1173" s="3">
        <v>1976</v>
      </c>
      <c r="D1173" s="3"/>
      <c r="E1173" s="20" t="s">
        <v>3645</v>
      </c>
      <c r="F1173" s="13">
        <v>4</v>
      </c>
      <c r="G1173" s="26"/>
      <c r="H1173" s="13">
        <v>758.53</v>
      </c>
      <c r="I1173" s="13">
        <v>28</v>
      </c>
      <c r="J1173" s="19">
        <f t="shared" si="101"/>
        <v>485630.64</v>
      </c>
      <c r="K1173" s="73"/>
      <c r="L1173" s="73"/>
      <c r="M1173" s="73"/>
      <c r="N1173" s="19">
        <f>SUMIF('2020'!B:B,B1173,'2020'!C:C)+SUMIF('2021'!B:B,B1173,'2021'!C:C)+SUMIF('2022'!B:B,B1173,'2022'!C:C)</f>
        <v>485630.64</v>
      </c>
      <c r="O1173" s="17">
        <v>44925</v>
      </c>
      <c r="P1173" s="2" t="s">
        <v>3728</v>
      </c>
    </row>
    <row r="1174" spans="1:16" ht="17.25" customHeight="1" x14ac:dyDescent="0.3">
      <c r="A1174" s="169">
        <f>A1173+1</f>
        <v>1058</v>
      </c>
      <c r="B1174" s="21" t="s">
        <v>1157</v>
      </c>
      <c r="C1174" s="5">
        <v>1940</v>
      </c>
      <c r="D1174" s="3"/>
      <c r="E1174" s="20" t="s">
        <v>3645</v>
      </c>
      <c r="F1174" s="3">
        <v>2</v>
      </c>
      <c r="G1174" s="26"/>
      <c r="H1174" s="3">
        <v>139.5</v>
      </c>
      <c r="I1174" s="3">
        <v>12</v>
      </c>
      <c r="J1174" s="19">
        <f t="shared" si="101"/>
        <v>130000</v>
      </c>
      <c r="K1174" s="73"/>
      <c r="L1174" s="73"/>
      <c r="M1174" s="73"/>
      <c r="N1174" s="19">
        <f>SUMIF('2020'!B:B,B1174,'2020'!C:C)+SUMIF('2021'!B:B,B1174,'2021'!C:C)+SUMIF('2022'!B:B,B1174,'2022'!C:C)</f>
        <v>130000</v>
      </c>
      <c r="O1174" s="17">
        <v>44925</v>
      </c>
      <c r="P1174" s="2" t="s">
        <v>3728</v>
      </c>
    </row>
    <row r="1175" spans="1:16" ht="17.25" customHeight="1" x14ac:dyDescent="0.3">
      <c r="A1175" s="169">
        <f>A1174+1</f>
        <v>1059</v>
      </c>
      <c r="B1175" s="21" t="s">
        <v>1158</v>
      </c>
      <c r="C1175" s="5">
        <v>1940</v>
      </c>
      <c r="D1175" s="3"/>
      <c r="E1175" s="20" t="s">
        <v>3645</v>
      </c>
      <c r="F1175" s="3">
        <v>1</v>
      </c>
      <c r="G1175" s="26"/>
      <c r="H1175" s="3">
        <v>60</v>
      </c>
      <c r="I1175" s="3">
        <v>3</v>
      </c>
      <c r="J1175" s="19">
        <f t="shared" si="101"/>
        <v>130000</v>
      </c>
      <c r="K1175" s="73"/>
      <c r="L1175" s="73"/>
      <c r="M1175" s="73"/>
      <c r="N1175" s="19">
        <f>SUMIF('2020'!B:B,B1175,'2020'!C:C)+SUMIF('2021'!B:B,B1175,'2021'!C:C)+SUMIF('2022'!B:B,B1175,'2022'!C:C)</f>
        <v>130000</v>
      </c>
      <c r="O1175" s="17">
        <v>44925</v>
      </c>
      <c r="P1175" s="2" t="s">
        <v>3728</v>
      </c>
    </row>
    <row r="1176" spans="1:16" ht="17.25" customHeight="1" x14ac:dyDescent="0.3">
      <c r="A1176" s="210" t="s">
        <v>211</v>
      </c>
      <c r="B1176" s="21"/>
      <c r="C1176" s="3"/>
      <c r="D1176" s="3"/>
      <c r="E1176" s="3"/>
      <c r="F1176" s="3"/>
      <c r="G1176" s="26"/>
      <c r="H1176" s="73">
        <f t="shared" ref="H1176:M1176" si="106">SUM(H1172:H1175)</f>
        <v>2001.03</v>
      </c>
      <c r="I1176" s="73">
        <f t="shared" si="106"/>
        <v>60</v>
      </c>
      <c r="J1176" s="73">
        <f t="shared" si="106"/>
        <v>1267919.07</v>
      </c>
      <c r="K1176" s="73">
        <f t="shared" si="106"/>
        <v>0</v>
      </c>
      <c r="L1176" s="73">
        <f t="shared" si="106"/>
        <v>0</v>
      </c>
      <c r="M1176" s="73">
        <f t="shared" si="106"/>
        <v>0</v>
      </c>
      <c r="N1176" s="73">
        <f>SUM(N1172:N1175)</f>
        <v>1267919.07</v>
      </c>
      <c r="O1176" s="3"/>
      <c r="P1176" s="3"/>
    </row>
    <row r="1177" spans="1:16" ht="17.25" customHeight="1" x14ac:dyDescent="0.3">
      <c r="A1177" s="210" t="s">
        <v>1159</v>
      </c>
      <c r="B1177" s="21"/>
      <c r="C1177" s="3"/>
      <c r="D1177" s="3"/>
      <c r="E1177" s="3"/>
      <c r="F1177" s="3"/>
      <c r="G1177" s="26"/>
      <c r="H1177" s="3"/>
      <c r="I1177" s="3"/>
      <c r="J1177" s="19"/>
      <c r="K1177" s="73"/>
      <c r="L1177" s="73"/>
      <c r="M1177" s="73"/>
      <c r="N1177" s="73"/>
      <c r="O1177" s="3"/>
      <c r="P1177" s="3"/>
    </row>
    <row r="1178" spans="1:16" ht="17.25" customHeight="1" x14ac:dyDescent="0.3">
      <c r="A1178" s="169">
        <f>A1175+1</f>
        <v>1060</v>
      </c>
      <c r="B1178" s="21" t="s">
        <v>1160</v>
      </c>
      <c r="C1178" s="5">
        <v>1967</v>
      </c>
      <c r="D1178" s="3"/>
      <c r="E1178" s="124" t="s">
        <v>3645</v>
      </c>
      <c r="F1178" s="92">
        <v>2</v>
      </c>
      <c r="G1178" s="25">
        <v>2</v>
      </c>
      <c r="H1178" s="92">
        <v>452.8</v>
      </c>
      <c r="I1178" s="92">
        <v>29</v>
      </c>
      <c r="J1178" s="19">
        <f t="shared" si="101"/>
        <v>336947.38</v>
      </c>
      <c r="K1178" s="73"/>
      <c r="L1178" s="73"/>
      <c r="M1178" s="73"/>
      <c r="N1178" s="19">
        <f>SUMIF('2020'!B:B,B1178,'2020'!C:C)+SUMIF('2021'!B:B,B1178,'2021'!C:C)+SUMIF('2022'!B:B,B1178,'2022'!C:C)</f>
        <v>336947.38</v>
      </c>
      <c r="O1178" s="17">
        <v>44925</v>
      </c>
      <c r="P1178" s="2" t="s">
        <v>3728</v>
      </c>
    </row>
    <row r="1179" spans="1:16" ht="17.25" customHeight="1" x14ac:dyDescent="0.3">
      <c r="A1179" s="169">
        <f t="shared" si="104"/>
        <v>1061</v>
      </c>
      <c r="B1179" s="21" t="s">
        <v>1161</v>
      </c>
      <c r="C1179" s="5">
        <v>1956</v>
      </c>
      <c r="D1179" s="3"/>
      <c r="E1179" s="124" t="s">
        <v>3815</v>
      </c>
      <c r="F1179" s="92">
        <v>2</v>
      </c>
      <c r="G1179" s="25">
        <v>2</v>
      </c>
      <c r="H1179" s="92">
        <v>384.6</v>
      </c>
      <c r="I1179" s="92">
        <v>12</v>
      </c>
      <c r="J1179" s="19">
        <f t="shared" si="101"/>
        <v>304655.58</v>
      </c>
      <c r="K1179" s="73"/>
      <c r="L1179" s="73"/>
      <c r="M1179" s="73"/>
      <c r="N1179" s="19">
        <f>SUMIF('2020'!B:B,B1179,'2020'!C:C)+SUMIF('2021'!B:B,B1179,'2021'!C:C)+SUMIF('2022'!B:B,B1179,'2022'!C:C)</f>
        <v>304655.58</v>
      </c>
      <c r="O1179" s="17">
        <v>44925</v>
      </c>
      <c r="P1179" s="2" t="s">
        <v>3728</v>
      </c>
    </row>
    <row r="1180" spans="1:16" ht="17.25" customHeight="1" x14ac:dyDescent="0.3">
      <c r="A1180" s="169">
        <f t="shared" si="104"/>
        <v>1062</v>
      </c>
      <c r="B1180" s="21" t="s">
        <v>1162</v>
      </c>
      <c r="C1180" s="5">
        <v>1970</v>
      </c>
      <c r="D1180" s="3"/>
      <c r="E1180" s="124" t="s">
        <v>3645</v>
      </c>
      <c r="F1180" s="92">
        <v>4</v>
      </c>
      <c r="G1180" s="25">
        <v>2</v>
      </c>
      <c r="H1180" s="92">
        <v>1265</v>
      </c>
      <c r="I1180" s="92">
        <v>46</v>
      </c>
      <c r="J1180" s="19">
        <f t="shared" si="101"/>
        <v>274112.17</v>
      </c>
      <c r="K1180" s="73"/>
      <c r="L1180" s="73"/>
      <c r="M1180" s="73"/>
      <c r="N1180" s="19">
        <f>SUMIF('2020'!B:B,B1180,'2020'!C:C)+SUMIF('2021'!B:B,B1180,'2021'!C:C)+SUMIF('2022'!B:B,B1180,'2022'!C:C)</f>
        <v>274112.17</v>
      </c>
      <c r="O1180" s="17">
        <v>44925</v>
      </c>
      <c r="P1180" s="2" t="s">
        <v>3728</v>
      </c>
    </row>
    <row r="1181" spans="1:16" ht="17.25" customHeight="1" x14ac:dyDescent="0.3">
      <c r="A1181" s="169">
        <f t="shared" si="104"/>
        <v>1063</v>
      </c>
      <c r="B1181" s="21" t="s">
        <v>1163</v>
      </c>
      <c r="C1181" s="5">
        <v>1971</v>
      </c>
      <c r="D1181" s="3"/>
      <c r="E1181" s="124" t="s">
        <v>3645</v>
      </c>
      <c r="F1181" s="92">
        <v>4</v>
      </c>
      <c r="G1181" s="25">
        <v>2</v>
      </c>
      <c r="H1181" s="92">
        <v>1282</v>
      </c>
      <c r="I1181" s="92">
        <v>52</v>
      </c>
      <c r="J1181" s="19">
        <f t="shared" si="101"/>
        <v>245558.36</v>
      </c>
      <c r="K1181" s="73"/>
      <c r="L1181" s="73"/>
      <c r="M1181" s="73"/>
      <c r="N1181" s="19">
        <f>SUMIF('2020'!B:B,B1181,'2020'!C:C)+SUMIF('2021'!B:B,B1181,'2021'!C:C)+SUMIF('2022'!B:B,B1181,'2022'!C:C)</f>
        <v>245558.36</v>
      </c>
      <c r="O1181" s="17">
        <v>44925</v>
      </c>
      <c r="P1181" s="2" t="s">
        <v>3728</v>
      </c>
    </row>
    <row r="1182" spans="1:16" ht="17.25" customHeight="1" x14ac:dyDescent="0.3">
      <c r="A1182" s="169">
        <f t="shared" si="104"/>
        <v>1064</v>
      </c>
      <c r="B1182" s="21" t="s">
        <v>1164</v>
      </c>
      <c r="C1182" s="5">
        <v>1974</v>
      </c>
      <c r="D1182" s="3"/>
      <c r="E1182" s="124" t="s">
        <v>3645</v>
      </c>
      <c r="F1182" s="92">
        <v>5</v>
      </c>
      <c r="G1182" s="25">
        <v>2</v>
      </c>
      <c r="H1182" s="92">
        <v>2765.3</v>
      </c>
      <c r="I1182" s="92">
        <v>94</v>
      </c>
      <c r="J1182" s="19">
        <f t="shared" si="101"/>
        <v>173878.86</v>
      </c>
      <c r="K1182" s="73"/>
      <c r="L1182" s="73"/>
      <c r="M1182" s="73"/>
      <c r="N1182" s="19">
        <f>SUMIF('2020'!B:B,B1182,'2020'!C:C)+SUMIF('2021'!B:B,B1182,'2021'!C:C)+SUMIF('2022'!B:B,B1182,'2022'!C:C)</f>
        <v>173878.86</v>
      </c>
      <c r="O1182" s="17">
        <v>44925</v>
      </c>
      <c r="P1182" s="2" t="s">
        <v>3728</v>
      </c>
    </row>
    <row r="1183" spans="1:16" ht="17.25" customHeight="1" x14ac:dyDescent="0.3">
      <c r="A1183" s="169">
        <f t="shared" si="104"/>
        <v>1065</v>
      </c>
      <c r="B1183" s="21" t="s">
        <v>1165</v>
      </c>
      <c r="C1183" s="5">
        <v>1962</v>
      </c>
      <c r="D1183" s="3"/>
      <c r="E1183" s="124" t="s">
        <v>3645</v>
      </c>
      <c r="F1183" s="92">
        <v>5</v>
      </c>
      <c r="G1183" s="25">
        <v>2</v>
      </c>
      <c r="H1183" s="92">
        <v>3425.8</v>
      </c>
      <c r="I1183" s="92">
        <v>122</v>
      </c>
      <c r="J1183" s="19">
        <f t="shared" si="101"/>
        <v>1421084.8000000003</v>
      </c>
      <c r="K1183" s="73"/>
      <c r="L1183" s="73"/>
      <c r="M1183" s="73"/>
      <c r="N1183" s="19">
        <f>SUMIF('2020'!B:B,B1183,'2020'!C:C)+SUMIF('2021'!B:B,B1183,'2021'!C:C)+SUMIF('2022'!B:B,B1183,'2022'!C:C)</f>
        <v>1421084.8000000003</v>
      </c>
      <c r="O1183" s="17">
        <v>44925</v>
      </c>
      <c r="P1183" s="2" t="s">
        <v>3728</v>
      </c>
    </row>
    <row r="1184" spans="1:16" ht="17.25" customHeight="1" x14ac:dyDescent="0.3">
      <c r="A1184" s="169">
        <f t="shared" si="104"/>
        <v>1066</v>
      </c>
      <c r="B1184" s="21" t="s">
        <v>1166</v>
      </c>
      <c r="C1184" s="5">
        <v>1963</v>
      </c>
      <c r="D1184" s="3"/>
      <c r="E1184" s="124" t="s">
        <v>3645</v>
      </c>
      <c r="F1184" s="92">
        <v>4</v>
      </c>
      <c r="G1184" s="25">
        <v>4</v>
      </c>
      <c r="H1184" s="92">
        <v>2533.08</v>
      </c>
      <c r="I1184" s="92">
        <v>82</v>
      </c>
      <c r="J1184" s="19">
        <f t="shared" si="101"/>
        <v>369194.09</v>
      </c>
      <c r="K1184" s="73"/>
      <c r="L1184" s="73"/>
      <c r="M1184" s="73"/>
      <c r="N1184" s="19">
        <f>SUMIF('2020'!B:B,B1184,'2020'!C:C)+SUMIF('2021'!B:B,B1184,'2021'!C:C)+SUMIF('2022'!B:B,B1184,'2022'!C:C)</f>
        <v>369194.09</v>
      </c>
      <c r="O1184" s="17">
        <v>44925</v>
      </c>
      <c r="P1184" s="2" t="s">
        <v>3728</v>
      </c>
    </row>
    <row r="1185" spans="1:16" ht="17.25" customHeight="1" x14ac:dyDescent="0.3">
      <c r="A1185" s="169">
        <f t="shared" si="104"/>
        <v>1067</v>
      </c>
      <c r="B1185" s="21" t="s">
        <v>1167</v>
      </c>
      <c r="C1185" s="5">
        <v>1963</v>
      </c>
      <c r="D1185" s="3"/>
      <c r="E1185" s="124" t="s">
        <v>3645</v>
      </c>
      <c r="F1185" s="92">
        <v>4</v>
      </c>
      <c r="G1185" s="25">
        <v>4</v>
      </c>
      <c r="H1185" s="92">
        <v>2040.29</v>
      </c>
      <c r="I1185" s="92">
        <v>95</v>
      </c>
      <c r="J1185" s="19">
        <f t="shared" si="101"/>
        <v>180265.03</v>
      </c>
      <c r="K1185" s="73"/>
      <c r="L1185" s="73"/>
      <c r="M1185" s="73"/>
      <c r="N1185" s="19">
        <f>SUMIF('2020'!B:B,B1185,'2020'!C:C)+SUMIF('2021'!B:B,B1185,'2021'!C:C)+SUMIF('2022'!B:B,B1185,'2022'!C:C)</f>
        <v>180265.03</v>
      </c>
      <c r="O1185" s="17">
        <v>44925</v>
      </c>
      <c r="P1185" s="2" t="s">
        <v>3728</v>
      </c>
    </row>
    <row r="1186" spans="1:16" ht="17.25" customHeight="1" x14ac:dyDescent="0.3">
      <c r="A1186" s="169">
        <f t="shared" si="104"/>
        <v>1068</v>
      </c>
      <c r="B1186" s="21" t="s">
        <v>1168</v>
      </c>
      <c r="C1186" s="5">
        <v>1963</v>
      </c>
      <c r="D1186" s="3"/>
      <c r="E1186" s="124" t="s">
        <v>3645</v>
      </c>
      <c r="F1186" s="92">
        <v>4</v>
      </c>
      <c r="G1186" s="25">
        <v>4</v>
      </c>
      <c r="H1186" s="92">
        <v>2526</v>
      </c>
      <c r="I1186" s="92">
        <v>91</v>
      </c>
      <c r="J1186" s="19">
        <f t="shared" si="101"/>
        <v>11192294.57</v>
      </c>
      <c r="K1186" s="73"/>
      <c r="L1186" s="73"/>
      <c r="M1186" s="73"/>
      <c r="N1186" s="19">
        <f>SUMIF('2020'!B:B,B1186,'2020'!C:C)+SUMIF('2021'!B:B,B1186,'2021'!C:C)+SUMIF('2022'!B:B,B1186,'2022'!C:C)</f>
        <v>11192294.57</v>
      </c>
      <c r="O1186" s="17">
        <v>44925</v>
      </c>
      <c r="P1186" s="2" t="s">
        <v>3728</v>
      </c>
    </row>
    <row r="1187" spans="1:16" ht="17.25" customHeight="1" x14ac:dyDescent="0.3">
      <c r="A1187" s="169">
        <f t="shared" si="104"/>
        <v>1069</v>
      </c>
      <c r="B1187" s="21" t="s">
        <v>1169</v>
      </c>
      <c r="C1187" s="5">
        <v>1966</v>
      </c>
      <c r="D1187" s="3"/>
      <c r="E1187" s="124" t="s">
        <v>3645</v>
      </c>
      <c r="F1187" s="92">
        <v>5</v>
      </c>
      <c r="G1187" s="25">
        <v>4</v>
      </c>
      <c r="H1187" s="92">
        <v>3455</v>
      </c>
      <c r="I1187" s="92">
        <v>108</v>
      </c>
      <c r="J1187" s="19">
        <f t="shared" si="101"/>
        <v>590532.91</v>
      </c>
      <c r="K1187" s="73"/>
      <c r="L1187" s="73"/>
      <c r="M1187" s="73"/>
      <c r="N1187" s="19">
        <f>SUMIF('2020'!B:B,B1187,'2020'!C:C)+SUMIF('2021'!B:B,B1187,'2021'!C:C)+SUMIF('2022'!B:B,B1187,'2022'!C:C)</f>
        <v>590532.91</v>
      </c>
      <c r="O1187" s="17">
        <v>44925</v>
      </c>
      <c r="P1187" s="2" t="s">
        <v>3728</v>
      </c>
    </row>
    <row r="1188" spans="1:16" ht="17.25" customHeight="1" x14ac:dyDescent="0.3">
      <c r="A1188" s="169">
        <f t="shared" si="104"/>
        <v>1070</v>
      </c>
      <c r="B1188" s="21" t="s">
        <v>1170</v>
      </c>
      <c r="C1188" s="5">
        <v>1964</v>
      </c>
      <c r="D1188" s="3"/>
      <c r="E1188" s="124" t="s">
        <v>3645</v>
      </c>
      <c r="F1188" s="92">
        <v>5</v>
      </c>
      <c r="G1188" s="25">
        <v>4</v>
      </c>
      <c r="H1188" s="92">
        <v>2735</v>
      </c>
      <c r="I1188" s="92">
        <v>115</v>
      </c>
      <c r="J1188" s="19">
        <f t="shared" si="101"/>
        <v>825630</v>
      </c>
      <c r="K1188" s="73"/>
      <c r="L1188" s="73"/>
      <c r="M1188" s="73"/>
      <c r="N1188" s="19">
        <f>SUMIF('2020'!B:B,B1188,'2020'!C:C)+SUMIF('2021'!B:B,B1188,'2021'!C:C)+SUMIF('2022'!B:B,B1188,'2022'!C:C)</f>
        <v>825630</v>
      </c>
      <c r="O1188" s="17">
        <v>44925</v>
      </c>
      <c r="P1188" s="2" t="s">
        <v>3728</v>
      </c>
    </row>
    <row r="1189" spans="1:16" ht="17.25" customHeight="1" x14ac:dyDescent="0.3">
      <c r="A1189" s="169">
        <f t="shared" si="104"/>
        <v>1071</v>
      </c>
      <c r="B1189" s="21" t="s">
        <v>1171</v>
      </c>
      <c r="C1189" s="5">
        <v>1971</v>
      </c>
      <c r="D1189" s="3"/>
      <c r="E1189" s="124" t="s">
        <v>3645</v>
      </c>
      <c r="F1189" s="92">
        <v>5</v>
      </c>
      <c r="G1189" s="25">
        <v>2</v>
      </c>
      <c r="H1189" s="92">
        <v>2556</v>
      </c>
      <c r="I1189" s="92">
        <v>132</v>
      </c>
      <c r="J1189" s="19">
        <f t="shared" si="101"/>
        <v>469061.31000000006</v>
      </c>
      <c r="K1189" s="73"/>
      <c r="L1189" s="73"/>
      <c r="M1189" s="73"/>
      <c r="N1189" s="19">
        <f>SUMIF('2020'!B:B,B1189,'2020'!C:C)+SUMIF('2021'!B:B,B1189,'2021'!C:C)+SUMIF('2022'!B:B,B1189,'2022'!C:C)</f>
        <v>469061.31000000006</v>
      </c>
      <c r="O1189" s="17">
        <v>44925</v>
      </c>
      <c r="P1189" s="2" t="s">
        <v>3728</v>
      </c>
    </row>
    <row r="1190" spans="1:16" ht="17.25" customHeight="1" x14ac:dyDescent="0.3">
      <c r="A1190" s="169">
        <f t="shared" si="104"/>
        <v>1072</v>
      </c>
      <c r="B1190" s="21" t="s">
        <v>1172</v>
      </c>
      <c r="C1190" s="5">
        <v>1968</v>
      </c>
      <c r="D1190" s="3"/>
      <c r="E1190" s="124" t="s">
        <v>3645</v>
      </c>
      <c r="F1190" s="92">
        <v>5</v>
      </c>
      <c r="G1190" s="25">
        <v>2</v>
      </c>
      <c r="H1190" s="92">
        <v>3479</v>
      </c>
      <c r="I1190" s="92">
        <v>130</v>
      </c>
      <c r="J1190" s="19">
        <f t="shared" si="101"/>
        <v>230044.6</v>
      </c>
      <c r="K1190" s="73"/>
      <c r="L1190" s="73"/>
      <c r="M1190" s="73"/>
      <c r="N1190" s="19">
        <f>SUMIF('2020'!B:B,B1190,'2020'!C:C)+SUMIF('2021'!B:B,B1190,'2021'!C:C)+SUMIF('2022'!B:B,B1190,'2022'!C:C)</f>
        <v>230044.6</v>
      </c>
      <c r="O1190" s="17">
        <v>44925</v>
      </c>
      <c r="P1190" s="2" t="s">
        <v>3728</v>
      </c>
    </row>
    <row r="1191" spans="1:16" ht="17.25" customHeight="1" x14ac:dyDescent="0.3">
      <c r="A1191" s="169">
        <f t="shared" si="104"/>
        <v>1073</v>
      </c>
      <c r="B1191" s="21" t="s">
        <v>1173</v>
      </c>
      <c r="C1191" s="5">
        <v>1963</v>
      </c>
      <c r="D1191" s="3"/>
      <c r="E1191" s="18" t="s">
        <v>3645</v>
      </c>
      <c r="F1191" s="3">
        <v>2</v>
      </c>
      <c r="G1191" s="25">
        <v>1</v>
      </c>
      <c r="H1191" s="3">
        <v>303.2</v>
      </c>
      <c r="I1191" s="3">
        <v>16</v>
      </c>
      <c r="J1191" s="19">
        <f t="shared" si="101"/>
        <v>274581.39999999997</v>
      </c>
      <c r="K1191" s="73"/>
      <c r="L1191" s="73"/>
      <c r="M1191" s="73"/>
      <c r="N1191" s="19">
        <f>SUMIF('2020'!B:B,B1191,'2020'!C:C)+SUMIF('2021'!B:B,B1191,'2021'!C:C)+SUMIF('2022'!B:B,B1191,'2022'!C:C)</f>
        <v>274581.39999999997</v>
      </c>
      <c r="O1191" s="17">
        <v>44925</v>
      </c>
      <c r="P1191" s="2" t="s">
        <v>3728</v>
      </c>
    </row>
    <row r="1192" spans="1:16" ht="17.25" customHeight="1" x14ac:dyDescent="0.3">
      <c r="A1192" s="169">
        <f t="shared" si="104"/>
        <v>1074</v>
      </c>
      <c r="B1192" s="21" t="s">
        <v>1174</v>
      </c>
      <c r="C1192" s="5">
        <v>1963</v>
      </c>
      <c r="D1192" s="3"/>
      <c r="E1192" s="18" t="s">
        <v>3645</v>
      </c>
      <c r="F1192" s="3">
        <v>2</v>
      </c>
      <c r="G1192" s="25">
        <v>1</v>
      </c>
      <c r="H1192" s="3">
        <v>309.08999999999997</v>
      </c>
      <c r="I1192" s="3">
        <v>19</v>
      </c>
      <c r="J1192" s="19">
        <f t="shared" si="101"/>
        <v>87772.07</v>
      </c>
      <c r="K1192" s="73"/>
      <c r="L1192" s="73"/>
      <c r="M1192" s="73"/>
      <c r="N1192" s="19">
        <f>SUMIF('2020'!B:B,B1192,'2020'!C:C)+SUMIF('2021'!B:B,B1192,'2021'!C:C)+SUMIF('2022'!B:B,B1192,'2022'!C:C)</f>
        <v>87772.07</v>
      </c>
      <c r="O1192" s="17">
        <v>44925</v>
      </c>
      <c r="P1192" s="2" t="s">
        <v>3728</v>
      </c>
    </row>
    <row r="1193" spans="1:16" ht="17.25" customHeight="1" x14ac:dyDescent="0.3">
      <c r="A1193" s="169">
        <f t="shared" si="104"/>
        <v>1075</v>
      </c>
      <c r="B1193" s="21" t="s">
        <v>1175</v>
      </c>
      <c r="C1193" s="5">
        <v>1954</v>
      </c>
      <c r="D1193" s="3"/>
      <c r="E1193" s="18" t="s">
        <v>3645</v>
      </c>
      <c r="F1193" s="3">
        <v>2</v>
      </c>
      <c r="G1193" s="25">
        <v>1</v>
      </c>
      <c r="H1193" s="3">
        <v>391.2</v>
      </c>
      <c r="I1193" s="3">
        <v>14</v>
      </c>
      <c r="J1193" s="19">
        <f t="shared" si="101"/>
        <v>342169.81000000006</v>
      </c>
      <c r="K1193" s="73"/>
      <c r="L1193" s="73"/>
      <c r="M1193" s="73"/>
      <c r="N1193" s="19">
        <f>SUMIF('2020'!B:B,B1193,'2020'!C:C)+SUMIF('2021'!B:B,B1193,'2021'!C:C)+SUMIF('2022'!B:B,B1193,'2022'!C:C)</f>
        <v>342169.81000000006</v>
      </c>
      <c r="O1193" s="17">
        <v>44925</v>
      </c>
      <c r="P1193" s="2" t="s">
        <v>3728</v>
      </c>
    </row>
    <row r="1194" spans="1:16" ht="17.25" customHeight="1" x14ac:dyDescent="0.3">
      <c r="A1194" s="169">
        <f t="shared" si="104"/>
        <v>1076</v>
      </c>
      <c r="B1194" s="21" t="s">
        <v>1176</v>
      </c>
      <c r="C1194" s="5">
        <v>1954</v>
      </c>
      <c r="D1194" s="3"/>
      <c r="E1194" s="18" t="s">
        <v>3645</v>
      </c>
      <c r="F1194" s="3">
        <v>2</v>
      </c>
      <c r="G1194" s="25">
        <v>1</v>
      </c>
      <c r="H1194" s="3">
        <v>381.2</v>
      </c>
      <c r="I1194" s="3">
        <v>9</v>
      </c>
      <c r="J1194" s="19">
        <f t="shared" si="101"/>
        <v>347421.22</v>
      </c>
      <c r="K1194" s="73"/>
      <c r="L1194" s="73"/>
      <c r="M1194" s="73"/>
      <c r="N1194" s="19">
        <f>SUMIF('2020'!B:B,B1194,'2020'!C:C)+SUMIF('2021'!B:B,B1194,'2021'!C:C)+SUMIF('2022'!B:B,B1194,'2022'!C:C)</f>
        <v>347421.22</v>
      </c>
      <c r="O1194" s="17">
        <v>44925</v>
      </c>
      <c r="P1194" s="2" t="s">
        <v>3728</v>
      </c>
    </row>
    <row r="1195" spans="1:16" ht="17.25" customHeight="1" x14ac:dyDescent="0.3">
      <c r="A1195" s="169">
        <f t="shared" si="104"/>
        <v>1077</v>
      </c>
      <c r="B1195" s="21" t="s">
        <v>1177</v>
      </c>
      <c r="C1195" s="5">
        <v>1962</v>
      </c>
      <c r="D1195" s="3"/>
      <c r="E1195" s="18" t="s">
        <v>3645</v>
      </c>
      <c r="F1195" s="3">
        <v>2</v>
      </c>
      <c r="G1195" s="25">
        <v>8</v>
      </c>
      <c r="H1195" s="3">
        <v>301.89999999999998</v>
      </c>
      <c r="I1195" s="3">
        <v>7</v>
      </c>
      <c r="J1195" s="19">
        <f t="shared" si="101"/>
        <v>280197.89</v>
      </c>
      <c r="K1195" s="73"/>
      <c r="L1195" s="73"/>
      <c r="M1195" s="73"/>
      <c r="N1195" s="19">
        <f>SUMIF('2020'!B:B,B1195,'2020'!C:C)+SUMIF('2021'!B:B,B1195,'2021'!C:C)+SUMIF('2022'!B:B,B1195,'2022'!C:C)</f>
        <v>280197.89</v>
      </c>
      <c r="O1195" s="17">
        <v>44925</v>
      </c>
      <c r="P1195" s="2" t="s">
        <v>3728</v>
      </c>
    </row>
    <row r="1196" spans="1:16" ht="17.25" customHeight="1" x14ac:dyDescent="0.3">
      <c r="A1196" s="169">
        <f t="shared" si="104"/>
        <v>1078</v>
      </c>
      <c r="B1196" s="21" t="s">
        <v>1178</v>
      </c>
      <c r="C1196" s="5">
        <v>1963</v>
      </c>
      <c r="D1196" s="3"/>
      <c r="E1196" s="18" t="s">
        <v>3645</v>
      </c>
      <c r="F1196" s="3">
        <v>2</v>
      </c>
      <c r="G1196" s="25">
        <v>1</v>
      </c>
      <c r="H1196" s="3">
        <v>305.3</v>
      </c>
      <c r="I1196" s="3">
        <v>15</v>
      </c>
      <c r="J1196" s="19">
        <f t="shared" si="101"/>
        <v>92504.83</v>
      </c>
      <c r="K1196" s="73"/>
      <c r="L1196" s="73"/>
      <c r="M1196" s="73"/>
      <c r="N1196" s="19">
        <f>SUMIF('2020'!B:B,B1196,'2020'!C:C)+SUMIF('2021'!B:B,B1196,'2021'!C:C)+SUMIF('2022'!B:B,B1196,'2022'!C:C)</f>
        <v>92504.83</v>
      </c>
      <c r="O1196" s="17">
        <v>44925</v>
      </c>
      <c r="P1196" s="2" t="s">
        <v>3728</v>
      </c>
    </row>
    <row r="1197" spans="1:16" ht="17.25" customHeight="1" x14ac:dyDescent="0.3">
      <c r="A1197" s="169">
        <f t="shared" si="104"/>
        <v>1079</v>
      </c>
      <c r="B1197" s="21" t="s">
        <v>1179</v>
      </c>
      <c r="C1197" s="5">
        <v>1962</v>
      </c>
      <c r="D1197" s="3"/>
      <c r="E1197" s="18" t="s">
        <v>3645</v>
      </c>
      <c r="F1197" s="3">
        <v>2</v>
      </c>
      <c r="G1197" s="25">
        <v>1</v>
      </c>
      <c r="H1197" s="3">
        <v>232.5</v>
      </c>
      <c r="I1197" s="3">
        <v>10</v>
      </c>
      <c r="J1197" s="19">
        <f t="shared" si="101"/>
        <v>241059.01</v>
      </c>
      <c r="K1197" s="73"/>
      <c r="L1197" s="73"/>
      <c r="M1197" s="73"/>
      <c r="N1197" s="19">
        <f>SUMIF('2020'!B:B,B1197,'2020'!C:C)+SUMIF('2021'!B:B,B1197,'2021'!C:C)+SUMIF('2022'!B:B,B1197,'2022'!C:C)</f>
        <v>241059.01</v>
      </c>
      <c r="O1197" s="17">
        <v>44925</v>
      </c>
      <c r="P1197" s="2" t="s">
        <v>3728</v>
      </c>
    </row>
    <row r="1198" spans="1:16" ht="17.25" customHeight="1" x14ac:dyDescent="0.3">
      <c r="A1198" s="169">
        <f t="shared" si="104"/>
        <v>1080</v>
      </c>
      <c r="B1198" s="21" t="s">
        <v>1180</v>
      </c>
      <c r="C1198" s="5">
        <v>1965</v>
      </c>
      <c r="D1198" s="3"/>
      <c r="E1198" s="18" t="s">
        <v>3645</v>
      </c>
      <c r="F1198" s="3">
        <v>2</v>
      </c>
      <c r="G1198" s="25">
        <v>1</v>
      </c>
      <c r="H1198" s="3">
        <v>317.60000000000002</v>
      </c>
      <c r="I1198" s="3">
        <v>19</v>
      </c>
      <c r="J1198" s="19">
        <f t="shared" si="101"/>
        <v>73360.39</v>
      </c>
      <c r="K1198" s="73"/>
      <c r="L1198" s="73"/>
      <c r="M1198" s="73"/>
      <c r="N1198" s="19">
        <f>SUMIF('2020'!B:B,B1198,'2020'!C:C)+SUMIF('2021'!B:B,B1198,'2021'!C:C)+SUMIF('2022'!B:B,B1198,'2022'!C:C)</f>
        <v>73360.39</v>
      </c>
      <c r="O1198" s="17">
        <v>44925</v>
      </c>
      <c r="P1198" s="2" t="s">
        <v>3728</v>
      </c>
    </row>
    <row r="1199" spans="1:16" ht="17.25" customHeight="1" x14ac:dyDescent="0.3">
      <c r="A1199" s="169">
        <f t="shared" si="104"/>
        <v>1081</v>
      </c>
      <c r="B1199" s="21" t="s">
        <v>1181</v>
      </c>
      <c r="C1199" s="5">
        <v>1978</v>
      </c>
      <c r="D1199" s="3"/>
      <c r="E1199" s="18" t="s">
        <v>3731</v>
      </c>
      <c r="F1199" s="3">
        <v>5</v>
      </c>
      <c r="G1199" s="25">
        <v>8</v>
      </c>
      <c r="H1199" s="3">
        <v>5696.6</v>
      </c>
      <c r="I1199" s="3">
        <v>239</v>
      </c>
      <c r="J1199" s="19">
        <f t="shared" si="101"/>
        <v>414222.46</v>
      </c>
      <c r="K1199" s="73"/>
      <c r="L1199" s="73"/>
      <c r="M1199" s="73"/>
      <c r="N1199" s="19">
        <f>SUMIF('2020'!B:B,B1199,'2020'!C:C)+SUMIF('2021'!B:B,B1199,'2021'!C:C)+SUMIF('2022'!B:B,B1199,'2022'!C:C)</f>
        <v>414222.46</v>
      </c>
      <c r="O1199" s="17">
        <v>44925</v>
      </c>
      <c r="P1199" s="2" t="s">
        <v>3728</v>
      </c>
    </row>
    <row r="1200" spans="1:16" ht="17.25" customHeight="1" x14ac:dyDescent="0.3">
      <c r="A1200" s="169">
        <f t="shared" si="104"/>
        <v>1082</v>
      </c>
      <c r="B1200" s="21" t="s">
        <v>1182</v>
      </c>
      <c r="C1200" s="5">
        <v>1962</v>
      </c>
      <c r="D1200" s="3"/>
      <c r="E1200" s="18" t="s">
        <v>3645</v>
      </c>
      <c r="F1200" s="3">
        <v>2</v>
      </c>
      <c r="G1200" s="25">
        <v>1</v>
      </c>
      <c r="H1200" s="3">
        <v>306.39999999999998</v>
      </c>
      <c r="I1200" s="3">
        <v>18</v>
      </c>
      <c r="J1200" s="19">
        <f t="shared" ref="J1200:J1258" si="107">K1200+L1200+M1200+N1200</f>
        <v>255306.72</v>
      </c>
      <c r="K1200" s="73"/>
      <c r="L1200" s="73"/>
      <c r="M1200" s="73"/>
      <c r="N1200" s="19">
        <f>SUMIF('2020'!B:B,B1200,'2020'!C:C)+SUMIF('2021'!B:B,B1200,'2021'!C:C)+SUMIF('2022'!B:B,B1200,'2022'!C:C)</f>
        <v>255306.72</v>
      </c>
      <c r="O1200" s="17">
        <v>44925</v>
      </c>
      <c r="P1200" s="2" t="s">
        <v>3728</v>
      </c>
    </row>
    <row r="1201" spans="1:16" ht="17.25" customHeight="1" x14ac:dyDescent="0.3">
      <c r="A1201" s="169">
        <f t="shared" si="104"/>
        <v>1083</v>
      </c>
      <c r="B1201" s="21" t="s">
        <v>1183</v>
      </c>
      <c r="C1201" s="5">
        <v>1966</v>
      </c>
      <c r="D1201" s="3"/>
      <c r="E1201" s="18" t="s">
        <v>3645</v>
      </c>
      <c r="F1201" s="3">
        <v>2</v>
      </c>
      <c r="G1201" s="25">
        <v>2</v>
      </c>
      <c r="H1201" s="3">
        <v>322.10000000000002</v>
      </c>
      <c r="I1201" s="3">
        <v>10</v>
      </c>
      <c r="J1201" s="19">
        <f t="shared" si="107"/>
        <v>271162.04000000004</v>
      </c>
      <c r="K1201" s="73"/>
      <c r="L1201" s="73"/>
      <c r="M1201" s="73"/>
      <c r="N1201" s="19">
        <f>SUMIF('2020'!B:B,B1201,'2020'!C:C)+SUMIF('2021'!B:B,B1201,'2021'!C:C)+SUMIF('2022'!B:B,B1201,'2022'!C:C)</f>
        <v>271162.04000000004</v>
      </c>
      <c r="O1201" s="17">
        <v>44925</v>
      </c>
      <c r="P1201" s="2" t="s">
        <v>3728</v>
      </c>
    </row>
    <row r="1202" spans="1:16" ht="17.25" customHeight="1" x14ac:dyDescent="0.3">
      <c r="A1202" s="169">
        <f t="shared" si="104"/>
        <v>1084</v>
      </c>
      <c r="B1202" s="21" t="s">
        <v>1184</v>
      </c>
      <c r="C1202" s="5">
        <v>1968</v>
      </c>
      <c r="D1202" s="3"/>
      <c r="E1202" s="18" t="s">
        <v>3645</v>
      </c>
      <c r="F1202" s="3">
        <v>2</v>
      </c>
      <c r="G1202" s="25">
        <v>2</v>
      </c>
      <c r="H1202" s="3">
        <v>465.9</v>
      </c>
      <c r="I1202" s="3">
        <v>23</v>
      </c>
      <c r="J1202" s="19">
        <f t="shared" si="107"/>
        <v>123227.15</v>
      </c>
      <c r="K1202" s="73"/>
      <c r="L1202" s="73"/>
      <c r="M1202" s="73"/>
      <c r="N1202" s="19">
        <f>SUMIF('2020'!B:B,B1202,'2020'!C:C)+SUMIF('2021'!B:B,B1202,'2021'!C:C)+SUMIF('2022'!B:B,B1202,'2022'!C:C)</f>
        <v>123227.15</v>
      </c>
      <c r="O1202" s="17">
        <v>44925</v>
      </c>
      <c r="P1202" s="2" t="s">
        <v>3728</v>
      </c>
    </row>
    <row r="1203" spans="1:16" ht="17.25" customHeight="1" x14ac:dyDescent="0.3">
      <c r="A1203" s="169">
        <f t="shared" si="104"/>
        <v>1085</v>
      </c>
      <c r="B1203" s="21" t="s">
        <v>1185</v>
      </c>
      <c r="C1203" s="5">
        <v>1977</v>
      </c>
      <c r="D1203" s="3"/>
      <c r="E1203" s="18" t="s">
        <v>3645</v>
      </c>
      <c r="F1203" s="3">
        <v>5</v>
      </c>
      <c r="G1203" s="25">
        <v>4</v>
      </c>
      <c r="H1203" s="3">
        <v>345.2</v>
      </c>
      <c r="I1203" s="3">
        <v>123</v>
      </c>
      <c r="J1203" s="19">
        <f t="shared" si="107"/>
        <v>241507.07</v>
      </c>
      <c r="K1203" s="73"/>
      <c r="L1203" s="73"/>
      <c r="M1203" s="73"/>
      <c r="N1203" s="19">
        <f>SUMIF('2020'!B:B,B1203,'2020'!C:C)+SUMIF('2021'!B:B,B1203,'2021'!C:C)+SUMIF('2022'!B:B,B1203,'2022'!C:C)</f>
        <v>241507.07</v>
      </c>
      <c r="O1203" s="17">
        <v>44925</v>
      </c>
      <c r="P1203" s="2" t="s">
        <v>3728</v>
      </c>
    </row>
    <row r="1204" spans="1:16" ht="17.25" customHeight="1" x14ac:dyDescent="0.3">
      <c r="A1204" s="169">
        <f t="shared" si="104"/>
        <v>1086</v>
      </c>
      <c r="B1204" s="21" t="s">
        <v>1186</v>
      </c>
      <c r="C1204" s="5">
        <v>1972</v>
      </c>
      <c r="D1204" s="3"/>
      <c r="E1204" s="18" t="s">
        <v>3816</v>
      </c>
      <c r="F1204" s="3">
        <v>5</v>
      </c>
      <c r="G1204" s="25">
        <v>6</v>
      </c>
      <c r="H1204" s="3">
        <v>4355.8999999999996</v>
      </c>
      <c r="I1204" s="3">
        <v>188</v>
      </c>
      <c r="J1204" s="19">
        <f t="shared" si="107"/>
        <v>922018.95</v>
      </c>
      <c r="K1204" s="73"/>
      <c r="L1204" s="73"/>
      <c r="M1204" s="73"/>
      <c r="N1204" s="19">
        <f>SUMIF('2020'!B:B,B1204,'2020'!C:C)+SUMIF('2021'!B:B,B1204,'2021'!C:C)+SUMIF('2022'!B:B,B1204,'2022'!C:C)</f>
        <v>922018.95</v>
      </c>
      <c r="O1204" s="17">
        <v>44925</v>
      </c>
      <c r="P1204" s="2" t="s">
        <v>3728</v>
      </c>
    </row>
    <row r="1205" spans="1:16" ht="17.25" customHeight="1" x14ac:dyDescent="0.3">
      <c r="A1205" s="169">
        <f t="shared" si="104"/>
        <v>1087</v>
      </c>
      <c r="B1205" s="21" t="s">
        <v>1187</v>
      </c>
      <c r="C1205" s="5">
        <v>1976</v>
      </c>
      <c r="D1205" s="3"/>
      <c r="E1205" s="18" t="s">
        <v>3816</v>
      </c>
      <c r="F1205" s="3">
        <v>5</v>
      </c>
      <c r="G1205" s="25">
        <v>6</v>
      </c>
      <c r="H1205" s="3">
        <v>4391.2</v>
      </c>
      <c r="I1205" s="3">
        <v>190</v>
      </c>
      <c r="J1205" s="19">
        <f t="shared" si="107"/>
        <v>692928.14</v>
      </c>
      <c r="K1205" s="73"/>
      <c r="L1205" s="73"/>
      <c r="M1205" s="73"/>
      <c r="N1205" s="19">
        <f>SUMIF('2020'!B:B,B1205,'2020'!C:C)+SUMIF('2021'!B:B,B1205,'2021'!C:C)+SUMIF('2022'!B:B,B1205,'2022'!C:C)</f>
        <v>692928.14</v>
      </c>
      <c r="O1205" s="17">
        <v>44925</v>
      </c>
      <c r="P1205" s="2" t="s">
        <v>3728</v>
      </c>
    </row>
    <row r="1206" spans="1:16" ht="17.25" customHeight="1" x14ac:dyDescent="0.3">
      <c r="A1206" s="169">
        <f t="shared" si="104"/>
        <v>1088</v>
      </c>
      <c r="B1206" s="21" t="s">
        <v>1188</v>
      </c>
      <c r="C1206" s="5">
        <v>1974</v>
      </c>
      <c r="D1206" s="3"/>
      <c r="E1206" s="18" t="s">
        <v>3816</v>
      </c>
      <c r="F1206" s="3">
        <v>5</v>
      </c>
      <c r="G1206" s="25">
        <v>6</v>
      </c>
      <c r="H1206" s="3">
        <v>4409.2</v>
      </c>
      <c r="I1206" s="3">
        <v>183</v>
      </c>
      <c r="J1206" s="19">
        <f t="shared" si="107"/>
        <v>278885.56</v>
      </c>
      <c r="K1206" s="73"/>
      <c r="L1206" s="73"/>
      <c r="M1206" s="73"/>
      <c r="N1206" s="19">
        <f>SUMIF('2020'!B:B,B1206,'2020'!C:C)+SUMIF('2021'!B:B,B1206,'2021'!C:C)+SUMIF('2022'!B:B,B1206,'2022'!C:C)</f>
        <v>278885.56</v>
      </c>
      <c r="O1206" s="17">
        <v>44925</v>
      </c>
      <c r="P1206" s="2" t="s">
        <v>3728</v>
      </c>
    </row>
    <row r="1207" spans="1:16" ht="17.25" customHeight="1" x14ac:dyDescent="0.3">
      <c r="A1207" s="169">
        <f t="shared" si="104"/>
        <v>1089</v>
      </c>
      <c r="B1207" s="21" t="s">
        <v>1189</v>
      </c>
      <c r="C1207" s="5">
        <v>1981</v>
      </c>
      <c r="D1207" s="3"/>
      <c r="E1207" s="18" t="s">
        <v>3816</v>
      </c>
      <c r="F1207" s="3">
        <v>5</v>
      </c>
      <c r="G1207" s="25">
        <v>4</v>
      </c>
      <c r="H1207" s="3">
        <v>3157.7</v>
      </c>
      <c r="I1207" s="3">
        <v>133</v>
      </c>
      <c r="J1207" s="19">
        <f t="shared" si="107"/>
        <v>13467360.060000001</v>
      </c>
      <c r="K1207" s="73"/>
      <c r="L1207" s="73"/>
      <c r="M1207" s="73"/>
      <c r="N1207" s="19">
        <f>SUMIF('2020'!B:B,B1207,'2020'!C:C)+SUMIF('2021'!B:B,B1207,'2021'!C:C)+SUMIF('2022'!B:B,B1207,'2022'!C:C)</f>
        <v>13467360.060000001</v>
      </c>
      <c r="O1207" s="17">
        <v>44925</v>
      </c>
      <c r="P1207" s="2" t="s">
        <v>3728</v>
      </c>
    </row>
    <row r="1208" spans="1:16" ht="17.25" customHeight="1" x14ac:dyDescent="0.3">
      <c r="A1208" s="169">
        <f t="shared" si="104"/>
        <v>1090</v>
      </c>
      <c r="B1208" s="21" t="s">
        <v>3832</v>
      </c>
      <c r="C1208" s="5">
        <v>1940</v>
      </c>
      <c r="D1208" s="3"/>
      <c r="E1208" s="3" t="s">
        <v>3818</v>
      </c>
      <c r="F1208" s="3">
        <v>2</v>
      </c>
      <c r="G1208" s="25"/>
      <c r="H1208" s="3">
        <v>222.7</v>
      </c>
      <c r="I1208" s="3">
        <v>0</v>
      </c>
      <c r="J1208" s="19">
        <f t="shared" si="107"/>
        <v>130000</v>
      </c>
      <c r="K1208" s="73"/>
      <c r="L1208" s="73"/>
      <c r="M1208" s="73"/>
      <c r="N1208" s="19">
        <f>SUMIF('2020'!B:B,B1208,'2020'!C:C)+SUMIF('2021'!B:B,B1208,'2021'!C:C)+SUMIF('2022'!B:B,B1208,'2022'!C:C)</f>
        <v>130000</v>
      </c>
      <c r="O1208" s="17">
        <v>44925</v>
      </c>
      <c r="P1208" s="2" t="s">
        <v>3728</v>
      </c>
    </row>
    <row r="1209" spans="1:16" ht="17.25" customHeight="1" x14ac:dyDescent="0.3">
      <c r="A1209" s="169">
        <f t="shared" ref="A1209:A1269" si="108">A1208+1</f>
        <v>1091</v>
      </c>
      <c r="B1209" s="21" t="s">
        <v>1190</v>
      </c>
      <c r="C1209" s="5">
        <v>1969</v>
      </c>
      <c r="D1209" s="3"/>
      <c r="E1209" s="18" t="s">
        <v>3816</v>
      </c>
      <c r="F1209" s="3">
        <v>5</v>
      </c>
      <c r="G1209" s="25"/>
      <c r="H1209" s="3">
        <v>3957.71</v>
      </c>
      <c r="I1209" s="3">
        <v>155</v>
      </c>
      <c r="J1209" s="19">
        <f t="shared" si="107"/>
        <v>4837165.6400000006</v>
      </c>
      <c r="K1209" s="73"/>
      <c r="L1209" s="73"/>
      <c r="M1209" s="73"/>
      <c r="N1209" s="19">
        <f>SUMIF('2020'!B:B,B1209,'2020'!C:C)+SUMIF('2021'!B:B,B1209,'2021'!C:C)+SUMIF('2022'!B:B,B1209,'2022'!C:C)</f>
        <v>4837165.6400000006</v>
      </c>
      <c r="O1209" s="17">
        <v>44925</v>
      </c>
      <c r="P1209" s="2" t="s">
        <v>3728</v>
      </c>
    </row>
    <row r="1210" spans="1:16" ht="17.25" customHeight="1" x14ac:dyDescent="0.3">
      <c r="A1210" s="169">
        <f t="shared" si="108"/>
        <v>1092</v>
      </c>
      <c r="B1210" s="21" t="s">
        <v>1191</v>
      </c>
      <c r="C1210" s="5">
        <v>1977</v>
      </c>
      <c r="D1210" s="3"/>
      <c r="E1210" s="18" t="s">
        <v>3816</v>
      </c>
      <c r="F1210" s="3">
        <v>5</v>
      </c>
      <c r="G1210" s="25"/>
      <c r="H1210" s="3">
        <v>5209.32</v>
      </c>
      <c r="I1210" s="3">
        <v>144</v>
      </c>
      <c r="J1210" s="19">
        <f t="shared" si="107"/>
        <v>4325354.8</v>
      </c>
      <c r="K1210" s="73"/>
      <c r="L1210" s="73"/>
      <c r="M1210" s="73"/>
      <c r="N1210" s="19">
        <f>SUMIF('2020'!B:B,B1210,'2020'!C:C)+SUMIF('2021'!B:B,B1210,'2021'!C:C)+SUMIF('2022'!B:B,B1210,'2022'!C:C)</f>
        <v>4325354.8</v>
      </c>
      <c r="O1210" s="17">
        <v>44925</v>
      </c>
      <c r="P1210" s="2" t="s">
        <v>3728</v>
      </c>
    </row>
    <row r="1211" spans="1:16" ht="17.25" customHeight="1" x14ac:dyDescent="0.3">
      <c r="A1211" s="169">
        <f t="shared" si="108"/>
        <v>1093</v>
      </c>
      <c r="B1211" s="21" t="s">
        <v>1192</v>
      </c>
      <c r="C1211" s="5">
        <v>1960</v>
      </c>
      <c r="D1211" s="3"/>
      <c r="E1211" s="18" t="s">
        <v>3645</v>
      </c>
      <c r="F1211" s="3">
        <v>2</v>
      </c>
      <c r="G1211" s="25">
        <v>2</v>
      </c>
      <c r="H1211" s="3">
        <v>870.8</v>
      </c>
      <c r="I1211" s="3">
        <v>54</v>
      </c>
      <c r="J1211" s="19">
        <f t="shared" si="107"/>
        <v>517199.99</v>
      </c>
      <c r="K1211" s="73"/>
      <c r="L1211" s="73"/>
      <c r="M1211" s="73"/>
      <c r="N1211" s="19">
        <f>SUMIF('2020'!B:B,B1211,'2020'!C:C)+SUMIF('2021'!B:B,B1211,'2021'!C:C)+SUMIF('2022'!B:B,B1211,'2022'!C:C)</f>
        <v>517199.99</v>
      </c>
      <c r="O1211" s="17">
        <v>44925</v>
      </c>
      <c r="P1211" s="2" t="s">
        <v>3728</v>
      </c>
    </row>
    <row r="1212" spans="1:16" ht="17.25" customHeight="1" x14ac:dyDescent="0.3">
      <c r="A1212" s="169">
        <f t="shared" si="108"/>
        <v>1094</v>
      </c>
      <c r="B1212" s="21" t="s">
        <v>1193</v>
      </c>
      <c r="C1212" s="5">
        <v>1963</v>
      </c>
      <c r="D1212" s="3"/>
      <c r="E1212" s="18" t="s">
        <v>3645</v>
      </c>
      <c r="F1212" s="3">
        <v>2</v>
      </c>
      <c r="G1212" s="25">
        <v>2</v>
      </c>
      <c r="H1212" s="3">
        <v>722.2</v>
      </c>
      <c r="I1212" s="3">
        <v>54</v>
      </c>
      <c r="J1212" s="19">
        <f t="shared" si="107"/>
        <v>499832.54</v>
      </c>
      <c r="K1212" s="73"/>
      <c r="L1212" s="73"/>
      <c r="M1212" s="73"/>
      <c r="N1212" s="19">
        <f>SUMIF('2020'!B:B,B1212,'2020'!C:C)+SUMIF('2021'!B:B,B1212,'2021'!C:C)+SUMIF('2022'!B:B,B1212,'2022'!C:C)</f>
        <v>499832.54</v>
      </c>
      <c r="O1212" s="17">
        <v>44925</v>
      </c>
      <c r="P1212" s="2" t="s">
        <v>3728</v>
      </c>
    </row>
    <row r="1213" spans="1:16" ht="17.25" customHeight="1" x14ac:dyDescent="0.3">
      <c r="A1213" s="169">
        <f t="shared" si="108"/>
        <v>1095</v>
      </c>
      <c r="B1213" s="21" t="s">
        <v>1194</v>
      </c>
      <c r="C1213" s="5">
        <v>1962</v>
      </c>
      <c r="D1213" s="3"/>
      <c r="E1213" s="18" t="s">
        <v>3645</v>
      </c>
      <c r="F1213" s="3">
        <v>2</v>
      </c>
      <c r="G1213" s="25">
        <v>4</v>
      </c>
      <c r="H1213" s="3">
        <v>726.5</v>
      </c>
      <c r="I1213" s="3">
        <v>45</v>
      </c>
      <c r="J1213" s="19">
        <f t="shared" si="107"/>
        <v>500811.24</v>
      </c>
      <c r="K1213" s="73"/>
      <c r="L1213" s="73"/>
      <c r="M1213" s="73"/>
      <c r="N1213" s="19">
        <f>SUMIF('2020'!B:B,B1213,'2020'!C:C)+SUMIF('2021'!B:B,B1213,'2021'!C:C)+SUMIF('2022'!B:B,B1213,'2022'!C:C)</f>
        <v>500811.24</v>
      </c>
      <c r="O1213" s="17">
        <v>44925</v>
      </c>
      <c r="P1213" s="2" t="s">
        <v>3728</v>
      </c>
    </row>
    <row r="1214" spans="1:16" ht="17.25" customHeight="1" x14ac:dyDescent="0.3">
      <c r="A1214" s="169">
        <f t="shared" si="108"/>
        <v>1096</v>
      </c>
      <c r="B1214" s="21" t="s">
        <v>1195</v>
      </c>
      <c r="C1214" s="5">
        <v>1964</v>
      </c>
      <c r="D1214" s="3"/>
      <c r="E1214" s="18" t="s">
        <v>3645</v>
      </c>
      <c r="F1214" s="3">
        <v>2</v>
      </c>
      <c r="G1214" s="25">
        <v>2</v>
      </c>
      <c r="H1214" s="3">
        <v>1038.77</v>
      </c>
      <c r="I1214" s="3">
        <v>26</v>
      </c>
      <c r="J1214" s="19">
        <f t="shared" si="107"/>
        <v>567436.96</v>
      </c>
      <c r="K1214" s="73"/>
      <c r="L1214" s="73"/>
      <c r="M1214" s="73"/>
      <c r="N1214" s="19">
        <f>SUMIF('2020'!B:B,B1214,'2020'!C:C)+SUMIF('2021'!B:B,B1214,'2021'!C:C)+SUMIF('2022'!B:B,B1214,'2022'!C:C)</f>
        <v>567436.96</v>
      </c>
      <c r="O1214" s="17">
        <v>44925</v>
      </c>
      <c r="P1214" s="2" t="s">
        <v>3728</v>
      </c>
    </row>
    <row r="1215" spans="1:16" ht="17.25" customHeight="1" x14ac:dyDescent="0.3">
      <c r="A1215" s="169">
        <f t="shared" si="108"/>
        <v>1097</v>
      </c>
      <c r="B1215" s="21" t="s">
        <v>1196</v>
      </c>
      <c r="C1215" s="5">
        <v>1965</v>
      </c>
      <c r="D1215" s="3"/>
      <c r="E1215" s="18" t="s">
        <v>3645</v>
      </c>
      <c r="F1215" s="3">
        <v>2</v>
      </c>
      <c r="G1215" s="25">
        <v>2</v>
      </c>
      <c r="H1215" s="3">
        <v>604.13</v>
      </c>
      <c r="I1215" s="3">
        <v>54</v>
      </c>
      <c r="J1215" s="19">
        <f t="shared" si="107"/>
        <v>491384.11</v>
      </c>
      <c r="K1215" s="73"/>
      <c r="L1215" s="73"/>
      <c r="M1215" s="73"/>
      <c r="N1215" s="19">
        <f>SUMIF('2020'!B:B,B1215,'2020'!C:C)+SUMIF('2021'!B:B,B1215,'2021'!C:C)+SUMIF('2022'!B:B,B1215,'2022'!C:C)</f>
        <v>491384.11</v>
      </c>
      <c r="O1215" s="17">
        <v>44925</v>
      </c>
      <c r="P1215" s="2" t="s">
        <v>3728</v>
      </c>
    </row>
    <row r="1216" spans="1:16" ht="17.25" customHeight="1" x14ac:dyDescent="0.3">
      <c r="A1216" s="169">
        <f t="shared" si="108"/>
        <v>1098</v>
      </c>
      <c r="B1216" s="21" t="s">
        <v>1197</v>
      </c>
      <c r="C1216" s="5">
        <v>1965</v>
      </c>
      <c r="D1216" s="3"/>
      <c r="E1216" s="18" t="s">
        <v>3645</v>
      </c>
      <c r="F1216" s="3">
        <v>2</v>
      </c>
      <c r="G1216" s="25">
        <v>2</v>
      </c>
      <c r="H1216" s="3">
        <v>613</v>
      </c>
      <c r="I1216" s="3">
        <v>36</v>
      </c>
      <c r="J1216" s="19">
        <f t="shared" si="107"/>
        <v>505841.22</v>
      </c>
      <c r="K1216" s="73"/>
      <c r="L1216" s="73"/>
      <c r="M1216" s="73"/>
      <c r="N1216" s="19">
        <f>SUMIF('2020'!B:B,B1216,'2020'!C:C)+SUMIF('2021'!B:B,B1216,'2021'!C:C)+SUMIF('2022'!B:B,B1216,'2022'!C:C)</f>
        <v>505841.22</v>
      </c>
      <c r="O1216" s="17">
        <v>44925</v>
      </c>
      <c r="P1216" s="2" t="s">
        <v>3728</v>
      </c>
    </row>
    <row r="1217" spans="1:16" ht="17.25" customHeight="1" x14ac:dyDescent="0.3">
      <c r="A1217" s="169">
        <f t="shared" si="108"/>
        <v>1099</v>
      </c>
      <c r="B1217" s="21" t="s">
        <v>1198</v>
      </c>
      <c r="C1217" s="5">
        <v>1970</v>
      </c>
      <c r="D1217" s="3"/>
      <c r="E1217" s="18" t="s">
        <v>3645</v>
      </c>
      <c r="F1217" s="3">
        <v>2</v>
      </c>
      <c r="G1217" s="25">
        <v>2</v>
      </c>
      <c r="H1217" s="3">
        <v>739.6</v>
      </c>
      <c r="I1217" s="3">
        <v>19</v>
      </c>
      <c r="J1217" s="19">
        <f t="shared" si="107"/>
        <v>548949.77</v>
      </c>
      <c r="K1217" s="73"/>
      <c r="L1217" s="73"/>
      <c r="M1217" s="73"/>
      <c r="N1217" s="19">
        <f>SUMIF('2020'!B:B,B1217,'2020'!C:C)+SUMIF('2021'!B:B,B1217,'2021'!C:C)+SUMIF('2022'!B:B,B1217,'2022'!C:C)</f>
        <v>548949.77</v>
      </c>
      <c r="O1217" s="17">
        <v>44925</v>
      </c>
      <c r="P1217" s="2" t="s">
        <v>3728</v>
      </c>
    </row>
    <row r="1218" spans="1:16" ht="17.25" customHeight="1" x14ac:dyDescent="0.3">
      <c r="A1218" s="169">
        <f t="shared" si="108"/>
        <v>1100</v>
      </c>
      <c r="B1218" s="21" t="s">
        <v>1199</v>
      </c>
      <c r="C1218" s="5">
        <v>1970</v>
      </c>
      <c r="D1218" s="3"/>
      <c r="E1218" s="18" t="s">
        <v>3645</v>
      </c>
      <c r="F1218" s="3">
        <v>2</v>
      </c>
      <c r="G1218" s="25">
        <v>2</v>
      </c>
      <c r="H1218" s="3">
        <v>738.45</v>
      </c>
      <c r="I1218" s="3">
        <v>57</v>
      </c>
      <c r="J1218" s="19">
        <f t="shared" si="107"/>
        <v>557918.39</v>
      </c>
      <c r="K1218" s="73"/>
      <c r="L1218" s="73"/>
      <c r="M1218" s="73"/>
      <c r="N1218" s="19">
        <f>SUMIF('2020'!B:B,B1218,'2020'!C:C)+SUMIF('2021'!B:B,B1218,'2021'!C:C)+SUMIF('2022'!B:B,B1218,'2022'!C:C)</f>
        <v>557918.39</v>
      </c>
      <c r="O1218" s="17">
        <v>44925</v>
      </c>
      <c r="P1218" s="2" t="s">
        <v>3728</v>
      </c>
    </row>
    <row r="1219" spans="1:16" ht="17.25" customHeight="1" x14ac:dyDescent="0.3">
      <c r="A1219" s="169">
        <f t="shared" si="108"/>
        <v>1101</v>
      </c>
      <c r="B1219" s="21" t="s">
        <v>1200</v>
      </c>
      <c r="C1219" s="5">
        <v>1973</v>
      </c>
      <c r="D1219" s="3"/>
      <c r="E1219" s="18" t="s">
        <v>3645</v>
      </c>
      <c r="F1219" s="3">
        <v>2</v>
      </c>
      <c r="G1219" s="25">
        <v>2</v>
      </c>
      <c r="H1219" s="3">
        <v>735</v>
      </c>
      <c r="I1219" s="3">
        <v>35</v>
      </c>
      <c r="J1219" s="19">
        <f t="shared" si="107"/>
        <v>773379.29</v>
      </c>
      <c r="K1219" s="73"/>
      <c r="L1219" s="73"/>
      <c r="M1219" s="73"/>
      <c r="N1219" s="19">
        <f>SUMIF('2020'!B:B,B1219,'2020'!C:C)+SUMIF('2021'!B:B,B1219,'2021'!C:C)+SUMIF('2022'!B:B,B1219,'2022'!C:C)</f>
        <v>773379.29</v>
      </c>
      <c r="O1219" s="17">
        <v>44925</v>
      </c>
      <c r="P1219" s="2" t="s">
        <v>3728</v>
      </c>
    </row>
    <row r="1220" spans="1:16" ht="17.25" customHeight="1" x14ac:dyDescent="0.3">
      <c r="A1220" s="169">
        <f t="shared" si="108"/>
        <v>1102</v>
      </c>
      <c r="B1220" s="21" t="s">
        <v>1201</v>
      </c>
      <c r="C1220" s="5">
        <v>1974</v>
      </c>
      <c r="D1220" s="3"/>
      <c r="E1220" s="18" t="s">
        <v>3645</v>
      </c>
      <c r="F1220" s="3">
        <v>2</v>
      </c>
      <c r="G1220" s="25">
        <v>2</v>
      </c>
      <c r="H1220" s="3">
        <v>734</v>
      </c>
      <c r="I1220" s="3">
        <v>35</v>
      </c>
      <c r="J1220" s="19">
        <f t="shared" si="107"/>
        <v>784666.04999999993</v>
      </c>
      <c r="K1220" s="73"/>
      <c r="L1220" s="73"/>
      <c r="M1220" s="73"/>
      <c r="N1220" s="19">
        <f>SUMIF('2020'!B:B,B1220,'2020'!C:C)+SUMIF('2021'!B:B,B1220,'2021'!C:C)+SUMIF('2022'!B:B,B1220,'2022'!C:C)</f>
        <v>784666.04999999993</v>
      </c>
      <c r="O1220" s="17">
        <v>44925</v>
      </c>
      <c r="P1220" s="2" t="s">
        <v>3728</v>
      </c>
    </row>
    <row r="1221" spans="1:16" ht="17.25" customHeight="1" x14ac:dyDescent="0.3">
      <c r="A1221" s="169">
        <f t="shared" si="108"/>
        <v>1103</v>
      </c>
      <c r="B1221" s="21" t="s">
        <v>1202</v>
      </c>
      <c r="C1221" s="5">
        <v>1977</v>
      </c>
      <c r="D1221" s="3"/>
      <c r="E1221" s="18" t="s">
        <v>3729</v>
      </c>
      <c r="F1221" s="3">
        <v>3</v>
      </c>
      <c r="G1221" s="25">
        <v>3</v>
      </c>
      <c r="H1221" s="3">
        <v>1284.3</v>
      </c>
      <c r="I1221" s="3">
        <v>58</v>
      </c>
      <c r="J1221" s="19">
        <f t="shared" si="107"/>
        <v>819421.62</v>
      </c>
      <c r="K1221" s="73"/>
      <c r="L1221" s="73"/>
      <c r="M1221" s="73"/>
      <c r="N1221" s="19">
        <f>SUMIF('2020'!B:B,B1221,'2020'!C:C)+SUMIF('2021'!B:B,B1221,'2021'!C:C)+SUMIF('2022'!B:B,B1221,'2022'!C:C)</f>
        <v>819421.62</v>
      </c>
      <c r="O1221" s="17">
        <v>44925</v>
      </c>
      <c r="P1221" s="2" t="s">
        <v>3728</v>
      </c>
    </row>
    <row r="1222" spans="1:16" ht="17.25" customHeight="1" x14ac:dyDescent="0.3">
      <c r="A1222" s="169">
        <f t="shared" si="108"/>
        <v>1104</v>
      </c>
      <c r="B1222" s="21" t="s">
        <v>1203</v>
      </c>
      <c r="C1222" s="5">
        <v>1977</v>
      </c>
      <c r="D1222" s="3"/>
      <c r="E1222" s="18" t="s">
        <v>3729</v>
      </c>
      <c r="F1222" s="3">
        <v>3</v>
      </c>
      <c r="G1222" s="25">
        <v>3</v>
      </c>
      <c r="H1222" s="3">
        <v>1741</v>
      </c>
      <c r="I1222" s="3">
        <v>68</v>
      </c>
      <c r="J1222" s="19">
        <f t="shared" si="107"/>
        <v>1066455.5899999999</v>
      </c>
      <c r="K1222" s="73"/>
      <c r="L1222" s="73"/>
      <c r="M1222" s="73"/>
      <c r="N1222" s="19">
        <f>SUMIF('2020'!B:B,B1222,'2020'!C:C)+SUMIF('2021'!B:B,B1222,'2021'!C:C)+SUMIF('2022'!B:B,B1222,'2022'!C:C)</f>
        <v>1066455.5899999999</v>
      </c>
      <c r="O1222" s="17">
        <v>44925</v>
      </c>
      <c r="P1222" s="2" t="s">
        <v>3728</v>
      </c>
    </row>
    <row r="1223" spans="1:16" ht="17.25" customHeight="1" x14ac:dyDescent="0.3">
      <c r="A1223" s="169">
        <f t="shared" si="108"/>
        <v>1105</v>
      </c>
      <c r="B1223" s="21" t="s">
        <v>1204</v>
      </c>
      <c r="C1223" s="5">
        <v>1966</v>
      </c>
      <c r="D1223" s="3"/>
      <c r="E1223" s="18" t="s">
        <v>3645</v>
      </c>
      <c r="F1223" s="3">
        <v>2</v>
      </c>
      <c r="G1223" s="25">
        <v>3</v>
      </c>
      <c r="H1223" s="3">
        <v>649.9</v>
      </c>
      <c r="I1223" s="3">
        <v>26</v>
      </c>
      <c r="J1223" s="19">
        <f t="shared" si="107"/>
        <v>510078.64</v>
      </c>
      <c r="K1223" s="73"/>
      <c r="L1223" s="73"/>
      <c r="M1223" s="73"/>
      <c r="N1223" s="19">
        <f>SUMIF('2020'!B:B,B1223,'2020'!C:C)+SUMIF('2021'!B:B,B1223,'2021'!C:C)+SUMIF('2022'!B:B,B1223,'2022'!C:C)</f>
        <v>510078.64</v>
      </c>
      <c r="O1223" s="17">
        <v>44925</v>
      </c>
      <c r="P1223" s="2" t="s">
        <v>3728</v>
      </c>
    </row>
    <row r="1224" spans="1:16" ht="17.25" customHeight="1" x14ac:dyDescent="0.3">
      <c r="A1224" s="169">
        <f t="shared" si="108"/>
        <v>1106</v>
      </c>
      <c r="B1224" s="21" t="s">
        <v>1205</v>
      </c>
      <c r="C1224" s="5">
        <v>1967</v>
      </c>
      <c r="D1224" s="3"/>
      <c r="E1224" s="18" t="s">
        <v>3645</v>
      </c>
      <c r="F1224" s="3">
        <v>2</v>
      </c>
      <c r="G1224" s="25">
        <v>3</v>
      </c>
      <c r="H1224" s="3">
        <v>638.4</v>
      </c>
      <c r="I1224" s="3">
        <v>36</v>
      </c>
      <c r="J1224" s="19">
        <f t="shared" si="107"/>
        <v>519023.17</v>
      </c>
      <c r="K1224" s="73"/>
      <c r="L1224" s="73"/>
      <c r="M1224" s="73"/>
      <c r="N1224" s="19">
        <f>SUMIF('2020'!B:B,B1224,'2020'!C:C)+SUMIF('2021'!B:B,B1224,'2021'!C:C)+SUMIF('2022'!B:B,B1224,'2022'!C:C)</f>
        <v>519023.17</v>
      </c>
      <c r="O1224" s="17">
        <v>44925</v>
      </c>
      <c r="P1224" s="2" t="s">
        <v>3728</v>
      </c>
    </row>
    <row r="1225" spans="1:16" ht="17.25" customHeight="1" x14ac:dyDescent="0.3">
      <c r="A1225" s="169">
        <f t="shared" si="108"/>
        <v>1107</v>
      </c>
      <c r="B1225" s="21" t="s">
        <v>1206</v>
      </c>
      <c r="C1225" s="5">
        <v>1971</v>
      </c>
      <c r="D1225" s="3"/>
      <c r="E1225" s="125" t="s">
        <v>3645</v>
      </c>
      <c r="F1225" s="169">
        <v>2</v>
      </c>
      <c r="G1225" s="25">
        <v>3</v>
      </c>
      <c r="H1225" s="169">
        <v>816.51</v>
      </c>
      <c r="I1225" s="169">
        <v>34</v>
      </c>
      <c r="J1225" s="19">
        <f t="shared" si="107"/>
        <v>917047.75</v>
      </c>
      <c r="K1225" s="73"/>
      <c r="L1225" s="73"/>
      <c r="M1225" s="73"/>
      <c r="N1225" s="19">
        <f>SUMIF('2020'!B:B,B1225,'2020'!C:C)+SUMIF('2021'!B:B,B1225,'2021'!C:C)+SUMIF('2022'!B:B,B1225,'2022'!C:C)</f>
        <v>917047.75</v>
      </c>
      <c r="O1225" s="17">
        <v>44925</v>
      </c>
      <c r="P1225" s="2" t="s">
        <v>3728</v>
      </c>
    </row>
    <row r="1226" spans="1:16" ht="17.25" customHeight="1" x14ac:dyDescent="0.3">
      <c r="A1226" s="169">
        <f t="shared" si="108"/>
        <v>1108</v>
      </c>
      <c r="B1226" s="21" t="s">
        <v>1207</v>
      </c>
      <c r="C1226" s="5">
        <v>1971</v>
      </c>
      <c r="D1226" s="3"/>
      <c r="E1226" s="18" t="s">
        <v>3729</v>
      </c>
      <c r="F1226" s="3">
        <v>2</v>
      </c>
      <c r="G1226" s="25">
        <v>3</v>
      </c>
      <c r="H1226" s="3">
        <v>935.58</v>
      </c>
      <c r="I1226" s="3">
        <v>51</v>
      </c>
      <c r="J1226" s="19">
        <f t="shared" si="107"/>
        <v>910639.79</v>
      </c>
      <c r="K1226" s="73"/>
      <c r="L1226" s="73"/>
      <c r="M1226" s="73"/>
      <c r="N1226" s="19">
        <f>SUMIF('2020'!B:B,B1226,'2020'!C:C)+SUMIF('2021'!B:B,B1226,'2021'!C:C)+SUMIF('2022'!B:B,B1226,'2022'!C:C)</f>
        <v>910639.79</v>
      </c>
      <c r="O1226" s="17">
        <v>44925</v>
      </c>
      <c r="P1226" s="2" t="s">
        <v>3728</v>
      </c>
    </row>
    <row r="1227" spans="1:16" ht="17.25" customHeight="1" x14ac:dyDescent="0.3">
      <c r="A1227" s="169">
        <f t="shared" si="108"/>
        <v>1109</v>
      </c>
      <c r="B1227" s="21" t="s">
        <v>1208</v>
      </c>
      <c r="C1227" s="5">
        <v>1972</v>
      </c>
      <c r="D1227" s="3"/>
      <c r="E1227" s="18" t="s">
        <v>3729</v>
      </c>
      <c r="F1227" s="3">
        <v>2</v>
      </c>
      <c r="G1227" s="25">
        <v>3</v>
      </c>
      <c r="H1227" s="3">
        <v>761.2</v>
      </c>
      <c r="I1227" s="3">
        <v>39</v>
      </c>
      <c r="J1227" s="19">
        <f t="shared" si="107"/>
        <v>705151.35</v>
      </c>
      <c r="K1227" s="73"/>
      <c r="L1227" s="73"/>
      <c r="M1227" s="73"/>
      <c r="N1227" s="19">
        <f>SUMIF('2020'!B:B,B1227,'2020'!C:C)+SUMIF('2021'!B:B,B1227,'2021'!C:C)+SUMIF('2022'!B:B,B1227,'2022'!C:C)</f>
        <v>705151.35</v>
      </c>
      <c r="O1227" s="17">
        <v>44925</v>
      </c>
      <c r="P1227" s="2" t="s">
        <v>3728</v>
      </c>
    </row>
    <row r="1228" spans="1:16" ht="17.25" customHeight="1" x14ac:dyDescent="0.3">
      <c r="A1228" s="169">
        <f t="shared" si="108"/>
        <v>1110</v>
      </c>
      <c r="B1228" s="21" t="s">
        <v>1209</v>
      </c>
      <c r="C1228" s="5">
        <v>1972</v>
      </c>
      <c r="D1228" s="3"/>
      <c r="E1228" s="18" t="s">
        <v>3729</v>
      </c>
      <c r="F1228" s="3">
        <v>2</v>
      </c>
      <c r="G1228" s="25">
        <v>3</v>
      </c>
      <c r="H1228" s="3">
        <v>767</v>
      </c>
      <c r="I1228" s="3">
        <v>42</v>
      </c>
      <c r="J1228" s="19">
        <f t="shared" si="107"/>
        <v>713035.14</v>
      </c>
      <c r="K1228" s="73"/>
      <c r="L1228" s="73"/>
      <c r="M1228" s="73"/>
      <c r="N1228" s="19">
        <f>SUMIF('2020'!B:B,B1228,'2020'!C:C)+SUMIF('2021'!B:B,B1228,'2021'!C:C)+SUMIF('2022'!B:B,B1228,'2022'!C:C)</f>
        <v>713035.14</v>
      </c>
      <c r="O1228" s="17">
        <v>44925</v>
      </c>
      <c r="P1228" s="2" t="s">
        <v>3728</v>
      </c>
    </row>
    <row r="1229" spans="1:16" ht="17.25" customHeight="1" x14ac:dyDescent="0.3">
      <c r="A1229" s="169">
        <f t="shared" si="108"/>
        <v>1111</v>
      </c>
      <c r="B1229" s="21" t="s">
        <v>1210</v>
      </c>
      <c r="C1229" s="5">
        <v>1975</v>
      </c>
      <c r="D1229" s="3"/>
      <c r="E1229" s="18" t="s">
        <v>3645</v>
      </c>
      <c r="F1229" s="3">
        <v>3</v>
      </c>
      <c r="G1229" s="25">
        <v>3</v>
      </c>
      <c r="H1229" s="3">
        <v>917.67</v>
      </c>
      <c r="I1229" s="3">
        <v>32</v>
      </c>
      <c r="J1229" s="19">
        <f t="shared" si="107"/>
        <v>381644.64</v>
      </c>
      <c r="K1229" s="73"/>
      <c r="L1229" s="73"/>
      <c r="M1229" s="73"/>
      <c r="N1229" s="19">
        <f>SUMIF('2020'!B:B,B1229,'2020'!C:C)+SUMIF('2021'!B:B,B1229,'2021'!C:C)+SUMIF('2022'!B:B,B1229,'2022'!C:C)</f>
        <v>381644.64</v>
      </c>
      <c r="O1229" s="17">
        <v>44925</v>
      </c>
      <c r="P1229" s="2" t="s">
        <v>3728</v>
      </c>
    </row>
    <row r="1230" spans="1:16" ht="17.25" customHeight="1" x14ac:dyDescent="0.3">
      <c r="A1230" s="169">
        <f t="shared" si="108"/>
        <v>1112</v>
      </c>
      <c r="B1230" s="21" t="s">
        <v>1211</v>
      </c>
      <c r="C1230" s="5">
        <v>1965</v>
      </c>
      <c r="D1230" s="3"/>
      <c r="E1230" s="18" t="s">
        <v>3645</v>
      </c>
      <c r="F1230" s="3">
        <v>2</v>
      </c>
      <c r="G1230" s="25">
        <v>2</v>
      </c>
      <c r="H1230" s="3">
        <v>640.1</v>
      </c>
      <c r="I1230" s="3">
        <v>23</v>
      </c>
      <c r="J1230" s="19">
        <f t="shared" si="107"/>
        <v>3437068.81</v>
      </c>
      <c r="K1230" s="73"/>
      <c r="L1230" s="73"/>
      <c r="M1230" s="73"/>
      <c r="N1230" s="19">
        <f>SUMIF('2020'!B:B,B1230,'2020'!C:C)+SUMIF('2021'!B:B,B1230,'2021'!C:C)+SUMIF('2022'!B:B,B1230,'2022'!C:C)</f>
        <v>3437068.81</v>
      </c>
      <c r="O1230" s="17">
        <v>44925</v>
      </c>
      <c r="P1230" s="2" t="s">
        <v>3728</v>
      </c>
    </row>
    <row r="1231" spans="1:16" ht="17.25" customHeight="1" x14ac:dyDescent="0.3">
      <c r="A1231" s="169">
        <f t="shared" si="108"/>
        <v>1113</v>
      </c>
      <c r="B1231" s="21" t="s">
        <v>1212</v>
      </c>
      <c r="C1231" s="5">
        <v>1965</v>
      </c>
      <c r="D1231" s="3"/>
      <c r="E1231" s="18" t="s">
        <v>3729</v>
      </c>
      <c r="F1231" s="3">
        <v>2</v>
      </c>
      <c r="G1231" s="25">
        <v>2</v>
      </c>
      <c r="H1231" s="3">
        <v>654.29999999999995</v>
      </c>
      <c r="I1231" s="3">
        <v>25</v>
      </c>
      <c r="J1231" s="19">
        <f t="shared" si="107"/>
        <v>792606.45</v>
      </c>
      <c r="K1231" s="73"/>
      <c r="L1231" s="73"/>
      <c r="M1231" s="73"/>
      <c r="N1231" s="19">
        <f>SUMIF('2020'!B:B,B1231,'2020'!C:C)+SUMIF('2021'!B:B,B1231,'2021'!C:C)+SUMIF('2022'!B:B,B1231,'2022'!C:C)</f>
        <v>792606.45</v>
      </c>
      <c r="O1231" s="17">
        <v>44925</v>
      </c>
      <c r="P1231" s="2" t="s">
        <v>3728</v>
      </c>
    </row>
    <row r="1232" spans="1:16" ht="17.25" customHeight="1" x14ac:dyDescent="0.3">
      <c r="A1232" s="169">
        <f t="shared" si="108"/>
        <v>1114</v>
      </c>
      <c r="B1232" s="21" t="s">
        <v>1213</v>
      </c>
      <c r="C1232" s="5">
        <v>1969</v>
      </c>
      <c r="D1232" s="3"/>
      <c r="E1232" s="18" t="s">
        <v>3729</v>
      </c>
      <c r="F1232" s="3">
        <v>2</v>
      </c>
      <c r="G1232" s="25">
        <v>2</v>
      </c>
      <c r="H1232" s="3">
        <v>656.5</v>
      </c>
      <c r="I1232" s="3">
        <v>26</v>
      </c>
      <c r="J1232" s="19">
        <f t="shared" si="107"/>
        <v>795331.6399999999</v>
      </c>
      <c r="K1232" s="73"/>
      <c r="L1232" s="73"/>
      <c r="M1232" s="73"/>
      <c r="N1232" s="19">
        <f>SUMIF('2020'!B:B,B1232,'2020'!C:C)+SUMIF('2021'!B:B,B1232,'2021'!C:C)+SUMIF('2022'!B:B,B1232,'2022'!C:C)</f>
        <v>795331.6399999999</v>
      </c>
      <c r="O1232" s="17">
        <v>44925</v>
      </c>
      <c r="P1232" s="2" t="s">
        <v>3728</v>
      </c>
    </row>
    <row r="1233" spans="1:16" ht="17.25" customHeight="1" x14ac:dyDescent="0.3">
      <c r="A1233" s="169">
        <f t="shared" si="108"/>
        <v>1115</v>
      </c>
      <c r="B1233" s="21" t="s">
        <v>1214</v>
      </c>
      <c r="C1233" s="5">
        <v>1969</v>
      </c>
      <c r="D1233" s="3"/>
      <c r="E1233" s="18" t="s">
        <v>3645</v>
      </c>
      <c r="F1233" s="3">
        <v>2</v>
      </c>
      <c r="G1233" s="25">
        <v>2</v>
      </c>
      <c r="H1233" s="3">
        <v>655.20000000000005</v>
      </c>
      <c r="I1233" s="3">
        <v>27</v>
      </c>
      <c r="J1233" s="19">
        <f t="shared" si="107"/>
        <v>965338.08000000007</v>
      </c>
      <c r="K1233" s="73"/>
      <c r="L1233" s="73"/>
      <c r="M1233" s="73"/>
      <c r="N1233" s="19">
        <f>SUMIF('2020'!B:B,B1233,'2020'!C:C)+SUMIF('2021'!B:B,B1233,'2021'!C:C)+SUMIF('2022'!B:B,B1233,'2022'!C:C)</f>
        <v>965338.08000000007</v>
      </c>
      <c r="O1233" s="17">
        <v>44925</v>
      </c>
      <c r="P1233" s="2" t="s">
        <v>3728</v>
      </c>
    </row>
    <row r="1234" spans="1:16" ht="17.25" customHeight="1" x14ac:dyDescent="0.3">
      <c r="A1234" s="169">
        <f t="shared" si="108"/>
        <v>1116</v>
      </c>
      <c r="B1234" s="21" t="s">
        <v>1215</v>
      </c>
      <c r="C1234" s="5">
        <v>1970</v>
      </c>
      <c r="D1234" s="3"/>
      <c r="E1234" s="18" t="s">
        <v>3729</v>
      </c>
      <c r="F1234" s="3">
        <v>2</v>
      </c>
      <c r="G1234" s="25">
        <v>1</v>
      </c>
      <c r="H1234" s="3">
        <v>411.3</v>
      </c>
      <c r="I1234" s="3">
        <v>16</v>
      </c>
      <c r="J1234" s="19">
        <f t="shared" si="107"/>
        <v>709050.5</v>
      </c>
      <c r="K1234" s="73"/>
      <c r="L1234" s="73"/>
      <c r="M1234" s="73"/>
      <c r="N1234" s="19">
        <f>SUMIF('2020'!B:B,B1234,'2020'!C:C)+SUMIF('2021'!B:B,B1234,'2021'!C:C)+SUMIF('2022'!B:B,B1234,'2022'!C:C)</f>
        <v>709050.5</v>
      </c>
      <c r="O1234" s="17">
        <v>44925</v>
      </c>
      <c r="P1234" s="2" t="s">
        <v>3728</v>
      </c>
    </row>
    <row r="1235" spans="1:16" ht="17.25" customHeight="1" x14ac:dyDescent="0.3">
      <c r="A1235" s="169">
        <f t="shared" si="108"/>
        <v>1117</v>
      </c>
      <c r="B1235" s="21" t="s">
        <v>1216</v>
      </c>
      <c r="C1235" s="5">
        <v>1972</v>
      </c>
      <c r="D1235" s="3"/>
      <c r="E1235" s="18" t="s">
        <v>3817</v>
      </c>
      <c r="F1235" s="3">
        <v>5</v>
      </c>
      <c r="G1235" s="25">
        <v>6</v>
      </c>
      <c r="H1235" s="3">
        <v>4328.95</v>
      </c>
      <c r="I1235" s="3">
        <v>188</v>
      </c>
      <c r="J1235" s="19">
        <f t="shared" si="107"/>
        <v>2005991.15</v>
      </c>
      <c r="K1235" s="73"/>
      <c r="L1235" s="73"/>
      <c r="M1235" s="73"/>
      <c r="N1235" s="19">
        <f>SUMIF('2020'!B:B,B1235,'2020'!C:C)+SUMIF('2021'!B:B,B1235,'2021'!C:C)+SUMIF('2022'!B:B,B1235,'2022'!C:C)</f>
        <v>2005991.15</v>
      </c>
      <c r="O1235" s="17">
        <v>44925</v>
      </c>
      <c r="P1235" s="2" t="s">
        <v>3728</v>
      </c>
    </row>
    <row r="1236" spans="1:16" ht="17.25" customHeight="1" x14ac:dyDescent="0.3">
      <c r="A1236" s="169">
        <f t="shared" si="108"/>
        <v>1118</v>
      </c>
      <c r="B1236" s="21" t="s">
        <v>1217</v>
      </c>
      <c r="C1236" s="5">
        <v>1969</v>
      </c>
      <c r="D1236" s="3"/>
      <c r="E1236" s="18" t="s">
        <v>3817</v>
      </c>
      <c r="F1236" s="3">
        <v>5</v>
      </c>
      <c r="G1236" s="25">
        <v>6</v>
      </c>
      <c r="H1236" s="3">
        <v>4370.95</v>
      </c>
      <c r="I1236" s="3">
        <v>196</v>
      </c>
      <c r="J1236" s="19">
        <f t="shared" si="107"/>
        <v>2011557.94</v>
      </c>
      <c r="K1236" s="73"/>
      <c r="L1236" s="73"/>
      <c r="M1236" s="73"/>
      <c r="N1236" s="19">
        <f>SUMIF('2020'!B:B,B1236,'2020'!C:C)+SUMIF('2021'!B:B,B1236,'2021'!C:C)+SUMIF('2022'!B:B,B1236,'2022'!C:C)</f>
        <v>2011557.94</v>
      </c>
      <c r="O1236" s="17">
        <v>44925</v>
      </c>
      <c r="P1236" s="2" t="s">
        <v>3728</v>
      </c>
    </row>
    <row r="1237" spans="1:16" ht="17.25" customHeight="1" x14ac:dyDescent="0.3">
      <c r="A1237" s="169">
        <f t="shared" si="108"/>
        <v>1119</v>
      </c>
      <c r="B1237" s="21" t="s">
        <v>1218</v>
      </c>
      <c r="C1237" s="5">
        <v>1972</v>
      </c>
      <c r="D1237" s="3"/>
      <c r="E1237" s="18" t="s">
        <v>3817</v>
      </c>
      <c r="F1237" s="3">
        <v>5</v>
      </c>
      <c r="G1237" s="25">
        <v>6</v>
      </c>
      <c r="H1237" s="3">
        <v>4467.2</v>
      </c>
      <c r="I1237" s="3">
        <v>197</v>
      </c>
      <c r="J1237" s="19">
        <f t="shared" si="107"/>
        <v>1878075.4</v>
      </c>
      <c r="K1237" s="73"/>
      <c r="L1237" s="73"/>
      <c r="M1237" s="73"/>
      <c r="N1237" s="19">
        <f>SUMIF('2020'!B:B,B1237,'2020'!C:C)+SUMIF('2021'!B:B,B1237,'2021'!C:C)+SUMIF('2022'!B:B,B1237,'2022'!C:C)</f>
        <v>1878075.4</v>
      </c>
      <c r="O1237" s="17">
        <v>44925</v>
      </c>
      <c r="P1237" s="2" t="s">
        <v>3728</v>
      </c>
    </row>
    <row r="1238" spans="1:16" ht="17.25" customHeight="1" x14ac:dyDescent="0.3">
      <c r="A1238" s="169">
        <f t="shared" si="108"/>
        <v>1120</v>
      </c>
      <c r="B1238" s="21" t="s">
        <v>1219</v>
      </c>
      <c r="C1238" s="5">
        <v>1982</v>
      </c>
      <c r="D1238" s="3"/>
      <c r="E1238" s="18" t="s">
        <v>3729</v>
      </c>
      <c r="F1238" s="3">
        <v>5</v>
      </c>
      <c r="G1238" s="25"/>
      <c r="H1238" s="3">
        <v>4854.2</v>
      </c>
      <c r="I1238" s="3">
        <v>166</v>
      </c>
      <c r="J1238" s="19">
        <f t="shared" si="107"/>
        <v>4357798.75</v>
      </c>
      <c r="K1238" s="73"/>
      <c r="L1238" s="73"/>
      <c r="M1238" s="73"/>
      <c r="N1238" s="19">
        <f>SUMIF('2020'!B:B,B1238,'2020'!C:C)+SUMIF('2021'!B:B,B1238,'2021'!C:C)+SUMIF('2022'!B:B,B1238,'2022'!C:C)</f>
        <v>4357798.75</v>
      </c>
      <c r="O1238" s="17">
        <v>44925</v>
      </c>
      <c r="P1238" s="2" t="s">
        <v>3728</v>
      </c>
    </row>
    <row r="1239" spans="1:16" ht="17.25" customHeight="1" x14ac:dyDescent="0.3">
      <c r="A1239" s="169">
        <f t="shared" si="108"/>
        <v>1121</v>
      </c>
      <c r="B1239" s="21" t="s">
        <v>1220</v>
      </c>
      <c r="C1239" s="5">
        <v>1982</v>
      </c>
      <c r="D1239" s="3"/>
      <c r="E1239" s="18" t="s">
        <v>3645</v>
      </c>
      <c r="F1239" s="3">
        <v>5</v>
      </c>
      <c r="G1239" s="25"/>
      <c r="H1239" s="3">
        <v>5708.5</v>
      </c>
      <c r="I1239" s="3">
        <v>241</v>
      </c>
      <c r="J1239" s="19">
        <f t="shared" si="107"/>
        <v>6498508.6800000006</v>
      </c>
      <c r="K1239" s="73"/>
      <c r="L1239" s="73"/>
      <c r="M1239" s="73"/>
      <c r="N1239" s="19">
        <f>SUMIF('2020'!B:B,B1239,'2020'!C:C)+SUMIF('2021'!B:B,B1239,'2021'!C:C)+SUMIF('2022'!B:B,B1239,'2022'!C:C)</f>
        <v>6498508.6800000006</v>
      </c>
      <c r="O1239" s="17">
        <v>44925</v>
      </c>
      <c r="P1239" s="2" t="s">
        <v>3728</v>
      </c>
    </row>
    <row r="1240" spans="1:16" ht="17.25" customHeight="1" x14ac:dyDescent="0.3">
      <c r="A1240" s="169">
        <f t="shared" si="108"/>
        <v>1122</v>
      </c>
      <c r="B1240" s="21" t="s">
        <v>1221</v>
      </c>
      <c r="C1240" s="5">
        <v>1967</v>
      </c>
      <c r="D1240" s="3"/>
      <c r="E1240" s="18" t="s">
        <v>3645</v>
      </c>
      <c r="F1240" s="3">
        <v>2</v>
      </c>
      <c r="G1240" s="25">
        <v>2</v>
      </c>
      <c r="H1240" s="3">
        <v>625.9</v>
      </c>
      <c r="I1240" s="3">
        <v>17</v>
      </c>
      <c r="J1240" s="19">
        <f t="shared" si="107"/>
        <v>674851.65</v>
      </c>
      <c r="K1240" s="73"/>
      <c r="L1240" s="73"/>
      <c r="M1240" s="73"/>
      <c r="N1240" s="19">
        <f>SUMIF('2020'!B:B,B1240,'2020'!C:C)+SUMIF('2021'!B:B,B1240,'2021'!C:C)+SUMIF('2022'!B:B,B1240,'2022'!C:C)</f>
        <v>674851.65</v>
      </c>
      <c r="O1240" s="17">
        <v>44925</v>
      </c>
      <c r="P1240" s="2" t="s">
        <v>3728</v>
      </c>
    </row>
    <row r="1241" spans="1:16" ht="17.25" customHeight="1" x14ac:dyDescent="0.3">
      <c r="A1241" s="169">
        <f t="shared" si="108"/>
        <v>1123</v>
      </c>
      <c r="B1241" s="21" t="s">
        <v>1222</v>
      </c>
      <c r="C1241" s="5">
        <v>1967</v>
      </c>
      <c r="D1241" s="3"/>
      <c r="E1241" s="18" t="s">
        <v>3645</v>
      </c>
      <c r="F1241" s="3">
        <v>2</v>
      </c>
      <c r="G1241" s="25">
        <v>2</v>
      </c>
      <c r="H1241" s="3">
        <v>627.5</v>
      </c>
      <c r="I1241" s="3">
        <v>26</v>
      </c>
      <c r="J1241" s="19">
        <f t="shared" si="107"/>
        <v>700391.81</v>
      </c>
      <c r="K1241" s="73"/>
      <c r="L1241" s="73"/>
      <c r="M1241" s="73"/>
      <c r="N1241" s="19">
        <f>SUMIF('2020'!B:B,B1241,'2020'!C:C)+SUMIF('2021'!B:B,B1241,'2021'!C:C)+SUMIF('2022'!B:B,B1241,'2022'!C:C)</f>
        <v>700391.81</v>
      </c>
      <c r="O1241" s="17">
        <v>44925</v>
      </c>
      <c r="P1241" s="2" t="s">
        <v>3728</v>
      </c>
    </row>
    <row r="1242" spans="1:16" ht="17.25" customHeight="1" x14ac:dyDescent="0.3">
      <c r="A1242" s="169">
        <f t="shared" si="108"/>
        <v>1124</v>
      </c>
      <c r="B1242" s="21" t="s">
        <v>1223</v>
      </c>
      <c r="C1242" s="5">
        <v>1972</v>
      </c>
      <c r="D1242" s="3"/>
      <c r="E1242" s="18" t="s">
        <v>3645</v>
      </c>
      <c r="F1242" s="3">
        <v>2</v>
      </c>
      <c r="G1242" s="25">
        <v>2</v>
      </c>
      <c r="H1242" s="3">
        <v>529.5</v>
      </c>
      <c r="I1242" s="3">
        <v>17</v>
      </c>
      <c r="J1242" s="19">
        <f t="shared" si="107"/>
        <v>766975</v>
      </c>
      <c r="K1242" s="73"/>
      <c r="L1242" s="73"/>
      <c r="M1242" s="73"/>
      <c r="N1242" s="19">
        <f>SUMIF('2020'!B:B,B1242,'2020'!C:C)+SUMIF('2021'!B:B,B1242,'2021'!C:C)+SUMIF('2022'!B:B,B1242,'2022'!C:C)</f>
        <v>766975</v>
      </c>
      <c r="O1242" s="17">
        <v>44925</v>
      </c>
      <c r="P1242" s="2" t="s">
        <v>3728</v>
      </c>
    </row>
    <row r="1243" spans="1:16" ht="17.25" customHeight="1" x14ac:dyDescent="0.3">
      <c r="A1243" s="169">
        <f t="shared" si="108"/>
        <v>1125</v>
      </c>
      <c r="B1243" s="21" t="s">
        <v>1225</v>
      </c>
      <c r="C1243" s="5">
        <v>1966</v>
      </c>
      <c r="D1243" s="3"/>
      <c r="E1243" s="18" t="s">
        <v>3645</v>
      </c>
      <c r="F1243" s="3">
        <v>2</v>
      </c>
      <c r="G1243" s="25">
        <v>2</v>
      </c>
      <c r="H1243" s="3">
        <v>520.12</v>
      </c>
      <c r="I1243" s="3">
        <v>16</v>
      </c>
      <c r="J1243" s="19">
        <f t="shared" si="107"/>
        <v>485883.22</v>
      </c>
      <c r="K1243" s="73"/>
      <c r="L1243" s="73"/>
      <c r="M1243" s="73"/>
      <c r="N1243" s="19">
        <f>SUMIF('2020'!B:B,B1243,'2020'!C:C)+SUMIF('2021'!B:B,B1243,'2021'!C:C)+SUMIF('2022'!B:B,B1243,'2022'!C:C)</f>
        <v>485883.22</v>
      </c>
      <c r="O1243" s="17">
        <v>44925</v>
      </c>
      <c r="P1243" s="2" t="s">
        <v>3728</v>
      </c>
    </row>
    <row r="1244" spans="1:16" ht="17.25" customHeight="1" x14ac:dyDescent="0.3">
      <c r="A1244" s="169">
        <f t="shared" si="108"/>
        <v>1126</v>
      </c>
      <c r="B1244" s="21" t="s">
        <v>1226</v>
      </c>
      <c r="C1244" s="5">
        <v>1978</v>
      </c>
      <c r="D1244" s="3"/>
      <c r="E1244" s="18" t="s">
        <v>3645</v>
      </c>
      <c r="F1244" s="3">
        <v>4</v>
      </c>
      <c r="G1244" s="25">
        <v>1</v>
      </c>
      <c r="H1244" s="3">
        <v>817.03</v>
      </c>
      <c r="I1244" s="3">
        <v>35</v>
      </c>
      <c r="J1244" s="19">
        <f t="shared" si="107"/>
        <v>699296</v>
      </c>
      <c r="K1244" s="73"/>
      <c r="L1244" s="73"/>
      <c r="M1244" s="73"/>
      <c r="N1244" s="19">
        <f>SUMIF('2020'!B:B,B1244,'2020'!C:C)+SUMIF('2021'!B:B,B1244,'2021'!C:C)+SUMIF('2022'!B:B,B1244,'2022'!C:C)</f>
        <v>699296</v>
      </c>
      <c r="O1244" s="17">
        <v>44925</v>
      </c>
      <c r="P1244" s="2" t="s">
        <v>3728</v>
      </c>
    </row>
    <row r="1245" spans="1:16" ht="17.25" customHeight="1" x14ac:dyDescent="0.3">
      <c r="A1245" s="169">
        <f t="shared" si="108"/>
        <v>1127</v>
      </c>
      <c r="B1245" s="21" t="s">
        <v>1227</v>
      </c>
      <c r="C1245" s="5">
        <v>1966</v>
      </c>
      <c r="D1245" s="3"/>
      <c r="E1245" s="18" t="s">
        <v>3645</v>
      </c>
      <c r="F1245" s="3">
        <v>2</v>
      </c>
      <c r="G1245" s="25">
        <v>2</v>
      </c>
      <c r="H1245" s="3">
        <v>510.35</v>
      </c>
      <c r="I1245" s="3">
        <v>35</v>
      </c>
      <c r="J1245" s="19">
        <f t="shared" si="107"/>
        <v>440432.33</v>
      </c>
      <c r="K1245" s="73"/>
      <c r="L1245" s="73"/>
      <c r="M1245" s="73"/>
      <c r="N1245" s="19">
        <f>SUMIF('2020'!B:B,B1245,'2020'!C:C)+SUMIF('2021'!B:B,B1245,'2021'!C:C)+SUMIF('2022'!B:B,B1245,'2022'!C:C)</f>
        <v>440432.33</v>
      </c>
      <c r="O1245" s="17">
        <v>44925</v>
      </c>
      <c r="P1245" s="2" t="s">
        <v>3728</v>
      </c>
    </row>
    <row r="1246" spans="1:16" ht="17.25" customHeight="1" x14ac:dyDescent="0.3">
      <c r="A1246" s="169">
        <f t="shared" si="108"/>
        <v>1128</v>
      </c>
      <c r="B1246" s="21" t="s">
        <v>1228</v>
      </c>
      <c r="C1246" s="5">
        <v>1968</v>
      </c>
      <c r="D1246" s="3"/>
      <c r="E1246" s="18" t="s">
        <v>3645</v>
      </c>
      <c r="F1246" s="3">
        <v>2</v>
      </c>
      <c r="G1246" s="25">
        <v>2</v>
      </c>
      <c r="H1246" s="3">
        <v>524</v>
      </c>
      <c r="I1246" s="3">
        <v>22</v>
      </c>
      <c r="J1246" s="19">
        <f t="shared" si="107"/>
        <v>441204.86</v>
      </c>
      <c r="K1246" s="73"/>
      <c r="L1246" s="73"/>
      <c r="M1246" s="73"/>
      <c r="N1246" s="19">
        <f>SUMIF('2020'!B:B,B1246,'2020'!C:C)+SUMIF('2021'!B:B,B1246,'2021'!C:C)+SUMIF('2022'!B:B,B1246,'2022'!C:C)</f>
        <v>441204.86</v>
      </c>
      <c r="O1246" s="17">
        <v>44925</v>
      </c>
      <c r="P1246" s="2" t="s">
        <v>3728</v>
      </c>
    </row>
    <row r="1247" spans="1:16" ht="17.25" customHeight="1" x14ac:dyDescent="0.3">
      <c r="A1247" s="169">
        <f t="shared" si="108"/>
        <v>1129</v>
      </c>
      <c r="B1247" s="21" t="s">
        <v>1229</v>
      </c>
      <c r="C1247" s="5">
        <v>1968</v>
      </c>
      <c r="D1247" s="3"/>
      <c r="E1247" s="18" t="s">
        <v>3645</v>
      </c>
      <c r="F1247" s="3">
        <v>2</v>
      </c>
      <c r="G1247" s="25">
        <v>2</v>
      </c>
      <c r="H1247" s="3">
        <v>532</v>
      </c>
      <c r="I1247" s="3">
        <v>21</v>
      </c>
      <c r="J1247" s="19">
        <f t="shared" si="107"/>
        <v>441204.86</v>
      </c>
      <c r="K1247" s="73"/>
      <c r="L1247" s="73"/>
      <c r="M1247" s="73"/>
      <c r="N1247" s="19">
        <f>SUMIF('2020'!B:B,B1247,'2020'!C:C)+SUMIF('2021'!B:B,B1247,'2021'!C:C)+SUMIF('2022'!B:B,B1247,'2022'!C:C)</f>
        <v>441204.86</v>
      </c>
      <c r="O1247" s="17">
        <v>44925</v>
      </c>
      <c r="P1247" s="2" t="s">
        <v>3728</v>
      </c>
    </row>
    <row r="1248" spans="1:16" ht="17.25" customHeight="1" x14ac:dyDescent="0.3">
      <c r="A1248" s="169">
        <f t="shared" si="108"/>
        <v>1130</v>
      </c>
      <c r="B1248" s="21" t="s">
        <v>1230</v>
      </c>
      <c r="C1248" s="5">
        <v>1977</v>
      </c>
      <c r="D1248" s="3"/>
      <c r="E1248" s="18" t="s">
        <v>3729</v>
      </c>
      <c r="F1248" s="3">
        <v>3</v>
      </c>
      <c r="G1248" s="25">
        <v>2</v>
      </c>
      <c r="H1248" s="3">
        <v>1341.1</v>
      </c>
      <c r="I1248" s="3">
        <v>59</v>
      </c>
      <c r="J1248" s="19">
        <f t="shared" si="107"/>
        <v>662992.56000000006</v>
      </c>
      <c r="K1248" s="73"/>
      <c r="L1248" s="73"/>
      <c r="M1248" s="73"/>
      <c r="N1248" s="19">
        <f>SUMIF('2020'!B:B,B1248,'2020'!C:C)+SUMIF('2021'!B:B,B1248,'2021'!C:C)+SUMIF('2022'!B:B,B1248,'2022'!C:C)</f>
        <v>662992.56000000006</v>
      </c>
      <c r="O1248" s="17">
        <v>44925</v>
      </c>
      <c r="P1248" s="2" t="s">
        <v>3728</v>
      </c>
    </row>
    <row r="1249" spans="1:16" ht="17.25" customHeight="1" x14ac:dyDescent="0.3">
      <c r="A1249" s="169">
        <f t="shared" si="108"/>
        <v>1131</v>
      </c>
      <c r="B1249" s="21" t="s">
        <v>1231</v>
      </c>
      <c r="C1249" s="5">
        <v>1976</v>
      </c>
      <c r="D1249" s="3"/>
      <c r="E1249" s="18" t="s">
        <v>3645</v>
      </c>
      <c r="F1249" s="3">
        <v>3</v>
      </c>
      <c r="G1249" s="25">
        <v>3</v>
      </c>
      <c r="H1249" s="3">
        <v>1316.6</v>
      </c>
      <c r="I1249" s="3">
        <v>39</v>
      </c>
      <c r="J1249" s="19">
        <f t="shared" si="107"/>
        <v>606890.9</v>
      </c>
      <c r="K1249" s="73"/>
      <c r="L1249" s="73"/>
      <c r="M1249" s="73"/>
      <c r="N1249" s="19">
        <f>SUMIF('2020'!B:B,B1249,'2020'!C:C)+SUMIF('2021'!B:B,B1249,'2021'!C:C)+SUMIF('2022'!B:B,B1249,'2022'!C:C)</f>
        <v>606890.9</v>
      </c>
      <c r="O1249" s="17">
        <v>44925</v>
      </c>
      <c r="P1249" s="2" t="s">
        <v>3728</v>
      </c>
    </row>
    <row r="1250" spans="1:16" ht="17.25" customHeight="1" x14ac:dyDescent="0.3">
      <c r="A1250" s="169">
        <f t="shared" si="108"/>
        <v>1132</v>
      </c>
      <c r="B1250" s="21" t="s">
        <v>1232</v>
      </c>
      <c r="C1250" s="5">
        <v>1978</v>
      </c>
      <c r="D1250" s="3"/>
      <c r="E1250" s="18" t="s">
        <v>3645</v>
      </c>
      <c r="F1250" s="3">
        <v>3</v>
      </c>
      <c r="G1250" s="25">
        <v>3</v>
      </c>
      <c r="H1250" s="3">
        <v>1361.6</v>
      </c>
      <c r="I1250" s="3">
        <v>54</v>
      </c>
      <c r="J1250" s="19">
        <f t="shared" si="107"/>
        <v>610229.59</v>
      </c>
      <c r="K1250" s="73"/>
      <c r="L1250" s="73"/>
      <c r="M1250" s="73"/>
      <c r="N1250" s="19">
        <f>SUMIF('2020'!B:B,B1250,'2020'!C:C)+SUMIF('2021'!B:B,B1250,'2021'!C:C)+SUMIF('2022'!B:B,B1250,'2022'!C:C)</f>
        <v>610229.59</v>
      </c>
      <c r="O1250" s="17">
        <v>44925</v>
      </c>
      <c r="P1250" s="2" t="s">
        <v>3728</v>
      </c>
    </row>
    <row r="1251" spans="1:16" ht="17.25" customHeight="1" x14ac:dyDescent="0.3">
      <c r="A1251" s="210" t="s">
        <v>211</v>
      </c>
      <c r="B1251" s="21"/>
      <c r="C1251" s="3"/>
      <c r="D1251" s="3"/>
      <c r="E1251" s="3"/>
      <c r="F1251" s="3"/>
      <c r="G1251" s="26"/>
      <c r="H1251" s="73">
        <f t="shared" ref="H1251:N1251" si="109">SUM(H1178:H1250)</f>
        <v>115768.7</v>
      </c>
      <c r="I1251" s="73">
        <f t="shared" si="109"/>
        <v>4870</v>
      </c>
      <c r="J1251" s="73">
        <f t="shared" si="109"/>
        <v>86583062.300000027</v>
      </c>
      <c r="K1251" s="73">
        <f t="shared" si="109"/>
        <v>0</v>
      </c>
      <c r="L1251" s="73">
        <f t="shared" si="109"/>
        <v>0</v>
      </c>
      <c r="M1251" s="73">
        <f t="shared" si="109"/>
        <v>0</v>
      </c>
      <c r="N1251" s="73">
        <f t="shared" si="109"/>
        <v>86583062.300000027</v>
      </c>
      <c r="O1251" s="3"/>
      <c r="P1251" s="3"/>
    </row>
    <row r="1252" spans="1:16" ht="17.25" customHeight="1" x14ac:dyDescent="0.3">
      <c r="A1252" s="210" t="s">
        <v>1233</v>
      </c>
      <c r="B1252" s="21"/>
      <c r="C1252" s="92"/>
      <c r="D1252" s="92"/>
      <c r="E1252" s="92"/>
      <c r="F1252" s="92"/>
      <c r="G1252" s="96"/>
      <c r="H1252" s="92"/>
      <c r="I1252" s="92"/>
      <c r="J1252" s="19"/>
      <c r="K1252" s="73"/>
      <c r="L1252" s="73"/>
      <c r="M1252" s="73"/>
      <c r="N1252" s="73"/>
      <c r="O1252" s="3"/>
      <c r="P1252" s="3"/>
    </row>
    <row r="1253" spans="1:16" ht="17.25" customHeight="1" x14ac:dyDescent="0.3">
      <c r="A1253" s="169">
        <f>A1250+1</f>
        <v>1133</v>
      </c>
      <c r="B1253" s="21" t="s">
        <v>1234</v>
      </c>
      <c r="C1253" s="5">
        <v>1940</v>
      </c>
      <c r="D1253" s="3"/>
      <c r="E1253" s="15" t="s">
        <v>3730</v>
      </c>
      <c r="F1253" s="15">
        <v>2</v>
      </c>
      <c r="G1253" s="25">
        <v>1</v>
      </c>
      <c r="H1253" s="15">
        <v>111.6</v>
      </c>
      <c r="I1253" s="15">
        <v>6</v>
      </c>
      <c r="J1253" s="19">
        <f t="shared" si="107"/>
        <v>396372.03</v>
      </c>
      <c r="K1253" s="73"/>
      <c r="L1253" s="73"/>
      <c r="M1253" s="73"/>
      <c r="N1253" s="19">
        <f>SUMIF('2020'!B:B,B1253,'2020'!C:C)+SUMIF('2021'!B:B,B1253,'2021'!C:C)+SUMIF('2022'!B:B,B1253,'2022'!C:C)</f>
        <v>396372.03</v>
      </c>
      <c r="O1253" s="17">
        <v>44925</v>
      </c>
      <c r="P1253" s="2" t="s">
        <v>3728</v>
      </c>
    </row>
    <row r="1254" spans="1:16" ht="17.25" customHeight="1" x14ac:dyDescent="0.3">
      <c r="A1254" s="169">
        <f t="shared" si="108"/>
        <v>1134</v>
      </c>
      <c r="B1254" s="21" t="s">
        <v>1235</v>
      </c>
      <c r="C1254" s="5">
        <v>1940</v>
      </c>
      <c r="D1254" s="3"/>
      <c r="E1254" s="15" t="s">
        <v>3730</v>
      </c>
      <c r="F1254" s="15">
        <v>2</v>
      </c>
      <c r="G1254" s="25">
        <v>1</v>
      </c>
      <c r="H1254" s="15">
        <v>177.4</v>
      </c>
      <c r="I1254" s="15">
        <v>7</v>
      </c>
      <c r="J1254" s="19">
        <f t="shared" si="107"/>
        <v>441253.8</v>
      </c>
      <c r="K1254" s="73"/>
      <c r="L1254" s="73"/>
      <c r="M1254" s="73"/>
      <c r="N1254" s="19">
        <f>SUMIF('2020'!B:B,B1254,'2020'!C:C)+SUMIF('2021'!B:B,B1254,'2021'!C:C)+SUMIF('2022'!B:B,B1254,'2022'!C:C)</f>
        <v>441253.8</v>
      </c>
      <c r="O1254" s="17">
        <v>44925</v>
      </c>
      <c r="P1254" s="2" t="s">
        <v>3728</v>
      </c>
    </row>
    <row r="1255" spans="1:16" ht="17.25" customHeight="1" x14ac:dyDescent="0.3">
      <c r="A1255" s="169">
        <f t="shared" si="108"/>
        <v>1135</v>
      </c>
      <c r="B1255" s="21" t="s">
        <v>1236</v>
      </c>
      <c r="C1255" s="5">
        <v>1971</v>
      </c>
      <c r="D1255" s="3"/>
      <c r="E1255" s="15" t="s">
        <v>3645</v>
      </c>
      <c r="F1255" s="15">
        <v>2</v>
      </c>
      <c r="G1255" s="25">
        <v>3</v>
      </c>
      <c r="H1255" s="15">
        <v>910.03</v>
      </c>
      <c r="I1255" s="15">
        <v>32</v>
      </c>
      <c r="J1255" s="19">
        <f t="shared" si="107"/>
        <v>130</v>
      </c>
      <c r="K1255" s="73"/>
      <c r="L1255" s="73"/>
      <c r="M1255" s="73"/>
      <c r="N1255" s="19">
        <f>SUMIF('2020'!B:B,B1255,'2020'!C:C)+SUMIF('2021'!B:B,B1255,'2021'!C:C)+SUMIF('2022'!B:B,B1255,'2022'!C:C)</f>
        <v>130</v>
      </c>
      <c r="O1255" s="17">
        <v>44925</v>
      </c>
      <c r="P1255" s="2" t="s">
        <v>3728</v>
      </c>
    </row>
    <row r="1256" spans="1:16" ht="17.25" customHeight="1" x14ac:dyDescent="0.3">
      <c r="A1256" s="169">
        <f t="shared" si="108"/>
        <v>1136</v>
      </c>
      <c r="B1256" s="21" t="s">
        <v>1237</v>
      </c>
      <c r="C1256" s="5">
        <v>1940</v>
      </c>
      <c r="D1256" s="3"/>
      <c r="E1256" s="15" t="s">
        <v>3730</v>
      </c>
      <c r="F1256" s="15">
        <v>2</v>
      </c>
      <c r="G1256" s="25">
        <v>1</v>
      </c>
      <c r="H1256" s="15">
        <v>91.04</v>
      </c>
      <c r="I1256" s="15">
        <v>4</v>
      </c>
      <c r="J1256" s="19">
        <f t="shared" si="107"/>
        <v>354460.41</v>
      </c>
      <c r="K1256" s="73"/>
      <c r="L1256" s="73"/>
      <c r="M1256" s="73"/>
      <c r="N1256" s="19">
        <f>SUMIF('2020'!B:B,B1256,'2020'!C:C)+SUMIF('2021'!B:B,B1256,'2021'!C:C)+SUMIF('2022'!B:B,B1256,'2022'!C:C)</f>
        <v>354460.41</v>
      </c>
      <c r="O1256" s="17">
        <v>44925</v>
      </c>
      <c r="P1256" s="2" t="s">
        <v>3728</v>
      </c>
    </row>
    <row r="1257" spans="1:16" ht="17.25" customHeight="1" x14ac:dyDescent="0.3">
      <c r="A1257" s="169">
        <f t="shared" si="108"/>
        <v>1137</v>
      </c>
      <c r="B1257" s="21" t="s">
        <v>1238</v>
      </c>
      <c r="C1257" s="5">
        <v>1940</v>
      </c>
      <c r="D1257" s="3"/>
      <c r="E1257" s="15" t="s">
        <v>3730</v>
      </c>
      <c r="F1257" s="15">
        <v>2</v>
      </c>
      <c r="G1257" s="25">
        <v>1</v>
      </c>
      <c r="H1257" s="15">
        <v>116</v>
      </c>
      <c r="I1257" s="15">
        <v>4</v>
      </c>
      <c r="J1257" s="19">
        <f t="shared" si="107"/>
        <v>401322.23</v>
      </c>
      <c r="K1257" s="73"/>
      <c r="L1257" s="73"/>
      <c r="M1257" s="73"/>
      <c r="N1257" s="19">
        <f>SUMIF('2020'!B:B,B1257,'2020'!C:C)+SUMIF('2021'!B:B,B1257,'2021'!C:C)+SUMIF('2022'!B:B,B1257,'2022'!C:C)</f>
        <v>401322.23</v>
      </c>
      <c r="O1257" s="17">
        <v>44925</v>
      </c>
      <c r="P1257" s="2" t="s">
        <v>3728</v>
      </c>
    </row>
    <row r="1258" spans="1:16" ht="17.25" customHeight="1" x14ac:dyDescent="0.3">
      <c r="A1258" s="169">
        <f t="shared" si="108"/>
        <v>1138</v>
      </c>
      <c r="B1258" s="21" t="s">
        <v>1239</v>
      </c>
      <c r="C1258" s="5">
        <v>1939</v>
      </c>
      <c r="D1258" s="3"/>
      <c r="E1258" s="15" t="s">
        <v>3645</v>
      </c>
      <c r="F1258" s="15">
        <v>2</v>
      </c>
      <c r="G1258" s="25">
        <v>1</v>
      </c>
      <c r="H1258" s="15">
        <v>869</v>
      </c>
      <c r="I1258" s="15">
        <v>35</v>
      </c>
      <c r="J1258" s="19">
        <f t="shared" si="107"/>
        <v>752519.53</v>
      </c>
      <c r="K1258" s="73"/>
      <c r="L1258" s="73"/>
      <c r="M1258" s="73"/>
      <c r="N1258" s="19">
        <f>SUMIF('2020'!B:B,B1258,'2020'!C:C)+SUMIF('2021'!B:B,B1258,'2021'!C:C)+SUMIF('2022'!B:B,B1258,'2022'!C:C)</f>
        <v>752519.53</v>
      </c>
      <c r="O1258" s="17">
        <v>44925</v>
      </c>
      <c r="P1258" s="2" t="s">
        <v>3728</v>
      </c>
    </row>
    <row r="1259" spans="1:16" ht="17.25" customHeight="1" x14ac:dyDescent="0.3">
      <c r="A1259" s="210" t="s">
        <v>211</v>
      </c>
      <c r="B1259" s="21"/>
      <c r="C1259" s="3"/>
      <c r="D1259" s="3"/>
      <c r="E1259" s="3"/>
      <c r="F1259" s="3"/>
      <c r="G1259" s="26"/>
      <c r="H1259" s="73">
        <f t="shared" ref="H1259:M1259" si="110">SUM(H1253:H1258)</f>
        <v>2275.0699999999997</v>
      </c>
      <c r="I1259" s="73">
        <f t="shared" si="110"/>
        <v>88</v>
      </c>
      <c r="J1259" s="73">
        <f t="shared" si="110"/>
        <v>2346058</v>
      </c>
      <c r="K1259" s="73">
        <f t="shared" si="110"/>
        <v>0</v>
      </c>
      <c r="L1259" s="73">
        <f t="shared" si="110"/>
        <v>0</v>
      </c>
      <c r="M1259" s="73">
        <f t="shared" si="110"/>
        <v>0</v>
      </c>
      <c r="N1259" s="73">
        <f>SUM(N1253:N1258)</f>
        <v>2346058</v>
      </c>
      <c r="O1259" s="3"/>
      <c r="P1259" s="3"/>
    </row>
    <row r="1260" spans="1:16" ht="17.25" customHeight="1" x14ac:dyDescent="0.3">
      <c r="A1260" s="210" t="s">
        <v>1240</v>
      </c>
      <c r="B1260" s="21"/>
      <c r="C1260" s="3"/>
      <c r="D1260" s="3"/>
      <c r="E1260" s="3"/>
      <c r="F1260" s="3"/>
      <c r="G1260" s="26"/>
      <c r="H1260" s="3"/>
      <c r="I1260" s="3"/>
      <c r="J1260" s="19"/>
      <c r="K1260" s="73"/>
      <c r="L1260" s="73"/>
      <c r="M1260" s="73"/>
      <c r="N1260" s="73"/>
      <c r="O1260" s="3"/>
      <c r="P1260" s="3"/>
    </row>
    <row r="1261" spans="1:16" ht="17.25" customHeight="1" x14ac:dyDescent="0.3">
      <c r="A1261" s="169">
        <f>A1258+1</f>
        <v>1139</v>
      </c>
      <c r="B1261" s="21" t="s">
        <v>1241</v>
      </c>
      <c r="C1261" s="5">
        <v>1949</v>
      </c>
      <c r="D1261" s="3"/>
      <c r="E1261" s="13" t="s">
        <v>3646</v>
      </c>
      <c r="F1261" s="13">
        <v>2</v>
      </c>
      <c r="G1261" s="25">
        <v>2</v>
      </c>
      <c r="H1261" s="13">
        <v>285.05</v>
      </c>
      <c r="I1261" s="13">
        <v>15</v>
      </c>
      <c r="J1261" s="19">
        <f t="shared" ref="J1261:J1318" si="111">K1261+L1261+M1261+N1261</f>
        <v>699701.4</v>
      </c>
      <c r="K1261" s="73"/>
      <c r="L1261" s="73"/>
      <c r="M1261" s="73"/>
      <c r="N1261" s="19">
        <f>SUMIF('2020'!B:B,B1261,'2020'!C:C)+SUMIF('2021'!B:B,B1261,'2021'!C:C)+SUMIF('2022'!B:B,B1261,'2022'!C:C)</f>
        <v>699701.4</v>
      </c>
      <c r="O1261" s="17">
        <v>44925</v>
      </c>
      <c r="P1261" s="2" t="s">
        <v>3728</v>
      </c>
    </row>
    <row r="1262" spans="1:16" ht="17.25" customHeight="1" x14ac:dyDescent="0.3">
      <c r="A1262" s="169">
        <f t="shared" si="108"/>
        <v>1140</v>
      </c>
      <c r="B1262" s="21" t="s">
        <v>1242</v>
      </c>
      <c r="C1262" s="5">
        <v>1981</v>
      </c>
      <c r="D1262" s="3"/>
      <c r="E1262" s="13" t="s">
        <v>3729</v>
      </c>
      <c r="F1262" s="13">
        <v>5</v>
      </c>
      <c r="G1262" s="25">
        <v>6</v>
      </c>
      <c r="H1262" s="13">
        <v>7504.4</v>
      </c>
      <c r="I1262" s="13">
        <v>174</v>
      </c>
      <c r="J1262" s="19">
        <f t="shared" si="111"/>
        <v>23319506.920000002</v>
      </c>
      <c r="K1262" s="73"/>
      <c r="L1262" s="73"/>
      <c r="M1262" s="73"/>
      <c r="N1262" s="19">
        <f>SUMIF('2020'!B:B,B1262,'2020'!C:C)+SUMIF('2021'!B:B,B1262,'2021'!C:C)+SUMIF('2022'!B:B,B1262,'2022'!C:C)</f>
        <v>23319506.920000002</v>
      </c>
      <c r="O1262" s="17">
        <v>44925</v>
      </c>
      <c r="P1262" s="2" t="s">
        <v>3728</v>
      </c>
    </row>
    <row r="1263" spans="1:16" ht="17.25" customHeight="1" x14ac:dyDescent="0.3">
      <c r="A1263" s="169">
        <f t="shared" si="108"/>
        <v>1141</v>
      </c>
      <c r="B1263" s="21" t="s">
        <v>1243</v>
      </c>
      <c r="C1263" s="5">
        <v>1952</v>
      </c>
      <c r="D1263" s="3"/>
      <c r="E1263" s="13" t="s">
        <v>3646</v>
      </c>
      <c r="F1263" s="13">
        <v>2</v>
      </c>
      <c r="G1263" s="25">
        <v>1</v>
      </c>
      <c r="H1263" s="13">
        <v>219.56</v>
      </c>
      <c r="I1263" s="13">
        <v>15</v>
      </c>
      <c r="J1263" s="19">
        <f t="shared" si="111"/>
        <v>722589.98</v>
      </c>
      <c r="K1263" s="73"/>
      <c r="L1263" s="73"/>
      <c r="M1263" s="73"/>
      <c r="N1263" s="19">
        <f>SUMIF('2020'!B:B,B1263,'2020'!C:C)+SUMIF('2021'!B:B,B1263,'2021'!C:C)+SUMIF('2022'!B:B,B1263,'2022'!C:C)</f>
        <v>722589.98</v>
      </c>
      <c r="O1263" s="17">
        <v>44925</v>
      </c>
      <c r="P1263" s="2" t="s">
        <v>3728</v>
      </c>
    </row>
    <row r="1264" spans="1:16" ht="17.25" customHeight="1" x14ac:dyDescent="0.3">
      <c r="A1264" s="169">
        <f t="shared" si="108"/>
        <v>1142</v>
      </c>
      <c r="B1264" s="21" t="s">
        <v>1244</v>
      </c>
      <c r="C1264" s="5">
        <v>1940</v>
      </c>
      <c r="D1264" s="3"/>
      <c r="E1264" s="13" t="s">
        <v>3646</v>
      </c>
      <c r="F1264" s="13">
        <v>2</v>
      </c>
      <c r="G1264" s="25">
        <v>1</v>
      </c>
      <c r="H1264" s="13">
        <v>197.43</v>
      </c>
      <c r="I1264" s="13">
        <v>11</v>
      </c>
      <c r="J1264" s="19">
        <f t="shared" si="111"/>
        <v>724623.73</v>
      </c>
      <c r="K1264" s="73"/>
      <c r="L1264" s="73"/>
      <c r="M1264" s="73"/>
      <c r="N1264" s="19">
        <f>SUMIF('2020'!B:B,B1264,'2020'!C:C)+SUMIF('2021'!B:B,B1264,'2021'!C:C)+SUMIF('2022'!B:B,B1264,'2022'!C:C)</f>
        <v>724623.73</v>
      </c>
      <c r="O1264" s="17">
        <v>44925</v>
      </c>
      <c r="P1264" s="2" t="s">
        <v>3728</v>
      </c>
    </row>
    <row r="1265" spans="1:16" ht="17.25" customHeight="1" x14ac:dyDescent="0.3">
      <c r="A1265" s="169">
        <f t="shared" si="108"/>
        <v>1143</v>
      </c>
      <c r="B1265" s="21" t="s">
        <v>1245</v>
      </c>
      <c r="C1265" s="5">
        <v>1952</v>
      </c>
      <c r="D1265" s="3"/>
      <c r="E1265" s="13" t="s">
        <v>3646</v>
      </c>
      <c r="F1265" s="13">
        <v>2</v>
      </c>
      <c r="G1265" s="25">
        <v>1</v>
      </c>
      <c r="H1265" s="13">
        <v>232.4</v>
      </c>
      <c r="I1265" s="13">
        <v>12</v>
      </c>
      <c r="J1265" s="19">
        <f t="shared" si="111"/>
        <v>660799.53</v>
      </c>
      <c r="K1265" s="73"/>
      <c r="L1265" s="73"/>
      <c r="M1265" s="73"/>
      <c r="N1265" s="19">
        <f>SUMIF('2020'!B:B,B1265,'2020'!C:C)+SUMIF('2021'!B:B,B1265,'2021'!C:C)+SUMIF('2022'!B:B,B1265,'2022'!C:C)</f>
        <v>660799.53</v>
      </c>
      <c r="O1265" s="17">
        <v>44925</v>
      </c>
      <c r="P1265" s="2" t="s">
        <v>3728</v>
      </c>
    </row>
    <row r="1266" spans="1:16" ht="17.25" customHeight="1" x14ac:dyDescent="0.3">
      <c r="A1266" s="169">
        <f t="shared" si="108"/>
        <v>1144</v>
      </c>
      <c r="B1266" s="21" t="s">
        <v>1246</v>
      </c>
      <c r="C1266" s="5">
        <v>1952</v>
      </c>
      <c r="D1266" s="3"/>
      <c r="E1266" s="13" t="s">
        <v>3646</v>
      </c>
      <c r="F1266" s="13">
        <v>2</v>
      </c>
      <c r="G1266" s="25">
        <v>1</v>
      </c>
      <c r="H1266" s="13">
        <v>229.69</v>
      </c>
      <c r="I1266" s="13">
        <v>13</v>
      </c>
      <c r="J1266" s="19">
        <f t="shared" si="111"/>
        <v>654654.41999999993</v>
      </c>
      <c r="K1266" s="73"/>
      <c r="L1266" s="73"/>
      <c r="M1266" s="73"/>
      <c r="N1266" s="19">
        <f>SUMIF('2020'!B:B,B1266,'2020'!C:C)+SUMIF('2021'!B:B,B1266,'2021'!C:C)+SUMIF('2022'!B:B,B1266,'2022'!C:C)</f>
        <v>654654.41999999993</v>
      </c>
      <c r="O1266" s="17">
        <v>44925</v>
      </c>
      <c r="P1266" s="2" t="s">
        <v>3728</v>
      </c>
    </row>
    <row r="1267" spans="1:16" ht="17.25" customHeight="1" x14ac:dyDescent="0.3">
      <c r="A1267" s="169">
        <f t="shared" si="108"/>
        <v>1145</v>
      </c>
      <c r="B1267" s="21" t="s">
        <v>1247</v>
      </c>
      <c r="C1267" s="5">
        <v>1940</v>
      </c>
      <c r="D1267" s="3"/>
      <c r="E1267" s="13" t="s">
        <v>3646</v>
      </c>
      <c r="F1267" s="13">
        <v>2</v>
      </c>
      <c r="G1267" s="25">
        <v>1</v>
      </c>
      <c r="H1267" s="13">
        <v>91.89</v>
      </c>
      <c r="I1267" s="13">
        <v>5</v>
      </c>
      <c r="J1267" s="19">
        <f t="shared" si="111"/>
        <v>553838.22</v>
      </c>
      <c r="K1267" s="73"/>
      <c r="L1267" s="73"/>
      <c r="M1267" s="73"/>
      <c r="N1267" s="19">
        <f>SUMIF('2020'!B:B,B1267,'2020'!C:C)+SUMIF('2021'!B:B,B1267,'2021'!C:C)+SUMIF('2022'!B:B,B1267,'2022'!C:C)</f>
        <v>553838.22</v>
      </c>
      <c r="O1267" s="17">
        <v>44925</v>
      </c>
      <c r="P1267" s="2" t="s">
        <v>3728</v>
      </c>
    </row>
    <row r="1268" spans="1:16" ht="17.25" customHeight="1" x14ac:dyDescent="0.3">
      <c r="A1268" s="169">
        <f t="shared" si="108"/>
        <v>1146</v>
      </c>
      <c r="B1268" s="21" t="s">
        <v>1248</v>
      </c>
      <c r="C1268" s="5">
        <v>1935</v>
      </c>
      <c r="D1268" s="3"/>
      <c r="E1268" s="13" t="s">
        <v>3730</v>
      </c>
      <c r="F1268" s="13">
        <v>2</v>
      </c>
      <c r="G1268" s="25">
        <v>2</v>
      </c>
      <c r="H1268" s="13">
        <v>110.13</v>
      </c>
      <c r="I1268" s="13">
        <v>8</v>
      </c>
      <c r="J1268" s="19">
        <f t="shared" si="111"/>
        <v>733229.12</v>
      </c>
      <c r="K1268" s="73"/>
      <c r="L1268" s="73"/>
      <c r="M1268" s="73"/>
      <c r="N1268" s="19">
        <f>SUMIF('2020'!B:B,B1268,'2020'!C:C)+SUMIF('2021'!B:B,B1268,'2021'!C:C)+SUMIF('2022'!B:B,B1268,'2022'!C:C)</f>
        <v>733229.12</v>
      </c>
      <c r="O1268" s="17">
        <v>44925</v>
      </c>
      <c r="P1268" s="2" t="s">
        <v>3728</v>
      </c>
    </row>
    <row r="1269" spans="1:16" ht="17.25" customHeight="1" x14ac:dyDescent="0.3">
      <c r="A1269" s="169">
        <f t="shared" si="108"/>
        <v>1147</v>
      </c>
      <c r="B1269" s="21" t="s">
        <v>1249</v>
      </c>
      <c r="C1269" s="5">
        <v>1940</v>
      </c>
      <c r="D1269" s="3"/>
      <c r="E1269" s="13" t="s">
        <v>3730</v>
      </c>
      <c r="F1269" s="13">
        <v>2</v>
      </c>
      <c r="G1269" s="25">
        <v>2</v>
      </c>
      <c r="H1269" s="13">
        <v>127.05</v>
      </c>
      <c r="I1269" s="13">
        <v>7</v>
      </c>
      <c r="J1269" s="19">
        <f t="shared" si="111"/>
        <v>675994.81</v>
      </c>
      <c r="K1269" s="73"/>
      <c r="L1269" s="73"/>
      <c r="M1269" s="73"/>
      <c r="N1269" s="19">
        <f>SUMIF('2020'!B:B,B1269,'2020'!C:C)+SUMIF('2021'!B:B,B1269,'2021'!C:C)+SUMIF('2022'!B:B,B1269,'2022'!C:C)</f>
        <v>675994.81</v>
      </c>
      <c r="O1269" s="17">
        <v>44925</v>
      </c>
      <c r="P1269" s="2" t="s">
        <v>3728</v>
      </c>
    </row>
    <row r="1270" spans="1:16" ht="17.25" customHeight="1" x14ac:dyDescent="0.3">
      <c r="A1270" s="169">
        <f t="shared" ref="A1270:A1287" si="112">A1269+1</f>
        <v>1148</v>
      </c>
      <c r="B1270" s="21" t="s">
        <v>1250</v>
      </c>
      <c r="C1270" s="5">
        <v>1949</v>
      </c>
      <c r="D1270" s="3"/>
      <c r="E1270" s="13" t="s">
        <v>3646</v>
      </c>
      <c r="F1270" s="13">
        <v>2</v>
      </c>
      <c r="G1270" s="25">
        <v>2</v>
      </c>
      <c r="H1270" s="13">
        <v>275.8</v>
      </c>
      <c r="I1270" s="13">
        <v>11</v>
      </c>
      <c r="J1270" s="19">
        <f t="shared" si="111"/>
        <v>707177.56</v>
      </c>
      <c r="K1270" s="73"/>
      <c r="L1270" s="73"/>
      <c r="M1270" s="73"/>
      <c r="N1270" s="19">
        <f>SUMIF('2020'!B:B,B1270,'2020'!C:C)+SUMIF('2021'!B:B,B1270,'2021'!C:C)+SUMIF('2022'!B:B,B1270,'2022'!C:C)</f>
        <v>707177.56</v>
      </c>
      <c r="O1270" s="17">
        <v>44925</v>
      </c>
      <c r="P1270" s="2" t="s">
        <v>3728</v>
      </c>
    </row>
    <row r="1271" spans="1:16" ht="17.25" customHeight="1" x14ac:dyDescent="0.3">
      <c r="A1271" s="169">
        <f t="shared" si="112"/>
        <v>1149</v>
      </c>
      <c r="B1271" s="21" t="s">
        <v>1251</v>
      </c>
      <c r="C1271" s="5">
        <v>1948</v>
      </c>
      <c r="D1271" s="3"/>
      <c r="E1271" s="13" t="s">
        <v>3646</v>
      </c>
      <c r="F1271" s="13">
        <v>2</v>
      </c>
      <c r="G1271" s="25">
        <v>2</v>
      </c>
      <c r="H1271" s="13">
        <v>264.85000000000002</v>
      </c>
      <c r="I1271" s="13">
        <v>5</v>
      </c>
      <c r="J1271" s="19">
        <f t="shared" si="111"/>
        <v>709760.39999999991</v>
      </c>
      <c r="K1271" s="73"/>
      <c r="L1271" s="73"/>
      <c r="M1271" s="73"/>
      <c r="N1271" s="19">
        <f>SUMIF('2020'!B:B,B1271,'2020'!C:C)+SUMIF('2021'!B:B,B1271,'2021'!C:C)+SUMIF('2022'!B:B,B1271,'2022'!C:C)</f>
        <v>709760.39999999991</v>
      </c>
      <c r="O1271" s="17">
        <v>44925</v>
      </c>
      <c r="P1271" s="2" t="s">
        <v>3728</v>
      </c>
    </row>
    <row r="1272" spans="1:16" ht="17.25" customHeight="1" x14ac:dyDescent="0.3">
      <c r="A1272" s="169">
        <f t="shared" si="112"/>
        <v>1150</v>
      </c>
      <c r="B1272" s="21" t="s">
        <v>1252</v>
      </c>
      <c r="C1272" s="5">
        <v>1948</v>
      </c>
      <c r="D1272" s="3"/>
      <c r="E1272" s="13" t="s">
        <v>3646</v>
      </c>
      <c r="F1272" s="13">
        <v>2</v>
      </c>
      <c r="G1272" s="25">
        <v>1</v>
      </c>
      <c r="H1272" s="13">
        <v>258.2</v>
      </c>
      <c r="I1272" s="13">
        <v>9</v>
      </c>
      <c r="J1272" s="19">
        <f t="shared" si="111"/>
        <v>705818.24</v>
      </c>
      <c r="K1272" s="73"/>
      <c r="L1272" s="73"/>
      <c r="M1272" s="73"/>
      <c r="N1272" s="19">
        <f>SUMIF('2020'!B:B,B1272,'2020'!C:C)+SUMIF('2021'!B:B,B1272,'2021'!C:C)+SUMIF('2022'!B:B,B1272,'2022'!C:C)</f>
        <v>705818.24</v>
      </c>
      <c r="O1272" s="17">
        <v>44925</v>
      </c>
      <c r="P1272" s="2" t="s">
        <v>3728</v>
      </c>
    </row>
    <row r="1273" spans="1:16" ht="17.25" customHeight="1" x14ac:dyDescent="0.3">
      <c r="A1273" s="169">
        <f t="shared" si="112"/>
        <v>1151</v>
      </c>
      <c r="B1273" s="21" t="s">
        <v>1253</v>
      </c>
      <c r="C1273" s="5">
        <v>1952</v>
      </c>
      <c r="D1273" s="3"/>
      <c r="E1273" s="13" t="s">
        <v>3646</v>
      </c>
      <c r="F1273" s="13">
        <v>2</v>
      </c>
      <c r="G1273" s="25">
        <v>1</v>
      </c>
      <c r="H1273" s="13">
        <v>246.43</v>
      </c>
      <c r="I1273" s="13">
        <v>13</v>
      </c>
      <c r="J1273" s="19">
        <f t="shared" si="111"/>
        <v>651892.36</v>
      </c>
      <c r="K1273" s="73"/>
      <c r="L1273" s="73"/>
      <c r="M1273" s="73"/>
      <c r="N1273" s="19">
        <f>SUMIF('2020'!B:B,B1273,'2020'!C:C)+SUMIF('2021'!B:B,B1273,'2021'!C:C)+SUMIF('2022'!B:B,B1273,'2022'!C:C)</f>
        <v>651892.36</v>
      </c>
      <c r="O1273" s="17">
        <v>44925</v>
      </c>
      <c r="P1273" s="2" t="s">
        <v>3728</v>
      </c>
    </row>
    <row r="1274" spans="1:16" ht="17.25" customHeight="1" x14ac:dyDescent="0.3">
      <c r="A1274" s="169">
        <f t="shared" si="112"/>
        <v>1152</v>
      </c>
      <c r="B1274" s="21" t="s">
        <v>1254</v>
      </c>
      <c r="C1274" s="5">
        <v>1952</v>
      </c>
      <c r="D1274" s="3"/>
      <c r="E1274" s="13" t="s">
        <v>3646</v>
      </c>
      <c r="F1274" s="13">
        <v>2</v>
      </c>
      <c r="G1274" s="25">
        <v>1</v>
      </c>
      <c r="H1274" s="13">
        <v>230</v>
      </c>
      <c r="I1274" s="13">
        <v>14</v>
      </c>
      <c r="J1274" s="19">
        <f t="shared" si="111"/>
        <v>665761.54</v>
      </c>
      <c r="K1274" s="73"/>
      <c r="L1274" s="73"/>
      <c r="M1274" s="73"/>
      <c r="N1274" s="19">
        <f>SUMIF('2020'!B:B,B1274,'2020'!C:C)+SUMIF('2021'!B:B,B1274,'2021'!C:C)+SUMIF('2022'!B:B,B1274,'2022'!C:C)</f>
        <v>665761.54</v>
      </c>
      <c r="O1274" s="17">
        <v>44925</v>
      </c>
      <c r="P1274" s="2" t="s">
        <v>3728</v>
      </c>
    </row>
    <row r="1275" spans="1:16" ht="17.25" customHeight="1" x14ac:dyDescent="0.3">
      <c r="A1275" s="169">
        <f t="shared" si="112"/>
        <v>1153</v>
      </c>
      <c r="B1275" s="21" t="s">
        <v>1255</v>
      </c>
      <c r="C1275" s="5">
        <v>1978</v>
      </c>
      <c r="D1275" s="3"/>
      <c r="E1275" s="13" t="s">
        <v>3819</v>
      </c>
      <c r="F1275" s="13">
        <v>5</v>
      </c>
      <c r="G1275" s="25">
        <v>6</v>
      </c>
      <c r="H1275" s="13">
        <v>4419</v>
      </c>
      <c r="I1275" s="13">
        <v>209</v>
      </c>
      <c r="J1275" s="19">
        <f t="shared" si="111"/>
        <v>22779531.84</v>
      </c>
      <c r="K1275" s="73"/>
      <c r="L1275" s="73"/>
      <c r="M1275" s="73"/>
      <c r="N1275" s="19">
        <f>SUMIF('2020'!B:B,B1275,'2020'!C:C)+SUMIF('2021'!B:B,B1275,'2021'!C:C)+SUMIF('2022'!B:B,B1275,'2022'!C:C)</f>
        <v>22779531.84</v>
      </c>
      <c r="O1275" s="17">
        <v>44925</v>
      </c>
      <c r="P1275" s="2" t="s">
        <v>3728</v>
      </c>
    </row>
    <row r="1276" spans="1:16" ht="17.25" customHeight="1" x14ac:dyDescent="0.3">
      <c r="A1276" s="169">
        <f t="shared" si="112"/>
        <v>1154</v>
      </c>
      <c r="B1276" s="21" t="s">
        <v>1256</v>
      </c>
      <c r="C1276" s="5">
        <v>1979</v>
      </c>
      <c r="D1276" s="3"/>
      <c r="E1276" s="13" t="s">
        <v>3729</v>
      </c>
      <c r="F1276" s="13">
        <v>5</v>
      </c>
      <c r="G1276" s="25">
        <v>6</v>
      </c>
      <c r="H1276" s="13">
        <v>4446.3</v>
      </c>
      <c r="I1276" s="13">
        <v>221</v>
      </c>
      <c r="J1276" s="19">
        <f t="shared" si="111"/>
        <v>22112919.16</v>
      </c>
      <c r="K1276" s="73"/>
      <c r="L1276" s="73"/>
      <c r="M1276" s="73"/>
      <c r="N1276" s="19">
        <f>SUMIF('2020'!B:B,B1276,'2020'!C:C)+SUMIF('2021'!B:B,B1276,'2021'!C:C)+SUMIF('2022'!B:B,B1276,'2022'!C:C)</f>
        <v>22112919.16</v>
      </c>
      <c r="O1276" s="17">
        <v>44925</v>
      </c>
      <c r="P1276" s="2" t="s">
        <v>3728</v>
      </c>
    </row>
    <row r="1277" spans="1:16" ht="17.25" customHeight="1" x14ac:dyDescent="0.3">
      <c r="A1277" s="169">
        <f t="shared" si="112"/>
        <v>1155</v>
      </c>
      <c r="B1277" s="21" t="s">
        <v>1257</v>
      </c>
      <c r="C1277" s="5">
        <v>1960</v>
      </c>
      <c r="D1277" s="3"/>
      <c r="E1277" s="13" t="s">
        <v>3645</v>
      </c>
      <c r="F1277" s="13">
        <v>3</v>
      </c>
      <c r="G1277" s="25">
        <v>3</v>
      </c>
      <c r="H1277" s="13">
        <v>1365.88</v>
      </c>
      <c r="I1277" s="13">
        <v>178</v>
      </c>
      <c r="J1277" s="19">
        <f t="shared" si="111"/>
        <v>13899080.760000002</v>
      </c>
      <c r="K1277" s="73"/>
      <c r="L1277" s="73"/>
      <c r="M1277" s="73"/>
      <c r="N1277" s="19">
        <f>SUMIF('2020'!B:B,B1277,'2020'!C:C)+SUMIF('2021'!B:B,B1277,'2021'!C:C)+SUMIF('2022'!B:B,B1277,'2022'!C:C)</f>
        <v>13899080.760000002</v>
      </c>
      <c r="O1277" s="17">
        <v>44925</v>
      </c>
      <c r="P1277" s="2" t="s">
        <v>3728</v>
      </c>
    </row>
    <row r="1278" spans="1:16" ht="17.25" customHeight="1" x14ac:dyDescent="0.3">
      <c r="A1278" s="169">
        <f t="shared" si="112"/>
        <v>1156</v>
      </c>
      <c r="B1278" s="21" t="s">
        <v>1258</v>
      </c>
      <c r="C1278" s="5">
        <v>1973</v>
      </c>
      <c r="D1278" s="3"/>
      <c r="E1278" s="13" t="s">
        <v>3645</v>
      </c>
      <c r="F1278" s="13">
        <v>5</v>
      </c>
      <c r="G1278" s="25">
        <v>4</v>
      </c>
      <c r="H1278" s="13">
        <v>2667.82</v>
      </c>
      <c r="I1278" s="13">
        <v>208</v>
      </c>
      <c r="J1278" s="19">
        <f t="shared" si="111"/>
        <v>17381843.68</v>
      </c>
      <c r="K1278" s="73"/>
      <c r="L1278" s="73"/>
      <c r="M1278" s="73"/>
      <c r="N1278" s="19">
        <f>SUMIF('2020'!B:B,B1278,'2020'!C:C)+SUMIF('2021'!B:B,B1278,'2021'!C:C)+SUMIF('2022'!B:B,B1278,'2022'!C:C)</f>
        <v>17381843.68</v>
      </c>
      <c r="O1278" s="17">
        <v>44925</v>
      </c>
      <c r="P1278" s="2" t="s">
        <v>3728</v>
      </c>
    </row>
    <row r="1279" spans="1:16" ht="17.25" customHeight="1" x14ac:dyDescent="0.3">
      <c r="A1279" s="169">
        <f t="shared" si="112"/>
        <v>1157</v>
      </c>
      <c r="B1279" s="21" t="s">
        <v>1259</v>
      </c>
      <c r="C1279" s="5">
        <v>1940</v>
      </c>
      <c r="D1279" s="3"/>
      <c r="E1279" s="13" t="s">
        <v>3729</v>
      </c>
      <c r="F1279" s="13">
        <v>2</v>
      </c>
      <c r="G1279" s="25">
        <v>5</v>
      </c>
      <c r="H1279" s="13">
        <v>107.1</v>
      </c>
      <c r="I1279" s="13">
        <v>4</v>
      </c>
      <c r="J1279" s="19">
        <f t="shared" si="111"/>
        <v>541640.89999999991</v>
      </c>
      <c r="K1279" s="73"/>
      <c r="L1279" s="73"/>
      <c r="M1279" s="73"/>
      <c r="N1279" s="19">
        <f>SUMIF('2020'!B:B,B1279,'2020'!C:C)+SUMIF('2021'!B:B,B1279,'2021'!C:C)+SUMIF('2022'!B:B,B1279,'2022'!C:C)</f>
        <v>541640.89999999991</v>
      </c>
      <c r="O1279" s="17">
        <v>44925</v>
      </c>
      <c r="P1279" s="2" t="s">
        <v>3728</v>
      </c>
    </row>
    <row r="1280" spans="1:16" ht="17.25" customHeight="1" x14ac:dyDescent="0.3">
      <c r="A1280" s="169">
        <f t="shared" si="112"/>
        <v>1158</v>
      </c>
      <c r="B1280" s="21" t="s">
        <v>1260</v>
      </c>
      <c r="C1280" s="5">
        <v>1949</v>
      </c>
      <c r="D1280" s="3"/>
      <c r="E1280" s="13" t="s">
        <v>3646</v>
      </c>
      <c r="F1280" s="13">
        <v>2</v>
      </c>
      <c r="G1280" s="25">
        <v>1</v>
      </c>
      <c r="H1280" s="13">
        <v>221.05</v>
      </c>
      <c r="I1280" s="13">
        <v>11</v>
      </c>
      <c r="J1280" s="19">
        <f t="shared" si="111"/>
        <v>760571.29</v>
      </c>
      <c r="K1280" s="73"/>
      <c r="L1280" s="73"/>
      <c r="M1280" s="73"/>
      <c r="N1280" s="19">
        <f>SUMIF('2020'!B:B,B1280,'2020'!C:C)+SUMIF('2021'!B:B,B1280,'2021'!C:C)+SUMIF('2022'!B:B,B1280,'2022'!C:C)</f>
        <v>760571.29</v>
      </c>
      <c r="O1280" s="17">
        <v>44925</v>
      </c>
      <c r="P1280" s="2" t="s">
        <v>3728</v>
      </c>
    </row>
    <row r="1281" spans="1:16" ht="17.25" customHeight="1" x14ac:dyDescent="0.3">
      <c r="A1281" s="169">
        <f t="shared" si="112"/>
        <v>1159</v>
      </c>
      <c r="B1281" s="21" t="s">
        <v>1261</v>
      </c>
      <c r="C1281" s="5">
        <v>1971</v>
      </c>
      <c r="D1281" s="3"/>
      <c r="E1281" s="13" t="s">
        <v>3645</v>
      </c>
      <c r="F1281" s="13">
        <v>5</v>
      </c>
      <c r="G1281" s="25">
        <v>8</v>
      </c>
      <c r="H1281" s="13">
        <v>6015.29</v>
      </c>
      <c r="I1281" s="13">
        <v>292</v>
      </c>
      <c r="J1281" s="19">
        <f t="shared" si="111"/>
        <v>34075665.5</v>
      </c>
      <c r="K1281" s="73"/>
      <c r="L1281" s="73"/>
      <c r="M1281" s="73"/>
      <c r="N1281" s="19">
        <f>SUMIF('2020'!B:B,B1281,'2020'!C:C)+SUMIF('2021'!B:B,B1281,'2021'!C:C)+SUMIF('2022'!B:B,B1281,'2022'!C:C)</f>
        <v>34075665.5</v>
      </c>
      <c r="O1281" s="17">
        <v>44925</v>
      </c>
      <c r="P1281" s="2" t="s">
        <v>3728</v>
      </c>
    </row>
    <row r="1282" spans="1:16" ht="17.25" customHeight="1" x14ac:dyDescent="0.3">
      <c r="A1282" s="169">
        <f t="shared" si="112"/>
        <v>1160</v>
      </c>
      <c r="B1282" s="21" t="s">
        <v>1262</v>
      </c>
      <c r="C1282" s="5">
        <v>1940</v>
      </c>
      <c r="D1282" s="3"/>
      <c r="E1282" s="13" t="s">
        <v>3730</v>
      </c>
      <c r="F1282" s="13">
        <v>2</v>
      </c>
      <c r="G1282" s="25">
        <v>3</v>
      </c>
      <c r="H1282" s="13">
        <v>274.60000000000002</v>
      </c>
      <c r="I1282" s="13">
        <v>5</v>
      </c>
      <c r="J1282" s="19">
        <f t="shared" si="111"/>
        <v>1249897.06</v>
      </c>
      <c r="K1282" s="73"/>
      <c r="L1282" s="73"/>
      <c r="M1282" s="73"/>
      <c r="N1282" s="19">
        <f>SUMIF('2020'!B:B,B1282,'2020'!C:C)+SUMIF('2021'!B:B,B1282,'2021'!C:C)+SUMIF('2022'!B:B,B1282,'2022'!C:C)</f>
        <v>1249897.06</v>
      </c>
      <c r="O1282" s="17">
        <v>44925</v>
      </c>
      <c r="P1282" s="2" t="s">
        <v>3728</v>
      </c>
    </row>
    <row r="1283" spans="1:16" ht="17.25" customHeight="1" x14ac:dyDescent="0.3">
      <c r="A1283" s="169">
        <f t="shared" si="112"/>
        <v>1161</v>
      </c>
      <c r="B1283" s="21" t="s">
        <v>1263</v>
      </c>
      <c r="C1283" s="5">
        <v>1940</v>
      </c>
      <c r="D1283" s="3"/>
      <c r="E1283" s="13" t="s">
        <v>3730</v>
      </c>
      <c r="F1283" s="13">
        <v>2</v>
      </c>
      <c r="G1283" s="25">
        <v>1</v>
      </c>
      <c r="H1283" s="13">
        <v>100.4</v>
      </c>
      <c r="I1283" s="13">
        <v>8</v>
      </c>
      <c r="J1283" s="19">
        <f t="shared" si="111"/>
        <v>540817.19999999995</v>
      </c>
      <c r="K1283" s="73"/>
      <c r="L1283" s="73"/>
      <c r="M1283" s="73"/>
      <c r="N1283" s="19">
        <f>SUMIF('2020'!B:B,B1283,'2020'!C:C)+SUMIF('2021'!B:B,B1283,'2021'!C:C)+SUMIF('2022'!B:B,B1283,'2022'!C:C)</f>
        <v>540817.19999999995</v>
      </c>
      <c r="O1283" s="17">
        <v>44925</v>
      </c>
      <c r="P1283" s="2" t="s">
        <v>3728</v>
      </c>
    </row>
    <row r="1284" spans="1:16" ht="17.25" customHeight="1" x14ac:dyDescent="0.3">
      <c r="A1284" s="169">
        <f t="shared" si="112"/>
        <v>1162</v>
      </c>
      <c r="B1284" s="21" t="s">
        <v>1264</v>
      </c>
      <c r="C1284" s="5">
        <v>1940</v>
      </c>
      <c r="D1284" s="3"/>
      <c r="E1284" s="13" t="s">
        <v>3730</v>
      </c>
      <c r="F1284" s="13">
        <v>2</v>
      </c>
      <c r="G1284" s="25">
        <v>1</v>
      </c>
      <c r="H1284" s="13">
        <v>112.51</v>
      </c>
      <c r="I1284" s="13">
        <v>10</v>
      </c>
      <c r="J1284" s="19">
        <f t="shared" si="111"/>
        <v>560069</v>
      </c>
      <c r="K1284" s="73"/>
      <c r="L1284" s="73"/>
      <c r="M1284" s="73"/>
      <c r="N1284" s="19">
        <f>SUMIF('2020'!B:B,B1284,'2020'!C:C)+SUMIF('2021'!B:B,B1284,'2021'!C:C)+SUMIF('2022'!B:B,B1284,'2022'!C:C)</f>
        <v>560069</v>
      </c>
      <c r="O1284" s="17">
        <v>44925</v>
      </c>
      <c r="P1284" s="2" t="s">
        <v>3728</v>
      </c>
    </row>
    <row r="1285" spans="1:16" ht="17.25" customHeight="1" x14ac:dyDescent="0.3">
      <c r="A1285" s="169">
        <f t="shared" si="112"/>
        <v>1163</v>
      </c>
      <c r="B1285" s="21" t="s">
        <v>1265</v>
      </c>
      <c r="C1285" s="5">
        <v>1940</v>
      </c>
      <c r="D1285" s="3"/>
      <c r="E1285" s="13" t="s">
        <v>3730</v>
      </c>
      <c r="F1285" s="13">
        <v>2</v>
      </c>
      <c r="G1285" s="25">
        <v>1</v>
      </c>
      <c r="H1285" s="13">
        <v>113.84</v>
      </c>
      <c r="I1285" s="13">
        <v>3</v>
      </c>
      <c r="J1285" s="19">
        <f t="shared" si="111"/>
        <v>671953.76</v>
      </c>
      <c r="K1285" s="73"/>
      <c r="L1285" s="73"/>
      <c r="M1285" s="73"/>
      <c r="N1285" s="19">
        <f>SUMIF('2020'!B:B,B1285,'2020'!C:C)+SUMIF('2021'!B:B,B1285,'2021'!C:C)+SUMIF('2022'!B:B,B1285,'2022'!C:C)</f>
        <v>671953.76</v>
      </c>
      <c r="O1285" s="17">
        <v>44925</v>
      </c>
      <c r="P1285" s="2" t="s">
        <v>3728</v>
      </c>
    </row>
    <row r="1286" spans="1:16" ht="17.25" customHeight="1" x14ac:dyDescent="0.3">
      <c r="A1286" s="169">
        <f t="shared" si="112"/>
        <v>1164</v>
      </c>
      <c r="B1286" s="21" t="s">
        <v>1266</v>
      </c>
      <c r="C1286" s="5">
        <v>1940</v>
      </c>
      <c r="D1286" s="3"/>
      <c r="E1286" s="13" t="s">
        <v>3730</v>
      </c>
      <c r="F1286" s="13">
        <v>2</v>
      </c>
      <c r="G1286" s="25">
        <v>1</v>
      </c>
      <c r="H1286" s="13">
        <v>241.36</v>
      </c>
      <c r="I1286" s="13">
        <v>8</v>
      </c>
      <c r="J1286" s="19">
        <f t="shared" si="111"/>
        <v>987488.67</v>
      </c>
      <c r="K1286" s="73"/>
      <c r="L1286" s="73"/>
      <c r="M1286" s="73"/>
      <c r="N1286" s="19">
        <f>SUMIF('2020'!B:B,B1286,'2020'!C:C)+SUMIF('2021'!B:B,B1286,'2021'!C:C)+SUMIF('2022'!B:B,B1286,'2022'!C:C)</f>
        <v>987488.67</v>
      </c>
      <c r="O1286" s="17">
        <v>44925</v>
      </c>
      <c r="P1286" s="2" t="s">
        <v>3728</v>
      </c>
    </row>
    <row r="1287" spans="1:16" ht="17.25" customHeight="1" x14ac:dyDescent="0.3">
      <c r="A1287" s="169">
        <f t="shared" si="112"/>
        <v>1165</v>
      </c>
      <c r="B1287" s="21" t="s">
        <v>1267</v>
      </c>
      <c r="C1287" s="5">
        <v>1940</v>
      </c>
      <c r="D1287" s="3"/>
      <c r="E1287" s="13" t="s">
        <v>3730</v>
      </c>
      <c r="F1287" s="92">
        <v>2</v>
      </c>
      <c r="G1287" s="25">
        <v>1</v>
      </c>
      <c r="H1287" s="92">
        <v>204.3</v>
      </c>
      <c r="I1287" s="92">
        <v>7</v>
      </c>
      <c r="J1287" s="19">
        <f t="shared" si="111"/>
        <v>745436.88000000012</v>
      </c>
      <c r="K1287" s="73"/>
      <c r="L1287" s="73"/>
      <c r="M1287" s="73"/>
      <c r="N1287" s="19">
        <f>SUMIF('2020'!B:B,B1287,'2020'!C:C)+SUMIF('2021'!B:B,B1287,'2021'!C:C)+SUMIF('2022'!B:B,B1287,'2022'!C:C)</f>
        <v>745436.88000000012</v>
      </c>
      <c r="O1287" s="17">
        <v>44925</v>
      </c>
      <c r="P1287" s="2" t="s">
        <v>3728</v>
      </c>
    </row>
    <row r="1288" spans="1:16" ht="17.25" customHeight="1" x14ac:dyDescent="0.3">
      <c r="A1288" s="169">
        <f t="shared" ref="A1288:A1329" si="113">A1287+1</f>
        <v>1166</v>
      </c>
      <c r="B1288" s="21" t="s">
        <v>1268</v>
      </c>
      <c r="C1288" s="5">
        <v>1940</v>
      </c>
      <c r="D1288" s="3"/>
      <c r="E1288" s="13" t="s">
        <v>3730</v>
      </c>
      <c r="F1288" s="92">
        <v>2</v>
      </c>
      <c r="G1288" s="25">
        <v>1</v>
      </c>
      <c r="H1288" s="92">
        <v>160.1</v>
      </c>
      <c r="I1288" s="92">
        <v>6</v>
      </c>
      <c r="J1288" s="19">
        <f t="shared" si="111"/>
        <v>614102.57999999996</v>
      </c>
      <c r="K1288" s="73"/>
      <c r="L1288" s="73"/>
      <c r="M1288" s="73"/>
      <c r="N1288" s="19">
        <f>SUMIF('2020'!B:B,B1288,'2020'!C:C)+SUMIF('2021'!B:B,B1288,'2021'!C:C)+SUMIF('2022'!B:B,B1288,'2022'!C:C)</f>
        <v>614102.57999999996</v>
      </c>
      <c r="O1288" s="17">
        <v>44925</v>
      </c>
      <c r="P1288" s="2" t="s">
        <v>3728</v>
      </c>
    </row>
    <row r="1289" spans="1:16" ht="17.25" customHeight="1" x14ac:dyDescent="0.3">
      <c r="A1289" s="169">
        <f t="shared" si="113"/>
        <v>1167</v>
      </c>
      <c r="B1289" s="21" t="s">
        <v>1269</v>
      </c>
      <c r="C1289" s="5">
        <v>1940</v>
      </c>
      <c r="D1289" s="3"/>
      <c r="E1289" s="13" t="s">
        <v>3730</v>
      </c>
      <c r="F1289" s="92">
        <v>2</v>
      </c>
      <c r="G1289" s="25">
        <v>1</v>
      </c>
      <c r="H1289" s="92">
        <v>134.11000000000001</v>
      </c>
      <c r="I1289" s="92">
        <v>11</v>
      </c>
      <c r="J1289" s="19">
        <f t="shared" si="111"/>
        <v>631306.53</v>
      </c>
      <c r="K1289" s="73"/>
      <c r="L1289" s="73"/>
      <c r="M1289" s="73"/>
      <c r="N1289" s="19">
        <f>SUMIF('2020'!B:B,B1289,'2020'!C:C)+SUMIF('2021'!B:B,B1289,'2021'!C:C)+SUMIF('2022'!B:B,B1289,'2022'!C:C)</f>
        <v>631306.53</v>
      </c>
      <c r="O1289" s="17">
        <v>44925</v>
      </c>
      <c r="P1289" s="2" t="s">
        <v>3728</v>
      </c>
    </row>
    <row r="1290" spans="1:16" ht="17.25" customHeight="1" x14ac:dyDescent="0.3">
      <c r="A1290" s="169">
        <f t="shared" si="113"/>
        <v>1168</v>
      </c>
      <c r="B1290" s="21" t="s">
        <v>1270</v>
      </c>
      <c r="C1290" s="5">
        <v>1940</v>
      </c>
      <c r="D1290" s="3"/>
      <c r="E1290" s="13" t="s">
        <v>3730</v>
      </c>
      <c r="F1290" s="92">
        <v>2</v>
      </c>
      <c r="G1290" s="25">
        <v>1</v>
      </c>
      <c r="H1290" s="92">
        <v>130</v>
      </c>
      <c r="I1290" s="92">
        <v>8</v>
      </c>
      <c r="J1290" s="19">
        <f t="shared" si="111"/>
        <v>624675.6</v>
      </c>
      <c r="K1290" s="73"/>
      <c r="L1290" s="73"/>
      <c r="M1290" s="73"/>
      <c r="N1290" s="19">
        <f>SUMIF('2020'!B:B,B1290,'2020'!C:C)+SUMIF('2021'!B:B,B1290,'2021'!C:C)+SUMIF('2022'!B:B,B1290,'2022'!C:C)</f>
        <v>624675.6</v>
      </c>
      <c r="O1290" s="17">
        <v>44925</v>
      </c>
      <c r="P1290" s="2" t="s">
        <v>3728</v>
      </c>
    </row>
    <row r="1291" spans="1:16" ht="17.25" customHeight="1" x14ac:dyDescent="0.3">
      <c r="A1291" s="169">
        <f t="shared" si="113"/>
        <v>1169</v>
      </c>
      <c r="B1291" s="21" t="s">
        <v>1271</v>
      </c>
      <c r="C1291" s="5">
        <v>1940</v>
      </c>
      <c r="D1291" s="3"/>
      <c r="E1291" s="92" t="s">
        <v>3730</v>
      </c>
      <c r="F1291" s="92">
        <v>2</v>
      </c>
      <c r="G1291" s="25">
        <v>1</v>
      </c>
      <c r="H1291" s="92">
        <v>88.08</v>
      </c>
      <c r="I1291" s="92">
        <v>7</v>
      </c>
      <c r="J1291" s="19">
        <f t="shared" si="111"/>
        <v>500089.32999999996</v>
      </c>
      <c r="K1291" s="73"/>
      <c r="L1291" s="73"/>
      <c r="M1291" s="73"/>
      <c r="N1291" s="19">
        <f>SUMIF('2020'!B:B,B1291,'2020'!C:C)+SUMIF('2021'!B:B,B1291,'2021'!C:C)+SUMIF('2022'!B:B,B1291,'2022'!C:C)</f>
        <v>500089.32999999996</v>
      </c>
      <c r="O1291" s="17">
        <v>44925</v>
      </c>
      <c r="P1291" s="2" t="s">
        <v>3728</v>
      </c>
    </row>
    <row r="1292" spans="1:16" ht="17.25" customHeight="1" x14ac:dyDescent="0.3">
      <c r="A1292" s="169">
        <f t="shared" si="113"/>
        <v>1170</v>
      </c>
      <c r="B1292" s="21" t="s">
        <v>1272</v>
      </c>
      <c r="C1292" s="5">
        <v>1940</v>
      </c>
      <c r="D1292" s="3"/>
      <c r="E1292" s="92" t="s">
        <v>3730</v>
      </c>
      <c r="F1292" s="92">
        <v>2</v>
      </c>
      <c r="G1292" s="25">
        <v>1</v>
      </c>
      <c r="H1292" s="92">
        <v>128.44999999999999</v>
      </c>
      <c r="I1292" s="92">
        <v>7</v>
      </c>
      <c r="J1292" s="19">
        <f t="shared" si="111"/>
        <v>607935.65</v>
      </c>
      <c r="K1292" s="73"/>
      <c r="L1292" s="73"/>
      <c r="M1292" s="73"/>
      <c r="N1292" s="19">
        <f>SUMIF('2020'!B:B,B1292,'2020'!C:C)+SUMIF('2021'!B:B,B1292,'2021'!C:C)+SUMIF('2022'!B:B,B1292,'2022'!C:C)</f>
        <v>607935.65</v>
      </c>
      <c r="O1292" s="17">
        <v>44925</v>
      </c>
      <c r="P1292" s="2" t="s">
        <v>3728</v>
      </c>
    </row>
    <row r="1293" spans="1:16" ht="17.25" customHeight="1" x14ac:dyDescent="0.3">
      <c r="A1293" s="169">
        <f t="shared" si="113"/>
        <v>1171</v>
      </c>
      <c r="B1293" s="21" t="s">
        <v>1273</v>
      </c>
      <c r="C1293" s="5">
        <v>1948</v>
      </c>
      <c r="D1293" s="3"/>
      <c r="E1293" s="92" t="s">
        <v>3730</v>
      </c>
      <c r="F1293" s="92">
        <v>2</v>
      </c>
      <c r="G1293" s="25">
        <v>1</v>
      </c>
      <c r="H1293" s="92">
        <v>191.53</v>
      </c>
      <c r="I1293" s="92">
        <v>13</v>
      </c>
      <c r="J1293" s="19">
        <f t="shared" si="111"/>
        <v>795858.81</v>
      </c>
      <c r="K1293" s="73"/>
      <c r="L1293" s="73"/>
      <c r="M1293" s="73"/>
      <c r="N1293" s="19">
        <f>SUMIF('2020'!B:B,B1293,'2020'!C:C)+SUMIF('2021'!B:B,B1293,'2021'!C:C)+SUMIF('2022'!B:B,B1293,'2022'!C:C)</f>
        <v>795858.81</v>
      </c>
      <c r="O1293" s="17">
        <v>44925</v>
      </c>
      <c r="P1293" s="2" t="s">
        <v>3728</v>
      </c>
    </row>
    <row r="1294" spans="1:16" ht="17.25" customHeight="1" x14ac:dyDescent="0.3">
      <c r="A1294" s="169">
        <f t="shared" si="113"/>
        <v>1172</v>
      </c>
      <c r="B1294" s="21" t="s">
        <v>1274</v>
      </c>
      <c r="C1294" s="5">
        <v>1940</v>
      </c>
      <c r="D1294" s="3"/>
      <c r="E1294" s="92" t="s">
        <v>3730</v>
      </c>
      <c r="F1294" s="92">
        <v>2</v>
      </c>
      <c r="G1294" s="25">
        <v>1</v>
      </c>
      <c r="H1294" s="92">
        <v>145.80000000000001</v>
      </c>
      <c r="I1294" s="92">
        <v>8</v>
      </c>
      <c r="J1294" s="19">
        <f t="shared" si="111"/>
        <v>602518.33000000007</v>
      </c>
      <c r="K1294" s="73"/>
      <c r="L1294" s="73"/>
      <c r="M1294" s="73"/>
      <c r="N1294" s="19">
        <f>SUMIF('2020'!B:B,B1294,'2020'!C:C)+SUMIF('2021'!B:B,B1294,'2021'!C:C)+SUMIF('2022'!B:B,B1294,'2022'!C:C)</f>
        <v>602518.33000000007</v>
      </c>
      <c r="O1294" s="17">
        <v>44925</v>
      </c>
      <c r="P1294" s="2" t="s">
        <v>3728</v>
      </c>
    </row>
    <row r="1295" spans="1:16" ht="17.25" customHeight="1" x14ac:dyDescent="0.3">
      <c r="A1295" s="169">
        <f t="shared" si="113"/>
        <v>1173</v>
      </c>
      <c r="B1295" s="21" t="s">
        <v>1275</v>
      </c>
      <c r="C1295" s="5">
        <v>1940</v>
      </c>
      <c r="D1295" s="3"/>
      <c r="E1295" s="92" t="s">
        <v>3730</v>
      </c>
      <c r="F1295" s="92">
        <v>2</v>
      </c>
      <c r="G1295" s="25">
        <v>1</v>
      </c>
      <c r="H1295" s="92">
        <v>142.04</v>
      </c>
      <c r="I1295" s="92">
        <v>6</v>
      </c>
      <c r="J1295" s="19">
        <f t="shared" si="111"/>
        <v>581770.12</v>
      </c>
      <c r="K1295" s="73"/>
      <c r="L1295" s="73"/>
      <c r="M1295" s="73"/>
      <c r="N1295" s="19">
        <f>SUMIF('2020'!B:B,B1295,'2020'!C:C)+SUMIF('2021'!B:B,B1295,'2021'!C:C)+SUMIF('2022'!B:B,B1295,'2022'!C:C)</f>
        <v>581770.12</v>
      </c>
      <c r="O1295" s="17">
        <v>44925</v>
      </c>
      <c r="P1295" s="2" t="s">
        <v>3728</v>
      </c>
    </row>
    <row r="1296" spans="1:16" ht="17.25" customHeight="1" x14ac:dyDescent="0.3">
      <c r="A1296" s="169">
        <f t="shared" si="113"/>
        <v>1174</v>
      </c>
      <c r="B1296" s="21" t="s">
        <v>1276</v>
      </c>
      <c r="C1296" s="5">
        <v>1940</v>
      </c>
      <c r="D1296" s="3"/>
      <c r="E1296" s="92" t="s">
        <v>3730</v>
      </c>
      <c r="F1296" s="92">
        <v>2</v>
      </c>
      <c r="G1296" s="25">
        <v>1</v>
      </c>
      <c r="H1296" s="92">
        <v>180.8</v>
      </c>
      <c r="I1296" s="92">
        <v>7</v>
      </c>
      <c r="J1296" s="19">
        <f t="shared" si="111"/>
        <v>600684.03</v>
      </c>
      <c r="K1296" s="73"/>
      <c r="L1296" s="73"/>
      <c r="M1296" s="73"/>
      <c r="N1296" s="19">
        <f>SUMIF('2020'!B:B,B1296,'2020'!C:C)+SUMIF('2021'!B:B,B1296,'2021'!C:C)+SUMIF('2022'!B:B,B1296,'2022'!C:C)</f>
        <v>600684.03</v>
      </c>
      <c r="O1296" s="17">
        <v>44925</v>
      </c>
      <c r="P1296" s="2" t="s">
        <v>3728</v>
      </c>
    </row>
    <row r="1297" spans="1:16" ht="17.25" customHeight="1" x14ac:dyDescent="0.3">
      <c r="A1297" s="169">
        <f t="shared" si="113"/>
        <v>1175</v>
      </c>
      <c r="B1297" s="21" t="s">
        <v>1277</v>
      </c>
      <c r="C1297" s="5">
        <v>1940</v>
      </c>
      <c r="D1297" s="3"/>
      <c r="E1297" s="92" t="s">
        <v>3730</v>
      </c>
      <c r="F1297" s="92">
        <v>2</v>
      </c>
      <c r="G1297" s="25">
        <v>1</v>
      </c>
      <c r="H1297" s="92">
        <v>97.74</v>
      </c>
      <c r="I1297" s="92">
        <v>4</v>
      </c>
      <c r="J1297" s="19">
        <f t="shared" si="111"/>
        <v>499289.18</v>
      </c>
      <c r="K1297" s="73"/>
      <c r="L1297" s="73"/>
      <c r="M1297" s="73"/>
      <c r="N1297" s="19">
        <f>SUMIF('2020'!B:B,B1297,'2020'!C:C)+SUMIF('2021'!B:B,B1297,'2021'!C:C)+SUMIF('2022'!B:B,B1297,'2022'!C:C)</f>
        <v>499289.18</v>
      </c>
      <c r="O1297" s="17">
        <v>44925</v>
      </c>
      <c r="P1297" s="2" t="s">
        <v>3728</v>
      </c>
    </row>
    <row r="1298" spans="1:16" ht="17.25" customHeight="1" x14ac:dyDescent="0.3">
      <c r="A1298" s="169">
        <f t="shared" si="113"/>
        <v>1176</v>
      </c>
      <c r="B1298" s="21" t="s">
        <v>1278</v>
      </c>
      <c r="C1298" s="5">
        <v>1940</v>
      </c>
      <c r="D1298" s="3"/>
      <c r="E1298" s="92" t="s">
        <v>3646</v>
      </c>
      <c r="F1298" s="92">
        <v>2</v>
      </c>
      <c r="G1298" s="25">
        <v>2</v>
      </c>
      <c r="H1298" s="92">
        <v>157.68</v>
      </c>
      <c r="I1298" s="92">
        <v>3</v>
      </c>
      <c r="J1298" s="19">
        <f t="shared" si="111"/>
        <v>617194.59</v>
      </c>
      <c r="K1298" s="73"/>
      <c r="L1298" s="73"/>
      <c r="M1298" s="73"/>
      <c r="N1298" s="19">
        <f>SUMIF('2020'!B:B,B1298,'2020'!C:C)+SUMIF('2021'!B:B,B1298,'2021'!C:C)+SUMIF('2022'!B:B,B1298,'2022'!C:C)</f>
        <v>617194.59</v>
      </c>
      <c r="O1298" s="17">
        <v>44925</v>
      </c>
      <c r="P1298" s="2" t="s">
        <v>3728</v>
      </c>
    </row>
    <row r="1299" spans="1:16" ht="17.25" customHeight="1" x14ac:dyDescent="0.3">
      <c r="A1299" s="169">
        <f t="shared" si="113"/>
        <v>1177</v>
      </c>
      <c r="B1299" s="21" t="s">
        <v>1279</v>
      </c>
      <c r="C1299" s="5">
        <v>1940</v>
      </c>
      <c r="D1299" s="3"/>
      <c r="E1299" s="92" t="s">
        <v>3646</v>
      </c>
      <c r="F1299" s="92">
        <v>2</v>
      </c>
      <c r="G1299" s="25">
        <v>2</v>
      </c>
      <c r="H1299" s="92">
        <v>327.08999999999997</v>
      </c>
      <c r="I1299" s="92">
        <v>15</v>
      </c>
      <c r="J1299" s="19">
        <f t="shared" si="111"/>
        <v>893910.16</v>
      </c>
      <c r="K1299" s="73"/>
      <c r="L1299" s="73"/>
      <c r="M1299" s="73"/>
      <c r="N1299" s="19">
        <f>SUMIF('2020'!B:B,B1299,'2020'!C:C)+SUMIF('2021'!B:B,B1299,'2021'!C:C)+SUMIF('2022'!B:B,B1299,'2022'!C:C)</f>
        <v>893910.16</v>
      </c>
      <c r="O1299" s="17">
        <v>44925</v>
      </c>
      <c r="P1299" s="2" t="s">
        <v>3728</v>
      </c>
    </row>
    <row r="1300" spans="1:16" ht="17.25" customHeight="1" x14ac:dyDescent="0.3">
      <c r="A1300" s="169">
        <f t="shared" si="113"/>
        <v>1178</v>
      </c>
      <c r="B1300" s="21" t="s">
        <v>1280</v>
      </c>
      <c r="C1300" s="5">
        <v>1940</v>
      </c>
      <c r="D1300" s="3"/>
      <c r="E1300" s="92" t="s">
        <v>3646</v>
      </c>
      <c r="F1300" s="92">
        <v>2</v>
      </c>
      <c r="G1300" s="25">
        <v>3</v>
      </c>
      <c r="H1300" s="92">
        <v>332.84</v>
      </c>
      <c r="I1300" s="92">
        <v>14</v>
      </c>
      <c r="J1300" s="19">
        <f t="shared" si="111"/>
        <v>894638.14999999991</v>
      </c>
      <c r="K1300" s="73"/>
      <c r="L1300" s="73"/>
      <c r="M1300" s="73"/>
      <c r="N1300" s="19">
        <f>SUMIF('2020'!B:B,B1300,'2020'!C:C)+SUMIF('2021'!B:B,B1300,'2021'!C:C)+SUMIF('2022'!B:B,B1300,'2022'!C:C)</f>
        <v>894638.14999999991</v>
      </c>
      <c r="O1300" s="17">
        <v>44925</v>
      </c>
      <c r="P1300" s="2" t="s">
        <v>3728</v>
      </c>
    </row>
    <row r="1301" spans="1:16" ht="17.25" customHeight="1" x14ac:dyDescent="0.3">
      <c r="A1301" s="169">
        <f t="shared" si="113"/>
        <v>1179</v>
      </c>
      <c r="B1301" s="21" t="s">
        <v>1281</v>
      </c>
      <c r="C1301" s="5">
        <v>1940</v>
      </c>
      <c r="D1301" s="3"/>
      <c r="E1301" s="92" t="s">
        <v>3646</v>
      </c>
      <c r="F1301" s="92">
        <v>2</v>
      </c>
      <c r="G1301" s="25">
        <v>2</v>
      </c>
      <c r="H1301" s="92">
        <v>160.1</v>
      </c>
      <c r="I1301" s="92">
        <v>5</v>
      </c>
      <c r="J1301" s="19">
        <f t="shared" si="111"/>
        <v>616400.82999999996</v>
      </c>
      <c r="K1301" s="73"/>
      <c r="L1301" s="73"/>
      <c r="M1301" s="73"/>
      <c r="N1301" s="19">
        <f>SUMIF('2020'!B:B,B1301,'2020'!C:C)+SUMIF('2021'!B:B,B1301,'2021'!C:C)+SUMIF('2022'!B:B,B1301,'2022'!C:C)</f>
        <v>616400.82999999996</v>
      </c>
      <c r="O1301" s="17">
        <v>44925</v>
      </c>
      <c r="P1301" s="2" t="s">
        <v>3728</v>
      </c>
    </row>
    <row r="1302" spans="1:16" ht="17.25" customHeight="1" x14ac:dyDescent="0.3">
      <c r="A1302" s="169">
        <f t="shared" si="113"/>
        <v>1180</v>
      </c>
      <c r="B1302" s="21" t="s">
        <v>1282</v>
      </c>
      <c r="C1302" s="5">
        <v>1940</v>
      </c>
      <c r="D1302" s="3"/>
      <c r="E1302" s="92" t="s">
        <v>3646</v>
      </c>
      <c r="F1302" s="92">
        <v>2</v>
      </c>
      <c r="G1302" s="25">
        <v>1</v>
      </c>
      <c r="H1302" s="92">
        <v>137.69999999999999</v>
      </c>
      <c r="I1302" s="92">
        <v>7</v>
      </c>
      <c r="J1302" s="19">
        <f t="shared" si="111"/>
        <v>607477.18999999994</v>
      </c>
      <c r="K1302" s="73"/>
      <c r="L1302" s="73"/>
      <c r="M1302" s="73"/>
      <c r="N1302" s="19">
        <f>SUMIF('2020'!B:B,B1302,'2020'!C:C)+SUMIF('2021'!B:B,B1302,'2021'!C:C)+SUMIF('2022'!B:B,B1302,'2022'!C:C)</f>
        <v>607477.18999999994</v>
      </c>
      <c r="O1302" s="17">
        <v>44925</v>
      </c>
      <c r="P1302" s="2" t="s">
        <v>3728</v>
      </c>
    </row>
    <row r="1303" spans="1:16" ht="17.25" customHeight="1" x14ac:dyDescent="0.3">
      <c r="A1303" s="169">
        <f t="shared" si="113"/>
        <v>1181</v>
      </c>
      <c r="B1303" s="21" t="s">
        <v>1283</v>
      </c>
      <c r="C1303" s="5">
        <v>1940</v>
      </c>
      <c r="D1303" s="3"/>
      <c r="E1303" s="92" t="s">
        <v>3646</v>
      </c>
      <c r="F1303" s="92">
        <v>2</v>
      </c>
      <c r="G1303" s="25">
        <v>2</v>
      </c>
      <c r="H1303" s="92">
        <v>139.63</v>
      </c>
      <c r="I1303" s="92">
        <v>5</v>
      </c>
      <c r="J1303" s="19">
        <f t="shared" si="111"/>
        <v>579281.89999999991</v>
      </c>
      <c r="K1303" s="73"/>
      <c r="L1303" s="73"/>
      <c r="M1303" s="73"/>
      <c r="N1303" s="19">
        <f>SUMIF('2020'!B:B,B1303,'2020'!C:C)+SUMIF('2021'!B:B,B1303,'2021'!C:C)+SUMIF('2022'!B:B,B1303,'2022'!C:C)</f>
        <v>579281.89999999991</v>
      </c>
      <c r="O1303" s="17">
        <v>44925</v>
      </c>
      <c r="P1303" s="2" t="s">
        <v>3728</v>
      </c>
    </row>
    <row r="1304" spans="1:16" ht="17.25" customHeight="1" x14ac:dyDescent="0.3">
      <c r="A1304" s="169">
        <f t="shared" si="113"/>
        <v>1182</v>
      </c>
      <c r="B1304" s="21" t="s">
        <v>1284</v>
      </c>
      <c r="C1304" s="5">
        <v>1940</v>
      </c>
      <c r="D1304" s="3"/>
      <c r="E1304" s="92" t="s">
        <v>3646</v>
      </c>
      <c r="F1304" s="92">
        <v>2</v>
      </c>
      <c r="G1304" s="25">
        <v>2</v>
      </c>
      <c r="H1304" s="92">
        <v>149.85</v>
      </c>
      <c r="I1304" s="92">
        <v>6</v>
      </c>
      <c r="J1304" s="19">
        <f t="shared" si="111"/>
        <v>573667.57000000007</v>
      </c>
      <c r="K1304" s="73"/>
      <c r="L1304" s="73"/>
      <c r="M1304" s="73"/>
      <c r="N1304" s="19">
        <f>SUMIF('2020'!B:B,B1304,'2020'!C:C)+SUMIF('2021'!B:B,B1304,'2021'!C:C)+SUMIF('2022'!B:B,B1304,'2022'!C:C)</f>
        <v>573667.57000000007</v>
      </c>
      <c r="O1304" s="17">
        <v>44925</v>
      </c>
      <c r="P1304" s="2" t="s">
        <v>3728</v>
      </c>
    </row>
    <row r="1305" spans="1:16" ht="17.25" customHeight="1" x14ac:dyDescent="0.3">
      <c r="A1305" s="169">
        <f t="shared" si="113"/>
        <v>1183</v>
      </c>
      <c r="B1305" s="21" t="s">
        <v>1285</v>
      </c>
      <c r="C1305" s="5">
        <v>1940</v>
      </c>
      <c r="D1305" s="3"/>
      <c r="E1305" s="92" t="s">
        <v>3646</v>
      </c>
      <c r="F1305" s="92">
        <v>2</v>
      </c>
      <c r="G1305" s="25">
        <v>2</v>
      </c>
      <c r="H1305" s="92">
        <v>134.91999999999999</v>
      </c>
      <c r="I1305" s="92">
        <v>7</v>
      </c>
      <c r="J1305" s="19">
        <f t="shared" si="111"/>
        <v>575205.91999999993</v>
      </c>
      <c r="K1305" s="73"/>
      <c r="L1305" s="73"/>
      <c r="M1305" s="73"/>
      <c r="N1305" s="19">
        <f>SUMIF('2020'!B:B,B1305,'2020'!C:C)+SUMIF('2021'!B:B,B1305,'2021'!C:C)+SUMIF('2022'!B:B,B1305,'2022'!C:C)</f>
        <v>575205.91999999993</v>
      </c>
      <c r="O1305" s="17">
        <v>44925</v>
      </c>
      <c r="P1305" s="2" t="s">
        <v>3728</v>
      </c>
    </row>
    <row r="1306" spans="1:16" ht="17.25" customHeight="1" x14ac:dyDescent="0.3">
      <c r="A1306" s="169">
        <f t="shared" si="113"/>
        <v>1184</v>
      </c>
      <c r="B1306" s="21" t="s">
        <v>1286</v>
      </c>
      <c r="C1306" s="5">
        <v>1940</v>
      </c>
      <c r="D1306" s="3"/>
      <c r="E1306" s="92" t="s">
        <v>3646</v>
      </c>
      <c r="F1306" s="92">
        <v>2</v>
      </c>
      <c r="G1306" s="25">
        <v>1</v>
      </c>
      <c r="H1306" s="92">
        <v>655.39</v>
      </c>
      <c r="I1306" s="92">
        <v>17</v>
      </c>
      <c r="J1306" s="19">
        <f t="shared" si="111"/>
        <v>912304.96</v>
      </c>
      <c r="K1306" s="73"/>
      <c r="L1306" s="73"/>
      <c r="M1306" s="73"/>
      <c r="N1306" s="19">
        <f>SUMIF('2020'!B:B,B1306,'2020'!C:C)+SUMIF('2021'!B:B,B1306,'2021'!C:C)+SUMIF('2022'!B:B,B1306,'2022'!C:C)</f>
        <v>912304.96</v>
      </c>
      <c r="O1306" s="17">
        <v>44925</v>
      </c>
      <c r="P1306" s="2" t="s">
        <v>3728</v>
      </c>
    </row>
    <row r="1307" spans="1:16" ht="17.25" customHeight="1" x14ac:dyDescent="0.3">
      <c r="A1307" s="169">
        <f t="shared" si="113"/>
        <v>1185</v>
      </c>
      <c r="B1307" s="21" t="s">
        <v>1287</v>
      </c>
      <c r="C1307" s="5">
        <v>1940</v>
      </c>
      <c r="D1307" s="3"/>
      <c r="E1307" s="92" t="s">
        <v>3646</v>
      </c>
      <c r="F1307" s="92">
        <v>2</v>
      </c>
      <c r="G1307" s="25">
        <v>2</v>
      </c>
      <c r="H1307" s="92">
        <v>295.3</v>
      </c>
      <c r="I1307" s="92">
        <v>11</v>
      </c>
      <c r="J1307" s="19">
        <f t="shared" si="111"/>
        <v>951429.56</v>
      </c>
      <c r="K1307" s="73"/>
      <c r="L1307" s="73"/>
      <c r="M1307" s="73"/>
      <c r="N1307" s="19">
        <f>SUMIF('2020'!B:B,B1307,'2020'!C:C)+SUMIF('2021'!B:B,B1307,'2021'!C:C)+SUMIF('2022'!B:B,B1307,'2022'!C:C)</f>
        <v>951429.56</v>
      </c>
      <c r="O1307" s="17">
        <v>44925</v>
      </c>
      <c r="P1307" s="2" t="s">
        <v>3728</v>
      </c>
    </row>
    <row r="1308" spans="1:16" ht="17.25" customHeight="1" x14ac:dyDescent="0.3">
      <c r="A1308" s="169">
        <f t="shared" si="113"/>
        <v>1186</v>
      </c>
      <c r="B1308" s="21" t="s">
        <v>1288</v>
      </c>
      <c r="C1308" s="5">
        <v>1940</v>
      </c>
      <c r="D1308" s="3"/>
      <c r="E1308" s="92" t="s">
        <v>3646</v>
      </c>
      <c r="F1308" s="92">
        <v>2</v>
      </c>
      <c r="G1308" s="25">
        <v>1</v>
      </c>
      <c r="H1308" s="92">
        <v>152.09</v>
      </c>
      <c r="I1308" s="92">
        <v>18</v>
      </c>
      <c r="J1308" s="19">
        <f t="shared" si="111"/>
        <v>874019.66999999993</v>
      </c>
      <c r="K1308" s="73"/>
      <c r="L1308" s="73"/>
      <c r="M1308" s="73"/>
      <c r="N1308" s="19">
        <f>SUMIF('2020'!B:B,B1308,'2020'!C:C)+SUMIF('2021'!B:B,B1308,'2021'!C:C)+SUMIF('2022'!B:B,B1308,'2022'!C:C)</f>
        <v>874019.66999999993</v>
      </c>
      <c r="O1308" s="17">
        <v>44925</v>
      </c>
      <c r="P1308" s="2" t="s">
        <v>3728</v>
      </c>
    </row>
    <row r="1309" spans="1:16" ht="17.25" customHeight="1" x14ac:dyDescent="0.3">
      <c r="A1309" s="169">
        <f t="shared" si="113"/>
        <v>1187</v>
      </c>
      <c r="B1309" s="21" t="s">
        <v>1289</v>
      </c>
      <c r="C1309" s="5">
        <v>1940</v>
      </c>
      <c r="D1309" s="3"/>
      <c r="E1309" s="92" t="s">
        <v>3646</v>
      </c>
      <c r="F1309" s="92">
        <v>2</v>
      </c>
      <c r="G1309" s="25">
        <v>1</v>
      </c>
      <c r="H1309" s="92">
        <v>282.12</v>
      </c>
      <c r="I1309" s="92">
        <v>8</v>
      </c>
      <c r="J1309" s="19">
        <f t="shared" si="111"/>
        <v>897614.26</v>
      </c>
      <c r="K1309" s="73"/>
      <c r="L1309" s="73"/>
      <c r="M1309" s="73"/>
      <c r="N1309" s="19">
        <f>SUMIF('2020'!B:B,B1309,'2020'!C:C)+SUMIF('2021'!B:B,B1309,'2021'!C:C)+SUMIF('2022'!B:B,B1309,'2022'!C:C)</f>
        <v>897614.26</v>
      </c>
      <c r="O1309" s="17">
        <v>44925</v>
      </c>
      <c r="P1309" s="2" t="s">
        <v>3728</v>
      </c>
    </row>
    <row r="1310" spans="1:16" ht="17.25" customHeight="1" x14ac:dyDescent="0.3">
      <c r="A1310" s="169">
        <f t="shared" si="113"/>
        <v>1188</v>
      </c>
      <c r="B1310" s="21" t="s">
        <v>1290</v>
      </c>
      <c r="C1310" s="5">
        <v>1940</v>
      </c>
      <c r="D1310" s="3"/>
      <c r="E1310" s="92" t="s">
        <v>3646</v>
      </c>
      <c r="F1310" s="92">
        <v>2</v>
      </c>
      <c r="G1310" s="25">
        <v>1</v>
      </c>
      <c r="H1310" s="92">
        <v>177.09</v>
      </c>
      <c r="I1310" s="92">
        <v>4</v>
      </c>
      <c r="J1310" s="19">
        <f t="shared" si="111"/>
        <v>816078.79</v>
      </c>
      <c r="K1310" s="73"/>
      <c r="L1310" s="73"/>
      <c r="M1310" s="73"/>
      <c r="N1310" s="19">
        <f>SUMIF('2020'!B:B,B1310,'2020'!C:C)+SUMIF('2021'!B:B,B1310,'2021'!C:C)+SUMIF('2022'!B:B,B1310,'2022'!C:C)</f>
        <v>816078.79</v>
      </c>
      <c r="O1310" s="17">
        <v>44925</v>
      </c>
      <c r="P1310" s="2" t="s">
        <v>3728</v>
      </c>
    </row>
    <row r="1311" spans="1:16" ht="17.25" customHeight="1" x14ac:dyDescent="0.3">
      <c r="A1311" s="169">
        <f t="shared" si="113"/>
        <v>1189</v>
      </c>
      <c r="B1311" s="21" t="s">
        <v>1291</v>
      </c>
      <c r="C1311" s="5">
        <v>1952</v>
      </c>
      <c r="D1311" s="3"/>
      <c r="E1311" s="92" t="s">
        <v>3646</v>
      </c>
      <c r="F1311" s="92">
        <v>2</v>
      </c>
      <c r="G1311" s="25">
        <v>1</v>
      </c>
      <c r="H1311" s="92">
        <v>392.34</v>
      </c>
      <c r="I1311" s="92">
        <v>14</v>
      </c>
      <c r="J1311" s="19">
        <f t="shared" si="111"/>
        <v>991113.29999999993</v>
      </c>
      <c r="K1311" s="73"/>
      <c r="L1311" s="73"/>
      <c r="M1311" s="73"/>
      <c r="N1311" s="19">
        <f>SUMIF('2020'!B:B,B1311,'2020'!C:C)+SUMIF('2021'!B:B,B1311,'2021'!C:C)+SUMIF('2022'!B:B,B1311,'2022'!C:C)</f>
        <v>991113.29999999993</v>
      </c>
      <c r="O1311" s="17">
        <v>44925</v>
      </c>
      <c r="P1311" s="2" t="s">
        <v>3728</v>
      </c>
    </row>
    <row r="1312" spans="1:16" ht="17.25" customHeight="1" x14ac:dyDescent="0.3">
      <c r="A1312" s="169">
        <f t="shared" si="113"/>
        <v>1190</v>
      </c>
      <c r="B1312" s="21" t="s">
        <v>1292</v>
      </c>
      <c r="C1312" s="5">
        <v>1949</v>
      </c>
      <c r="D1312" s="3"/>
      <c r="E1312" s="92" t="s">
        <v>3646</v>
      </c>
      <c r="F1312" s="92">
        <v>2</v>
      </c>
      <c r="G1312" s="25">
        <v>1</v>
      </c>
      <c r="H1312" s="92">
        <v>401.88</v>
      </c>
      <c r="I1312" s="92">
        <v>15</v>
      </c>
      <c r="J1312" s="19">
        <f t="shared" si="111"/>
        <v>983241.56</v>
      </c>
      <c r="K1312" s="73"/>
      <c r="L1312" s="73"/>
      <c r="M1312" s="73"/>
      <c r="N1312" s="19">
        <f>SUMIF('2020'!B:B,B1312,'2020'!C:C)+SUMIF('2021'!B:B,B1312,'2021'!C:C)+SUMIF('2022'!B:B,B1312,'2022'!C:C)</f>
        <v>983241.56</v>
      </c>
      <c r="O1312" s="17">
        <v>44925</v>
      </c>
      <c r="P1312" s="2" t="s">
        <v>3728</v>
      </c>
    </row>
    <row r="1313" spans="1:16" ht="17.25" customHeight="1" x14ac:dyDescent="0.3">
      <c r="A1313" s="169">
        <f t="shared" si="113"/>
        <v>1191</v>
      </c>
      <c r="B1313" s="21" t="s">
        <v>1293</v>
      </c>
      <c r="C1313" s="5">
        <v>1940</v>
      </c>
      <c r="D1313" s="3"/>
      <c r="E1313" s="92" t="s">
        <v>3730</v>
      </c>
      <c r="F1313" s="92">
        <v>2</v>
      </c>
      <c r="G1313" s="25">
        <v>1</v>
      </c>
      <c r="H1313" s="92">
        <v>99.57</v>
      </c>
      <c r="I1313" s="92">
        <v>5</v>
      </c>
      <c r="J1313" s="19">
        <f t="shared" si="111"/>
        <v>500003.38</v>
      </c>
      <c r="K1313" s="73"/>
      <c r="L1313" s="73"/>
      <c r="M1313" s="73"/>
      <c r="N1313" s="19">
        <f>SUMIF('2020'!B:B,B1313,'2020'!C:C)+SUMIF('2021'!B:B,B1313,'2021'!C:C)+SUMIF('2022'!B:B,B1313,'2022'!C:C)</f>
        <v>500003.38</v>
      </c>
      <c r="O1313" s="17">
        <v>44925</v>
      </c>
      <c r="P1313" s="2" t="s">
        <v>3728</v>
      </c>
    </row>
    <row r="1314" spans="1:16" ht="17.25" customHeight="1" x14ac:dyDescent="0.3">
      <c r="A1314" s="169">
        <f t="shared" si="113"/>
        <v>1192</v>
      </c>
      <c r="B1314" s="21" t="s">
        <v>1294</v>
      </c>
      <c r="C1314" s="5">
        <v>1952</v>
      </c>
      <c r="D1314" s="3"/>
      <c r="E1314" s="92" t="s">
        <v>3646</v>
      </c>
      <c r="F1314" s="92">
        <v>2</v>
      </c>
      <c r="G1314" s="25">
        <v>1</v>
      </c>
      <c r="H1314" s="92">
        <v>387.4</v>
      </c>
      <c r="I1314" s="92">
        <v>13</v>
      </c>
      <c r="J1314" s="19">
        <f t="shared" si="111"/>
        <v>876209.14999999991</v>
      </c>
      <c r="K1314" s="73"/>
      <c r="L1314" s="73"/>
      <c r="M1314" s="73"/>
      <c r="N1314" s="19">
        <f>SUMIF('2020'!B:B,B1314,'2020'!C:C)+SUMIF('2021'!B:B,B1314,'2021'!C:C)+SUMIF('2022'!B:B,B1314,'2022'!C:C)</f>
        <v>876209.14999999991</v>
      </c>
      <c r="O1314" s="17">
        <v>44925</v>
      </c>
      <c r="P1314" s="2" t="s">
        <v>3728</v>
      </c>
    </row>
    <row r="1315" spans="1:16" ht="17.25" customHeight="1" x14ac:dyDescent="0.3">
      <c r="A1315" s="169">
        <f t="shared" si="113"/>
        <v>1193</v>
      </c>
      <c r="B1315" s="21" t="s">
        <v>1295</v>
      </c>
      <c r="C1315" s="5">
        <v>1949</v>
      </c>
      <c r="D1315" s="3"/>
      <c r="E1315" s="92" t="s">
        <v>3646</v>
      </c>
      <c r="F1315" s="92">
        <v>2</v>
      </c>
      <c r="G1315" s="25">
        <v>1</v>
      </c>
      <c r="H1315" s="92">
        <v>406.6</v>
      </c>
      <c r="I1315" s="92">
        <v>14</v>
      </c>
      <c r="J1315" s="19">
        <f t="shared" si="111"/>
        <v>876209.14999999991</v>
      </c>
      <c r="K1315" s="73"/>
      <c r="L1315" s="73"/>
      <c r="M1315" s="73"/>
      <c r="N1315" s="19">
        <f>SUMIF('2020'!B:B,B1315,'2020'!C:C)+SUMIF('2021'!B:B,B1315,'2021'!C:C)+SUMIF('2022'!B:B,B1315,'2022'!C:C)</f>
        <v>876209.14999999991</v>
      </c>
      <c r="O1315" s="17">
        <v>44925</v>
      </c>
      <c r="P1315" s="2" t="s">
        <v>3728</v>
      </c>
    </row>
    <row r="1316" spans="1:16" ht="17.25" customHeight="1" x14ac:dyDescent="0.3">
      <c r="A1316" s="169">
        <f t="shared" si="113"/>
        <v>1194</v>
      </c>
      <c r="B1316" s="21" t="s">
        <v>1296</v>
      </c>
      <c r="C1316" s="5">
        <v>1949</v>
      </c>
      <c r="D1316" s="3"/>
      <c r="E1316" s="92" t="s">
        <v>3646</v>
      </c>
      <c r="F1316" s="92">
        <v>2</v>
      </c>
      <c r="G1316" s="25">
        <v>1</v>
      </c>
      <c r="H1316" s="92">
        <v>398.84</v>
      </c>
      <c r="I1316" s="92">
        <v>12</v>
      </c>
      <c r="J1316" s="19">
        <f t="shared" si="111"/>
        <v>876209.14999999991</v>
      </c>
      <c r="K1316" s="73"/>
      <c r="L1316" s="73"/>
      <c r="M1316" s="73"/>
      <c r="N1316" s="19">
        <f>SUMIF('2020'!B:B,B1316,'2020'!C:C)+SUMIF('2021'!B:B,B1316,'2021'!C:C)+SUMIF('2022'!B:B,B1316,'2022'!C:C)</f>
        <v>876209.14999999991</v>
      </c>
      <c r="O1316" s="17">
        <v>44925</v>
      </c>
      <c r="P1316" s="2" t="s">
        <v>3728</v>
      </c>
    </row>
    <row r="1317" spans="1:16" ht="17.25" customHeight="1" x14ac:dyDescent="0.3">
      <c r="A1317" s="169">
        <f t="shared" si="113"/>
        <v>1195</v>
      </c>
      <c r="B1317" s="21" t="s">
        <v>1297</v>
      </c>
      <c r="C1317" s="5">
        <v>1940</v>
      </c>
      <c r="D1317" s="3"/>
      <c r="E1317" s="92" t="s">
        <v>3730</v>
      </c>
      <c r="F1317" s="92">
        <v>2</v>
      </c>
      <c r="G1317" s="25">
        <v>1</v>
      </c>
      <c r="H1317" s="92">
        <v>289.29000000000002</v>
      </c>
      <c r="I1317" s="92">
        <v>5</v>
      </c>
      <c r="J1317" s="19">
        <f t="shared" si="111"/>
        <v>783967.07000000007</v>
      </c>
      <c r="K1317" s="73"/>
      <c r="L1317" s="73"/>
      <c r="M1317" s="73"/>
      <c r="N1317" s="19">
        <f>SUMIF('2020'!B:B,B1317,'2020'!C:C)+SUMIF('2021'!B:B,B1317,'2021'!C:C)+SUMIF('2022'!B:B,B1317,'2022'!C:C)</f>
        <v>783967.07000000007</v>
      </c>
      <c r="O1317" s="17">
        <v>44925</v>
      </c>
      <c r="P1317" s="2" t="s">
        <v>3728</v>
      </c>
    </row>
    <row r="1318" spans="1:16" ht="17.25" customHeight="1" x14ac:dyDescent="0.3">
      <c r="A1318" s="169">
        <f t="shared" si="113"/>
        <v>1196</v>
      </c>
      <c r="B1318" s="21" t="s">
        <v>1298</v>
      </c>
      <c r="C1318" s="5">
        <v>1978</v>
      </c>
      <c r="D1318" s="3"/>
      <c r="E1318" s="92" t="s">
        <v>3729</v>
      </c>
      <c r="F1318" s="92">
        <v>5</v>
      </c>
      <c r="G1318" s="25">
        <v>6</v>
      </c>
      <c r="H1318" s="92">
        <v>4836.2700000000004</v>
      </c>
      <c r="I1318" s="92">
        <v>279</v>
      </c>
      <c r="J1318" s="19">
        <f t="shared" si="111"/>
        <v>23916094.859999999</v>
      </c>
      <c r="K1318" s="73"/>
      <c r="L1318" s="73"/>
      <c r="M1318" s="73"/>
      <c r="N1318" s="19">
        <f>SUMIF('2020'!B:B,B1318,'2020'!C:C)+SUMIF('2021'!B:B,B1318,'2021'!C:C)+SUMIF('2022'!B:B,B1318,'2022'!C:C)</f>
        <v>23916094.859999999</v>
      </c>
      <c r="O1318" s="17">
        <v>44925</v>
      </c>
      <c r="P1318" s="2" t="s">
        <v>3728</v>
      </c>
    </row>
    <row r="1319" spans="1:16" ht="17.25" customHeight="1" x14ac:dyDescent="0.3">
      <c r="A1319" s="210" t="s">
        <v>211</v>
      </c>
      <c r="B1319" s="21"/>
      <c r="C1319" s="3"/>
      <c r="D1319" s="3"/>
      <c r="E1319" s="3"/>
      <c r="F1319" s="3"/>
      <c r="G1319" s="26"/>
      <c r="H1319" s="73">
        <f t="shared" ref="H1319:M1319" si="114">SUM(H1261:H1318)</f>
        <v>42274.969999999972</v>
      </c>
      <c r="I1319" s="73">
        <f t="shared" si="114"/>
        <v>2030</v>
      </c>
      <c r="J1319" s="73">
        <f t="shared" si="114"/>
        <v>194162765.26000005</v>
      </c>
      <c r="K1319" s="73">
        <f t="shared" si="114"/>
        <v>0</v>
      </c>
      <c r="L1319" s="73">
        <f t="shared" si="114"/>
        <v>0</v>
      </c>
      <c r="M1319" s="73">
        <f t="shared" si="114"/>
        <v>0</v>
      </c>
      <c r="N1319" s="73">
        <f>SUM(N1261:N1318)</f>
        <v>194162765.26000005</v>
      </c>
      <c r="O1319" s="3"/>
      <c r="P1319" s="3"/>
    </row>
    <row r="1320" spans="1:16" ht="17.25" customHeight="1" x14ac:dyDescent="0.3">
      <c r="A1320" s="210" t="s">
        <v>1299</v>
      </c>
      <c r="B1320" s="21"/>
      <c r="C1320" s="3"/>
      <c r="D1320" s="3"/>
      <c r="E1320" s="92"/>
      <c r="F1320" s="92"/>
      <c r="G1320" s="96"/>
      <c r="H1320" s="92"/>
      <c r="I1320" s="92"/>
      <c r="J1320" s="19"/>
      <c r="K1320" s="73"/>
      <c r="L1320" s="73"/>
      <c r="M1320" s="73"/>
      <c r="N1320" s="73"/>
      <c r="O1320" s="3"/>
      <c r="P1320" s="3"/>
    </row>
    <row r="1321" spans="1:16" ht="17.25" customHeight="1" x14ac:dyDescent="0.3">
      <c r="A1321" s="169">
        <f>A1318+1</f>
        <v>1197</v>
      </c>
      <c r="B1321" s="21" t="s">
        <v>1300</v>
      </c>
      <c r="C1321" s="5">
        <v>1970</v>
      </c>
      <c r="D1321" s="18"/>
      <c r="E1321" s="15" t="s">
        <v>3645</v>
      </c>
      <c r="F1321" s="15">
        <v>2</v>
      </c>
      <c r="G1321" s="26"/>
      <c r="H1321" s="15">
        <v>527</v>
      </c>
      <c r="I1321" s="15">
        <v>30</v>
      </c>
      <c r="J1321" s="19">
        <f t="shared" ref="J1321:J1350" si="115">K1321+L1321+M1321+N1321</f>
        <v>130000</v>
      </c>
      <c r="K1321" s="73"/>
      <c r="L1321" s="73"/>
      <c r="M1321" s="73"/>
      <c r="N1321" s="19">
        <f>SUMIF('2020'!B:B,B1321,'2020'!C:C)+SUMIF('2021'!B:B,B1321,'2021'!C:C)+SUMIF('2022'!B:B,B1321,'2022'!C:C)</f>
        <v>130000</v>
      </c>
      <c r="O1321" s="17">
        <v>44925</v>
      </c>
      <c r="P1321" s="2" t="s">
        <v>3728</v>
      </c>
    </row>
    <row r="1322" spans="1:16" ht="17.25" customHeight="1" x14ac:dyDescent="0.3">
      <c r="A1322" s="169">
        <f t="shared" si="113"/>
        <v>1198</v>
      </c>
      <c r="B1322" s="21" t="s">
        <v>1301</v>
      </c>
      <c r="C1322" s="5">
        <v>1970</v>
      </c>
      <c r="D1322" s="18"/>
      <c r="E1322" s="15" t="s">
        <v>3645</v>
      </c>
      <c r="F1322" s="15">
        <v>2</v>
      </c>
      <c r="G1322" s="26"/>
      <c r="H1322" s="15">
        <v>515.79999999999995</v>
      </c>
      <c r="I1322" s="15">
        <v>23</v>
      </c>
      <c r="J1322" s="19">
        <f t="shared" si="115"/>
        <v>130000</v>
      </c>
      <c r="K1322" s="73"/>
      <c r="L1322" s="73"/>
      <c r="M1322" s="73"/>
      <c r="N1322" s="19">
        <f>SUMIF('2020'!B:B,B1322,'2020'!C:C)+SUMIF('2021'!B:B,B1322,'2021'!C:C)+SUMIF('2022'!B:B,B1322,'2022'!C:C)</f>
        <v>130000</v>
      </c>
      <c r="O1322" s="17">
        <v>44925</v>
      </c>
      <c r="P1322" s="2" t="s">
        <v>3728</v>
      </c>
    </row>
    <row r="1323" spans="1:16" ht="17.25" customHeight="1" x14ac:dyDescent="0.3">
      <c r="A1323" s="169">
        <f t="shared" si="113"/>
        <v>1199</v>
      </c>
      <c r="B1323" s="21" t="s">
        <v>1302</v>
      </c>
      <c r="C1323" s="5">
        <v>1968</v>
      </c>
      <c r="D1323" s="18"/>
      <c r="E1323" s="15" t="s">
        <v>3820</v>
      </c>
      <c r="F1323" s="15">
        <v>2</v>
      </c>
      <c r="G1323" s="26"/>
      <c r="H1323" s="15">
        <v>515.6</v>
      </c>
      <c r="I1323" s="15">
        <v>31</v>
      </c>
      <c r="J1323" s="19">
        <f t="shared" si="115"/>
        <v>678239.58000000007</v>
      </c>
      <c r="K1323" s="73"/>
      <c r="L1323" s="73"/>
      <c r="M1323" s="73"/>
      <c r="N1323" s="19">
        <f>SUMIF('2020'!B:B,B1323,'2020'!C:C)+SUMIF('2021'!B:B,B1323,'2021'!C:C)+SUMIF('2022'!B:B,B1323,'2022'!C:C)</f>
        <v>678239.58000000007</v>
      </c>
      <c r="O1323" s="17">
        <v>44925</v>
      </c>
      <c r="P1323" s="2" t="s">
        <v>3728</v>
      </c>
    </row>
    <row r="1324" spans="1:16" ht="17.25" customHeight="1" x14ac:dyDescent="0.3">
      <c r="A1324" s="169">
        <f t="shared" si="113"/>
        <v>1200</v>
      </c>
      <c r="B1324" s="21" t="s">
        <v>1303</v>
      </c>
      <c r="C1324" s="5">
        <v>1976</v>
      </c>
      <c r="D1324" s="18"/>
      <c r="E1324" s="15" t="s">
        <v>3729</v>
      </c>
      <c r="F1324" s="15">
        <v>5</v>
      </c>
      <c r="G1324" s="26"/>
      <c r="H1324" s="105">
        <v>3852.9</v>
      </c>
      <c r="I1324" s="15">
        <v>183</v>
      </c>
      <c r="J1324" s="19">
        <f t="shared" si="115"/>
        <v>1457073.3900000001</v>
      </c>
      <c r="K1324" s="73"/>
      <c r="L1324" s="73"/>
      <c r="M1324" s="73"/>
      <c r="N1324" s="19">
        <f>SUMIF('2020'!B:B,B1324,'2020'!C:C)+SUMIF('2021'!B:B,B1324,'2021'!C:C)+SUMIF('2022'!B:B,B1324,'2022'!C:C)</f>
        <v>1457073.3900000001</v>
      </c>
      <c r="O1324" s="17">
        <v>44925</v>
      </c>
      <c r="P1324" s="2" t="s">
        <v>3728</v>
      </c>
    </row>
    <row r="1325" spans="1:16" ht="17.25" customHeight="1" x14ac:dyDescent="0.3">
      <c r="A1325" s="169">
        <f t="shared" si="113"/>
        <v>1201</v>
      </c>
      <c r="B1325" s="21" t="s">
        <v>1304</v>
      </c>
      <c r="C1325" s="5">
        <v>1977</v>
      </c>
      <c r="D1325" s="18"/>
      <c r="E1325" s="15" t="s">
        <v>3729</v>
      </c>
      <c r="F1325" s="15">
        <v>5</v>
      </c>
      <c r="G1325" s="26"/>
      <c r="H1325" s="105">
        <v>3479.1</v>
      </c>
      <c r="I1325" s="15">
        <v>160</v>
      </c>
      <c r="J1325" s="19">
        <f t="shared" si="115"/>
        <v>7824229.0499999998</v>
      </c>
      <c r="K1325" s="73"/>
      <c r="L1325" s="73"/>
      <c r="M1325" s="73"/>
      <c r="N1325" s="19">
        <f>SUMIF('2020'!B:B,B1325,'2020'!C:C)+SUMIF('2021'!B:B,B1325,'2021'!C:C)+SUMIF('2022'!B:B,B1325,'2022'!C:C)</f>
        <v>7824229.0499999998</v>
      </c>
      <c r="O1325" s="17">
        <v>44925</v>
      </c>
      <c r="P1325" s="2" t="s">
        <v>3728</v>
      </c>
    </row>
    <row r="1326" spans="1:16" ht="17.25" customHeight="1" x14ac:dyDescent="0.3">
      <c r="A1326" s="169">
        <f t="shared" si="113"/>
        <v>1202</v>
      </c>
      <c r="B1326" s="21" t="s">
        <v>1305</v>
      </c>
      <c r="C1326" s="5">
        <v>1978</v>
      </c>
      <c r="D1326" s="18"/>
      <c r="E1326" s="15" t="s">
        <v>3729</v>
      </c>
      <c r="F1326" s="15">
        <v>5</v>
      </c>
      <c r="G1326" s="26"/>
      <c r="H1326" s="15" t="s">
        <v>3823</v>
      </c>
      <c r="I1326" s="15">
        <v>120</v>
      </c>
      <c r="J1326" s="19">
        <f t="shared" si="115"/>
        <v>1516172.8399999999</v>
      </c>
      <c r="K1326" s="73"/>
      <c r="L1326" s="73"/>
      <c r="M1326" s="73"/>
      <c r="N1326" s="19">
        <f>SUMIF('2020'!B:B,B1326,'2020'!C:C)+SUMIF('2021'!B:B,B1326,'2021'!C:C)+SUMIF('2022'!B:B,B1326,'2022'!C:C)</f>
        <v>1516172.8399999999</v>
      </c>
      <c r="O1326" s="17">
        <v>44925</v>
      </c>
      <c r="P1326" s="2" t="s">
        <v>3728</v>
      </c>
    </row>
    <row r="1327" spans="1:16" ht="17.25" customHeight="1" x14ac:dyDescent="0.3">
      <c r="A1327" s="169">
        <f t="shared" si="113"/>
        <v>1203</v>
      </c>
      <c r="B1327" s="21" t="s">
        <v>1306</v>
      </c>
      <c r="C1327" s="5">
        <v>1956</v>
      </c>
      <c r="D1327" s="18"/>
      <c r="E1327" s="15" t="s">
        <v>3645</v>
      </c>
      <c r="F1327" s="15">
        <v>2</v>
      </c>
      <c r="G1327" s="26"/>
      <c r="H1327" s="15">
        <v>373.4</v>
      </c>
      <c r="I1327" s="15">
        <v>30</v>
      </c>
      <c r="J1327" s="19">
        <f t="shared" si="115"/>
        <v>1047010.8300000001</v>
      </c>
      <c r="K1327" s="73"/>
      <c r="L1327" s="73"/>
      <c r="M1327" s="73"/>
      <c r="N1327" s="19">
        <f>SUMIF('2020'!B:B,B1327,'2020'!C:C)+SUMIF('2021'!B:B,B1327,'2021'!C:C)+SUMIF('2022'!B:B,B1327,'2022'!C:C)</f>
        <v>1047010.8300000001</v>
      </c>
      <c r="O1327" s="17">
        <v>44925</v>
      </c>
      <c r="P1327" s="2" t="s">
        <v>3728</v>
      </c>
    </row>
    <row r="1328" spans="1:16" ht="17.25" customHeight="1" x14ac:dyDescent="0.3">
      <c r="A1328" s="169">
        <f t="shared" si="113"/>
        <v>1204</v>
      </c>
      <c r="B1328" s="21" t="s">
        <v>1307</v>
      </c>
      <c r="C1328" s="5">
        <v>1972</v>
      </c>
      <c r="D1328" s="18"/>
      <c r="E1328" s="15" t="s">
        <v>3645</v>
      </c>
      <c r="F1328" s="15">
        <v>2</v>
      </c>
      <c r="G1328" s="26"/>
      <c r="H1328" s="15">
        <v>773.2</v>
      </c>
      <c r="I1328" s="15">
        <v>35</v>
      </c>
      <c r="J1328" s="19">
        <f t="shared" si="115"/>
        <v>130000</v>
      </c>
      <c r="K1328" s="73"/>
      <c r="L1328" s="73"/>
      <c r="M1328" s="73"/>
      <c r="N1328" s="19">
        <f>SUMIF('2020'!B:B,B1328,'2020'!C:C)+SUMIF('2021'!B:B,B1328,'2021'!C:C)+SUMIF('2022'!B:B,B1328,'2022'!C:C)</f>
        <v>130000</v>
      </c>
      <c r="O1328" s="17">
        <v>44925</v>
      </c>
      <c r="P1328" s="2" t="s">
        <v>3728</v>
      </c>
    </row>
    <row r="1329" spans="1:16" ht="17.25" customHeight="1" x14ac:dyDescent="0.3">
      <c r="A1329" s="169">
        <f t="shared" si="113"/>
        <v>1205</v>
      </c>
      <c r="B1329" s="21" t="s">
        <v>1308</v>
      </c>
      <c r="C1329" s="5">
        <v>1964</v>
      </c>
      <c r="D1329" s="18"/>
      <c r="E1329" s="15" t="s">
        <v>3821</v>
      </c>
      <c r="F1329" s="15">
        <v>2</v>
      </c>
      <c r="G1329" s="26"/>
      <c r="H1329" s="15">
        <v>620.5</v>
      </c>
      <c r="I1329" s="15">
        <v>25</v>
      </c>
      <c r="J1329" s="19">
        <f t="shared" si="115"/>
        <v>826906.52</v>
      </c>
      <c r="K1329" s="73"/>
      <c r="L1329" s="73"/>
      <c r="M1329" s="73"/>
      <c r="N1329" s="19">
        <f>SUMIF('2020'!B:B,B1329,'2020'!C:C)+SUMIF('2021'!B:B,B1329,'2021'!C:C)+SUMIF('2022'!B:B,B1329,'2022'!C:C)</f>
        <v>826906.52</v>
      </c>
      <c r="O1329" s="17">
        <v>44925</v>
      </c>
      <c r="P1329" s="2" t="s">
        <v>3728</v>
      </c>
    </row>
    <row r="1330" spans="1:16" ht="17.25" customHeight="1" x14ac:dyDescent="0.3">
      <c r="A1330" s="169">
        <f t="shared" ref="A1330:A1350" si="116">A1329+1</f>
        <v>1206</v>
      </c>
      <c r="B1330" s="21" t="s">
        <v>1309</v>
      </c>
      <c r="C1330" s="5">
        <v>1976</v>
      </c>
      <c r="D1330" s="18"/>
      <c r="E1330" s="15" t="s">
        <v>3822</v>
      </c>
      <c r="F1330" s="15">
        <v>2</v>
      </c>
      <c r="G1330" s="26"/>
      <c r="H1330" s="15">
        <v>795.7</v>
      </c>
      <c r="I1330" s="15">
        <v>41</v>
      </c>
      <c r="J1330" s="19">
        <f t="shared" si="115"/>
        <v>6634516.8000000007</v>
      </c>
      <c r="K1330" s="73"/>
      <c r="L1330" s="73"/>
      <c r="M1330" s="73"/>
      <c r="N1330" s="19">
        <f>SUMIF('2020'!B:B,B1330,'2020'!C:C)+SUMIF('2021'!B:B,B1330,'2021'!C:C)+SUMIF('2022'!B:B,B1330,'2022'!C:C)</f>
        <v>6634516.8000000007</v>
      </c>
      <c r="O1330" s="17">
        <v>44925</v>
      </c>
      <c r="P1330" s="2" t="s">
        <v>3728</v>
      </c>
    </row>
    <row r="1331" spans="1:16" ht="17.25" customHeight="1" x14ac:dyDescent="0.3">
      <c r="A1331" s="169">
        <f t="shared" si="116"/>
        <v>1207</v>
      </c>
      <c r="B1331" s="21" t="s">
        <v>1310</v>
      </c>
      <c r="C1331" s="5">
        <v>1979</v>
      </c>
      <c r="D1331" s="18"/>
      <c r="E1331" s="15" t="s">
        <v>3729</v>
      </c>
      <c r="F1331" s="15">
        <v>3</v>
      </c>
      <c r="G1331" s="26"/>
      <c r="H1331" s="15" t="s">
        <v>3824</v>
      </c>
      <c r="I1331" s="15">
        <v>67</v>
      </c>
      <c r="J1331" s="19">
        <f t="shared" si="115"/>
        <v>6493150.2399999993</v>
      </c>
      <c r="K1331" s="73"/>
      <c r="L1331" s="73"/>
      <c r="M1331" s="73"/>
      <c r="N1331" s="19">
        <f>SUMIF('2020'!B:B,B1331,'2020'!C:C)+SUMIF('2021'!B:B,B1331,'2021'!C:C)+SUMIF('2022'!B:B,B1331,'2022'!C:C)</f>
        <v>6493150.2399999993</v>
      </c>
      <c r="O1331" s="17">
        <v>44925</v>
      </c>
      <c r="P1331" s="2" t="s">
        <v>3728</v>
      </c>
    </row>
    <row r="1332" spans="1:16" ht="17.25" customHeight="1" x14ac:dyDescent="0.3">
      <c r="A1332" s="169">
        <f t="shared" si="116"/>
        <v>1208</v>
      </c>
      <c r="B1332" s="21" t="s">
        <v>1311</v>
      </c>
      <c r="C1332" s="5">
        <v>1991</v>
      </c>
      <c r="D1332" s="18"/>
      <c r="E1332" s="15" t="s">
        <v>3645</v>
      </c>
      <c r="F1332" s="15">
        <v>3</v>
      </c>
      <c r="G1332" s="26"/>
      <c r="H1332" s="15" t="s">
        <v>3825</v>
      </c>
      <c r="I1332" s="15">
        <v>67</v>
      </c>
      <c r="J1332" s="19">
        <f t="shared" si="115"/>
        <v>6466579.2599999998</v>
      </c>
      <c r="K1332" s="73"/>
      <c r="L1332" s="73"/>
      <c r="M1332" s="73"/>
      <c r="N1332" s="19">
        <f>SUMIF('2020'!B:B,B1332,'2020'!C:C)+SUMIF('2021'!B:B,B1332,'2021'!C:C)+SUMIF('2022'!B:B,B1332,'2022'!C:C)</f>
        <v>6466579.2599999998</v>
      </c>
      <c r="O1332" s="17">
        <v>44925</v>
      </c>
      <c r="P1332" s="2" t="s">
        <v>3728</v>
      </c>
    </row>
    <row r="1333" spans="1:16" ht="17.25" customHeight="1" x14ac:dyDescent="0.3">
      <c r="A1333" s="169">
        <f t="shared" si="116"/>
        <v>1209</v>
      </c>
      <c r="B1333" s="21" t="s">
        <v>1312</v>
      </c>
      <c r="C1333" s="5">
        <v>1961</v>
      </c>
      <c r="D1333" s="18"/>
      <c r="E1333" s="15" t="s">
        <v>3645</v>
      </c>
      <c r="F1333" s="15">
        <v>2</v>
      </c>
      <c r="G1333" s="26"/>
      <c r="H1333" s="15">
        <v>461</v>
      </c>
      <c r="I1333" s="15">
        <v>21</v>
      </c>
      <c r="J1333" s="19">
        <f t="shared" si="115"/>
        <v>700424.8</v>
      </c>
      <c r="K1333" s="73"/>
      <c r="L1333" s="73"/>
      <c r="M1333" s="73"/>
      <c r="N1333" s="19">
        <f>SUMIF('2020'!B:B,B1333,'2020'!C:C)+SUMIF('2021'!B:B,B1333,'2021'!C:C)+SUMIF('2022'!B:B,B1333,'2022'!C:C)</f>
        <v>700424.8</v>
      </c>
      <c r="O1333" s="17">
        <v>44925</v>
      </c>
      <c r="P1333" s="2" t="s">
        <v>3728</v>
      </c>
    </row>
    <row r="1334" spans="1:16" ht="17.25" customHeight="1" x14ac:dyDescent="0.3">
      <c r="A1334" s="169">
        <f t="shared" si="116"/>
        <v>1210</v>
      </c>
      <c r="B1334" s="21" t="s">
        <v>1313</v>
      </c>
      <c r="C1334" s="5">
        <v>1967</v>
      </c>
      <c r="D1334" s="18"/>
      <c r="E1334" s="15" t="s">
        <v>3645</v>
      </c>
      <c r="F1334" s="15">
        <v>5</v>
      </c>
      <c r="G1334" s="26"/>
      <c r="H1334" s="15" t="s">
        <v>3826</v>
      </c>
      <c r="I1334" s="15">
        <v>145</v>
      </c>
      <c r="J1334" s="19">
        <f t="shared" si="115"/>
        <v>16857598.84</v>
      </c>
      <c r="K1334" s="73"/>
      <c r="L1334" s="73"/>
      <c r="M1334" s="73"/>
      <c r="N1334" s="19">
        <f>SUMIF('2020'!B:B,B1334,'2020'!C:C)+SUMIF('2021'!B:B,B1334,'2021'!C:C)+SUMIF('2022'!B:B,B1334,'2022'!C:C)</f>
        <v>16857598.84</v>
      </c>
      <c r="O1334" s="17">
        <v>44925</v>
      </c>
      <c r="P1334" s="2" t="s">
        <v>3728</v>
      </c>
    </row>
    <row r="1335" spans="1:16" ht="17.25" customHeight="1" x14ac:dyDescent="0.3">
      <c r="A1335" s="169">
        <f t="shared" si="116"/>
        <v>1211</v>
      </c>
      <c r="B1335" s="21" t="s">
        <v>1314</v>
      </c>
      <c r="C1335" s="5">
        <v>1969</v>
      </c>
      <c r="D1335" s="18"/>
      <c r="E1335" s="15" t="s">
        <v>3729</v>
      </c>
      <c r="F1335" s="15">
        <v>5</v>
      </c>
      <c r="G1335" s="26"/>
      <c r="H1335" s="15" t="s">
        <v>3827</v>
      </c>
      <c r="I1335" s="15">
        <v>229</v>
      </c>
      <c r="J1335" s="19">
        <f t="shared" si="115"/>
        <v>248818.34</v>
      </c>
      <c r="K1335" s="73"/>
      <c r="L1335" s="73"/>
      <c r="M1335" s="73"/>
      <c r="N1335" s="19">
        <f>SUMIF('2020'!B:B,B1335,'2020'!C:C)+SUMIF('2021'!B:B,B1335,'2021'!C:C)+SUMIF('2022'!B:B,B1335,'2022'!C:C)</f>
        <v>248818.34</v>
      </c>
      <c r="O1335" s="17">
        <v>44925</v>
      </c>
      <c r="P1335" s="2" t="s">
        <v>3728</v>
      </c>
    </row>
    <row r="1336" spans="1:16" ht="17.25" customHeight="1" x14ac:dyDescent="0.3">
      <c r="A1336" s="169">
        <f t="shared" si="116"/>
        <v>1212</v>
      </c>
      <c r="B1336" s="21" t="s">
        <v>1315</v>
      </c>
      <c r="C1336" s="5">
        <v>1972</v>
      </c>
      <c r="D1336" s="18"/>
      <c r="E1336" s="15" t="s">
        <v>3729</v>
      </c>
      <c r="F1336" s="15">
        <v>5</v>
      </c>
      <c r="G1336" s="26"/>
      <c r="H1336" s="15" t="s">
        <v>3828</v>
      </c>
      <c r="I1336" s="15">
        <v>136</v>
      </c>
      <c r="J1336" s="19">
        <f t="shared" si="115"/>
        <v>20050902.879999999</v>
      </c>
      <c r="K1336" s="73"/>
      <c r="L1336" s="73"/>
      <c r="M1336" s="73"/>
      <c r="N1336" s="19">
        <f>SUMIF('2020'!B:B,B1336,'2020'!C:C)+SUMIF('2021'!B:B,B1336,'2021'!C:C)+SUMIF('2022'!B:B,B1336,'2022'!C:C)</f>
        <v>20050902.879999999</v>
      </c>
      <c r="O1336" s="17">
        <v>44925</v>
      </c>
      <c r="P1336" s="2" t="s">
        <v>3728</v>
      </c>
    </row>
    <row r="1337" spans="1:16" ht="17.25" customHeight="1" x14ac:dyDescent="0.3">
      <c r="A1337" s="169">
        <f t="shared" si="116"/>
        <v>1213</v>
      </c>
      <c r="B1337" s="21" t="s">
        <v>1316</v>
      </c>
      <c r="C1337" s="5">
        <v>1972</v>
      </c>
      <c r="D1337" s="18"/>
      <c r="E1337" s="15" t="s">
        <v>3729</v>
      </c>
      <c r="F1337" s="15">
        <v>5</v>
      </c>
      <c r="G1337" s="26"/>
      <c r="H1337" s="15" t="s">
        <v>3828</v>
      </c>
      <c r="I1337" s="15">
        <v>152</v>
      </c>
      <c r="J1337" s="19">
        <f t="shared" si="115"/>
        <v>20050902.879999999</v>
      </c>
      <c r="K1337" s="73"/>
      <c r="L1337" s="73"/>
      <c r="M1337" s="73"/>
      <c r="N1337" s="19">
        <f>SUMIF('2020'!B:B,B1337,'2020'!C:C)+SUMIF('2021'!B:B,B1337,'2021'!C:C)+SUMIF('2022'!B:B,B1337,'2022'!C:C)</f>
        <v>20050902.879999999</v>
      </c>
      <c r="O1337" s="17">
        <v>44925</v>
      </c>
      <c r="P1337" s="2" t="s">
        <v>3728</v>
      </c>
    </row>
    <row r="1338" spans="1:16" ht="17.25" customHeight="1" x14ac:dyDescent="0.3">
      <c r="A1338" s="169">
        <f t="shared" si="116"/>
        <v>1214</v>
      </c>
      <c r="B1338" s="21" t="s">
        <v>1317</v>
      </c>
      <c r="C1338" s="5">
        <v>1969</v>
      </c>
      <c r="D1338" s="18"/>
      <c r="E1338" s="15" t="s">
        <v>3729</v>
      </c>
      <c r="F1338" s="15">
        <v>5</v>
      </c>
      <c r="G1338" s="26"/>
      <c r="H1338" s="15" t="s">
        <v>3827</v>
      </c>
      <c r="I1338" s="15">
        <v>179</v>
      </c>
      <c r="J1338" s="19">
        <f t="shared" si="115"/>
        <v>3103212</v>
      </c>
      <c r="K1338" s="73"/>
      <c r="L1338" s="73"/>
      <c r="M1338" s="73"/>
      <c r="N1338" s="19">
        <f>SUMIF('2020'!B:B,B1338,'2020'!C:C)+SUMIF('2021'!B:B,B1338,'2021'!C:C)+SUMIF('2022'!B:B,B1338,'2022'!C:C)</f>
        <v>3103212</v>
      </c>
      <c r="O1338" s="17">
        <v>44925</v>
      </c>
      <c r="P1338" s="2" t="s">
        <v>3728</v>
      </c>
    </row>
    <row r="1339" spans="1:16" ht="17.25" customHeight="1" x14ac:dyDescent="0.3">
      <c r="A1339" s="169">
        <f t="shared" si="116"/>
        <v>1215</v>
      </c>
      <c r="B1339" s="21" t="s">
        <v>1318</v>
      </c>
      <c r="C1339" s="5">
        <v>1976</v>
      </c>
      <c r="D1339" s="18"/>
      <c r="E1339" s="15" t="s">
        <v>3729</v>
      </c>
      <c r="F1339" s="15">
        <v>5</v>
      </c>
      <c r="G1339" s="26"/>
      <c r="H1339" s="15" t="s">
        <v>3829</v>
      </c>
      <c r="I1339" s="15">
        <v>165</v>
      </c>
      <c r="J1339" s="19">
        <f t="shared" si="115"/>
        <v>1498287.23</v>
      </c>
      <c r="K1339" s="73"/>
      <c r="L1339" s="73"/>
      <c r="M1339" s="73"/>
      <c r="N1339" s="19">
        <f>SUMIF('2020'!B:B,B1339,'2020'!C:C)+SUMIF('2021'!B:B,B1339,'2021'!C:C)+SUMIF('2022'!B:B,B1339,'2022'!C:C)</f>
        <v>1498287.23</v>
      </c>
      <c r="O1339" s="17">
        <v>44925</v>
      </c>
      <c r="P1339" s="2" t="s">
        <v>3728</v>
      </c>
    </row>
    <row r="1340" spans="1:16" ht="17.25" customHeight="1" x14ac:dyDescent="0.3">
      <c r="A1340" s="169">
        <f t="shared" si="116"/>
        <v>1216</v>
      </c>
      <c r="B1340" s="21" t="s">
        <v>1319</v>
      </c>
      <c r="C1340" s="5">
        <v>1978</v>
      </c>
      <c r="D1340" s="18"/>
      <c r="E1340" s="15" t="s">
        <v>3729</v>
      </c>
      <c r="F1340" s="15">
        <v>5</v>
      </c>
      <c r="G1340" s="26"/>
      <c r="H1340" s="15" t="s">
        <v>3830</v>
      </c>
      <c r="I1340" s="15">
        <v>67</v>
      </c>
      <c r="J1340" s="19">
        <f t="shared" si="115"/>
        <v>1038621.12</v>
      </c>
      <c r="K1340" s="73"/>
      <c r="L1340" s="73"/>
      <c r="M1340" s="73"/>
      <c r="N1340" s="19">
        <f>SUMIF('2020'!B:B,B1340,'2020'!C:C)+SUMIF('2021'!B:B,B1340,'2021'!C:C)+SUMIF('2022'!B:B,B1340,'2022'!C:C)</f>
        <v>1038621.12</v>
      </c>
      <c r="O1340" s="17">
        <v>44925</v>
      </c>
      <c r="P1340" s="2" t="s">
        <v>3728</v>
      </c>
    </row>
    <row r="1341" spans="1:16" ht="17.25" customHeight="1" x14ac:dyDescent="0.3">
      <c r="A1341" s="169">
        <f t="shared" si="116"/>
        <v>1217</v>
      </c>
      <c r="B1341" s="21" t="s">
        <v>1320</v>
      </c>
      <c r="C1341" s="5">
        <v>1973</v>
      </c>
      <c r="D1341" s="18"/>
      <c r="E1341" s="15" t="s">
        <v>3645</v>
      </c>
      <c r="F1341" s="15">
        <v>2</v>
      </c>
      <c r="G1341" s="26"/>
      <c r="H1341" s="15">
        <v>730.6</v>
      </c>
      <c r="I1341" s="15">
        <v>47</v>
      </c>
      <c r="J1341" s="19">
        <f t="shared" si="115"/>
        <v>1125196.9100000001</v>
      </c>
      <c r="K1341" s="73"/>
      <c r="L1341" s="73"/>
      <c r="M1341" s="73"/>
      <c r="N1341" s="19">
        <f>SUMIF('2020'!B:B,B1341,'2020'!C:C)+SUMIF('2021'!B:B,B1341,'2021'!C:C)+SUMIF('2022'!B:B,B1341,'2022'!C:C)</f>
        <v>1125196.9100000001</v>
      </c>
      <c r="O1341" s="17">
        <v>44925</v>
      </c>
      <c r="P1341" s="2" t="s">
        <v>3728</v>
      </c>
    </row>
    <row r="1342" spans="1:16" ht="17.25" customHeight="1" x14ac:dyDescent="0.3">
      <c r="A1342" s="169">
        <f t="shared" si="116"/>
        <v>1218</v>
      </c>
      <c r="B1342" s="21" t="s">
        <v>1321</v>
      </c>
      <c r="C1342" s="5">
        <v>1973</v>
      </c>
      <c r="D1342" s="18"/>
      <c r="E1342" s="15" t="s">
        <v>3645</v>
      </c>
      <c r="F1342" s="15">
        <v>2</v>
      </c>
      <c r="G1342" s="26"/>
      <c r="H1342" s="15">
        <v>738.7</v>
      </c>
      <c r="I1342" s="15">
        <v>30</v>
      </c>
      <c r="J1342" s="19">
        <f t="shared" si="115"/>
        <v>1127433.8399999999</v>
      </c>
      <c r="K1342" s="73"/>
      <c r="L1342" s="73"/>
      <c r="M1342" s="73"/>
      <c r="N1342" s="19">
        <f>SUMIF('2020'!B:B,B1342,'2020'!C:C)+SUMIF('2021'!B:B,B1342,'2021'!C:C)+SUMIF('2022'!B:B,B1342,'2022'!C:C)</f>
        <v>1127433.8399999999</v>
      </c>
      <c r="O1342" s="17">
        <v>44925</v>
      </c>
      <c r="P1342" s="2" t="s">
        <v>3728</v>
      </c>
    </row>
    <row r="1343" spans="1:16" ht="17.25" customHeight="1" x14ac:dyDescent="0.3">
      <c r="A1343" s="169">
        <f t="shared" si="116"/>
        <v>1219</v>
      </c>
      <c r="B1343" s="21" t="s">
        <v>1322</v>
      </c>
      <c r="C1343" s="5">
        <v>1975</v>
      </c>
      <c r="D1343" s="18"/>
      <c r="E1343" s="15" t="s">
        <v>3645</v>
      </c>
      <c r="F1343" s="15">
        <v>2</v>
      </c>
      <c r="G1343" s="26"/>
      <c r="H1343" s="15">
        <v>733.4</v>
      </c>
      <c r="I1343" s="15">
        <v>40</v>
      </c>
      <c r="J1343" s="19">
        <f t="shared" si="115"/>
        <v>723270.69</v>
      </c>
      <c r="K1343" s="73"/>
      <c r="L1343" s="73"/>
      <c r="M1343" s="73"/>
      <c r="N1343" s="19">
        <f>SUMIF('2020'!B:B,B1343,'2020'!C:C)+SUMIF('2021'!B:B,B1343,'2021'!C:C)+SUMIF('2022'!B:B,B1343,'2022'!C:C)</f>
        <v>723270.69</v>
      </c>
      <c r="O1343" s="17">
        <v>44925</v>
      </c>
      <c r="P1343" s="2" t="s">
        <v>3728</v>
      </c>
    </row>
    <row r="1344" spans="1:16" ht="17.25" customHeight="1" x14ac:dyDescent="0.3">
      <c r="A1344" s="169">
        <f t="shared" si="116"/>
        <v>1220</v>
      </c>
      <c r="B1344" s="21" t="s">
        <v>1323</v>
      </c>
      <c r="C1344" s="5">
        <v>1975</v>
      </c>
      <c r="D1344" s="18"/>
      <c r="E1344" s="15" t="s">
        <v>3645</v>
      </c>
      <c r="F1344" s="15">
        <v>2</v>
      </c>
      <c r="G1344" s="26"/>
      <c r="H1344" s="15">
        <v>740.4</v>
      </c>
      <c r="I1344" s="15">
        <v>49</v>
      </c>
      <c r="J1344" s="19">
        <f t="shared" si="115"/>
        <v>723270.69</v>
      </c>
      <c r="K1344" s="73"/>
      <c r="L1344" s="73"/>
      <c r="M1344" s="73"/>
      <c r="N1344" s="19">
        <f>SUMIF('2020'!B:B,B1344,'2020'!C:C)+SUMIF('2021'!B:B,B1344,'2021'!C:C)+SUMIF('2022'!B:B,B1344,'2022'!C:C)</f>
        <v>723270.69</v>
      </c>
      <c r="O1344" s="17">
        <v>44925</v>
      </c>
      <c r="P1344" s="2" t="s">
        <v>3728</v>
      </c>
    </row>
    <row r="1345" spans="1:16" ht="17.25" customHeight="1" x14ac:dyDescent="0.3">
      <c r="A1345" s="169">
        <f t="shared" si="116"/>
        <v>1221</v>
      </c>
      <c r="B1345" s="21" t="s">
        <v>1324</v>
      </c>
      <c r="C1345" s="5">
        <v>1975</v>
      </c>
      <c r="D1345" s="18"/>
      <c r="E1345" s="15" t="s">
        <v>3645</v>
      </c>
      <c r="F1345" s="15">
        <v>2</v>
      </c>
      <c r="G1345" s="26"/>
      <c r="H1345" s="15">
        <v>745.7</v>
      </c>
      <c r="I1345" s="15">
        <v>37</v>
      </c>
      <c r="J1345" s="19">
        <f t="shared" si="115"/>
        <v>723270.69</v>
      </c>
      <c r="K1345" s="73"/>
      <c r="L1345" s="73"/>
      <c r="M1345" s="73"/>
      <c r="N1345" s="19">
        <f>SUMIF('2020'!B:B,B1345,'2020'!C:C)+SUMIF('2021'!B:B,B1345,'2021'!C:C)+SUMIF('2022'!B:B,B1345,'2022'!C:C)</f>
        <v>723270.69</v>
      </c>
      <c r="O1345" s="17">
        <v>44925</v>
      </c>
      <c r="P1345" s="2" t="s">
        <v>3728</v>
      </c>
    </row>
    <row r="1346" spans="1:16" ht="17.25" customHeight="1" x14ac:dyDescent="0.3">
      <c r="A1346" s="169">
        <f>A1345+1</f>
        <v>1222</v>
      </c>
      <c r="B1346" s="21" t="s">
        <v>1325</v>
      </c>
      <c r="C1346" s="5">
        <v>1978</v>
      </c>
      <c r="D1346" s="18"/>
      <c r="E1346" s="15" t="s">
        <v>3645</v>
      </c>
      <c r="F1346" s="15">
        <v>2</v>
      </c>
      <c r="G1346" s="26"/>
      <c r="H1346" s="15" t="s">
        <v>3831</v>
      </c>
      <c r="I1346" s="15">
        <v>48</v>
      </c>
      <c r="J1346" s="19">
        <f t="shared" si="115"/>
        <v>2455204.5500000003</v>
      </c>
      <c r="K1346" s="73"/>
      <c r="L1346" s="73"/>
      <c r="M1346" s="73"/>
      <c r="N1346" s="19">
        <f>SUMIF('2020'!B:B,B1346,'2020'!C:C)+SUMIF('2021'!B:B,B1346,'2021'!C:C)+SUMIF('2022'!B:B,B1346,'2022'!C:C)</f>
        <v>2455204.5500000003</v>
      </c>
      <c r="O1346" s="17">
        <v>44925</v>
      </c>
      <c r="P1346" s="2" t="s">
        <v>3728</v>
      </c>
    </row>
    <row r="1347" spans="1:16" ht="17.25" customHeight="1" x14ac:dyDescent="0.3">
      <c r="A1347" s="210" t="s">
        <v>211</v>
      </c>
      <c r="B1347" s="21"/>
      <c r="C1347" s="3"/>
      <c r="D1347" s="3"/>
      <c r="E1347" s="3"/>
      <c r="F1347" s="3"/>
      <c r="G1347" s="26"/>
      <c r="H1347" s="73">
        <f t="shared" ref="H1347:M1347" si="117">SUM(H1321:H1346)</f>
        <v>15603.000000000002</v>
      </c>
      <c r="I1347" s="73">
        <f t="shared" si="117"/>
        <v>2157</v>
      </c>
      <c r="J1347" s="73">
        <f t="shared" si="117"/>
        <v>103760293.96999998</v>
      </c>
      <c r="K1347" s="73">
        <f t="shared" si="117"/>
        <v>0</v>
      </c>
      <c r="L1347" s="73">
        <f t="shared" si="117"/>
        <v>0</v>
      </c>
      <c r="M1347" s="73">
        <f t="shared" si="117"/>
        <v>0</v>
      </c>
      <c r="N1347" s="73">
        <f>SUM(N1321:N1346)</f>
        <v>103760293.96999998</v>
      </c>
      <c r="O1347" s="3"/>
      <c r="P1347" s="3"/>
    </row>
    <row r="1348" spans="1:16" ht="17.25" customHeight="1" x14ac:dyDescent="0.3">
      <c r="A1348" s="210" t="s">
        <v>1326</v>
      </c>
      <c r="B1348" s="21"/>
      <c r="C1348" s="3"/>
      <c r="D1348" s="3"/>
      <c r="E1348" s="3"/>
      <c r="F1348" s="3"/>
      <c r="G1348" s="26"/>
      <c r="H1348" s="3"/>
      <c r="I1348" s="3"/>
      <c r="J1348" s="19"/>
      <c r="K1348" s="73"/>
      <c r="L1348" s="73"/>
      <c r="M1348" s="73"/>
      <c r="N1348" s="73"/>
      <c r="O1348" s="3"/>
      <c r="P1348" s="3"/>
    </row>
    <row r="1349" spans="1:16" ht="17.25" customHeight="1" x14ac:dyDescent="0.3">
      <c r="A1349" s="169">
        <f>A1346+1</f>
        <v>1223</v>
      </c>
      <c r="B1349" s="21" t="s">
        <v>1327</v>
      </c>
      <c r="C1349" s="5">
        <v>1981</v>
      </c>
      <c r="D1349" s="3"/>
      <c r="E1349" s="3" t="s">
        <v>3731</v>
      </c>
      <c r="F1349" s="3">
        <v>3</v>
      </c>
      <c r="G1349" s="26"/>
      <c r="H1349" s="126">
        <v>1679.1</v>
      </c>
      <c r="I1349" s="3">
        <v>49</v>
      </c>
      <c r="J1349" s="19">
        <f t="shared" si="115"/>
        <v>1413588</v>
      </c>
      <c r="K1349" s="73"/>
      <c r="L1349" s="73"/>
      <c r="M1349" s="73"/>
      <c r="N1349" s="19">
        <f>SUMIF('2020'!B:B,B1349,'2020'!C:C)+SUMIF('2021'!B:B,B1349,'2021'!C:C)+SUMIF('2022'!B:B,B1349,'2022'!C:C)</f>
        <v>1413588</v>
      </c>
      <c r="O1349" s="17">
        <v>44925</v>
      </c>
      <c r="P1349" s="2" t="s">
        <v>3728</v>
      </c>
    </row>
    <row r="1350" spans="1:16" ht="17.25" customHeight="1" x14ac:dyDescent="0.3">
      <c r="A1350" s="169">
        <f t="shared" si="116"/>
        <v>1224</v>
      </c>
      <c r="B1350" s="21" t="s">
        <v>1328</v>
      </c>
      <c r="C1350" s="5">
        <v>1981</v>
      </c>
      <c r="D1350" s="3"/>
      <c r="E1350" s="3" t="s">
        <v>3731</v>
      </c>
      <c r="F1350" s="3">
        <v>3</v>
      </c>
      <c r="G1350" s="26"/>
      <c r="H1350" s="126">
        <v>1860</v>
      </c>
      <c r="I1350" s="3">
        <v>69</v>
      </c>
      <c r="J1350" s="19">
        <f t="shared" si="115"/>
        <v>2068406.66</v>
      </c>
      <c r="K1350" s="73"/>
      <c r="L1350" s="73"/>
      <c r="M1350" s="73"/>
      <c r="N1350" s="19">
        <f>SUMIF('2020'!B:B,B1350,'2020'!C:C)+SUMIF('2021'!B:B,B1350,'2021'!C:C)+SUMIF('2022'!B:B,B1350,'2022'!C:C)</f>
        <v>2068406.66</v>
      </c>
      <c r="O1350" s="17">
        <v>44925</v>
      </c>
      <c r="P1350" s="2" t="s">
        <v>3728</v>
      </c>
    </row>
    <row r="1351" spans="1:16" ht="17.25" customHeight="1" x14ac:dyDescent="0.3">
      <c r="A1351" s="210" t="s">
        <v>211</v>
      </c>
      <c r="B1351" s="21"/>
      <c r="C1351" s="3"/>
      <c r="D1351" s="3"/>
      <c r="E1351" s="3"/>
      <c r="F1351" s="3"/>
      <c r="G1351" s="26"/>
      <c r="H1351" s="73">
        <f t="shared" ref="H1351:M1351" si="118">SUM(H1349:H1350)</f>
        <v>3539.1</v>
      </c>
      <c r="I1351" s="73">
        <f t="shared" si="118"/>
        <v>118</v>
      </c>
      <c r="J1351" s="73">
        <f t="shared" si="118"/>
        <v>3481994.66</v>
      </c>
      <c r="K1351" s="73">
        <f t="shared" si="118"/>
        <v>0</v>
      </c>
      <c r="L1351" s="73">
        <f t="shared" si="118"/>
        <v>0</v>
      </c>
      <c r="M1351" s="73">
        <f t="shared" si="118"/>
        <v>0</v>
      </c>
      <c r="N1351" s="73">
        <f>SUM(N1349:N1350)</f>
        <v>3481994.66</v>
      </c>
      <c r="O1351" s="3"/>
      <c r="P1351" s="3"/>
    </row>
    <row r="1352" spans="1:16" s="160" customFormat="1" ht="17.25" customHeight="1" x14ac:dyDescent="0.3">
      <c r="A1352" s="90" t="s">
        <v>1329</v>
      </c>
      <c r="B1352" s="161"/>
      <c r="C1352" s="153"/>
      <c r="D1352" s="153"/>
      <c r="E1352" s="153"/>
      <c r="F1352" s="153"/>
      <c r="G1352" s="154"/>
      <c r="H1352" s="155">
        <f t="shared" ref="H1352:N1352" si="119">H1351+H1347+H1319+H1259+H1251+H1176+H1170+H1145+H1142+H1083+H818</f>
        <v>712278.87000000023</v>
      </c>
      <c r="I1352" s="155">
        <f t="shared" si="119"/>
        <v>24011</v>
      </c>
      <c r="J1352" s="155">
        <f t="shared" si="119"/>
        <v>811474912.99033368</v>
      </c>
      <c r="K1352" s="155">
        <f t="shared" si="119"/>
        <v>0</v>
      </c>
      <c r="L1352" s="155">
        <f t="shared" si="119"/>
        <v>0</v>
      </c>
      <c r="M1352" s="155">
        <f t="shared" si="119"/>
        <v>0</v>
      </c>
      <c r="N1352" s="155">
        <f t="shared" si="119"/>
        <v>811474912.99033368</v>
      </c>
      <c r="O1352" s="153"/>
      <c r="P1352" s="153"/>
    </row>
    <row r="1353" spans="1:16" s="160" customFormat="1" x14ac:dyDescent="0.3">
      <c r="A1353" s="464" t="s">
        <v>1330</v>
      </c>
      <c r="B1353" s="465"/>
      <c r="C1353" s="465"/>
      <c r="D1353" s="465"/>
      <c r="E1353" s="465"/>
      <c r="F1353" s="465"/>
      <c r="G1353" s="465"/>
      <c r="H1353" s="465"/>
      <c r="I1353" s="465"/>
      <c r="J1353" s="465"/>
      <c r="K1353" s="465"/>
      <c r="L1353" s="465"/>
      <c r="M1353" s="465"/>
      <c r="N1353" s="465"/>
      <c r="O1353" s="465"/>
      <c r="P1353" s="466"/>
    </row>
    <row r="1354" spans="1:16" x14ac:dyDescent="0.3">
      <c r="A1354" s="461" t="s">
        <v>1331</v>
      </c>
      <c r="B1354" s="462"/>
      <c r="C1354" s="50"/>
      <c r="D1354" s="50"/>
      <c r="E1354" s="48"/>
      <c r="F1354" s="48"/>
      <c r="G1354" s="50"/>
      <c r="H1354" s="48"/>
      <c r="I1354" s="48"/>
      <c r="J1354" s="50"/>
      <c r="K1354" s="50"/>
      <c r="L1354" s="50"/>
      <c r="M1354" s="50"/>
      <c r="N1354" s="50"/>
      <c r="O1354" s="50"/>
      <c r="P1354" s="50"/>
    </row>
    <row r="1355" spans="1:16" x14ac:dyDescent="0.3">
      <c r="A1355" s="169">
        <f>A1350+1</f>
        <v>1225</v>
      </c>
      <c r="B1355" s="66" t="s">
        <v>1332</v>
      </c>
      <c r="C1355" s="184">
        <v>1980</v>
      </c>
      <c r="D1355" s="50"/>
      <c r="E1355" s="48" t="s">
        <v>3731</v>
      </c>
      <c r="F1355" s="218">
        <v>5</v>
      </c>
      <c r="G1355" s="50"/>
      <c r="H1355" s="48">
        <v>6603</v>
      </c>
      <c r="I1355" s="218">
        <v>165</v>
      </c>
      <c r="J1355" s="19">
        <f t="shared" ref="J1355:J1418" si="120">K1355+L1355+M1355+N1355</f>
        <v>4138510.8</v>
      </c>
      <c r="K1355" s="50"/>
      <c r="L1355" s="50"/>
      <c r="M1355" s="50"/>
      <c r="N1355" s="19">
        <f>SUMIF('2020'!B:B,B1355,'2020'!C:C)+SUMIF('2021'!B:B,B1355,'2021'!C:C)+SUMIF('2022'!B:B,B1355,'2022'!C:C)</f>
        <v>4138510.8</v>
      </c>
      <c r="O1355" s="219">
        <v>44925</v>
      </c>
      <c r="P1355" s="48" t="s">
        <v>3728</v>
      </c>
    </row>
    <row r="1356" spans="1:16" x14ac:dyDescent="0.3">
      <c r="A1356" s="169">
        <f t="shared" ref="A1356" si="121">A1355+1</f>
        <v>1226</v>
      </c>
      <c r="B1356" s="66" t="s">
        <v>1333</v>
      </c>
      <c r="C1356" s="184">
        <v>1948</v>
      </c>
      <c r="D1356" s="50"/>
      <c r="E1356" s="48" t="s">
        <v>3733</v>
      </c>
      <c r="F1356" s="218">
        <v>2</v>
      </c>
      <c r="G1356" s="50"/>
      <c r="H1356" s="48">
        <v>521.20000000000005</v>
      </c>
      <c r="I1356" s="218">
        <v>16</v>
      </c>
      <c r="J1356" s="19">
        <f t="shared" si="120"/>
        <v>480558.91000000003</v>
      </c>
      <c r="K1356" s="50"/>
      <c r="L1356" s="50"/>
      <c r="M1356" s="50"/>
      <c r="N1356" s="19">
        <f>SUMIF('2020'!B:B,B1356,'2020'!C:C)+SUMIF('2021'!B:B,B1356,'2021'!C:C)+SUMIF('2022'!B:B,B1356,'2022'!C:C)</f>
        <v>480558.91000000003</v>
      </c>
      <c r="O1356" s="219">
        <v>44925</v>
      </c>
      <c r="P1356" s="48" t="s">
        <v>3728</v>
      </c>
    </row>
    <row r="1357" spans="1:16" x14ac:dyDescent="0.3">
      <c r="A1357" s="169">
        <f>A1355+1</f>
        <v>1226</v>
      </c>
      <c r="B1357" s="66" t="s">
        <v>1334</v>
      </c>
      <c r="C1357" s="184">
        <v>1948</v>
      </c>
      <c r="D1357" s="50"/>
      <c r="E1357" s="48" t="s">
        <v>3733</v>
      </c>
      <c r="F1357" s="218">
        <v>2</v>
      </c>
      <c r="G1357" s="50"/>
      <c r="H1357" s="48">
        <v>515.5</v>
      </c>
      <c r="I1357" s="218">
        <v>30</v>
      </c>
      <c r="J1357" s="19">
        <f t="shared" si="120"/>
        <v>465919.03</v>
      </c>
      <c r="K1357" s="50"/>
      <c r="L1357" s="50"/>
      <c r="M1357" s="50"/>
      <c r="N1357" s="19">
        <f>SUMIF('2020'!B:B,B1357,'2020'!C:C)+SUMIF('2021'!B:B,B1357,'2021'!C:C)+SUMIF('2022'!B:B,B1357,'2022'!C:C)</f>
        <v>465919.03</v>
      </c>
      <c r="O1357" s="219">
        <v>44925</v>
      </c>
      <c r="P1357" s="48" t="s">
        <v>3728</v>
      </c>
    </row>
    <row r="1358" spans="1:16" x14ac:dyDescent="0.3">
      <c r="A1358" s="169">
        <f t="shared" ref="A1358:A1364" si="122">A1356+1</f>
        <v>1227</v>
      </c>
      <c r="B1358" s="66" t="s">
        <v>1335</v>
      </c>
      <c r="C1358" s="184">
        <v>1948</v>
      </c>
      <c r="D1358" s="50"/>
      <c r="E1358" s="48" t="s">
        <v>3733</v>
      </c>
      <c r="F1358" s="218">
        <v>2</v>
      </c>
      <c r="G1358" s="50"/>
      <c r="H1358" s="48">
        <v>529.5</v>
      </c>
      <c r="I1358" s="218">
        <v>26</v>
      </c>
      <c r="J1358" s="19">
        <f t="shared" si="120"/>
        <v>364253.71</v>
      </c>
      <c r="K1358" s="50"/>
      <c r="L1358" s="50"/>
      <c r="M1358" s="50"/>
      <c r="N1358" s="19">
        <f>SUMIF('2020'!B:B,B1358,'2020'!C:C)+SUMIF('2021'!B:B,B1358,'2021'!C:C)+SUMIF('2022'!B:B,B1358,'2022'!C:C)</f>
        <v>364253.71</v>
      </c>
      <c r="O1358" s="219">
        <v>44925</v>
      </c>
      <c r="P1358" s="48" t="s">
        <v>3728</v>
      </c>
    </row>
    <row r="1359" spans="1:16" x14ac:dyDescent="0.3">
      <c r="A1359" s="169">
        <f t="shared" si="122"/>
        <v>1227</v>
      </c>
      <c r="B1359" s="66" t="s">
        <v>1336</v>
      </c>
      <c r="C1359" s="184">
        <v>1969</v>
      </c>
      <c r="D1359" s="50"/>
      <c r="E1359" s="48" t="s">
        <v>3733</v>
      </c>
      <c r="F1359" s="218">
        <v>2</v>
      </c>
      <c r="G1359" s="50"/>
      <c r="H1359" s="48">
        <v>559.29999999999995</v>
      </c>
      <c r="I1359" s="218">
        <v>34</v>
      </c>
      <c r="J1359" s="19">
        <f t="shared" si="120"/>
        <v>6820077.5999999996</v>
      </c>
      <c r="K1359" s="50"/>
      <c r="L1359" s="50"/>
      <c r="M1359" s="50"/>
      <c r="N1359" s="19">
        <f>SUMIF('2020'!B:B,B1359,'2020'!C:C)+SUMIF('2021'!B:B,B1359,'2021'!C:C)+SUMIF('2022'!B:B,B1359,'2022'!C:C)</f>
        <v>6820077.5999999996</v>
      </c>
      <c r="O1359" s="219">
        <v>44925</v>
      </c>
      <c r="P1359" s="48" t="s">
        <v>3728</v>
      </c>
    </row>
    <row r="1360" spans="1:16" x14ac:dyDescent="0.3">
      <c r="A1360" s="169">
        <f t="shared" si="122"/>
        <v>1228</v>
      </c>
      <c r="B1360" s="66" t="s">
        <v>1337</v>
      </c>
      <c r="C1360" s="184">
        <v>1975</v>
      </c>
      <c r="D1360" s="50"/>
      <c r="E1360" s="48" t="s">
        <v>3733</v>
      </c>
      <c r="F1360" s="218">
        <v>3</v>
      </c>
      <c r="G1360" s="50"/>
      <c r="H1360" s="48">
        <v>1096.3</v>
      </c>
      <c r="I1360" s="218">
        <v>43</v>
      </c>
      <c r="J1360" s="19">
        <f t="shared" si="120"/>
        <v>1016187.17</v>
      </c>
      <c r="K1360" s="50"/>
      <c r="L1360" s="50"/>
      <c r="M1360" s="50"/>
      <c r="N1360" s="19">
        <f>SUMIF('2020'!B:B,B1360,'2020'!C:C)+SUMIF('2021'!B:B,B1360,'2021'!C:C)+SUMIF('2022'!B:B,B1360,'2022'!C:C)</f>
        <v>1016187.17</v>
      </c>
      <c r="O1360" s="219">
        <v>44925</v>
      </c>
      <c r="P1360" s="48" t="s">
        <v>3728</v>
      </c>
    </row>
    <row r="1361" spans="1:16" x14ac:dyDescent="0.3">
      <c r="A1361" s="169">
        <f t="shared" si="122"/>
        <v>1228</v>
      </c>
      <c r="B1361" s="66" t="s">
        <v>1339</v>
      </c>
      <c r="C1361" s="184">
        <v>1970</v>
      </c>
      <c r="D1361" s="50"/>
      <c r="E1361" s="48" t="s">
        <v>3733</v>
      </c>
      <c r="F1361" s="218">
        <v>2</v>
      </c>
      <c r="G1361" s="50"/>
      <c r="H1361" s="48">
        <v>580.4</v>
      </c>
      <c r="I1361" s="218">
        <v>28</v>
      </c>
      <c r="J1361" s="19">
        <f t="shared" si="120"/>
        <v>5655317.2000000002</v>
      </c>
      <c r="K1361" s="50"/>
      <c r="L1361" s="50"/>
      <c r="M1361" s="50"/>
      <c r="N1361" s="19">
        <f>SUMIF('2020'!B:B,B1361,'2020'!C:C)+SUMIF('2021'!B:B,B1361,'2021'!C:C)+SUMIF('2022'!B:B,B1361,'2022'!C:C)</f>
        <v>5655317.2000000002</v>
      </c>
      <c r="O1361" s="219">
        <v>44925</v>
      </c>
      <c r="P1361" s="48" t="s">
        <v>3728</v>
      </c>
    </row>
    <row r="1362" spans="1:16" x14ac:dyDescent="0.3">
      <c r="A1362" s="169">
        <f t="shared" si="122"/>
        <v>1229</v>
      </c>
      <c r="B1362" s="66" t="s">
        <v>1340</v>
      </c>
      <c r="C1362" s="184">
        <v>1978</v>
      </c>
      <c r="D1362" s="50"/>
      <c r="E1362" s="48" t="s">
        <v>3733</v>
      </c>
      <c r="F1362" s="218">
        <v>2</v>
      </c>
      <c r="G1362" s="50"/>
      <c r="H1362" s="48">
        <v>566.5</v>
      </c>
      <c r="I1362" s="218">
        <v>28</v>
      </c>
      <c r="J1362" s="19">
        <f t="shared" si="120"/>
        <v>5917748.7999999998</v>
      </c>
      <c r="K1362" s="50"/>
      <c r="L1362" s="50"/>
      <c r="M1362" s="50"/>
      <c r="N1362" s="19">
        <f>SUMIF('2020'!B:B,B1362,'2020'!C:C)+SUMIF('2021'!B:B,B1362,'2021'!C:C)+SUMIF('2022'!B:B,B1362,'2022'!C:C)</f>
        <v>5917748.7999999998</v>
      </c>
      <c r="O1362" s="219">
        <v>44925</v>
      </c>
      <c r="P1362" s="48" t="s">
        <v>3728</v>
      </c>
    </row>
    <row r="1363" spans="1:16" x14ac:dyDescent="0.3">
      <c r="A1363" s="169">
        <f t="shared" si="122"/>
        <v>1229</v>
      </c>
      <c r="B1363" s="66" t="s">
        <v>1341</v>
      </c>
      <c r="C1363" s="184">
        <v>1973</v>
      </c>
      <c r="D1363" s="50"/>
      <c r="E1363" s="48" t="s">
        <v>3733</v>
      </c>
      <c r="F1363" s="218">
        <v>2</v>
      </c>
      <c r="G1363" s="50"/>
      <c r="H1363" s="48">
        <v>817</v>
      </c>
      <c r="I1363" s="218">
        <v>31</v>
      </c>
      <c r="J1363" s="19">
        <f t="shared" si="120"/>
        <v>6369673.5999999996</v>
      </c>
      <c r="K1363" s="50"/>
      <c r="L1363" s="50"/>
      <c r="M1363" s="50"/>
      <c r="N1363" s="19">
        <f>SUMIF('2020'!B:B,B1363,'2020'!C:C)+SUMIF('2021'!B:B,B1363,'2021'!C:C)+SUMIF('2022'!B:B,B1363,'2022'!C:C)</f>
        <v>6369673.5999999996</v>
      </c>
      <c r="O1363" s="219">
        <v>44925</v>
      </c>
      <c r="P1363" s="48" t="s">
        <v>3728</v>
      </c>
    </row>
    <row r="1364" spans="1:16" x14ac:dyDescent="0.3">
      <c r="A1364" s="169">
        <f t="shared" si="122"/>
        <v>1230</v>
      </c>
      <c r="B1364" s="66" t="s">
        <v>1342</v>
      </c>
      <c r="C1364" s="184">
        <v>1978</v>
      </c>
      <c r="D1364" s="50"/>
      <c r="E1364" s="48" t="s">
        <v>3733</v>
      </c>
      <c r="F1364" s="218">
        <v>2</v>
      </c>
      <c r="G1364" s="50"/>
      <c r="H1364" s="48">
        <v>836.4</v>
      </c>
      <c r="I1364" s="218">
        <v>39</v>
      </c>
      <c r="J1364" s="19">
        <f t="shared" si="120"/>
        <v>8177590</v>
      </c>
      <c r="K1364" s="50"/>
      <c r="L1364" s="50"/>
      <c r="M1364" s="50"/>
      <c r="N1364" s="19">
        <f>SUMIF('2020'!B:B,B1364,'2020'!C:C)+SUMIF('2021'!B:B,B1364,'2021'!C:C)+SUMIF('2022'!B:B,B1364,'2022'!C:C)</f>
        <v>8177590</v>
      </c>
      <c r="O1364" s="219">
        <v>44925</v>
      </c>
      <c r="P1364" s="48" t="s">
        <v>3728</v>
      </c>
    </row>
    <row r="1365" spans="1:16" x14ac:dyDescent="0.3">
      <c r="A1365" s="59"/>
      <c r="B1365" s="66" t="s">
        <v>211</v>
      </c>
      <c r="C1365" s="50"/>
      <c r="D1365" s="50"/>
      <c r="E1365" s="48"/>
      <c r="F1365" s="48"/>
      <c r="G1365" s="50"/>
      <c r="H1365" s="48">
        <f>SUM(H1355:H1364)</f>
        <v>12625.099999999999</v>
      </c>
      <c r="I1365" s="218">
        <f>SUM(I1355:I1364)</f>
        <v>440</v>
      </c>
      <c r="J1365" s="19">
        <f t="shared" si="120"/>
        <v>39405836.82</v>
      </c>
      <c r="K1365" s="50"/>
      <c r="L1365" s="50"/>
      <c r="M1365" s="50"/>
      <c r="N1365" s="50">
        <f>SUM(N1355:N1364)</f>
        <v>39405836.82</v>
      </c>
      <c r="O1365" s="50"/>
      <c r="P1365" s="50"/>
    </row>
    <row r="1366" spans="1:16" x14ac:dyDescent="0.3">
      <c r="A1366" s="463" t="s">
        <v>1343</v>
      </c>
      <c r="B1366" s="463"/>
      <c r="C1366" s="50"/>
      <c r="D1366" s="50"/>
      <c r="E1366" s="48"/>
      <c r="F1366" s="48"/>
      <c r="G1366" s="50"/>
      <c r="H1366" s="48"/>
      <c r="I1366" s="48"/>
      <c r="J1366" s="19">
        <f t="shared" si="120"/>
        <v>0</v>
      </c>
      <c r="K1366" s="50"/>
      <c r="L1366" s="50"/>
      <c r="M1366" s="50"/>
      <c r="N1366" s="50"/>
      <c r="O1366" s="50"/>
      <c r="P1366" s="50"/>
    </row>
    <row r="1367" spans="1:16" x14ac:dyDescent="0.3">
      <c r="A1367" s="59">
        <f>A1364+1</f>
        <v>1231</v>
      </c>
      <c r="B1367" s="66" t="s">
        <v>1344</v>
      </c>
      <c r="C1367" s="184">
        <v>1967</v>
      </c>
      <c r="D1367" s="50"/>
      <c r="E1367" s="48" t="s">
        <v>3733</v>
      </c>
      <c r="F1367" s="218">
        <v>2</v>
      </c>
      <c r="G1367" s="50"/>
      <c r="H1367" s="48">
        <v>362.7</v>
      </c>
      <c r="I1367" s="218">
        <v>20</v>
      </c>
      <c r="J1367" s="19">
        <f t="shared" si="120"/>
        <v>1866070.8</v>
      </c>
      <c r="K1367" s="50"/>
      <c r="L1367" s="50"/>
      <c r="M1367" s="50"/>
      <c r="N1367" s="19">
        <f>SUMIF('2020'!B:B,B1367,'2020'!C:C)+SUMIF('2021'!B:B,B1367,'2021'!C:C)+SUMIF('2022'!B:B,B1367,'2022'!C:C)</f>
        <v>1866070.8</v>
      </c>
      <c r="O1367" s="219">
        <v>44925</v>
      </c>
      <c r="P1367" s="48" t="s">
        <v>3728</v>
      </c>
    </row>
    <row r="1368" spans="1:16" x14ac:dyDescent="0.3">
      <c r="A1368" s="169">
        <f>A1367+1</f>
        <v>1232</v>
      </c>
      <c r="B1368" s="66" t="s">
        <v>1345</v>
      </c>
      <c r="C1368" s="184">
        <v>1967</v>
      </c>
      <c r="D1368" s="50"/>
      <c r="E1368" s="48" t="s">
        <v>3733</v>
      </c>
      <c r="F1368" s="218">
        <v>2</v>
      </c>
      <c r="G1368" s="50"/>
      <c r="H1368" s="48">
        <v>362</v>
      </c>
      <c r="I1368" s="218">
        <v>20</v>
      </c>
      <c r="J1368" s="19">
        <f t="shared" si="120"/>
        <v>1866070.8</v>
      </c>
      <c r="K1368" s="50"/>
      <c r="L1368" s="50"/>
      <c r="M1368" s="50"/>
      <c r="N1368" s="19">
        <f>SUMIF('2020'!B:B,B1368,'2020'!C:C)+SUMIF('2021'!B:B,B1368,'2021'!C:C)+SUMIF('2022'!B:B,B1368,'2022'!C:C)</f>
        <v>1866070.8</v>
      </c>
      <c r="O1368" s="219">
        <v>44925</v>
      </c>
      <c r="P1368" s="48" t="s">
        <v>3728</v>
      </c>
    </row>
    <row r="1369" spans="1:16" x14ac:dyDescent="0.3">
      <c r="A1369" s="169">
        <f>A1367+1</f>
        <v>1232</v>
      </c>
      <c r="B1369" s="66" t="s">
        <v>1346</v>
      </c>
      <c r="C1369" s="184">
        <v>1967</v>
      </c>
      <c r="D1369" s="50"/>
      <c r="E1369" s="48" t="s">
        <v>3733</v>
      </c>
      <c r="F1369" s="218">
        <v>2</v>
      </c>
      <c r="G1369" s="50"/>
      <c r="H1369" s="48">
        <v>391.6</v>
      </c>
      <c r="I1369" s="218">
        <v>20</v>
      </c>
      <c r="J1369" s="19">
        <f t="shared" si="120"/>
        <v>4798983.5999999996</v>
      </c>
      <c r="K1369" s="50"/>
      <c r="L1369" s="50"/>
      <c r="M1369" s="50"/>
      <c r="N1369" s="19">
        <f>SUMIF('2020'!B:B,B1369,'2020'!C:C)+SUMIF('2021'!B:B,B1369,'2021'!C:C)+SUMIF('2022'!B:B,B1369,'2022'!C:C)</f>
        <v>4798983.5999999996</v>
      </c>
      <c r="O1369" s="219">
        <v>44925</v>
      </c>
      <c r="P1369" s="48" t="s">
        <v>3728</v>
      </c>
    </row>
    <row r="1370" spans="1:16" x14ac:dyDescent="0.3">
      <c r="A1370" s="220"/>
      <c r="B1370" s="66" t="s">
        <v>211</v>
      </c>
      <c r="C1370" s="50"/>
      <c r="D1370" s="50"/>
      <c r="E1370" s="48"/>
      <c r="F1370" s="48"/>
      <c r="G1370" s="50"/>
      <c r="H1370" s="48">
        <f>SUM(H1367:H1369)</f>
        <v>1116.3000000000002</v>
      </c>
      <c r="I1370" s="218">
        <f>SUM(I1367:I1369)</f>
        <v>60</v>
      </c>
      <c r="J1370" s="19">
        <f t="shared" si="120"/>
        <v>8531125.1999999993</v>
      </c>
      <c r="K1370" s="50"/>
      <c r="L1370" s="50"/>
      <c r="M1370" s="50"/>
      <c r="N1370" s="50">
        <f>SUM(N1367:N1369)</f>
        <v>8531125.1999999993</v>
      </c>
      <c r="O1370" s="50"/>
      <c r="P1370" s="50"/>
    </row>
    <row r="1371" spans="1:16" x14ac:dyDescent="0.3">
      <c r="A1371" s="461" t="s">
        <v>1347</v>
      </c>
      <c r="B1371" s="462"/>
      <c r="C1371" s="50"/>
      <c r="D1371" s="50"/>
      <c r="E1371" s="48"/>
      <c r="F1371" s="48"/>
      <c r="G1371" s="50"/>
      <c r="H1371" s="48"/>
      <c r="I1371" s="48"/>
      <c r="J1371" s="19">
        <f t="shared" si="120"/>
        <v>0</v>
      </c>
      <c r="K1371" s="50"/>
      <c r="L1371" s="50"/>
      <c r="M1371" s="50"/>
      <c r="N1371" s="50"/>
      <c r="O1371" s="50"/>
      <c r="P1371" s="50"/>
    </row>
    <row r="1372" spans="1:16" x14ac:dyDescent="0.3">
      <c r="A1372" s="59">
        <f>A1369+1</f>
        <v>1233</v>
      </c>
      <c r="B1372" s="66" t="s">
        <v>1348</v>
      </c>
      <c r="C1372" s="184">
        <v>1954</v>
      </c>
      <c r="D1372" s="50"/>
      <c r="E1372" s="48" t="s">
        <v>3733</v>
      </c>
      <c r="F1372" s="218">
        <v>2</v>
      </c>
      <c r="G1372" s="50"/>
      <c r="H1372" s="48">
        <v>366.7</v>
      </c>
      <c r="I1372" s="218">
        <v>17</v>
      </c>
      <c r="J1372" s="19">
        <f t="shared" si="120"/>
        <v>464657.6</v>
      </c>
      <c r="K1372" s="50"/>
      <c r="L1372" s="50"/>
      <c r="M1372" s="50"/>
      <c r="N1372" s="19">
        <f>SUMIF('2020'!B:B,B1372,'2020'!C:C)+SUMIF('2021'!B:B,B1372,'2021'!C:C)+SUMIF('2022'!B:B,B1372,'2022'!C:C)</f>
        <v>464657.6</v>
      </c>
      <c r="O1372" s="219">
        <v>44925</v>
      </c>
      <c r="P1372" s="48" t="s">
        <v>3728</v>
      </c>
    </row>
    <row r="1373" spans="1:16" x14ac:dyDescent="0.3">
      <c r="A1373" s="169">
        <f t="shared" ref="A1373:A1381" si="123">A1372+1</f>
        <v>1234</v>
      </c>
      <c r="B1373" s="66" t="s">
        <v>1350</v>
      </c>
      <c r="C1373" s="184">
        <v>1958</v>
      </c>
      <c r="D1373" s="50"/>
      <c r="E1373" s="48" t="s">
        <v>3733</v>
      </c>
      <c r="F1373" s="218">
        <v>3</v>
      </c>
      <c r="G1373" s="50"/>
      <c r="H1373" s="48">
        <v>1601</v>
      </c>
      <c r="I1373" s="218">
        <v>84</v>
      </c>
      <c r="J1373" s="19">
        <f t="shared" si="120"/>
        <v>601097.09000000008</v>
      </c>
      <c r="K1373" s="50"/>
      <c r="L1373" s="50"/>
      <c r="M1373" s="50"/>
      <c r="N1373" s="19">
        <f>SUMIF('2020'!B:B,B1373,'2020'!C:C)+SUMIF('2021'!B:B,B1373,'2021'!C:C)+SUMIF('2022'!B:B,B1373,'2022'!C:C)</f>
        <v>601097.09000000008</v>
      </c>
      <c r="O1373" s="219">
        <v>44925</v>
      </c>
      <c r="P1373" s="48" t="s">
        <v>3728</v>
      </c>
    </row>
    <row r="1374" spans="1:16" x14ac:dyDescent="0.3">
      <c r="A1374" s="169">
        <f t="shared" si="123"/>
        <v>1235</v>
      </c>
      <c r="B1374" s="66" t="s">
        <v>1351</v>
      </c>
      <c r="C1374" s="184">
        <v>1958</v>
      </c>
      <c r="D1374" s="50"/>
      <c r="E1374" s="48" t="s">
        <v>3733</v>
      </c>
      <c r="F1374" s="218">
        <v>3</v>
      </c>
      <c r="G1374" s="50"/>
      <c r="H1374" s="48">
        <v>1601</v>
      </c>
      <c r="I1374" s="218">
        <v>84</v>
      </c>
      <c r="J1374" s="19">
        <f t="shared" si="120"/>
        <v>882307.68000000017</v>
      </c>
      <c r="K1374" s="50"/>
      <c r="L1374" s="50"/>
      <c r="M1374" s="50"/>
      <c r="N1374" s="19">
        <f>SUMIF('2020'!B:B,B1374,'2020'!C:C)+SUMIF('2021'!B:B,B1374,'2021'!C:C)+SUMIF('2022'!B:B,B1374,'2022'!C:C)</f>
        <v>882307.68000000017</v>
      </c>
      <c r="O1374" s="219">
        <v>44925</v>
      </c>
      <c r="P1374" s="48" t="s">
        <v>3728</v>
      </c>
    </row>
    <row r="1375" spans="1:16" x14ac:dyDescent="0.3">
      <c r="A1375" s="169">
        <f t="shared" si="123"/>
        <v>1236</v>
      </c>
      <c r="B1375" s="66" t="s">
        <v>1352</v>
      </c>
      <c r="C1375" s="184">
        <v>1957</v>
      </c>
      <c r="D1375" s="50"/>
      <c r="E1375" s="48" t="s">
        <v>3733</v>
      </c>
      <c r="F1375" s="218">
        <v>2</v>
      </c>
      <c r="G1375" s="50"/>
      <c r="H1375" s="48">
        <v>637</v>
      </c>
      <c r="I1375" s="218">
        <v>25</v>
      </c>
      <c r="J1375" s="19">
        <f t="shared" si="120"/>
        <v>741471.23</v>
      </c>
      <c r="K1375" s="50"/>
      <c r="L1375" s="50"/>
      <c r="M1375" s="50"/>
      <c r="N1375" s="19">
        <f>SUMIF('2020'!B:B,B1375,'2020'!C:C)+SUMIF('2021'!B:B,B1375,'2021'!C:C)+SUMIF('2022'!B:B,B1375,'2022'!C:C)</f>
        <v>741471.23</v>
      </c>
      <c r="O1375" s="219">
        <v>44925</v>
      </c>
      <c r="P1375" s="48" t="s">
        <v>3728</v>
      </c>
    </row>
    <row r="1376" spans="1:16" x14ac:dyDescent="0.3">
      <c r="A1376" s="169">
        <f t="shared" si="123"/>
        <v>1237</v>
      </c>
      <c r="B1376" s="66" t="s">
        <v>1353</v>
      </c>
      <c r="C1376" s="184">
        <v>1960</v>
      </c>
      <c r="D1376" s="50"/>
      <c r="E1376" s="48" t="s">
        <v>3733</v>
      </c>
      <c r="F1376" s="218">
        <v>3</v>
      </c>
      <c r="G1376" s="50"/>
      <c r="H1376" s="48">
        <v>1601</v>
      </c>
      <c r="I1376" s="218">
        <v>91</v>
      </c>
      <c r="J1376" s="19">
        <f t="shared" si="120"/>
        <v>738636.6100000001</v>
      </c>
      <c r="K1376" s="50"/>
      <c r="L1376" s="50"/>
      <c r="M1376" s="50"/>
      <c r="N1376" s="19">
        <f>SUMIF('2020'!B:B,B1376,'2020'!C:C)+SUMIF('2021'!B:B,B1376,'2021'!C:C)+SUMIF('2022'!B:B,B1376,'2022'!C:C)</f>
        <v>738636.6100000001</v>
      </c>
      <c r="O1376" s="219">
        <v>44925</v>
      </c>
      <c r="P1376" s="48" t="s">
        <v>3728</v>
      </c>
    </row>
    <row r="1377" spans="1:16" x14ac:dyDescent="0.3">
      <c r="A1377" s="169">
        <f t="shared" si="123"/>
        <v>1238</v>
      </c>
      <c r="B1377" s="66" t="s">
        <v>1355</v>
      </c>
      <c r="C1377" s="184">
        <v>1960</v>
      </c>
      <c r="D1377" s="50"/>
      <c r="E1377" s="48" t="s">
        <v>3733</v>
      </c>
      <c r="F1377" s="218">
        <v>3</v>
      </c>
      <c r="G1377" s="50"/>
      <c r="H1377" s="48">
        <v>1601</v>
      </c>
      <c r="I1377" s="218">
        <v>68</v>
      </c>
      <c r="J1377" s="19">
        <f t="shared" si="120"/>
        <v>738636.6100000001</v>
      </c>
      <c r="K1377" s="50"/>
      <c r="L1377" s="50"/>
      <c r="M1377" s="50"/>
      <c r="N1377" s="19">
        <f>SUMIF('2020'!B:B,B1377,'2020'!C:C)+SUMIF('2021'!B:B,B1377,'2021'!C:C)+SUMIF('2022'!B:B,B1377,'2022'!C:C)</f>
        <v>738636.6100000001</v>
      </c>
      <c r="O1377" s="219">
        <v>44925</v>
      </c>
      <c r="P1377" s="48" t="s">
        <v>3728</v>
      </c>
    </row>
    <row r="1378" spans="1:16" x14ac:dyDescent="0.3">
      <c r="A1378" s="169">
        <f t="shared" si="123"/>
        <v>1239</v>
      </c>
      <c r="B1378" s="66" t="s">
        <v>1356</v>
      </c>
      <c r="C1378" s="184">
        <v>1958</v>
      </c>
      <c r="D1378" s="50"/>
      <c r="E1378" s="48" t="s">
        <v>3733</v>
      </c>
      <c r="F1378" s="218">
        <v>3</v>
      </c>
      <c r="G1378" s="50"/>
      <c r="H1378" s="48">
        <v>1601</v>
      </c>
      <c r="I1378" s="218">
        <v>66</v>
      </c>
      <c r="J1378" s="19">
        <f t="shared" si="120"/>
        <v>882307.68000000017</v>
      </c>
      <c r="K1378" s="50"/>
      <c r="L1378" s="50"/>
      <c r="M1378" s="50"/>
      <c r="N1378" s="19">
        <f>SUMIF('2020'!B:B,B1378,'2020'!C:C)+SUMIF('2021'!B:B,B1378,'2021'!C:C)+SUMIF('2022'!B:B,B1378,'2022'!C:C)</f>
        <v>882307.68000000017</v>
      </c>
      <c r="O1378" s="219">
        <v>44925</v>
      </c>
      <c r="P1378" s="48" t="s">
        <v>3728</v>
      </c>
    </row>
    <row r="1379" spans="1:16" x14ac:dyDescent="0.3">
      <c r="A1379" s="169">
        <f t="shared" si="123"/>
        <v>1240</v>
      </c>
      <c r="B1379" s="66" t="s">
        <v>1357</v>
      </c>
      <c r="C1379" s="184">
        <v>1959</v>
      </c>
      <c r="D1379" s="50"/>
      <c r="E1379" s="48" t="s">
        <v>3733</v>
      </c>
      <c r="F1379" s="218">
        <v>3</v>
      </c>
      <c r="G1379" s="50"/>
      <c r="H1379" s="48">
        <v>1604</v>
      </c>
      <c r="I1379" s="218">
        <v>58</v>
      </c>
      <c r="J1379" s="19">
        <f t="shared" si="120"/>
        <v>882307.68000000017</v>
      </c>
      <c r="K1379" s="50"/>
      <c r="L1379" s="50"/>
      <c r="M1379" s="50"/>
      <c r="N1379" s="19">
        <f>SUMIF('2020'!B:B,B1379,'2020'!C:C)+SUMIF('2021'!B:B,B1379,'2021'!C:C)+SUMIF('2022'!B:B,B1379,'2022'!C:C)</f>
        <v>882307.68000000017</v>
      </c>
      <c r="O1379" s="219">
        <v>44925</v>
      </c>
      <c r="P1379" s="48" t="s">
        <v>3728</v>
      </c>
    </row>
    <row r="1380" spans="1:16" x14ac:dyDescent="0.3">
      <c r="A1380" s="169">
        <f t="shared" si="123"/>
        <v>1241</v>
      </c>
      <c r="B1380" s="66" t="s">
        <v>1358</v>
      </c>
      <c r="C1380" s="184">
        <v>1974</v>
      </c>
      <c r="D1380" s="50"/>
      <c r="E1380" s="48" t="s">
        <v>3733</v>
      </c>
      <c r="F1380" s="218">
        <v>5</v>
      </c>
      <c r="G1380" s="50"/>
      <c r="H1380" s="48">
        <v>3513</v>
      </c>
      <c r="I1380" s="218">
        <v>153</v>
      </c>
      <c r="J1380" s="19">
        <f t="shared" si="120"/>
        <v>1264159.56</v>
      </c>
      <c r="K1380" s="50"/>
      <c r="L1380" s="50"/>
      <c r="M1380" s="50"/>
      <c r="N1380" s="19">
        <f>SUMIF('2020'!B:B,B1380,'2020'!C:C)+SUMIF('2021'!B:B,B1380,'2021'!C:C)+SUMIF('2022'!B:B,B1380,'2022'!C:C)</f>
        <v>1264159.56</v>
      </c>
      <c r="O1380" s="219">
        <v>44925</v>
      </c>
      <c r="P1380" s="48" t="s">
        <v>3728</v>
      </c>
    </row>
    <row r="1381" spans="1:16" x14ac:dyDescent="0.3">
      <c r="A1381" s="169">
        <f t="shared" si="123"/>
        <v>1242</v>
      </c>
      <c r="B1381" s="66" t="s">
        <v>1359</v>
      </c>
      <c r="C1381" s="184">
        <v>1983</v>
      </c>
      <c r="D1381" s="50"/>
      <c r="E1381" s="48" t="s">
        <v>3733</v>
      </c>
      <c r="F1381" s="218">
        <v>5</v>
      </c>
      <c r="G1381" s="50"/>
      <c r="H1381" s="48">
        <v>3983</v>
      </c>
      <c r="I1381" s="218">
        <v>211</v>
      </c>
      <c r="J1381" s="19">
        <f t="shared" si="120"/>
        <v>1030076.77</v>
      </c>
      <c r="K1381" s="50"/>
      <c r="L1381" s="50"/>
      <c r="M1381" s="50"/>
      <c r="N1381" s="19">
        <f>SUMIF('2020'!B:B,B1381,'2020'!C:C)+SUMIF('2021'!B:B,B1381,'2021'!C:C)+SUMIF('2022'!B:B,B1381,'2022'!C:C)</f>
        <v>1030076.77</v>
      </c>
      <c r="O1381" s="219">
        <v>44925</v>
      </c>
      <c r="P1381" s="48" t="s">
        <v>3728</v>
      </c>
    </row>
    <row r="1382" spans="1:16" x14ac:dyDescent="0.3">
      <c r="A1382" s="220"/>
      <c r="B1382" s="66" t="s">
        <v>211</v>
      </c>
      <c r="C1382" s="50"/>
      <c r="D1382" s="50"/>
      <c r="E1382" s="48"/>
      <c r="F1382" s="48"/>
      <c r="G1382" s="50"/>
      <c r="H1382" s="48">
        <f>SUM(H1372:H1381)</f>
        <v>18108.7</v>
      </c>
      <c r="I1382" s="218">
        <f t="shared" ref="I1382:N1382" si="124">SUM(I1372:I1381)</f>
        <v>857</v>
      </c>
      <c r="J1382" s="19">
        <f t="shared" si="120"/>
        <v>8225658.5099999998</v>
      </c>
      <c r="K1382" s="48">
        <f t="shared" si="124"/>
        <v>0</v>
      </c>
      <c r="L1382" s="48">
        <f t="shared" si="124"/>
        <v>0</v>
      </c>
      <c r="M1382" s="48">
        <f t="shared" si="124"/>
        <v>0</v>
      </c>
      <c r="N1382" s="48">
        <f t="shared" si="124"/>
        <v>8225658.5099999998</v>
      </c>
      <c r="O1382" s="50"/>
      <c r="P1382" s="50"/>
    </row>
    <row r="1383" spans="1:16" x14ac:dyDescent="0.3">
      <c r="A1383" s="461" t="s">
        <v>1361</v>
      </c>
      <c r="B1383" s="462"/>
      <c r="C1383" s="50"/>
      <c r="D1383" s="50"/>
      <c r="E1383" s="48"/>
      <c r="F1383" s="48"/>
      <c r="G1383" s="50"/>
      <c r="H1383" s="48"/>
      <c r="I1383" s="48"/>
      <c r="J1383" s="19">
        <f t="shared" si="120"/>
        <v>0</v>
      </c>
      <c r="K1383" s="50"/>
      <c r="L1383" s="50"/>
      <c r="M1383" s="50"/>
      <c r="N1383" s="50"/>
      <c r="O1383" s="50"/>
      <c r="P1383" s="50"/>
    </row>
    <row r="1384" spans="1:16" x14ac:dyDescent="0.3">
      <c r="A1384" s="59">
        <f>A1381+1</f>
        <v>1243</v>
      </c>
      <c r="B1384" s="66" t="s">
        <v>1362</v>
      </c>
      <c r="C1384" s="184">
        <v>1917</v>
      </c>
      <c r="D1384" s="50"/>
      <c r="E1384" s="48" t="s">
        <v>4090</v>
      </c>
      <c r="F1384" s="218">
        <v>2</v>
      </c>
      <c r="G1384" s="50"/>
      <c r="H1384" s="48">
        <v>206.7</v>
      </c>
      <c r="I1384" s="221">
        <v>17</v>
      </c>
      <c r="J1384" s="19">
        <f t="shared" si="120"/>
        <v>220476.03999999998</v>
      </c>
      <c r="K1384" s="50"/>
      <c r="L1384" s="50"/>
      <c r="M1384" s="50"/>
      <c r="N1384" s="19">
        <f>SUMIF('2020'!B:B,B1384,'2020'!C:C)+SUMIF('2021'!B:B,B1384,'2021'!C:C)+SUMIF('2022'!B:B,B1384,'2022'!C:C)</f>
        <v>220476.03999999998</v>
      </c>
      <c r="O1384" s="219">
        <v>44925</v>
      </c>
      <c r="P1384" s="48" t="s">
        <v>3728</v>
      </c>
    </row>
    <row r="1385" spans="1:16" x14ac:dyDescent="0.3">
      <c r="A1385" s="169">
        <f t="shared" ref="A1385:A1408" si="125">A1384+1</f>
        <v>1244</v>
      </c>
      <c r="B1385" s="66" t="s">
        <v>1363</v>
      </c>
      <c r="C1385" s="184">
        <v>1950</v>
      </c>
      <c r="D1385" s="50"/>
      <c r="E1385" s="48" t="s">
        <v>4090</v>
      </c>
      <c r="F1385" s="218">
        <v>2</v>
      </c>
      <c r="G1385" s="50"/>
      <c r="H1385" s="48">
        <v>234</v>
      </c>
      <c r="I1385" s="221">
        <v>11</v>
      </c>
      <c r="J1385" s="19">
        <f t="shared" si="120"/>
        <v>140416.57999999999</v>
      </c>
      <c r="K1385" s="50"/>
      <c r="L1385" s="50"/>
      <c r="M1385" s="50"/>
      <c r="N1385" s="19">
        <f>SUMIF('2020'!B:B,B1385,'2020'!C:C)+SUMIF('2021'!B:B,B1385,'2021'!C:C)+SUMIF('2022'!B:B,B1385,'2022'!C:C)</f>
        <v>140416.57999999999</v>
      </c>
      <c r="O1385" s="219">
        <v>44925</v>
      </c>
      <c r="P1385" s="48" t="s">
        <v>3728</v>
      </c>
    </row>
    <row r="1386" spans="1:16" x14ac:dyDescent="0.3">
      <c r="A1386" s="169">
        <f t="shared" si="125"/>
        <v>1245</v>
      </c>
      <c r="B1386" s="66" t="s">
        <v>1365</v>
      </c>
      <c r="C1386" s="184">
        <v>1943</v>
      </c>
      <c r="D1386" s="50"/>
      <c r="E1386" s="48" t="s">
        <v>4090</v>
      </c>
      <c r="F1386" s="218">
        <v>2</v>
      </c>
      <c r="G1386" s="50"/>
      <c r="H1386" s="48">
        <v>231</v>
      </c>
      <c r="I1386" s="221">
        <v>10</v>
      </c>
      <c r="J1386" s="19">
        <f t="shared" si="120"/>
        <v>215404.75</v>
      </c>
      <c r="K1386" s="50"/>
      <c r="L1386" s="50"/>
      <c r="M1386" s="50"/>
      <c r="N1386" s="19">
        <f>SUMIF('2020'!B:B,B1386,'2020'!C:C)+SUMIF('2021'!B:B,B1386,'2021'!C:C)+SUMIF('2022'!B:B,B1386,'2022'!C:C)</f>
        <v>215404.75</v>
      </c>
      <c r="O1386" s="219">
        <v>44925</v>
      </c>
      <c r="P1386" s="48" t="s">
        <v>3728</v>
      </c>
    </row>
    <row r="1387" spans="1:16" x14ac:dyDescent="0.3">
      <c r="A1387" s="169">
        <f t="shared" si="125"/>
        <v>1246</v>
      </c>
      <c r="B1387" s="66" t="s">
        <v>1366</v>
      </c>
      <c r="C1387" s="184">
        <v>1917</v>
      </c>
      <c r="D1387" s="50"/>
      <c r="E1387" s="48" t="s">
        <v>4090</v>
      </c>
      <c r="F1387" s="218">
        <v>2</v>
      </c>
      <c r="G1387" s="50"/>
      <c r="H1387" s="48">
        <v>164.1</v>
      </c>
      <c r="I1387" s="221">
        <v>11</v>
      </c>
      <c r="J1387" s="19">
        <f t="shared" si="120"/>
        <v>175408.28</v>
      </c>
      <c r="K1387" s="50"/>
      <c r="L1387" s="50"/>
      <c r="M1387" s="50"/>
      <c r="N1387" s="19">
        <f>SUMIF('2020'!B:B,B1387,'2020'!C:C)+SUMIF('2021'!B:B,B1387,'2021'!C:C)+SUMIF('2022'!B:B,B1387,'2022'!C:C)</f>
        <v>175408.28</v>
      </c>
      <c r="O1387" s="219">
        <v>44925</v>
      </c>
      <c r="P1387" s="48" t="s">
        <v>3728</v>
      </c>
    </row>
    <row r="1388" spans="1:16" x14ac:dyDescent="0.3">
      <c r="A1388" s="169">
        <f t="shared" si="125"/>
        <v>1247</v>
      </c>
      <c r="B1388" s="66" t="s">
        <v>1367</v>
      </c>
      <c r="C1388" s="184">
        <v>1937</v>
      </c>
      <c r="D1388" s="50"/>
      <c r="E1388" s="48" t="s">
        <v>4090</v>
      </c>
      <c r="F1388" s="218">
        <v>2</v>
      </c>
      <c r="G1388" s="50"/>
      <c r="H1388" s="48">
        <v>243</v>
      </c>
      <c r="I1388" s="221">
        <v>12</v>
      </c>
      <c r="J1388" s="19">
        <f t="shared" si="120"/>
        <v>239330.09999999998</v>
      </c>
      <c r="K1388" s="50"/>
      <c r="L1388" s="50"/>
      <c r="M1388" s="50"/>
      <c r="N1388" s="19">
        <f>SUMIF('2020'!B:B,B1388,'2020'!C:C)+SUMIF('2021'!B:B,B1388,'2021'!C:C)+SUMIF('2022'!B:B,B1388,'2022'!C:C)</f>
        <v>239330.09999999998</v>
      </c>
      <c r="O1388" s="219">
        <v>44925</v>
      </c>
      <c r="P1388" s="48" t="s">
        <v>3728</v>
      </c>
    </row>
    <row r="1389" spans="1:16" x14ac:dyDescent="0.3">
      <c r="A1389" s="169">
        <f t="shared" si="125"/>
        <v>1248</v>
      </c>
      <c r="B1389" s="66" t="s">
        <v>1368</v>
      </c>
      <c r="C1389" s="184">
        <v>1917</v>
      </c>
      <c r="D1389" s="50"/>
      <c r="E1389" s="48" t="s">
        <v>4090</v>
      </c>
      <c r="F1389" s="218">
        <v>2</v>
      </c>
      <c r="G1389" s="50"/>
      <c r="H1389" s="48">
        <v>461</v>
      </c>
      <c r="I1389" s="221">
        <v>29</v>
      </c>
      <c r="J1389" s="19">
        <f t="shared" si="120"/>
        <v>312918.44</v>
      </c>
      <c r="K1389" s="50"/>
      <c r="L1389" s="50"/>
      <c r="M1389" s="50"/>
      <c r="N1389" s="19">
        <f>SUMIF('2020'!B:B,B1389,'2020'!C:C)+SUMIF('2021'!B:B,B1389,'2021'!C:C)+SUMIF('2022'!B:B,B1389,'2022'!C:C)</f>
        <v>312918.44</v>
      </c>
      <c r="O1389" s="219">
        <v>44925</v>
      </c>
      <c r="P1389" s="48" t="s">
        <v>3728</v>
      </c>
    </row>
    <row r="1390" spans="1:16" x14ac:dyDescent="0.3">
      <c r="A1390" s="169">
        <f t="shared" si="125"/>
        <v>1249</v>
      </c>
      <c r="B1390" s="66" t="s">
        <v>1369</v>
      </c>
      <c r="C1390" s="184">
        <v>1917</v>
      </c>
      <c r="D1390" s="50"/>
      <c r="E1390" s="48" t="s">
        <v>4090</v>
      </c>
      <c r="F1390" s="218">
        <v>2</v>
      </c>
      <c r="G1390" s="50"/>
      <c r="H1390" s="48">
        <v>338.9</v>
      </c>
      <c r="I1390" s="221">
        <v>17</v>
      </c>
      <c r="J1390" s="19">
        <f t="shared" si="120"/>
        <v>255677.81</v>
      </c>
      <c r="K1390" s="50"/>
      <c r="L1390" s="50"/>
      <c r="M1390" s="50"/>
      <c r="N1390" s="19">
        <f>SUMIF('2020'!B:B,B1390,'2020'!C:C)+SUMIF('2021'!B:B,B1390,'2021'!C:C)+SUMIF('2022'!B:B,B1390,'2022'!C:C)</f>
        <v>255677.81</v>
      </c>
      <c r="O1390" s="219">
        <v>44925</v>
      </c>
      <c r="P1390" s="48" t="s">
        <v>3728</v>
      </c>
    </row>
    <row r="1391" spans="1:16" x14ac:dyDescent="0.3">
      <c r="A1391" s="169">
        <f t="shared" si="125"/>
        <v>1250</v>
      </c>
      <c r="B1391" s="66" t="s">
        <v>1370</v>
      </c>
      <c r="C1391" s="184">
        <v>1938</v>
      </c>
      <c r="D1391" s="50"/>
      <c r="E1391" s="48" t="s">
        <v>4090</v>
      </c>
      <c r="F1391" s="218">
        <v>2</v>
      </c>
      <c r="G1391" s="50"/>
      <c r="H1391" s="48">
        <v>305.8</v>
      </c>
      <c r="I1391" s="221">
        <v>23</v>
      </c>
      <c r="J1391" s="19">
        <f t="shared" si="120"/>
        <v>229430.55000000002</v>
      </c>
      <c r="K1391" s="50"/>
      <c r="L1391" s="50"/>
      <c r="M1391" s="50"/>
      <c r="N1391" s="19">
        <f>SUMIF('2020'!B:B,B1391,'2020'!C:C)+SUMIF('2021'!B:B,B1391,'2021'!C:C)+SUMIF('2022'!B:B,B1391,'2022'!C:C)</f>
        <v>229430.55000000002</v>
      </c>
      <c r="O1391" s="219">
        <v>44925</v>
      </c>
      <c r="P1391" s="48" t="s">
        <v>3728</v>
      </c>
    </row>
    <row r="1392" spans="1:16" x14ac:dyDescent="0.3">
      <c r="A1392" s="169">
        <f t="shared" si="125"/>
        <v>1251</v>
      </c>
      <c r="B1392" s="66" t="s">
        <v>1371</v>
      </c>
      <c r="C1392" s="184">
        <v>1917</v>
      </c>
      <c r="D1392" s="50"/>
      <c r="E1392" s="48" t="s">
        <v>4090</v>
      </c>
      <c r="F1392" s="218">
        <v>2</v>
      </c>
      <c r="G1392" s="50"/>
      <c r="H1392" s="48">
        <v>521.70000000000005</v>
      </c>
      <c r="I1392" s="221">
        <v>39</v>
      </c>
      <c r="J1392" s="19">
        <f t="shared" si="120"/>
        <v>338304.45999999996</v>
      </c>
      <c r="K1392" s="50"/>
      <c r="L1392" s="50"/>
      <c r="M1392" s="50"/>
      <c r="N1392" s="19">
        <f>SUMIF('2020'!B:B,B1392,'2020'!C:C)+SUMIF('2021'!B:B,B1392,'2021'!C:C)+SUMIF('2022'!B:B,B1392,'2022'!C:C)</f>
        <v>338304.45999999996</v>
      </c>
      <c r="O1392" s="219">
        <v>44925</v>
      </c>
      <c r="P1392" s="48" t="s">
        <v>3728</v>
      </c>
    </row>
    <row r="1393" spans="1:16" x14ac:dyDescent="0.3">
      <c r="A1393" s="169">
        <f t="shared" si="125"/>
        <v>1252</v>
      </c>
      <c r="B1393" s="66" t="s">
        <v>1372</v>
      </c>
      <c r="C1393" s="184">
        <v>1917</v>
      </c>
      <c r="D1393" s="50"/>
      <c r="E1393" s="48" t="s">
        <v>4090</v>
      </c>
      <c r="F1393" s="218">
        <v>2</v>
      </c>
      <c r="G1393" s="50"/>
      <c r="H1393" s="48">
        <v>175.4</v>
      </c>
      <c r="I1393" s="221">
        <v>10</v>
      </c>
      <c r="J1393" s="19">
        <f t="shared" si="120"/>
        <v>202309.68</v>
      </c>
      <c r="K1393" s="50"/>
      <c r="L1393" s="50"/>
      <c r="M1393" s="50"/>
      <c r="N1393" s="19">
        <f>SUMIF('2020'!B:B,B1393,'2020'!C:C)+SUMIF('2021'!B:B,B1393,'2021'!C:C)+SUMIF('2022'!B:B,B1393,'2022'!C:C)</f>
        <v>202309.68</v>
      </c>
      <c r="O1393" s="219">
        <v>44925</v>
      </c>
      <c r="P1393" s="48" t="s">
        <v>3728</v>
      </c>
    </row>
    <row r="1394" spans="1:16" x14ac:dyDescent="0.3">
      <c r="A1394" s="169">
        <f t="shared" si="125"/>
        <v>1253</v>
      </c>
      <c r="B1394" s="66" t="s">
        <v>1373</v>
      </c>
      <c r="C1394" s="184">
        <v>1939</v>
      </c>
      <c r="D1394" s="50"/>
      <c r="E1394" s="48" t="s">
        <v>4090</v>
      </c>
      <c r="F1394" s="218">
        <v>2</v>
      </c>
      <c r="G1394" s="50"/>
      <c r="H1394" s="48">
        <v>149.4</v>
      </c>
      <c r="I1394" s="221">
        <v>9</v>
      </c>
      <c r="J1394" s="19">
        <f t="shared" si="120"/>
        <v>180225.47999999998</v>
      </c>
      <c r="K1394" s="50"/>
      <c r="L1394" s="50"/>
      <c r="M1394" s="50"/>
      <c r="N1394" s="19">
        <f>SUMIF('2020'!B:B,B1394,'2020'!C:C)+SUMIF('2021'!B:B,B1394,'2021'!C:C)+SUMIF('2022'!B:B,B1394,'2022'!C:C)</f>
        <v>180225.47999999998</v>
      </c>
      <c r="O1394" s="219">
        <v>44925</v>
      </c>
      <c r="P1394" s="48" t="s">
        <v>3728</v>
      </c>
    </row>
    <row r="1395" spans="1:16" x14ac:dyDescent="0.3">
      <c r="A1395" s="169">
        <f t="shared" si="125"/>
        <v>1254</v>
      </c>
      <c r="B1395" s="66" t="s">
        <v>1374</v>
      </c>
      <c r="C1395" s="184">
        <v>1917</v>
      </c>
      <c r="D1395" s="50"/>
      <c r="E1395" s="48" t="s">
        <v>4090</v>
      </c>
      <c r="F1395" s="218">
        <v>2</v>
      </c>
      <c r="G1395" s="50"/>
      <c r="H1395" s="48">
        <v>286.89999999999998</v>
      </c>
      <c r="I1395" s="221">
        <v>22</v>
      </c>
      <c r="J1395" s="19">
        <f t="shared" si="120"/>
        <v>235475.76</v>
      </c>
      <c r="K1395" s="50"/>
      <c r="L1395" s="50"/>
      <c r="M1395" s="50"/>
      <c r="N1395" s="19">
        <f>SUMIF('2020'!B:B,B1395,'2020'!C:C)+SUMIF('2021'!B:B,B1395,'2021'!C:C)+SUMIF('2022'!B:B,B1395,'2022'!C:C)</f>
        <v>235475.76</v>
      </c>
      <c r="O1395" s="219">
        <v>44925</v>
      </c>
      <c r="P1395" s="48" t="s">
        <v>3728</v>
      </c>
    </row>
    <row r="1396" spans="1:16" x14ac:dyDescent="0.3">
      <c r="A1396" s="169">
        <f t="shared" si="125"/>
        <v>1255</v>
      </c>
      <c r="B1396" s="66" t="s">
        <v>1375</v>
      </c>
      <c r="C1396" s="184">
        <v>1917</v>
      </c>
      <c r="D1396" s="50"/>
      <c r="E1396" s="48" t="s">
        <v>4090</v>
      </c>
      <c r="F1396" s="218">
        <v>2</v>
      </c>
      <c r="G1396" s="50"/>
      <c r="H1396" s="48">
        <v>202.5</v>
      </c>
      <c r="I1396" s="221">
        <v>12</v>
      </c>
      <c r="J1396" s="19">
        <f t="shared" si="120"/>
        <v>199759.43</v>
      </c>
      <c r="K1396" s="50"/>
      <c r="L1396" s="50"/>
      <c r="M1396" s="50"/>
      <c r="N1396" s="19">
        <f>SUMIF('2020'!B:B,B1396,'2020'!C:C)+SUMIF('2021'!B:B,B1396,'2021'!C:C)+SUMIF('2022'!B:B,B1396,'2022'!C:C)</f>
        <v>199759.43</v>
      </c>
      <c r="O1396" s="219">
        <v>44925</v>
      </c>
      <c r="P1396" s="48" t="s">
        <v>3728</v>
      </c>
    </row>
    <row r="1397" spans="1:16" x14ac:dyDescent="0.3">
      <c r="A1397" s="169">
        <f t="shared" si="125"/>
        <v>1256</v>
      </c>
      <c r="B1397" s="66" t="s">
        <v>1376</v>
      </c>
      <c r="C1397" s="184">
        <v>1917</v>
      </c>
      <c r="D1397" s="50"/>
      <c r="E1397" s="48" t="s">
        <v>4090</v>
      </c>
      <c r="F1397" s="218">
        <v>2</v>
      </c>
      <c r="G1397" s="50"/>
      <c r="H1397" s="48">
        <v>322.89999999999998</v>
      </c>
      <c r="I1397" s="221">
        <v>10</v>
      </c>
      <c r="J1397" s="19">
        <f t="shared" si="120"/>
        <v>244525.26</v>
      </c>
      <c r="K1397" s="50"/>
      <c r="L1397" s="50"/>
      <c r="M1397" s="50"/>
      <c r="N1397" s="19">
        <f>SUMIF('2020'!B:B,B1397,'2020'!C:C)+SUMIF('2021'!B:B,B1397,'2021'!C:C)+SUMIF('2022'!B:B,B1397,'2022'!C:C)</f>
        <v>244525.26</v>
      </c>
      <c r="O1397" s="219">
        <v>44925</v>
      </c>
      <c r="P1397" s="48" t="s">
        <v>3728</v>
      </c>
    </row>
    <row r="1398" spans="1:16" x14ac:dyDescent="0.3">
      <c r="A1398" s="169">
        <f t="shared" si="125"/>
        <v>1257</v>
      </c>
      <c r="B1398" s="66" t="s">
        <v>1377</v>
      </c>
      <c r="C1398" s="184">
        <v>1940</v>
      </c>
      <c r="D1398" s="50"/>
      <c r="E1398" s="48" t="s">
        <v>4090</v>
      </c>
      <c r="F1398" s="218">
        <v>2</v>
      </c>
      <c r="G1398" s="50"/>
      <c r="H1398" s="48">
        <v>124.5</v>
      </c>
      <c r="I1398" s="221">
        <v>19</v>
      </c>
      <c r="J1398" s="19">
        <f t="shared" si="120"/>
        <v>166926.97</v>
      </c>
      <c r="K1398" s="50"/>
      <c r="L1398" s="50"/>
      <c r="M1398" s="50"/>
      <c r="N1398" s="19">
        <f>SUMIF('2020'!B:B,B1398,'2020'!C:C)+SUMIF('2021'!B:B,B1398,'2021'!C:C)+SUMIF('2022'!B:B,B1398,'2022'!C:C)</f>
        <v>166926.97</v>
      </c>
      <c r="O1398" s="219">
        <v>44925</v>
      </c>
      <c r="P1398" s="48" t="s">
        <v>3728</v>
      </c>
    </row>
    <row r="1399" spans="1:16" x14ac:dyDescent="0.3">
      <c r="A1399" s="169">
        <f t="shared" si="125"/>
        <v>1258</v>
      </c>
      <c r="B1399" s="66" t="s">
        <v>1378</v>
      </c>
      <c r="C1399" s="184">
        <v>1940</v>
      </c>
      <c r="D1399" s="50"/>
      <c r="E1399" s="48" t="s">
        <v>4090</v>
      </c>
      <c r="F1399" s="218">
        <v>2</v>
      </c>
      <c r="G1399" s="50"/>
      <c r="H1399" s="48">
        <v>572.39</v>
      </c>
      <c r="I1399" s="221">
        <v>43</v>
      </c>
      <c r="J1399" s="19">
        <f t="shared" si="120"/>
        <v>272082.96000000002</v>
      </c>
      <c r="K1399" s="50"/>
      <c r="L1399" s="50"/>
      <c r="M1399" s="50"/>
      <c r="N1399" s="19">
        <f>SUMIF('2020'!B:B,B1399,'2020'!C:C)+SUMIF('2021'!B:B,B1399,'2021'!C:C)+SUMIF('2022'!B:B,B1399,'2022'!C:C)</f>
        <v>272082.96000000002</v>
      </c>
      <c r="O1399" s="219">
        <v>44925</v>
      </c>
      <c r="P1399" s="48" t="s">
        <v>3728</v>
      </c>
    </row>
    <row r="1400" spans="1:16" x14ac:dyDescent="0.3">
      <c r="A1400" s="169">
        <f t="shared" si="125"/>
        <v>1259</v>
      </c>
      <c r="B1400" s="66" t="s">
        <v>1379</v>
      </c>
      <c r="C1400" s="184">
        <v>1972</v>
      </c>
      <c r="D1400" s="50"/>
      <c r="E1400" s="48" t="s">
        <v>4090</v>
      </c>
      <c r="F1400" s="218">
        <v>2</v>
      </c>
      <c r="G1400" s="50"/>
      <c r="H1400" s="48">
        <v>351.8</v>
      </c>
      <c r="I1400" s="221">
        <v>18</v>
      </c>
      <c r="J1400" s="19">
        <f t="shared" si="120"/>
        <v>3275887.75</v>
      </c>
      <c r="K1400" s="50"/>
      <c r="L1400" s="50"/>
      <c r="M1400" s="50"/>
      <c r="N1400" s="19">
        <f>SUMIF('2020'!B:B,B1400,'2020'!C:C)+SUMIF('2021'!B:B,B1400,'2021'!C:C)+SUMIF('2022'!B:B,B1400,'2022'!C:C)</f>
        <v>3275887.75</v>
      </c>
      <c r="O1400" s="219">
        <v>44925</v>
      </c>
      <c r="P1400" s="48" t="s">
        <v>3728</v>
      </c>
    </row>
    <row r="1401" spans="1:16" x14ac:dyDescent="0.3">
      <c r="A1401" s="169">
        <f t="shared" si="125"/>
        <v>1260</v>
      </c>
      <c r="B1401" s="66" t="s">
        <v>1380</v>
      </c>
      <c r="C1401" s="184">
        <v>1917</v>
      </c>
      <c r="D1401" s="50"/>
      <c r="E1401" s="48" t="s">
        <v>4090</v>
      </c>
      <c r="F1401" s="218">
        <v>2</v>
      </c>
      <c r="G1401" s="50"/>
      <c r="H1401" s="48">
        <v>144.4</v>
      </c>
      <c r="I1401" s="221">
        <v>13</v>
      </c>
      <c r="J1401" s="19">
        <f t="shared" si="120"/>
        <v>178954.91</v>
      </c>
      <c r="K1401" s="50"/>
      <c r="L1401" s="50"/>
      <c r="M1401" s="50"/>
      <c r="N1401" s="19">
        <f>SUMIF('2020'!B:B,B1401,'2020'!C:C)+SUMIF('2021'!B:B,B1401,'2021'!C:C)+SUMIF('2022'!B:B,B1401,'2022'!C:C)</f>
        <v>178954.91</v>
      </c>
      <c r="O1401" s="219">
        <v>44925</v>
      </c>
      <c r="P1401" s="48" t="s">
        <v>3728</v>
      </c>
    </row>
    <row r="1402" spans="1:16" x14ac:dyDescent="0.3">
      <c r="A1402" s="169">
        <f t="shared" si="125"/>
        <v>1261</v>
      </c>
      <c r="B1402" s="66" t="s">
        <v>1381</v>
      </c>
      <c r="C1402" s="184">
        <v>1917</v>
      </c>
      <c r="D1402" s="50"/>
      <c r="E1402" s="48" t="s">
        <v>4090</v>
      </c>
      <c r="F1402" s="218">
        <v>2</v>
      </c>
      <c r="G1402" s="50"/>
      <c r="H1402" s="48">
        <v>270.5</v>
      </c>
      <c r="I1402" s="221">
        <v>9</v>
      </c>
      <c r="J1402" s="19">
        <f t="shared" si="120"/>
        <v>219394.29</v>
      </c>
      <c r="K1402" s="50"/>
      <c r="L1402" s="50"/>
      <c r="M1402" s="50"/>
      <c r="N1402" s="19">
        <f>SUMIF('2020'!B:B,B1402,'2020'!C:C)+SUMIF('2021'!B:B,B1402,'2021'!C:C)+SUMIF('2022'!B:B,B1402,'2022'!C:C)</f>
        <v>219394.29</v>
      </c>
      <c r="O1402" s="219">
        <v>44925</v>
      </c>
      <c r="P1402" s="48" t="s">
        <v>3728</v>
      </c>
    </row>
    <row r="1403" spans="1:16" x14ac:dyDescent="0.3">
      <c r="A1403" s="169">
        <f t="shared" si="125"/>
        <v>1262</v>
      </c>
      <c r="B1403" s="66" t="s">
        <v>1382</v>
      </c>
      <c r="C1403" s="184">
        <v>1917</v>
      </c>
      <c r="D1403" s="50"/>
      <c r="E1403" s="48" t="s">
        <v>4090</v>
      </c>
      <c r="F1403" s="218">
        <v>2</v>
      </c>
      <c r="G1403" s="50"/>
      <c r="H1403" s="48">
        <v>167.2</v>
      </c>
      <c r="I1403" s="221">
        <v>8</v>
      </c>
      <c r="J1403" s="19">
        <f t="shared" si="120"/>
        <v>197244.92</v>
      </c>
      <c r="K1403" s="50"/>
      <c r="L1403" s="50"/>
      <c r="M1403" s="50"/>
      <c r="N1403" s="19">
        <f>SUMIF('2020'!B:B,B1403,'2020'!C:C)+SUMIF('2021'!B:B,B1403,'2021'!C:C)+SUMIF('2022'!B:B,B1403,'2022'!C:C)</f>
        <v>197244.92</v>
      </c>
      <c r="O1403" s="219">
        <v>44925</v>
      </c>
      <c r="P1403" s="48" t="s">
        <v>3728</v>
      </c>
    </row>
    <row r="1404" spans="1:16" x14ac:dyDescent="0.3">
      <c r="A1404" s="169">
        <f t="shared" si="125"/>
        <v>1263</v>
      </c>
      <c r="B1404" s="66" t="s">
        <v>1383</v>
      </c>
      <c r="C1404" s="184">
        <v>1940</v>
      </c>
      <c r="D1404" s="50"/>
      <c r="E1404" s="48" t="s">
        <v>4090</v>
      </c>
      <c r="F1404" s="218">
        <v>2</v>
      </c>
      <c r="G1404" s="50"/>
      <c r="H1404" s="48">
        <v>267.39999999999998</v>
      </c>
      <c r="I1404" s="221">
        <v>20</v>
      </c>
      <c r="J1404" s="19">
        <f t="shared" si="120"/>
        <v>228200.63</v>
      </c>
      <c r="K1404" s="50"/>
      <c r="L1404" s="50"/>
      <c r="M1404" s="50"/>
      <c r="N1404" s="19">
        <f>SUMIF('2020'!B:B,B1404,'2020'!C:C)+SUMIF('2021'!B:B,B1404,'2021'!C:C)+SUMIF('2022'!B:B,B1404,'2022'!C:C)</f>
        <v>228200.63</v>
      </c>
      <c r="O1404" s="219">
        <v>44925</v>
      </c>
      <c r="P1404" s="48" t="s">
        <v>3728</v>
      </c>
    </row>
    <row r="1405" spans="1:16" x14ac:dyDescent="0.3">
      <c r="A1405" s="169">
        <f t="shared" si="125"/>
        <v>1264</v>
      </c>
      <c r="B1405" s="66" t="s">
        <v>1384</v>
      </c>
      <c r="C1405" s="184">
        <v>1940</v>
      </c>
      <c r="D1405" s="50"/>
      <c r="E1405" s="48" t="s">
        <v>4090</v>
      </c>
      <c r="F1405" s="218">
        <v>2</v>
      </c>
      <c r="G1405" s="50"/>
      <c r="H1405" s="48">
        <v>271</v>
      </c>
      <c r="I1405" s="221">
        <v>8</v>
      </c>
      <c r="J1405" s="19">
        <f t="shared" si="120"/>
        <v>226877.84000000003</v>
      </c>
      <c r="K1405" s="50"/>
      <c r="L1405" s="50"/>
      <c r="M1405" s="50"/>
      <c r="N1405" s="19">
        <f>SUMIF('2020'!B:B,B1405,'2020'!C:C)+SUMIF('2021'!B:B,B1405,'2021'!C:C)+SUMIF('2022'!B:B,B1405,'2022'!C:C)</f>
        <v>226877.84000000003</v>
      </c>
      <c r="O1405" s="219">
        <v>44925</v>
      </c>
      <c r="P1405" s="48" t="s">
        <v>3728</v>
      </c>
    </row>
    <row r="1406" spans="1:16" x14ac:dyDescent="0.3">
      <c r="A1406" s="169">
        <f t="shared" si="125"/>
        <v>1265</v>
      </c>
      <c r="B1406" s="66" t="s">
        <v>1385</v>
      </c>
      <c r="C1406" s="184">
        <v>1940</v>
      </c>
      <c r="D1406" s="50"/>
      <c r="E1406" s="48" t="s">
        <v>4090</v>
      </c>
      <c r="F1406" s="218">
        <v>2</v>
      </c>
      <c r="G1406" s="50"/>
      <c r="H1406" s="48">
        <v>278.2</v>
      </c>
      <c r="I1406" s="221">
        <v>25</v>
      </c>
      <c r="J1406" s="19">
        <f t="shared" si="120"/>
        <v>228861.97999999998</v>
      </c>
      <c r="K1406" s="50"/>
      <c r="L1406" s="50"/>
      <c r="M1406" s="50"/>
      <c r="N1406" s="19">
        <f>SUMIF('2020'!B:B,B1406,'2020'!C:C)+SUMIF('2021'!B:B,B1406,'2021'!C:C)+SUMIF('2022'!B:B,B1406,'2022'!C:C)</f>
        <v>228861.97999999998</v>
      </c>
      <c r="O1406" s="219">
        <v>44925</v>
      </c>
      <c r="P1406" s="48" t="s">
        <v>3728</v>
      </c>
    </row>
    <row r="1407" spans="1:16" x14ac:dyDescent="0.3">
      <c r="A1407" s="169">
        <f t="shared" si="125"/>
        <v>1266</v>
      </c>
      <c r="B1407" s="66" t="s">
        <v>1386</v>
      </c>
      <c r="C1407" s="184">
        <v>1917</v>
      </c>
      <c r="D1407" s="50"/>
      <c r="E1407" s="48" t="s">
        <v>4090</v>
      </c>
      <c r="F1407" s="218">
        <v>2</v>
      </c>
      <c r="G1407" s="50"/>
      <c r="H1407" s="48">
        <v>99.5</v>
      </c>
      <c r="I1407" s="221">
        <v>8</v>
      </c>
      <c r="J1407" s="19">
        <f t="shared" si="120"/>
        <v>159379.38</v>
      </c>
      <c r="K1407" s="50"/>
      <c r="L1407" s="50"/>
      <c r="M1407" s="50"/>
      <c r="N1407" s="19">
        <f>SUMIF('2020'!B:B,B1407,'2020'!C:C)+SUMIF('2021'!B:B,B1407,'2021'!C:C)+SUMIF('2022'!B:B,B1407,'2022'!C:C)</f>
        <v>159379.38</v>
      </c>
      <c r="O1407" s="219">
        <v>44925</v>
      </c>
      <c r="P1407" s="48" t="s">
        <v>3728</v>
      </c>
    </row>
    <row r="1408" spans="1:16" x14ac:dyDescent="0.3">
      <c r="A1408" s="169">
        <f t="shared" si="125"/>
        <v>1267</v>
      </c>
      <c r="B1408" s="66" t="s">
        <v>1387</v>
      </c>
      <c r="C1408" s="184">
        <v>1917</v>
      </c>
      <c r="D1408" s="50"/>
      <c r="E1408" s="48" t="s">
        <v>4090</v>
      </c>
      <c r="F1408" s="218">
        <v>2</v>
      </c>
      <c r="G1408" s="50"/>
      <c r="H1408" s="48">
        <v>133.19999999999999</v>
      </c>
      <c r="I1408" s="221">
        <v>14</v>
      </c>
      <c r="J1408" s="19">
        <f t="shared" si="120"/>
        <v>170432.33</v>
      </c>
      <c r="K1408" s="50"/>
      <c r="L1408" s="50"/>
      <c r="M1408" s="50"/>
      <c r="N1408" s="19">
        <f>SUMIF('2020'!B:B,B1408,'2020'!C:C)+SUMIF('2021'!B:B,B1408,'2021'!C:C)+SUMIF('2022'!B:B,B1408,'2022'!C:C)</f>
        <v>170432.33</v>
      </c>
      <c r="O1408" s="219">
        <v>44925</v>
      </c>
      <c r="P1408" s="48" t="s">
        <v>3728</v>
      </c>
    </row>
    <row r="1409" spans="1:16" x14ac:dyDescent="0.3">
      <c r="A1409" s="220"/>
      <c r="B1409" s="66" t="s">
        <v>211</v>
      </c>
      <c r="C1409" s="50"/>
      <c r="D1409" s="50"/>
      <c r="E1409" s="48"/>
      <c r="F1409" s="48"/>
      <c r="G1409" s="50"/>
      <c r="H1409" s="48">
        <f>SUM(H1384:H1408)</f>
        <v>6523.39</v>
      </c>
      <c r="I1409" s="218">
        <f>SUM(I1384:I1408)</f>
        <v>417</v>
      </c>
      <c r="J1409" s="19">
        <f t="shared" si="120"/>
        <v>8513906.5800000001</v>
      </c>
      <c r="K1409" s="50"/>
      <c r="L1409" s="50"/>
      <c r="M1409" s="50"/>
      <c r="N1409" s="50">
        <f>SUM(N1384:N1408)</f>
        <v>8513906.5800000001</v>
      </c>
      <c r="O1409" s="50"/>
      <c r="P1409" s="50"/>
    </row>
    <row r="1410" spans="1:16" x14ac:dyDescent="0.3">
      <c r="A1410" s="461" t="s">
        <v>1388</v>
      </c>
      <c r="B1410" s="462"/>
      <c r="C1410" s="50"/>
      <c r="D1410" s="50"/>
      <c r="E1410" s="48"/>
      <c r="F1410" s="48"/>
      <c r="G1410" s="50"/>
      <c r="H1410" s="48"/>
      <c r="I1410" s="48"/>
      <c r="J1410" s="19">
        <f t="shared" si="120"/>
        <v>0</v>
      </c>
      <c r="K1410" s="50"/>
      <c r="L1410" s="50"/>
      <c r="M1410" s="50"/>
      <c r="N1410" s="50"/>
      <c r="O1410" s="50"/>
      <c r="P1410" s="50"/>
    </row>
    <row r="1411" spans="1:16" x14ac:dyDescent="0.3">
      <c r="A1411" s="59">
        <f>A1408+1</f>
        <v>1268</v>
      </c>
      <c r="B1411" s="66" t="s">
        <v>1389</v>
      </c>
      <c r="C1411" s="184">
        <v>1995</v>
      </c>
      <c r="D1411" s="50"/>
      <c r="E1411" s="222" t="s">
        <v>4091</v>
      </c>
      <c r="F1411" s="223" t="s">
        <v>4092</v>
      </c>
      <c r="G1411" s="50"/>
      <c r="H1411" s="224">
        <v>7041.9</v>
      </c>
      <c r="I1411" s="223">
        <v>263</v>
      </c>
      <c r="J1411" s="19">
        <f t="shared" si="120"/>
        <v>130000</v>
      </c>
      <c r="K1411" s="50"/>
      <c r="L1411" s="50"/>
      <c r="M1411" s="50"/>
      <c r="N1411" s="19">
        <f>SUMIF('2020'!B:B,B1411,'2020'!C:C)+SUMIF('2021'!B:B,B1411,'2021'!C:C)+SUMIF('2022'!B:B,B1411,'2022'!C:C)</f>
        <v>130000</v>
      </c>
      <c r="O1411" s="219">
        <v>44925</v>
      </c>
      <c r="P1411" s="222" t="s">
        <v>3787</v>
      </c>
    </row>
    <row r="1412" spans="1:16" x14ac:dyDescent="0.3">
      <c r="A1412" s="169">
        <f t="shared" ref="A1412:A1475" si="126">A1411+1</f>
        <v>1269</v>
      </c>
      <c r="B1412" s="66" t="s">
        <v>1391</v>
      </c>
      <c r="C1412" s="184">
        <v>1995</v>
      </c>
      <c r="D1412" s="50"/>
      <c r="E1412" s="184" t="s">
        <v>3816</v>
      </c>
      <c r="F1412" s="198">
        <v>5</v>
      </c>
      <c r="G1412" s="50"/>
      <c r="H1412" s="192">
        <v>4086.1</v>
      </c>
      <c r="I1412" s="225">
        <v>138</v>
      </c>
      <c r="J1412" s="19">
        <f t="shared" si="120"/>
        <v>130000</v>
      </c>
      <c r="K1412" s="50"/>
      <c r="L1412" s="50"/>
      <c r="M1412" s="50"/>
      <c r="N1412" s="19">
        <f>SUMIF('2020'!B:B,B1412,'2020'!C:C)+SUMIF('2021'!B:B,B1412,'2021'!C:C)+SUMIF('2022'!B:B,B1412,'2022'!C:C)</f>
        <v>130000</v>
      </c>
      <c r="O1412" s="219">
        <v>44925</v>
      </c>
      <c r="P1412" s="184" t="s">
        <v>3787</v>
      </c>
    </row>
    <row r="1413" spans="1:16" x14ac:dyDescent="0.3">
      <c r="A1413" s="169">
        <f t="shared" si="126"/>
        <v>1270</v>
      </c>
      <c r="B1413" s="66" t="s">
        <v>1392</v>
      </c>
      <c r="C1413" s="184">
        <v>1972</v>
      </c>
      <c r="D1413" s="50"/>
      <c r="E1413" s="184" t="s">
        <v>3816</v>
      </c>
      <c r="F1413" s="198">
        <v>5</v>
      </c>
      <c r="G1413" s="50"/>
      <c r="H1413" s="192">
        <v>2682.9</v>
      </c>
      <c r="I1413" s="225">
        <v>141</v>
      </c>
      <c r="J1413" s="19">
        <f t="shared" si="120"/>
        <v>640147.35000000009</v>
      </c>
      <c r="K1413" s="50"/>
      <c r="L1413" s="50"/>
      <c r="M1413" s="50"/>
      <c r="N1413" s="19">
        <f>SUMIF('2020'!B:B,B1413,'2020'!C:C)+SUMIF('2021'!B:B,B1413,'2021'!C:C)+SUMIF('2022'!B:B,B1413,'2022'!C:C)</f>
        <v>640147.35000000009</v>
      </c>
      <c r="O1413" s="219">
        <v>44925</v>
      </c>
      <c r="P1413" s="184" t="s">
        <v>3728</v>
      </c>
    </row>
    <row r="1414" spans="1:16" x14ac:dyDescent="0.3">
      <c r="A1414" s="169">
        <f t="shared" si="126"/>
        <v>1271</v>
      </c>
      <c r="B1414" s="66" t="s">
        <v>1394</v>
      </c>
      <c r="C1414" s="184">
        <v>1965</v>
      </c>
      <c r="D1414" s="50"/>
      <c r="E1414" s="222" t="s">
        <v>4091</v>
      </c>
      <c r="F1414" s="223">
        <v>5</v>
      </c>
      <c r="G1414" s="50"/>
      <c r="H1414" s="224">
        <v>3519</v>
      </c>
      <c r="I1414" s="226">
        <v>159</v>
      </c>
      <c r="J1414" s="19">
        <f t="shared" si="120"/>
        <v>544408.68999999994</v>
      </c>
      <c r="K1414" s="50"/>
      <c r="L1414" s="50"/>
      <c r="M1414" s="50"/>
      <c r="N1414" s="19">
        <f>SUMIF('2020'!B:B,B1414,'2020'!C:C)+SUMIF('2021'!B:B,B1414,'2021'!C:C)+SUMIF('2022'!B:B,B1414,'2022'!C:C)</f>
        <v>544408.68999999994</v>
      </c>
      <c r="O1414" s="219">
        <v>44925</v>
      </c>
      <c r="P1414" s="222" t="s">
        <v>3728</v>
      </c>
    </row>
    <row r="1415" spans="1:16" x14ac:dyDescent="0.3">
      <c r="A1415" s="169">
        <f t="shared" si="126"/>
        <v>1272</v>
      </c>
      <c r="B1415" s="66" t="s">
        <v>1396</v>
      </c>
      <c r="C1415" s="184">
        <v>1965</v>
      </c>
      <c r="D1415" s="50"/>
      <c r="E1415" s="222" t="s">
        <v>4091</v>
      </c>
      <c r="F1415" s="223">
        <v>4</v>
      </c>
      <c r="G1415" s="50"/>
      <c r="H1415" s="224">
        <v>2756.2</v>
      </c>
      <c r="I1415" s="226">
        <v>131</v>
      </c>
      <c r="J1415" s="19">
        <f t="shared" si="120"/>
        <v>694298.05</v>
      </c>
      <c r="K1415" s="50"/>
      <c r="L1415" s="50"/>
      <c r="M1415" s="50"/>
      <c r="N1415" s="19">
        <f>SUMIF('2020'!B:B,B1415,'2020'!C:C)+SUMIF('2021'!B:B,B1415,'2021'!C:C)+SUMIF('2022'!B:B,B1415,'2022'!C:C)</f>
        <v>694298.05</v>
      </c>
      <c r="O1415" s="219">
        <v>44925</v>
      </c>
      <c r="P1415" s="222" t="s">
        <v>3728</v>
      </c>
    </row>
    <row r="1416" spans="1:16" x14ac:dyDescent="0.3">
      <c r="A1416" s="169">
        <f t="shared" si="126"/>
        <v>1273</v>
      </c>
      <c r="B1416" s="66" t="s">
        <v>1397</v>
      </c>
      <c r="C1416" s="184">
        <v>1966</v>
      </c>
      <c r="D1416" s="50"/>
      <c r="E1416" s="222" t="s">
        <v>4091</v>
      </c>
      <c r="F1416" s="223">
        <v>4</v>
      </c>
      <c r="G1416" s="50"/>
      <c r="H1416" s="224">
        <v>2726.6</v>
      </c>
      <c r="I1416" s="226">
        <v>114</v>
      </c>
      <c r="J1416" s="19">
        <f t="shared" si="120"/>
        <v>493897.92999999993</v>
      </c>
      <c r="K1416" s="50"/>
      <c r="L1416" s="50"/>
      <c r="M1416" s="50"/>
      <c r="N1416" s="19">
        <f>SUMIF('2020'!B:B,B1416,'2020'!C:C)+SUMIF('2021'!B:B,B1416,'2021'!C:C)+SUMIF('2022'!B:B,B1416,'2022'!C:C)</f>
        <v>493897.92999999993</v>
      </c>
      <c r="O1416" s="219">
        <v>44925</v>
      </c>
      <c r="P1416" s="222" t="s">
        <v>3728</v>
      </c>
    </row>
    <row r="1417" spans="1:16" x14ac:dyDescent="0.3">
      <c r="A1417" s="169">
        <f t="shared" si="126"/>
        <v>1274</v>
      </c>
      <c r="B1417" s="66" t="s">
        <v>1398</v>
      </c>
      <c r="C1417" s="184">
        <v>1964</v>
      </c>
      <c r="D1417" s="50"/>
      <c r="E1417" s="222" t="s">
        <v>4091</v>
      </c>
      <c r="F1417" s="223">
        <v>4</v>
      </c>
      <c r="G1417" s="50"/>
      <c r="H1417" s="224">
        <v>2759.6</v>
      </c>
      <c r="I1417" s="226">
        <v>135</v>
      </c>
      <c r="J1417" s="19">
        <f t="shared" si="120"/>
        <v>492323.35000000003</v>
      </c>
      <c r="K1417" s="50"/>
      <c r="L1417" s="50"/>
      <c r="M1417" s="50"/>
      <c r="N1417" s="19">
        <f>SUMIF('2020'!B:B,B1417,'2020'!C:C)+SUMIF('2021'!B:B,B1417,'2021'!C:C)+SUMIF('2022'!B:B,B1417,'2022'!C:C)</f>
        <v>492323.35000000003</v>
      </c>
      <c r="O1417" s="219">
        <v>44925</v>
      </c>
      <c r="P1417" s="222" t="s">
        <v>3728</v>
      </c>
    </row>
    <row r="1418" spans="1:16" x14ac:dyDescent="0.3">
      <c r="A1418" s="169">
        <f t="shared" si="126"/>
        <v>1275</v>
      </c>
      <c r="B1418" s="66" t="s">
        <v>1399</v>
      </c>
      <c r="C1418" s="184">
        <v>1976</v>
      </c>
      <c r="D1418" s="50"/>
      <c r="E1418" s="222" t="s">
        <v>3816</v>
      </c>
      <c r="F1418" s="223">
        <v>5</v>
      </c>
      <c r="G1418" s="50"/>
      <c r="H1418" s="224">
        <v>1610</v>
      </c>
      <c r="I1418" s="226">
        <v>62</v>
      </c>
      <c r="J1418" s="19">
        <f t="shared" si="120"/>
        <v>381548.7</v>
      </c>
      <c r="K1418" s="50"/>
      <c r="L1418" s="50"/>
      <c r="M1418" s="50"/>
      <c r="N1418" s="19">
        <f>SUMIF('2020'!B:B,B1418,'2020'!C:C)+SUMIF('2021'!B:B,B1418,'2021'!C:C)+SUMIF('2022'!B:B,B1418,'2022'!C:C)</f>
        <v>381548.7</v>
      </c>
      <c r="O1418" s="219">
        <v>44925</v>
      </c>
      <c r="P1418" s="222" t="s">
        <v>3728</v>
      </c>
    </row>
    <row r="1419" spans="1:16" x14ac:dyDescent="0.3">
      <c r="A1419" s="169">
        <f t="shared" si="126"/>
        <v>1276</v>
      </c>
      <c r="B1419" s="66" t="s">
        <v>1401</v>
      </c>
      <c r="C1419" s="184">
        <v>1917</v>
      </c>
      <c r="D1419" s="50"/>
      <c r="E1419" s="222" t="s">
        <v>4091</v>
      </c>
      <c r="F1419" s="223">
        <v>2</v>
      </c>
      <c r="G1419" s="50"/>
      <c r="H1419" s="224">
        <v>3174.76</v>
      </c>
      <c r="I1419" s="223">
        <v>32</v>
      </c>
      <c r="J1419" s="19">
        <f t="shared" ref="J1419:J1480" si="127">K1419+L1419+M1419+N1419</f>
        <v>17616259.599999998</v>
      </c>
      <c r="K1419" s="50"/>
      <c r="L1419" s="50"/>
      <c r="M1419" s="50"/>
      <c r="N1419" s="19">
        <f>SUMIF('2020'!B:B,B1419,'2020'!C:C)+SUMIF('2021'!B:B,B1419,'2021'!C:C)+SUMIF('2022'!B:B,B1419,'2022'!C:C)</f>
        <v>17616259.599999998</v>
      </c>
      <c r="O1419" s="219">
        <v>44925</v>
      </c>
      <c r="P1419" s="227" t="s">
        <v>3728</v>
      </c>
    </row>
    <row r="1420" spans="1:16" x14ac:dyDescent="0.3">
      <c r="A1420" s="169">
        <f t="shared" si="126"/>
        <v>1277</v>
      </c>
      <c r="B1420" s="66" t="s">
        <v>1402</v>
      </c>
      <c r="C1420" s="184">
        <v>1917</v>
      </c>
      <c r="D1420" s="50"/>
      <c r="E1420" s="222" t="s">
        <v>4091</v>
      </c>
      <c r="F1420" s="223">
        <v>2</v>
      </c>
      <c r="G1420" s="50"/>
      <c r="H1420" s="224">
        <v>1371.44</v>
      </c>
      <c r="I1420" s="223">
        <v>11</v>
      </c>
      <c r="J1420" s="19">
        <f t="shared" si="127"/>
        <v>6409003.5999999996</v>
      </c>
      <c r="K1420" s="50"/>
      <c r="L1420" s="50"/>
      <c r="M1420" s="50"/>
      <c r="N1420" s="19">
        <f>SUMIF('2020'!B:B,B1420,'2020'!C:C)+SUMIF('2021'!B:B,B1420,'2021'!C:C)+SUMIF('2022'!B:B,B1420,'2022'!C:C)</f>
        <v>6409003.5999999996</v>
      </c>
      <c r="O1420" s="219">
        <v>44925</v>
      </c>
      <c r="P1420" s="222" t="s">
        <v>3728</v>
      </c>
    </row>
    <row r="1421" spans="1:16" x14ac:dyDescent="0.3">
      <c r="A1421" s="169">
        <f t="shared" si="126"/>
        <v>1278</v>
      </c>
      <c r="B1421" s="66" t="s">
        <v>1403</v>
      </c>
      <c r="C1421" s="184">
        <v>1917</v>
      </c>
      <c r="D1421" s="50"/>
      <c r="E1421" s="222" t="s">
        <v>4091</v>
      </c>
      <c r="F1421" s="223">
        <v>2</v>
      </c>
      <c r="G1421" s="50"/>
      <c r="H1421" s="224">
        <v>708.6</v>
      </c>
      <c r="I1421" s="223">
        <v>5</v>
      </c>
      <c r="J1421" s="19">
        <f t="shared" si="127"/>
        <v>5095725.4000000004</v>
      </c>
      <c r="K1421" s="228"/>
      <c r="L1421" s="50"/>
      <c r="M1421" s="50"/>
      <c r="N1421" s="19">
        <f>SUMIF('2020'!B:B,B1421,'2020'!C:C)+SUMIF('2021'!B:B,B1421,'2021'!C:C)+SUMIF('2022'!B:B,B1421,'2022'!C:C)</f>
        <v>5095725.4000000004</v>
      </c>
      <c r="O1421" s="219">
        <v>44925</v>
      </c>
      <c r="P1421" s="222" t="s">
        <v>3728</v>
      </c>
    </row>
    <row r="1422" spans="1:16" x14ac:dyDescent="0.3">
      <c r="A1422" s="169">
        <f t="shared" si="126"/>
        <v>1279</v>
      </c>
      <c r="B1422" s="66" t="s">
        <v>1404</v>
      </c>
      <c r="C1422" s="184">
        <v>1917</v>
      </c>
      <c r="D1422" s="50"/>
      <c r="E1422" s="222" t="s">
        <v>4091</v>
      </c>
      <c r="F1422" s="223">
        <v>2</v>
      </c>
      <c r="G1422" s="50"/>
      <c r="H1422" s="224">
        <v>1150.54</v>
      </c>
      <c r="I1422" s="223">
        <v>13</v>
      </c>
      <c r="J1422" s="19">
        <f t="shared" si="127"/>
        <v>9405113.2000000011</v>
      </c>
      <c r="K1422" s="50"/>
      <c r="L1422" s="50"/>
      <c r="M1422" s="50"/>
      <c r="N1422" s="19">
        <f>SUMIF('2020'!B:B,B1422,'2020'!C:C)+SUMIF('2021'!B:B,B1422,'2021'!C:C)+SUMIF('2022'!B:B,B1422,'2022'!C:C)</f>
        <v>9405113.2000000011</v>
      </c>
      <c r="O1422" s="219">
        <v>44925</v>
      </c>
      <c r="P1422" s="222" t="s">
        <v>3728</v>
      </c>
    </row>
    <row r="1423" spans="1:16" x14ac:dyDescent="0.3">
      <c r="A1423" s="169">
        <f t="shared" si="126"/>
        <v>1280</v>
      </c>
      <c r="B1423" s="66" t="s">
        <v>1405</v>
      </c>
      <c r="C1423" s="184">
        <v>1917</v>
      </c>
      <c r="D1423" s="50"/>
      <c r="E1423" s="222" t="s">
        <v>4091</v>
      </c>
      <c r="F1423" s="223">
        <v>3</v>
      </c>
      <c r="G1423" s="50"/>
      <c r="H1423" s="224">
        <v>2205.36</v>
      </c>
      <c r="I1423" s="223">
        <v>21</v>
      </c>
      <c r="J1423" s="19">
        <f t="shared" si="127"/>
        <v>3565346.8000000003</v>
      </c>
      <c r="K1423" s="50"/>
      <c r="L1423" s="50"/>
      <c r="M1423" s="50"/>
      <c r="N1423" s="19">
        <f>SUMIF('2020'!B:B,B1423,'2020'!C:C)+SUMIF('2021'!B:B,B1423,'2021'!C:C)+SUMIF('2022'!B:B,B1423,'2022'!C:C)</f>
        <v>3565346.8000000003</v>
      </c>
      <c r="O1423" s="219">
        <v>44925</v>
      </c>
      <c r="P1423" s="222" t="s">
        <v>3728</v>
      </c>
    </row>
    <row r="1424" spans="1:16" x14ac:dyDescent="0.3">
      <c r="A1424" s="169">
        <f t="shared" si="126"/>
        <v>1281</v>
      </c>
      <c r="B1424" s="66" t="s">
        <v>1406</v>
      </c>
      <c r="C1424" s="184">
        <v>1917</v>
      </c>
      <c r="D1424" s="50"/>
      <c r="E1424" s="184"/>
      <c r="F1424" s="198">
        <v>2</v>
      </c>
      <c r="G1424" s="50"/>
      <c r="H1424" s="192">
        <v>1624.8</v>
      </c>
      <c r="I1424" s="225">
        <v>44</v>
      </c>
      <c r="J1424" s="19">
        <f t="shared" si="127"/>
        <v>154570</v>
      </c>
      <c r="K1424" s="50"/>
      <c r="L1424" s="50"/>
      <c r="M1424" s="50"/>
      <c r="N1424" s="19">
        <f>SUMIF('2020'!B:B,B1424,'2020'!C:C)+SUMIF('2021'!B:B,B1424,'2021'!C:C)+SUMIF('2022'!B:B,B1424,'2022'!C:C)</f>
        <v>154570</v>
      </c>
      <c r="O1424" s="219">
        <v>44925</v>
      </c>
      <c r="P1424" s="184" t="s">
        <v>3728</v>
      </c>
    </row>
    <row r="1425" spans="1:16" x14ac:dyDescent="0.3">
      <c r="A1425" s="169">
        <f t="shared" si="126"/>
        <v>1282</v>
      </c>
      <c r="B1425" s="66" t="s">
        <v>1407</v>
      </c>
      <c r="C1425" s="184">
        <v>1962</v>
      </c>
      <c r="D1425" s="50"/>
      <c r="E1425" s="222" t="s">
        <v>4091</v>
      </c>
      <c r="F1425" s="223">
        <v>4</v>
      </c>
      <c r="G1425" s="50"/>
      <c r="H1425" s="224">
        <v>3795.46</v>
      </c>
      <c r="I1425" s="223">
        <v>83</v>
      </c>
      <c r="J1425" s="19">
        <f t="shared" si="127"/>
        <v>717607.84</v>
      </c>
      <c r="K1425" s="50"/>
      <c r="L1425" s="50"/>
      <c r="M1425" s="50"/>
      <c r="N1425" s="19">
        <f>SUMIF('2020'!B:B,B1425,'2020'!C:C)+SUMIF('2021'!B:B,B1425,'2021'!C:C)+SUMIF('2022'!B:B,B1425,'2022'!C:C)</f>
        <v>717607.84</v>
      </c>
      <c r="O1425" s="219">
        <v>44925</v>
      </c>
      <c r="P1425" s="222" t="s">
        <v>3728</v>
      </c>
    </row>
    <row r="1426" spans="1:16" x14ac:dyDescent="0.3">
      <c r="A1426" s="169">
        <f t="shared" si="126"/>
        <v>1283</v>
      </c>
      <c r="B1426" s="66" t="s">
        <v>1409</v>
      </c>
      <c r="C1426" s="184">
        <v>1959</v>
      </c>
      <c r="D1426" s="50"/>
      <c r="E1426" s="222" t="s">
        <v>4091</v>
      </c>
      <c r="F1426" s="223">
        <v>3</v>
      </c>
      <c r="G1426" s="50"/>
      <c r="H1426" s="224">
        <v>3289.3</v>
      </c>
      <c r="I1426" s="223">
        <v>38</v>
      </c>
      <c r="J1426" s="19">
        <f t="shared" si="127"/>
        <v>550685.37</v>
      </c>
      <c r="K1426" s="50"/>
      <c r="L1426" s="50"/>
      <c r="M1426" s="50"/>
      <c r="N1426" s="19">
        <f>SUMIF('2020'!B:B,B1426,'2020'!C:C)+SUMIF('2021'!B:B,B1426,'2021'!C:C)+SUMIF('2022'!B:B,B1426,'2022'!C:C)</f>
        <v>550685.37</v>
      </c>
      <c r="O1426" s="219">
        <v>44925</v>
      </c>
      <c r="P1426" s="222" t="s">
        <v>3728</v>
      </c>
    </row>
    <row r="1427" spans="1:16" x14ac:dyDescent="0.3">
      <c r="A1427" s="169">
        <f t="shared" si="126"/>
        <v>1284</v>
      </c>
      <c r="B1427" s="66" t="s">
        <v>1411</v>
      </c>
      <c r="C1427" s="184">
        <v>1958</v>
      </c>
      <c r="D1427" s="50"/>
      <c r="E1427" s="222" t="s">
        <v>4091</v>
      </c>
      <c r="F1427" s="223">
        <v>3</v>
      </c>
      <c r="G1427" s="50"/>
      <c r="H1427" s="224">
        <v>2256.4</v>
      </c>
      <c r="I1427" s="223">
        <v>30</v>
      </c>
      <c r="J1427" s="19">
        <f t="shared" si="127"/>
        <v>130000</v>
      </c>
      <c r="K1427" s="50"/>
      <c r="L1427" s="50"/>
      <c r="M1427" s="50"/>
      <c r="N1427" s="19">
        <f>SUMIF('2020'!B:B,B1427,'2020'!C:C)+SUMIF('2021'!B:B,B1427,'2021'!C:C)+SUMIF('2022'!B:B,B1427,'2022'!C:C)</f>
        <v>130000</v>
      </c>
      <c r="O1427" s="219">
        <v>44925</v>
      </c>
      <c r="P1427" s="222" t="s">
        <v>3728</v>
      </c>
    </row>
    <row r="1428" spans="1:16" x14ac:dyDescent="0.3">
      <c r="A1428" s="169">
        <f t="shared" si="126"/>
        <v>1285</v>
      </c>
      <c r="B1428" s="66" t="s">
        <v>1412</v>
      </c>
      <c r="C1428" s="184">
        <v>1917</v>
      </c>
      <c r="D1428" s="50"/>
      <c r="E1428" s="184" t="s">
        <v>4091</v>
      </c>
      <c r="F1428" s="198">
        <v>3</v>
      </c>
      <c r="G1428" s="50"/>
      <c r="H1428" s="192">
        <v>1205</v>
      </c>
      <c r="I1428" s="198">
        <v>31</v>
      </c>
      <c r="J1428" s="19">
        <f t="shared" si="127"/>
        <v>1082130.45</v>
      </c>
      <c r="K1428" s="50"/>
      <c r="L1428" s="50"/>
      <c r="M1428" s="50"/>
      <c r="N1428" s="19">
        <f>SUMIF('2020'!B:B,B1428,'2020'!C:C)+SUMIF('2021'!B:B,B1428,'2021'!C:C)+SUMIF('2022'!B:B,B1428,'2022'!C:C)</f>
        <v>1082130.45</v>
      </c>
      <c r="O1428" s="219">
        <v>44925</v>
      </c>
      <c r="P1428" s="184" t="s">
        <v>3728</v>
      </c>
    </row>
    <row r="1429" spans="1:16" x14ac:dyDescent="0.3">
      <c r="A1429" s="169">
        <f t="shared" si="126"/>
        <v>1286</v>
      </c>
      <c r="B1429" s="66" t="s">
        <v>1414</v>
      </c>
      <c r="C1429" s="184">
        <v>1957</v>
      </c>
      <c r="D1429" s="50"/>
      <c r="E1429" s="222" t="s">
        <v>4091</v>
      </c>
      <c r="F1429" s="223">
        <v>3</v>
      </c>
      <c r="G1429" s="50"/>
      <c r="H1429" s="224">
        <v>2504.1799999999998</v>
      </c>
      <c r="I1429" s="223">
        <v>26</v>
      </c>
      <c r="J1429" s="19">
        <f t="shared" si="127"/>
        <v>524199.79</v>
      </c>
      <c r="K1429" s="50"/>
      <c r="L1429" s="50"/>
      <c r="M1429" s="50"/>
      <c r="N1429" s="19">
        <f>SUMIF('2020'!B:B,B1429,'2020'!C:C)+SUMIF('2021'!B:B,B1429,'2021'!C:C)+SUMIF('2022'!B:B,B1429,'2022'!C:C)</f>
        <v>524199.79</v>
      </c>
      <c r="O1429" s="219">
        <v>44925</v>
      </c>
      <c r="P1429" s="222" t="s">
        <v>3728</v>
      </c>
    </row>
    <row r="1430" spans="1:16" x14ac:dyDescent="0.3">
      <c r="A1430" s="169">
        <f t="shared" si="126"/>
        <v>1287</v>
      </c>
      <c r="B1430" s="66" t="s">
        <v>1416</v>
      </c>
      <c r="C1430" s="184">
        <v>1963</v>
      </c>
      <c r="D1430" s="50"/>
      <c r="E1430" s="222" t="s">
        <v>4091</v>
      </c>
      <c r="F1430" s="223">
        <v>4</v>
      </c>
      <c r="G1430" s="50"/>
      <c r="H1430" s="224">
        <v>2665.45</v>
      </c>
      <c r="I1430" s="223">
        <v>48</v>
      </c>
      <c r="J1430" s="19">
        <f t="shared" si="127"/>
        <v>336129.86</v>
      </c>
      <c r="K1430" s="50"/>
      <c r="L1430" s="50"/>
      <c r="M1430" s="50"/>
      <c r="N1430" s="19">
        <f>SUMIF('2020'!B:B,B1430,'2020'!C:C)+SUMIF('2021'!B:B,B1430,'2021'!C:C)+SUMIF('2022'!B:B,B1430,'2022'!C:C)</f>
        <v>336129.86</v>
      </c>
      <c r="O1430" s="219">
        <v>44925</v>
      </c>
      <c r="P1430" s="222" t="s">
        <v>3728</v>
      </c>
    </row>
    <row r="1431" spans="1:16" x14ac:dyDescent="0.3">
      <c r="A1431" s="169">
        <f t="shared" si="126"/>
        <v>1288</v>
      </c>
      <c r="B1431" s="66" t="s">
        <v>1417</v>
      </c>
      <c r="C1431" s="184">
        <v>1967</v>
      </c>
      <c r="D1431" s="50"/>
      <c r="E1431" s="184" t="s">
        <v>4091</v>
      </c>
      <c r="F1431" s="198">
        <v>5</v>
      </c>
      <c r="G1431" s="50"/>
      <c r="H1431" s="192">
        <v>5081.5</v>
      </c>
      <c r="I1431" s="198">
        <v>179</v>
      </c>
      <c r="J1431" s="19">
        <f t="shared" si="127"/>
        <v>692536.12</v>
      </c>
      <c r="K1431" s="50"/>
      <c r="L1431" s="50"/>
      <c r="M1431" s="50"/>
      <c r="N1431" s="19">
        <f>SUMIF('2020'!B:B,B1431,'2020'!C:C)+SUMIF('2021'!B:B,B1431,'2021'!C:C)+SUMIF('2022'!B:B,B1431,'2022'!C:C)</f>
        <v>692536.12</v>
      </c>
      <c r="O1431" s="219">
        <v>44925</v>
      </c>
      <c r="P1431" s="184" t="s">
        <v>2042</v>
      </c>
    </row>
    <row r="1432" spans="1:16" x14ac:dyDescent="0.3">
      <c r="A1432" s="169">
        <f t="shared" si="126"/>
        <v>1289</v>
      </c>
      <c r="B1432" s="66" t="s">
        <v>1418</v>
      </c>
      <c r="C1432" s="184">
        <v>1957</v>
      </c>
      <c r="D1432" s="50"/>
      <c r="E1432" s="222" t="s">
        <v>4091</v>
      </c>
      <c r="F1432" s="223">
        <v>4</v>
      </c>
      <c r="G1432" s="50"/>
      <c r="H1432" s="224">
        <v>2624.4</v>
      </c>
      <c r="I1432" s="223">
        <v>68</v>
      </c>
      <c r="J1432" s="19">
        <f t="shared" si="127"/>
        <v>1202084.8599999999</v>
      </c>
      <c r="K1432" s="50"/>
      <c r="L1432" s="50"/>
      <c r="M1432" s="50"/>
      <c r="N1432" s="19">
        <f>SUMIF('2020'!B:B,B1432,'2020'!C:C)+SUMIF('2021'!B:B,B1432,'2021'!C:C)+SUMIF('2022'!B:B,B1432,'2022'!C:C)</f>
        <v>1202084.8599999999</v>
      </c>
      <c r="O1432" s="219">
        <v>44925</v>
      </c>
      <c r="P1432" s="222" t="s">
        <v>3728</v>
      </c>
    </row>
    <row r="1433" spans="1:16" x14ac:dyDescent="0.3">
      <c r="A1433" s="169">
        <f t="shared" si="126"/>
        <v>1290</v>
      </c>
      <c r="B1433" s="66" t="s">
        <v>1420</v>
      </c>
      <c r="C1433" s="184">
        <v>1975</v>
      </c>
      <c r="D1433" s="50"/>
      <c r="E1433" s="222" t="s">
        <v>3816</v>
      </c>
      <c r="F1433" s="223">
        <v>5</v>
      </c>
      <c r="G1433" s="50"/>
      <c r="H1433" s="224">
        <v>1886.59</v>
      </c>
      <c r="I1433" s="223">
        <v>62</v>
      </c>
      <c r="J1433" s="19">
        <f t="shared" si="127"/>
        <v>381741.62</v>
      </c>
      <c r="K1433" s="50"/>
      <c r="L1433" s="50"/>
      <c r="M1433" s="50"/>
      <c r="N1433" s="19">
        <f>SUMIF('2020'!B:B,B1433,'2020'!C:C)+SUMIF('2021'!B:B,B1433,'2021'!C:C)+SUMIF('2022'!B:B,B1433,'2022'!C:C)</f>
        <v>381741.62</v>
      </c>
      <c r="O1433" s="219">
        <v>44925</v>
      </c>
      <c r="P1433" s="222" t="s">
        <v>3728</v>
      </c>
    </row>
    <row r="1434" spans="1:16" x14ac:dyDescent="0.3">
      <c r="A1434" s="169">
        <f t="shared" si="126"/>
        <v>1291</v>
      </c>
      <c r="B1434" s="66" t="s">
        <v>1421</v>
      </c>
      <c r="C1434" s="184">
        <v>1975</v>
      </c>
      <c r="D1434" s="50"/>
      <c r="E1434" s="222" t="s">
        <v>3816</v>
      </c>
      <c r="F1434" s="223">
        <v>5</v>
      </c>
      <c r="G1434" s="50"/>
      <c r="H1434" s="224">
        <v>1369.25</v>
      </c>
      <c r="I1434" s="223">
        <v>62</v>
      </c>
      <c r="J1434" s="19">
        <f t="shared" si="127"/>
        <v>381741.62</v>
      </c>
      <c r="K1434" s="50"/>
      <c r="L1434" s="50"/>
      <c r="M1434" s="50"/>
      <c r="N1434" s="19">
        <f>SUMIF('2020'!B:B,B1434,'2020'!C:C)+SUMIF('2021'!B:B,B1434,'2021'!C:C)+SUMIF('2022'!B:B,B1434,'2022'!C:C)</f>
        <v>381741.62</v>
      </c>
      <c r="O1434" s="219">
        <v>44925</v>
      </c>
      <c r="P1434" s="222" t="s">
        <v>3728</v>
      </c>
    </row>
    <row r="1435" spans="1:16" x14ac:dyDescent="0.3">
      <c r="A1435" s="169">
        <f t="shared" si="126"/>
        <v>1292</v>
      </c>
      <c r="B1435" s="66" t="s">
        <v>1422</v>
      </c>
      <c r="C1435" s="184">
        <v>1986</v>
      </c>
      <c r="D1435" s="50"/>
      <c r="E1435" s="222" t="s">
        <v>3816</v>
      </c>
      <c r="F1435" s="223">
        <v>9</v>
      </c>
      <c r="G1435" s="50"/>
      <c r="H1435" s="224">
        <v>5436</v>
      </c>
      <c r="I1435" s="223">
        <v>180</v>
      </c>
      <c r="J1435" s="19">
        <f t="shared" si="127"/>
        <v>4690050</v>
      </c>
      <c r="K1435" s="50"/>
      <c r="L1435" s="50"/>
      <c r="M1435" s="50"/>
      <c r="N1435" s="19">
        <f>SUMIF('2020'!B:B,B1435,'2020'!C:C)+SUMIF('2021'!B:B,B1435,'2021'!C:C)+SUMIF('2022'!B:B,B1435,'2022'!C:C)</f>
        <v>4690050</v>
      </c>
      <c r="O1435" s="219">
        <v>44925</v>
      </c>
      <c r="P1435" s="222" t="s">
        <v>3728</v>
      </c>
    </row>
    <row r="1436" spans="1:16" x14ac:dyDescent="0.3">
      <c r="A1436" s="169">
        <f t="shared" si="126"/>
        <v>1293</v>
      </c>
      <c r="B1436" s="66" t="s">
        <v>1423</v>
      </c>
      <c r="C1436" s="184">
        <v>1966</v>
      </c>
      <c r="D1436" s="50"/>
      <c r="E1436" s="222" t="s">
        <v>4091</v>
      </c>
      <c r="F1436" s="223">
        <v>5</v>
      </c>
      <c r="G1436" s="50"/>
      <c r="H1436" s="224">
        <v>4601.2</v>
      </c>
      <c r="I1436" s="223">
        <v>145</v>
      </c>
      <c r="J1436" s="19">
        <f t="shared" si="127"/>
        <v>429443.77</v>
      </c>
      <c r="K1436" s="50"/>
      <c r="L1436" s="50"/>
      <c r="M1436" s="50"/>
      <c r="N1436" s="19">
        <f>SUMIF('2020'!B:B,B1436,'2020'!C:C)+SUMIF('2021'!B:B,B1436,'2021'!C:C)+SUMIF('2022'!B:B,B1436,'2022'!C:C)</f>
        <v>429443.77</v>
      </c>
      <c r="O1436" s="219">
        <v>44925</v>
      </c>
      <c r="P1436" s="222" t="s">
        <v>3728</v>
      </c>
    </row>
    <row r="1437" spans="1:16" x14ac:dyDescent="0.3">
      <c r="A1437" s="169">
        <f t="shared" si="126"/>
        <v>1294</v>
      </c>
      <c r="B1437" s="66" t="s">
        <v>1424</v>
      </c>
      <c r="C1437" s="184">
        <v>1989</v>
      </c>
      <c r="D1437" s="50"/>
      <c r="E1437" s="222" t="s">
        <v>3816</v>
      </c>
      <c r="F1437" s="223">
        <v>9</v>
      </c>
      <c r="G1437" s="50"/>
      <c r="H1437" s="224">
        <v>6121.3</v>
      </c>
      <c r="I1437" s="226">
        <v>189</v>
      </c>
      <c r="J1437" s="19">
        <f t="shared" si="127"/>
        <v>12819744</v>
      </c>
      <c r="K1437" s="50"/>
      <c r="L1437" s="50"/>
      <c r="M1437" s="50"/>
      <c r="N1437" s="19">
        <f>SUMIF('2020'!B:B,B1437,'2020'!C:C)+SUMIF('2021'!B:B,B1437,'2021'!C:C)+SUMIF('2022'!B:B,B1437,'2022'!C:C)</f>
        <v>12819744</v>
      </c>
      <c r="O1437" s="219">
        <v>44925</v>
      </c>
      <c r="P1437" s="222" t="s">
        <v>3728</v>
      </c>
    </row>
    <row r="1438" spans="1:16" x14ac:dyDescent="0.3">
      <c r="A1438" s="169">
        <f t="shared" si="126"/>
        <v>1295</v>
      </c>
      <c r="B1438" s="66" t="s">
        <v>1425</v>
      </c>
      <c r="C1438" s="184">
        <v>1962</v>
      </c>
      <c r="D1438" s="50"/>
      <c r="E1438" s="222" t="s">
        <v>4091</v>
      </c>
      <c r="F1438" s="223">
        <v>4</v>
      </c>
      <c r="G1438" s="50"/>
      <c r="H1438" s="224">
        <v>2011.55</v>
      </c>
      <c r="I1438" s="223">
        <v>121</v>
      </c>
      <c r="J1438" s="19">
        <f t="shared" si="127"/>
        <v>995557.49</v>
      </c>
      <c r="K1438" s="50"/>
      <c r="L1438" s="50"/>
      <c r="M1438" s="50"/>
      <c r="N1438" s="19">
        <f>SUMIF('2020'!B:B,B1438,'2020'!C:C)+SUMIF('2021'!B:B,B1438,'2021'!C:C)+SUMIF('2022'!B:B,B1438,'2022'!C:C)</f>
        <v>995557.49</v>
      </c>
      <c r="O1438" s="219">
        <v>44925</v>
      </c>
      <c r="P1438" s="222" t="s">
        <v>3728</v>
      </c>
    </row>
    <row r="1439" spans="1:16" x14ac:dyDescent="0.3">
      <c r="A1439" s="169">
        <f t="shared" si="126"/>
        <v>1296</v>
      </c>
      <c r="B1439" s="66" t="s">
        <v>1427</v>
      </c>
      <c r="C1439" s="184">
        <v>1982</v>
      </c>
      <c r="D1439" s="50"/>
      <c r="E1439" s="222" t="s">
        <v>3816</v>
      </c>
      <c r="F1439" s="223">
        <v>5</v>
      </c>
      <c r="G1439" s="50"/>
      <c r="H1439" s="224">
        <v>13791.2</v>
      </c>
      <c r="I1439" s="223">
        <v>431</v>
      </c>
      <c r="J1439" s="19">
        <f t="shared" si="127"/>
        <v>2302330.79</v>
      </c>
      <c r="K1439" s="50"/>
      <c r="L1439" s="50"/>
      <c r="M1439" s="50"/>
      <c r="N1439" s="19">
        <f>SUMIF('2020'!B:B,B1439,'2020'!C:C)+SUMIF('2021'!B:B,B1439,'2021'!C:C)+SUMIF('2022'!B:B,B1439,'2022'!C:C)</f>
        <v>2302330.79</v>
      </c>
      <c r="O1439" s="219">
        <v>44925</v>
      </c>
      <c r="P1439" s="222" t="s">
        <v>2042</v>
      </c>
    </row>
    <row r="1440" spans="1:16" x14ac:dyDescent="0.3">
      <c r="A1440" s="169">
        <f t="shared" si="126"/>
        <v>1297</v>
      </c>
      <c r="B1440" s="66" t="s">
        <v>1428</v>
      </c>
      <c r="C1440" s="184">
        <v>1958</v>
      </c>
      <c r="D1440" s="50"/>
      <c r="E1440" s="184" t="s">
        <v>4093</v>
      </c>
      <c r="F1440" s="198">
        <v>3</v>
      </c>
      <c r="G1440" s="50"/>
      <c r="H1440" s="192">
        <v>1195.8</v>
      </c>
      <c r="I1440" s="198">
        <v>29</v>
      </c>
      <c r="J1440" s="19">
        <f t="shared" si="127"/>
        <v>862328.90999999992</v>
      </c>
      <c r="K1440" s="50"/>
      <c r="L1440" s="50"/>
      <c r="M1440" s="50"/>
      <c r="N1440" s="19">
        <f>SUMIF('2020'!B:B,B1440,'2020'!C:C)+SUMIF('2021'!B:B,B1440,'2021'!C:C)+SUMIF('2022'!B:B,B1440,'2022'!C:C)</f>
        <v>862328.90999999992</v>
      </c>
      <c r="O1440" s="219">
        <v>44925</v>
      </c>
      <c r="P1440" s="184" t="s">
        <v>3787</v>
      </c>
    </row>
    <row r="1441" spans="1:16" x14ac:dyDescent="0.3">
      <c r="A1441" s="169">
        <f t="shared" si="126"/>
        <v>1298</v>
      </c>
      <c r="B1441" s="66" t="s">
        <v>1430</v>
      </c>
      <c r="C1441" s="184">
        <v>1993</v>
      </c>
      <c r="D1441" s="50"/>
      <c r="E1441" s="222" t="s">
        <v>4091</v>
      </c>
      <c r="F1441" s="223">
        <v>6</v>
      </c>
      <c r="G1441" s="50"/>
      <c r="H1441" s="224">
        <v>8442.6</v>
      </c>
      <c r="I1441" s="223">
        <v>226</v>
      </c>
      <c r="J1441" s="19">
        <f t="shared" si="127"/>
        <v>5714776.7999999998</v>
      </c>
      <c r="K1441" s="50"/>
      <c r="L1441" s="50"/>
      <c r="M1441" s="50"/>
      <c r="N1441" s="19">
        <f>SUMIF('2020'!B:B,B1441,'2020'!C:C)+SUMIF('2021'!B:B,B1441,'2021'!C:C)+SUMIF('2022'!B:B,B1441,'2022'!C:C)</f>
        <v>5714776.7999999998</v>
      </c>
      <c r="O1441" s="219">
        <v>44925</v>
      </c>
      <c r="P1441" s="222" t="s">
        <v>3728</v>
      </c>
    </row>
    <row r="1442" spans="1:16" x14ac:dyDescent="0.3">
      <c r="A1442" s="169">
        <f t="shared" si="126"/>
        <v>1299</v>
      </c>
      <c r="B1442" s="66" t="s">
        <v>1431</v>
      </c>
      <c r="C1442" s="184">
        <v>1988</v>
      </c>
      <c r="D1442" s="50"/>
      <c r="E1442" s="222" t="s">
        <v>4091</v>
      </c>
      <c r="F1442" s="223">
        <v>6</v>
      </c>
      <c r="G1442" s="50"/>
      <c r="H1442" s="224">
        <v>8316.1</v>
      </c>
      <c r="I1442" s="223">
        <v>200</v>
      </c>
      <c r="J1442" s="19">
        <f t="shared" si="127"/>
        <v>9440697.5999999996</v>
      </c>
      <c r="K1442" s="50"/>
      <c r="L1442" s="50"/>
      <c r="M1442" s="50"/>
      <c r="N1442" s="19">
        <f>SUMIF('2020'!B:B,B1442,'2020'!C:C)+SUMIF('2021'!B:B,B1442,'2021'!C:C)+SUMIF('2022'!B:B,B1442,'2022'!C:C)</f>
        <v>9440697.5999999996</v>
      </c>
      <c r="O1442" s="219">
        <v>44925</v>
      </c>
      <c r="P1442" s="222" t="s">
        <v>3728</v>
      </c>
    </row>
    <row r="1443" spans="1:16" x14ac:dyDescent="0.3">
      <c r="A1443" s="169">
        <f t="shared" si="126"/>
        <v>1300</v>
      </c>
      <c r="B1443" s="66" t="s">
        <v>1432</v>
      </c>
      <c r="C1443" s="184">
        <v>1917</v>
      </c>
      <c r="D1443" s="50"/>
      <c r="E1443" s="222" t="s">
        <v>4091</v>
      </c>
      <c r="F1443" s="223">
        <v>2</v>
      </c>
      <c r="G1443" s="50"/>
      <c r="H1443" s="224">
        <v>509.2</v>
      </c>
      <c r="I1443" s="223">
        <v>46</v>
      </c>
      <c r="J1443" s="19">
        <f t="shared" si="127"/>
        <v>6729049.1999999993</v>
      </c>
      <c r="K1443" s="50"/>
      <c r="L1443" s="50"/>
      <c r="M1443" s="50"/>
      <c r="N1443" s="19">
        <f>SUMIF('2020'!B:B,B1443,'2020'!C:C)+SUMIF('2021'!B:B,B1443,'2021'!C:C)+SUMIF('2022'!B:B,B1443,'2022'!C:C)</f>
        <v>6729049.1999999993</v>
      </c>
      <c r="O1443" s="219">
        <v>44925</v>
      </c>
      <c r="P1443" s="222" t="s">
        <v>3728</v>
      </c>
    </row>
    <row r="1444" spans="1:16" x14ac:dyDescent="0.3">
      <c r="A1444" s="169">
        <f t="shared" si="126"/>
        <v>1301</v>
      </c>
      <c r="B1444" s="66" t="s">
        <v>1433</v>
      </c>
      <c r="C1444" s="184">
        <v>1917</v>
      </c>
      <c r="D1444" s="50"/>
      <c r="E1444" s="222" t="s">
        <v>4091</v>
      </c>
      <c r="F1444" s="223">
        <v>2</v>
      </c>
      <c r="G1444" s="50"/>
      <c r="H1444" s="224">
        <v>771.1</v>
      </c>
      <c r="I1444" s="223">
        <v>5</v>
      </c>
      <c r="J1444" s="19">
        <f t="shared" si="127"/>
        <v>599363.10000000009</v>
      </c>
      <c r="K1444" s="50"/>
      <c r="L1444" s="50"/>
      <c r="M1444" s="50"/>
      <c r="N1444" s="19">
        <f>SUMIF('2020'!B:B,B1444,'2020'!C:C)+SUMIF('2021'!B:B,B1444,'2021'!C:C)+SUMIF('2022'!B:B,B1444,'2022'!C:C)</f>
        <v>599363.10000000009</v>
      </c>
      <c r="O1444" s="219">
        <v>44925</v>
      </c>
      <c r="P1444" s="222" t="s">
        <v>3728</v>
      </c>
    </row>
    <row r="1445" spans="1:16" x14ac:dyDescent="0.3">
      <c r="A1445" s="169">
        <f t="shared" si="126"/>
        <v>1302</v>
      </c>
      <c r="B1445" s="66" t="s">
        <v>1435</v>
      </c>
      <c r="C1445" s="184">
        <v>1941</v>
      </c>
      <c r="D1445" s="50"/>
      <c r="E1445" s="222" t="s">
        <v>4091</v>
      </c>
      <c r="F1445" s="223">
        <v>4</v>
      </c>
      <c r="G1445" s="50"/>
      <c r="H1445" s="224">
        <v>3562.78</v>
      </c>
      <c r="I1445" s="223">
        <v>89</v>
      </c>
      <c r="J1445" s="19">
        <f t="shared" si="127"/>
        <v>827820.83</v>
      </c>
      <c r="K1445" s="50"/>
      <c r="L1445" s="50"/>
      <c r="M1445" s="50"/>
      <c r="N1445" s="19">
        <f>SUMIF('2020'!B:B,B1445,'2020'!C:C)+SUMIF('2021'!B:B,B1445,'2021'!C:C)+SUMIF('2022'!B:B,B1445,'2022'!C:C)</f>
        <v>827820.83</v>
      </c>
      <c r="O1445" s="219">
        <v>44925</v>
      </c>
      <c r="P1445" s="222" t="s">
        <v>3728</v>
      </c>
    </row>
    <row r="1446" spans="1:16" x14ac:dyDescent="0.3">
      <c r="A1446" s="169">
        <f t="shared" si="126"/>
        <v>1303</v>
      </c>
      <c r="B1446" s="66" t="s">
        <v>1437</v>
      </c>
      <c r="C1446" s="184">
        <v>1972</v>
      </c>
      <c r="D1446" s="50"/>
      <c r="E1446" s="222" t="s">
        <v>4091</v>
      </c>
      <c r="F1446" s="223">
        <v>5</v>
      </c>
      <c r="G1446" s="50"/>
      <c r="H1446" s="224">
        <v>4292.3999999999996</v>
      </c>
      <c r="I1446" s="223">
        <v>289</v>
      </c>
      <c r="J1446" s="19">
        <f t="shared" si="127"/>
        <v>17458878.120000001</v>
      </c>
      <c r="K1446" s="50"/>
      <c r="L1446" s="50"/>
      <c r="M1446" s="80"/>
      <c r="N1446" s="19">
        <f>SUMIF('2020'!B:B,B1446,'2020'!C:C)+SUMIF('2021'!B:B,B1446,'2021'!C:C)+SUMIF('2022'!B:B,B1446,'2022'!C:C)</f>
        <v>17458878.120000001</v>
      </c>
      <c r="O1446" s="219">
        <v>44925</v>
      </c>
      <c r="P1446" s="222" t="s">
        <v>3728</v>
      </c>
    </row>
    <row r="1447" spans="1:16" x14ac:dyDescent="0.3">
      <c r="A1447" s="169">
        <f t="shared" si="126"/>
        <v>1304</v>
      </c>
      <c r="B1447" s="66" t="s">
        <v>1439</v>
      </c>
      <c r="C1447" s="184">
        <v>1941</v>
      </c>
      <c r="D1447" s="50"/>
      <c r="E1447" s="184" t="s">
        <v>4091</v>
      </c>
      <c r="F1447" s="198">
        <v>4</v>
      </c>
      <c r="G1447" s="50"/>
      <c r="H1447" s="192">
        <v>2173.1</v>
      </c>
      <c r="I1447" s="198">
        <v>103</v>
      </c>
      <c r="J1447" s="19">
        <f t="shared" si="127"/>
        <v>386670.92000000004</v>
      </c>
      <c r="K1447" s="50"/>
      <c r="L1447" s="50"/>
      <c r="M1447" s="50"/>
      <c r="N1447" s="19">
        <f>SUMIF('2020'!B:B,B1447,'2020'!C:C)+SUMIF('2021'!B:B,B1447,'2021'!C:C)+SUMIF('2022'!B:B,B1447,'2022'!C:C)</f>
        <v>386670.92000000004</v>
      </c>
      <c r="O1447" s="219">
        <v>44925</v>
      </c>
      <c r="P1447" s="184" t="s">
        <v>3728</v>
      </c>
    </row>
    <row r="1448" spans="1:16" x14ac:dyDescent="0.3">
      <c r="A1448" s="169">
        <f t="shared" si="126"/>
        <v>1305</v>
      </c>
      <c r="B1448" s="66" t="s">
        <v>1441</v>
      </c>
      <c r="C1448" s="184">
        <v>1941</v>
      </c>
      <c r="D1448" s="50"/>
      <c r="E1448" s="184" t="s">
        <v>4091</v>
      </c>
      <c r="F1448" s="198">
        <v>4</v>
      </c>
      <c r="G1448" s="50"/>
      <c r="H1448" s="192">
        <v>3611</v>
      </c>
      <c r="I1448" s="198">
        <v>87</v>
      </c>
      <c r="J1448" s="19">
        <f t="shared" si="127"/>
        <v>347639.38</v>
      </c>
      <c r="K1448" s="50"/>
      <c r="L1448" s="50"/>
      <c r="M1448" s="50"/>
      <c r="N1448" s="19">
        <f>SUMIF('2020'!B:B,B1448,'2020'!C:C)+SUMIF('2021'!B:B,B1448,'2021'!C:C)+SUMIF('2022'!B:B,B1448,'2022'!C:C)</f>
        <v>347639.38</v>
      </c>
      <c r="O1448" s="219">
        <v>44925</v>
      </c>
      <c r="P1448" s="184" t="s">
        <v>3728</v>
      </c>
    </row>
    <row r="1449" spans="1:16" x14ac:dyDescent="0.3">
      <c r="A1449" s="169">
        <f t="shared" si="126"/>
        <v>1306</v>
      </c>
      <c r="B1449" s="66" t="s">
        <v>1442</v>
      </c>
      <c r="C1449" s="184">
        <v>1963</v>
      </c>
      <c r="D1449" s="50"/>
      <c r="E1449" s="222" t="s">
        <v>4091</v>
      </c>
      <c r="F1449" s="223">
        <v>4</v>
      </c>
      <c r="G1449" s="50"/>
      <c r="H1449" s="224">
        <v>3327</v>
      </c>
      <c r="I1449" s="223">
        <v>86</v>
      </c>
      <c r="J1449" s="19">
        <f t="shared" si="127"/>
        <v>9686792.6500000004</v>
      </c>
      <c r="K1449" s="50"/>
      <c r="L1449" s="50"/>
      <c r="M1449" s="50"/>
      <c r="N1449" s="19">
        <f>SUMIF('2020'!B:B,B1449,'2020'!C:C)+SUMIF('2021'!B:B,B1449,'2021'!C:C)+SUMIF('2022'!B:B,B1449,'2022'!C:C)</f>
        <v>9686792.6500000004</v>
      </c>
      <c r="O1449" s="219">
        <v>44925</v>
      </c>
      <c r="P1449" s="222" t="s">
        <v>3728</v>
      </c>
    </row>
    <row r="1450" spans="1:16" x14ac:dyDescent="0.3">
      <c r="A1450" s="169">
        <f t="shared" si="126"/>
        <v>1307</v>
      </c>
      <c r="B1450" s="66" t="s">
        <v>1443</v>
      </c>
      <c r="C1450" s="184">
        <v>1939</v>
      </c>
      <c r="D1450" s="50"/>
      <c r="E1450" s="222" t="s">
        <v>4091</v>
      </c>
      <c r="F1450" s="223">
        <v>4</v>
      </c>
      <c r="G1450" s="50"/>
      <c r="H1450" s="224">
        <v>2137</v>
      </c>
      <c r="I1450" s="223">
        <v>137</v>
      </c>
      <c r="J1450" s="19">
        <f t="shared" si="127"/>
        <v>10532060.400000002</v>
      </c>
      <c r="K1450" s="50"/>
      <c r="L1450" s="50"/>
      <c r="M1450" s="50"/>
      <c r="N1450" s="19">
        <f>SUMIF('2020'!B:B,B1450,'2020'!C:C)+SUMIF('2021'!B:B,B1450,'2021'!C:C)+SUMIF('2022'!B:B,B1450,'2022'!C:C)</f>
        <v>10532060.400000002</v>
      </c>
      <c r="O1450" s="219">
        <v>44925</v>
      </c>
      <c r="P1450" s="222" t="s">
        <v>3728</v>
      </c>
    </row>
    <row r="1451" spans="1:16" x14ac:dyDescent="0.3">
      <c r="A1451" s="169">
        <f t="shared" si="126"/>
        <v>1308</v>
      </c>
      <c r="B1451" s="66" t="s">
        <v>1444</v>
      </c>
      <c r="C1451" s="184">
        <v>1917</v>
      </c>
      <c r="D1451" s="50"/>
      <c r="E1451" s="222" t="s">
        <v>4091</v>
      </c>
      <c r="F1451" s="223">
        <v>2</v>
      </c>
      <c r="G1451" s="50"/>
      <c r="H1451" s="224">
        <v>633.74</v>
      </c>
      <c r="I1451" s="223">
        <v>33</v>
      </c>
      <c r="J1451" s="19">
        <f t="shared" si="127"/>
        <v>310526.41000000003</v>
      </c>
      <c r="K1451" s="50"/>
      <c r="L1451" s="50"/>
      <c r="M1451" s="228"/>
      <c r="N1451" s="19">
        <f>SUMIF('2020'!B:B,B1451,'2020'!C:C)+SUMIF('2021'!B:B,B1451,'2021'!C:C)+SUMIF('2022'!B:B,B1451,'2022'!C:C)</f>
        <v>310526.41000000003</v>
      </c>
      <c r="O1451" s="219">
        <v>44925</v>
      </c>
      <c r="P1451" s="222" t="s">
        <v>3728</v>
      </c>
    </row>
    <row r="1452" spans="1:16" x14ac:dyDescent="0.3">
      <c r="A1452" s="169">
        <f t="shared" si="126"/>
        <v>1309</v>
      </c>
      <c r="B1452" s="66" t="s">
        <v>1445</v>
      </c>
      <c r="C1452" s="184">
        <v>1977</v>
      </c>
      <c r="D1452" s="50"/>
      <c r="E1452" s="222" t="s">
        <v>4091</v>
      </c>
      <c r="F1452" s="223">
        <v>5</v>
      </c>
      <c r="G1452" s="50"/>
      <c r="H1452" s="224">
        <v>4646</v>
      </c>
      <c r="I1452" s="223">
        <v>199</v>
      </c>
      <c r="J1452" s="19">
        <f t="shared" si="127"/>
        <v>279135.68</v>
      </c>
      <c r="K1452" s="50"/>
      <c r="L1452" s="50"/>
      <c r="M1452" s="50"/>
      <c r="N1452" s="19">
        <f>SUMIF('2020'!B:B,B1452,'2020'!C:C)+SUMIF('2021'!B:B,B1452,'2021'!C:C)+SUMIF('2022'!B:B,B1452,'2022'!C:C)</f>
        <v>279135.68</v>
      </c>
      <c r="O1452" s="219">
        <v>44925</v>
      </c>
      <c r="P1452" s="222" t="s">
        <v>3728</v>
      </c>
    </row>
    <row r="1453" spans="1:16" x14ac:dyDescent="0.3">
      <c r="A1453" s="169">
        <f t="shared" si="126"/>
        <v>1310</v>
      </c>
      <c r="B1453" s="66" t="s">
        <v>1446</v>
      </c>
      <c r="C1453" s="184">
        <v>1917</v>
      </c>
      <c r="D1453" s="50"/>
      <c r="E1453" s="222" t="s">
        <v>4094</v>
      </c>
      <c r="F1453" s="223">
        <v>2</v>
      </c>
      <c r="G1453" s="50"/>
      <c r="H1453" s="224">
        <v>172.42</v>
      </c>
      <c r="I1453" s="223">
        <v>13</v>
      </c>
      <c r="J1453" s="19">
        <f t="shared" si="127"/>
        <v>3750300</v>
      </c>
      <c r="K1453" s="50"/>
      <c r="L1453" s="50"/>
      <c r="M1453" s="50"/>
      <c r="N1453" s="19">
        <f>SUMIF('2020'!B:B,B1453,'2020'!C:C)+SUMIF('2021'!B:B,B1453,'2021'!C:C)+SUMIF('2022'!B:B,B1453,'2022'!C:C)</f>
        <v>3750300</v>
      </c>
      <c r="O1453" s="219">
        <v>44925</v>
      </c>
      <c r="P1453" s="222" t="s">
        <v>3728</v>
      </c>
    </row>
    <row r="1454" spans="1:16" x14ac:dyDescent="0.3">
      <c r="A1454" s="169">
        <f t="shared" si="126"/>
        <v>1311</v>
      </c>
      <c r="B1454" s="66" t="s">
        <v>1447</v>
      </c>
      <c r="C1454" s="184">
        <v>1962</v>
      </c>
      <c r="D1454" s="50"/>
      <c r="E1454" s="222" t="s">
        <v>4091</v>
      </c>
      <c r="F1454" s="223">
        <v>2</v>
      </c>
      <c r="G1454" s="50"/>
      <c r="H1454" s="224">
        <v>641.89</v>
      </c>
      <c r="I1454" s="223">
        <v>44</v>
      </c>
      <c r="J1454" s="19">
        <f t="shared" si="127"/>
        <v>731555.38</v>
      </c>
      <c r="K1454" s="50"/>
      <c r="L1454" s="50"/>
      <c r="M1454" s="50"/>
      <c r="N1454" s="19">
        <f>SUMIF('2020'!B:B,B1454,'2020'!C:C)+SUMIF('2021'!B:B,B1454,'2021'!C:C)+SUMIF('2022'!B:B,B1454,'2022'!C:C)</f>
        <v>731555.38</v>
      </c>
      <c r="O1454" s="219">
        <v>44925</v>
      </c>
      <c r="P1454" s="222" t="s">
        <v>3728</v>
      </c>
    </row>
    <row r="1455" spans="1:16" x14ac:dyDescent="0.3">
      <c r="A1455" s="169">
        <f t="shared" si="126"/>
        <v>1312</v>
      </c>
      <c r="B1455" s="66" t="s">
        <v>1449</v>
      </c>
      <c r="C1455" s="184">
        <v>1917</v>
      </c>
      <c r="D1455" s="50"/>
      <c r="E1455" s="222" t="s">
        <v>4094</v>
      </c>
      <c r="F1455" s="223">
        <v>2</v>
      </c>
      <c r="G1455" s="50"/>
      <c r="H1455" s="224">
        <v>452.88</v>
      </c>
      <c r="I1455" s="223">
        <v>33</v>
      </c>
      <c r="J1455" s="19">
        <f t="shared" si="127"/>
        <v>376180.47000000003</v>
      </c>
      <c r="K1455" s="50"/>
      <c r="L1455" s="50"/>
      <c r="M1455" s="50"/>
      <c r="N1455" s="19">
        <f>SUMIF('2020'!B:B,B1455,'2020'!C:C)+SUMIF('2021'!B:B,B1455,'2021'!C:C)+SUMIF('2022'!B:B,B1455,'2022'!C:C)</f>
        <v>376180.47000000003</v>
      </c>
      <c r="O1455" s="219">
        <v>44925</v>
      </c>
      <c r="P1455" s="222" t="s">
        <v>3728</v>
      </c>
    </row>
    <row r="1456" spans="1:16" x14ac:dyDescent="0.3">
      <c r="A1456" s="169">
        <f t="shared" si="126"/>
        <v>1313</v>
      </c>
      <c r="B1456" s="66" t="s">
        <v>1451</v>
      </c>
      <c r="C1456" s="184">
        <v>1949</v>
      </c>
      <c r="D1456" s="50"/>
      <c r="E1456" s="184" t="s">
        <v>4094</v>
      </c>
      <c r="F1456" s="198">
        <v>2</v>
      </c>
      <c r="G1456" s="50"/>
      <c r="H1456" s="192">
        <v>507.6</v>
      </c>
      <c r="I1456" s="198">
        <v>30</v>
      </c>
      <c r="J1456" s="19">
        <f t="shared" si="127"/>
        <v>160541.71</v>
      </c>
      <c r="K1456" s="50"/>
      <c r="L1456" s="50"/>
      <c r="M1456" s="50"/>
      <c r="N1456" s="19">
        <f>SUMIF('2020'!B:B,B1456,'2020'!C:C)+SUMIF('2021'!B:B,B1456,'2021'!C:C)+SUMIF('2022'!B:B,B1456,'2022'!C:C)</f>
        <v>160541.71</v>
      </c>
      <c r="O1456" s="219">
        <v>44925</v>
      </c>
      <c r="P1456" s="184" t="s">
        <v>3728</v>
      </c>
    </row>
    <row r="1457" spans="1:16" x14ac:dyDescent="0.3">
      <c r="A1457" s="169">
        <f t="shared" si="126"/>
        <v>1314</v>
      </c>
      <c r="B1457" s="66" t="s">
        <v>1452</v>
      </c>
      <c r="C1457" s="184">
        <v>1954</v>
      </c>
      <c r="D1457" s="50"/>
      <c r="E1457" s="222" t="s">
        <v>4091</v>
      </c>
      <c r="F1457" s="223">
        <v>2</v>
      </c>
      <c r="G1457" s="50"/>
      <c r="H1457" s="224">
        <v>228.03</v>
      </c>
      <c r="I1457" s="223">
        <v>18</v>
      </c>
      <c r="J1457" s="19">
        <f t="shared" si="127"/>
        <v>74637.53</v>
      </c>
      <c r="K1457" s="50"/>
      <c r="L1457" s="50"/>
      <c r="M1457" s="50"/>
      <c r="N1457" s="19">
        <f>SUMIF('2020'!B:B,B1457,'2020'!C:C)+SUMIF('2021'!B:B,B1457,'2021'!C:C)+SUMIF('2022'!B:B,B1457,'2022'!C:C)</f>
        <v>74637.53</v>
      </c>
      <c r="O1457" s="219">
        <v>44925</v>
      </c>
      <c r="P1457" s="222" t="s">
        <v>3728</v>
      </c>
    </row>
    <row r="1458" spans="1:16" x14ac:dyDescent="0.3">
      <c r="A1458" s="169">
        <f t="shared" si="126"/>
        <v>1315</v>
      </c>
      <c r="B1458" s="66" t="s">
        <v>1453</v>
      </c>
      <c r="C1458" s="184">
        <v>1954</v>
      </c>
      <c r="D1458" s="50"/>
      <c r="E1458" s="184" t="s">
        <v>4091</v>
      </c>
      <c r="F1458" s="198">
        <v>2</v>
      </c>
      <c r="G1458" s="50"/>
      <c r="H1458" s="192">
        <v>226.51</v>
      </c>
      <c r="I1458" s="198">
        <v>12</v>
      </c>
      <c r="J1458" s="19">
        <f t="shared" si="127"/>
        <v>133031.21</v>
      </c>
      <c r="K1458" s="50"/>
      <c r="L1458" s="50"/>
      <c r="M1458" s="50"/>
      <c r="N1458" s="19">
        <f>SUMIF('2020'!B:B,B1458,'2020'!C:C)+SUMIF('2021'!B:B,B1458,'2021'!C:C)+SUMIF('2022'!B:B,B1458,'2022'!C:C)</f>
        <v>133031.21</v>
      </c>
      <c r="O1458" s="219">
        <v>44925</v>
      </c>
      <c r="P1458" s="184" t="s">
        <v>3728</v>
      </c>
    </row>
    <row r="1459" spans="1:16" x14ac:dyDescent="0.3">
      <c r="A1459" s="169">
        <f t="shared" si="126"/>
        <v>1316</v>
      </c>
      <c r="B1459" s="66" t="s">
        <v>1454</v>
      </c>
      <c r="C1459" s="184">
        <v>1963</v>
      </c>
      <c r="D1459" s="50"/>
      <c r="E1459" s="222" t="s">
        <v>4091</v>
      </c>
      <c r="F1459" s="223">
        <v>2</v>
      </c>
      <c r="G1459" s="50"/>
      <c r="H1459" s="224">
        <v>281.8</v>
      </c>
      <c r="I1459" s="226">
        <v>10</v>
      </c>
      <c r="J1459" s="19">
        <f t="shared" si="127"/>
        <v>266085.11</v>
      </c>
      <c r="K1459" s="50"/>
      <c r="L1459" s="50"/>
      <c r="M1459" s="50"/>
      <c r="N1459" s="19">
        <f>SUMIF('2020'!B:B,B1459,'2020'!C:C)+SUMIF('2021'!B:B,B1459,'2021'!C:C)+SUMIF('2022'!B:B,B1459,'2022'!C:C)</f>
        <v>266085.11</v>
      </c>
      <c r="O1459" s="219">
        <v>44925</v>
      </c>
      <c r="P1459" s="222" t="s">
        <v>3728</v>
      </c>
    </row>
    <row r="1460" spans="1:16" x14ac:dyDescent="0.3">
      <c r="A1460" s="169">
        <f t="shared" si="126"/>
        <v>1317</v>
      </c>
      <c r="B1460" s="66" t="s">
        <v>1455</v>
      </c>
      <c r="C1460" s="184">
        <v>1917</v>
      </c>
      <c r="D1460" s="50"/>
      <c r="E1460" s="222" t="s">
        <v>4091</v>
      </c>
      <c r="F1460" s="223">
        <v>2</v>
      </c>
      <c r="G1460" s="50"/>
      <c r="H1460" s="224">
        <v>186.5</v>
      </c>
      <c r="I1460" s="223">
        <v>10</v>
      </c>
      <c r="J1460" s="19">
        <f t="shared" si="127"/>
        <v>427344.94999999995</v>
      </c>
      <c r="K1460" s="50"/>
      <c r="L1460" s="50"/>
      <c r="M1460" s="50"/>
      <c r="N1460" s="19">
        <f>SUMIF('2020'!B:B,B1460,'2020'!C:C)+SUMIF('2021'!B:B,B1460,'2021'!C:C)+SUMIF('2022'!B:B,B1460,'2022'!C:C)</f>
        <v>427344.94999999995</v>
      </c>
      <c r="O1460" s="219">
        <v>44925</v>
      </c>
      <c r="P1460" s="222" t="s">
        <v>3728</v>
      </c>
    </row>
    <row r="1461" spans="1:16" x14ac:dyDescent="0.3">
      <c r="A1461" s="169">
        <f t="shared" si="126"/>
        <v>1318</v>
      </c>
      <c r="B1461" s="66" t="s">
        <v>1457</v>
      </c>
      <c r="C1461" s="184">
        <v>1917</v>
      </c>
      <c r="D1461" s="50"/>
      <c r="E1461" s="184" t="s">
        <v>4095</v>
      </c>
      <c r="F1461" s="198">
        <v>3</v>
      </c>
      <c r="G1461" s="50"/>
      <c r="H1461" s="192">
        <v>111.03</v>
      </c>
      <c r="I1461" s="198">
        <v>4</v>
      </c>
      <c r="J1461" s="19">
        <f t="shared" si="127"/>
        <v>339737.52</v>
      </c>
      <c r="K1461" s="50"/>
      <c r="L1461" s="50"/>
      <c r="M1461" s="50"/>
      <c r="N1461" s="19">
        <f>SUMIF('2020'!B:B,B1461,'2020'!C:C)+SUMIF('2021'!B:B,B1461,'2021'!C:C)+SUMIF('2022'!B:B,B1461,'2022'!C:C)</f>
        <v>339737.52</v>
      </c>
      <c r="O1461" s="219">
        <v>44925</v>
      </c>
      <c r="P1461" s="184" t="s">
        <v>3728</v>
      </c>
    </row>
    <row r="1462" spans="1:16" x14ac:dyDescent="0.3">
      <c r="A1462" s="169">
        <f t="shared" si="126"/>
        <v>1319</v>
      </c>
      <c r="B1462" s="66" t="s">
        <v>1459</v>
      </c>
      <c r="C1462" s="184">
        <v>1974</v>
      </c>
      <c r="D1462" s="50"/>
      <c r="E1462" s="222" t="s">
        <v>3816</v>
      </c>
      <c r="F1462" s="223">
        <v>5</v>
      </c>
      <c r="G1462" s="50"/>
      <c r="H1462" s="224">
        <v>4438.54</v>
      </c>
      <c r="I1462" s="223">
        <v>249</v>
      </c>
      <c r="J1462" s="19">
        <f t="shared" si="127"/>
        <v>758783.53</v>
      </c>
      <c r="K1462" s="50"/>
      <c r="L1462" s="50"/>
      <c r="M1462" s="50"/>
      <c r="N1462" s="19">
        <f>SUMIF('2020'!B:B,B1462,'2020'!C:C)+SUMIF('2021'!B:B,B1462,'2021'!C:C)+SUMIF('2022'!B:B,B1462,'2022'!C:C)</f>
        <v>758783.53</v>
      </c>
      <c r="O1462" s="219">
        <v>44925</v>
      </c>
      <c r="P1462" s="222" t="s">
        <v>3728</v>
      </c>
    </row>
    <row r="1463" spans="1:16" x14ac:dyDescent="0.3">
      <c r="A1463" s="169">
        <f t="shared" si="126"/>
        <v>1320</v>
      </c>
      <c r="B1463" s="66" t="s">
        <v>1460</v>
      </c>
      <c r="C1463" s="184">
        <v>1963</v>
      </c>
      <c r="D1463" s="50"/>
      <c r="E1463" s="222" t="s">
        <v>4091</v>
      </c>
      <c r="F1463" s="223">
        <v>4</v>
      </c>
      <c r="G1463" s="50"/>
      <c r="H1463" s="224">
        <v>1938.87</v>
      </c>
      <c r="I1463" s="223">
        <v>87</v>
      </c>
      <c r="J1463" s="19">
        <f t="shared" si="127"/>
        <v>474426</v>
      </c>
      <c r="K1463" s="228"/>
      <c r="L1463" s="50"/>
      <c r="M1463" s="228"/>
      <c r="N1463" s="19">
        <f>SUMIF('2020'!B:B,B1463,'2020'!C:C)+SUMIF('2021'!B:B,B1463,'2021'!C:C)+SUMIF('2022'!B:B,B1463,'2022'!C:C)</f>
        <v>474426</v>
      </c>
      <c r="O1463" s="219">
        <v>44925</v>
      </c>
      <c r="P1463" s="222" t="s">
        <v>3728</v>
      </c>
    </row>
    <row r="1464" spans="1:16" x14ac:dyDescent="0.3">
      <c r="A1464" s="169">
        <f t="shared" si="126"/>
        <v>1321</v>
      </c>
      <c r="B1464" s="66" t="s">
        <v>1461</v>
      </c>
      <c r="C1464" s="184">
        <v>1968</v>
      </c>
      <c r="D1464" s="50"/>
      <c r="E1464" s="222" t="s">
        <v>4091</v>
      </c>
      <c r="F1464" s="223">
        <v>5</v>
      </c>
      <c r="G1464" s="50"/>
      <c r="H1464" s="224">
        <v>3329.8</v>
      </c>
      <c r="I1464" s="223">
        <v>168</v>
      </c>
      <c r="J1464" s="19">
        <f t="shared" si="127"/>
        <v>527276.94000000006</v>
      </c>
      <c r="K1464" s="50"/>
      <c r="L1464" s="50"/>
      <c r="M1464" s="50"/>
      <c r="N1464" s="19">
        <f>SUMIF('2020'!B:B,B1464,'2020'!C:C)+SUMIF('2021'!B:B,B1464,'2021'!C:C)+SUMIF('2022'!B:B,B1464,'2022'!C:C)</f>
        <v>527276.94000000006</v>
      </c>
      <c r="O1464" s="219">
        <v>44925</v>
      </c>
      <c r="P1464" s="222" t="s">
        <v>3728</v>
      </c>
    </row>
    <row r="1465" spans="1:16" x14ac:dyDescent="0.3">
      <c r="A1465" s="169">
        <f t="shared" si="126"/>
        <v>1322</v>
      </c>
      <c r="B1465" s="66" t="s">
        <v>1462</v>
      </c>
      <c r="C1465" s="184">
        <v>1973</v>
      </c>
      <c r="D1465" s="50"/>
      <c r="E1465" s="222" t="s">
        <v>4091</v>
      </c>
      <c r="F1465" s="223">
        <v>5</v>
      </c>
      <c r="G1465" s="50"/>
      <c r="H1465" s="224">
        <v>2769.3</v>
      </c>
      <c r="I1465" s="223">
        <v>129</v>
      </c>
      <c r="J1465" s="19">
        <f t="shared" si="127"/>
        <v>491365.75</v>
      </c>
      <c r="K1465" s="50"/>
      <c r="L1465" s="50"/>
      <c r="M1465" s="50"/>
      <c r="N1465" s="19">
        <f>SUMIF('2020'!B:B,B1465,'2020'!C:C)+SUMIF('2021'!B:B,B1465,'2021'!C:C)+SUMIF('2022'!B:B,B1465,'2022'!C:C)</f>
        <v>491365.75</v>
      </c>
      <c r="O1465" s="219">
        <v>44925</v>
      </c>
      <c r="P1465" s="222" t="s">
        <v>3728</v>
      </c>
    </row>
    <row r="1466" spans="1:16" x14ac:dyDescent="0.3">
      <c r="A1466" s="169">
        <f t="shared" si="126"/>
        <v>1323</v>
      </c>
      <c r="B1466" s="66" t="s">
        <v>1463</v>
      </c>
      <c r="C1466" s="184">
        <v>1967</v>
      </c>
      <c r="D1466" s="50"/>
      <c r="E1466" s="222" t="s">
        <v>3816</v>
      </c>
      <c r="F1466" s="223">
        <v>5</v>
      </c>
      <c r="G1466" s="50"/>
      <c r="H1466" s="224">
        <v>5144.53</v>
      </c>
      <c r="I1466" s="223">
        <v>249</v>
      </c>
      <c r="J1466" s="19">
        <f t="shared" si="127"/>
        <v>493489.19999999995</v>
      </c>
      <c r="K1466" s="50"/>
      <c r="L1466" s="50"/>
      <c r="M1466" s="50"/>
      <c r="N1466" s="19">
        <f>SUMIF('2020'!B:B,B1466,'2020'!C:C)+SUMIF('2021'!B:B,B1466,'2021'!C:C)+SUMIF('2022'!B:B,B1466,'2022'!C:C)</f>
        <v>493489.19999999995</v>
      </c>
      <c r="O1466" s="219">
        <v>44925</v>
      </c>
      <c r="P1466" s="222" t="s">
        <v>3728</v>
      </c>
    </row>
    <row r="1467" spans="1:16" x14ac:dyDescent="0.3">
      <c r="A1467" s="169">
        <f t="shared" si="126"/>
        <v>1324</v>
      </c>
      <c r="B1467" s="66" t="s">
        <v>1464</v>
      </c>
      <c r="C1467" s="184">
        <v>1970</v>
      </c>
      <c r="D1467" s="50"/>
      <c r="E1467" s="222" t="s">
        <v>3816</v>
      </c>
      <c r="F1467" s="223">
        <v>5</v>
      </c>
      <c r="G1467" s="50"/>
      <c r="H1467" s="224">
        <v>2694.01</v>
      </c>
      <c r="I1467" s="223">
        <v>169</v>
      </c>
      <c r="J1467" s="19">
        <f t="shared" si="127"/>
        <v>311163.31</v>
      </c>
      <c r="K1467" s="50"/>
      <c r="L1467" s="50"/>
      <c r="M1467" s="50"/>
      <c r="N1467" s="19">
        <f>SUMIF('2020'!B:B,B1467,'2020'!C:C)+SUMIF('2021'!B:B,B1467,'2021'!C:C)+SUMIF('2022'!B:B,B1467,'2022'!C:C)</f>
        <v>311163.31</v>
      </c>
      <c r="O1467" s="219">
        <v>44925</v>
      </c>
      <c r="P1467" s="222" t="s">
        <v>3728</v>
      </c>
    </row>
    <row r="1468" spans="1:16" x14ac:dyDescent="0.3">
      <c r="A1468" s="169">
        <f t="shared" si="126"/>
        <v>1325</v>
      </c>
      <c r="B1468" s="66" t="s">
        <v>1465</v>
      </c>
      <c r="C1468" s="184">
        <v>1964</v>
      </c>
      <c r="D1468" s="50"/>
      <c r="E1468" s="222" t="s">
        <v>4091</v>
      </c>
      <c r="F1468" s="223">
        <v>4</v>
      </c>
      <c r="G1468" s="50"/>
      <c r="H1468" s="224">
        <v>2005.94</v>
      </c>
      <c r="I1468" s="223">
        <v>74</v>
      </c>
      <c r="J1468" s="19">
        <f t="shared" si="127"/>
        <v>1175681.22</v>
      </c>
      <c r="K1468" s="50"/>
      <c r="L1468" s="50"/>
      <c r="M1468" s="50"/>
      <c r="N1468" s="19">
        <f>SUMIF('2020'!B:B,B1468,'2020'!C:C)+SUMIF('2021'!B:B,B1468,'2021'!C:C)+SUMIF('2022'!B:B,B1468,'2022'!C:C)</f>
        <v>1175681.22</v>
      </c>
      <c r="O1468" s="219">
        <v>44925</v>
      </c>
      <c r="P1468" s="222" t="s">
        <v>3728</v>
      </c>
    </row>
    <row r="1469" spans="1:16" x14ac:dyDescent="0.3">
      <c r="A1469" s="169">
        <f t="shared" si="126"/>
        <v>1326</v>
      </c>
      <c r="B1469" s="66" t="s">
        <v>1467</v>
      </c>
      <c r="C1469" s="184">
        <v>1962</v>
      </c>
      <c r="D1469" s="50"/>
      <c r="E1469" s="222" t="s">
        <v>4091</v>
      </c>
      <c r="F1469" s="223">
        <v>3</v>
      </c>
      <c r="G1469" s="50"/>
      <c r="H1469" s="224">
        <v>1502.2</v>
      </c>
      <c r="I1469" s="223">
        <v>68</v>
      </c>
      <c r="J1469" s="19">
        <f t="shared" si="127"/>
        <v>1346820.92</v>
      </c>
      <c r="K1469" s="50"/>
      <c r="L1469" s="50"/>
      <c r="M1469" s="50"/>
      <c r="N1469" s="19">
        <f>SUMIF('2020'!B:B,B1469,'2020'!C:C)+SUMIF('2021'!B:B,B1469,'2021'!C:C)+SUMIF('2022'!B:B,B1469,'2022'!C:C)</f>
        <v>1346820.92</v>
      </c>
      <c r="O1469" s="219">
        <v>44925</v>
      </c>
      <c r="P1469" s="222" t="s">
        <v>3728</v>
      </c>
    </row>
    <row r="1470" spans="1:16" x14ac:dyDescent="0.3">
      <c r="A1470" s="169">
        <f t="shared" si="126"/>
        <v>1327</v>
      </c>
      <c r="B1470" s="66" t="s">
        <v>1469</v>
      </c>
      <c r="C1470" s="184">
        <v>1967</v>
      </c>
      <c r="D1470" s="50"/>
      <c r="E1470" s="222" t="s">
        <v>3816</v>
      </c>
      <c r="F1470" s="223">
        <v>5</v>
      </c>
      <c r="G1470" s="50"/>
      <c r="H1470" s="224">
        <v>3522.9</v>
      </c>
      <c r="I1470" s="223">
        <v>155</v>
      </c>
      <c r="J1470" s="19">
        <f t="shared" si="127"/>
        <v>426081.42</v>
      </c>
      <c r="K1470" s="50"/>
      <c r="L1470" s="50"/>
      <c r="M1470" s="50"/>
      <c r="N1470" s="19">
        <f>SUMIF('2020'!B:B,B1470,'2020'!C:C)+SUMIF('2021'!B:B,B1470,'2021'!C:C)+SUMIF('2022'!B:B,B1470,'2022'!C:C)</f>
        <v>426081.42</v>
      </c>
      <c r="O1470" s="219">
        <v>44925</v>
      </c>
      <c r="P1470" s="222" t="s">
        <v>3728</v>
      </c>
    </row>
    <row r="1471" spans="1:16" x14ac:dyDescent="0.3">
      <c r="A1471" s="169">
        <f t="shared" si="126"/>
        <v>1328</v>
      </c>
      <c r="B1471" s="66" t="s">
        <v>1470</v>
      </c>
      <c r="C1471" s="184">
        <v>1968</v>
      </c>
      <c r="D1471" s="50"/>
      <c r="E1471" s="222" t="s">
        <v>3816</v>
      </c>
      <c r="F1471" s="223">
        <v>5</v>
      </c>
      <c r="G1471" s="50"/>
      <c r="H1471" s="224">
        <v>3484.8</v>
      </c>
      <c r="I1471" s="223">
        <v>178</v>
      </c>
      <c r="J1471" s="19">
        <f t="shared" si="127"/>
        <v>513943.19999999995</v>
      </c>
      <c r="K1471" s="50"/>
      <c r="L1471" s="50"/>
      <c r="M1471" s="50"/>
      <c r="N1471" s="19">
        <f>SUMIF('2020'!B:B,B1471,'2020'!C:C)+SUMIF('2021'!B:B,B1471,'2021'!C:C)+SUMIF('2022'!B:B,B1471,'2022'!C:C)</f>
        <v>513943.19999999995</v>
      </c>
      <c r="O1471" s="219">
        <v>44925</v>
      </c>
      <c r="P1471" s="222" t="s">
        <v>3728</v>
      </c>
    </row>
    <row r="1472" spans="1:16" x14ac:dyDescent="0.3">
      <c r="A1472" s="169">
        <f t="shared" si="126"/>
        <v>1329</v>
      </c>
      <c r="B1472" s="66" t="s">
        <v>1471</v>
      </c>
      <c r="C1472" s="184">
        <v>1967</v>
      </c>
      <c r="D1472" s="50"/>
      <c r="E1472" s="222" t="s">
        <v>3816</v>
      </c>
      <c r="F1472" s="223">
        <v>5</v>
      </c>
      <c r="G1472" s="50"/>
      <c r="H1472" s="224">
        <v>3495</v>
      </c>
      <c r="I1472" s="223">
        <v>159</v>
      </c>
      <c r="J1472" s="19">
        <f t="shared" si="127"/>
        <v>532125.69999999995</v>
      </c>
      <c r="K1472" s="50"/>
      <c r="L1472" s="50"/>
      <c r="M1472" s="50"/>
      <c r="N1472" s="19">
        <f>SUMIF('2020'!B:B,B1472,'2020'!C:C)+SUMIF('2021'!B:B,B1472,'2021'!C:C)+SUMIF('2022'!B:B,B1472,'2022'!C:C)</f>
        <v>532125.69999999995</v>
      </c>
      <c r="O1472" s="219">
        <v>44925</v>
      </c>
      <c r="P1472" s="222" t="s">
        <v>3728</v>
      </c>
    </row>
    <row r="1473" spans="1:16" x14ac:dyDescent="0.3">
      <c r="A1473" s="169">
        <f t="shared" si="126"/>
        <v>1330</v>
      </c>
      <c r="B1473" s="66" t="s">
        <v>1472</v>
      </c>
      <c r="C1473" s="184">
        <v>1964</v>
      </c>
      <c r="D1473" s="50"/>
      <c r="E1473" s="222" t="s">
        <v>4091</v>
      </c>
      <c r="F1473" s="223">
        <v>3</v>
      </c>
      <c r="G1473" s="50"/>
      <c r="H1473" s="224">
        <v>1480.89</v>
      </c>
      <c r="I1473" s="223">
        <v>70</v>
      </c>
      <c r="J1473" s="19">
        <f t="shared" si="127"/>
        <v>365554.57</v>
      </c>
      <c r="K1473" s="50"/>
      <c r="L1473" s="50"/>
      <c r="M1473" s="50"/>
      <c r="N1473" s="19">
        <f>SUMIF('2020'!B:B,B1473,'2020'!C:C)+SUMIF('2021'!B:B,B1473,'2021'!C:C)+SUMIF('2022'!B:B,B1473,'2022'!C:C)</f>
        <v>365554.57</v>
      </c>
      <c r="O1473" s="219">
        <v>44925</v>
      </c>
      <c r="P1473" s="222" t="s">
        <v>3728</v>
      </c>
    </row>
    <row r="1474" spans="1:16" x14ac:dyDescent="0.3">
      <c r="A1474" s="169">
        <f t="shared" si="126"/>
        <v>1331</v>
      </c>
      <c r="B1474" s="66" t="s">
        <v>1473</v>
      </c>
      <c r="C1474" s="184">
        <v>1963</v>
      </c>
      <c r="D1474" s="50"/>
      <c r="E1474" s="222" t="s">
        <v>4091</v>
      </c>
      <c r="F1474" s="223">
        <v>4</v>
      </c>
      <c r="G1474" s="50"/>
      <c r="H1474" s="224">
        <v>2765.2</v>
      </c>
      <c r="I1474" s="223">
        <v>125</v>
      </c>
      <c r="J1474" s="19">
        <f t="shared" si="127"/>
        <v>876046.16</v>
      </c>
      <c r="K1474" s="50"/>
      <c r="L1474" s="50"/>
      <c r="M1474" s="50"/>
      <c r="N1474" s="19">
        <f>SUMIF('2020'!B:B,B1474,'2020'!C:C)+SUMIF('2021'!B:B,B1474,'2021'!C:C)+SUMIF('2022'!B:B,B1474,'2022'!C:C)</f>
        <v>876046.16</v>
      </c>
      <c r="O1474" s="219">
        <v>44925</v>
      </c>
      <c r="P1474" s="222" t="s">
        <v>3728</v>
      </c>
    </row>
    <row r="1475" spans="1:16" x14ac:dyDescent="0.3">
      <c r="A1475" s="169">
        <f t="shared" si="126"/>
        <v>1332</v>
      </c>
      <c r="B1475" s="66" t="s">
        <v>1474</v>
      </c>
      <c r="C1475" s="184">
        <v>1947</v>
      </c>
      <c r="D1475" s="50"/>
      <c r="E1475" s="184" t="s">
        <v>3816</v>
      </c>
      <c r="F1475" s="198">
        <v>2</v>
      </c>
      <c r="G1475" s="50"/>
      <c r="H1475" s="192">
        <v>443.1</v>
      </c>
      <c r="I1475" s="198">
        <v>19</v>
      </c>
      <c r="J1475" s="19">
        <f t="shared" si="127"/>
        <v>180115</v>
      </c>
      <c r="K1475" s="50"/>
      <c r="L1475" s="50"/>
      <c r="M1475" s="50"/>
      <c r="N1475" s="19">
        <f>SUMIF('2020'!B:B,B1475,'2020'!C:C)+SUMIF('2021'!B:B,B1475,'2021'!C:C)+SUMIF('2022'!B:B,B1475,'2022'!C:C)</f>
        <v>180115</v>
      </c>
      <c r="O1475" s="219">
        <v>44925</v>
      </c>
      <c r="P1475" s="184" t="s">
        <v>3728</v>
      </c>
    </row>
    <row r="1476" spans="1:16" x14ac:dyDescent="0.3">
      <c r="A1476" s="169">
        <f t="shared" ref="A1476:A1486" si="128">A1475+1</f>
        <v>1333</v>
      </c>
      <c r="B1476" s="66" t="s">
        <v>1476</v>
      </c>
      <c r="C1476" s="184">
        <v>1917</v>
      </c>
      <c r="D1476" s="50"/>
      <c r="E1476" s="48" t="s">
        <v>4094</v>
      </c>
      <c r="F1476" s="218">
        <v>2</v>
      </c>
      <c r="G1476" s="50"/>
      <c r="H1476" s="48">
        <v>200.7</v>
      </c>
      <c r="I1476" s="218">
        <v>16</v>
      </c>
      <c r="J1476" s="19">
        <f t="shared" si="127"/>
        <v>365936.85</v>
      </c>
      <c r="K1476" s="50"/>
      <c r="L1476" s="50"/>
      <c r="M1476" s="50"/>
      <c r="N1476" s="19">
        <f>SUMIF('2020'!B:B,B1476,'2020'!C:C)+SUMIF('2021'!B:B,B1476,'2021'!C:C)+SUMIF('2022'!B:B,B1476,'2022'!C:C)</f>
        <v>365936.85</v>
      </c>
      <c r="O1476" s="219">
        <v>44925</v>
      </c>
      <c r="P1476" s="184" t="s">
        <v>3728</v>
      </c>
    </row>
    <row r="1477" spans="1:16" x14ac:dyDescent="0.3">
      <c r="A1477" s="169">
        <f t="shared" si="128"/>
        <v>1334</v>
      </c>
      <c r="B1477" s="66" t="s">
        <v>1478</v>
      </c>
      <c r="C1477" s="184">
        <v>1917</v>
      </c>
      <c r="D1477" s="50"/>
      <c r="E1477" s="48" t="s">
        <v>4094</v>
      </c>
      <c r="F1477" s="218">
        <v>2</v>
      </c>
      <c r="G1477" s="50"/>
      <c r="H1477" s="48">
        <v>121</v>
      </c>
      <c r="I1477" s="218">
        <v>7</v>
      </c>
      <c r="J1477" s="19">
        <f t="shared" si="127"/>
        <v>160388.32999999999</v>
      </c>
      <c r="K1477" s="50"/>
      <c r="L1477" s="50"/>
      <c r="M1477" s="50"/>
      <c r="N1477" s="19">
        <f>SUMIF('2020'!B:B,B1477,'2020'!C:C)+SUMIF('2021'!B:B,B1477,'2021'!C:C)+SUMIF('2022'!B:B,B1477,'2022'!C:C)</f>
        <v>160388.32999999999</v>
      </c>
      <c r="O1477" s="219">
        <v>44925</v>
      </c>
      <c r="P1477" s="184" t="s">
        <v>3728</v>
      </c>
    </row>
    <row r="1478" spans="1:16" x14ac:dyDescent="0.3">
      <c r="A1478" s="169">
        <f t="shared" si="128"/>
        <v>1335</v>
      </c>
      <c r="B1478" s="66" t="s">
        <v>1480</v>
      </c>
      <c r="C1478" s="184">
        <v>1917</v>
      </c>
      <c r="D1478" s="50"/>
      <c r="E1478" s="48" t="s">
        <v>4094</v>
      </c>
      <c r="F1478" s="218">
        <v>2</v>
      </c>
      <c r="G1478" s="50"/>
      <c r="H1478" s="48">
        <v>297.2</v>
      </c>
      <c r="I1478" s="218">
        <v>23</v>
      </c>
      <c r="J1478" s="19">
        <f t="shared" si="127"/>
        <v>389245.37</v>
      </c>
      <c r="K1478" s="50"/>
      <c r="L1478" s="50"/>
      <c r="M1478" s="50"/>
      <c r="N1478" s="19">
        <f>SUMIF('2020'!B:B,B1478,'2020'!C:C)+SUMIF('2021'!B:B,B1478,'2021'!C:C)+SUMIF('2022'!B:B,B1478,'2022'!C:C)</f>
        <v>389245.37</v>
      </c>
      <c r="O1478" s="219">
        <v>44925</v>
      </c>
      <c r="P1478" s="184" t="s">
        <v>3728</v>
      </c>
    </row>
    <row r="1479" spans="1:16" x14ac:dyDescent="0.3">
      <c r="A1479" s="169">
        <f t="shared" si="128"/>
        <v>1336</v>
      </c>
      <c r="B1479" s="66" t="s">
        <v>1482</v>
      </c>
      <c r="C1479" s="184">
        <v>1952</v>
      </c>
      <c r="D1479" s="50"/>
      <c r="E1479" s="48" t="s">
        <v>4094</v>
      </c>
      <c r="F1479" s="218">
        <v>2</v>
      </c>
      <c r="G1479" s="50"/>
      <c r="H1479" s="48">
        <v>357.4</v>
      </c>
      <c r="I1479" s="218">
        <v>25</v>
      </c>
      <c r="J1479" s="19">
        <f t="shared" si="127"/>
        <v>170393.96</v>
      </c>
      <c r="K1479" s="50"/>
      <c r="L1479" s="50"/>
      <c r="M1479" s="50"/>
      <c r="N1479" s="19">
        <f>SUMIF('2020'!B:B,B1479,'2020'!C:C)+SUMIF('2021'!B:B,B1479,'2021'!C:C)+SUMIF('2022'!B:B,B1479,'2022'!C:C)</f>
        <v>170393.96</v>
      </c>
      <c r="O1479" s="219">
        <v>44925</v>
      </c>
      <c r="P1479" s="184" t="s">
        <v>3728</v>
      </c>
    </row>
    <row r="1480" spans="1:16" x14ac:dyDescent="0.3">
      <c r="A1480" s="169">
        <f t="shared" si="128"/>
        <v>1337</v>
      </c>
      <c r="B1480" s="66" t="s">
        <v>1483</v>
      </c>
      <c r="C1480" s="184">
        <v>1917</v>
      </c>
      <c r="D1480" s="50"/>
      <c r="E1480" s="48" t="s">
        <v>4094</v>
      </c>
      <c r="F1480" s="218">
        <v>2</v>
      </c>
      <c r="G1480" s="50"/>
      <c r="H1480" s="48">
        <v>140.6</v>
      </c>
      <c r="I1480" s="218">
        <v>21</v>
      </c>
      <c r="J1480" s="19">
        <f t="shared" si="127"/>
        <v>358067.12</v>
      </c>
      <c r="K1480" s="50"/>
      <c r="L1480" s="50"/>
      <c r="M1480" s="50"/>
      <c r="N1480" s="19">
        <f>SUMIF('2020'!B:B,B1480,'2020'!C:C)+SUMIF('2021'!B:B,B1480,'2021'!C:C)+SUMIF('2022'!B:B,B1480,'2022'!C:C)</f>
        <v>358067.12</v>
      </c>
      <c r="O1480" s="219">
        <v>44925</v>
      </c>
      <c r="P1480" s="184" t="s">
        <v>3728</v>
      </c>
    </row>
    <row r="1481" spans="1:16" x14ac:dyDescent="0.3">
      <c r="A1481" s="169">
        <f t="shared" si="128"/>
        <v>1338</v>
      </c>
      <c r="B1481" s="66" t="s">
        <v>1485</v>
      </c>
      <c r="C1481" s="184">
        <v>1988</v>
      </c>
      <c r="D1481" s="50"/>
      <c r="E1481" s="229" t="s">
        <v>4096</v>
      </c>
      <c r="F1481" s="230">
        <v>5</v>
      </c>
      <c r="G1481" s="50"/>
      <c r="H1481" s="231">
        <v>3266.3</v>
      </c>
      <c r="I1481" s="230">
        <v>140</v>
      </c>
      <c r="J1481" s="19">
        <f t="shared" ref="J1481:J1544" si="129">K1481+L1481+M1481+N1481</f>
        <v>172035.98</v>
      </c>
      <c r="K1481" s="50"/>
      <c r="L1481" s="50"/>
      <c r="M1481" s="50"/>
      <c r="N1481" s="19">
        <f>SUMIF('2020'!B:B,B1481,'2020'!C:C)+SUMIF('2021'!B:B,B1481,'2021'!C:C)+SUMIF('2022'!B:B,B1481,'2022'!C:C)</f>
        <v>172035.98</v>
      </c>
      <c r="O1481" s="219">
        <v>44925</v>
      </c>
      <c r="P1481" s="229" t="s">
        <v>3728</v>
      </c>
    </row>
    <row r="1482" spans="1:16" x14ac:dyDescent="0.3">
      <c r="A1482" s="169">
        <f t="shared" si="128"/>
        <v>1339</v>
      </c>
      <c r="B1482" s="66" t="s">
        <v>1487</v>
      </c>
      <c r="C1482" s="184">
        <v>1946</v>
      </c>
      <c r="D1482" s="50"/>
      <c r="E1482" s="222" t="s">
        <v>4091</v>
      </c>
      <c r="F1482" s="223">
        <v>3</v>
      </c>
      <c r="G1482" s="50"/>
      <c r="H1482" s="224">
        <v>964.1</v>
      </c>
      <c r="I1482" s="223">
        <v>50</v>
      </c>
      <c r="J1482" s="19">
        <f t="shared" si="129"/>
        <v>517137.73</v>
      </c>
      <c r="K1482" s="50"/>
      <c r="L1482" s="50"/>
      <c r="M1482" s="50"/>
      <c r="N1482" s="19">
        <f>SUMIF('2020'!B:B,B1482,'2020'!C:C)+SUMIF('2021'!B:B,B1482,'2021'!C:C)+SUMIF('2022'!B:B,B1482,'2022'!C:C)</f>
        <v>517137.73</v>
      </c>
      <c r="O1482" s="219">
        <v>44925</v>
      </c>
      <c r="P1482" s="222" t="s">
        <v>3728</v>
      </c>
    </row>
    <row r="1483" spans="1:16" x14ac:dyDescent="0.3">
      <c r="A1483" s="169">
        <f t="shared" si="128"/>
        <v>1340</v>
      </c>
      <c r="B1483" s="66" t="s">
        <v>1489</v>
      </c>
      <c r="C1483" s="184">
        <v>1983</v>
      </c>
      <c r="D1483" s="50"/>
      <c r="E1483" s="222" t="s">
        <v>3816</v>
      </c>
      <c r="F1483" s="223">
        <v>9</v>
      </c>
      <c r="G1483" s="50"/>
      <c r="H1483" s="224">
        <v>3221.1</v>
      </c>
      <c r="I1483" s="223">
        <v>155</v>
      </c>
      <c r="J1483" s="19">
        <f t="shared" si="129"/>
        <v>132156.04999999999</v>
      </c>
      <c r="K1483" s="50"/>
      <c r="L1483" s="50"/>
      <c r="M1483" s="50"/>
      <c r="N1483" s="19">
        <f>SUMIF('2020'!B:B,B1483,'2020'!C:C)+SUMIF('2021'!B:B,B1483,'2021'!C:C)+SUMIF('2022'!B:B,B1483,'2022'!C:C)</f>
        <v>132156.04999999999</v>
      </c>
      <c r="O1483" s="219">
        <v>44925</v>
      </c>
      <c r="P1483" s="222" t="s">
        <v>3728</v>
      </c>
    </row>
    <row r="1484" spans="1:16" x14ac:dyDescent="0.3">
      <c r="A1484" s="169">
        <f t="shared" si="128"/>
        <v>1341</v>
      </c>
      <c r="B1484" s="66" t="s">
        <v>1490</v>
      </c>
      <c r="C1484" s="184">
        <v>1981</v>
      </c>
      <c r="D1484" s="50"/>
      <c r="E1484" s="222" t="s">
        <v>3816</v>
      </c>
      <c r="F1484" s="223">
        <v>9</v>
      </c>
      <c r="G1484" s="50"/>
      <c r="H1484" s="224">
        <v>3959.9</v>
      </c>
      <c r="I1484" s="223">
        <v>186</v>
      </c>
      <c r="J1484" s="19">
        <f t="shared" si="129"/>
        <v>800995.46000000008</v>
      </c>
      <c r="K1484" s="50"/>
      <c r="L1484" s="50"/>
      <c r="M1484" s="50"/>
      <c r="N1484" s="19">
        <f>SUMIF('2020'!B:B,B1484,'2020'!C:C)+SUMIF('2021'!B:B,B1484,'2021'!C:C)+SUMIF('2022'!B:B,B1484,'2022'!C:C)</f>
        <v>800995.46000000008</v>
      </c>
      <c r="O1484" s="219">
        <v>44925</v>
      </c>
      <c r="P1484" s="222" t="s">
        <v>3728</v>
      </c>
    </row>
    <row r="1485" spans="1:16" x14ac:dyDescent="0.3">
      <c r="A1485" s="169">
        <f t="shared" si="128"/>
        <v>1342</v>
      </c>
      <c r="B1485" s="66" t="s">
        <v>1492</v>
      </c>
      <c r="C1485" s="184">
        <v>1973</v>
      </c>
      <c r="D1485" s="50"/>
      <c r="E1485" s="222" t="s">
        <v>4091</v>
      </c>
      <c r="F1485" s="223">
        <v>5</v>
      </c>
      <c r="G1485" s="50"/>
      <c r="H1485" s="224">
        <v>4160.3999999999996</v>
      </c>
      <c r="I1485" s="223">
        <v>186</v>
      </c>
      <c r="J1485" s="19">
        <f t="shared" si="129"/>
        <v>845105.59000000008</v>
      </c>
      <c r="K1485" s="50"/>
      <c r="L1485" s="50"/>
      <c r="M1485" s="50"/>
      <c r="N1485" s="19">
        <f>SUMIF('2020'!B:B,B1485,'2020'!C:C)+SUMIF('2021'!B:B,B1485,'2021'!C:C)+SUMIF('2022'!B:B,B1485,'2022'!C:C)</f>
        <v>845105.59000000008</v>
      </c>
      <c r="O1485" s="219">
        <v>44925</v>
      </c>
      <c r="P1485" s="222" t="s">
        <v>3728</v>
      </c>
    </row>
    <row r="1486" spans="1:16" x14ac:dyDescent="0.3">
      <c r="A1486" s="169">
        <f t="shared" si="128"/>
        <v>1343</v>
      </c>
      <c r="B1486" s="66" t="s">
        <v>1493</v>
      </c>
      <c r="C1486" s="184">
        <v>1970</v>
      </c>
      <c r="D1486" s="50"/>
      <c r="E1486" s="222" t="s">
        <v>4091</v>
      </c>
      <c r="F1486" s="223">
        <v>5</v>
      </c>
      <c r="G1486" s="50"/>
      <c r="H1486" s="224">
        <v>3372.84</v>
      </c>
      <c r="I1486" s="223">
        <v>163</v>
      </c>
      <c r="J1486" s="19">
        <f t="shared" si="129"/>
        <v>385661.93</v>
      </c>
      <c r="K1486" s="50"/>
      <c r="L1486" s="50"/>
      <c r="M1486" s="50"/>
      <c r="N1486" s="19">
        <f>SUMIF('2020'!B:B,B1486,'2020'!C:C)+SUMIF('2021'!B:B,B1486,'2021'!C:C)+SUMIF('2022'!B:B,B1486,'2022'!C:C)</f>
        <v>385661.93</v>
      </c>
      <c r="O1486" s="219">
        <v>44925</v>
      </c>
      <c r="P1486" s="222" t="s">
        <v>3728</v>
      </c>
    </row>
    <row r="1487" spans="1:16" x14ac:dyDescent="0.3">
      <c r="A1487" s="169">
        <f t="shared" ref="A1487:A1537" si="130">A1486+1</f>
        <v>1344</v>
      </c>
      <c r="B1487" s="66" t="s">
        <v>1494</v>
      </c>
      <c r="C1487" s="184">
        <v>1968</v>
      </c>
      <c r="D1487" s="50"/>
      <c r="E1487" s="222" t="s">
        <v>3816</v>
      </c>
      <c r="F1487" s="223">
        <v>5</v>
      </c>
      <c r="G1487" s="50"/>
      <c r="H1487" s="224">
        <v>3572.07</v>
      </c>
      <c r="I1487" s="226">
        <v>133</v>
      </c>
      <c r="J1487" s="19">
        <f t="shared" si="129"/>
        <v>553114.11</v>
      </c>
      <c r="K1487" s="50"/>
      <c r="L1487" s="50"/>
      <c r="M1487" s="50"/>
      <c r="N1487" s="19">
        <f>SUMIF('2020'!B:B,B1487,'2020'!C:C)+SUMIF('2021'!B:B,B1487,'2021'!C:C)+SUMIF('2022'!B:B,B1487,'2022'!C:C)</f>
        <v>553114.11</v>
      </c>
      <c r="O1487" s="219">
        <v>44925</v>
      </c>
      <c r="P1487" s="222" t="s">
        <v>3728</v>
      </c>
    </row>
    <row r="1488" spans="1:16" x14ac:dyDescent="0.3">
      <c r="A1488" s="169">
        <f t="shared" si="130"/>
        <v>1345</v>
      </c>
      <c r="B1488" s="66" t="s">
        <v>1495</v>
      </c>
      <c r="C1488" s="184">
        <v>1965</v>
      </c>
      <c r="D1488" s="50"/>
      <c r="E1488" s="222" t="s">
        <v>3816</v>
      </c>
      <c r="F1488" s="223">
        <v>5</v>
      </c>
      <c r="G1488" s="50"/>
      <c r="H1488" s="224">
        <v>3522.99</v>
      </c>
      <c r="I1488" s="223">
        <v>163</v>
      </c>
      <c r="J1488" s="19">
        <f t="shared" si="129"/>
        <v>781155.29</v>
      </c>
      <c r="K1488" s="50"/>
      <c r="L1488" s="50"/>
      <c r="M1488" s="50"/>
      <c r="N1488" s="19">
        <f>SUMIF('2020'!B:B,B1488,'2020'!C:C)+SUMIF('2021'!B:B,B1488,'2021'!C:C)+SUMIF('2022'!B:B,B1488,'2022'!C:C)</f>
        <v>781155.29</v>
      </c>
      <c r="O1488" s="219">
        <v>44925</v>
      </c>
      <c r="P1488" s="222" t="s">
        <v>3728</v>
      </c>
    </row>
    <row r="1489" spans="1:16" x14ac:dyDescent="0.3">
      <c r="A1489" s="169">
        <f t="shared" si="130"/>
        <v>1346</v>
      </c>
      <c r="B1489" s="66" t="s">
        <v>1497</v>
      </c>
      <c r="C1489" s="184">
        <v>1956</v>
      </c>
      <c r="D1489" s="50"/>
      <c r="E1489" s="222" t="s">
        <v>4091</v>
      </c>
      <c r="F1489" s="223">
        <v>2</v>
      </c>
      <c r="G1489" s="50"/>
      <c r="H1489" s="224">
        <v>377.96</v>
      </c>
      <c r="I1489" s="223">
        <v>23</v>
      </c>
      <c r="J1489" s="19">
        <f t="shared" si="129"/>
        <v>7599918.6899999995</v>
      </c>
      <c r="K1489" s="50"/>
      <c r="L1489" s="50"/>
      <c r="M1489" s="50"/>
      <c r="N1489" s="19">
        <f>SUMIF('2020'!B:B,B1489,'2020'!C:C)+SUMIF('2021'!B:B,B1489,'2021'!C:C)+SUMIF('2022'!B:B,B1489,'2022'!C:C)</f>
        <v>7599918.6899999995</v>
      </c>
      <c r="O1489" s="219">
        <v>44925</v>
      </c>
      <c r="P1489" s="222" t="s">
        <v>3728</v>
      </c>
    </row>
    <row r="1490" spans="1:16" x14ac:dyDescent="0.3">
      <c r="A1490" s="169">
        <f t="shared" si="130"/>
        <v>1347</v>
      </c>
      <c r="B1490" s="66" t="s">
        <v>1498</v>
      </c>
      <c r="C1490" s="184">
        <v>1966</v>
      </c>
      <c r="D1490" s="50"/>
      <c r="E1490" s="184" t="s">
        <v>4096</v>
      </c>
      <c r="F1490" s="198">
        <v>5</v>
      </c>
      <c r="G1490" s="50"/>
      <c r="H1490" s="192">
        <v>3787</v>
      </c>
      <c r="I1490" s="198">
        <v>140</v>
      </c>
      <c r="J1490" s="19">
        <f t="shared" si="129"/>
        <v>782831.04</v>
      </c>
      <c r="K1490" s="50"/>
      <c r="L1490" s="50"/>
      <c r="M1490" s="50"/>
      <c r="N1490" s="19">
        <f>SUMIF('2020'!B:B,B1490,'2020'!C:C)+SUMIF('2021'!B:B,B1490,'2021'!C:C)+SUMIF('2022'!B:B,B1490,'2022'!C:C)</f>
        <v>782831.04</v>
      </c>
      <c r="O1490" s="219">
        <v>44925</v>
      </c>
      <c r="P1490" s="184" t="s">
        <v>3787</v>
      </c>
    </row>
    <row r="1491" spans="1:16" x14ac:dyDescent="0.3">
      <c r="A1491" s="169">
        <f t="shared" si="130"/>
        <v>1348</v>
      </c>
      <c r="B1491" s="66" t="s">
        <v>1499</v>
      </c>
      <c r="C1491" s="184">
        <v>1980</v>
      </c>
      <c r="D1491" s="50"/>
      <c r="E1491" s="184" t="s">
        <v>3816</v>
      </c>
      <c r="F1491" s="198">
        <v>5</v>
      </c>
      <c r="G1491" s="50"/>
      <c r="H1491" s="192">
        <v>1619.5</v>
      </c>
      <c r="I1491" s="198">
        <v>70</v>
      </c>
      <c r="J1491" s="19">
        <f t="shared" si="129"/>
        <v>358364.24</v>
      </c>
      <c r="K1491" s="50"/>
      <c r="L1491" s="50"/>
      <c r="M1491" s="50"/>
      <c r="N1491" s="19">
        <f>SUMIF('2020'!B:B,B1491,'2020'!C:C)+SUMIF('2021'!B:B,B1491,'2021'!C:C)+SUMIF('2022'!B:B,B1491,'2022'!C:C)</f>
        <v>358364.24</v>
      </c>
      <c r="O1491" s="219">
        <v>44925</v>
      </c>
      <c r="P1491" s="184" t="s">
        <v>3728</v>
      </c>
    </row>
    <row r="1492" spans="1:16" x14ac:dyDescent="0.3">
      <c r="A1492" s="169">
        <f t="shared" si="130"/>
        <v>1349</v>
      </c>
      <c r="B1492" s="66" t="s">
        <v>1501</v>
      </c>
      <c r="C1492" s="184">
        <v>1972</v>
      </c>
      <c r="D1492" s="50"/>
      <c r="E1492" s="184" t="s">
        <v>4096</v>
      </c>
      <c r="F1492" s="198">
        <v>5</v>
      </c>
      <c r="G1492" s="50"/>
      <c r="H1492" s="192">
        <v>4386.3</v>
      </c>
      <c r="I1492" s="198">
        <v>185</v>
      </c>
      <c r="J1492" s="19">
        <f t="shared" si="129"/>
        <v>822340.17</v>
      </c>
      <c r="K1492" s="50"/>
      <c r="L1492" s="50"/>
      <c r="M1492" s="50"/>
      <c r="N1492" s="19">
        <f>SUMIF('2020'!B:B,B1492,'2020'!C:C)+SUMIF('2021'!B:B,B1492,'2021'!C:C)+SUMIF('2022'!B:B,B1492,'2022'!C:C)</f>
        <v>822340.17</v>
      </c>
      <c r="O1492" s="219">
        <v>44925</v>
      </c>
      <c r="P1492" s="184" t="s">
        <v>3728</v>
      </c>
    </row>
    <row r="1493" spans="1:16" x14ac:dyDescent="0.3">
      <c r="A1493" s="169">
        <f t="shared" si="130"/>
        <v>1350</v>
      </c>
      <c r="B1493" s="66" t="s">
        <v>1502</v>
      </c>
      <c r="C1493" s="184">
        <v>1971</v>
      </c>
      <c r="D1493" s="50"/>
      <c r="E1493" s="184" t="s">
        <v>3816</v>
      </c>
      <c r="F1493" s="198">
        <v>5</v>
      </c>
      <c r="G1493" s="50"/>
      <c r="H1493" s="192">
        <v>2330.9</v>
      </c>
      <c r="I1493" s="198">
        <v>139</v>
      </c>
      <c r="J1493" s="19">
        <f t="shared" si="129"/>
        <v>451648.64</v>
      </c>
      <c r="K1493" s="50"/>
      <c r="L1493" s="50"/>
      <c r="M1493" s="50"/>
      <c r="N1493" s="19">
        <f>SUMIF('2020'!B:B,B1493,'2020'!C:C)+SUMIF('2021'!B:B,B1493,'2021'!C:C)+SUMIF('2022'!B:B,B1493,'2022'!C:C)</f>
        <v>451648.64</v>
      </c>
      <c r="O1493" s="219">
        <v>44925</v>
      </c>
      <c r="P1493" s="184" t="s">
        <v>3728</v>
      </c>
    </row>
    <row r="1494" spans="1:16" x14ac:dyDescent="0.3">
      <c r="A1494" s="169">
        <f t="shared" si="130"/>
        <v>1351</v>
      </c>
      <c r="B1494" s="66" t="s">
        <v>1503</v>
      </c>
      <c r="C1494" s="184">
        <v>1967</v>
      </c>
      <c r="D1494" s="50"/>
      <c r="E1494" s="184" t="s">
        <v>4096</v>
      </c>
      <c r="F1494" s="198">
        <v>5</v>
      </c>
      <c r="G1494" s="50"/>
      <c r="H1494" s="192">
        <v>4440.83</v>
      </c>
      <c r="I1494" s="198">
        <v>218</v>
      </c>
      <c r="J1494" s="19">
        <f t="shared" si="129"/>
        <v>8074669.0300000003</v>
      </c>
      <c r="K1494" s="50"/>
      <c r="L1494" s="50"/>
      <c r="M1494" s="50"/>
      <c r="N1494" s="19">
        <f>SUMIF('2020'!B:B,B1494,'2020'!C:C)+SUMIF('2021'!B:B,B1494,'2021'!C:C)+SUMIF('2022'!B:B,B1494,'2022'!C:C)</f>
        <v>8074669.0300000003</v>
      </c>
      <c r="O1494" s="219">
        <v>44925</v>
      </c>
      <c r="P1494" s="184" t="s">
        <v>3728</v>
      </c>
    </row>
    <row r="1495" spans="1:16" x14ac:dyDescent="0.3">
      <c r="A1495" s="169">
        <f t="shared" si="130"/>
        <v>1352</v>
      </c>
      <c r="B1495" s="66" t="s">
        <v>1504</v>
      </c>
      <c r="C1495" s="184">
        <v>1956</v>
      </c>
      <c r="D1495" s="50"/>
      <c r="E1495" s="222" t="s">
        <v>4091</v>
      </c>
      <c r="F1495" s="198">
        <v>2</v>
      </c>
      <c r="G1495" s="50"/>
      <c r="H1495" s="192">
        <v>376.94</v>
      </c>
      <c r="I1495" s="225">
        <v>23</v>
      </c>
      <c r="J1495" s="19">
        <f t="shared" si="129"/>
        <v>7836509.7200000007</v>
      </c>
      <c r="K1495" s="50"/>
      <c r="L1495" s="50"/>
      <c r="M1495" s="50"/>
      <c r="N1495" s="19">
        <f>SUMIF('2020'!B:B,B1495,'2020'!C:C)+SUMIF('2021'!B:B,B1495,'2021'!C:C)+SUMIF('2022'!B:B,B1495,'2022'!C:C)</f>
        <v>7836509.7200000007</v>
      </c>
      <c r="O1495" s="219">
        <v>44925</v>
      </c>
      <c r="P1495" s="184" t="s">
        <v>3728</v>
      </c>
    </row>
    <row r="1496" spans="1:16" x14ac:dyDescent="0.3">
      <c r="A1496" s="169">
        <f t="shared" si="130"/>
        <v>1353</v>
      </c>
      <c r="B1496" s="66" t="s">
        <v>1505</v>
      </c>
      <c r="C1496" s="184">
        <v>1963</v>
      </c>
      <c r="D1496" s="50"/>
      <c r="E1496" s="222" t="s">
        <v>4091</v>
      </c>
      <c r="F1496" s="198">
        <v>4</v>
      </c>
      <c r="G1496" s="50"/>
      <c r="H1496" s="192">
        <v>2039.21</v>
      </c>
      <c r="I1496" s="198">
        <v>90</v>
      </c>
      <c r="J1496" s="19">
        <f t="shared" si="129"/>
        <v>1716633.6000000001</v>
      </c>
      <c r="K1496" s="50"/>
      <c r="L1496" s="50"/>
      <c r="M1496" s="228"/>
      <c r="N1496" s="19">
        <f>SUMIF('2020'!B:B,B1496,'2020'!C:C)+SUMIF('2021'!B:B,B1496,'2021'!C:C)+SUMIF('2022'!B:B,B1496,'2022'!C:C)</f>
        <v>1716633.6000000001</v>
      </c>
      <c r="O1496" s="219">
        <v>44925</v>
      </c>
      <c r="P1496" s="184" t="s">
        <v>3728</v>
      </c>
    </row>
    <row r="1497" spans="1:16" x14ac:dyDescent="0.3">
      <c r="A1497" s="169">
        <f t="shared" si="130"/>
        <v>1354</v>
      </c>
      <c r="B1497" s="66" t="s">
        <v>1506</v>
      </c>
      <c r="C1497" s="184">
        <v>1969</v>
      </c>
      <c r="D1497" s="50"/>
      <c r="E1497" s="184" t="s">
        <v>3816</v>
      </c>
      <c r="F1497" s="198">
        <v>5</v>
      </c>
      <c r="G1497" s="50"/>
      <c r="H1497" s="192">
        <v>3514.32</v>
      </c>
      <c r="I1497" s="198">
        <v>176</v>
      </c>
      <c r="J1497" s="19">
        <f t="shared" si="129"/>
        <v>535290.04</v>
      </c>
      <c r="K1497" s="50"/>
      <c r="L1497" s="50"/>
      <c r="M1497" s="50"/>
      <c r="N1497" s="19">
        <f>SUMIF('2020'!B:B,B1497,'2020'!C:C)+SUMIF('2021'!B:B,B1497,'2021'!C:C)+SUMIF('2022'!B:B,B1497,'2022'!C:C)</f>
        <v>535290.04</v>
      </c>
      <c r="O1497" s="219">
        <v>44925</v>
      </c>
      <c r="P1497" s="184" t="s">
        <v>3728</v>
      </c>
    </row>
    <row r="1498" spans="1:16" x14ac:dyDescent="0.3">
      <c r="A1498" s="169">
        <f t="shared" si="130"/>
        <v>1355</v>
      </c>
      <c r="B1498" s="66" t="s">
        <v>1508</v>
      </c>
      <c r="C1498" s="184">
        <v>1954</v>
      </c>
      <c r="D1498" s="50"/>
      <c r="E1498" s="184" t="s">
        <v>4094</v>
      </c>
      <c r="F1498" s="198">
        <v>2</v>
      </c>
      <c r="G1498" s="50"/>
      <c r="H1498" s="192">
        <v>257.39999999999998</v>
      </c>
      <c r="I1498" s="198">
        <v>18</v>
      </c>
      <c r="J1498" s="19">
        <f t="shared" si="129"/>
        <v>81747.740000000005</v>
      </c>
      <c r="K1498" s="50"/>
      <c r="L1498" s="50"/>
      <c r="M1498" s="50"/>
      <c r="N1498" s="19">
        <f>SUMIF('2020'!B:B,B1498,'2020'!C:C)+SUMIF('2021'!B:B,B1498,'2021'!C:C)+SUMIF('2022'!B:B,B1498,'2022'!C:C)</f>
        <v>81747.740000000005</v>
      </c>
      <c r="O1498" s="219">
        <v>44925</v>
      </c>
      <c r="P1498" s="184" t="s">
        <v>3728</v>
      </c>
    </row>
    <row r="1499" spans="1:16" x14ac:dyDescent="0.3">
      <c r="A1499" s="169">
        <f t="shared" si="130"/>
        <v>1356</v>
      </c>
      <c r="B1499" s="66" t="s">
        <v>1509</v>
      </c>
      <c r="C1499" s="184">
        <v>1917</v>
      </c>
      <c r="D1499" s="50"/>
      <c r="E1499" s="184" t="s">
        <v>4094</v>
      </c>
      <c r="F1499" s="198">
        <v>2</v>
      </c>
      <c r="G1499" s="50"/>
      <c r="H1499" s="192">
        <v>159.5</v>
      </c>
      <c r="I1499" s="198">
        <v>15</v>
      </c>
      <c r="J1499" s="19">
        <f t="shared" si="129"/>
        <v>179062.40000000002</v>
      </c>
      <c r="K1499" s="50"/>
      <c r="L1499" s="50"/>
      <c r="M1499" s="50"/>
      <c r="N1499" s="19">
        <f>SUMIF('2020'!B:B,B1499,'2020'!C:C)+SUMIF('2021'!B:B,B1499,'2021'!C:C)+SUMIF('2022'!B:B,B1499,'2022'!C:C)</f>
        <v>179062.40000000002</v>
      </c>
      <c r="O1499" s="219">
        <v>44925</v>
      </c>
      <c r="P1499" s="184" t="s">
        <v>3728</v>
      </c>
    </row>
    <row r="1500" spans="1:16" x14ac:dyDescent="0.3">
      <c r="A1500" s="169">
        <f t="shared" si="130"/>
        <v>1357</v>
      </c>
      <c r="B1500" s="66" t="s">
        <v>1510</v>
      </c>
      <c r="C1500" s="184">
        <v>1917</v>
      </c>
      <c r="D1500" s="50"/>
      <c r="E1500" s="184" t="s">
        <v>4094</v>
      </c>
      <c r="F1500" s="198">
        <v>2</v>
      </c>
      <c r="G1500" s="50"/>
      <c r="H1500" s="192">
        <v>291.86</v>
      </c>
      <c r="I1500" s="198">
        <v>18</v>
      </c>
      <c r="J1500" s="19">
        <f t="shared" si="129"/>
        <v>257779.55</v>
      </c>
      <c r="K1500" s="50"/>
      <c r="L1500" s="50"/>
      <c r="M1500" s="50"/>
      <c r="N1500" s="19">
        <f>SUMIF('2020'!B:B,B1500,'2020'!C:C)+SUMIF('2021'!B:B,B1500,'2021'!C:C)+SUMIF('2022'!B:B,B1500,'2022'!C:C)</f>
        <v>257779.55</v>
      </c>
      <c r="O1500" s="219">
        <v>44925</v>
      </c>
      <c r="P1500" s="184" t="s">
        <v>3728</v>
      </c>
    </row>
    <row r="1501" spans="1:16" x14ac:dyDescent="0.3">
      <c r="A1501" s="169">
        <f t="shared" si="130"/>
        <v>1358</v>
      </c>
      <c r="B1501" s="66" t="s">
        <v>1511</v>
      </c>
      <c r="C1501" s="184">
        <v>1917</v>
      </c>
      <c r="D1501" s="50"/>
      <c r="E1501" s="184" t="s">
        <v>4094</v>
      </c>
      <c r="F1501" s="198">
        <v>2</v>
      </c>
      <c r="G1501" s="50"/>
      <c r="H1501" s="192">
        <v>129.69999999999999</v>
      </c>
      <c r="I1501" s="198">
        <v>4</v>
      </c>
      <c r="J1501" s="19">
        <f t="shared" si="129"/>
        <v>169549.96000000002</v>
      </c>
      <c r="K1501" s="50"/>
      <c r="L1501" s="50"/>
      <c r="M1501" s="50"/>
      <c r="N1501" s="19">
        <f>SUMIF('2020'!B:B,B1501,'2020'!C:C)+SUMIF('2021'!B:B,B1501,'2021'!C:C)+SUMIF('2022'!B:B,B1501,'2022'!C:C)</f>
        <v>169549.96000000002</v>
      </c>
      <c r="O1501" s="219">
        <v>44925</v>
      </c>
      <c r="P1501" s="184" t="s">
        <v>3728</v>
      </c>
    </row>
    <row r="1502" spans="1:16" x14ac:dyDescent="0.3">
      <c r="A1502" s="169">
        <f t="shared" si="130"/>
        <v>1359</v>
      </c>
      <c r="B1502" s="66" t="s">
        <v>1512</v>
      </c>
      <c r="C1502" s="184">
        <v>1962</v>
      </c>
      <c r="D1502" s="50"/>
      <c r="E1502" s="184" t="s">
        <v>4091</v>
      </c>
      <c r="F1502" s="198">
        <v>4</v>
      </c>
      <c r="G1502" s="50"/>
      <c r="H1502" s="192">
        <v>1252.98</v>
      </c>
      <c r="I1502" s="198">
        <v>59</v>
      </c>
      <c r="J1502" s="19">
        <f t="shared" si="129"/>
        <v>497002.51999999996</v>
      </c>
      <c r="K1502" s="50"/>
      <c r="L1502" s="50"/>
      <c r="M1502" s="50"/>
      <c r="N1502" s="19">
        <f>SUMIF('2020'!B:B,B1502,'2020'!C:C)+SUMIF('2021'!B:B,B1502,'2021'!C:C)+SUMIF('2022'!B:B,B1502,'2022'!C:C)</f>
        <v>497002.51999999996</v>
      </c>
      <c r="O1502" s="219">
        <v>44925</v>
      </c>
      <c r="P1502" s="184" t="s">
        <v>3728</v>
      </c>
    </row>
    <row r="1503" spans="1:16" x14ac:dyDescent="0.3">
      <c r="A1503" s="169">
        <f t="shared" si="130"/>
        <v>1360</v>
      </c>
      <c r="B1503" s="66" t="s">
        <v>1514</v>
      </c>
      <c r="C1503" s="184">
        <v>1961</v>
      </c>
      <c r="D1503" s="50"/>
      <c r="E1503" s="184" t="s">
        <v>4091</v>
      </c>
      <c r="F1503" s="198">
        <v>3</v>
      </c>
      <c r="G1503" s="50"/>
      <c r="H1503" s="192">
        <v>1343.2</v>
      </c>
      <c r="I1503" s="225">
        <v>44</v>
      </c>
      <c r="J1503" s="19">
        <f t="shared" si="129"/>
        <v>2301319.5499999998</v>
      </c>
      <c r="K1503" s="228"/>
      <c r="L1503" s="50"/>
      <c r="M1503" s="228"/>
      <c r="N1503" s="19">
        <f>SUMIF('2020'!B:B,B1503,'2020'!C:C)+SUMIF('2021'!B:B,B1503,'2021'!C:C)+SUMIF('2022'!B:B,B1503,'2022'!C:C)</f>
        <v>2301319.5499999998</v>
      </c>
      <c r="O1503" s="219">
        <v>44925</v>
      </c>
      <c r="P1503" s="184" t="s">
        <v>3728</v>
      </c>
    </row>
    <row r="1504" spans="1:16" x14ac:dyDescent="0.3">
      <c r="A1504" s="169">
        <f t="shared" si="130"/>
        <v>1361</v>
      </c>
      <c r="B1504" s="66" t="s">
        <v>1516</v>
      </c>
      <c r="C1504" s="184">
        <v>1958</v>
      </c>
      <c r="D1504" s="50"/>
      <c r="E1504" s="184" t="s">
        <v>4091</v>
      </c>
      <c r="F1504" s="198">
        <v>3</v>
      </c>
      <c r="G1504" s="50"/>
      <c r="H1504" s="192">
        <v>1338.2</v>
      </c>
      <c r="I1504" s="198">
        <v>40</v>
      </c>
      <c r="J1504" s="19">
        <f t="shared" si="129"/>
        <v>845867</v>
      </c>
      <c r="K1504" s="50"/>
      <c r="L1504" s="50"/>
      <c r="M1504" s="50"/>
      <c r="N1504" s="19">
        <f>SUMIF('2020'!B:B,B1504,'2020'!C:C)+SUMIF('2021'!B:B,B1504,'2021'!C:C)+SUMIF('2022'!B:B,B1504,'2022'!C:C)</f>
        <v>845867</v>
      </c>
      <c r="O1504" s="219">
        <v>44925</v>
      </c>
      <c r="P1504" s="184" t="s">
        <v>3728</v>
      </c>
    </row>
    <row r="1505" spans="1:16" x14ac:dyDescent="0.3">
      <c r="A1505" s="169">
        <f t="shared" si="130"/>
        <v>1362</v>
      </c>
      <c r="B1505" s="66" t="s">
        <v>1517</v>
      </c>
      <c r="C1505" s="184">
        <v>1968</v>
      </c>
      <c r="D1505" s="50"/>
      <c r="E1505" s="184" t="s">
        <v>4091</v>
      </c>
      <c r="F1505" s="198">
        <v>3</v>
      </c>
      <c r="G1505" s="50"/>
      <c r="H1505" s="192">
        <v>1348.4</v>
      </c>
      <c r="I1505" s="198">
        <v>42</v>
      </c>
      <c r="J1505" s="19">
        <f t="shared" si="129"/>
        <v>542850.34</v>
      </c>
      <c r="K1505" s="50"/>
      <c r="L1505" s="50"/>
      <c r="M1505" s="50"/>
      <c r="N1505" s="19">
        <f>SUMIF('2020'!B:B,B1505,'2020'!C:C)+SUMIF('2021'!B:B,B1505,'2021'!C:C)+SUMIF('2022'!B:B,B1505,'2022'!C:C)</f>
        <v>542850.34</v>
      </c>
      <c r="O1505" s="219">
        <v>44925</v>
      </c>
      <c r="P1505" s="184" t="s">
        <v>2042</v>
      </c>
    </row>
    <row r="1506" spans="1:16" x14ac:dyDescent="0.3">
      <c r="A1506" s="169">
        <f t="shared" si="130"/>
        <v>1363</v>
      </c>
      <c r="B1506" s="66" t="s">
        <v>1518</v>
      </c>
      <c r="C1506" s="184">
        <v>1952</v>
      </c>
      <c r="D1506" s="50"/>
      <c r="E1506" s="184" t="s">
        <v>4091</v>
      </c>
      <c r="F1506" s="198">
        <v>3</v>
      </c>
      <c r="G1506" s="50"/>
      <c r="H1506" s="192">
        <v>1332</v>
      </c>
      <c r="I1506" s="198">
        <v>54</v>
      </c>
      <c r="J1506" s="19">
        <f t="shared" si="129"/>
        <v>11887611.599999998</v>
      </c>
      <c r="K1506" s="228"/>
      <c r="L1506" s="50"/>
      <c r="M1506" s="232"/>
      <c r="N1506" s="19">
        <f>SUMIF('2020'!B:B,B1506,'2020'!C:C)+SUMIF('2021'!B:B,B1506,'2021'!C:C)+SUMIF('2022'!B:B,B1506,'2022'!C:C)</f>
        <v>11887611.599999998</v>
      </c>
      <c r="O1506" s="219">
        <v>44925</v>
      </c>
      <c r="P1506" s="184" t="s">
        <v>3728</v>
      </c>
    </row>
    <row r="1507" spans="1:16" x14ac:dyDescent="0.3">
      <c r="A1507" s="169">
        <f t="shared" si="130"/>
        <v>1364</v>
      </c>
      <c r="B1507" s="66" t="s">
        <v>1519</v>
      </c>
      <c r="C1507" s="184">
        <v>1969</v>
      </c>
      <c r="D1507" s="50"/>
      <c r="E1507" s="184"/>
      <c r="F1507" s="198">
        <v>5</v>
      </c>
      <c r="G1507" s="50"/>
      <c r="H1507" s="192">
        <v>2755.9</v>
      </c>
      <c r="I1507" s="198">
        <v>113</v>
      </c>
      <c r="J1507" s="19">
        <f t="shared" si="129"/>
        <v>645578.07000000007</v>
      </c>
      <c r="K1507" s="50"/>
      <c r="L1507" s="50"/>
      <c r="M1507" s="50"/>
      <c r="N1507" s="19">
        <f>SUMIF('2020'!B:B,B1507,'2020'!C:C)+SUMIF('2021'!B:B,B1507,'2021'!C:C)+SUMIF('2022'!B:B,B1507,'2022'!C:C)</f>
        <v>645578.07000000007</v>
      </c>
      <c r="O1507" s="219">
        <v>44925</v>
      </c>
      <c r="P1507" s="184" t="s">
        <v>3728</v>
      </c>
    </row>
    <row r="1508" spans="1:16" x14ac:dyDescent="0.3">
      <c r="A1508" s="169">
        <f t="shared" si="130"/>
        <v>1365</v>
      </c>
      <c r="B1508" s="66" t="s">
        <v>1520</v>
      </c>
      <c r="C1508" s="184">
        <v>1968</v>
      </c>
      <c r="D1508" s="50"/>
      <c r="E1508" s="184" t="s">
        <v>4091</v>
      </c>
      <c r="F1508" s="198">
        <v>3</v>
      </c>
      <c r="G1508" s="50"/>
      <c r="H1508" s="192">
        <v>1350.9</v>
      </c>
      <c r="I1508" s="198">
        <v>41</v>
      </c>
      <c r="J1508" s="19">
        <f t="shared" si="129"/>
        <v>549161.15999999992</v>
      </c>
      <c r="K1508" s="50"/>
      <c r="L1508" s="50"/>
      <c r="M1508" s="50"/>
      <c r="N1508" s="19">
        <f>SUMIF('2020'!B:B,B1508,'2020'!C:C)+SUMIF('2021'!B:B,B1508,'2021'!C:C)+SUMIF('2022'!B:B,B1508,'2022'!C:C)</f>
        <v>549161.15999999992</v>
      </c>
      <c r="O1508" s="219">
        <v>44925</v>
      </c>
      <c r="P1508" s="184" t="s">
        <v>3728</v>
      </c>
    </row>
    <row r="1509" spans="1:16" x14ac:dyDescent="0.3">
      <c r="A1509" s="169">
        <f t="shared" si="130"/>
        <v>1366</v>
      </c>
      <c r="B1509" s="66" t="s">
        <v>1521</v>
      </c>
      <c r="C1509" s="184">
        <v>1961</v>
      </c>
      <c r="D1509" s="50"/>
      <c r="E1509" s="184" t="s">
        <v>4091</v>
      </c>
      <c r="F1509" s="198">
        <v>3</v>
      </c>
      <c r="G1509" s="50"/>
      <c r="H1509" s="192">
        <v>1355.8</v>
      </c>
      <c r="I1509" s="198">
        <v>50</v>
      </c>
      <c r="J1509" s="19">
        <f t="shared" si="129"/>
        <v>842780.34</v>
      </c>
      <c r="K1509" s="50"/>
      <c r="L1509" s="50"/>
      <c r="M1509" s="50"/>
      <c r="N1509" s="19">
        <f>SUMIF('2020'!B:B,B1509,'2020'!C:C)+SUMIF('2021'!B:B,B1509,'2021'!C:C)+SUMIF('2022'!B:B,B1509,'2022'!C:C)</f>
        <v>842780.34</v>
      </c>
      <c r="O1509" s="219">
        <v>44925</v>
      </c>
      <c r="P1509" s="184" t="s">
        <v>3728</v>
      </c>
    </row>
    <row r="1510" spans="1:16" x14ac:dyDescent="0.3">
      <c r="A1510" s="169">
        <f t="shared" si="130"/>
        <v>1367</v>
      </c>
      <c r="B1510" s="66" t="s">
        <v>1522</v>
      </c>
      <c r="C1510" s="184">
        <v>1960</v>
      </c>
      <c r="D1510" s="50"/>
      <c r="E1510" s="184" t="s">
        <v>4091</v>
      </c>
      <c r="F1510" s="198">
        <v>3</v>
      </c>
      <c r="G1510" s="50"/>
      <c r="H1510" s="192">
        <v>1362.7</v>
      </c>
      <c r="I1510" s="198">
        <v>41</v>
      </c>
      <c r="J1510" s="19">
        <f t="shared" si="129"/>
        <v>843681.56</v>
      </c>
      <c r="K1510" s="50"/>
      <c r="L1510" s="50"/>
      <c r="M1510" s="50"/>
      <c r="N1510" s="19">
        <f>SUMIF('2020'!B:B,B1510,'2020'!C:C)+SUMIF('2021'!B:B,B1510,'2021'!C:C)+SUMIF('2022'!B:B,B1510,'2022'!C:C)</f>
        <v>843681.56</v>
      </c>
      <c r="O1510" s="219">
        <v>44925</v>
      </c>
      <c r="P1510" s="184" t="s">
        <v>3728</v>
      </c>
    </row>
    <row r="1511" spans="1:16" x14ac:dyDescent="0.3">
      <c r="A1511" s="169">
        <f t="shared" si="130"/>
        <v>1368</v>
      </c>
      <c r="B1511" s="66" t="s">
        <v>1523</v>
      </c>
      <c r="C1511" s="184">
        <v>1960</v>
      </c>
      <c r="D1511" s="50"/>
      <c r="E1511" s="184" t="s">
        <v>4091</v>
      </c>
      <c r="F1511" s="198">
        <v>3</v>
      </c>
      <c r="G1511" s="50"/>
      <c r="H1511" s="192">
        <v>1481.06</v>
      </c>
      <c r="I1511" s="198">
        <v>90</v>
      </c>
      <c r="J1511" s="19">
        <f t="shared" si="129"/>
        <v>20116188.469999999</v>
      </c>
      <c r="K1511" s="50"/>
      <c r="L1511" s="50"/>
      <c r="M1511" s="228"/>
      <c r="N1511" s="19">
        <f>SUMIF('2020'!B:B,B1511,'2020'!C:C)+SUMIF('2021'!B:B,B1511,'2021'!C:C)+SUMIF('2022'!B:B,B1511,'2022'!C:C)</f>
        <v>20116188.469999999</v>
      </c>
      <c r="O1511" s="219">
        <v>44925</v>
      </c>
      <c r="P1511" s="184" t="s">
        <v>3728</v>
      </c>
    </row>
    <row r="1512" spans="1:16" x14ac:dyDescent="0.3">
      <c r="A1512" s="169">
        <f t="shared" si="130"/>
        <v>1369</v>
      </c>
      <c r="B1512" s="66" t="s">
        <v>1525</v>
      </c>
      <c r="C1512" s="184">
        <v>1964</v>
      </c>
      <c r="D1512" s="50"/>
      <c r="E1512" s="184" t="s">
        <v>4091</v>
      </c>
      <c r="F1512" s="198">
        <v>4</v>
      </c>
      <c r="G1512" s="50"/>
      <c r="H1512" s="192">
        <v>1992.17</v>
      </c>
      <c r="I1512" s="198">
        <v>86</v>
      </c>
      <c r="J1512" s="19">
        <f t="shared" si="129"/>
        <v>238879.61</v>
      </c>
      <c r="K1512" s="50"/>
      <c r="L1512" s="50"/>
      <c r="M1512" s="50"/>
      <c r="N1512" s="19">
        <f>SUMIF('2020'!B:B,B1512,'2020'!C:C)+SUMIF('2021'!B:B,B1512,'2021'!C:C)+SUMIF('2022'!B:B,B1512,'2022'!C:C)</f>
        <v>238879.61</v>
      </c>
      <c r="O1512" s="219">
        <v>44925</v>
      </c>
      <c r="P1512" s="184" t="s">
        <v>3728</v>
      </c>
    </row>
    <row r="1513" spans="1:16" x14ac:dyDescent="0.3">
      <c r="A1513" s="169">
        <f t="shared" si="130"/>
        <v>1370</v>
      </c>
      <c r="B1513" s="66" t="s">
        <v>1526</v>
      </c>
      <c r="C1513" s="184">
        <v>1972</v>
      </c>
      <c r="D1513" s="50"/>
      <c r="E1513" s="184" t="s">
        <v>3816</v>
      </c>
      <c r="F1513" s="198">
        <v>5</v>
      </c>
      <c r="G1513" s="50"/>
      <c r="H1513" s="192">
        <v>4380.8999999999996</v>
      </c>
      <c r="I1513" s="198">
        <v>224</v>
      </c>
      <c r="J1513" s="19">
        <f t="shared" si="129"/>
        <v>322569.34999999998</v>
      </c>
      <c r="K1513" s="50"/>
      <c r="L1513" s="50"/>
      <c r="M1513" s="50"/>
      <c r="N1513" s="19">
        <f>SUMIF('2020'!B:B,B1513,'2020'!C:C)+SUMIF('2021'!B:B,B1513,'2021'!C:C)+SUMIF('2022'!B:B,B1513,'2022'!C:C)</f>
        <v>322569.34999999998</v>
      </c>
      <c r="O1513" s="219">
        <v>44925</v>
      </c>
      <c r="P1513" s="184" t="s">
        <v>3728</v>
      </c>
    </row>
    <row r="1514" spans="1:16" x14ac:dyDescent="0.3">
      <c r="A1514" s="169">
        <f t="shared" si="130"/>
        <v>1371</v>
      </c>
      <c r="B1514" s="66" t="s">
        <v>1527</v>
      </c>
      <c r="C1514" s="184">
        <v>1962</v>
      </c>
      <c r="D1514" s="50"/>
      <c r="E1514" s="184" t="s">
        <v>4091</v>
      </c>
      <c r="F1514" s="198">
        <v>4</v>
      </c>
      <c r="G1514" s="50"/>
      <c r="H1514" s="192">
        <v>1993.43</v>
      </c>
      <c r="I1514" s="198">
        <v>106</v>
      </c>
      <c r="J1514" s="19">
        <f t="shared" si="129"/>
        <v>625139.83000000007</v>
      </c>
      <c r="K1514" s="50"/>
      <c r="L1514" s="50"/>
      <c r="M1514" s="50"/>
      <c r="N1514" s="19">
        <f>SUMIF('2020'!B:B,B1514,'2020'!C:C)+SUMIF('2021'!B:B,B1514,'2021'!C:C)+SUMIF('2022'!B:B,B1514,'2022'!C:C)</f>
        <v>625139.83000000007</v>
      </c>
      <c r="O1514" s="219">
        <v>44925</v>
      </c>
      <c r="P1514" s="184" t="s">
        <v>3728</v>
      </c>
    </row>
    <row r="1515" spans="1:16" x14ac:dyDescent="0.3">
      <c r="A1515" s="169">
        <f t="shared" si="130"/>
        <v>1372</v>
      </c>
      <c r="B1515" s="66" t="s">
        <v>1529</v>
      </c>
      <c r="C1515" s="184">
        <v>1961</v>
      </c>
      <c r="D1515" s="50"/>
      <c r="E1515" s="184" t="s">
        <v>4091</v>
      </c>
      <c r="F1515" s="198">
        <v>3</v>
      </c>
      <c r="G1515" s="50"/>
      <c r="H1515" s="192">
        <v>1508.22</v>
      </c>
      <c r="I1515" s="198">
        <v>66</v>
      </c>
      <c r="J1515" s="19">
        <f t="shared" si="129"/>
        <v>545859.9</v>
      </c>
      <c r="K1515" s="50"/>
      <c r="L1515" s="50"/>
      <c r="M1515" s="50"/>
      <c r="N1515" s="19">
        <f>SUMIF('2020'!B:B,B1515,'2020'!C:C)+SUMIF('2021'!B:B,B1515,'2021'!C:C)+SUMIF('2022'!B:B,B1515,'2022'!C:C)</f>
        <v>545859.9</v>
      </c>
      <c r="O1515" s="219">
        <v>44925</v>
      </c>
      <c r="P1515" s="184" t="s">
        <v>3728</v>
      </c>
    </row>
    <row r="1516" spans="1:16" x14ac:dyDescent="0.3">
      <c r="A1516" s="169">
        <f t="shared" si="130"/>
        <v>1373</v>
      </c>
      <c r="B1516" s="66" t="s">
        <v>1531</v>
      </c>
      <c r="C1516" s="184">
        <v>1959</v>
      </c>
      <c r="D1516" s="50"/>
      <c r="E1516" s="184" t="s">
        <v>4091</v>
      </c>
      <c r="F1516" s="83" t="s">
        <v>3760</v>
      </c>
      <c r="G1516" s="50"/>
      <c r="H1516" s="192">
        <v>1464.6</v>
      </c>
      <c r="I1516" s="198">
        <v>60</v>
      </c>
      <c r="J1516" s="19">
        <f t="shared" si="129"/>
        <v>717561.16</v>
      </c>
      <c r="K1516" s="50"/>
      <c r="L1516" s="50"/>
      <c r="M1516" s="50"/>
      <c r="N1516" s="19">
        <f>SUMIF('2020'!B:B,B1516,'2020'!C:C)+SUMIF('2021'!B:B,B1516,'2021'!C:C)+SUMIF('2022'!B:B,B1516,'2022'!C:C)</f>
        <v>717561.16</v>
      </c>
      <c r="O1516" s="219">
        <v>44925</v>
      </c>
      <c r="P1516" s="184" t="s">
        <v>3728</v>
      </c>
    </row>
    <row r="1517" spans="1:16" x14ac:dyDescent="0.3">
      <c r="A1517" s="169">
        <f t="shared" si="130"/>
        <v>1374</v>
      </c>
      <c r="B1517" s="66" t="s">
        <v>1533</v>
      </c>
      <c r="C1517" s="184">
        <v>1977</v>
      </c>
      <c r="D1517" s="50"/>
      <c r="E1517" s="184" t="s">
        <v>4091</v>
      </c>
      <c r="F1517" s="83" t="s">
        <v>3758</v>
      </c>
      <c r="G1517" s="50"/>
      <c r="H1517" s="192">
        <v>2516.9</v>
      </c>
      <c r="I1517" s="198">
        <v>87</v>
      </c>
      <c r="J1517" s="19">
        <f t="shared" si="129"/>
        <v>264324.52</v>
      </c>
      <c r="K1517" s="50"/>
      <c r="L1517" s="50"/>
      <c r="M1517" s="50"/>
      <c r="N1517" s="19">
        <f>SUMIF('2020'!B:B,B1517,'2020'!C:C)+SUMIF('2021'!B:B,B1517,'2021'!C:C)+SUMIF('2022'!B:B,B1517,'2022'!C:C)</f>
        <v>264324.52</v>
      </c>
      <c r="O1517" s="219">
        <v>44925</v>
      </c>
      <c r="P1517" s="184" t="s">
        <v>3728</v>
      </c>
    </row>
    <row r="1518" spans="1:16" x14ac:dyDescent="0.3">
      <c r="A1518" s="169">
        <f t="shared" si="130"/>
        <v>1375</v>
      </c>
      <c r="B1518" s="66" t="s">
        <v>1534</v>
      </c>
      <c r="C1518" s="184">
        <v>1961</v>
      </c>
      <c r="D1518" s="50"/>
      <c r="E1518" s="184" t="s">
        <v>4091</v>
      </c>
      <c r="F1518" s="198">
        <v>3</v>
      </c>
      <c r="G1518" s="50"/>
      <c r="H1518" s="192">
        <v>1474.85</v>
      </c>
      <c r="I1518" s="198">
        <v>69</v>
      </c>
      <c r="J1518" s="19">
        <f t="shared" si="129"/>
        <v>592329.49</v>
      </c>
      <c r="K1518" s="50"/>
      <c r="L1518" s="50"/>
      <c r="M1518" s="50"/>
      <c r="N1518" s="19">
        <f>SUMIF('2020'!B:B,B1518,'2020'!C:C)+SUMIF('2021'!B:B,B1518,'2021'!C:C)+SUMIF('2022'!B:B,B1518,'2022'!C:C)</f>
        <v>592329.49</v>
      </c>
      <c r="O1518" s="219">
        <v>44925</v>
      </c>
      <c r="P1518" s="184" t="s">
        <v>3728</v>
      </c>
    </row>
    <row r="1519" spans="1:16" x14ac:dyDescent="0.3">
      <c r="A1519" s="169">
        <f t="shared" si="130"/>
        <v>1376</v>
      </c>
      <c r="B1519" s="66" t="s">
        <v>1535</v>
      </c>
      <c r="C1519" s="184">
        <v>1957</v>
      </c>
      <c r="D1519" s="50"/>
      <c r="E1519" s="184" t="s">
        <v>4097</v>
      </c>
      <c r="F1519" s="198">
        <v>3</v>
      </c>
      <c r="G1519" s="50"/>
      <c r="H1519" s="192">
        <v>1481</v>
      </c>
      <c r="I1519" s="198">
        <v>48</v>
      </c>
      <c r="J1519" s="19">
        <f t="shared" si="129"/>
        <v>1991313.3599999999</v>
      </c>
      <c r="K1519" s="228"/>
      <c r="L1519" s="50"/>
      <c r="M1519" s="228"/>
      <c r="N1519" s="19">
        <f>SUMIF('2020'!B:B,B1519,'2020'!C:C)+SUMIF('2021'!B:B,B1519,'2021'!C:C)+SUMIF('2022'!B:B,B1519,'2022'!C:C)</f>
        <v>1991313.3599999999</v>
      </c>
      <c r="O1519" s="219">
        <v>44925</v>
      </c>
      <c r="P1519" s="184" t="s">
        <v>3728</v>
      </c>
    </row>
    <row r="1520" spans="1:16" x14ac:dyDescent="0.3">
      <c r="A1520" s="169">
        <f t="shared" si="130"/>
        <v>1377</v>
      </c>
      <c r="B1520" s="66" t="s">
        <v>1537</v>
      </c>
      <c r="C1520" s="184">
        <v>1917</v>
      </c>
      <c r="D1520" s="50"/>
      <c r="E1520" s="184" t="s">
        <v>4094</v>
      </c>
      <c r="F1520" s="198">
        <v>2</v>
      </c>
      <c r="G1520" s="50"/>
      <c r="H1520" s="192">
        <v>209.84</v>
      </c>
      <c r="I1520" s="198">
        <v>19</v>
      </c>
      <c r="J1520" s="19">
        <f t="shared" si="129"/>
        <v>130000</v>
      </c>
      <c r="K1520" s="50"/>
      <c r="L1520" s="50"/>
      <c r="M1520" s="50"/>
      <c r="N1520" s="19">
        <f>SUMIF('2020'!B:B,B1520,'2020'!C:C)+SUMIF('2021'!B:B,B1520,'2021'!C:C)+SUMIF('2022'!B:B,B1520,'2022'!C:C)</f>
        <v>130000</v>
      </c>
      <c r="O1520" s="219">
        <v>44925</v>
      </c>
      <c r="P1520" s="184" t="s">
        <v>3728</v>
      </c>
    </row>
    <row r="1521" spans="1:16" x14ac:dyDescent="0.3">
      <c r="A1521" s="169">
        <f t="shared" si="130"/>
        <v>1378</v>
      </c>
      <c r="B1521" s="66" t="s">
        <v>1538</v>
      </c>
      <c r="C1521" s="184">
        <v>1938</v>
      </c>
      <c r="D1521" s="50"/>
      <c r="E1521" s="184" t="s">
        <v>4094</v>
      </c>
      <c r="F1521" s="198">
        <v>2</v>
      </c>
      <c r="G1521" s="50"/>
      <c r="H1521" s="192">
        <v>106.1</v>
      </c>
      <c r="I1521" s="225">
        <v>18</v>
      </c>
      <c r="J1521" s="19">
        <f t="shared" si="129"/>
        <v>188715.93</v>
      </c>
      <c r="K1521" s="50"/>
      <c r="L1521" s="50"/>
      <c r="M1521" s="50"/>
      <c r="N1521" s="19">
        <f>SUMIF('2020'!B:B,B1521,'2020'!C:C)+SUMIF('2021'!B:B,B1521,'2021'!C:C)+SUMIF('2022'!B:B,B1521,'2022'!C:C)</f>
        <v>188715.93</v>
      </c>
      <c r="O1521" s="219">
        <v>44925</v>
      </c>
      <c r="P1521" s="184" t="s">
        <v>3728</v>
      </c>
    </row>
    <row r="1522" spans="1:16" x14ac:dyDescent="0.3">
      <c r="A1522" s="169">
        <f t="shared" si="130"/>
        <v>1379</v>
      </c>
      <c r="B1522" s="66" t="s">
        <v>1540</v>
      </c>
      <c r="C1522" s="184">
        <v>1917</v>
      </c>
      <c r="D1522" s="50"/>
      <c r="E1522" s="184" t="s">
        <v>4094</v>
      </c>
      <c r="F1522" s="198">
        <v>2</v>
      </c>
      <c r="G1522" s="50"/>
      <c r="H1522" s="192">
        <v>134.9</v>
      </c>
      <c r="I1522" s="198">
        <v>14</v>
      </c>
      <c r="J1522" s="19">
        <f t="shared" si="129"/>
        <v>201033.73</v>
      </c>
      <c r="K1522" s="50"/>
      <c r="L1522" s="50"/>
      <c r="M1522" s="50"/>
      <c r="N1522" s="19">
        <f>SUMIF('2020'!B:B,B1522,'2020'!C:C)+SUMIF('2021'!B:B,B1522,'2021'!C:C)+SUMIF('2022'!B:B,B1522,'2022'!C:C)</f>
        <v>201033.73</v>
      </c>
      <c r="O1522" s="219">
        <v>44925</v>
      </c>
      <c r="P1522" s="184" t="s">
        <v>3728</v>
      </c>
    </row>
    <row r="1523" spans="1:16" x14ac:dyDescent="0.3">
      <c r="A1523" s="169">
        <f t="shared" si="130"/>
        <v>1380</v>
      </c>
      <c r="B1523" s="66" t="s">
        <v>1541</v>
      </c>
      <c r="C1523" s="184">
        <v>1960</v>
      </c>
      <c r="D1523" s="50"/>
      <c r="E1523" s="184" t="s">
        <v>4094</v>
      </c>
      <c r="F1523" s="198">
        <v>2</v>
      </c>
      <c r="G1523" s="50"/>
      <c r="H1523" s="192">
        <v>337.4</v>
      </c>
      <c r="I1523" s="198">
        <v>15</v>
      </c>
      <c r="J1523" s="19">
        <f t="shared" si="129"/>
        <v>0</v>
      </c>
      <c r="K1523" s="50"/>
      <c r="L1523" s="50"/>
      <c r="M1523" s="50"/>
      <c r="N1523" s="19">
        <f>SUMIF('2020'!B:B,B1523,'2020'!C:C)+SUMIF('2021'!B:B,B1523,'2021'!C:C)+SUMIF('2022'!B:B,B1523,'2022'!C:C)</f>
        <v>0</v>
      </c>
      <c r="O1523" s="219">
        <v>44925</v>
      </c>
      <c r="P1523" s="184" t="s">
        <v>3728</v>
      </c>
    </row>
    <row r="1524" spans="1:16" x14ac:dyDescent="0.3">
      <c r="A1524" s="169">
        <f t="shared" si="130"/>
        <v>1381</v>
      </c>
      <c r="B1524" s="66" t="s">
        <v>1542</v>
      </c>
      <c r="C1524" s="184">
        <v>1960</v>
      </c>
      <c r="D1524" s="50"/>
      <c r="E1524" s="184" t="s">
        <v>4094</v>
      </c>
      <c r="F1524" s="198">
        <v>2</v>
      </c>
      <c r="G1524" s="50"/>
      <c r="H1524" s="192">
        <v>337.64</v>
      </c>
      <c r="I1524" s="198">
        <v>26</v>
      </c>
      <c r="J1524" s="19">
        <f t="shared" si="129"/>
        <v>4874296.8000000007</v>
      </c>
      <c r="K1524" s="228"/>
      <c r="L1524" s="50"/>
      <c r="M1524" s="50"/>
      <c r="N1524" s="19">
        <f>SUMIF('2020'!B:B,B1524,'2020'!C:C)+SUMIF('2021'!B:B,B1524,'2021'!C:C)+SUMIF('2022'!B:B,B1524,'2022'!C:C)</f>
        <v>4874296.8000000007</v>
      </c>
      <c r="O1524" s="219">
        <v>44925</v>
      </c>
      <c r="P1524" s="184" t="s">
        <v>3728</v>
      </c>
    </row>
    <row r="1525" spans="1:16" x14ac:dyDescent="0.3">
      <c r="A1525" s="169">
        <f t="shared" si="130"/>
        <v>1382</v>
      </c>
      <c r="B1525" s="66" t="s">
        <v>1543</v>
      </c>
      <c r="C1525" s="184">
        <v>1917</v>
      </c>
      <c r="D1525" s="50"/>
      <c r="E1525" s="184" t="s">
        <v>4094</v>
      </c>
      <c r="F1525" s="198">
        <v>2</v>
      </c>
      <c r="G1525" s="50"/>
      <c r="H1525" s="192">
        <v>180.1</v>
      </c>
      <c r="I1525" s="198">
        <v>6</v>
      </c>
      <c r="J1525" s="19">
        <f t="shared" si="129"/>
        <v>131179.9</v>
      </c>
      <c r="K1525" s="50"/>
      <c r="L1525" s="50"/>
      <c r="M1525" s="50"/>
      <c r="N1525" s="19">
        <f>SUMIF('2020'!B:B,B1525,'2020'!C:C)+SUMIF('2021'!B:B,B1525,'2021'!C:C)+SUMIF('2022'!B:B,B1525,'2022'!C:C)</f>
        <v>131179.9</v>
      </c>
      <c r="O1525" s="219">
        <v>44925</v>
      </c>
      <c r="P1525" s="184" t="s">
        <v>3728</v>
      </c>
    </row>
    <row r="1526" spans="1:16" x14ac:dyDescent="0.3">
      <c r="A1526" s="169">
        <f t="shared" si="130"/>
        <v>1383</v>
      </c>
      <c r="B1526" s="66" t="s">
        <v>1544</v>
      </c>
      <c r="C1526" s="184">
        <v>1960</v>
      </c>
      <c r="D1526" s="50"/>
      <c r="E1526" s="184" t="s">
        <v>4091</v>
      </c>
      <c r="F1526" s="198">
        <v>3</v>
      </c>
      <c r="G1526" s="50"/>
      <c r="H1526" s="192">
        <v>1522.9</v>
      </c>
      <c r="I1526" s="198">
        <v>69</v>
      </c>
      <c r="J1526" s="19">
        <f t="shared" si="129"/>
        <v>284101.33999999997</v>
      </c>
      <c r="K1526" s="50"/>
      <c r="L1526" s="50"/>
      <c r="M1526" s="50"/>
      <c r="N1526" s="19">
        <f>SUMIF('2020'!B:B,B1526,'2020'!C:C)+SUMIF('2021'!B:B,B1526,'2021'!C:C)+SUMIF('2022'!B:B,B1526,'2022'!C:C)</f>
        <v>284101.33999999997</v>
      </c>
      <c r="O1526" s="219">
        <v>44925</v>
      </c>
      <c r="P1526" s="184" t="s">
        <v>3728</v>
      </c>
    </row>
    <row r="1527" spans="1:16" x14ac:dyDescent="0.3">
      <c r="A1527" s="169">
        <f t="shared" si="130"/>
        <v>1384</v>
      </c>
      <c r="B1527" s="66" t="s">
        <v>1545</v>
      </c>
      <c r="C1527" s="184">
        <v>1981</v>
      </c>
      <c r="D1527" s="50"/>
      <c r="E1527" s="184" t="s">
        <v>4091</v>
      </c>
      <c r="F1527" s="198">
        <v>2</v>
      </c>
      <c r="G1527" s="50"/>
      <c r="H1527" s="192">
        <v>440.3</v>
      </c>
      <c r="I1527" s="198">
        <v>20</v>
      </c>
      <c r="J1527" s="19">
        <f t="shared" si="129"/>
        <v>433608.26</v>
      </c>
      <c r="K1527" s="50"/>
      <c r="L1527" s="50"/>
      <c r="M1527" s="50"/>
      <c r="N1527" s="19">
        <f>SUMIF('2020'!B:B,B1527,'2020'!C:C)+SUMIF('2021'!B:B,B1527,'2021'!C:C)+SUMIF('2022'!B:B,B1527,'2022'!C:C)</f>
        <v>433608.26</v>
      </c>
      <c r="O1527" s="219">
        <v>44925</v>
      </c>
      <c r="P1527" s="184" t="s">
        <v>3728</v>
      </c>
    </row>
    <row r="1528" spans="1:16" x14ac:dyDescent="0.3">
      <c r="A1528" s="169">
        <f t="shared" si="130"/>
        <v>1385</v>
      </c>
      <c r="B1528" s="66" t="s">
        <v>1546</v>
      </c>
      <c r="C1528" s="184">
        <v>1981</v>
      </c>
      <c r="D1528" s="50"/>
      <c r="E1528" s="184" t="s">
        <v>4091</v>
      </c>
      <c r="F1528" s="198">
        <v>2</v>
      </c>
      <c r="G1528" s="50"/>
      <c r="H1528" s="192">
        <v>431.6</v>
      </c>
      <c r="I1528" s="198">
        <v>22</v>
      </c>
      <c r="J1528" s="19">
        <f t="shared" si="129"/>
        <v>554970.93999999994</v>
      </c>
      <c r="K1528" s="50"/>
      <c r="L1528" s="50"/>
      <c r="M1528" s="50"/>
      <c r="N1528" s="19">
        <f>SUMIF('2020'!B:B,B1528,'2020'!C:C)+SUMIF('2021'!B:B,B1528,'2021'!C:C)+SUMIF('2022'!B:B,B1528,'2022'!C:C)</f>
        <v>554970.93999999994</v>
      </c>
      <c r="O1528" s="219">
        <v>44925</v>
      </c>
      <c r="P1528" s="184" t="s">
        <v>3728</v>
      </c>
    </row>
    <row r="1529" spans="1:16" x14ac:dyDescent="0.3">
      <c r="A1529" s="169">
        <f t="shared" si="130"/>
        <v>1386</v>
      </c>
      <c r="B1529" s="66" t="s">
        <v>1547</v>
      </c>
      <c r="C1529" s="184">
        <v>1969</v>
      </c>
      <c r="D1529" s="50"/>
      <c r="E1529" s="184" t="s">
        <v>4091</v>
      </c>
      <c r="F1529" s="198">
        <v>5</v>
      </c>
      <c r="G1529" s="50"/>
      <c r="H1529" s="192">
        <v>3211.9</v>
      </c>
      <c r="I1529" s="198">
        <v>126</v>
      </c>
      <c r="J1529" s="19">
        <f t="shared" si="129"/>
        <v>488433.56999999995</v>
      </c>
      <c r="K1529" s="50"/>
      <c r="L1529" s="50"/>
      <c r="M1529" s="50"/>
      <c r="N1529" s="19">
        <f>SUMIF('2020'!B:B,B1529,'2020'!C:C)+SUMIF('2021'!B:B,B1529,'2021'!C:C)+SUMIF('2022'!B:B,B1529,'2022'!C:C)</f>
        <v>488433.56999999995</v>
      </c>
      <c r="O1529" s="219">
        <v>44925</v>
      </c>
      <c r="P1529" s="184" t="s">
        <v>3728</v>
      </c>
    </row>
    <row r="1530" spans="1:16" x14ac:dyDescent="0.3">
      <c r="A1530" s="169">
        <f t="shared" si="130"/>
        <v>1387</v>
      </c>
      <c r="B1530" s="66" t="s">
        <v>1549</v>
      </c>
      <c r="C1530" s="184">
        <v>1917</v>
      </c>
      <c r="D1530" s="50"/>
      <c r="E1530" s="184" t="s">
        <v>4091</v>
      </c>
      <c r="F1530" s="198">
        <v>2</v>
      </c>
      <c r="G1530" s="50"/>
      <c r="H1530" s="192">
        <v>501.5</v>
      </c>
      <c r="I1530" s="198">
        <v>20</v>
      </c>
      <c r="J1530" s="19">
        <f t="shared" si="129"/>
        <v>130000</v>
      </c>
      <c r="K1530" s="50"/>
      <c r="L1530" s="50"/>
      <c r="M1530" s="50"/>
      <c r="N1530" s="19">
        <f>SUMIF('2020'!B:B,B1530,'2020'!C:C)+SUMIF('2021'!B:B,B1530,'2021'!C:C)+SUMIF('2022'!B:B,B1530,'2022'!C:C)</f>
        <v>130000</v>
      </c>
      <c r="O1530" s="219">
        <v>44925</v>
      </c>
      <c r="P1530" s="184" t="s">
        <v>3728</v>
      </c>
    </row>
    <row r="1531" spans="1:16" x14ac:dyDescent="0.3">
      <c r="A1531" s="169">
        <f t="shared" si="130"/>
        <v>1388</v>
      </c>
      <c r="B1531" s="66" t="s">
        <v>1550</v>
      </c>
      <c r="C1531" s="184">
        <v>1917</v>
      </c>
      <c r="D1531" s="50"/>
      <c r="E1531" s="184" t="s">
        <v>4091</v>
      </c>
      <c r="F1531" s="198">
        <v>3</v>
      </c>
      <c r="G1531" s="50"/>
      <c r="H1531" s="192">
        <v>1974.78</v>
      </c>
      <c r="I1531" s="198">
        <v>104</v>
      </c>
      <c r="J1531" s="19">
        <f t="shared" si="129"/>
        <v>0</v>
      </c>
      <c r="K1531" s="50"/>
      <c r="L1531" s="50"/>
      <c r="M1531" s="50"/>
      <c r="N1531" s="19">
        <f>SUMIF('2020'!B:B,B1531,'2020'!C:C)+SUMIF('2021'!B:B,B1531,'2021'!C:C)+SUMIF('2022'!B:B,B1531,'2022'!C:C)</f>
        <v>0</v>
      </c>
      <c r="O1531" s="219">
        <v>44925</v>
      </c>
      <c r="P1531" s="184" t="s">
        <v>3728</v>
      </c>
    </row>
    <row r="1532" spans="1:16" x14ac:dyDescent="0.3">
      <c r="A1532" s="169">
        <f t="shared" si="130"/>
        <v>1389</v>
      </c>
      <c r="B1532" s="66" t="s">
        <v>1551</v>
      </c>
      <c r="C1532" s="184">
        <v>1965</v>
      </c>
      <c r="D1532" s="50"/>
      <c r="E1532" s="184" t="s">
        <v>4091</v>
      </c>
      <c r="F1532" s="198">
        <v>5</v>
      </c>
      <c r="G1532" s="50"/>
      <c r="H1532" s="192">
        <v>2329</v>
      </c>
      <c r="I1532" s="198">
        <v>86</v>
      </c>
      <c r="J1532" s="19">
        <f t="shared" si="129"/>
        <v>338504.82999999996</v>
      </c>
      <c r="K1532" s="50"/>
      <c r="L1532" s="50"/>
      <c r="M1532" s="50"/>
      <c r="N1532" s="19">
        <f>SUMIF('2020'!B:B,B1532,'2020'!C:C)+SUMIF('2021'!B:B,B1532,'2021'!C:C)+SUMIF('2022'!B:B,B1532,'2022'!C:C)</f>
        <v>338504.82999999996</v>
      </c>
      <c r="O1532" s="219">
        <v>44925</v>
      </c>
      <c r="P1532" s="184" t="s">
        <v>3728</v>
      </c>
    </row>
    <row r="1533" spans="1:16" x14ac:dyDescent="0.3">
      <c r="A1533" s="169">
        <f t="shared" si="130"/>
        <v>1390</v>
      </c>
      <c r="B1533" s="66" t="s">
        <v>1552</v>
      </c>
      <c r="C1533" s="184">
        <v>1917</v>
      </c>
      <c r="D1533" s="50"/>
      <c r="E1533" s="184" t="s">
        <v>4094</v>
      </c>
      <c r="F1533" s="198">
        <v>2</v>
      </c>
      <c r="G1533" s="50"/>
      <c r="H1533" s="192">
        <v>183.3</v>
      </c>
      <c r="I1533" s="198">
        <v>20</v>
      </c>
      <c r="J1533" s="19">
        <f t="shared" si="129"/>
        <v>284765.70999999996</v>
      </c>
      <c r="K1533" s="50"/>
      <c r="L1533" s="50"/>
      <c r="M1533" s="50"/>
      <c r="N1533" s="19">
        <f>SUMIF('2020'!B:B,B1533,'2020'!C:C)+SUMIF('2021'!B:B,B1533,'2021'!C:C)+SUMIF('2022'!B:B,B1533,'2022'!C:C)</f>
        <v>284765.70999999996</v>
      </c>
      <c r="O1533" s="219">
        <v>44925</v>
      </c>
      <c r="P1533" s="184" t="s">
        <v>3728</v>
      </c>
    </row>
    <row r="1534" spans="1:16" x14ac:dyDescent="0.3">
      <c r="A1534" s="169">
        <f t="shared" si="130"/>
        <v>1391</v>
      </c>
      <c r="B1534" s="66" t="s">
        <v>1554</v>
      </c>
      <c r="C1534" s="184">
        <v>1967</v>
      </c>
      <c r="D1534" s="50"/>
      <c r="E1534" s="184" t="s">
        <v>4091</v>
      </c>
      <c r="F1534" s="198">
        <v>5</v>
      </c>
      <c r="G1534" s="50"/>
      <c r="H1534" s="192">
        <v>2388.1</v>
      </c>
      <c r="I1534" s="198">
        <v>98</v>
      </c>
      <c r="J1534" s="19">
        <f t="shared" si="129"/>
        <v>334259.55000000005</v>
      </c>
      <c r="K1534" s="50"/>
      <c r="L1534" s="50"/>
      <c r="M1534" s="50"/>
      <c r="N1534" s="19">
        <f>SUMIF('2020'!B:B,B1534,'2020'!C:C)+SUMIF('2021'!B:B,B1534,'2021'!C:C)+SUMIF('2022'!B:B,B1534,'2022'!C:C)</f>
        <v>334259.55000000005</v>
      </c>
      <c r="O1534" s="219">
        <v>44925</v>
      </c>
      <c r="P1534" s="184" t="s">
        <v>3728</v>
      </c>
    </row>
    <row r="1535" spans="1:16" x14ac:dyDescent="0.3">
      <c r="A1535" s="169">
        <f t="shared" si="130"/>
        <v>1392</v>
      </c>
      <c r="B1535" s="66" t="s">
        <v>1555</v>
      </c>
      <c r="C1535" s="184">
        <v>1961</v>
      </c>
      <c r="D1535" s="50"/>
      <c r="E1535" s="184" t="s">
        <v>4091</v>
      </c>
      <c r="F1535" s="198">
        <v>3</v>
      </c>
      <c r="G1535" s="51"/>
      <c r="H1535" s="192">
        <v>976.76</v>
      </c>
      <c r="I1535" s="198">
        <v>44</v>
      </c>
      <c r="J1535" s="19">
        <f t="shared" si="129"/>
        <v>455220.80999999994</v>
      </c>
      <c r="K1535" s="51"/>
      <c r="L1535" s="50"/>
      <c r="M1535" s="51"/>
      <c r="N1535" s="19">
        <f>SUMIF('2020'!B:B,B1535,'2020'!C:C)+SUMIF('2021'!B:B,B1535,'2021'!C:C)+SUMIF('2022'!B:B,B1535,'2022'!C:C)</f>
        <v>455220.80999999994</v>
      </c>
      <c r="O1535" s="219">
        <v>44925</v>
      </c>
      <c r="P1535" s="184" t="s">
        <v>3728</v>
      </c>
    </row>
    <row r="1536" spans="1:16" x14ac:dyDescent="0.3">
      <c r="A1536" s="169">
        <f t="shared" si="130"/>
        <v>1393</v>
      </c>
      <c r="B1536" s="66" t="s">
        <v>1557</v>
      </c>
      <c r="C1536" s="184">
        <v>1960</v>
      </c>
      <c r="D1536" s="50"/>
      <c r="E1536" s="184" t="s">
        <v>4091</v>
      </c>
      <c r="F1536" s="198">
        <v>3</v>
      </c>
      <c r="G1536" s="50"/>
      <c r="H1536" s="192">
        <v>966.5</v>
      </c>
      <c r="I1536" s="225">
        <v>49</v>
      </c>
      <c r="J1536" s="19">
        <f t="shared" si="129"/>
        <v>581920.13</v>
      </c>
      <c r="K1536" s="50"/>
      <c r="L1536" s="50"/>
      <c r="M1536" s="50"/>
      <c r="N1536" s="19">
        <f>SUMIF('2020'!B:B,B1536,'2020'!C:C)+SUMIF('2021'!B:B,B1536,'2021'!C:C)+SUMIF('2022'!B:B,B1536,'2022'!C:C)</f>
        <v>581920.13</v>
      </c>
      <c r="O1536" s="219">
        <v>44925</v>
      </c>
      <c r="P1536" s="184" t="s">
        <v>3728</v>
      </c>
    </row>
    <row r="1537" spans="1:16" x14ac:dyDescent="0.3">
      <c r="A1537" s="169">
        <f t="shared" si="130"/>
        <v>1394</v>
      </c>
      <c r="B1537" s="66" t="s">
        <v>1558</v>
      </c>
      <c r="C1537" s="184">
        <v>1977</v>
      </c>
      <c r="D1537" s="50"/>
      <c r="E1537" s="184" t="s">
        <v>3816</v>
      </c>
      <c r="F1537" s="198">
        <v>5</v>
      </c>
      <c r="G1537" s="50"/>
      <c r="H1537" s="192">
        <v>6404.9</v>
      </c>
      <c r="I1537" s="225">
        <v>250</v>
      </c>
      <c r="J1537" s="19">
        <f t="shared" si="129"/>
        <v>417737.4</v>
      </c>
      <c r="K1537" s="50"/>
      <c r="L1537" s="50"/>
      <c r="M1537" s="50"/>
      <c r="N1537" s="19">
        <f>SUMIF('2020'!B:B,B1537,'2020'!C:C)+SUMIF('2021'!B:B,B1537,'2021'!C:C)+SUMIF('2022'!B:B,B1537,'2022'!C:C)</f>
        <v>417737.4</v>
      </c>
      <c r="O1537" s="219">
        <v>44925</v>
      </c>
      <c r="P1537" s="184" t="s">
        <v>3728</v>
      </c>
    </row>
    <row r="1538" spans="1:16" x14ac:dyDescent="0.3">
      <c r="A1538" s="169">
        <f t="shared" ref="A1538:A1600" si="131">A1537+1</f>
        <v>1395</v>
      </c>
      <c r="B1538" s="66" t="s">
        <v>1559</v>
      </c>
      <c r="C1538" s="184">
        <v>1960</v>
      </c>
      <c r="D1538" s="50"/>
      <c r="E1538" s="184" t="s">
        <v>4091</v>
      </c>
      <c r="F1538" s="198">
        <v>3</v>
      </c>
      <c r="G1538" s="50"/>
      <c r="H1538" s="192">
        <v>957.37</v>
      </c>
      <c r="I1538" s="225">
        <v>37</v>
      </c>
      <c r="J1538" s="19">
        <f t="shared" si="129"/>
        <v>579251.69999999995</v>
      </c>
      <c r="K1538" s="50"/>
      <c r="L1538" s="50"/>
      <c r="M1538" s="50"/>
      <c r="N1538" s="19">
        <f>SUMIF('2020'!B:B,B1538,'2020'!C:C)+SUMIF('2021'!B:B,B1538,'2021'!C:C)+SUMIF('2022'!B:B,B1538,'2022'!C:C)</f>
        <v>579251.69999999995</v>
      </c>
      <c r="O1538" s="219">
        <v>44925</v>
      </c>
      <c r="P1538" s="184" t="s">
        <v>3728</v>
      </c>
    </row>
    <row r="1539" spans="1:16" x14ac:dyDescent="0.3">
      <c r="A1539" s="169">
        <f t="shared" si="131"/>
        <v>1396</v>
      </c>
      <c r="B1539" s="66" t="s">
        <v>1560</v>
      </c>
      <c r="C1539" s="184">
        <v>1968</v>
      </c>
      <c r="D1539" s="50"/>
      <c r="E1539" s="184" t="s">
        <v>3816</v>
      </c>
      <c r="F1539" s="198">
        <v>5</v>
      </c>
      <c r="G1539" s="50"/>
      <c r="H1539" s="192">
        <v>3499.34</v>
      </c>
      <c r="I1539" s="198">
        <v>172</v>
      </c>
      <c r="J1539" s="19">
        <f t="shared" si="129"/>
        <v>573396.31000000006</v>
      </c>
      <c r="K1539" s="50"/>
      <c r="L1539" s="50"/>
      <c r="M1539" s="50"/>
      <c r="N1539" s="19">
        <f>SUMIF('2020'!B:B,B1539,'2020'!C:C)+SUMIF('2021'!B:B,B1539,'2021'!C:C)+SUMIF('2022'!B:B,B1539,'2022'!C:C)</f>
        <v>573396.31000000006</v>
      </c>
      <c r="O1539" s="219">
        <v>44925</v>
      </c>
      <c r="P1539" s="184" t="s">
        <v>3728</v>
      </c>
    </row>
    <row r="1540" spans="1:16" x14ac:dyDescent="0.3">
      <c r="A1540" s="169">
        <f t="shared" si="131"/>
        <v>1397</v>
      </c>
      <c r="B1540" s="66" t="s">
        <v>1561</v>
      </c>
      <c r="C1540" s="184">
        <v>1967</v>
      </c>
      <c r="D1540" s="50"/>
      <c r="E1540" s="184" t="s">
        <v>3816</v>
      </c>
      <c r="F1540" s="198">
        <v>5</v>
      </c>
      <c r="G1540" s="50"/>
      <c r="H1540" s="192">
        <v>5173.16</v>
      </c>
      <c r="I1540" s="198">
        <v>359</v>
      </c>
      <c r="J1540" s="19">
        <f t="shared" si="129"/>
        <v>646018.78</v>
      </c>
      <c r="K1540" s="50"/>
      <c r="L1540" s="50"/>
      <c r="M1540" s="50"/>
      <c r="N1540" s="19">
        <f>SUMIF('2020'!B:B,B1540,'2020'!C:C)+SUMIF('2021'!B:B,B1540,'2021'!C:C)+SUMIF('2022'!B:B,B1540,'2022'!C:C)</f>
        <v>646018.78</v>
      </c>
      <c r="O1540" s="219">
        <v>44925</v>
      </c>
      <c r="P1540" s="184" t="s">
        <v>3728</v>
      </c>
    </row>
    <row r="1541" spans="1:16" x14ac:dyDescent="0.3">
      <c r="A1541" s="169">
        <f t="shared" si="131"/>
        <v>1398</v>
      </c>
      <c r="B1541" s="66" t="s">
        <v>1562</v>
      </c>
      <c r="C1541" s="184">
        <v>1961</v>
      </c>
      <c r="D1541" s="50"/>
      <c r="E1541" s="184" t="s">
        <v>4091</v>
      </c>
      <c r="F1541" s="198">
        <v>4</v>
      </c>
      <c r="G1541" s="50"/>
      <c r="H1541" s="192">
        <v>3302.23</v>
      </c>
      <c r="I1541" s="198">
        <v>136</v>
      </c>
      <c r="J1541" s="19">
        <f t="shared" si="129"/>
        <v>457825.09</v>
      </c>
      <c r="K1541" s="50"/>
      <c r="L1541" s="50"/>
      <c r="M1541" s="50"/>
      <c r="N1541" s="19">
        <f>SUMIF('2020'!B:B,B1541,'2020'!C:C)+SUMIF('2021'!B:B,B1541,'2021'!C:C)+SUMIF('2022'!B:B,B1541,'2022'!C:C)</f>
        <v>457825.09</v>
      </c>
      <c r="O1541" s="219">
        <v>44925</v>
      </c>
      <c r="P1541" s="184" t="s">
        <v>3728</v>
      </c>
    </row>
    <row r="1542" spans="1:16" x14ac:dyDescent="0.3">
      <c r="A1542" s="169">
        <f t="shared" si="131"/>
        <v>1399</v>
      </c>
      <c r="B1542" s="66" t="s">
        <v>1564</v>
      </c>
      <c r="C1542" s="184">
        <v>1962</v>
      </c>
      <c r="D1542" s="50"/>
      <c r="E1542" s="184" t="s">
        <v>4091</v>
      </c>
      <c r="F1542" s="198">
        <v>2</v>
      </c>
      <c r="G1542" s="50"/>
      <c r="H1542" s="192">
        <v>1348.5</v>
      </c>
      <c r="I1542" s="198">
        <v>55</v>
      </c>
      <c r="J1542" s="19">
        <f t="shared" si="129"/>
        <v>499874.78</v>
      </c>
      <c r="K1542" s="50"/>
      <c r="L1542" s="50"/>
      <c r="M1542" s="50"/>
      <c r="N1542" s="19">
        <f>SUMIF('2020'!B:B,B1542,'2020'!C:C)+SUMIF('2021'!B:B,B1542,'2021'!C:C)+SUMIF('2022'!B:B,B1542,'2022'!C:C)</f>
        <v>499874.78</v>
      </c>
      <c r="O1542" s="219">
        <v>44925</v>
      </c>
      <c r="P1542" s="184" t="s">
        <v>3728</v>
      </c>
    </row>
    <row r="1543" spans="1:16" x14ac:dyDescent="0.3">
      <c r="A1543" s="169">
        <f t="shared" si="131"/>
        <v>1400</v>
      </c>
      <c r="B1543" s="66" t="s">
        <v>1565</v>
      </c>
      <c r="C1543" s="184">
        <v>1964</v>
      </c>
      <c r="D1543" s="50"/>
      <c r="E1543" s="184" t="s">
        <v>4091</v>
      </c>
      <c r="F1543" s="198">
        <v>2</v>
      </c>
      <c r="G1543" s="50"/>
      <c r="H1543" s="192">
        <v>713.4</v>
      </c>
      <c r="I1543" s="198">
        <v>30</v>
      </c>
      <c r="J1543" s="19">
        <f t="shared" si="129"/>
        <v>283011.66000000003</v>
      </c>
      <c r="K1543" s="50"/>
      <c r="L1543" s="50"/>
      <c r="M1543" s="50"/>
      <c r="N1543" s="19">
        <f>SUMIF('2020'!B:B,B1543,'2020'!C:C)+SUMIF('2021'!B:B,B1543,'2021'!C:C)+SUMIF('2022'!B:B,B1543,'2022'!C:C)</f>
        <v>283011.66000000003</v>
      </c>
      <c r="O1543" s="219">
        <v>44925</v>
      </c>
      <c r="P1543" s="184" t="s">
        <v>3728</v>
      </c>
    </row>
    <row r="1544" spans="1:16" x14ac:dyDescent="0.3">
      <c r="A1544" s="169">
        <f t="shared" si="131"/>
        <v>1401</v>
      </c>
      <c r="B1544" s="66" t="s">
        <v>1566</v>
      </c>
      <c r="C1544" s="184">
        <v>1975</v>
      </c>
      <c r="D1544" s="50"/>
      <c r="E1544" s="184" t="s">
        <v>3816</v>
      </c>
      <c r="F1544" s="198">
        <v>5</v>
      </c>
      <c r="G1544" s="50"/>
      <c r="H1544" s="192">
        <v>4587.3999999999996</v>
      </c>
      <c r="I1544" s="198">
        <v>206</v>
      </c>
      <c r="J1544" s="19">
        <f t="shared" si="129"/>
        <v>441162.07</v>
      </c>
      <c r="K1544" s="50"/>
      <c r="L1544" s="50"/>
      <c r="M1544" s="50"/>
      <c r="N1544" s="19">
        <f>SUMIF('2020'!B:B,B1544,'2020'!C:C)+SUMIF('2021'!B:B,B1544,'2021'!C:C)+SUMIF('2022'!B:B,B1544,'2022'!C:C)</f>
        <v>441162.07</v>
      </c>
      <c r="O1544" s="219">
        <v>44925</v>
      </c>
      <c r="P1544" s="184" t="s">
        <v>3728</v>
      </c>
    </row>
    <row r="1545" spans="1:16" x14ac:dyDescent="0.3">
      <c r="A1545" s="169">
        <f t="shared" si="131"/>
        <v>1402</v>
      </c>
      <c r="B1545" s="66" t="s">
        <v>1567</v>
      </c>
      <c r="C1545" s="184">
        <v>1961</v>
      </c>
      <c r="D1545" s="50"/>
      <c r="E1545" s="184" t="s">
        <v>4094</v>
      </c>
      <c r="F1545" s="198">
        <v>2</v>
      </c>
      <c r="G1545" s="50"/>
      <c r="H1545" s="192">
        <v>508.28</v>
      </c>
      <c r="I1545" s="198">
        <v>31</v>
      </c>
      <c r="J1545" s="19">
        <f t="shared" ref="J1545:J1607" si="132">K1545+L1545+M1545+N1545</f>
        <v>4904960.0299999993</v>
      </c>
      <c r="K1545" s="228"/>
      <c r="L1545" s="50"/>
      <c r="M1545" s="50"/>
      <c r="N1545" s="19">
        <f>SUMIF('2020'!B:B,B1545,'2020'!C:C)+SUMIF('2021'!B:B,B1545,'2021'!C:C)+SUMIF('2022'!B:B,B1545,'2022'!C:C)</f>
        <v>4904960.0299999993</v>
      </c>
      <c r="O1545" s="219">
        <v>44925</v>
      </c>
      <c r="P1545" s="184" t="s">
        <v>3728</v>
      </c>
    </row>
    <row r="1546" spans="1:16" x14ac:dyDescent="0.3">
      <c r="A1546" s="169">
        <f t="shared" si="131"/>
        <v>1403</v>
      </c>
      <c r="B1546" s="66" t="s">
        <v>1569</v>
      </c>
      <c r="C1546" s="184">
        <v>1917</v>
      </c>
      <c r="D1546" s="50"/>
      <c r="E1546" s="184" t="s">
        <v>4094</v>
      </c>
      <c r="F1546" s="198">
        <v>2</v>
      </c>
      <c r="G1546" s="50"/>
      <c r="H1546" s="192">
        <v>367</v>
      </c>
      <c r="I1546" s="198">
        <v>16</v>
      </c>
      <c r="J1546" s="19">
        <f t="shared" si="132"/>
        <v>175577.06</v>
      </c>
      <c r="K1546" s="50"/>
      <c r="L1546" s="50"/>
      <c r="M1546" s="50"/>
      <c r="N1546" s="19">
        <f>SUMIF('2020'!B:B,B1546,'2020'!C:C)+SUMIF('2021'!B:B,B1546,'2021'!C:C)+SUMIF('2022'!B:B,B1546,'2022'!C:C)</f>
        <v>175577.06</v>
      </c>
      <c r="O1546" s="219">
        <v>44925</v>
      </c>
      <c r="P1546" s="184" t="s">
        <v>3728</v>
      </c>
    </row>
    <row r="1547" spans="1:16" x14ac:dyDescent="0.3">
      <c r="A1547" s="169">
        <f t="shared" si="131"/>
        <v>1404</v>
      </c>
      <c r="B1547" s="66" t="s">
        <v>1570</v>
      </c>
      <c r="C1547" s="184">
        <v>1957</v>
      </c>
      <c r="D1547" s="50"/>
      <c r="E1547" s="184" t="s">
        <v>4091</v>
      </c>
      <c r="F1547" s="198">
        <v>3</v>
      </c>
      <c r="G1547" s="50"/>
      <c r="H1547" s="192">
        <v>1855.6</v>
      </c>
      <c r="I1547" s="198">
        <v>64</v>
      </c>
      <c r="J1547" s="19">
        <f t="shared" si="132"/>
        <v>566208.34</v>
      </c>
      <c r="K1547" s="50"/>
      <c r="L1547" s="50"/>
      <c r="M1547" s="50"/>
      <c r="N1547" s="19">
        <f>SUMIF('2020'!B:B,B1547,'2020'!C:C)+SUMIF('2021'!B:B,B1547,'2021'!C:C)+SUMIF('2022'!B:B,B1547,'2022'!C:C)</f>
        <v>566208.34</v>
      </c>
      <c r="O1547" s="219">
        <v>44925</v>
      </c>
      <c r="P1547" s="184" t="s">
        <v>3728</v>
      </c>
    </row>
    <row r="1548" spans="1:16" x14ac:dyDescent="0.3">
      <c r="A1548" s="169">
        <f t="shared" si="131"/>
        <v>1405</v>
      </c>
      <c r="B1548" s="66" t="s">
        <v>1571</v>
      </c>
      <c r="C1548" s="184">
        <v>1917</v>
      </c>
      <c r="D1548" s="50"/>
      <c r="E1548" s="184" t="s">
        <v>4094</v>
      </c>
      <c r="F1548" s="198">
        <v>2</v>
      </c>
      <c r="G1548" s="50"/>
      <c r="H1548" s="192">
        <v>335.4</v>
      </c>
      <c r="I1548" s="198">
        <v>33</v>
      </c>
      <c r="J1548" s="19">
        <f t="shared" si="132"/>
        <v>382599.2</v>
      </c>
      <c r="K1548" s="50"/>
      <c r="L1548" s="50"/>
      <c r="M1548" s="50"/>
      <c r="N1548" s="19">
        <f>SUMIF('2020'!B:B,B1548,'2020'!C:C)+SUMIF('2021'!B:B,B1548,'2021'!C:C)+SUMIF('2022'!B:B,B1548,'2022'!C:C)</f>
        <v>382599.2</v>
      </c>
      <c r="O1548" s="219">
        <v>44925</v>
      </c>
      <c r="P1548" s="184" t="s">
        <v>3728</v>
      </c>
    </row>
    <row r="1549" spans="1:16" x14ac:dyDescent="0.3">
      <c r="A1549" s="169">
        <f t="shared" si="131"/>
        <v>1406</v>
      </c>
      <c r="B1549" s="66" t="s">
        <v>1573</v>
      </c>
      <c r="C1549" s="184">
        <v>1975</v>
      </c>
      <c r="D1549" s="50"/>
      <c r="E1549" s="184" t="s">
        <v>3816</v>
      </c>
      <c r="F1549" s="198">
        <v>5</v>
      </c>
      <c r="G1549" s="50"/>
      <c r="H1549" s="192">
        <v>5660</v>
      </c>
      <c r="I1549" s="198">
        <v>269</v>
      </c>
      <c r="J1549" s="19">
        <f t="shared" si="132"/>
        <v>264773.94</v>
      </c>
      <c r="K1549" s="50"/>
      <c r="L1549" s="50"/>
      <c r="M1549" s="50"/>
      <c r="N1549" s="19">
        <f>SUMIF('2020'!B:B,B1549,'2020'!C:C)+SUMIF('2021'!B:B,B1549,'2021'!C:C)+SUMIF('2022'!B:B,B1549,'2022'!C:C)</f>
        <v>264773.94</v>
      </c>
      <c r="O1549" s="219">
        <v>44925</v>
      </c>
      <c r="P1549" s="184" t="s">
        <v>3728</v>
      </c>
    </row>
    <row r="1550" spans="1:16" x14ac:dyDescent="0.3">
      <c r="A1550" s="169">
        <f t="shared" si="131"/>
        <v>1407</v>
      </c>
      <c r="B1550" s="66" t="s">
        <v>1574</v>
      </c>
      <c r="C1550" s="184">
        <v>1917</v>
      </c>
      <c r="D1550" s="50"/>
      <c r="E1550" s="184" t="s">
        <v>4091</v>
      </c>
      <c r="F1550" s="198">
        <v>2</v>
      </c>
      <c r="G1550" s="50"/>
      <c r="H1550" s="192">
        <v>541.70000000000005</v>
      </c>
      <c r="I1550" s="198">
        <v>35</v>
      </c>
      <c r="J1550" s="19">
        <f t="shared" si="132"/>
        <v>200896.86</v>
      </c>
      <c r="K1550" s="50"/>
      <c r="L1550" s="50"/>
      <c r="M1550" s="50"/>
      <c r="N1550" s="19">
        <f>SUMIF('2020'!B:B,B1550,'2020'!C:C)+SUMIF('2021'!B:B,B1550,'2021'!C:C)+SUMIF('2022'!B:B,B1550,'2022'!C:C)</f>
        <v>200896.86</v>
      </c>
      <c r="O1550" s="219">
        <v>44925</v>
      </c>
      <c r="P1550" s="184" t="s">
        <v>3728</v>
      </c>
    </row>
    <row r="1551" spans="1:16" x14ac:dyDescent="0.3">
      <c r="A1551" s="169">
        <f t="shared" si="131"/>
        <v>1408</v>
      </c>
      <c r="B1551" s="66" t="s">
        <v>1575</v>
      </c>
      <c r="C1551" s="184">
        <v>1969</v>
      </c>
      <c r="D1551" s="50"/>
      <c r="E1551" s="184" t="s">
        <v>4091</v>
      </c>
      <c r="F1551" s="198">
        <v>5</v>
      </c>
      <c r="G1551" s="50"/>
      <c r="H1551" s="192">
        <v>3473.86</v>
      </c>
      <c r="I1551" s="198">
        <v>167</v>
      </c>
      <c r="J1551" s="19">
        <f t="shared" si="132"/>
        <v>559637.93999999994</v>
      </c>
      <c r="K1551" s="50"/>
      <c r="L1551" s="50"/>
      <c r="M1551" s="50"/>
      <c r="N1551" s="19">
        <f>SUMIF('2020'!B:B,B1551,'2020'!C:C)+SUMIF('2021'!B:B,B1551,'2021'!C:C)+SUMIF('2022'!B:B,B1551,'2022'!C:C)</f>
        <v>559637.93999999994</v>
      </c>
      <c r="O1551" s="219">
        <v>44925</v>
      </c>
      <c r="P1551" s="184" t="s">
        <v>3728</v>
      </c>
    </row>
    <row r="1552" spans="1:16" x14ac:dyDescent="0.3">
      <c r="A1552" s="169">
        <f t="shared" si="131"/>
        <v>1409</v>
      </c>
      <c r="B1552" s="66" t="s">
        <v>1577</v>
      </c>
      <c r="C1552" s="184">
        <v>1917</v>
      </c>
      <c r="D1552" s="50"/>
      <c r="E1552" s="184" t="s">
        <v>4094</v>
      </c>
      <c r="F1552" s="198">
        <v>2</v>
      </c>
      <c r="G1552" s="51"/>
      <c r="H1552" s="192">
        <v>583.66</v>
      </c>
      <c r="I1552" s="198">
        <v>31</v>
      </c>
      <c r="J1552" s="19">
        <f t="shared" si="132"/>
        <v>5182120.8600000003</v>
      </c>
      <c r="K1552" s="50"/>
      <c r="L1552" s="50"/>
      <c r="M1552" s="50"/>
      <c r="N1552" s="19">
        <f>SUMIF('2020'!B:B,B1552,'2020'!C:C)+SUMIF('2021'!B:B,B1552,'2021'!C:C)+SUMIF('2022'!B:B,B1552,'2022'!C:C)</f>
        <v>5182120.8600000003</v>
      </c>
      <c r="O1552" s="219">
        <v>44925</v>
      </c>
      <c r="P1552" s="184" t="s">
        <v>3728</v>
      </c>
    </row>
    <row r="1553" spans="1:16" x14ac:dyDescent="0.3">
      <c r="A1553" s="169">
        <f t="shared" si="131"/>
        <v>1410</v>
      </c>
      <c r="B1553" s="66" t="s">
        <v>1578</v>
      </c>
      <c r="C1553" s="184">
        <v>1917</v>
      </c>
      <c r="D1553" s="50"/>
      <c r="E1553" s="184" t="s">
        <v>4094</v>
      </c>
      <c r="F1553" s="198">
        <v>2</v>
      </c>
      <c r="G1553" s="56"/>
      <c r="H1553" s="192">
        <v>296.54000000000002</v>
      </c>
      <c r="I1553" s="198">
        <v>17</v>
      </c>
      <c r="J1553" s="19">
        <f t="shared" si="132"/>
        <v>4575289.0599999996</v>
      </c>
      <c r="K1553" s="233"/>
      <c r="L1553" s="50"/>
      <c r="M1553" s="50"/>
      <c r="N1553" s="19">
        <f>SUMIF('2020'!B:B,B1553,'2020'!C:C)+SUMIF('2021'!B:B,B1553,'2021'!C:C)+SUMIF('2022'!B:B,B1553,'2022'!C:C)</f>
        <v>4575289.0599999996</v>
      </c>
      <c r="O1553" s="219">
        <v>44925</v>
      </c>
      <c r="P1553" s="184" t="s">
        <v>3728</v>
      </c>
    </row>
    <row r="1554" spans="1:16" x14ac:dyDescent="0.3">
      <c r="A1554" s="169">
        <f t="shared" si="131"/>
        <v>1411</v>
      </c>
      <c r="B1554" s="66" t="s">
        <v>1579</v>
      </c>
      <c r="C1554" s="184">
        <v>1917</v>
      </c>
      <c r="D1554" s="50"/>
      <c r="E1554" s="184" t="s">
        <v>4094</v>
      </c>
      <c r="F1554" s="198">
        <v>2</v>
      </c>
      <c r="G1554" s="50"/>
      <c r="H1554" s="192">
        <v>292.89999999999998</v>
      </c>
      <c r="I1554" s="198">
        <v>15</v>
      </c>
      <c r="J1554" s="19">
        <f t="shared" si="132"/>
        <v>653121.9</v>
      </c>
      <c r="K1554" s="50"/>
      <c r="L1554" s="50"/>
      <c r="M1554" s="50"/>
      <c r="N1554" s="19">
        <f>SUMIF('2020'!B:B,B1554,'2020'!C:C)+SUMIF('2021'!B:B,B1554,'2021'!C:C)+SUMIF('2022'!B:B,B1554,'2022'!C:C)</f>
        <v>653121.9</v>
      </c>
      <c r="O1554" s="219">
        <v>44925</v>
      </c>
      <c r="P1554" s="184" t="s">
        <v>3728</v>
      </c>
    </row>
    <row r="1555" spans="1:16" x14ac:dyDescent="0.3">
      <c r="A1555" s="169">
        <f t="shared" si="131"/>
        <v>1412</v>
      </c>
      <c r="B1555" s="66" t="s">
        <v>1581</v>
      </c>
      <c r="C1555" s="184">
        <v>1959</v>
      </c>
      <c r="D1555" s="50"/>
      <c r="E1555" s="184" t="s">
        <v>4091</v>
      </c>
      <c r="F1555" s="198">
        <v>2</v>
      </c>
      <c r="G1555" s="50"/>
      <c r="H1555" s="192">
        <v>743.79</v>
      </c>
      <c r="I1555" s="198">
        <v>31</v>
      </c>
      <c r="J1555" s="19">
        <f t="shared" si="132"/>
        <v>409673.11</v>
      </c>
      <c r="K1555" s="50"/>
      <c r="L1555" s="50"/>
      <c r="M1555" s="50"/>
      <c r="N1555" s="19">
        <f>SUMIF('2020'!B:B,B1555,'2020'!C:C)+SUMIF('2021'!B:B,B1555,'2021'!C:C)+SUMIF('2022'!B:B,B1555,'2022'!C:C)</f>
        <v>409673.11</v>
      </c>
      <c r="O1555" s="219">
        <v>44925</v>
      </c>
      <c r="P1555" s="184" t="s">
        <v>3728</v>
      </c>
    </row>
    <row r="1556" spans="1:16" x14ac:dyDescent="0.3">
      <c r="A1556" s="169">
        <f t="shared" si="131"/>
        <v>1413</v>
      </c>
      <c r="B1556" s="66" t="s">
        <v>1583</v>
      </c>
      <c r="C1556" s="184">
        <v>1960</v>
      </c>
      <c r="D1556" s="50"/>
      <c r="E1556" s="184" t="s">
        <v>4091</v>
      </c>
      <c r="F1556" s="198">
        <v>2</v>
      </c>
      <c r="G1556" s="50"/>
      <c r="H1556" s="192">
        <v>873.63</v>
      </c>
      <c r="I1556" s="198">
        <v>49</v>
      </c>
      <c r="J1556" s="19">
        <f t="shared" si="132"/>
        <v>334838.01</v>
      </c>
      <c r="K1556" s="50"/>
      <c r="L1556" s="50"/>
      <c r="M1556" s="50"/>
      <c r="N1556" s="19">
        <f>SUMIF('2020'!B:B,B1556,'2020'!C:C)+SUMIF('2021'!B:B,B1556,'2021'!C:C)+SUMIF('2022'!B:B,B1556,'2022'!C:C)</f>
        <v>334838.01</v>
      </c>
      <c r="O1556" s="219">
        <v>44925</v>
      </c>
      <c r="P1556" s="184" t="s">
        <v>3728</v>
      </c>
    </row>
    <row r="1557" spans="1:16" x14ac:dyDescent="0.3">
      <c r="A1557" s="169">
        <f t="shared" si="131"/>
        <v>1414</v>
      </c>
      <c r="B1557" s="66" t="s">
        <v>1585</v>
      </c>
      <c r="C1557" s="184">
        <v>1965</v>
      </c>
      <c r="D1557" s="50"/>
      <c r="E1557" s="184" t="s">
        <v>4091</v>
      </c>
      <c r="F1557" s="198">
        <v>5</v>
      </c>
      <c r="G1557" s="51"/>
      <c r="H1557" s="192">
        <v>2726.5</v>
      </c>
      <c r="I1557" s="198">
        <v>110</v>
      </c>
      <c r="J1557" s="19">
        <f t="shared" si="132"/>
        <v>2143973</v>
      </c>
      <c r="K1557" s="50"/>
      <c r="L1557" s="50"/>
      <c r="M1557" s="50"/>
      <c r="N1557" s="19">
        <f>SUMIF('2020'!B:B,B1557,'2020'!C:C)+SUMIF('2021'!B:B,B1557,'2021'!C:C)+SUMIF('2022'!B:B,B1557,'2022'!C:C)</f>
        <v>2143973</v>
      </c>
      <c r="O1557" s="219">
        <v>44925</v>
      </c>
      <c r="P1557" s="184" t="s">
        <v>3728</v>
      </c>
    </row>
    <row r="1558" spans="1:16" x14ac:dyDescent="0.3">
      <c r="A1558" s="169">
        <f t="shared" si="131"/>
        <v>1415</v>
      </c>
      <c r="B1558" s="66" t="s">
        <v>1586</v>
      </c>
      <c r="C1558" s="184">
        <v>1917</v>
      </c>
      <c r="D1558" s="50"/>
      <c r="E1558" s="184" t="s">
        <v>4094</v>
      </c>
      <c r="F1558" s="198">
        <v>2</v>
      </c>
      <c r="G1558" s="51"/>
      <c r="H1558" s="192">
        <v>393.8</v>
      </c>
      <c r="I1558" s="198">
        <v>17</v>
      </c>
      <c r="J1558" s="19">
        <f t="shared" si="132"/>
        <v>2687002.8</v>
      </c>
      <c r="K1558" s="233"/>
      <c r="L1558" s="50"/>
      <c r="M1558" s="80"/>
      <c r="N1558" s="19">
        <f>SUMIF('2020'!B:B,B1558,'2020'!C:C)+SUMIF('2021'!B:B,B1558,'2021'!C:C)+SUMIF('2022'!B:B,B1558,'2022'!C:C)</f>
        <v>2687002.8</v>
      </c>
      <c r="O1558" s="219">
        <v>44925</v>
      </c>
      <c r="P1558" s="184" t="s">
        <v>3728</v>
      </c>
    </row>
    <row r="1559" spans="1:16" x14ac:dyDescent="0.3">
      <c r="A1559" s="169">
        <f t="shared" si="131"/>
        <v>1416</v>
      </c>
      <c r="B1559" s="66" t="s">
        <v>1587</v>
      </c>
      <c r="C1559" s="184">
        <v>1917</v>
      </c>
      <c r="D1559" s="50"/>
      <c r="E1559" s="184" t="s">
        <v>4094</v>
      </c>
      <c r="F1559" s="198">
        <v>2</v>
      </c>
      <c r="G1559" s="50"/>
      <c r="H1559" s="192">
        <v>214.95</v>
      </c>
      <c r="I1559" s="198">
        <v>13</v>
      </c>
      <c r="J1559" s="19">
        <f t="shared" si="132"/>
        <v>601129.80999999994</v>
      </c>
      <c r="K1559" s="50"/>
      <c r="L1559" s="50"/>
      <c r="M1559" s="50"/>
      <c r="N1559" s="19">
        <f>SUMIF('2020'!B:B,B1559,'2020'!C:C)+SUMIF('2021'!B:B,B1559,'2021'!C:C)+SUMIF('2022'!B:B,B1559,'2022'!C:C)</f>
        <v>601129.80999999994</v>
      </c>
      <c r="O1559" s="219">
        <v>44925</v>
      </c>
      <c r="P1559" s="184" t="s">
        <v>3728</v>
      </c>
    </row>
    <row r="1560" spans="1:16" x14ac:dyDescent="0.3">
      <c r="A1560" s="169">
        <f t="shared" si="131"/>
        <v>1417</v>
      </c>
      <c r="B1560" s="66" t="s">
        <v>1589</v>
      </c>
      <c r="C1560" s="184">
        <v>1940</v>
      </c>
      <c r="D1560" s="50"/>
      <c r="E1560" s="184" t="s">
        <v>4094</v>
      </c>
      <c r="F1560" s="198">
        <v>2</v>
      </c>
      <c r="G1560" s="50"/>
      <c r="H1560" s="192">
        <v>386.59</v>
      </c>
      <c r="I1560" s="198">
        <v>23</v>
      </c>
      <c r="J1560" s="19">
        <f t="shared" si="132"/>
        <v>459885.92</v>
      </c>
      <c r="K1560" s="50"/>
      <c r="L1560" s="50"/>
      <c r="M1560" s="50"/>
      <c r="N1560" s="19">
        <f>SUMIF('2020'!B:B,B1560,'2020'!C:C)+SUMIF('2021'!B:B,B1560,'2021'!C:C)+SUMIF('2022'!B:B,B1560,'2022'!C:C)</f>
        <v>459885.92</v>
      </c>
      <c r="O1560" s="219">
        <v>44925</v>
      </c>
      <c r="P1560" s="184" t="s">
        <v>3728</v>
      </c>
    </row>
    <row r="1561" spans="1:16" x14ac:dyDescent="0.3">
      <c r="A1561" s="169">
        <f t="shared" si="131"/>
        <v>1418</v>
      </c>
      <c r="B1561" s="66" t="s">
        <v>1591</v>
      </c>
      <c r="C1561" s="184">
        <v>1970</v>
      </c>
      <c r="D1561" s="50"/>
      <c r="E1561" s="184" t="s">
        <v>4091</v>
      </c>
      <c r="F1561" s="198">
        <v>5</v>
      </c>
      <c r="G1561" s="50"/>
      <c r="H1561" s="192">
        <v>3472.81</v>
      </c>
      <c r="I1561" s="198">
        <v>140</v>
      </c>
      <c r="J1561" s="19">
        <f t="shared" si="132"/>
        <v>405425.24</v>
      </c>
      <c r="K1561" s="50"/>
      <c r="L1561" s="50"/>
      <c r="M1561" s="50"/>
      <c r="N1561" s="19">
        <f>SUMIF('2020'!B:B,B1561,'2020'!C:C)+SUMIF('2021'!B:B,B1561,'2021'!C:C)+SUMIF('2022'!B:B,B1561,'2022'!C:C)</f>
        <v>405425.24</v>
      </c>
      <c r="O1561" s="219">
        <v>44925</v>
      </c>
      <c r="P1561" s="184" t="s">
        <v>3728</v>
      </c>
    </row>
    <row r="1562" spans="1:16" x14ac:dyDescent="0.3">
      <c r="A1562" s="169">
        <f t="shared" si="131"/>
        <v>1419</v>
      </c>
      <c r="B1562" s="66" t="s">
        <v>1592</v>
      </c>
      <c r="C1562" s="184">
        <v>1963</v>
      </c>
      <c r="D1562" s="50"/>
      <c r="E1562" s="184" t="s">
        <v>4091</v>
      </c>
      <c r="F1562" s="198">
        <v>4</v>
      </c>
      <c r="G1562" s="50"/>
      <c r="H1562" s="192">
        <v>2747.5</v>
      </c>
      <c r="I1562" s="198">
        <v>129</v>
      </c>
      <c r="J1562" s="19">
        <f t="shared" si="132"/>
        <v>179018.53</v>
      </c>
      <c r="K1562" s="50"/>
      <c r="L1562" s="50"/>
      <c r="M1562" s="50"/>
      <c r="N1562" s="19">
        <f>SUMIF('2020'!B:B,B1562,'2020'!C:C)+SUMIF('2021'!B:B,B1562,'2021'!C:C)+SUMIF('2022'!B:B,B1562,'2022'!C:C)</f>
        <v>179018.53</v>
      </c>
      <c r="O1562" s="219">
        <v>44925</v>
      </c>
      <c r="P1562" s="184" t="s">
        <v>3728</v>
      </c>
    </row>
    <row r="1563" spans="1:16" x14ac:dyDescent="0.3">
      <c r="A1563" s="169">
        <f t="shared" si="131"/>
        <v>1420</v>
      </c>
      <c r="B1563" s="66" t="s">
        <v>1593</v>
      </c>
      <c r="C1563" s="184">
        <v>1967</v>
      </c>
      <c r="D1563" s="50"/>
      <c r="E1563" s="184" t="s">
        <v>4091</v>
      </c>
      <c r="F1563" s="198">
        <v>5</v>
      </c>
      <c r="G1563" s="50"/>
      <c r="H1563" s="192">
        <v>2573.65</v>
      </c>
      <c r="I1563" s="198">
        <v>118</v>
      </c>
      <c r="J1563" s="19">
        <f t="shared" si="132"/>
        <v>336656.95999999996</v>
      </c>
      <c r="K1563" s="50"/>
      <c r="L1563" s="50"/>
      <c r="M1563" s="50"/>
      <c r="N1563" s="19">
        <f>SUMIF('2020'!B:B,B1563,'2020'!C:C)+SUMIF('2021'!B:B,B1563,'2021'!C:C)+SUMIF('2022'!B:B,B1563,'2022'!C:C)</f>
        <v>336656.95999999996</v>
      </c>
      <c r="O1563" s="219">
        <v>44925</v>
      </c>
      <c r="P1563" s="184" t="s">
        <v>3728</v>
      </c>
    </row>
    <row r="1564" spans="1:16" x14ac:dyDescent="0.3">
      <c r="A1564" s="169">
        <f t="shared" si="131"/>
        <v>1421</v>
      </c>
      <c r="B1564" s="66" t="s">
        <v>1594</v>
      </c>
      <c r="C1564" s="184">
        <v>1940</v>
      </c>
      <c r="D1564" s="50"/>
      <c r="E1564" s="184" t="s">
        <v>4094</v>
      </c>
      <c r="F1564" s="198">
        <v>2</v>
      </c>
      <c r="G1564" s="50"/>
      <c r="H1564" s="192">
        <v>382.8</v>
      </c>
      <c r="I1564" s="198">
        <v>20</v>
      </c>
      <c r="J1564" s="19">
        <f t="shared" si="132"/>
        <v>1496763.96</v>
      </c>
      <c r="K1564" s="50"/>
      <c r="L1564" s="50"/>
      <c r="M1564" s="50"/>
      <c r="N1564" s="19">
        <f>SUMIF('2020'!B:B,B1564,'2020'!C:C)+SUMIF('2021'!B:B,B1564,'2021'!C:C)+SUMIF('2022'!B:B,B1564,'2022'!C:C)</f>
        <v>1496763.96</v>
      </c>
      <c r="O1564" s="219">
        <v>44925</v>
      </c>
      <c r="P1564" s="184" t="s">
        <v>3728</v>
      </c>
    </row>
    <row r="1565" spans="1:16" x14ac:dyDescent="0.3">
      <c r="A1565" s="169">
        <f t="shared" si="131"/>
        <v>1422</v>
      </c>
      <c r="B1565" s="66" t="s">
        <v>1596</v>
      </c>
      <c r="C1565" s="184">
        <v>1957</v>
      </c>
      <c r="D1565" s="50"/>
      <c r="E1565" s="184" t="s">
        <v>4091</v>
      </c>
      <c r="F1565" s="198">
        <v>2</v>
      </c>
      <c r="G1565" s="50"/>
      <c r="H1565" s="192">
        <v>382.67</v>
      </c>
      <c r="I1565" s="198">
        <v>25</v>
      </c>
      <c r="J1565" s="19">
        <f t="shared" si="132"/>
        <v>466610.77999999997</v>
      </c>
      <c r="K1565" s="50"/>
      <c r="L1565" s="50"/>
      <c r="M1565" s="50"/>
      <c r="N1565" s="19">
        <f>SUMIF('2020'!B:B,B1565,'2020'!C:C)+SUMIF('2021'!B:B,B1565,'2021'!C:C)+SUMIF('2022'!B:B,B1565,'2022'!C:C)</f>
        <v>466610.77999999997</v>
      </c>
      <c r="O1565" s="219">
        <v>44925</v>
      </c>
      <c r="P1565" s="184" t="s">
        <v>3728</v>
      </c>
    </row>
    <row r="1566" spans="1:16" x14ac:dyDescent="0.3">
      <c r="A1566" s="169">
        <f t="shared" si="131"/>
        <v>1423</v>
      </c>
      <c r="B1566" s="66" t="s">
        <v>1598</v>
      </c>
      <c r="C1566" s="184">
        <v>1962</v>
      </c>
      <c r="D1566" s="50"/>
      <c r="E1566" s="184" t="s">
        <v>4091</v>
      </c>
      <c r="F1566" s="198">
        <v>3</v>
      </c>
      <c r="G1566" s="50"/>
      <c r="H1566" s="192">
        <v>929.8</v>
      </c>
      <c r="I1566" s="198">
        <v>58</v>
      </c>
      <c r="J1566" s="19">
        <f t="shared" si="132"/>
        <v>616170.89</v>
      </c>
      <c r="K1566" s="50"/>
      <c r="L1566" s="50"/>
      <c r="M1566" s="50"/>
      <c r="N1566" s="19">
        <f>SUMIF('2020'!B:B,B1566,'2020'!C:C)+SUMIF('2021'!B:B,B1566,'2021'!C:C)+SUMIF('2022'!B:B,B1566,'2022'!C:C)</f>
        <v>616170.89</v>
      </c>
      <c r="O1566" s="219">
        <v>44925</v>
      </c>
      <c r="P1566" s="184" t="s">
        <v>3728</v>
      </c>
    </row>
    <row r="1567" spans="1:16" x14ac:dyDescent="0.3">
      <c r="A1567" s="169">
        <f t="shared" si="131"/>
        <v>1424</v>
      </c>
      <c r="B1567" s="66" t="s">
        <v>1599</v>
      </c>
      <c r="C1567" s="184">
        <v>1961</v>
      </c>
      <c r="D1567" s="50"/>
      <c r="E1567" s="184" t="s">
        <v>4091</v>
      </c>
      <c r="F1567" s="198">
        <v>4</v>
      </c>
      <c r="G1567" s="50"/>
      <c r="H1567" s="192">
        <v>1325.84</v>
      </c>
      <c r="I1567" s="198">
        <v>56</v>
      </c>
      <c r="J1567" s="19">
        <f t="shared" si="132"/>
        <v>8755485.0899999999</v>
      </c>
      <c r="K1567" s="50"/>
      <c r="L1567" s="50"/>
      <c r="M1567" s="80"/>
      <c r="N1567" s="19">
        <f>SUMIF('2020'!B:B,B1567,'2020'!C:C)+SUMIF('2021'!B:B,B1567,'2021'!C:C)+SUMIF('2022'!B:B,B1567,'2022'!C:C)</f>
        <v>8755485.0899999999</v>
      </c>
      <c r="O1567" s="219">
        <v>44925</v>
      </c>
      <c r="P1567" s="184" t="s">
        <v>3728</v>
      </c>
    </row>
    <row r="1568" spans="1:16" x14ac:dyDescent="0.3">
      <c r="A1568" s="169">
        <f t="shared" si="131"/>
        <v>1425</v>
      </c>
      <c r="B1568" s="66" t="s">
        <v>1600</v>
      </c>
      <c r="C1568" s="184">
        <v>1962</v>
      </c>
      <c r="D1568" s="50"/>
      <c r="E1568" s="184" t="s">
        <v>4091</v>
      </c>
      <c r="F1568" s="198">
        <v>3</v>
      </c>
      <c r="G1568" s="50"/>
      <c r="H1568" s="192">
        <v>965.61</v>
      </c>
      <c r="I1568" s="198">
        <v>50</v>
      </c>
      <c r="J1568" s="19">
        <f t="shared" si="132"/>
        <v>666560.28999999992</v>
      </c>
      <c r="K1568" s="50"/>
      <c r="L1568" s="50"/>
      <c r="M1568" s="50"/>
      <c r="N1568" s="19">
        <f>SUMIF('2020'!B:B,B1568,'2020'!C:C)+SUMIF('2021'!B:B,B1568,'2021'!C:C)+SUMIF('2022'!B:B,B1568,'2022'!C:C)</f>
        <v>666560.28999999992</v>
      </c>
      <c r="O1568" s="219">
        <v>44925</v>
      </c>
      <c r="P1568" s="184" t="s">
        <v>3728</v>
      </c>
    </row>
    <row r="1569" spans="1:16" x14ac:dyDescent="0.3">
      <c r="A1569" s="169">
        <f t="shared" si="131"/>
        <v>1426</v>
      </c>
      <c r="B1569" s="66" t="s">
        <v>1601</v>
      </c>
      <c r="C1569" s="184">
        <v>1960</v>
      </c>
      <c r="D1569" s="50"/>
      <c r="E1569" s="184" t="s">
        <v>4091</v>
      </c>
      <c r="F1569" s="198">
        <v>3</v>
      </c>
      <c r="G1569" s="50"/>
      <c r="H1569" s="192">
        <v>950.1</v>
      </c>
      <c r="I1569" s="198">
        <v>36</v>
      </c>
      <c r="J1569" s="19">
        <f t="shared" si="132"/>
        <v>896357.46</v>
      </c>
      <c r="K1569" s="50"/>
      <c r="L1569" s="50"/>
      <c r="M1569" s="50"/>
      <c r="N1569" s="19">
        <f>SUMIF('2020'!B:B,B1569,'2020'!C:C)+SUMIF('2021'!B:B,B1569,'2021'!C:C)+SUMIF('2022'!B:B,B1569,'2022'!C:C)</f>
        <v>896357.46</v>
      </c>
      <c r="O1569" s="219">
        <v>44925</v>
      </c>
      <c r="P1569" s="184" t="s">
        <v>3728</v>
      </c>
    </row>
    <row r="1570" spans="1:16" x14ac:dyDescent="0.3">
      <c r="A1570" s="169">
        <f t="shared" si="131"/>
        <v>1427</v>
      </c>
      <c r="B1570" s="66" t="s">
        <v>1602</v>
      </c>
      <c r="C1570" s="184">
        <v>1961</v>
      </c>
      <c r="D1570" s="50"/>
      <c r="E1570" s="184" t="s">
        <v>4091</v>
      </c>
      <c r="F1570" s="198">
        <v>4</v>
      </c>
      <c r="G1570" s="50"/>
      <c r="H1570" s="192">
        <v>2547.58</v>
      </c>
      <c r="I1570" s="198">
        <v>110</v>
      </c>
      <c r="J1570" s="19">
        <f t="shared" si="132"/>
        <v>582962.56000000006</v>
      </c>
      <c r="K1570" s="50"/>
      <c r="L1570" s="50"/>
      <c r="M1570" s="50"/>
      <c r="N1570" s="19">
        <f>SUMIF('2020'!B:B,B1570,'2020'!C:C)+SUMIF('2021'!B:B,B1570,'2021'!C:C)+SUMIF('2022'!B:B,B1570,'2022'!C:C)</f>
        <v>582962.56000000006</v>
      </c>
      <c r="O1570" s="219">
        <v>44925</v>
      </c>
      <c r="P1570" s="184" t="s">
        <v>3728</v>
      </c>
    </row>
    <row r="1571" spans="1:16" x14ac:dyDescent="0.3">
      <c r="A1571" s="169">
        <f t="shared" si="131"/>
        <v>1428</v>
      </c>
      <c r="B1571" s="66" t="s">
        <v>1604</v>
      </c>
      <c r="C1571" s="184">
        <v>1917</v>
      </c>
      <c r="D1571" s="50"/>
      <c r="E1571" s="184" t="s">
        <v>4094</v>
      </c>
      <c r="F1571" s="198">
        <v>2</v>
      </c>
      <c r="G1571" s="50"/>
      <c r="H1571" s="192">
        <v>419.8</v>
      </c>
      <c r="I1571" s="198">
        <v>28</v>
      </c>
      <c r="J1571" s="19">
        <f t="shared" si="132"/>
        <v>680261.15</v>
      </c>
      <c r="K1571" s="50"/>
      <c r="L1571" s="50"/>
      <c r="M1571" s="50"/>
      <c r="N1571" s="19">
        <f>SUMIF('2020'!B:B,B1571,'2020'!C:C)+SUMIF('2021'!B:B,B1571,'2021'!C:C)+SUMIF('2022'!B:B,B1571,'2022'!C:C)</f>
        <v>680261.15</v>
      </c>
      <c r="O1571" s="219">
        <v>44925</v>
      </c>
      <c r="P1571" s="184" t="s">
        <v>3728</v>
      </c>
    </row>
    <row r="1572" spans="1:16" x14ac:dyDescent="0.3">
      <c r="A1572" s="169">
        <f t="shared" si="131"/>
        <v>1429</v>
      </c>
      <c r="B1572" s="66" t="s">
        <v>1606</v>
      </c>
      <c r="C1572" s="184">
        <v>1959</v>
      </c>
      <c r="D1572" s="50"/>
      <c r="E1572" s="184" t="s">
        <v>4091</v>
      </c>
      <c r="F1572" s="198">
        <v>3</v>
      </c>
      <c r="G1572" s="50"/>
      <c r="H1572" s="192">
        <v>957.83</v>
      </c>
      <c r="I1572" s="198">
        <v>36</v>
      </c>
      <c r="J1572" s="19">
        <f t="shared" si="132"/>
        <v>708496.51</v>
      </c>
      <c r="K1572" s="50"/>
      <c r="L1572" s="50"/>
      <c r="M1572" s="50"/>
      <c r="N1572" s="19">
        <f>SUMIF('2020'!B:B,B1572,'2020'!C:C)+SUMIF('2021'!B:B,B1572,'2021'!C:C)+SUMIF('2022'!B:B,B1572,'2022'!C:C)</f>
        <v>708496.51</v>
      </c>
      <c r="O1572" s="219">
        <v>44925</v>
      </c>
      <c r="P1572" s="184" t="s">
        <v>3728</v>
      </c>
    </row>
    <row r="1573" spans="1:16" x14ac:dyDescent="0.3">
      <c r="A1573" s="169">
        <f t="shared" si="131"/>
        <v>1430</v>
      </c>
      <c r="B1573" s="66" t="s">
        <v>1608</v>
      </c>
      <c r="C1573" s="184">
        <v>1962</v>
      </c>
      <c r="D1573" s="50"/>
      <c r="E1573" s="184" t="s">
        <v>4091</v>
      </c>
      <c r="F1573" s="198">
        <v>3</v>
      </c>
      <c r="G1573" s="50"/>
      <c r="H1573" s="192">
        <v>939.1</v>
      </c>
      <c r="I1573" s="198">
        <v>53</v>
      </c>
      <c r="J1573" s="19">
        <f t="shared" si="132"/>
        <v>362343.41000000003</v>
      </c>
      <c r="K1573" s="50"/>
      <c r="L1573" s="50"/>
      <c r="M1573" s="50"/>
      <c r="N1573" s="19">
        <f>SUMIF('2020'!B:B,B1573,'2020'!C:C)+SUMIF('2021'!B:B,B1573,'2021'!C:C)+SUMIF('2022'!B:B,B1573,'2022'!C:C)</f>
        <v>362343.41000000003</v>
      </c>
      <c r="O1573" s="219">
        <v>44925</v>
      </c>
      <c r="P1573" s="184" t="s">
        <v>3728</v>
      </c>
    </row>
    <row r="1574" spans="1:16" x14ac:dyDescent="0.3">
      <c r="A1574" s="169">
        <f t="shared" si="131"/>
        <v>1431</v>
      </c>
      <c r="B1574" s="66" t="s">
        <v>1610</v>
      </c>
      <c r="C1574" s="184">
        <v>1964</v>
      </c>
      <c r="D1574" s="50"/>
      <c r="E1574" s="184" t="s">
        <v>4091</v>
      </c>
      <c r="F1574" s="198">
        <v>4</v>
      </c>
      <c r="G1574" s="50"/>
      <c r="H1574" s="192">
        <v>1152</v>
      </c>
      <c r="I1574" s="198">
        <v>36</v>
      </c>
      <c r="J1574" s="19">
        <f t="shared" si="132"/>
        <v>130000</v>
      </c>
      <c r="K1574" s="50"/>
      <c r="L1574" s="50"/>
      <c r="M1574" s="50"/>
      <c r="N1574" s="19">
        <f>SUMIF('2020'!B:B,B1574,'2020'!C:C)+SUMIF('2021'!B:B,B1574,'2021'!C:C)+SUMIF('2022'!B:B,B1574,'2022'!C:C)</f>
        <v>130000</v>
      </c>
      <c r="O1574" s="219">
        <v>44925</v>
      </c>
      <c r="P1574" s="184" t="s">
        <v>3728</v>
      </c>
    </row>
    <row r="1575" spans="1:16" x14ac:dyDescent="0.3">
      <c r="A1575" s="169">
        <f t="shared" si="131"/>
        <v>1432</v>
      </c>
      <c r="B1575" s="66" t="s">
        <v>1611</v>
      </c>
      <c r="C1575" s="184">
        <v>1964</v>
      </c>
      <c r="D1575" s="50"/>
      <c r="E1575" s="184" t="s">
        <v>3816</v>
      </c>
      <c r="F1575" s="198">
        <v>5</v>
      </c>
      <c r="G1575" s="50"/>
      <c r="H1575" s="192">
        <v>3518.98</v>
      </c>
      <c r="I1575" s="198">
        <v>161</v>
      </c>
      <c r="J1575" s="19">
        <f t="shared" si="132"/>
        <v>182039</v>
      </c>
      <c r="K1575" s="50"/>
      <c r="L1575" s="50"/>
      <c r="M1575" s="50"/>
      <c r="N1575" s="19">
        <f>SUMIF('2020'!B:B,B1575,'2020'!C:C)+SUMIF('2021'!B:B,B1575,'2021'!C:C)+SUMIF('2022'!B:B,B1575,'2022'!C:C)</f>
        <v>182039</v>
      </c>
      <c r="O1575" s="219">
        <v>44925</v>
      </c>
      <c r="P1575" s="184" t="s">
        <v>3728</v>
      </c>
    </row>
    <row r="1576" spans="1:16" x14ac:dyDescent="0.3">
      <c r="A1576" s="169">
        <f t="shared" si="131"/>
        <v>1433</v>
      </c>
      <c r="B1576" s="66" t="s">
        <v>1612</v>
      </c>
      <c r="C1576" s="184">
        <v>1964</v>
      </c>
      <c r="D1576" s="50"/>
      <c r="E1576" s="184" t="s">
        <v>3816</v>
      </c>
      <c r="F1576" s="198">
        <v>5</v>
      </c>
      <c r="G1576" s="50"/>
      <c r="H1576" s="192">
        <v>3554.9</v>
      </c>
      <c r="I1576" s="198">
        <v>137</v>
      </c>
      <c r="J1576" s="19">
        <f t="shared" si="132"/>
        <v>1438399.92</v>
      </c>
      <c r="K1576" s="50"/>
      <c r="L1576" s="50"/>
      <c r="M1576" s="50"/>
      <c r="N1576" s="19">
        <f>SUMIF('2020'!B:B,B1576,'2020'!C:C)+SUMIF('2021'!B:B,B1576,'2021'!C:C)+SUMIF('2022'!B:B,B1576,'2022'!C:C)</f>
        <v>1438399.92</v>
      </c>
      <c r="O1576" s="219">
        <v>44925</v>
      </c>
      <c r="P1576" s="184" t="s">
        <v>3728</v>
      </c>
    </row>
    <row r="1577" spans="1:16" x14ac:dyDescent="0.3">
      <c r="A1577" s="169">
        <f t="shared" si="131"/>
        <v>1434</v>
      </c>
      <c r="B1577" s="66" t="s">
        <v>1613</v>
      </c>
      <c r="C1577" s="184">
        <v>1964</v>
      </c>
      <c r="D1577" s="50"/>
      <c r="E1577" s="184" t="s">
        <v>4091</v>
      </c>
      <c r="F1577" s="194">
        <v>7</v>
      </c>
      <c r="G1577" s="50"/>
      <c r="H1577" s="192">
        <v>3171.26</v>
      </c>
      <c r="I1577" s="198">
        <v>155</v>
      </c>
      <c r="J1577" s="19">
        <f t="shared" si="132"/>
        <v>12011833.199999999</v>
      </c>
      <c r="K1577" s="50"/>
      <c r="L1577" s="50"/>
      <c r="M1577" s="228"/>
      <c r="N1577" s="19">
        <f>SUMIF('2020'!B:B,B1577,'2020'!C:C)+SUMIF('2021'!B:B,B1577,'2021'!C:C)+SUMIF('2022'!B:B,B1577,'2022'!C:C)</f>
        <v>12011833.199999999</v>
      </c>
      <c r="O1577" s="219">
        <v>44925</v>
      </c>
      <c r="P1577" s="184" t="s">
        <v>3728</v>
      </c>
    </row>
    <row r="1578" spans="1:16" x14ac:dyDescent="0.3">
      <c r="A1578" s="169">
        <f t="shared" si="131"/>
        <v>1435</v>
      </c>
      <c r="B1578" s="66" t="s">
        <v>1614</v>
      </c>
      <c r="C1578" s="184">
        <v>1952</v>
      </c>
      <c r="D1578" s="50"/>
      <c r="E1578" s="184" t="s">
        <v>4091</v>
      </c>
      <c r="F1578" s="198">
        <v>2</v>
      </c>
      <c r="G1578" s="50"/>
      <c r="H1578" s="192">
        <v>448.6</v>
      </c>
      <c r="I1578" s="198">
        <v>25</v>
      </c>
      <c r="J1578" s="19">
        <f t="shared" si="132"/>
        <v>386876.68</v>
      </c>
      <c r="K1578" s="50"/>
      <c r="L1578" s="50"/>
      <c r="M1578" s="50"/>
      <c r="N1578" s="19">
        <f>SUMIF('2020'!B:B,B1578,'2020'!C:C)+SUMIF('2021'!B:B,B1578,'2021'!C:C)+SUMIF('2022'!B:B,B1578,'2022'!C:C)</f>
        <v>386876.68</v>
      </c>
      <c r="O1578" s="219">
        <v>44925</v>
      </c>
      <c r="P1578" s="184" t="s">
        <v>3728</v>
      </c>
    </row>
    <row r="1579" spans="1:16" x14ac:dyDescent="0.3">
      <c r="A1579" s="169">
        <f t="shared" si="131"/>
        <v>1436</v>
      </c>
      <c r="B1579" s="66" t="s">
        <v>1616</v>
      </c>
      <c r="C1579" s="184">
        <v>1963</v>
      </c>
      <c r="D1579" s="50"/>
      <c r="E1579" s="184" t="s">
        <v>3816</v>
      </c>
      <c r="F1579" s="198">
        <v>4</v>
      </c>
      <c r="G1579" s="50"/>
      <c r="H1579" s="192">
        <v>2759</v>
      </c>
      <c r="I1579" s="198">
        <v>124</v>
      </c>
      <c r="J1579" s="19">
        <f t="shared" si="132"/>
        <v>776092.52</v>
      </c>
      <c r="K1579" s="50"/>
      <c r="L1579" s="50"/>
      <c r="M1579" s="50"/>
      <c r="N1579" s="19">
        <f>SUMIF('2020'!B:B,B1579,'2020'!C:C)+SUMIF('2021'!B:B,B1579,'2021'!C:C)+SUMIF('2022'!B:B,B1579,'2022'!C:C)</f>
        <v>776092.52</v>
      </c>
      <c r="O1579" s="219">
        <v>44925</v>
      </c>
      <c r="P1579" s="184" t="s">
        <v>3728</v>
      </c>
    </row>
    <row r="1580" spans="1:16" x14ac:dyDescent="0.3">
      <c r="A1580" s="169">
        <f t="shared" si="131"/>
        <v>1437</v>
      </c>
      <c r="B1580" s="66" t="s">
        <v>1617</v>
      </c>
      <c r="C1580" s="184">
        <v>1965</v>
      </c>
      <c r="D1580" s="50"/>
      <c r="E1580" s="184" t="s">
        <v>3816</v>
      </c>
      <c r="F1580" s="198">
        <v>5</v>
      </c>
      <c r="G1580" s="50"/>
      <c r="H1580" s="192">
        <v>2565.1</v>
      </c>
      <c r="I1580" s="198">
        <v>109</v>
      </c>
      <c r="J1580" s="19">
        <f t="shared" si="132"/>
        <v>191925.22</v>
      </c>
      <c r="K1580" s="50"/>
      <c r="L1580" s="50"/>
      <c r="M1580" s="50"/>
      <c r="N1580" s="19">
        <f>SUMIF('2020'!B:B,B1580,'2020'!C:C)+SUMIF('2021'!B:B,B1580,'2021'!C:C)+SUMIF('2022'!B:B,B1580,'2022'!C:C)</f>
        <v>191925.22</v>
      </c>
      <c r="O1580" s="219">
        <v>44925</v>
      </c>
      <c r="P1580" s="184" t="s">
        <v>3728</v>
      </c>
    </row>
    <row r="1581" spans="1:16" x14ac:dyDescent="0.3">
      <c r="A1581" s="169">
        <f t="shared" si="131"/>
        <v>1438</v>
      </c>
      <c r="B1581" s="66" t="s">
        <v>1618</v>
      </c>
      <c r="C1581" s="184">
        <v>1917</v>
      </c>
      <c r="D1581" s="50"/>
      <c r="E1581" s="184" t="s">
        <v>4094</v>
      </c>
      <c r="F1581" s="198">
        <v>2</v>
      </c>
      <c r="G1581" s="50"/>
      <c r="H1581" s="192">
        <v>207.56</v>
      </c>
      <c r="I1581" s="198">
        <v>9</v>
      </c>
      <c r="J1581" s="19">
        <f t="shared" si="132"/>
        <v>318130.41000000003</v>
      </c>
      <c r="K1581" s="50"/>
      <c r="L1581" s="50"/>
      <c r="M1581" s="50"/>
      <c r="N1581" s="19">
        <f>SUMIF('2020'!B:B,B1581,'2020'!C:C)+SUMIF('2021'!B:B,B1581,'2021'!C:C)+SUMIF('2022'!B:B,B1581,'2022'!C:C)</f>
        <v>318130.41000000003</v>
      </c>
      <c r="O1581" s="219">
        <v>44925</v>
      </c>
      <c r="P1581" s="184" t="s">
        <v>3728</v>
      </c>
    </row>
    <row r="1582" spans="1:16" x14ac:dyDescent="0.3">
      <c r="A1582" s="169">
        <f t="shared" si="131"/>
        <v>1439</v>
      </c>
      <c r="B1582" s="66" t="s">
        <v>1620</v>
      </c>
      <c r="C1582" s="184">
        <v>1966</v>
      </c>
      <c r="D1582" s="50"/>
      <c r="E1582" s="184" t="s">
        <v>3816</v>
      </c>
      <c r="F1582" s="198">
        <v>5</v>
      </c>
      <c r="G1582" s="50"/>
      <c r="H1582" s="192">
        <v>2573.34</v>
      </c>
      <c r="I1582" s="198">
        <v>102</v>
      </c>
      <c r="J1582" s="19">
        <f t="shared" si="132"/>
        <v>295693.98</v>
      </c>
      <c r="K1582" s="50"/>
      <c r="L1582" s="50"/>
      <c r="M1582" s="50"/>
      <c r="N1582" s="19">
        <f>SUMIF('2020'!B:B,B1582,'2020'!C:C)+SUMIF('2021'!B:B,B1582,'2021'!C:C)+SUMIF('2022'!B:B,B1582,'2022'!C:C)</f>
        <v>295693.98</v>
      </c>
      <c r="O1582" s="219">
        <v>44925</v>
      </c>
      <c r="P1582" s="184" t="s">
        <v>3728</v>
      </c>
    </row>
    <row r="1583" spans="1:16" x14ac:dyDescent="0.3">
      <c r="A1583" s="169">
        <f t="shared" si="131"/>
        <v>1440</v>
      </c>
      <c r="B1583" s="66" t="s">
        <v>1621</v>
      </c>
      <c r="C1583" s="184">
        <v>1964</v>
      </c>
      <c r="D1583" s="50"/>
      <c r="E1583" s="184" t="s">
        <v>4091</v>
      </c>
      <c r="F1583" s="198">
        <v>4</v>
      </c>
      <c r="G1583" s="50"/>
      <c r="H1583" s="192">
        <v>2004.84</v>
      </c>
      <c r="I1583" s="198">
        <v>87</v>
      </c>
      <c r="J1583" s="19">
        <f t="shared" si="132"/>
        <v>130000</v>
      </c>
      <c r="K1583" s="50"/>
      <c r="L1583" s="50"/>
      <c r="M1583" s="50"/>
      <c r="N1583" s="19">
        <f>SUMIF('2020'!B:B,B1583,'2020'!C:C)+SUMIF('2021'!B:B,B1583,'2021'!C:C)+SUMIF('2022'!B:B,B1583,'2022'!C:C)</f>
        <v>130000</v>
      </c>
      <c r="O1583" s="219">
        <v>44925</v>
      </c>
      <c r="P1583" s="184" t="s">
        <v>3728</v>
      </c>
    </row>
    <row r="1584" spans="1:16" x14ac:dyDescent="0.3">
      <c r="A1584" s="169">
        <f t="shared" si="131"/>
        <v>1441</v>
      </c>
      <c r="B1584" s="66" t="s">
        <v>1622</v>
      </c>
      <c r="C1584" s="184">
        <v>1960</v>
      </c>
      <c r="D1584" s="50"/>
      <c r="E1584" s="184" t="s">
        <v>4091</v>
      </c>
      <c r="F1584" s="198">
        <v>2</v>
      </c>
      <c r="G1584" s="50"/>
      <c r="H1584" s="192">
        <v>632.42999999999995</v>
      </c>
      <c r="I1584" s="198">
        <v>28</v>
      </c>
      <c r="J1584" s="19">
        <f t="shared" si="132"/>
        <v>18992364.43</v>
      </c>
      <c r="K1584" s="50"/>
      <c r="L1584" s="50"/>
      <c r="M1584" s="50"/>
      <c r="N1584" s="19">
        <f>SUMIF('2020'!B:B,B1584,'2020'!C:C)+SUMIF('2021'!B:B,B1584,'2021'!C:C)+SUMIF('2022'!B:B,B1584,'2022'!C:C)</f>
        <v>18992364.43</v>
      </c>
      <c r="O1584" s="219">
        <v>44925</v>
      </c>
      <c r="P1584" s="184" t="s">
        <v>3728</v>
      </c>
    </row>
    <row r="1585" spans="1:16" x14ac:dyDescent="0.3">
      <c r="A1585" s="169">
        <f t="shared" si="131"/>
        <v>1442</v>
      </c>
      <c r="B1585" s="66" t="s">
        <v>1623</v>
      </c>
      <c r="C1585" s="184">
        <v>1959</v>
      </c>
      <c r="D1585" s="50"/>
      <c r="E1585" s="184" t="s">
        <v>4091</v>
      </c>
      <c r="F1585" s="198">
        <v>3</v>
      </c>
      <c r="G1585" s="50"/>
      <c r="H1585" s="192">
        <v>1418.5</v>
      </c>
      <c r="I1585" s="198">
        <v>41</v>
      </c>
      <c r="J1585" s="19">
        <f t="shared" si="132"/>
        <v>283437.73</v>
      </c>
      <c r="K1585" s="50"/>
      <c r="L1585" s="50"/>
      <c r="M1585" s="50"/>
      <c r="N1585" s="19">
        <f>SUMIF('2020'!B:B,B1585,'2020'!C:C)+SUMIF('2021'!B:B,B1585,'2021'!C:C)+SUMIF('2022'!B:B,B1585,'2022'!C:C)</f>
        <v>283437.73</v>
      </c>
      <c r="O1585" s="219">
        <v>44925</v>
      </c>
      <c r="P1585" s="184" t="s">
        <v>3728</v>
      </c>
    </row>
    <row r="1586" spans="1:16" x14ac:dyDescent="0.3">
      <c r="A1586" s="169">
        <f t="shared" si="131"/>
        <v>1443</v>
      </c>
      <c r="B1586" s="66" t="s">
        <v>1624</v>
      </c>
      <c r="C1586" s="184">
        <v>1967</v>
      </c>
      <c r="D1586" s="50"/>
      <c r="E1586" s="184" t="s">
        <v>4094</v>
      </c>
      <c r="F1586" s="198">
        <v>2</v>
      </c>
      <c r="G1586" s="50"/>
      <c r="H1586" s="192">
        <v>419.01</v>
      </c>
      <c r="I1586" s="198">
        <v>37</v>
      </c>
      <c r="J1586" s="19">
        <f t="shared" si="132"/>
        <v>2983072.88</v>
      </c>
      <c r="K1586" s="228"/>
      <c r="L1586" s="50"/>
      <c r="M1586" s="50"/>
      <c r="N1586" s="19">
        <f>SUMIF('2020'!B:B,B1586,'2020'!C:C)+SUMIF('2021'!B:B,B1586,'2021'!C:C)+SUMIF('2022'!B:B,B1586,'2022'!C:C)</f>
        <v>2983072.88</v>
      </c>
      <c r="O1586" s="219">
        <v>44925</v>
      </c>
      <c r="P1586" s="184" t="s">
        <v>3728</v>
      </c>
    </row>
    <row r="1587" spans="1:16" x14ac:dyDescent="0.3">
      <c r="A1587" s="169">
        <f t="shared" si="131"/>
        <v>1444</v>
      </c>
      <c r="B1587" s="66" t="s">
        <v>1625</v>
      </c>
      <c r="C1587" s="184">
        <v>1972</v>
      </c>
      <c r="D1587" s="50"/>
      <c r="E1587" s="184" t="s">
        <v>3816</v>
      </c>
      <c r="F1587" s="198">
        <v>5</v>
      </c>
      <c r="G1587" s="50"/>
      <c r="H1587" s="192">
        <v>4365.3</v>
      </c>
      <c r="I1587" s="225">
        <v>255</v>
      </c>
      <c r="J1587" s="19">
        <f t="shared" si="132"/>
        <v>888299.9</v>
      </c>
      <c r="K1587" s="50"/>
      <c r="L1587" s="50"/>
      <c r="M1587" s="50"/>
      <c r="N1587" s="19">
        <f>SUMIF('2020'!B:B,B1587,'2020'!C:C)+SUMIF('2021'!B:B,B1587,'2021'!C:C)+SUMIF('2022'!B:B,B1587,'2022'!C:C)</f>
        <v>888299.9</v>
      </c>
      <c r="O1587" s="219">
        <v>44925</v>
      </c>
      <c r="P1587" s="184" t="s">
        <v>3728</v>
      </c>
    </row>
    <row r="1588" spans="1:16" x14ac:dyDescent="0.3">
      <c r="A1588" s="169">
        <f t="shared" si="131"/>
        <v>1445</v>
      </c>
      <c r="B1588" s="66" t="s">
        <v>1626</v>
      </c>
      <c r="C1588" s="184">
        <v>1960</v>
      </c>
      <c r="D1588" s="50"/>
      <c r="E1588" s="184" t="s">
        <v>4091</v>
      </c>
      <c r="F1588" s="198">
        <v>3</v>
      </c>
      <c r="G1588" s="50"/>
      <c r="H1588" s="192">
        <v>1461.9</v>
      </c>
      <c r="I1588" s="198">
        <v>56</v>
      </c>
      <c r="J1588" s="19">
        <f t="shared" si="132"/>
        <v>719820.67</v>
      </c>
      <c r="K1588" s="50"/>
      <c r="L1588" s="50"/>
      <c r="M1588" s="50"/>
      <c r="N1588" s="19">
        <f>SUMIF('2020'!B:B,B1588,'2020'!C:C)+SUMIF('2021'!B:B,B1588,'2021'!C:C)+SUMIF('2022'!B:B,B1588,'2022'!C:C)</f>
        <v>719820.67</v>
      </c>
      <c r="O1588" s="219">
        <v>44925</v>
      </c>
      <c r="P1588" s="184" t="s">
        <v>3728</v>
      </c>
    </row>
    <row r="1589" spans="1:16" x14ac:dyDescent="0.3">
      <c r="A1589" s="169">
        <f t="shared" si="131"/>
        <v>1446</v>
      </c>
      <c r="B1589" s="66" t="s">
        <v>1628</v>
      </c>
      <c r="C1589" s="184">
        <v>1969</v>
      </c>
      <c r="D1589" s="50"/>
      <c r="E1589" s="184" t="s">
        <v>3816</v>
      </c>
      <c r="F1589" s="198">
        <v>5</v>
      </c>
      <c r="G1589" s="50"/>
      <c r="H1589" s="192">
        <v>3495.75</v>
      </c>
      <c r="I1589" s="198">
        <v>151</v>
      </c>
      <c r="J1589" s="19">
        <f t="shared" si="132"/>
        <v>375035.37</v>
      </c>
      <c r="K1589" s="50"/>
      <c r="L1589" s="50"/>
      <c r="M1589" s="50"/>
      <c r="N1589" s="19">
        <f>SUMIF('2020'!B:B,B1589,'2020'!C:C)+SUMIF('2021'!B:B,B1589,'2021'!C:C)+SUMIF('2022'!B:B,B1589,'2022'!C:C)</f>
        <v>375035.37</v>
      </c>
      <c r="O1589" s="219">
        <v>44925</v>
      </c>
      <c r="P1589" s="184" t="s">
        <v>3728</v>
      </c>
    </row>
    <row r="1590" spans="1:16" x14ac:dyDescent="0.3">
      <c r="A1590" s="169">
        <f t="shared" si="131"/>
        <v>1447</v>
      </c>
      <c r="B1590" s="66" t="s">
        <v>1629</v>
      </c>
      <c r="C1590" s="184">
        <v>1960</v>
      </c>
      <c r="D1590" s="50"/>
      <c r="E1590" s="184" t="s">
        <v>4091</v>
      </c>
      <c r="F1590" s="198">
        <v>3</v>
      </c>
      <c r="G1590" s="50"/>
      <c r="H1590" s="192">
        <v>1515.3</v>
      </c>
      <c r="I1590" s="198">
        <v>78</v>
      </c>
      <c r="J1590" s="19">
        <f t="shared" si="132"/>
        <v>1526907.6099999999</v>
      </c>
      <c r="K1590" s="228"/>
      <c r="L1590" s="50"/>
      <c r="M1590" s="50"/>
      <c r="N1590" s="19">
        <f>SUMIF('2020'!B:B,B1590,'2020'!C:C)+SUMIF('2021'!B:B,B1590,'2021'!C:C)+SUMIF('2022'!B:B,B1590,'2022'!C:C)</f>
        <v>1526907.6099999999</v>
      </c>
      <c r="O1590" s="219">
        <v>44925</v>
      </c>
      <c r="P1590" s="184" t="s">
        <v>3728</v>
      </c>
    </row>
    <row r="1591" spans="1:16" x14ac:dyDescent="0.3">
      <c r="A1591" s="169">
        <f t="shared" si="131"/>
        <v>1448</v>
      </c>
      <c r="B1591" s="66" t="s">
        <v>1630</v>
      </c>
      <c r="C1591" s="184">
        <v>1955</v>
      </c>
      <c r="D1591" s="50"/>
      <c r="E1591" s="184" t="s">
        <v>4091</v>
      </c>
      <c r="F1591" s="198">
        <v>2</v>
      </c>
      <c r="G1591" s="50"/>
      <c r="H1591" s="192">
        <v>486.18</v>
      </c>
      <c r="I1591" s="198">
        <v>25</v>
      </c>
      <c r="J1591" s="19">
        <f t="shared" si="132"/>
        <v>345104.69</v>
      </c>
      <c r="K1591" s="50"/>
      <c r="L1591" s="50"/>
      <c r="M1591" s="50"/>
      <c r="N1591" s="19">
        <f>SUMIF('2020'!B:B,B1591,'2020'!C:C)+SUMIF('2021'!B:B,B1591,'2021'!C:C)+SUMIF('2022'!B:B,B1591,'2022'!C:C)</f>
        <v>345104.69</v>
      </c>
      <c r="O1591" s="219">
        <v>44925</v>
      </c>
      <c r="P1591" s="184" t="s">
        <v>3728</v>
      </c>
    </row>
    <row r="1592" spans="1:16" x14ac:dyDescent="0.3">
      <c r="A1592" s="169">
        <f t="shared" si="131"/>
        <v>1449</v>
      </c>
      <c r="B1592" s="66" t="s">
        <v>1632</v>
      </c>
      <c r="C1592" s="184">
        <v>1917</v>
      </c>
      <c r="D1592" s="50"/>
      <c r="E1592" s="184" t="s">
        <v>4094</v>
      </c>
      <c r="F1592" s="198">
        <v>2</v>
      </c>
      <c r="G1592" s="51"/>
      <c r="H1592" s="192">
        <v>498.4</v>
      </c>
      <c r="I1592" s="198">
        <v>32</v>
      </c>
      <c r="J1592" s="19">
        <f t="shared" si="132"/>
        <v>5241732.8</v>
      </c>
      <c r="K1592" s="228"/>
      <c r="L1592" s="50"/>
      <c r="M1592" s="50"/>
      <c r="N1592" s="19">
        <f>SUMIF('2020'!B:B,B1592,'2020'!C:C)+SUMIF('2021'!B:B,B1592,'2021'!C:C)+SUMIF('2022'!B:B,B1592,'2022'!C:C)</f>
        <v>5241732.8</v>
      </c>
      <c r="O1592" s="219">
        <v>44925</v>
      </c>
      <c r="P1592" s="184" t="s">
        <v>3728</v>
      </c>
    </row>
    <row r="1593" spans="1:16" x14ac:dyDescent="0.3">
      <c r="A1593" s="169">
        <f t="shared" si="131"/>
        <v>1450</v>
      </c>
      <c r="B1593" s="66" t="s">
        <v>1633</v>
      </c>
      <c r="C1593" s="184">
        <v>1949</v>
      </c>
      <c r="D1593" s="50"/>
      <c r="E1593" s="184" t="s">
        <v>4091</v>
      </c>
      <c r="F1593" s="198">
        <v>2</v>
      </c>
      <c r="G1593" s="51"/>
      <c r="H1593" s="192">
        <v>449.6</v>
      </c>
      <c r="I1593" s="198">
        <v>41</v>
      </c>
      <c r="J1593" s="19">
        <f t="shared" si="132"/>
        <v>1020638.64</v>
      </c>
      <c r="K1593" s="50"/>
      <c r="L1593" s="50"/>
      <c r="M1593" s="50"/>
      <c r="N1593" s="19">
        <f>SUMIF('2020'!B:B,B1593,'2020'!C:C)+SUMIF('2021'!B:B,B1593,'2021'!C:C)+SUMIF('2022'!B:B,B1593,'2022'!C:C)</f>
        <v>1020638.64</v>
      </c>
      <c r="O1593" s="219">
        <v>44925</v>
      </c>
      <c r="P1593" s="184" t="s">
        <v>3728</v>
      </c>
    </row>
    <row r="1594" spans="1:16" x14ac:dyDescent="0.3">
      <c r="A1594" s="169">
        <f t="shared" si="131"/>
        <v>1451</v>
      </c>
      <c r="B1594" s="66" t="s">
        <v>1634</v>
      </c>
      <c r="C1594" s="184">
        <v>1971</v>
      </c>
      <c r="D1594" s="50"/>
      <c r="E1594" s="184" t="s">
        <v>3816</v>
      </c>
      <c r="F1594" s="198">
        <v>5</v>
      </c>
      <c r="G1594" s="50"/>
      <c r="H1594" s="192">
        <v>4386.6400000000003</v>
      </c>
      <c r="I1594" s="198">
        <v>210</v>
      </c>
      <c r="J1594" s="19">
        <f t="shared" si="132"/>
        <v>331675.15000000002</v>
      </c>
      <c r="K1594" s="228"/>
      <c r="L1594" s="50"/>
      <c r="M1594" s="228"/>
      <c r="N1594" s="19">
        <f>SUMIF('2020'!B:B,B1594,'2020'!C:C)+SUMIF('2021'!B:B,B1594,'2021'!C:C)+SUMIF('2022'!B:B,B1594,'2022'!C:C)</f>
        <v>331675.15000000002</v>
      </c>
      <c r="O1594" s="219">
        <v>44925</v>
      </c>
      <c r="P1594" s="184" t="s">
        <v>3728</v>
      </c>
    </row>
    <row r="1595" spans="1:16" x14ac:dyDescent="0.3">
      <c r="A1595" s="169">
        <f t="shared" si="131"/>
        <v>1452</v>
      </c>
      <c r="B1595" s="66" t="s">
        <v>1635</v>
      </c>
      <c r="C1595" s="184">
        <v>1974</v>
      </c>
      <c r="D1595" s="50"/>
      <c r="E1595" s="184" t="s">
        <v>3816</v>
      </c>
      <c r="F1595" s="198">
        <v>5</v>
      </c>
      <c r="G1595" s="50"/>
      <c r="H1595" s="192">
        <v>2719.2</v>
      </c>
      <c r="I1595" s="225">
        <v>149</v>
      </c>
      <c r="J1595" s="19">
        <f t="shared" si="132"/>
        <v>484424.2</v>
      </c>
      <c r="K1595" s="50"/>
      <c r="L1595" s="50"/>
      <c r="M1595" s="50"/>
      <c r="N1595" s="19">
        <f>SUMIF('2020'!B:B,B1595,'2020'!C:C)+SUMIF('2021'!B:B,B1595,'2021'!C:C)+SUMIF('2022'!B:B,B1595,'2022'!C:C)</f>
        <v>484424.2</v>
      </c>
      <c r="O1595" s="219">
        <v>44925</v>
      </c>
      <c r="P1595" s="184" t="s">
        <v>3728</v>
      </c>
    </row>
    <row r="1596" spans="1:16" x14ac:dyDescent="0.3">
      <c r="A1596" s="169">
        <f t="shared" si="131"/>
        <v>1453</v>
      </c>
      <c r="B1596" s="66" t="s">
        <v>1637</v>
      </c>
      <c r="C1596" s="184">
        <v>1974</v>
      </c>
      <c r="D1596" s="50"/>
      <c r="E1596" s="184" t="s">
        <v>4091</v>
      </c>
      <c r="F1596" s="198">
        <v>5</v>
      </c>
      <c r="G1596" s="50"/>
      <c r="H1596" s="192">
        <v>9848.1</v>
      </c>
      <c r="I1596" s="225">
        <v>480</v>
      </c>
      <c r="J1596" s="19">
        <f t="shared" si="132"/>
        <v>1268144.1099999999</v>
      </c>
      <c r="K1596" s="50"/>
      <c r="L1596" s="50"/>
      <c r="M1596" s="50"/>
      <c r="N1596" s="19">
        <f>SUMIF('2020'!B:B,B1596,'2020'!C:C)+SUMIF('2021'!B:B,B1596,'2021'!C:C)+SUMIF('2022'!B:B,B1596,'2022'!C:C)</f>
        <v>1268144.1099999999</v>
      </c>
      <c r="O1596" s="219">
        <v>44925</v>
      </c>
      <c r="P1596" s="184" t="s">
        <v>3728</v>
      </c>
    </row>
    <row r="1597" spans="1:16" x14ac:dyDescent="0.3">
      <c r="A1597" s="169">
        <f t="shared" si="131"/>
        <v>1454</v>
      </c>
      <c r="B1597" s="66" t="s">
        <v>1638</v>
      </c>
      <c r="C1597" s="184">
        <v>1973</v>
      </c>
      <c r="D1597" s="50"/>
      <c r="E1597" s="184" t="s">
        <v>3816</v>
      </c>
      <c r="F1597" s="198">
        <v>5</v>
      </c>
      <c r="G1597" s="50"/>
      <c r="H1597" s="192">
        <v>2696.8</v>
      </c>
      <c r="I1597" s="225">
        <v>129</v>
      </c>
      <c r="J1597" s="19">
        <f t="shared" si="132"/>
        <v>334695.08999999997</v>
      </c>
      <c r="K1597" s="50"/>
      <c r="L1597" s="50"/>
      <c r="M1597" s="50"/>
      <c r="N1597" s="19">
        <f>SUMIF('2020'!B:B,B1597,'2020'!C:C)+SUMIF('2021'!B:B,B1597,'2021'!C:C)+SUMIF('2022'!B:B,B1597,'2022'!C:C)</f>
        <v>334695.08999999997</v>
      </c>
      <c r="O1597" s="219">
        <v>44925</v>
      </c>
      <c r="P1597" s="184" t="s">
        <v>3728</v>
      </c>
    </row>
    <row r="1598" spans="1:16" x14ac:dyDescent="0.3">
      <c r="A1598" s="169">
        <f t="shared" si="131"/>
        <v>1455</v>
      </c>
      <c r="B1598" s="66" t="s">
        <v>1639</v>
      </c>
      <c r="C1598" s="184">
        <v>1972</v>
      </c>
      <c r="D1598" s="50"/>
      <c r="E1598" s="184" t="s">
        <v>4091</v>
      </c>
      <c r="F1598" s="198">
        <v>5</v>
      </c>
      <c r="G1598" s="50"/>
      <c r="H1598" s="192">
        <v>3452.4</v>
      </c>
      <c r="I1598" s="225">
        <v>114</v>
      </c>
      <c r="J1598" s="19">
        <f t="shared" si="132"/>
        <v>505230.80000000005</v>
      </c>
      <c r="K1598" s="50"/>
      <c r="L1598" s="50"/>
      <c r="M1598" s="50"/>
      <c r="N1598" s="19">
        <f>SUMIF('2020'!B:B,B1598,'2020'!C:C)+SUMIF('2021'!B:B,B1598,'2021'!C:C)+SUMIF('2022'!B:B,B1598,'2022'!C:C)</f>
        <v>505230.80000000005</v>
      </c>
      <c r="O1598" s="219">
        <v>44925</v>
      </c>
      <c r="P1598" s="184" t="s">
        <v>3728</v>
      </c>
    </row>
    <row r="1599" spans="1:16" x14ac:dyDescent="0.3">
      <c r="A1599" s="169">
        <f t="shared" si="131"/>
        <v>1456</v>
      </c>
      <c r="B1599" s="66" t="s">
        <v>1640</v>
      </c>
      <c r="C1599" s="184">
        <v>1976</v>
      </c>
      <c r="D1599" s="50"/>
      <c r="E1599" s="184" t="s">
        <v>4091</v>
      </c>
      <c r="F1599" s="198">
        <v>5</v>
      </c>
      <c r="G1599" s="50"/>
      <c r="H1599" s="192">
        <v>13053.4</v>
      </c>
      <c r="I1599" s="225">
        <v>518</v>
      </c>
      <c r="J1599" s="19">
        <f t="shared" si="132"/>
        <v>1185280.26</v>
      </c>
      <c r="K1599" s="50"/>
      <c r="L1599" s="50"/>
      <c r="M1599" s="50"/>
      <c r="N1599" s="19">
        <f>SUMIF('2020'!B:B,B1599,'2020'!C:C)+SUMIF('2021'!B:B,B1599,'2021'!C:C)+SUMIF('2022'!B:B,B1599,'2022'!C:C)</f>
        <v>1185280.26</v>
      </c>
      <c r="O1599" s="219">
        <v>44925</v>
      </c>
      <c r="P1599" s="184" t="s">
        <v>3728</v>
      </c>
    </row>
    <row r="1600" spans="1:16" x14ac:dyDescent="0.3">
      <c r="A1600" s="169">
        <f t="shared" si="131"/>
        <v>1457</v>
      </c>
      <c r="B1600" s="66" t="s">
        <v>1641</v>
      </c>
      <c r="C1600" s="184">
        <v>1973</v>
      </c>
      <c r="D1600" s="50"/>
      <c r="E1600" s="184" t="s">
        <v>3816</v>
      </c>
      <c r="F1600" s="198">
        <v>5</v>
      </c>
      <c r="G1600" s="50"/>
      <c r="H1600" s="192">
        <v>3087.2</v>
      </c>
      <c r="I1600" s="225">
        <v>136</v>
      </c>
      <c r="J1600" s="19">
        <f t="shared" si="132"/>
        <v>185357.65</v>
      </c>
      <c r="K1600" s="50"/>
      <c r="L1600" s="50"/>
      <c r="M1600" s="50"/>
      <c r="N1600" s="19">
        <f>SUMIF('2020'!B:B,B1600,'2020'!C:C)+SUMIF('2021'!B:B,B1600,'2021'!C:C)+SUMIF('2022'!B:B,B1600,'2022'!C:C)</f>
        <v>185357.65</v>
      </c>
      <c r="O1600" s="219">
        <v>44925</v>
      </c>
      <c r="P1600" s="184" t="s">
        <v>3728</v>
      </c>
    </row>
    <row r="1601" spans="1:16" x14ac:dyDescent="0.3">
      <c r="A1601" s="169">
        <f t="shared" ref="A1601:A1663" si="133">A1600+1</f>
        <v>1458</v>
      </c>
      <c r="B1601" s="66" t="s">
        <v>1642</v>
      </c>
      <c r="C1601" s="184">
        <v>1972</v>
      </c>
      <c r="D1601" s="50"/>
      <c r="E1601" s="184" t="s">
        <v>3816</v>
      </c>
      <c r="F1601" s="198">
        <v>5</v>
      </c>
      <c r="G1601" s="50"/>
      <c r="H1601" s="192">
        <v>2691</v>
      </c>
      <c r="I1601" s="225">
        <v>132</v>
      </c>
      <c r="J1601" s="19">
        <f t="shared" si="132"/>
        <v>334109.25</v>
      </c>
      <c r="K1601" s="50"/>
      <c r="L1601" s="50"/>
      <c r="M1601" s="50"/>
      <c r="N1601" s="19">
        <f>SUMIF('2020'!B:B,B1601,'2020'!C:C)+SUMIF('2021'!B:B,B1601,'2021'!C:C)+SUMIF('2022'!B:B,B1601,'2022'!C:C)</f>
        <v>334109.25</v>
      </c>
      <c r="O1601" s="219">
        <v>44925</v>
      </c>
      <c r="P1601" s="184" t="s">
        <v>3728</v>
      </c>
    </row>
    <row r="1602" spans="1:16" x14ac:dyDescent="0.3">
      <c r="A1602" s="169">
        <f t="shared" si="133"/>
        <v>1459</v>
      </c>
      <c r="B1602" s="66" t="s">
        <v>1643</v>
      </c>
      <c r="C1602" s="184">
        <v>1974</v>
      </c>
      <c r="D1602" s="50"/>
      <c r="E1602" s="184" t="s">
        <v>3816</v>
      </c>
      <c r="F1602" s="198">
        <v>5</v>
      </c>
      <c r="G1602" s="50"/>
      <c r="H1602" s="192">
        <v>2714.2</v>
      </c>
      <c r="I1602" s="225">
        <v>120</v>
      </c>
      <c r="J1602" s="19">
        <f t="shared" si="132"/>
        <v>166983.91</v>
      </c>
      <c r="K1602" s="50"/>
      <c r="L1602" s="50"/>
      <c r="M1602" s="50"/>
      <c r="N1602" s="19">
        <f>SUMIF('2020'!B:B,B1602,'2020'!C:C)+SUMIF('2021'!B:B,B1602,'2021'!C:C)+SUMIF('2022'!B:B,B1602,'2022'!C:C)</f>
        <v>166983.91</v>
      </c>
      <c r="O1602" s="219">
        <v>44925</v>
      </c>
      <c r="P1602" s="184" t="s">
        <v>3728</v>
      </c>
    </row>
    <row r="1603" spans="1:16" x14ac:dyDescent="0.3">
      <c r="A1603" s="169">
        <f t="shared" si="133"/>
        <v>1460</v>
      </c>
      <c r="B1603" s="66" t="s">
        <v>1644</v>
      </c>
      <c r="C1603" s="184">
        <v>1941</v>
      </c>
      <c r="D1603" s="50"/>
      <c r="E1603" s="184" t="s">
        <v>4091</v>
      </c>
      <c r="F1603" s="198">
        <v>2</v>
      </c>
      <c r="G1603" s="50"/>
      <c r="H1603" s="192">
        <v>759.6</v>
      </c>
      <c r="I1603" s="198">
        <v>34</v>
      </c>
      <c r="J1603" s="19">
        <f t="shared" si="132"/>
        <v>476945.81</v>
      </c>
      <c r="K1603" s="50"/>
      <c r="L1603" s="50"/>
      <c r="M1603" s="50"/>
      <c r="N1603" s="19">
        <f>SUMIF('2020'!B:B,B1603,'2020'!C:C)+SUMIF('2021'!B:B,B1603,'2021'!C:C)+SUMIF('2022'!B:B,B1603,'2022'!C:C)</f>
        <v>476945.81</v>
      </c>
      <c r="O1603" s="219">
        <v>44925</v>
      </c>
      <c r="P1603" s="184" t="s">
        <v>3728</v>
      </c>
    </row>
    <row r="1604" spans="1:16" x14ac:dyDescent="0.3">
      <c r="A1604" s="169">
        <f t="shared" si="133"/>
        <v>1461</v>
      </c>
      <c r="B1604" s="66" t="s">
        <v>1646</v>
      </c>
      <c r="C1604" s="184">
        <v>1917</v>
      </c>
      <c r="D1604" s="50"/>
      <c r="E1604" s="184" t="s">
        <v>4094</v>
      </c>
      <c r="F1604" s="198">
        <v>2</v>
      </c>
      <c r="G1604" s="50"/>
      <c r="H1604" s="192">
        <v>220.9</v>
      </c>
      <c r="I1604" s="198">
        <v>21</v>
      </c>
      <c r="J1604" s="19">
        <f t="shared" si="132"/>
        <v>316414.53000000003</v>
      </c>
      <c r="K1604" s="50"/>
      <c r="L1604" s="50"/>
      <c r="M1604" s="50"/>
      <c r="N1604" s="19">
        <f>SUMIF('2020'!B:B,B1604,'2020'!C:C)+SUMIF('2021'!B:B,B1604,'2021'!C:C)+SUMIF('2022'!B:B,B1604,'2022'!C:C)</f>
        <v>316414.53000000003</v>
      </c>
      <c r="O1604" s="219">
        <v>44925</v>
      </c>
      <c r="P1604" s="184" t="s">
        <v>3728</v>
      </c>
    </row>
    <row r="1605" spans="1:16" x14ac:dyDescent="0.3">
      <c r="A1605" s="169">
        <f t="shared" si="133"/>
        <v>1462</v>
      </c>
      <c r="B1605" s="66" t="s">
        <v>1648</v>
      </c>
      <c r="C1605" s="184">
        <v>1917</v>
      </c>
      <c r="D1605" s="50"/>
      <c r="E1605" s="184" t="s">
        <v>4094</v>
      </c>
      <c r="F1605" s="198">
        <v>2</v>
      </c>
      <c r="G1605" s="50"/>
      <c r="H1605" s="192">
        <v>279.51</v>
      </c>
      <c r="I1605" s="198">
        <v>21</v>
      </c>
      <c r="J1605" s="19">
        <f t="shared" si="132"/>
        <v>169420.21</v>
      </c>
      <c r="K1605" s="50"/>
      <c r="L1605" s="50"/>
      <c r="M1605" s="50"/>
      <c r="N1605" s="19">
        <f>SUMIF('2020'!B:B,B1605,'2020'!C:C)+SUMIF('2021'!B:B,B1605,'2021'!C:C)+SUMIF('2022'!B:B,B1605,'2022'!C:C)</f>
        <v>169420.21</v>
      </c>
      <c r="O1605" s="219">
        <v>44925</v>
      </c>
      <c r="P1605" s="184" t="s">
        <v>3728</v>
      </c>
    </row>
    <row r="1606" spans="1:16" x14ac:dyDescent="0.3">
      <c r="A1606" s="169">
        <f t="shared" si="133"/>
        <v>1463</v>
      </c>
      <c r="B1606" s="66" t="s">
        <v>1649</v>
      </c>
      <c r="C1606" s="184">
        <v>1941</v>
      </c>
      <c r="D1606" s="50"/>
      <c r="E1606" s="184" t="s">
        <v>4091</v>
      </c>
      <c r="F1606" s="198">
        <v>3</v>
      </c>
      <c r="G1606" s="50"/>
      <c r="H1606" s="192">
        <v>1691.77</v>
      </c>
      <c r="I1606" s="198">
        <v>109</v>
      </c>
      <c r="J1606" s="19">
        <f t="shared" si="132"/>
        <v>130000</v>
      </c>
      <c r="K1606" s="50"/>
      <c r="L1606" s="50"/>
      <c r="M1606" s="50"/>
      <c r="N1606" s="19">
        <f>SUMIF('2020'!B:B,B1606,'2020'!C:C)+SUMIF('2021'!B:B,B1606,'2021'!C:C)+SUMIF('2022'!B:B,B1606,'2022'!C:C)</f>
        <v>130000</v>
      </c>
      <c r="O1606" s="219">
        <v>44925</v>
      </c>
      <c r="P1606" s="184" t="s">
        <v>3728</v>
      </c>
    </row>
    <row r="1607" spans="1:16" x14ac:dyDescent="0.3">
      <c r="A1607" s="169">
        <f t="shared" si="133"/>
        <v>1464</v>
      </c>
      <c r="B1607" s="66" t="s">
        <v>1650</v>
      </c>
      <c r="C1607" s="184">
        <v>1941</v>
      </c>
      <c r="D1607" s="50"/>
      <c r="E1607" s="184" t="s">
        <v>4091</v>
      </c>
      <c r="F1607" s="198">
        <v>3</v>
      </c>
      <c r="G1607" s="50"/>
      <c r="H1607" s="192">
        <v>1635.5</v>
      </c>
      <c r="I1607" s="198">
        <v>79</v>
      </c>
      <c r="J1607" s="19">
        <f t="shared" si="132"/>
        <v>130000</v>
      </c>
      <c r="K1607" s="50"/>
      <c r="L1607" s="50"/>
      <c r="M1607" s="50"/>
      <c r="N1607" s="19">
        <f>SUMIF('2020'!B:B,B1607,'2020'!C:C)+SUMIF('2021'!B:B,B1607,'2021'!C:C)+SUMIF('2022'!B:B,B1607,'2022'!C:C)</f>
        <v>130000</v>
      </c>
      <c r="O1607" s="219">
        <v>44925</v>
      </c>
      <c r="P1607" s="184" t="s">
        <v>3728</v>
      </c>
    </row>
    <row r="1608" spans="1:16" x14ac:dyDescent="0.3">
      <c r="A1608" s="169">
        <f t="shared" si="133"/>
        <v>1465</v>
      </c>
      <c r="B1608" s="66" t="s">
        <v>1651</v>
      </c>
      <c r="C1608" s="184">
        <v>1952</v>
      </c>
      <c r="D1608" s="50"/>
      <c r="E1608" s="184" t="s">
        <v>4091</v>
      </c>
      <c r="F1608" s="198">
        <v>2</v>
      </c>
      <c r="G1608" s="50"/>
      <c r="H1608" s="192">
        <v>374.82</v>
      </c>
      <c r="I1608" s="198">
        <v>27</v>
      </c>
      <c r="J1608" s="19">
        <f t="shared" ref="J1608:J1671" si="134">K1608+L1608+M1608+N1608</f>
        <v>426092.16</v>
      </c>
      <c r="K1608" s="50"/>
      <c r="L1608" s="50"/>
      <c r="M1608" s="50"/>
      <c r="N1608" s="19">
        <f>SUMIF('2020'!B:B,B1608,'2020'!C:C)+SUMIF('2021'!B:B,B1608,'2021'!C:C)+SUMIF('2022'!B:B,B1608,'2022'!C:C)</f>
        <v>426092.16</v>
      </c>
      <c r="O1608" s="219">
        <v>44925</v>
      </c>
      <c r="P1608" s="184" t="s">
        <v>3728</v>
      </c>
    </row>
    <row r="1609" spans="1:16" x14ac:dyDescent="0.3">
      <c r="A1609" s="169">
        <f t="shared" si="133"/>
        <v>1466</v>
      </c>
      <c r="B1609" s="66" t="s">
        <v>1653</v>
      </c>
      <c r="C1609" s="184">
        <v>1917</v>
      </c>
      <c r="D1609" s="50"/>
      <c r="E1609" s="234" t="s">
        <v>4094</v>
      </c>
      <c r="F1609" s="198">
        <v>2</v>
      </c>
      <c r="G1609" s="50"/>
      <c r="H1609" s="192">
        <v>127.25</v>
      </c>
      <c r="I1609" s="198">
        <v>6</v>
      </c>
      <c r="J1609" s="19">
        <f t="shared" si="134"/>
        <v>165786.9</v>
      </c>
      <c r="K1609" s="50"/>
      <c r="L1609" s="50"/>
      <c r="M1609" s="50"/>
      <c r="N1609" s="19">
        <f>SUMIF('2020'!B:B,B1609,'2020'!C:C)+SUMIF('2021'!B:B,B1609,'2021'!C:C)+SUMIF('2022'!B:B,B1609,'2022'!C:C)</f>
        <v>165786.9</v>
      </c>
      <c r="O1609" s="219">
        <v>44925</v>
      </c>
      <c r="P1609" s="184" t="s">
        <v>3728</v>
      </c>
    </row>
    <row r="1610" spans="1:16" x14ac:dyDescent="0.3">
      <c r="A1610" s="169">
        <f t="shared" si="133"/>
        <v>1467</v>
      </c>
      <c r="B1610" s="66" t="s">
        <v>1654</v>
      </c>
      <c r="C1610" s="184">
        <v>1951</v>
      </c>
      <c r="D1610" s="50"/>
      <c r="E1610" s="184" t="s">
        <v>4091</v>
      </c>
      <c r="F1610" s="198">
        <v>2</v>
      </c>
      <c r="G1610" s="50"/>
      <c r="H1610" s="192">
        <v>262.37</v>
      </c>
      <c r="I1610" s="198">
        <v>18</v>
      </c>
      <c r="J1610" s="19">
        <f t="shared" si="134"/>
        <v>509561.04999999993</v>
      </c>
      <c r="K1610" s="50"/>
      <c r="L1610" s="50"/>
      <c r="M1610" s="50"/>
      <c r="N1610" s="19">
        <f>SUMIF('2020'!B:B,B1610,'2020'!C:C)+SUMIF('2021'!B:B,B1610,'2021'!C:C)+SUMIF('2022'!B:B,B1610,'2022'!C:C)</f>
        <v>509561.04999999993</v>
      </c>
      <c r="O1610" s="219">
        <v>44925</v>
      </c>
      <c r="P1610" s="184" t="s">
        <v>3728</v>
      </c>
    </row>
    <row r="1611" spans="1:16" x14ac:dyDescent="0.3">
      <c r="A1611" s="169">
        <f t="shared" si="133"/>
        <v>1468</v>
      </c>
      <c r="B1611" s="66" t="s">
        <v>1655</v>
      </c>
      <c r="C1611" s="184">
        <v>1951</v>
      </c>
      <c r="D1611" s="50"/>
      <c r="E1611" s="184" t="s">
        <v>4091</v>
      </c>
      <c r="F1611" s="198">
        <v>2</v>
      </c>
      <c r="G1611" s="50"/>
      <c r="H1611" s="192">
        <v>365.5</v>
      </c>
      <c r="I1611" s="198">
        <v>20</v>
      </c>
      <c r="J1611" s="19">
        <f t="shared" si="134"/>
        <v>467806.79</v>
      </c>
      <c r="K1611" s="50"/>
      <c r="L1611" s="50"/>
      <c r="M1611" s="50"/>
      <c r="N1611" s="19">
        <f>SUMIF('2020'!B:B,B1611,'2020'!C:C)+SUMIF('2021'!B:B,B1611,'2021'!C:C)+SUMIF('2022'!B:B,B1611,'2022'!C:C)</f>
        <v>467806.79</v>
      </c>
      <c r="O1611" s="219">
        <v>44925</v>
      </c>
      <c r="P1611" s="184" t="s">
        <v>3728</v>
      </c>
    </row>
    <row r="1612" spans="1:16" x14ac:dyDescent="0.3">
      <c r="A1612" s="169">
        <f t="shared" si="133"/>
        <v>1469</v>
      </c>
      <c r="B1612" s="66" t="s">
        <v>1656</v>
      </c>
      <c r="C1612" s="184">
        <v>1951</v>
      </c>
      <c r="D1612" s="50"/>
      <c r="E1612" s="184" t="s">
        <v>4091</v>
      </c>
      <c r="F1612" s="198">
        <v>2</v>
      </c>
      <c r="G1612" s="50"/>
      <c r="H1612" s="192">
        <v>362.4</v>
      </c>
      <c r="I1612" s="198">
        <v>16</v>
      </c>
      <c r="J1612" s="19">
        <f t="shared" si="134"/>
        <v>453155.28</v>
      </c>
      <c r="K1612" s="50"/>
      <c r="L1612" s="50"/>
      <c r="M1612" s="50"/>
      <c r="N1612" s="19">
        <f>SUMIF('2020'!B:B,B1612,'2020'!C:C)+SUMIF('2021'!B:B,B1612,'2021'!C:C)+SUMIF('2022'!B:B,B1612,'2022'!C:C)</f>
        <v>453155.28</v>
      </c>
      <c r="O1612" s="219">
        <v>44925</v>
      </c>
      <c r="P1612" s="184" t="s">
        <v>3728</v>
      </c>
    </row>
    <row r="1613" spans="1:16" x14ac:dyDescent="0.3">
      <c r="A1613" s="169">
        <f t="shared" si="133"/>
        <v>1470</v>
      </c>
      <c r="B1613" s="66" t="s">
        <v>1657</v>
      </c>
      <c r="C1613" s="184">
        <v>1917</v>
      </c>
      <c r="D1613" s="50"/>
      <c r="E1613" s="184" t="s">
        <v>4091</v>
      </c>
      <c r="F1613" s="198">
        <v>2</v>
      </c>
      <c r="G1613" s="50"/>
      <c r="H1613" s="192">
        <v>539.1</v>
      </c>
      <c r="I1613" s="225">
        <v>32</v>
      </c>
      <c r="J1613" s="19">
        <f t="shared" si="134"/>
        <v>636065.34000000008</v>
      </c>
      <c r="K1613" s="50"/>
      <c r="L1613" s="50"/>
      <c r="M1613" s="50"/>
      <c r="N1613" s="19">
        <f>SUMIF('2020'!B:B,B1613,'2020'!C:C)+SUMIF('2021'!B:B,B1613,'2021'!C:C)+SUMIF('2022'!B:B,B1613,'2022'!C:C)</f>
        <v>636065.34000000008</v>
      </c>
      <c r="O1613" s="219">
        <v>44925</v>
      </c>
      <c r="P1613" s="184" t="s">
        <v>3728</v>
      </c>
    </row>
    <row r="1614" spans="1:16" x14ac:dyDescent="0.3">
      <c r="A1614" s="169">
        <f t="shared" si="133"/>
        <v>1471</v>
      </c>
      <c r="B1614" s="66" t="s">
        <v>1659</v>
      </c>
      <c r="C1614" s="184">
        <v>1970</v>
      </c>
      <c r="D1614" s="50"/>
      <c r="E1614" s="184" t="s">
        <v>3816</v>
      </c>
      <c r="F1614" s="198">
        <v>5</v>
      </c>
      <c r="G1614" s="50"/>
      <c r="H1614" s="192">
        <v>3693.98</v>
      </c>
      <c r="I1614" s="198">
        <v>166</v>
      </c>
      <c r="J1614" s="19">
        <f t="shared" si="134"/>
        <v>827804.95</v>
      </c>
      <c r="K1614" s="50"/>
      <c r="L1614" s="50"/>
      <c r="M1614" s="50"/>
      <c r="N1614" s="19">
        <f>SUMIF('2020'!B:B,B1614,'2020'!C:C)+SUMIF('2021'!B:B,B1614,'2021'!C:C)+SUMIF('2022'!B:B,B1614,'2022'!C:C)</f>
        <v>827804.95</v>
      </c>
      <c r="O1614" s="219">
        <v>44925</v>
      </c>
      <c r="P1614" s="184" t="s">
        <v>3728</v>
      </c>
    </row>
    <row r="1615" spans="1:16" x14ac:dyDescent="0.3">
      <c r="A1615" s="169">
        <f t="shared" si="133"/>
        <v>1472</v>
      </c>
      <c r="B1615" s="66" t="s">
        <v>1660</v>
      </c>
      <c r="C1615" s="184">
        <v>1974</v>
      </c>
      <c r="D1615" s="50"/>
      <c r="E1615" s="184" t="s">
        <v>4091</v>
      </c>
      <c r="F1615" s="198">
        <v>5</v>
      </c>
      <c r="G1615" s="50"/>
      <c r="H1615" s="192">
        <v>4093.2</v>
      </c>
      <c r="I1615" s="225">
        <v>184</v>
      </c>
      <c r="J1615" s="19">
        <f t="shared" si="134"/>
        <v>232125.12</v>
      </c>
      <c r="K1615" s="50"/>
      <c r="L1615" s="50"/>
      <c r="M1615" s="50"/>
      <c r="N1615" s="19">
        <f>SUMIF('2020'!B:B,B1615,'2020'!C:C)+SUMIF('2021'!B:B,B1615,'2021'!C:C)+SUMIF('2022'!B:B,B1615,'2022'!C:C)</f>
        <v>232125.12</v>
      </c>
      <c r="O1615" s="219">
        <v>44925</v>
      </c>
      <c r="P1615" s="184" t="s">
        <v>3728</v>
      </c>
    </row>
    <row r="1616" spans="1:16" x14ac:dyDescent="0.3">
      <c r="A1616" s="169">
        <f t="shared" si="133"/>
        <v>1473</v>
      </c>
      <c r="B1616" s="66" t="s">
        <v>1661</v>
      </c>
      <c r="C1616" s="184">
        <v>1970</v>
      </c>
      <c r="D1616" s="50"/>
      <c r="E1616" s="184" t="s">
        <v>4091</v>
      </c>
      <c r="F1616" s="198">
        <v>5</v>
      </c>
      <c r="G1616" s="50"/>
      <c r="H1616" s="192">
        <v>6697.6</v>
      </c>
      <c r="I1616" s="198">
        <v>268</v>
      </c>
      <c r="J1616" s="19">
        <f t="shared" si="134"/>
        <v>1234557.6000000001</v>
      </c>
      <c r="K1616" s="50"/>
      <c r="L1616" s="50"/>
      <c r="M1616" s="50"/>
      <c r="N1616" s="19">
        <f>SUMIF('2020'!B:B,B1616,'2020'!C:C)+SUMIF('2021'!B:B,B1616,'2021'!C:C)+SUMIF('2022'!B:B,B1616,'2022'!C:C)</f>
        <v>1234557.6000000001</v>
      </c>
      <c r="O1616" s="219">
        <v>44925</v>
      </c>
      <c r="P1616" s="184" t="s">
        <v>3728</v>
      </c>
    </row>
    <row r="1617" spans="1:16" x14ac:dyDescent="0.3">
      <c r="A1617" s="169">
        <f t="shared" si="133"/>
        <v>1474</v>
      </c>
      <c r="B1617" s="66" t="s">
        <v>1662</v>
      </c>
      <c r="C1617" s="184">
        <v>1974</v>
      </c>
      <c r="D1617" s="50"/>
      <c r="E1617" s="184" t="s">
        <v>3816</v>
      </c>
      <c r="F1617" s="198">
        <v>5</v>
      </c>
      <c r="G1617" s="50"/>
      <c r="H1617" s="192">
        <v>2673.9</v>
      </c>
      <c r="I1617" s="198">
        <v>137</v>
      </c>
      <c r="J1617" s="19">
        <f t="shared" si="134"/>
        <v>186056.09</v>
      </c>
      <c r="K1617" s="50"/>
      <c r="L1617" s="50"/>
      <c r="M1617" s="50"/>
      <c r="N1617" s="19">
        <f>SUMIF('2020'!B:B,B1617,'2020'!C:C)+SUMIF('2021'!B:B,B1617,'2021'!C:C)+SUMIF('2022'!B:B,B1617,'2022'!C:C)</f>
        <v>186056.09</v>
      </c>
      <c r="O1617" s="219">
        <v>44925</v>
      </c>
      <c r="P1617" s="184" t="s">
        <v>3728</v>
      </c>
    </row>
    <row r="1618" spans="1:16" x14ac:dyDescent="0.3">
      <c r="A1618" s="169">
        <f t="shared" si="133"/>
        <v>1475</v>
      </c>
      <c r="B1618" s="66" t="s">
        <v>1664</v>
      </c>
      <c r="C1618" s="184">
        <v>1917</v>
      </c>
      <c r="D1618" s="50"/>
      <c r="E1618" s="184" t="s">
        <v>4094</v>
      </c>
      <c r="F1618" s="198">
        <v>2</v>
      </c>
      <c r="G1618" s="50"/>
      <c r="H1618" s="192">
        <v>615.5</v>
      </c>
      <c r="I1618" s="198">
        <v>29</v>
      </c>
      <c r="J1618" s="19">
        <f t="shared" si="134"/>
        <v>647488.11</v>
      </c>
      <c r="K1618" s="50"/>
      <c r="L1618" s="50"/>
      <c r="M1618" s="50"/>
      <c r="N1618" s="19">
        <f>SUMIF('2020'!B:B,B1618,'2020'!C:C)+SUMIF('2021'!B:B,B1618,'2021'!C:C)+SUMIF('2022'!B:B,B1618,'2022'!C:C)</f>
        <v>647488.11</v>
      </c>
      <c r="O1618" s="219">
        <v>44925</v>
      </c>
      <c r="P1618" s="184" t="s">
        <v>3728</v>
      </c>
    </row>
    <row r="1619" spans="1:16" x14ac:dyDescent="0.3">
      <c r="A1619" s="169">
        <f t="shared" si="133"/>
        <v>1476</v>
      </c>
      <c r="B1619" s="66" t="s">
        <v>1666</v>
      </c>
      <c r="C1619" s="184">
        <v>1962</v>
      </c>
      <c r="D1619" s="50"/>
      <c r="E1619" s="184" t="s">
        <v>4091</v>
      </c>
      <c r="F1619" s="198">
        <v>4</v>
      </c>
      <c r="G1619" s="50"/>
      <c r="H1619" s="192">
        <v>1988.4</v>
      </c>
      <c r="I1619" s="198">
        <v>102</v>
      </c>
      <c r="J1619" s="19">
        <f t="shared" si="134"/>
        <v>130000</v>
      </c>
      <c r="K1619" s="50"/>
      <c r="L1619" s="50"/>
      <c r="M1619" s="50"/>
      <c r="N1619" s="19">
        <f>SUMIF('2020'!B:B,B1619,'2020'!C:C)+SUMIF('2021'!B:B,B1619,'2021'!C:C)+SUMIF('2022'!B:B,B1619,'2022'!C:C)</f>
        <v>130000</v>
      </c>
      <c r="O1619" s="219">
        <v>44925</v>
      </c>
      <c r="P1619" s="184" t="s">
        <v>3728</v>
      </c>
    </row>
    <row r="1620" spans="1:16" x14ac:dyDescent="0.3">
      <c r="A1620" s="169">
        <f t="shared" si="133"/>
        <v>1477</v>
      </c>
      <c r="B1620" s="66" t="s">
        <v>1667</v>
      </c>
      <c r="C1620" s="184">
        <v>1961</v>
      </c>
      <c r="D1620" s="50"/>
      <c r="E1620" s="234" t="s">
        <v>4091</v>
      </c>
      <c r="F1620" s="198">
        <v>4</v>
      </c>
      <c r="G1620" s="50"/>
      <c r="H1620" s="192">
        <v>2162.1</v>
      </c>
      <c r="I1620" s="198">
        <v>82</v>
      </c>
      <c r="J1620" s="19">
        <f t="shared" si="134"/>
        <v>1074556.4099999999</v>
      </c>
      <c r="K1620" s="50"/>
      <c r="L1620" s="50"/>
      <c r="M1620" s="50"/>
      <c r="N1620" s="19">
        <f>SUMIF('2020'!B:B,B1620,'2020'!C:C)+SUMIF('2021'!B:B,B1620,'2021'!C:C)+SUMIF('2022'!B:B,B1620,'2022'!C:C)</f>
        <v>1074556.4099999999</v>
      </c>
      <c r="O1620" s="219">
        <v>44925</v>
      </c>
      <c r="P1620" s="184" t="s">
        <v>3728</v>
      </c>
    </row>
    <row r="1621" spans="1:16" x14ac:dyDescent="0.3">
      <c r="A1621" s="169">
        <f t="shared" si="133"/>
        <v>1478</v>
      </c>
      <c r="B1621" s="66" t="s">
        <v>1668</v>
      </c>
      <c r="C1621" s="184">
        <v>1964</v>
      </c>
      <c r="D1621" s="50"/>
      <c r="E1621" s="234" t="s">
        <v>4091</v>
      </c>
      <c r="F1621" s="198">
        <v>5</v>
      </c>
      <c r="G1621" s="50"/>
      <c r="H1621" s="192">
        <v>4927.3999999999996</v>
      </c>
      <c r="I1621" s="198">
        <v>153</v>
      </c>
      <c r="J1621" s="19">
        <f t="shared" si="134"/>
        <v>316414.53000000003</v>
      </c>
      <c r="K1621" s="50"/>
      <c r="L1621" s="50"/>
      <c r="M1621" s="50"/>
      <c r="N1621" s="19">
        <f>SUMIF('2020'!B:B,B1621,'2020'!C:C)+SUMIF('2021'!B:B,B1621,'2021'!C:C)+SUMIF('2022'!B:B,B1621,'2022'!C:C)</f>
        <v>316414.53000000003</v>
      </c>
      <c r="O1621" s="219">
        <v>44925</v>
      </c>
      <c r="P1621" s="184" t="s">
        <v>3728</v>
      </c>
    </row>
    <row r="1622" spans="1:16" x14ac:dyDescent="0.3">
      <c r="A1622" s="169">
        <f t="shared" si="133"/>
        <v>1479</v>
      </c>
      <c r="B1622" s="66" t="s">
        <v>1669</v>
      </c>
      <c r="C1622" s="184">
        <v>1962</v>
      </c>
      <c r="D1622" s="50"/>
      <c r="E1622" s="184" t="s">
        <v>4091</v>
      </c>
      <c r="F1622" s="198">
        <v>4</v>
      </c>
      <c r="G1622" s="50"/>
      <c r="H1622" s="192">
        <v>2208</v>
      </c>
      <c r="I1622" s="198">
        <v>172</v>
      </c>
      <c r="J1622" s="19">
        <f t="shared" si="134"/>
        <v>572019.87</v>
      </c>
      <c r="K1622" s="50"/>
      <c r="L1622" s="50"/>
      <c r="M1622" s="50"/>
      <c r="N1622" s="19">
        <f>SUMIF('2020'!B:B,B1622,'2020'!C:C)+SUMIF('2021'!B:B,B1622,'2021'!C:C)+SUMIF('2022'!B:B,B1622,'2022'!C:C)</f>
        <v>572019.87</v>
      </c>
      <c r="O1622" s="219">
        <v>44925</v>
      </c>
      <c r="P1622" s="184" t="s">
        <v>3728</v>
      </c>
    </row>
    <row r="1623" spans="1:16" x14ac:dyDescent="0.3">
      <c r="A1623" s="169">
        <f t="shared" si="133"/>
        <v>1480</v>
      </c>
      <c r="B1623" s="66" t="s">
        <v>1670</v>
      </c>
      <c r="C1623" s="184">
        <v>1962</v>
      </c>
      <c r="D1623" s="50"/>
      <c r="E1623" s="184" t="s">
        <v>4091</v>
      </c>
      <c r="F1623" s="198">
        <v>4</v>
      </c>
      <c r="G1623" s="50"/>
      <c r="H1623" s="192">
        <v>2166.1</v>
      </c>
      <c r="I1623" s="198">
        <v>86</v>
      </c>
      <c r="J1623" s="19">
        <f t="shared" si="134"/>
        <v>585016.63</v>
      </c>
      <c r="K1623" s="50"/>
      <c r="L1623" s="50"/>
      <c r="M1623" s="50"/>
      <c r="N1623" s="19">
        <f>SUMIF('2020'!B:B,B1623,'2020'!C:C)+SUMIF('2021'!B:B,B1623,'2021'!C:C)+SUMIF('2022'!B:B,B1623,'2022'!C:C)</f>
        <v>585016.63</v>
      </c>
      <c r="O1623" s="219">
        <v>44925</v>
      </c>
      <c r="P1623" s="184" t="s">
        <v>3728</v>
      </c>
    </row>
    <row r="1624" spans="1:16" x14ac:dyDescent="0.3">
      <c r="A1624" s="169">
        <f t="shared" si="133"/>
        <v>1481</v>
      </c>
      <c r="B1624" s="66" t="s">
        <v>1671</v>
      </c>
      <c r="C1624" s="184">
        <v>1963</v>
      </c>
      <c r="D1624" s="50"/>
      <c r="E1624" s="184" t="s">
        <v>4091</v>
      </c>
      <c r="F1624" s="198">
        <v>3</v>
      </c>
      <c r="G1624" s="50"/>
      <c r="H1624" s="192">
        <v>1526.5</v>
      </c>
      <c r="I1624" s="198">
        <v>67</v>
      </c>
      <c r="J1624" s="19">
        <f t="shared" si="134"/>
        <v>623224.44999999995</v>
      </c>
      <c r="K1624" s="50"/>
      <c r="L1624" s="50"/>
      <c r="M1624" s="50"/>
      <c r="N1624" s="19">
        <f>SUMIF('2020'!B:B,B1624,'2020'!C:C)+SUMIF('2021'!B:B,B1624,'2021'!C:C)+SUMIF('2022'!B:B,B1624,'2022'!C:C)</f>
        <v>623224.44999999995</v>
      </c>
      <c r="O1624" s="219">
        <v>44925</v>
      </c>
      <c r="P1624" s="184" t="s">
        <v>3728</v>
      </c>
    </row>
    <row r="1625" spans="1:16" x14ac:dyDescent="0.3">
      <c r="A1625" s="169">
        <f t="shared" si="133"/>
        <v>1482</v>
      </c>
      <c r="B1625" s="66" t="s">
        <v>1672</v>
      </c>
      <c r="C1625" s="184">
        <v>1965</v>
      </c>
      <c r="D1625" s="50"/>
      <c r="E1625" s="184" t="s">
        <v>4091</v>
      </c>
      <c r="F1625" s="198">
        <v>4</v>
      </c>
      <c r="G1625" s="50"/>
      <c r="H1625" s="192">
        <v>1952.7</v>
      </c>
      <c r="I1625" s="198">
        <v>106</v>
      </c>
      <c r="J1625" s="19">
        <f t="shared" si="134"/>
        <v>346779.01</v>
      </c>
      <c r="K1625" s="50"/>
      <c r="L1625" s="50"/>
      <c r="M1625" s="50"/>
      <c r="N1625" s="19">
        <f>SUMIF('2020'!B:B,B1625,'2020'!C:C)+SUMIF('2021'!B:B,B1625,'2021'!C:C)+SUMIF('2022'!B:B,B1625,'2022'!C:C)</f>
        <v>346779.01</v>
      </c>
      <c r="O1625" s="219">
        <v>44925</v>
      </c>
      <c r="P1625" s="184" t="s">
        <v>3728</v>
      </c>
    </row>
    <row r="1626" spans="1:16" x14ac:dyDescent="0.3">
      <c r="A1626" s="169">
        <f t="shared" si="133"/>
        <v>1483</v>
      </c>
      <c r="B1626" s="66" t="s">
        <v>1674</v>
      </c>
      <c r="C1626" s="184">
        <v>1965</v>
      </c>
      <c r="D1626" s="50"/>
      <c r="E1626" s="184" t="s">
        <v>3816</v>
      </c>
      <c r="F1626" s="198">
        <v>5</v>
      </c>
      <c r="G1626" s="50"/>
      <c r="H1626" s="192">
        <v>3517.91</v>
      </c>
      <c r="I1626" s="198">
        <v>150</v>
      </c>
      <c r="J1626" s="19">
        <f t="shared" si="134"/>
        <v>442421.93000000005</v>
      </c>
      <c r="K1626" s="50"/>
      <c r="L1626" s="50"/>
      <c r="M1626" s="50"/>
      <c r="N1626" s="19">
        <f>SUMIF('2020'!B:B,B1626,'2020'!C:C)+SUMIF('2021'!B:B,B1626,'2021'!C:C)+SUMIF('2022'!B:B,B1626,'2022'!C:C)</f>
        <v>442421.93000000005</v>
      </c>
      <c r="O1626" s="219">
        <v>44925</v>
      </c>
      <c r="P1626" s="184" t="s">
        <v>3728</v>
      </c>
    </row>
    <row r="1627" spans="1:16" x14ac:dyDescent="0.3">
      <c r="A1627" s="169">
        <f t="shared" si="133"/>
        <v>1484</v>
      </c>
      <c r="B1627" s="66" t="s">
        <v>1675</v>
      </c>
      <c r="C1627" s="184">
        <v>1966</v>
      </c>
      <c r="D1627" s="50"/>
      <c r="E1627" s="234" t="s">
        <v>4091</v>
      </c>
      <c r="F1627" s="198">
        <v>5</v>
      </c>
      <c r="G1627" s="50"/>
      <c r="H1627" s="192">
        <v>5220.24</v>
      </c>
      <c r="I1627" s="198">
        <v>149</v>
      </c>
      <c r="J1627" s="19">
        <f t="shared" si="134"/>
        <v>972588.38</v>
      </c>
      <c r="K1627" s="50"/>
      <c r="L1627" s="50"/>
      <c r="M1627" s="50"/>
      <c r="N1627" s="19">
        <f>SUMIF('2020'!B:B,B1627,'2020'!C:C)+SUMIF('2021'!B:B,B1627,'2021'!C:C)+SUMIF('2022'!B:B,B1627,'2022'!C:C)</f>
        <v>972588.38</v>
      </c>
      <c r="O1627" s="219">
        <v>44925</v>
      </c>
      <c r="P1627" s="184" t="s">
        <v>3728</v>
      </c>
    </row>
    <row r="1628" spans="1:16" x14ac:dyDescent="0.3">
      <c r="A1628" s="169">
        <f t="shared" si="133"/>
        <v>1485</v>
      </c>
      <c r="B1628" s="66" t="s">
        <v>1676</v>
      </c>
      <c r="C1628" s="184">
        <v>1963</v>
      </c>
      <c r="D1628" s="50"/>
      <c r="E1628" s="184" t="s">
        <v>3816</v>
      </c>
      <c r="F1628" s="198">
        <v>4</v>
      </c>
      <c r="G1628" s="50"/>
      <c r="H1628" s="192">
        <v>2884.31</v>
      </c>
      <c r="I1628" s="198">
        <v>125</v>
      </c>
      <c r="J1628" s="19">
        <f t="shared" si="134"/>
        <v>690026.16</v>
      </c>
      <c r="K1628" s="50"/>
      <c r="L1628" s="50"/>
      <c r="M1628" s="50"/>
      <c r="N1628" s="19">
        <f>SUMIF('2020'!B:B,B1628,'2020'!C:C)+SUMIF('2021'!B:B,B1628,'2021'!C:C)+SUMIF('2022'!B:B,B1628,'2022'!C:C)</f>
        <v>690026.16</v>
      </c>
      <c r="O1628" s="219">
        <v>44925</v>
      </c>
      <c r="P1628" s="184" t="s">
        <v>3728</v>
      </c>
    </row>
    <row r="1629" spans="1:16" x14ac:dyDescent="0.3">
      <c r="A1629" s="169">
        <f t="shared" si="133"/>
        <v>1486</v>
      </c>
      <c r="B1629" s="66" t="s">
        <v>1677</v>
      </c>
      <c r="C1629" s="184">
        <v>1917</v>
      </c>
      <c r="D1629" s="50"/>
      <c r="E1629" s="234" t="s">
        <v>4094</v>
      </c>
      <c r="F1629" s="198">
        <v>2</v>
      </c>
      <c r="G1629" s="50"/>
      <c r="H1629" s="192">
        <v>192.7</v>
      </c>
      <c r="I1629" s="198">
        <v>13</v>
      </c>
      <c r="J1629" s="19">
        <f t="shared" si="134"/>
        <v>204712.49</v>
      </c>
      <c r="K1629" s="50"/>
      <c r="L1629" s="50"/>
      <c r="M1629" s="50"/>
      <c r="N1629" s="19">
        <f>SUMIF('2020'!B:B,B1629,'2020'!C:C)+SUMIF('2021'!B:B,B1629,'2021'!C:C)+SUMIF('2022'!B:B,B1629,'2022'!C:C)</f>
        <v>204712.49</v>
      </c>
      <c r="O1629" s="219">
        <v>44925</v>
      </c>
      <c r="P1629" s="184" t="s">
        <v>3728</v>
      </c>
    </row>
    <row r="1630" spans="1:16" x14ac:dyDescent="0.3">
      <c r="A1630" s="169">
        <f t="shared" si="133"/>
        <v>1487</v>
      </c>
      <c r="B1630" s="66" t="s">
        <v>1678</v>
      </c>
      <c r="C1630" s="184">
        <v>1975</v>
      </c>
      <c r="D1630" s="50"/>
      <c r="E1630" s="184" t="s">
        <v>3816</v>
      </c>
      <c r="F1630" s="198">
        <v>5</v>
      </c>
      <c r="G1630" s="50"/>
      <c r="H1630" s="192">
        <v>4844.3999999999996</v>
      </c>
      <c r="I1630" s="198">
        <v>172</v>
      </c>
      <c r="J1630" s="19">
        <f t="shared" si="134"/>
        <v>237338.03</v>
      </c>
      <c r="K1630" s="50"/>
      <c r="L1630" s="50"/>
      <c r="M1630" s="50"/>
      <c r="N1630" s="19">
        <f>SUMIF('2020'!B:B,B1630,'2020'!C:C)+SUMIF('2021'!B:B,B1630,'2021'!C:C)+SUMIF('2022'!B:B,B1630,'2022'!C:C)</f>
        <v>237338.03</v>
      </c>
      <c r="O1630" s="219">
        <v>44925</v>
      </c>
      <c r="P1630" s="184" t="s">
        <v>3728</v>
      </c>
    </row>
    <row r="1631" spans="1:16" x14ac:dyDescent="0.3">
      <c r="A1631" s="169">
        <f t="shared" si="133"/>
        <v>1488</v>
      </c>
      <c r="B1631" s="66" t="s">
        <v>1679</v>
      </c>
      <c r="C1631" s="184">
        <v>1974</v>
      </c>
      <c r="D1631" s="50"/>
      <c r="E1631" s="184" t="s">
        <v>3816</v>
      </c>
      <c r="F1631" s="198">
        <v>5</v>
      </c>
      <c r="G1631" s="50"/>
      <c r="H1631" s="192">
        <v>2540.4</v>
      </c>
      <c r="I1631" s="198">
        <v>115</v>
      </c>
      <c r="J1631" s="19">
        <f t="shared" si="134"/>
        <v>499860.95000000007</v>
      </c>
      <c r="K1631" s="50"/>
      <c r="L1631" s="50"/>
      <c r="M1631" s="50"/>
      <c r="N1631" s="19">
        <f>SUMIF('2020'!B:B,B1631,'2020'!C:C)+SUMIF('2021'!B:B,B1631,'2021'!C:C)+SUMIF('2022'!B:B,B1631,'2022'!C:C)</f>
        <v>499860.95000000007</v>
      </c>
      <c r="O1631" s="219">
        <v>44925</v>
      </c>
      <c r="P1631" s="184" t="s">
        <v>3728</v>
      </c>
    </row>
    <row r="1632" spans="1:16" x14ac:dyDescent="0.3">
      <c r="A1632" s="169">
        <f t="shared" si="133"/>
        <v>1489</v>
      </c>
      <c r="B1632" s="66" t="s">
        <v>1680</v>
      </c>
      <c r="C1632" s="184">
        <v>1975</v>
      </c>
      <c r="D1632" s="50"/>
      <c r="E1632" s="184" t="s">
        <v>3816</v>
      </c>
      <c r="F1632" s="198">
        <v>5</v>
      </c>
      <c r="G1632" s="50"/>
      <c r="H1632" s="192">
        <v>824.2</v>
      </c>
      <c r="I1632" s="198">
        <v>33</v>
      </c>
      <c r="J1632" s="19">
        <f t="shared" si="134"/>
        <v>375933.6</v>
      </c>
      <c r="K1632" s="50"/>
      <c r="L1632" s="50"/>
      <c r="M1632" s="50"/>
      <c r="N1632" s="19">
        <f>SUMIF('2020'!B:B,B1632,'2020'!C:C)+SUMIF('2021'!B:B,B1632,'2021'!C:C)+SUMIF('2022'!B:B,B1632,'2022'!C:C)</f>
        <v>375933.6</v>
      </c>
      <c r="O1632" s="219">
        <v>44925</v>
      </c>
      <c r="P1632" s="184" t="s">
        <v>3728</v>
      </c>
    </row>
    <row r="1633" spans="1:16" x14ac:dyDescent="0.3">
      <c r="A1633" s="169">
        <f t="shared" si="133"/>
        <v>1490</v>
      </c>
      <c r="B1633" s="66" t="s">
        <v>1681</v>
      </c>
      <c r="C1633" s="184">
        <v>1971</v>
      </c>
      <c r="D1633" s="50"/>
      <c r="E1633" s="184" t="s">
        <v>4091</v>
      </c>
      <c r="F1633" s="198">
        <v>9</v>
      </c>
      <c r="G1633" s="50"/>
      <c r="H1633" s="192">
        <v>2355.6</v>
      </c>
      <c r="I1633" s="198">
        <v>62</v>
      </c>
      <c r="J1633" s="19">
        <f t="shared" si="134"/>
        <v>674995.59</v>
      </c>
      <c r="K1633" s="70"/>
      <c r="L1633" s="50"/>
      <c r="M1633" s="50"/>
      <c r="N1633" s="19">
        <f>SUMIF('2020'!B:B,B1633,'2020'!C:C)+SUMIF('2021'!B:B,B1633,'2021'!C:C)+SUMIF('2022'!B:B,B1633,'2022'!C:C)</f>
        <v>674995.59</v>
      </c>
      <c r="O1633" s="219">
        <v>44925</v>
      </c>
      <c r="P1633" s="184" t="s">
        <v>3728</v>
      </c>
    </row>
    <row r="1634" spans="1:16" x14ac:dyDescent="0.3">
      <c r="A1634" s="169">
        <f t="shared" si="133"/>
        <v>1491</v>
      </c>
      <c r="B1634" s="66" t="s">
        <v>1682</v>
      </c>
      <c r="C1634" s="184">
        <v>1971</v>
      </c>
      <c r="D1634" s="50"/>
      <c r="E1634" s="184" t="s">
        <v>4091</v>
      </c>
      <c r="F1634" s="198">
        <v>9</v>
      </c>
      <c r="G1634" s="50"/>
      <c r="H1634" s="192">
        <v>2326.4</v>
      </c>
      <c r="I1634" s="198">
        <v>72</v>
      </c>
      <c r="J1634" s="19">
        <f t="shared" si="134"/>
        <v>673785.21</v>
      </c>
      <c r="K1634" s="50"/>
      <c r="L1634" s="50"/>
      <c r="M1634" s="50"/>
      <c r="N1634" s="19">
        <f>SUMIF('2020'!B:B,B1634,'2020'!C:C)+SUMIF('2021'!B:B,B1634,'2021'!C:C)+SUMIF('2022'!B:B,B1634,'2022'!C:C)</f>
        <v>673785.21</v>
      </c>
      <c r="O1634" s="219">
        <v>44925</v>
      </c>
      <c r="P1634" s="184" t="s">
        <v>3728</v>
      </c>
    </row>
    <row r="1635" spans="1:16" x14ac:dyDescent="0.3">
      <c r="A1635" s="169">
        <f t="shared" si="133"/>
        <v>1492</v>
      </c>
      <c r="B1635" s="66" t="s">
        <v>1683</v>
      </c>
      <c r="C1635" s="184">
        <v>1973</v>
      </c>
      <c r="D1635" s="50"/>
      <c r="E1635" s="184" t="s">
        <v>3816</v>
      </c>
      <c r="F1635" s="198">
        <v>5</v>
      </c>
      <c r="G1635" s="50"/>
      <c r="H1635" s="192">
        <v>4323.8999999999996</v>
      </c>
      <c r="I1635" s="198">
        <v>212</v>
      </c>
      <c r="J1635" s="19">
        <f t="shared" si="134"/>
        <v>220298.81</v>
      </c>
      <c r="K1635" s="50"/>
      <c r="L1635" s="50"/>
      <c r="M1635" s="50"/>
      <c r="N1635" s="19">
        <f>SUMIF('2020'!B:B,B1635,'2020'!C:C)+SUMIF('2021'!B:B,B1635,'2021'!C:C)+SUMIF('2022'!B:B,B1635,'2022'!C:C)</f>
        <v>220298.81</v>
      </c>
      <c r="O1635" s="219">
        <v>44925</v>
      </c>
      <c r="P1635" s="184" t="s">
        <v>3728</v>
      </c>
    </row>
    <row r="1636" spans="1:16" x14ac:dyDescent="0.3">
      <c r="A1636" s="169">
        <f t="shared" si="133"/>
        <v>1493</v>
      </c>
      <c r="B1636" s="66" t="s">
        <v>1684</v>
      </c>
      <c r="C1636" s="184">
        <v>1969</v>
      </c>
      <c r="D1636" s="50"/>
      <c r="E1636" s="184" t="s">
        <v>3816</v>
      </c>
      <c r="F1636" s="198">
        <v>5</v>
      </c>
      <c r="G1636" s="50"/>
      <c r="H1636" s="192">
        <v>3493.6</v>
      </c>
      <c r="I1636" s="198">
        <v>146</v>
      </c>
      <c r="J1636" s="19">
        <f t="shared" si="134"/>
        <v>454868.28</v>
      </c>
      <c r="K1636" s="50"/>
      <c r="L1636" s="50"/>
      <c r="M1636" s="50"/>
      <c r="N1636" s="19">
        <f>SUMIF('2020'!B:B,B1636,'2020'!C:C)+SUMIF('2021'!B:B,B1636,'2021'!C:C)+SUMIF('2022'!B:B,B1636,'2022'!C:C)</f>
        <v>454868.28</v>
      </c>
      <c r="O1636" s="219">
        <v>44925</v>
      </c>
      <c r="P1636" s="184" t="s">
        <v>3728</v>
      </c>
    </row>
    <row r="1637" spans="1:16" x14ac:dyDescent="0.3">
      <c r="A1637" s="169">
        <f t="shared" si="133"/>
        <v>1494</v>
      </c>
      <c r="B1637" s="66" t="s">
        <v>1685</v>
      </c>
      <c r="C1637" s="184">
        <v>1952</v>
      </c>
      <c r="D1637" s="50"/>
      <c r="E1637" s="184" t="s">
        <v>4091</v>
      </c>
      <c r="F1637" s="198">
        <v>2</v>
      </c>
      <c r="G1637" s="50"/>
      <c r="H1637" s="192">
        <v>308.39999999999998</v>
      </c>
      <c r="I1637" s="198">
        <v>20</v>
      </c>
      <c r="J1637" s="19">
        <f t="shared" si="134"/>
        <v>496075.65</v>
      </c>
      <c r="K1637" s="50"/>
      <c r="L1637" s="50"/>
      <c r="M1637" s="50"/>
      <c r="N1637" s="19">
        <f>SUMIF('2020'!B:B,B1637,'2020'!C:C)+SUMIF('2021'!B:B,B1637,'2021'!C:C)+SUMIF('2022'!B:B,B1637,'2022'!C:C)</f>
        <v>496075.65</v>
      </c>
      <c r="O1637" s="219">
        <v>44925</v>
      </c>
      <c r="P1637" s="184" t="s">
        <v>3728</v>
      </c>
    </row>
    <row r="1638" spans="1:16" x14ac:dyDescent="0.3">
      <c r="A1638" s="169">
        <f t="shared" si="133"/>
        <v>1495</v>
      </c>
      <c r="B1638" s="66" t="s">
        <v>1687</v>
      </c>
      <c r="C1638" s="184">
        <v>1957</v>
      </c>
      <c r="D1638" s="50"/>
      <c r="E1638" s="234" t="s">
        <v>4091</v>
      </c>
      <c r="F1638" s="198">
        <v>2</v>
      </c>
      <c r="G1638" s="50"/>
      <c r="H1638" s="192">
        <v>402.97</v>
      </c>
      <c r="I1638" s="198">
        <v>5</v>
      </c>
      <c r="J1638" s="19">
        <f t="shared" si="134"/>
        <v>712144.58000000007</v>
      </c>
      <c r="K1638" s="50"/>
      <c r="L1638" s="50"/>
      <c r="M1638" s="50"/>
      <c r="N1638" s="19">
        <f>SUMIF('2020'!B:B,B1638,'2020'!C:C)+SUMIF('2021'!B:B,B1638,'2021'!C:C)+SUMIF('2022'!B:B,B1638,'2022'!C:C)</f>
        <v>712144.58000000007</v>
      </c>
      <c r="O1638" s="219">
        <v>44925</v>
      </c>
      <c r="P1638" s="184" t="s">
        <v>3728</v>
      </c>
    </row>
    <row r="1639" spans="1:16" x14ac:dyDescent="0.3">
      <c r="A1639" s="169">
        <f t="shared" si="133"/>
        <v>1496</v>
      </c>
      <c r="B1639" s="66" t="s">
        <v>1689</v>
      </c>
      <c r="C1639" s="184">
        <v>1917</v>
      </c>
      <c r="D1639" s="50"/>
      <c r="E1639" s="235" t="s">
        <v>4098</v>
      </c>
      <c r="F1639" s="198">
        <v>2</v>
      </c>
      <c r="G1639" s="50"/>
      <c r="H1639" s="192">
        <v>232.9</v>
      </c>
      <c r="I1639" s="198">
        <v>6</v>
      </c>
      <c r="J1639" s="19">
        <f t="shared" si="134"/>
        <v>659132.02</v>
      </c>
      <c r="K1639" s="50"/>
      <c r="L1639" s="50"/>
      <c r="M1639" s="50"/>
      <c r="N1639" s="19">
        <f>SUMIF('2020'!B:B,B1639,'2020'!C:C)+SUMIF('2021'!B:B,B1639,'2021'!C:C)+SUMIF('2022'!B:B,B1639,'2022'!C:C)</f>
        <v>659132.02</v>
      </c>
      <c r="O1639" s="219">
        <v>44925</v>
      </c>
      <c r="P1639" s="184" t="s">
        <v>3728</v>
      </c>
    </row>
    <row r="1640" spans="1:16" x14ac:dyDescent="0.3">
      <c r="A1640" s="169">
        <f t="shared" si="133"/>
        <v>1497</v>
      </c>
      <c r="B1640" s="66" t="s">
        <v>1691</v>
      </c>
      <c r="C1640" s="184">
        <v>1917</v>
      </c>
      <c r="D1640" s="50"/>
      <c r="E1640" s="184" t="s">
        <v>4094</v>
      </c>
      <c r="F1640" s="198">
        <v>2</v>
      </c>
      <c r="G1640" s="50"/>
      <c r="H1640" s="192">
        <v>424.09</v>
      </c>
      <c r="I1640" s="198">
        <v>33</v>
      </c>
      <c r="J1640" s="19">
        <f t="shared" si="134"/>
        <v>274388.34000000003</v>
      </c>
      <c r="K1640" s="50"/>
      <c r="L1640" s="50"/>
      <c r="M1640" s="50"/>
      <c r="N1640" s="19">
        <f>SUMIF('2020'!B:B,B1640,'2020'!C:C)+SUMIF('2021'!B:B,B1640,'2021'!C:C)+SUMIF('2022'!B:B,B1640,'2022'!C:C)</f>
        <v>274388.34000000003</v>
      </c>
      <c r="O1640" s="219">
        <v>44925</v>
      </c>
      <c r="P1640" s="184" t="s">
        <v>3728</v>
      </c>
    </row>
    <row r="1641" spans="1:16" x14ac:dyDescent="0.3">
      <c r="A1641" s="169">
        <f t="shared" si="133"/>
        <v>1498</v>
      </c>
      <c r="B1641" s="66" t="s">
        <v>1692</v>
      </c>
      <c r="C1641" s="184">
        <v>1917</v>
      </c>
      <c r="D1641" s="50"/>
      <c r="E1641" s="184" t="s">
        <v>4094</v>
      </c>
      <c r="F1641" s="198">
        <v>2</v>
      </c>
      <c r="G1641" s="50"/>
      <c r="H1641" s="192">
        <v>415.34</v>
      </c>
      <c r="I1641" s="198">
        <v>19</v>
      </c>
      <c r="J1641" s="19">
        <f t="shared" si="134"/>
        <v>1921304.9600000002</v>
      </c>
      <c r="K1641" s="50"/>
      <c r="L1641" s="50"/>
      <c r="M1641" s="50"/>
      <c r="N1641" s="19">
        <f>SUMIF('2020'!B:B,B1641,'2020'!C:C)+SUMIF('2021'!B:B,B1641,'2021'!C:C)+SUMIF('2022'!B:B,B1641,'2022'!C:C)</f>
        <v>1921304.9600000002</v>
      </c>
      <c r="O1641" s="219">
        <v>44925</v>
      </c>
      <c r="P1641" s="184" t="s">
        <v>3728</v>
      </c>
    </row>
    <row r="1642" spans="1:16" x14ac:dyDescent="0.3">
      <c r="A1642" s="169">
        <f t="shared" si="133"/>
        <v>1499</v>
      </c>
      <c r="B1642" s="66" t="s">
        <v>1694</v>
      </c>
      <c r="C1642" s="184">
        <v>1917</v>
      </c>
      <c r="D1642" s="50"/>
      <c r="E1642" s="184" t="s">
        <v>4094</v>
      </c>
      <c r="F1642" s="198">
        <v>2</v>
      </c>
      <c r="G1642" s="50"/>
      <c r="H1642" s="192">
        <v>255</v>
      </c>
      <c r="I1642" s="198">
        <v>27</v>
      </c>
      <c r="J1642" s="19">
        <f t="shared" si="134"/>
        <v>2901697.56</v>
      </c>
      <c r="K1642" s="50"/>
      <c r="L1642" s="50"/>
      <c r="M1642" s="50"/>
      <c r="N1642" s="19">
        <f>SUMIF('2020'!B:B,B1642,'2020'!C:C)+SUMIF('2021'!B:B,B1642,'2021'!C:C)+SUMIF('2022'!B:B,B1642,'2022'!C:C)</f>
        <v>2901697.56</v>
      </c>
      <c r="O1642" s="219">
        <v>44925</v>
      </c>
      <c r="P1642" s="184" t="s">
        <v>3728</v>
      </c>
    </row>
    <row r="1643" spans="1:16" x14ac:dyDescent="0.3">
      <c r="A1643" s="169">
        <f t="shared" si="133"/>
        <v>1500</v>
      </c>
      <c r="B1643" s="66" t="s">
        <v>1696</v>
      </c>
      <c r="C1643" s="184">
        <v>1971</v>
      </c>
      <c r="D1643" s="50"/>
      <c r="E1643" s="184" t="s">
        <v>3816</v>
      </c>
      <c r="F1643" s="198">
        <v>5</v>
      </c>
      <c r="G1643" s="50"/>
      <c r="H1643" s="192">
        <v>4376.6099999999997</v>
      </c>
      <c r="I1643" s="198">
        <v>193</v>
      </c>
      <c r="J1643" s="19">
        <f t="shared" si="134"/>
        <v>451077.15</v>
      </c>
      <c r="K1643" s="50"/>
      <c r="L1643" s="50"/>
      <c r="M1643" s="50"/>
      <c r="N1643" s="19">
        <f>SUMIF('2020'!B:B,B1643,'2020'!C:C)+SUMIF('2021'!B:B,B1643,'2021'!C:C)+SUMIF('2022'!B:B,B1643,'2022'!C:C)</f>
        <v>451077.15</v>
      </c>
      <c r="O1643" s="219">
        <v>44925</v>
      </c>
      <c r="P1643" s="184" t="s">
        <v>3728</v>
      </c>
    </row>
    <row r="1644" spans="1:16" x14ac:dyDescent="0.3">
      <c r="A1644" s="169">
        <f t="shared" si="133"/>
        <v>1501</v>
      </c>
      <c r="B1644" s="66" t="s">
        <v>1697</v>
      </c>
      <c r="C1644" s="184">
        <v>1971</v>
      </c>
      <c r="D1644" s="50"/>
      <c r="E1644" s="184" t="s">
        <v>3816</v>
      </c>
      <c r="F1644" s="198">
        <v>5</v>
      </c>
      <c r="G1644" s="50"/>
      <c r="H1644" s="192">
        <v>4188.7700000000004</v>
      </c>
      <c r="I1644" s="198">
        <v>180</v>
      </c>
      <c r="J1644" s="19">
        <f t="shared" si="134"/>
        <v>455280.08999999997</v>
      </c>
      <c r="K1644" s="50"/>
      <c r="L1644" s="50"/>
      <c r="M1644" s="50"/>
      <c r="N1644" s="19">
        <f>SUMIF('2020'!B:B,B1644,'2020'!C:C)+SUMIF('2021'!B:B,B1644,'2021'!C:C)+SUMIF('2022'!B:B,B1644,'2022'!C:C)</f>
        <v>455280.08999999997</v>
      </c>
      <c r="O1644" s="219">
        <v>44925</v>
      </c>
      <c r="P1644" s="184" t="s">
        <v>3728</v>
      </c>
    </row>
    <row r="1645" spans="1:16" x14ac:dyDescent="0.3">
      <c r="A1645" s="169">
        <f t="shared" si="133"/>
        <v>1502</v>
      </c>
      <c r="B1645" s="66" t="s">
        <v>1698</v>
      </c>
      <c r="C1645" s="184">
        <v>1971</v>
      </c>
      <c r="D1645" s="50"/>
      <c r="E1645" s="184" t="s">
        <v>3816</v>
      </c>
      <c r="F1645" s="198">
        <v>5</v>
      </c>
      <c r="G1645" s="50"/>
      <c r="H1645" s="192">
        <v>4211.3599999999997</v>
      </c>
      <c r="I1645" s="198">
        <v>171</v>
      </c>
      <c r="J1645" s="19">
        <f t="shared" si="134"/>
        <v>456924.72</v>
      </c>
      <c r="K1645" s="50"/>
      <c r="L1645" s="50"/>
      <c r="M1645" s="50"/>
      <c r="N1645" s="19">
        <f>SUMIF('2020'!B:B,B1645,'2020'!C:C)+SUMIF('2021'!B:B,B1645,'2021'!C:C)+SUMIF('2022'!B:B,B1645,'2022'!C:C)</f>
        <v>456924.72</v>
      </c>
      <c r="O1645" s="219">
        <v>44925</v>
      </c>
      <c r="P1645" s="184" t="s">
        <v>3728</v>
      </c>
    </row>
    <row r="1646" spans="1:16" x14ac:dyDescent="0.3">
      <c r="A1646" s="169">
        <f t="shared" si="133"/>
        <v>1503</v>
      </c>
      <c r="B1646" s="66" t="s">
        <v>1699</v>
      </c>
      <c r="C1646" s="184">
        <v>1971</v>
      </c>
      <c r="D1646" s="50"/>
      <c r="E1646" s="184" t="s">
        <v>3816</v>
      </c>
      <c r="F1646" s="198">
        <v>5</v>
      </c>
      <c r="G1646" s="50"/>
      <c r="H1646" s="192">
        <v>4191.0200000000004</v>
      </c>
      <c r="I1646" s="198">
        <v>190</v>
      </c>
      <c r="J1646" s="19">
        <f t="shared" si="134"/>
        <v>456924.72</v>
      </c>
      <c r="K1646" s="50"/>
      <c r="L1646" s="50"/>
      <c r="M1646" s="50"/>
      <c r="N1646" s="19">
        <f>SUMIF('2020'!B:B,B1646,'2020'!C:C)+SUMIF('2021'!B:B,B1646,'2021'!C:C)+SUMIF('2022'!B:B,B1646,'2022'!C:C)</f>
        <v>456924.72</v>
      </c>
      <c r="O1646" s="219">
        <v>44925</v>
      </c>
      <c r="P1646" s="184" t="s">
        <v>3728</v>
      </c>
    </row>
    <row r="1647" spans="1:16" x14ac:dyDescent="0.3">
      <c r="A1647" s="169">
        <f t="shared" si="133"/>
        <v>1504</v>
      </c>
      <c r="B1647" s="66" t="s">
        <v>1700</v>
      </c>
      <c r="C1647" s="184">
        <v>1969</v>
      </c>
      <c r="D1647" s="50"/>
      <c r="E1647" s="184" t="s">
        <v>3816</v>
      </c>
      <c r="F1647" s="198">
        <v>5</v>
      </c>
      <c r="G1647" s="50"/>
      <c r="H1647" s="192">
        <v>5972.1</v>
      </c>
      <c r="I1647" s="198">
        <v>200</v>
      </c>
      <c r="J1647" s="19">
        <f t="shared" si="134"/>
        <v>858673.53999999992</v>
      </c>
      <c r="K1647" s="50"/>
      <c r="L1647" s="50"/>
      <c r="M1647" s="50"/>
      <c r="N1647" s="19">
        <f>SUMIF('2020'!B:B,B1647,'2020'!C:C)+SUMIF('2021'!B:B,B1647,'2021'!C:C)+SUMIF('2022'!B:B,B1647,'2022'!C:C)</f>
        <v>858673.53999999992</v>
      </c>
      <c r="O1647" s="219">
        <v>44925</v>
      </c>
      <c r="P1647" s="184" t="s">
        <v>3787</v>
      </c>
    </row>
    <row r="1648" spans="1:16" x14ac:dyDescent="0.3">
      <c r="A1648" s="169">
        <f t="shared" si="133"/>
        <v>1505</v>
      </c>
      <c r="B1648" s="66" t="s">
        <v>1701</v>
      </c>
      <c r="C1648" s="184">
        <v>1972</v>
      </c>
      <c r="D1648" s="50"/>
      <c r="E1648" s="184" t="s">
        <v>3816</v>
      </c>
      <c r="F1648" s="198">
        <v>5</v>
      </c>
      <c r="G1648" s="50"/>
      <c r="H1648" s="192">
        <v>1353.2</v>
      </c>
      <c r="I1648" s="198">
        <v>68</v>
      </c>
      <c r="J1648" s="19">
        <f t="shared" si="134"/>
        <v>263638.46999999997</v>
      </c>
      <c r="K1648" s="50"/>
      <c r="L1648" s="50"/>
      <c r="M1648" s="50"/>
      <c r="N1648" s="19">
        <f>SUMIF('2020'!B:B,B1648,'2020'!C:C)+SUMIF('2021'!B:B,B1648,'2021'!C:C)+SUMIF('2022'!B:B,B1648,'2022'!C:C)</f>
        <v>263638.46999999997</v>
      </c>
      <c r="O1648" s="219">
        <v>44925</v>
      </c>
      <c r="P1648" s="184" t="s">
        <v>3728</v>
      </c>
    </row>
    <row r="1649" spans="1:16" x14ac:dyDescent="0.3">
      <c r="A1649" s="169">
        <f t="shared" si="133"/>
        <v>1506</v>
      </c>
      <c r="B1649" s="66" t="s">
        <v>1702</v>
      </c>
      <c r="C1649" s="184">
        <v>1968</v>
      </c>
      <c r="D1649" s="50"/>
      <c r="E1649" s="184" t="s">
        <v>3816</v>
      </c>
      <c r="F1649" s="198">
        <v>5</v>
      </c>
      <c r="G1649" s="50"/>
      <c r="H1649" s="192">
        <v>5095.9799999999996</v>
      </c>
      <c r="I1649" s="198">
        <v>221</v>
      </c>
      <c r="J1649" s="19">
        <f t="shared" si="134"/>
        <v>5717169.3799999999</v>
      </c>
      <c r="K1649" s="50"/>
      <c r="L1649" s="50"/>
      <c r="M1649" s="50"/>
      <c r="N1649" s="19">
        <f>SUMIF('2020'!B:B,B1649,'2020'!C:C)+SUMIF('2021'!B:B,B1649,'2021'!C:C)+SUMIF('2022'!B:B,B1649,'2022'!C:C)</f>
        <v>5717169.3799999999</v>
      </c>
      <c r="O1649" s="219">
        <v>44925</v>
      </c>
      <c r="P1649" s="184" t="s">
        <v>3728</v>
      </c>
    </row>
    <row r="1650" spans="1:16" x14ac:dyDescent="0.3">
      <c r="A1650" s="169">
        <f t="shared" si="133"/>
        <v>1507</v>
      </c>
      <c r="B1650" s="66" t="s">
        <v>1704</v>
      </c>
      <c r="C1650" s="184">
        <v>1972</v>
      </c>
      <c r="D1650" s="50"/>
      <c r="E1650" s="184" t="s">
        <v>3816</v>
      </c>
      <c r="F1650" s="198">
        <v>5</v>
      </c>
      <c r="G1650" s="50"/>
      <c r="H1650" s="192">
        <v>1356.65</v>
      </c>
      <c r="I1650" s="198">
        <v>69</v>
      </c>
      <c r="J1650" s="19">
        <f t="shared" si="134"/>
        <v>2167064.64</v>
      </c>
      <c r="K1650" s="50"/>
      <c r="L1650" s="50"/>
      <c r="M1650" s="228"/>
      <c r="N1650" s="19">
        <f>SUMIF('2020'!B:B,B1650,'2020'!C:C)+SUMIF('2021'!B:B,B1650,'2021'!C:C)+SUMIF('2022'!B:B,B1650,'2022'!C:C)</f>
        <v>2167064.64</v>
      </c>
      <c r="O1650" s="219">
        <v>44925</v>
      </c>
      <c r="P1650" s="184" t="s">
        <v>3728</v>
      </c>
    </row>
    <row r="1651" spans="1:16" x14ac:dyDescent="0.3">
      <c r="A1651" s="169">
        <f t="shared" si="133"/>
        <v>1508</v>
      </c>
      <c r="B1651" s="66" t="s">
        <v>1705</v>
      </c>
      <c r="C1651" s="184">
        <v>1969</v>
      </c>
      <c r="D1651" s="50"/>
      <c r="E1651" s="184" t="s">
        <v>3816</v>
      </c>
      <c r="F1651" s="198">
        <v>5</v>
      </c>
      <c r="G1651" s="50"/>
      <c r="H1651" s="192">
        <v>3506.98</v>
      </c>
      <c r="I1651" s="198">
        <v>230</v>
      </c>
      <c r="J1651" s="19">
        <f t="shared" si="134"/>
        <v>389697.15</v>
      </c>
      <c r="K1651" s="50"/>
      <c r="L1651" s="50"/>
      <c r="M1651" s="50"/>
      <c r="N1651" s="19">
        <f>SUMIF('2020'!B:B,B1651,'2020'!C:C)+SUMIF('2021'!B:B,B1651,'2021'!C:C)+SUMIF('2022'!B:B,B1651,'2022'!C:C)</f>
        <v>389697.15</v>
      </c>
      <c r="O1651" s="219">
        <v>44925</v>
      </c>
      <c r="P1651" s="184" t="s">
        <v>3728</v>
      </c>
    </row>
    <row r="1652" spans="1:16" x14ac:dyDescent="0.3">
      <c r="A1652" s="169">
        <f t="shared" si="133"/>
        <v>1509</v>
      </c>
      <c r="B1652" s="66" t="s">
        <v>1706</v>
      </c>
      <c r="C1652" s="184">
        <v>1961</v>
      </c>
      <c r="D1652" s="50"/>
      <c r="E1652" s="184" t="s">
        <v>4094</v>
      </c>
      <c r="F1652" s="198">
        <v>2</v>
      </c>
      <c r="G1652" s="50"/>
      <c r="H1652" s="192">
        <v>246.1</v>
      </c>
      <c r="I1652" s="198">
        <v>16</v>
      </c>
      <c r="J1652" s="19">
        <f t="shared" si="134"/>
        <v>394712.18999999994</v>
      </c>
      <c r="K1652" s="50"/>
      <c r="L1652" s="50"/>
      <c r="M1652" s="50"/>
      <c r="N1652" s="19">
        <f>SUMIF('2020'!B:B,B1652,'2020'!C:C)+SUMIF('2021'!B:B,B1652,'2021'!C:C)+SUMIF('2022'!B:B,B1652,'2022'!C:C)</f>
        <v>394712.18999999994</v>
      </c>
      <c r="O1652" s="219">
        <v>44925</v>
      </c>
      <c r="P1652" s="184" t="s">
        <v>3728</v>
      </c>
    </row>
    <row r="1653" spans="1:16" x14ac:dyDescent="0.3">
      <c r="A1653" s="169">
        <f t="shared" si="133"/>
        <v>1510</v>
      </c>
      <c r="B1653" s="66" t="s">
        <v>1708</v>
      </c>
      <c r="C1653" s="184">
        <v>1977</v>
      </c>
      <c r="D1653" s="50"/>
      <c r="E1653" s="184" t="s">
        <v>3729</v>
      </c>
      <c r="F1653" s="198">
        <v>5</v>
      </c>
      <c r="G1653" s="50"/>
      <c r="H1653" s="192">
        <v>3184.7</v>
      </c>
      <c r="I1653" s="198">
        <v>136</v>
      </c>
      <c r="J1653" s="19">
        <f t="shared" si="134"/>
        <v>176725.18</v>
      </c>
      <c r="K1653" s="50"/>
      <c r="L1653" s="50"/>
      <c r="M1653" s="50"/>
      <c r="N1653" s="19">
        <f>SUMIF('2020'!B:B,B1653,'2020'!C:C)+SUMIF('2021'!B:B,B1653,'2021'!C:C)+SUMIF('2022'!B:B,B1653,'2022'!C:C)</f>
        <v>176725.18</v>
      </c>
      <c r="O1653" s="219">
        <v>44925</v>
      </c>
      <c r="P1653" s="184" t="s">
        <v>3728</v>
      </c>
    </row>
    <row r="1654" spans="1:16" x14ac:dyDescent="0.3">
      <c r="A1654" s="169">
        <f t="shared" si="133"/>
        <v>1511</v>
      </c>
      <c r="B1654" s="66" t="s">
        <v>1709</v>
      </c>
      <c r="C1654" s="184">
        <v>1917</v>
      </c>
      <c r="D1654" s="50"/>
      <c r="E1654" s="184" t="s">
        <v>4094</v>
      </c>
      <c r="F1654" s="198">
        <v>2</v>
      </c>
      <c r="G1654" s="50"/>
      <c r="H1654" s="192">
        <v>177.7</v>
      </c>
      <c r="I1654" s="198">
        <v>7</v>
      </c>
      <c r="J1654" s="19">
        <f t="shared" si="134"/>
        <v>320360.17</v>
      </c>
      <c r="K1654" s="50"/>
      <c r="L1654" s="50"/>
      <c r="M1654" s="50"/>
      <c r="N1654" s="19">
        <f>SUMIF('2020'!B:B,B1654,'2020'!C:C)+SUMIF('2021'!B:B,B1654,'2021'!C:C)+SUMIF('2022'!B:B,B1654,'2022'!C:C)</f>
        <v>320360.17</v>
      </c>
      <c r="O1654" s="219">
        <v>44925</v>
      </c>
      <c r="P1654" s="184" t="s">
        <v>3728</v>
      </c>
    </row>
    <row r="1655" spans="1:16" x14ac:dyDescent="0.3">
      <c r="A1655" s="169">
        <f t="shared" si="133"/>
        <v>1512</v>
      </c>
      <c r="B1655" s="66" t="s">
        <v>1710</v>
      </c>
      <c r="C1655" s="184">
        <v>1917</v>
      </c>
      <c r="D1655" s="50"/>
      <c r="E1655" s="184" t="s">
        <v>4094</v>
      </c>
      <c r="F1655" s="198">
        <v>2</v>
      </c>
      <c r="G1655" s="50"/>
      <c r="H1655" s="192">
        <v>171</v>
      </c>
      <c r="I1655" s="198">
        <v>13</v>
      </c>
      <c r="J1655" s="19">
        <f t="shared" si="134"/>
        <v>342431.91000000003</v>
      </c>
      <c r="K1655" s="50"/>
      <c r="L1655" s="50"/>
      <c r="M1655" s="50"/>
      <c r="N1655" s="19">
        <f>SUMIF('2020'!B:B,B1655,'2020'!C:C)+SUMIF('2021'!B:B,B1655,'2021'!C:C)+SUMIF('2022'!B:B,B1655,'2022'!C:C)</f>
        <v>342431.91000000003</v>
      </c>
      <c r="O1655" s="219">
        <v>44925</v>
      </c>
      <c r="P1655" s="184" t="s">
        <v>3728</v>
      </c>
    </row>
    <row r="1656" spans="1:16" x14ac:dyDescent="0.3">
      <c r="A1656" s="169">
        <f t="shared" si="133"/>
        <v>1513</v>
      </c>
      <c r="B1656" s="66" t="s">
        <v>1711</v>
      </c>
      <c r="C1656" s="184">
        <v>1969</v>
      </c>
      <c r="D1656" s="50"/>
      <c r="E1656" s="184" t="s">
        <v>4094</v>
      </c>
      <c r="F1656" s="198">
        <v>2</v>
      </c>
      <c r="G1656" s="50"/>
      <c r="H1656" s="192">
        <v>850</v>
      </c>
      <c r="I1656" s="225">
        <v>52</v>
      </c>
      <c r="J1656" s="19">
        <f t="shared" si="134"/>
        <v>341309.88</v>
      </c>
      <c r="K1656" s="50"/>
      <c r="L1656" s="50"/>
      <c r="M1656" s="50"/>
      <c r="N1656" s="19">
        <f>SUMIF('2020'!B:B,B1656,'2020'!C:C)+SUMIF('2021'!B:B,B1656,'2021'!C:C)+SUMIF('2022'!B:B,B1656,'2022'!C:C)</f>
        <v>341309.88</v>
      </c>
      <c r="O1656" s="219">
        <v>44925</v>
      </c>
      <c r="P1656" s="184" t="s">
        <v>3728</v>
      </c>
    </row>
    <row r="1657" spans="1:16" x14ac:dyDescent="0.3">
      <c r="A1657" s="169">
        <f t="shared" si="133"/>
        <v>1514</v>
      </c>
      <c r="B1657" s="66" t="s">
        <v>1712</v>
      </c>
      <c r="C1657" s="184">
        <v>1950</v>
      </c>
      <c r="D1657" s="50"/>
      <c r="E1657" s="184" t="s">
        <v>4091</v>
      </c>
      <c r="F1657" s="83" t="s">
        <v>4099</v>
      </c>
      <c r="G1657" s="50"/>
      <c r="H1657" s="192">
        <v>2916.6</v>
      </c>
      <c r="I1657" s="198">
        <v>135</v>
      </c>
      <c r="J1657" s="19">
        <f t="shared" si="134"/>
        <v>982195.23</v>
      </c>
      <c r="K1657" s="50"/>
      <c r="L1657" s="50"/>
      <c r="M1657" s="50"/>
      <c r="N1657" s="19">
        <f>SUMIF('2020'!B:B,B1657,'2020'!C:C)+SUMIF('2021'!B:B,B1657,'2021'!C:C)+SUMIF('2022'!B:B,B1657,'2022'!C:C)</f>
        <v>982195.23</v>
      </c>
      <c r="O1657" s="219">
        <v>44925</v>
      </c>
      <c r="P1657" s="184" t="s">
        <v>3728</v>
      </c>
    </row>
    <row r="1658" spans="1:16" x14ac:dyDescent="0.3">
      <c r="A1658" s="169">
        <f t="shared" si="133"/>
        <v>1515</v>
      </c>
      <c r="B1658" s="66" t="s">
        <v>1714</v>
      </c>
      <c r="C1658" s="184">
        <v>1963</v>
      </c>
      <c r="D1658" s="50"/>
      <c r="E1658" s="184" t="s">
        <v>4091</v>
      </c>
      <c r="F1658" s="198">
        <v>4</v>
      </c>
      <c r="G1658" s="50"/>
      <c r="H1658" s="192">
        <v>1300.3900000000001</v>
      </c>
      <c r="I1658" s="198">
        <v>52</v>
      </c>
      <c r="J1658" s="19">
        <f t="shared" si="134"/>
        <v>7565178.1699999999</v>
      </c>
      <c r="K1658" s="50"/>
      <c r="L1658" s="50"/>
      <c r="M1658" s="228"/>
      <c r="N1658" s="19">
        <f>SUMIF('2020'!B:B,B1658,'2020'!C:C)+SUMIF('2021'!B:B,B1658,'2021'!C:C)+SUMIF('2022'!B:B,B1658,'2022'!C:C)</f>
        <v>7565178.1699999999</v>
      </c>
      <c r="O1658" s="219">
        <v>44925</v>
      </c>
      <c r="P1658" s="184" t="s">
        <v>3728</v>
      </c>
    </row>
    <row r="1659" spans="1:16" x14ac:dyDescent="0.3">
      <c r="A1659" s="169">
        <f t="shared" si="133"/>
        <v>1516</v>
      </c>
      <c r="B1659" s="66" t="s">
        <v>1715</v>
      </c>
      <c r="C1659" s="184">
        <v>1963</v>
      </c>
      <c r="D1659" s="50"/>
      <c r="E1659" s="184" t="s">
        <v>4091</v>
      </c>
      <c r="F1659" s="198">
        <v>4</v>
      </c>
      <c r="G1659" s="50"/>
      <c r="H1659" s="192">
        <v>2034.7</v>
      </c>
      <c r="I1659" s="198">
        <v>89</v>
      </c>
      <c r="J1659" s="19">
        <f t="shared" si="134"/>
        <v>12576554.77</v>
      </c>
      <c r="K1659" s="50"/>
      <c r="L1659" s="50"/>
      <c r="M1659" s="50"/>
      <c r="N1659" s="19">
        <f>SUMIF('2020'!B:B,B1659,'2020'!C:C)+SUMIF('2021'!B:B,B1659,'2021'!C:C)+SUMIF('2022'!B:B,B1659,'2022'!C:C)</f>
        <v>12576554.77</v>
      </c>
      <c r="O1659" s="219">
        <v>44925</v>
      </c>
      <c r="P1659" s="184" t="s">
        <v>3728</v>
      </c>
    </row>
    <row r="1660" spans="1:16" x14ac:dyDescent="0.3">
      <c r="A1660" s="169">
        <f t="shared" si="133"/>
        <v>1517</v>
      </c>
      <c r="B1660" s="66" t="s">
        <v>1716</v>
      </c>
      <c r="C1660" s="184">
        <v>1963</v>
      </c>
      <c r="D1660" s="50"/>
      <c r="E1660" s="184" t="s">
        <v>4091</v>
      </c>
      <c r="F1660" s="198">
        <v>4</v>
      </c>
      <c r="G1660" s="50"/>
      <c r="H1660" s="192">
        <v>1259.0999999999999</v>
      </c>
      <c r="I1660" s="198">
        <v>62</v>
      </c>
      <c r="J1660" s="19">
        <f t="shared" si="134"/>
        <v>6617805.7300000004</v>
      </c>
      <c r="K1660" s="50"/>
      <c r="L1660" s="50"/>
      <c r="M1660" s="228"/>
      <c r="N1660" s="19">
        <f>SUMIF('2020'!B:B,B1660,'2020'!C:C)+SUMIF('2021'!B:B,B1660,'2021'!C:C)+SUMIF('2022'!B:B,B1660,'2022'!C:C)</f>
        <v>6617805.7300000004</v>
      </c>
      <c r="O1660" s="219">
        <v>44925</v>
      </c>
      <c r="P1660" s="184" t="s">
        <v>3728</v>
      </c>
    </row>
    <row r="1661" spans="1:16" x14ac:dyDescent="0.3">
      <c r="A1661" s="169">
        <f t="shared" si="133"/>
        <v>1518</v>
      </c>
      <c r="B1661" s="66" t="s">
        <v>1717</v>
      </c>
      <c r="C1661" s="184">
        <v>1957</v>
      </c>
      <c r="D1661" s="50"/>
      <c r="E1661" s="184" t="s">
        <v>4091</v>
      </c>
      <c r="F1661" s="198">
        <v>3</v>
      </c>
      <c r="G1661" s="50"/>
      <c r="H1661" s="192">
        <v>1548.6</v>
      </c>
      <c r="I1661" s="198">
        <v>71</v>
      </c>
      <c r="J1661" s="19">
        <f t="shared" si="134"/>
        <v>9742035.870000001</v>
      </c>
      <c r="K1661" s="50"/>
      <c r="L1661" s="50"/>
      <c r="M1661" s="228"/>
      <c r="N1661" s="19">
        <f>SUMIF('2020'!B:B,B1661,'2020'!C:C)+SUMIF('2021'!B:B,B1661,'2021'!C:C)+SUMIF('2022'!B:B,B1661,'2022'!C:C)</f>
        <v>9742035.870000001</v>
      </c>
      <c r="O1661" s="219">
        <v>44925</v>
      </c>
      <c r="P1661" s="184" t="s">
        <v>3728</v>
      </c>
    </row>
    <row r="1662" spans="1:16" x14ac:dyDescent="0.3">
      <c r="A1662" s="169">
        <f t="shared" si="133"/>
        <v>1519</v>
      </c>
      <c r="B1662" s="66" t="s">
        <v>1718</v>
      </c>
      <c r="C1662" s="184">
        <v>1966</v>
      </c>
      <c r="D1662" s="50"/>
      <c r="E1662" s="184" t="s">
        <v>4091</v>
      </c>
      <c r="F1662" s="198">
        <v>5</v>
      </c>
      <c r="G1662" s="50"/>
      <c r="H1662" s="192">
        <v>2565.8200000000002</v>
      </c>
      <c r="I1662" s="198">
        <v>116</v>
      </c>
      <c r="J1662" s="19">
        <f t="shared" si="134"/>
        <v>1914312</v>
      </c>
      <c r="K1662" s="50"/>
      <c r="L1662" s="50"/>
      <c r="M1662" s="228"/>
      <c r="N1662" s="19">
        <f>SUMIF('2020'!B:B,B1662,'2020'!C:C)+SUMIF('2021'!B:B,B1662,'2021'!C:C)+SUMIF('2022'!B:B,B1662,'2022'!C:C)</f>
        <v>1914312</v>
      </c>
      <c r="O1662" s="219">
        <v>44925</v>
      </c>
      <c r="P1662" s="184" t="s">
        <v>3728</v>
      </c>
    </row>
    <row r="1663" spans="1:16" x14ac:dyDescent="0.3">
      <c r="A1663" s="169">
        <f t="shared" si="133"/>
        <v>1520</v>
      </c>
      <c r="B1663" s="66" t="s">
        <v>1719</v>
      </c>
      <c r="C1663" s="184">
        <v>1965</v>
      </c>
      <c r="D1663" s="50"/>
      <c r="E1663" s="184" t="s">
        <v>4091</v>
      </c>
      <c r="F1663" s="198">
        <v>5</v>
      </c>
      <c r="G1663" s="50"/>
      <c r="H1663" s="192">
        <v>2531.77</v>
      </c>
      <c r="I1663" s="198">
        <v>123</v>
      </c>
      <c r="J1663" s="19">
        <f t="shared" si="134"/>
        <v>881946.48</v>
      </c>
      <c r="K1663" s="50"/>
      <c r="L1663" s="50"/>
      <c r="M1663" s="228"/>
      <c r="N1663" s="19">
        <f>SUMIF('2020'!B:B,B1663,'2020'!C:C)+SUMIF('2021'!B:B,B1663,'2021'!C:C)+SUMIF('2022'!B:B,B1663,'2022'!C:C)</f>
        <v>881946.48</v>
      </c>
      <c r="O1663" s="219">
        <v>44925</v>
      </c>
      <c r="P1663" s="184" t="s">
        <v>2042</v>
      </c>
    </row>
    <row r="1664" spans="1:16" x14ac:dyDescent="0.3">
      <c r="A1664" s="169">
        <f t="shared" ref="A1664:A1726" si="135">A1663+1</f>
        <v>1521</v>
      </c>
      <c r="B1664" s="66" t="s">
        <v>1720</v>
      </c>
      <c r="C1664" s="184">
        <v>1975</v>
      </c>
      <c r="D1664" s="50"/>
      <c r="E1664" s="234" t="s">
        <v>4097</v>
      </c>
      <c r="F1664" s="198">
        <v>5</v>
      </c>
      <c r="G1664" s="50"/>
      <c r="H1664" s="192">
        <v>2188.6999999999998</v>
      </c>
      <c r="I1664" s="198">
        <v>83</v>
      </c>
      <c r="J1664" s="19">
        <f t="shared" si="134"/>
        <v>679867.17999999993</v>
      </c>
      <c r="K1664" s="50"/>
      <c r="L1664" s="50"/>
      <c r="M1664" s="50"/>
      <c r="N1664" s="19">
        <f>SUMIF('2020'!B:B,B1664,'2020'!C:C)+SUMIF('2021'!B:B,B1664,'2021'!C:C)+SUMIF('2022'!B:B,B1664,'2022'!C:C)</f>
        <v>679867.17999999993</v>
      </c>
      <c r="O1664" s="219">
        <v>44925</v>
      </c>
      <c r="P1664" s="184" t="s">
        <v>3728</v>
      </c>
    </row>
    <row r="1665" spans="1:16" x14ac:dyDescent="0.3">
      <c r="A1665" s="169">
        <f t="shared" si="135"/>
        <v>1522</v>
      </c>
      <c r="B1665" s="66" t="s">
        <v>1722</v>
      </c>
      <c r="C1665" s="184">
        <v>1964</v>
      </c>
      <c r="D1665" s="50"/>
      <c r="E1665" s="184" t="s">
        <v>4091</v>
      </c>
      <c r="F1665" s="198">
        <v>4</v>
      </c>
      <c r="G1665" s="50"/>
      <c r="H1665" s="192">
        <v>2030.68</v>
      </c>
      <c r="I1665" s="198">
        <v>84</v>
      </c>
      <c r="J1665" s="19">
        <f t="shared" si="134"/>
        <v>276254.27</v>
      </c>
      <c r="K1665" s="50"/>
      <c r="L1665" s="50"/>
      <c r="M1665" s="50"/>
      <c r="N1665" s="19">
        <f>SUMIF('2020'!B:B,B1665,'2020'!C:C)+SUMIF('2021'!B:B,B1665,'2021'!C:C)+SUMIF('2022'!B:B,B1665,'2022'!C:C)</f>
        <v>276254.27</v>
      </c>
      <c r="O1665" s="219">
        <v>44925</v>
      </c>
      <c r="P1665" s="184" t="s">
        <v>3728</v>
      </c>
    </row>
    <row r="1666" spans="1:16" x14ac:dyDescent="0.3">
      <c r="A1666" s="169">
        <f t="shared" si="135"/>
        <v>1523</v>
      </c>
      <c r="B1666" s="66" t="s">
        <v>1723</v>
      </c>
      <c r="C1666" s="184">
        <v>1984</v>
      </c>
      <c r="D1666" s="50"/>
      <c r="E1666" s="234" t="s">
        <v>4097</v>
      </c>
      <c r="F1666" s="198">
        <v>5</v>
      </c>
      <c r="G1666" s="50"/>
      <c r="H1666" s="192">
        <v>2368.8000000000002</v>
      </c>
      <c r="I1666" s="198">
        <v>138</v>
      </c>
      <c r="J1666" s="19">
        <f t="shared" si="134"/>
        <v>7161114.0700000003</v>
      </c>
      <c r="K1666" s="50"/>
      <c r="L1666" s="50"/>
      <c r="M1666" s="50"/>
      <c r="N1666" s="19">
        <f>SUMIF('2020'!B:B,B1666,'2020'!C:C)+SUMIF('2021'!B:B,B1666,'2021'!C:C)+SUMIF('2022'!B:B,B1666,'2022'!C:C)</f>
        <v>7161114.0700000003</v>
      </c>
      <c r="O1666" s="219">
        <v>44925</v>
      </c>
      <c r="P1666" s="184" t="s">
        <v>3728</v>
      </c>
    </row>
    <row r="1667" spans="1:16" x14ac:dyDescent="0.3">
      <c r="A1667" s="169">
        <f t="shared" si="135"/>
        <v>1524</v>
      </c>
      <c r="B1667" s="66" t="s">
        <v>1724</v>
      </c>
      <c r="C1667" s="184">
        <v>1917</v>
      </c>
      <c r="D1667" s="50"/>
      <c r="E1667" s="184" t="s">
        <v>4094</v>
      </c>
      <c r="F1667" s="198">
        <v>2</v>
      </c>
      <c r="G1667" s="50"/>
      <c r="H1667" s="192">
        <v>185.41</v>
      </c>
      <c r="I1667" s="198">
        <v>10</v>
      </c>
      <c r="J1667" s="19">
        <f t="shared" si="134"/>
        <v>65075.89</v>
      </c>
      <c r="K1667" s="50"/>
      <c r="L1667" s="50"/>
      <c r="M1667" s="50"/>
      <c r="N1667" s="19">
        <f>SUMIF('2020'!B:B,B1667,'2020'!C:C)+SUMIF('2021'!B:B,B1667,'2021'!C:C)+SUMIF('2022'!B:B,B1667,'2022'!C:C)</f>
        <v>65075.89</v>
      </c>
      <c r="O1667" s="219">
        <v>44925</v>
      </c>
      <c r="P1667" s="184" t="s">
        <v>3728</v>
      </c>
    </row>
    <row r="1668" spans="1:16" x14ac:dyDescent="0.3">
      <c r="A1668" s="169">
        <f t="shared" si="135"/>
        <v>1525</v>
      </c>
      <c r="B1668" s="66" t="s">
        <v>1725</v>
      </c>
      <c r="C1668" s="184">
        <v>1917</v>
      </c>
      <c r="D1668" s="50"/>
      <c r="E1668" s="184" t="s">
        <v>4094</v>
      </c>
      <c r="F1668" s="198">
        <v>2</v>
      </c>
      <c r="G1668" s="50"/>
      <c r="H1668" s="192">
        <v>170.5</v>
      </c>
      <c r="I1668" s="198">
        <v>9</v>
      </c>
      <c r="J1668" s="19">
        <f t="shared" si="134"/>
        <v>216245.99</v>
      </c>
      <c r="K1668" s="50"/>
      <c r="L1668" s="50"/>
      <c r="M1668" s="50"/>
      <c r="N1668" s="19">
        <f>SUMIF('2020'!B:B,B1668,'2020'!C:C)+SUMIF('2021'!B:B,B1668,'2021'!C:C)+SUMIF('2022'!B:B,B1668,'2022'!C:C)</f>
        <v>216245.99</v>
      </c>
      <c r="O1668" s="219">
        <v>44925</v>
      </c>
      <c r="P1668" s="184" t="s">
        <v>3728</v>
      </c>
    </row>
    <row r="1669" spans="1:16" x14ac:dyDescent="0.3">
      <c r="A1669" s="169">
        <f t="shared" si="135"/>
        <v>1526</v>
      </c>
      <c r="B1669" s="66" t="s">
        <v>1726</v>
      </c>
      <c r="C1669" s="184">
        <v>1917</v>
      </c>
      <c r="D1669" s="50"/>
      <c r="E1669" s="184" t="s">
        <v>4094</v>
      </c>
      <c r="F1669" s="198">
        <v>2</v>
      </c>
      <c r="G1669" s="50"/>
      <c r="H1669" s="192">
        <v>141.19999999999999</v>
      </c>
      <c r="I1669" s="225">
        <v>10</v>
      </c>
      <c r="J1669" s="19">
        <f t="shared" si="134"/>
        <v>160180.35</v>
      </c>
      <c r="K1669" s="50"/>
      <c r="L1669" s="50"/>
      <c r="M1669" s="50"/>
      <c r="N1669" s="19">
        <f>SUMIF('2020'!B:B,B1669,'2020'!C:C)+SUMIF('2021'!B:B,B1669,'2021'!C:C)+SUMIF('2022'!B:B,B1669,'2022'!C:C)</f>
        <v>160180.35</v>
      </c>
      <c r="O1669" s="219">
        <v>44925</v>
      </c>
      <c r="P1669" s="184" t="s">
        <v>3728</v>
      </c>
    </row>
    <row r="1670" spans="1:16" x14ac:dyDescent="0.3">
      <c r="A1670" s="169">
        <f t="shared" si="135"/>
        <v>1527</v>
      </c>
      <c r="B1670" s="66" t="s">
        <v>1727</v>
      </c>
      <c r="C1670" s="184">
        <v>1968</v>
      </c>
      <c r="D1670" s="50"/>
      <c r="E1670" s="184" t="s">
        <v>3816</v>
      </c>
      <c r="F1670" s="198">
        <v>5</v>
      </c>
      <c r="G1670" s="50"/>
      <c r="H1670" s="192">
        <v>3522.15</v>
      </c>
      <c r="I1670" s="198">
        <v>171</v>
      </c>
      <c r="J1670" s="19">
        <f t="shared" si="134"/>
        <v>31105444.02</v>
      </c>
      <c r="K1670" s="50"/>
      <c r="L1670" s="50"/>
      <c r="M1670" s="50"/>
      <c r="N1670" s="19">
        <f>SUMIF('2020'!B:B,B1670,'2020'!C:C)+SUMIF('2021'!B:B,B1670,'2021'!C:C)+SUMIF('2022'!B:B,B1670,'2022'!C:C)</f>
        <v>31105444.02</v>
      </c>
      <c r="O1670" s="219">
        <v>44925</v>
      </c>
      <c r="P1670" s="184" t="s">
        <v>3728</v>
      </c>
    </row>
    <row r="1671" spans="1:16" x14ac:dyDescent="0.3">
      <c r="A1671" s="169">
        <f t="shared" si="135"/>
        <v>1528</v>
      </c>
      <c r="B1671" s="66" t="s">
        <v>1728</v>
      </c>
      <c r="C1671" s="184">
        <v>1975</v>
      </c>
      <c r="D1671" s="50"/>
      <c r="E1671" s="184" t="s">
        <v>4094</v>
      </c>
      <c r="F1671" s="198">
        <v>2</v>
      </c>
      <c r="G1671" s="50"/>
      <c r="H1671" s="192">
        <v>391.1</v>
      </c>
      <c r="I1671" s="198">
        <v>21</v>
      </c>
      <c r="J1671" s="19">
        <f t="shared" si="134"/>
        <v>154252.92000000001</v>
      </c>
      <c r="K1671" s="50"/>
      <c r="L1671" s="50"/>
      <c r="M1671" s="50"/>
      <c r="N1671" s="19">
        <f>SUMIF('2020'!B:B,B1671,'2020'!C:C)+SUMIF('2021'!B:B,B1671,'2021'!C:C)+SUMIF('2022'!B:B,B1671,'2022'!C:C)</f>
        <v>154252.92000000001</v>
      </c>
      <c r="O1671" s="219">
        <v>44925</v>
      </c>
      <c r="P1671" s="184" t="s">
        <v>3728</v>
      </c>
    </row>
    <row r="1672" spans="1:16" x14ac:dyDescent="0.3">
      <c r="A1672" s="169">
        <f t="shared" si="135"/>
        <v>1529</v>
      </c>
      <c r="B1672" s="66" t="s">
        <v>1730</v>
      </c>
      <c r="C1672" s="184">
        <v>1966</v>
      </c>
      <c r="D1672" s="50"/>
      <c r="E1672" s="184" t="s">
        <v>3816</v>
      </c>
      <c r="F1672" s="198">
        <v>5</v>
      </c>
      <c r="G1672" s="50"/>
      <c r="H1672" s="192">
        <v>3498.32</v>
      </c>
      <c r="I1672" s="198">
        <v>158</v>
      </c>
      <c r="J1672" s="19">
        <f t="shared" ref="J1672:J1734" si="136">K1672+L1672+M1672+N1672</f>
        <v>26782053.160000004</v>
      </c>
      <c r="K1672" s="50"/>
      <c r="L1672" s="50"/>
      <c r="M1672" s="50"/>
      <c r="N1672" s="19">
        <f>SUMIF('2020'!B:B,B1672,'2020'!C:C)+SUMIF('2021'!B:B,B1672,'2021'!C:C)+SUMIF('2022'!B:B,B1672,'2022'!C:C)</f>
        <v>26782053.160000004</v>
      </c>
      <c r="O1672" s="219">
        <v>44925</v>
      </c>
      <c r="P1672" s="184" t="s">
        <v>3728</v>
      </c>
    </row>
    <row r="1673" spans="1:16" x14ac:dyDescent="0.3">
      <c r="A1673" s="169">
        <f t="shared" si="135"/>
        <v>1530</v>
      </c>
      <c r="B1673" s="66" t="s">
        <v>1731</v>
      </c>
      <c r="C1673" s="184">
        <v>1966</v>
      </c>
      <c r="D1673" s="50"/>
      <c r="E1673" s="184" t="s">
        <v>4091</v>
      </c>
      <c r="F1673" s="198">
        <v>2</v>
      </c>
      <c r="G1673" s="50"/>
      <c r="H1673" s="192">
        <v>701.78</v>
      </c>
      <c r="I1673" s="198">
        <v>24</v>
      </c>
      <c r="J1673" s="19">
        <f t="shared" si="136"/>
        <v>3414406.15</v>
      </c>
      <c r="K1673" s="50"/>
      <c r="L1673" s="50"/>
      <c r="M1673" s="50"/>
      <c r="N1673" s="19">
        <f>SUMIF('2020'!B:B,B1673,'2020'!C:C)+SUMIF('2021'!B:B,B1673,'2021'!C:C)+SUMIF('2022'!B:B,B1673,'2022'!C:C)</f>
        <v>3414406.15</v>
      </c>
      <c r="O1673" s="219">
        <v>44925</v>
      </c>
      <c r="P1673" s="184" t="s">
        <v>3728</v>
      </c>
    </row>
    <row r="1674" spans="1:16" x14ac:dyDescent="0.3">
      <c r="A1674" s="169">
        <f t="shared" si="135"/>
        <v>1531</v>
      </c>
      <c r="B1674" s="66" t="s">
        <v>1732</v>
      </c>
      <c r="C1674" s="184">
        <v>1966</v>
      </c>
      <c r="D1674" s="50"/>
      <c r="E1674" s="184" t="s">
        <v>4091</v>
      </c>
      <c r="F1674" s="198">
        <v>5</v>
      </c>
      <c r="G1674" s="50"/>
      <c r="H1674" s="192">
        <v>2742</v>
      </c>
      <c r="I1674" s="198">
        <v>125</v>
      </c>
      <c r="J1674" s="19">
        <f t="shared" si="136"/>
        <v>414654.04</v>
      </c>
      <c r="K1674" s="50"/>
      <c r="L1674" s="50"/>
      <c r="M1674" s="50"/>
      <c r="N1674" s="19">
        <f>SUMIF('2020'!B:B,B1674,'2020'!C:C)+SUMIF('2021'!B:B,B1674,'2021'!C:C)+SUMIF('2022'!B:B,B1674,'2022'!C:C)</f>
        <v>414654.04</v>
      </c>
      <c r="O1674" s="219">
        <v>44925</v>
      </c>
      <c r="P1674" s="184" t="s">
        <v>3728</v>
      </c>
    </row>
    <row r="1675" spans="1:16" x14ac:dyDescent="0.3">
      <c r="A1675" s="169">
        <f t="shared" si="135"/>
        <v>1532</v>
      </c>
      <c r="B1675" s="66" t="s">
        <v>1733</v>
      </c>
      <c r="C1675" s="184">
        <v>1948</v>
      </c>
      <c r="D1675" s="50"/>
      <c r="E1675" s="184" t="s">
        <v>4091</v>
      </c>
      <c r="F1675" s="198">
        <v>2</v>
      </c>
      <c r="G1675" s="50"/>
      <c r="H1675" s="192">
        <v>274.2</v>
      </c>
      <c r="I1675" s="198">
        <v>15</v>
      </c>
      <c r="J1675" s="19">
        <f t="shared" si="136"/>
        <v>531184.41</v>
      </c>
      <c r="K1675" s="50"/>
      <c r="L1675" s="50"/>
      <c r="M1675" s="50"/>
      <c r="N1675" s="19">
        <f>SUMIF('2020'!B:B,B1675,'2020'!C:C)+SUMIF('2021'!B:B,B1675,'2021'!C:C)+SUMIF('2022'!B:B,B1675,'2022'!C:C)</f>
        <v>531184.41</v>
      </c>
      <c r="O1675" s="219">
        <v>44925</v>
      </c>
      <c r="P1675" s="184" t="s">
        <v>3728</v>
      </c>
    </row>
    <row r="1676" spans="1:16" x14ac:dyDescent="0.3">
      <c r="A1676" s="169">
        <f t="shared" si="135"/>
        <v>1533</v>
      </c>
      <c r="B1676" s="66" t="s">
        <v>1735</v>
      </c>
      <c r="C1676" s="184">
        <v>1947</v>
      </c>
      <c r="D1676" s="50"/>
      <c r="E1676" s="184" t="s">
        <v>4091</v>
      </c>
      <c r="F1676" s="198">
        <v>2</v>
      </c>
      <c r="G1676" s="50"/>
      <c r="H1676" s="192">
        <v>484.3</v>
      </c>
      <c r="I1676" s="198">
        <v>42</v>
      </c>
      <c r="J1676" s="19">
        <f t="shared" si="136"/>
        <v>11767102.18</v>
      </c>
      <c r="K1676" s="50"/>
      <c r="L1676" s="50"/>
      <c r="M1676" s="50"/>
      <c r="N1676" s="19">
        <f>SUMIF('2020'!B:B,B1676,'2020'!C:C)+SUMIF('2021'!B:B,B1676,'2021'!C:C)+SUMIF('2022'!B:B,B1676,'2022'!C:C)</f>
        <v>11767102.18</v>
      </c>
      <c r="O1676" s="219">
        <v>44925</v>
      </c>
      <c r="P1676" s="184" t="s">
        <v>3728</v>
      </c>
    </row>
    <row r="1677" spans="1:16" x14ac:dyDescent="0.3">
      <c r="A1677" s="169">
        <f t="shared" si="135"/>
        <v>1534</v>
      </c>
      <c r="B1677" s="66" t="s">
        <v>1736</v>
      </c>
      <c r="C1677" s="184">
        <v>1958</v>
      </c>
      <c r="D1677" s="50"/>
      <c r="E1677" s="184" t="s">
        <v>4094</v>
      </c>
      <c r="F1677" s="198">
        <v>2</v>
      </c>
      <c r="G1677" s="50"/>
      <c r="H1677" s="192">
        <v>173.3</v>
      </c>
      <c r="I1677" s="198">
        <v>12</v>
      </c>
      <c r="J1677" s="19">
        <f t="shared" si="136"/>
        <v>368787.79</v>
      </c>
      <c r="K1677" s="50"/>
      <c r="L1677" s="50"/>
      <c r="M1677" s="50"/>
      <c r="N1677" s="19">
        <f>SUMIF('2020'!B:B,B1677,'2020'!C:C)+SUMIF('2021'!B:B,B1677,'2021'!C:C)+SUMIF('2022'!B:B,B1677,'2022'!C:C)</f>
        <v>368787.79</v>
      </c>
      <c r="O1677" s="219">
        <v>44925</v>
      </c>
      <c r="P1677" s="184" t="s">
        <v>3728</v>
      </c>
    </row>
    <row r="1678" spans="1:16" x14ac:dyDescent="0.3">
      <c r="A1678" s="169">
        <f t="shared" si="135"/>
        <v>1535</v>
      </c>
      <c r="B1678" s="66" t="s">
        <v>1738</v>
      </c>
      <c r="C1678" s="184">
        <v>1917</v>
      </c>
      <c r="D1678" s="50"/>
      <c r="E1678" s="234" t="s">
        <v>4094</v>
      </c>
      <c r="F1678" s="198">
        <v>2</v>
      </c>
      <c r="G1678" s="50"/>
      <c r="H1678" s="192">
        <v>175.2</v>
      </c>
      <c r="I1678" s="198">
        <v>7</v>
      </c>
      <c r="J1678" s="19">
        <f t="shared" si="136"/>
        <v>116093.85</v>
      </c>
      <c r="K1678" s="50"/>
      <c r="L1678" s="50"/>
      <c r="M1678" s="50"/>
      <c r="N1678" s="19">
        <f>SUMIF('2020'!B:B,B1678,'2020'!C:C)+SUMIF('2021'!B:B,B1678,'2021'!C:C)+SUMIF('2022'!B:B,B1678,'2022'!C:C)</f>
        <v>116093.85</v>
      </c>
      <c r="O1678" s="219">
        <v>44925</v>
      </c>
      <c r="P1678" s="184" t="s">
        <v>3728</v>
      </c>
    </row>
    <row r="1679" spans="1:16" x14ac:dyDescent="0.3">
      <c r="A1679" s="169">
        <f t="shared" si="135"/>
        <v>1536</v>
      </c>
      <c r="B1679" s="66" t="s">
        <v>1740</v>
      </c>
      <c r="C1679" s="184">
        <v>1961</v>
      </c>
      <c r="D1679" s="50"/>
      <c r="E1679" s="184" t="s">
        <v>4091</v>
      </c>
      <c r="F1679" s="198">
        <v>2</v>
      </c>
      <c r="G1679" s="50"/>
      <c r="H1679" s="192">
        <v>259.29000000000002</v>
      </c>
      <c r="I1679" s="198">
        <v>13</v>
      </c>
      <c r="J1679" s="19">
        <f t="shared" si="136"/>
        <v>406047.14999999997</v>
      </c>
      <c r="K1679" s="50"/>
      <c r="L1679" s="50"/>
      <c r="M1679" s="50"/>
      <c r="N1679" s="19">
        <f>SUMIF('2020'!B:B,B1679,'2020'!C:C)+SUMIF('2021'!B:B,B1679,'2021'!C:C)+SUMIF('2022'!B:B,B1679,'2022'!C:C)</f>
        <v>406047.14999999997</v>
      </c>
      <c r="O1679" s="219">
        <v>44925</v>
      </c>
      <c r="P1679" s="184" t="s">
        <v>3728</v>
      </c>
    </row>
    <row r="1680" spans="1:16" ht="31.2" x14ac:dyDescent="0.3">
      <c r="A1680" s="169">
        <f t="shared" si="135"/>
        <v>1537</v>
      </c>
      <c r="B1680" s="66" t="s">
        <v>1742</v>
      </c>
      <c r="C1680" s="184">
        <v>1917</v>
      </c>
      <c r="D1680" s="50"/>
      <c r="E1680" s="184" t="s">
        <v>4100</v>
      </c>
      <c r="F1680" s="83" t="s">
        <v>4101</v>
      </c>
      <c r="G1680" s="50"/>
      <c r="H1680" s="192">
        <v>1005.79</v>
      </c>
      <c r="I1680" s="198">
        <v>56</v>
      </c>
      <c r="J1680" s="19">
        <f t="shared" si="136"/>
        <v>752589.09</v>
      </c>
      <c r="K1680" s="50"/>
      <c r="L1680" s="50"/>
      <c r="M1680" s="50"/>
      <c r="N1680" s="19">
        <f>SUMIF('2020'!B:B,B1680,'2020'!C:C)+SUMIF('2021'!B:B,B1680,'2021'!C:C)+SUMIF('2022'!B:B,B1680,'2022'!C:C)</f>
        <v>752589.09</v>
      </c>
      <c r="O1680" s="219">
        <v>44925</v>
      </c>
      <c r="P1680" s="184" t="s">
        <v>3728</v>
      </c>
    </row>
    <row r="1681" spans="1:16" x14ac:dyDescent="0.3">
      <c r="A1681" s="169">
        <f t="shared" si="135"/>
        <v>1538</v>
      </c>
      <c r="B1681" s="66" t="s">
        <v>1743</v>
      </c>
      <c r="C1681" s="184">
        <v>1971</v>
      </c>
      <c r="D1681" s="50"/>
      <c r="E1681" s="184" t="s">
        <v>4091</v>
      </c>
      <c r="F1681" s="198">
        <v>2</v>
      </c>
      <c r="G1681" s="50"/>
      <c r="H1681" s="192">
        <v>899.34</v>
      </c>
      <c r="I1681" s="198">
        <v>44</v>
      </c>
      <c r="J1681" s="19">
        <f t="shared" si="136"/>
        <v>164783.49</v>
      </c>
      <c r="K1681" s="50"/>
      <c r="L1681" s="50"/>
      <c r="M1681" s="50"/>
      <c r="N1681" s="19">
        <f>SUMIF('2020'!B:B,B1681,'2020'!C:C)+SUMIF('2021'!B:B,B1681,'2021'!C:C)+SUMIF('2022'!B:B,B1681,'2022'!C:C)</f>
        <v>164783.49</v>
      </c>
      <c r="O1681" s="219">
        <v>44925</v>
      </c>
      <c r="P1681" s="184" t="s">
        <v>3728</v>
      </c>
    </row>
    <row r="1682" spans="1:16" x14ac:dyDescent="0.3">
      <c r="A1682" s="169">
        <f t="shared" si="135"/>
        <v>1539</v>
      </c>
      <c r="B1682" s="66" t="s">
        <v>1744</v>
      </c>
      <c r="C1682" s="184">
        <v>1967</v>
      </c>
      <c r="D1682" s="50"/>
      <c r="E1682" s="184" t="s">
        <v>4094</v>
      </c>
      <c r="F1682" s="198">
        <v>2</v>
      </c>
      <c r="G1682" s="50"/>
      <c r="H1682" s="192">
        <v>430.56</v>
      </c>
      <c r="I1682" s="198">
        <v>31</v>
      </c>
      <c r="J1682" s="19">
        <f t="shared" si="136"/>
        <v>315237.62</v>
      </c>
      <c r="K1682" s="50"/>
      <c r="L1682" s="50"/>
      <c r="M1682" s="50"/>
      <c r="N1682" s="19">
        <f>SUMIF('2020'!B:B,B1682,'2020'!C:C)+SUMIF('2021'!B:B,B1682,'2021'!C:C)+SUMIF('2022'!B:B,B1682,'2022'!C:C)</f>
        <v>315237.62</v>
      </c>
      <c r="O1682" s="219">
        <v>44925</v>
      </c>
      <c r="P1682" s="184" t="s">
        <v>3728</v>
      </c>
    </row>
    <row r="1683" spans="1:16" x14ac:dyDescent="0.3">
      <c r="A1683" s="169">
        <f t="shared" si="135"/>
        <v>1540</v>
      </c>
      <c r="B1683" s="66" t="s">
        <v>1745</v>
      </c>
      <c r="C1683" s="184">
        <v>1969</v>
      </c>
      <c r="D1683" s="50"/>
      <c r="E1683" s="184" t="s">
        <v>4091</v>
      </c>
      <c r="F1683" s="198">
        <v>5</v>
      </c>
      <c r="G1683" s="50"/>
      <c r="H1683" s="192">
        <v>3419.88</v>
      </c>
      <c r="I1683" s="198">
        <v>171</v>
      </c>
      <c r="J1683" s="19">
        <f t="shared" si="136"/>
        <v>776662.74</v>
      </c>
      <c r="K1683" s="50"/>
      <c r="L1683" s="50"/>
      <c r="M1683" s="50"/>
      <c r="N1683" s="19">
        <f>SUMIF('2020'!B:B,B1683,'2020'!C:C)+SUMIF('2021'!B:B,B1683,'2021'!C:C)+SUMIF('2022'!B:B,B1683,'2022'!C:C)</f>
        <v>776662.74</v>
      </c>
      <c r="O1683" s="219">
        <v>44925</v>
      </c>
      <c r="P1683" s="184" t="s">
        <v>2042</v>
      </c>
    </row>
    <row r="1684" spans="1:16" x14ac:dyDescent="0.3">
      <c r="A1684" s="169">
        <f t="shared" si="135"/>
        <v>1541</v>
      </c>
      <c r="B1684" s="66" t="s">
        <v>1746</v>
      </c>
      <c r="C1684" s="184">
        <v>1970</v>
      </c>
      <c r="D1684" s="50"/>
      <c r="E1684" s="184" t="s">
        <v>4091</v>
      </c>
      <c r="F1684" s="198">
        <v>5</v>
      </c>
      <c r="G1684" s="50"/>
      <c r="H1684" s="192">
        <v>3433.59</v>
      </c>
      <c r="I1684" s="198">
        <v>159</v>
      </c>
      <c r="J1684" s="19">
        <f t="shared" si="136"/>
        <v>409419.25</v>
      </c>
      <c r="K1684" s="50"/>
      <c r="L1684" s="50"/>
      <c r="M1684" s="50"/>
      <c r="N1684" s="19">
        <f>SUMIF('2020'!B:B,B1684,'2020'!C:C)+SUMIF('2021'!B:B,B1684,'2021'!C:C)+SUMIF('2022'!B:B,B1684,'2022'!C:C)</f>
        <v>409419.25</v>
      </c>
      <c r="O1684" s="219">
        <v>44925</v>
      </c>
      <c r="P1684" s="184" t="s">
        <v>3728</v>
      </c>
    </row>
    <row r="1685" spans="1:16" x14ac:dyDescent="0.3">
      <c r="A1685" s="169">
        <f t="shared" si="135"/>
        <v>1542</v>
      </c>
      <c r="B1685" s="66" t="s">
        <v>1747</v>
      </c>
      <c r="C1685" s="184">
        <v>1971</v>
      </c>
      <c r="D1685" s="50"/>
      <c r="E1685" s="184" t="s">
        <v>4091</v>
      </c>
      <c r="F1685" s="198">
        <v>5</v>
      </c>
      <c r="G1685" s="50"/>
      <c r="H1685" s="192">
        <v>3442.6</v>
      </c>
      <c r="I1685" s="198">
        <v>163</v>
      </c>
      <c r="J1685" s="19">
        <f t="shared" si="136"/>
        <v>406923.76</v>
      </c>
      <c r="K1685" s="50"/>
      <c r="L1685" s="50"/>
      <c r="M1685" s="50"/>
      <c r="N1685" s="19">
        <f>SUMIF('2020'!B:B,B1685,'2020'!C:C)+SUMIF('2021'!B:B,B1685,'2021'!C:C)+SUMIF('2022'!B:B,B1685,'2022'!C:C)</f>
        <v>406923.76</v>
      </c>
      <c r="O1685" s="219">
        <v>44925</v>
      </c>
      <c r="P1685" s="184" t="s">
        <v>3728</v>
      </c>
    </row>
    <row r="1686" spans="1:16" x14ac:dyDescent="0.3">
      <c r="A1686" s="169">
        <f t="shared" si="135"/>
        <v>1543</v>
      </c>
      <c r="B1686" s="66" t="s">
        <v>1748</v>
      </c>
      <c r="C1686" s="184">
        <v>1977</v>
      </c>
      <c r="D1686" s="50"/>
      <c r="E1686" s="184" t="s">
        <v>4091</v>
      </c>
      <c r="F1686" s="198">
        <v>5</v>
      </c>
      <c r="G1686" s="50"/>
      <c r="H1686" s="192">
        <v>13637.5</v>
      </c>
      <c r="I1686" s="198">
        <v>619</v>
      </c>
      <c r="J1686" s="19">
        <f t="shared" si="136"/>
        <v>605870.04</v>
      </c>
      <c r="K1686" s="50"/>
      <c r="L1686" s="50"/>
      <c r="M1686" s="50"/>
      <c r="N1686" s="19">
        <f>SUMIF('2020'!B:B,B1686,'2020'!C:C)+SUMIF('2021'!B:B,B1686,'2021'!C:C)+SUMIF('2022'!B:B,B1686,'2022'!C:C)</f>
        <v>605870.04</v>
      </c>
      <c r="O1686" s="219">
        <v>44925</v>
      </c>
      <c r="P1686" s="184" t="s">
        <v>3728</v>
      </c>
    </row>
    <row r="1687" spans="1:16" x14ac:dyDescent="0.3">
      <c r="A1687" s="169">
        <f t="shared" si="135"/>
        <v>1544</v>
      </c>
      <c r="B1687" s="66" t="s">
        <v>1749</v>
      </c>
      <c r="C1687" s="184">
        <v>1969</v>
      </c>
      <c r="D1687" s="50"/>
      <c r="E1687" s="184" t="s">
        <v>4091</v>
      </c>
      <c r="F1687" s="198">
        <v>5</v>
      </c>
      <c r="G1687" s="50"/>
      <c r="H1687" s="192">
        <v>3467.4</v>
      </c>
      <c r="I1687" s="198">
        <v>171</v>
      </c>
      <c r="J1687" s="19">
        <f t="shared" si="136"/>
        <v>414031.62</v>
      </c>
      <c r="K1687" s="50"/>
      <c r="L1687" s="50"/>
      <c r="M1687" s="50"/>
      <c r="N1687" s="19">
        <f>SUMIF('2020'!B:B,B1687,'2020'!C:C)+SUMIF('2021'!B:B,B1687,'2021'!C:C)+SUMIF('2022'!B:B,B1687,'2022'!C:C)</f>
        <v>414031.62</v>
      </c>
      <c r="O1687" s="219">
        <v>44925</v>
      </c>
      <c r="P1687" s="184" t="s">
        <v>3728</v>
      </c>
    </row>
    <row r="1688" spans="1:16" x14ac:dyDescent="0.3">
      <c r="A1688" s="169">
        <f t="shared" si="135"/>
        <v>1545</v>
      </c>
      <c r="B1688" s="66" t="s">
        <v>1750</v>
      </c>
      <c r="C1688" s="184">
        <v>1964</v>
      </c>
      <c r="D1688" s="50"/>
      <c r="E1688" s="184" t="s">
        <v>3816</v>
      </c>
      <c r="F1688" s="198">
        <v>5</v>
      </c>
      <c r="G1688" s="50"/>
      <c r="H1688" s="192">
        <v>2875.3</v>
      </c>
      <c r="I1688" s="198">
        <v>124</v>
      </c>
      <c r="J1688" s="19">
        <f t="shared" si="136"/>
        <v>27353665.600000001</v>
      </c>
      <c r="K1688" s="50"/>
      <c r="L1688" s="50"/>
      <c r="M1688" s="228"/>
      <c r="N1688" s="19">
        <f>SUMIF('2020'!B:B,B1688,'2020'!C:C)+SUMIF('2021'!B:B,B1688,'2021'!C:C)+SUMIF('2022'!B:B,B1688,'2022'!C:C)</f>
        <v>27353665.600000001</v>
      </c>
      <c r="O1688" s="219">
        <v>44925</v>
      </c>
      <c r="P1688" s="184" t="s">
        <v>3728</v>
      </c>
    </row>
    <row r="1689" spans="1:16" x14ac:dyDescent="0.3">
      <c r="A1689" s="169">
        <f t="shared" si="135"/>
        <v>1546</v>
      </c>
      <c r="B1689" s="66" t="s">
        <v>1751</v>
      </c>
      <c r="C1689" s="184">
        <v>1966</v>
      </c>
      <c r="D1689" s="50"/>
      <c r="E1689" s="184" t="s">
        <v>4091</v>
      </c>
      <c r="F1689" s="198">
        <v>5</v>
      </c>
      <c r="G1689" s="50"/>
      <c r="H1689" s="192">
        <v>3473.76</v>
      </c>
      <c r="I1689" s="198">
        <v>136</v>
      </c>
      <c r="J1689" s="19">
        <f t="shared" si="136"/>
        <v>429790.4</v>
      </c>
      <c r="K1689" s="50"/>
      <c r="L1689" s="50"/>
      <c r="M1689" s="50"/>
      <c r="N1689" s="19">
        <f>SUMIF('2020'!B:B,B1689,'2020'!C:C)+SUMIF('2021'!B:B,B1689,'2021'!C:C)+SUMIF('2022'!B:B,B1689,'2022'!C:C)</f>
        <v>429790.4</v>
      </c>
      <c r="O1689" s="219">
        <v>44925</v>
      </c>
      <c r="P1689" s="184" t="s">
        <v>3728</v>
      </c>
    </row>
    <row r="1690" spans="1:16" x14ac:dyDescent="0.3">
      <c r="A1690" s="169">
        <f t="shared" si="135"/>
        <v>1547</v>
      </c>
      <c r="B1690" s="66" t="s">
        <v>1752</v>
      </c>
      <c r="C1690" s="184">
        <v>1967</v>
      </c>
      <c r="D1690" s="50"/>
      <c r="E1690" s="184" t="s">
        <v>4091</v>
      </c>
      <c r="F1690" s="198">
        <v>5</v>
      </c>
      <c r="G1690" s="50"/>
      <c r="H1690" s="192">
        <v>3475.6</v>
      </c>
      <c r="I1690" s="198">
        <v>146</v>
      </c>
      <c r="J1690" s="19">
        <f t="shared" si="136"/>
        <v>421012.07</v>
      </c>
      <c r="K1690" s="50"/>
      <c r="L1690" s="50"/>
      <c r="M1690" s="50"/>
      <c r="N1690" s="19">
        <f>SUMIF('2020'!B:B,B1690,'2020'!C:C)+SUMIF('2021'!B:B,B1690,'2021'!C:C)+SUMIF('2022'!B:B,B1690,'2022'!C:C)</f>
        <v>421012.07</v>
      </c>
      <c r="O1690" s="219">
        <v>44925</v>
      </c>
      <c r="P1690" s="184" t="s">
        <v>3728</v>
      </c>
    </row>
    <row r="1691" spans="1:16" x14ac:dyDescent="0.3">
      <c r="A1691" s="169">
        <f t="shared" si="135"/>
        <v>1548</v>
      </c>
      <c r="B1691" s="66" t="s">
        <v>1753</v>
      </c>
      <c r="C1691" s="184">
        <v>1964</v>
      </c>
      <c r="D1691" s="50"/>
      <c r="E1691" s="184" t="s">
        <v>3816</v>
      </c>
      <c r="F1691" s="198">
        <v>5</v>
      </c>
      <c r="G1691" s="50"/>
      <c r="H1691" s="192">
        <v>2532.1</v>
      </c>
      <c r="I1691" s="198">
        <v>106</v>
      </c>
      <c r="J1691" s="19">
        <f t="shared" si="136"/>
        <v>320633.95</v>
      </c>
      <c r="K1691" s="50"/>
      <c r="L1691" s="50"/>
      <c r="M1691" s="50"/>
      <c r="N1691" s="19">
        <f>SUMIF('2020'!B:B,B1691,'2020'!C:C)+SUMIF('2021'!B:B,B1691,'2021'!C:C)+SUMIF('2022'!B:B,B1691,'2022'!C:C)</f>
        <v>320633.95</v>
      </c>
      <c r="O1691" s="219">
        <v>44925</v>
      </c>
      <c r="P1691" s="184" t="s">
        <v>3728</v>
      </c>
    </row>
    <row r="1692" spans="1:16" x14ac:dyDescent="0.3">
      <c r="A1692" s="169">
        <f t="shared" si="135"/>
        <v>1549</v>
      </c>
      <c r="B1692" s="66" t="s">
        <v>1754</v>
      </c>
      <c r="C1692" s="184">
        <v>1964</v>
      </c>
      <c r="D1692" s="50"/>
      <c r="E1692" s="184" t="s">
        <v>3816</v>
      </c>
      <c r="F1692" s="198">
        <v>5</v>
      </c>
      <c r="G1692" s="50"/>
      <c r="H1692" s="192">
        <v>2545.77</v>
      </c>
      <c r="I1692" s="198">
        <v>124</v>
      </c>
      <c r="J1692" s="19">
        <f t="shared" si="136"/>
        <v>13097216.399999999</v>
      </c>
      <c r="K1692" s="50"/>
      <c r="L1692" s="50"/>
      <c r="M1692" s="50"/>
      <c r="N1692" s="19">
        <f>SUMIF('2020'!B:B,B1692,'2020'!C:C)+SUMIF('2021'!B:B,B1692,'2021'!C:C)+SUMIF('2022'!B:B,B1692,'2022'!C:C)</f>
        <v>13097216.399999999</v>
      </c>
      <c r="O1692" s="219">
        <v>44925</v>
      </c>
      <c r="P1692" s="184" t="s">
        <v>3728</v>
      </c>
    </row>
    <row r="1693" spans="1:16" x14ac:dyDescent="0.3">
      <c r="A1693" s="169">
        <f t="shared" si="135"/>
        <v>1550</v>
      </c>
      <c r="B1693" s="66" t="s">
        <v>1755</v>
      </c>
      <c r="C1693" s="184">
        <v>1964</v>
      </c>
      <c r="D1693" s="50"/>
      <c r="E1693" s="234" t="s">
        <v>3816</v>
      </c>
      <c r="F1693" s="198">
        <v>5</v>
      </c>
      <c r="G1693" s="50"/>
      <c r="H1693" s="192">
        <v>2656</v>
      </c>
      <c r="I1693" s="198">
        <v>113</v>
      </c>
      <c r="J1693" s="19">
        <f t="shared" si="136"/>
        <v>1075822.04</v>
      </c>
      <c r="K1693" s="50"/>
      <c r="L1693" s="50"/>
      <c r="M1693" s="50"/>
      <c r="N1693" s="19">
        <f>SUMIF('2020'!B:B,B1693,'2020'!C:C)+SUMIF('2021'!B:B,B1693,'2021'!C:C)+SUMIF('2022'!B:B,B1693,'2022'!C:C)</f>
        <v>1075822.04</v>
      </c>
      <c r="O1693" s="219">
        <v>44925</v>
      </c>
      <c r="P1693" s="184" t="s">
        <v>3728</v>
      </c>
    </row>
    <row r="1694" spans="1:16" x14ac:dyDescent="0.3">
      <c r="A1694" s="169">
        <f t="shared" si="135"/>
        <v>1551</v>
      </c>
      <c r="B1694" s="66" t="s">
        <v>1756</v>
      </c>
      <c r="C1694" s="184">
        <v>1966</v>
      </c>
      <c r="D1694" s="50"/>
      <c r="E1694" s="184" t="s">
        <v>3816</v>
      </c>
      <c r="F1694" s="198">
        <v>5</v>
      </c>
      <c r="G1694" s="50"/>
      <c r="H1694" s="192">
        <v>3532.7</v>
      </c>
      <c r="I1694" s="198">
        <v>161</v>
      </c>
      <c r="J1694" s="19">
        <f t="shared" si="136"/>
        <v>15756736.800000001</v>
      </c>
      <c r="K1694" s="50"/>
      <c r="L1694" s="50"/>
      <c r="M1694" s="50"/>
      <c r="N1694" s="19">
        <f>SUMIF('2020'!B:B,B1694,'2020'!C:C)+SUMIF('2021'!B:B,B1694,'2021'!C:C)+SUMIF('2022'!B:B,B1694,'2022'!C:C)</f>
        <v>15756736.800000001</v>
      </c>
      <c r="O1694" s="219">
        <v>44925</v>
      </c>
      <c r="P1694" s="184" t="s">
        <v>3728</v>
      </c>
    </row>
    <row r="1695" spans="1:16" x14ac:dyDescent="0.3">
      <c r="A1695" s="169">
        <f t="shared" si="135"/>
        <v>1552</v>
      </c>
      <c r="B1695" s="66" t="s">
        <v>1757</v>
      </c>
      <c r="C1695" s="184">
        <v>1967</v>
      </c>
      <c r="D1695" s="50"/>
      <c r="E1695" s="184" t="s">
        <v>3816</v>
      </c>
      <c r="F1695" s="198">
        <v>5</v>
      </c>
      <c r="G1695" s="50"/>
      <c r="H1695" s="192">
        <v>5183.57</v>
      </c>
      <c r="I1695" s="198">
        <v>225</v>
      </c>
      <c r="J1695" s="19">
        <f t="shared" si="136"/>
        <v>15241273.15</v>
      </c>
      <c r="K1695" s="50"/>
      <c r="L1695" s="50"/>
      <c r="M1695" s="50"/>
      <c r="N1695" s="19">
        <f>SUMIF('2020'!B:B,B1695,'2020'!C:C)+SUMIF('2021'!B:B,B1695,'2021'!C:C)+SUMIF('2022'!B:B,B1695,'2022'!C:C)</f>
        <v>15241273.15</v>
      </c>
      <c r="O1695" s="219">
        <v>44925</v>
      </c>
      <c r="P1695" s="184" t="s">
        <v>3728</v>
      </c>
    </row>
    <row r="1696" spans="1:16" x14ac:dyDescent="0.3">
      <c r="A1696" s="169">
        <f t="shared" si="135"/>
        <v>1553</v>
      </c>
      <c r="B1696" s="66" t="s">
        <v>1758</v>
      </c>
      <c r="C1696" s="184">
        <v>1917</v>
      </c>
      <c r="D1696" s="50"/>
      <c r="E1696" s="184" t="s">
        <v>4091</v>
      </c>
      <c r="F1696" s="198">
        <v>2</v>
      </c>
      <c r="G1696" s="50"/>
      <c r="H1696" s="192">
        <v>277.2</v>
      </c>
      <c r="I1696" s="198">
        <v>13</v>
      </c>
      <c r="J1696" s="19">
        <f t="shared" si="136"/>
        <v>3292561.33</v>
      </c>
      <c r="K1696" s="50"/>
      <c r="L1696" s="50"/>
      <c r="M1696" s="50"/>
      <c r="N1696" s="19">
        <f>SUMIF('2020'!B:B,B1696,'2020'!C:C)+SUMIF('2021'!B:B,B1696,'2021'!C:C)+SUMIF('2022'!B:B,B1696,'2022'!C:C)</f>
        <v>3292561.33</v>
      </c>
      <c r="O1696" s="219">
        <v>44925</v>
      </c>
      <c r="P1696" s="184" t="s">
        <v>3728</v>
      </c>
    </row>
    <row r="1697" spans="1:16" x14ac:dyDescent="0.3">
      <c r="A1697" s="169">
        <f t="shared" si="135"/>
        <v>1554</v>
      </c>
      <c r="B1697" s="66" t="s">
        <v>1759</v>
      </c>
      <c r="C1697" s="184">
        <v>1967</v>
      </c>
      <c r="D1697" s="50"/>
      <c r="E1697" s="184" t="s">
        <v>3816</v>
      </c>
      <c r="F1697" s="198">
        <v>5</v>
      </c>
      <c r="G1697" s="50"/>
      <c r="H1697" s="192">
        <v>3792.8</v>
      </c>
      <c r="I1697" s="198">
        <v>163</v>
      </c>
      <c r="J1697" s="19">
        <f t="shared" si="136"/>
        <v>212778.92</v>
      </c>
      <c r="K1697" s="50"/>
      <c r="L1697" s="50"/>
      <c r="M1697" s="228"/>
      <c r="N1697" s="19">
        <f>SUMIF('2020'!B:B,B1697,'2020'!C:C)+SUMIF('2021'!B:B,B1697,'2021'!C:C)+SUMIF('2022'!B:B,B1697,'2022'!C:C)</f>
        <v>212778.92</v>
      </c>
      <c r="O1697" s="219">
        <v>44925</v>
      </c>
      <c r="P1697" s="184" t="s">
        <v>3728</v>
      </c>
    </row>
    <row r="1698" spans="1:16" x14ac:dyDescent="0.3">
      <c r="A1698" s="169">
        <f t="shared" si="135"/>
        <v>1555</v>
      </c>
      <c r="B1698" s="66" t="s">
        <v>1760</v>
      </c>
      <c r="C1698" s="184">
        <v>1917</v>
      </c>
      <c r="D1698" s="50"/>
      <c r="E1698" s="234" t="s">
        <v>4094</v>
      </c>
      <c r="F1698" s="198">
        <v>2</v>
      </c>
      <c r="G1698" s="50"/>
      <c r="H1698" s="192">
        <v>345.62</v>
      </c>
      <c r="I1698" s="198">
        <v>21</v>
      </c>
      <c r="J1698" s="19">
        <f t="shared" si="136"/>
        <v>3521175.6</v>
      </c>
      <c r="K1698" s="50"/>
      <c r="L1698" s="50"/>
      <c r="M1698" s="228"/>
      <c r="N1698" s="19">
        <f>SUMIF('2020'!B:B,B1698,'2020'!C:C)+SUMIF('2021'!B:B,B1698,'2021'!C:C)+SUMIF('2022'!B:B,B1698,'2022'!C:C)</f>
        <v>3521175.6</v>
      </c>
      <c r="O1698" s="219">
        <v>44925</v>
      </c>
      <c r="P1698" s="184" t="s">
        <v>3728</v>
      </c>
    </row>
    <row r="1699" spans="1:16" x14ac:dyDescent="0.3">
      <c r="A1699" s="169">
        <f t="shared" si="135"/>
        <v>1556</v>
      </c>
      <c r="B1699" s="66" t="s">
        <v>1761</v>
      </c>
      <c r="C1699" s="184">
        <v>1965</v>
      </c>
      <c r="D1699" s="50"/>
      <c r="E1699" s="184" t="s">
        <v>4091</v>
      </c>
      <c r="F1699" s="198">
        <v>5</v>
      </c>
      <c r="G1699" s="50"/>
      <c r="H1699" s="192">
        <v>3348.7</v>
      </c>
      <c r="I1699" s="198">
        <v>134</v>
      </c>
      <c r="J1699" s="19">
        <f t="shared" si="136"/>
        <v>420029.18</v>
      </c>
      <c r="K1699" s="50"/>
      <c r="L1699" s="50"/>
      <c r="M1699" s="50"/>
      <c r="N1699" s="19">
        <f>SUMIF('2020'!B:B,B1699,'2020'!C:C)+SUMIF('2021'!B:B,B1699,'2021'!C:C)+SUMIF('2022'!B:B,B1699,'2022'!C:C)</f>
        <v>420029.18</v>
      </c>
      <c r="O1699" s="219">
        <v>44925</v>
      </c>
      <c r="P1699" s="184" t="s">
        <v>3728</v>
      </c>
    </row>
    <row r="1700" spans="1:16" x14ac:dyDescent="0.3">
      <c r="A1700" s="169">
        <f t="shared" si="135"/>
        <v>1557</v>
      </c>
      <c r="B1700" s="66" t="s">
        <v>1762</v>
      </c>
      <c r="C1700" s="184">
        <v>1917</v>
      </c>
      <c r="D1700" s="50"/>
      <c r="E1700" s="184" t="s">
        <v>4094</v>
      </c>
      <c r="F1700" s="198">
        <v>2</v>
      </c>
      <c r="G1700" s="50"/>
      <c r="H1700" s="192">
        <v>301.14</v>
      </c>
      <c r="I1700" s="198">
        <v>13</v>
      </c>
      <c r="J1700" s="19">
        <f t="shared" si="136"/>
        <v>724639.06</v>
      </c>
      <c r="K1700" s="50"/>
      <c r="L1700" s="50"/>
      <c r="M1700" s="50"/>
      <c r="N1700" s="19">
        <f>SUMIF('2020'!B:B,B1700,'2020'!C:C)+SUMIF('2021'!B:B,B1700,'2021'!C:C)+SUMIF('2022'!B:B,B1700,'2022'!C:C)</f>
        <v>724639.06</v>
      </c>
      <c r="O1700" s="219">
        <v>44925</v>
      </c>
      <c r="P1700" s="184" t="s">
        <v>3728</v>
      </c>
    </row>
    <row r="1701" spans="1:16" x14ac:dyDescent="0.3">
      <c r="A1701" s="169">
        <f t="shared" si="135"/>
        <v>1558</v>
      </c>
      <c r="B1701" s="66" t="s">
        <v>1764</v>
      </c>
      <c r="C1701" s="184">
        <v>1965</v>
      </c>
      <c r="D1701" s="50"/>
      <c r="E1701" s="184" t="s">
        <v>3816</v>
      </c>
      <c r="F1701" s="198">
        <v>5</v>
      </c>
      <c r="G1701" s="50"/>
      <c r="H1701" s="192">
        <v>3530.18</v>
      </c>
      <c r="I1701" s="198">
        <v>165</v>
      </c>
      <c r="J1701" s="19">
        <f t="shared" si="136"/>
        <v>386344.3</v>
      </c>
      <c r="K1701" s="50"/>
      <c r="L1701" s="50"/>
      <c r="M1701" s="50"/>
      <c r="N1701" s="19">
        <f>SUMIF('2020'!B:B,B1701,'2020'!C:C)+SUMIF('2021'!B:B,B1701,'2021'!C:C)+SUMIF('2022'!B:B,B1701,'2022'!C:C)</f>
        <v>386344.3</v>
      </c>
      <c r="O1701" s="219">
        <v>44925</v>
      </c>
      <c r="P1701" s="184" t="s">
        <v>3728</v>
      </c>
    </row>
    <row r="1702" spans="1:16" x14ac:dyDescent="0.3">
      <c r="A1702" s="169">
        <f t="shared" si="135"/>
        <v>1559</v>
      </c>
      <c r="B1702" s="66" t="s">
        <v>1765</v>
      </c>
      <c r="C1702" s="184">
        <v>1917</v>
      </c>
      <c r="D1702" s="50"/>
      <c r="E1702" s="184" t="s">
        <v>4094</v>
      </c>
      <c r="F1702" s="198">
        <v>2</v>
      </c>
      <c r="G1702" s="50"/>
      <c r="H1702" s="192">
        <v>186.9</v>
      </c>
      <c r="I1702" s="198">
        <v>9</v>
      </c>
      <c r="J1702" s="19">
        <f t="shared" si="136"/>
        <v>453254.24</v>
      </c>
      <c r="K1702" s="50"/>
      <c r="L1702" s="50"/>
      <c r="M1702" s="50"/>
      <c r="N1702" s="19">
        <f>SUMIF('2020'!B:B,B1702,'2020'!C:C)+SUMIF('2021'!B:B,B1702,'2021'!C:C)+SUMIF('2022'!B:B,B1702,'2022'!C:C)</f>
        <v>453254.24</v>
      </c>
      <c r="O1702" s="219">
        <v>44925</v>
      </c>
      <c r="P1702" s="184" t="s">
        <v>3728</v>
      </c>
    </row>
    <row r="1703" spans="1:16" x14ac:dyDescent="0.3">
      <c r="A1703" s="169">
        <f t="shared" si="135"/>
        <v>1560</v>
      </c>
      <c r="B1703" s="66" t="s">
        <v>1767</v>
      </c>
      <c r="C1703" s="184">
        <v>1956</v>
      </c>
      <c r="D1703" s="50"/>
      <c r="E1703" s="184" t="s">
        <v>4094</v>
      </c>
      <c r="F1703" s="198">
        <v>2</v>
      </c>
      <c r="G1703" s="50"/>
      <c r="H1703" s="192">
        <v>426.9</v>
      </c>
      <c r="I1703" s="225">
        <v>36</v>
      </c>
      <c r="J1703" s="19">
        <f t="shared" si="136"/>
        <v>97175.35</v>
      </c>
      <c r="K1703" s="50"/>
      <c r="L1703" s="50"/>
      <c r="M1703" s="50"/>
      <c r="N1703" s="19">
        <f>SUMIF('2020'!B:B,B1703,'2020'!C:C)+SUMIF('2021'!B:B,B1703,'2021'!C:C)+SUMIF('2022'!B:B,B1703,'2022'!C:C)</f>
        <v>97175.35</v>
      </c>
      <c r="O1703" s="219">
        <v>44925</v>
      </c>
      <c r="P1703" s="184" t="s">
        <v>3728</v>
      </c>
    </row>
    <row r="1704" spans="1:16" x14ac:dyDescent="0.3">
      <c r="A1704" s="169">
        <f t="shared" si="135"/>
        <v>1561</v>
      </c>
      <c r="B1704" s="66" t="s">
        <v>1768</v>
      </c>
      <c r="C1704" s="184">
        <v>1955</v>
      </c>
      <c r="D1704" s="50"/>
      <c r="E1704" s="184" t="s">
        <v>4094</v>
      </c>
      <c r="F1704" s="198">
        <v>2</v>
      </c>
      <c r="G1704" s="50"/>
      <c r="H1704" s="192">
        <v>488.34</v>
      </c>
      <c r="I1704" s="198">
        <v>34</v>
      </c>
      <c r="J1704" s="19">
        <f t="shared" si="136"/>
        <v>404843.49</v>
      </c>
      <c r="K1704" s="50"/>
      <c r="L1704" s="50"/>
      <c r="M1704" s="50"/>
      <c r="N1704" s="19">
        <f>SUMIF('2020'!B:B,B1704,'2020'!C:C)+SUMIF('2021'!B:B,B1704,'2021'!C:C)+SUMIF('2022'!B:B,B1704,'2022'!C:C)</f>
        <v>404843.49</v>
      </c>
      <c r="O1704" s="219">
        <v>44925</v>
      </c>
      <c r="P1704" s="184" t="s">
        <v>3728</v>
      </c>
    </row>
    <row r="1705" spans="1:16" x14ac:dyDescent="0.3">
      <c r="A1705" s="169">
        <f t="shared" si="135"/>
        <v>1562</v>
      </c>
      <c r="B1705" s="66" t="s">
        <v>1770</v>
      </c>
      <c r="C1705" s="184">
        <v>1976</v>
      </c>
      <c r="D1705" s="50"/>
      <c r="E1705" s="184" t="s">
        <v>4091</v>
      </c>
      <c r="F1705" s="198">
        <v>5</v>
      </c>
      <c r="G1705" s="50"/>
      <c r="H1705" s="192">
        <v>2267.1999999999998</v>
      </c>
      <c r="I1705" s="198">
        <v>105</v>
      </c>
      <c r="J1705" s="19">
        <f t="shared" si="136"/>
        <v>133829</v>
      </c>
      <c r="K1705" s="50"/>
      <c r="L1705" s="50"/>
      <c r="M1705" s="50"/>
      <c r="N1705" s="19">
        <f>SUMIF('2020'!B:B,B1705,'2020'!C:C)+SUMIF('2021'!B:B,B1705,'2021'!C:C)+SUMIF('2022'!B:B,B1705,'2022'!C:C)</f>
        <v>133829</v>
      </c>
      <c r="O1705" s="219">
        <v>44925</v>
      </c>
      <c r="P1705" s="184" t="s">
        <v>3728</v>
      </c>
    </row>
    <row r="1706" spans="1:16" x14ac:dyDescent="0.3">
      <c r="A1706" s="169">
        <f t="shared" si="135"/>
        <v>1563</v>
      </c>
      <c r="B1706" s="66" t="s">
        <v>1771</v>
      </c>
      <c r="C1706" s="184">
        <v>1976</v>
      </c>
      <c r="D1706" s="50"/>
      <c r="E1706" s="184" t="s">
        <v>4091</v>
      </c>
      <c r="F1706" s="198">
        <v>5</v>
      </c>
      <c r="G1706" s="50"/>
      <c r="H1706" s="192">
        <v>2298.6999999999998</v>
      </c>
      <c r="I1706" s="198">
        <v>96</v>
      </c>
      <c r="J1706" s="19">
        <f t="shared" si="136"/>
        <v>137870.41</v>
      </c>
      <c r="K1706" s="50"/>
      <c r="L1706" s="50"/>
      <c r="M1706" s="50"/>
      <c r="N1706" s="19">
        <f>SUMIF('2020'!B:B,B1706,'2020'!C:C)+SUMIF('2021'!B:B,B1706,'2021'!C:C)+SUMIF('2022'!B:B,B1706,'2022'!C:C)</f>
        <v>137870.41</v>
      </c>
      <c r="O1706" s="219">
        <v>44925</v>
      </c>
      <c r="P1706" s="184" t="s">
        <v>3728</v>
      </c>
    </row>
    <row r="1707" spans="1:16" x14ac:dyDescent="0.3">
      <c r="A1707" s="169">
        <f t="shared" si="135"/>
        <v>1564</v>
      </c>
      <c r="B1707" s="66" t="s">
        <v>1772</v>
      </c>
      <c r="C1707" s="184">
        <v>1976</v>
      </c>
      <c r="D1707" s="50"/>
      <c r="E1707" s="184" t="s">
        <v>4091</v>
      </c>
      <c r="F1707" s="198">
        <v>6</v>
      </c>
      <c r="G1707" s="50"/>
      <c r="H1707" s="192">
        <v>5929.5</v>
      </c>
      <c r="I1707" s="198">
        <v>267</v>
      </c>
      <c r="J1707" s="19">
        <f t="shared" si="136"/>
        <v>292169.42</v>
      </c>
      <c r="K1707" s="50"/>
      <c r="L1707" s="50"/>
      <c r="M1707" s="50"/>
      <c r="N1707" s="19">
        <f>SUMIF('2020'!B:B,B1707,'2020'!C:C)+SUMIF('2021'!B:B,B1707,'2021'!C:C)+SUMIF('2022'!B:B,B1707,'2022'!C:C)</f>
        <v>292169.42</v>
      </c>
      <c r="O1707" s="219">
        <v>44925</v>
      </c>
      <c r="P1707" s="184" t="s">
        <v>3728</v>
      </c>
    </row>
    <row r="1708" spans="1:16" x14ac:dyDescent="0.3">
      <c r="A1708" s="169">
        <f t="shared" si="135"/>
        <v>1565</v>
      </c>
      <c r="B1708" s="66" t="s">
        <v>1773</v>
      </c>
      <c r="C1708" s="184">
        <v>1970</v>
      </c>
      <c r="D1708" s="50"/>
      <c r="E1708" s="184" t="s">
        <v>4091</v>
      </c>
      <c r="F1708" s="198">
        <v>5</v>
      </c>
      <c r="G1708" s="50"/>
      <c r="H1708" s="192">
        <v>6998.5</v>
      </c>
      <c r="I1708" s="198">
        <v>235</v>
      </c>
      <c r="J1708" s="19">
        <f t="shared" si="136"/>
        <v>16428997.220000001</v>
      </c>
      <c r="K1708" s="50"/>
      <c r="L1708" s="50"/>
      <c r="M1708" s="50"/>
      <c r="N1708" s="19">
        <f>SUMIF('2020'!B:B,B1708,'2020'!C:C)+SUMIF('2021'!B:B,B1708,'2021'!C:C)+SUMIF('2022'!B:B,B1708,'2022'!C:C)</f>
        <v>16428997.220000001</v>
      </c>
      <c r="O1708" s="219">
        <v>44925</v>
      </c>
      <c r="P1708" s="184" t="s">
        <v>3728</v>
      </c>
    </row>
    <row r="1709" spans="1:16" x14ac:dyDescent="0.3">
      <c r="A1709" s="169">
        <f t="shared" si="135"/>
        <v>1566</v>
      </c>
      <c r="B1709" s="66" t="s">
        <v>1774</v>
      </c>
      <c r="C1709" s="184">
        <v>1959</v>
      </c>
      <c r="D1709" s="50"/>
      <c r="E1709" s="184" t="s">
        <v>4091</v>
      </c>
      <c r="F1709" s="198">
        <v>2</v>
      </c>
      <c r="G1709" s="50"/>
      <c r="H1709" s="192">
        <v>640.19000000000005</v>
      </c>
      <c r="I1709" s="198">
        <v>38</v>
      </c>
      <c r="J1709" s="19">
        <f t="shared" si="136"/>
        <v>375891.08</v>
      </c>
      <c r="K1709" s="50"/>
      <c r="L1709" s="50"/>
      <c r="M1709" s="50"/>
      <c r="N1709" s="19">
        <f>SUMIF('2020'!B:B,B1709,'2020'!C:C)+SUMIF('2021'!B:B,B1709,'2021'!C:C)+SUMIF('2022'!B:B,B1709,'2022'!C:C)</f>
        <v>375891.08</v>
      </c>
      <c r="O1709" s="219">
        <v>44925</v>
      </c>
      <c r="P1709" s="184" t="s">
        <v>3728</v>
      </c>
    </row>
    <row r="1710" spans="1:16" x14ac:dyDescent="0.3">
      <c r="A1710" s="169">
        <f t="shared" si="135"/>
        <v>1567</v>
      </c>
      <c r="B1710" s="66" t="s">
        <v>1776</v>
      </c>
      <c r="C1710" s="184">
        <v>1960</v>
      </c>
      <c r="D1710" s="50"/>
      <c r="E1710" s="184" t="s">
        <v>4091</v>
      </c>
      <c r="F1710" s="198">
        <v>2</v>
      </c>
      <c r="G1710" s="50"/>
      <c r="H1710" s="192">
        <v>639.89</v>
      </c>
      <c r="I1710" s="225">
        <v>34</v>
      </c>
      <c r="J1710" s="19">
        <f t="shared" si="136"/>
        <v>377014.41000000003</v>
      </c>
      <c r="K1710" s="50"/>
      <c r="L1710" s="50"/>
      <c r="M1710" s="50"/>
      <c r="N1710" s="19">
        <f>SUMIF('2020'!B:B,B1710,'2020'!C:C)+SUMIF('2021'!B:B,B1710,'2021'!C:C)+SUMIF('2022'!B:B,B1710,'2022'!C:C)</f>
        <v>377014.41000000003</v>
      </c>
      <c r="O1710" s="219">
        <v>44925</v>
      </c>
      <c r="P1710" s="184" t="s">
        <v>3728</v>
      </c>
    </row>
    <row r="1711" spans="1:16" x14ac:dyDescent="0.3">
      <c r="A1711" s="169">
        <f t="shared" si="135"/>
        <v>1568</v>
      </c>
      <c r="B1711" s="66" t="s">
        <v>1777</v>
      </c>
      <c r="C1711" s="184">
        <v>1964</v>
      </c>
      <c r="D1711" s="50"/>
      <c r="E1711" s="184" t="s">
        <v>4091</v>
      </c>
      <c r="F1711" s="198">
        <v>2</v>
      </c>
      <c r="G1711" s="50"/>
      <c r="H1711" s="192">
        <v>630</v>
      </c>
      <c r="I1711" s="198">
        <v>35</v>
      </c>
      <c r="J1711" s="19">
        <f t="shared" si="136"/>
        <v>133406.01999999999</v>
      </c>
      <c r="K1711" s="50"/>
      <c r="L1711" s="50"/>
      <c r="M1711" s="50"/>
      <c r="N1711" s="19">
        <f>SUMIF('2020'!B:B,B1711,'2020'!C:C)+SUMIF('2021'!B:B,B1711,'2021'!C:C)+SUMIF('2022'!B:B,B1711,'2022'!C:C)</f>
        <v>133406.01999999999</v>
      </c>
      <c r="O1711" s="219">
        <v>44925</v>
      </c>
      <c r="P1711" s="184" t="s">
        <v>3728</v>
      </c>
    </row>
    <row r="1712" spans="1:16" x14ac:dyDescent="0.3">
      <c r="A1712" s="169">
        <f t="shared" si="135"/>
        <v>1569</v>
      </c>
      <c r="B1712" s="66" t="s">
        <v>1778</v>
      </c>
      <c r="C1712" s="184">
        <v>1977</v>
      </c>
      <c r="D1712" s="50"/>
      <c r="E1712" s="184" t="s">
        <v>4097</v>
      </c>
      <c r="F1712" s="198">
        <v>5</v>
      </c>
      <c r="G1712" s="50"/>
      <c r="H1712" s="192">
        <v>2986</v>
      </c>
      <c r="I1712" s="198">
        <v>78</v>
      </c>
      <c r="J1712" s="19">
        <f t="shared" si="136"/>
        <v>803479.8</v>
      </c>
      <c r="K1712" s="50"/>
      <c r="L1712" s="50"/>
      <c r="M1712" s="50"/>
      <c r="N1712" s="19">
        <f>SUMIF('2020'!B:B,B1712,'2020'!C:C)+SUMIF('2021'!B:B,B1712,'2021'!C:C)+SUMIF('2022'!B:B,B1712,'2022'!C:C)</f>
        <v>803479.8</v>
      </c>
      <c r="O1712" s="219">
        <v>44925</v>
      </c>
      <c r="P1712" s="184" t="s">
        <v>2042</v>
      </c>
    </row>
    <row r="1713" spans="1:16" x14ac:dyDescent="0.3">
      <c r="A1713" s="169">
        <f t="shared" si="135"/>
        <v>1570</v>
      </c>
      <c r="B1713" s="66" t="s">
        <v>1780</v>
      </c>
      <c r="C1713" s="184">
        <v>1960</v>
      </c>
      <c r="D1713" s="50"/>
      <c r="E1713" s="184" t="s">
        <v>4091</v>
      </c>
      <c r="F1713" s="198">
        <v>2</v>
      </c>
      <c r="G1713" s="50"/>
      <c r="H1713" s="192">
        <v>645.42999999999995</v>
      </c>
      <c r="I1713" s="198">
        <v>19</v>
      </c>
      <c r="J1713" s="19">
        <f t="shared" si="136"/>
        <v>360237.38</v>
      </c>
      <c r="K1713" s="50"/>
      <c r="L1713" s="50"/>
      <c r="M1713" s="50"/>
      <c r="N1713" s="19">
        <f>SUMIF('2020'!B:B,B1713,'2020'!C:C)+SUMIF('2021'!B:B,B1713,'2021'!C:C)+SUMIF('2022'!B:B,B1713,'2022'!C:C)</f>
        <v>360237.38</v>
      </c>
      <c r="O1713" s="219">
        <v>44925</v>
      </c>
      <c r="P1713" s="184" t="s">
        <v>3728</v>
      </c>
    </row>
    <row r="1714" spans="1:16" x14ac:dyDescent="0.3">
      <c r="A1714" s="169">
        <f t="shared" si="135"/>
        <v>1571</v>
      </c>
      <c r="B1714" s="66" t="s">
        <v>1781</v>
      </c>
      <c r="C1714" s="184">
        <v>1958</v>
      </c>
      <c r="D1714" s="50"/>
      <c r="E1714" s="184" t="s">
        <v>4091</v>
      </c>
      <c r="F1714" s="198">
        <v>3</v>
      </c>
      <c r="G1714" s="50"/>
      <c r="H1714" s="192">
        <v>675</v>
      </c>
      <c r="I1714" s="225">
        <v>23</v>
      </c>
      <c r="J1714" s="19">
        <f t="shared" si="136"/>
        <v>671192.28</v>
      </c>
      <c r="K1714" s="50"/>
      <c r="L1714" s="50"/>
      <c r="M1714" s="50"/>
      <c r="N1714" s="19">
        <f>SUMIF('2020'!B:B,B1714,'2020'!C:C)+SUMIF('2021'!B:B,B1714,'2021'!C:C)+SUMIF('2022'!B:B,B1714,'2022'!C:C)</f>
        <v>671192.28</v>
      </c>
      <c r="O1714" s="219">
        <v>44925</v>
      </c>
      <c r="P1714" s="184" t="s">
        <v>3728</v>
      </c>
    </row>
    <row r="1715" spans="1:16" x14ac:dyDescent="0.3">
      <c r="A1715" s="169">
        <f t="shared" si="135"/>
        <v>1572</v>
      </c>
      <c r="B1715" s="66" t="s">
        <v>1782</v>
      </c>
      <c r="C1715" s="184">
        <v>1960</v>
      </c>
      <c r="D1715" s="50"/>
      <c r="E1715" s="184" t="s">
        <v>4091</v>
      </c>
      <c r="F1715" s="198">
        <v>2</v>
      </c>
      <c r="G1715" s="50"/>
      <c r="H1715" s="192">
        <v>598.6</v>
      </c>
      <c r="I1715" s="198">
        <v>25</v>
      </c>
      <c r="J1715" s="19">
        <f t="shared" si="136"/>
        <v>352075.69</v>
      </c>
      <c r="K1715" s="50"/>
      <c r="L1715" s="50"/>
      <c r="M1715" s="50"/>
      <c r="N1715" s="19">
        <f>SUMIF('2020'!B:B,B1715,'2020'!C:C)+SUMIF('2021'!B:B,B1715,'2021'!C:C)+SUMIF('2022'!B:B,B1715,'2022'!C:C)</f>
        <v>352075.69</v>
      </c>
      <c r="O1715" s="219">
        <v>44925</v>
      </c>
      <c r="P1715" s="184" t="s">
        <v>3728</v>
      </c>
    </row>
    <row r="1716" spans="1:16" x14ac:dyDescent="0.3">
      <c r="A1716" s="169">
        <f t="shared" si="135"/>
        <v>1573</v>
      </c>
      <c r="B1716" s="66" t="s">
        <v>1783</v>
      </c>
      <c r="C1716" s="184">
        <v>1960</v>
      </c>
      <c r="D1716" s="50"/>
      <c r="E1716" s="184" t="s">
        <v>4091</v>
      </c>
      <c r="F1716" s="198">
        <v>3</v>
      </c>
      <c r="G1716" s="50"/>
      <c r="H1716" s="192">
        <v>698.1</v>
      </c>
      <c r="I1716" s="198">
        <v>23</v>
      </c>
      <c r="J1716" s="19">
        <f t="shared" si="136"/>
        <v>456889.26000000007</v>
      </c>
      <c r="K1716" s="50"/>
      <c r="L1716" s="50"/>
      <c r="M1716" s="50"/>
      <c r="N1716" s="19">
        <f>SUMIF('2020'!B:B,B1716,'2020'!C:C)+SUMIF('2021'!B:B,B1716,'2021'!C:C)+SUMIF('2022'!B:B,B1716,'2022'!C:C)</f>
        <v>456889.26000000007</v>
      </c>
      <c r="O1716" s="219">
        <v>44925</v>
      </c>
      <c r="P1716" s="184" t="s">
        <v>3728</v>
      </c>
    </row>
    <row r="1717" spans="1:16" x14ac:dyDescent="0.3">
      <c r="A1717" s="169">
        <f t="shared" si="135"/>
        <v>1574</v>
      </c>
      <c r="B1717" s="66" t="s">
        <v>1784</v>
      </c>
      <c r="C1717" s="184">
        <v>1962</v>
      </c>
      <c r="D1717" s="50"/>
      <c r="E1717" s="184" t="s">
        <v>4091</v>
      </c>
      <c r="F1717" s="198">
        <v>2</v>
      </c>
      <c r="G1717" s="50"/>
      <c r="H1717" s="192">
        <v>629.38</v>
      </c>
      <c r="I1717" s="198">
        <v>25</v>
      </c>
      <c r="J1717" s="19">
        <f t="shared" si="136"/>
        <v>356980.17</v>
      </c>
      <c r="K1717" s="50"/>
      <c r="L1717" s="50"/>
      <c r="M1717" s="50"/>
      <c r="N1717" s="19">
        <f>SUMIF('2020'!B:B,B1717,'2020'!C:C)+SUMIF('2021'!B:B,B1717,'2021'!C:C)+SUMIF('2022'!B:B,B1717,'2022'!C:C)</f>
        <v>356980.17</v>
      </c>
      <c r="O1717" s="219">
        <v>44925</v>
      </c>
      <c r="P1717" s="184" t="s">
        <v>3728</v>
      </c>
    </row>
    <row r="1718" spans="1:16" x14ac:dyDescent="0.3">
      <c r="A1718" s="169">
        <f t="shared" si="135"/>
        <v>1575</v>
      </c>
      <c r="B1718" s="66" t="s">
        <v>1785</v>
      </c>
      <c r="C1718" s="184">
        <v>1917</v>
      </c>
      <c r="D1718" s="50"/>
      <c r="E1718" s="184" t="s">
        <v>4091</v>
      </c>
      <c r="F1718" s="198">
        <v>2</v>
      </c>
      <c r="G1718" s="50"/>
      <c r="H1718" s="192">
        <v>932.89</v>
      </c>
      <c r="I1718" s="198">
        <v>36</v>
      </c>
      <c r="J1718" s="19">
        <f t="shared" si="136"/>
        <v>505964.35000000003</v>
      </c>
      <c r="K1718" s="50"/>
      <c r="L1718" s="50"/>
      <c r="M1718" s="50"/>
      <c r="N1718" s="19">
        <f>SUMIF('2020'!B:B,B1718,'2020'!C:C)+SUMIF('2021'!B:B,B1718,'2021'!C:C)+SUMIF('2022'!B:B,B1718,'2022'!C:C)</f>
        <v>505964.35000000003</v>
      </c>
      <c r="O1718" s="219">
        <v>44925</v>
      </c>
      <c r="P1718" s="184" t="s">
        <v>3728</v>
      </c>
    </row>
    <row r="1719" spans="1:16" x14ac:dyDescent="0.3">
      <c r="A1719" s="169">
        <f t="shared" si="135"/>
        <v>1576</v>
      </c>
      <c r="B1719" s="66" t="s">
        <v>1787</v>
      </c>
      <c r="C1719" s="184">
        <v>1962</v>
      </c>
      <c r="D1719" s="50"/>
      <c r="E1719" s="184" t="s">
        <v>4091</v>
      </c>
      <c r="F1719" s="198">
        <v>2</v>
      </c>
      <c r="G1719" s="50"/>
      <c r="H1719" s="192">
        <v>638.01</v>
      </c>
      <c r="I1719" s="198">
        <v>31</v>
      </c>
      <c r="J1719" s="19">
        <f t="shared" si="136"/>
        <v>361290.60000000003</v>
      </c>
      <c r="K1719" s="50"/>
      <c r="L1719" s="50"/>
      <c r="M1719" s="50"/>
      <c r="N1719" s="19">
        <f>SUMIF('2020'!B:B,B1719,'2020'!C:C)+SUMIF('2021'!B:B,B1719,'2021'!C:C)+SUMIF('2022'!B:B,B1719,'2022'!C:C)</f>
        <v>361290.60000000003</v>
      </c>
      <c r="O1719" s="219">
        <v>44925</v>
      </c>
      <c r="P1719" s="184" t="s">
        <v>3728</v>
      </c>
    </row>
    <row r="1720" spans="1:16" x14ac:dyDescent="0.3">
      <c r="A1720" s="169">
        <f t="shared" si="135"/>
        <v>1577</v>
      </c>
      <c r="B1720" s="66" t="s">
        <v>1789</v>
      </c>
      <c r="C1720" s="184">
        <v>1960</v>
      </c>
      <c r="D1720" s="50"/>
      <c r="E1720" s="184" t="s">
        <v>4091</v>
      </c>
      <c r="F1720" s="198">
        <v>3</v>
      </c>
      <c r="G1720" s="50"/>
      <c r="H1720" s="192">
        <v>708.9</v>
      </c>
      <c r="I1720" s="198">
        <v>18</v>
      </c>
      <c r="J1720" s="19">
        <f t="shared" si="136"/>
        <v>705978.04999999993</v>
      </c>
      <c r="K1720" s="50"/>
      <c r="L1720" s="50"/>
      <c r="M1720" s="50"/>
      <c r="N1720" s="19">
        <f>SUMIF('2020'!B:B,B1720,'2020'!C:C)+SUMIF('2021'!B:B,B1720,'2021'!C:C)+SUMIF('2022'!B:B,B1720,'2022'!C:C)</f>
        <v>705978.04999999993</v>
      </c>
      <c r="O1720" s="219">
        <v>44925</v>
      </c>
      <c r="P1720" s="184" t="s">
        <v>3728</v>
      </c>
    </row>
    <row r="1721" spans="1:16" x14ac:dyDescent="0.3">
      <c r="A1721" s="169">
        <f t="shared" si="135"/>
        <v>1578</v>
      </c>
      <c r="B1721" s="66" t="s">
        <v>1790</v>
      </c>
      <c r="C1721" s="184">
        <v>1960</v>
      </c>
      <c r="D1721" s="50"/>
      <c r="E1721" s="184" t="s">
        <v>4091</v>
      </c>
      <c r="F1721" s="198">
        <v>2</v>
      </c>
      <c r="G1721" s="50"/>
      <c r="H1721" s="192">
        <v>674.5</v>
      </c>
      <c r="I1721" s="198">
        <v>30</v>
      </c>
      <c r="J1721" s="19">
        <f t="shared" si="136"/>
        <v>359228.46</v>
      </c>
      <c r="K1721" s="50"/>
      <c r="L1721" s="50"/>
      <c r="M1721" s="50"/>
      <c r="N1721" s="19">
        <f>SUMIF('2020'!B:B,B1721,'2020'!C:C)+SUMIF('2021'!B:B,B1721,'2021'!C:C)+SUMIF('2022'!B:B,B1721,'2022'!C:C)</f>
        <v>359228.46</v>
      </c>
      <c r="O1721" s="219">
        <v>44925</v>
      </c>
      <c r="P1721" s="184" t="s">
        <v>3728</v>
      </c>
    </row>
    <row r="1722" spans="1:16" x14ac:dyDescent="0.3">
      <c r="A1722" s="169">
        <f t="shared" si="135"/>
        <v>1579</v>
      </c>
      <c r="B1722" s="66" t="s">
        <v>1792</v>
      </c>
      <c r="C1722" s="184">
        <v>1960</v>
      </c>
      <c r="D1722" s="50"/>
      <c r="E1722" s="184" t="s">
        <v>4091</v>
      </c>
      <c r="F1722" s="198">
        <v>2</v>
      </c>
      <c r="G1722" s="50"/>
      <c r="H1722" s="192">
        <v>634.1</v>
      </c>
      <c r="I1722" s="225">
        <v>31</v>
      </c>
      <c r="J1722" s="19">
        <f t="shared" si="136"/>
        <v>359228.46</v>
      </c>
      <c r="K1722" s="50"/>
      <c r="L1722" s="50"/>
      <c r="M1722" s="50"/>
      <c r="N1722" s="19">
        <f>SUMIF('2020'!B:B,B1722,'2020'!C:C)+SUMIF('2021'!B:B,B1722,'2021'!C:C)+SUMIF('2022'!B:B,B1722,'2022'!C:C)</f>
        <v>359228.46</v>
      </c>
      <c r="O1722" s="219">
        <v>44925</v>
      </c>
      <c r="P1722" s="184" t="s">
        <v>3728</v>
      </c>
    </row>
    <row r="1723" spans="1:16" x14ac:dyDescent="0.3">
      <c r="A1723" s="169">
        <f t="shared" si="135"/>
        <v>1580</v>
      </c>
      <c r="B1723" s="66" t="s">
        <v>1793</v>
      </c>
      <c r="C1723" s="184">
        <v>1960</v>
      </c>
      <c r="D1723" s="50"/>
      <c r="E1723" s="184" t="s">
        <v>4091</v>
      </c>
      <c r="F1723" s="198">
        <v>2</v>
      </c>
      <c r="G1723" s="50"/>
      <c r="H1723" s="192">
        <v>662.1</v>
      </c>
      <c r="I1723" s="198">
        <v>32</v>
      </c>
      <c r="J1723" s="19">
        <f t="shared" si="136"/>
        <v>338117.57</v>
      </c>
      <c r="K1723" s="50"/>
      <c r="L1723" s="50"/>
      <c r="M1723" s="50"/>
      <c r="N1723" s="19">
        <f>SUMIF('2020'!B:B,B1723,'2020'!C:C)+SUMIF('2021'!B:B,B1723,'2021'!C:C)+SUMIF('2022'!B:B,B1723,'2022'!C:C)</f>
        <v>338117.57</v>
      </c>
      <c r="O1723" s="219">
        <v>44925</v>
      </c>
      <c r="P1723" s="184" t="s">
        <v>3728</v>
      </c>
    </row>
    <row r="1724" spans="1:16" x14ac:dyDescent="0.3">
      <c r="A1724" s="169">
        <f t="shared" si="135"/>
        <v>1581</v>
      </c>
      <c r="B1724" s="66" t="s">
        <v>1795</v>
      </c>
      <c r="C1724" s="184">
        <v>1960</v>
      </c>
      <c r="D1724" s="50"/>
      <c r="E1724" s="184" t="s">
        <v>4091</v>
      </c>
      <c r="F1724" s="198">
        <v>2</v>
      </c>
      <c r="G1724" s="50"/>
      <c r="H1724" s="192">
        <v>653.29999999999995</v>
      </c>
      <c r="I1724" s="198">
        <v>34</v>
      </c>
      <c r="J1724" s="19">
        <f t="shared" si="136"/>
        <v>545510.21000000008</v>
      </c>
      <c r="K1724" s="50"/>
      <c r="L1724" s="50"/>
      <c r="M1724" s="50"/>
      <c r="N1724" s="19">
        <f>SUMIF('2020'!B:B,B1724,'2020'!C:C)+SUMIF('2021'!B:B,B1724,'2021'!C:C)+SUMIF('2022'!B:B,B1724,'2022'!C:C)</f>
        <v>545510.21000000008</v>
      </c>
      <c r="O1724" s="219">
        <v>44925</v>
      </c>
      <c r="P1724" s="184" t="s">
        <v>3728</v>
      </c>
    </row>
    <row r="1725" spans="1:16" x14ac:dyDescent="0.3">
      <c r="A1725" s="169">
        <f t="shared" si="135"/>
        <v>1582</v>
      </c>
      <c r="B1725" s="66" t="s">
        <v>1796</v>
      </c>
      <c r="C1725" s="184">
        <v>1960</v>
      </c>
      <c r="D1725" s="50"/>
      <c r="E1725" s="184" t="s">
        <v>4091</v>
      </c>
      <c r="F1725" s="198">
        <v>2</v>
      </c>
      <c r="G1725" s="50"/>
      <c r="H1725" s="192">
        <v>657.39</v>
      </c>
      <c r="I1725" s="198">
        <v>22</v>
      </c>
      <c r="J1725" s="19">
        <f t="shared" si="136"/>
        <v>568003.61</v>
      </c>
      <c r="K1725" s="50"/>
      <c r="L1725" s="50"/>
      <c r="M1725" s="50"/>
      <c r="N1725" s="19">
        <f>SUMIF('2020'!B:B,B1725,'2020'!C:C)+SUMIF('2021'!B:B,B1725,'2021'!C:C)+SUMIF('2022'!B:B,B1725,'2022'!C:C)</f>
        <v>568003.61</v>
      </c>
      <c r="O1725" s="219">
        <v>44925</v>
      </c>
      <c r="P1725" s="184" t="s">
        <v>3728</v>
      </c>
    </row>
    <row r="1726" spans="1:16" x14ac:dyDescent="0.3">
      <c r="A1726" s="169">
        <f t="shared" si="135"/>
        <v>1583</v>
      </c>
      <c r="B1726" s="66" t="s">
        <v>1797</v>
      </c>
      <c r="C1726" s="184">
        <v>1960</v>
      </c>
      <c r="D1726" s="50"/>
      <c r="E1726" s="184" t="s">
        <v>4091</v>
      </c>
      <c r="F1726" s="198">
        <v>2</v>
      </c>
      <c r="G1726" s="50"/>
      <c r="H1726" s="192">
        <v>652.66999999999996</v>
      </c>
      <c r="I1726" s="198">
        <v>25</v>
      </c>
      <c r="J1726" s="19">
        <f t="shared" si="136"/>
        <v>565694.48</v>
      </c>
      <c r="K1726" s="50"/>
      <c r="L1726" s="50"/>
      <c r="M1726" s="50"/>
      <c r="N1726" s="19">
        <f>SUMIF('2020'!B:B,B1726,'2020'!C:C)+SUMIF('2021'!B:B,B1726,'2021'!C:C)+SUMIF('2022'!B:B,B1726,'2022'!C:C)</f>
        <v>565694.48</v>
      </c>
      <c r="O1726" s="219">
        <v>44925</v>
      </c>
      <c r="P1726" s="184" t="s">
        <v>3728</v>
      </c>
    </row>
    <row r="1727" spans="1:16" x14ac:dyDescent="0.3">
      <c r="A1727" s="169">
        <f t="shared" ref="A1727:A1790" si="137">A1726+1</f>
        <v>1584</v>
      </c>
      <c r="B1727" s="66" t="s">
        <v>1799</v>
      </c>
      <c r="C1727" s="184">
        <v>1960</v>
      </c>
      <c r="D1727" s="50"/>
      <c r="E1727" s="236" t="s">
        <v>4091</v>
      </c>
      <c r="F1727" s="198">
        <v>3</v>
      </c>
      <c r="G1727" s="50"/>
      <c r="H1727" s="192">
        <v>695</v>
      </c>
      <c r="I1727" s="198">
        <v>25</v>
      </c>
      <c r="J1727" s="19">
        <f t="shared" si="136"/>
        <v>715633.53</v>
      </c>
      <c r="K1727" s="50"/>
      <c r="L1727" s="50"/>
      <c r="M1727" s="50"/>
      <c r="N1727" s="19">
        <f>SUMIF('2020'!B:B,B1727,'2020'!C:C)+SUMIF('2021'!B:B,B1727,'2021'!C:C)+SUMIF('2022'!B:B,B1727,'2022'!C:C)</f>
        <v>715633.53</v>
      </c>
      <c r="O1727" s="219">
        <v>44925</v>
      </c>
      <c r="P1727" s="184" t="s">
        <v>3728</v>
      </c>
    </row>
    <row r="1728" spans="1:16" x14ac:dyDescent="0.3">
      <c r="A1728" s="169">
        <f t="shared" si="137"/>
        <v>1585</v>
      </c>
      <c r="B1728" s="66" t="s">
        <v>1800</v>
      </c>
      <c r="C1728" s="184">
        <v>1960</v>
      </c>
      <c r="D1728" s="50"/>
      <c r="E1728" s="184" t="s">
        <v>4091</v>
      </c>
      <c r="F1728" s="198">
        <v>2</v>
      </c>
      <c r="G1728" s="50"/>
      <c r="H1728" s="192">
        <v>651.27</v>
      </c>
      <c r="I1728" s="198">
        <v>30</v>
      </c>
      <c r="J1728" s="19">
        <f t="shared" si="136"/>
        <v>361357.72</v>
      </c>
      <c r="K1728" s="50"/>
      <c r="L1728" s="50"/>
      <c r="M1728" s="50"/>
      <c r="N1728" s="19">
        <f>SUMIF('2020'!B:B,B1728,'2020'!C:C)+SUMIF('2021'!B:B,B1728,'2021'!C:C)+SUMIF('2022'!B:B,B1728,'2022'!C:C)</f>
        <v>361357.72</v>
      </c>
      <c r="O1728" s="219">
        <v>44925</v>
      </c>
      <c r="P1728" s="184" t="s">
        <v>3728</v>
      </c>
    </row>
    <row r="1729" spans="1:16" x14ac:dyDescent="0.3">
      <c r="A1729" s="169">
        <f t="shared" si="137"/>
        <v>1586</v>
      </c>
      <c r="B1729" s="66" t="s">
        <v>1801</v>
      </c>
      <c r="C1729" s="184">
        <v>1917</v>
      </c>
      <c r="D1729" s="50"/>
      <c r="E1729" s="184" t="s">
        <v>4094</v>
      </c>
      <c r="F1729" s="198">
        <v>2</v>
      </c>
      <c r="G1729" s="50"/>
      <c r="H1729" s="192">
        <v>254.69</v>
      </c>
      <c r="I1729" s="198">
        <v>17</v>
      </c>
      <c r="J1729" s="19">
        <f t="shared" si="136"/>
        <v>393731.64</v>
      </c>
      <c r="K1729" s="50"/>
      <c r="L1729" s="50"/>
      <c r="M1729" s="50"/>
      <c r="N1729" s="19">
        <f>SUMIF('2020'!B:B,B1729,'2020'!C:C)+SUMIF('2021'!B:B,B1729,'2021'!C:C)+SUMIF('2022'!B:B,B1729,'2022'!C:C)</f>
        <v>393731.64</v>
      </c>
      <c r="O1729" s="219">
        <v>44925</v>
      </c>
      <c r="P1729" s="184" t="s">
        <v>3728</v>
      </c>
    </row>
    <row r="1730" spans="1:16" x14ac:dyDescent="0.3">
      <c r="A1730" s="169">
        <f t="shared" si="137"/>
        <v>1587</v>
      </c>
      <c r="B1730" s="66" t="s">
        <v>1803</v>
      </c>
      <c r="C1730" s="184">
        <v>1917</v>
      </c>
      <c r="D1730" s="50"/>
      <c r="E1730" s="184" t="s">
        <v>4094</v>
      </c>
      <c r="F1730" s="198">
        <v>2</v>
      </c>
      <c r="G1730" s="50"/>
      <c r="H1730" s="192">
        <v>359.4</v>
      </c>
      <c r="I1730" s="198">
        <v>10</v>
      </c>
      <c r="J1730" s="19">
        <f t="shared" si="136"/>
        <v>702535.12</v>
      </c>
      <c r="K1730" s="50"/>
      <c r="L1730" s="50"/>
      <c r="M1730" s="50"/>
      <c r="N1730" s="19">
        <f>SUMIF('2020'!B:B,B1730,'2020'!C:C)+SUMIF('2021'!B:B,B1730,'2021'!C:C)+SUMIF('2022'!B:B,B1730,'2022'!C:C)</f>
        <v>702535.12</v>
      </c>
      <c r="O1730" s="219">
        <v>44925</v>
      </c>
      <c r="P1730" s="184" t="s">
        <v>3728</v>
      </c>
    </row>
    <row r="1731" spans="1:16" x14ac:dyDescent="0.3">
      <c r="A1731" s="169">
        <f t="shared" si="137"/>
        <v>1588</v>
      </c>
      <c r="B1731" s="66" t="s">
        <v>1804</v>
      </c>
      <c r="C1731" s="184">
        <v>1917</v>
      </c>
      <c r="D1731" s="50"/>
      <c r="E1731" s="184" t="s">
        <v>4094</v>
      </c>
      <c r="F1731" s="198">
        <v>2</v>
      </c>
      <c r="G1731" s="50"/>
      <c r="H1731" s="192">
        <v>204.05</v>
      </c>
      <c r="I1731" s="198">
        <v>9</v>
      </c>
      <c r="J1731" s="19">
        <f t="shared" si="136"/>
        <v>707185.8</v>
      </c>
      <c r="K1731" s="50"/>
      <c r="L1731" s="50"/>
      <c r="M1731" s="50"/>
      <c r="N1731" s="19">
        <f>SUMIF('2020'!B:B,B1731,'2020'!C:C)+SUMIF('2021'!B:B,B1731,'2021'!C:C)+SUMIF('2022'!B:B,B1731,'2022'!C:C)</f>
        <v>707185.8</v>
      </c>
      <c r="O1731" s="219">
        <v>44925</v>
      </c>
      <c r="P1731" s="184" t="s">
        <v>3728</v>
      </c>
    </row>
    <row r="1732" spans="1:16" x14ac:dyDescent="0.3">
      <c r="A1732" s="169">
        <f t="shared" si="137"/>
        <v>1589</v>
      </c>
      <c r="B1732" s="66" t="s">
        <v>1805</v>
      </c>
      <c r="C1732" s="184">
        <v>1917</v>
      </c>
      <c r="D1732" s="50"/>
      <c r="E1732" s="184" t="s">
        <v>4094</v>
      </c>
      <c r="F1732" s="198">
        <v>2</v>
      </c>
      <c r="G1732" s="50"/>
      <c r="H1732" s="192">
        <v>266.04000000000002</v>
      </c>
      <c r="I1732" s="198">
        <v>19</v>
      </c>
      <c r="J1732" s="19">
        <f t="shared" si="136"/>
        <v>472504.18000000005</v>
      </c>
      <c r="K1732" s="50"/>
      <c r="L1732" s="50"/>
      <c r="M1732" s="50"/>
      <c r="N1732" s="19">
        <f>SUMIF('2020'!B:B,B1732,'2020'!C:C)+SUMIF('2021'!B:B,B1732,'2021'!C:C)+SUMIF('2022'!B:B,B1732,'2022'!C:C)</f>
        <v>472504.18000000005</v>
      </c>
      <c r="O1732" s="219">
        <v>44925</v>
      </c>
      <c r="P1732" s="184" t="s">
        <v>3728</v>
      </c>
    </row>
    <row r="1733" spans="1:16" x14ac:dyDescent="0.3">
      <c r="A1733" s="169">
        <f t="shared" si="137"/>
        <v>1590</v>
      </c>
      <c r="B1733" s="66" t="s">
        <v>1806</v>
      </c>
      <c r="C1733" s="184">
        <v>1917</v>
      </c>
      <c r="D1733" s="50"/>
      <c r="E1733" s="184" t="s">
        <v>4094</v>
      </c>
      <c r="F1733" s="198">
        <v>2</v>
      </c>
      <c r="G1733" s="50"/>
      <c r="H1733" s="192">
        <v>206.97</v>
      </c>
      <c r="I1733" s="198">
        <v>23</v>
      </c>
      <c r="J1733" s="19">
        <f t="shared" si="136"/>
        <v>368895.95</v>
      </c>
      <c r="K1733" s="50"/>
      <c r="L1733" s="50"/>
      <c r="M1733" s="50"/>
      <c r="N1733" s="19">
        <f>SUMIF('2020'!B:B,B1733,'2020'!C:C)+SUMIF('2021'!B:B,B1733,'2021'!C:C)+SUMIF('2022'!B:B,B1733,'2022'!C:C)</f>
        <v>368895.95</v>
      </c>
      <c r="O1733" s="219">
        <v>44925</v>
      </c>
      <c r="P1733" s="184" t="s">
        <v>3728</v>
      </c>
    </row>
    <row r="1734" spans="1:16" x14ac:dyDescent="0.3">
      <c r="A1734" s="169">
        <f t="shared" si="137"/>
        <v>1591</v>
      </c>
      <c r="B1734" s="66" t="s">
        <v>1807</v>
      </c>
      <c r="C1734" s="184">
        <v>1953</v>
      </c>
      <c r="D1734" s="50"/>
      <c r="E1734" s="184" t="s">
        <v>4091</v>
      </c>
      <c r="F1734" s="83" t="s">
        <v>4101</v>
      </c>
      <c r="G1734" s="50"/>
      <c r="H1734" s="192">
        <v>1509.8</v>
      </c>
      <c r="I1734" s="198">
        <v>88</v>
      </c>
      <c r="J1734" s="19">
        <f t="shared" si="136"/>
        <v>6211187.2000000002</v>
      </c>
      <c r="K1734" s="50"/>
      <c r="L1734" s="50"/>
      <c r="M1734" s="50"/>
      <c r="N1734" s="19">
        <f>SUMIF('2020'!B:B,B1734,'2020'!C:C)+SUMIF('2021'!B:B,B1734,'2021'!C:C)+SUMIF('2022'!B:B,B1734,'2022'!C:C)</f>
        <v>6211187.2000000002</v>
      </c>
      <c r="O1734" s="219">
        <v>44925</v>
      </c>
      <c r="P1734" s="184" t="s">
        <v>3728</v>
      </c>
    </row>
    <row r="1735" spans="1:16" x14ac:dyDescent="0.3">
      <c r="A1735" s="169">
        <f t="shared" si="137"/>
        <v>1592</v>
      </c>
      <c r="B1735" s="66" t="s">
        <v>1808</v>
      </c>
      <c r="C1735" s="184">
        <v>1917</v>
      </c>
      <c r="D1735" s="50"/>
      <c r="E1735" s="184" t="s">
        <v>4094</v>
      </c>
      <c r="F1735" s="198">
        <v>2</v>
      </c>
      <c r="G1735" s="50"/>
      <c r="H1735" s="192">
        <v>532.37</v>
      </c>
      <c r="I1735" s="198">
        <v>49</v>
      </c>
      <c r="J1735" s="19">
        <f t="shared" ref="J1735:J1798" si="138">K1735+L1735+M1735+N1735</f>
        <v>899491.86999999988</v>
      </c>
      <c r="K1735" s="50"/>
      <c r="L1735" s="50"/>
      <c r="M1735" s="50"/>
      <c r="N1735" s="19">
        <f>SUMIF('2020'!B:B,B1735,'2020'!C:C)+SUMIF('2021'!B:B,B1735,'2021'!C:C)+SUMIF('2022'!B:B,B1735,'2022'!C:C)</f>
        <v>899491.86999999988</v>
      </c>
      <c r="O1735" s="219">
        <v>44925</v>
      </c>
      <c r="P1735" s="184" t="s">
        <v>3728</v>
      </c>
    </row>
    <row r="1736" spans="1:16" x14ac:dyDescent="0.3">
      <c r="A1736" s="169">
        <f t="shared" si="137"/>
        <v>1593</v>
      </c>
      <c r="B1736" s="66" t="s">
        <v>1809</v>
      </c>
      <c r="C1736" s="184">
        <v>1957</v>
      </c>
      <c r="D1736" s="50"/>
      <c r="E1736" s="184" t="s">
        <v>4091</v>
      </c>
      <c r="F1736" s="198">
        <v>2</v>
      </c>
      <c r="G1736" s="50"/>
      <c r="H1736" s="192">
        <v>564.4</v>
      </c>
      <c r="I1736" s="198">
        <v>30</v>
      </c>
      <c r="J1736" s="19">
        <f t="shared" si="138"/>
        <v>2550791.36</v>
      </c>
      <c r="K1736" s="50"/>
      <c r="L1736" s="50"/>
      <c r="M1736" s="50"/>
      <c r="N1736" s="19">
        <f>SUMIF('2020'!B:B,B1736,'2020'!C:C)+SUMIF('2021'!B:B,B1736,'2021'!C:C)+SUMIF('2022'!B:B,B1736,'2022'!C:C)</f>
        <v>2550791.36</v>
      </c>
      <c r="O1736" s="219">
        <v>44925</v>
      </c>
      <c r="P1736" s="184" t="s">
        <v>3728</v>
      </c>
    </row>
    <row r="1737" spans="1:16" x14ac:dyDescent="0.3">
      <c r="A1737" s="169">
        <f t="shared" si="137"/>
        <v>1594</v>
      </c>
      <c r="B1737" s="66" t="s">
        <v>1811</v>
      </c>
      <c r="C1737" s="184">
        <v>1962</v>
      </c>
      <c r="D1737" s="50"/>
      <c r="E1737" s="184" t="s">
        <v>4091</v>
      </c>
      <c r="F1737" s="198">
        <v>3</v>
      </c>
      <c r="G1737" s="50"/>
      <c r="H1737" s="192">
        <v>936.2</v>
      </c>
      <c r="I1737" s="198">
        <v>56</v>
      </c>
      <c r="J1737" s="19">
        <f t="shared" si="138"/>
        <v>1097704.43</v>
      </c>
      <c r="K1737" s="50"/>
      <c r="L1737" s="50"/>
      <c r="M1737" s="50"/>
      <c r="N1737" s="19">
        <f>SUMIF('2020'!B:B,B1737,'2020'!C:C)+SUMIF('2021'!B:B,B1737,'2021'!C:C)+SUMIF('2022'!B:B,B1737,'2022'!C:C)</f>
        <v>1097704.43</v>
      </c>
      <c r="O1737" s="219">
        <v>44925</v>
      </c>
      <c r="P1737" s="184" t="s">
        <v>3728</v>
      </c>
    </row>
    <row r="1738" spans="1:16" x14ac:dyDescent="0.3">
      <c r="A1738" s="169">
        <f t="shared" si="137"/>
        <v>1595</v>
      </c>
      <c r="B1738" s="66" t="s">
        <v>1812</v>
      </c>
      <c r="C1738" s="184">
        <v>1964</v>
      </c>
      <c r="D1738" s="50"/>
      <c r="E1738" s="184" t="s">
        <v>4091</v>
      </c>
      <c r="F1738" s="198">
        <v>4</v>
      </c>
      <c r="G1738" s="50"/>
      <c r="H1738" s="192">
        <v>2501</v>
      </c>
      <c r="I1738" s="198">
        <v>131</v>
      </c>
      <c r="J1738" s="19">
        <f t="shared" si="138"/>
        <v>2075492.49</v>
      </c>
      <c r="K1738" s="50"/>
      <c r="L1738" s="50"/>
      <c r="M1738" s="50"/>
      <c r="N1738" s="19">
        <f>SUMIF('2020'!B:B,B1738,'2020'!C:C)+SUMIF('2021'!B:B,B1738,'2021'!C:C)+SUMIF('2022'!B:B,B1738,'2022'!C:C)</f>
        <v>2075492.49</v>
      </c>
      <c r="O1738" s="219">
        <v>44925</v>
      </c>
      <c r="P1738" s="184" t="s">
        <v>3728</v>
      </c>
    </row>
    <row r="1739" spans="1:16" x14ac:dyDescent="0.3">
      <c r="A1739" s="169">
        <f t="shared" si="137"/>
        <v>1596</v>
      </c>
      <c r="B1739" s="66" t="s">
        <v>1814</v>
      </c>
      <c r="C1739" s="184">
        <v>1917</v>
      </c>
      <c r="D1739" s="50"/>
      <c r="E1739" s="184" t="s">
        <v>4094</v>
      </c>
      <c r="F1739" s="198">
        <v>2</v>
      </c>
      <c r="G1739" s="50"/>
      <c r="H1739" s="192">
        <v>94.6</v>
      </c>
      <c r="I1739" s="198">
        <v>8</v>
      </c>
      <c r="J1739" s="19">
        <f t="shared" si="138"/>
        <v>708436.24</v>
      </c>
      <c r="K1739" s="50"/>
      <c r="L1739" s="50"/>
      <c r="M1739" s="50"/>
      <c r="N1739" s="19">
        <f>SUMIF('2020'!B:B,B1739,'2020'!C:C)+SUMIF('2021'!B:B,B1739,'2021'!C:C)+SUMIF('2022'!B:B,B1739,'2022'!C:C)</f>
        <v>708436.24</v>
      </c>
      <c r="O1739" s="219">
        <v>44925</v>
      </c>
      <c r="P1739" s="184" t="s">
        <v>3728</v>
      </c>
    </row>
    <row r="1740" spans="1:16" x14ac:dyDescent="0.3">
      <c r="A1740" s="169">
        <f t="shared" si="137"/>
        <v>1597</v>
      </c>
      <c r="B1740" s="66" t="s">
        <v>1816</v>
      </c>
      <c r="C1740" s="184">
        <v>1917</v>
      </c>
      <c r="D1740" s="50"/>
      <c r="E1740" s="184" t="s">
        <v>4091</v>
      </c>
      <c r="F1740" s="198">
        <v>2</v>
      </c>
      <c r="G1740" s="50"/>
      <c r="H1740" s="192">
        <v>366.6</v>
      </c>
      <c r="I1740" s="198">
        <v>3</v>
      </c>
      <c r="J1740" s="19">
        <f t="shared" si="138"/>
        <v>1816443.72</v>
      </c>
      <c r="K1740" s="50"/>
      <c r="L1740" s="50"/>
      <c r="M1740" s="50"/>
      <c r="N1740" s="19">
        <f>SUMIF('2020'!B:B,B1740,'2020'!C:C)+SUMIF('2021'!B:B,B1740,'2021'!C:C)+SUMIF('2022'!B:B,B1740,'2022'!C:C)</f>
        <v>1816443.72</v>
      </c>
      <c r="O1740" s="219">
        <v>44925</v>
      </c>
      <c r="P1740" s="184" t="s">
        <v>3728</v>
      </c>
    </row>
    <row r="1741" spans="1:16" x14ac:dyDescent="0.3">
      <c r="A1741" s="169">
        <f t="shared" si="137"/>
        <v>1598</v>
      </c>
      <c r="B1741" s="66" t="s">
        <v>1818</v>
      </c>
      <c r="C1741" s="184">
        <v>1958</v>
      </c>
      <c r="D1741" s="50"/>
      <c r="E1741" s="184" t="s">
        <v>4091</v>
      </c>
      <c r="F1741" s="198">
        <v>3</v>
      </c>
      <c r="G1741" s="50"/>
      <c r="H1741" s="192">
        <v>629.70000000000005</v>
      </c>
      <c r="I1741" s="198">
        <v>33</v>
      </c>
      <c r="J1741" s="19">
        <f t="shared" si="138"/>
        <v>1227156.79</v>
      </c>
      <c r="K1741" s="50"/>
      <c r="L1741" s="50"/>
      <c r="M1741" s="50"/>
      <c r="N1741" s="19">
        <f>SUMIF('2020'!B:B,B1741,'2020'!C:C)+SUMIF('2021'!B:B,B1741,'2021'!C:C)+SUMIF('2022'!B:B,B1741,'2022'!C:C)</f>
        <v>1227156.79</v>
      </c>
      <c r="O1741" s="219">
        <v>44925</v>
      </c>
      <c r="P1741" s="184" t="s">
        <v>3728</v>
      </c>
    </row>
    <row r="1742" spans="1:16" x14ac:dyDescent="0.3">
      <c r="A1742" s="169">
        <f t="shared" si="137"/>
        <v>1599</v>
      </c>
      <c r="B1742" s="66" t="s">
        <v>1820</v>
      </c>
      <c r="C1742" s="184">
        <v>1917</v>
      </c>
      <c r="D1742" s="50"/>
      <c r="E1742" s="184" t="s">
        <v>4091</v>
      </c>
      <c r="F1742" s="198">
        <v>2</v>
      </c>
      <c r="G1742" s="50"/>
      <c r="H1742" s="192">
        <v>211.4</v>
      </c>
      <c r="I1742" s="198">
        <v>8</v>
      </c>
      <c r="J1742" s="19">
        <f t="shared" si="138"/>
        <v>4310844.4000000004</v>
      </c>
      <c r="K1742" s="50"/>
      <c r="L1742" s="50"/>
      <c r="M1742" s="50"/>
      <c r="N1742" s="19">
        <f>SUMIF('2020'!B:B,B1742,'2020'!C:C)+SUMIF('2021'!B:B,B1742,'2021'!C:C)+SUMIF('2022'!B:B,B1742,'2022'!C:C)</f>
        <v>4310844.4000000004</v>
      </c>
      <c r="O1742" s="219">
        <v>44925</v>
      </c>
      <c r="P1742" s="184" t="s">
        <v>3728</v>
      </c>
    </row>
    <row r="1743" spans="1:16" x14ac:dyDescent="0.3">
      <c r="A1743" s="169">
        <f t="shared" si="137"/>
        <v>1600</v>
      </c>
      <c r="B1743" s="66" t="s">
        <v>1821</v>
      </c>
      <c r="C1743" s="184">
        <v>1917</v>
      </c>
      <c r="D1743" s="50"/>
      <c r="E1743" s="184" t="s">
        <v>4091</v>
      </c>
      <c r="F1743" s="198">
        <v>3</v>
      </c>
      <c r="G1743" s="50"/>
      <c r="H1743" s="192">
        <v>648.5</v>
      </c>
      <c r="I1743" s="198">
        <v>28</v>
      </c>
      <c r="J1743" s="19">
        <f t="shared" si="138"/>
        <v>10928331.4</v>
      </c>
      <c r="K1743" s="50"/>
      <c r="L1743" s="50"/>
      <c r="M1743" s="50"/>
      <c r="N1743" s="19">
        <f>SUMIF('2020'!B:B,B1743,'2020'!C:C)+SUMIF('2021'!B:B,B1743,'2021'!C:C)+SUMIF('2022'!B:B,B1743,'2022'!C:C)</f>
        <v>10928331.4</v>
      </c>
      <c r="O1743" s="219">
        <v>44925</v>
      </c>
      <c r="P1743" s="184" t="s">
        <v>3728</v>
      </c>
    </row>
    <row r="1744" spans="1:16" ht="31.2" x14ac:dyDescent="0.3">
      <c r="A1744" s="169">
        <f t="shared" si="137"/>
        <v>1601</v>
      </c>
      <c r="B1744" s="66" t="s">
        <v>1822</v>
      </c>
      <c r="C1744" s="184">
        <v>1917</v>
      </c>
      <c r="D1744" s="50"/>
      <c r="E1744" s="184" t="s">
        <v>4100</v>
      </c>
      <c r="F1744" s="198">
        <v>2</v>
      </c>
      <c r="G1744" s="50"/>
      <c r="H1744" s="192">
        <v>623.4</v>
      </c>
      <c r="I1744" s="198">
        <v>17</v>
      </c>
      <c r="J1744" s="19">
        <f t="shared" si="138"/>
        <v>1834986.6099999999</v>
      </c>
      <c r="K1744" s="50"/>
      <c r="L1744" s="50"/>
      <c r="M1744" s="50"/>
      <c r="N1744" s="19">
        <f>SUMIF('2020'!B:B,B1744,'2020'!C:C)+SUMIF('2021'!B:B,B1744,'2021'!C:C)+SUMIF('2022'!B:B,B1744,'2022'!C:C)</f>
        <v>1834986.6099999999</v>
      </c>
      <c r="O1744" s="219">
        <v>44925</v>
      </c>
      <c r="P1744" s="184" t="s">
        <v>3728</v>
      </c>
    </row>
    <row r="1745" spans="1:16" x14ac:dyDescent="0.3">
      <c r="A1745" s="169">
        <f t="shared" si="137"/>
        <v>1602</v>
      </c>
      <c r="B1745" s="66" t="s">
        <v>1823</v>
      </c>
      <c r="C1745" s="184">
        <v>1960</v>
      </c>
      <c r="D1745" s="50"/>
      <c r="E1745" s="184" t="s">
        <v>4091</v>
      </c>
      <c r="F1745" s="198">
        <v>4</v>
      </c>
      <c r="G1745" s="50"/>
      <c r="H1745" s="184">
        <v>2016.8</v>
      </c>
      <c r="I1745" s="198">
        <v>96</v>
      </c>
      <c r="J1745" s="19">
        <f t="shared" si="138"/>
        <v>13681268.460000001</v>
      </c>
      <c r="K1745" s="50"/>
      <c r="L1745" s="50"/>
      <c r="M1745" s="50"/>
      <c r="N1745" s="19">
        <f>SUMIF('2020'!B:B,B1745,'2020'!C:C)+SUMIF('2021'!B:B,B1745,'2021'!C:C)+SUMIF('2022'!B:B,B1745,'2022'!C:C)</f>
        <v>13681268.460000001</v>
      </c>
      <c r="O1745" s="219">
        <v>44925</v>
      </c>
      <c r="P1745" s="184" t="s">
        <v>3728</v>
      </c>
    </row>
    <row r="1746" spans="1:16" x14ac:dyDescent="0.3">
      <c r="A1746" s="169">
        <f t="shared" si="137"/>
        <v>1603</v>
      </c>
      <c r="B1746" s="66" t="s">
        <v>1824</v>
      </c>
      <c r="C1746" s="184">
        <v>1964</v>
      </c>
      <c r="D1746" s="50"/>
      <c r="E1746" s="184" t="s">
        <v>4091</v>
      </c>
      <c r="F1746" s="198">
        <v>4</v>
      </c>
      <c r="G1746" s="50"/>
      <c r="H1746" s="192">
        <v>1200.5</v>
      </c>
      <c r="I1746" s="198">
        <v>53</v>
      </c>
      <c r="J1746" s="19">
        <f t="shared" si="138"/>
        <v>575306</v>
      </c>
      <c r="K1746" s="50"/>
      <c r="L1746" s="50"/>
      <c r="M1746" s="228"/>
      <c r="N1746" s="19">
        <f>SUMIF('2020'!B:B,B1746,'2020'!C:C)+SUMIF('2021'!B:B,B1746,'2021'!C:C)+SUMIF('2022'!B:B,B1746,'2022'!C:C)</f>
        <v>575306</v>
      </c>
      <c r="O1746" s="219">
        <v>44925</v>
      </c>
      <c r="P1746" s="184" t="s">
        <v>3728</v>
      </c>
    </row>
    <row r="1747" spans="1:16" x14ac:dyDescent="0.3">
      <c r="A1747" s="169">
        <f t="shared" si="137"/>
        <v>1604</v>
      </c>
      <c r="B1747" s="66" t="s">
        <v>1825</v>
      </c>
      <c r="C1747" s="184">
        <v>1971</v>
      </c>
      <c r="D1747" s="50"/>
      <c r="E1747" s="184" t="s">
        <v>4091</v>
      </c>
      <c r="F1747" s="198">
        <v>4</v>
      </c>
      <c r="G1747" s="50"/>
      <c r="H1747" s="192">
        <v>1200.5</v>
      </c>
      <c r="I1747" s="198">
        <v>53</v>
      </c>
      <c r="J1747" s="19">
        <f t="shared" si="138"/>
        <v>12304954.33</v>
      </c>
      <c r="K1747" s="50"/>
      <c r="L1747" s="50"/>
      <c r="M1747" s="50"/>
      <c r="N1747" s="19">
        <f>SUMIF('2020'!B:B,B1747,'2020'!C:C)+SUMIF('2021'!B:B,B1747,'2021'!C:C)+SUMIF('2022'!B:B,B1747,'2022'!C:C)</f>
        <v>12304954.33</v>
      </c>
      <c r="O1747" s="219">
        <v>44925</v>
      </c>
      <c r="P1747" s="184" t="s">
        <v>3728</v>
      </c>
    </row>
    <row r="1748" spans="1:16" x14ac:dyDescent="0.3">
      <c r="A1748" s="169">
        <f t="shared" si="137"/>
        <v>1605</v>
      </c>
      <c r="B1748" s="66" t="s">
        <v>1826</v>
      </c>
      <c r="C1748" s="184">
        <v>1960</v>
      </c>
      <c r="D1748" s="50"/>
      <c r="E1748" s="184" t="s">
        <v>4091</v>
      </c>
      <c r="F1748" s="198">
        <v>4</v>
      </c>
      <c r="G1748" s="50"/>
      <c r="H1748" s="192">
        <v>2047.27</v>
      </c>
      <c r="I1748" s="198">
        <v>91</v>
      </c>
      <c r="J1748" s="19">
        <f t="shared" si="138"/>
        <v>455270.83999999997</v>
      </c>
      <c r="K1748" s="50"/>
      <c r="L1748" s="50"/>
      <c r="M1748" s="50"/>
      <c r="N1748" s="19">
        <f>SUMIF('2020'!B:B,B1748,'2020'!C:C)+SUMIF('2021'!B:B,B1748,'2021'!C:C)+SUMIF('2022'!B:B,B1748,'2022'!C:C)</f>
        <v>455270.83999999997</v>
      </c>
      <c r="O1748" s="219">
        <v>44925</v>
      </c>
      <c r="P1748" s="184" t="s">
        <v>3728</v>
      </c>
    </row>
    <row r="1749" spans="1:16" x14ac:dyDescent="0.3">
      <c r="A1749" s="169">
        <f t="shared" si="137"/>
        <v>1606</v>
      </c>
      <c r="B1749" s="66" t="s">
        <v>1827</v>
      </c>
      <c r="C1749" s="184">
        <v>1961</v>
      </c>
      <c r="D1749" s="50"/>
      <c r="E1749" s="184" t="s">
        <v>4091</v>
      </c>
      <c r="F1749" s="198">
        <v>4</v>
      </c>
      <c r="G1749" s="50"/>
      <c r="H1749" s="192">
        <v>1974.15</v>
      </c>
      <c r="I1749" s="198">
        <v>72</v>
      </c>
      <c r="J1749" s="19">
        <f t="shared" si="138"/>
        <v>476655.09</v>
      </c>
      <c r="K1749" s="50"/>
      <c r="L1749" s="50"/>
      <c r="M1749" s="50"/>
      <c r="N1749" s="19">
        <f>SUMIF('2020'!B:B,B1749,'2020'!C:C)+SUMIF('2021'!B:B,B1749,'2021'!C:C)+SUMIF('2022'!B:B,B1749,'2022'!C:C)</f>
        <v>476655.09</v>
      </c>
      <c r="O1749" s="219">
        <v>44925</v>
      </c>
      <c r="P1749" s="184" t="s">
        <v>3728</v>
      </c>
    </row>
    <row r="1750" spans="1:16" x14ac:dyDescent="0.3">
      <c r="A1750" s="169">
        <f t="shared" si="137"/>
        <v>1607</v>
      </c>
      <c r="B1750" s="66" t="s">
        <v>1828</v>
      </c>
      <c r="C1750" s="184">
        <v>1917</v>
      </c>
      <c r="D1750" s="50"/>
      <c r="E1750" s="184" t="s">
        <v>4094</v>
      </c>
      <c r="F1750" s="198">
        <v>2</v>
      </c>
      <c r="G1750" s="50"/>
      <c r="H1750" s="192">
        <v>629.73</v>
      </c>
      <c r="I1750" s="198">
        <v>35</v>
      </c>
      <c r="J1750" s="19">
        <f t="shared" si="138"/>
        <v>457122.67</v>
      </c>
      <c r="K1750" s="50"/>
      <c r="L1750" s="50"/>
      <c r="M1750" s="50"/>
      <c r="N1750" s="19">
        <f>SUMIF('2020'!B:B,B1750,'2020'!C:C)+SUMIF('2021'!B:B,B1750,'2021'!C:C)+SUMIF('2022'!B:B,B1750,'2022'!C:C)</f>
        <v>457122.67</v>
      </c>
      <c r="O1750" s="219">
        <v>44925</v>
      </c>
      <c r="P1750" s="184" t="s">
        <v>3728</v>
      </c>
    </row>
    <row r="1751" spans="1:16" x14ac:dyDescent="0.3">
      <c r="A1751" s="169">
        <f t="shared" si="137"/>
        <v>1608</v>
      </c>
      <c r="B1751" s="66" t="s">
        <v>1829</v>
      </c>
      <c r="C1751" s="184">
        <v>1963</v>
      </c>
      <c r="D1751" s="50"/>
      <c r="E1751" s="184" t="s">
        <v>4091</v>
      </c>
      <c r="F1751" s="198">
        <v>4</v>
      </c>
      <c r="G1751" s="50"/>
      <c r="H1751" s="192">
        <v>1819.6</v>
      </c>
      <c r="I1751" s="198">
        <v>82</v>
      </c>
      <c r="J1751" s="19">
        <f t="shared" si="138"/>
        <v>305890.77</v>
      </c>
      <c r="K1751" s="50"/>
      <c r="L1751" s="50"/>
      <c r="M1751" s="50"/>
      <c r="N1751" s="19">
        <f>SUMIF('2020'!B:B,B1751,'2020'!C:C)+SUMIF('2021'!B:B,B1751,'2021'!C:C)+SUMIF('2022'!B:B,B1751,'2022'!C:C)</f>
        <v>305890.77</v>
      </c>
      <c r="O1751" s="219">
        <v>44925</v>
      </c>
      <c r="P1751" s="184" t="s">
        <v>3728</v>
      </c>
    </row>
    <row r="1752" spans="1:16" x14ac:dyDescent="0.3">
      <c r="A1752" s="169">
        <f t="shared" si="137"/>
        <v>1609</v>
      </c>
      <c r="B1752" s="66" t="s">
        <v>1830</v>
      </c>
      <c r="C1752" s="184">
        <v>1968</v>
      </c>
      <c r="D1752" s="50"/>
      <c r="E1752" s="184" t="s">
        <v>4091</v>
      </c>
      <c r="F1752" s="198">
        <v>5</v>
      </c>
      <c r="G1752" s="50"/>
      <c r="H1752" s="192">
        <v>3484.56</v>
      </c>
      <c r="I1752" s="198">
        <v>163</v>
      </c>
      <c r="J1752" s="19">
        <f t="shared" si="138"/>
        <v>5188445.1099999994</v>
      </c>
      <c r="K1752" s="50"/>
      <c r="L1752" s="50"/>
      <c r="M1752" s="50"/>
      <c r="N1752" s="19">
        <f>SUMIF('2020'!B:B,B1752,'2020'!C:C)+SUMIF('2021'!B:B,B1752,'2021'!C:C)+SUMIF('2022'!B:B,B1752,'2022'!C:C)</f>
        <v>5188445.1099999994</v>
      </c>
      <c r="O1752" s="219">
        <v>44925</v>
      </c>
      <c r="P1752" s="184" t="s">
        <v>3728</v>
      </c>
    </row>
    <row r="1753" spans="1:16" x14ac:dyDescent="0.3">
      <c r="A1753" s="169">
        <f t="shared" si="137"/>
        <v>1610</v>
      </c>
      <c r="B1753" s="66" t="s">
        <v>1831</v>
      </c>
      <c r="C1753" s="184">
        <v>1917</v>
      </c>
      <c r="D1753" s="50"/>
      <c r="E1753" s="184" t="s">
        <v>4094</v>
      </c>
      <c r="F1753" s="198">
        <v>2</v>
      </c>
      <c r="G1753" s="50"/>
      <c r="H1753" s="192">
        <v>192.37</v>
      </c>
      <c r="I1753" s="198">
        <v>7</v>
      </c>
      <c r="J1753" s="19">
        <f t="shared" si="138"/>
        <v>135559.79</v>
      </c>
      <c r="K1753" s="50"/>
      <c r="L1753" s="50"/>
      <c r="M1753" s="50"/>
      <c r="N1753" s="19">
        <f>SUMIF('2020'!B:B,B1753,'2020'!C:C)+SUMIF('2021'!B:B,B1753,'2021'!C:C)+SUMIF('2022'!B:B,B1753,'2022'!C:C)</f>
        <v>135559.79</v>
      </c>
      <c r="O1753" s="219">
        <v>44925</v>
      </c>
      <c r="P1753" s="184" t="s">
        <v>3728</v>
      </c>
    </row>
    <row r="1754" spans="1:16" x14ac:dyDescent="0.3">
      <c r="A1754" s="169">
        <f t="shared" si="137"/>
        <v>1611</v>
      </c>
      <c r="B1754" s="66" t="s">
        <v>1833</v>
      </c>
      <c r="C1754" s="184">
        <v>1958</v>
      </c>
      <c r="D1754" s="50"/>
      <c r="E1754" s="184" t="s">
        <v>4094</v>
      </c>
      <c r="F1754" s="198">
        <v>2</v>
      </c>
      <c r="G1754" s="50"/>
      <c r="H1754" s="192">
        <v>164.99</v>
      </c>
      <c r="I1754" s="198">
        <v>5</v>
      </c>
      <c r="J1754" s="19">
        <f t="shared" si="138"/>
        <v>59318.27</v>
      </c>
      <c r="K1754" s="50"/>
      <c r="L1754" s="50"/>
      <c r="M1754" s="50"/>
      <c r="N1754" s="19">
        <f>SUMIF('2020'!B:B,B1754,'2020'!C:C)+SUMIF('2021'!B:B,B1754,'2021'!C:C)+SUMIF('2022'!B:B,B1754,'2022'!C:C)</f>
        <v>59318.27</v>
      </c>
      <c r="O1754" s="219">
        <v>44925</v>
      </c>
      <c r="P1754" s="184" t="s">
        <v>3728</v>
      </c>
    </row>
    <row r="1755" spans="1:16" x14ac:dyDescent="0.3">
      <c r="A1755" s="169">
        <f t="shared" si="137"/>
        <v>1612</v>
      </c>
      <c r="B1755" s="66" t="s">
        <v>1834</v>
      </c>
      <c r="C1755" s="184">
        <v>1917</v>
      </c>
      <c r="D1755" s="50"/>
      <c r="E1755" s="184" t="s">
        <v>4094</v>
      </c>
      <c r="F1755" s="198">
        <v>2</v>
      </c>
      <c r="G1755" s="50"/>
      <c r="H1755" s="192">
        <v>149.83000000000001</v>
      </c>
      <c r="I1755" s="198">
        <v>7</v>
      </c>
      <c r="J1755" s="19">
        <f t="shared" si="138"/>
        <v>173585.25</v>
      </c>
      <c r="K1755" s="50"/>
      <c r="L1755" s="50"/>
      <c r="M1755" s="50"/>
      <c r="N1755" s="19">
        <f>SUMIF('2020'!B:B,B1755,'2020'!C:C)+SUMIF('2021'!B:B,B1755,'2021'!C:C)+SUMIF('2022'!B:B,B1755,'2022'!C:C)</f>
        <v>173585.25</v>
      </c>
      <c r="O1755" s="219">
        <v>44925</v>
      </c>
      <c r="P1755" s="184" t="s">
        <v>3728</v>
      </c>
    </row>
    <row r="1756" spans="1:16" x14ac:dyDescent="0.3">
      <c r="A1756" s="169">
        <f t="shared" si="137"/>
        <v>1613</v>
      </c>
      <c r="B1756" s="66" t="s">
        <v>1835</v>
      </c>
      <c r="C1756" s="184">
        <v>1917</v>
      </c>
      <c r="D1756" s="50"/>
      <c r="E1756" s="184" t="s">
        <v>4094</v>
      </c>
      <c r="F1756" s="198">
        <v>2</v>
      </c>
      <c r="G1756" s="50"/>
      <c r="H1756" s="192">
        <v>191.2</v>
      </c>
      <c r="I1756" s="198">
        <v>12</v>
      </c>
      <c r="J1756" s="19">
        <f t="shared" si="138"/>
        <v>211109.21000000002</v>
      </c>
      <c r="K1756" s="50"/>
      <c r="L1756" s="50"/>
      <c r="M1756" s="50"/>
      <c r="N1756" s="19">
        <f>SUMIF('2020'!B:B,B1756,'2020'!C:C)+SUMIF('2021'!B:B,B1756,'2021'!C:C)+SUMIF('2022'!B:B,B1756,'2022'!C:C)</f>
        <v>211109.21000000002</v>
      </c>
      <c r="O1756" s="219">
        <v>44925</v>
      </c>
      <c r="P1756" s="184" t="s">
        <v>3728</v>
      </c>
    </row>
    <row r="1757" spans="1:16" x14ac:dyDescent="0.3">
      <c r="A1757" s="169">
        <f t="shared" si="137"/>
        <v>1614</v>
      </c>
      <c r="B1757" s="66" t="s">
        <v>1836</v>
      </c>
      <c r="C1757" s="184">
        <v>1969</v>
      </c>
      <c r="D1757" s="50"/>
      <c r="E1757" s="184" t="s">
        <v>4094</v>
      </c>
      <c r="F1757" s="198">
        <v>2</v>
      </c>
      <c r="G1757" s="50"/>
      <c r="H1757" s="192">
        <v>223.1</v>
      </c>
      <c r="I1757" s="198">
        <v>9</v>
      </c>
      <c r="J1757" s="19">
        <f t="shared" si="138"/>
        <v>226303.51</v>
      </c>
      <c r="K1757" s="50"/>
      <c r="L1757" s="50"/>
      <c r="M1757" s="50"/>
      <c r="N1757" s="19">
        <f>SUMIF('2020'!B:B,B1757,'2020'!C:C)+SUMIF('2021'!B:B,B1757,'2021'!C:C)+SUMIF('2022'!B:B,B1757,'2022'!C:C)</f>
        <v>226303.51</v>
      </c>
      <c r="O1757" s="219">
        <v>44925</v>
      </c>
      <c r="P1757" s="184" t="s">
        <v>3728</v>
      </c>
    </row>
    <row r="1758" spans="1:16" x14ac:dyDescent="0.3">
      <c r="A1758" s="169">
        <f t="shared" si="137"/>
        <v>1615</v>
      </c>
      <c r="B1758" s="66" t="s">
        <v>1837</v>
      </c>
      <c r="C1758" s="184">
        <v>1947</v>
      </c>
      <c r="D1758" s="50"/>
      <c r="E1758" s="184" t="s">
        <v>4094</v>
      </c>
      <c r="F1758" s="198">
        <v>2</v>
      </c>
      <c r="G1758" s="50"/>
      <c r="H1758" s="192">
        <v>313.19</v>
      </c>
      <c r="I1758" s="198">
        <v>23</v>
      </c>
      <c r="J1758" s="19">
        <f t="shared" si="138"/>
        <v>7369570</v>
      </c>
      <c r="K1758" s="50"/>
      <c r="L1758" s="50"/>
      <c r="M1758" s="228"/>
      <c r="N1758" s="19">
        <f>SUMIF('2020'!B:B,B1758,'2020'!C:C)+SUMIF('2021'!B:B,B1758,'2021'!C:C)+SUMIF('2022'!B:B,B1758,'2022'!C:C)</f>
        <v>7369570</v>
      </c>
      <c r="O1758" s="219">
        <v>44925</v>
      </c>
      <c r="P1758" s="184" t="s">
        <v>3728</v>
      </c>
    </row>
    <row r="1759" spans="1:16" x14ac:dyDescent="0.3">
      <c r="A1759" s="169">
        <f t="shared" si="137"/>
        <v>1616</v>
      </c>
      <c r="B1759" s="66" t="s">
        <v>1838</v>
      </c>
      <c r="C1759" s="184">
        <v>1947</v>
      </c>
      <c r="D1759" s="50"/>
      <c r="E1759" s="184" t="s">
        <v>4091</v>
      </c>
      <c r="F1759" s="198">
        <v>2</v>
      </c>
      <c r="G1759" s="50"/>
      <c r="H1759" s="192">
        <v>462.52</v>
      </c>
      <c r="I1759" s="198">
        <v>30</v>
      </c>
      <c r="J1759" s="19">
        <f t="shared" si="138"/>
        <v>173333</v>
      </c>
      <c r="K1759" s="50"/>
      <c r="L1759" s="50"/>
      <c r="M1759" s="50"/>
      <c r="N1759" s="19">
        <f>SUMIF('2020'!B:B,B1759,'2020'!C:C)+SUMIF('2021'!B:B,B1759,'2021'!C:C)+SUMIF('2022'!B:B,B1759,'2022'!C:C)</f>
        <v>173333</v>
      </c>
      <c r="O1759" s="219">
        <v>44925</v>
      </c>
      <c r="P1759" s="184" t="s">
        <v>3728</v>
      </c>
    </row>
    <row r="1760" spans="1:16" x14ac:dyDescent="0.3">
      <c r="A1760" s="169">
        <f t="shared" si="137"/>
        <v>1617</v>
      </c>
      <c r="B1760" s="66" t="s">
        <v>1839</v>
      </c>
      <c r="C1760" s="184">
        <v>1917</v>
      </c>
      <c r="D1760" s="50"/>
      <c r="E1760" s="184" t="s">
        <v>4094</v>
      </c>
      <c r="F1760" s="198">
        <v>2</v>
      </c>
      <c r="G1760" s="50"/>
      <c r="H1760" s="192">
        <v>723.9</v>
      </c>
      <c r="I1760" s="198">
        <v>27</v>
      </c>
      <c r="J1760" s="19">
        <f t="shared" si="138"/>
        <v>512522.64</v>
      </c>
      <c r="K1760" s="50"/>
      <c r="L1760" s="50"/>
      <c r="M1760" s="50"/>
      <c r="N1760" s="19">
        <f>SUMIF('2020'!B:B,B1760,'2020'!C:C)+SUMIF('2021'!B:B,B1760,'2021'!C:C)+SUMIF('2022'!B:B,B1760,'2022'!C:C)</f>
        <v>512522.64</v>
      </c>
      <c r="O1760" s="219">
        <v>44925</v>
      </c>
      <c r="P1760" s="184" t="s">
        <v>3728</v>
      </c>
    </row>
    <row r="1761" spans="1:16" x14ac:dyDescent="0.3">
      <c r="A1761" s="169">
        <f t="shared" si="137"/>
        <v>1618</v>
      </c>
      <c r="B1761" s="66" t="s">
        <v>1840</v>
      </c>
      <c r="C1761" s="184">
        <v>1961</v>
      </c>
      <c r="D1761" s="50"/>
      <c r="E1761" s="184" t="s">
        <v>4091</v>
      </c>
      <c r="F1761" s="198">
        <v>4</v>
      </c>
      <c r="G1761" s="50"/>
      <c r="H1761" s="192">
        <v>1866.7</v>
      </c>
      <c r="I1761" s="198">
        <v>81</v>
      </c>
      <c r="J1761" s="19">
        <f t="shared" si="138"/>
        <v>611291.33000000007</v>
      </c>
      <c r="K1761" s="50"/>
      <c r="L1761" s="50"/>
      <c r="M1761" s="50"/>
      <c r="N1761" s="19">
        <f>SUMIF('2020'!B:B,B1761,'2020'!C:C)+SUMIF('2021'!B:B,B1761,'2021'!C:C)+SUMIF('2022'!B:B,B1761,'2022'!C:C)</f>
        <v>611291.33000000007</v>
      </c>
      <c r="O1761" s="219">
        <v>44925</v>
      </c>
      <c r="P1761" s="184" t="s">
        <v>3728</v>
      </c>
    </row>
    <row r="1762" spans="1:16" x14ac:dyDescent="0.3">
      <c r="A1762" s="169">
        <f t="shared" si="137"/>
        <v>1619</v>
      </c>
      <c r="B1762" s="66" t="s">
        <v>1842</v>
      </c>
      <c r="C1762" s="184">
        <v>1961</v>
      </c>
      <c r="D1762" s="50"/>
      <c r="E1762" s="184" t="s">
        <v>4091</v>
      </c>
      <c r="F1762" s="198">
        <v>2</v>
      </c>
      <c r="G1762" s="50"/>
      <c r="H1762" s="192">
        <v>942.8</v>
      </c>
      <c r="I1762" s="198">
        <v>54</v>
      </c>
      <c r="J1762" s="19">
        <f t="shared" si="138"/>
        <v>13738151.199999999</v>
      </c>
      <c r="K1762" s="50"/>
      <c r="L1762" s="50"/>
      <c r="M1762" s="50"/>
      <c r="N1762" s="19">
        <f>SUMIF('2020'!B:B,B1762,'2020'!C:C)+SUMIF('2021'!B:B,B1762,'2021'!C:C)+SUMIF('2022'!B:B,B1762,'2022'!C:C)</f>
        <v>13738151.199999999</v>
      </c>
      <c r="O1762" s="219">
        <v>44925</v>
      </c>
      <c r="P1762" s="184" t="s">
        <v>3728</v>
      </c>
    </row>
    <row r="1763" spans="1:16" x14ac:dyDescent="0.3">
      <c r="A1763" s="169">
        <f t="shared" si="137"/>
        <v>1620</v>
      </c>
      <c r="B1763" s="66" t="s">
        <v>1843</v>
      </c>
      <c r="C1763" s="184">
        <v>1960</v>
      </c>
      <c r="D1763" s="50"/>
      <c r="E1763" s="184" t="s">
        <v>4091</v>
      </c>
      <c r="F1763" s="198">
        <v>2</v>
      </c>
      <c r="G1763" s="50"/>
      <c r="H1763" s="192">
        <v>703.7</v>
      </c>
      <c r="I1763" s="198">
        <v>46</v>
      </c>
      <c r="J1763" s="19">
        <f t="shared" si="138"/>
        <v>14536321.18</v>
      </c>
      <c r="K1763" s="50"/>
      <c r="L1763" s="50"/>
      <c r="M1763" s="50"/>
      <c r="N1763" s="19">
        <f>SUMIF('2020'!B:B,B1763,'2020'!C:C)+SUMIF('2021'!B:B,B1763,'2021'!C:C)+SUMIF('2022'!B:B,B1763,'2022'!C:C)</f>
        <v>14536321.18</v>
      </c>
      <c r="O1763" s="219">
        <v>44925</v>
      </c>
      <c r="P1763" s="184" t="s">
        <v>3728</v>
      </c>
    </row>
    <row r="1764" spans="1:16" x14ac:dyDescent="0.3">
      <c r="A1764" s="169">
        <f t="shared" si="137"/>
        <v>1621</v>
      </c>
      <c r="B1764" s="66" t="s">
        <v>1844</v>
      </c>
      <c r="C1764" s="184">
        <v>1958</v>
      </c>
      <c r="D1764" s="50"/>
      <c r="E1764" s="184" t="s">
        <v>4091</v>
      </c>
      <c r="F1764" s="198">
        <v>3</v>
      </c>
      <c r="G1764" s="50"/>
      <c r="H1764" s="192">
        <v>788.7</v>
      </c>
      <c r="I1764" s="198">
        <v>31</v>
      </c>
      <c r="J1764" s="19">
        <f t="shared" si="138"/>
        <v>125188.38</v>
      </c>
      <c r="K1764" s="50"/>
      <c r="L1764" s="50"/>
      <c r="M1764" s="50"/>
      <c r="N1764" s="19">
        <f>SUMIF('2020'!B:B,B1764,'2020'!C:C)+SUMIF('2021'!B:B,B1764,'2021'!C:C)+SUMIF('2022'!B:B,B1764,'2022'!C:C)</f>
        <v>125188.38</v>
      </c>
      <c r="O1764" s="219">
        <v>44925</v>
      </c>
      <c r="P1764" s="184" t="s">
        <v>3728</v>
      </c>
    </row>
    <row r="1765" spans="1:16" x14ac:dyDescent="0.3">
      <c r="A1765" s="169">
        <f t="shared" si="137"/>
        <v>1622</v>
      </c>
      <c r="B1765" s="66" t="s">
        <v>1845</v>
      </c>
      <c r="C1765" s="184">
        <v>1917</v>
      </c>
      <c r="D1765" s="50"/>
      <c r="E1765" s="184" t="s">
        <v>4102</v>
      </c>
      <c r="F1765" s="198">
        <v>2</v>
      </c>
      <c r="G1765" s="50"/>
      <c r="H1765" s="192">
        <v>445.74</v>
      </c>
      <c r="I1765" s="198">
        <v>30</v>
      </c>
      <c r="J1765" s="19">
        <f t="shared" si="138"/>
        <v>481254.9</v>
      </c>
      <c r="K1765" s="50"/>
      <c r="L1765" s="50"/>
      <c r="M1765" s="50"/>
      <c r="N1765" s="19">
        <f>SUMIF('2020'!B:B,B1765,'2020'!C:C)+SUMIF('2021'!B:B,B1765,'2021'!C:C)+SUMIF('2022'!B:B,B1765,'2022'!C:C)</f>
        <v>481254.9</v>
      </c>
      <c r="O1765" s="219">
        <v>44925</v>
      </c>
      <c r="P1765" s="184" t="s">
        <v>3728</v>
      </c>
    </row>
    <row r="1766" spans="1:16" x14ac:dyDescent="0.3">
      <c r="A1766" s="169">
        <f t="shared" si="137"/>
        <v>1623</v>
      </c>
      <c r="B1766" s="66" t="s">
        <v>1847</v>
      </c>
      <c r="C1766" s="184">
        <v>1958</v>
      </c>
      <c r="D1766" s="50"/>
      <c r="E1766" s="184" t="s">
        <v>4091</v>
      </c>
      <c r="F1766" s="198">
        <v>2</v>
      </c>
      <c r="G1766" s="50"/>
      <c r="H1766" s="192">
        <v>508.29</v>
      </c>
      <c r="I1766" s="198">
        <v>23</v>
      </c>
      <c r="J1766" s="19">
        <f t="shared" si="138"/>
        <v>409116.26</v>
      </c>
      <c r="K1766" s="50"/>
      <c r="L1766" s="50"/>
      <c r="M1766" s="50"/>
      <c r="N1766" s="19">
        <f>SUMIF('2020'!B:B,B1766,'2020'!C:C)+SUMIF('2021'!B:B,B1766,'2021'!C:C)+SUMIF('2022'!B:B,B1766,'2022'!C:C)</f>
        <v>409116.26</v>
      </c>
      <c r="O1766" s="219">
        <v>44925</v>
      </c>
      <c r="P1766" s="184" t="s">
        <v>3728</v>
      </c>
    </row>
    <row r="1767" spans="1:16" x14ac:dyDescent="0.3">
      <c r="A1767" s="169">
        <f t="shared" si="137"/>
        <v>1624</v>
      </c>
      <c r="B1767" s="66" t="s">
        <v>1848</v>
      </c>
      <c r="C1767" s="184">
        <v>1917</v>
      </c>
      <c r="D1767" s="50"/>
      <c r="E1767" s="184" t="s">
        <v>4094</v>
      </c>
      <c r="F1767" s="198">
        <v>2</v>
      </c>
      <c r="G1767" s="50"/>
      <c r="H1767" s="192">
        <v>647.6</v>
      </c>
      <c r="I1767" s="198">
        <v>33</v>
      </c>
      <c r="J1767" s="19">
        <f t="shared" si="138"/>
        <v>5087622.3100000005</v>
      </c>
      <c r="K1767" s="228"/>
      <c r="L1767" s="50"/>
      <c r="M1767" s="50"/>
      <c r="N1767" s="19">
        <f>SUMIF('2020'!B:B,B1767,'2020'!C:C)+SUMIF('2021'!B:B,B1767,'2021'!C:C)+SUMIF('2022'!B:B,B1767,'2022'!C:C)</f>
        <v>5087622.3100000005</v>
      </c>
      <c r="O1767" s="219">
        <v>44925</v>
      </c>
      <c r="P1767" s="184" t="s">
        <v>3728</v>
      </c>
    </row>
    <row r="1768" spans="1:16" x14ac:dyDescent="0.3">
      <c r="A1768" s="169">
        <f t="shared" si="137"/>
        <v>1625</v>
      </c>
      <c r="B1768" s="66" t="s">
        <v>1849</v>
      </c>
      <c r="C1768" s="184">
        <v>1966</v>
      </c>
      <c r="D1768" s="50"/>
      <c r="E1768" s="184" t="s">
        <v>4096</v>
      </c>
      <c r="F1768" s="198">
        <v>5</v>
      </c>
      <c r="G1768" s="50"/>
      <c r="H1768" s="192">
        <v>3787</v>
      </c>
      <c r="I1768" s="198">
        <v>151</v>
      </c>
      <c r="J1768" s="19">
        <f t="shared" si="138"/>
        <v>777297.84</v>
      </c>
      <c r="K1768" s="50"/>
      <c r="L1768" s="50"/>
      <c r="M1768" s="50"/>
      <c r="N1768" s="19">
        <f>SUMIF('2020'!B:B,B1768,'2020'!C:C)+SUMIF('2021'!B:B,B1768,'2021'!C:C)+SUMIF('2022'!B:B,B1768,'2022'!C:C)</f>
        <v>777297.84</v>
      </c>
      <c r="O1768" s="219">
        <v>44925</v>
      </c>
      <c r="P1768" s="184" t="s">
        <v>3787</v>
      </c>
    </row>
    <row r="1769" spans="1:16" x14ac:dyDescent="0.3">
      <c r="A1769" s="169">
        <f t="shared" si="137"/>
        <v>1626</v>
      </c>
      <c r="B1769" s="66" t="s">
        <v>1850</v>
      </c>
      <c r="C1769" s="184">
        <v>1961</v>
      </c>
      <c r="D1769" s="50"/>
      <c r="E1769" s="184" t="s">
        <v>4091</v>
      </c>
      <c r="F1769" s="198">
        <v>4</v>
      </c>
      <c r="G1769" s="50"/>
      <c r="H1769" s="192">
        <v>2022.24</v>
      </c>
      <c r="I1769" s="225">
        <v>102</v>
      </c>
      <c r="J1769" s="19">
        <f t="shared" si="138"/>
        <v>630989.53</v>
      </c>
      <c r="K1769" s="50"/>
      <c r="L1769" s="50"/>
      <c r="M1769" s="50"/>
      <c r="N1769" s="19">
        <f>SUMIF('2020'!B:B,B1769,'2020'!C:C)+SUMIF('2021'!B:B,B1769,'2021'!C:C)+SUMIF('2022'!B:B,B1769,'2022'!C:C)</f>
        <v>630989.53</v>
      </c>
      <c r="O1769" s="219">
        <v>44925</v>
      </c>
      <c r="P1769" s="184" t="s">
        <v>3728</v>
      </c>
    </row>
    <row r="1770" spans="1:16" x14ac:dyDescent="0.3">
      <c r="A1770" s="169">
        <f t="shared" si="137"/>
        <v>1627</v>
      </c>
      <c r="B1770" s="66" t="s">
        <v>1851</v>
      </c>
      <c r="C1770" s="184">
        <v>1917</v>
      </c>
      <c r="D1770" s="50"/>
      <c r="E1770" s="184" t="s">
        <v>4094</v>
      </c>
      <c r="F1770" s="198">
        <v>2</v>
      </c>
      <c r="G1770" s="50"/>
      <c r="H1770" s="192">
        <v>386.46</v>
      </c>
      <c r="I1770" s="198">
        <v>24</v>
      </c>
      <c r="J1770" s="19">
        <f t="shared" si="138"/>
        <v>130000</v>
      </c>
      <c r="K1770" s="50"/>
      <c r="L1770" s="50"/>
      <c r="M1770" s="50"/>
      <c r="N1770" s="19">
        <f>SUMIF('2020'!B:B,B1770,'2020'!C:C)+SUMIF('2021'!B:B,B1770,'2021'!C:C)+SUMIF('2022'!B:B,B1770,'2022'!C:C)</f>
        <v>130000</v>
      </c>
      <c r="O1770" s="219">
        <v>44925</v>
      </c>
      <c r="P1770" s="184" t="s">
        <v>3728</v>
      </c>
    </row>
    <row r="1771" spans="1:16" x14ac:dyDescent="0.3">
      <c r="A1771" s="169">
        <f t="shared" si="137"/>
        <v>1628</v>
      </c>
      <c r="B1771" s="66" t="s">
        <v>1852</v>
      </c>
      <c r="C1771" s="184">
        <v>1959</v>
      </c>
      <c r="D1771" s="50"/>
      <c r="E1771" s="184" t="s">
        <v>4091</v>
      </c>
      <c r="F1771" s="198">
        <v>2</v>
      </c>
      <c r="G1771" s="50"/>
      <c r="H1771" s="192">
        <v>506.76</v>
      </c>
      <c r="I1771" s="225">
        <v>17</v>
      </c>
      <c r="J1771" s="19">
        <f t="shared" si="138"/>
        <v>319573.38</v>
      </c>
      <c r="K1771" s="50"/>
      <c r="L1771" s="50"/>
      <c r="M1771" s="50"/>
      <c r="N1771" s="19">
        <f>SUMIF('2020'!B:B,B1771,'2020'!C:C)+SUMIF('2021'!B:B,B1771,'2021'!C:C)+SUMIF('2022'!B:B,B1771,'2022'!C:C)</f>
        <v>319573.38</v>
      </c>
      <c r="O1771" s="219">
        <v>44925</v>
      </c>
      <c r="P1771" s="184" t="s">
        <v>3728</v>
      </c>
    </row>
    <row r="1772" spans="1:16" x14ac:dyDescent="0.3">
      <c r="A1772" s="169">
        <f t="shared" si="137"/>
        <v>1629</v>
      </c>
      <c r="B1772" s="66" t="s">
        <v>1853</v>
      </c>
      <c r="C1772" s="184">
        <v>1968</v>
      </c>
      <c r="D1772" s="50"/>
      <c r="E1772" s="184" t="s">
        <v>4096</v>
      </c>
      <c r="F1772" s="198">
        <v>5</v>
      </c>
      <c r="G1772" s="50"/>
      <c r="H1772" s="192">
        <v>3607</v>
      </c>
      <c r="I1772" s="198">
        <v>148</v>
      </c>
      <c r="J1772" s="19">
        <f t="shared" si="138"/>
        <v>729079.54</v>
      </c>
      <c r="K1772" s="50"/>
      <c r="L1772" s="50"/>
      <c r="M1772" s="50"/>
      <c r="N1772" s="19">
        <f>SUMIF('2020'!B:B,B1772,'2020'!C:C)+SUMIF('2021'!B:B,B1772,'2021'!C:C)+SUMIF('2022'!B:B,B1772,'2022'!C:C)</f>
        <v>729079.54</v>
      </c>
      <c r="O1772" s="219">
        <v>44925</v>
      </c>
      <c r="P1772" s="184" t="s">
        <v>3787</v>
      </c>
    </row>
    <row r="1773" spans="1:16" x14ac:dyDescent="0.3">
      <c r="A1773" s="169">
        <f t="shared" si="137"/>
        <v>1630</v>
      </c>
      <c r="B1773" s="66" t="s">
        <v>1854</v>
      </c>
      <c r="C1773" s="184">
        <v>1968</v>
      </c>
      <c r="D1773" s="50"/>
      <c r="E1773" s="184" t="s">
        <v>4096</v>
      </c>
      <c r="F1773" s="198">
        <v>5</v>
      </c>
      <c r="G1773" s="50"/>
      <c r="H1773" s="192">
        <v>3607</v>
      </c>
      <c r="I1773" s="198">
        <v>148</v>
      </c>
      <c r="J1773" s="19">
        <f t="shared" si="138"/>
        <v>729079.54</v>
      </c>
      <c r="K1773" s="50"/>
      <c r="L1773" s="50"/>
      <c r="M1773" s="50"/>
      <c r="N1773" s="19">
        <f>SUMIF('2020'!B:B,B1773,'2020'!C:C)+SUMIF('2021'!B:B,B1773,'2021'!C:C)+SUMIF('2022'!B:B,B1773,'2022'!C:C)</f>
        <v>729079.54</v>
      </c>
      <c r="O1773" s="219">
        <v>44925</v>
      </c>
      <c r="P1773" s="184" t="s">
        <v>3787</v>
      </c>
    </row>
    <row r="1774" spans="1:16" x14ac:dyDescent="0.3">
      <c r="A1774" s="169">
        <f t="shared" si="137"/>
        <v>1631</v>
      </c>
      <c r="B1774" s="66" t="s">
        <v>1855</v>
      </c>
      <c r="C1774" s="184">
        <v>1930</v>
      </c>
      <c r="D1774" s="50"/>
      <c r="E1774" s="184" t="s">
        <v>4094</v>
      </c>
      <c r="F1774" s="198">
        <v>2</v>
      </c>
      <c r="G1774" s="50"/>
      <c r="H1774" s="192">
        <v>420.59</v>
      </c>
      <c r="I1774" s="198">
        <v>36</v>
      </c>
      <c r="J1774" s="19">
        <f t="shared" si="138"/>
        <v>512522.64</v>
      </c>
      <c r="K1774" s="50"/>
      <c r="L1774" s="50"/>
      <c r="M1774" s="50"/>
      <c r="N1774" s="19">
        <f>SUMIF('2020'!B:B,B1774,'2020'!C:C)+SUMIF('2021'!B:B,B1774,'2021'!C:C)+SUMIF('2022'!B:B,B1774,'2022'!C:C)</f>
        <v>512522.64</v>
      </c>
      <c r="O1774" s="219">
        <v>44925</v>
      </c>
      <c r="P1774" s="184" t="s">
        <v>3728</v>
      </c>
    </row>
    <row r="1775" spans="1:16" x14ac:dyDescent="0.3">
      <c r="A1775" s="169">
        <f t="shared" si="137"/>
        <v>1632</v>
      </c>
      <c r="B1775" s="66" t="s">
        <v>1856</v>
      </c>
      <c r="C1775" s="184">
        <v>1976</v>
      </c>
      <c r="D1775" s="50"/>
      <c r="E1775" s="184" t="s">
        <v>3816</v>
      </c>
      <c r="F1775" s="198">
        <v>5</v>
      </c>
      <c r="G1775" s="50"/>
      <c r="H1775" s="192">
        <v>4447.6000000000004</v>
      </c>
      <c r="I1775" s="198">
        <v>216</v>
      </c>
      <c r="J1775" s="19">
        <f t="shared" si="138"/>
        <v>651136.30000000005</v>
      </c>
      <c r="K1775" s="50"/>
      <c r="L1775" s="50"/>
      <c r="M1775" s="50"/>
      <c r="N1775" s="19">
        <f>SUMIF('2020'!B:B,B1775,'2020'!C:C)+SUMIF('2021'!B:B,B1775,'2021'!C:C)+SUMIF('2022'!B:B,B1775,'2022'!C:C)</f>
        <v>651136.30000000005</v>
      </c>
      <c r="O1775" s="219">
        <v>44925</v>
      </c>
      <c r="P1775" s="184" t="s">
        <v>3728</v>
      </c>
    </row>
    <row r="1776" spans="1:16" x14ac:dyDescent="0.3">
      <c r="A1776" s="169">
        <f t="shared" si="137"/>
        <v>1633</v>
      </c>
      <c r="B1776" s="66" t="s">
        <v>1857</v>
      </c>
      <c r="C1776" s="184">
        <v>1917</v>
      </c>
      <c r="D1776" s="50"/>
      <c r="E1776" s="184" t="s">
        <v>4094</v>
      </c>
      <c r="F1776" s="198">
        <v>2</v>
      </c>
      <c r="G1776" s="50"/>
      <c r="H1776" s="192">
        <v>625.76</v>
      </c>
      <c r="I1776" s="225">
        <v>42</v>
      </c>
      <c r="J1776" s="19">
        <f t="shared" si="138"/>
        <v>130000</v>
      </c>
      <c r="K1776" s="50"/>
      <c r="L1776" s="50"/>
      <c r="M1776" s="50"/>
      <c r="N1776" s="19">
        <f>SUMIF('2020'!B:B,B1776,'2020'!C:C)+SUMIF('2021'!B:B,B1776,'2021'!C:C)+SUMIF('2022'!B:B,B1776,'2022'!C:C)</f>
        <v>130000</v>
      </c>
      <c r="O1776" s="219">
        <v>44925</v>
      </c>
      <c r="P1776" s="184" t="s">
        <v>3728</v>
      </c>
    </row>
    <row r="1777" spans="1:16" x14ac:dyDescent="0.3">
      <c r="A1777" s="169">
        <f t="shared" si="137"/>
        <v>1634</v>
      </c>
      <c r="B1777" s="66" t="s">
        <v>1858</v>
      </c>
      <c r="C1777" s="184">
        <v>1971</v>
      </c>
      <c r="D1777" s="50"/>
      <c r="E1777" s="184" t="s">
        <v>4091</v>
      </c>
      <c r="F1777" s="198">
        <v>5</v>
      </c>
      <c r="G1777" s="50"/>
      <c r="H1777" s="192">
        <v>4542.6099999999997</v>
      </c>
      <c r="I1777" s="225">
        <v>208</v>
      </c>
      <c r="J1777" s="19">
        <f t="shared" si="138"/>
        <v>495561.4</v>
      </c>
      <c r="K1777" s="50"/>
      <c r="L1777" s="50"/>
      <c r="M1777" s="50"/>
      <c r="N1777" s="19">
        <f>SUMIF('2020'!B:B,B1777,'2020'!C:C)+SUMIF('2021'!B:B,B1777,'2021'!C:C)+SUMIF('2022'!B:B,B1777,'2022'!C:C)</f>
        <v>495561.4</v>
      </c>
      <c r="O1777" s="219">
        <v>44925</v>
      </c>
      <c r="P1777" s="184" t="s">
        <v>3728</v>
      </c>
    </row>
    <row r="1778" spans="1:16" x14ac:dyDescent="0.3">
      <c r="A1778" s="169">
        <f t="shared" si="137"/>
        <v>1635</v>
      </c>
      <c r="B1778" s="66" t="s">
        <v>1859</v>
      </c>
      <c r="C1778" s="184">
        <v>1962</v>
      </c>
      <c r="D1778" s="50"/>
      <c r="E1778" s="184" t="s">
        <v>4091</v>
      </c>
      <c r="F1778" s="198">
        <v>3</v>
      </c>
      <c r="G1778" s="50"/>
      <c r="H1778" s="192">
        <v>961.66</v>
      </c>
      <c r="I1778" s="225">
        <v>43</v>
      </c>
      <c r="J1778" s="19">
        <f t="shared" si="138"/>
        <v>286138.57999999996</v>
      </c>
      <c r="K1778" s="50"/>
      <c r="L1778" s="50"/>
      <c r="M1778" s="50"/>
      <c r="N1778" s="19">
        <f>SUMIF('2020'!B:B,B1778,'2020'!C:C)+SUMIF('2021'!B:B,B1778,'2021'!C:C)+SUMIF('2022'!B:B,B1778,'2022'!C:C)</f>
        <v>286138.57999999996</v>
      </c>
      <c r="O1778" s="219">
        <v>44925</v>
      </c>
      <c r="P1778" s="184" t="s">
        <v>3728</v>
      </c>
    </row>
    <row r="1779" spans="1:16" x14ac:dyDescent="0.3">
      <c r="A1779" s="169">
        <f t="shared" si="137"/>
        <v>1636</v>
      </c>
      <c r="B1779" s="66" t="s">
        <v>1861</v>
      </c>
      <c r="C1779" s="184">
        <v>1968</v>
      </c>
      <c r="D1779" s="50"/>
      <c r="E1779" s="184" t="s">
        <v>3816</v>
      </c>
      <c r="F1779" s="198">
        <v>5</v>
      </c>
      <c r="G1779" s="50"/>
      <c r="H1779" s="192">
        <v>4390.3100000000004</v>
      </c>
      <c r="I1779" s="198">
        <v>206</v>
      </c>
      <c r="J1779" s="19">
        <f t="shared" si="138"/>
        <v>449678.81999999995</v>
      </c>
      <c r="K1779" s="50"/>
      <c r="L1779" s="50"/>
      <c r="M1779" s="50"/>
      <c r="N1779" s="19">
        <f>SUMIF('2020'!B:B,B1779,'2020'!C:C)+SUMIF('2021'!B:B,B1779,'2021'!C:C)+SUMIF('2022'!B:B,B1779,'2022'!C:C)</f>
        <v>449678.81999999995</v>
      </c>
      <c r="O1779" s="219">
        <v>44925</v>
      </c>
      <c r="P1779" s="184" t="s">
        <v>3728</v>
      </c>
    </row>
    <row r="1780" spans="1:16" x14ac:dyDescent="0.3">
      <c r="A1780" s="169">
        <f t="shared" si="137"/>
        <v>1637</v>
      </c>
      <c r="B1780" s="66" t="s">
        <v>1862</v>
      </c>
      <c r="C1780" s="184">
        <v>1958</v>
      </c>
      <c r="D1780" s="50"/>
      <c r="E1780" s="184" t="s">
        <v>4093</v>
      </c>
      <c r="F1780" s="198">
        <v>2</v>
      </c>
      <c r="G1780" s="50"/>
      <c r="H1780" s="192">
        <v>414</v>
      </c>
      <c r="I1780" s="198">
        <v>21</v>
      </c>
      <c r="J1780" s="19">
        <f t="shared" si="138"/>
        <v>1893206.8</v>
      </c>
      <c r="K1780" s="50"/>
      <c r="L1780" s="50"/>
      <c r="M1780" s="50"/>
      <c r="N1780" s="19">
        <f>SUMIF('2020'!B:B,B1780,'2020'!C:C)+SUMIF('2021'!B:B,B1780,'2021'!C:C)+SUMIF('2022'!B:B,B1780,'2022'!C:C)</f>
        <v>1893206.8</v>
      </c>
      <c r="O1780" s="219">
        <v>44925</v>
      </c>
      <c r="P1780" s="184" t="s">
        <v>3728</v>
      </c>
    </row>
    <row r="1781" spans="1:16" x14ac:dyDescent="0.3">
      <c r="A1781" s="169">
        <f t="shared" si="137"/>
        <v>1638</v>
      </c>
      <c r="B1781" s="66" t="s">
        <v>1863</v>
      </c>
      <c r="C1781" s="184">
        <v>1975</v>
      </c>
      <c r="D1781" s="50"/>
      <c r="E1781" s="184" t="s">
        <v>3816</v>
      </c>
      <c r="F1781" s="198">
        <v>5</v>
      </c>
      <c r="G1781" s="50"/>
      <c r="H1781" s="192">
        <v>2739</v>
      </c>
      <c r="I1781" s="198">
        <v>135</v>
      </c>
      <c r="J1781" s="19">
        <f t="shared" si="138"/>
        <v>170356.88</v>
      </c>
      <c r="K1781" s="50"/>
      <c r="L1781" s="50"/>
      <c r="M1781" s="50"/>
      <c r="N1781" s="19">
        <f>SUMIF('2020'!B:B,B1781,'2020'!C:C)+SUMIF('2021'!B:B,B1781,'2021'!C:C)+SUMIF('2022'!B:B,B1781,'2022'!C:C)</f>
        <v>170356.88</v>
      </c>
      <c r="O1781" s="219">
        <v>44925</v>
      </c>
      <c r="P1781" s="184" t="s">
        <v>3728</v>
      </c>
    </row>
    <row r="1782" spans="1:16" x14ac:dyDescent="0.3">
      <c r="A1782" s="169">
        <f t="shared" si="137"/>
        <v>1639</v>
      </c>
      <c r="B1782" s="66" t="s">
        <v>1864</v>
      </c>
      <c r="C1782" s="184">
        <v>1975</v>
      </c>
      <c r="D1782" s="50"/>
      <c r="E1782" s="184" t="s">
        <v>4091</v>
      </c>
      <c r="F1782" s="198">
        <v>5</v>
      </c>
      <c r="G1782" s="50"/>
      <c r="H1782" s="192">
        <v>418.35</v>
      </c>
      <c r="I1782" s="225">
        <v>17</v>
      </c>
      <c r="J1782" s="19">
        <f t="shared" si="138"/>
        <v>130000</v>
      </c>
      <c r="K1782" s="50"/>
      <c r="L1782" s="50"/>
      <c r="M1782" s="50"/>
      <c r="N1782" s="19">
        <f>SUMIF('2020'!B:B,B1782,'2020'!C:C)+SUMIF('2021'!B:B,B1782,'2021'!C:C)+SUMIF('2022'!B:B,B1782,'2022'!C:C)</f>
        <v>130000</v>
      </c>
      <c r="O1782" s="219">
        <v>44925</v>
      </c>
      <c r="P1782" s="184" t="s">
        <v>3728</v>
      </c>
    </row>
    <row r="1783" spans="1:16" x14ac:dyDescent="0.3">
      <c r="A1783" s="169">
        <f t="shared" si="137"/>
        <v>1640</v>
      </c>
      <c r="B1783" s="66" t="s">
        <v>1865</v>
      </c>
      <c r="C1783" s="184">
        <v>1960</v>
      </c>
      <c r="D1783" s="50"/>
      <c r="E1783" s="184" t="s">
        <v>4091</v>
      </c>
      <c r="F1783" s="198">
        <v>4</v>
      </c>
      <c r="G1783" s="50"/>
      <c r="H1783" s="192">
        <v>2010.5</v>
      </c>
      <c r="I1783" s="225">
        <v>85</v>
      </c>
      <c r="J1783" s="19">
        <f t="shared" si="138"/>
        <v>478113.87</v>
      </c>
      <c r="K1783" s="50"/>
      <c r="L1783" s="50"/>
      <c r="M1783" s="50"/>
      <c r="N1783" s="19">
        <f>SUMIF('2020'!B:B,B1783,'2020'!C:C)+SUMIF('2021'!B:B,B1783,'2021'!C:C)+SUMIF('2022'!B:B,B1783,'2022'!C:C)</f>
        <v>478113.87</v>
      </c>
      <c r="O1783" s="219">
        <v>44925</v>
      </c>
      <c r="P1783" s="184" t="s">
        <v>3728</v>
      </c>
    </row>
    <row r="1784" spans="1:16" x14ac:dyDescent="0.3">
      <c r="A1784" s="169">
        <f t="shared" si="137"/>
        <v>1641</v>
      </c>
      <c r="B1784" s="66" t="s">
        <v>1866</v>
      </c>
      <c r="C1784" s="184">
        <v>1917</v>
      </c>
      <c r="D1784" s="50"/>
      <c r="E1784" s="184" t="s">
        <v>4094</v>
      </c>
      <c r="F1784" s="198">
        <v>2</v>
      </c>
      <c r="G1784" s="50"/>
      <c r="H1784" s="192">
        <v>314.61</v>
      </c>
      <c r="I1784" s="198">
        <v>21</v>
      </c>
      <c r="J1784" s="19">
        <f t="shared" si="138"/>
        <v>546982.55000000005</v>
      </c>
      <c r="K1784" s="50"/>
      <c r="L1784" s="50"/>
      <c r="M1784" s="50"/>
      <c r="N1784" s="19">
        <f>SUMIF('2020'!B:B,B1784,'2020'!C:C)+SUMIF('2021'!B:B,B1784,'2021'!C:C)+SUMIF('2022'!B:B,B1784,'2022'!C:C)</f>
        <v>546982.55000000005</v>
      </c>
      <c r="O1784" s="219">
        <v>44925</v>
      </c>
      <c r="P1784" s="184" t="s">
        <v>3728</v>
      </c>
    </row>
    <row r="1785" spans="1:16" x14ac:dyDescent="0.3">
      <c r="A1785" s="169">
        <f t="shared" si="137"/>
        <v>1642</v>
      </c>
      <c r="B1785" s="66" t="s">
        <v>1868</v>
      </c>
      <c r="C1785" s="184">
        <v>1970</v>
      </c>
      <c r="D1785" s="50"/>
      <c r="E1785" s="184" t="s">
        <v>3816</v>
      </c>
      <c r="F1785" s="198">
        <v>5</v>
      </c>
      <c r="G1785" s="50"/>
      <c r="H1785" s="192">
        <v>4391.34</v>
      </c>
      <c r="I1785" s="198">
        <v>223</v>
      </c>
      <c r="J1785" s="19">
        <f t="shared" si="138"/>
        <v>5365956.97</v>
      </c>
      <c r="K1785" s="50"/>
      <c r="L1785" s="50"/>
      <c r="M1785" s="50"/>
      <c r="N1785" s="19">
        <f>SUMIF('2020'!B:B,B1785,'2020'!C:C)+SUMIF('2021'!B:B,B1785,'2021'!C:C)+SUMIF('2022'!B:B,B1785,'2022'!C:C)</f>
        <v>5365956.97</v>
      </c>
      <c r="O1785" s="219">
        <v>44925</v>
      </c>
      <c r="P1785" s="184" t="s">
        <v>3728</v>
      </c>
    </row>
    <row r="1786" spans="1:16" x14ac:dyDescent="0.3">
      <c r="A1786" s="169">
        <f t="shared" si="137"/>
        <v>1643</v>
      </c>
      <c r="B1786" s="66" t="s">
        <v>1869</v>
      </c>
      <c r="C1786" s="184">
        <v>1970</v>
      </c>
      <c r="D1786" s="50"/>
      <c r="E1786" s="184" t="s">
        <v>3816</v>
      </c>
      <c r="F1786" s="198">
        <v>5</v>
      </c>
      <c r="G1786" s="50"/>
      <c r="H1786" s="192">
        <v>5892.36</v>
      </c>
      <c r="I1786" s="198">
        <v>181</v>
      </c>
      <c r="J1786" s="19">
        <f t="shared" si="138"/>
        <v>859792.65999999992</v>
      </c>
      <c r="K1786" s="50"/>
      <c r="L1786" s="50"/>
      <c r="M1786" s="50"/>
      <c r="N1786" s="19">
        <f>SUMIF('2020'!B:B,B1786,'2020'!C:C)+SUMIF('2021'!B:B,B1786,'2021'!C:C)+SUMIF('2022'!B:B,B1786,'2022'!C:C)</f>
        <v>859792.65999999992</v>
      </c>
      <c r="O1786" s="219">
        <v>44925</v>
      </c>
      <c r="P1786" s="184" t="s">
        <v>3787</v>
      </c>
    </row>
    <row r="1787" spans="1:16" x14ac:dyDescent="0.3">
      <c r="A1787" s="169">
        <f t="shared" si="137"/>
        <v>1644</v>
      </c>
      <c r="B1787" s="66" t="s">
        <v>1870</v>
      </c>
      <c r="C1787" s="184">
        <v>1970</v>
      </c>
      <c r="D1787" s="50"/>
      <c r="E1787" s="184" t="s">
        <v>3816</v>
      </c>
      <c r="F1787" s="198">
        <v>5</v>
      </c>
      <c r="G1787" s="50"/>
      <c r="H1787" s="192">
        <v>2687.8</v>
      </c>
      <c r="I1787" s="225">
        <v>118</v>
      </c>
      <c r="J1787" s="19">
        <f t="shared" si="138"/>
        <v>332336.62</v>
      </c>
      <c r="K1787" s="50"/>
      <c r="L1787" s="50"/>
      <c r="M1787" s="50"/>
      <c r="N1787" s="19">
        <f>SUMIF('2020'!B:B,B1787,'2020'!C:C)+SUMIF('2021'!B:B,B1787,'2021'!C:C)+SUMIF('2022'!B:B,B1787,'2022'!C:C)</f>
        <v>332336.62</v>
      </c>
      <c r="O1787" s="219">
        <v>44925</v>
      </c>
      <c r="P1787" s="184" t="s">
        <v>3728</v>
      </c>
    </row>
    <row r="1788" spans="1:16" x14ac:dyDescent="0.3">
      <c r="A1788" s="169">
        <f t="shared" si="137"/>
        <v>1645</v>
      </c>
      <c r="B1788" s="66" t="s">
        <v>1871</v>
      </c>
      <c r="C1788" s="184">
        <v>1971</v>
      </c>
      <c r="D1788" s="50"/>
      <c r="E1788" s="184" t="s">
        <v>4097</v>
      </c>
      <c r="F1788" s="198">
        <v>5</v>
      </c>
      <c r="G1788" s="50"/>
      <c r="H1788" s="192">
        <v>4011.9</v>
      </c>
      <c r="I1788" s="225">
        <v>100</v>
      </c>
      <c r="J1788" s="19">
        <f t="shared" si="138"/>
        <v>653043.16999999993</v>
      </c>
      <c r="K1788" s="50"/>
      <c r="L1788" s="50"/>
      <c r="M1788" s="50"/>
      <c r="N1788" s="19">
        <f>SUMIF('2020'!B:B,B1788,'2020'!C:C)+SUMIF('2021'!B:B,B1788,'2021'!C:C)+SUMIF('2022'!B:B,B1788,'2022'!C:C)</f>
        <v>653043.16999999993</v>
      </c>
      <c r="O1788" s="219">
        <v>44925</v>
      </c>
      <c r="P1788" s="184" t="s">
        <v>3728</v>
      </c>
    </row>
    <row r="1789" spans="1:16" x14ac:dyDescent="0.3">
      <c r="A1789" s="169">
        <f t="shared" si="137"/>
        <v>1646</v>
      </c>
      <c r="B1789" s="66" t="s">
        <v>1872</v>
      </c>
      <c r="C1789" s="184">
        <v>1964</v>
      </c>
      <c r="D1789" s="50"/>
      <c r="E1789" s="184" t="s">
        <v>4091</v>
      </c>
      <c r="F1789" s="198">
        <v>5</v>
      </c>
      <c r="G1789" s="50"/>
      <c r="H1789" s="192">
        <v>1575.14</v>
      </c>
      <c r="I1789" s="198">
        <v>66</v>
      </c>
      <c r="J1789" s="19">
        <f t="shared" si="138"/>
        <v>263624.31</v>
      </c>
      <c r="K1789" s="50"/>
      <c r="L1789" s="50"/>
      <c r="M1789" s="50"/>
      <c r="N1789" s="19">
        <f>SUMIF('2020'!B:B,B1789,'2020'!C:C)+SUMIF('2021'!B:B,B1789,'2021'!C:C)+SUMIF('2022'!B:B,B1789,'2022'!C:C)</f>
        <v>263624.31</v>
      </c>
      <c r="O1789" s="219">
        <v>44925</v>
      </c>
      <c r="P1789" s="184" t="s">
        <v>3728</v>
      </c>
    </row>
    <row r="1790" spans="1:16" x14ac:dyDescent="0.3">
      <c r="A1790" s="169">
        <f t="shared" si="137"/>
        <v>1647</v>
      </c>
      <c r="B1790" s="66" t="s">
        <v>1873</v>
      </c>
      <c r="C1790" s="184">
        <v>1960</v>
      </c>
      <c r="D1790" s="50"/>
      <c r="E1790" s="184" t="s">
        <v>4091</v>
      </c>
      <c r="F1790" s="198">
        <v>3</v>
      </c>
      <c r="G1790" s="50"/>
      <c r="H1790" s="192">
        <v>1480.97</v>
      </c>
      <c r="I1790" s="198">
        <v>65</v>
      </c>
      <c r="J1790" s="19">
        <f t="shared" si="138"/>
        <v>605825.9</v>
      </c>
      <c r="K1790" s="50"/>
      <c r="L1790" s="50"/>
      <c r="M1790" s="50"/>
      <c r="N1790" s="19">
        <f>SUMIF('2020'!B:B,B1790,'2020'!C:C)+SUMIF('2021'!B:B,B1790,'2021'!C:C)+SUMIF('2022'!B:B,B1790,'2022'!C:C)</f>
        <v>605825.9</v>
      </c>
      <c r="O1790" s="219">
        <v>44925</v>
      </c>
      <c r="P1790" s="184" t="s">
        <v>3728</v>
      </c>
    </row>
    <row r="1791" spans="1:16" x14ac:dyDescent="0.3">
      <c r="A1791" s="169">
        <f t="shared" ref="A1791:A1842" si="139">A1790+1</f>
        <v>1648</v>
      </c>
      <c r="B1791" s="66" t="s">
        <v>1875</v>
      </c>
      <c r="C1791" s="184">
        <v>1973</v>
      </c>
      <c r="D1791" s="50"/>
      <c r="E1791" s="184" t="s">
        <v>4091</v>
      </c>
      <c r="F1791" s="198">
        <v>5</v>
      </c>
      <c r="G1791" s="50"/>
      <c r="H1791" s="192">
        <v>4702</v>
      </c>
      <c r="I1791" s="198">
        <v>200</v>
      </c>
      <c r="J1791" s="19">
        <f t="shared" si="138"/>
        <v>255851.59</v>
      </c>
      <c r="K1791" s="50"/>
      <c r="L1791" s="50"/>
      <c r="M1791" s="50"/>
      <c r="N1791" s="19">
        <f>SUMIF('2020'!B:B,B1791,'2020'!C:C)+SUMIF('2021'!B:B,B1791,'2021'!C:C)+SUMIF('2022'!B:B,B1791,'2022'!C:C)</f>
        <v>255851.59</v>
      </c>
      <c r="O1791" s="219">
        <v>44925</v>
      </c>
      <c r="P1791" s="184" t="s">
        <v>3728</v>
      </c>
    </row>
    <row r="1792" spans="1:16" x14ac:dyDescent="0.3">
      <c r="A1792" s="169">
        <f t="shared" si="139"/>
        <v>1649</v>
      </c>
      <c r="B1792" s="66" t="s">
        <v>1876</v>
      </c>
      <c r="C1792" s="184">
        <v>1969</v>
      </c>
      <c r="D1792" s="50"/>
      <c r="E1792" s="184" t="s">
        <v>4091</v>
      </c>
      <c r="F1792" s="198">
        <v>5</v>
      </c>
      <c r="G1792" s="50"/>
      <c r="H1792" s="192">
        <v>3448.23</v>
      </c>
      <c r="I1792" s="225">
        <v>156</v>
      </c>
      <c r="J1792" s="19">
        <f t="shared" si="138"/>
        <v>404456.35</v>
      </c>
      <c r="K1792" s="50"/>
      <c r="L1792" s="50"/>
      <c r="M1792" s="50"/>
      <c r="N1792" s="19">
        <f>SUMIF('2020'!B:B,B1792,'2020'!C:C)+SUMIF('2021'!B:B,B1792,'2021'!C:C)+SUMIF('2022'!B:B,B1792,'2022'!C:C)</f>
        <v>404456.35</v>
      </c>
      <c r="O1792" s="219">
        <v>44925</v>
      </c>
      <c r="P1792" s="184" t="s">
        <v>3728</v>
      </c>
    </row>
    <row r="1793" spans="1:16" x14ac:dyDescent="0.3">
      <c r="A1793" s="169">
        <f t="shared" si="139"/>
        <v>1650</v>
      </c>
      <c r="B1793" s="66" t="s">
        <v>1877</v>
      </c>
      <c r="C1793" s="184">
        <v>1972</v>
      </c>
      <c r="D1793" s="50"/>
      <c r="E1793" s="184" t="s">
        <v>4091</v>
      </c>
      <c r="F1793" s="198">
        <v>5</v>
      </c>
      <c r="G1793" s="50"/>
      <c r="H1793" s="192">
        <v>3471.7</v>
      </c>
      <c r="I1793" s="225">
        <v>152</v>
      </c>
      <c r="J1793" s="19">
        <f t="shared" si="138"/>
        <v>405129.02</v>
      </c>
      <c r="K1793" s="50"/>
      <c r="L1793" s="50"/>
      <c r="M1793" s="50"/>
      <c r="N1793" s="19">
        <f>SUMIF('2020'!B:B,B1793,'2020'!C:C)+SUMIF('2021'!B:B,B1793,'2021'!C:C)+SUMIF('2022'!B:B,B1793,'2022'!C:C)</f>
        <v>405129.02</v>
      </c>
      <c r="O1793" s="219">
        <v>44925</v>
      </c>
      <c r="P1793" s="184" t="s">
        <v>3728</v>
      </c>
    </row>
    <row r="1794" spans="1:16" x14ac:dyDescent="0.3">
      <c r="A1794" s="169">
        <f t="shared" si="139"/>
        <v>1651</v>
      </c>
      <c r="B1794" s="66" t="s">
        <v>1878</v>
      </c>
      <c r="C1794" s="184">
        <v>1967</v>
      </c>
      <c r="D1794" s="50"/>
      <c r="E1794" s="184" t="s">
        <v>4091</v>
      </c>
      <c r="F1794" s="198">
        <v>5</v>
      </c>
      <c r="G1794" s="50"/>
      <c r="H1794" s="192">
        <v>3488.2</v>
      </c>
      <c r="I1794" s="198">
        <v>169</v>
      </c>
      <c r="J1794" s="19">
        <f t="shared" si="138"/>
        <v>408228.32999999996</v>
      </c>
      <c r="K1794" s="50"/>
      <c r="L1794" s="50"/>
      <c r="M1794" s="50"/>
      <c r="N1794" s="19">
        <f>SUMIF('2020'!B:B,B1794,'2020'!C:C)+SUMIF('2021'!B:B,B1794,'2021'!C:C)+SUMIF('2022'!B:B,B1794,'2022'!C:C)</f>
        <v>408228.32999999996</v>
      </c>
      <c r="O1794" s="219">
        <v>44925</v>
      </c>
      <c r="P1794" s="184" t="s">
        <v>3728</v>
      </c>
    </row>
    <row r="1795" spans="1:16" x14ac:dyDescent="0.3">
      <c r="A1795" s="169">
        <f t="shared" si="139"/>
        <v>1652</v>
      </c>
      <c r="B1795" s="66" t="s">
        <v>1879</v>
      </c>
      <c r="C1795" s="184">
        <v>1963</v>
      </c>
      <c r="D1795" s="50"/>
      <c r="E1795" s="184" t="s">
        <v>4091</v>
      </c>
      <c r="F1795" s="198">
        <v>4</v>
      </c>
      <c r="G1795" s="50"/>
      <c r="H1795" s="192">
        <v>1973.77</v>
      </c>
      <c r="I1795" s="198">
        <v>81</v>
      </c>
      <c r="J1795" s="19">
        <f t="shared" si="138"/>
        <v>278774.56</v>
      </c>
      <c r="K1795" s="50"/>
      <c r="L1795" s="50"/>
      <c r="M1795" s="50"/>
      <c r="N1795" s="19">
        <f>SUMIF('2020'!B:B,B1795,'2020'!C:C)+SUMIF('2021'!B:B,B1795,'2021'!C:C)+SUMIF('2022'!B:B,B1795,'2022'!C:C)</f>
        <v>278774.56</v>
      </c>
      <c r="O1795" s="219">
        <v>44925</v>
      </c>
      <c r="P1795" s="184" t="s">
        <v>3728</v>
      </c>
    </row>
    <row r="1796" spans="1:16" x14ac:dyDescent="0.3">
      <c r="A1796" s="169">
        <f t="shared" si="139"/>
        <v>1653</v>
      </c>
      <c r="B1796" s="66" t="s">
        <v>1880</v>
      </c>
      <c r="C1796" s="184">
        <v>1971</v>
      </c>
      <c r="D1796" s="50"/>
      <c r="E1796" s="184" t="s">
        <v>4094</v>
      </c>
      <c r="F1796" s="198">
        <v>2</v>
      </c>
      <c r="G1796" s="50"/>
      <c r="H1796" s="192">
        <v>231.81</v>
      </c>
      <c r="I1796" s="198">
        <v>14</v>
      </c>
      <c r="J1796" s="19">
        <f t="shared" si="138"/>
        <v>245872.36</v>
      </c>
      <c r="K1796" s="50"/>
      <c r="L1796" s="50"/>
      <c r="M1796" s="50"/>
      <c r="N1796" s="19">
        <f>SUMIF('2020'!B:B,B1796,'2020'!C:C)+SUMIF('2021'!B:B,B1796,'2021'!C:C)+SUMIF('2022'!B:B,B1796,'2022'!C:C)</f>
        <v>245872.36</v>
      </c>
      <c r="O1796" s="219">
        <v>44925</v>
      </c>
      <c r="P1796" s="184" t="s">
        <v>3728</v>
      </c>
    </row>
    <row r="1797" spans="1:16" x14ac:dyDescent="0.3">
      <c r="A1797" s="169">
        <f t="shared" si="139"/>
        <v>1654</v>
      </c>
      <c r="B1797" s="66" t="s">
        <v>1881</v>
      </c>
      <c r="C1797" s="184">
        <v>1961</v>
      </c>
      <c r="D1797" s="50"/>
      <c r="E1797" s="184" t="s">
        <v>4091</v>
      </c>
      <c r="F1797" s="198">
        <v>3</v>
      </c>
      <c r="G1797" s="50"/>
      <c r="H1797" s="192">
        <v>1529.63</v>
      </c>
      <c r="I1797" s="198">
        <v>52</v>
      </c>
      <c r="J1797" s="19">
        <f t="shared" si="138"/>
        <v>1779814.17</v>
      </c>
      <c r="K1797" s="50"/>
      <c r="L1797" s="50"/>
      <c r="M1797" s="50"/>
      <c r="N1797" s="19">
        <f>SUMIF('2020'!B:B,B1797,'2020'!C:C)+SUMIF('2021'!B:B,B1797,'2021'!C:C)+SUMIF('2022'!B:B,B1797,'2022'!C:C)</f>
        <v>1779814.17</v>
      </c>
      <c r="O1797" s="219">
        <v>44925</v>
      </c>
      <c r="P1797" s="184" t="s">
        <v>3728</v>
      </c>
    </row>
    <row r="1798" spans="1:16" x14ac:dyDescent="0.3">
      <c r="A1798" s="169">
        <f t="shared" si="139"/>
        <v>1655</v>
      </c>
      <c r="B1798" s="66" t="s">
        <v>1882</v>
      </c>
      <c r="C1798" s="184">
        <v>1961</v>
      </c>
      <c r="D1798" s="50"/>
      <c r="E1798" s="184" t="s">
        <v>4091</v>
      </c>
      <c r="F1798" s="198">
        <v>3</v>
      </c>
      <c r="G1798" s="50"/>
      <c r="H1798" s="192">
        <v>941.51</v>
      </c>
      <c r="I1798" s="198">
        <v>41</v>
      </c>
      <c r="J1798" s="19">
        <f t="shared" si="138"/>
        <v>267696.62</v>
      </c>
      <c r="K1798" s="50"/>
      <c r="L1798" s="50"/>
      <c r="M1798" s="50"/>
      <c r="N1798" s="19">
        <f>SUMIF('2020'!B:B,B1798,'2020'!C:C)+SUMIF('2021'!B:B,B1798,'2021'!C:C)+SUMIF('2022'!B:B,B1798,'2022'!C:C)</f>
        <v>267696.62</v>
      </c>
      <c r="O1798" s="219">
        <v>44925</v>
      </c>
      <c r="P1798" s="184" t="s">
        <v>3728</v>
      </c>
    </row>
    <row r="1799" spans="1:16" x14ac:dyDescent="0.3">
      <c r="A1799" s="169">
        <f t="shared" si="139"/>
        <v>1656</v>
      </c>
      <c r="B1799" s="66" t="s">
        <v>1883</v>
      </c>
      <c r="C1799" s="184">
        <v>1961</v>
      </c>
      <c r="D1799" s="50"/>
      <c r="E1799" s="184" t="s">
        <v>4091</v>
      </c>
      <c r="F1799" s="198">
        <v>3</v>
      </c>
      <c r="G1799" s="50"/>
      <c r="H1799" s="192">
        <v>948.6</v>
      </c>
      <c r="I1799" s="198">
        <v>33</v>
      </c>
      <c r="J1799" s="19">
        <f t="shared" ref="J1799:J1862" si="140">K1799+L1799+M1799+N1799</f>
        <v>274575.68</v>
      </c>
      <c r="K1799" s="50"/>
      <c r="L1799" s="50"/>
      <c r="M1799" s="50"/>
      <c r="N1799" s="19">
        <f>SUMIF('2020'!B:B,B1799,'2020'!C:C)+SUMIF('2021'!B:B,B1799,'2021'!C:C)+SUMIF('2022'!B:B,B1799,'2022'!C:C)</f>
        <v>274575.68</v>
      </c>
      <c r="O1799" s="219">
        <v>44925</v>
      </c>
      <c r="P1799" s="184" t="s">
        <v>3728</v>
      </c>
    </row>
    <row r="1800" spans="1:16" x14ac:dyDescent="0.3">
      <c r="A1800" s="169">
        <f t="shared" si="139"/>
        <v>1657</v>
      </c>
      <c r="B1800" s="66" t="s">
        <v>1884</v>
      </c>
      <c r="C1800" s="184">
        <v>1917</v>
      </c>
      <c r="D1800" s="50"/>
      <c r="E1800" s="237" t="s">
        <v>4094</v>
      </c>
      <c r="F1800" s="198">
        <v>2</v>
      </c>
      <c r="G1800" s="50"/>
      <c r="H1800" s="192">
        <v>251.01</v>
      </c>
      <c r="I1800" s="198">
        <v>17</v>
      </c>
      <c r="J1800" s="19">
        <f t="shared" si="140"/>
        <v>491258.21</v>
      </c>
      <c r="K1800" s="50"/>
      <c r="L1800" s="50"/>
      <c r="M1800" s="48"/>
      <c r="N1800" s="19">
        <f>SUMIF('2020'!B:B,B1800,'2020'!C:C)+SUMIF('2021'!B:B,B1800,'2021'!C:C)+SUMIF('2022'!B:B,B1800,'2022'!C:C)</f>
        <v>491258.21</v>
      </c>
      <c r="O1800" s="219">
        <v>44925</v>
      </c>
      <c r="P1800" s="184" t="s">
        <v>3728</v>
      </c>
    </row>
    <row r="1801" spans="1:16" x14ac:dyDescent="0.3">
      <c r="A1801" s="169">
        <f t="shared" si="139"/>
        <v>1658</v>
      </c>
      <c r="B1801" s="66" t="s">
        <v>1885</v>
      </c>
      <c r="C1801" s="184">
        <v>1963</v>
      </c>
      <c r="D1801" s="50"/>
      <c r="E1801" s="184" t="s">
        <v>4091</v>
      </c>
      <c r="F1801" s="198">
        <v>4</v>
      </c>
      <c r="G1801" s="50"/>
      <c r="H1801" s="192">
        <v>2033.27</v>
      </c>
      <c r="I1801" s="225">
        <v>107</v>
      </c>
      <c r="J1801" s="19">
        <f t="shared" si="140"/>
        <v>14425722</v>
      </c>
      <c r="K1801" s="50"/>
      <c r="L1801" s="50"/>
      <c r="M1801" s="48"/>
      <c r="N1801" s="19">
        <f>SUMIF('2020'!B:B,B1801,'2020'!C:C)+SUMIF('2021'!B:B,B1801,'2021'!C:C)+SUMIF('2022'!B:B,B1801,'2022'!C:C)</f>
        <v>14425722</v>
      </c>
      <c r="O1801" s="219">
        <v>44925</v>
      </c>
      <c r="P1801" s="184" t="s">
        <v>3728</v>
      </c>
    </row>
    <row r="1802" spans="1:16" x14ac:dyDescent="0.3">
      <c r="A1802" s="169">
        <f t="shared" si="139"/>
        <v>1659</v>
      </c>
      <c r="B1802" s="66" t="s">
        <v>1886</v>
      </c>
      <c r="C1802" s="184">
        <v>1976</v>
      </c>
      <c r="D1802" s="50"/>
      <c r="E1802" s="184" t="s">
        <v>3816</v>
      </c>
      <c r="F1802" s="198">
        <v>5</v>
      </c>
      <c r="G1802" s="50"/>
      <c r="H1802" s="192">
        <v>4893.3</v>
      </c>
      <c r="I1802" s="225">
        <v>205</v>
      </c>
      <c r="J1802" s="19">
        <f t="shared" si="140"/>
        <v>248902.75</v>
      </c>
      <c r="K1802" s="50"/>
      <c r="L1802" s="50"/>
      <c r="M1802" s="48"/>
      <c r="N1802" s="19">
        <f>SUMIF('2020'!B:B,B1802,'2020'!C:C)+SUMIF('2021'!B:B,B1802,'2021'!C:C)+SUMIF('2022'!B:B,B1802,'2022'!C:C)</f>
        <v>248902.75</v>
      </c>
      <c r="O1802" s="219">
        <v>44925</v>
      </c>
      <c r="P1802" s="184" t="s">
        <v>3728</v>
      </c>
    </row>
    <row r="1803" spans="1:16" x14ac:dyDescent="0.3">
      <c r="A1803" s="169">
        <f t="shared" si="139"/>
        <v>1660</v>
      </c>
      <c r="B1803" s="66" t="s">
        <v>1887</v>
      </c>
      <c r="C1803" s="184">
        <v>1962</v>
      </c>
      <c r="D1803" s="50"/>
      <c r="E1803" s="184" t="s">
        <v>4091</v>
      </c>
      <c r="F1803" s="198">
        <v>3</v>
      </c>
      <c r="G1803" s="50"/>
      <c r="H1803" s="192">
        <v>1476.31</v>
      </c>
      <c r="I1803" s="225">
        <v>69</v>
      </c>
      <c r="J1803" s="19">
        <f t="shared" si="140"/>
        <v>12172083.289999999</v>
      </c>
      <c r="K1803" s="50"/>
      <c r="L1803" s="50"/>
      <c r="M1803" s="48"/>
      <c r="N1803" s="19">
        <f>SUMIF('2020'!B:B,B1803,'2020'!C:C)+SUMIF('2021'!B:B,B1803,'2021'!C:C)+SUMIF('2022'!B:B,B1803,'2022'!C:C)</f>
        <v>12172083.289999999</v>
      </c>
      <c r="O1803" s="219">
        <v>44925</v>
      </c>
      <c r="P1803" s="184" t="s">
        <v>3728</v>
      </c>
    </row>
    <row r="1804" spans="1:16" x14ac:dyDescent="0.3">
      <c r="A1804" s="169">
        <f t="shared" si="139"/>
        <v>1661</v>
      </c>
      <c r="B1804" s="66" t="s">
        <v>1888</v>
      </c>
      <c r="C1804" s="184">
        <v>1975</v>
      </c>
      <c r="D1804" s="50"/>
      <c r="E1804" s="184" t="s">
        <v>3816</v>
      </c>
      <c r="F1804" s="198">
        <v>5</v>
      </c>
      <c r="G1804" s="50"/>
      <c r="H1804" s="192">
        <v>2402.5</v>
      </c>
      <c r="I1804" s="225">
        <v>73</v>
      </c>
      <c r="J1804" s="19">
        <f t="shared" si="140"/>
        <v>463005.27</v>
      </c>
      <c r="K1804" s="50"/>
      <c r="L1804" s="50"/>
      <c r="M1804" s="48"/>
      <c r="N1804" s="19">
        <f>SUMIF('2020'!B:B,B1804,'2020'!C:C)+SUMIF('2021'!B:B,B1804,'2021'!C:C)+SUMIF('2022'!B:B,B1804,'2022'!C:C)</f>
        <v>463005.27</v>
      </c>
      <c r="O1804" s="219">
        <v>44925</v>
      </c>
      <c r="P1804" s="184" t="s">
        <v>3728</v>
      </c>
    </row>
    <row r="1805" spans="1:16" x14ac:dyDescent="0.3">
      <c r="A1805" s="169">
        <f t="shared" si="139"/>
        <v>1662</v>
      </c>
      <c r="B1805" s="66" t="s">
        <v>1889</v>
      </c>
      <c r="C1805" s="184">
        <v>1962</v>
      </c>
      <c r="D1805" s="50"/>
      <c r="E1805" s="184" t="s">
        <v>4091</v>
      </c>
      <c r="F1805" s="198">
        <v>3</v>
      </c>
      <c r="G1805" s="50"/>
      <c r="H1805" s="192">
        <v>1459.59</v>
      </c>
      <c r="I1805" s="198">
        <v>84</v>
      </c>
      <c r="J1805" s="19">
        <f t="shared" si="140"/>
        <v>12203946.52</v>
      </c>
      <c r="K1805" s="50"/>
      <c r="L1805" s="50"/>
      <c r="M1805" s="238"/>
      <c r="N1805" s="19">
        <f>SUMIF('2020'!B:B,B1805,'2020'!C:C)+SUMIF('2021'!B:B,B1805,'2021'!C:C)+SUMIF('2022'!B:B,B1805,'2022'!C:C)</f>
        <v>12203946.52</v>
      </c>
      <c r="O1805" s="219">
        <v>44925</v>
      </c>
      <c r="P1805" s="184" t="s">
        <v>3728</v>
      </c>
    </row>
    <row r="1806" spans="1:16" x14ac:dyDescent="0.3">
      <c r="A1806" s="169">
        <f t="shared" si="139"/>
        <v>1663</v>
      </c>
      <c r="B1806" s="66" t="s">
        <v>1890</v>
      </c>
      <c r="C1806" s="184">
        <v>1965</v>
      </c>
      <c r="D1806" s="50"/>
      <c r="E1806" s="184" t="s">
        <v>4091</v>
      </c>
      <c r="F1806" s="198">
        <v>4</v>
      </c>
      <c r="G1806" s="50"/>
      <c r="H1806" s="192">
        <v>2023.91</v>
      </c>
      <c r="I1806" s="198">
        <v>106</v>
      </c>
      <c r="J1806" s="19">
        <f t="shared" si="140"/>
        <v>302868.43</v>
      </c>
      <c r="K1806" s="50"/>
      <c r="L1806" s="50"/>
      <c r="M1806" s="48"/>
      <c r="N1806" s="19">
        <f>SUMIF('2020'!B:B,B1806,'2020'!C:C)+SUMIF('2021'!B:B,B1806,'2021'!C:C)+SUMIF('2022'!B:B,B1806,'2022'!C:C)</f>
        <v>302868.43</v>
      </c>
      <c r="O1806" s="219">
        <v>44925</v>
      </c>
      <c r="P1806" s="184" t="s">
        <v>3728</v>
      </c>
    </row>
    <row r="1807" spans="1:16" x14ac:dyDescent="0.3">
      <c r="A1807" s="169">
        <f t="shared" si="139"/>
        <v>1664</v>
      </c>
      <c r="B1807" s="66" t="s">
        <v>1891</v>
      </c>
      <c r="C1807" s="184">
        <v>1970</v>
      </c>
      <c r="D1807" s="50"/>
      <c r="E1807" s="184" t="s">
        <v>4091</v>
      </c>
      <c r="F1807" s="198">
        <v>6</v>
      </c>
      <c r="G1807" s="50"/>
      <c r="H1807" s="192">
        <v>4585.8999999999996</v>
      </c>
      <c r="I1807" s="198">
        <v>199</v>
      </c>
      <c r="J1807" s="19">
        <f t="shared" si="140"/>
        <v>508087.55</v>
      </c>
      <c r="K1807" s="50"/>
      <c r="L1807" s="50"/>
      <c r="M1807" s="48"/>
      <c r="N1807" s="19">
        <f>SUMIF('2020'!B:B,B1807,'2020'!C:C)+SUMIF('2021'!B:B,B1807,'2021'!C:C)+SUMIF('2022'!B:B,B1807,'2022'!C:C)</f>
        <v>508087.55</v>
      </c>
      <c r="O1807" s="219">
        <v>44925</v>
      </c>
      <c r="P1807" s="184" t="s">
        <v>3728</v>
      </c>
    </row>
    <row r="1808" spans="1:16" x14ac:dyDescent="0.3">
      <c r="A1808" s="169">
        <f t="shared" si="139"/>
        <v>1665</v>
      </c>
      <c r="B1808" s="66" t="s">
        <v>1892</v>
      </c>
      <c r="C1808" s="184">
        <v>1989</v>
      </c>
      <c r="D1808" s="50"/>
      <c r="E1808" s="184" t="s">
        <v>4091</v>
      </c>
      <c r="F1808" s="198">
        <v>9</v>
      </c>
      <c r="G1808" s="50"/>
      <c r="H1808" s="192">
        <v>4099.45</v>
      </c>
      <c r="I1808" s="198">
        <v>217</v>
      </c>
      <c r="J1808" s="19">
        <f t="shared" si="140"/>
        <v>130000</v>
      </c>
      <c r="K1808" s="50"/>
      <c r="L1808" s="50"/>
      <c r="M1808" s="48"/>
      <c r="N1808" s="19">
        <f>SUMIF('2020'!B:B,B1808,'2020'!C:C)+SUMIF('2021'!B:B,B1808,'2021'!C:C)+SUMIF('2022'!B:B,B1808,'2022'!C:C)</f>
        <v>130000</v>
      </c>
      <c r="O1808" s="219">
        <v>44925</v>
      </c>
      <c r="P1808" s="184" t="s">
        <v>3728</v>
      </c>
    </row>
    <row r="1809" spans="1:16" x14ac:dyDescent="0.3">
      <c r="A1809" s="169">
        <f t="shared" si="139"/>
        <v>1666</v>
      </c>
      <c r="B1809" s="66" t="s">
        <v>1893</v>
      </c>
      <c r="C1809" s="184">
        <v>1968</v>
      </c>
      <c r="D1809" s="50"/>
      <c r="E1809" s="184" t="s">
        <v>3816</v>
      </c>
      <c r="F1809" s="198">
        <v>5</v>
      </c>
      <c r="G1809" s="50"/>
      <c r="H1809" s="192">
        <v>7015.2</v>
      </c>
      <c r="I1809" s="198">
        <v>296</v>
      </c>
      <c r="J1809" s="19">
        <f t="shared" si="140"/>
        <v>636241.15999999992</v>
      </c>
      <c r="K1809" s="50"/>
      <c r="L1809" s="50"/>
      <c r="M1809" s="48"/>
      <c r="N1809" s="19">
        <f>SUMIF('2020'!B:B,B1809,'2020'!C:C)+SUMIF('2021'!B:B,B1809,'2021'!C:C)+SUMIF('2022'!B:B,B1809,'2022'!C:C)</f>
        <v>636241.15999999992</v>
      </c>
      <c r="O1809" s="219">
        <v>44925</v>
      </c>
      <c r="P1809" s="184" t="s">
        <v>3728</v>
      </c>
    </row>
    <row r="1810" spans="1:16" x14ac:dyDescent="0.3">
      <c r="A1810" s="169">
        <f t="shared" si="139"/>
        <v>1667</v>
      </c>
      <c r="B1810" s="66" t="s">
        <v>1894</v>
      </c>
      <c r="C1810" s="184">
        <v>1966</v>
      </c>
      <c r="D1810" s="50"/>
      <c r="E1810" s="184" t="s">
        <v>3816</v>
      </c>
      <c r="F1810" s="198">
        <v>5</v>
      </c>
      <c r="G1810" s="50"/>
      <c r="H1810" s="192">
        <v>7052.58</v>
      </c>
      <c r="I1810" s="198">
        <v>329</v>
      </c>
      <c r="J1810" s="19">
        <f t="shared" si="140"/>
        <v>650558.51</v>
      </c>
      <c r="K1810" s="50"/>
      <c r="L1810" s="50"/>
      <c r="M1810" s="48"/>
      <c r="N1810" s="19">
        <f>SUMIF('2020'!B:B,B1810,'2020'!C:C)+SUMIF('2021'!B:B,B1810,'2021'!C:C)+SUMIF('2022'!B:B,B1810,'2022'!C:C)</f>
        <v>650558.51</v>
      </c>
      <c r="O1810" s="219">
        <v>44925</v>
      </c>
      <c r="P1810" s="184" t="s">
        <v>3728</v>
      </c>
    </row>
    <row r="1811" spans="1:16" x14ac:dyDescent="0.3">
      <c r="A1811" s="169">
        <f t="shared" si="139"/>
        <v>1668</v>
      </c>
      <c r="B1811" s="66" t="s">
        <v>1895</v>
      </c>
      <c r="C1811" s="184">
        <v>1976</v>
      </c>
      <c r="D1811" s="50"/>
      <c r="E1811" s="184" t="s">
        <v>3816</v>
      </c>
      <c r="F1811" s="198">
        <v>12</v>
      </c>
      <c r="G1811" s="50"/>
      <c r="H1811" s="192">
        <v>2475</v>
      </c>
      <c r="I1811" s="198">
        <v>101</v>
      </c>
      <c r="J1811" s="19">
        <f t="shared" si="140"/>
        <v>522430.11</v>
      </c>
      <c r="K1811" s="50"/>
      <c r="L1811" s="50"/>
      <c r="M1811" s="48"/>
      <c r="N1811" s="19">
        <f>SUMIF('2020'!B:B,B1811,'2020'!C:C)+SUMIF('2021'!B:B,B1811,'2021'!C:C)+SUMIF('2022'!B:B,B1811,'2022'!C:C)</f>
        <v>522430.11</v>
      </c>
      <c r="O1811" s="219">
        <v>44925</v>
      </c>
      <c r="P1811" s="184" t="s">
        <v>3728</v>
      </c>
    </row>
    <row r="1812" spans="1:16" x14ac:dyDescent="0.3">
      <c r="A1812" s="169">
        <f t="shared" si="139"/>
        <v>1669</v>
      </c>
      <c r="B1812" s="66" t="s">
        <v>1896</v>
      </c>
      <c r="C1812" s="184">
        <v>1965</v>
      </c>
      <c r="D1812" s="50"/>
      <c r="E1812" s="184" t="s">
        <v>4091</v>
      </c>
      <c r="F1812" s="198">
        <v>5</v>
      </c>
      <c r="G1812" s="50"/>
      <c r="H1812" s="192">
        <v>3524.2</v>
      </c>
      <c r="I1812" s="198">
        <v>196</v>
      </c>
      <c r="J1812" s="19">
        <f t="shared" si="140"/>
        <v>9698983.9299999997</v>
      </c>
      <c r="K1812" s="50"/>
      <c r="L1812" s="50"/>
      <c r="M1812" s="48"/>
      <c r="N1812" s="19">
        <f>SUMIF('2020'!B:B,B1812,'2020'!C:C)+SUMIF('2021'!B:B,B1812,'2021'!C:C)+SUMIF('2022'!B:B,B1812,'2022'!C:C)</f>
        <v>9698983.9299999997</v>
      </c>
      <c r="O1812" s="219">
        <v>44925</v>
      </c>
      <c r="P1812" s="184" t="s">
        <v>3728</v>
      </c>
    </row>
    <row r="1813" spans="1:16" x14ac:dyDescent="0.3">
      <c r="A1813" s="169">
        <f t="shared" si="139"/>
        <v>1670</v>
      </c>
      <c r="B1813" s="66" t="s">
        <v>1898</v>
      </c>
      <c r="C1813" s="184">
        <v>1957</v>
      </c>
      <c r="D1813" s="50"/>
      <c r="E1813" s="184" t="s">
        <v>4091</v>
      </c>
      <c r="F1813" s="198">
        <v>3</v>
      </c>
      <c r="G1813" s="50"/>
      <c r="H1813" s="192">
        <v>1299.0999999999999</v>
      </c>
      <c r="I1813" s="225">
        <v>64</v>
      </c>
      <c r="J1813" s="19">
        <f t="shared" si="140"/>
        <v>704346.14000000013</v>
      </c>
      <c r="K1813" s="50"/>
      <c r="L1813" s="50"/>
      <c r="M1813" s="48"/>
      <c r="N1813" s="19">
        <f>SUMIF('2020'!B:B,B1813,'2020'!C:C)+SUMIF('2021'!B:B,B1813,'2021'!C:C)+SUMIF('2022'!B:B,B1813,'2022'!C:C)</f>
        <v>704346.14000000013</v>
      </c>
      <c r="O1813" s="219">
        <v>44925</v>
      </c>
      <c r="P1813" s="184" t="s">
        <v>3728</v>
      </c>
    </row>
    <row r="1814" spans="1:16" x14ac:dyDescent="0.3">
      <c r="A1814" s="169">
        <f t="shared" si="139"/>
        <v>1671</v>
      </c>
      <c r="B1814" s="66" t="s">
        <v>1899</v>
      </c>
      <c r="C1814" s="184">
        <v>1917</v>
      </c>
      <c r="D1814" s="50"/>
      <c r="E1814" s="184" t="s">
        <v>4094</v>
      </c>
      <c r="F1814" s="198">
        <v>2</v>
      </c>
      <c r="G1814" s="50"/>
      <c r="H1814" s="192">
        <v>663.67</v>
      </c>
      <c r="I1814" s="198">
        <v>33</v>
      </c>
      <c r="J1814" s="19">
        <f t="shared" si="140"/>
        <v>707798.13</v>
      </c>
      <c r="K1814" s="50"/>
      <c r="L1814" s="50"/>
      <c r="M1814" s="48"/>
      <c r="N1814" s="19">
        <f>SUMIF('2020'!B:B,B1814,'2020'!C:C)+SUMIF('2021'!B:B,B1814,'2021'!C:C)+SUMIF('2022'!B:B,B1814,'2022'!C:C)</f>
        <v>707798.13</v>
      </c>
      <c r="O1814" s="219">
        <v>44925</v>
      </c>
      <c r="P1814" s="184" t="s">
        <v>3728</v>
      </c>
    </row>
    <row r="1815" spans="1:16" x14ac:dyDescent="0.3">
      <c r="A1815" s="169">
        <f t="shared" si="139"/>
        <v>1672</v>
      </c>
      <c r="B1815" s="66" t="s">
        <v>1901</v>
      </c>
      <c r="C1815" s="184">
        <v>1964</v>
      </c>
      <c r="D1815" s="50"/>
      <c r="E1815" s="184" t="s">
        <v>4091</v>
      </c>
      <c r="F1815" s="198">
        <v>5</v>
      </c>
      <c r="G1815" s="50"/>
      <c r="H1815" s="192">
        <v>2394.8000000000002</v>
      </c>
      <c r="I1815" s="198">
        <v>129</v>
      </c>
      <c r="J1815" s="19">
        <f t="shared" si="140"/>
        <v>674282.39</v>
      </c>
      <c r="K1815" s="50"/>
      <c r="L1815" s="50"/>
      <c r="M1815" s="48"/>
      <c r="N1815" s="19">
        <f>SUMIF('2020'!B:B,B1815,'2020'!C:C)+SUMIF('2021'!B:B,B1815,'2021'!C:C)+SUMIF('2022'!B:B,B1815,'2022'!C:C)</f>
        <v>674282.39</v>
      </c>
      <c r="O1815" s="219">
        <v>44925</v>
      </c>
      <c r="P1815" s="184" t="s">
        <v>3728</v>
      </c>
    </row>
    <row r="1816" spans="1:16" x14ac:dyDescent="0.3">
      <c r="A1816" s="169">
        <f t="shared" si="139"/>
        <v>1673</v>
      </c>
      <c r="B1816" s="66" t="s">
        <v>1902</v>
      </c>
      <c r="C1816" s="184">
        <v>1917</v>
      </c>
      <c r="D1816" s="50"/>
      <c r="E1816" s="184" t="s">
        <v>4091</v>
      </c>
      <c r="F1816" s="198">
        <v>3</v>
      </c>
      <c r="G1816" s="50"/>
      <c r="H1816" s="192">
        <v>867.2</v>
      </c>
      <c r="I1816" s="198">
        <v>41</v>
      </c>
      <c r="J1816" s="19">
        <f t="shared" si="140"/>
        <v>482678.61</v>
      </c>
      <c r="K1816" s="50"/>
      <c r="L1816" s="50"/>
      <c r="M1816" s="48"/>
      <c r="N1816" s="19">
        <f>SUMIF('2020'!B:B,B1816,'2020'!C:C)+SUMIF('2021'!B:B,B1816,'2021'!C:C)+SUMIF('2022'!B:B,B1816,'2022'!C:C)</f>
        <v>482678.61</v>
      </c>
      <c r="O1816" s="219">
        <v>44925</v>
      </c>
      <c r="P1816" s="184" t="s">
        <v>3728</v>
      </c>
    </row>
    <row r="1817" spans="1:16" x14ac:dyDescent="0.3">
      <c r="A1817" s="169">
        <f t="shared" si="139"/>
        <v>1674</v>
      </c>
      <c r="B1817" s="66" t="s">
        <v>1903</v>
      </c>
      <c r="C1817" s="184">
        <v>1917</v>
      </c>
      <c r="D1817" s="50"/>
      <c r="E1817" s="237" t="s">
        <v>4091</v>
      </c>
      <c r="F1817" s="198">
        <v>2</v>
      </c>
      <c r="G1817" s="50"/>
      <c r="H1817" s="192">
        <v>430.24</v>
      </c>
      <c r="I1817" s="198">
        <v>19</v>
      </c>
      <c r="J1817" s="19">
        <f t="shared" si="140"/>
        <v>416229.68000000005</v>
      </c>
      <c r="K1817" s="50"/>
      <c r="L1817" s="50"/>
      <c r="M1817" s="48"/>
      <c r="N1817" s="19">
        <f>SUMIF('2020'!B:B,B1817,'2020'!C:C)+SUMIF('2021'!B:B,B1817,'2021'!C:C)+SUMIF('2022'!B:B,B1817,'2022'!C:C)</f>
        <v>416229.68000000005</v>
      </c>
      <c r="O1817" s="219">
        <v>44925</v>
      </c>
      <c r="P1817" s="184" t="s">
        <v>3728</v>
      </c>
    </row>
    <row r="1818" spans="1:16" x14ac:dyDescent="0.3">
      <c r="A1818" s="169">
        <f t="shared" si="139"/>
        <v>1675</v>
      </c>
      <c r="B1818" s="66" t="s">
        <v>1904</v>
      </c>
      <c r="C1818" s="184">
        <v>1917</v>
      </c>
      <c r="D1818" s="50"/>
      <c r="E1818" s="184" t="s">
        <v>4094</v>
      </c>
      <c r="F1818" s="198">
        <v>2</v>
      </c>
      <c r="G1818" s="50"/>
      <c r="H1818" s="192">
        <v>392.4</v>
      </c>
      <c r="I1818" s="198">
        <v>16</v>
      </c>
      <c r="J1818" s="19">
        <f t="shared" si="140"/>
        <v>421216.87</v>
      </c>
      <c r="K1818" s="50"/>
      <c r="L1818" s="50"/>
      <c r="M1818" s="48"/>
      <c r="N1818" s="19">
        <f>SUMIF('2020'!B:B,B1818,'2020'!C:C)+SUMIF('2021'!B:B,B1818,'2021'!C:C)+SUMIF('2022'!B:B,B1818,'2022'!C:C)</f>
        <v>421216.87</v>
      </c>
      <c r="O1818" s="219">
        <v>44925</v>
      </c>
      <c r="P1818" s="184" t="s">
        <v>3728</v>
      </c>
    </row>
    <row r="1819" spans="1:16" x14ac:dyDescent="0.3">
      <c r="A1819" s="169">
        <f t="shared" si="139"/>
        <v>1676</v>
      </c>
      <c r="B1819" s="66" t="s">
        <v>1905</v>
      </c>
      <c r="C1819" s="184">
        <v>1959</v>
      </c>
      <c r="D1819" s="50"/>
      <c r="E1819" s="184" t="s">
        <v>4091</v>
      </c>
      <c r="F1819" s="198">
        <v>3</v>
      </c>
      <c r="G1819" s="50"/>
      <c r="H1819" s="192">
        <v>1307</v>
      </c>
      <c r="I1819" s="198">
        <v>48</v>
      </c>
      <c r="J1819" s="19">
        <f t="shared" si="140"/>
        <v>719959.14999999991</v>
      </c>
      <c r="K1819" s="50"/>
      <c r="L1819" s="50"/>
      <c r="M1819" s="48"/>
      <c r="N1819" s="19">
        <f>SUMIF('2020'!B:B,B1819,'2020'!C:C)+SUMIF('2021'!B:B,B1819,'2021'!C:C)+SUMIF('2022'!B:B,B1819,'2022'!C:C)</f>
        <v>719959.14999999991</v>
      </c>
      <c r="O1819" s="219">
        <v>44925</v>
      </c>
      <c r="P1819" s="184" t="s">
        <v>3728</v>
      </c>
    </row>
    <row r="1820" spans="1:16" x14ac:dyDescent="0.3">
      <c r="A1820" s="169">
        <f t="shared" si="139"/>
        <v>1677</v>
      </c>
      <c r="B1820" s="66" t="s">
        <v>1906</v>
      </c>
      <c r="C1820" s="184">
        <v>1917</v>
      </c>
      <c r="D1820" s="50"/>
      <c r="E1820" s="184" t="s">
        <v>4091</v>
      </c>
      <c r="F1820" s="198">
        <v>2</v>
      </c>
      <c r="G1820" s="50"/>
      <c r="H1820" s="192">
        <v>417.5</v>
      </c>
      <c r="I1820" s="198">
        <v>15</v>
      </c>
      <c r="J1820" s="19">
        <f t="shared" si="140"/>
        <v>762665.26</v>
      </c>
      <c r="K1820" s="50"/>
      <c r="L1820" s="50"/>
      <c r="M1820" s="48"/>
      <c r="N1820" s="19">
        <f>SUMIF('2020'!B:B,B1820,'2020'!C:C)+SUMIF('2021'!B:B,B1820,'2021'!C:C)+SUMIF('2022'!B:B,B1820,'2022'!C:C)</f>
        <v>762665.26</v>
      </c>
      <c r="O1820" s="219">
        <v>44925</v>
      </c>
      <c r="P1820" s="184" t="s">
        <v>3728</v>
      </c>
    </row>
    <row r="1821" spans="1:16" x14ac:dyDescent="0.3">
      <c r="A1821" s="169">
        <f t="shared" si="139"/>
        <v>1678</v>
      </c>
      <c r="B1821" s="66" t="s">
        <v>1907</v>
      </c>
      <c r="C1821" s="184">
        <v>1917</v>
      </c>
      <c r="D1821" s="50"/>
      <c r="E1821" s="184" t="s">
        <v>4094</v>
      </c>
      <c r="F1821" s="198">
        <v>2</v>
      </c>
      <c r="G1821" s="50"/>
      <c r="H1821" s="192">
        <v>398.81</v>
      </c>
      <c r="I1821" s="198">
        <v>18</v>
      </c>
      <c r="J1821" s="19">
        <f t="shared" si="140"/>
        <v>788113.67</v>
      </c>
      <c r="K1821" s="50"/>
      <c r="L1821" s="50"/>
      <c r="M1821" s="48"/>
      <c r="N1821" s="19">
        <f>SUMIF('2020'!B:B,B1821,'2020'!C:C)+SUMIF('2021'!B:B,B1821,'2021'!C:C)+SUMIF('2022'!B:B,B1821,'2022'!C:C)</f>
        <v>788113.67</v>
      </c>
      <c r="O1821" s="219">
        <v>44925</v>
      </c>
      <c r="P1821" s="184" t="s">
        <v>3728</v>
      </c>
    </row>
    <row r="1822" spans="1:16" ht="31.2" x14ac:dyDescent="0.3">
      <c r="A1822" s="169">
        <f t="shared" si="139"/>
        <v>1679</v>
      </c>
      <c r="B1822" s="66" t="s">
        <v>1908</v>
      </c>
      <c r="C1822" s="184">
        <v>1917</v>
      </c>
      <c r="D1822" s="50"/>
      <c r="E1822" s="184" t="s">
        <v>4103</v>
      </c>
      <c r="F1822" s="198">
        <v>2</v>
      </c>
      <c r="G1822" s="50"/>
      <c r="H1822" s="192">
        <v>245.9</v>
      </c>
      <c r="I1822" s="198">
        <v>13</v>
      </c>
      <c r="J1822" s="19">
        <f t="shared" si="140"/>
        <v>429974.99</v>
      </c>
      <c r="K1822" s="50"/>
      <c r="L1822" s="50"/>
      <c r="M1822" s="48"/>
      <c r="N1822" s="19">
        <f>SUMIF('2020'!B:B,B1822,'2020'!C:C)+SUMIF('2021'!B:B,B1822,'2021'!C:C)+SUMIF('2022'!B:B,B1822,'2022'!C:C)</f>
        <v>429974.99</v>
      </c>
      <c r="O1822" s="219">
        <v>44925</v>
      </c>
      <c r="P1822" s="184" t="s">
        <v>3728</v>
      </c>
    </row>
    <row r="1823" spans="1:16" x14ac:dyDescent="0.3">
      <c r="A1823" s="169">
        <f t="shared" si="139"/>
        <v>1680</v>
      </c>
      <c r="B1823" s="66" t="s">
        <v>1909</v>
      </c>
      <c r="C1823" s="184">
        <v>1917</v>
      </c>
      <c r="D1823" s="50"/>
      <c r="E1823" s="184" t="s">
        <v>4094</v>
      </c>
      <c r="F1823" s="198">
        <v>2</v>
      </c>
      <c r="G1823" s="50"/>
      <c r="H1823" s="192">
        <v>271.2</v>
      </c>
      <c r="I1823" s="198">
        <v>15</v>
      </c>
      <c r="J1823" s="19">
        <f t="shared" si="140"/>
        <v>5997165.4199999999</v>
      </c>
      <c r="K1823" s="50"/>
      <c r="L1823" s="50"/>
      <c r="M1823" s="48"/>
      <c r="N1823" s="19">
        <f>SUMIF('2020'!B:B,B1823,'2020'!C:C)+SUMIF('2021'!B:B,B1823,'2021'!C:C)+SUMIF('2022'!B:B,B1823,'2022'!C:C)</f>
        <v>5997165.4199999999</v>
      </c>
      <c r="O1823" s="219">
        <v>44925</v>
      </c>
      <c r="P1823" s="184" t="s">
        <v>3728</v>
      </c>
    </row>
    <row r="1824" spans="1:16" x14ac:dyDescent="0.3">
      <c r="A1824" s="169">
        <f t="shared" si="139"/>
        <v>1681</v>
      </c>
      <c r="B1824" s="66" t="s">
        <v>1910</v>
      </c>
      <c r="C1824" s="184">
        <v>1917</v>
      </c>
      <c r="D1824" s="50"/>
      <c r="E1824" s="184" t="s">
        <v>4091</v>
      </c>
      <c r="F1824" s="198">
        <v>2</v>
      </c>
      <c r="G1824" s="50"/>
      <c r="H1824" s="192">
        <v>208.5</v>
      </c>
      <c r="I1824" s="198">
        <v>12</v>
      </c>
      <c r="J1824" s="19">
        <f t="shared" si="140"/>
        <v>543059.15</v>
      </c>
      <c r="K1824" s="50"/>
      <c r="L1824" s="50"/>
      <c r="M1824" s="48"/>
      <c r="N1824" s="19">
        <f>SUMIF('2020'!B:B,B1824,'2020'!C:C)+SUMIF('2021'!B:B,B1824,'2021'!C:C)+SUMIF('2022'!B:B,B1824,'2022'!C:C)</f>
        <v>543059.15</v>
      </c>
      <c r="O1824" s="219">
        <v>44925</v>
      </c>
      <c r="P1824" s="184" t="s">
        <v>3728</v>
      </c>
    </row>
    <row r="1825" spans="1:16" x14ac:dyDescent="0.3">
      <c r="A1825" s="169">
        <f t="shared" si="139"/>
        <v>1682</v>
      </c>
      <c r="B1825" s="66" t="s">
        <v>1911</v>
      </c>
      <c r="C1825" s="184">
        <v>1917</v>
      </c>
      <c r="D1825" s="50"/>
      <c r="E1825" s="184" t="s">
        <v>4091</v>
      </c>
      <c r="F1825" s="198">
        <v>2</v>
      </c>
      <c r="G1825" s="50"/>
      <c r="H1825" s="192">
        <v>246.47</v>
      </c>
      <c r="I1825" s="198">
        <v>13</v>
      </c>
      <c r="J1825" s="19">
        <f t="shared" si="140"/>
        <v>511260.57</v>
      </c>
      <c r="K1825" s="50"/>
      <c r="L1825" s="50"/>
      <c r="M1825" s="48"/>
      <c r="N1825" s="19">
        <f>SUMIF('2020'!B:B,B1825,'2020'!C:C)+SUMIF('2021'!B:B,B1825,'2021'!C:C)+SUMIF('2022'!B:B,B1825,'2022'!C:C)</f>
        <v>511260.57</v>
      </c>
      <c r="O1825" s="219">
        <v>44925</v>
      </c>
      <c r="P1825" s="184" t="s">
        <v>3728</v>
      </c>
    </row>
    <row r="1826" spans="1:16" x14ac:dyDescent="0.3">
      <c r="A1826" s="169">
        <f t="shared" si="139"/>
        <v>1683</v>
      </c>
      <c r="B1826" s="66" t="s">
        <v>1912</v>
      </c>
      <c r="C1826" s="184">
        <v>1959</v>
      </c>
      <c r="D1826" s="50"/>
      <c r="E1826" s="184" t="s">
        <v>4091</v>
      </c>
      <c r="F1826" s="198">
        <v>2</v>
      </c>
      <c r="G1826" s="50"/>
      <c r="H1826" s="192">
        <v>639.79999999999995</v>
      </c>
      <c r="I1826" s="198">
        <v>29</v>
      </c>
      <c r="J1826" s="19">
        <f t="shared" si="140"/>
        <v>585531.27</v>
      </c>
      <c r="K1826" s="50"/>
      <c r="L1826" s="50"/>
      <c r="M1826" s="48"/>
      <c r="N1826" s="19">
        <f>SUMIF('2020'!B:B,B1826,'2020'!C:C)+SUMIF('2021'!B:B,B1826,'2021'!C:C)+SUMIF('2022'!B:B,B1826,'2022'!C:C)</f>
        <v>585531.27</v>
      </c>
      <c r="O1826" s="219">
        <v>44925</v>
      </c>
      <c r="P1826" s="184" t="s">
        <v>3728</v>
      </c>
    </row>
    <row r="1827" spans="1:16" x14ac:dyDescent="0.3">
      <c r="A1827" s="169">
        <f t="shared" si="139"/>
        <v>1684</v>
      </c>
      <c r="B1827" s="66" t="s">
        <v>1913</v>
      </c>
      <c r="C1827" s="184">
        <v>1917</v>
      </c>
      <c r="D1827" s="50"/>
      <c r="E1827" s="237" t="s">
        <v>4091</v>
      </c>
      <c r="F1827" s="198">
        <v>2</v>
      </c>
      <c r="G1827" s="50"/>
      <c r="H1827" s="192">
        <v>526.20000000000005</v>
      </c>
      <c r="I1827" s="198">
        <v>22</v>
      </c>
      <c r="J1827" s="19">
        <f t="shared" si="140"/>
        <v>942016.9</v>
      </c>
      <c r="K1827" s="50"/>
      <c r="L1827" s="50"/>
      <c r="M1827" s="48"/>
      <c r="N1827" s="19">
        <f>SUMIF('2020'!B:B,B1827,'2020'!C:C)+SUMIF('2021'!B:B,B1827,'2021'!C:C)+SUMIF('2022'!B:B,B1827,'2022'!C:C)</f>
        <v>942016.9</v>
      </c>
      <c r="O1827" s="219">
        <v>44925</v>
      </c>
      <c r="P1827" s="184" t="s">
        <v>3728</v>
      </c>
    </row>
    <row r="1828" spans="1:16" x14ac:dyDescent="0.3">
      <c r="A1828" s="169">
        <f t="shared" si="139"/>
        <v>1685</v>
      </c>
      <c r="B1828" s="66" t="s">
        <v>1914</v>
      </c>
      <c r="C1828" s="184">
        <v>1917</v>
      </c>
      <c r="D1828" s="50"/>
      <c r="E1828" s="184" t="s">
        <v>4094</v>
      </c>
      <c r="F1828" s="198">
        <v>2</v>
      </c>
      <c r="G1828" s="50"/>
      <c r="H1828" s="192">
        <v>308.86</v>
      </c>
      <c r="I1828" s="198">
        <v>21</v>
      </c>
      <c r="J1828" s="19">
        <f t="shared" si="140"/>
        <v>582047.01</v>
      </c>
      <c r="K1828" s="50"/>
      <c r="L1828" s="50"/>
      <c r="M1828" s="48"/>
      <c r="N1828" s="19">
        <f>SUMIF('2020'!B:B,B1828,'2020'!C:C)+SUMIF('2021'!B:B,B1828,'2021'!C:C)+SUMIF('2022'!B:B,B1828,'2022'!C:C)</f>
        <v>582047.01</v>
      </c>
      <c r="O1828" s="219">
        <v>44925</v>
      </c>
      <c r="P1828" s="184" t="s">
        <v>3728</v>
      </c>
    </row>
    <row r="1829" spans="1:16" x14ac:dyDescent="0.3">
      <c r="A1829" s="169">
        <f t="shared" si="139"/>
        <v>1686</v>
      </c>
      <c r="B1829" s="66" t="s">
        <v>1915</v>
      </c>
      <c r="C1829" s="184">
        <v>1917</v>
      </c>
      <c r="D1829" s="50"/>
      <c r="E1829" s="184" t="s">
        <v>4094</v>
      </c>
      <c r="F1829" s="198">
        <v>2</v>
      </c>
      <c r="G1829" s="50"/>
      <c r="H1829" s="192">
        <v>114.81</v>
      </c>
      <c r="I1829" s="198">
        <v>9</v>
      </c>
      <c r="J1829" s="19">
        <f t="shared" si="140"/>
        <v>396353.88</v>
      </c>
      <c r="K1829" s="50"/>
      <c r="L1829" s="50"/>
      <c r="M1829" s="48"/>
      <c r="N1829" s="19">
        <f>SUMIF('2020'!B:B,B1829,'2020'!C:C)+SUMIF('2021'!B:B,B1829,'2021'!C:C)+SUMIF('2022'!B:B,B1829,'2022'!C:C)</f>
        <v>396353.88</v>
      </c>
      <c r="O1829" s="219">
        <v>44925</v>
      </c>
      <c r="P1829" s="184" t="s">
        <v>3728</v>
      </c>
    </row>
    <row r="1830" spans="1:16" x14ac:dyDescent="0.3">
      <c r="A1830" s="169">
        <f t="shared" si="139"/>
        <v>1687</v>
      </c>
      <c r="B1830" s="66" t="s">
        <v>1916</v>
      </c>
      <c r="C1830" s="184">
        <v>1917</v>
      </c>
      <c r="D1830" s="50"/>
      <c r="E1830" s="184" t="s">
        <v>4091</v>
      </c>
      <c r="F1830" s="198">
        <v>2</v>
      </c>
      <c r="G1830" s="50"/>
      <c r="H1830" s="192">
        <v>137.80000000000001</v>
      </c>
      <c r="I1830" s="198">
        <v>8</v>
      </c>
      <c r="J1830" s="19">
        <f t="shared" si="140"/>
        <v>308652.5</v>
      </c>
      <c r="K1830" s="50"/>
      <c r="L1830" s="50"/>
      <c r="M1830" s="48"/>
      <c r="N1830" s="19">
        <f>SUMIF('2020'!B:B,B1830,'2020'!C:C)+SUMIF('2021'!B:B,B1830,'2021'!C:C)+SUMIF('2022'!B:B,B1830,'2022'!C:C)</f>
        <v>308652.5</v>
      </c>
      <c r="O1830" s="219">
        <v>44925</v>
      </c>
      <c r="P1830" s="184" t="s">
        <v>3728</v>
      </c>
    </row>
    <row r="1831" spans="1:16" x14ac:dyDescent="0.3">
      <c r="A1831" s="169">
        <f t="shared" si="139"/>
        <v>1688</v>
      </c>
      <c r="B1831" s="66" t="s">
        <v>1917</v>
      </c>
      <c r="C1831" s="184">
        <v>1917</v>
      </c>
      <c r="D1831" s="50"/>
      <c r="E1831" s="184" t="s">
        <v>4094</v>
      </c>
      <c r="F1831" s="198">
        <v>2</v>
      </c>
      <c r="G1831" s="50"/>
      <c r="H1831" s="192">
        <v>281.01</v>
      </c>
      <c r="I1831" s="198">
        <v>22</v>
      </c>
      <c r="J1831" s="19">
        <f t="shared" si="140"/>
        <v>706434.69000000006</v>
      </c>
      <c r="K1831" s="50"/>
      <c r="L1831" s="50"/>
      <c r="M1831" s="48"/>
      <c r="N1831" s="19">
        <f>SUMIF('2020'!B:B,B1831,'2020'!C:C)+SUMIF('2021'!B:B,B1831,'2021'!C:C)+SUMIF('2022'!B:B,B1831,'2022'!C:C)</f>
        <v>706434.69000000006</v>
      </c>
      <c r="O1831" s="219">
        <v>44925</v>
      </c>
      <c r="P1831" s="184" t="s">
        <v>3728</v>
      </c>
    </row>
    <row r="1832" spans="1:16" x14ac:dyDescent="0.3">
      <c r="A1832" s="169">
        <f t="shared" si="139"/>
        <v>1689</v>
      </c>
      <c r="B1832" s="66" t="s">
        <v>1918</v>
      </c>
      <c r="C1832" s="184">
        <v>1917</v>
      </c>
      <c r="D1832" s="50"/>
      <c r="E1832" s="184" t="s">
        <v>4094</v>
      </c>
      <c r="F1832" s="198">
        <v>2</v>
      </c>
      <c r="G1832" s="50"/>
      <c r="H1832" s="192">
        <v>351.31</v>
      </c>
      <c r="I1832" s="198">
        <v>18</v>
      </c>
      <c r="J1832" s="19">
        <f t="shared" si="140"/>
        <v>646541.07000000007</v>
      </c>
      <c r="K1832" s="228"/>
      <c r="L1832" s="50"/>
      <c r="M1832" s="48"/>
      <c r="N1832" s="19">
        <f>SUMIF('2020'!B:B,B1832,'2020'!C:C)+SUMIF('2021'!B:B,B1832,'2021'!C:C)+SUMIF('2022'!B:B,B1832,'2022'!C:C)</f>
        <v>646541.07000000007</v>
      </c>
      <c r="O1832" s="219">
        <v>44925</v>
      </c>
      <c r="P1832" s="184" t="s">
        <v>3728</v>
      </c>
    </row>
    <row r="1833" spans="1:16" x14ac:dyDescent="0.3">
      <c r="A1833" s="169">
        <f t="shared" si="139"/>
        <v>1690</v>
      </c>
      <c r="B1833" s="66" t="s">
        <v>1919</v>
      </c>
      <c r="C1833" s="184">
        <v>1917</v>
      </c>
      <c r="D1833" s="50"/>
      <c r="E1833" s="184" t="s">
        <v>4094</v>
      </c>
      <c r="F1833" s="198">
        <v>2</v>
      </c>
      <c r="G1833" s="50"/>
      <c r="H1833" s="192">
        <v>542.17999999999995</v>
      </c>
      <c r="I1833" s="198">
        <v>27</v>
      </c>
      <c r="J1833" s="19">
        <f t="shared" si="140"/>
        <v>569872.52</v>
      </c>
      <c r="K1833" s="228"/>
      <c r="L1833" s="50"/>
      <c r="M1833" s="48"/>
      <c r="N1833" s="19">
        <f>SUMIF('2020'!B:B,B1833,'2020'!C:C)+SUMIF('2021'!B:B,B1833,'2021'!C:C)+SUMIF('2022'!B:B,B1833,'2022'!C:C)</f>
        <v>569872.52</v>
      </c>
      <c r="O1833" s="219">
        <v>44925</v>
      </c>
      <c r="P1833" s="184" t="s">
        <v>3728</v>
      </c>
    </row>
    <row r="1834" spans="1:16" x14ac:dyDescent="0.3">
      <c r="A1834" s="169">
        <f t="shared" si="139"/>
        <v>1691</v>
      </c>
      <c r="B1834" s="66" t="s">
        <v>1920</v>
      </c>
      <c r="C1834" s="184">
        <v>1917</v>
      </c>
      <c r="D1834" s="50"/>
      <c r="E1834" s="184" t="s">
        <v>4094</v>
      </c>
      <c r="F1834" s="198">
        <v>2</v>
      </c>
      <c r="G1834" s="50"/>
      <c r="H1834" s="192">
        <v>225.83</v>
      </c>
      <c r="I1834" s="198">
        <v>10</v>
      </c>
      <c r="J1834" s="19">
        <f t="shared" si="140"/>
        <v>590261.93999999994</v>
      </c>
      <c r="K1834" s="228"/>
      <c r="L1834" s="50"/>
      <c r="M1834" s="48"/>
      <c r="N1834" s="19">
        <f>SUMIF('2020'!B:B,B1834,'2020'!C:C)+SUMIF('2021'!B:B,B1834,'2021'!C:C)+SUMIF('2022'!B:B,B1834,'2022'!C:C)</f>
        <v>590261.93999999994</v>
      </c>
      <c r="O1834" s="219">
        <v>44925</v>
      </c>
      <c r="P1834" s="184" t="s">
        <v>3728</v>
      </c>
    </row>
    <row r="1835" spans="1:16" x14ac:dyDescent="0.3">
      <c r="A1835" s="169">
        <f t="shared" si="139"/>
        <v>1692</v>
      </c>
      <c r="B1835" s="66" t="s">
        <v>1921</v>
      </c>
      <c r="C1835" s="184">
        <v>1917</v>
      </c>
      <c r="D1835" s="50"/>
      <c r="E1835" s="184" t="s">
        <v>4094</v>
      </c>
      <c r="F1835" s="198">
        <v>2</v>
      </c>
      <c r="G1835" s="50"/>
      <c r="H1835" s="192">
        <v>537.70000000000005</v>
      </c>
      <c r="I1835" s="198">
        <v>20</v>
      </c>
      <c r="J1835" s="19">
        <f t="shared" si="140"/>
        <v>6005956.3200000003</v>
      </c>
      <c r="K1835" s="50"/>
      <c r="L1835" s="50"/>
      <c r="M1835" s="48"/>
      <c r="N1835" s="19">
        <f>SUMIF('2020'!B:B,B1835,'2020'!C:C)+SUMIF('2021'!B:B,B1835,'2021'!C:C)+SUMIF('2022'!B:B,B1835,'2022'!C:C)</f>
        <v>6005956.3200000003</v>
      </c>
      <c r="O1835" s="219">
        <v>44925</v>
      </c>
      <c r="P1835" s="184" t="s">
        <v>3728</v>
      </c>
    </row>
    <row r="1836" spans="1:16" x14ac:dyDescent="0.3">
      <c r="A1836" s="169">
        <f t="shared" si="139"/>
        <v>1693</v>
      </c>
      <c r="B1836" s="66" t="s">
        <v>1922</v>
      </c>
      <c r="C1836" s="184">
        <v>1917</v>
      </c>
      <c r="D1836" s="50"/>
      <c r="E1836" s="184" t="s">
        <v>4094</v>
      </c>
      <c r="F1836" s="198">
        <v>2</v>
      </c>
      <c r="G1836" s="50"/>
      <c r="H1836" s="192">
        <v>486</v>
      </c>
      <c r="I1836" s="198">
        <v>17</v>
      </c>
      <c r="J1836" s="19">
        <f t="shared" si="140"/>
        <v>130000</v>
      </c>
      <c r="K1836" s="50"/>
      <c r="L1836" s="50"/>
      <c r="M1836" s="48"/>
      <c r="N1836" s="19">
        <f>SUMIF('2020'!B:B,B1836,'2020'!C:C)+SUMIF('2021'!B:B,B1836,'2021'!C:C)+SUMIF('2022'!B:B,B1836,'2022'!C:C)</f>
        <v>130000</v>
      </c>
      <c r="O1836" s="219">
        <v>44925</v>
      </c>
      <c r="P1836" s="184" t="s">
        <v>3728</v>
      </c>
    </row>
    <row r="1837" spans="1:16" x14ac:dyDescent="0.3">
      <c r="A1837" s="169">
        <f t="shared" si="139"/>
        <v>1694</v>
      </c>
      <c r="B1837" s="66" t="s">
        <v>1923</v>
      </c>
      <c r="C1837" s="184">
        <v>1917</v>
      </c>
      <c r="D1837" s="50"/>
      <c r="E1837" s="184" t="s">
        <v>4094</v>
      </c>
      <c r="F1837" s="198">
        <v>2</v>
      </c>
      <c r="G1837" s="50"/>
      <c r="H1837" s="192">
        <v>277.26</v>
      </c>
      <c r="I1837" s="198">
        <v>21</v>
      </c>
      <c r="J1837" s="19">
        <f t="shared" si="140"/>
        <v>940432.41</v>
      </c>
      <c r="K1837" s="50"/>
      <c r="L1837" s="50"/>
      <c r="M1837" s="48"/>
      <c r="N1837" s="19">
        <f>SUMIF('2020'!B:B,B1837,'2020'!C:C)+SUMIF('2021'!B:B,B1837,'2021'!C:C)+SUMIF('2022'!B:B,B1837,'2022'!C:C)</f>
        <v>940432.41</v>
      </c>
      <c r="O1837" s="219">
        <v>44925</v>
      </c>
      <c r="P1837" s="184" t="s">
        <v>3728</v>
      </c>
    </row>
    <row r="1838" spans="1:16" x14ac:dyDescent="0.3">
      <c r="A1838" s="169">
        <f t="shared" si="139"/>
        <v>1695</v>
      </c>
      <c r="B1838" s="66" t="s">
        <v>1924</v>
      </c>
      <c r="C1838" s="184">
        <v>1917</v>
      </c>
      <c r="D1838" s="50"/>
      <c r="E1838" s="184" t="s">
        <v>4094</v>
      </c>
      <c r="F1838" s="198">
        <v>2</v>
      </c>
      <c r="G1838" s="51"/>
      <c r="H1838" s="192">
        <v>347.68</v>
      </c>
      <c r="I1838" s="198">
        <v>26</v>
      </c>
      <c r="J1838" s="19">
        <f t="shared" si="140"/>
        <v>6261304.4000000004</v>
      </c>
      <c r="K1838" s="51"/>
      <c r="L1838" s="50"/>
      <c r="M1838" s="48"/>
      <c r="N1838" s="19">
        <f>SUMIF('2020'!B:B,B1838,'2020'!C:C)+SUMIF('2021'!B:B,B1838,'2021'!C:C)+SUMIF('2022'!B:B,B1838,'2022'!C:C)</f>
        <v>6261304.4000000004</v>
      </c>
      <c r="O1838" s="219">
        <v>44925</v>
      </c>
      <c r="P1838" s="184" t="s">
        <v>3728</v>
      </c>
    </row>
    <row r="1839" spans="1:16" x14ac:dyDescent="0.3">
      <c r="A1839" s="169">
        <f t="shared" si="139"/>
        <v>1696</v>
      </c>
      <c r="B1839" s="66" t="s">
        <v>1925</v>
      </c>
      <c r="C1839" s="184">
        <v>1917</v>
      </c>
      <c r="D1839" s="50"/>
      <c r="E1839" s="184" t="s">
        <v>4094</v>
      </c>
      <c r="F1839" s="198">
        <v>2</v>
      </c>
      <c r="G1839" s="56"/>
      <c r="H1839" s="192">
        <v>197</v>
      </c>
      <c r="I1839" s="198">
        <v>8</v>
      </c>
      <c r="J1839" s="19">
        <f t="shared" si="140"/>
        <v>6557964.4000000004</v>
      </c>
      <c r="K1839" s="51"/>
      <c r="L1839" s="50"/>
      <c r="M1839" s="48"/>
      <c r="N1839" s="19">
        <f>SUMIF('2020'!B:B,B1839,'2020'!C:C)+SUMIF('2021'!B:B,B1839,'2021'!C:C)+SUMIF('2022'!B:B,B1839,'2022'!C:C)</f>
        <v>6557964.4000000004</v>
      </c>
      <c r="O1839" s="219">
        <v>44925</v>
      </c>
      <c r="P1839" s="184" t="s">
        <v>3728</v>
      </c>
    </row>
    <row r="1840" spans="1:16" x14ac:dyDescent="0.3">
      <c r="A1840" s="169">
        <f t="shared" si="139"/>
        <v>1697</v>
      </c>
      <c r="B1840" s="66" t="s">
        <v>1926</v>
      </c>
      <c r="C1840" s="184">
        <v>1917</v>
      </c>
      <c r="D1840" s="50"/>
      <c r="E1840" s="184" t="s">
        <v>4094</v>
      </c>
      <c r="F1840" s="198">
        <v>2</v>
      </c>
      <c r="G1840" s="50"/>
      <c r="H1840" s="192">
        <v>200.1</v>
      </c>
      <c r="I1840" s="198">
        <v>15</v>
      </c>
      <c r="J1840" s="19">
        <f t="shared" si="140"/>
        <v>1143324.51</v>
      </c>
      <c r="K1840" s="50"/>
      <c r="L1840" s="50"/>
      <c r="M1840" s="48"/>
      <c r="N1840" s="19">
        <f>SUMIF('2020'!B:B,B1840,'2020'!C:C)+SUMIF('2021'!B:B,B1840,'2021'!C:C)+SUMIF('2022'!B:B,B1840,'2022'!C:C)</f>
        <v>1143324.51</v>
      </c>
      <c r="O1840" s="219">
        <v>44925</v>
      </c>
      <c r="P1840" s="184" t="s">
        <v>3728</v>
      </c>
    </row>
    <row r="1841" spans="1:16" x14ac:dyDescent="0.3">
      <c r="A1841" s="169">
        <f t="shared" si="139"/>
        <v>1698</v>
      </c>
      <c r="B1841" s="66" t="s">
        <v>1927</v>
      </c>
      <c r="C1841" s="184">
        <v>1917</v>
      </c>
      <c r="D1841" s="50"/>
      <c r="E1841" s="184" t="s">
        <v>4094</v>
      </c>
      <c r="F1841" s="198">
        <v>2</v>
      </c>
      <c r="G1841" s="51"/>
      <c r="H1841" s="192">
        <v>322.8</v>
      </c>
      <c r="I1841" s="198">
        <v>18</v>
      </c>
      <c r="J1841" s="19">
        <f t="shared" si="140"/>
        <v>3087627.56</v>
      </c>
      <c r="K1841" s="50"/>
      <c r="L1841" s="50"/>
      <c r="M1841" s="48"/>
      <c r="N1841" s="19">
        <f>SUMIF('2020'!B:B,B1841,'2020'!C:C)+SUMIF('2021'!B:B,B1841,'2021'!C:C)+SUMIF('2022'!B:B,B1841,'2022'!C:C)</f>
        <v>3087627.56</v>
      </c>
      <c r="O1841" s="219">
        <v>44925</v>
      </c>
      <c r="P1841" s="184" t="s">
        <v>3728</v>
      </c>
    </row>
    <row r="1842" spans="1:16" x14ac:dyDescent="0.3">
      <c r="A1842" s="169">
        <f t="shared" si="139"/>
        <v>1699</v>
      </c>
      <c r="B1842" s="66" t="s">
        <v>1928</v>
      </c>
      <c r="C1842" s="184">
        <v>1937</v>
      </c>
      <c r="D1842" s="50"/>
      <c r="E1842" s="184" t="s">
        <v>4094</v>
      </c>
      <c r="F1842" s="198">
        <v>2</v>
      </c>
      <c r="G1842" s="50"/>
      <c r="H1842" s="192">
        <v>132.30000000000001</v>
      </c>
      <c r="I1842" s="198">
        <v>5</v>
      </c>
      <c r="J1842" s="19">
        <f t="shared" si="140"/>
        <v>732041.55</v>
      </c>
      <c r="K1842" s="50"/>
      <c r="L1842" s="50"/>
      <c r="M1842" s="48"/>
      <c r="N1842" s="19">
        <f>SUMIF('2020'!B:B,B1842,'2020'!C:C)+SUMIF('2021'!B:B,B1842,'2021'!C:C)+SUMIF('2022'!B:B,B1842,'2022'!C:C)</f>
        <v>732041.55</v>
      </c>
      <c r="O1842" s="219">
        <v>44925</v>
      </c>
      <c r="P1842" s="184" t="s">
        <v>3728</v>
      </c>
    </row>
    <row r="1843" spans="1:16" x14ac:dyDescent="0.3">
      <c r="A1843" s="220"/>
      <c r="B1843" s="66" t="s">
        <v>211</v>
      </c>
      <c r="C1843" s="184"/>
      <c r="D1843" s="50"/>
      <c r="E1843" s="48"/>
      <c r="F1843" s="48"/>
      <c r="G1843" s="50"/>
      <c r="H1843" s="48">
        <f>SUM(H1411:H1842)</f>
        <v>842299.79</v>
      </c>
      <c r="I1843" s="218">
        <f>SUM(I1411:I1842)</f>
        <v>36387</v>
      </c>
      <c r="J1843" s="19">
        <f t="shared" si="140"/>
        <v>840302734.77999914</v>
      </c>
      <c r="K1843" s="50"/>
      <c r="L1843" s="50"/>
      <c r="M1843" s="50"/>
      <c r="N1843" s="50">
        <f>SUM(N1411:N1842)</f>
        <v>840302734.77999914</v>
      </c>
      <c r="O1843" s="50"/>
      <c r="P1843" s="50"/>
    </row>
    <row r="1844" spans="1:16" x14ac:dyDescent="0.3">
      <c r="A1844" s="461" t="s">
        <v>1929</v>
      </c>
      <c r="B1844" s="462"/>
      <c r="C1844" s="184"/>
      <c r="D1844" s="50"/>
      <c r="E1844" s="48"/>
      <c r="F1844" s="48"/>
      <c r="G1844" s="50"/>
      <c r="H1844" s="48"/>
      <c r="I1844" s="48"/>
      <c r="J1844" s="19">
        <f t="shared" si="140"/>
        <v>0</v>
      </c>
      <c r="K1844" s="50"/>
      <c r="L1844" s="50"/>
      <c r="M1844" s="50"/>
      <c r="N1844" s="50"/>
      <c r="O1844" s="50"/>
      <c r="P1844" s="50"/>
    </row>
    <row r="1845" spans="1:16" x14ac:dyDescent="0.3">
      <c r="A1845" s="169">
        <f>A1842+1</f>
        <v>1700</v>
      </c>
      <c r="B1845" s="66" t="s">
        <v>1930</v>
      </c>
      <c r="C1845" s="184">
        <v>1953</v>
      </c>
      <c r="D1845" s="50"/>
      <c r="E1845" s="52" t="s">
        <v>3733</v>
      </c>
      <c r="F1845" s="47">
        <v>2</v>
      </c>
      <c r="G1845" s="51"/>
      <c r="H1845" s="52">
        <v>379.1</v>
      </c>
      <c r="I1845" s="47">
        <v>21</v>
      </c>
      <c r="J1845" s="19">
        <f t="shared" si="140"/>
        <v>1666099.2</v>
      </c>
      <c r="K1845" s="51"/>
      <c r="L1845" s="50"/>
      <c r="M1845" s="51"/>
      <c r="N1845" s="19">
        <f>SUMIF('2020'!B:B,B1845,'2020'!C:C)+SUMIF('2021'!B:B,B1845,'2021'!C:C)+SUMIF('2022'!B:B,B1845,'2022'!C:C)</f>
        <v>1666099.2</v>
      </c>
      <c r="O1845" s="219">
        <v>44925</v>
      </c>
      <c r="P1845" s="48" t="s">
        <v>3728</v>
      </c>
    </row>
    <row r="1846" spans="1:16" x14ac:dyDescent="0.3">
      <c r="A1846" s="169">
        <f>A1845+1</f>
        <v>1701</v>
      </c>
      <c r="B1846" s="66" t="s">
        <v>1931</v>
      </c>
      <c r="C1846" s="184">
        <v>1962</v>
      </c>
      <c r="D1846" s="50"/>
      <c r="E1846" s="52" t="s">
        <v>3733</v>
      </c>
      <c r="F1846" s="47">
        <v>2</v>
      </c>
      <c r="G1846" s="51"/>
      <c r="H1846" s="52">
        <v>712.2</v>
      </c>
      <c r="I1846" s="47">
        <v>29</v>
      </c>
      <c r="J1846" s="19">
        <f t="shared" si="140"/>
        <v>341353.2</v>
      </c>
      <c r="K1846" s="51"/>
      <c r="L1846" s="50"/>
      <c r="M1846" s="51"/>
      <c r="N1846" s="19">
        <f>SUMIF('2020'!B:B,B1846,'2020'!C:C)+SUMIF('2021'!B:B,B1846,'2021'!C:C)+SUMIF('2022'!B:B,B1846,'2022'!C:C)</f>
        <v>341353.2</v>
      </c>
      <c r="O1846" s="219">
        <v>44925</v>
      </c>
      <c r="P1846" s="48" t="s">
        <v>3728</v>
      </c>
    </row>
    <row r="1847" spans="1:16" x14ac:dyDescent="0.3">
      <c r="A1847" s="169">
        <f>A1846+1</f>
        <v>1702</v>
      </c>
      <c r="B1847" s="66" t="s">
        <v>1932</v>
      </c>
      <c r="C1847" s="184">
        <v>1962</v>
      </c>
      <c r="D1847" s="50"/>
      <c r="E1847" s="52" t="s">
        <v>3733</v>
      </c>
      <c r="F1847" s="47">
        <v>2</v>
      </c>
      <c r="G1847" s="51"/>
      <c r="H1847" s="52">
        <v>637.6</v>
      </c>
      <c r="I1847" s="47">
        <v>33</v>
      </c>
      <c r="J1847" s="19">
        <f t="shared" si="140"/>
        <v>362492.4</v>
      </c>
      <c r="K1847" s="51"/>
      <c r="L1847" s="50"/>
      <c r="M1847" s="51"/>
      <c r="N1847" s="19">
        <f>SUMIF('2020'!B:B,B1847,'2020'!C:C)+SUMIF('2021'!B:B,B1847,'2021'!C:C)+SUMIF('2022'!B:B,B1847,'2022'!C:C)</f>
        <v>362492.4</v>
      </c>
      <c r="O1847" s="219">
        <v>44925</v>
      </c>
      <c r="P1847" s="48" t="s">
        <v>3728</v>
      </c>
    </row>
    <row r="1848" spans="1:16" x14ac:dyDescent="0.3">
      <c r="A1848" s="169">
        <f>A1847+1</f>
        <v>1703</v>
      </c>
      <c r="B1848" s="66" t="s">
        <v>1933</v>
      </c>
      <c r="C1848" s="184">
        <v>1961</v>
      </c>
      <c r="D1848" s="50"/>
      <c r="E1848" s="52" t="s">
        <v>3733</v>
      </c>
      <c r="F1848" s="47">
        <v>2</v>
      </c>
      <c r="G1848" s="51"/>
      <c r="H1848" s="52">
        <v>695.6</v>
      </c>
      <c r="I1848" s="47">
        <v>20</v>
      </c>
      <c r="J1848" s="19">
        <f t="shared" si="140"/>
        <v>2167610.4</v>
      </c>
      <c r="K1848" s="51"/>
      <c r="L1848" s="50"/>
      <c r="M1848" s="51"/>
      <c r="N1848" s="19">
        <f>SUMIF('2020'!B:B,B1848,'2020'!C:C)+SUMIF('2021'!B:B,B1848,'2021'!C:C)+SUMIF('2022'!B:B,B1848,'2022'!C:C)</f>
        <v>2167610.4</v>
      </c>
      <c r="O1848" s="219">
        <v>44925</v>
      </c>
      <c r="P1848" s="48" t="s">
        <v>3728</v>
      </c>
    </row>
    <row r="1849" spans="1:16" x14ac:dyDescent="0.3">
      <c r="A1849" s="169">
        <f>A1848+1</f>
        <v>1704</v>
      </c>
      <c r="B1849" s="66" t="s">
        <v>1934</v>
      </c>
      <c r="C1849" s="184">
        <v>1950</v>
      </c>
      <c r="D1849" s="50"/>
      <c r="E1849" s="52" t="s">
        <v>4090</v>
      </c>
      <c r="F1849" s="47">
        <v>2</v>
      </c>
      <c r="G1849" s="51"/>
      <c r="H1849" s="52">
        <v>508.7</v>
      </c>
      <c r="I1849" s="47">
        <v>27</v>
      </c>
      <c r="J1849" s="19">
        <f t="shared" si="140"/>
        <v>5354418.79</v>
      </c>
      <c r="K1849" s="51"/>
      <c r="L1849" s="50"/>
      <c r="M1849" s="51"/>
      <c r="N1849" s="19">
        <f>SUMIF('2020'!B:B,B1849,'2020'!C:C)+SUMIF('2021'!B:B,B1849,'2021'!C:C)+SUMIF('2022'!B:B,B1849,'2022'!C:C)</f>
        <v>5354418.79</v>
      </c>
      <c r="O1849" s="219">
        <v>44925</v>
      </c>
      <c r="P1849" s="48" t="s">
        <v>3728</v>
      </c>
    </row>
    <row r="1850" spans="1:16" x14ac:dyDescent="0.3">
      <c r="A1850" s="169">
        <f>A1849+1</f>
        <v>1705</v>
      </c>
      <c r="B1850" s="66" t="s">
        <v>1935</v>
      </c>
      <c r="C1850" s="184">
        <v>1969</v>
      </c>
      <c r="D1850" s="50"/>
      <c r="E1850" s="48" t="s">
        <v>3733</v>
      </c>
      <c r="F1850" s="47">
        <v>2</v>
      </c>
      <c r="G1850" s="50"/>
      <c r="H1850" s="48">
        <v>530.70000000000005</v>
      </c>
      <c r="I1850" s="47">
        <v>25</v>
      </c>
      <c r="J1850" s="19">
        <f t="shared" si="140"/>
        <v>738493.59</v>
      </c>
      <c r="K1850" s="50"/>
      <c r="L1850" s="50"/>
      <c r="M1850" s="50"/>
      <c r="N1850" s="19">
        <f>SUMIF('2020'!B:B,B1850,'2020'!C:C)+SUMIF('2021'!B:B,B1850,'2021'!C:C)+SUMIF('2022'!B:B,B1850,'2022'!C:C)</f>
        <v>738493.59</v>
      </c>
      <c r="O1850" s="219">
        <v>44925</v>
      </c>
      <c r="P1850" s="48" t="s">
        <v>3728</v>
      </c>
    </row>
    <row r="1851" spans="1:16" x14ac:dyDescent="0.3">
      <c r="A1851" s="169"/>
      <c r="B1851" s="66" t="s">
        <v>211</v>
      </c>
      <c r="C1851" s="184"/>
      <c r="D1851" s="50"/>
      <c r="E1851" s="48"/>
      <c r="F1851" s="48"/>
      <c r="G1851" s="50"/>
      <c r="H1851" s="48">
        <f>SUM(H1845:H1850)</f>
        <v>3463.8999999999996</v>
      </c>
      <c r="I1851" s="47">
        <f>SUM(I1845:I1850)</f>
        <v>155</v>
      </c>
      <c r="J1851" s="19">
        <f t="shared" si="140"/>
        <v>10630467.579999998</v>
      </c>
      <c r="K1851" s="50"/>
      <c r="L1851" s="50"/>
      <c r="M1851" s="50"/>
      <c r="N1851" s="50">
        <f>SUM(N1845:N1850)</f>
        <v>10630467.579999998</v>
      </c>
      <c r="O1851" s="50"/>
      <c r="P1851" s="50"/>
    </row>
    <row r="1852" spans="1:16" x14ac:dyDescent="0.3">
      <c r="A1852" s="461" t="s">
        <v>1936</v>
      </c>
      <c r="B1852" s="462"/>
      <c r="C1852" s="50"/>
      <c r="D1852" s="50"/>
      <c r="E1852" s="48"/>
      <c r="F1852" s="48"/>
      <c r="G1852" s="50"/>
      <c r="H1852" s="48"/>
      <c r="I1852" s="48"/>
      <c r="J1852" s="19">
        <f t="shared" si="140"/>
        <v>0</v>
      </c>
      <c r="K1852" s="50"/>
      <c r="L1852" s="50"/>
      <c r="M1852" s="50"/>
      <c r="N1852" s="50"/>
      <c r="O1852" s="50"/>
      <c r="P1852" s="50"/>
    </row>
    <row r="1853" spans="1:16" x14ac:dyDescent="0.3">
      <c r="A1853" s="169">
        <f>A1850+1</f>
        <v>1706</v>
      </c>
      <c r="B1853" s="66" t="s">
        <v>1937</v>
      </c>
      <c r="C1853" s="184">
        <v>1946</v>
      </c>
      <c r="D1853" s="50"/>
      <c r="E1853" s="48" t="s">
        <v>4090</v>
      </c>
      <c r="F1853" s="218">
        <v>2</v>
      </c>
      <c r="G1853" s="50"/>
      <c r="H1853" s="48">
        <v>190.6</v>
      </c>
      <c r="I1853" s="218">
        <v>8</v>
      </c>
      <c r="J1853" s="19">
        <f t="shared" si="140"/>
        <v>542880.11</v>
      </c>
      <c r="K1853" s="50"/>
      <c r="L1853" s="50"/>
      <c r="M1853" s="50"/>
      <c r="N1853" s="19">
        <f>SUMIF('2020'!B:B,B1853,'2020'!C:C)+SUMIF('2021'!B:B,B1853,'2021'!C:C)+SUMIF('2022'!B:B,B1853,'2022'!C:C)</f>
        <v>542880.11</v>
      </c>
      <c r="O1853" s="219">
        <v>44925</v>
      </c>
      <c r="P1853" s="48" t="s">
        <v>3728</v>
      </c>
    </row>
    <row r="1854" spans="1:16" x14ac:dyDescent="0.3">
      <c r="A1854" s="169">
        <f t="shared" ref="A1854:A1859" si="141">A1853+1</f>
        <v>1707</v>
      </c>
      <c r="B1854" s="66" t="s">
        <v>1938</v>
      </c>
      <c r="C1854" s="184">
        <v>1944</v>
      </c>
      <c r="D1854" s="50"/>
      <c r="E1854" s="48" t="s">
        <v>4090</v>
      </c>
      <c r="F1854" s="218">
        <v>2</v>
      </c>
      <c r="G1854" s="50"/>
      <c r="H1854" s="48">
        <v>153.1</v>
      </c>
      <c r="I1854" s="218">
        <v>7</v>
      </c>
      <c r="J1854" s="19">
        <f t="shared" si="140"/>
        <v>459777.02</v>
      </c>
      <c r="K1854" s="50"/>
      <c r="L1854" s="50"/>
      <c r="M1854" s="50"/>
      <c r="N1854" s="19">
        <f>SUMIF('2020'!B:B,B1854,'2020'!C:C)+SUMIF('2021'!B:B,B1854,'2021'!C:C)+SUMIF('2022'!B:B,B1854,'2022'!C:C)</f>
        <v>459777.02</v>
      </c>
      <c r="O1854" s="219">
        <v>44925</v>
      </c>
      <c r="P1854" s="48" t="s">
        <v>3728</v>
      </c>
    </row>
    <row r="1855" spans="1:16" x14ac:dyDescent="0.3">
      <c r="A1855" s="169">
        <f t="shared" si="141"/>
        <v>1708</v>
      </c>
      <c r="B1855" s="66" t="s">
        <v>1939</v>
      </c>
      <c r="C1855" s="184">
        <v>1917</v>
      </c>
      <c r="D1855" s="50"/>
      <c r="E1855" s="48" t="s">
        <v>4090</v>
      </c>
      <c r="F1855" s="218">
        <v>2</v>
      </c>
      <c r="G1855" s="50"/>
      <c r="H1855" s="48">
        <v>111.1</v>
      </c>
      <c r="I1855" s="218">
        <v>9</v>
      </c>
      <c r="J1855" s="19">
        <f t="shared" si="140"/>
        <v>493181.11</v>
      </c>
      <c r="K1855" s="50"/>
      <c r="L1855" s="50"/>
      <c r="M1855" s="50"/>
      <c r="N1855" s="19">
        <f>SUMIF('2020'!B:B,B1855,'2020'!C:C)+SUMIF('2021'!B:B,B1855,'2021'!C:C)+SUMIF('2022'!B:B,B1855,'2022'!C:C)</f>
        <v>493181.11</v>
      </c>
      <c r="O1855" s="219">
        <v>44925</v>
      </c>
      <c r="P1855" s="48" t="s">
        <v>3728</v>
      </c>
    </row>
    <row r="1856" spans="1:16" x14ac:dyDescent="0.3">
      <c r="A1856" s="169">
        <f t="shared" si="141"/>
        <v>1709</v>
      </c>
      <c r="B1856" s="66" t="s">
        <v>1940</v>
      </c>
      <c r="C1856" s="184">
        <v>1947</v>
      </c>
      <c r="D1856" s="50"/>
      <c r="E1856" s="48" t="s">
        <v>4090</v>
      </c>
      <c r="F1856" s="218">
        <v>2</v>
      </c>
      <c r="G1856" s="50"/>
      <c r="H1856" s="48">
        <v>804.2</v>
      </c>
      <c r="I1856" s="218">
        <v>58</v>
      </c>
      <c r="J1856" s="19">
        <f t="shared" si="140"/>
        <v>719189.24</v>
      </c>
      <c r="K1856" s="50"/>
      <c r="L1856" s="50"/>
      <c r="M1856" s="50"/>
      <c r="N1856" s="19">
        <f>SUMIF('2020'!B:B,B1856,'2020'!C:C)+SUMIF('2021'!B:B,B1856,'2021'!C:C)+SUMIF('2022'!B:B,B1856,'2022'!C:C)</f>
        <v>719189.24</v>
      </c>
      <c r="O1856" s="219">
        <v>44925</v>
      </c>
      <c r="P1856" s="48" t="s">
        <v>3728</v>
      </c>
    </row>
    <row r="1857" spans="1:16" x14ac:dyDescent="0.3">
      <c r="A1857" s="169">
        <f t="shared" si="141"/>
        <v>1710</v>
      </c>
      <c r="B1857" s="66" t="s">
        <v>1941</v>
      </c>
      <c r="C1857" s="184">
        <v>1948</v>
      </c>
      <c r="D1857" s="50"/>
      <c r="E1857" s="48" t="s">
        <v>4090</v>
      </c>
      <c r="F1857" s="218">
        <v>2</v>
      </c>
      <c r="G1857" s="50"/>
      <c r="H1857" s="48">
        <v>488.6</v>
      </c>
      <c r="I1857" s="218">
        <v>34</v>
      </c>
      <c r="J1857" s="19">
        <f t="shared" si="140"/>
        <v>4924392.0200000005</v>
      </c>
      <c r="K1857" s="50"/>
      <c r="L1857" s="50"/>
      <c r="M1857" s="50"/>
      <c r="N1857" s="19">
        <f>SUMIF('2020'!B:B,B1857,'2020'!C:C)+SUMIF('2021'!B:B,B1857,'2021'!C:C)+SUMIF('2022'!B:B,B1857,'2022'!C:C)</f>
        <v>4924392.0200000005</v>
      </c>
      <c r="O1857" s="219">
        <v>44925</v>
      </c>
      <c r="P1857" s="48" t="s">
        <v>3728</v>
      </c>
    </row>
    <row r="1858" spans="1:16" x14ac:dyDescent="0.3">
      <c r="A1858" s="169">
        <f t="shared" si="141"/>
        <v>1711</v>
      </c>
      <c r="B1858" s="66" t="s">
        <v>1942</v>
      </c>
      <c r="C1858" s="184">
        <v>1948</v>
      </c>
      <c r="D1858" s="50"/>
      <c r="E1858" s="48" t="s">
        <v>4090</v>
      </c>
      <c r="F1858" s="218">
        <v>2</v>
      </c>
      <c r="G1858" s="50"/>
      <c r="H1858" s="48">
        <v>482</v>
      </c>
      <c r="I1858" s="218">
        <v>17</v>
      </c>
      <c r="J1858" s="19">
        <f t="shared" si="140"/>
        <v>713019.59</v>
      </c>
      <c r="K1858" s="50"/>
      <c r="L1858" s="50"/>
      <c r="M1858" s="50"/>
      <c r="N1858" s="19">
        <f>SUMIF('2020'!B:B,B1858,'2020'!C:C)+SUMIF('2021'!B:B,B1858,'2021'!C:C)+SUMIF('2022'!B:B,B1858,'2022'!C:C)</f>
        <v>713019.59</v>
      </c>
      <c r="O1858" s="219">
        <v>44925</v>
      </c>
      <c r="P1858" s="48" t="s">
        <v>3728</v>
      </c>
    </row>
    <row r="1859" spans="1:16" x14ac:dyDescent="0.3">
      <c r="A1859" s="169">
        <f t="shared" si="141"/>
        <v>1712</v>
      </c>
      <c r="B1859" s="66" t="s">
        <v>1943</v>
      </c>
      <c r="C1859" s="184">
        <v>1948</v>
      </c>
      <c r="D1859" s="50"/>
      <c r="E1859" s="48" t="s">
        <v>4090</v>
      </c>
      <c r="F1859" s="218">
        <v>2</v>
      </c>
      <c r="G1859" s="50"/>
      <c r="H1859" s="48">
        <v>592</v>
      </c>
      <c r="I1859" s="218">
        <v>30</v>
      </c>
      <c r="J1859" s="19">
        <f t="shared" si="140"/>
        <v>640943.89</v>
      </c>
      <c r="K1859" s="50"/>
      <c r="L1859" s="50"/>
      <c r="M1859" s="50"/>
      <c r="N1859" s="19">
        <f>SUMIF('2020'!B:B,B1859,'2020'!C:C)+SUMIF('2021'!B:B,B1859,'2021'!C:C)+SUMIF('2022'!B:B,B1859,'2022'!C:C)</f>
        <v>640943.89</v>
      </c>
      <c r="O1859" s="219">
        <v>44925</v>
      </c>
      <c r="P1859" s="48" t="s">
        <v>3728</v>
      </c>
    </row>
    <row r="1860" spans="1:16" x14ac:dyDescent="0.3">
      <c r="A1860" s="220"/>
      <c r="B1860" s="66" t="s">
        <v>211</v>
      </c>
      <c r="C1860" s="50"/>
      <c r="D1860" s="50"/>
      <c r="E1860" s="48"/>
      <c r="F1860" s="48"/>
      <c r="G1860" s="50"/>
      <c r="H1860" s="48">
        <f>SUM(H1853:H1859)</f>
        <v>2821.6</v>
      </c>
      <c r="I1860" s="218">
        <f>SUM(I1853:I1859)</f>
        <v>163</v>
      </c>
      <c r="J1860" s="19">
        <f t="shared" si="140"/>
        <v>8493382.9800000004</v>
      </c>
      <c r="K1860" s="50"/>
      <c r="L1860" s="50"/>
      <c r="M1860" s="50"/>
      <c r="N1860" s="50">
        <f>SUM(N1853:N1859)</f>
        <v>8493382.9800000004</v>
      </c>
      <c r="O1860" s="50"/>
      <c r="P1860" s="50"/>
    </row>
    <row r="1861" spans="1:16" x14ac:dyDescent="0.3">
      <c r="A1861" s="461" t="s">
        <v>1944</v>
      </c>
      <c r="B1861" s="462"/>
      <c r="C1861" s="50"/>
      <c r="D1861" s="50"/>
      <c r="E1861" s="48"/>
      <c r="F1861" s="48"/>
      <c r="G1861" s="50"/>
      <c r="H1861" s="48"/>
      <c r="I1861" s="48"/>
      <c r="J1861" s="19">
        <f t="shared" si="140"/>
        <v>0</v>
      </c>
      <c r="K1861" s="50"/>
      <c r="L1861" s="50"/>
      <c r="M1861" s="50"/>
      <c r="N1861" s="50"/>
      <c r="O1861" s="50"/>
      <c r="P1861" s="50"/>
    </row>
    <row r="1862" spans="1:16" x14ac:dyDescent="0.3">
      <c r="A1862" s="169">
        <f>A1859+1</f>
        <v>1713</v>
      </c>
      <c r="B1862" s="66" t="s">
        <v>1945</v>
      </c>
      <c r="C1862" s="184">
        <v>1935</v>
      </c>
      <c r="D1862" s="50"/>
      <c r="E1862" s="48" t="s">
        <v>3733</v>
      </c>
      <c r="F1862" s="218">
        <v>2</v>
      </c>
      <c r="G1862" s="50"/>
      <c r="H1862" s="48">
        <v>1239.2</v>
      </c>
      <c r="I1862" s="218">
        <v>21</v>
      </c>
      <c r="J1862" s="19">
        <f t="shared" si="140"/>
        <v>1085801.26</v>
      </c>
      <c r="K1862" s="50"/>
      <c r="L1862" s="50"/>
      <c r="M1862" s="50"/>
      <c r="N1862" s="19">
        <f>SUMIF('2020'!B:B,B1862,'2020'!C:C)+SUMIF('2021'!B:B,B1862,'2021'!C:C)+SUMIF('2022'!B:B,B1862,'2022'!C:C)</f>
        <v>1085801.26</v>
      </c>
      <c r="O1862" s="219">
        <v>44925</v>
      </c>
      <c r="P1862" s="48" t="s">
        <v>3728</v>
      </c>
    </row>
    <row r="1863" spans="1:16" x14ac:dyDescent="0.3">
      <c r="A1863" s="169">
        <f>A1862+1</f>
        <v>1714</v>
      </c>
      <c r="B1863" s="66" t="s">
        <v>1947</v>
      </c>
      <c r="C1863" s="184">
        <v>1952</v>
      </c>
      <c r="D1863" s="50"/>
      <c r="E1863" s="48" t="s">
        <v>3733</v>
      </c>
      <c r="F1863" s="218">
        <v>2</v>
      </c>
      <c r="G1863" s="50"/>
      <c r="H1863" s="48">
        <v>819.9</v>
      </c>
      <c r="I1863" s="218">
        <v>31</v>
      </c>
      <c r="J1863" s="19">
        <f t="shared" ref="J1863:J1909" si="142">K1863+L1863+M1863+N1863</f>
        <v>645020.25</v>
      </c>
      <c r="K1863" s="50"/>
      <c r="L1863" s="50"/>
      <c r="M1863" s="50"/>
      <c r="N1863" s="19">
        <f>SUMIF('2020'!B:B,B1863,'2020'!C:C)+SUMIF('2021'!B:B,B1863,'2021'!C:C)+SUMIF('2022'!B:B,B1863,'2022'!C:C)</f>
        <v>645020.25</v>
      </c>
      <c r="O1863" s="219">
        <v>44925</v>
      </c>
      <c r="P1863" s="48" t="s">
        <v>3728</v>
      </c>
    </row>
    <row r="1864" spans="1:16" x14ac:dyDescent="0.3">
      <c r="A1864" s="169">
        <f>A1863+1</f>
        <v>1715</v>
      </c>
      <c r="B1864" s="66" t="s">
        <v>1948</v>
      </c>
      <c r="C1864" s="184">
        <v>1952</v>
      </c>
      <c r="D1864" s="50"/>
      <c r="E1864" s="48" t="s">
        <v>3733</v>
      </c>
      <c r="F1864" s="218">
        <v>2</v>
      </c>
      <c r="G1864" s="50"/>
      <c r="H1864" s="48">
        <v>825.5</v>
      </c>
      <c r="I1864" s="218">
        <v>14</v>
      </c>
      <c r="J1864" s="19">
        <f t="shared" si="142"/>
        <v>674386.62</v>
      </c>
      <c r="K1864" s="50"/>
      <c r="L1864" s="50"/>
      <c r="M1864" s="50"/>
      <c r="N1864" s="19">
        <f>SUMIF('2020'!B:B,B1864,'2020'!C:C)+SUMIF('2021'!B:B,B1864,'2021'!C:C)+SUMIF('2022'!B:B,B1864,'2022'!C:C)</f>
        <v>674386.62</v>
      </c>
      <c r="O1864" s="219">
        <v>44925</v>
      </c>
      <c r="P1864" s="48" t="s">
        <v>3728</v>
      </c>
    </row>
    <row r="1865" spans="1:16" x14ac:dyDescent="0.3">
      <c r="A1865" s="169">
        <f>A1864+1</f>
        <v>1716</v>
      </c>
      <c r="B1865" s="66" t="s">
        <v>1949</v>
      </c>
      <c r="C1865" s="184">
        <v>1952</v>
      </c>
      <c r="D1865" s="50"/>
      <c r="E1865" s="48" t="s">
        <v>3733</v>
      </c>
      <c r="F1865" s="218">
        <v>2</v>
      </c>
      <c r="G1865" s="50"/>
      <c r="H1865" s="48">
        <v>915.8</v>
      </c>
      <c r="I1865" s="218">
        <v>36</v>
      </c>
      <c r="J1865" s="19">
        <f t="shared" si="142"/>
        <v>664719.44000000006</v>
      </c>
      <c r="K1865" s="50"/>
      <c r="L1865" s="50"/>
      <c r="M1865" s="50"/>
      <c r="N1865" s="19">
        <f>SUMIF('2020'!B:B,B1865,'2020'!C:C)+SUMIF('2021'!B:B,B1865,'2021'!C:C)+SUMIF('2022'!B:B,B1865,'2022'!C:C)</f>
        <v>664719.44000000006</v>
      </c>
      <c r="O1865" s="219">
        <v>44925</v>
      </c>
      <c r="P1865" s="48" t="s">
        <v>3728</v>
      </c>
    </row>
    <row r="1866" spans="1:16" x14ac:dyDescent="0.3">
      <c r="A1866" s="169">
        <f>A1865+1</f>
        <v>1717</v>
      </c>
      <c r="B1866" s="66" t="s">
        <v>1950</v>
      </c>
      <c r="C1866" s="184">
        <v>1982</v>
      </c>
      <c r="D1866" s="50"/>
      <c r="E1866" s="48" t="s">
        <v>3776</v>
      </c>
      <c r="F1866" s="218">
        <v>2</v>
      </c>
      <c r="G1866" s="50"/>
      <c r="H1866" s="48">
        <v>6545.1</v>
      </c>
      <c r="I1866" s="218">
        <v>188</v>
      </c>
      <c r="J1866" s="19">
        <f t="shared" si="142"/>
        <v>11271952.359999999</v>
      </c>
      <c r="K1866" s="50"/>
      <c r="L1866" s="50"/>
      <c r="M1866" s="50"/>
      <c r="N1866" s="19">
        <f>SUMIF('2020'!B:B,B1866,'2020'!C:C)+SUMIF('2021'!B:B,B1866,'2021'!C:C)+SUMIF('2022'!B:B,B1866,'2022'!C:C)</f>
        <v>11271952.359999999</v>
      </c>
      <c r="O1866" s="219">
        <v>44925</v>
      </c>
      <c r="P1866" s="48" t="s">
        <v>3728</v>
      </c>
    </row>
    <row r="1867" spans="1:16" x14ac:dyDescent="0.3">
      <c r="A1867" s="169">
        <f>A1866+1</f>
        <v>1718</v>
      </c>
      <c r="B1867" s="66" t="s">
        <v>1951</v>
      </c>
      <c r="C1867" s="184">
        <v>1981</v>
      </c>
      <c r="D1867" s="50"/>
      <c r="E1867" s="48" t="s">
        <v>3776</v>
      </c>
      <c r="F1867" s="218">
        <v>2</v>
      </c>
      <c r="G1867" s="50"/>
      <c r="H1867" s="48">
        <v>6365.4</v>
      </c>
      <c r="I1867" s="218">
        <v>238</v>
      </c>
      <c r="J1867" s="19">
        <f t="shared" si="142"/>
        <v>52807309.259999998</v>
      </c>
      <c r="K1867" s="50"/>
      <c r="L1867" s="50"/>
      <c r="M1867" s="50"/>
      <c r="N1867" s="19">
        <f>SUMIF('2020'!B:B,B1867,'2020'!C:C)+SUMIF('2021'!B:B,B1867,'2021'!C:C)+SUMIF('2022'!B:B,B1867,'2022'!C:C)</f>
        <v>52807309.259999998</v>
      </c>
      <c r="O1867" s="219">
        <v>44925</v>
      </c>
      <c r="P1867" s="48" t="s">
        <v>3728</v>
      </c>
    </row>
    <row r="1868" spans="1:16" x14ac:dyDescent="0.3">
      <c r="A1868" s="59"/>
      <c r="B1868" s="66" t="s">
        <v>211</v>
      </c>
      <c r="C1868" s="50"/>
      <c r="D1868" s="50"/>
      <c r="E1868" s="48"/>
      <c r="F1868" s="48"/>
      <c r="G1868" s="50"/>
      <c r="H1868" s="48">
        <f>SUM(H1862:H1867)</f>
        <v>16710.900000000001</v>
      </c>
      <c r="I1868" s="218">
        <f t="shared" ref="I1868:N1868" si="143">SUM(I1862:I1867)</f>
        <v>528</v>
      </c>
      <c r="J1868" s="19">
        <f t="shared" si="142"/>
        <v>67149189.189999998</v>
      </c>
      <c r="K1868" s="48">
        <f t="shared" si="143"/>
        <v>0</v>
      </c>
      <c r="L1868" s="48">
        <f t="shared" si="143"/>
        <v>0</v>
      </c>
      <c r="M1868" s="48">
        <f t="shared" si="143"/>
        <v>0</v>
      </c>
      <c r="N1868" s="48">
        <f t="shared" si="143"/>
        <v>67149189.189999998</v>
      </c>
      <c r="O1868" s="50"/>
      <c r="P1868" s="50"/>
    </row>
    <row r="1869" spans="1:16" x14ac:dyDescent="0.3">
      <c r="A1869" s="463" t="s">
        <v>1952</v>
      </c>
      <c r="B1869" s="463"/>
      <c r="C1869" s="50"/>
      <c r="D1869" s="50"/>
      <c r="E1869" s="48"/>
      <c r="F1869" s="48"/>
      <c r="G1869" s="50"/>
      <c r="H1869" s="48"/>
      <c r="I1869" s="48"/>
      <c r="J1869" s="19">
        <f t="shared" si="142"/>
        <v>0</v>
      </c>
      <c r="K1869" s="50"/>
      <c r="L1869" s="50"/>
      <c r="M1869" s="50"/>
      <c r="N1869" s="50"/>
      <c r="O1869" s="50"/>
      <c r="P1869" s="50"/>
    </row>
    <row r="1870" spans="1:16" x14ac:dyDescent="0.3">
      <c r="A1870" s="169">
        <f>A1867+1</f>
        <v>1719</v>
      </c>
      <c r="B1870" s="66" t="s">
        <v>1953</v>
      </c>
      <c r="C1870" s="184">
        <v>1950</v>
      </c>
      <c r="D1870" s="50"/>
      <c r="E1870" s="48" t="s">
        <v>4090</v>
      </c>
      <c r="F1870" s="218">
        <v>2</v>
      </c>
      <c r="G1870" s="50"/>
      <c r="H1870" s="48">
        <v>377.31</v>
      </c>
      <c r="I1870" s="218">
        <v>48</v>
      </c>
      <c r="J1870" s="19">
        <f t="shared" si="142"/>
        <v>625525.86</v>
      </c>
      <c r="K1870" s="50"/>
      <c r="L1870" s="50"/>
      <c r="M1870" s="50"/>
      <c r="N1870" s="19">
        <f>SUMIF('2020'!B:B,B1870,'2020'!C:C)+SUMIF('2021'!B:B,B1870,'2021'!C:C)+SUMIF('2022'!B:B,B1870,'2022'!C:C)</f>
        <v>625525.86</v>
      </c>
      <c r="O1870" s="219">
        <v>44925</v>
      </c>
      <c r="P1870" s="48" t="s">
        <v>3728</v>
      </c>
    </row>
    <row r="1871" spans="1:16" x14ac:dyDescent="0.3">
      <c r="A1871" s="59"/>
      <c r="B1871" s="66" t="s">
        <v>211</v>
      </c>
      <c r="C1871" s="50"/>
      <c r="D1871" s="50"/>
      <c r="E1871" s="48"/>
      <c r="F1871" s="48"/>
      <c r="G1871" s="50"/>
      <c r="H1871" s="48">
        <f>SUM(H1870:H1870)</f>
        <v>377.31</v>
      </c>
      <c r="I1871" s="218">
        <f>SUM(I1870:I1870)</f>
        <v>48</v>
      </c>
      <c r="J1871" s="19">
        <f t="shared" si="142"/>
        <v>625525.86</v>
      </c>
      <c r="K1871" s="50"/>
      <c r="L1871" s="50"/>
      <c r="M1871" s="50"/>
      <c r="N1871" s="50">
        <f>SUM(N1870:N1870)</f>
        <v>625525.86</v>
      </c>
      <c r="O1871" s="50"/>
      <c r="P1871" s="50"/>
    </row>
    <row r="1872" spans="1:16" x14ac:dyDescent="0.3">
      <c r="A1872" s="463" t="s">
        <v>1954</v>
      </c>
      <c r="B1872" s="463"/>
      <c r="C1872" s="50"/>
      <c r="D1872" s="50"/>
      <c r="E1872" s="48"/>
      <c r="F1872" s="48"/>
      <c r="G1872" s="50"/>
      <c r="H1872" s="48"/>
      <c r="I1872" s="48"/>
      <c r="J1872" s="19">
        <f t="shared" si="142"/>
        <v>0</v>
      </c>
      <c r="K1872" s="50"/>
      <c r="L1872" s="50"/>
      <c r="M1872" s="50"/>
      <c r="N1872" s="50"/>
      <c r="O1872" s="50"/>
      <c r="P1872" s="50"/>
    </row>
    <row r="1873" spans="1:16" x14ac:dyDescent="0.3">
      <c r="A1873" s="169">
        <f>A1870+1</f>
        <v>1720</v>
      </c>
      <c r="B1873" s="66" t="s">
        <v>1955</v>
      </c>
      <c r="C1873" s="184">
        <v>1917</v>
      </c>
      <c r="D1873" s="50"/>
      <c r="E1873" s="48" t="s">
        <v>4090</v>
      </c>
      <c r="F1873" s="218">
        <v>2</v>
      </c>
      <c r="G1873" s="50"/>
      <c r="H1873" s="48">
        <v>814.8</v>
      </c>
      <c r="I1873" s="218">
        <v>37</v>
      </c>
      <c r="J1873" s="19">
        <f t="shared" si="142"/>
        <v>1306846.8600000001</v>
      </c>
      <c r="K1873" s="239"/>
      <c r="L1873" s="50"/>
      <c r="M1873" s="239"/>
      <c r="N1873" s="19">
        <f>SUMIF('2020'!B:B,B1873,'2020'!C:C)+SUMIF('2021'!B:B,B1873,'2021'!C:C)+SUMIF('2022'!B:B,B1873,'2022'!C:C)</f>
        <v>1306846.8600000001</v>
      </c>
      <c r="O1873" s="219">
        <v>44925</v>
      </c>
      <c r="P1873" s="48" t="s">
        <v>3728</v>
      </c>
    </row>
    <row r="1874" spans="1:16" x14ac:dyDescent="0.3">
      <c r="A1874" s="169"/>
      <c r="B1874" s="66" t="s">
        <v>211</v>
      </c>
      <c r="C1874" s="50"/>
      <c r="D1874" s="50"/>
      <c r="E1874" s="48"/>
      <c r="F1874" s="48"/>
      <c r="G1874" s="50"/>
      <c r="H1874" s="48">
        <f>SUM(H1873)</f>
        <v>814.8</v>
      </c>
      <c r="I1874" s="218">
        <f t="shared" ref="I1874:N1874" si="144">SUM(I1873)</f>
        <v>37</v>
      </c>
      <c r="J1874" s="19">
        <f t="shared" si="142"/>
        <v>1306846.8600000001</v>
      </c>
      <c r="K1874" s="48">
        <f t="shared" si="144"/>
        <v>0</v>
      </c>
      <c r="L1874" s="48">
        <f t="shared" si="144"/>
        <v>0</v>
      </c>
      <c r="M1874" s="48">
        <f t="shared" si="144"/>
        <v>0</v>
      </c>
      <c r="N1874" s="48">
        <f t="shared" si="144"/>
        <v>1306846.8600000001</v>
      </c>
      <c r="O1874" s="50"/>
      <c r="P1874" s="50"/>
    </row>
    <row r="1875" spans="1:16" x14ac:dyDescent="0.3">
      <c r="A1875" s="463" t="s">
        <v>1956</v>
      </c>
      <c r="B1875" s="463"/>
      <c r="C1875" s="50"/>
      <c r="D1875" s="50"/>
      <c r="E1875" s="48"/>
      <c r="F1875" s="48"/>
      <c r="G1875" s="50"/>
      <c r="H1875" s="48"/>
      <c r="I1875" s="48"/>
      <c r="J1875" s="19">
        <f t="shared" si="142"/>
        <v>0</v>
      </c>
      <c r="K1875" s="50"/>
      <c r="L1875" s="50"/>
      <c r="M1875" s="50"/>
      <c r="N1875" s="50"/>
      <c r="O1875" s="50"/>
      <c r="P1875" s="50"/>
    </row>
    <row r="1876" spans="1:16" x14ac:dyDescent="0.3">
      <c r="A1876" s="169">
        <f>A1873+1</f>
        <v>1721</v>
      </c>
      <c r="B1876" s="66" t="s">
        <v>1957</v>
      </c>
      <c r="C1876" s="184">
        <v>1967</v>
      </c>
      <c r="D1876" s="50"/>
      <c r="E1876" s="48" t="s">
        <v>3733</v>
      </c>
      <c r="F1876" s="218">
        <v>2</v>
      </c>
      <c r="G1876" s="50"/>
      <c r="H1876" s="48">
        <v>526.6</v>
      </c>
      <c r="I1876" s="218">
        <v>24</v>
      </c>
      <c r="J1876" s="19">
        <f t="shared" si="142"/>
        <v>4163802.98</v>
      </c>
      <c r="K1876" s="50"/>
      <c r="L1876" s="50"/>
      <c r="M1876" s="50"/>
      <c r="N1876" s="19">
        <f>SUMIF('2020'!B:B,B1876,'2020'!C:C)+SUMIF('2021'!B:B,B1876,'2021'!C:C)+SUMIF('2022'!B:B,B1876,'2022'!C:C)</f>
        <v>4163802.98</v>
      </c>
      <c r="O1876" s="219">
        <v>44925</v>
      </c>
      <c r="P1876" s="48" t="s">
        <v>3728</v>
      </c>
    </row>
    <row r="1877" spans="1:16" x14ac:dyDescent="0.3">
      <c r="A1877" s="59"/>
      <c r="B1877" s="66" t="s">
        <v>211</v>
      </c>
      <c r="C1877" s="50"/>
      <c r="D1877" s="50"/>
      <c r="E1877" s="48"/>
      <c r="F1877" s="48"/>
      <c r="G1877" s="50"/>
      <c r="H1877" s="48">
        <f>SUM(H1876)</f>
        <v>526.6</v>
      </c>
      <c r="I1877" s="218">
        <f>SUM(I1876)</f>
        <v>24</v>
      </c>
      <c r="J1877" s="19">
        <f t="shared" si="142"/>
        <v>4163802.98</v>
      </c>
      <c r="K1877" s="50"/>
      <c r="L1877" s="50"/>
      <c r="M1877" s="50"/>
      <c r="N1877" s="50">
        <f>SUM(N1876)</f>
        <v>4163802.98</v>
      </c>
      <c r="O1877" s="50"/>
      <c r="P1877" s="50"/>
    </row>
    <row r="1878" spans="1:16" x14ac:dyDescent="0.3">
      <c r="A1878" s="463" t="s">
        <v>1958</v>
      </c>
      <c r="B1878" s="463"/>
      <c r="C1878" s="50"/>
      <c r="D1878" s="50"/>
      <c r="E1878" s="48"/>
      <c r="F1878" s="48"/>
      <c r="G1878" s="50"/>
      <c r="H1878" s="48"/>
      <c r="I1878" s="48"/>
      <c r="J1878" s="19">
        <f t="shared" si="142"/>
        <v>0</v>
      </c>
      <c r="K1878" s="50"/>
      <c r="L1878" s="50"/>
      <c r="M1878" s="50"/>
      <c r="N1878" s="50"/>
      <c r="O1878" s="50"/>
      <c r="P1878" s="50"/>
    </row>
    <row r="1879" spans="1:16" x14ac:dyDescent="0.3">
      <c r="A1879" s="169">
        <f>A1876+1</f>
        <v>1722</v>
      </c>
      <c r="B1879" s="66" t="s">
        <v>1959</v>
      </c>
      <c r="C1879" s="184">
        <v>1992</v>
      </c>
      <c r="D1879" s="50"/>
      <c r="E1879" s="48" t="s">
        <v>3731</v>
      </c>
      <c r="F1879" s="218">
        <v>5</v>
      </c>
      <c r="G1879" s="50"/>
      <c r="H1879" s="48">
        <v>3417.8</v>
      </c>
      <c r="I1879" s="218">
        <v>152</v>
      </c>
      <c r="J1879" s="19">
        <f t="shared" si="142"/>
        <v>16084653.220000001</v>
      </c>
      <c r="K1879" s="50"/>
      <c r="L1879" s="50"/>
      <c r="M1879" s="50"/>
      <c r="N1879" s="19">
        <f>SUMIF('2020'!B:B,B1879,'2020'!C:C)+SUMIF('2021'!B:B,B1879,'2021'!C:C)+SUMIF('2022'!B:B,B1879,'2022'!C:C)</f>
        <v>16084653.220000001</v>
      </c>
      <c r="O1879" s="219">
        <v>44925</v>
      </c>
      <c r="P1879" s="48" t="s">
        <v>3728</v>
      </c>
    </row>
    <row r="1880" spans="1:16" x14ac:dyDescent="0.3">
      <c r="A1880" s="220"/>
      <c r="B1880" s="66" t="s">
        <v>211</v>
      </c>
      <c r="C1880" s="50"/>
      <c r="D1880" s="50"/>
      <c r="E1880" s="48"/>
      <c r="F1880" s="48"/>
      <c r="G1880" s="50"/>
      <c r="H1880" s="48">
        <f>SUM(H1879)</f>
        <v>3417.8</v>
      </c>
      <c r="I1880" s="218">
        <f>SUM(I1879)</f>
        <v>152</v>
      </c>
      <c r="J1880" s="19">
        <f t="shared" si="142"/>
        <v>16084653.220000001</v>
      </c>
      <c r="K1880" s="50"/>
      <c r="L1880" s="50"/>
      <c r="M1880" s="50"/>
      <c r="N1880" s="50">
        <f>SUM(N1879)</f>
        <v>16084653.220000001</v>
      </c>
      <c r="O1880" s="50"/>
      <c r="P1880" s="50"/>
    </row>
    <row r="1881" spans="1:16" x14ac:dyDescent="0.3">
      <c r="A1881" s="461" t="s">
        <v>1960</v>
      </c>
      <c r="B1881" s="462"/>
      <c r="C1881" s="50"/>
      <c r="D1881" s="50"/>
      <c r="E1881" s="48"/>
      <c r="F1881" s="48"/>
      <c r="G1881" s="50"/>
      <c r="H1881" s="48"/>
      <c r="I1881" s="48"/>
      <c r="J1881" s="19">
        <f t="shared" si="142"/>
        <v>0</v>
      </c>
      <c r="K1881" s="50"/>
      <c r="L1881" s="50"/>
      <c r="M1881" s="50"/>
      <c r="N1881" s="50"/>
      <c r="O1881" s="50"/>
      <c r="P1881" s="50"/>
    </row>
    <row r="1882" spans="1:16" x14ac:dyDescent="0.3">
      <c r="A1882" s="169">
        <f>A1879+1</f>
        <v>1723</v>
      </c>
      <c r="B1882" s="66" t="s">
        <v>1961</v>
      </c>
      <c r="C1882" s="184">
        <v>1965</v>
      </c>
      <c r="D1882" s="50"/>
      <c r="E1882" s="48" t="s">
        <v>4090</v>
      </c>
      <c r="F1882" s="218">
        <v>2</v>
      </c>
      <c r="G1882" s="50"/>
      <c r="H1882" s="48">
        <v>268.39999999999998</v>
      </c>
      <c r="I1882" s="218">
        <v>15</v>
      </c>
      <c r="J1882" s="19">
        <f t="shared" si="142"/>
        <v>3836078.28</v>
      </c>
      <c r="K1882" s="50"/>
      <c r="L1882" s="50"/>
      <c r="M1882" s="50"/>
      <c r="N1882" s="19">
        <f>SUMIF('2020'!B:B,B1882,'2020'!C:C)+SUMIF('2021'!B:B,B1882,'2021'!C:C)+SUMIF('2022'!B:B,B1882,'2022'!C:C)</f>
        <v>3836078.28</v>
      </c>
      <c r="O1882" s="219">
        <v>44925</v>
      </c>
      <c r="P1882" s="48" t="s">
        <v>3728</v>
      </c>
    </row>
    <row r="1883" spans="1:16" x14ac:dyDescent="0.3">
      <c r="A1883" s="169">
        <f>A1882+1</f>
        <v>1724</v>
      </c>
      <c r="B1883" s="66" t="s">
        <v>1962</v>
      </c>
      <c r="C1883" s="184">
        <v>1917</v>
      </c>
      <c r="D1883" s="50"/>
      <c r="E1883" s="48" t="s">
        <v>4090</v>
      </c>
      <c r="F1883" s="218">
        <v>2</v>
      </c>
      <c r="G1883" s="50"/>
      <c r="H1883" s="48">
        <v>169.2</v>
      </c>
      <c r="I1883" s="218">
        <v>15</v>
      </c>
      <c r="J1883" s="19">
        <f t="shared" si="142"/>
        <v>666796.3899999999</v>
      </c>
      <c r="K1883" s="50"/>
      <c r="L1883" s="50"/>
      <c r="M1883" s="50"/>
      <c r="N1883" s="19">
        <f>SUMIF('2020'!B:B,B1883,'2020'!C:C)+SUMIF('2021'!B:B,B1883,'2021'!C:C)+SUMIF('2022'!B:B,B1883,'2022'!C:C)</f>
        <v>666796.3899999999</v>
      </c>
      <c r="O1883" s="219">
        <v>44925</v>
      </c>
      <c r="P1883" s="48" t="s">
        <v>3728</v>
      </c>
    </row>
    <row r="1884" spans="1:16" x14ac:dyDescent="0.3">
      <c r="A1884" s="169">
        <f>A1883+1</f>
        <v>1725</v>
      </c>
      <c r="B1884" s="66" t="s">
        <v>1963</v>
      </c>
      <c r="C1884" s="184">
        <v>1972</v>
      </c>
      <c r="D1884" s="50"/>
      <c r="E1884" s="48" t="s">
        <v>3733</v>
      </c>
      <c r="F1884" s="218">
        <v>2</v>
      </c>
      <c r="G1884" s="50"/>
      <c r="H1884" s="48">
        <v>689.7</v>
      </c>
      <c r="I1884" s="218">
        <v>26</v>
      </c>
      <c r="J1884" s="19">
        <f t="shared" si="142"/>
        <v>5961247.2000000002</v>
      </c>
      <c r="K1884" s="50"/>
      <c r="L1884" s="50"/>
      <c r="M1884" s="50"/>
      <c r="N1884" s="19">
        <f>SUMIF('2020'!B:B,B1884,'2020'!C:C)+SUMIF('2021'!B:B,B1884,'2021'!C:C)+SUMIF('2022'!B:B,B1884,'2022'!C:C)</f>
        <v>5961247.2000000002</v>
      </c>
      <c r="O1884" s="219">
        <v>44925</v>
      </c>
      <c r="P1884" s="48" t="s">
        <v>3728</v>
      </c>
    </row>
    <row r="1885" spans="1:16" x14ac:dyDescent="0.3">
      <c r="A1885" s="169">
        <f>A1884+1</f>
        <v>1726</v>
      </c>
      <c r="B1885" s="66" t="s">
        <v>1964</v>
      </c>
      <c r="C1885" s="184">
        <v>1970</v>
      </c>
      <c r="D1885" s="50"/>
      <c r="E1885" s="48" t="s">
        <v>3733</v>
      </c>
      <c r="F1885" s="218">
        <v>2</v>
      </c>
      <c r="G1885" s="50"/>
      <c r="H1885" s="48">
        <v>834.2</v>
      </c>
      <c r="I1885" s="218">
        <v>48</v>
      </c>
      <c r="J1885" s="19">
        <f t="shared" si="142"/>
        <v>6717305.8600000003</v>
      </c>
      <c r="K1885" s="50"/>
      <c r="L1885" s="50"/>
      <c r="M1885" s="239"/>
      <c r="N1885" s="19">
        <f>SUMIF('2020'!B:B,B1885,'2020'!C:C)+SUMIF('2021'!B:B,B1885,'2021'!C:C)+SUMIF('2022'!B:B,B1885,'2022'!C:C)</f>
        <v>6717305.8600000003</v>
      </c>
      <c r="O1885" s="219">
        <v>44925</v>
      </c>
      <c r="P1885" s="48" t="s">
        <v>3728</v>
      </c>
    </row>
    <row r="1886" spans="1:16" x14ac:dyDescent="0.3">
      <c r="A1886" s="59"/>
      <c r="B1886" s="66" t="s">
        <v>211</v>
      </c>
      <c r="C1886" s="50"/>
      <c r="D1886" s="50"/>
      <c r="E1886" s="48"/>
      <c r="F1886" s="48"/>
      <c r="G1886" s="50"/>
      <c r="H1886" s="48">
        <f>SUM(H1882:H1885)</f>
        <v>1961.5</v>
      </c>
      <c r="I1886" s="218">
        <f t="shared" ref="I1886:N1886" si="145">SUM(I1882:I1885)</f>
        <v>104</v>
      </c>
      <c r="J1886" s="19">
        <f t="shared" si="142"/>
        <v>17181427.73</v>
      </c>
      <c r="K1886" s="48">
        <f t="shared" si="145"/>
        <v>0</v>
      </c>
      <c r="L1886" s="48">
        <f t="shared" si="145"/>
        <v>0</v>
      </c>
      <c r="M1886" s="48">
        <f t="shared" si="145"/>
        <v>0</v>
      </c>
      <c r="N1886" s="48">
        <f t="shared" si="145"/>
        <v>17181427.73</v>
      </c>
      <c r="O1886" s="50"/>
      <c r="P1886" s="50"/>
    </row>
    <row r="1887" spans="1:16" x14ac:dyDescent="0.3">
      <c r="A1887" s="463" t="s">
        <v>1965</v>
      </c>
      <c r="B1887" s="463"/>
      <c r="C1887" s="50"/>
      <c r="D1887" s="50"/>
      <c r="E1887" s="48"/>
      <c r="F1887" s="48"/>
      <c r="G1887" s="50"/>
      <c r="H1887" s="48"/>
      <c r="I1887" s="48"/>
      <c r="J1887" s="19">
        <f t="shared" si="142"/>
        <v>0</v>
      </c>
      <c r="K1887" s="50"/>
      <c r="L1887" s="50"/>
      <c r="M1887" s="50"/>
      <c r="N1887" s="50"/>
      <c r="O1887" s="50"/>
      <c r="P1887" s="50"/>
    </row>
    <row r="1888" spans="1:16" x14ac:dyDescent="0.3">
      <c r="A1888" s="169">
        <f>A1885+1</f>
        <v>1727</v>
      </c>
      <c r="B1888" s="66" t="s">
        <v>1966</v>
      </c>
      <c r="C1888" s="184">
        <v>1952</v>
      </c>
      <c r="D1888" s="50"/>
      <c r="E1888" s="48" t="s">
        <v>3733</v>
      </c>
      <c r="F1888" s="218">
        <v>2</v>
      </c>
      <c r="G1888" s="50"/>
      <c r="H1888" s="48">
        <v>246.3</v>
      </c>
      <c r="I1888" s="218">
        <v>10</v>
      </c>
      <c r="J1888" s="19">
        <f t="shared" si="142"/>
        <v>525349.79</v>
      </c>
      <c r="K1888" s="50"/>
      <c r="L1888" s="50"/>
      <c r="M1888" s="50"/>
      <c r="N1888" s="19">
        <f>SUMIF('2020'!B:B,B1888,'2020'!C:C)+SUMIF('2021'!B:B,B1888,'2021'!C:C)+SUMIF('2022'!B:B,B1888,'2022'!C:C)</f>
        <v>525349.79</v>
      </c>
      <c r="O1888" s="219">
        <v>44925</v>
      </c>
      <c r="P1888" s="48" t="s">
        <v>3728</v>
      </c>
    </row>
    <row r="1889" spans="1:16" x14ac:dyDescent="0.3">
      <c r="A1889" s="169">
        <f>A1888+1</f>
        <v>1728</v>
      </c>
      <c r="B1889" s="66" t="s">
        <v>1967</v>
      </c>
      <c r="C1889" s="184">
        <v>1973</v>
      </c>
      <c r="D1889" s="50"/>
      <c r="E1889" s="48" t="s">
        <v>3733</v>
      </c>
      <c r="F1889" s="218">
        <v>2</v>
      </c>
      <c r="G1889" s="50"/>
      <c r="H1889" s="48">
        <v>503.9</v>
      </c>
      <c r="I1889" s="218">
        <v>30</v>
      </c>
      <c r="J1889" s="19">
        <f t="shared" si="142"/>
        <v>5645878.7999999998</v>
      </c>
      <c r="K1889" s="50"/>
      <c r="L1889" s="50"/>
      <c r="M1889" s="50"/>
      <c r="N1889" s="19">
        <f>SUMIF('2020'!B:B,B1889,'2020'!C:C)+SUMIF('2021'!B:B,B1889,'2021'!C:C)+SUMIF('2022'!B:B,B1889,'2022'!C:C)</f>
        <v>5645878.7999999998</v>
      </c>
      <c r="O1889" s="219">
        <v>44925</v>
      </c>
      <c r="P1889" s="48" t="s">
        <v>3728</v>
      </c>
    </row>
    <row r="1890" spans="1:16" x14ac:dyDescent="0.3">
      <c r="A1890" s="59"/>
      <c r="B1890" s="66" t="s">
        <v>211</v>
      </c>
      <c r="C1890" s="50"/>
      <c r="D1890" s="50"/>
      <c r="E1890" s="48"/>
      <c r="F1890" s="48"/>
      <c r="G1890" s="50"/>
      <c r="H1890" s="48">
        <f>SUM(H1888:H1889)</f>
        <v>750.2</v>
      </c>
      <c r="I1890" s="218">
        <f>SUM(I1888:I1889)</f>
        <v>40</v>
      </c>
      <c r="J1890" s="19">
        <f t="shared" si="142"/>
        <v>6171228.5899999999</v>
      </c>
      <c r="K1890" s="50"/>
      <c r="L1890" s="50"/>
      <c r="M1890" s="50"/>
      <c r="N1890" s="50">
        <f>SUM(N1888:N1889)</f>
        <v>6171228.5899999999</v>
      </c>
      <c r="O1890" s="50"/>
      <c r="P1890" s="50"/>
    </row>
    <row r="1891" spans="1:16" x14ac:dyDescent="0.3">
      <c r="A1891" s="463" t="s">
        <v>1968</v>
      </c>
      <c r="B1891" s="463"/>
      <c r="C1891" s="50"/>
      <c r="D1891" s="50"/>
      <c r="E1891" s="48"/>
      <c r="F1891" s="48"/>
      <c r="G1891" s="50"/>
      <c r="H1891" s="48"/>
      <c r="I1891" s="48"/>
      <c r="J1891" s="19">
        <f t="shared" si="142"/>
        <v>0</v>
      </c>
      <c r="K1891" s="50"/>
      <c r="L1891" s="50"/>
      <c r="M1891" s="50"/>
      <c r="N1891" s="50"/>
      <c r="O1891" s="50"/>
      <c r="P1891" s="50"/>
    </row>
    <row r="1892" spans="1:16" x14ac:dyDescent="0.3">
      <c r="A1892" s="169">
        <f>A1889+1</f>
        <v>1729</v>
      </c>
      <c r="B1892" s="66" t="s">
        <v>1969</v>
      </c>
      <c r="C1892" s="184">
        <v>1986</v>
      </c>
      <c r="D1892" s="50"/>
      <c r="E1892" s="48" t="s">
        <v>4090</v>
      </c>
      <c r="F1892" s="218">
        <v>1</v>
      </c>
      <c r="G1892" s="50"/>
      <c r="H1892" s="48">
        <v>163.1</v>
      </c>
      <c r="I1892" s="218">
        <v>16</v>
      </c>
      <c r="J1892" s="19">
        <f t="shared" si="142"/>
        <v>48105.98</v>
      </c>
      <c r="K1892" s="50"/>
      <c r="L1892" s="50"/>
      <c r="M1892" s="50"/>
      <c r="N1892" s="19">
        <f>SUMIF('2020'!B:B,B1892,'2020'!C:C)+SUMIF('2021'!B:B,B1892,'2021'!C:C)+SUMIF('2022'!B:B,B1892,'2022'!C:C)</f>
        <v>48105.98</v>
      </c>
      <c r="O1892" s="219">
        <v>44925</v>
      </c>
      <c r="P1892" s="48" t="s">
        <v>3728</v>
      </c>
    </row>
    <row r="1893" spans="1:16" x14ac:dyDescent="0.3">
      <c r="A1893" s="169">
        <f>A1892+1</f>
        <v>1730</v>
      </c>
      <c r="B1893" s="66" t="s">
        <v>1970</v>
      </c>
      <c r="C1893" s="184">
        <v>1950</v>
      </c>
      <c r="D1893" s="50"/>
      <c r="E1893" s="48" t="s">
        <v>4090</v>
      </c>
      <c r="F1893" s="218">
        <v>2</v>
      </c>
      <c r="G1893" s="50"/>
      <c r="H1893" s="48">
        <v>645.4</v>
      </c>
      <c r="I1893" s="218">
        <v>34</v>
      </c>
      <c r="J1893" s="19">
        <f t="shared" si="142"/>
        <v>74027.63</v>
      </c>
      <c r="K1893" s="50"/>
      <c r="L1893" s="50"/>
      <c r="M1893" s="50"/>
      <c r="N1893" s="19">
        <f>SUMIF('2020'!B:B,B1893,'2020'!C:C)+SUMIF('2021'!B:B,B1893,'2021'!C:C)+SUMIF('2022'!B:B,B1893,'2022'!C:C)</f>
        <v>74027.63</v>
      </c>
      <c r="O1893" s="219">
        <v>44925</v>
      </c>
      <c r="P1893" s="48" t="s">
        <v>3728</v>
      </c>
    </row>
    <row r="1894" spans="1:16" x14ac:dyDescent="0.3">
      <c r="A1894" s="169">
        <f t="shared" ref="A1894:A1908" si="146">A1893+1</f>
        <v>1731</v>
      </c>
      <c r="B1894" s="66" t="s">
        <v>1971</v>
      </c>
      <c r="C1894" s="184">
        <v>1946</v>
      </c>
      <c r="D1894" s="50"/>
      <c r="E1894" s="48" t="s">
        <v>4090</v>
      </c>
      <c r="F1894" s="218">
        <v>2</v>
      </c>
      <c r="G1894" s="50"/>
      <c r="H1894" s="48">
        <v>191.7</v>
      </c>
      <c r="I1894" s="218">
        <v>7</v>
      </c>
      <c r="J1894" s="19">
        <f t="shared" si="142"/>
        <v>383375.59</v>
      </c>
      <c r="K1894" s="50"/>
      <c r="L1894" s="50"/>
      <c r="M1894" s="50"/>
      <c r="N1894" s="19">
        <f>SUMIF('2020'!B:B,B1894,'2020'!C:C)+SUMIF('2021'!B:B,B1894,'2021'!C:C)+SUMIF('2022'!B:B,B1894,'2022'!C:C)</f>
        <v>383375.59</v>
      </c>
      <c r="O1894" s="219">
        <v>44925</v>
      </c>
      <c r="P1894" s="48" t="s">
        <v>3728</v>
      </c>
    </row>
    <row r="1895" spans="1:16" x14ac:dyDescent="0.3">
      <c r="A1895" s="169">
        <f t="shared" si="146"/>
        <v>1732</v>
      </c>
      <c r="B1895" s="66" t="s">
        <v>1972</v>
      </c>
      <c r="C1895" s="184">
        <v>1917</v>
      </c>
      <c r="D1895" s="50"/>
      <c r="E1895" s="48" t="s">
        <v>4090</v>
      </c>
      <c r="F1895" s="218">
        <v>2</v>
      </c>
      <c r="G1895" s="50"/>
      <c r="H1895" s="48">
        <v>311</v>
      </c>
      <c r="I1895" s="218">
        <v>16</v>
      </c>
      <c r="J1895" s="19">
        <f t="shared" si="142"/>
        <v>245121.92000000001</v>
      </c>
      <c r="K1895" s="50"/>
      <c r="L1895" s="50"/>
      <c r="M1895" s="50"/>
      <c r="N1895" s="19">
        <f>SUMIF('2020'!B:B,B1895,'2020'!C:C)+SUMIF('2021'!B:B,B1895,'2021'!C:C)+SUMIF('2022'!B:B,B1895,'2022'!C:C)</f>
        <v>245121.92000000001</v>
      </c>
      <c r="O1895" s="219">
        <v>44925</v>
      </c>
      <c r="P1895" s="48" t="s">
        <v>3728</v>
      </c>
    </row>
    <row r="1896" spans="1:16" x14ac:dyDescent="0.3">
      <c r="A1896" s="169">
        <f t="shared" si="146"/>
        <v>1733</v>
      </c>
      <c r="B1896" s="66" t="s">
        <v>1973</v>
      </c>
      <c r="C1896" s="184">
        <v>1917</v>
      </c>
      <c r="D1896" s="50"/>
      <c r="E1896" s="48" t="s">
        <v>4090</v>
      </c>
      <c r="F1896" s="218">
        <v>2</v>
      </c>
      <c r="G1896" s="50"/>
      <c r="H1896" s="48">
        <v>260.77</v>
      </c>
      <c r="I1896" s="218">
        <v>18</v>
      </c>
      <c r="J1896" s="19">
        <f t="shared" si="142"/>
        <v>214744.08000000002</v>
      </c>
      <c r="K1896" s="50"/>
      <c r="L1896" s="50"/>
      <c r="M1896" s="50"/>
      <c r="N1896" s="19">
        <f>SUMIF('2020'!B:B,B1896,'2020'!C:C)+SUMIF('2021'!B:B,B1896,'2021'!C:C)+SUMIF('2022'!B:B,B1896,'2022'!C:C)</f>
        <v>214744.08000000002</v>
      </c>
      <c r="O1896" s="219">
        <v>44925</v>
      </c>
      <c r="P1896" s="48" t="s">
        <v>3728</v>
      </c>
    </row>
    <row r="1897" spans="1:16" x14ac:dyDescent="0.3">
      <c r="A1897" s="169">
        <f t="shared" si="146"/>
        <v>1734</v>
      </c>
      <c r="B1897" s="66" t="s">
        <v>1974</v>
      </c>
      <c r="C1897" s="184">
        <v>1917</v>
      </c>
      <c r="D1897" s="50"/>
      <c r="E1897" s="48" t="s">
        <v>4090</v>
      </c>
      <c r="F1897" s="218">
        <v>2</v>
      </c>
      <c r="G1897" s="50"/>
      <c r="H1897" s="48">
        <v>311</v>
      </c>
      <c r="I1897" s="218">
        <v>26</v>
      </c>
      <c r="J1897" s="19">
        <f t="shared" si="142"/>
        <v>246233.95</v>
      </c>
      <c r="K1897" s="50"/>
      <c r="L1897" s="50"/>
      <c r="M1897" s="50"/>
      <c r="N1897" s="19">
        <f>SUMIF('2020'!B:B,B1897,'2020'!C:C)+SUMIF('2021'!B:B,B1897,'2021'!C:C)+SUMIF('2022'!B:B,B1897,'2022'!C:C)</f>
        <v>246233.95</v>
      </c>
      <c r="O1897" s="219">
        <v>44925</v>
      </c>
      <c r="P1897" s="48" t="s">
        <v>3728</v>
      </c>
    </row>
    <row r="1898" spans="1:16" x14ac:dyDescent="0.3">
      <c r="A1898" s="169">
        <f t="shared" si="146"/>
        <v>1735</v>
      </c>
      <c r="B1898" s="66" t="s">
        <v>1975</v>
      </c>
      <c r="C1898" s="184">
        <v>1917</v>
      </c>
      <c r="D1898" s="50"/>
      <c r="E1898" s="48" t="s">
        <v>4090</v>
      </c>
      <c r="F1898" s="218">
        <v>2</v>
      </c>
      <c r="G1898" s="50"/>
      <c r="H1898" s="48">
        <v>124.4</v>
      </c>
      <c r="I1898" s="218">
        <v>10</v>
      </c>
      <c r="J1898" s="19">
        <f t="shared" si="142"/>
        <v>164222.6</v>
      </c>
      <c r="K1898" s="50"/>
      <c r="L1898" s="50"/>
      <c r="M1898" s="50"/>
      <c r="N1898" s="19">
        <f>SUMIF('2020'!B:B,B1898,'2020'!C:C)+SUMIF('2021'!B:B,B1898,'2021'!C:C)+SUMIF('2022'!B:B,B1898,'2022'!C:C)</f>
        <v>164222.6</v>
      </c>
      <c r="O1898" s="219">
        <v>44925</v>
      </c>
      <c r="P1898" s="48" t="s">
        <v>3728</v>
      </c>
    </row>
    <row r="1899" spans="1:16" x14ac:dyDescent="0.3">
      <c r="A1899" s="169">
        <f t="shared" si="146"/>
        <v>1736</v>
      </c>
      <c r="B1899" s="66" t="s">
        <v>1976</v>
      </c>
      <c r="C1899" s="184">
        <v>1917</v>
      </c>
      <c r="D1899" s="50"/>
      <c r="E1899" s="48" t="s">
        <v>4090</v>
      </c>
      <c r="F1899" s="218">
        <v>2</v>
      </c>
      <c r="G1899" s="50"/>
      <c r="H1899" s="48">
        <v>164.7</v>
      </c>
      <c r="I1899" s="218">
        <v>14</v>
      </c>
      <c r="J1899" s="19">
        <f t="shared" si="142"/>
        <v>307293.7</v>
      </c>
      <c r="K1899" s="50"/>
      <c r="L1899" s="50"/>
      <c r="M1899" s="50"/>
      <c r="N1899" s="19">
        <f>SUMIF('2020'!B:B,B1899,'2020'!C:C)+SUMIF('2021'!B:B,B1899,'2021'!C:C)+SUMIF('2022'!B:B,B1899,'2022'!C:C)</f>
        <v>307293.7</v>
      </c>
      <c r="O1899" s="219">
        <v>44925</v>
      </c>
      <c r="P1899" s="48" t="s">
        <v>3728</v>
      </c>
    </row>
    <row r="1900" spans="1:16" x14ac:dyDescent="0.3">
      <c r="A1900" s="169">
        <f t="shared" si="146"/>
        <v>1737</v>
      </c>
      <c r="B1900" s="66" t="s">
        <v>1977</v>
      </c>
      <c r="C1900" s="184">
        <v>1917</v>
      </c>
      <c r="D1900" s="50"/>
      <c r="E1900" s="48" t="s">
        <v>4090</v>
      </c>
      <c r="F1900" s="218">
        <v>2</v>
      </c>
      <c r="G1900" s="50"/>
      <c r="H1900" s="48">
        <v>283.17</v>
      </c>
      <c r="I1900" s="218">
        <v>12</v>
      </c>
      <c r="J1900" s="19">
        <f t="shared" si="142"/>
        <v>277197.05</v>
      </c>
      <c r="K1900" s="50"/>
      <c r="L1900" s="50"/>
      <c r="M1900" s="50"/>
      <c r="N1900" s="19">
        <f>SUMIF('2020'!B:B,B1900,'2020'!C:C)+SUMIF('2021'!B:B,B1900,'2021'!C:C)+SUMIF('2022'!B:B,B1900,'2022'!C:C)</f>
        <v>277197.05</v>
      </c>
      <c r="O1900" s="219">
        <v>44925</v>
      </c>
      <c r="P1900" s="48" t="s">
        <v>3728</v>
      </c>
    </row>
    <row r="1901" spans="1:16" x14ac:dyDescent="0.3">
      <c r="A1901" s="169">
        <f t="shared" si="146"/>
        <v>1738</v>
      </c>
      <c r="B1901" s="66" t="s">
        <v>1978</v>
      </c>
      <c r="C1901" s="184">
        <v>1935</v>
      </c>
      <c r="D1901" s="50"/>
      <c r="E1901" s="48" t="s">
        <v>4090</v>
      </c>
      <c r="F1901" s="218">
        <v>2</v>
      </c>
      <c r="G1901" s="50"/>
      <c r="H1901" s="48">
        <v>384</v>
      </c>
      <c r="I1901" s="218">
        <v>16</v>
      </c>
      <c r="J1901" s="19">
        <f t="shared" si="142"/>
        <v>307293.7</v>
      </c>
      <c r="K1901" s="50"/>
      <c r="L1901" s="50"/>
      <c r="M1901" s="50"/>
      <c r="N1901" s="19">
        <f>SUMIF('2020'!B:B,B1901,'2020'!C:C)+SUMIF('2021'!B:B,B1901,'2021'!C:C)+SUMIF('2022'!B:B,B1901,'2022'!C:C)</f>
        <v>307293.7</v>
      </c>
      <c r="O1901" s="219">
        <v>44925</v>
      </c>
      <c r="P1901" s="48" t="s">
        <v>3728</v>
      </c>
    </row>
    <row r="1902" spans="1:16" x14ac:dyDescent="0.3">
      <c r="A1902" s="169">
        <f t="shared" si="146"/>
        <v>1739</v>
      </c>
      <c r="B1902" s="66" t="s">
        <v>1979</v>
      </c>
      <c r="C1902" s="184">
        <v>1917</v>
      </c>
      <c r="D1902" s="50"/>
      <c r="E1902" s="48" t="s">
        <v>4090</v>
      </c>
      <c r="F1902" s="218">
        <v>2</v>
      </c>
      <c r="G1902" s="50"/>
      <c r="H1902" s="48">
        <v>208.39</v>
      </c>
      <c r="I1902" s="218">
        <v>9</v>
      </c>
      <c r="J1902" s="19">
        <f t="shared" si="142"/>
        <v>204352.40000000002</v>
      </c>
      <c r="K1902" s="50"/>
      <c r="L1902" s="50"/>
      <c r="M1902" s="50"/>
      <c r="N1902" s="19">
        <f>SUMIF('2020'!B:B,B1902,'2020'!C:C)+SUMIF('2021'!B:B,B1902,'2021'!C:C)+SUMIF('2022'!B:B,B1902,'2022'!C:C)</f>
        <v>204352.40000000002</v>
      </c>
      <c r="O1902" s="219">
        <v>44925</v>
      </c>
      <c r="P1902" s="48" t="s">
        <v>3728</v>
      </c>
    </row>
    <row r="1903" spans="1:16" x14ac:dyDescent="0.3">
      <c r="A1903" s="169">
        <f t="shared" si="146"/>
        <v>1740</v>
      </c>
      <c r="B1903" s="66" t="s">
        <v>1980</v>
      </c>
      <c r="C1903" s="184">
        <v>1917</v>
      </c>
      <c r="D1903" s="50"/>
      <c r="E1903" s="48" t="s">
        <v>4090</v>
      </c>
      <c r="F1903" s="218">
        <v>2</v>
      </c>
      <c r="G1903" s="50"/>
      <c r="H1903" s="48">
        <v>124.21</v>
      </c>
      <c r="I1903" s="218">
        <v>5</v>
      </c>
      <c r="J1903" s="19">
        <f t="shared" si="142"/>
        <v>192433.58</v>
      </c>
      <c r="K1903" s="50"/>
      <c r="L1903" s="50"/>
      <c r="M1903" s="50"/>
      <c r="N1903" s="19">
        <f>SUMIF('2020'!B:B,B1903,'2020'!C:C)+SUMIF('2021'!B:B,B1903,'2021'!C:C)+SUMIF('2022'!B:B,B1903,'2022'!C:C)</f>
        <v>192433.58</v>
      </c>
      <c r="O1903" s="219">
        <v>44925</v>
      </c>
      <c r="P1903" s="48" t="s">
        <v>3728</v>
      </c>
    </row>
    <row r="1904" spans="1:16" x14ac:dyDescent="0.3">
      <c r="A1904" s="169">
        <f t="shared" si="146"/>
        <v>1741</v>
      </c>
      <c r="B1904" s="66" t="s">
        <v>1981</v>
      </c>
      <c r="C1904" s="184">
        <v>1917</v>
      </c>
      <c r="D1904" s="50"/>
      <c r="E1904" s="48" t="s">
        <v>4090</v>
      </c>
      <c r="F1904" s="218">
        <v>2</v>
      </c>
      <c r="G1904" s="50"/>
      <c r="H1904" s="48">
        <v>217.61</v>
      </c>
      <c r="I1904" s="218">
        <v>10</v>
      </c>
      <c r="J1904" s="19">
        <f t="shared" si="142"/>
        <v>224320.47000000003</v>
      </c>
      <c r="K1904" s="50"/>
      <c r="L1904" s="50"/>
      <c r="M1904" s="50"/>
      <c r="N1904" s="19">
        <f>SUMIF('2020'!B:B,B1904,'2020'!C:C)+SUMIF('2021'!B:B,B1904,'2021'!C:C)+SUMIF('2022'!B:B,B1904,'2022'!C:C)</f>
        <v>224320.47000000003</v>
      </c>
      <c r="O1904" s="219">
        <v>44925</v>
      </c>
      <c r="P1904" s="48" t="s">
        <v>3728</v>
      </c>
    </row>
    <row r="1905" spans="1:16" x14ac:dyDescent="0.3">
      <c r="A1905" s="169">
        <f t="shared" si="146"/>
        <v>1742</v>
      </c>
      <c r="B1905" s="66" t="s">
        <v>1982</v>
      </c>
      <c r="C1905" s="184">
        <v>1917</v>
      </c>
      <c r="D1905" s="50"/>
      <c r="E1905" s="48" t="s">
        <v>4090</v>
      </c>
      <c r="F1905" s="218">
        <v>2</v>
      </c>
      <c r="G1905" s="50"/>
      <c r="H1905" s="48">
        <v>214.65</v>
      </c>
      <c r="I1905" s="218">
        <v>13</v>
      </c>
      <c r="J1905" s="19">
        <f t="shared" si="142"/>
        <v>219609.93</v>
      </c>
      <c r="K1905" s="50"/>
      <c r="L1905" s="50"/>
      <c r="M1905" s="50"/>
      <c r="N1905" s="19">
        <f>SUMIF('2020'!B:B,B1905,'2020'!C:C)+SUMIF('2021'!B:B,B1905,'2021'!C:C)+SUMIF('2022'!B:B,B1905,'2022'!C:C)</f>
        <v>219609.93</v>
      </c>
      <c r="O1905" s="219">
        <v>44925</v>
      </c>
      <c r="P1905" s="48" t="s">
        <v>3728</v>
      </c>
    </row>
    <row r="1906" spans="1:16" x14ac:dyDescent="0.3">
      <c r="A1906" s="169">
        <f t="shared" si="146"/>
        <v>1743</v>
      </c>
      <c r="B1906" s="66" t="s">
        <v>1983</v>
      </c>
      <c r="C1906" s="184">
        <v>1917</v>
      </c>
      <c r="D1906" s="50"/>
      <c r="E1906" s="48" t="s">
        <v>4090</v>
      </c>
      <c r="F1906" s="218">
        <v>2</v>
      </c>
      <c r="G1906" s="50"/>
      <c r="H1906" s="48">
        <v>187.6</v>
      </c>
      <c r="I1906" s="218">
        <v>10</v>
      </c>
      <c r="J1906" s="19">
        <f t="shared" si="142"/>
        <v>219225.81</v>
      </c>
      <c r="K1906" s="50"/>
      <c r="L1906" s="50"/>
      <c r="M1906" s="50"/>
      <c r="N1906" s="19">
        <f>SUMIF('2020'!B:B,B1906,'2020'!C:C)+SUMIF('2021'!B:B,B1906,'2021'!C:C)+SUMIF('2022'!B:B,B1906,'2022'!C:C)</f>
        <v>219225.81</v>
      </c>
      <c r="O1906" s="219">
        <v>44925</v>
      </c>
      <c r="P1906" s="48" t="s">
        <v>3728</v>
      </c>
    </row>
    <row r="1907" spans="1:16" x14ac:dyDescent="0.3">
      <c r="A1907" s="169">
        <f t="shared" si="146"/>
        <v>1744</v>
      </c>
      <c r="B1907" s="66" t="s">
        <v>1984</v>
      </c>
      <c r="C1907" s="184">
        <v>1917</v>
      </c>
      <c r="D1907" s="50"/>
      <c r="E1907" s="48" t="s">
        <v>4090</v>
      </c>
      <c r="F1907" s="218">
        <v>2</v>
      </c>
      <c r="G1907" s="50"/>
      <c r="H1907" s="48">
        <v>197.96</v>
      </c>
      <c r="I1907" s="218">
        <v>12</v>
      </c>
      <c r="J1907" s="19">
        <f t="shared" si="142"/>
        <v>212605.71</v>
      </c>
      <c r="K1907" s="50"/>
      <c r="L1907" s="50"/>
      <c r="M1907" s="50"/>
      <c r="N1907" s="19">
        <f>SUMIF('2020'!B:B,B1907,'2020'!C:C)+SUMIF('2021'!B:B,B1907,'2021'!C:C)+SUMIF('2022'!B:B,B1907,'2022'!C:C)</f>
        <v>212605.71</v>
      </c>
      <c r="O1907" s="219">
        <v>44925</v>
      </c>
      <c r="P1907" s="48" t="s">
        <v>3728</v>
      </c>
    </row>
    <row r="1908" spans="1:16" x14ac:dyDescent="0.3">
      <c r="A1908" s="169">
        <f t="shared" si="146"/>
        <v>1745</v>
      </c>
      <c r="B1908" s="66" t="s">
        <v>1985</v>
      </c>
      <c r="C1908" s="184">
        <v>1917</v>
      </c>
      <c r="D1908" s="50"/>
      <c r="E1908" s="48" t="s">
        <v>4090</v>
      </c>
      <c r="F1908" s="218">
        <v>2</v>
      </c>
      <c r="G1908" s="50"/>
      <c r="H1908" s="48">
        <v>297.39999999999998</v>
      </c>
      <c r="I1908" s="218">
        <v>12</v>
      </c>
      <c r="J1908" s="19">
        <f t="shared" si="142"/>
        <v>243081.18</v>
      </c>
      <c r="K1908" s="50"/>
      <c r="L1908" s="50"/>
      <c r="M1908" s="50"/>
      <c r="N1908" s="19">
        <f>SUMIF('2020'!B:B,B1908,'2020'!C:C)+SUMIF('2021'!B:B,B1908,'2021'!C:C)+SUMIF('2022'!B:B,B1908,'2022'!C:C)</f>
        <v>243081.18</v>
      </c>
      <c r="O1908" s="219">
        <v>44925</v>
      </c>
      <c r="P1908" s="48" t="s">
        <v>3728</v>
      </c>
    </row>
    <row r="1909" spans="1:16" x14ac:dyDescent="0.3">
      <c r="A1909" s="39"/>
      <c r="B1909" s="66" t="s">
        <v>211</v>
      </c>
      <c r="C1909" s="50"/>
      <c r="D1909" s="50"/>
      <c r="E1909" s="48"/>
      <c r="F1909" s="48"/>
      <c r="G1909" s="50"/>
      <c r="H1909" s="48">
        <f>SUM(H1892:H1908)</f>
        <v>4287.0600000000004</v>
      </c>
      <c r="I1909" s="218">
        <f>SUM(I1892:I1908)</f>
        <v>240</v>
      </c>
      <c r="J1909" s="19">
        <f t="shared" si="142"/>
        <v>3783245.2800000007</v>
      </c>
      <c r="K1909" s="50"/>
      <c r="L1909" s="50"/>
      <c r="M1909" s="50"/>
      <c r="N1909" s="50">
        <f>SUM(N1892:N1908)</f>
        <v>3783245.2800000007</v>
      </c>
      <c r="O1909" s="50"/>
      <c r="P1909" s="50"/>
    </row>
    <row r="1910" spans="1:16" s="160" customFormat="1" x14ac:dyDescent="0.3">
      <c r="A1910" s="240"/>
      <c r="B1910" s="241" t="s">
        <v>1986</v>
      </c>
      <c r="C1910" s="67"/>
      <c r="D1910" s="67"/>
      <c r="E1910" s="172"/>
      <c r="F1910" s="172"/>
      <c r="G1910" s="67"/>
      <c r="H1910" s="67">
        <f t="shared" ref="H1910:N1910" si="147">H1909+H1890+H1886+H1880+H1877+H1874+H1871+H1868+H1860+H1851+H1409+H1382+H1370+H1365+H1843</f>
        <v>915804.95000000007</v>
      </c>
      <c r="I1910" s="67">
        <f t="shared" si="147"/>
        <v>39652</v>
      </c>
      <c r="J1910" s="67">
        <f t="shared" si="147"/>
        <v>1040569032.1599991</v>
      </c>
      <c r="K1910" s="67">
        <f t="shared" si="147"/>
        <v>0</v>
      </c>
      <c r="L1910" s="67">
        <f t="shared" si="147"/>
        <v>0</v>
      </c>
      <c r="M1910" s="67">
        <f t="shared" si="147"/>
        <v>0</v>
      </c>
      <c r="N1910" s="67">
        <f t="shared" si="147"/>
        <v>1040569032.1599991</v>
      </c>
      <c r="O1910" s="67"/>
      <c r="P1910" s="67"/>
    </row>
    <row r="1911" spans="1:16" s="160" customFormat="1" x14ac:dyDescent="0.3">
      <c r="A1911" s="464" t="s">
        <v>1987</v>
      </c>
      <c r="B1911" s="465"/>
      <c r="C1911" s="465"/>
      <c r="D1911" s="465"/>
      <c r="E1911" s="465"/>
      <c r="F1911" s="465"/>
      <c r="G1911" s="465"/>
      <c r="H1911" s="465"/>
      <c r="I1911" s="465"/>
      <c r="J1911" s="465"/>
      <c r="K1911" s="465"/>
      <c r="L1911" s="465"/>
      <c r="M1911" s="465"/>
      <c r="N1911" s="465"/>
      <c r="O1911" s="465"/>
      <c r="P1911" s="466"/>
    </row>
    <row r="1912" spans="1:16" x14ac:dyDescent="0.3">
      <c r="A1912" s="461" t="s">
        <v>1988</v>
      </c>
      <c r="B1912" s="462"/>
      <c r="C1912" s="50"/>
      <c r="D1912" s="51"/>
      <c r="E1912" s="52"/>
      <c r="F1912" s="52"/>
      <c r="G1912" s="50"/>
      <c r="H1912" s="48"/>
      <c r="I1912" s="52"/>
      <c r="J1912" s="51"/>
      <c r="K1912" s="51"/>
      <c r="L1912" s="50"/>
      <c r="M1912" s="51"/>
      <c r="N1912" s="51"/>
      <c r="O1912" s="50"/>
      <c r="P1912" s="50"/>
    </row>
    <row r="1913" spans="1:16" x14ac:dyDescent="0.3">
      <c r="A1913" s="169">
        <f>A1908+1</f>
        <v>1746</v>
      </c>
      <c r="B1913" s="66" t="s">
        <v>1989</v>
      </c>
      <c r="C1913" s="184">
        <v>1917</v>
      </c>
      <c r="D1913" s="51"/>
      <c r="E1913" s="52" t="s">
        <v>3733</v>
      </c>
      <c r="F1913" s="47">
        <v>2</v>
      </c>
      <c r="G1913" s="50"/>
      <c r="H1913" s="48">
        <v>1613.3</v>
      </c>
      <c r="I1913" s="47">
        <v>31</v>
      </c>
      <c r="J1913" s="19">
        <f t="shared" ref="J1913:J1976" si="148">K1913+L1913+M1913+N1913</f>
        <v>525170.65</v>
      </c>
      <c r="K1913" s="51"/>
      <c r="L1913" s="50"/>
      <c r="M1913" s="51"/>
      <c r="N1913" s="19">
        <f>SUMIF('2020'!B:B,B1913,'2020'!C:C)+SUMIF('2021'!B:B,B1913,'2021'!C:C)+SUMIF('2022'!B:B,B1913,'2022'!C:C)</f>
        <v>525170.65</v>
      </c>
      <c r="O1913" s="219">
        <v>44923</v>
      </c>
      <c r="P1913" s="48" t="s">
        <v>3728</v>
      </c>
    </row>
    <row r="1914" spans="1:16" x14ac:dyDescent="0.3">
      <c r="A1914" s="169">
        <f>A1913+1</f>
        <v>1747</v>
      </c>
      <c r="B1914" s="66" t="s">
        <v>1990</v>
      </c>
      <c r="C1914" s="184">
        <v>1917</v>
      </c>
      <c r="D1914" s="51"/>
      <c r="E1914" s="52" t="s">
        <v>3733</v>
      </c>
      <c r="F1914" s="47">
        <v>2</v>
      </c>
      <c r="G1914" s="50"/>
      <c r="H1914" s="48">
        <v>1613.3</v>
      </c>
      <c r="I1914" s="47">
        <v>31</v>
      </c>
      <c r="J1914" s="19">
        <f t="shared" si="148"/>
        <v>3121763.2</v>
      </c>
      <c r="K1914" s="51"/>
      <c r="L1914" s="50"/>
      <c r="M1914" s="51"/>
      <c r="N1914" s="19">
        <f>SUMIF('2020'!B:B,B1914,'2020'!C:C)+SUMIF('2021'!B:B,B1914,'2021'!C:C)+SUMIF('2022'!B:B,B1914,'2022'!C:C)</f>
        <v>3121763.2</v>
      </c>
      <c r="O1914" s="219">
        <v>44924</v>
      </c>
      <c r="P1914" s="48" t="s">
        <v>3728</v>
      </c>
    </row>
    <row r="1915" spans="1:16" x14ac:dyDescent="0.3">
      <c r="A1915" s="169">
        <f t="shared" ref="A1915:A1918" si="149">A1914+1</f>
        <v>1748</v>
      </c>
      <c r="B1915" s="66" t="s">
        <v>1991</v>
      </c>
      <c r="C1915" s="184">
        <v>1946</v>
      </c>
      <c r="D1915" s="51"/>
      <c r="E1915" s="52" t="s">
        <v>3733</v>
      </c>
      <c r="F1915" s="47">
        <v>2</v>
      </c>
      <c r="G1915" s="50"/>
      <c r="H1915" s="48">
        <v>1613.3</v>
      </c>
      <c r="I1915" s="47">
        <v>31</v>
      </c>
      <c r="J1915" s="19">
        <f t="shared" si="148"/>
        <v>1761616.88</v>
      </c>
      <c r="K1915" s="51"/>
      <c r="L1915" s="50"/>
      <c r="M1915" s="51"/>
      <c r="N1915" s="19">
        <f>SUMIF('2020'!B:B,B1915,'2020'!C:C)+SUMIF('2021'!B:B,B1915,'2021'!C:C)+SUMIF('2022'!B:B,B1915,'2022'!C:C)</f>
        <v>1761616.88</v>
      </c>
      <c r="O1915" s="219">
        <v>44925</v>
      </c>
      <c r="P1915" s="48" t="s">
        <v>3728</v>
      </c>
    </row>
    <row r="1916" spans="1:16" x14ac:dyDescent="0.3">
      <c r="A1916" s="169">
        <f t="shared" si="149"/>
        <v>1749</v>
      </c>
      <c r="B1916" s="66" t="s">
        <v>1992</v>
      </c>
      <c r="C1916" s="184">
        <v>1917</v>
      </c>
      <c r="D1916" s="51"/>
      <c r="E1916" s="52" t="s">
        <v>4090</v>
      </c>
      <c r="F1916" s="47">
        <v>2</v>
      </c>
      <c r="G1916" s="50"/>
      <c r="H1916" s="48">
        <v>658.7</v>
      </c>
      <c r="I1916" s="47">
        <v>16</v>
      </c>
      <c r="J1916" s="19">
        <f t="shared" si="148"/>
        <v>3382256.34</v>
      </c>
      <c r="K1916" s="51"/>
      <c r="L1916" s="50"/>
      <c r="M1916" s="51"/>
      <c r="N1916" s="19">
        <f>SUMIF('2020'!B:B,B1916,'2020'!C:C)+SUMIF('2021'!B:B,B1916,'2021'!C:C)+SUMIF('2022'!B:B,B1916,'2022'!C:C)</f>
        <v>3382256.34</v>
      </c>
      <c r="O1916" s="219">
        <v>44925</v>
      </c>
      <c r="P1916" s="48" t="s">
        <v>3728</v>
      </c>
    </row>
    <row r="1917" spans="1:16" x14ac:dyDescent="0.3">
      <c r="A1917" s="169">
        <f t="shared" si="149"/>
        <v>1750</v>
      </c>
      <c r="B1917" s="66" t="s">
        <v>1993</v>
      </c>
      <c r="C1917" s="184">
        <v>1946</v>
      </c>
      <c r="D1917" s="51"/>
      <c r="E1917" s="52" t="s">
        <v>3733</v>
      </c>
      <c r="F1917" s="47">
        <v>3</v>
      </c>
      <c r="G1917" s="50"/>
      <c r="H1917" s="48">
        <v>3013.8</v>
      </c>
      <c r="I1917" s="47">
        <v>60</v>
      </c>
      <c r="J1917" s="19">
        <f t="shared" si="148"/>
        <v>1735289.57</v>
      </c>
      <c r="K1917" s="51"/>
      <c r="L1917" s="50"/>
      <c r="M1917" s="51"/>
      <c r="N1917" s="19">
        <f>SUMIF('2020'!B:B,B1917,'2020'!C:C)+SUMIF('2021'!B:B,B1917,'2021'!C:C)+SUMIF('2022'!B:B,B1917,'2022'!C:C)</f>
        <v>1735289.57</v>
      </c>
      <c r="O1917" s="219">
        <v>44925</v>
      </c>
      <c r="P1917" s="48" t="s">
        <v>3728</v>
      </c>
    </row>
    <row r="1918" spans="1:16" x14ac:dyDescent="0.3">
      <c r="A1918" s="169">
        <f t="shared" si="149"/>
        <v>1751</v>
      </c>
      <c r="B1918" s="66" t="s">
        <v>1994</v>
      </c>
      <c r="C1918" s="184">
        <v>1917</v>
      </c>
      <c r="D1918" s="51"/>
      <c r="E1918" s="52" t="s">
        <v>3733</v>
      </c>
      <c r="F1918" s="47">
        <v>4</v>
      </c>
      <c r="G1918" s="50"/>
      <c r="H1918" s="48">
        <v>4047.2</v>
      </c>
      <c r="I1918" s="47">
        <v>108</v>
      </c>
      <c r="J1918" s="19">
        <f t="shared" si="148"/>
        <v>1806666.7</v>
      </c>
      <c r="K1918" s="51"/>
      <c r="L1918" s="50"/>
      <c r="M1918" s="51"/>
      <c r="N1918" s="19">
        <f>SUMIF('2020'!B:B,B1918,'2020'!C:C)+SUMIF('2021'!B:B,B1918,'2021'!C:C)+SUMIF('2022'!B:B,B1918,'2022'!C:C)</f>
        <v>1806666.7</v>
      </c>
      <c r="O1918" s="219">
        <v>44925</v>
      </c>
      <c r="P1918" s="48" t="s">
        <v>3728</v>
      </c>
    </row>
    <row r="1919" spans="1:16" x14ac:dyDescent="0.3">
      <c r="A1919" s="220"/>
      <c r="B1919" s="242" t="s">
        <v>211</v>
      </c>
      <c r="C1919" s="50"/>
      <c r="D1919" s="50"/>
      <c r="E1919" s="48"/>
      <c r="F1919" s="48"/>
      <c r="G1919" s="50"/>
      <c r="H1919" s="48">
        <f>SUM(H1915:H1918)</f>
        <v>9333</v>
      </c>
      <c r="I1919" s="47">
        <f>SUM(I1915:I1918)</f>
        <v>215</v>
      </c>
      <c r="J1919" s="19">
        <f t="shared" si="148"/>
        <v>12332763.34</v>
      </c>
      <c r="K1919" s="50">
        <v>0</v>
      </c>
      <c r="L1919" s="50">
        <v>0</v>
      </c>
      <c r="M1919" s="50">
        <v>0</v>
      </c>
      <c r="N1919" s="50">
        <f>SUM(N1913:N1918)</f>
        <v>12332763.34</v>
      </c>
      <c r="O1919" s="50"/>
      <c r="P1919" s="50"/>
    </row>
    <row r="1920" spans="1:16" x14ac:dyDescent="0.3">
      <c r="A1920" s="461" t="s">
        <v>1995</v>
      </c>
      <c r="B1920" s="462"/>
      <c r="C1920" s="50"/>
      <c r="D1920" s="51"/>
      <c r="E1920" s="52"/>
      <c r="F1920" s="52"/>
      <c r="G1920" s="50"/>
      <c r="H1920" s="48"/>
      <c r="I1920" s="52"/>
      <c r="J1920" s="19"/>
      <c r="K1920" s="51"/>
      <c r="L1920" s="50"/>
      <c r="M1920" s="51"/>
      <c r="N1920" s="51"/>
      <c r="O1920" s="50"/>
      <c r="P1920" s="50"/>
    </row>
    <row r="1921" spans="1:16" x14ac:dyDescent="0.3">
      <c r="A1921" s="169">
        <f>A1918+1</f>
        <v>1752</v>
      </c>
      <c r="B1921" s="66" t="s">
        <v>1996</v>
      </c>
      <c r="C1921" s="184">
        <v>1970</v>
      </c>
      <c r="D1921" s="51"/>
      <c r="E1921" s="48" t="s">
        <v>4090</v>
      </c>
      <c r="F1921" s="47">
        <v>2</v>
      </c>
      <c r="G1921" s="50"/>
      <c r="H1921" s="48">
        <v>526</v>
      </c>
      <c r="I1921" s="218">
        <v>12</v>
      </c>
      <c r="J1921" s="19">
        <f t="shared" si="148"/>
        <v>96957.88</v>
      </c>
      <c r="K1921" s="51"/>
      <c r="L1921" s="50"/>
      <c r="M1921" s="51"/>
      <c r="N1921" s="19">
        <f>SUMIF('2020'!B:B,B1921,'2020'!C:C)+SUMIF('2021'!B:B,B1921,'2021'!C:C)+SUMIF('2022'!B:B,B1921,'2022'!C:C)</f>
        <v>96957.88</v>
      </c>
      <c r="O1921" s="219">
        <v>44925</v>
      </c>
      <c r="P1921" s="48" t="s">
        <v>3728</v>
      </c>
    </row>
    <row r="1922" spans="1:16" x14ac:dyDescent="0.3">
      <c r="A1922" s="169">
        <f>A1921+1</f>
        <v>1753</v>
      </c>
      <c r="B1922" s="66" t="s">
        <v>1997</v>
      </c>
      <c r="C1922" s="184">
        <v>1916</v>
      </c>
      <c r="D1922" s="51"/>
      <c r="E1922" s="48" t="s">
        <v>3733</v>
      </c>
      <c r="F1922" s="47">
        <v>2</v>
      </c>
      <c r="G1922" s="50"/>
      <c r="H1922" s="48">
        <v>359.8</v>
      </c>
      <c r="I1922" s="218">
        <v>8</v>
      </c>
      <c r="J1922" s="19">
        <f t="shared" si="148"/>
        <v>173052.37</v>
      </c>
      <c r="K1922" s="51"/>
      <c r="L1922" s="50"/>
      <c r="M1922" s="51"/>
      <c r="N1922" s="19">
        <f>SUMIF('2020'!B:B,B1922,'2020'!C:C)+SUMIF('2021'!B:B,B1922,'2021'!C:C)+SUMIF('2022'!B:B,B1922,'2022'!C:C)</f>
        <v>173052.37</v>
      </c>
      <c r="O1922" s="219">
        <v>44925</v>
      </c>
      <c r="P1922" s="48" t="s">
        <v>3728</v>
      </c>
    </row>
    <row r="1923" spans="1:16" x14ac:dyDescent="0.3">
      <c r="A1923" s="169">
        <f t="shared" ref="A1923:A1963" si="150">A1922+1</f>
        <v>1754</v>
      </c>
      <c r="B1923" s="66" t="s">
        <v>1998</v>
      </c>
      <c r="C1923" s="184">
        <v>1961</v>
      </c>
      <c r="D1923" s="51"/>
      <c r="E1923" s="48" t="s">
        <v>3733</v>
      </c>
      <c r="F1923" s="47">
        <v>2</v>
      </c>
      <c r="G1923" s="50"/>
      <c r="H1923" s="48">
        <v>620.29999999999995</v>
      </c>
      <c r="I1923" s="218">
        <v>31</v>
      </c>
      <c r="J1923" s="19">
        <f t="shared" si="148"/>
        <v>108353.89</v>
      </c>
      <c r="K1923" s="51"/>
      <c r="L1923" s="50"/>
      <c r="M1923" s="51"/>
      <c r="N1923" s="19">
        <f>SUMIF('2020'!B:B,B1923,'2020'!C:C)+SUMIF('2021'!B:B,B1923,'2021'!C:C)+SUMIF('2022'!B:B,B1923,'2022'!C:C)</f>
        <v>108353.89</v>
      </c>
      <c r="O1923" s="219">
        <v>44925</v>
      </c>
      <c r="P1923" s="48" t="s">
        <v>3728</v>
      </c>
    </row>
    <row r="1924" spans="1:16" x14ac:dyDescent="0.3">
      <c r="A1924" s="169">
        <f t="shared" si="150"/>
        <v>1755</v>
      </c>
      <c r="B1924" s="66" t="s">
        <v>1999</v>
      </c>
      <c r="C1924" s="184">
        <v>1959</v>
      </c>
      <c r="D1924" s="51"/>
      <c r="E1924" s="48" t="s">
        <v>3733</v>
      </c>
      <c r="F1924" s="47">
        <v>2</v>
      </c>
      <c r="G1924" s="50"/>
      <c r="H1924" s="48">
        <v>440.8</v>
      </c>
      <c r="I1924" s="218">
        <v>14</v>
      </c>
      <c r="J1924" s="19">
        <f t="shared" si="148"/>
        <v>101316.56</v>
      </c>
      <c r="K1924" s="51"/>
      <c r="L1924" s="50"/>
      <c r="M1924" s="51"/>
      <c r="N1924" s="19">
        <f>SUMIF('2020'!B:B,B1924,'2020'!C:C)+SUMIF('2021'!B:B,B1924,'2021'!C:C)+SUMIF('2022'!B:B,B1924,'2022'!C:C)</f>
        <v>101316.56</v>
      </c>
      <c r="O1924" s="219">
        <v>44925</v>
      </c>
      <c r="P1924" s="48" t="s">
        <v>3728</v>
      </c>
    </row>
    <row r="1925" spans="1:16" x14ac:dyDescent="0.3">
      <c r="A1925" s="169">
        <f t="shared" si="150"/>
        <v>1756</v>
      </c>
      <c r="B1925" s="66" t="s">
        <v>2000</v>
      </c>
      <c r="C1925" s="184">
        <v>1958</v>
      </c>
      <c r="D1925" s="51"/>
      <c r="E1925" s="48" t="s">
        <v>3733</v>
      </c>
      <c r="F1925" s="47">
        <v>2</v>
      </c>
      <c r="G1925" s="50"/>
      <c r="H1925" s="48">
        <v>376.7</v>
      </c>
      <c r="I1925" s="218">
        <v>19</v>
      </c>
      <c r="J1925" s="19">
        <f t="shared" si="148"/>
        <v>117417.54</v>
      </c>
      <c r="K1925" s="51"/>
      <c r="L1925" s="50"/>
      <c r="M1925" s="51"/>
      <c r="N1925" s="19">
        <f>SUMIF('2020'!B:B,B1925,'2020'!C:C)+SUMIF('2021'!B:B,B1925,'2021'!C:C)+SUMIF('2022'!B:B,B1925,'2022'!C:C)</f>
        <v>117417.54</v>
      </c>
      <c r="O1925" s="219">
        <v>44925</v>
      </c>
      <c r="P1925" s="48" t="s">
        <v>3728</v>
      </c>
    </row>
    <row r="1926" spans="1:16" x14ac:dyDescent="0.3">
      <c r="A1926" s="169">
        <f t="shared" si="150"/>
        <v>1757</v>
      </c>
      <c r="B1926" s="66" t="s">
        <v>2001</v>
      </c>
      <c r="C1926" s="184">
        <v>1969</v>
      </c>
      <c r="D1926" s="51"/>
      <c r="E1926" s="48" t="s">
        <v>3733</v>
      </c>
      <c r="F1926" s="47">
        <v>5</v>
      </c>
      <c r="G1926" s="50"/>
      <c r="H1926" s="48">
        <v>3341.9</v>
      </c>
      <c r="I1926" s="218">
        <v>161</v>
      </c>
      <c r="J1926" s="19">
        <f t="shared" si="148"/>
        <v>218895.58</v>
      </c>
      <c r="K1926" s="51"/>
      <c r="L1926" s="50"/>
      <c r="M1926" s="51"/>
      <c r="N1926" s="19">
        <f>SUMIF('2020'!B:B,B1926,'2020'!C:C)+SUMIF('2021'!B:B,B1926,'2021'!C:C)+SUMIF('2022'!B:B,B1926,'2022'!C:C)</f>
        <v>218895.58</v>
      </c>
      <c r="O1926" s="219">
        <v>44925</v>
      </c>
      <c r="P1926" s="48" t="s">
        <v>3728</v>
      </c>
    </row>
    <row r="1927" spans="1:16" x14ac:dyDescent="0.3">
      <c r="A1927" s="169">
        <f t="shared" si="150"/>
        <v>1758</v>
      </c>
      <c r="B1927" s="66" t="s">
        <v>2002</v>
      </c>
      <c r="C1927" s="184">
        <v>1969</v>
      </c>
      <c r="D1927" s="51"/>
      <c r="E1927" s="48" t="s">
        <v>3733</v>
      </c>
      <c r="F1927" s="47">
        <v>5</v>
      </c>
      <c r="G1927" s="50"/>
      <c r="H1927" s="48">
        <v>2496.71</v>
      </c>
      <c r="I1927" s="218">
        <v>131</v>
      </c>
      <c r="J1927" s="19">
        <f t="shared" si="148"/>
        <v>174632</v>
      </c>
      <c r="K1927" s="51"/>
      <c r="L1927" s="50"/>
      <c r="M1927" s="51"/>
      <c r="N1927" s="19">
        <f>SUMIF('2020'!B:B,B1927,'2020'!C:C)+SUMIF('2021'!B:B,B1927,'2021'!C:C)+SUMIF('2022'!B:B,B1927,'2022'!C:C)</f>
        <v>174632</v>
      </c>
      <c r="O1927" s="219">
        <v>44925</v>
      </c>
      <c r="P1927" s="48" t="s">
        <v>3728</v>
      </c>
    </row>
    <row r="1928" spans="1:16" x14ac:dyDescent="0.3">
      <c r="A1928" s="169">
        <f t="shared" si="150"/>
        <v>1759</v>
      </c>
      <c r="B1928" s="66" t="s">
        <v>2003</v>
      </c>
      <c r="C1928" s="184">
        <v>1964</v>
      </c>
      <c r="D1928" s="51"/>
      <c r="E1928" s="48" t="s">
        <v>3733</v>
      </c>
      <c r="F1928" s="47">
        <v>4</v>
      </c>
      <c r="G1928" s="50"/>
      <c r="H1928" s="48">
        <v>2055.65</v>
      </c>
      <c r="I1928" s="218">
        <v>97</v>
      </c>
      <c r="J1928" s="19">
        <f t="shared" si="148"/>
        <v>147798.10999999999</v>
      </c>
      <c r="K1928" s="51"/>
      <c r="L1928" s="50"/>
      <c r="M1928" s="51"/>
      <c r="N1928" s="19">
        <f>SUMIF('2020'!B:B,B1928,'2020'!C:C)+SUMIF('2021'!B:B,B1928,'2021'!C:C)+SUMIF('2022'!B:B,B1928,'2022'!C:C)</f>
        <v>147798.10999999999</v>
      </c>
      <c r="O1928" s="219">
        <v>44925</v>
      </c>
      <c r="P1928" s="48" t="s">
        <v>3728</v>
      </c>
    </row>
    <row r="1929" spans="1:16" x14ac:dyDescent="0.3">
      <c r="A1929" s="169">
        <f t="shared" si="150"/>
        <v>1760</v>
      </c>
      <c r="B1929" s="66" t="s">
        <v>2004</v>
      </c>
      <c r="C1929" s="184">
        <v>1968</v>
      </c>
      <c r="D1929" s="51"/>
      <c r="E1929" s="48" t="s">
        <v>3733</v>
      </c>
      <c r="F1929" s="47">
        <v>5</v>
      </c>
      <c r="G1929" s="50"/>
      <c r="H1929" s="48">
        <v>3002.4</v>
      </c>
      <c r="I1929" s="218">
        <v>113</v>
      </c>
      <c r="J1929" s="19">
        <f t="shared" si="148"/>
        <v>169441.62</v>
      </c>
      <c r="K1929" s="51"/>
      <c r="L1929" s="50"/>
      <c r="M1929" s="51"/>
      <c r="N1929" s="19">
        <f>SUMIF('2020'!B:B,B1929,'2020'!C:C)+SUMIF('2021'!B:B,B1929,'2021'!C:C)+SUMIF('2022'!B:B,B1929,'2022'!C:C)</f>
        <v>169441.62</v>
      </c>
      <c r="O1929" s="219">
        <v>44925</v>
      </c>
      <c r="P1929" s="48" t="s">
        <v>3728</v>
      </c>
    </row>
    <row r="1930" spans="1:16" x14ac:dyDescent="0.3">
      <c r="A1930" s="169">
        <f t="shared" si="150"/>
        <v>1761</v>
      </c>
      <c r="B1930" s="66" t="s">
        <v>2005</v>
      </c>
      <c r="C1930" s="184">
        <v>1963</v>
      </c>
      <c r="D1930" s="51"/>
      <c r="E1930" s="48" t="s">
        <v>3733</v>
      </c>
      <c r="F1930" s="47">
        <v>4</v>
      </c>
      <c r="G1930" s="50"/>
      <c r="H1930" s="48">
        <v>2066.8000000000002</v>
      </c>
      <c r="I1930" s="218">
        <v>98</v>
      </c>
      <c r="J1930" s="19">
        <f t="shared" si="148"/>
        <v>163264.35999999999</v>
      </c>
      <c r="K1930" s="51"/>
      <c r="L1930" s="50"/>
      <c r="M1930" s="51"/>
      <c r="N1930" s="19">
        <f>SUMIF('2020'!B:B,B1930,'2020'!C:C)+SUMIF('2021'!B:B,B1930,'2021'!C:C)+SUMIF('2022'!B:B,B1930,'2022'!C:C)</f>
        <v>163264.35999999999</v>
      </c>
      <c r="O1930" s="219">
        <v>44925</v>
      </c>
      <c r="P1930" s="48" t="s">
        <v>3728</v>
      </c>
    </row>
    <row r="1931" spans="1:16" x14ac:dyDescent="0.3">
      <c r="A1931" s="169">
        <f t="shared" si="150"/>
        <v>1762</v>
      </c>
      <c r="B1931" s="66" t="s">
        <v>2006</v>
      </c>
      <c r="C1931" s="184">
        <v>1968</v>
      </c>
      <c r="D1931" s="51"/>
      <c r="E1931" s="48" t="s">
        <v>3733</v>
      </c>
      <c r="F1931" s="47">
        <v>5</v>
      </c>
      <c r="G1931" s="50"/>
      <c r="H1931" s="48">
        <v>3105.6</v>
      </c>
      <c r="I1931" s="218">
        <v>119</v>
      </c>
      <c r="J1931" s="19">
        <f t="shared" si="148"/>
        <v>164480.32999999999</v>
      </c>
      <c r="K1931" s="51"/>
      <c r="L1931" s="50"/>
      <c r="M1931" s="51"/>
      <c r="N1931" s="19">
        <f>SUMIF('2020'!B:B,B1931,'2020'!C:C)+SUMIF('2021'!B:B,B1931,'2021'!C:C)+SUMIF('2022'!B:B,B1931,'2022'!C:C)</f>
        <v>164480.32999999999</v>
      </c>
      <c r="O1931" s="219">
        <v>44925</v>
      </c>
      <c r="P1931" s="48" t="s">
        <v>3728</v>
      </c>
    </row>
    <row r="1932" spans="1:16" x14ac:dyDescent="0.3">
      <c r="A1932" s="169">
        <f t="shared" si="150"/>
        <v>1763</v>
      </c>
      <c r="B1932" s="66" t="s">
        <v>2007</v>
      </c>
      <c r="C1932" s="184">
        <v>1963</v>
      </c>
      <c r="D1932" s="51"/>
      <c r="E1932" s="48" t="s">
        <v>3733</v>
      </c>
      <c r="F1932" s="47">
        <v>4</v>
      </c>
      <c r="G1932" s="50"/>
      <c r="H1932" s="48">
        <v>1300.6600000000001</v>
      </c>
      <c r="I1932" s="218">
        <v>60</v>
      </c>
      <c r="J1932" s="19">
        <f t="shared" si="148"/>
        <v>127620.91</v>
      </c>
      <c r="K1932" s="51"/>
      <c r="L1932" s="50"/>
      <c r="M1932" s="51"/>
      <c r="N1932" s="19">
        <f>SUMIF('2020'!B:B,B1932,'2020'!C:C)+SUMIF('2021'!B:B,B1932,'2021'!C:C)+SUMIF('2022'!B:B,B1932,'2022'!C:C)</f>
        <v>127620.91</v>
      </c>
      <c r="O1932" s="219">
        <v>44925</v>
      </c>
      <c r="P1932" s="48" t="s">
        <v>3728</v>
      </c>
    </row>
    <row r="1933" spans="1:16" x14ac:dyDescent="0.3">
      <c r="A1933" s="169">
        <f t="shared" si="150"/>
        <v>1764</v>
      </c>
      <c r="B1933" s="66" t="s">
        <v>2008</v>
      </c>
      <c r="C1933" s="184">
        <v>1969</v>
      </c>
      <c r="D1933" s="51"/>
      <c r="E1933" s="48" t="s">
        <v>3733</v>
      </c>
      <c r="F1933" s="47">
        <v>5</v>
      </c>
      <c r="G1933" s="50"/>
      <c r="H1933" s="48">
        <v>2454.41</v>
      </c>
      <c r="I1933" s="218">
        <v>107</v>
      </c>
      <c r="J1933" s="19">
        <f t="shared" si="148"/>
        <v>163076.89000000001</v>
      </c>
      <c r="K1933" s="51"/>
      <c r="L1933" s="50"/>
      <c r="M1933" s="51"/>
      <c r="N1933" s="19">
        <f>SUMIF('2020'!B:B,B1933,'2020'!C:C)+SUMIF('2021'!B:B,B1933,'2021'!C:C)+SUMIF('2022'!B:B,B1933,'2022'!C:C)</f>
        <v>163076.89000000001</v>
      </c>
      <c r="O1933" s="219">
        <v>44925</v>
      </c>
      <c r="P1933" s="48" t="s">
        <v>3728</v>
      </c>
    </row>
    <row r="1934" spans="1:16" x14ac:dyDescent="0.3">
      <c r="A1934" s="169">
        <f t="shared" si="150"/>
        <v>1765</v>
      </c>
      <c r="B1934" s="66" t="s">
        <v>2009</v>
      </c>
      <c r="C1934" s="184">
        <v>1963</v>
      </c>
      <c r="D1934" s="51"/>
      <c r="E1934" s="48" t="s">
        <v>3733</v>
      </c>
      <c r="F1934" s="47">
        <v>4</v>
      </c>
      <c r="G1934" s="50"/>
      <c r="H1934" s="48">
        <v>2033.72</v>
      </c>
      <c r="I1934" s="218">
        <v>88</v>
      </c>
      <c r="J1934" s="19">
        <f t="shared" si="148"/>
        <v>157616.56</v>
      </c>
      <c r="K1934" s="51"/>
      <c r="L1934" s="50"/>
      <c r="M1934" s="51"/>
      <c r="N1934" s="19">
        <f>SUMIF('2020'!B:B,B1934,'2020'!C:C)+SUMIF('2021'!B:B,B1934,'2021'!C:C)+SUMIF('2022'!B:B,B1934,'2022'!C:C)</f>
        <v>157616.56</v>
      </c>
      <c r="O1934" s="219">
        <v>44925</v>
      </c>
      <c r="P1934" s="48" t="s">
        <v>3728</v>
      </c>
    </row>
    <row r="1935" spans="1:16" x14ac:dyDescent="0.3">
      <c r="A1935" s="169">
        <f t="shared" si="150"/>
        <v>1766</v>
      </c>
      <c r="B1935" s="66" t="s">
        <v>2010</v>
      </c>
      <c r="C1935" s="184">
        <v>1965</v>
      </c>
      <c r="D1935" s="51"/>
      <c r="E1935" s="48" t="s">
        <v>3733</v>
      </c>
      <c r="F1935" s="47">
        <v>4</v>
      </c>
      <c r="G1935" s="50"/>
      <c r="H1935" s="48">
        <v>2004.81</v>
      </c>
      <c r="I1935" s="218">
        <v>82</v>
      </c>
      <c r="J1935" s="19">
        <f t="shared" si="148"/>
        <v>156496.34</v>
      </c>
      <c r="K1935" s="51"/>
      <c r="L1935" s="50"/>
      <c r="M1935" s="51"/>
      <c r="N1935" s="19">
        <f>SUMIF('2020'!B:B,B1935,'2020'!C:C)+SUMIF('2021'!B:B,B1935,'2021'!C:C)+SUMIF('2022'!B:B,B1935,'2022'!C:C)</f>
        <v>156496.34</v>
      </c>
      <c r="O1935" s="219">
        <v>44925</v>
      </c>
      <c r="P1935" s="48" t="s">
        <v>3728</v>
      </c>
    </row>
    <row r="1936" spans="1:16" x14ac:dyDescent="0.3">
      <c r="A1936" s="169">
        <f t="shared" si="150"/>
        <v>1767</v>
      </c>
      <c r="B1936" s="66" t="s">
        <v>2011</v>
      </c>
      <c r="C1936" s="184">
        <v>1974</v>
      </c>
      <c r="D1936" s="51"/>
      <c r="E1936" s="48" t="s">
        <v>3733</v>
      </c>
      <c r="F1936" s="47">
        <v>9</v>
      </c>
      <c r="G1936" s="50"/>
      <c r="H1936" s="48">
        <v>3863.11</v>
      </c>
      <c r="I1936" s="218">
        <v>147</v>
      </c>
      <c r="J1936" s="19">
        <f t="shared" si="148"/>
        <v>1799461.8399999999</v>
      </c>
      <c r="K1936" s="51"/>
      <c r="L1936" s="50"/>
      <c r="M1936" s="51"/>
      <c r="N1936" s="19">
        <f>SUMIF('2020'!B:B,B1936,'2020'!C:C)+SUMIF('2021'!B:B,B1936,'2021'!C:C)+SUMIF('2022'!B:B,B1936,'2022'!C:C)</f>
        <v>1799461.8399999999</v>
      </c>
      <c r="O1936" s="219">
        <v>44925</v>
      </c>
      <c r="P1936" s="48" t="s">
        <v>3728</v>
      </c>
    </row>
    <row r="1937" spans="1:16" x14ac:dyDescent="0.3">
      <c r="A1937" s="169">
        <f t="shared" si="150"/>
        <v>1768</v>
      </c>
      <c r="B1937" s="66" t="s">
        <v>2012</v>
      </c>
      <c r="C1937" s="184">
        <v>1978</v>
      </c>
      <c r="D1937" s="51"/>
      <c r="E1937" s="48" t="s">
        <v>3733</v>
      </c>
      <c r="F1937" s="47">
        <v>5</v>
      </c>
      <c r="G1937" s="50"/>
      <c r="H1937" s="48">
        <v>3613.7</v>
      </c>
      <c r="I1937" s="218">
        <v>166</v>
      </c>
      <c r="J1937" s="19">
        <f t="shared" si="148"/>
        <v>2665283.4</v>
      </c>
      <c r="K1937" s="51"/>
      <c r="L1937" s="50"/>
      <c r="M1937" s="51"/>
      <c r="N1937" s="19">
        <f>SUMIF('2020'!B:B,B1937,'2020'!C:C)+SUMIF('2021'!B:B,B1937,'2021'!C:C)+SUMIF('2022'!B:B,B1937,'2022'!C:C)</f>
        <v>2665283.4</v>
      </c>
      <c r="O1937" s="219">
        <v>44925</v>
      </c>
      <c r="P1937" s="48" t="s">
        <v>3728</v>
      </c>
    </row>
    <row r="1938" spans="1:16" x14ac:dyDescent="0.3">
      <c r="A1938" s="169">
        <f t="shared" si="150"/>
        <v>1769</v>
      </c>
      <c r="B1938" s="66" t="s">
        <v>2013</v>
      </c>
      <c r="C1938" s="184">
        <v>1986</v>
      </c>
      <c r="D1938" s="51"/>
      <c r="E1938" s="48" t="s">
        <v>4104</v>
      </c>
      <c r="F1938" s="47">
        <v>9</v>
      </c>
      <c r="G1938" s="50"/>
      <c r="H1938" s="48">
        <v>8025.7</v>
      </c>
      <c r="I1938" s="218">
        <v>350</v>
      </c>
      <c r="J1938" s="19">
        <f t="shared" si="148"/>
        <v>990654.57</v>
      </c>
      <c r="K1938" s="51"/>
      <c r="L1938" s="50"/>
      <c r="M1938" s="51"/>
      <c r="N1938" s="19">
        <f>SUMIF('2020'!B:B,B1938,'2020'!C:C)+SUMIF('2021'!B:B,B1938,'2021'!C:C)+SUMIF('2022'!B:B,B1938,'2022'!C:C)</f>
        <v>990654.57</v>
      </c>
      <c r="O1938" s="219">
        <v>44925</v>
      </c>
      <c r="P1938" s="48" t="s">
        <v>3728</v>
      </c>
    </row>
    <row r="1939" spans="1:16" x14ac:dyDescent="0.3">
      <c r="A1939" s="169">
        <f t="shared" si="150"/>
        <v>1770</v>
      </c>
      <c r="B1939" s="66" t="s">
        <v>2014</v>
      </c>
      <c r="C1939" s="184">
        <v>1987</v>
      </c>
      <c r="D1939" s="51"/>
      <c r="E1939" s="48" t="s">
        <v>4104</v>
      </c>
      <c r="F1939" s="47">
        <v>9</v>
      </c>
      <c r="G1939" s="50"/>
      <c r="H1939" s="48">
        <v>4014.8</v>
      </c>
      <c r="I1939" s="218">
        <v>172</v>
      </c>
      <c r="J1939" s="19">
        <f t="shared" si="148"/>
        <v>495327.28</v>
      </c>
      <c r="K1939" s="51"/>
      <c r="L1939" s="50"/>
      <c r="M1939" s="51"/>
      <c r="N1939" s="19">
        <f>SUMIF('2020'!B:B,B1939,'2020'!C:C)+SUMIF('2021'!B:B,B1939,'2021'!C:C)+SUMIF('2022'!B:B,B1939,'2022'!C:C)</f>
        <v>495327.28</v>
      </c>
      <c r="O1939" s="219">
        <v>44925</v>
      </c>
      <c r="P1939" s="48" t="s">
        <v>3728</v>
      </c>
    </row>
    <row r="1940" spans="1:16" x14ac:dyDescent="0.3">
      <c r="A1940" s="169">
        <f t="shared" si="150"/>
        <v>1771</v>
      </c>
      <c r="B1940" s="66" t="s">
        <v>2015</v>
      </c>
      <c r="C1940" s="184">
        <v>1987</v>
      </c>
      <c r="D1940" s="51"/>
      <c r="E1940" s="48" t="s">
        <v>4104</v>
      </c>
      <c r="F1940" s="47">
        <v>9</v>
      </c>
      <c r="G1940" s="50"/>
      <c r="H1940" s="48">
        <v>12017.6</v>
      </c>
      <c r="I1940" s="218">
        <v>541</v>
      </c>
      <c r="J1940" s="19">
        <f t="shared" si="148"/>
        <v>1485981.85</v>
      </c>
      <c r="K1940" s="51"/>
      <c r="L1940" s="50"/>
      <c r="M1940" s="51"/>
      <c r="N1940" s="19">
        <f>SUMIF('2020'!B:B,B1940,'2020'!C:C)+SUMIF('2021'!B:B,B1940,'2021'!C:C)+SUMIF('2022'!B:B,B1940,'2022'!C:C)</f>
        <v>1485981.85</v>
      </c>
      <c r="O1940" s="219">
        <v>44925</v>
      </c>
      <c r="P1940" s="48" t="s">
        <v>3728</v>
      </c>
    </row>
    <row r="1941" spans="1:16" x14ac:dyDescent="0.3">
      <c r="A1941" s="169">
        <f t="shared" si="150"/>
        <v>1772</v>
      </c>
      <c r="B1941" s="66" t="s">
        <v>2016</v>
      </c>
      <c r="C1941" s="184">
        <v>1948</v>
      </c>
      <c r="D1941" s="51"/>
      <c r="E1941" s="52" t="s">
        <v>3733</v>
      </c>
      <c r="F1941" s="47">
        <v>3</v>
      </c>
      <c r="G1941" s="50"/>
      <c r="H1941" s="48">
        <v>1136.9000000000001</v>
      </c>
      <c r="I1941" s="218">
        <v>58</v>
      </c>
      <c r="J1941" s="19">
        <f t="shared" si="148"/>
        <v>943208.44</v>
      </c>
      <c r="K1941" s="51"/>
      <c r="L1941" s="50"/>
      <c r="M1941" s="51"/>
      <c r="N1941" s="19">
        <f>SUMIF('2020'!B:B,B1941,'2020'!C:C)+SUMIF('2021'!B:B,B1941,'2021'!C:C)+SUMIF('2022'!B:B,B1941,'2022'!C:C)</f>
        <v>943208.44</v>
      </c>
      <c r="O1941" s="219">
        <v>44925</v>
      </c>
      <c r="P1941" s="48" t="s">
        <v>3728</v>
      </c>
    </row>
    <row r="1942" spans="1:16" x14ac:dyDescent="0.3">
      <c r="A1942" s="169">
        <f t="shared" si="150"/>
        <v>1773</v>
      </c>
      <c r="B1942" s="66" t="s">
        <v>2017</v>
      </c>
      <c r="C1942" s="184">
        <v>1916</v>
      </c>
      <c r="D1942" s="51"/>
      <c r="E1942" s="48" t="s">
        <v>4090</v>
      </c>
      <c r="F1942" s="47">
        <v>2</v>
      </c>
      <c r="G1942" s="50"/>
      <c r="H1942" s="48">
        <v>276.60000000000002</v>
      </c>
      <c r="I1942" s="218">
        <v>21</v>
      </c>
      <c r="J1942" s="19">
        <f t="shared" si="148"/>
        <v>157903.04000000001</v>
      </c>
      <c r="K1942" s="51"/>
      <c r="L1942" s="50"/>
      <c r="M1942" s="51"/>
      <c r="N1942" s="19">
        <f>SUMIF('2020'!B:B,B1942,'2020'!C:C)+SUMIF('2021'!B:B,B1942,'2021'!C:C)+SUMIF('2022'!B:B,B1942,'2022'!C:C)</f>
        <v>157903.04000000001</v>
      </c>
      <c r="O1942" s="219">
        <v>44925</v>
      </c>
      <c r="P1942" s="48" t="s">
        <v>3728</v>
      </c>
    </row>
    <row r="1943" spans="1:16" x14ac:dyDescent="0.3">
      <c r="A1943" s="169">
        <f t="shared" si="150"/>
        <v>1774</v>
      </c>
      <c r="B1943" s="66" t="s">
        <v>2018</v>
      </c>
      <c r="C1943" s="184">
        <v>1916</v>
      </c>
      <c r="D1943" s="51"/>
      <c r="E1943" s="48" t="s">
        <v>4105</v>
      </c>
      <c r="F1943" s="47">
        <v>2</v>
      </c>
      <c r="G1943" s="50"/>
      <c r="H1943" s="48">
        <v>164.2</v>
      </c>
      <c r="I1943" s="218">
        <v>11</v>
      </c>
      <c r="J1943" s="19">
        <f t="shared" si="148"/>
        <v>126960.26999999999</v>
      </c>
      <c r="K1943" s="51"/>
      <c r="L1943" s="50"/>
      <c r="M1943" s="51"/>
      <c r="N1943" s="19">
        <f>SUMIF('2020'!B:B,B1943,'2020'!C:C)+SUMIF('2021'!B:B,B1943,'2021'!C:C)+SUMIF('2022'!B:B,B1943,'2022'!C:C)</f>
        <v>126960.26999999999</v>
      </c>
      <c r="O1943" s="219">
        <v>44925</v>
      </c>
      <c r="P1943" s="48" t="s">
        <v>3728</v>
      </c>
    </row>
    <row r="1944" spans="1:16" x14ac:dyDescent="0.3">
      <c r="A1944" s="169">
        <f t="shared" si="150"/>
        <v>1775</v>
      </c>
      <c r="B1944" s="66" t="s">
        <v>2019</v>
      </c>
      <c r="C1944" s="184">
        <v>1960</v>
      </c>
      <c r="D1944" s="51"/>
      <c r="E1944" s="52" t="s">
        <v>3733</v>
      </c>
      <c r="F1944" s="47">
        <v>2</v>
      </c>
      <c r="G1944" s="50"/>
      <c r="H1944" s="48">
        <v>554.4</v>
      </c>
      <c r="I1944" s="218">
        <v>37</v>
      </c>
      <c r="J1944" s="19">
        <f t="shared" si="148"/>
        <v>130000</v>
      </c>
      <c r="K1944" s="51"/>
      <c r="L1944" s="50"/>
      <c r="M1944" s="51"/>
      <c r="N1944" s="19">
        <f>SUMIF('2020'!B:B,B1944,'2020'!C:C)+SUMIF('2021'!B:B,B1944,'2021'!C:C)+SUMIF('2022'!B:B,B1944,'2022'!C:C)</f>
        <v>130000</v>
      </c>
      <c r="O1944" s="219">
        <v>44925</v>
      </c>
      <c r="P1944" s="48" t="s">
        <v>3728</v>
      </c>
    </row>
    <row r="1945" spans="1:16" x14ac:dyDescent="0.3">
      <c r="A1945" s="169">
        <f t="shared" si="150"/>
        <v>1776</v>
      </c>
      <c r="B1945" s="66" t="s">
        <v>2020</v>
      </c>
      <c r="C1945" s="184">
        <v>1967</v>
      </c>
      <c r="D1945" s="51"/>
      <c r="E1945" s="52" t="s">
        <v>3733</v>
      </c>
      <c r="F1945" s="47">
        <v>9</v>
      </c>
      <c r="G1945" s="50"/>
      <c r="H1945" s="48">
        <v>1963</v>
      </c>
      <c r="I1945" s="218">
        <v>87</v>
      </c>
      <c r="J1945" s="19">
        <f t="shared" si="148"/>
        <v>28272057</v>
      </c>
      <c r="K1945" s="51"/>
      <c r="L1945" s="50"/>
      <c r="M1945" s="51"/>
      <c r="N1945" s="19">
        <f>SUMIF('2020'!B:B,B1945,'2020'!C:C)+SUMIF('2021'!B:B,B1945,'2021'!C:C)+SUMIF('2022'!B:B,B1945,'2022'!C:C)</f>
        <v>28272057</v>
      </c>
      <c r="O1945" s="219">
        <v>44925</v>
      </c>
      <c r="P1945" s="48" t="s">
        <v>3728</v>
      </c>
    </row>
    <row r="1946" spans="1:16" x14ac:dyDescent="0.3">
      <c r="A1946" s="169">
        <f t="shared" si="150"/>
        <v>1777</v>
      </c>
      <c r="B1946" s="66" t="s">
        <v>2021</v>
      </c>
      <c r="C1946" s="184">
        <v>1936</v>
      </c>
      <c r="D1946" s="51"/>
      <c r="E1946" s="52" t="s">
        <v>3733</v>
      </c>
      <c r="F1946" s="47">
        <v>4</v>
      </c>
      <c r="G1946" s="50"/>
      <c r="H1946" s="48">
        <v>2198.8000000000002</v>
      </c>
      <c r="I1946" s="218">
        <v>70</v>
      </c>
      <c r="J1946" s="19">
        <f t="shared" si="148"/>
        <v>1232146.54</v>
      </c>
      <c r="K1946" s="51"/>
      <c r="L1946" s="50"/>
      <c r="M1946" s="51"/>
      <c r="N1946" s="19">
        <f>SUMIF('2020'!B:B,B1946,'2020'!C:C)+SUMIF('2021'!B:B,B1946,'2021'!C:C)+SUMIF('2022'!B:B,B1946,'2022'!C:C)</f>
        <v>1232146.54</v>
      </c>
      <c r="O1946" s="219">
        <v>44925</v>
      </c>
      <c r="P1946" s="48" t="s">
        <v>3728</v>
      </c>
    </row>
    <row r="1947" spans="1:16" x14ac:dyDescent="0.3">
      <c r="A1947" s="169">
        <f t="shared" si="150"/>
        <v>1778</v>
      </c>
      <c r="B1947" s="66" t="s">
        <v>2022</v>
      </c>
      <c r="C1947" s="184">
        <v>1964</v>
      </c>
      <c r="D1947" s="51"/>
      <c r="E1947" s="48" t="s">
        <v>3733</v>
      </c>
      <c r="F1947" s="47">
        <v>4</v>
      </c>
      <c r="G1947" s="50"/>
      <c r="H1947" s="48">
        <v>2193.6</v>
      </c>
      <c r="I1947" s="218">
        <v>79</v>
      </c>
      <c r="J1947" s="19">
        <f t="shared" si="148"/>
        <v>1224376.0900000001</v>
      </c>
      <c r="K1947" s="51"/>
      <c r="L1947" s="50"/>
      <c r="M1947" s="51"/>
      <c r="N1947" s="19">
        <f>SUMIF('2020'!B:B,B1947,'2020'!C:C)+SUMIF('2021'!B:B,B1947,'2021'!C:C)+SUMIF('2022'!B:B,B1947,'2022'!C:C)</f>
        <v>1224376.0900000001</v>
      </c>
      <c r="O1947" s="219">
        <v>44925</v>
      </c>
      <c r="P1947" s="48" t="s">
        <v>3728</v>
      </c>
    </row>
    <row r="1948" spans="1:16" x14ac:dyDescent="0.3">
      <c r="A1948" s="169">
        <f t="shared" si="150"/>
        <v>1779</v>
      </c>
      <c r="B1948" s="66" t="s">
        <v>2023</v>
      </c>
      <c r="C1948" s="184">
        <v>1968</v>
      </c>
      <c r="D1948" s="51"/>
      <c r="E1948" s="48" t="s">
        <v>3733</v>
      </c>
      <c r="F1948" s="47">
        <v>9</v>
      </c>
      <c r="G1948" s="50"/>
      <c r="H1948" s="48">
        <v>1936.2</v>
      </c>
      <c r="I1948" s="218">
        <v>94</v>
      </c>
      <c r="J1948" s="19">
        <f t="shared" si="148"/>
        <v>130000</v>
      </c>
      <c r="K1948" s="51"/>
      <c r="L1948" s="50"/>
      <c r="M1948" s="51"/>
      <c r="N1948" s="19">
        <f>SUMIF('2020'!B:B,B1948,'2020'!C:C)+SUMIF('2021'!B:B,B1948,'2021'!C:C)+SUMIF('2022'!B:B,B1948,'2022'!C:C)</f>
        <v>130000</v>
      </c>
      <c r="O1948" s="219">
        <v>44925</v>
      </c>
      <c r="P1948" s="48" t="s">
        <v>3728</v>
      </c>
    </row>
    <row r="1949" spans="1:16" x14ac:dyDescent="0.3">
      <c r="A1949" s="169">
        <f t="shared" si="150"/>
        <v>1780</v>
      </c>
      <c r="B1949" s="66" t="s">
        <v>2024</v>
      </c>
      <c r="C1949" s="184">
        <v>1967</v>
      </c>
      <c r="D1949" s="51"/>
      <c r="E1949" s="48" t="s">
        <v>3733</v>
      </c>
      <c r="F1949" s="47">
        <v>9</v>
      </c>
      <c r="G1949" s="50"/>
      <c r="H1949" s="48">
        <v>1973.1</v>
      </c>
      <c r="I1949" s="218">
        <v>80</v>
      </c>
      <c r="J1949" s="19">
        <f t="shared" si="148"/>
        <v>130000</v>
      </c>
      <c r="K1949" s="51"/>
      <c r="L1949" s="50"/>
      <c r="M1949" s="51"/>
      <c r="N1949" s="19">
        <f>SUMIF('2020'!B:B,B1949,'2020'!C:C)+SUMIF('2021'!B:B,B1949,'2021'!C:C)+SUMIF('2022'!B:B,B1949,'2022'!C:C)</f>
        <v>130000</v>
      </c>
      <c r="O1949" s="219">
        <v>44925</v>
      </c>
      <c r="P1949" s="48" t="s">
        <v>3728</v>
      </c>
    </row>
    <row r="1950" spans="1:16" x14ac:dyDescent="0.3">
      <c r="A1950" s="169">
        <f t="shared" si="150"/>
        <v>1781</v>
      </c>
      <c r="B1950" s="66" t="s">
        <v>2025</v>
      </c>
      <c r="C1950" s="184">
        <v>1947</v>
      </c>
      <c r="D1950" s="51"/>
      <c r="E1950" s="48" t="s">
        <v>4090</v>
      </c>
      <c r="F1950" s="47">
        <v>2</v>
      </c>
      <c r="G1950" s="50"/>
      <c r="H1950" s="48">
        <v>183.1</v>
      </c>
      <c r="I1950" s="218">
        <v>9</v>
      </c>
      <c r="J1950" s="19">
        <f t="shared" si="148"/>
        <v>124811.03</v>
      </c>
      <c r="K1950" s="51"/>
      <c r="L1950" s="50"/>
      <c r="M1950" s="51"/>
      <c r="N1950" s="19">
        <f>SUMIF('2020'!B:B,B1950,'2020'!C:C)+SUMIF('2021'!B:B,B1950,'2021'!C:C)+SUMIF('2022'!B:B,B1950,'2022'!C:C)</f>
        <v>124811.03</v>
      </c>
      <c r="O1950" s="219">
        <v>44925</v>
      </c>
      <c r="P1950" s="48" t="s">
        <v>3728</v>
      </c>
    </row>
    <row r="1951" spans="1:16" x14ac:dyDescent="0.3">
      <c r="A1951" s="169">
        <f t="shared" si="150"/>
        <v>1782</v>
      </c>
      <c r="B1951" s="66" t="s">
        <v>2026</v>
      </c>
      <c r="C1951" s="184">
        <v>1973</v>
      </c>
      <c r="D1951" s="51"/>
      <c r="E1951" s="52" t="s">
        <v>3733</v>
      </c>
      <c r="F1951" s="47">
        <v>3</v>
      </c>
      <c r="G1951" s="50"/>
      <c r="H1951" s="48">
        <v>1105</v>
      </c>
      <c r="I1951" s="218">
        <v>55</v>
      </c>
      <c r="J1951" s="19">
        <f t="shared" si="148"/>
        <v>130000</v>
      </c>
      <c r="K1951" s="51"/>
      <c r="L1951" s="50"/>
      <c r="M1951" s="51"/>
      <c r="N1951" s="19">
        <f>SUMIF('2020'!B:B,B1951,'2020'!C:C)+SUMIF('2021'!B:B,B1951,'2021'!C:C)+SUMIF('2022'!B:B,B1951,'2022'!C:C)</f>
        <v>130000</v>
      </c>
      <c r="O1951" s="219">
        <v>44925</v>
      </c>
      <c r="P1951" s="48" t="s">
        <v>3728</v>
      </c>
    </row>
    <row r="1952" spans="1:16" x14ac:dyDescent="0.3">
      <c r="A1952" s="169">
        <f t="shared" si="150"/>
        <v>1783</v>
      </c>
      <c r="B1952" s="66" t="s">
        <v>2027</v>
      </c>
      <c r="C1952" s="184">
        <v>1963</v>
      </c>
      <c r="D1952" s="51"/>
      <c r="E1952" s="52" t="s">
        <v>3733</v>
      </c>
      <c r="F1952" s="47">
        <v>4</v>
      </c>
      <c r="G1952" s="50"/>
      <c r="H1952" s="48">
        <v>2018.03</v>
      </c>
      <c r="I1952" s="218">
        <v>84</v>
      </c>
      <c r="J1952" s="19">
        <f t="shared" si="148"/>
        <v>130000</v>
      </c>
      <c r="K1952" s="51"/>
      <c r="L1952" s="50"/>
      <c r="M1952" s="51"/>
      <c r="N1952" s="19">
        <f>SUMIF('2020'!B:B,B1952,'2020'!C:C)+SUMIF('2021'!B:B,B1952,'2021'!C:C)+SUMIF('2022'!B:B,B1952,'2022'!C:C)</f>
        <v>130000</v>
      </c>
      <c r="O1952" s="219">
        <v>44925</v>
      </c>
      <c r="P1952" s="48" t="s">
        <v>3728</v>
      </c>
    </row>
    <row r="1953" spans="1:16" x14ac:dyDescent="0.3">
      <c r="A1953" s="169">
        <f t="shared" si="150"/>
        <v>1784</v>
      </c>
      <c r="B1953" s="66" t="s">
        <v>2028</v>
      </c>
      <c r="C1953" s="184">
        <v>1964</v>
      </c>
      <c r="D1953" s="51"/>
      <c r="E1953" s="52" t="s">
        <v>3733</v>
      </c>
      <c r="F1953" s="47">
        <v>5</v>
      </c>
      <c r="G1953" s="50"/>
      <c r="H1953" s="48">
        <v>2487</v>
      </c>
      <c r="I1953" s="218">
        <v>128</v>
      </c>
      <c r="J1953" s="19">
        <f t="shared" si="148"/>
        <v>154514</v>
      </c>
      <c r="K1953" s="51"/>
      <c r="L1953" s="50"/>
      <c r="M1953" s="51"/>
      <c r="N1953" s="19">
        <f>SUMIF('2020'!B:B,B1953,'2020'!C:C)+SUMIF('2021'!B:B,B1953,'2021'!C:C)+SUMIF('2022'!B:B,B1953,'2022'!C:C)</f>
        <v>154514</v>
      </c>
      <c r="O1953" s="219">
        <v>44925</v>
      </c>
      <c r="P1953" s="48" t="s">
        <v>3728</v>
      </c>
    </row>
    <row r="1954" spans="1:16" x14ac:dyDescent="0.3">
      <c r="A1954" s="169">
        <f t="shared" si="150"/>
        <v>1785</v>
      </c>
      <c r="B1954" s="66" t="s">
        <v>2029</v>
      </c>
      <c r="C1954" s="184">
        <v>1916</v>
      </c>
      <c r="D1954" s="51"/>
      <c r="E1954" s="48" t="s">
        <v>4090</v>
      </c>
      <c r="F1954" s="47">
        <v>2</v>
      </c>
      <c r="G1954" s="50"/>
      <c r="H1954" s="48">
        <v>121.3</v>
      </c>
      <c r="I1954" s="218">
        <v>5</v>
      </c>
      <c r="J1954" s="19">
        <f t="shared" si="148"/>
        <v>984309.75</v>
      </c>
      <c r="K1954" s="51"/>
      <c r="L1954" s="50"/>
      <c r="M1954" s="51"/>
      <c r="N1954" s="19">
        <f>SUMIF('2020'!B:B,B1954,'2020'!C:C)+SUMIF('2021'!B:B,B1954,'2021'!C:C)+SUMIF('2022'!B:B,B1954,'2022'!C:C)</f>
        <v>984309.75</v>
      </c>
      <c r="O1954" s="219">
        <v>44925</v>
      </c>
      <c r="P1954" s="48" t="s">
        <v>3728</v>
      </c>
    </row>
    <row r="1955" spans="1:16" x14ac:dyDescent="0.3">
      <c r="A1955" s="169">
        <f>A1954+1</f>
        <v>1786</v>
      </c>
      <c r="B1955" s="66" t="s">
        <v>2030</v>
      </c>
      <c r="C1955" s="184">
        <v>1964</v>
      </c>
      <c r="D1955" s="51"/>
      <c r="E1955" s="48" t="s">
        <v>4106</v>
      </c>
      <c r="F1955" s="47">
        <v>5</v>
      </c>
      <c r="G1955" s="50"/>
      <c r="H1955" s="48">
        <v>3531.1</v>
      </c>
      <c r="I1955" s="218">
        <v>164</v>
      </c>
      <c r="J1955" s="19">
        <f t="shared" si="148"/>
        <v>1706916.28</v>
      </c>
      <c r="K1955" s="51"/>
      <c r="L1955" s="50"/>
      <c r="M1955" s="51"/>
      <c r="N1955" s="19">
        <f>SUMIF('2020'!B:B,B1955,'2020'!C:C)+SUMIF('2021'!B:B,B1955,'2021'!C:C)+SUMIF('2022'!B:B,B1955,'2022'!C:C)</f>
        <v>1706916.28</v>
      </c>
      <c r="O1955" s="219">
        <v>44925</v>
      </c>
      <c r="P1955" s="48" t="s">
        <v>3728</v>
      </c>
    </row>
    <row r="1956" spans="1:16" x14ac:dyDescent="0.3">
      <c r="A1956" s="169">
        <f t="shared" si="150"/>
        <v>1787</v>
      </c>
      <c r="B1956" s="66" t="s">
        <v>2031</v>
      </c>
      <c r="C1956" s="184">
        <v>1965</v>
      </c>
      <c r="D1956" s="51"/>
      <c r="E1956" s="52" t="s">
        <v>3733</v>
      </c>
      <c r="F1956" s="47">
        <v>5</v>
      </c>
      <c r="G1956" s="50"/>
      <c r="H1956" s="48">
        <v>2503.6999999999998</v>
      </c>
      <c r="I1956" s="218">
        <v>122</v>
      </c>
      <c r="J1956" s="19">
        <f t="shared" si="148"/>
        <v>130000</v>
      </c>
      <c r="K1956" s="51"/>
      <c r="L1956" s="50"/>
      <c r="M1956" s="51"/>
      <c r="N1956" s="19">
        <f>SUMIF('2020'!B:B,B1956,'2020'!C:C)+SUMIF('2021'!B:B,B1956,'2021'!C:C)+SUMIF('2022'!B:B,B1956,'2022'!C:C)</f>
        <v>130000</v>
      </c>
      <c r="O1956" s="219">
        <v>44925</v>
      </c>
      <c r="P1956" s="48" t="s">
        <v>3728</v>
      </c>
    </row>
    <row r="1957" spans="1:16" x14ac:dyDescent="0.3">
      <c r="A1957" s="169">
        <f t="shared" si="150"/>
        <v>1788</v>
      </c>
      <c r="B1957" s="66" t="s">
        <v>2032</v>
      </c>
      <c r="C1957" s="184">
        <v>1966</v>
      </c>
      <c r="D1957" s="51"/>
      <c r="E1957" s="52" t="s">
        <v>3733</v>
      </c>
      <c r="F1957" s="47">
        <v>5</v>
      </c>
      <c r="G1957" s="50"/>
      <c r="H1957" s="48">
        <v>3115.3</v>
      </c>
      <c r="I1957" s="218">
        <v>112</v>
      </c>
      <c r="J1957" s="19">
        <f t="shared" si="148"/>
        <v>130000</v>
      </c>
      <c r="K1957" s="51"/>
      <c r="L1957" s="50"/>
      <c r="M1957" s="51"/>
      <c r="N1957" s="19">
        <f>SUMIF('2020'!B:B,B1957,'2020'!C:C)+SUMIF('2021'!B:B,B1957,'2021'!C:C)+SUMIF('2022'!B:B,B1957,'2022'!C:C)</f>
        <v>130000</v>
      </c>
      <c r="O1957" s="219">
        <v>44925</v>
      </c>
      <c r="P1957" s="48" t="s">
        <v>3728</v>
      </c>
    </row>
    <row r="1958" spans="1:16" x14ac:dyDescent="0.3">
      <c r="A1958" s="169">
        <f t="shared" si="150"/>
        <v>1789</v>
      </c>
      <c r="B1958" s="66" t="s">
        <v>2033</v>
      </c>
      <c r="C1958" s="184">
        <v>1990</v>
      </c>
      <c r="D1958" s="51"/>
      <c r="E1958" s="52" t="s">
        <v>4106</v>
      </c>
      <c r="F1958" s="47">
        <v>9</v>
      </c>
      <c r="G1958" s="50"/>
      <c r="H1958" s="48">
        <v>4018.5</v>
      </c>
      <c r="I1958" s="218">
        <v>193</v>
      </c>
      <c r="J1958" s="19">
        <f t="shared" si="148"/>
        <v>495327.28</v>
      </c>
      <c r="K1958" s="51"/>
      <c r="L1958" s="50"/>
      <c r="M1958" s="51"/>
      <c r="N1958" s="19">
        <f>SUMIF('2020'!B:B,B1958,'2020'!C:C)+SUMIF('2021'!B:B,B1958,'2021'!C:C)+SUMIF('2022'!B:B,B1958,'2022'!C:C)</f>
        <v>495327.28</v>
      </c>
      <c r="O1958" s="219">
        <v>44925</v>
      </c>
      <c r="P1958" s="48" t="s">
        <v>3728</v>
      </c>
    </row>
    <row r="1959" spans="1:16" x14ac:dyDescent="0.3">
      <c r="A1959" s="169">
        <f t="shared" si="150"/>
        <v>1790</v>
      </c>
      <c r="B1959" s="66" t="s">
        <v>2034</v>
      </c>
      <c r="C1959" s="184">
        <v>1986</v>
      </c>
      <c r="D1959" s="51"/>
      <c r="E1959" s="52" t="s">
        <v>4106</v>
      </c>
      <c r="F1959" s="47">
        <v>9</v>
      </c>
      <c r="G1959" s="50"/>
      <c r="H1959" s="48">
        <v>12986.58</v>
      </c>
      <c r="I1959" s="218">
        <v>705</v>
      </c>
      <c r="J1959" s="19">
        <f t="shared" si="148"/>
        <v>1733645.49</v>
      </c>
      <c r="K1959" s="51"/>
      <c r="L1959" s="50"/>
      <c r="M1959" s="51"/>
      <c r="N1959" s="19">
        <f>SUMIF('2020'!B:B,B1959,'2020'!C:C)+SUMIF('2021'!B:B,B1959,'2021'!C:C)+SUMIF('2022'!B:B,B1959,'2022'!C:C)</f>
        <v>1733645.49</v>
      </c>
      <c r="O1959" s="219">
        <v>44925</v>
      </c>
      <c r="P1959" s="48" t="s">
        <v>3728</v>
      </c>
    </row>
    <row r="1960" spans="1:16" x14ac:dyDescent="0.3">
      <c r="A1960" s="169">
        <f t="shared" si="150"/>
        <v>1791</v>
      </c>
      <c r="B1960" s="66" t="s">
        <v>2035</v>
      </c>
      <c r="C1960" s="184">
        <v>1988</v>
      </c>
      <c r="D1960" s="51"/>
      <c r="E1960" s="52" t="s">
        <v>4106</v>
      </c>
      <c r="F1960" s="47">
        <v>9</v>
      </c>
      <c r="G1960" s="50"/>
      <c r="H1960" s="48">
        <v>14504.9</v>
      </c>
      <c r="I1960" s="218">
        <v>711</v>
      </c>
      <c r="J1960" s="19">
        <f t="shared" si="148"/>
        <v>1733645.49</v>
      </c>
      <c r="K1960" s="51"/>
      <c r="L1960" s="50"/>
      <c r="M1960" s="51"/>
      <c r="N1960" s="19">
        <f>SUMIF('2020'!B:B,B1960,'2020'!C:C)+SUMIF('2021'!B:B,B1960,'2021'!C:C)+SUMIF('2022'!B:B,B1960,'2022'!C:C)</f>
        <v>1733645.49</v>
      </c>
      <c r="O1960" s="219">
        <v>44925</v>
      </c>
      <c r="P1960" s="48" t="s">
        <v>3728</v>
      </c>
    </row>
    <row r="1961" spans="1:16" x14ac:dyDescent="0.3">
      <c r="A1961" s="169">
        <f t="shared" si="150"/>
        <v>1792</v>
      </c>
      <c r="B1961" s="66" t="s">
        <v>2036</v>
      </c>
      <c r="C1961" s="184">
        <v>1981</v>
      </c>
      <c r="D1961" s="51"/>
      <c r="E1961" s="52" t="s">
        <v>4106</v>
      </c>
      <c r="F1961" s="47">
        <v>9</v>
      </c>
      <c r="G1961" s="50"/>
      <c r="H1961" s="48">
        <v>9763.7999999999993</v>
      </c>
      <c r="I1961" s="218">
        <v>584</v>
      </c>
      <c r="J1961" s="19">
        <f t="shared" si="148"/>
        <v>1238318.21</v>
      </c>
      <c r="K1961" s="51"/>
      <c r="L1961" s="50"/>
      <c r="M1961" s="51"/>
      <c r="N1961" s="19">
        <f>SUMIF('2020'!B:B,B1961,'2020'!C:C)+SUMIF('2021'!B:B,B1961,'2021'!C:C)+SUMIF('2022'!B:B,B1961,'2022'!C:C)</f>
        <v>1238318.21</v>
      </c>
      <c r="O1961" s="219">
        <v>44925</v>
      </c>
      <c r="P1961" s="48" t="s">
        <v>3728</v>
      </c>
    </row>
    <row r="1962" spans="1:16" x14ac:dyDescent="0.3">
      <c r="A1962" s="169">
        <f t="shared" si="150"/>
        <v>1793</v>
      </c>
      <c r="B1962" s="66" t="s">
        <v>2037</v>
      </c>
      <c r="C1962" s="184">
        <v>1989</v>
      </c>
      <c r="D1962" s="51"/>
      <c r="E1962" s="52" t="s">
        <v>4106</v>
      </c>
      <c r="F1962" s="47">
        <v>9</v>
      </c>
      <c r="G1962" s="50"/>
      <c r="H1962" s="48">
        <v>5976.9</v>
      </c>
      <c r="I1962" s="218">
        <v>242</v>
      </c>
      <c r="J1962" s="19">
        <f t="shared" si="148"/>
        <v>742990.93</v>
      </c>
      <c r="K1962" s="51"/>
      <c r="L1962" s="50"/>
      <c r="M1962" s="51"/>
      <c r="N1962" s="19">
        <f>SUMIF('2020'!B:B,B1962,'2020'!C:C)+SUMIF('2021'!B:B,B1962,'2021'!C:C)+SUMIF('2022'!B:B,B1962,'2022'!C:C)</f>
        <v>742990.93</v>
      </c>
      <c r="O1962" s="219">
        <v>44925</v>
      </c>
      <c r="P1962" s="48" t="s">
        <v>3728</v>
      </c>
    </row>
    <row r="1963" spans="1:16" x14ac:dyDescent="0.3">
      <c r="A1963" s="169">
        <f t="shared" si="150"/>
        <v>1794</v>
      </c>
      <c r="B1963" s="66" t="s">
        <v>2038</v>
      </c>
      <c r="C1963" s="184">
        <v>1986</v>
      </c>
      <c r="D1963" s="51"/>
      <c r="E1963" s="52" t="s">
        <v>4106</v>
      </c>
      <c r="F1963" s="47">
        <v>9</v>
      </c>
      <c r="G1963" s="50"/>
      <c r="H1963" s="48">
        <v>11470.51</v>
      </c>
      <c r="I1963" s="218">
        <v>637</v>
      </c>
      <c r="J1963" s="19">
        <f t="shared" si="148"/>
        <v>1485981.85</v>
      </c>
      <c r="K1963" s="51"/>
      <c r="L1963" s="50"/>
      <c r="M1963" s="51"/>
      <c r="N1963" s="19">
        <f>SUMIF('2020'!B:B,B1963,'2020'!C:C)+SUMIF('2021'!B:B,B1963,'2021'!C:C)+SUMIF('2022'!B:B,B1963,'2022'!C:C)</f>
        <v>1485981.85</v>
      </c>
      <c r="O1963" s="219">
        <v>44925</v>
      </c>
      <c r="P1963" s="48" t="s">
        <v>3728</v>
      </c>
    </row>
    <row r="1964" spans="1:16" x14ac:dyDescent="0.3">
      <c r="A1964" s="220"/>
      <c r="B1964" s="242" t="s">
        <v>211</v>
      </c>
      <c r="C1964" s="50"/>
      <c r="D1964" s="50"/>
      <c r="E1964" s="48"/>
      <c r="F1964" s="48"/>
      <c r="G1964" s="50"/>
      <c r="H1964" s="48">
        <f>SUM(H1921:H1963)</f>
        <v>143903.69000000003</v>
      </c>
      <c r="I1964" s="218">
        <f>SUM(I1921:I1963)</f>
        <v>6804</v>
      </c>
      <c r="J1964" s="19">
        <f t="shared" si="148"/>
        <v>52944241.570000008</v>
      </c>
      <c r="K1964" s="50">
        <v>0</v>
      </c>
      <c r="L1964" s="50">
        <v>0</v>
      </c>
      <c r="M1964" s="50">
        <v>0</v>
      </c>
      <c r="N1964" s="50">
        <f>SUM(N1921:N1963)</f>
        <v>52944241.570000008</v>
      </c>
      <c r="O1964" s="50"/>
      <c r="P1964" s="50"/>
    </row>
    <row r="1965" spans="1:16" x14ac:dyDescent="0.3">
      <c r="A1965" s="461" t="s">
        <v>2039</v>
      </c>
      <c r="B1965" s="462"/>
      <c r="C1965" s="50"/>
      <c r="D1965" s="51"/>
      <c r="E1965" s="52"/>
      <c r="F1965" s="52"/>
      <c r="G1965" s="50"/>
      <c r="H1965" s="48"/>
      <c r="I1965" s="52"/>
      <c r="J1965" s="19"/>
      <c r="K1965" s="51"/>
      <c r="L1965" s="50"/>
      <c r="M1965" s="51"/>
      <c r="N1965" s="51"/>
      <c r="O1965" s="50"/>
      <c r="P1965" s="50"/>
    </row>
    <row r="1966" spans="1:16" x14ac:dyDescent="0.3">
      <c r="A1966" s="169">
        <f>A1963+1</f>
        <v>1795</v>
      </c>
      <c r="B1966" s="66" t="s">
        <v>2040</v>
      </c>
      <c r="C1966" s="184">
        <v>1974</v>
      </c>
      <c r="D1966" s="51"/>
      <c r="E1966" s="52" t="s">
        <v>3733</v>
      </c>
      <c r="F1966" s="47">
        <v>2</v>
      </c>
      <c r="G1966" s="50"/>
      <c r="H1966" s="48">
        <v>333.8</v>
      </c>
      <c r="I1966" s="47">
        <v>14</v>
      </c>
      <c r="J1966" s="19">
        <f t="shared" si="148"/>
        <v>2308136.4</v>
      </c>
      <c r="K1966" s="51"/>
      <c r="L1966" s="50"/>
      <c r="M1966" s="51"/>
      <c r="N1966" s="19">
        <f>SUMIF('2020'!B:B,B1966,'2020'!C:C)+SUMIF('2021'!B:B,B1966,'2021'!C:C)+SUMIF('2022'!B:B,B1966,'2022'!C:C)</f>
        <v>2308136.4</v>
      </c>
      <c r="O1966" s="219">
        <v>44925</v>
      </c>
      <c r="P1966" s="48" t="s">
        <v>3728</v>
      </c>
    </row>
    <row r="1967" spans="1:16" x14ac:dyDescent="0.3">
      <c r="A1967" s="169">
        <f t="shared" ref="A1967" si="151">A1966+1</f>
        <v>1796</v>
      </c>
      <c r="B1967" s="66" t="s">
        <v>2041</v>
      </c>
      <c r="C1967" s="184">
        <v>1989</v>
      </c>
      <c r="D1967" s="51"/>
      <c r="E1967" s="52" t="s">
        <v>4107</v>
      </c>
      <c r="F1967" s="47">
        <v>3</v>
      </c>
      <c r="G1967" s="50"/>
      <c r="H1967" s="48">
        <v>1454.1</v>
      </c>
      <c r="I1967" s="47">
        <v>54</v>
      </c>
      <c r="J1967" s="19">
        <f t="shared" si="148"/>
        <v>81159</v>
      </c>
      <c r="K1967" s="51"/>
      <c r="L1967" s="50"/>
      <c r="M1967" s="51"/>
      <c r="N1967" s="19">
        <f>SUMIF('2020'!B:B,B1967,'2020'!C:C)+SUMIF('2021'!B:B,B1967,'2021'!C:C)+SUMIF('2022'!B:B,B1967,'2022'!C:C)</f>
        <v>81159</v>
      </c>
      <c r="O1967" s="219">
        <v>44925</v>
      </c>
      <c r="P1967" s="48" t="s">
        <v>2042</v>
      </c>
    </row>
    <row r="1968" spans="1:16" x14ac:dyDescent="0.3">
      <c r="A1968" s="59"/>
      <c r="B1968" s="242" t="s">
        <v>211</v>
      </c>
      <c r="C1968" s="50"/>
      <c r="D1968" s="50"/>
      <c r="E1968" s="48"/>
      <c r="F1968" s="48"/>
      <c r="G1968" s="50"/>
      <c r="H1968" s="48">
        <f>SUM(H1966:H1967)</f>
        <v>1787.8999999999999</v>
      </c>
      <c r="I1968" s="47">
        <f t="shared" ref="I1968:N1968" si="152">SUM(I1966:I1967)</f>
        <v>68</v>
      </c>
      <c r="J1968" s="19">
        <f t="shared" si="148"/>
        <v>2389295.4</v>
      </c>
      <c r="K1968" s="48">
        <f t="shared" si="152"/>
        <v>0</v>
      </c>
      <c r="L1968" s="48">
        <f t="shared" si="152"/>
        <v>0</v>
      </c>
      <c r="M1968" s="48">
        <f>N1968-'2020'!C402</f>
        <v>0</v>
      </c>
      <c r="N1968" s="48">
        <f t="shared" si="152"/>
        <v>2389295.4</v>
      </c>
      <c r="O1968" s="50"/>
      <c r="P1968" s="50"/>
    </row>
    <row r="1969" spans="1:16" x14ac:dyDescent="0.3">
      <c r="A1969" s="463" t="s">
        <v>2043</v>
      </c>
      <c r="B1969" s="463"/>
      <c r="C1969" s="50"/>
      <c r="D1969" s="51"/>
      <c r="E1969" s="52"/>
      <c r="F1969" s="52"/>
      <c r="G1969" s="50"/>
      <c r="H1969" s="48"/>
      <c r="I1969" s="52"/>
      <c r="J1969" s="19"/>
      <c r="K1969" s="51"/>
      <c r="L1969" s="50"/>
      <c r="M1969" s="51"/>
      <c r="N1969" s="51"/>
      <c r="O1969" s="50"/>
      <c r="P1969" s="50"/>
    </row>
    <row r="1970" spans="1:16" x14ac:dyDescent="0.3">
      <c r="A1970" s="169">
        <f>A1967+1</f>
        <v>1797</v>
      </c>
      <c r="B1970" s="66" t="s">
        <v>2044</v>
      </c>
      <c r="C1970" s="184">
        <v>1970</v>
      </c>
      <c r="D1970" s="51"/>
      <c r="E1970" s="52" t="s">
        <v>3733</v>
      </c>
      <c r="F1970" s="47">
        <v>2</v>
      </c>
      <c r="G1970" s="50"/>
      <c r="H1970" s="48">
        <v>546.20000000000005</v>
      </c>
      <c r="I1970" s="47">
        <v>39</v>
      </c>
      <c r="J1970" s="19">
        <f t="shared" si="148"/>
        <v>9466984.8000000007</v>
      </c>
      <c r="K1970" s="51"/>
      <c r="L1970" s="50"/>
      <c r="M1970" s="51"/>
      <c r="N1970" s="19">
        <f>SUMIF('2020'!B:B,B1970,'2020'!C:C)+SUMIF('2021'!B:B,B1970,'2021'!C:C)+SUMIF('2022'!B:B,B1970,'2022'!C:C)</f>
        <v>9466984.8000000007</v>
      </c>
      <c r="O1970" s="219">
        <v>44925</v>
      </c>
      <c r="P1970" s="48" t="s">
        <v>3728</v>
      </c>
    </row>
    <row r="1971" spans="1:16" x14ac:dyDescent="0.3">
      <c r="A1971" s="169">
        <f t="shared" ref="A1971:A1976" si="153">A1970+1</f>
        <v>1798</v>
      </c>
      <c r="B1971" s="66" t="s">
        <v>2045</v>
      </c>
      <c r="C1971" s="184">
        <v>1980</v>
      </c>
      <c r="D1971" s="51"/>
      <c r="E1971" s="52" t="s">
        <v>3733</v>
      </c>
      <c r="F1971" s="47">
        <v>2</v>
      </c>
      <c r="G1971" s="50"/>
      <c r="H1971" s="48">
        <v>912.7</v>
      </c>
      <c r="I1971" s="47">
        <v>38</v>
      </c>
      <c r="J1971" s="19">
        <f t="shared" si="148"/>
        <v>964008.39</v>
      </c>
      <c r="K1971" s="51"/>
      <c r="L1971" s="50"/>
      <c r="M1971" s="51"/>
      <c r="N1971" s="19">
        <f>SUMIF('2020'!B:B,B1971,'2020'!C:C)+SUMIF('2021'!B:B,B1971,'2021'!C:C)+SUMIF('2022'!B:B,B1971,'2022'!C:C)</f>
        <v>964008.39</v>
      </c>
      <c r="O1971" s="219">
        <v>44925</v>
      </c>
      <c r="P1971" s="48" t="s">
        <v>3728</v>
      </c>
    </row>
    <row r="1972" spans="1:16" x14ac:dyDescent="0.3">
      <c r="A1972" s="169">
        <f t="shared" si="153"/>
        <v>1799</v>
      </c>
      <c r="B1972" s="66" t="s">
        <v>2046</v>
      </c>
      <c r="C1972" s="184">
        <v>1973</v>
      </c>
      <c r="D1972" s="51"/>
      <c r="E1972" s="52" t="s">
        <v>3733</v>
      </c>
      <c r="F1972" s="47">
        <v>2</v>
      </c>
      <c r="G1972" s="50"/>
      <c r="H1972" s="48">
        <v>748</v>
      </c>
      <c r="I1972" s="47">
        <v>48</v>
      </c>
      <c r="J1972" s="19">
        <f t="shared" si="148"/>
        <v>11083478.4</v>
      </c>
      <c r="K1972" s="51"/>
      <c r="L1972" s="50"/>
      <c r="M1972" s="51"/>
      <c r="N1972" s="19">
        <f>SUMIF('2020'!B:B,B1972,'2020'!C:C)+SUMIF('2021'!B:B,B1972,'2021'!C:C)+SUMIF('2022'!B:B,B1972,'2022'!C:C)</f>
        <v>11083478.4</v>
      </c>
      <c r="O1972" s="219">
        <v>44925</v>
      </c>
      <c r="P1972" s="48" t="s">
        <v>3728</v>
      </c>
    </row>
    <row r="1973" spans="1:16" x14ac:dyDescent="0.3">
      <c r="A1973" s="169">
        <f t="shared" si="153"/>
        <v>1800</v>
      </c>
      <c r="B1973" s="66" t="s">
        <v>2047</v>
      </c>
      <c r="C1973" s="184">
        <v>1974</v>
      </c>
      <c r="D1973" s="51"/>
      <c r="E1973" s="52" t="s">
        <v>3733</v>
      </c>
      <c r="F1973" s="47">
        <v>2</v>
      </c>
      <c r="G1973" s="50"/>
      <c r="H1973" s="48">
        <v>713.6</v>
      </c>
      <c r="I1973" s="47">
        <v>39</v>
      </c>
      <c r="J1973" s="19">
        <f t="shared" si="148"/>
        <v>9907411.5399999991</v>
      </c>
      <c r="K1973" s="51"/>
      <c r="L1973" s="50"/>
      <c r="M1973" s="51"/>
      <c r="N1973" s="19">
        <f>SUMIF('2020'!B:B,B1973,'2020'!C:C)+SUMIF('2021'!B:B,B1973,'2021'!C:C)+SUMIF('2022'!B:B,B1973,'2022'!C:C)</f>
        <v>9907411.5399999991</v>
      </c>
      <c r="O1973" s="219">
        <v>44925</v>
      </c>
      <c r="P1973" s="48" t="s">
        <v>3728</v>
      </c>
    </row>
    <row r="1974" spans="1:16" x14ac:dyDescent="0.3">
      <c r="A1974" s="169">
        <f t="shared" si="153"/>
        <v>1801</v>
      </c>
      <c r="B1974" s="66" t="s">
        <v>2048</v>
      </c>
      <c r="C1974" s="184">
        <v>1970</v>
      </c>
      <c r="D1974" s="51"/>
      <c r="E1974" s="52" t="s">
        <v>3733</v>
      </c>
      <c r="F1974" s="47">
        <v>2</v>
      </c>
      <c r="G1974" s="50"/>
      <c r="H1974" s="48">
        <v>516.29999999999995</v>
      </c>
      <c r="I1974" s="47">
        <v>21</v>
      </c>
      <c r="J1974" s="19">
        <f t="shared" si="148"/>
        <v>879324.58</v>
      </c>
      <c r="K1974" s="51"/>
      <c r="L1974" s="50"/>
      <c r="M1974" s="51"/>
      <c r="N1974" s="19">
        <f>SUMIF('2020'!B:B,B1974,'2020'!C:C)+SUMIF('2021'!B:B,B1974,'2021'!C:C)+SUMIF('2022'!B:B,B1974,'2022'!C:C)</f>
        <v>879324.58</v>
      </c>
      <c r="O1974" s="219">
        <v>44925</v>
      </c>
      <c r="P1974" s="48" t="s">
        <v>3728</v>
      </c>
    </row>
    <row r="1975" spans="1:16" x14ac:dyDescent="0.3">
      <c r="A1975" s="169">
        <f t="shared" si="153"/>
        <v>1802</v>
      </c>
      <c r="B1975" s="66" t="s">
        <v>2049</v>
      </c>
      <c r="C1975" s="184">
        <v>1981</v>
      </c>
      <c r="D1975" s="51"/>
      <c r="E1975" s="52" t="s">
        <v>3733</v>
      </c>
      <c r="F1975" s="47">
        <v>3</v>
      </c>
      <c r="G1975" s="50"/>
      <c r="H1975" s="48">
        <v>1281.4000000000001</v>
      </c>
      <c r="I1975" s="47">
        <v>72</v>
      </c>
      <c r="J1975" s="19">
        <f t="shared" si="148"/>
        <v>14470517.59</v>
      </c>
      <c r="K1975" s="51"/>
      <c r="L1975" s="50"/>
      <c r="M1975" s="51"/>
      <c r="N1975" s="19">
        <f>SUMIF('2020'!B:B,B1975,'2020'!C:C)+SUMIF('2021'!B:B,B1975,'2021'!C:C)+SUMIF('2022'!B:B,B1975,'2022'!C:C)</f>
        <v>14470517.59</v>
      </c>
      <c r="O1975" s="219">
        <v>44925</v>
      </c>
      <c r="P1975" s="48" t="s">
        <v>3728</v>
      </c>
    </row>
    <row r="1976" spans="1:16" x14ac:dyDescent="0.3">
      <c r="A1976" s="169">
        <f t="shared" si="153"/>
        <v>1803</v>
      </c>
      <c r="B1976" s="66" t="s">
        <v>2050</v>
      </c>
      <c r="C1976" s="184">
        <v>1975</v>
      </c>
      <c r="D1976" s="51"/>
      <c r="E1976" s="52" t="s">
        <v>3733</v>
      </c>
      <c r="F1976" s="47">
        <v>2</v>
      </c>
      <c r="G1976" s="50"/>
      <c r="H1976" s="48">
        <v>334</v>
      </c>
      <c r="I1976" s="47">
        <v>21</v>
      </c>
      <c r="J1976" s="19">
        <f t="shared" si="148"/>
        <v>4323578.4400000004</v>
      </c>
      <c r="K1976" s="51"/>
      <c r="L1976" s="50"/>
      <c r="M1976" s="51"/>
      <c r="N1976" s="19">
        <f>SUMIF('2020'!B:B,B1976,'2020'!C:C)+SUMIF('2021'!B:B,B1976,'2021'!C:C)+SUMIF('2022'!B:B,B1976,'2022'!C:C)</f>
        <v>4323578.4400000004</v>
      </c>
      <c r="O1976" s="219">
        <v>44925</v>
      </c>
      <c r="P1976" s="48" t="s">
        <v>3728</v>
      </c>
    </row>
    <row r="1977" spans="1:16" x14ac:dyDescent="0.3">
      <c r="A1977" s="39"/>
      <c r="B1977" s="66" t="s">
        <v>211</v>
      </c>
      <c r="C1977" s="62"/>
      <c r="D1977" s="62"/>
      <c r="E1977" s="48"/>
      <c r="F1977" s="48"/>
      <c r="G1977" s="62"/>
      <c r="H1977" s="48">
        <f>SUM(H1970:H1976)</f>
        <v>5052.2000000000007</v>
      </c>
      <c r="I1977" s="47">
        <f t="shared" ref="I1977:N1977" si="154">SUM(I1970:I1976)</f>
        <v>278</v>
      </c>
      <c r="J1977" s="19">
        <f t="shared" ref="J1977" si="155">K1977+L1977+M1977+N1977</f>
        <v>51095303.739999995</v>
      </c>
      <c r="K1977" s="48">
        <f t="shared" si="154"/>
        <v>0</v>
      </c>
      <c r="L1977" s="48">
        <f t="shared" si="154"/>
        <v>0</v>
      </c>
      <c r="M1977" s="48">
        <f>N1977-'2020'!C407-'2021'!C1665-'2022'!C471</f>
        <v>0</v>
      </c>
      <c r="N1977" s="48">
        <f t="shared" si="154"/>
        <v>51095303.739999995</v>
      </c>
      <c r="O1977" s="62"/>
      <c r="P1977" s="62"/>
    </row>
    <row r="1978" spans="1:16" s="160" customFormat="1" x14ac:dyDescent="0.3">
      <c r="A1978" s="240"/>
      <c r="B1978" s="148" t="s">
        <v>2051</v>
      </c>
      <c r="C1978" s="67"/>
      <c r="D1978" s="67"/>
      <c r="E1978" s="172"/>
      <c r="F1978" s="172"/>
      <c r="G1978" s="67"/>
      <c r="H1978" s="172"/>
      <c r="I1978" s="172"/>
      <c r="J1978" s="67">
        <f t="shared" ref="J1978:M1978" si="156">J1977+J1968+J1964+J1919</f>
        <v>118761604.05000001</v>
      </c>
      <c r="K1978" s="67">
        <f t="shared" si="156"/>
        <v>0</v>
      </c>
      <c r="L1978" s="67">
        <f t="shared" si="156"/>
        <v>0</v>
      </c>
      <c r="M1978" s="67">
        <f t="shared" si="156"/>
        <v>0</v>
      </c>
      <c r="N1978" s="67">
        <f>N1977+N1968+N1964+N1919</f>
        <v>118761604.05000001</v>
      </c>
      <c r="O1978" s="67"/>
      <c r="P1978" s="67"/>
    </row>
    <row r="1979" spans="1:16" s="160" customFormat="1" x14ac:dyDescent="0.3">
      <c r="A1979" s="464" t="s">
        <v>2052</v>
      </c>
      <c r="B1979" s="465"/>
      <c r="C1979" s="465"/>
      <c r="D1979" s="465"/>
      <c r="E1979" s="465"/>
      <c r="F1979" s="465"/>
      <c r="G1979" s="465"/>
      <c r="H1979" s="465"/>
      <c r="I1979" s="465"/>
      <c r="J1979" s="465"/>
      <c r="K1979" s="465"/>
      <c r="L1979" s="465"/>
      <c r="M1979" s="465"/>
      <c r="N1979" s="465"/>
      <c r="O1979" s="465"/>
      <c r="P1979" s="466"/>
    </row>
    <row r="1980" spans="1:16" x14ac:dyDescent="0.3">
      <c r="A1980" s="461" t="s">
        <v>2053</v>
      </c>
      <c r="B1980" s="462"/>
      <c r="C1980" s="50"/>
      <c r="D1980" s="51"/>
      <c r="E1980" s="52"/>
      <c r="F1980" s="52"/>
      <c r="G1980" s="51"/>
      <c r="H1980" s="52"/>
      <c r="I1980" s="52"/>
      <c r="J1980" s="51"/>
      <c r="K1980" s="51"/>
      <c r="L1980" s="50"/>
      <c r="M1980" s="51"/>
      <c r="N1980" s="51"/>
      <c r="O1980" s="50"/>
      <c r="P1980" s="50"/>
    </row>
    <row r="1981" spans="1:16" x14ac:dyDescent="0.3">
      <c r="A1981" s="169">
        <f>A1976+1</f>
        <v>1804</v>
      </c>
      <c r="B1981" s="66" t="s">
        <v>2054</v>
      </c>
      <c r="C1981" s="184">
        <v>1930</v>
      </c>
      <c r="D1981" s="51"/>
      <c r="E1981" s="48" t="s">
        <v>4090</v>
      </c>
      <c r="F1981" s="47">
        <v>2</v>
      </c>
      <c r="G1981" s="51"/>
      <c r="H1981" s="52">
        <v>161.30000000000001</v>
      </c>
      <c r="I1981" s="47">
        <v>9</v>
      </c>
      <c r="J1981" s="19">
        <f t="shared" ref="J1981:J2044" si="157">K1981+L1981+M1981+N1981</f>
        <v>535122.66999999993</v>
      </c>
      <c r="K1981" s="51"/>
      <c r="L1981" s="50"/>
      <c r="M1981" s="51"/>
      <c r="N1981" s="19">
        <f>SUMIF('2020'!B:B,B1981,'2020'!C:C)+SUMIF('2021'!B:B,B1981,'2021'!C:C)+SUMIF('2022'!B:B,B1981,'2022'!C:C)</f>
        <v>535122.66999999993</v>
      </c>
      <c r="O1981" s="219">
        <v>44925</v>
      </c>
      <c r="P1981" s="48" t="s">
        <v>3728</v>
      </c>
    </row>
    <row r="1982" spans="1:16" x14ac:dyDescent="0.3">
      <c r="A1982" s="169">
        <f t="shared" ref="A1982:A1983" si="158">A1981+1</f>
        <v>1805</v>
      </c>
      <c r="B1982" s="66" t="s">
        <v>2056</v>
      </c>
      <c r="C1982" s="184">
        <v>1929</v>
      </c>
      <c r="D1982" s="51"/>
      <c r="E1982" s="48" t="s">
        <v>4090</v>
      </c>
      <c r="F1982" s="47">
        <v>2</v>
      </c>
      <c r="G1982" s="51"/>
      <c r="H1982" s="52">
        <v>129.69999999999999</v>
      </c>
      <c r="I1982" s="47">
        <v>2</v>
      </c>
      <c r="J1982" s="19">
        <f t="shared" si="157"/>
        <v>500396.4</v>
      </c>
      <c r="K1982" s="51"/>
      <c r="L1982" s="50"/>
      <c r="M1982" s="51"/>
      <c r="N1982" s="19">
        <f>SUMIF('2020'!B:B,B1982,'2020'!C:C)+SUMIF('2021'!B:B,B1982,'2021'!C:C)+SUMIF('2022'!B:B,B1982,'2022'!C:C)</f>
        <v>500396.4</v>
      </c>
      <c r="O1982" s="219">
        <v>44925</v>
      </c>
      <c r="P1982" s="48" t="s">
        <v>3728</v>
      </c>
    </row>
    <row r="1983" spans="1:16" x14ac:dyDescent="0.3">
      <c r="A1983" s="169">
        <f t="shared" si="158"/>
        <v>1806</v>
      </c>
      <c r="B1983" s="66" t="s">
        <v>2057</v>
      </c>
      <c r="C1983" s="184">
        <v>1948</v>
      </c>
      <c r="D1983" s="51"/>
      <c r="E1983" s="48" t="s">
        <v>4090</v>
      </c>
      <c r="F1983" s="47">
        <v>2</v>
      </c>
      <c r="G1983" s="51"/>
      <c r="H1983" s="52">
        <v>187.6</v>
      </c>
      <c r="I1983" s="47">
        <v>8</v>
      </c>
      <c r="J1983" s="19">
        <f t="shared" si="157"/>
        <v>420437.54000000004</v>
      </c>
      <c r="K1983" s="51"/>
      <c r="L1983" s="50"/>
      <c r="M1983" s="51"/>
      <c r="N1983" s="19">
        <f>SUMIF('2020'!B:B,B1983,'2020'!C:C)+SUMIF('2021'!B:B,B1983,'2021'!C:C)+SUMIF('2022'!B:B,B1983,'2022'!C:C)</f>
        <v>420437.54000000004</v>
      </c>
      <c r="O1983" s="219">
        <v>44925</v>
      </c>
      <c r="P1983" s="48" t="s">
        <v>3728</v>
      </c>
    </row>
    <row r="1984" spans="1:16" x14ac:dyDescent="0.3">
      <c r="A1984" s="220"/>
      <c r="B1984" s="242" t="s">
        <v>211</v>
      </c>
      <c r="C1984" s="50"/>
      <c r="D1984" s="50"/>
      <c r="E1984" s="48"/>
      <c r="F1984" s="47"/>
      <c r="G1984" s="50"/>
      <c r="H1984" s="48">
        <f>SUM(H1981:H1983)</f>
        <v>478.6</v>
      </c>
      <c r="I1984" s="47">
        <f>SUM(I1981:I1983)</f>
        <v>19</v>
      </c>
      <c r="J1984" s="19">
        <f t="shared" si="157"/>
        <v>1455956.6099999999</v>
      </c>
      <c r="K1984" s="50">
        <v>0</v>
      </c>
      <c r="L1984" s="50">
        <v>0</v>
      </c>
      <c r="M1984" s="50">
        <v>0</v>
      </c>
      <c r="N1984" s="50">
        <f>SUM(N1981:N1983)</f>
        <v>1455956.6099999999</v>
      </c>
      <c r="O1984" s="50"/>
      <c r="P1984" s="50"/>
    </row>
    <row r="1985" spans="1:16" x14ac:dyDescent="0.3">
      <c r="A1985" s="461" t="s">
        <v>2059</v>
      </c>
      <c r="B1985" s="462"/>
      <c r="C1985" s="50"/>
      <c r="D1985" s="51"/>
      <c r="E1985" s="52"/>
      <c r="F1985" s="52"/>
      <c r="G1985" s="51"/>
      <c r="H1985" s="52"/>
      <c r="I1985" s="52"/>
      <c r="J1985" s="19"/>
      <c r="K1985" s="51"/>
      <c r="L1985" s="50"/>
      <c r="M1985" s="51"/>
      <c r="N1985" s="51"/>
      <c r="O1985" s="50"/>
      <c r="P1985" s="50"/>
    </row>
    <row r="1986" spans="1:16" x14ac:dyDescent="0.3">
      <c r="A1986" s="169">
        <f>A1981+1</f>
        <v>1805</v>
      </c>
      <c r="B1986" s="66" t="s">
        <v>146</v>
      </c>
      <c r="C1986" s="184">
        <v>1971</v>
      </c>
      <c r="D1986" s="51"/>
      <c r="E1986" s="48" t="s">
        <v>3733</v>
      </c>
      <c r="F1986" s="47">
        <v>2</v>
      </c>
      <c r="G1986" s="58"/>
      <c r="H1986" s="59">
        <v>547.20000000000005</v>
      </c>
      <c r="I1986" s="47">
        <v>38</v>
      </c>
      <c r="J1986" s="19">
        <f t="shared" si="157"/>
        <v>475352.45999999996</v>
      </c>
      <c r="K1986" s="51"/>
      <c r="L1986" s="50"/>
      <c r="M1986" s="51"/>
      <c r="N1986" s="19">
        <v>475352.45999999996</v>
      </c>
      <c r="O1986" s="219">
        <v>44925</v>
      </c>
      <c r="P1986" s="48" t="s">
        <v>3728</v>
      </c>
    </row>
    <row r="1987" spans="1:16" x14ac:dyDescent="0.3">
      <c r="A1987" s="169">
        <f t="shared" ref="A1987:A1997" si="159">A1986+1</f>
        <v>1806</v>
      </c>
      <c r="B1987" s="66" t="s">
        <v>2061</v>
      </c>
      <c r="C1987" s="184">
        <v>1971</v>
      </c>
      <c r="D1987" s="51"/>
      <c r="E1987" s="48" t="s">
        <v>3733</v>
      </c>
      <c r="F1987" s="47">
        <v>2</v>
      </c>
      <c r="G1987" s="58"/>
      <c r="H1987" s="59">
        <v>549.6</v>
      </c>
      <c r="I1987" s="47">
        <v>27</v>
      </c>
      <c r="J1987" s="19">
        <f t="shared" si="157"/>
        <v>475176.06999999995</v>
      </c>
      <c r="K1987" s="51"/>
      <c r="L1987" s="50"/>
      <c r="M1987" s="51"/>
      <c r="N1987" s="19">
        <v>475176.06999999995</v>
      </c>
      <c r="O1987" s="219">
        <v>44925</v>
      </c>
      <c r="P1987" s="48" t="s">
        <v>3728</v>
      </c>
    </row>
    <row r="1988" spans="1:16" x14ac:dyDescent="0.3">
      <c r="A1988" s="169">
        <f t="shared" si="159"/>
        <v>1807</v>
      </c>
      <c r="B1988" s="66" t="s">
        <v>2062</v>
      </c>
      <c r="C1988" s="184">
        <v>1961</v>
      </c>
      <c r="D1988" s="51"/>
      <c r="E1988" s="48" t="s">
        <v>3733</v>
      </c>
      <c r="F1988" s="47">
        <v>2</v>
      </c>
      <c r="G1988" s="51"/>
      <c r="H1988" s="52">
        <v>446</v>
      </c>
      <c r="I1988" s="47">
        <v>19</v>
      </c>
      <c r="J1988" s="19">
        <f t="shared" si="157"/>
        <v>3355334.05</v>
      </c>
      <c r="K1988" s="51"/>
      <c r="L1988" s="50"/>
      <c r="M1988" s="51"/>
      <c r="N1988" s="19">
        <f>SUMIF('2020'!B:B,B1988,'2020'!C:C)+SUMIF('2021'!B:B,B1988,'2021'!C:C)+SUMIF('2022'!B:B,B1988,'2022'!C:C)</f>
        <v>3355334.05</v>
      </c>
      <c r="O1988" s="219">
        <v>44925</v>
      </c>
      <c r="P1988" s="48" t="s">
        <v>3728</v>
      </c>
    </row>
    <row r="1989" spans="1:16" x14ac:dyDescent="0.3">
      <c r="A1989" s="169">
        <f t="shared" si="159"/>
        <v>1808</v>
      </c>
      <c r="B1989" s="66" t="s">
        <v>2063</v>
      </c>
      <c r="C1989" s="184">
        <v>1977</v>
      </c>
      <c r="D1989" s="51"/>
      <c r="E1989" s="48" t="s">
        <v>3729</v>
      </c>
      <c r="F1989" s="47">
        <v>5</v>
      </c>
      <c r="G1989" s="51"/>
      <c r="H1989" s="52">
        <v>4624.3</v>
      </c>
      <c r="I1989" s="47">
        <v>230</v>
      </c>
      <c r="J1989" s="19">
        <f t="shared" si="157"/>
        <v>474841.52</v>
      </c>
      <c r="K1989" s="51"/>
      <c r="L1989" s="50"/>
      <c r="M1989" s="51"/>
      <c r="N1989" s="19">
        <f>SUMIF('2020'!B:B,B1989,'2020'!C:C)+SUMIF('2021'!B:B,B1989,'2021'!C:C)+SUMIF('2022'!B:B,B1989,'2022'!C:C)</f>
        <v>474841.52</v>
      </c>
      <c r="O1989" s="219">
        <v>44925</v>
      </c>
      <c r="P1989" s="48" t="s">
        <v>3728</v>
      </c>
    </row>
    <row r="1990" spans="1:16" x14ac:dyDescent="0.3">
      <c r="A1990" s="169">
        <f t="shared" si="159"/>
        <v>1809</v>
      </c>
      <c r="B1990" s="66" t="s">
        <v>2064</v>
      </c>
      <c r="C1990" s="184">
        <v>1964</v>
      </c>
      <c r="D1990" s="51"/>
      <c r="E1990" s="48" t="s">
        <v>3733</v>
      </c>
      <c r="F1990" s="47">
        <v>2</v>
      </c>
      <c r="G1990" s="51"/>
      <c r="H1990" s="48">
        <v>374.9</v>
      </c>
      <c r="I1990" s="47">
        <v>27</v>
      </c>
      <c r="J1990" s="19">
        <f t="shared" si="157"/>
        <v>130000</v>
      </c>
      <c r="K1990" s="51"/>
      <c r="L1990" s="50"/>
      <c r="M1990" s="51"/>
      <c r="N1990" s="19">
        <f>SUMIF('2020'!B:B,B1990,'2020'!C:C)+SUMIF('2021'!B:B,B1990,'2021'!C:C)+SUMIF('2022'!B:B,B1990,'2022'!C:C)</f>
        <v>130000</v>
      </c>
      <c r="O1990" s="219">
        <v>44925</v>
      </c>
      <c r="P1990" s="48" t="s">
        <v>3728</v>
      </c>
    </row>
    <row r="1991" spans="1:16" x14ac:dyDescent="0.3">
      <c r="A1991" s="169">
        <f t="shared" si="159"/>
        <v>1810</v>
      </c>
      <c r="B1991" s="66" t="s">
        <v>2065</v>
      </c>
      <c r="C1991" s="184">
        <v>1970</v>
      </c>
      <c r="D1991" s="51"/>
      <c r="E1991" s="48" t="s">
        <v>3733</v>
      </c>
      <c r="F1991" s="47">
        <v>5</v>
      </c>
      <c r="G1991" s="51"/>
      <c r="H1991" s="52">
        <v>2982.7</v>
      </c>
      <c r="I1991" s="47">
        <v>154</v>
      </c>
      <c r="J1991" s="19">
        <f t="shared" si="157"/>
        <v>11153931.289999999</v>
      </c>
      <c r="K1991" s="51"/>
      <c r="L1991" s="50"/>
      <c r="M1991" s="51"/>
      <c r="N1991" s="19">
        <f>SUMIF('2020'!B:B,B1991,'2020'!C:C)+SUMIF('2021'!B:B,B1991,'2021'!C:C)+SUMIF('2022'!B:B,B1991,'2022'!C:C)</f>
        <v>11153931.289999999</v>
      </c>
      <c r="O1991" s="219">
        <v>44925</v>
      </c>
      <c r="P1991" s="48" t="s">
        <v>3728</v>
      </c>
    </row>
    <row r="1992" spans="1:16" x14ac:dyDescent="0.3">
      <c r="A1992" s="169">
        <f t="shared" si="159"/>
        <v>1811</v>
      </c>
      <c r="B1992" s="66" t="s">
        <v>2066</v>
      </c>
      <c r="C1992" s="184">
        <v>1972</v>
      </c>
      <c r="D1992" s="51"/>
      <c r="E1992" s="48" t="s">
        <v>3733</v>
      </c>
      <c r="F1992" s="47">
        <v>5</v>
      </c>
      <c r="G1992" s="51"/>
      <c r="H1992" s="52">
        <v>2774.8</v>
      </c>
      <c r="I1992" s="47">
        <v>170</v>
      </c>
      <c r="J1992" s="19">
        <f t="shared" si="157"/>
        <v>422139.46</v>
      </c>
      <c r="K1992" s="51"/>
      <c r="L1992" s="50"/>
      <c r="M1992" s="51"/>
      <c r="N1992" s="19">
        <f>SUMIF('2020'!B:B,B1992,'2020'!C:C)+SUMIF('2021'!B:B,B1992,'2021'!C:C)+SUMIF('2022'!B:B,B1992,'2022'!C:C)</f>
        <v>422139.46</v>
      </c>
      <c r="O1992" s="219">
        <v>44925</v>
      </c>
      <c r="P1992" s="48" t="s">
        <v>3728</v>
      </c>
    </row>
    <row r="1993" spans="1:16" x14ac:dyDescent="0.3">
      <c r="A1993" s="169">
        <f t="shared" si="159"/>
        <v>1812</v>
      </c>
      <c r="B1993" s="66" t="s">
        <v>2067</v>
      </c>
      <c r="C1993" s="184">
        <v>1975</v>
      </c>
      <c r="D1993" s="51"/>
      <c r="E1993" s="48" t="s">
        <v>3729</v>
      </c>
      <c r="F1993" s="47">
        <v>5</v>
      </c>
      <c r="G1993" s="51"/>
      <c r="H1993" s="52">
        <v>2652.6</v>
      </c>
      <c r="I1993" s="47">
        <v>159</v>
      </c>
      <c r="J1993" s="19">
        <f t="shared" si="157"/>
        <v>798895.38</v>
      </c>
      <c r="K1993" s="51"/>
      <c r="L1993" s="50"/>
      <c r="M1993" s="51"/>
      <c r="N1993" s="19">
        <f>SUMIF('2020'!B:B,B1993,'2020'!C:C)+SUMIF('2021'!B:B,B1993,'2021'!C:C)+SUMIF('2022'!B:B,B1993,'2022'!C:C)</f>
        <v>798895.38</v>
      </c>
      <c r="O1993" s="219">
        <v>44925</v>
      </c>
      <c r="P1993" s="48" t="s">
        <v>3728</v>
      </c>
    </row>
    <row r="1994" spans="1:16" x14ac:dyDescent="0.3">
      <c r="A1994" s="169">
        <f t="shared" si="159"/>
        <v>1813</v>
      </c>
      <c r="B1994" s="66" t="s">
        <v>2068</v>
      </c>
      <c r="C1994" s="184">
        <v>1972</v>
      </c>
      <c r="D1994" s="51"/>
      <c r="E1994" s="48" t="s">
        <v>3729</v>
      </c>
      <c r="F1994" s="47">
        <v>5</v>
      </c>
      <c r="G1994" s="51"/>
      <c r="H1994" s="52">
        <v>2740.4</v>
      </c>
      <c r="I1994" s="47">
        <v>155</v>
      </c>
      <c r="J1994" s="19">
        <f t="shared" si="157"/>
        <v>971077.78</v>
      </c>
      <c r="K1994" s="51"/>
      <c r="L1994" s="50"/>
      <c r="M1994" s="51"/>
      <c r="N1994" s="19">
        <f>SUMIF('2020'!B:B,B1994,'2020'!C:C)+SUMIF('2021'!B:B,B1994,'2021'!C:C)+SUMIF('2022'!B:B,B1994,'2022'!C:C)</f>
        <v>971077.78</v>
      </c>
      <c r="O1994" s="219">
        <v>44925</v>
      </c>
      <c r="P1994" s="48" t="s">
        <v>3728</v>
      </c>
    </row>
    <row r="1995" spans="1:16" x14ac:dyDescent="0.3">
      <c r="A1995" s="169">
        <f t="shared" si="159"/>
        <v>1814</v>
      </c>
      <c r="B1995" s="66" t="s">
        <v>2069</v>
      </c>
      <c r="C1995" s="184">
        <v>1976</v>
      </c>
      <c r="D1995" s="51"/>
      <c r="E1995" s="48" t="s">
        <v>3729</v>
      </c>
      <c r="F1995" s="47">
        <v>5</v>
      </c>
      <c r="G1995" s="51"/>
      <c r="H1995" s="52">
        <v>2664.7</v>
      </c>
      <c r="I1995" s="47">
        <v>161</v>
      </c>
      <c r="J1995" s="19">
        <f t="shared" si="157"/>
        <v>817312.87</v>
      </c>
      <c r="K1995" s="51"/>
      <c r="L1995" s="50"/>
      <c r="M1995" s="51"/>
      <c r="N1995" s="19">
        <f>SUMIF('2020'!B:B,B1995,'2020'!C:C)+SUMIF('2021'!B:B,B1995,'2021'!C:C)+SUMIF('2022'!B:B,B1995,'2022'!C:C)</f>
        <v>817312.87</v>
      </c>
      <c r="O1995" s="219">
        <v>44925</v>
      </c>
      <c r="P1995" s="48" t="s">
        <v>3728</v>
      </c>
    </row>
    <row r="1996" spans="1:16" x14ac:dyDescent="0.3">
      <c r="A1996" s="169">
        <f t="shared" si="159"/>
        <v>1815</v>
      </c>
      <c r="B1996" s="66" t="s">
        <v>2070</v>
      </c>
      <c r="C1996" s="184">
        <v>1976</v>
      </c>
      <c r="D1996" s="51"/>
      <c r="E1996" s="48" t="s">
        <v>3729</v>
      </c>
      <c r="F1996" s="47">
        <v>5</v>
      </c>
      <c r="G1996" s="51"/>
      <c r="H1996" s="52">
        <v>2662.1</v>
      </c>
      <c r="I1996" s="47">
        <v>165</v>
      </c>
      <c r="J1996" s="19">
        <f t="shared" si="157"/>
        <v>547103.39</v>
      </c>
      <c r="K1996" s="51"/>
      <c r="L1996" s="50"/>
      <c r="M1996" s="51"/>
      <c r="N1996" s="19">
        <f>SUMIF('2020'!B:B,B1996,'2020'!C:C)+SUMIF('2021'!B:B,B1996,'2021'!C:C)+SUMIF('2022'!B:B,B1996,'2022'!C:C)</f>
        <v>547103.39</v>
      </c>
      <c r="O1996" s="219">
        <v>44925</v>
      </c>
      <c r="P1996" s="48" t="s">
        <v>3728</v>
      </c>
    </row>
    <row r="1997" spans="1:16" x14ac:dyDescent="0.3">
      <c r="A1997" s="169">
        <f t="shared" si="159"/>
        <v>1816</v>
      </c>
      <c r="B1997" s="66" t="s">
        <v>2071</v>
      </c>
      <c r="C1997" s="184">
        <v>1977</v>
      </c>
      <c r="D1997" s="51"/>
      <c r="E1997" s="48" t="s">
        <v>3729</v>
      </c>
      <c r="F1997" s="47">
        <v>5</v>
      </c>
      <c r="G1997" s="51"/>
      <c r="H1997" s="52">
        <v>4576.3</v>
      </c>
      <c r="I1997" s="47">
        <v>228</v>
      </c>
      <c r="J1997" s="19">
        <f t="shared" si="157"/>
        <v>453597.61</v>
      </c>
      <c r="K1997" s="51"/>
      <c r="L1997" s="50"/>
      <c r="M1997" s="51"/>
      <c r="N1997" s="19">
        <f>SUMIF('2020'!B:B,B1997,'2020'!C:C)+SUMIF('2021'!B:B,B1997,'2021'!C:C)+SUMIF('2022'!B:B,B1997,'2022'!C:C)</f>
        <v>453597.61</v>
      </c>
      <c r="O1997" s="219">
        <v>44925</v>
      </c>
      <c r="P1997" s="48" t="s">
        <v>3728</v>
      </c>
    </row>
    <row r="1998" spans="1:16" x14ac:dyDescent="0.3">
      <c r="A1998" s="220"/>
      <c r="B1998" s="242" t="s">
        <v>211</v>
      </c>
      <c r="C1998" s="50"/>
      <c r="D1998" s="50"/>
      <c r="E1998" s="48"/>
      <c r="F1998" s="48"/>
      <c r="G1998" s="50"/>
      <c r="H1998" s="48">
        <f>SUM(H1986:H1997)</f>
        <v>27595.599999999999</v>
      </c>
      <c r="I1998" s="47">
        <f>SUM(I1986:I1997)</f>
        <v>1533</v>
      </c>
      <c r="J1998" s="19">
        <f t="shared" si="157"/>
        <v>20074761.880000003</v>
      </c>
      <c r="K1998" s="50">
        <v>0</v>
      </c>
      <c r="L1998" s="50">
        <v>0</v>
      </c>
      <c r="M1998" s="50">
        <f>N1998-'2020'!C412-'2021'!C1681-'2022'!C481</f>
        <v>0</v>
      </c>
      <c r="N1998" s="50">
        <f>SUM(N1986:N1997)</f>
        <v>20074761.880000003</v>
      </c>
      <c r="O1998" s="50"/>
      <c r="P1998" s="50"/>
    </row>
    <row r="1999" spans="1:16" x14ac:dyDescent="0.3">
      <c r="A1999" s="461" t="s">
        <v>2072</v>
      </c>
      <c r="B1999" s="462"/>
      <c r="C1999" s="50"/>
      <c r="D1999" s="51"/>
      <c r="E1999" s="52"/>
      <c r="F1999" s="52"/>
      <c r="G1999" s="51"/>
      <c r="H1999" s="52"/>
      <c r="I1999" s="52"/>
      <c r="J1999" s="19"/>
      <c r="K1999" s="51"/>
      <c r="L1999" s="50"/>
      <c r="M1999" s="51"/>
      <c r="N1999" s="51"/>
      <c r="O1999" s="50"/>
      <c r="P1999" s="50"/>
    </row>
    <row r="2000" spans="1:16" x14ac:dyDescent="0.3">
      <c r="A2000" s="169">
        <f>A1995+1</f>
        <v>1815</v>
      </c>
      <c r="B2000" s="66" t="s">
        <v>2073</v>
      </c>
      <c r="C2000" s="184">
        <v>1980</v>
      </c>
      <c r="D2000" s="51"/>
      <c r="E2000" s="48" t="s">
        <v>3733</v>
      </c>
      <c r="F2000" s="218">
        <v>5</v>
      </c>
      <c r="G2000" s="50"/>
      <c r="H2000" s="52">
        <v>7393</v>
      </c>
      <c r="I2000" s="218">
        <v>323</v>
      </c>
      <c r="J2000" s="19">
        <f t="shared" si="157"/>
        <v>25390987.800000001</v>
      </c>
      <c r="K2000" s="51"/>
      <c r="L2000" s="50"/>
      <c r="M2000" s="51"/>
      <c r="N2000" s="19">
        <f>SUMIF('2020'!B:B,B2000,'2020'!C:C)+SUMIF('2021'!B:B,B2000,'2021'!C:C)+SUMIF('2022'!B:B,B2000,'2022'!C:C)</f>
        <v>25390987.800000001</v>
      </c>
      <c r="O2000" s="219">
        <v>44925</v>
      </c>
      <c r="P2000" s="48" t="s">
        <v>3728</v>
      </c>
    </row>
    <row r="2001" spans="1:16" x14ac:dyDescent="0.3">
      <c r="A2001" s="169">
        <f t="shared" ref="A2001:A2035" si="160">A2000+1</f>
        <v>1816</v>
      </c>
      <c r="B2001" s="66" t="s">
        <v>2074</v>
      </c>
      <c r="C2001" s="184">
        <v>1996</v>
      </c>
      <c r="D2001" s="51"/>
      <c r="E2001" s="52" t="s">
        <v>3739</v>
      </c>
      <c r="F2001" s="218">
        <v>9</v>
      </c>
      <c r="G2001" s="51"/>
      <c r="H2001" s="52">
        <v>2344</v>
      </c>
      <c r="I2001" s="218">
        <v>101</v>
      </c>
      <c r="J2001" s="19">
        <f t="shared" si="157"/>
        <v>40433824.799999997</v>
      </c>
      <c r="K2001" s="51"/>
      <c r="L2001" s="50"/>
      <c r="M2001" s="51"/>
      <c r="N2001" s="19">
        <f>SUMIF('2020'!B:B,B2001,'2020'!C:C)+SUMIF('2021'!B:B,B2001,'2021'!C:C)+SUMIF('2022'!B:B,B2001,'2022'!C:C)</f>
        <v>40433824.799999997</v>
      </c>
      <c r="O2001" s="219">
        <v>44925</v>
      </c>
      <c r="P2001" s="48" t="s">
        <v>3728</v>
      </c>
    </row>
    <row r="2002" spans="1:16" x14ac:dyDescent="0.3">
      <c r="A2002" s="169">
        <f t="shared" si="160"/>
        <v>1817</v>
      </c>
      <c r="B2002" s="66" t="s">
        <v>2075</v>
      </c>
      <c r="C2002" s="184">
        <v>1969</v>
      </c>
      <c r="D2002" s="51"/>
      <c r="E2002" s="48" t="s">
        <v>3733</v>
      </c>
      <c r="F2002" s="218">
        <v>5</v>
      </c>
      <c r="G2002" s="50"/>
      <c r="H2002" s="48">
        <v>4056.4</v>
      </c>
      <c r="I2002" s="218">
        <v>214</v>
      </c>
      <c r="J2002" s="19">
        <f t="shared" si="157"/>
        <v>1503893.3599999999</v>
      </c>
      <c r="K2002" s="51"/>
      <c r="L2002" s="50"/>
      <c r="M2002" s="51"/>
      <c r="N2002" s="19">
        <f>SUMIF('2020'!B:B,B2002,'2020'!C:C)+SUMIF('2021'!B:B,B2002,'2021'!C:C)+SUMIF('2022'!B:B,B2002,'2022'!C:C)</f>
        <v>1503893.3599999999</v>
      </c>
      <c r="O2002" s="219">
        <v>44925</v>
      </c>
      <c r="P2002" s="48" t="s">
        <v>3728</v>
      </c>
    </row>
    <row r="2003" spans="1:16" x14ac:dyDescent="0.3">
      <c r="A2003" s="169">
        <f t="shared" si="160"/>
        <v>1818</v>
      </c>
      <c r="B2003" s="66" t="s">
        <v>2077</v>
      </c>
      <c r="C2003" s="184">
        <v>1986</v>
      </c>
      <c r="D2003" s="51"/>
      <c r="E2003" s="52" t="s">
        <v>3729</v>
      </c>
      <c r="F2003" s="218">
        <v>9</v>
      </c>
      <c r="G2003" s="51"/>
      <c r="H2003" s="52">
        <v>5628</v>
      </c>
      <c r="I2003" s="218">
        <v>241</v>
      </c>
      <c r="J2003" s="19">
        <f t="shared" si="157"/>
        <v>75425814</v>
      </c>
      <c r="K2003" s="51"/>
      <c r="L2003" s="50"/>
      <c r="M2003" s="51"/>
      <c r="N2003" s="19">
        <f>SUMIF('2020'!B:B,B2003,'2020'!C:C)+SUMIF('2021'!B:B,B2003,'2021'!C:C)+SUMIF('2022'!B:B,B2003,'2022'!C:C)</f>
        <v>75425814</v>
      </c>
      <c r="O2003" s="219">
        <v>44925</v>
      </c>
      <c r="P2003" s="48" t="s">
        <v>3728</v>
      </c>
    </row>
    <row r="2004" spans="1:16" x14ac:dyDescent="0.3">
      <c r="A2004" s="169">
        <f t="shared" si="160"/>
        <v>1819</v>
      </c>
      <c r="B2004" s="66" t="s">
        <v>2078</v>
      </c>
      <c r="C2004" s="184">
        <v>1994</v>
      </c>
      <c r="D2004" s="51"/>
      <c r="E2004" s="52" t="s">
        <v>3729</v>
      </c>
      <c r="F2004" s="218">
        <v>9</v>
      </c>
      <c r="G2004" s="51"/>
      <c r="H2004" s="52">
        <v>2205</v>
      </c>
      <c r="I2004" s="218">
        <v>71</v>
      </c>
      <c r="J2004" s="19">
        <f t="shared" si="157"/>
        <v>37478562</v>
      </c>
      <c r="K2004" s="51"/>
      <c r="L2004" s="50"/>
      <c r="M2004" s="51"/>
      <c r="N2004" s="19">
        <f>SUMIF('2020'!B:B,B2004,'2020'!C:C)+SUMIF('2021'!B:B,B2004,'2021'!C:C)+SUMIF('2022'!B:B,B2004,'2022'!C:C)</f>
        <v>37478562</v>
      </c>
      <c r="O2004" s="219">
        <v>44925</v>
      </c>
      <c r="P2004" s="48" t="s">
        <v>3728</v>
      </c>
    </row>
    <row r="2005" spans="1:16" x14ac:dyDescent="0.3">
      <c r="A2005" s="169">
        <f t="shared" si="160"/>
        <v>1820</v>
      </c>
      <c r="B2005" s="66" t="s">
        <v>2079</v>
      </c>
      <c r="C2005" s="184">
        <v>1993</v>
      </c>
      <c r="D2005" s="51"/>
      <c r="E2005" s="52" t="s">
        <v>3729</v>
      </c>
      <c r="F2005" s="218">
        <v>9</v>
      </c>
      <c r="G2005" s="51"/>
      <c r="H2005" s="52">
        <v>4740</v>
      </c>
      <c r="I2005" s="218">
        <v>159</v>
      </c>
      <c r="J2005" s="19">
        <f t="shared" si="157"/>
        <v>72717076.799999997</v>
      </c>
      <c r="K2005" s="51"/>
      <c r="L2005" s="50"/>
      <c r="M2005" s="51"/>
      <c r="N2005" s="19">
        <f>SUMIF('2020'!B:B,B2005,'2020'!C:C)+SUMIF('2021'!B:B,B2005,'2021'!C:C)+SUMIF('2022'!B:B,B2005,'2022'!C:C)</f>
        <v>72717076.799999997</v>
      </c>
      <c r="O2005" s="219">
        <v>44925</v>
      </c>
      <c r="P2005" s="48" t="s">
        <v>3728</v>
      </c>
    </row>
    <row r="2006" spans="1:16" x14ac:dyDescent="0.3">
      <c r="A2006" s="169">
        <f t="shared" si="160"/>
        <v>1821</v>
      </c>
      <c r="B2006" s="66" t="s">
        <v>2080</v>
      </c>
      <c r="C2006" s="184">
        <v>1968</v>
      </c>
      <c r="D2006" s="51"/>
      <c r="E2006" s="52" t="s">
        <v>3729</v>
      </c>
      <c r="F2006" s="218">
        <v>5</v>
      </c>
      <c r="G2006" s="50"/>
      <c r="H2006" s="48">
        <v>5404</v>
      </c>
      <c r="I2006" s="218">
        <v>238</v>
      </c>
      <c r="J2006" s="19">
        <f t="shared" si="157"/>
        <v>22899641.800000001</v>
      </c>
      <c r="K2006" s="51"/>
      <c r="L2006" s="50"/>
      <c r="M2006" s="51"/>
      <c r="N2006" s="19">
        <f>SUMIF('2020'!B:B,B2006,'2020'!C:C)+SUMIF('2021'!B:B,B2006,'2021'!C:C)+SUMIF('2022'!B:B,B2006,'2022'!C:C)</f>
        <v>22899641.800000001</v>
      </c>
      <c r="O2006" s="219">
        <v>44925</v>
      </c>
      <c r="P2006" s="48" t="s">
        <v>3728</v>
      </c>
    </row>
    <row r="2007" spans="1:16" x14ac:dyDescent="0.3">
      <c r="A2007" s="169">
        <f t="shared" si="160"/>
        <v>1822</v>
      </c>
      <c r="B2007" s="66" t="s">
        <v>2081</v>
      </c>
      <c r="C2007" s="184">
        <v>1969</v>
      </c>
      <c r="D2007" s="51"/>
      <c r="E2007" s="52" t="s">
        <v>3729</v>
      </c>
      <c r="F2007" s="218">
        <v>5</v>
      </c>
      <c r="G2007" s="50"/>
      <c r="H2007" s="48">
        <v>5767</v>
      </c>
      <c r="I2007" s="218">
        <v>244</v>
      </c>
      <c r="J2007" s="19">
        <f t="shared" si="157"/>
        <v>22106673.400000002</v>
      </c>
      <c r="K2007" s="51"/>
      <c r="L2007" s="50"/>
      <c r="M2007" s="51"/>
      <c r="N2007" s="19">
        <f>SUMIF('2020'!B:B,B2007,'2020'!C:C)+SUMIF('2021'!B:B,B2007,'2021'!C:C)+SUMIF('2022'!B:B,B2007,'2022'!C:C)</f>
        <v>22106673.400000002</v>
      </c>
      <c r="O2007" s="219">
        <v>44925</v>
      </c>
      <c r="P2007" s="48" t="s">
        <v>3728</v>
      </c>
    </row>
    <row r="2008" spans="1:16" x14ac:dyDescent="0.3">
      <c r="A2008" s="169">
        <f t="shared" si="160"/>
        <v>1823</v>
      </c>
      <c r="B2008" s="66" t="s">
        <v>2082</v>
      </c>
      <c r="C2008" s="184">
        <v>1993</v>
      </c>
      <c r="D2008" s="51"/>
      <c r="E2008" s="52" t="s">
        <v>3729</v>
      </c>
      <c r="F2008" s="218">
        <v>9</v>
      </c>
      <c r="G2008" s="51"/>
      <c r="H2008" s="52">
        <v>3735</v>
      </c>
      <c r="I2008" s="218">
        <v>133</v>
      </c>
      <c r="J2008" s="19">
        <f t="shared" si="157"/>
        <v>50112697.200000003</v>
      </c>
      <c r="K2008" s="51"/>
      <c r="L2008" s="50"/>
      <c r="M2008" s="51"/>
      <c r="N2008" s="19">
        <f>SUMIF('2020'!B:B,B2008,'2020'!C:C)+SUMIF('2021'!B:B,B2008,'2021'!C:C)+SUMIF('2022'!B:B,B2008,'2022'!C:C)</f>
        <v>50112697.200000003</v>
      </c>
      <c r="O2008" s="219">
        <v>44925</v>
      </c>
      <c r="P2008" s="48" t="s">
        <v>3728</v>
      </c>
    </row>
    <row r="2009" spans="1:16" x14ac:dyDescent="0.3">
      <c r="A2009" s="169">
        <f t="shared" si="160"/>
        <v>1824</v>
      </c>
      <c r="B2009" s="66" t="s">
        <v>2083</v>
      </c>
      <c r="C2009" s="184">
        <v>1990</v>
      </c>
      <c r="D2009" s="51"/>
      <c r="E2009" s="52" t="s">
        <v>3729</v>
      </c>
      <c r="F2009" s="218">
        <v>9</v>
      </c>
      <c r="G2009" s="51"/>
      <c r="H2009" s="52">
        <v>2713</v>
      </c>
      <c r="I2009" s="218">
        <v>101</v>
      </c>
      <c r="J2009" s="19">
        <f t="shared" si="157"/>
        <v>37756554</v>
      </c>
      <c r="K2009" s="51"/>
      <c r="L2009" s="50"/>
      <c r="M2009" s="51"/>
      <c r="N2009" s="19">
        <f>SUMIF('2020'!B:B,B2009,'2020'!C:C)+SUMIF('2021'!B:B,B2009,'2021'!C:C)+SUMIF('2022'!B:B,B2009,'2022'!C:C)</f>
        <v>37756554</v>
      </c>
      <c r="O2009" s="219">
        <v>44925</v>
      </c>
      <c r="P2009" s="48" t="s">
        <v>3728</v>
      </c>
    </row>
    <row r="2010" spans="1:16" x14ac:dyDescent="0.3">
      <c r="A2010" s="169">
        <f t="shared" si="160"/>
        <v>1825</v>
      </c>
      <c r="B2010" s="66" t="s">
        <v>2084</v>
      </c>
      <c r="C2010" s="184">
        <v>1979</v>
      </c>
      <c r="D2010" s="51"/>
      <c r="E2010" s="52" t="s">
        <v>3729</v>
      </c>
      <c r="F2010" s="218">
        <v>5</v>
      </c>
      <c r="G2010" s="51"/>
      <c r="H2010" s="52">
        <v>1523</v>
      </c>
      <c r="I2010" s="218">
        <v>69</v>
      </c>
      <c r="J2010" s="19">
        <f t="shared" si="157"/>
        <v>10293680.4</v>
      </c>
      <c r="K2010" s="51"/>
      <c r="L2010" s="50"/>
      <c r="M2010" s="51"/>
      <c r="N2010" s="19">
        <f>SUMIF('2020'!B:B,B2010,'2020'!C:C)+SUMIF('2021'!B:B,B2010,'2021'!C:C)+SUMIF('2022'!B:B,B2010,'2022'!C:C)</f>
        <v>10293680.4</v>
      </c>
      <c r="O2010" s="219">
        <v>44925</v>
      </c>
      <c r="P2010" s="48" t="s">
        <v>3728</v>
      </c>
    </row>
    <row r="2011" spans="1:16" x14ac:dyDescent="0.3">
      <c r="A2011" s="169">
        <f t="shared" si="160"/>
        <v>1826</v>
      </c>
      <c r="B2011" s="66" t="s">
        <v>2085</v>
      </c>
      <c r="C2011" s="184">
        <v>1964</v>
      </c>
      <c r="D2011" s="51"/>
      <c r="E2011" s="52" t="s">
        <v>3733</v>
      </c>
      <c r="F2011" s="218">
        <v>4</v>
      </c>
      <c r="G2011" s="50"/>
      <c r="H2011" s="48">
        <v>1997</v>
      </c>
      <c r="I2011" s="218">
        <v>80</v>
      </c>
      <c r="J2011" s="19">
        <f t="shared" si="157"/>
        <v>9375594.5999999996</v>
      </c>
      <c r="K2011" s="51"/>
      <c r="L2011" s="50"/>
      <c r="M2011" s="51"/>
      <c r="N2011" s="19">
        <f>SUMIF('2020'!B:B,B2011,'2020'!C:C)+SUMIF('2021'!B:B,B2011,'2021'!C:C)+SUMIF('2022'!B:B,B2011,'2022'!C:C)</f>
        <v>9375594.5999999996</v>
      </c>
      <c r="O2011" s="219">
        <v>44925</v>
      </c>
      <c r="P2011" s="48" t="s">
        <v>3728</v>
      </c>
    </row>
    <row r="2012" spans="1:16" x14ac:dyDescent="0.3">
      <c r="A2012" s="169">
        <f t="shared" si="160"/>
        <v>1827</v>
      </c>
      <c r="B2012" s="66" t="s">
        <v>2086</v>
      </c>
      <c r="C2012" s="184">
        <v>1964</v>
      </c>
      <c r="D2012" s="51"/>
      <c r="E2012" s="52" t="s">
        <v>3733</v>
      </c>
      <c r="F2012" s="218">
        <v>5</v>
      </c>
      <c r="G2012" s="50"/>
      <c r="H2012" s="48">
        <v>3220</v>
      </c>
      <c r="I2012" s="218">
        <v>120</v>
      </c>
      <c r="J2012" s="19">
        <f t="shared" si="157"/>
        <v>7884596.4000000004</v>
      </c>
      <c r="K2012" s="51"/>
      <c r="L2012" s="50"/>
      <c r="M2012" s="51"/>
      <c r="N2012" s="19">
        <f>SUMIF('2020'!B:B,B2012,'2020'!C:C)+SUMIF('2021'!B:B,B2012,'2021'!C:C)+SUMIF('2022'!B:B,B2012,'2022'!C:C)</f>
        <v>7884596.4000000004</v>
      </c>
      <c r="O2012" s="219">
        <v>44925</v>
      </c>
      <c r="P2012" s="48" t="s">
        <v>3728</v>
      </c>
    </row>
    <row r="2013" spans="1:16" x14ac:dyDescent="0.3">
      <c r="A2013" s="169">
        <f t="shared" si="160"/>
        <v>1828</v>
      </c>
      <c r="B2013" s="66" t="s">
        <v>2087</v>
      </c>
      <c r="C2013" s="184">
        <v>1963</v>
      </c>
      <c r="D2013" s="51"/>
      <c r="E2013" s="52" t="s">
        <v>3733</v>
      </c>
      <c r="F2013" s="218">
        <v>5</v>
      </c>
      <c r="G2013" s="51"/>
      <c r="H2013" s="52">
        <v>3210</v>
      </c>
      <c r="I2013" s="218">
        <v>145</v>
      </c>
      <c r="J2013" s="19">
        <f t="shared" si="157"/>
        <v>17061554.399999999</v>
      </c>
      <c r="K2013" s="51"/>
      <c r="L2013" s="50"/>
      <c r="M2013" s="51"/>
      <c r="N2013" s="19">
        <f>SUMIF('2020'!B:B,B2013,'2020'!C:C)+SUMIF('2021'!B:B,B2013,'2021'!C:C)+SUMIF('2022'!B:B,B2013,'2022'!C:C)</f>
        <v>17061554.399999999</v>
      </c>
      <c r="O2013" s="219">
        <v>44925</v>
      </c>
      <c r="P2013" s="48" t="s">
        <v>3728</v>
      </c>
    </row>
    <row r="2014" spans="1:16" x14ac:dyDescent="0.3">
      <c r="A2014" s="169">
        <f t="shared" si="160"/>
        <v>1829</v>
      </c>
      <c r="B2014" s="66" t="s">
        <v>2088</v>
      </c>
      <c r="C2014" s="184">
        <v>1975</v>
      </c>
      <c r="D2014" s="51"/>
      <c r="E2014" s="52" t="s">
        <v>3729</v>
      </c>
      <c r="F2014" s="218">
        <v>5</v>
      </c>
      <c r="G2014" s="51"/>
      <c r="H2014" s="52">
        <v>2634</v>
      </c>
      <c r="I2014" s="218">
        <v>114</v>
      </c>
      <c r="J2014" s="19">
        <f t="shared" si="157"/>
        <v>10965387.6</v>
      </c>
      <c r="K2014" s="51"/>
      <c r="L2014" s="50"/>
      <c r="M2014" s="51"/>
      <c r="N2014" s="19">
        <f>SUMIF('2020'!B:B,B2014,'2020'!C:C)+SUMIF('2021'!B:B,B2014,'2021'!C:C)+SUMIF('2022'!B:B,B2014,'2022'!C:C)</f>
        <v>10965387.6</v>
      </c>
      <c r="O2014" s="219">
        <v>44925</v>
      </c>
      <c r="P2014" s="48" t="s">
        <v>3728</v>
      </c>
    </row>
    <row r="2015" spans="1:16" x14ac:dyDescent="0.3">
      <c r="A2015" s="169">
        <f t="shared" si="160"/>
        <v>1830</v>
      </c>
      <c r="B2015" s="66" t="s">
        <v>2089</v>
      </c>
      <c r="C2015" s="184">
        <v>1963</v>
      </c>
      <c r="D2015" s="51"/>
      <c r="E2015" s="52" t="s">
        <v>3733</v>
      </c>
      <c r="F2015" s="218">
        <v>4</v>
      </c>
      <c r="G2015" s="50"/>
      <c r="H2015" s="48">
        <v>2063</v>
      </c>
      <c r="I2015" s="218">
        <v>84</v>
      </c>
      <c r="J2015" s="19">
        <f t="shared" si="157"/>
        <v>5821392</v>
      </c>
      <c r="K2015" s="51"/>
      <c r="L2015" s="50"/>
      <c r="M2015" s="51"/>
      <c r="N2015" s="19">
        <f>SUMIF('2020'!B:B,B2015,'2020'!C:C)+SUMIF('2021'!B:B,B2015,'2021'!C:C)+SUMIF('2022'!B:B,B2015,'2022'!C:C)</f>
        <v>5821392</v>
      </c>
      <c r="O2015" s="219">
        <v>44925</v>
      </c>
      <c r="P2015" s="48" t="s">
        <v>3728</v>
      </c>
    </row>
    <row r="2016" spans="1:16" x14ac:dyDescent="0.3">
      <c r="A2016" s="169">
        <f t="shared" si="160"/>
        <v>1831</v>
      </c>
      <c r="B2016" s="66" t="s">
        <v>2090</v>
      </c>
      <c r="C2016" s="184">
        <v>1964</v>
      </c>
      <c r="D2016" s="51"/>
      <c r="E2016" s="52" t="s">
        <v>3733</v>
      </c>
      <c r="F2016" s="218">
        <v>5</v>
      </c>
      <c r="G2016" s="50"/>
      <c r="H2016" s="48">
        <v>3250</v>
      </c>
      <c r="I2016" s="218">
        <v>135</v>
      </c>
      <c r="J2016" s="19">
        <f t="shared" si="157"/>
        <v>5974731.5999999996</v>
      </c>
      <c r="K2016" s="51"/>
      <c r="L2016" s="50"/>
      <c r="M2016" s="51"/>
      <c r="N2016" s="19">
        <f>SUMIF('2020'!B:B,B2016,'2020'!C:C)+SUMIF('2021'!B:B,B2016,'2021'!C:C)+SUMIF('2022'!B:B,B2016,'2022'!C:C)</f>
        <v>5974731.5999999996</v>
      </c>
      <c r="O2016" s="219">
        <v>44925</v>
      </c>
      <c r="P2016" s="48" t="s">
        <v>3728</v>
      </c>
    </row>
    <row r="2017" spans="1:16" x14ac:dyDescent="0.3">
      <c r="A2017" s="169">
        <f t="shared" si="160"/>
        <v>1832</v>
      </c>
      <c r="B2017" s="66" t="s">
        <v>2091</v>
      </c>
      <c r="C2017" s="184">
        <v>1963</v>
      </c>
      <c r="D2017" s="51"/>
      <c r="E2017" s="52" t="s">
        <v>3733</v>
      </c>
      <c r="F2017" s="218">
        <v>5</v>
      </c>
      <c r="G2017" s="50"/>
      <c r="H2017" s="48">
        <v>2366</v>
      </c>
      <c r="I2017" s="218">
        <v>101</v>
      </c>
      <c r="J2017" s="19">
        <f t="shared" si="157"/>
        <v>21914961.399999999</v>
      </c>
      <c r="K2017" s="51"/>
      <c r="L2017" s="50"/>
      <c r="M2017" s="51"/>
      <c r="N2017" s="19">
        <f>SUMIF('2020'!B:B,B2017,'2020'!C:C)+SUMIF('2021'!B:B,B2017,'2021'!C:C)+SUMIF('2022'!B:B,B2017,'2022'!C:C)</f>
        <v>21914961.399999999</v>
      </c>
      <c r="O2017" s="219">
        <v>44925</v>
      </c>
      <c r="P2017" s="48" t="s">
        <v>3728</v>
      </c>
    </row>
    <row r="2018" spans="1:16" x14ac:dyDescent="0.3">
      <c r="A2018" s="169">
        <f t="shared" si="160"/>
        <v>1833</v>
      </c>
      <c r="B2018" s="66" t="s">
        <v>2092</v>
      </c>
      <c r="C2018" s="184">
        <v>1967</v>
      </c>
      <c r="D2018" s="51"/>
      <c r="E2018" s="52" t="s">
        <v>3733</v>
      </c>
      <c r="F2018" s="218">
        <v>9</v>
      </c>
      <c r="G2018" s="51"/>
      <c r="H2018" s="52">
        <v>2004</v>
      </c>
      <c r="I2018" s="218">
        <v>63</v>
      </c>
      <c r="J2018" s="19">
        <f t="shared" si="157"/>
        <v>130000</v>
      </c>
      <c r="K2018" s="51"/>
      <c r="L2018" s="50"/>
      <c r="M2018" s="51"/>
      <c r="N2018" s="19">
        <f>SUMIF('2020'!B:B,B2018,'2020'!C:C)+SUMIF('2021'!B:B,B2018,'2021'!C:C)+SUMIF('2022'!B:B,B2018,'2022'!C:C)</f>
        <v>130000</v>
      </c>
      <c r="O2018" s="219">
        <v>44925</v>
      </c>
      <c r="P2018" s="48" t="s">
        <v>3728</v>
      </c>
    </row>
    <row r="2019" spans="1:16" x14ac:dyDescent="0.3">
      <c r="A2019" s="169">
        <f t="shared" si="160"/>
        <v>1834</v>
      </c>
      <c r="B2019" s="66" t="s">
        <v>2093</v>
      </c>
      <c r="C2019" s="184">
        <v>1965</v>
      </c>
      <c r="D2019" s="51"/>
      <c r="E2019" s="52" t="s">
        <v>3729</v>
      </c>
      <c r="F2019" s="218">
        <v>5</v>
      </c>
      <c r="G2019" s="51"/>
      <c r="H2019" s="52">
        <v>3556</v>
      </c>
      <c r="I2019" s="218">
        <v>159</v>
      </c>
      <c r="J2019" s="19">
        <f t="shared" si="157"/>
        <v>21019412.399999999</v>
      </c>
      <c r="K2019" s="51"/>
      <c r="L2019" s="50"/>
      <c r="M2019" s="51"/>
      <c r="N2019" s="19">
        <f>SUMIF('2020'!B:B,B2019,'2020'!C:C)+SUMIF('2021'!B:B,B2019,'2021'!C:C)+SUMIF('2022'!B:B,B2019,'2022'!C:C)</f>
        <v>21019412.399999999</v>
      </c>
      <c r="O2019" s="219">
        <v>44925</v>
      </c>
      <c r="P2019" s="48" t="s">
        <v>3728</v>
      </c>
    </row>
    <row r="2020" spans="1:16" x14ac:dyDescent="0.3">
      <c r="A2020" s="169">
        <f t="shared" si="160"/>
        <v>1835</v>
      </c>
      <c r="B2020" s="66" t="s">
        <v>2094</v>
      </c>
      <c r="C2020" s="184">
        <v>1965</v>
      </c>
      <c r="D2020" s="51"/>
      <c r="E2020" s="52" t="s">
        <v>3729</v>
      </c>
      <c r="F2020" s="218">
        <v>5</v>
      </c>
      <c r="G2020" s="51"/>
      <c r="H2020" s="52">
        <v>3198</v>
      </c>
      <c r="I2020" s="218">
        <v>121</v>
      </c>
      <c r="J2020" s="19">
        <f t="shared" si="157"/>
        <v>3944478</v>
      </c>
      <c r="K2020" s="51"/>
      <c r="L2020" s="50"/>
      <c r="M2020" s="51"/>
      <c r="N2020" s="19">
        <f>SUMIF('2020'!B:B,B2020,'2020'!C:C)+SUMIF('2021'!B:B,B2020,'2021'!C:C)+SUMIF('2022'!B:B,B2020,'2022'!C:C)</f>
        <v>3944478</v>
      </c>
      <c r="O2020" s="219">
        <v>44925</v>
      </c>
      <c r="P2020" s="48" t="s">
        <v>3728</v>
      </c>
    </row>
    <row r="2021" spans="1:16" x14ac:dyDescent="0.3">
      <c r="A2021" s="169">
        <f t="shared" si="160"/>
        <v>1836</v>
      </c>
      <c r="B2021" s="66" t="s">
        <v>2095</v>
      </c>
      <c r="C2021" s="184">
        <v>1966</v>
      </c>
      <c r="D2021" s="51"/>
      <c r="E2021" s="52" t="s">
        <v>3733</v>
      </c>
      <c r="F2021" s="218">
        <v>5</v>
      </c>
      <c r="G2021" s="50"/>
      <c r="H2021" s="48">
        <v>3166</v>
      </c>
      <c r="I2021" s="218">
        <v>118</v>
      </c>
      <c r="J2021" s="19">
        <f t="shared" si="157"/>
        <v>12872455.4</v>
      </c>
      <c r="K2021" s="51"/>
      <c r="L2021" s="50"/>
      <c r="M2021" s="51"/>
      <c r="N2021" s="19">
        <f>SUMIF('2020'!B:B,B2021,'2020'!C:C)+SUMIF('2021'!B:B,B2021,'2021'!C:C)+SUMIF('2022'!B:B,B2021,'2022'!C:C)</f>
        <v>12872455.4</v>
      </c>
      <c r="O2021" s="219">
        <v>44925</v>
      </c>
      <c r="P2021" s="48" t="s">
        <v>3728</v>
      </c>
    </row>
    <row r="2022" spans="1:16" x14ac:dyDescent="0.3">
      <c r="A2022" s="169">
        <f t="shared" si="160"/>
        <v>1837</v>
      </c>
      <c r="B2022" s="66" t="s">
        <v>2096</v>
      </c>
      <c r="C2022" s="184">
        <v>1970</v>
      </c>
      <c r="D2022" s="51"/>
      <c r="E2022" s="52" t="s">
        <v>3733</v>
      </c>
      <c r="F2022" s="218">
        <v>5</v>
      </c>
      <c r="G2022" s="50"/>
      <c r="H2022" s="48">
        <v>3384</v>
      </c>
      <c r="I2022" s="218">
        <v>125</v>
      </c>
      <c r="J2022" s="19">
        <f t="shared" si="157"/>
        <v>10776038.399999999</v>
      </c>
      <c r="K2022" s="51"/>
      <c r="L2022" s="50"/>
      <c r="M2022" s="51"/>
      <c r="N2022" s="19">
        <f>SUMIF('2020'!B:B,B2022,'2020'!C:C)+SUMIF('2021'!B:B,B2022,'2021'!C:C)+SUMIF('2022'!B:B,B2022,'2022'!C:C)</f>
        <v>10776038.399999999</v>
      </c>
      <c r="O2022" s="219">
        <v>44925</v>
      </c>
      <c r="P2022" s="48" t="s">
        <v>3728</v>
      </c>
    </row>
    <row r="2023" spans="1:16" x14ac:dyDescent="0.3">
      <c r="A2023" s="169">
        <f t="shared" si="160"/>
        <v>1838</v>
      </c>
      <c r="B2023" s="66" t="s">
        <v>2097</v>
      </c>
      <c r="C2023" s="184">
        <v>1970</v>
      </c>
      <c r="D2023" s="51"/>
      <c r="E2023" s="52" t="s">
        <v>3729</v>
      </c>
      <c r="F2023" s="218">
        <v>5</v>
      </c>
      <c r="G2023" s="50"/>
      <c r="H2023" s="52">
        <v>5754</v>
      </c>
      <c r="I2023" s="218">
        <v>273</v>
      </c>
      <c r="J2023" s="19">
        <f t="shared" si="157"/>
        <v>13332718.799999999</v>
      </c>
      <c r="K2023" s="51"/>
      <c r="L2023" s="50"/>
      <c r="M2023" s="51"/>
      <c r="N2023" s="19">
        <f>SUMIF('2020'!B:B,B2023,'2020'!C:C)+SUMIF('2021'!B:B,B2023,'2021'!C:C)+SUMIF('2022'!B:B,B2023,'2022'!C:C)</f>
        <v>13332718.799999999</v>
      </c>
      <c r="O2023" s="219">
        <v>44925</v>
      </c>
      <c r="P2023" s="48" t="s">
        <v>3728</v>
      </c>
    </row>
    <row r="2024" spans="1:16" x14ac:dyDescent="0.3">
      <c r="A2024" s="169">
        <f t="shared" si="160"/>
        <v>1839</v>
      </c>
      <c r="B2024" s="66" t="s">
        <v>2098</v>
      </c>
      <c r="C2024" s="184">
        <v>1970</v>
      </c>
      <c r="D2024" s="51"/>
      <c r="E2024" s="52" t="s">
        <v>3733</v>
      </c>
      <c r="F2024" s="218">
        <v>5</v>
      </c>
      <c r="G2024" s="50"/>
      <c r="H2024" s="52">
        <v>4381</v>
      </c>
      <c r="I2024" s="218">
        <v>191</v>
      </c>
      <c r="J2024" s="19">
        <f t="shared" si="157"/>
        <v>10283644.799999999</v>
      </c>
      <c r="K2024" s="51"/>
      <c r="L2024" s="50"/>
      <c r="M2024" s="51"/>
      <c r="N2024" s="19">
        <f>SUMIF('2020'!B:B,B2024,'2020'!C:C)+SUMIF('2021'!B:B,B2024,'2021'!C:C)+SUMIF('2022'!B:B,B2024,'2022'!C:C)</f>
        <v>10283644.799999999</v>
      </c>
      <c r="O2024" s="219">
        <v>44925</v>
      </c>
      <c r="P2024" s="48" t="s">
        <v>3728</v>
      </c>
    </row>
    <row r="2025" spans="1:16" x14ac:dyDescent="0.3">
      <c r="A2025" s="169">
        <f t="shared" si="160"/>
        <v>1840</v>
      </c>
      <c r="B2025" s="66" t="s">
        <v>2099</v>
      </c>
      <c r="C2025" s="184">
        <v>1967</v>
      </c>
      <c r="D2025" s="51"/>
      <c r="E2025" s="52" t="s">
        <v>3733</v>
      </c>
      <c r="F2025" s="218">
        <v>5</v>
      </c>
      <c r="G2025" s="51"/>
      <c r="H2025" s="52">
        <v>5283</v>
      </c>
      <c r="I2025" s="218">
        <v>209</v>
      </c>
      <c r="J2025" s="19">
        <f t="shared" si="157"/>
        <v>6534430.7999999998</v>
      </c>
      <c r="K2025" s="51"/>
      <c r="L2025" s="50"/>
      <c r="M2025" s="51"/>
      <c r="N2025" s="19">
        <f>SUMIF('2020'!B:B,B2025,'2020'!C:C)+SUMIF('2021'!B:B,B2025,'2021'!C:C)+SUMIF('2022'!B:B,B2025,'2022'!C:C)</f>
        <v>6534430.7999999998</v>
      </c>
      <c r="O2025" s="219">
        <v>44925</v>
      </c>
      <c r="P2025" s="48" t="s">
        <v>3728</v>
      </c>
    </row>
    <row r="2026" spans="1:16" x14ac:dyDescent="0.3">
      <c r="A2026" s="169">
        <f t="shared" si="160"/>
        <v>1841</v>
      </c>
      <c r="B2026" s="66" t="s">
        <v>2100</v>
      </c>
      <c r="C2026" s="184">
        <v>1975</v>
      </c>
      <c r="D2026" s="51"/>
      <c r="E2026" s="52" t="s">
        <v>3733</v>
      </c>
      <c r="F2026" s="218">
        <v>9</v>
      </c>
      <c r="G2026" s="51"/>
      <c r="H2026" s="52">
        <v>13176</v>
      </c>
      <c r="I2026" s="218">
        <v>457</v>
      </c>
      <c r="J2026" s="19">
        <f t="shared" si="157"/>
        <v>70944207.599999994</v>
      </c>
      <c r="K2026" s="51"/>
      <c r="L2026" s="50"/>
      <c r="M2026" s="51"/>
      <c r="N2026" s="19">
        <f>SUMIF('2020'!B:B,B2026,'2020'!C:C)+SUMIF('2021'!B:B,B2026,'2021'!C:C)+SUMIF('2022'!B:B,B2026,'2022'!C:C)</f>
        <v>70944207.599999994</v>
      </c>
      <c r="O2026" s="219">
        <v>44925</v>
      </c>
      <c r="P2026" s="48" t="s">
        <v>3728</v>
      </c>
    </row>
    <row r="2027" spans="1:16" x14ac:dyDescent="0.3">
      <c r="A2027" s="169">
        <f t="shared" si="160"/>
        <v>1842</v>
      </c>
      <c r="B2027" s="66" t="s">
        <v>2101</v>
      </c>
      <c r="C2027" s="184">
        <v>1986</v>
      </c>
      <c r="D2027" s="51"/>
      <c r="E2027" s="52" t="s">
        <v>3733</v>
      </c>
      <c r="F2027" s="218">
        <v>5</v>
      </c>
      <c r="G2027" s="51"/>
      <c r="H2027" s="52">
        <v>5411</v>
      </c>
      <c r="I2027" s="218">
        <v>224</v>
      </c>
      <c r="J2027" s="19">
        <f t="shared" si="157"/>
        <v>34242170.399999999</v>
      </c>
      <c r="K2027" s="51"/>
      <c r="L2027" s="50"/>
      <c r="M2027" s="51"/>
      <c r="N2027" s="19">
        <f>SUMIF('2020'!B:B,B2027,'2020'!C:C)+SUMIF('2021'!B:B,B2027,'2021'!C:C)+SUMIF('2022'!B:B,B2027,'2022'!C:C)</f>
        <v>34242170.399999999</v>
      </c>
      <c r="O2027" s="219">
        <v>44925</v>
      </c>
      <c r="P2027" s="48" t="s">
        <v>3728</v>
      </c>
    </row>
    <row r="2028" spans="1:16" x14ac:dyDescent="0.3">
      <c r="A2028" s="169">
        <f t="shared" si="160"/>
        <v>1843</v>
      </c>
      <c r="B2028" s="66" t="s">
        <v>2102</v>
      </c>
      <c r="C2028" s="184">
        <v>1972</v>
      </c>
      <c r="D2028" s="51"/>
      <c r="E2028" s="52" t="s">
        <v>3733</v>
      </c>
      <c r="F2028" s="218">
        <v>5</v>
      </c>
      <c r="G2028" s="51"/>
      <c r="H2028" s="52">
        <v>4355</v>
      </c>
      <c r="I2028" s="218">
        <v>155</v>
      </c>
      <c r="J2028" s="19">
        <f t="shared" si="157"/>
        <v>1623939.6</v>
      </c>
      <c r="K2028" s="51"/>
      <c r="L2028" s="50"/>
      <c r="M2028" s="51"/>
      <c r="N2028" s="19">
        <f>SUMIF('2020'!B:B,B2028,'2020'!C:C)+SUMIF('2021'!B:B,B2028,'2021'!C:C)+SUMIF('2022'!B:B,B2028,'2022'!C:C)</f>
        <v>1623939.6</v>
      </c>
      <c r="O2028" s="219">
        <v>44925</v>
      </c>
      <c r="P2028" s="48" t="s">
        <v>3728</v>
      </c>
    </row>
    <row r="2029" spans="1:16" x14ac:dyDescent="0.3">
      <c r="A2029" s="169">
        <f t="shared" si="160"/>
        <v>1844</v>
      </c>
      <c r="B2029" s="66" t="s">
        <v>2103</v>
      </c>
      <c r="C2029" s="184">
        <v>1971</v>
      </c>
      <c r="D2029" s="51"/>
      <c r="E2029" s="52" t="s">
        <v>3733</v>
      </c>
      <c r="F2029" s="218">
        <v>9</v>
      </c>
      <c r="G2029" s="51"/>
      <c r="H2029" s="52">
        <v>13458</v>
      </c>
      <c r="I2029" s="218">
        <v>497</v>
      </c>
      <c r="J2029" s="19">
        <f t="shared" si="157"/>
        <v>2427673.2000000002</v>
      </c>
      <c r="K2029" s="51"/>
      <c r="L2029" s="50"/>
      <c r="M2029" s="51"/>
      <c r="N2029" s="19">
        <f>SUMIF('2020'!B:B,B2029,'2020'!C:C)+SUMIF('2021'!B:B,B2029,'2021'!C:C)+SUMIF('2022'!B:B,B2029,'2022'!C:C)</f>
        <v>2427673.2000000002</v>
      </c>
      <c r="O2029" s="219">
        <v>44925</v>
      </c>
      <c r="P2029" s="48" t="s">
        <v>3728</v>
      </c>
    </row>
    <row r="2030" spans="1:16" x14ac:dyDescent="0.3">
      <c r="A2030" s="169">
        <f t="shared" si="160"/>
        <v>1845</v>
      </c>
      <c r="B2030" s="66" t="s">
        <v>2104</v>
      </c>
      <c r="C2030" s="184">
        <v>1974</v>
      </c>
      <c r="D2030" s="51"/>
      <c r="E2030" s="52" t="s">
        <v>3733</v>
      </c>
      <c r="F2030" s="218">
        <v>9</v>
      </c>
      <c r="G2030" s="51"/>
      <c r="H2030" s="52">
        <v>13387</v>
      </c>
      <c r="I2030" s="218">
        <v>429</v>
      </c>
      <c r="J2030" s="19">
        <f t="shared" si="157"/>
        <v>59581736.399999999</v>
      </c>
      <c r="K2030" s="51"/>
      <c r="L2030" s="50"/>
      <c r="M2030" s="51"/>
      <c r="N2030" s="19">
        <f>SUMIF('2020'!B:B,B2030,'2020'!C:C)+SUMIF('2021'!B:B,B2030,'2021'!C:C)+SUMIF('2022'!B:B,B2030,'2022'!C:C)</f>
        <v>59581736.399999999</v>
      </c>
      <c r="O2030" s="219">
        <v>44925</v>
      </c>
      <c r="P2030" s="48" t="s">
        <v>3728</v>
      </c>
    </row>
    <row r="2031" spans="1:16" x14ac:dyDescent="0.3">
      <c r="A2031" s="169">
        <f t="shared" si="160"/>
        <v>1846</v>
      </c>
      <c r="B2031" s="66" t="s">
        <v>2105</v>
      </c>
      <c r="C2031" s="184">
        <v>1972</v>
      </c>
      <c r="D2031" s="51"/>
      <c r="E2031" s="48" t="s">
        <v>3733</v>
      </c>
      <c r="F2031" s="218">
        <v>5</v>
      </c>
      <c r="G2031" s="51"/>
      <c r="H2031" s="52">
        <v>3491</v>
      </c>
      <c r="I2031" s="218">
        <v>165</v>
      </c>
      <c r="J2031" s="19">
        <f t="shared" si="157"/>
        <v>1573184.4</v>
      </c>
      <c r="K2031" s="51"/>
      <c r="L2031" s="50"/>
      <c r="M2031" s="51"/>
      <c r="N2031" s="19">
        <f>SUMIF('2020'!B:B,B2031,'2020'!C:C)+SUMIF('2021'!B:B,B2031,'2021'!C:C)+SUMIF('2022'!B:B,B2031,'2022'!C:C)</f>
        <v>1573184.4</v>
      </c>
      <c r="O2031" s="219">
        <v>44925</v>
      </c>
      <c r="P2031" s="48" t="s">
        <v>3728</v>
      </c>
    </row>
    <row r="2032" spans="1:16" x14ac:dyDescent="0.3">
      <c r="A2032" s="169">
        <f t="shared" si="160"/>
        <v>1847</v>
      </c>
      <c r="B2032" s="66" t="s">
        <v>2106</v>
      </c>
      <c r="C2032" s="184">
        <v>1973</v>
      </c>
      <c r="D2032" s="51"/>
      <c r="E2032" s="48" t="s">
        <v>3733</v>
      </c>
      <c r="F2032" s="218">
        <v>5</v>
      </c>
      <c r="G2032" s="51"/>
      <c r="H2032" s="52">
        <v>823</v>
      </c>
      <c r="I2032" s="218">
        <v>30</v>
      </c>
      <c r="J2032" s="19">
        <f t="shared" si="157"/>
        <v>582786</v>
      </c>
      <c r="K2032" s="51"/>
      <c r="L2032" s="50"/>
      <c r="M2032" s="51"/>
      <c r="N2032" s="19">
        <f>SUMIF('2020'!B:B,B2032,'2020'!C:C)+SUMIF('2021'!B:B,B2032,'2021'!C:C)+SUMIF('2022'!B:B,B2032,'2022'!C:C)</f>
        <v>582786</v>
      </c>
      <c r="O2032" s="219">
        <v>44925</v>
      </c>
      <c r="P2032" s="48" t="s">
        <v>3728</v>
      </c>
    </row>
    <row r="2033" spans="1:16" x14ac:dyDescent="0.3">
      <c r="A2033" s="169">
        <f t="shared" si="160"/>
        <v>1848</v>
      </c>
      <c r="B2033" s="66" t="s">
        <v>2107</v>
      </c>
      <c r="C2033" s="184">
        <v>1972</v>
      </c>
      <c r="D2033" s="51"/>
      <c r="E2033" s="48" t="s">
        <v>3733</v>
      </c>
      <c r="F2033" s="218">
        <v>5</v>
      </c>
      <c r="G2033" s="51"/>
      <c r="H2033" s="52">
        <v>2748</v>
      </c>
      <c r="I2033" s="218">
        <v>121</v>
      </c>
      <c r="J2033" s="19">
        <f t="shared" si="157"/>
        <v>1331134.8</v>
      </c>
      <c r="K2033" s="51"/>
      <c r="L2033" s="50"/>
      <c r="M2033" s="51"/>
      <c r="N2033" s="19">
        <f>SUMIF('2020'!B:B,B2033,'2020'!C:C)+SUMIF('2021'!B:B,B2033,'2021'!C:C)+SUMIF('2022'!B:B,B2033,'2022'!C:C)</f>
        <v>1331134.8</v>
      </c>
      <c r="O2033" s="219">
        <v>44925</v>
      </c>
      <c r="P2033" s="48" t="s">
        <v>3728</v>
      </c>
    </row>
    <row r="2034" spans="1:16" x14ac:dyDescent="0.3">
      <c r="A2034" s="169">
        <f t="shared" si="160"/>
        <v>1849</v>
      </c>
      <c r="B2034" s="66" t="s">
        <v>2108</v>
      </c>
      <c r="C2034" s="184">
        <v>1986</v>
      </c>
      <c r="D2034" s="51"/>
      <c r="E2034" s="48" t="s">
        <v>3729</v>
      </c>
      <c r="F2034" s="218">
        <v>5</v>
      </c>
      <c r="G2034" s="51"/>
      <c r="H2034" s="52">
        <v>3094</v>
      </c>
      <c r="I2034" s="218">
        <v>150</v>
      </c>
      <c r="J2034" s="19">
        <f t="shared" si="157"/>
        <v>19628611.199999999</v>
      </c>
      <c r="K2034" s="51"/>
      <c r="L2034" s="50"/>
      <c r="M2034" s="51"/>
      <c r="N2034" s="19">
        <f>SUMIF('2020'!B:B,B2034,'2020'!C:C)+SUMIF('2021'!B:B,B2034,'2021'!C:C)+SUMIF('2022'!B:B,B2034,'2022'!C:C)</f>
        <v>19628611.199999999</v>
      </c>
      <c r="O2034" s="219">
        <v>44925</v>
      </c>
      <c r="P2034" s="48" t="s">
        <v>3728</v>
      </c>
    </row>
    <row r="2035" spans="1:16" x14ac:dyDescent="0.3">
      <c r="A2035" s="169">
        <f t="shared" si="160"/>
        <v>1850</v>
      </c>
      <c r="B2035" s="66" t="s">
        <v>2109</v>
      </c>
      <c r="C2035" s="184">
        <v>1986</v>
      </c>
      <c r="D2035" s="51"/>
      <c r="E2035" s="48" t="s">
        <v>3729</v>
      </c>
      <c r="F2035" s="218">
        <v>5</v>
      </c>
      <c r="G2035" s="51"/>
      <c r="H2035" s="52">
        <v>5329</v>
      </c>
      <c r="I2035" s="218">
        <v>251</v>
      </c>
      <c r="J2035" s="19">
        <f t="shared" si="157"/>
        <v>34004422.799999997</v>
      </c>
      <c r="K2035" s="51"/>
      <c r="L2035" s="50"/>
      <c r="M2035" s="51"/>
      <c r="N2035" s="19">
        <f>SUMIF('2020'!B:B,B2035,'2020'!C:C)+SUMIF('2021'!B:B,B2035,'2021'!C:C)+SUMIF('2022'!B:B,B2035,'2022'!C:C)</f>
        <v>34004422.799999997</v>
      </c>
      <c r="O2035" s="219">
        <v>44925</v>
      </c>
      <c r="P2035" s="48" t="s">
        <v>3728</v>
      </c>
    </row>
    <row r="2036" spans="1:16" x14ac:dyDescent="0.3">
      <c r="A2036" s="220"/>
      <c r="B2036" s="242" t="s">
        <v>211</v>
      </c>
      <c r="C2036" s="50"/>
      <c r="D2036" s="50"/>
      <c r="E2036" s="48"/>
      <c r="F2036" s="48"/>
      <c r="G2036" s="50"/>
      <c r="H2036" s="48">
        <f>SUM(H2000:H2035)</f>
        <v>160246.39999999999</v>
      </c>
      <c r="I2036" s="218">
        <f>SUM(I2000:I2035)</f>
        <v>6411</v>
      </c>
      <c r="J2036" s="19">
        <f t="shared" si="157"/>
        <v>779950668.5599997</v>
      </c>
      <c r="K2036" s="48">
        <f>SUM(K2000:K2035)</f>
        <v>0</v>
      </c>
      <c r="L2036" s="48">
        <f>SUM(L2000:L2035)</f>
        <v>0</v>
      </c>
      <c r="M2036" s="48">
        <v>0</v>
      </c>
      <c r="N2036" s="48">
        <f>SUM(N2000:N2035)</f>
        <v>779950668.5599997</v>
      </c>
      <c r="O2036" s="50"/>
      <c r="P2036" s="50"/>
    </row>
    <row r="2037" spans="1:16" x14ac:dyDescent="0.3">
      <c r="A2037" s="461" t="s">
        <v>2110</v>
      </c>
      <c r="B2037" s="462"/>
      <c r="C2037" s="50"/>
      <c r="D2037" s="51"/>
      <c r="E2037" s="52"/>
      <c r="F2037" s="52"/>
      <c r="G2037" s="51"/>
      <c r="H2037" s="52"/>
      <c r="I2037" s="52"/>
      <c r="J2037" s="19"/>
      <c r="K2037" s="51"/>
      <c r="L2037" s="50"/>
      <c r="M2037" s="51"/>
      <c r="N2037" s="51"/>
      <c r="O2037" s="50"/>
      <c r="P2037" s="50"/>
    </row>
    <row r="2038" spans="1:16" x14ac:dyDescent="0.3">
      <c r="A2038" s="169">
        <f>A2033+1</f>
        <v>1849</v>
      </c>
      <c r="B2038" s="66" t="s">
        <v>2113</v>
      </c>
      <c r="C2038" s="184">
        <v>1975</v>
      </c>
      <c r="D2038" s="51"/>
      <c r="E2038" s="59" t="s">
        <v>3731</v>
      </c>
      <c r="F2038" s="47">
        <v>2</v>
      </c>
      <c r="G2038" s="51"/>
      <c r="H2038" s="52">
        <v>804.4</v>
      </c>
      <c r="I2038" s="47">
        <v>40</v>
      </c>
      <c r="J2038" s="19">
        <f t="shared" si="157"/>
        <v>1105979.5999999999</v>
      </c>
      <c r="K2038" s="51"/>
      <c r="L2038" s="50"/>
      <c r="M2038" s="51"/>
      <c r="N2038" s="19">
        <f>SUMIF('2020'!B:B,B2038,'2020'!C:C)+SUMIF('2021'!B:B,B2038,'2021'!C:C)+SUMIF('2022'!B:B,B2038,'2022'!C:C)</f>
        <v>1105979.5999999999</v>
      </c>
      <c r="O2038" s="219">
        <v>44925</v>
      </c>
      <c r="P2038" s="48" t="s">
        <v>3728</v>
      </c>
    </row>
    <row r="2039" spans="1:16" x14ac:dyDescent="0.3">
      <c r="A2039" s="169">
        <f t="shared" ref="A2039:A2044" si="161">A2038+1</f>
        <v>1850</v>
      </c>
      <c r="B2039" s="66" t="s">
        <v>2114</v>
      </c>
      <c r="C2039" s="184">
        <v>1975</v>
      </c>
      <c r="D2039" s="51"/>
      <c r="E2039" s="59" t="s">
        <v>3731</v>
      </c>
      <c r="F2039" s="47">
        <v>2</v>
      </c>
      <c r="G2039" s="51"/>
      <c r="H2039" s="52">
        <v>802</v>
      </c>
      <c r="I2039" s="47">
        <v>38</v>
      </c>
      <c r="J2039" s="19">
        <f t="shared" si="157"/>
        <v>1027880.8799999999</v>
      </c>
      <c r="K2039" s="51"/>
      <c r="L2039" s="50"/>
      <c r="M2039" s="51"/>
      <c r="N2039" s="19">
        <f>SUMIF('2020'!B:B,B2039,'2020'!C:C)+SUMIF('2021'!B:B,B2039,'2021'!C:C)+SUMIF('2022'!B:B,B2039,'2022'!C:C)</f>
        <v>1027880.8799999999</v>
      </c>
      <c r="O2039" s="219">
        <v>44925</v>
      </c>
      <c r="P2039" s="48" t="s">
        <v>3728</v>
      </c>
    </row>
    <row r="2040" spans="1:16" x14ac:dyDescent="0.3">
      <c r="A2040" s="169">
        <f t="shared" si="161"/>
        <v>1851</v>
      </c>
      <c r="B2040" s="66" t="s">
        <v>2115</v>
      </c>
      <c r="C2040" s="184">
        <v>1972</v>
      </c>
      <c r="D2040" s="51"/>
      <c r="E2040" s="59" t="s">
        <v>3733</v>
      </c>
      <c r="F2040" s="47">
        <v>2</v>
      </c>
      <c r="G2040" s="51"/>
      <c r="H2040" s="52">
        <v>893.4</v>
      </c>
      <c r="I2040" s="47">
        <v>67</v>
      </c>
      <c r="J2040" s="19">
        <f t="shared" si="157"/>
        <v>116124.9</v>
      </c>
      <c r="K2040" s="51"/>
      <c r="L2040" s="50"/>
      <c r="M2040" s="51"/>
      <c r="N2040" s="19">
        <f>SUMIF('2020'!B:B,B2040,'2020'!C:C)+SUMIF('2021'!B:B,B2040,'2021'!C:C)+SUMIF('2022'!B:B,B2040,'2022'!C:C)</f>
        <v>116124.9</v>
      </c>
      <c r="O2040" s="219">
        <v>44925</v>
      </c>
      <c r="P2040" s="48" t="s">
        <v>3728</v>
      </c>
    </row>
    <row r="2041" spans="1:16" x14ac:dyDescent="0.3">
      <c r="A2041" s="169">
        <f t="shared" si="161"/>
        <v>1852</v>
      </c>
      <c r="B2041" s="66" t="s">
        <v>2116</v>
      </c>
      <c r="C2041" s="184">
        <v>1973</v>
      </c>
      <c r="D2041" s="51"/>
      <c r="E2041" s="59" t="s">
        <v>3731</v>
      </c>
      <c r="F2041" s="47">
        <v>2</v>
      </c>
      <c r="G2041" s="51"/>
      <c r="H2041" s="52">
        <v>800.6</v>
      </c>
      <c r="I2041" s="47">
        <v>40</v>
      </c>
      <c r="J2041" s="19">
        <f t="shared" si="157"/>
        <v>128805.4</v>
      </c>
      <c r="K2041" s="51"/>
      <c r="L2041" s="50"/>
      <c r="M2041" s="51"/>
      <c r="N2041" s="19">
        <f>SUMIF('2020'!B:B,B2041,'2020'!C:C)+SUMIF('2021'!B:B,B2041,'2021'!C:C)+SUMIF('2022'!B:B,B2041,'2022'!C:C)</f>
        <v>128805.4</v>
      </c>
      <c r="O2041" s="219">
        <v>44925</v>
      </c>
      <c r="P2041" s="48" t="s">
        <v>3728</v>
      </c>
    </row>
    <row r="2042" spans="1:16" x14ac:dyDescent="0.3">
      <c r="A2042" s="169">
        <f t="shared" si="161"/>
        <v>1853</v>
      </c>
      <c r="B2042" s="66" t="s">
        <v>2117</v>
      </c>
      <c r="C2042" s="184">
        <v>1974</v>
      </c>
      <c r="D2042" s="51"/>
      <c r="E2042" s="59" t="s">
        <v>3731</v>
      </c>
      <c r="F2042" s="47">
        <v>2</v>
      </c>
      <c r="G2042" s="51"/>
      <c r="H2042" s="52">
        <v>804</v>
      </c>
      <c r="I2042" s="47">
        <v>29</v>
      </c>
      <c r="J2042" s="19">
        <f t="shared" si="157"/>
        <v>938058.14</v>
      </c>
      <c r="K2042" s="51"/>
      <c r="L2042" s="50"/>
      <c r="M2042" s="51"/>
      <c r="N2042" s="19">
        <f>SUMIF('2020'!B:B,B2042,'2020'!C:C)+SUMIF('2021'!B:B,B2042,'2021'!C:C)+SUMIF('2022'!B:B,B2042,'2022'!C:C)</f>
        <v>938058.14</v>
      </c>
      <c r="O2042" s="219">
        <v>44925</v>
      </c>
      <c r="P2042" s="48" t="s">
        <v>3728</v>
      </c>
    </row>
    <row r="2043" spans="1:16" x14ac:dyDescent="0.3">
      <c r="A2043" s="169">
        <f t="shared" si="161"/>
        <v>1854</v>
      </c>
      <c r="B2043" s="66" t="s">
        <v>2118</v>
      </c>
      <c r="C2043" s="184">
        <v>1974</v>
      </c>
      <c r="D2043" s="51"/>
      <c r="E2043" s="59" t="s">
        <v>3731</v>
      </c>
      <c r="F2043" s="47">
        <v>2</v>
      </c>
      <c r="G2043" s="51"/>
      <c r="H2043" s="52">
        <v>803.6</v>
      </c>
      <c r="I2043" s="47">
        <v>39</v>
      </c>
      <c r="J2043" s="19">
        <f t="shared" si="157"/>
        <v>1079144.3999999999</v>
      </c>
      <c r="K2043" s="51"/>
      <c r="L2043" s="50"/>
      <c r="M2043" s="51"/>
      <c r="N2043" s="19">
        <f>SUMIF('2020'!B:B,B2043,'2020'!C:C)+SUMIF('2021'!B:B,B2043,'2021'!C:C)+SUMIF('2022'!B:B,B2043,'2022'!C:C)</f>
        <v>1079144.3999999999</v>
      </c>
      <c r="O2043" s="219">
        <v>44925</v>
      </c>
      <c r="P2043" s="48" t="s">
        <v>3728</v>
      </c>
    </row>
    <row r="2044" spans="1:16" x14ac:dyDescent="0.3">
      <c r="A2044" s="169">
        <f t="shared" si="161"/>
        <v>1855</v>
      </c>
      <c r="B2044" s="66" t="s">
        <v>2119</v>
      </c>
      <c r="C2044" s="184">
        <v>1975</v>
      </c>
      <c r="D2044" s="51"/>
      <c r="E2044" s="59" t="s">
        <v>3731</v>
      </c>
      <c r="F2044" s="47">
        <v>2</v>
      </c>
      <c r="G2044" s="51"/>
      <c r="H2044" s="52">
        <v>802.6</v>
      </c>
      <c r="I2044" s="47">
        <v>40</v>
      </c>
      <c r="J2044" s="19">
        <f t="shared" si="157"/>
        <v>890755.8</v>
      </c>
      <c r="K2044" s="51"/>
      <c r="L2044" s="50"/>
      <c r="M2044" s="51"/>
      <c r="N2044" s="19">
        <f>SUMIF('2020'!B:B,B2044,'2020'!C:C)+SUMIF('2021'!B:B,B2044,'2021'!C:C)+SUMIF('2022'!B:B,B2044,'2022'!C:C)</f>
        <v>890755.8</v>
      </c>
      <c r="O2044" s="219">
        <v>44925</v>
      </c>
      <c r="P2044" s="48" t="s">
        <v>3728</v>
      </c>
    </row>
    <row r="2045" spans="1:16" x14ac:dyDescent="0.3">
      <c r="A2045" s="169"/>
      <c r="B2045" s="242" t="s">
        <v>211</v>
      </c>
      <c r="C2045" s="50"/>
      <c r="D2045" s="50"/>
      <c r="E2045" s="48"/>
      <c r="F2045" s="47"/>
      <c r="G2045" s="50"/>
      <c r="H2045" s="48">
        <f>SUM(H2038:H2044)</f>
        <v>5710.6</v>
      </c>
      <c r="I2045" s="47">
        <f>SUM(I2038:I2044)</f>
        <v>293</v>
      </c>
      <c r="J2045" s="19">
        <f t="shared" ref="J2045:J2057" si="162">K2045+L2045+M2045+N2045</f>
        <v>5286749.1199999992</v>
      </c>
      <c r="K2045" s="50">
        <v>0</v>
      </c>
      <c r="L2045" s="50">
        <v>0</v>
      </c>
      <c r="M2045" s="50">
        <v>0</v>
      </c>
      <c r="N2045" s="50">
        <f>SUM(N2038:N2044)</f>
        <v>5286749.1199999992</v>
      </c>
      <c r="O2045" s="50"/>
      <c r="P2045" s="50"/>
    </row>
    <row r="2046" spans="1:16" x14ac:dyDescent="0.3">
      <c r="A2046" s="461" t="s">
        <v>2120</v>
      </c>
      <c r="B2046" s="462"/>
      <c r="C2046" s="50"/>
      <c r="D2046" s="51"/>
      <c r="E2046" s="52"/>
      <c r="F2046" s="52"/>
      <c r="G2046" s="51"/>
      <c r="H2046" s="52"/>
      <c r="I2046" s="52"/>
      <c r="J2046" s="19"/>
      <c r="K2046" s="51"/>
      <c r="L2046" s="50"/>
      <c r="M2046" s="51"/>
      <c r="N2046" s="51"/>
      <c r="O2046" s="50"/>
      <c r="P2046" s="50"/>
    </row>
    <row r="2047" spans="1:16" x14ac:dyDescent="0.3">
      <c r="A2047" s="169">
        <f>A2042+1</f>
        <v>1854</v>
      </c>
      <c r="B2047" s="66" t="s">
        <v>2121</v>
      </c>
      <c r="C2047" s="184">
        <v>1971</v>
      </c>
      <c r="D2047" s="51"/>
      <c r="E2047" s="48" t="s">
        <v>3733</v>
      </c>
      <c r="F2047" s="47">
        <v>2</v>
      </c>
      <c r="G2047" s="51"/>
      <c r="H2047" s="52">
        <v>523.1</v>
      </c>
      <c r="I2047" s="47">
        <v>27</v>
      </c>
      <c r="J2047" s="19">
        <f t="shared" si="162"/>
        <v>958109.22</v>
      </c>
      <c r="K2047" s="51"/>
      <c r="L2047" s="50"/>
      <c r="M2047" s="51"/>
      <c r="N2047" s="19">
        <f>SUMIF('2020'!B:B,B2047,'2020'!C:C)+SUMIF('2021'!B:B,B2047,'2021'!C:C)+SUMIF('2022'!B:B,B2047,'2022'!C:C)</f>
        <v>958109.22</v>
      </c>
      <c r="O2047" s="219">
        <v>44925</v>
      </c>
      <c r="P2047" s="48" t="s">
        <v>3728</v>
      </c>
    </row>
    <row r="2048" spans="1:16" x14ac:dyDescent="0.3">
      <c r="A2048" s="169">
        <f t="shared" ref="A2048:A2056" si="163">A2047+1</f>
        <v>1855</v>
      </c>
      <c r="B2048" s="66" t="s">
        <v>2122</v>
      </c>
      <c r="C2048" s="184">
        <v>1964</v>
      </c>
      <c r="D2048" s="51"/>
      <c r="E2048" s="48" t="s">
        <v>4090</v>
      </c>
      <c r="F2048" s="47">
        <v>2</v>
      </c>
      <c r="G2048" s="51"/>
      <c r="H2048" s="48">
        <v>322.10000000000002</v>
      </c>
      <c r="I2048" s="47">
        <v>15</v>
      </c>
      <c r="J2048" s="19">
        <f t="shared" si="162"/>
        <v>467788.99</v>
      </c>
      <c r="K2048" s="51"/>
      <c r="L2048" s="50"/>
      <c r="M2048" s="51"/>
      <c r="N2048" s="19">
        <f>SUMIF('2020'!B:B,B2048,'2020'!C:C)+SUMIF('2021'!B:B,B2048,'2021'!C:C)+SUMIF('2022'!B:B,B2048,'2022'!C:C)</f>
        <v>467788.99</v>
      </c>
      <c r="O2048" s="219">
        <v>44925</v>
      </c>
      <c r="P2048" s="48" t="s">
        <v>3728</v>
      </c>
    </row>
    <row r="2049" spans="1:16" x14ac:dyDescent="0.3">
      <c r="A2049" s="169">
        <f t="shared" si="163"/>
        <v>1856</v>
      </c>
      <c r="B2049" s="66" t="s">
        <v>2123</v>
      </c>
      <c r="C2049" s="184">
        <v>1982</v>
      </c>
      <c r="D2049" s="51"/>
      <c r="E2049" s="52" t="s">
        <v>4108</v>
      </c>
      <c r="F2049" s="47">
        <v>2</v>
      </c>
      <c r="G2049" s="51"/>
      <c r="H2049" s="52">
        <v>264.8</v>
      </c>
      <c r="I2049" s="47">
        <v>12</v>
      </c>
      <c r="J2049" s="19">
        <f t="shared" si="162"/>
        <v>237716.99</v>
      </c>
      <c r="K2049" s="51"/>
      <c r="L2049" s="50"/>
      <c r="M2049" s="51"/>
      <c r="N2049" s="19">
        <f>SUMIF('2020'!B:B,B2049,'2020'!C:C)+SUMIF('2021'!B:B,B2049,'2021'!C:C)+SUMIF('2022'!B:B,B2049,'2022'!C:C)</f>
        <v>237716.99</v>
      </c>
      <c r="O2049" s="219">
        <v>44925</v>
      </c>
      <c r="P2049" s="48" t="s">
        <v>3728</v>
      </c>
    </row>
    <row r="2050" spans="1:16" x14ac:dyDescent="0.3">
      <c r="A2050" s="169">
        <f t="shared" si="163"/>
        <v>1857</v>
      </c>
      <c r="B2050" s="66" t="s">
        <v>2124</v>
      </c>
      <c r="C2050" s="184">
        <v>1990</v>
      </c>
      <c r="D2050" s="51"/>
      <c r="E2050" s="52" t="s">
        <v>4108</v>
      </c>
      <c r="F2050" s="47">
        <v>2</v>
      </c>
      <c r="G2050" s="51"/>
      <c r="H2050" s="52">
        <v>322.7</v>
      </c>
      <c r="I2050" s="47">
        <v>18</v>
      </c>
      <c r="J2050" s="19">
        <f t="shared" si="162"/>
        <v>171285.78</v>
      </c>
      <c r="K2050" s="51"/>
      <c r="L2050" s="50"/>
      <c r="M2050" s="51"/>
      <c r="N2050" s="19">
        <f>SUMIF('2020'!B:B,B2050,'2020'!C:C)+SUMIF('2021'!B:B,B2050,'2021'!C:C)+SUMIF('2022'!B:B,B2050,'2022'!C:C)</f>
        <v>171285.78</v>
      </c>
      <c r="O2050" s="219">
        <v>44925</v>
      </c>
      <c r="P2050" s="48" t="s">
        <v>3728</v>
      </c>
    </row>
    <row r="2051" spans="1:16" x14ac:dyDescent="0.3">
      <c r="A2051" s="169">
        <f t="shared" si="163"/>
        <v>1858</v>
      </c>
      <c r="B2051" s="66" t="s">
        <v>2125</v>
      </c>
      <c r="C2051" s="184">
        <v>1987</v>
      </c>
      <c r="D2051" s="51"/>
      <c r="E2051" s="48" t="s">
        <v>4108</v>
      </c>
      <c r="F2051" s="47">
        <v>2</v>
      </c>
      <c r="G2051" s="51"/>
      <c r="H2051" s="52">
        <v>360</v>
      </c>
      <c r="I2051" s="47">
        <v>22</v>
      </c>
      <c r="J2051" s="19">
        <f t="shared" si="162"/>
        <v>89594.89</v>
      </c>
      <c r="K2051" s="51"/>
      <c r="L2051" s="50"/>
      <c r="M2051" s="51"/>
      <c r="N2051" s="19">
        <f>SUMIF('2020'!B:B,B2051,'2020'!C:C)+SUMIF('2021'!B:B,B2051,'2021'!C:C)+SUMIF('2022'!B:B,B2051,'2022'!C:C)</f>
        <v>89594.89</v>
      </c>
      <c r="O2051" s="219">
        <v>44925</v>
      </c>
      <c r="P2051" s="48" t="s">
        <v>3728</v>
      </c>
    </row>
    <row r="2052" spans="1:16" x14ac:dyDescent="0.3">
      <c r="A2052" s="169">
        <f t="shared" si="163"/>
        <v>1859</v>
      </c>
      <c r="B2052" s="66" t="s">
        <v>2126</v>
      </c>
      <c r="C2052" s="184">
        <v>1975</v>
      </c>
      <c r="D2052" s="51"/>
      <c r="E2052" s="48" t="s">
        <v>3729</v>
      </c>
      <c r="F2052" s="47">
        <v>2</v>
      </c>
      <c r="G2052" s="51"/>
      <c r="H2052" s="52">
        <v>487.1</v>
      </c>
      <c r="I2052" s="47">
        <v>24</v>
      </c>
      <c r="J2052" s="19">
        <f t="shared" si="162"/>
        <v>899960.42</v>
      </c>
      <c r="K2052" s="51"/>
      <c r="L2052" s="50"/>
      <c r="M2052" s="51"/>
      <c r="N2052" s="19">
        <f>SUMIF('2020'!B:B,B2052,'2020'!C:C)+SUMIF('2021'!B:B,B2052,'2021'!C:C)+SUMIF('2022'!B:B,B2052,'2022'!C:C)</f>
        <v>899960.42</v>
      </c>
      <c r="O2052" s="219">
        <v>44925</v>
      </c>
      <c r="P2052" s="48" t="s">
        <v>3728</v>
      </c>
    </row>
    <row r="2053" spans="1:16" x14ac:dyDescent="0.3">
      <c r="A2053" s="169">
        <f t="shared" si="163"/>
        <v>1860</v>
      </c>
      <c r="B2053" s="66" t="s">
        <v>2127</v>
      </c>
      <c r="C2053" s="184">
        <v>1976</v>
      </c>
      <c r="D2053" s="51"/>
      <c r="E2053" s="52" t="s">
        <v>3733</v>
      </c>
      <c r="F2053" s="47">
        <v>2</v>
      </c>
      <c r="G2053" s="51"/>
      <c r="H2053" s="52">
        <v>579.79999999999995</v>
      </c>
      <c r="I2053" s="47">
        <v>15</v>
      </c>
      <c r="J2053" s="19">
        <f t="shared" si="162"/>
        <v>150205.01999999999</v>
      </c>
      <c r="K2053" s="51"/>
      <c r="L2053" s="50"/>
      <c r="M2053" s="51"/>
      <c r="N2053" s="19">
        <f>SUMIF('2020'!B:B,B2053,'2020'!C:C)+SUMIF('2021'!B:B,B2053,'2021'!C:C)+SUMIF('2022'!B:B,B2053,'2022'!C:C)</f>
        <v>150205.01999999999</v>
      </c>
      <c r="O2053" s="219">
        <v>44925</v>
      </c>
      <c r="P2053" s="48" t="s">
        <v>3728</v>
      </c>
    </row>
    <row r="2054" spans="1:16" x14ac:dyDescent="0.3">
      <c r="A2054" s="169">
        <f t="shared" si="163"/>
        <v>1861</v>
      </c>
      <c r="B2054" s="66" t="s">
        <v>2128</v>
      </c>
      <c r="C2054" s="184">
        <v>1977</v>
      </c>
      <c r="D2054" s="51"/>
      <c r="E2054" s="52" t="s">
        <v>3733</v>
      </c>
      <c r="F2054" s="47">
        <v>2</v>
      </c>
      <c r="G2054" s="51"/>
      <c r="H2054" s="52">
        <v>585.9</v>
      </c>
      <c r="I2054" s="47">
        <v>26</v>
      </c>
      <c r="J2054" s="19">
        <f t="shared" si="162"/>
        <v>151821.91</v>
      </c>
      <c r="K2054" s="51"/>
      <c r="L2054" s="50"/>
      <c r="M2054" s="51"/>
      <c r="N2054" s="19">
        <f>SUMIF('2020'!B:B,B2054,'2020'!C:C)+SUMIF('2021'!B:B,B2054,'2021'!C:C)+SUMIF('2022'!B:B,B2054,'2022'!C:C)</f>
        <v>151821.91</v>
      </c>
      <c r="O2054" s="219">
        <v>44925</v>
      </c>
      <c r="P2054" s="48" t="s">
        <v>3728</v>
      </c>
    </row>
    <row r="2055" spans="1:16" x14ac:dyDescent="0.3">
      <c r="A2055" s="169">
        <f t="shared" si="163"/>
        <v>1862</v>
      </c>
      <c r="B2055" s="66" t="s">
        <v>2129</v>
      </c>
      <c r="C2055" s="184">
        <v>1974</v>
      </c>
      <c r="D2055" s="51"/>
      <c r="E2055" s="48" t="s">
        <v>3729</v>
      </c>
      <c r="F2055" s="47">
        <v>2</v>
      </c>
      <c r="G2055" s="51"/>
      <c r="H2055" s="52">
        <v>540.20000000000005</v>
      </c>
      <c r="I2055" s="47">
        <v>22</v>
      </c>
      <c r="J2055" s="19">
        <f t="shared" si="162"/>
        <v>1641689.29</v>
      </c>
      <c r="K2055" s="51"/>
      <c r="L2055" s="50"/>
      <c r="M2055" s="51"/>
      <c r="N2055" s="19">
        <f>SUMIF('2020'!B:B,B2055,'2020'!C:C)+SUMIF('2021'!B:B,B2055,'2021'!C:C)+SUMIF('2022'!B:B,B2055,'2022'!C:C)</f>
        <v>1641689.29</v>
      </c>
      <c r="O2055" s="219">
        <v>44925</v>
      </c>
      <c r="P2055" s="48" t="s">
        <v>3728</v>
      </c>
    </row>
    <row r="2056" spans="1:16" x14ac:dyDescent="0.3">
      <c r="A2056" s="169">
        <f t="shared" si="163"/>
        <v>1863</v>
      </c>
      <c r="B2056" s="66" t="s">
        <v>2130</v>
      </c>
      <c r="C2056" s="184">
        <v>1974</v>
      </c>
      <c r="D2056" s="51"/>
      <c r="E2056" s="52" t="s">
        <v>3729</v>
      </c>
      <c r="F2056" s="47">
        <v>2</v>
      </c>
      <c r="G2056" s="51"/>
      <c r="H2056" s="52">
        <v>541.29999999999995</v>
      </c>
      <c r="I2056" s="47">
        <v>16</v>
      </c>
      <c r="J2056" s="19">
        <f t="shared" si="162"/>
        <v>409058.01</v>
      </c>
      <c r="K2056" s="51"/>
      <c r="L2056" s="50"/>
      <c r="M2056" s="51"/>
      <c r="N2056" s="19">
        <f>SUMIF('2020'!B:B,B2056,'2020'!C:C)+SUMIF('2021'!B:B,B2056,'2021'!C:C)+SUMIF('2022'!B:B,B2056,'2022'!C:C)</f>
        <v>409058.01</v>
      </c>
      <c r="O2056" s="219">
        <v>44925</v>
      </c>
      <c r="P2056" s="48" t="s">
        <v>3728</v>
      </c>
    </row>
    <row r="2057" spans="1:16" x14ac:dyDescent="0.3">
      <c r="A2057" s="39"/>
      <c r="B2057" s="242" t="s">
        <v>211</v>
      </c>
      <c r="C2057" s="50"/>
      <c r="D2057" s="50"/>
      <c r="E2057" s="48"/>
      <c r="F2057" s="48"/>
      <c r="G2057" s="50"/>
      <c r="H2057" s="48">
        <f>SUM(H2047:H2056)</f>
        <v>4527.0000000000009</v>
      </c>
      <c r="I2057" s="47">
        <f>SUM(I2047:I2056)</f>
        <v>197</v>
      </c>
      <c r="J2057" s="19">
        <f t="shared" si="162"/>
        <v>5177230.5199999996</v>
      </c>
      <c r="K2057" s="50">
        <v>0</v>
      </c>
      <c r="L2057" s="50">
        <v>0</v>
      </c>
      <c r="M2057" s="50">
        <v>0</v>
      </c>
      <c r="N2057" s="50">
        <f>SUM(N2047:N2056)</f>
        <v>5177230.5199999996</v>
      </c>
      <c r="O2057" s="50"/>
      <c r="P2057" s="50"/>
    </row>
    <row r="2058" spans="1:16" s="160" customFormat="1" x14ac:dyDescent="0.3">
      <c r="A2058" s="240"/>
      <c r="B2058" s="241" t="s">
        <v>2131</v>
      </c>
      <c r="C2058" s="67"/>
      <c r="D2058" s="67"/>
      <c r="E2058" s="172"/>
      <c r="F2058" s="172"/>
      <c r="G2058" s="67"/>
      <c r="H2058" s="67">
        <f t="shared" ref="H2058:M2058" si="164">H2057+H2045+H2036+H1998+H1984</f>
        <v>198558.2</v>
      </c>
      <c r="I2058" s="67">
        <f t="shared" si="164"/>
        <v>8453</v>
      </c>
      <c r="J2058" s="67">
        <f t="shared" si="164"/>
        <v>811945366.6899997</v>
      </c>
      <c r="K2058" s="67">
        <f t="shared" si="164"/>
        <v>0</v>
      </c>
      <c r="L2058" s="67">
        <f t="shared" si="164"/>
        <v>0</v>
      </c>
      <c r="M2058" s="67">
        <f t="shared" si="164"/>
        <v>0</v>
      </c>
      <c r="N2058" s="67">
        <f>N2057+N2045+N2036+N1998+N1984</f>
        <v>811945366.6899997</v>
      </c>
      <c r="O2058" s="67"/>
      <c r="P2058" s="67"/>
    </row>
    <row r="2059" spans="1:16" s="160" customFormat="1" x14ac:dyDescent="0.3">
      <c r="A2059" s="464" t="s">
        <v>2132</v>
      </c>
      <c r="B2059" s="465"/>
      <c r="C2059" s="465"/>
      <c r="D2059" s="465"/>
      <c r="E2059" s="465"/>
      <c r="F2059" s="465"/>
      <c r="G2059" s="465"/>
      <c r="H2059" s="465"/>
      <c r="I2059" s="465"/>
      <c r="J2059" s="465"/>
      <c r="K2059" s="465"/>
      <c r="L2059" s="465"/>
      <c r="M2059" s="465"/>
      <c r="N2059" s="465"/>
      <c r="O2059" s="465"/>
      <c r="P2059" s="466"/>
    </row>
    <row r="2060" spans="1:16" x14ac:dyDescent="0.3">
      <c r="A2060" s="461" t="s">
        <v>2133</v>
      </c>
      <c r="B2060" s="471"/>
      <c r="C2060" s="50"/>
      <c r="D2060" s="51"/>
      <c r="E2060" s="172"/>
      <c r="F2060" s="172"/>
      <c r="G2060" s="67"/>
      <c r="H2060" s="172"/>
      <c r="I2060" s="172"/>
      <c r="J2060" s="67"/>
      <c r="K2060" s="67"/>
      <c r="L2060" s="67"/>
      <c r="M2060" s="67"/>
      <c r="N2060" s="67"/>
      <c r="O2060" s="67"/>
      <c r="P2060" s="67"/>
    </row>
    <row r="2061" spans="1:16" x14ac:dyDescent="0.3">
      <c r="A2061" s="169">
        <f>A2056+1</f>
        <v>1864</v>
      </c>
      <c r="B2061" s="60" t="s">
        <v>2134</v>
      </c>
      <c r="C2061" s="184">
        <v>1972</v>
      </c>
      <c r="D2061" s="51"/>
      <c r="E2061" s="243" t="s">
        <v>3731</v>
      </c>
      <c r="F2061" s="243">
        <v>5</v>
      </c>
      <c r="G2061" s="50"/>
      <c r="H2061" s="243">
        <v>4407</v>
      </c>
      <c r="I2061" s="243">
        <v>221</v>
      </c>
      <c r="J2061" s="19">
        <f t="shared" ref="J2061:J2123" si="165">K2061+L2061+M2061+N2061</f>
        <v>1937238.12</v>
      </c>
      <c r="K2061" s="50"/>
      <c r="L2061" s="50"/>
      <c r="M2061" s="50"/>
      <c r="N2061" s="19">
        <f>SUMIF('2020'!B:B,B2061,'2020'!C:C)+SUMIF('2021'!B:B,B2061,'2021'!C:C)+SUMIF('2022'!B:B,B2061,'2022'!C:C)</f>
        <v>1937238.12</v>
      </c>
      <c r="O2061" s="219">
        <v>44925</v>
      </c>
      <c r="P2061" s="48" t="s">
        <v>3728</v>
      </c>
    </row>
    <row r="2062" spans="1:16" x14ac:dyDescent="0.3">
      <c r="A2062" s="169">
        <f t="shared" ref="A2062:A2075" si="166">A2061+1</f>
        <v>1865</v>
      </c>
      <c r="B2062" s="60" t="s">
        <v>2135</v>
      </c>
      <c r="C2062" s="184">
        <v>1975</v>
      </c>
      <c r="D2062" s="51"/>
      <c r="E2062" s="243" t="s">
        <v>3731</v>
      </c>
      <c r="F2062" s="244">
        <v>5</v>
      </c>
      <c r="G2062" s="50"/>
      <c r="H2062" s="244">
        <v>4314.7</v>
      </c>
      <c r="I2062" s="244">
        <v>232</v>
      </c>
      <c r="J2062" s="19">
        <f t="shared" si="165"/>
        <v>130000</v>
      </c>
      <c r="K2062" s="50"/>
      <c r="L2062" s="50"/>
      <c r="M2062" s="50"/>
      <c r="N2062" s="19">
        <f>SUMIF('2020'!B:B,B2062,'2020'!C:C)+SUMIF('2021'!B:B,B2062,'2021'!C:C)+SUMIF('2022'!B:B,B2062,'2022'!C:C)</f>
        <v>130000</v>
      </c>
      <c r="O2062" s="219">
        <v>44925</v>
      </c>
      <c r="P2062" s="48" t="s">
        <v>3728</v>
      </c>
    </row>
    <row r="2063" spans="1:16" x14ac:dyDescent="0.3">
      <c r="A2063" s="169">
        <f t="shared" si="166"/>
        <v>1866</v>
      </c>
      <c r="B2063" s="60" t="s">
        <v>2136</v>
      </c>
      <c r="C2063" s="184">
        <v>1976</v>
      </c>
      <c r="D2063" s="51"/>
      <c r="E2063" s="244" t="s">
        <v>3733</v>
      </c>
      <c r="F2063" s="244">
        <v>5</v>
      </c>
      <c r="G2063" s="50"/>
      <c r="H2063" s="244">
        <v>3414.6</v>
      </c>
      <c r="I2063" s="244">
        <v>163</v>
      </c>
      <c r="J2063" s="19">
        <f t="shared" si="165"/>
        <v>1541338.39</v>
      </c>
      <c r="K2063" s="50"/>
      <c r="L2063" s="50"/>
      <c r="M2063" s="50"/>
      <c r="N2063" s="19">
        <f>SUMIF('2020'!B:B,B2063,'2020'!C:C)+SUMIF('2021'!B:B,B2063,'2021'!C:C)+SUMIF('2022'!B:B,B2063,'2022'!C:C)</f>
        <v>1541338.39</v>
      </c>
      <c r="O2063" s="219">
        <v>44925</v>
      </c>
      <c r="P2063" s="48" t="s">
        <v>3728</v>
      </c>
    </row>
    <row r="2064" spans="1:16" x14ac:dyDescent="0.3">
      <c r="A2064" s="169">
        <f t="shared" si="166"/>
        <v>1867</v>
      </c>
      <c r="B2064" s="60" t="s">
        <v>2137</v>
      </c>
      <c r="C2064" s="184">
        <v>1956</v>
      </c>
      <c r="D2064" s="51"/>
      <c r="E2064" s="244" t="s">
        <v>3733</v>
      </c>
      <c r="F2064" s="244">
        <v>2</v>
      </c>
      <c r="G2064" s="50"/>
      <c r="H2064" s="244">
        <v>725.1</v>
      </c>
      <c r="I2064" s="244">
        <v>40</v>
      </c>
      <c r="J2064" s="19">
        <f t="shared" si="165"/>
        <v>631939.43000000005</v>
      </c>
      <c r="K2064" s="50"/>
      <c r="L2064" s="50"/>
      <c r="M2064" s="50"/>
      <c r="N2064" s="19">
        <f>SUMIF('2020'!B:B,B2064,'2020'!C:C)+SUMIF('2021'!B:B,B2064,'2021'!C:C)+SUMIF('2022'!B:B,B2064,'2022'!C:C)</f>
        <v>631939.43000000005</v>
      </c>
      <c r="O2064" s="219">
        <v>44925</v>
      </c>
      <c r="P2064" s="48" t="s">
        <v>3728</v>
      </c>
    </row>
    <row r="2065" spans="1:16" x14ac:dyDescent="0.3">
      <c r="A2065" s="169">
        <f t="shared" si="166"/>
        <v>1868</v>
      </c>
      <c r="B2065" s="60" t="s">
        <v>2138</v>
      </c>
      <c r="C2065" s="184">
        <v>1955</v>
      </c>
      <c r="D2065" s="51"/>
      <c r="E2065" s="244" t="s">
        <v>3733</v>
      </c>
      <c r="F2065" s="244">
        <v>2</v>
      </c>
      <c r="G2065" s="50"/>
      <c r="H2065" s="244">
        <v>641.1</v>
      </c>
      <c r="I2065" s="244">
        <v>26</v>
      </c>
      <c r="J2065" s="19">
        <f t="shared" si="165"/>
        <v>1936874.52</v>
      </c>
      <c r="K2065" s="50"/>
      <c r="L2065" s="50"/>
      <c r="M2065" s="50"/>
      <c r="N2065" s="19">
        <f>SUMIF('2020'!B:B,B2065,'2020'!C:C)+SUMIF('2021'!B:B,B2065,'2021'!C:C)+SUMIF('2022'!B:B,B2065,'2022'!C:C)</f>
        <v>1936874.52</v>
      </c>
      <c r="O2065" s="219">
        <v>44925</v>
      </c>
      <c r="P2065" s="48" t="s">
        <v>3728</v>
      </c>
    </row>
    <row r="2066" spans="1:16" x14ac:dyDescent="0.3">
      <c r="A2066" s="169">
        <f t="shared" si="166"/>
        <v>1869</v>
      </c>
      <c r="B2066" s="60" t="s">
        <v>2139</v>
      </c>
      <c r="C2066" s="184">
        <v>1955</v>
      </c>
      <c r="D2066" s="51"/>
      <c r="E2066" s="244" t="s">
        <v>3733</v>
      </c>
      <c r="F2066" s="244">
        <v>2</v>
      </c>
      <c r="G2066" s="50"/>
      <c r="H2066" s="244">
        <v>638.4</v>
      </c>
      <c r="I2066" s="244">
        <v>40</v>
      </c>
      <c r="J2066" s="19">
        <f t="shared" si="165"/>
        <v>1622769.7200000002</v>
      </c>
      <c r="K2066" s="50"/>
      <c r="L2066" s="50"/>
      <c r="M2066" s="50"/>
      <c r="N2066" s="19">
        <f>SUMIF('2020'!B:B,B2066,'2020'!C:C)+SUMIF('2021'!B:B,B2066,'2021'!C:C)+SUMIF('2022'!B:B,B2066,'2022'!C:C)</f>
        <v>1622769.7200000002</v>
      </c>
      <c r="O2066" s="219">
        <v>44925</v>
      </c>
      <c r="P2066" s="48" t="s">
        <v>3728</v>
      </c>
    </row>
    <row r="2067" spans="1:16" x14ac:dyDescent="0.3">
      <c r="A2067" s="169">
        <f t="shared" si="166"/>
        <v>1870</v>
      </c>
      <c r="B2067" s="60" t="s">
        <v>2140</v>
      </c>
      <c r="C2067" s="184">
        <v>1956</v>
      </c>
      <c r="D2067" s="51"/>
      <c r="E2067" s="243" t="s">
        <v>3733</v>
      </c>
      <c r="F2067" s="243">
        <v>2</v>
      </c>
      <c r="G2067" s="50"/>
      <c r="H2067" s="243">
        <v>781.9</v>
      </c>
      <c r="I2067" s="243">
        <v>32</v>
      </c>
      <c r="J2067" s="19">
        <f t="shared" si="165"/>
        <v>2479604.7400000002</v>
      </c>
      <c r="K2067" s="50"/>
      <c r="L2067" s="50"/>
      <c r="M2067" s="50"/>
      <c r="N2067" s="19">
        <f>SUMIF('2020'!B:B,B2067,'2020'!C:C)+SUMIF('2021'!B:B,B2067,'2021'!C:C)+SUMIF('2022'!B:B,B2067,'2022'!C:C)</f>
        <v>2479604.7400000002</v>
      </c>
      <c r="O2067" s="219">
        <v>44925</v>
      </c>
      <c r="P2067" s="48" t="s">
        <v>3728</v>
      </c>
    </row>
    <row r="2068" spans="1:16" x14ac:dyDescent="0.3">
      <c r="A2068" s="169">
        <f t="shared" si="166"/>
        <v>1871</v>
      </c>
      <c r="B2068" s="60" t="s">
        <v>2141</v>
      </c>
      <c r="C2068" s="184">
        <v>1960</v>
      </c>
      <c r="D2068" s="51"/>
      <c r="E2068" s="243" t="s">
        <v>3733</v>
      </c>
      <c r="F2068" s="243">
        <v>3</v>
      </c>
      <c r="G2068" s="50"/>
      <c r="H2068" s="243">
        <v>1523.3</v>
      </c>
      <c r="I2068" s="243">
        <v>68</v>
      </c>
      <c r="J2068" s="19">
        <f t="shared" si="165"/>
        <v>8595539.7400000002</v>
      </c>
      <c r="K2068" s="50"/>
      <c r="L2068" s="50"/>
      <c r="M2068" s="50"/>
      <c r="N2068" s="19">
        <f>SUMIF('2020'!B:B,B2068,'2020'!C:C)+SUMIF('2021'!B:B,B2068,'2021'!C:C)+SUMIF('2022'!B:B,B2068,'2022'!C:C)</f>
        <v>8595539.7400000002</v>
      </c>
      <c r="O2068" s="219">
        <v>44925</v>
      </c>
      <c r="P2068" s="48" t="s">
        <v>3728</v>
      </c>
    </row>
    <row r="2069" spans="1:16" x14ac:dyDescent="0.3">
      <c r="A2069" s="169">
        <f t="shared" si="166"/>
        <v>1872</v>
      </c>
      <c r="B2069" s="60" t="s">
        <v>2143</v>
      </c>
      <c r="C2069" s="184">
        <v>1959</v>
      </c>
      <c r="D2069" s="51"/>
      <c r="E2069" s="243" t="s">
        <v>3733</v>
      </c>
      <c r="F2069" s="243">
        <v>3</v>
      </c>
      <c r="G2069" s="50"/>
      <c r="H2069" s="243">
        <v>1609.6</v>
      </c>
      <c r="I2069" s="243">
        <v>65</v>
      </c>
      <c r="J2069" s="19">
        <f t="shared" si="165"/>
        <v>313276.81999999995</v>
      </c>
      <c r="K2069" s="50"/>
      <c r="L2069" s="50"/>
      <c r="M2069" s="50"/>
      <c r="N2069" s="19">
        <f>SUMIF('2020'!B:B,B2069,'2020'!C:C)+SUMIF('2021'!B:B,B2069,'2021'!C:C)+SUMIF('2022'!B:B,B2069,'2022'!C:C)</f>
        <v>313276.81999999995</v>
      </c>
      <c r="O2069" s="219">
        <v>44925</v>
      </c>
      <c r="P2069" s="48" t="s">
        <v>3728</v>
      </c>
    </row>
    <row r="2070" spans="1:16" x14ac:dyDescent="0.3">
      <c r="A2070" s="169">
        <f t="shared" si="166"/>
        <v>1873</v>
      </c>
      <c r="B2070" s="60" t="s">
        <v>2144</v>
      </c>
      <c r="C2070" s="184">
        <v>1957</v>
      </c>
      <c r="D2070" s="51"/>
      <c r="E2070" s="244" t="s">
        <v>3733</v>
      </c>
      <c r="F2070" s="245">
        <v>3</v>
      </c>
      <c r="G2070" s="50"/>
      <c r="H2070" s="224">
        <v>905.56</v>
      </c>
      <c r="I2070" s="246">
        <v>46</v>
      </c>
      <c r="J2070" s="19">
        <f t="shared" si="165"/>
        <v>835472.64</v>
      </c>
      <c r="K2070" s="50"/>
      <c r="L2070" s="50"/>
      <c r="M2070" s="50"/>
      <c r="N2070" s="19">
        <f>SUMIF('2020'!B:B,B2070,'2020'!C:C)+SUMIF('2021'!B:B,B2070,'2021'!C:C)+SUMIF('2022'!B:B,B2070,'2022'!C:C)</f>
        <v>835472.64</v>
      </c>
      <c r="O2070" s="219">
        <v>44925</v>
      </c>
      <c r="P2070" s="48" t="s">
        <v>3728</v>
      </c>
    </row>
    <row r="2071" spans="1:16" x14ac:dyDescent="0.3">
      <c r="A2071" s="169">
        <f t="shared" si="166"/>
        <v>1874</v>
      </c>
      <c r="B2071" s="60" t="s">
        <v>2145</v>
      </c>
      <c r="C2071" s="184">
        <v>1958</v>
      </c>
      <c r="D2071" s="51"/>
      <c r="E2071" s="244" t="s">
        <v>3733</v>
      </c>
      <c r="F2071" s="245">
        <v>2</v>
      </c>
      <c r="G2071" s="50"/>
      <c r="H2071" s="224">
        <v>627.33000000000004</v>
      </c>
      <c r="I2071" s="246">
        <v>20</v>
      </c>
      <c r="J2071" s="19">
        <f t="shared" si="165"/>
        <v>797931.15999999992</v>
      </c>
      <c r="K2071" s="50"/>
      <c r="L2071" s="50"/>
      <c r="M2071" s="50"/>
      <c r="N2071" s="19">
        <f>SUMIF('2020'!B:B,B2071,'2020'!C:C)+SUMIF('2021'!B:B,B2071,'2021'!C:C)+SUMIF('2022'!B:B,B2071,'2022'!C:C)</f>
        <v>797931.15999999992</v>
      </c>
      <c r="O2071" s="219">
        <v>44925</v>
      </c>
      <c r="P2071" s="48" t="s">
        <v>3728</v>
      </c>
    </row>
    <row r="2072" spans="1:16" x14ac:dyDescent="0.3">
      <c r="A2072" s="169">
        <f t="shared" si="166"/>
        <v>1875</v>
      </c>
      <c r="B2072" s="60" t="s">
        <v>2146</v>
      </c>
      <c r="C2072" s="184">
        <v>1968</v>
      </c>
      <c r="D2072" s="51"/>
      <c r="E2072" s="243" t="s">
        <v>3731</v>
      </c>
      <c r="F2072" s="243">
        <v>5</v>
      </c>
      <c r="G2072" s="50"/>
      <c r="H2072" s="243">
        <v>3200.9</v>
      </c>
      <c r="I2072" s="243">
        <v>127</v>
      </c>
      <c r="J2072" s="19">
        <f t="shared" si="165"/>
        <v>161967.85</v>
      </c>
      <c r="K2072" s="50"/>
      <c r="L2072" s="50"/>
      <c r="M2072" s="50"/>
      <c r="N2072" s="19">
        <f>SUMIF('2020'!B:B,B2072,'2020'!C:C)+SUMIF('2021'!B:B,B2072,'2021'!C:C)+SUMIF('2022'!B:B,B2072,'2022'!C:C)</f>
        <v>161967.85</v>
      </c>
      <c r="O2072" s="219">
        <v>44925</v>
      </c>
      <c r="P2072" s="48" t="s">
        <v>3728</v>
      </c>
    </row>
    <row r="2073" spans="1:16" x14ac:dyDescent="0.3">
      <c r="A2073" s="169">
        <f t="shared" si="166"/>
        <v>1876</v>
      </c>
      <c r="B2073" s="60" t="s">
        <v>2147</v>
      </c>
      <c r="C2073" s="184">
        <v>1957</v>
      </c>
      <c r="D2073" s="51"/>
      <c r="E2073" s="243" t="s">
        <v>3733</v>
      </c>
      <c r="F2073" s="243">
        <v>2</v>
      </c>
      <c r="G2073" s="50"/>
      <c r="H2073" s="243">
        <v>680.4</v>
      </c>
      <c r="I2073" s="243">
        <v>26</v>
      </c>
      <c r="J2073" s="19">
        <f t="shared" si="165"/>
        <v>105659.06</v>
      </c>
      <c r="K2073" s="50"/>
      <c r="L2073" s="50"/>
      <c r="M2073" s="50"/>
      <c r="N2073" s="19">
        <f>SUMIF('2020'!B:B,B2073,'2020'!C:C)+SUMIF('2021'!B:B,B2073,'2021'!C:C)+SUMIF('2022'!B:B,B2073,'2022'!C:C)</f>
        <v>105659.06</v>
      </c>
      <c r="O2073" s="219">
        <v>44925</v>
      </c>
      <c r="P2073" s="48" t="s">
        <v>3728</v>
      </c>
    </row>
    <row r="2074" spans="1:16" x14ac:dyDescent="0.3">
      <c r="A2074" s="169">
        <f t="shared" si="166"/>
        <v>1877</v>
      </c>
      <c r="B2074" s="60" t="s">
        <v>2148</v>
      </c>
      <c r="C2074" s="184">
        <v>1951</v>
      </c>
      <c r="D2074" s="51"/>
      <c r="E2074" s="243" t="s">
        <v>3733</v>
      </c>
      <c r="F2074" s="243">
        <v>2</v>
      </c>
      <c r="G2074" s="50"/>
      <c r="H2074" s="243">
        <v>714.2</v>
      </c>
      <c r="I2074" s="243">
        <v>39</v>
      </c>
      <c r="J2074" s="19">
        <f t="shared" si="165"/>
        <v>674629.80999999994</v>
      </c>
      <c r="K2074" s="50"/>
      <c r="L2074" s="50"/>
      <c r="M2074" s="50"/>
      <c r="N2074" s="19">
        <f>SUMIF('2020'!B:B,B2074,'2020'!C:C)+SUMIF('2021'!B:B,B2074,'2021'!C:C)+SUMIF('2022'!B:B,B2074,'2022'!C:C)</f>
        <v>674629.80999999994</v>
      </c>
      <c r="O2074" s="219">
        <v>44925</v>
      </c>
      <c r="P2074" s="48" t="s">
        <v>3728</v>
      </c>
    </row>
    <row r="2075" spans="1:16" x14ac:dyDescent="0.3">
      <c r="A2075" s="169">
        <f t="shared" si="166"/>
        <v>1878</v>
      </c>
      <c r="B2075" s="60" t="s">
        <v>2149</v>
      </c>
      <c r="C2075" s="184">
        <v>1951</v>
      </c>
      <c r="D2075" s="51"/>
      <c r="E2075" s="243" t="s">
        <v>3733</v>
      </c>
      <c r="F2075" s="245">
        <v>2</v>
      </c>
      <c r="G2075" s="50"/>
      <c r="H2075" s="224">
        <v>438.01</v>
      </c>
      <c r="I2075" s="246">
        <v>15</v>
      </c>
      <c r="J2075" s="19">
        <f t="shared" si="165"/>
        <v>368379.51</v>
      </c>
      <c r="K2075" s="50"/>
      <c r="L2075" s="50"/>
      <c r="M2075" s="50"/>
      <c r="N2075" s="19">
        <f>SUMIF('2020'!B:B,B2075,'2020'!C:C)+SUMIF('2021'!B:B,B2075,'2021'!C:C)+SUMIF('2022'!B:B,B2075,'2022'!C:C)</f>
        <v>368379.51</v>
      </c>
      <c r="O2075" s="219">
        <v>44925</v>
      </c>
      <c r="P2075" s="48" t="s">
        <v>3728</v>
      </c>
    </row>
    <row r="2076" spans="1:16" x14ac:dyDescent="0.3">
      <c r="A2076" s="59">
        <f t="shared" ref="A2076:A2125" si="167">A2075+1</f>
        <v>1879</v>
      </c>
      <c r="B2076" s="60" t="s">
        <v>2150</v>
      </c>
      <c r="C2076" s="184">
        <v>1950</v>
      </c>
      <c r="D2076" s="51"/>
      <c r="E2076" s="244" t="s">
        <v>3733</v>
      </c>
      <c r="F2076" s="244">
        <v>3</v>
      </c>
      <c r="G2076" s="50"/>
      <c r="H2076" s="244">
        <v>884.6</v>
      </c>
      <c r="I2076" s="244">
        <v>32</v>
      </c>
      <c r="J2076" s="19">
        <f t="shared" si="165"/>
        <v>589659.22</v>
      </c>
      <c r="K2076" s="50"/>
      <c r="L2076" s="50"/>
      <c r="M2076" s="50"/>
      <c r="N2076" s="19">
        <f>SUMIF('2020'!B:B,B2076,'2020'!C:C)+SUMIF('2021'!B:B,B2076,'2021'!C:C)+SUMIF('2022'!B:B,B2076,'2022'!C:C)</f>
        <v>589659.22</v>
      </c>
      <c r="O2076" s="219">
        <v>44925</v>
      </c>
      <c r="P2076" s="48" t="s">
        <v>3728</v>
      </c>
    </row>
    <row r="2077" spans="1:16" x14ac:dyDescent="0.3">
      <c r="A2077" s="59">
        <f t="shared" si="167"/>
        <v>1880</v>
      </c>
      <c r="B2077" s="60" t="s">
        <v>2151</v>
      </c>
      <c r="C2077" s="184">
        <v>1952</v>
      </c>
      <c r="D2077" s="51"/>
      <c r="E2077" s="243" t="s">
        <v>4109</v>
      </c>
      <c r="F2077" s="243">
        <v>2</v>
      </c>
      <c r="G2077" s="50"/>
      <c r="H2077" s="243">
        <v>715</v>
      </c>
      <c r="I2077" s="243">
        <v>25</v>
      </c>
      <c r="J2077" s="19">
        <f t="shared" si="165"/>
        <v>804113.85</v>
      </c>
      <c r="K2077" s="50"/>
      <c r="L2077" s="50"/>
      <c r="M2077" s="50"/>
      <c r="N2077" s="19">
        <f>SUMIF('2020'!B:B,B2077,'2020'!C:C)+SUMIF('2021'!B:B,B2077,'2021'!C:C)+SUMIF('2022'!B:B,B2077,'2022'!C:C)</f>
        <v>804113.85</v>
      </c>
      <c r="O2077" s="219">
        <v>44925</v>
      </c>
      <c r="P2077" s="48" t="s">
        <v>3728</v>
      </c>
    </row>
    <row r="2078" spans="1:16" x14ac:dyDescent="0.3">
      <c r="A2078" s="59">
        <f t="shared" si="167"/>
        <v>1881</v>
      </c>
      <c r="B2078" s="60" t="s">
        <v>2152</v>
      </c>
      <c r="C2078" s="184">
        <v>1951</v>
      </c>
      <c r="D2078" s="51"/>
      <c r="E2078" s="244" t="s">
        <v>3733</v>
      </c>
      <c r="F2078" s="244">
        <v>2</v>
      </c>
      <c r="G2078" s="50"/>
      <c r="H2078" s="244">
        <v>628.29999999999995</v>
      </c>
      <c r="I2078" s="244">
        <v>26</v>
      </c>
      <c r="J2078" s="19">
        <f t="shared" si="165"/>
        <v>975884.96000000008</v>
      </c>
      <c r="K2078" s="50"/>
      <c r="L2078" s="50"/>
      <c r="M2078" s="50"/>
      <c r="N2078" s="19">
        <f>SUMIF('2020'!B:B,B2078,'2020'!C:C)+SUMIF('2021'!B:B,B2078,'2021'!C:C)+SUMIF('2022'!B:B,B2078,'2022'!C:C)</f>
        <v>975884.96000000008</v>
      </c>
      <c r="O2078" s="219">
        <v>44925</v>
      </c>
      <c r="P2078" s="48" t="s">
        <v>3728</v>
      </c>
    </row>
    <row r="2079" spans="1:16" x14ac:dyDescent="0.3">
      <c r="A2079" s="59">
        <f t="shared" si="167"/>
        <v>1882</v>
      </c>
      <c r="B2079" s="60" t="s">
        <v>2153</v>
      </c>
      <c r="C2079" s="184">
        <v>1950</v>
      </c>
      <c r="D2079" s="51"/>
      <c r="E2079" s="244" t="s">
        <v>3731</v>
      </c>
      <c r="F2079" s="244">
        <v>2</v>
      </c>
      <c r="G2079" s="50"/>
      <c r="H2079" s="244">
        <v>610</v>
      </c>
      <c r="I2079" s="244">
        <v>35</v>
      </c>
      <c r="J2079" s="19">
        <f t="shared" si="165"/>
        <v>981276.87000000011</v>
      </c>
      <c r="K2079" s="50"/>
      <c r="L2079" s="50"/>
      <c r="M2079" s="50"/>
      <c r="N2079" s="19">
        <f>SUMIF('2020'!B:B,B2079,'2020'!C:C)+SUMIF('2021'!B:B,B2079,'2021'!C:C)+SUMIF('2022'!B:B,B2079,'2022'!C:C)</f>
        <v>981276.87000000011</v>
      </c>
      <c r="O2079" s="219">
        <v>44925</v>
      </c>
      <c r="P2079" s="48" t="s">
        <v>3728</v>
      </c>
    </row>
    <row r="2080" spans="1:16" x14ac:dyDescent="0.3">
      <c r="A2080" s="59">
        <f t="shared" si="167"/>
        <v>1883</v>
      </c>
      <c r="B2080" s="60" t="s">
        <v>2154</v>
      </c>
      <c r="C2080" s="184">
        <v>1956</v>
      </c>
      <c r="D2080" s="51"/>
      <c r="E2080" s="244" t="s">
        <v>3733</v>
      </c>
      <c r="F2080" s="244">
        <v>3</v>
      </c>
      <c r="G2080" s="50"/>
      <c r="H2080" s="244">
        <v>1054.5999999999999</v>
      </c>
      <c r="I2080" s="244">
        <v>47</v>
      </c>
      <c r="J2080" s="19">
        <f t="shared" si="165"/>
        <v>902291.6</v>
      </c>
      <c r="K2080" s="50"/>
      <c r="L2080" s="50"/>
      <c r="M2080" s="50"/>
      <c r="N2080" s="19">
        <f>SUMIF('2020'!B:B,B2080,'2020'!C:C)+SUMIF('2021'!B:B,B2080,'2021'!C:C)+SUMIF('2022'!B:B,B2080,'2022'!C:C)</f>
        <v>902291.6</v>
      </c>
      <c r="O2080" s="219">
        <v>44925</v>
      </c>
      <c r="P2080" s="48" t="s">
        <v>3728</v>
      </c>
    </row>
    <row r="2081" spans="1:16" x14ac:dyDescent="0.3">
      <c r="A2081" s="59">
        <f t="shared" si="167"/>
        <v>1884</v>
      </c>
      <c r="B2081" s="60" t="s">
        <v>2156</v>
      </c>
      <c r="C2081" s="184">
        <v>1951</v>
      </c>
      <c r="D2081" s="51"/>
      <c r="E2081" s="244" t="s">
        <v>3731</v>
      </c>
      <c r="F2081" s="244">
        <v>2</v>
      </c>
      <c r="G2081" s="50"/>
      <c r="H2081" s="244">
        <v>600.6</v>
      </c>
      <c r="I2081" s="244">
        <v>28</v>
      </c>
      <c r="J2081" s="19">
        <f t="shared" si="165"/>
        <v>988224.28</v>
      </c>
      <c r="K2081" s="50"/>
      <c r="L2081" s="50"/>
      <c r="M2081" s="50"/>
      <c r="N2081" s="19">
        <f>SUMIF('2020'!B:B,B2081,'2020'!C:C)+SUMIF('2021'!B:B,B2081,'2021'!C:C)+SUMIF('2022'!B:B,B2081,'2022'!C:C)</f>
        <v>988224.28</v>
      </c>
      <c r="O2081" s="219">
        <v>44925</v>
      </c>
      <c r="P2081" s="48" t="s">
        <v>3728</v>
      </c>
    </row>
    <row r="2082" spans="1:16" x14ac:dyDescent="0.3">
      <c r="A2082" s="59">
        <f t="shared" si="167"/>
        <v>1885</v>
      </c>
      <c r="B2082" s="60" t="s">
        <v>2157</v>
      </c>
      <c r="C2082" s="184">
        <v>1950</v>
      </c>
      <c r="D2082" s="51"/>
      <c r="E2082" s="244" t="s">
        <v>3731</v>
      </c>
      <c r="F2082" s="244">
        <v>2</v>
      </c>
      <c r="G2082" s="50"/>
      <c r="H2082" s="244">
        <v>618.6</v>
      </c>
      <c r="I2082" s="244">
        <v>36</v>
      </c>
      <c r="J2082" s="19">
        <f t="shared" si="165"/>
        <v>988224.28</v>
      </c>
      <c r="K2082" s="50"/>
      <c r="L2082" s="50"/>
      <c r="M2082" s="50"/>
      <c r="N2082" s="19">
        <f>SUMIF('2020'!B:B,B2082,'2020'!C:C)+SUMIF('2021'!B:B,B2082,'2021'!C:C)+SUMIF('2022'!B:B,B2082,'2022'!C:C)</f>
        <v>988224.28</v>
      </c>
      <c r="O2082" s="219">
        <v>44925</v>
      </c>
      <c r="P2082" s="48" t="s">
        <v>3728</v>
      </c>
    </row>
    <row r="2083" spans="1:16" x14ac:dyDescent="0.3">
      <c r="A2083" s="59">
        <f t="shared" si="167"/>
        <v>1886</v>
      </c>
      <c r="B2083" s="60" t="s">
        <v>2158</v>
      </c>
      <c r="C2083" s="184">
        <v>1957</v>
      </c>
      <c r="D2083" s="51"/>
      <c r="E2083" s="244" t="s">
        <v>3733</v>
      </c>
      <c r="F2083" s="244">
        <v>2</v>
      </c>
      <c r="G2083" s="50"/>
      <c r="H2083" s="244">
        <v>846.9</v>
      </c>
      <c r="I2083" s="244">
        <v>41</v>
      </c>
      <c r="J2083" s="19">
        <f t="shared" si="165"/>
        <v>5448729.4800000004</v>
      </c>
      <c r="K2083" s="50"/>
      <c r="L2083" s="50"/>
      <c r="M2083" s="50"/>
      <c r="N2083" s="19">
        <f>SUMIF('2020'!B:B,B2083,'2020'!C:C)+SUMIF('2021'!B:B,B2083,'2021'!C:C)+SUMIF('2022'!B:B,B2083,'2022'!C:C)</f>
        <v>5448729.4800000004</v>
      </c>
      <c r="O2083" s="219">
        <v>44925</v>
      </c>
      <c r="P2083" s="48" t="s">
        <v>3728</v>
      </c>
    </row>
    <row r="2084" spans="1:16" x14ac:dyDescent="0.3">
      <c r="A2084" s="59">
        <f t="shared" si="167"/>
        <v>1887</v>
      </c>
      <c r="B2084" s="60" t="s">
        <v>2159</v>
      </c>
      <c r="C2084" s="184">
        <v>1950</v>
      </c>
      <c r="D2084" s="51"/>
      <c r="E2084" s="244" t="s">
        <v>4110</v>
      </c>
      <c r="F2084" s="244">
        <v>2</v>
      </c>
      <c r="G2084" s="50"/>
      <c r="H2084" s="244">
        <v>721.2</v>
      </c>
      <c r="I2084" s="244">
        <v>32</v>
      </c>
      <c r="J2084" s="19">
        <f t="shared" si="165"/>
        <v>849811.79</v>
      </c>
      <c r="K2084" s="50"/>
      <c r="L2084" s="50"/>
      <c r="M2084" s="50"/>
      <c r="N2084" s="19">
        <f>SUMIF('2020'!B:B,B2084,'2020'!C:C)+SUMIF('2021'!B:B,B2084,'2021'!C:C)+SUMIF('2022'!B:B,B2084,'2022'!C:C)</f>
        <v>849811.79</v>
      </c>
      <c r="O2084" s="219">
        <v>44925</v>
      </c>
      <c r="P2084" s="48" t="s">
        <v>3728</v>
      </c>
    </row>
    <row r="2085" spans="1:16" x14ac:dyDescent="0.3">
      <c r="A2085" s="59">
        <f t="shared" si="167"/>
        <v>1888</v>
      </c>
      <c r="B2085" s="60" t="s">
        <v>2160</v>
      </c>
      <c r="C2085" s="184">
        <v>1948</v>
      </c>
      <c r="D2085" s="51"/>
      <c r="E2085" s="244" t="s">
        <v>4110</v>
      </c>
      <c r="F2085" s="244">
        <v>2</v>
      </c>
      <c r="G2085" s="50"/>
      <c r="H2085" s="244">
        <v>707.1</v>
      </c>
      <c r="I2085" s="244">
        <v>24</v>
      </c>
      <c r="J2085" s="19">
        <f t="shared" si="165"/>
        <v>7190724.6600000001</v>
      </c>
      <c r="K2085" s="50"/>
      <c r="L2085" s="50"/>
      <c r="M2085" s="50"/>
      <c r="N2085" s="19">
        <f>SUMIF('2020'!B:B,B2085,'2020'!C:C)+SUMIF('2021'!B:B,B2085,'2021'!C:C)+SUMIF('2022'!B:B,B2085,'2022'!C:C)</f>
        <v>7190724.6600000001</v>
      </c>
      <c r="O2085" s="219">
        <v>44925</v>
      </c>
      <c r="P2085" s="48" t="s">
        <v>3728</v>
      </c>
    </row>
    <row r="2086" spans="1:16" x14ac:dyDescent="0.3">
      <c r="A2086" s="59">
        <f t="shared" si="167"/>
        <v>1889</v>
      </c>
      <c r="B2086" s="60" t="s">
        <v>2161</v>
      </c>
      <c r="C2086" s="184">
        <v>1968</v>
      </c>
      <c r="D2086" s="51"/>
      <c r="E2086" s="243" t="s">
        <v>3733</v>
      </c>
      <c r="F2086" s="243">
        <v>5</v>
      </c>
      <c r="G2086" s="50"/>
      <c r="H2086" s="243">
        <v>4548.6000000000004</v>
      </c>
      <c r="I2086" s="243">
        <v>211</v>
      </c>
      <c r="J2086" s="19">
        <f t="shared" si="165"/>
        <v>1653989.92</v>
      </c>
      <c r="K2086" s="50"/>
      <c r="L2086" s="50"/>
      <c r="M2086" s="50"/>
      <c r="N2086" s="19">
        <f>SUMIF('2020'!B:B,B2086,'2020'!C:C)+SUMIF('2021'!B:B,B2086,'2021'!C:C)+SUMIF('2022'!B:B,B2086,'2022'!C:C)</f>
        <v>1653989.92</v>
      </c>
      <c r="O2086" s="219">
        <v>44925</v>
      </c>
      <c r="P2086" s="48" t="s">
        <v>3728</v>
      </c>
    </row>
    <row r="2087" spans="1:16" x14ac:dyDescent="0.3">
      <c r="A2087" s="59">
        <f t="shared" si="167"/>
        <v>1890</v>
      </c>
      <c r="B2087" s="60" t="s">
        <v>2162</v>
      </c>
      <c r="C2087" s="184">
        <v>1948</v>
      </c>
      <c r="D2087" s="51"/>
      <c r="E2087" s="244" t="s">
        <v>4110</v>
      </c>
      <c r="F2087" s="244">
        <v>2</v>
      </c>
      <c r="G2087" s="50"/>
      <c r="H2087" s="244">
        <v>703.5</v>
      </c>
      <c r="I2087" s="244">
        <v>29</v>
      </c>
      <c r="J2087" s="19">
        <f t="shared" si="165"/>
        <v>344971.66000000003</v>
      </c>
      <c r="K2087" s="50"/>
      <c r="L2087" s="50"/>
      <c r="M2087" s="50"/>
      <c r="N2087" s="19">
        <f>SUMIF('2020'!B:B,B2087,'2020'!C:C)+SUMIF('2021'!B:B,B2087,'2021'!C:C)+SUMIF('2022'!B:B,B2087,'2022'!C:C)</f>
        <v>344971.66000000003</v>
      </c>
      <c r="O2087" s="219">
        <v>44925</v>
      </c>
      <c r="P2087" s="48" t="s">
        <v>3728</v>
      </c>
    </row>
    <row r="2088" spans="1:16" x14ac:dyDescent="0.3">
      <c r="A2088" s="59">
        <f t="shared" si="167"/>
        <v>1891</v>
      </c>
      <c r="B2088" s="60" t="s">
        <v>2163</v>
      </c>
      <c r="C2088" s="184">
        <v>1948</v>
      </c>
      <c r="D2088" s="51"/>
      <c r="E2088" s="244" t="s">
        <v>4110</v>
      </c>
      <c r="F2088" s="244">
        <v>2</v>
      </c>
      <c r="G2088" s="50"/>
      <c r="H2088" s="244">
        <v>720.9</v>
      </c>
      <c r="I2088" s="244">
        <v>30</v>
      </c>
      <c r="J2088" s="19">
        <f t="shared" si="165"/>
        <v>1510650.4300000002</v>
      </c>
      <c r="K2088" s="50"/>
      <c r="L2088" s="50"/>
      <c r="M2088" s="50"/>
      <c r="N2088" s="19">
        <f>SUMIF('2020'!B:B,B2088,'2020'!C:C)+SUMIF('2021'!B:B,B2088,'2021'!C:C)+SUMIF('2022'!B:B,B2088,'2022'!C:C)</f>
        <v>1510650.4300000002</v>
      </c>
      <c r="O2088" s="219">
        <v>44925</v>
      </c>
      <c r="P2088" s="48" t="s">
        <v>3728</v>
      </c>
    </row>
    <row r="2089" spans="1:16" x14ac:dyDescent="0.3">
      <c r="A2089" s="59">
        <f t="shared" si="167"/>
        <v>1892</v>
      </c>
      <c r="B2089" s="60" t="s">
        <v>2164</v>
      </c>
      <c r="C2089" s="184">
        <v>1951</v>
      </c>
      <c r="D2089" s="51"/>
      <c r="E2089" s="243" t="s">
        <v>3733</v>
      </c>
      <c r="F2089" s="243">
        <v>2</v>
      </c>
      <c r="G2089" s="50"/>
      <c r="H2089" s="243">
        <v>705.4</v>
      </c>
      <c r="I2089" s="243">
        <v>36</v>
      </c>
      <c r="J2089" s="19">
        <f t="shared" si="165"/>
        <v>1056395.2</v>
      </c>
      <c r="K2089" s="50"/>
      <c r="L2089" s="50"/>
      <c r="M2089" s="50"/>
      <c r="N2089" s="19">
        <f>SUMIF('2020'!B:B,B2089,'2020'!C:C)+SUMIF('2021'!B:B,B2089,'2021'!C:C)+SUMIF('2022'!B:B,B2089,'2022'!C:C)</f>
        <v>1056395.2</v>
      </c>
      <c r="O2089" s="219">
        <v>44925</v>
      </c>
      <c r="P2089" s="48" t="s">
        <v>3728</v>
      </c>
    </row>
    <row r="2090" spans="1:16" x14ac:dyDescent="0.3">
      <c r="A2090" s="59">
        <f t="shared" si="167"/>
        <v>1893</v>
      </c>
      <c r="B2090" s="60" t="s">
        <v>2166</v>
      </c>
      <c r="C2090" s="184">
        <v>1951</v>
      </c>
      <c r="D2090" s="51"/>
      <c r="E2090" s="48" t="s">
        <v>3733</v>
      </c>
      <c r="F2090" s="218">
        <v>2</v>
      </c>
      <c r="G2090" s="50"/>
      <c r="H2090" s="48">
        <v>704.9</v>
      </c>
      <c r="I2090" s="218">
        <v>37</v>
      </c>
      <c r="J2090" s="19">
        <f t="shared" si="165"/>
        <v>5578873.5599999996</v>
      </c>
      <c r="K2090" s="50"/>
      <c r="L2090" s="50"/>
      <c r="M2090" s="50"/>
      <c r="N2090" s="19">
        <f>SUMIF('2020'!B:B,B2090,'2020'!C:C)+SUMIF('2021'!B:B,B2090,'2021'!C:C)+SUMIF('2022'!B:B,B2090,'2022'!C:C)</f>
        <v>5578873.5599999996</v>
      </c>
      <c r="O2090" s="219">
        <v>44925</v>
      </c>
      <c r="P2090" s="48" t="s">
        <v>3728</v>
      </c>
    </row>
    <row r="2091" spans="1:16" x14ac:dyDescent="0.3">
      <c r="A2091" s="59">
        <f>A2090+1</f>
        <v>1894</v>
      </c>
      <c r="B2091" s="60" t="s">
        <v>2167</v>
      </c>
      <c r="C2091" s="184">
        <v>1954</v>
      </c>
      <c r="D2091" s="51"/>
      <c r="E2091" s="244" t="s">
        <v>3733</v>
      </c>
      <c r="F2091" s="244">
        <v>2</v>
      </c>
      <c r="G2091" s="50"/>
      <c r="H2091" s="244">
        <v>744.8</v>
      </c>
      <c r="I2091" s="244">
        <v>46</v>
      </c>
      <c r="J2091" s="19">
        <f t="shared" si="165"/>
        <v>1009473.3700000001</v>
      </c>
      <c r="K2091" s="50"/>
      <c r="L2091" s="50"/>
      <c r="M2091" s="50"/>
      <c r="N2091" s="19">
        <f>SUMIF('2020'!B:B,B2091,'2020'!C:C)+SUMIF('2021'!B:B,B2091,'2021'!C:C)+SUMIF('2022'!B:B,B2091,'2022'!C:C)</f>
        <v>1009473.3700000001</v>
      </c>
      <c r="O2091" s="219">
        <v>44925</v>
      </c>
      <c r="P2091" s="48" t="s">
        <v>3728</v>
      </c>
    </row>
    <row r="2092" spans="1:16" x14ac:dyDescent="0.3">
      <c r="A2092" s="59">
        <f t="shared" si="167"/>
        <v>1895</v>
      </c>
      <c r="B2092" s="60" t="s">
        <v>2168</v>
      </c>
      <c r="C2092" s="184">
        <v>1955</v>
      </c>
      <c r="D2092" s="51"/>
      <c r="E2092" s="243" t="s">
        <v>3733</v>
      </c>
      <c r="F2092" s="243">
        <v>2</v>
      </c>
      <c r="G2092" s="50"/>
      <c r="H2092" s="243">
        <v>1062.9000000000001</v>
      </c>
      <c r="I2092" s="243">
        <v>52</v>
      </c>
      <c r="J2092" s="19">
        <f t="shared" si="165"/>
        <v>1543788.1</v>
      </c>
      <c r="K2092" s="50"/>
      <c r="L2092" s="50"/>
      <c r="M2092" s="50"/>
      <c r="N2092" s="19">
        <f>SUMIF('2020'!B:B,B2092,'2020'!C:C)+SUMIF('2021'!B:B,B2092,'2021'!C:C)+SUMIF('2022'!B:B,B2092,'2022'!C:C)</f>
        <v>1543788.1</v>
      </c>
      <c r="O2092" s="219">
        <v>44925</v>
      </c>
      <c r="P2092" s="48" t="s">
        <v>3728</v>
      </c>
    </row>
    <row r="2093" spans="1:16" x14ac:dyDescent="0.3">
      <c r="A2093" s="59">
        <f t="shared" si="167"/>
        <v>1896</v>
      </c>
      <c r="B2093" s="60" t="s">
        <v>2170</v>
      </c>
      <c r="C2093" s="184">
        <v>1955</v>
      </c>
      <c r="D2093" s="51"/>
      <c r="E2093" s="244" t="s">
        <v>3733</v>
      </c>
      <c r="F2093" s="244">
        <v>2</v>
      </c>
      <c r="G2093" s="50"/>
      <c r="H2093" s="244">
        <v>1079.7</v>
      </c>
      <c r="I2093" s="244">
        <v>40</v>
      </c>
      <c r="J2093" s="19">
        <f t="shared" si="165"/>
        <v>854760.90999999992</v>
      </c>
      <c r="K2093" s="50"/>
      <c r="L2093" s="50"/>
      <c r="M2093" s="50"/>
      <c r="N2093" s="19">
        <f>SUMIF('2020'!B:B,B2093,'2020'!C:C)+SUMIF('2021'!B:B,B2093,'2021'!C:C)+SUMIF('2022'!B:B,B2093,'2022'!C:C)</f>
        <v>854760.90999999992</v>
      </c>
      <c r="O2093" s="219">
        <v>44925</v>
      </c>
      <c r="P2093" s="48" t="s">
        <v>3728</v>
      </c>
    </row>
    <row r="2094" spans="1:16" x14ac:dyDescent="0.3">
      <c r="A2094" s="59">
        <f t="shared" si="167"/>
        <v>1897</v>
      </c>
      <c r="B2094" s="60" t="s">
        <v>2171</v>
      </c>
      <c r="C2094" s="184">
        <v>1973</v>
      </c>
      <c r="D2094" s="51"/>
      <c r="E2094" s="243" t="s">
        <v>3733</v>
      </c>
      <c r="F2094" s="243">
        <v>5</v>
      </c>
      <c r="G2094" s="50"/>
      <c r="H2094" s="243">
        <v>3368.6</v>
      </c>
      <c r="I2094" s="243">
        <v>169</v>
      </c>
      <c r="J2094" s="19">
        <f t="shared" si="165"/>
        <v>1243346.8999999999</v>
      </c>
      <c r="K2094" s="50"/>
      <c r="L2094" s="50"/>
      <c r="M2094" s="50"/>
      <c r="N2094" s="19">
        <f>SUMIF('2020'!B:B,B2094,'2020'!C:C)+SUMIF('2021'!B:B,B2094,'2021'!C:C)+SUMIF('2022'!B:B,B2094,'2022'!C:C)</f>
        <v>1243346.8999999999</v>
      </c>
      <c r="O2094" s="219">
        <v>44925</v>
      </c>
      <c r="P2094" s="48" t="s">
        <v>3728</v>
      </c>
    </row>
    <row r="2095" spans="1:16" x14ac:dyDescent="0.3">
      <c r="A2095" s="59">
        <f t="shared" si="167"/>
        <v>1898</v>
      </c>
      <c r="B2095" s="60" t="s">
        <v>2172</v>
      </c>
      <c r="C2095" s="184">
        <v>1954</v>
      </c>
      <c r="D2095" s="51"/>
      <c r="E2095" s="243" t="s">
        <v>3733</v>
      </c>
      <c r="F2095" s="243">
        <v>2</v>
      </c>
      <c r="G2095" s="50"/>
      <c r="H2095" s="243">
        <v>641.4</v>
      </c>
      <c r="I2095" s="243">
        <v>29</v>
      </c>
      <c r="J2095" s="19">
        <f t="shared" si="165"/>
        <v>3016341.7</v>
      </c>
      <c r="K2095" s="50"/>
      <c r="L2095" s="50"/>
      <c r="M2095" s="50"/>
      <c r="N2095" s="19">
        <f>SUMIF('2020'!B:B,B2095,'2020'!C:C)+SUMIF('2021'!B:B,B2095,'2021'!C:C)+SUMIF('2022'!B:B,B2095,'2022'!C:C)</f>
        <v>3016341.7</v>
      </c>
      <c r="O2095" s="219">
        <v>44925</v>
      </c>
      <c r="P2095" s="48" t="s">
        <v>3728</v>
      </c>
    </row>
    <row r="2096" spans="1:16" x14ac:dyDescent="0.3">
      <c r="A2096" s="59">
        <f t="shared" si="167"/>
        <v>1899</v>
      </c>
      <c r="B2096" s="60" t="s">
        <v>2173</v>
      </c>
      <c r="C2096" s="184">
        <v>1954</v>
      </c>
      <c r="D2096" s="51"/>
      <c r="E2096" s="243" t="s">
        <v>3733</v>
      </c>
      <c r="F2096" s="243">
        <v>2</v>
      </c>
      <c r="G2096" s="50"/>
      <c r="H2096" s="243">
        <v>692.8</v>
      </c>
      <c r="I2096" s="243">
        <v>32</v>
      </c>
      <c r="J2096" s="19">
        <f t="shared" si="165"/>
        <v>111484.14</v>
      </c>
      <c r="K2096" s="50"/>
      <c r="L2096" s="50"/>
      <c r="M2096" s="50"/>
      <c r="N2096" s="19">
        <f>SUMIF('2020'!B:B,B2096,'2020'!C:C)+SUMIF('2021'!B:B,B2096,'2021'!C:C)+SUMIF('2022'!B:B,B2096,'2022'!C:C)</f>
        <v>111484.14</v>
      </c>
      <c r="O2096" s="219">
        <v>44925</v>
      </c>
      <c r="P2096" s="48" t="s">
        <v>3728</v>
      </c>
    </row>
    <row r="2097" spans="1:16" x14ac:dyDescent="0.3">
      <c r="A2097" s="59">
        <f t="shared" si="167"/>
        <v>1900</v>
      </c>
      <c r="B2097" s="60" t="s">
        <v>2174</v>
      </c>
      <c r="C2097" s="184">
        <v>1954</v>
      </c>
      <c r="D2097" s="51"/>
      <c r="E2097" s="243" t="s">
        <v>3733</v>
      </c>
      <c r="F2097" s="243">
        <v>2</v>
      </c>
      <c r="G2097" s="50"/>
      <c r="H2097" s="243">
        <v>576.79999999999995</v>
      </c>
      <c r="I2097" s="243">
        <v>37</v>
      </c>
      <c r="J2097" s="19">
        <f t="shared" si="165"/>
        <v>2996905.3200000003</v>
      </c>
      <c r="K2097" s="50"/>
      <c r="L2097" s="50"/>
      <c r="M2097" s="50"/>
      <c r="N2097" s="19">
        <f>SUMIF('2020'!B:B,B2097,'2020'!C:C)+SUMIF('2021'!B:B,B2097,'2021'!C:C)+SUMIF('2022'!B:B,B2097,'2022'!C:C)</f>
        <v>2996905.3200000003</v>
      </c>
      <c r="O2097" s="219">
        <v>44925</v>
      </c>
      <c r="P2097" s="48" t="s">
        <v>3728</v>
      </c>
    </row>
    <row r="2098" spans="1:16" x14ac:dyDescent="0.3">
      <c r="A2098" s="59">
        <f t="shared" si="167"/>
        <v>1901</v>
      </c>
      <c r="B2098" s="60" t="s">
        <v>2175</v>
      </c>
      <c r="C2098" s="184">
        <v>1955</v>
      </c>
      <c r="D2098" s="51"/>
      <c r="E2098" s="243" t="s">
        <v>3733</v>
      </c>
      <c r="F2098" s="243">
        <v>2</v>
      </c>
      <c r="G2098" s="50"/>
      <c r="H2098" s="243">
        <v>819.2</v>
      </c>
      <c r="I2098" s="243">
        <v>38</v>
      </c>
      <c r="J2098" s="19">
        <f t="shared" si="165"/>
        <v>111484.14</v>
      </c>
      <c r="K2098" s="50"/>
      <c r="L2098" s="50"/>
      <c r="M2098" s="50"/>
      <c r="N2098" s="19">
        <f>SUMIF('2020'!B:B,B2098,'2020'!C:C)+SUMIF('2021'!B:B,B2098,'2021'!C:C)+SUMIF('2022'!B:B,B2098,'2022'!C:C)</f>
        <v>111484.14</v>
      </c>
      <c r="O2098" s="219">
        <v>44925</v>
      </c>
      <c r="P2098" s="48" t="s">
        <v>3728</v>
      </c>
    </row>
    <row r="2099" spans="1:16" x14ac:dyDescent="0.3">
      <c r="A2099" s="59">
        <f t="shared" si="167"/>
        <v>1902</v>
      </c>
      <c r="B2099" s="60" t="s">
        <v>2176</v>
      </c>
      <c r="C2099" s="184">
        <v>1954</v>
      </c>
      <c r="D2099" s="51"/>
      <c r="E2099" s="243" t="s">
        <v>3733</v>
      </c>
      <c r="F2099" s="243">
        <v>2</v>
      </c>
      <c r="G2099" s="50"/>
      <c r="H2099" s="243">
        <v>640.79999999999995</v>
      </c>
      <c r="I2099" s="243">
        <v>36</v>
      </c>
      <c r="J2099" s="19">
        <f t="shared" si="165"/>
        <v>2970161.5</v>
      </c>
      <c r="K2099" s="50"/>
      <c r="L2099" s="50"/>
      <c r="M2099" s="50"/>
      <c r="N2099" s="19">
        <f>SUMIF('2020'!B:B,B2099,'2020'!C:C)+SUMIF('2021'!B:B,B2099,'2021'!C:C)+SUMIF('2022'!B:B,B2099,'2022'!C:C)</f>
        <v>2970161.5</v>
      </c>
      <c r="O2099" s="219">
        <v>44925</v>
      </c>
      <c r="P2099" s="48" t="s">
        <v>3728</v>
      </c>
    </row>
    <row r="2100" spans="1:16" x14ac:dyDescent="0.3">
      <c r="A2100" s="59">
        <f t="shared" si="167"/>
        <v>1903</v>
      </c>
      <c r="B2100" s="60" t="s">
        <v>2177</v>
      </c>
      <c r="C2100" s="184">
        <v>1955</v>
      </c>
      <c r="D2100" s="51"/>
      <c r="E2100" s="244" t="s">
        <v>3733</v>
      </c>
      <c r="F2100" s="244">
        <v>2</v>
      </c>
      <c r="G2100" s="50"/>
      <c r="H2100" s="244">
        <v>643.6</v>
      </c>
      <c r="I2100" s="244">
        <v>34</v>
      </c>
      <c r="J2100" s="19">
        <f t="shared" si="165"/>
        <v>922979.29</v>
      </c>
      <c r="K2100" s="50"/>
      <c r="L2100" s="50"/>
      <c r="M2100" s="50"/>
      <c r="N2100" s="19">
        <f>SUMIF('2020'!B:B,B2100,'2020'!C:C)+SUMIF('2021'!B:B,B2100,'2021'!C:C)+SUMIF('2022'!B:B,B2100,'2022'!C:C)</f>
        <v>922979.29</v>
      </c>
      <c r="O2100" s="219">
        <v>44925</v>
      </c>
      <c r="P2100" s="48" t="s">
        <v>3728</v>
      </c>
    </row>
    <row r="2101" spans="1:16" x14ac:dyDescent="0.3">
      <c r="A2101" s="59">
        <f t="shared" si="167"/>
        <v>1904</v>
      </c>
      <c r="B2101" s="60" t="s">
        <v>2178</v>
      </c>
      <c r="C2101" s="184">
        <v>1954</v>
      </c>
      <c r="D2101" s="51"/>
      <c r="E2101" s="243" t="s">
        <v>3733</v>
      </c>
      <c r="F2101" s="243">
        <v>2</v>
      </c>
      <c r="G2101" s="50"/>
      <c r="H2101" s="243">
        <v>1096.9000000000001</v>
      </c>
      <c r="I2101" s="243">
        <v>29</v>
      </c>
      <c r="J2101" s="19">
        <f t="shared" si="165"/>
        <v>2306986.1399999997</v>
      </c>
      <c r="K2101" s="50"/>
      <c r="L2101" s="50"/>
      <c r="M2101" s="50"/>
      <c r="N2101" s="19">
        <f>SUMIF('2020'!B:B,B2101,'2020'!C:C)+SUMIF('2021'!B:B,B2101,'2021'!C:C)+SUMIF('2022'!B:B,B2101,'2022'!C:C)</f>
        <v>2306986.1399999997</v>
      </c>
      <c r="O2101" s="219">
        <v>44925</v>
      </c>
      <c r="P2101" s="48" t="s">
        <v>3728</v>
      </c>
    </row>
    <row r="2102" spans="1:16" x14ac:dyDescent="0.3">
      <c r="A2102" s="59">
        <f t="shared" si="167"/>
        <v>1905</v>
      </c>
      <c r="B2102" s="60" t="s">
        <v>2179</v>
      </c>
      <c r="C2102" s="184">
        <v>1953</v>
      </c>
      <c r="D2102" s="51"/>
      <c r="E2102" s="244" t="s">
        <v>3731</v>
      </c>
      <c r="F2102" s="244">
        <v>2</v>
      </c>
      <c r="G2102" s="50"/>
      <c r="H2102" s="244">
        <v>437.7</v>
      </c>
      <c r="I2102" s="244">
        <v>20</v>
      </c>
      <c r="J2102" s="19">
        <f t="shared" si="165"/>
        <v>1128112.3999999999</v>
      </c>
      <c r="K2102" s="50"/>
      <c r="L2102" s="50"/>
      <c r="M2102" s="50"/>
      <c r="N2102" s="19">
        <f>SUMIF('2020'!B:B,B2102,'2020'!C:C)+SUMIF('2021'!B:B,B2102,'2021'!C:C)+SUMIF('2022'!B:B,B2102,'2022'!C:C)</f>
        <v>1128112.3999999999</v>
      </c>
      <c r="O2102" s="219">
        <v>44925</v>
      </c>
      <c r="P2102" s="48" t="s">
        <v>3728</v>
      </c>
    </row>
    <row r="2103" spans="1:16" x14ac:dyDescent="0.3">
      <c r="A2103" s="59">
        <f t="shared" si="167"/>
        <v>1906</v>
      </c>
      <c r="B2103" s="60" t="s">
        <v>2180</v>
      </c>
      <c r="C2103" s="184">
        <v>1953</v>
      </c>
      <c r="D2103" s="51"/>
      <c r="E2103" s="243" t="s">
        <v>3733</v>
      </c>
      <c r="F2103" s="243">
        <v>2</v>
      </c>
      <c r="G2103" s="50"/>
      <c r="H2103" s="243">
        <v>748.5</v>
      </c>
      <c r="I2103" s="243">
        <v>35</v>
      </c>
      <c r="J2103" s="19">
        <f t="shared" si="165"/>
        <v>3036711.5500000003</v>
      </c>
      <c r="K2103" s="50"/>
      <c r="L2103" s="50"/>
      <c r="M2103" s="50"/>
      <c r="N2103" s="19">
        <f>SUMIF('2020'!B:B,B2103,'2020'!C:C)+SUMIF('2021'!B:B,B2103,'2021'!C:C)+SUMIF('2022'!B:B,B2103,'2022'!C:C)</f>
        <v>3036711.5500000003</v>
      </c>
      <c r="O2103" s="219">
        <v>44925</v>
      </c>
      <c r="P2103" s="48" t="s">
        <v>3728</v>
      </c>
    </row>
    <row r="2104" spans="1:16" x14ac:dyDescent="0.3">
      <c r="A2104" s="59">
        <f t="shared" si="167"/>
        <v>1907</v>
      </c>
      <c r="B2104" s="60" t="s">
        <v>2181</v>
      </c>
      <c r="C2104" s="184">
        <v>1966</v>
      </c>
      <c r="D2104" s="51"/>
      <c r="E2104" s="243" t="s">
        <v>3733</v>
      </c>
      <c r="F2104" s="243">
        <v>5</v>
      </c>
      <c r="G2104" s="50"/>
      <c r="H2104" s="243">
        <v>2439.9</v>
      </c>
      <c r="I2104" s="243">
        <v>114</v>
      </c>
      <c r="J2104" s="19">
        <f t="shared" si="165"/>
        <v>2208461.9</v>
      </c>
      <c r="K2104" s="50"/>
      <c r="L2104" s="50"/>
      <c r="M2104" s="50"/>
      <c r="N2104" s="19">
        <f>SUMIF('2020'!B:B,B2104,'2020'!C:C)+SUMIF('2021'!B:B,B2104,'2021'!C:C)+SUMIF('2022'!B:B,B2104,'2022'!C:C)</f>
        <v>2208461.9</v>
      </c>
      <c r="O2104" s="219">
        <v>44925</v>
      </c>
      <c r="P2104" s="48" t="s">
        <v>3728</v>
      </c>
    </row>
    <row r="2105" spans="1:16" x14ac:dyDescent="0.3">
      <c r="A2105" s="59">
        <f t="shared" si="167"/>
        <v>1908</v>
      </c>
      <c r="B2105" s="60" t="s">
        <v>2182</v>
      </c>
      <c r="C2105" s="184">
        <v>1953</v>
      </c>
      <c r="D2105" s="51"/>
      <c r="E2105" s="244" t="s">
        <v>3733</v>
      </c>
      <c r="F2105" s="244">
        <v>2</v>
      </c>
      <c r="G2105" s="50"/>
      <c r="H2105" s="244">
        <v>646.5</v>
      </c>
      <c r="I2105" s="244">
        <v>25</v>
      </c>
      <c r="J2105" s="19">
        <f t="shared" si="165"/>
        <v>866868.16</v>
      </c>
      <c r="K2105" s="50"/>
      <c r="L2105" s="50"/>
      <c r="M2105" s="50"/>
      <c r="N2105" s="19">
        <f>SUMIF('2020'!B:B,B2105,'2020'!C:C)+SUMIF('2021'!B:B,B2105,'2021'!C:C)+SUMIF('2022'!B:B,B2105,'2022'!C:C)</f>
        <v>866868.16</v>
      </c>
      <c r="O2105" s="219">
        <v>44925</v>
      </c>
      <c r="P2105" s="48" t="s">
        <v>3728</v>
      </c>
    </row>
    <row r="2106" spans="1:16" x14ac:dyDescent="0.3">
      <c r="A2106" s="59">
        <f t="shared" si="167"/>
        <v>1909</v>
      </c>
      <c r="B2106" s="60" t="s">
        <v>2183</v>
      </c>
      <c r="C2106" s="184">
        <v>1951</v>
      </c>
      <c r="D2106" s="51"/>
      <c r="E2106" s="243" t="s">
        <v>4110</v>
      </c>
      <c r="F2106" s="243">
        <v>2</v>
      </c>
      <c r="G2106" s="50"/>
      <c r="H2106" s="243">
        <v>418.2</v>
      </c>
      <c r="I2106" s="243">
        <v>19</v>
      </c>
      <c r="J2106" s="19">
        <f t="shared" si="165"/>
        <v>941995.91</v>
      </c>
      <c r="K2106" s="50"/>
      <c r="L2106" s="50"/>
      <c r="M2106" s="50"/>
      <c r="N2106" s="19">
        <f>SUMIF('2020'!B:B,B2106,'2020'!C:C)+SUMIF('2021'!B:B,B2106,'2021'!C:C)+SUMIF('2022'!B:B,B2106,'2022'!C:C)</f>
        <v>941995.91</v>
      </c>
      <c r="O2106" s="219">
        <v>44925</v>
      </c>
      <c r="P2106" s="48" t="s">
        <v>3728</v>
      </c>
    </row>
    <row r="2107" spans="1:16" x14ac:dyDescent="0.3">
      <c r="A2107" s="59">
        <f t="shared" si="167"/>
        <v>1910</v>
      </c>
      <c r="B2107" s="60" t="s">
        <v>2184</v>
      </c>
      <c r="C2107" s="184">
        <v>1954</v>
      </c>
      <c r="D2107" s="51"/>
      <c r="E2107" s="244" t="s">
        <v>3733</v>
      </c>
      <c r="F2107" s="244">
        <v>2</v>
      </c>
      <c r="G2107" s="50"/>
      <c r="H2107" s="244">
        <v>416.4</v>
      </c>
      <c r="I2107" s="244">
        <v>19</v>
      </c>
      <c r="J2107" s="19">
        <f t="shared" si="165"/>
        <v>4489368.63</v>
      </c>
      <c r="K2107" s="50"/>
      <c r="L2107" s="50"/>
      <c r="M2107" s="50"/>
      <c r="N2107" s="19">
        <f>SUMIF('2020'!B:B,B2107,'2020'!C:C)+SUMIF('2021'!B:B,B2107,'2021'!C:C)+SUMIF('2022'!B:B,B2107,'2022'!C:C)</f>
        <v>4489368.63</v>
      </c>
      <c r="O2107" s="219">
        <v>44925</v>
      </c>
      <c r="P2107" s="48" t="s">
        <v>3728</v>
      </c>
    </row>
    <row r="2108" spans="1:16" x14ac:dyDescent="0.3">
      <c r="A2108" s="59">
        <f t="shared" si="167"/>
        <v>1911</v>
      </c>
      <c r="B2108" s="60" t="s">
        <v>2185</v>
      </c>
      <c r="C2108" s="184">
        <v>1953</v>
      </c>
      <c r="D2108" s="51"/>
      <c r="E2108" s="244" t="s">
        <v>3731</v>
      </c>
      <c r="F2108" s="244">
        <v>2</v>
      </c>
      <c r="G2108" s="50"/>
      <c r="H2108" s="244">
        <v>429.7</v>
      </c>
      <c r="I2108" s="244">
        <v>20</v>
      </c>
      <c r="J2108" s="19">
        <f t="shared" si="165"/>
        <v>1018247.1</v>
      </c>
      <c r="K2108" s="50"/>
      <c r="L2108" s="50"/>
      <c r="M2108" s="50"/>
      <c r="N2108" s="19">
        <f>SUMIF('2020'!B:B,B2108,'2020'!C:C)+SUMIF('2021'!B:B,B2108,'2021'!C:C)+SUMIF('2022'!B:B,B2108,'2022'!C:C)</f>
        <v>1018247.1</v>
      </c>
      <c r="O2108" s="219">
        <v>44925</v>
      </c>
      <c r="P2108" s="48" t="s">
        <v>3728</v>
      </c>
    </row>
    <row r="2109" spans="1:16" x14ac:dyDescent="0.3">
      <c r="A2109" s="59">
        <f t="shared" si="167"/>
        <v>1912</v>
      </c>
      <c r="B2109" s="60" t="s">
        <v>2186</v>
      </c>
      <c r="C2109" s="184">
        <v>1953</v>
      </c>
      <c r="D2109" s="51"/>
      <c r="E2109" s="243" t="s">
        <v>3733</v>
      </c>
      <c r="F2109" s="243">
        <v>2</v>
      </c>
      <c r="G2109" s="50"/>
      <c r="H2109" s="243">
        <v>640.79999999999995</v>
      </c>
      <c r="I2109" s="243">
        <v>26</v>
      </c>
      <c r="J2109" s="19">
        <f t="shared" si="165"/>
        <v>560883.85</v>
      </c>
      <c r="K2109" s="50"/>
      <c r="L2109" s="50"/>
      <c r="M2109" s="50"/>
      <c r="N2109" s="19">
        <f>SUMIF('2020'!B:B,B2109,'2020'!C:C)+SUMIF('2021'!B:B,B2109,'2021'!C:C)+SUMIF('2022'!B:B,B2109,'2022'!C:C)</f>
        <v>560883.85</v>
      </c>
      <c r="O2109" s="219">
        <v>44925</v>
      </c>
      <c r="P2109" s="48" t="s">
        <v>3728</v>
      </c>
    </row>
    <row r="2110" spans="1:16" x14ac:dyDescent="0.3">
      <c r="A2110" s="59">
        <f t="shared" si="167"/>
        <v>1913</v>
      </c>
      <c r="B2110" s="60" t="s">
        <v>2187</v>
      </c>
      <c r="C2110" s="184">
        <v>1953</v>
      </c>
      <c r="D2110" s="51"/>
      <c r="E2110" s="244" t="s">
        <v>3731</v>
      </c>
      <c r="F2110" s="218">
        <v>2</v>
      </c>
      <c r="G2110" s="50"/>
      <c r="H2110" s="244">
        <v>437.7</v>
      </c>
      <c r="I2110" s="218">
        <v>29</v>
      </c>
      <c r="J2110" s="19">
        <f t="shared" si="165"/>
        <v>720795.84</v>
      </c>
      <c r="K2110" s="50"/>
      <c r="L2110" s="50"/>
      <c r="M2110" s="50"/>
      <c r="N2110" s="19">
        <f>SUMIF('2020'!B:B,B2110,'2020'!C:C)+SUMIF('2021'!B:B,B2110,'2021'!C:C)+SUMIF('2022'!B:B,B2110,'2022'!C:C)</f>
        <v>720795.84</v>
      </c>
      <c r="O2110" s="219">
        <v>44925</v>
      </c>
      <c r="P2110" s="48" t="s">
        <v>3728</v>
      </c>
    </row>
    <row r="2111" spans="1:16" x14ac:dyDescent="0.3">
      <c r="A2111" s="59">
        <f t="shared" si="167"/>
        <v>1914</v>
      </c>
      <c r="B2111" s="60" t="s">
        <v>2188</v>
      </c>
      <c r="C2111" s="184">
        <v>1954</v>
      </c>
      <c r="D2111" s="51"/>
      <c r="E2111" s="243" t="s">
        <v>3733</v>
      </c>
      <c r="F2111" s="243">
        <v>2</v>
      </c>
      <c r="G2111" s="50"/>
      <c r="H2111" s="243">
        <v>646.79999999999995</v>
      </c>
      <c r="I2111" s="243">
        <v>23</v>
      </c>
      <c r="J2111" s="19">
        <f t="shared" si="165"/>
        <v>2642601.15</v>
      </c>
      <c r="K2111" s="50"/>
      <c r="L2111" s="50"/>
      <c r="M2111" s="50"/>
      <c r="N2111" s="19">
        <f>SUMIF('2020'!B:B,B2111,'2020'!C:C)+SUMIF('2021'!B:B,B2111,'2021'!C:C)+SUMIF('2022'!B:B,B2111,'2022'!C:C)</f>
        <v>2642601.15</v>
      </c>
      <c r="O2111" s="219">
        <v>44925</v>
      </c>
      <c r="P2111" s="48" t="s">
        <v>3728</v>
      </c>
    </row>
    <row r="2112" spans="1:16" x14ac:dyDescent="0.3">
      <c r="A2112" s="59">
        <f t="shared" si="167"/>
        <v>1915</v>
      </c>
      <c r="B2112" s="60" t="s">
        <v>2190</v>
      </c>
      <c r="C2112" s="184">
        <v>1984</v>
      </c>
      <c r="D2112" s="51"/>
      <c r="E2112" s="244" t="s">
        <v>3733</v>
      </c>
      <c r="F2112" s="244">
        <v>2</v>
      </c>
      <c r="G2112" s="50"/>
      <c r="H2112" s="244">
        <v>3575.5</v>
      </c>
      <c r="I2112" s="244">
        <v>271</v>
      </c>
      <c r="J2112" s="19">
        <f t="shared" si="165"/>
        <v>1054749.31</v>
      </c>
      <c r="K2112" s="50"/>
      <c r="L2112" s="50"/>
      <c r="M2112" s="50"/>
      <c r="N2112" s="19">
        <f>SUMIF('2020'!B:B,B2112,'2020'!C:C)+SUMIF('2021'!B:B,B2112,'2021'!C:C)+SUMIF('2022'!B:B,B2112,'2022'!C:C)</f>
        <v>1054749.31</v>
      </c>
      <c r="O2112" s="219">
        <v>44925</v>
      </c>
      <c r="P2112" s="48" t="s">
        <v>3728</v>
      </c>
    </row>
    <row r="2113" spans="1:16" x14ac:dyDescent="0.3">
      <c r="A2113" s="59">
        <f t="shared" si="167"/>
        <v>1916</v>
      </c>
      <c r="B2113" s="60" t="s">
        <v>2191</v>
      </c>
      <c r="C2113" s="184">
        <v>1970</v>
      </c>
      <c r="D2113" s="51"/>
      <c r="E2113" s="243" t="s">
        <v>3733</v>
      </c>
      <c r="F2113" s="243">
        <v>5</v>
      </c>
      <c r="G2113" s="50"/>
      <c r="H2113" s="243">
        <v>4982.1000000000004</v>
      </c>
      <c r="I2113" s="243">
        <v>158</v>
      </c>
      <c r="J2113" s="19">
        <f t="shared" si="165"/>
        <v>1532824.3900000001</v>
      </c>
      <c r="K2113" s="50"/>
      <c r="L2113" s="50"/>
      <c r="M2113" s="50"/>
      <c r="N2113" s="19">
        <f>SUMIF('2020'!B:B,B2113,'2020'!C:C)+SUMIF('2021'!B:B,B2113,'2021'!C:C)+SUMIF('2022'!B:B,B2113,'2022'!C:C)</f>
        <v>1532824.3900000001</v>
      </c>
      <c r="O2113" s="219">
        <v>44925</v>
      </c>
      <c r="P2113" s="48" t="s">
        <v>3728</v>
      </c>
    </row>
    <row r="2114" spans="1:16" x14ac:dyDescent="0.3">
      <c r="A2114" s="59">
        <f t="shared" si="167"/>
        <v>1917</v>
      </c>
      <c r="B2114" s="60" t="s">
        <v>2192</v>
      </c>
      <c r="C2114" s="184">
        <v>1961</v>
      </c>
      <c r="D2114" s="51"/>
      <c r="E2114" s="243" t="s">
        <v>3733</v>
      </c>
      <c r="F2114" s="218">
        <v>4</v>
      </c>
      <c r="G2114" s="50"/>
      <c r="H2114" s="244">
        <v>2018.2</v>
      </c>
      <c r="I2114" s="218">
        <v>94</v>
      </c>
      <c r="J2114" s="19">
        <f t="shared" si="165"/>
        <v>887765.35999999987</v>
      </c>
      <c r="K2114" s="50"/>
      <c r="L2114" s="50"/>
      <c r="M2114" s="50"/>
      <c r="N2114" s="19">
        <f>SUMIF('2020'!B:B,B2114,'2020'!C:C)+SUMIF('2021'!B:B,B2114,'2021'!C:C)+SUMIF('2022'!B:B,B2114,'2022'!C:C)</f>
        <v>887765.35999999987</v>
      </c>
      <c r="O2114" s="219">
        <v>44925</v>
      </c>
      <c r="P2114" s="48" t="s">
        <v>3728</v>
      </c>
    </row>
    <row r="2115" spans="1:16" x14ac:dyDescent="0.3">
      <c r="A2115" s="59">
        <f t="shared" si="167"/>
        <v>1918</v>
      </c>
      <c r="B2115" s="60" t="s">
        <v>2193</v>
      </c>
      <c r="C2115" s="184">
        <v>1967</v>
      </c>
      <c r="D2115" s="51"/>
      <c r="E2115" s="243" t="s">
        <v>3733</v>
      </c>
      <c r="F2115" s="218">
        <v>5</v>
      </c>
      <c r="G2115" s="50"/>
      <c r="H2115" s="243">
        <v>3506</v>
      </c>
      <c r="I2115" s="218">
        <v>167</v>
      </c>
      <c r="J2115" s="19">
        <f t="shared" si="165"/>
        <v>1082967.51</v>
      </c>
      <c r="K2115" s="50"/>
      <c r="L2115" s="50"/>
      <c r="M2115" s="50"/>
      <c r="N2115" s="19">
        <f>SUMIF('2020'!B:B,B2115,'2020'!C:C)+SUMIF('2021'!B:B,B2115,'2021'!C:C)+SUMIF('2022'!B:B,B2115,'2022'!C:C)</f>
        <v>1082967.51</v>
      </c>
      <c r="O2115" s="219">
        <v>44925</v>
      </c>
      <c r="P2115" s="48" t="s">
        <v>3728</v>
      </c>
    </row>
    <row r="2116" spans="1:16" x14ac:dyDescent="0.3">
      <c r="A2116" s="59">
        <f>A2115+1</f>
        <v>1919</v>
      </c>
      <c r="B2116" s="60" t="s">
        <v>2194</v>
      </c>
      <c r="C2116" s="184">
        <v>1971</v>
      </c>
      <c r="D2116" s="51"/>
      <c r="E2116" s="243" t="s">
        <v>3733</v>
      </c>
      <c r="F2116" s="218">
        <v>5</v>
      </c>
      <c r="G2116" s="50"/>
      <c r="H2116" s="243">
        <v>3313.1</v>
      </c>
      <c r="I2116" s="243">
        <v>170</v>
      </c>
      <c r="J2116" s="19">
        <f t="shared" si="165"/>
        <v>1056977.8799999999</v>
      </c>
      <c r="K2116" s="50"/>
      <c r="L2116" s="50"/>
      <c r="M2116" s="50"/>
      <c r="N2116" s="19">
        <f>SUMIF('2020'!B:B,B2116,'2020'!C:C)+SUMIF('2021'!B:B,B2116,'2021'!C:C)+SUMIF('2022'!B:B,B2116,'2022'!C:C)</f>
        <v>1056977.8799999999</v>
      </c>
      <c r="O2116" s="219">
        <v>44925</v>
      </c>
      <c r="P2116" s="48" t="s">
        <v>3728</v>
      </c>
    </row>
    <row r="2117" spans="1:16" x14ac:dyDescent="0.3">
      <c r="A2117" s="59">
        <f t="shared" si="167"/>
        <v>1920</v>
      </c>
      <c r="B2117" s="60" t="s">
        <v>2195</v>
      </c>
      <c r="C2117" s="184">
        <v>1971</v>
      </c>
      <c r="D2117" s="51"/>
      <c r="E2117" s="243" t="s">
        <v>3733</v>
      </c>
      <c r="F2117" s="243">
        <v>5</v>
      </c>
      <c r="G2117" s="50"/>
      <c r="H2117" s="243">
        <v>3814.4</v>
      </c>
      <c r="I2117" s="243">
        <v>189</v>
      </c>
      <c r="J2117" s="19">
        <f t="shared" si="165"/>
        <v>1519602.46</v>
      </c>
      <c r="K2117" s="50"/>
      <c r="L2117" s="50"/>
      <c r="M2117" s="50"/>
      <c r="N2117" s="19">
        <f>SUMIF('2020'!B:B,B2117,'2020'!C:C)+SUMIF('2021'!B:B,B2117,'2021'!C:C)+SUMIF('2022'!B:B,B2117,'2022'!C:C)</f>
        <v>1519602.46</v>
      </c>
      <c r="O2117" s="219">
        <v>44925</v>
      </c>
      <c r="P2117" s="48" t="s">
        <v>3728</v>
      </c>
    </row>
    <row r="2118" spans="1:16" x14ac:dyDescent="0.3">
      <c r="A2118" s="59">
        <f t="shared" si="167"/>
        <v>1921</v>
      </c>
      <c r="B2118" s="60" t="s">
        <v>2196</v>
      </c>
      <c r="C2118" s="184">
        <v>1971</v>
      </c>
      <c r="D2118" s="51"/>
      <c r="E2118" s="243" t="s">
        <v>3733</v>
      </c>
      <c r="F2118" s="243">
        <v>5</v>
      </c>
      <c r="G2118" s="50"/>
      <c r="H2118" s="243">
        <v>3127.8</v>
      </c>
      <c r="I2118" s="243">
        <v>158</v>
      </c>
      <c r="J2118" s="19">
        <f t="shared" si="165"/>
        <v>1406109.41</v>
      </c>
      <c r="K2118" s="50"/>
      <c r="L2118" s="50"/>
      <c r="M2118" s="50"/>
      <c r="N2118" s="19">
        <f>SUMIF('2020'!B:B,B2118,'2020'!C:C)+SUMIF('2021'!B:B,B2118,'2021'!C:C)+SUMIF('2022'!B:B,B2118,'2022'!C:C)</f>
        <v>1406109.41</v>
      </c>
      <c r="O2118" s="219">
        <v>44925</v>
      </c>
      <c r="P2118" s="48" t="s">
        <v>3728</v>
      </c>
    </row>
    <row r="2119" spans="1:16" x14ac:dyDescent="0.3">
      <c r="A2119" s="59">
        <f t="shared" si="167"/>
        <v>1922</v>
      </c>
      <c r="B2119" s="60" t="s">
        <v>2197</v>
      </c>
      <c r="C2119" s="184">
        <v>1972</v>
      </c>
      <c r="D2119" s="51"/>
      <c r="E2119" s="243" t="s">
        <v>3733</v>
      </c>
      <c r="F2119" s="243">
        <v>5</v>
      </c>
      <c r="G2119" s="50"/>
      <c r="H2119" s="243">
        <v>2345.6999999999998</v>
      </c>
      <c r="I2119" s="243">
        <v>104</v>
      </c>
      <c r="J2119" s="19">
        <f t="shared" si="165"/>
        <v>1426188.93</v>
      </c>
      <c r="K2119" s="50"/>
      <c r="L2119" s="50"/>
      <c r="M2119" s="50"/>
      <c r="N2119" s="19">
        <f>SUMIF('2020'!B:B,B2119,'2020'!C:C)+SUMIF('2021'!B:B,B2119,'2021'!C:C)+SUMIF('2022'!B:B,B2119,'2022'!C:C)</f>
        <v>1426188.93</v>
      </c>
      <c r="O2119" s="219">
        <v>44925</v>
      </c>
      <c r="P2119" s="48" t="s">
        <v>3728</v>
      </c>
    </row>
    <row r="2120" spans="1:16" x14ac:dyDescent="0.3">
      <c r="A2120" s="59">
        <f t="shared" si="167"/>
        <v>1923</v>
      </c>
      <c r="B2120" s="60" t="s">
        <v>2198</v>
      </c>
      <c r="C2120" s="184">
        <v>1975</v>
      </c>
      <c r="D2120" s="51"/>
      <c r="E2120" s="243" t="s">
        <v>3733</v>
      </c>
      <c r="F2120" s="243">
        <v>5</v>
      </c>
      <c r="G2120" s="50"/>
      <c r="H2120" s="243">
        <v>2135.1</v>
      </c>
      <c r="I2120" s="243">
        <v>102</v>
      </c>
      <c r="J2120" s="19">
        <f t="shared" si="165"/>
        <v>778560.46</v>
      </c>
      <c r="K2120" s="50"/>
      <c r="L2120" s="50"/>
      <c r="M2120" s="50"/>
      <c r="N2120" s="19">
        <f>SUMIF('2020'!B:B,B2120,'2020'!C:C)+SUMIF('2021'!B:B,B2120,'2021'!C:C)+SUMIF('2022'!B:B,B2120,'2022'!C:C)</f>
        <v>778560.46</v>
      </c>
      <c r="O2120" s="219">
        <v>44925</v>
      </c>
      <c r="P2120" s="48" t="s">
        <v>3728</v>
      </c>
    </row>
    <row r="2121" spans="1:16" x14ac:dyDescent="0.3">
      <c r="A2121" s="59">
        <f t="shared" si="167"/>
        <v>1924</v>
      </c>
      <c r="B2121" s="60" t="s">
        <v>2199</v>
      </c>
      <c r="C2121" s="184">
        <v>1975</v>
      </c>
      <c r="D2121" s="51"/>
      <c r="E2121" s="243" t="s">
        <v>3733</v>
      </c>
      <c r="F2121" s="243">
        <v>5</v>
      </c>
      <c r="G2121" s="50"/>
      <c r="H2121" s="243">
        <v>2242.5</v>
      </c>
      <c r="I2121" s="243">
        <v>104</v>
      </c>
      <c r="J2121" s="19">
        <f t="shared" si="165"/>
        <v>1477034.68</v>
      </c>
      <c r="K2121" s="50"/>
      <c r="L2121" s="50"/>
      <c r="M2121" s="50"/>
      <c r="N2121" s="19">
        <f>SUMIF('2020'!B:B,B2121,'2020'!C:C)+SUMIF('2021'!B:B,B2121,'2021'!C:C)+SUMIF('2022'!B:B,B2121,'2022'!C:C)</f>
        <v>1477034.68</v>
      </c>
      <c r="O2121" s="219">
        <v>44925</v>
      </c>
      <c r="P2121" s="48" t="s">
        <v>3728</v>
      </c>
    </row>
    <row r="2122" spans="1:16" x14ac:dyDescent="0.3">
      <c r="A2122" s="59">
        <f t="shared" si="167"/>
        <v>1925</v>
      </c>
      <c r="B2122" s="60" t="s">
        <v>2200</v>
      </c>
      <c r="C2122" s="184">
        <v>1968</v>
      </c>
      <c r="D2122" s="51"/>
      <c r="E2122" s="243" t="s">
        <v>3733</v>
      </c>
      <c r="F2122" s="243">
        <v>5</v>
      </c>
      <c r="G2122" s="50"/>
      <c r="H2122" s="243">
        <v>3349.7</v>
      </c>
      <c r="I2122" s="243">
        <v>163</v>
      </c>
      <c r="J2122" s="19">
        <f t="shared" si="165"/>
        <v>1072983.67</v>
      </c>
      <c r="K2122" s="50"/>
      <c r="L2122" s="50"/>
      <c r="M2122" s="50"/>
      <c r="N2122" s="19">
        <f>SUMIF('2020'!B:B,B2122,'2020'!C:C)+SUMIF('2021'!B:B,B2122,'2021'!C:C)+SUMIF('2022'!B:B,B2122,'2022'!C:C)</f>
        <v>1072983.67</v>
      </c>
      <c r="O2122" s="219">
        <v>44925</v>
      </c>
      <c r="P2122" s="48" t="s">
        <v>3728</v>
      </c>
    </row>
    <row r="2123" spans="1:16" x14ac:dyDescent="0.3">
      <c r="A2123" s="59">
        <f t="shared" si="167"/>
        <v>1926</v>
      </c>
      <c r="B2123" s="60" t="s">
        <v>2201</v>
      </c>
      <c r="C2123" s="184">
        <v>1978</v>
      </c>
      <c r="D2123" s="51"/>
      <c r="E2123" s="243" t="s">
        <v>3733</v>
      </c>
      <c r="F2123" s="243">
        <v>2</v>
      </c>
      <c r="G2123" s="50"/>
      <c r="H2123" s="243">
        <v>347.5</v>
      </c>
      <c r="I2123" s="243">
        <v>16</v>
      </c>
      <c r="J2123" s="19">
        <f t="shared" si="165"/>
        <v>528240.13</v>
      </c>
      <c r="K2123" s="50"/>
      <c r="L2123" s="50"/>
      <c r="M2123" s="50"/>
      <c r="N2123" s="19">
        <f>SUMIF('2020'!B:B,B2123,'2020'!C:C)+SUMIF('2021'!B:B,B2123,'2021'!C:C)+SUMIF('2022'!B:B,B2123,'2022'!C:C)</f>
        <v>528240.13</v>
      </c>
      <c r="O2123" s="219">
        <v>44925</v>
      </c>
      <c r="P2123" s="48" t="s">
        <v>3728</v>
      </c>
    </row>
    <row r="2124" spans="1:16" x14ac:dyDescent="0.3">
      <c r="A2124" s="59">
        <f t="shared" si="167"/>
        <v>1927</v>
      </c>
      <c r="B2124" s="60" t="s">
        <v>2202</v>
      </c>
      <c r="C2124" s="184">
        <v>1978</v>
      </c>
      <c r="D2124" s="51"/>
      <c r="E2124" s="243" t="s">
        <v>3731</v>
      </c>
      <c r="F2124" s="243">
        <v>5</v>
      </c>
      <c r="G2124" s="50"/>
      <c r="H2124" s="243">
        <v>6129.6</v>
      </c>
      <c r="I2124" s="243">
        <v>239</v>
      </c>
      <c r="J2124" s="19">
        <f t="shared" ref="J2124:J2175" si="168">K2124+L2124+M2124+N2124</f>
        <v>164944</v>
      </c>
      <c r="K2124" s="50"/>
      <c r="L2124" s="50"/>
      <c r="M2124" s="50"/>
      <c r="N2124" s="19">
        <f>SUMIF('2020'!B:B,B2124,'2020'!C:C)+SUMIF('2021'!B:B,B2124,'2021'!C:C)+SUMIF('2022'!B:B,B2124,'2022'!C:C)</f>
        <v>164944</v>
      </c>
      <c r="O2124" s="219">
        <v>44925</v>
      </c>
      <c r="P2124" s="48" t="s">
        <v>3787</v>
      </c>
    </row>
    <row r="2125" spans="1:16" x14ac:dyDescent="0.3">
      <c r="A2125" s="59">
        <f t="shared" si="167"/>
        <v>1928</v>
      </c>
      <c r="B2125" s="60" t="s">
        <v>2203</v>
      </c>
      <c r="C2125" s="184">
        <v>1977</v>
      </c>
      <c r="D2125" s="51"/>
      <c r="E2125" s="243" t="s">
        <v>4111</v>
      </c>
      <c r="F2125" s="243">
        <v>5</v>
      </c>
      <c r="G2125" s="50"/>
      <c r="H2125" s="243">
        <v>5964.3</v>
      </c>
      <c r="I2125" s="243">
        <v>319</v>
      </c>
      <c r="J2125" s="19">
        <f t="shared" si="168"/>
        <v>1207707.6499999999</v>
      </c>
      <c r="K2125" s="50"/>
      <c r="L2125" s="50"/>
      <c r="M2125" s="50"/>
      <c r="N2125" s="19">
        <f>SUMIF('2020'!B:B,B2125,'2020'!C:C)+SUMIF('2021'!B:B,B2125,'2021'!C:C)+SUMIF('2022'!B:B,B2125,'2022'!C:C)</f>
        <v>1207707.6499999999</v>
      </c>
      <c r="O2125" s="219">
        <v>44925</v>
      </c>
      <c r="P2125" s="48" t="s">
        <v>3787</v>
      </c>
    </row>
    <row r="2126" spans="1:16" x14ac:dyDescent="0.3">
      <c r="A2126" s="59">
        <f t="shared" ref="A2126:A2152" si="169">A2125+1</f>
        <v>1929</v>
      </c>
      <c r="B2126" s="60" t="s">
        <v>2204</v>
      </c>
      <c r="C2126" s="184">
        <v>1979</v>
      </c>
      <c r="D2126" s="51"/>
      <c r="E2126" s="243" t="s">
        <v>3731</v>
      </c>
      <c r="F2126" s="243">
        <v>5</v>
      </c>
      <c r="G2126" s="50"/>
      <c r="H2126" s="243">
        <v>3811.2</v>
      </c>
      <c r="I2126" s="243">
        <v>188</v>
      </c>
      <c r="J2126" s="19">
        <f t="shared" si="168"/>
        <v>358248.78</v>
      </c>
      <c r="K2126" s="50"/>
      <c r="L2126" s="50"/>
      <c r="M2126" s="50"/>
      <c r="N2126" s="19">
        <f>SUMIF('2020'!B:B,B2126,'2020'!C:C)+SUMIF('2021'!B:B,B2126,'2021'!C:C)+SUMIF('2022'!B:B,B2126,'2022'!C:C)</f>
        <v>358248.78</v>
      </c>
      <c r="O2126" s="219">
        <v>44925</v>
      </c>
      <c r="P2126" s="48" t="s">
        <v>3728</v>
      </c>
    </row>
    <row r="2127" spans="1:16" x14ac:dyDescent="0.3">
      <c r="A2127" s="59">
        <f t="shared" si="169"/>
        <v>1930</v>
      </c>
      <c r="B2127" s="60" t="s">
        <v>2205</v>
      </c>
      <c r="C2127" s="184">
        <v>1971</v>
      </c>
      <c r="D2127" s="51"/>
      <c r="E2127" s="244" t="s">
        <v>3737</v>
      </c>
      <c r="F2127" s="244">
        <v>5</v>
      </c>
      <c r="G2127" s="50"/>
      <c r="H2127" s="244">
        <v>4348.8</v>
      </c>
      <c r="I2127" s="244">
        <v>288</v>
      </c>
      <c r="J2127" s="19">
        <f t="shared" si="168"/>
        <v>1342018.69</v>
      </c>
      <c r="K2127" s="50"/>
      <c r="L2127" s="50"/>
      <c r="M2127" s="50"/>
      <c r="N2127" s="19">
        <f>SUMIF('2020'!B:B,B2127,'2020'!C:C)+SUMIF('2021'!B:B,B2127,'2021'!C:C)+SUMIF('2022'!B:B,B2127,'2022'!C:C)</f>
        <v>1342018.69</v>
      </c>
      <c r="O2127" s="219">
        <v>44925</v>
      </c>
      <c r="P2127" s="48" t="s">
        <v>3728</v>
      </c>
    </row>
    <row r="2128" spans="1:16" x14ac:dyDescent="0.3">
      <c r="A2128" s="59">
        <f t="shared" si="169"/>
        <v>1931</v>
      </c>
      <c r="B2128" s="60" t="s">
        <v>2206</v>
      </c>
      <c r="C2128" s="184">
        <v>1975</v>
      </c>
      <c r="D2128" s="51"/>
      <c r="E2128" s="244" t="s">
        <v>3733</v>
      </c>
      <c r="F2128" s="244">
        <v>5</v>
      </c>
      <c r="G2128" s="50"/>
      <c r="H2128" s="244">
        <v>2123.6</v>
      </c>
      <c r="I2128" s="244">
        <v>97</v>
      </c>
      <c r="J2128" s="19">
        <f t="shared" si="168"/>
        <v>1072356.8600000001</v>
      </c>
      <c r="K2128" s="50"/>
      <c r="L2128" s="50"/>
      <c r="M2128" s="50"/>
      <c r="N2128" s="19">
        <f>SUMIF('2020'!B:B,B2128,'2020'!C:C)+SUMIF('2021'!B:B,B2128,'2021'!C:C)+SUMIF('2022'!B:B,B2128,'2022'!C:C)</f>
        <v>1072356.8600000001</v>
      </c>
      <c r="O2128" s="219">
        <v>44925</v>
      </c>
      <c r="P2128" s="48" t="s">
        <v>3728</v>
      </c>
    </row>
    <row r="2129" spans="1:16" x14ac:dyDescent="0.3">
      <c r="A2129" s="59">
        <f t="shared" si="169"/>
        <v>1932</v>
      </c>
      <c r="B2129" s="60" t="s">
        <v>2207</v>
      </c>
      <c r="C2129" s="184">
        <v>1977</v>
      </c>
      <c r="D2129" s="51"/>
      <c r="E2129" s="244" t="s">
        <v>3737</v>
      </c>
      <c r="F2129" s="244">
        <v>5</v>
      </c>
      <c r="G2129" s="50"/>
      <c r="H2129" s="244">
        <v>4141.1000000000004</v>
      </c>
      <c r="I2129" s="244">
        <v>185</v>
      </c>
      <c r="J2129" s="19">
        <f t="shared" si="168"/>
        <v>130000</v>
      </c>
      <c r="K2129" s="50"/>
      <c r="L2129" s="50"/>
      <c r="M2129" s="50"/>
      <c r="N2129" s="19">
        <f>SUMIF('2020'!B:B,B2129,'2020'!C:C)+SUMIF('2021'!B:B,B2129,'2021'!C:C)+SUMIF('2022'!B:B,B2129,'2022'!C:C)</f>
        <v>130000</v>
      </c>
      <c r="O2129" s="219">
        <v>44925</v>
      </c>
      <c r="P2129" s="48" t="s">
        <v>3728</v>
      </c>
    </row>
    <row r="2130" spans="1:16" x14ac:dyDescent="0.3">
      <c r="A2130" s="59">
        <f t="shared" si="169"/>
        <v>1933</v>
      </c>
      <c r="B2130" s="60" t="s">
        <v>2208</v>
      </c>
      <c r="C2130" s="184">
        <v>1975</v>
      </c>
      <c r="D2130" s="51"/>
      <c r="E2130" s="244" t="s">
        <v>3733</v>
      </c>
      <c r="F2130" s="244">
        <v>9</v>
      </c>
      <c r="G2130" s="50"/>
      <c r="H2130" s="244">
        <v>3549.5</v>
      </c>
      <c r="I2130" s="244">
        <v>142</v>
      </c>
      <c r="J2130" s="19">
        <f t="shared" si="168"/>
        <v>1298984.17</v>
      </c>
      <c r="K2130" s="50"/>
      <c r="L2130" s="50"/>
      <c r="M2130" s="50"/>
      <c r="N2130" s="19">
        <f>SUMIF('2020'!B:B,B2130,'2020'!C:C)+SUMIF('2021'!B:B,B2130,'2021'!C:C)+SUMIF('2022'!B:B,B2130,'2022'!C:C)</f>
        <v>1298984.17</v>
      </c>
      <c r="O2130" s="219">
        <v>44925</v>
      </c>
      <c r="P2130" s="48" t="s">
        <v>2042</v>
      </c>
    </row>
    <row r="2131" spans="1:16" x14ac:dyDescent="0.3">
      <c r="A2131" s="59">
        <f t="shared" si="169"/>
        <v>1934</v>
      </c>
      <c r="B2131" s="60" t="s">
        <v>2210</v>
      </c>
      <c r="C2131" s="184">
        <v>1976</v>
      </c>
      <c r="D2131" s="51"/>
      <c r="E2131" s="244" t="s">
        <v>3731</v>
      </c>
      <c r="F2131" s="244">
        <v>9</v>
      </c>
      <c r="G2131" s="50"/>
      <c r="H2131" s="244">
        <v>7589.8</v>
      </c>
      <c r="I2131" s="244">
        <v>371</v>
      </c>
      <c r="J2131" s="19">
        <f t="shared" si="168"/>
        <v>739312.52</v>
      </c>
      <c r="K2131" s="50"/>
      <c r="L2131" s="50"/>
      <c r="M2131" s="50"/>
      <c r="N2131" s="19">
        <f>SUMIF('2020'!B:B,B2131,'2020'!C:C)+SUMIF('2021'!B:B,B2131,'2021'!C:C)+SUMIF('2022'!B:B,B2131,'2022'!C:C)</f>
        <v>739312.52</v>
      </c>
      <c r="O2131" s="219">
        <v>44925</v>
      </c>
      <c r="P2131" s="48" t="s">
        <v>2042</v>
      </c>
    </row>
    <row r="2132" spans="1:16" x14ac:dyDescent="0.3">
      <c r="A2132" s="59">
        <f t="shared" si="169"/>
        <v>1935</v>
      </c>
      <c r="B2132" s="60" t="s">
        <v>2211</v>
      </c>
      <c r="C2132" s="184">
        <v>1974</v>
      </c>
      <c r="D2132" s="51"/>
      <c r="E2132" s="244" t="s">
        <v>3731</v>
      </c>
      <c r="F2132" s="244">
        <v>5</v>
      </c>
      <c r="G2132" s="50"/>
      <c r="H2132" s="244">
        <v>9093.6</v>
      </c>
      <c r="I2132" s="244">
        <v>391</v>
      </c>
      <c r="J2132" s="19">
        <f t="shared" si="168"/>
        <v>2183445.64</v>
      </c>
      <c r="K2132" s="50"/>
      <c r="L2132" s="50"/>
      <c r="M2132" s="50"/>
      <c r="N2132" s="19">
        <f>SUMIF('2020'!B:B,B2132,'2020'!C:C)+SUMIF('2021'!B:B,B2132,'2021'!C:C)+SUMIF('2022'!B:B,B2132,'2022'!C:C)</f>
        <v>2183445.64</v>
      </c>
      <c r="O2132" s="219">
        <v>44925</v>
      </c>
      <c r="P2132" s="48" t="s">
        <v>2042</v>
      </c>
    </row>
    <row r="2133" spans="1:16" x14ac:dyDescent="0.3">
      <c r="A2133" s="59">
        <f t="shared" si="169"/>
        <v>1936</v>
      </c>
      <c r="B2133" s="60" t="s">
        <v>2212</v>
      </c>
      <c r="C2133" s="184">
        <v>1933</v>
      </c>
      <c r="D2133" s="51"/>
      <c r="E2133" s="111" t="s">
        <v>4110</v>
      </c>
      <c r="F2133" s="111">
        <v>4</v>
      </c>
      <c r="G2133" s="50"/>
      <c r="H2133" s="111">
        <v>3070.9</v>
      </c>
      <c r="I2133" s="111">
        <v>159</v>
      </c>
      <c r="J2133" s="19">
        <f t="shared" si="168"/>
        <v>965379.23</v>
      </c>
      <c r="K2133" s="50"/>
      <c r="L2133" s="50"/>
      <c r="M2133" s="50"/>
      <c r="N2133" s="19">
        <f>SUMIF('2020'!B:B,B2133,'2020'!C:C)+SUMIF('2021'!B:B,B2133,'2021'!C:C)+SUMIF('2022'!B:B,B2133,'2022'!C:C)</f>
        <v>965379.23</v>
      </c>
      <c r="O2133" s="219">
        <v>44925</v>
      </c>
      <c r="P2133" s="48" t="s">
        <v>3728</v>
      </c>
    </row>
    <row r="2134" spans="1:16" x14ac:dyDescent="0.3">
      <c r="A2134" s="59">
        <f t="shared" si="169"/>
        <v>1937</v>
      </c>
      <c r="B2134" s="60" t="s">
        <v>2213</v>
      </c>
      <c r="C2134" s="184">
        <v>1933</v>
      </c>
      <c r="D2134" s="51"/>
      <c r="E2134" s="111" t="s">
        <v>4110</v>
      </c>
      <c r="F2134" s="111">
        <v>4</v>
      </c>
      <c r="G2134" s="50"/>
      <c r="H2134" s="111">
        <v>3678.1</v>
      </c>
      <c r="I2134" s="111">
        <v>126</v>
      </c>
      <c r="J2134" s="19">
        <f t="shared" si="168"/>
        <v>2251194.21</v>
      </c>
      <c r="K2134" s="50"/>
      <c r="L2134" s="50"/>
      <c r="M2134" s="50"/>
      <c r="N2134" s="19">
        <f>SUMIF('2020'!B:B,B2134,'2020'!C:C)+SUMIF('2021'!B:B,B2134,'2021'!C:C)+SUMIF('2022'!B:B,B2134,'2022'!C:C)</f>
        <v>2251194.21</v>
      </c>
      <c r="O2134" s="219">
        <v>44925</v>
      </c>
      <c r="P2134" s="48" t="s">
        <v>3728</v>
      </c>
    </row>
    <row r="2135" spans="1:16" x14ac:dyDescent="0.3">
      <c r="A2135" s="59">
        <f t="shared" si="169"/>
        <v>1938</v>
      </c>
      <c r="B2135" s="60" t="s">
        <v>2214</v>
      </c>
      <c r="C2135" s="184">
        <v>1951</v>
      </c>
      <c r="D2135" s="51"/>
      <c r="E2135" s="111" t="s">
        <v>4110</v>
      </c>
      <c r="F2135" s="111">
        <v>2</v>
      </c>
      <c r="G2135" s="50"/>
      <c r="H2135" s="111">
        <v>726.8</v>
      </c>
      <c r="I2135" s="111">
        <v>35</v>
      </c>
      <c r="J2135" s="19">
        <f t="shared" si="168"/>
        <v>8430777.9299999997</v>
      </c>
      <c r="K2135" s="50"/>
      <c r="L2135" s="50"/>
      <c r="M2135" s="50"/>
      <c r="N2135" s="19">
        <f>SUMIF('2020'!B:B,B2135,'2020'!C:C)+SUMIF('2021'!B:B,B2135,'2021'!C:C)+SUMIF('2022'!B:B,B2135,'2022'!C:C)</f>
        <v>8430777.9299999997</v>
      </c>
      <c r="O2135" s="219">
        <v>44925</v>
      </c>
      <c r="P2135" s="48" t="s">
        <v>3728</v>
      </c>
    </row>
    <row r="2136" spans="1:16" x14ac:dyDescent="0.3">
      <c r="A2136" s="59">
        <f t="shared" si="169"/>
        <v>1939</v>
      </c>
      <c r="B2136" s="60" t="s">
        <v>2215</v>
      </c>
      <c r="C2136" s="184">
        <v>1968</v>
      </c>
      <c r="D2136" s="51"/>
      <c r="E2136" s="111" t="s">
        <v>3733</v>
      </c>
      <c r="F2136" s="111">
        <v>5</v>
      </c>
      <c r="G2136" s="50"/>
      <c r="H2136" s="111">
        <v>3865.5</v>
      </c>
      <c r="I2136" s="111">
        <v>175</v>
      </c>
      <c r="J2136" s="19">
        <f t="shared" si="168"/>
        <v>2126826.39</v>
      </c>
      <c r="K2136" s="50"/>
      <c r="L2136" s="50"/>
      <c r="M2136" s="50"/>
      <c r="N2136" s="19">
        <f>SUMIF('2020'!B:B,B2136,'2020'!C:C)+SUMIF('2021'!B:B,B2136,'2021'!C:C)+SUMIF('2022'!B:B,B2136,'2022'!C:C)</f>
        <v>2126826.39</v>
      </c>
      <c r="O2136" s="219">
        <v>44925</v>
      </c>
      <c r="P2136" s="48" t="s">
        <v>3728</v>
      </c>
    </row>
    <row r="2137" spans="1:16" x14ac:dyDescent="0.3">
      <c r="A2137" s="59">
        <f t="shared" si="169"/>
        <v>1940</v>
      </c>
      <c r="B2137" s="60" t="s">
        <v>2216</v>
      </c>
      <c r="C2137" s="184">
        <v>1958</v>
      </c>
      <c r="D2137" s="51"/>
      <c r="E2137" s="111" t="s">
        <v>4110</v>
      </c>
      <c r="F2137" s="111">
        <v>2</v>
      </c>
      <c r="G2137" s="50"/>
      <c r="H2137" s="111">
        <v>419.4</v>
      </c>
      <c r="I2137" s="111">
        <v>17</v>
      </c>
      <c r="J2137" s="19">
        <f t="shared" si="168"/>
        <v>5378368.0800000001</v>
      </c>
      <c r="K2137" s="50"/>
      <c r="L2137" s="50"/>
      <c r="M2137" s="50"/>
      <c r="N2137" s="19">
        <f>SUMIF('2020'!B:B,B2137,'2020'!C:C)+SUMIF('2021'!B:B,B2137,'2021'!C:C)+SUMIF('2022'!B:B,B2137,'2022'!C:C)</f>
        <v>5378368.0800000001</v>
      </c>
      <c r="O2137" s="219">
        <v>44925</v>
      </c>
      <c r="P2137" s="48" t="s">
        <v>3728</v>
      </c>
    </row>
    <row r="2138" spans="1:16" x14ac:dyDescent="0.3">
      <c r="A2138" s="59">
        <f t="shared" si="169"/>
        <v>1941</v>
      </c>
      <c r="B2138" s="60" t="s">
        <v>2217</v>
      </c>
      <c r="C2138" s="184">
        <v>1950</v>
      </c>
      <c r="D2138" s="51"/>
      <c r="E2138" s="111" t="s">
        <v>4110</v>
      </c>
      <c r="F2138" s="111">
        <v>2</v>
      </c>
      <c r="G2138" s="50"/>
      <c r="H2138" s="111">
        <v>626.6</v>
      </c>
      <c r="I2138" s="111">
        <v>37</v>
      </c>
      <c r="J2138" s="19">
        <f t="shared" si="168"/>
        <v>7174971.9100000011</v>
      </c>
      <c r="K2138" s="50"/>
      <c r="L2138" s="50"/>
      <c r="M2138" s="50"/>
      <c r="N2138" s="19">
        <f>SUMIF('2020'!B:B,B2138,'2020'!C:C)+SUMIF('2021'!B:B,B2138,'2021'!C:C)+SUMIF('2022'!B:B,B2138,'2022'!C:C)</f>
        <v>7174971.9100000011</v>
      </c>
      <c r="O2138" s="219">
        <v>44925</v>
      </c>
      <c r="P2138" s="48" t="s">
        <v>3728</v>
      </c>
    </row>
    <row r="2139" spans="1:16" x14ac:dyDescent="0.3">
      <c r="A2139" s="59">
        <f t="shared" si="169"/>
        <v>1942</v>
      </c>
      <c r="B2139" s="60" t="s">
        <v>2218</v>
      </c>
      <c r="C2139" s="184">
        <v>1950</v>
      </c>
      <c r="D2139" s="51"/>
      <c r="E2139" s="244" t="s">
        <v>4110</v>
      </c>
      <c r="F2139" s="244">
        <v>2</v>
      </c>
      <c r="G2139" s="50"/>
      <c r="H2139" s="244">
        <v>701.4</v>
      </c>
      <c r="I2139" s="244">
        <v>37</v>
      </c>
      <c r="J2139" s="19">
        <f t="shared" si="168"/>
        <v>1101929.8599999999</v>
      </c>
      <c r="K2139" s="50"/>
      <c r="L2139" s="50"/>
      <c r="M2139" s="50"/>
      <c r="N2139" s="19">
        <f>SUMIF('2020'!B:B,B2139,'2020'!C:C)+SUMIF('2021'!B:B,B2139,'2021'!C:C)+SUMIF('2022'!B:B,B2139,'2022'!C:C)</f>
        <v>1101929.8599999999</v>
      </c>
      <c r="O2139" s="219">
        <v>44925</v>
      </c>
      <c r="P2139" s="48" t="s">
        <v>3728</v>
      </c>
    </row>
    <row r="2140" spans="1:16" x14ac:dyDescent="0.3">
      <c r="A2140" s="59">
        <f t="shared" si="169"/>
        <v>1943</v>
      </c>
      <c r="B2140" s="60" t="s">
        <v>2219</v>
      </c>
      <c r="C2140" s="184">
        <v>1948</v>
      </c>
      <c r="D2140" s="51"/>
      <c r="E2140" s="244" t="s">
        <v>4110</v>
      </c>
      <c r="F2140" s="244">
        <v>2</v>
      </c>
      <c r="G2140" s="50"/>
      <c r="H2140" s="244">
        <v>1232.5999999999999</v>
      </c>
      <c r="I2140" s="244">
        <v>19</v>
      </c>
      <c r="J2140" s="19">
        <f t="shared" si="168"/>
        <v>6561367.5900000008</v>
      </c>
      <c r="K2140" s="50"/>
      <c r="L2140" s="50"/>
      <c r="M2140" s="50"/>
      <c r="N2140" s="19">
        <f>SUMIF('2020'!B:B,B2140,'2020'!C:C)+SUMIF('2021'!B:B,B2140,'2021'!C:C)+SUMIF('2022'!B:B,B2140,'2022'!C:C)</f>
        <v>6561367.5900000008</v>
      </c>
      <c r="O2140" s="219">
        <v>44925</v>
      </c>
      <c r="P2140" s="48" t="s">
        <v>3728</v>
      </c>
    </row>
    <row r="2141" spans="1:16" x14ac:dyDescent="0.3">
      <c r="A2141" s="59">
        <f t="shared" si="169"/>
        <v>1944</v>
      </c>
      <c r="B2141" s="60" t="s">
        <v>2220</v>
      </c>
      <c r="C2141" s="184">
        <v>1961</v>
      </c>
      <c r="D2141" s="51"/>
      <c r="E2141" s="244" t="s">
        <v>3733</v>
      </c>
      <c r="F2141" s="244">
        <v>2</v>
      </c>
      <c r="G2141" s="50"/>
      <c r="H2141" s="244">
        <v>375.4</v>
      </c>
      <c r="I2141" s="244">
        <v>24</v>
      </c>
      <c r="J2141" s="19">
        <f t="shared" si="168"/>
        <v>4212642.38</v>
      </c>
      <c r="K2141" s="50"/>
      <c r="L2141" s="50"/>
      <c r="M2141" s="50"/>
      <c r="N2141" s="19">
        <f>SUMIF('2020'!B:B,B2141,'2020'!C:C)+SUMIF('2021'!B:B,B2141,'2021'!C:C)+SUMIF('2022'!B:B,B2141,'2022'!C:C)</f>
        <v>4212642.38</v>
      </c>
      <c r="O2141" s="219">
        <v>44925</v>
      </c>
      <c r="P2141" s="48" t="s">
        <v>3728</v>
      </c>
    </row>
    <row r="2142" spans="1:16" x14ac:dyDescent="0.3">
      <c r="A2142" s="59">
        <f t="shared" si="169"/>
        <v>1945</v>
      </c>
      <c r="B2142" s="60" t="s">
        <v>2221</v>
      </c>
      <c r="C2142" s="184">
        <v>1948</v>
      </c>
      <c r="D2142" s="51"/>
      <c r="E2142" s="244" t="s">
        <v>4110</v>
      </c>
      <c r="F2142" s="244">
        <v>2</v>
      </c>
      <c r="G2142" s="50"/>
      <c r="H2142" s="244">
        <v>710.5</v>
      </c>
      <c r="I2142" s="244">
        <v>19</v>
      </c>
      <c r="J2142" s="19">
        <f t="shared" si="168"/>
        <v>10144724.689999999</v>
      </c>
      <c r="K2142" s="50"/>
      <c r="L2142" s="50"/>
      <c r="M2142" s="50"/>
      <c r="N2142" s="19">
        <f>SUMIF('2020'!B:B,B2142,'2020'!C:C)+SUMIF('2021'!B:B,B2142,'2021'!C:C)+SUMIF('2022'!B:B,B2142,'2022'!C:C)</f>
        <v>10144724.689999999</v>
      </c>
      <c r="O2142" s="219">
        <v>44925</v>
      </c>
      <c r="P2142" s="48" t="s">
        <v>3728</v>
      </c>
    </row>
    <row r="2143" spans="1:16" x14ac:dyDescent="0.3">
      <c r="A2143" s="59">
        <f t="shared" si="169"/>
        <v>1946</v>
      </c>
      <c r="B2143" s="60" t="s">
        <v>2222</v>
      </c>
      <c r="C2143" s="184">
        <v>1933</v>
      </c>
      <c r="D2143" s="51"/>
      <c r="E2143" s="244" t="s">
        <v>4110</v>
      </c>
      <c r="F2143" s="244">
        <v>4</v>
      </c>
      <c r="G2143" s="50"/>
      <c r="H2143" s="244">
        <v>3340.6</v>
      </c>
      <c r="I2143" s="244">
        <v>138</v>
      </c>
      <c r="J2143" s="19">
        <f t="shared" si="168"/>
        <v>10940098.629999999</v>
      </c>
      <c r="K2143" s="50"/>
      <c r="L2143" s="50"/>
      <c r="M2143" s="50"/>
      <c r="N2143" s="19">
        <f>SUMIF('2020'!B:B,B2143,'2020'!C:C)+SUMIF('2021'!B:B,B2143,'2021'!C:C)+SUMIF('2022'!B:B,B2143,'2022'!C:C)</f>
        <v>10940098.629999999</v>
      </c>
      <c r="O2143" s="219">
        <v>44925</v>
      </c>
      <c r="P2143" s="48" t="s">
        <v>3728</v>
      </c>
    </row>
    <row r="2144" spans="1:16" x14ac:dyDescent="0.3">
      <c r="A2144" s="59">
        <f t="shared" si="169"/>
        <v>1947</v>
      </c>
      <c r="B2144" s="60" t="s">
        <v>2223</v>
      </c>
      <c r="C2144" s="184">
        <v>1961</v>
      </c>
      <c r="D2144" s="51"/>
      <c r="E2144" s="244" t="s">
        <v>3733</v>
      </c>
      <c r="F2144" s="244">
        <v>4</v>
      </c>
      <c r="G2144" s="50"/>
      <c r="H2144" s="244">
        <v>2021.9</v>
      </c>
      <c r="I2144" s="244">
        <v>138</v>
      </c>
      <c r="J2144" s="19">
        <f t="shared" si="168"/>
        <v>1658797.24</v>
      </c>
      <c r="K2144" s="50"/>
      <c r="L2144" s="50"/>
      <c r="M2144" s="50"/>
      <c r="N2144" s="19">
        <f>SUMIF('2020'!B:B,B2144,'2020'!C:C)+SUMIF('2021'!B:B,B2144,'2021'!C:C)+SUMIF('2022'!B:B,B2144,'2022'!C:C)</f>
        <v>1658797.24</v>
      </c>
      <c r="O2144" s="219">
        <v>44925</v>
      </c>
      <c r="P2144" s="48" t="s">
        <v>3728</v>
      </c>
    </row>
    <row r="2145" spans="1:16" x14ac:dyDescent="0.3">
      <c r="A2145" s="59">
        <f t="shared" si="169"/>
        <v>1948</v>
      </c>
      <c r="B2145" s="60" t="s">
        <v>2224</v>
      </c>
      <c r="C2145" s="184">
        <v>1933</v>
      </c>
      <c r="D2145" s="51"/>
      <c r="E2145" s="244" t="s">
        <v>4110</v>
      </c>
      <c r="F2145" s="244">
        <v>4</v>
      </c>
      <c r="G2145" s="228"/>
      <c r="H2145" s="244">
        <v>3085.1</v>
      </c>
      <c r="I2145" s="244">
        <v>154</v>
      </c>
      <c r="J2145" s="19">
        <f t="shared" si="168"/>
        <v>10337527.189999999</v>
      </c>
      <c r="K2145" s="50"/>
      <c r="L2145" s="50"/>
      <c r="M2145" s="50"/>
      <c r="N2145" s="19">
        <f>SUMIF('2020'!B:B,B2145,'2020'!C:C)+SUMIF('2021'!B:B,B2145,'2021'!C:C)+SUMIF('2022'!B:B,B2145,'2022'!C:C)</f>
        <v>10337527.189999999</v>
      </c>
      <c r="O2145" s="219">
        <v>44925</v>
      </c>
      <c r="P2145" s="48" t="s">
        <v>3728</v>
      </c>
    </row>
    <row r="2146" spans="1:16" x14ac:dyDescent="0.3">
      <c r="A2146" s="59">
        <f t="shared" si="169"/>
        <v>1949</v>
      </c>
      <c r="B2146" s="60" t="s">
        <v>2225</v>
      </c>
      <c r="C2146" s="184">
        <v>1933</v>
      </c>
      <c r="D2146" s="51"/>
      <c r="E2146" s="244" t="s">
        <v>4110</v>
      </c>
      <c r="F2146" s="244">
        <v>4</v>
      </c>
      <c r="G2146" s="50"/>
      <c r="H2146" s="244">
        <v>3706.2</v>
      </c>
      <c r="I2146" s="244">
        <v>168</v>
      </c>
      <c r="J2146" s="19">
        <f t="shared" si="168"/>
        <v>2379219.1</v>
      </c>
      <c r="K2146" s="50"/>
      <c r="L2146" s="50"/>
      <c r="M2146" s="50"/>
      <c r="N2146" s="19">
        <f>SUMIF('2020'!B:B,B2146,'2020'!C:C)+SUMIF('2021'!B:B,B2146,'2021'!C:C)+SUMIF('2022'!B:B,B2146,'2022'!C:C)</f>
        <v>2379219.1</v>
      </c>
      <c r="O2146" s="219">
        <v>44925</v>
      </c>
      <c r="P2146" s="48" t="s">
        <v>3728</v>
      </c>
    </row>
    <row r="2147" spans="1:16" x14ac:dyDescent="0.3">
      <c r="A2147" s="59">
        <f t="shared" si="169"/>
        <v>1950</v>
      </c>
      <c r="B2147" s="60" t="s">
        <v>2226</v>
      </c>
      <c r="C2147" s="184">
        <v>1933</v>
      </c>
      <c r="D2147" s="51"/>
      <c r="E2147" s="244" t="s">
        <v>4110</v>
      </c>
      <c r="F2147" s="244">
        <v>4</v>
      </c>
      <c r="G2147" s="50"/>
      <c r="H2147" s="244">
        <v>4126.8999999999996</v>
      </c>
      <c r="I2147" s="244">
        <v>147</v>
      </c>
      <c r="J2147" s="19">
        <f t="shared" si="168"/>
        <v>4945545.87</v>
      </c>
      <c r="K2147" s="50"/>
      <c r="L2147" s="50"/>
      <c r="M2147" s="50"/>
      <c r="N2147" s="19">
        <f>SUMIF('2020'!B:B,B2147,'2020'!C:C)+SUMIF('2021'!B:B,B2147,'2021'!C:C)+SUMIF('2022'!B:B,B2147,'2022'!C:C)</f>
        <v>4945545.87</v>
      </c>
      <c r="O2147" s="219">
        <v>44925</v>
      </c>
      <c r="P2147" s="48" t="s">
        <v>3728</v>
      </c>
    </row>
    <row r="2148" spans="1:16" x14ac:dyDescent="0.3">
      <c r="A2148" s="59">
        <f t="shared" si="169"/>
        <v>1951</v>
      </c>
      <c r="B2148" s="60" t="s">
        <v>2227</v>
      </c>
      <c r="C2148" s="184">
        <v>1959</v>
      </c>
      <c r="D2148" s="51"/>
      <c r="E2148" s="243" t="s">
        <v>3733</v>
      </c>
      <c r="F2148" s="243">
        <v>4</v>
      </c>
      <c r="G2148" s="50"/>
      <c r="H2148" s="243">
        <v>1856.7</v>
      </c>
      <c r="I2148" s="243">
        <v>86</v>
      </c>
      <c r="J2148" s="19">
        <f t="shared" si="168"/>
        <v>2227850.62</v>
      </c>
      <c r="K2148" s="50"/>
      <c r="L2148" s="50"/>
      <c r="M2148" s="50"/>
      <c r="N2148" s="19">
        <f>SUMIF('2020'!B:B,B2148,'2020'!C:C)+SUMIF('2021'!B:B,B2148,'2021'!C:C)+SUMIF('2022'!B:B,B2148,'2022'!C:C)</f>
        <v>2227850.62</v>
      </c>
      <c r="O2148" s="219">
        <v>44925</v>
      </c>
      <c r="P2148" s="48" t="s">
        <v>3728</v>
      </c>
    </row>
    <row r="2149" spans="1:16" x14ac:dyDescent="0.3">
      <c r="A2149" s="59">
        <f t="shared" si="169"/>
        <v>1952</v>
      </c>
      <c r="B2149" s="60" t="s">
        <v>2228</v>
      </c>
      <c r="C2149" s="184">
        <v>1664</v>
      </c>
      <c r="D2149" s="51"/>
      <c r="E2149" s="243" t="s">
        <v>3733</v>
      </c>
      <c r="F2149" s="243">
        <v>4</v>
      </c>
      <c r="G2149" s="50"/>
      <c r="H2149" s="243">
        <v>2573.8000000000002</v>
      </c>
      <c r="I2149" s="243">
        <v>115</v>
      </c>
      <c r="J2149" s="19">
        <f t="shared" si="168"/>
        <v>2704074.36</v>
      </c>
      <c r="K2149" s="50"/>
      <c r="L2149" s="50"/>
      <c r="M2149" s="50"/>
      <c r="N2149" s="19">
        <f>SUMIF('2020'!B:B,B2149,'2020'!C:C)+SUMIF('2021'!B:B,B2149,'2021'!C:C)+SUMIF('2022'!B:B,B2149,'2022'!C:C)</f>
        <v>2704074.36</v>
      </c>
      <c r="O2149" s="219">
        <v>44925</v>
      </c>
      <c r="P2149" s="48" t="s">
        <v>3728</v>
      </c>
    </row>
    <row r="2150" spans="1:16" x14ac:dyDescent="0.3">
      <c r="A2150" s="59">
        <f t="shared" si="169"/>
        <v>1953</v>
      </c>
      <c r="B2150" s="60" t="s">
        <v>2229</v>
      </c>
      <c r="C2150" s="184">
        <v>1664</v>
      </c>
      <c r="D2150" s="51"/>
      <c r="E2150" s="243" t="s">
        <v>3733</v>
      </c>
      <c r="F2150" s="243">
        <v>3</v>
      </c>
      <c r="G2150" s="50"/>
      <c r="H2150" s="243">
        <v>1641.5</v>
      </c>
      <c r="I2150" s="243">
        <v>79</v>
      </c>
      <c r="J2150" s="19">
        <f t="shared" si="168"/>
        <v>1240032.3799999999</v>
      </c>
      <c r="K2150" s="50"/>
      <c r="L2150" s="50"/>
      <c r="M2150" s="50"/>
      <c r="N2150" s="19">
        <f>SUMIF('2020'!B:B,B2150,'2020'!C:C)+SUMIF('2021'!B:B,B2150,'2021'!C:C)+SUMIF('2022'!B:B,B2150,'2022'!C:C)</f>
        <v>1240032.3799999999</v>
      </c>
      <c r="O2150" s="219">
        <v>44925</v>
      </c>
      <c r="P2150" s="48" t="s">
        <v>3728</v>
      </c>
    </row>
    <row r="2151" spans="1:16" x14ac:dyDescent="0.3">
      <c r="A2151" s="59">
        <f t="shared" si="169"/>
        <v>1954</v>
      </c>
      <c r="B2151" s="60" t="s">
        <v>2230</v>
      </c>
      <c r="C2151" s="184">
        <v>1960</v>
      </c>
      <c r="D2151" s="51"/>
      <c r="E2151" s="244" t="s">
        <v>3733</v>
      </c>
      <c r="F2151" s="244">
        <v>3</v>
      </c>
      <c r="G2151" s="50"/>
      <c r="H2151" s="244">
        <v>1494.9</v>
      </c>
      <c r="I2151" s="244">
        <v>51</v>
      </c>
      <c r="J2151" s="19">
        <f t="shared" si="168"/>
        <v>1003550.95</v>
      </c>
      <c r="K2151" s="50"/>
      <c r="L2151" s="50"/>
      <c r="M2151" s="50"/>
      <c r="N2151" s="19">
        <f>SUMIF('2020'!B:B,B2151,'2020'!C:C)+SUMIF('2021'!B:B,B2151,'2021'!C:C)+SUMIF('2022'!B:B,B2151,'2022'!C:C)</f>
        <v>1003550.95</v>
      </c>
      <c r="O2151" s="219">
        <v>44925</v>
      </c>
      <c r="P2151" s="48" t="s">
        <v>3728</v>
      </c>
    </row>
    <row r="2152" spans="1:16" x14ac:dyDescent="0.3">
      <c r="A2152" s="59">
        <f t="shared" si="169"/>
        <v>1955</v>
      </c>
      <c r="B2152" s="60" t="s">
        <v>2231</v>
      </c>
      <c r="C2152" s="184">
        <v>1957</v>
      </c>
      <c r="D2152" s="51"/>
      <c r="E2152" s="244" t="s">
        <v>3733</v>
      </c>
      <c r="F2152" s="244">
        <v>3</v>
      </c>
      <c r="G2152" s="50"/>
      <c r="H2152" s="244">
        <v>1203.2</v>
      </c>
      <c r="I2152" s="244">
        <v>40</v>
      </c>
      <c r="J2152" s="19">
        <f t="shared" si="168"/>
        <v>2817028.2800000003</v>
      </c>
      <c r="K2152" s="50"/>
      <c r="L2152" s="50"/>
      <c r="M2152" s="50"/>
      <c r="N2152" s="19">
        <f>SUMIF('2020'!B:B,B2152,'2020'!C:C)+SUMIF('2021'!B:B,B2152,'2021'!C:C)+SUMIF('2022'!B:B,B2152,'2022'!C:C)</f>
        <v>2817028.2800000003</v>
      </c>
      <c r="O2152" s="219">
        <v>44925</v>
      </c>
      <c r="P2152" s="48" t="s">
        <v>3728</v>
      </c>
    </row>
    <row r="2153" spans="1:16" x14ac:dyDescent="0.3">
      <c r="A2153" s="59">
        <f t="shared" ref="A2153:A2162" si="170">A2152+1</f>
        <v>1956</v>
      </c>
      <c r="B2153" s="60" t="s">
        <v>2232</v>
      </c>
      <c r="C2153" s="184">
        <v>1977</v>
      </c>
      <c r="D2153" s="51"/>
      <c r="E2153" s="244" t="s">
        <v>3731</v>
      </c>
      <c r="F2153" s="243">
        <v>9</v>
      </c>
      <c r="G2153" s="50"/>
      <c r="H2153" s="243">
        <v>8247.6</v>
      </c>
      <c r="I2153" s="243">
        <v>411</v>
      </c>
      <c r="J2153" s="19">
        <f t="shared" si="168"/>
        <v>1949742.6</v>
      </c>
      <c r="K2153" s="50"/>
      <c r="L2153" s="50"/>
      <c r="M2153" s="50"/>
      <c r="N2153" s="19">
        <f>SUMIF('2020'!B:B,B2153,'2020'!C:C)+SUMIF('2021'!B:B,B2153,'2021'!C:C)+SUMIF('2022'!B:B,B2153,'2022'!C:C)</f>
        <v>1949742.6</v>
      </c>
      <c r="O2153" s="219">
        <v>44925</v>
      </c>
      <c r="P2153" s="48" t="s">
        <v>2042</v>
      </c>
    </row>
    <row r="2154" spans="1:16" x14ac:dyDescent="0.3">
      <c r="A2154" s="59">
        <f t="shared" si="170"/>
        <v>1957</v>
      </c>
      <c r="B2154" s="60" t="s">
        <v>2233</v>
      </c>
      <c r="C2154" s="184">
        <v>1977</v>
      </c>
      <c r="D2154" s="51"/>
      <c r="E2154" s="243" t="s">
        <v>3731</v>
      </c>
      <c r="F2154" s="243">
        <v>5</v>
      </c>
      <c r="G2154" s="50"/>
      <c r="H2154" s="243">
        <v>4569.5</v>
      </c>
      <c r="I2154" s="243">
        <v>205</v>
      </c>
      <c r="J2154" s="19">
        <f t="shared" si="168"/>
        <v>1820009.46</v>
      </c>
      <c r="K2154" s="50"/>
      <c r="L2154" s="50"/>
      <c r="M2154" s="50"/>
      <c r="N2154" s="19">
        <f>SUMIF('2020'!B:B,B2154,'2020'!C:C)+SUMIF('2021'!B:B,B2154,'2021'!C:C)+SUMIF('2022'!B:B,B2154,'2022'!C:C)</f>
        <v>1820009.46</v>
      </c>
      <c r="O2154" s="219">
        <v>44925</v>
      </c>
      <c r="P2154" s="48" t="s">
        <v>3728</v>
      </c>
    </row>
    <row r="2155" spans="1:16" x14ac:dyDescent="0.3">
      <c r="A2155" s="59">
        <f t="shared" si="170"/>
        <v>1958</v>
      </c>
      <c r="B2155" s="60" t="s">
        <v>2234</v>
      </c>
      <c r="C2155" s="184">
        <v>1951</v>
      </c>
      <c r="D2155" s="51"/>
      <c r="E2155" s="244" t="s">
        <v>3731</v>
      </c>
      <c r="F2155" s="244">
        <v>2</v>
      </c>
      <c r="G2155" s="50"/>
      <c r="H2155" s="244">
        <v>417.1</v>
      </c>
      <c r="I2155" s="244">
        <v>20</v>
      </c>
      <c r="J2155" s="19">
        <f t="shared" si="168"/>
        <v>866816.87</v>
      </c>
      <c r="K2155" s="50"/>
      <c r="L2155" s="50"/>
      <c r="M2155" s="50"/>
      <c r="N2155" s="19">
        <f>SUMIF('2020'!B:B,B2155,'2020'!C:C)+SUMIF('2021'!B:B,B2155,'2021'!C:C)+SUMIF('2022'!B:B,B2155,'2022'!C:C)</f>
        <v>866816.87</v>
      </c>
      <c r="O2155" s="219">
        <v>44925</v>
      </c>
      <c r="P2155" s="48" t="s">
        <v>3728</v>
      </c>
    </row>
    <row r="2156" spans="1:16" x14ac:dyDescent="0.3">
      <c r="A2156" s="59">
        <f t="shared" si="170"/>
        <v>1959</v>
      </c>
      <c r="B2156" s="60" t="s">
        <v>2235</v>
      </c>
      <c r="C2156" s="184">
        <v>1962</v>
      </c>
      <c r="D2156" s="51"/>
      <c r="E2156" s="243" t="s">
        <v>3733</v>
      </c>
      <c r="F2156" s="243">
        <v>3</v>
      </c>
      <c r="G2156" s="50"/>
      <c r="H2156" s="243">
        <v>958.6</v>
      </c>
      <c r="I2156" s="243">
        <v>49</v>
      </c>
      <c r="J2156" s="19">
        <f t="shared" si="168"/>
        <v>2000630.3900000001</v>
      </c>
      <c r="K2156" s="50"/>
      <c r="L2156" s="50"/>
      <c r="M2156" s="50"/>
      <c r="N2156" s="19">
        <f>SUMIF('2020'!B:B,B2156,'2020'!C:C)+SUMIF('2021'!B:B,B2156,'2021'!C:C)+SUMIF('2022'!B:B,B2156,'2022'!C:C)</f>
        <v>2000630.3900000001</v>
      </c>
      <c r="O2156" s="219">
        <v>44925</v>
      </c>
      <c r="P2156" s="48" t="s">
        <v>3728</v>
      </c>
    </row>
    <row r="2157" spans="1:16" x14ac:dyDescent="0.3">
      <c r="A2157" s="59">
        <f t="shared" si="170"/>
        <v>1960</v>
      </c>
      <c r="B2157" s="60" t="s">
        <v>2236</v>
      </c>
      <c r="C2157" s="184">
        <v>1951</v>
      </c>
      <c r="D2157" s="51"/>
      <c r="E2157" s="244" t="s">
        <v>3731</v>
      </c>
      <c r="F2157" s="244">
        <v>2</v>
      </c>
      <c r="G2157" s="50"/>
      <c r="H2157" s="244">
        <v>476.9</v>
      </c>
      <c r="I2157" s="244">
        <v>16</v>
      </c>
      <c r="J2157" s="19">
        <f t="shared" si="168"/>
        <v>975413.98</v>
      </c>
      <c r="K2157" s="50"/>
      <c r="L2157" s="50"/>
      <c r="M2157" s="50"/>
      <c r="N2157" s="19">
        <f>SUMIF('2020'!B:B,B2157,'2020'!C:C)+SUMIF('2021'!B:B,B2157,'2021'!C:C)+SUMIF('2022'!B:B,B2157,'2022'!C:C)</f>
        <v>975413.98</v>
      </c>
      <c r="O2157" s="219">
        <v>44925</v>
      </c>
      <c r="P2157" s="48" t="s">
        <v>3728</v>
      </c>
    </row>
    <row r="2158" spans="1:16" x14ac:dyDescent="0.3">
      <c r="A2158" s="59">
        <f t="shared" si="170"/>
        <v>1961</v>
      </c>
      <c r="B2158" s="60" t="s">
        <v>2237</v>
      </c>
      <c r="C2158" s="184">
        <v>1961</v>
      </c>
      <c r="D2158" s="51"/>
      <c r="E2158" s="243" t="s">
        <v>3733</v>
      </c>
      <c r="F2158" s="243">
        <v>4</v>
      </c>
      <c r="G2158" s="50"/>
      <c r="H2158" s="243">
        <v>2011.1</v>
      </c>
      <c r="I2158" s="243">
        <v>92</v>
      </c>
      <c r="J2158" s="19">
        <f t="shared" si="168"/>
        <v>2904924.77</v>
      </c>
      <c r="K2158" s="50"/>
      <c r="L2158" s="50"/>
      <c r="M2158" s="50"/>
      <c r="N2158" s="19">
        <f>SUMIF('2020'!B:B,B2158,'2020'!C:C)+SUMIF('2021'!B:B,B2158,'2021'!C:C)+SUMIF('2022'!B:B,B2158,'2022'!C:C)</f>
        <v>2904924.77</v>
      </c>
      <c r="O2158" s="219">
        <v>44925</v>
      </c>
      <c r="P2158" s="48" t="s">
        <v>3728</v>
      </c>
    </row>
    <row r="2159" spans="1:16" x14ac:dyDescent="0.3">
      <c r="A2159" s="59">
        <f t="shared" si="170"/>
        <v>1962</v>
      </c>
      <c r="B2159" s="60" t="s">
        <v>2238</v>
      </c>
      <c r="C2159" s="184">
        <v>1963</v>
      </c>
      <c r="D2159" s="51"/>
      <c r="E2159" s="244" t="s">
        <v>3733</v>
      </c>
      <c r="F2159" s="244">
        <v>4</v>
      </c>
      <c r="G2159" s="50"/>
      <c r="H2159" s="244">
        <v>2021.8</v>
      </c>
      <c r="I2159" s="244">
        <v>84</v>
      </c>
      <c r="J2159" s="19">
        <f t="shared" si="168"/>
        <v>697425.03</v>
      </c>
      <c r="K2159" s="50"/>
      <c r="L2159" s="50"/>
      <c r="M2159" s="50"/>
      <c r="N2159" s="19">
        <f>SUMIF('2020'!B:B,B2159,'2020'!C:C)+SUMIF('2021'!B:B,B2159,'2021'!C:C)+SUMIF('2022'!B:B,B2159,'2022'!C:C)</f>
        <v>697425.03</v>
      </c>
      <c r="O2159" s="219">
        <v>44925</v>
      </c>
      <c r="P2159" s="48" t="s">
        <v>3728</v>
      </c>
    </row>
    <row r="2160" spans="1:16" x14ac:dyDescent="0.3">
      <c r="A2160" s="59">
        <f t="shared" si="170"/>
        <v>1963</v>
      </c>
      <c r="B2160" s="60" t="s">
        <v>2239</v>
      </c>
      <c r="C2160" s="184">
        <v>1952</v>
      </c>
      <c r="D2160" s="51"/>
      <c r="E2160" s="244" t="s">
        <v>3731</v>
      </c>
      <c r="F2160" s="244">
        <v>2</v>
      </c>
      <c r="G2160" s="50"/>
      <c r="H2160" s="244">
        <v>424.4</v>
      </c>
      <c r="I2160" s="244">
        <v>24</v>
      </c>
      <c r="J2160" s="19">
        <f t="shared" si="168"/>
        <v>975413.98</v>
      </c>
      <c r="K2160" s="50"/>
      <c r="L2160" s="50"/>
      <c r="M2160" s="50"/>
      <c r="N2160" s="19">
        <f>SUMIF('2020'!B:B,B2160,'2020'!C:C)+SUMIF('2021'!B:B,B2160,'2021'!C:C)+SUMIF('2022'!B:B,B2160,'2022'!C:C)</f>
        <v>975413.98</v>
      </c>
      <c r="O2160" s="219">
        <v>44925</v>
      </c>
      <c r="P2160" s="48" t="s">
        <v>3728</v>
      </c>
    </row>
    <row r="2161" spans="1:16" x14ac:dyDescent="0.3">
      <c r="A2161" s="59">
        <f t="shared" si="170"/>
        <v>1964</v>
      </c>
      <c r="B2161" s="60" t="s">
        <v>2240</v>
      </c>
      <c r="C2161" s="184">
        <v>1962</v>
      </c>
      <c r="D2161" s="51"/>
      <c r="E2161" s="244" t="s">
        <v>3733</v>
      </c>
      <c r="F2161" s="244">
        <v>4</v>
      </c>
      <c r="G2161" s="50"/>
      <c r="H2161" s="244">
        <v>2017.4</v>
      </c>
      <c r="I2161" s="244">
        <v>70</v>
      </c>
      <c r="J2161" s="19">
        <f t="shared" si="168"/>
        <v>2015310.3699999999</v>
      </c>
      <c r="K2161" s="50"/>
      <c r="L2161" s="50"/>
      <c r="M2161" s="50"/>
      <c r="N2161" s="19">
        <f>SUMIF('2020'!B:B,B2161,'2020'!C:C)+SUMIF('2021'!B:B,B2161,'2021'!C:C)+SUMIF('2022'!B:B,B2161,'2022'!C:C)</f>
        <v>2015310.3699999999</v>
      </c>
      <c r="O2161" s="219">
        <v>44925</v>
      </c>
      <c r="P2161" s="48" t="s">
        <v>3728</v>
      </c>
    </row>
    <row r="2162" spans="1:16" x14ac:dyDescent="0.3">
      <c r="A2162" s="59">
        <f t="shared" si="170"/>
        <v>1965</v>
      </c>
      <c r="B2162" s="60" t="s">
        <v>2241</v>
      </c>
      <c r="C2162" s="184">
        <v>1952</v>
      </c>
      <c r="D2162" s="51"/>
      <c r="E2162" s="244" t="s">
        <v>4112</v>
      </c>
      <c r="F2162" s="244">
        <v>2</v>
      </c>
      <c r="G2162" s="50"/>
      <c r="H2162" s="244">
        <v>452</v>
      </c>
      <c r="I2162" s="244">
        <v>21</v>
      </c>
      <c r="J2162" s="19">
        <f t="shared" si="168"/>
        <v>3722217.45</v>
      </c>
      <c r="K2162" s="50"/>
      <c r="L2162" s="50"/>
      <c r="M2162" s="50"/>
      <c r="N2162" s="19">
        <f>SUMIF('2020'!B:B,B2162,'2020'!C:C)+SUMIF('2021'!B:B,B2162,'2021'!C:C)+SUMIF('2022'!B:B,B2162,'2022'!C:C)</f>
        <v>3722217.45</v>
      </c>
      <c r="O2162" s="219">
        <v>44925</v>
      </c>
      <c r="P2162" s="48" t="s">
        <v>3728</v>
      </c>
    </row>
    <row r="2163" spans="1:16" x14ac:dyDescent="0.3">
      <c r="A2163" s="59">
        <f>A2162+1</f>
        <v>1966</v>
      </c>
      <c r="B2163" s="60" t="s">
        <v>2242</v>
      </c>
      <c r="C2163" s="184">
        <v>1970</v>
      </c>
      <c r="D2163" s="51"/>
      <c r="E2163" s="244" t="s">
        <v>3737</v>
      </c>
      <c r="F2163" s="244">
        <v>5</v>
      </c>
      <c r="G2163" s="50"/>
      <c r="H2163" s="244">
        <v>4404</v>
      </c>
      <c r="I2163" s="244">
        <v>195</v>
      </c>
      <c r="J2163" s="19">
        <f t="shared" si="168"/>
        <v>1704799.89</v>
      </c>
      <c r="K2163" s="50"/>
      <c r="L2163" s="50"/>
      <c r="M2163" s="50"/>
      <c r="N2163" s="19">
        <f>SUMIF('2020'!B:B,B2163,'2020'!C:C)+SUMIF('2021'!B:B,B2163,'2021'!C:C)+SUMIF('2022'!B:B,B2163,'2022'!C:C)</f>
        <v>1704799.89</v>
      </c>
      <c r="O2163" s="219">
        <v>44925</v>
      </c>
      <c r="P2163" s="48" t="s">
        <v>3728</v>
      </c>
    </row>
    <row r="2164" spans="1:16" x14ac:dyDescent="0.3">
      <c r="A2164" s="59">
        <f t="shared" ref="A2164:A2175" si="171">A2163+1</f>
        <v>1967</v>
      </c>
      <c r="B2164" s="60" t="s">
        <v>2243</v>
      </c>
      <c r="C2164" s="184">
        <v>1955</v>
      </c>
      <c r="D2164" s="51"/>
      <c r="E2164" s="243" t="s">
        <v>3733</v>
      </c>
      <c r="F2164" s="243">
        <v>2</v>
      </c>
      <c r="G2164" s="50"/>
      <c r="H2164" s="243">
        <v>1082.4000000000001</v>
      </c>
      <c r="I2164" s="243">
        <v>51</v>
      </c>
      <c r="J2164" s="19">
        <f t="shared" si="168"/>
        <v>2468555.5</v>
      </c>
      <c r="K2164" s="50"/>
      <c r="L2164" s="50"/>
      <c r="M2164" s="50"/>
      <c r="N2164" s="19">
        <f>SUMIF('2020'!B:B,B2164,'2020'!C:C)+SUMIF('2021'!B:B,B2164,'2021'!C:C)+SUMIF('2022'!B:B,B2164,'2022'!C:C)</f>
        <v>2468555.5</v>
      </c>
      <c r="O2164" s="219">
        <v>44925</v>
      </c>
      <c r="P2164" s="48" t="s">
        <v>3728</v>
      </c>
    </row>
    <row r="2165" spans="1:16" x14ac:dyDescent="0.3">
      <c r="A2165" s="59">
        <f t="shared" si="171"/>
        <v>1968</v>
      </c>
      <c r="B2165" s="60" t="s">
        <v>2244</v>
      </c>
      <c r="C2165" s="184">
        <v>1956</v>
      </c>
      <c r="D2165" s="51"/>
      <c r="E2165" s="243" t="s">
        <v>3733</v>
      </c>
      <c r="F2165" s="243">
        <v>2</v>
      </c>
      <c r="G2165" s="50"/>
      <c r="H2165" s="247">
        <v>1054</v>
      </c>
      <c r="I2165" s="243">
        <v>51</v>
      </c>
      <c r="J2165" s="19">
        <f t="shared" si="168"/>
        <v>715672.86</v>
      </c>
      <c r="K2165" s="50"/>
      <c r="L2165" s="50"/>
      <c r="M2165" s="50"/>
      <c r="N2165" s="19">
        <f>SUMIF('2020'!B:B,B2165,'2020'!C:C)+SUMIF('2021'!B:B,B2165,'2021'!C:C)+SUMIF('2022'!B:B,B2165,'2022'!C:C)</f>
        <v>715672.86</v>
      </c>
      <c r="O2165" s="219">
        <v>44925</v>
      </c>
      <c r="P2165" s="48" t="s">
        <v>3728</v>
      </c>
    </row>
    <row r="2166" spans="1:16" x14ac:dyDescent="0.3">
      <c r="A2166" s="59">
        <f t="shared" si="171"/>
        <v>1969</v>
      </c>
      <c r="B2166" s="60" t="s">
        <v>2245</v>
      </c>
      <c r="C2166" s="184">
        <v>1956</v>
      </c>
      <c r="D2166" s="51"/>
      <c r="E2166" s="243" t="s">
        <v>3733</v>
      </c>
      <c r="F2166" s="243">
        <v>2</v>
      </c>
      <c r="G2166" s="50"/>
      <c r="H2166" s="243">
        <v>1812.5</v>
      </c>
      <c r="I2166" s="243">
        <v>62</v>
      </c>
      <c r="J2166" s="19">
        <f t="shared" si="168"/>
        <v>592468.07999999996</v>
      </c>
      <c r="K2166" s="50"/>
      <c r="L2166" s="50"/>
      <c r="M2166" s="50"/>
      <c r="N2166" s="19">
        <f>SUMIF('2020'!B:B,B2166,'2020'!C:C)+SUMIF('2021'!B:B,B2166,'2021'!C:C)+SUMIF('2022'!B:B,B2166,'2022'!C:C)</f>
        <v>592468.07999999996</v>
      </c>
      <c r="O2166" s="219">
        <v>44925</v>
      </c>
      <c r="P2166" s="48" t="s">
        <v>3728</v>
      </c>
    </row>
    <row r="2167" spans="1:16" x14ac:dyDescent="0.3">
      <c r="A2167" s="59">
        <f t="shared" si="171"/>
        <v>1970</v>
      </c>
      <c r="B2167" s="60" t="s">
        <v>2247</v>
      </c>
      <c r="C2167" s="184">
        <v>1951</v>
      </c>
      <c r="D2167" s="51"/>
      <c r="E2167" s="244" t="s">
        <v>3733</v>
      </c>
      <c r="F2167" s="244">
        <v>2</v>
      </c>
      <c r="G2167" s="50"/>
      <c r="H2167" s="244">
        <v>779.1</v>
      </c>
      <c r="I2167" s="244">
        <v>41</v>
      </c>
      <c r="J2167" s="19">
        <f t="shared" si="168"/>
        <v>407379.02999999997</v>
      </c>
      <c r="K2167" s="50"/>
      <c r="L2167" s="50"/>
      <c r="M2167" s="50"/>
      <c r="N2167" s="19">
        <f>SUMIF('2020'!B:B,B2167,'2020'!C:C)+SUMIF('2021'!B:B,B2167,'2021'!C:C)+SUMIF('2022'!B:B,B2167,'2022'!C:C)</f>
        <v>407379.02999999997</v>
      </c>
      <c r="O2167" s="219">
        <v>44925</v>
      </c>
      <c r="P2167" s="48" t="s">
        <v>3728</v>
      </c>
    </row>
    <row r="2168" spans="1:16" x14ac:dyDescent="0.3">
      <c r="A2168" s="59">
        <f t="shared" si="171"/>
        <v>1971</v>
      </c>
      <c r="B2168" s="60" t="s">
        <v>2248</v>
      </c>
      <c r="C2168" s="184">
        <v>1965</v>
      </c>
      <c r="D2168" s="51"/>
      <c r="E2168" s="243" t="s">
        <v>3733</v>
      </c>
      <c r="F2168" s="243">
        <v>4</v>
      </c>
      <c r="G2168" s="50"/>
      <c r="H2168" s="243">
        <v>1995.5</v>
      </c>
      <c r="I2168" s="243">
        <v>52</v>
      </c>
      <c r="J2168" s="19">
        <f t="shared" si="168"/>
        <v>1038251.88</v>
      </c>
      <c r="K2168" s="50"/>
      <c r="L2168" s="50"/>
      <c r="M2168" s="50"/>
      <c r="N2168" s="19">
        <f>SUMIF('2020'!B:B,B2168,'2020'!C:C)+SUMIF('2021'!B:B,B2168,'2021'!C:C)+SUMIF('2022'!B:B,B2168,'2022'!C:C)</f>
        <v>1038251.88</v>
      </c>
      <c r="O2168" s="219">
        <v>44925</v>
      </c>
      <c r="P2168" s="48" t="s">
        <v>3728</v>
      </c>
    </row>
    <row r="2169" spans="1:16" x14ac:dyDescent="0.3">
      <c r="A2169" s="59">
        <f t="shared" si="171"/>
        <v>1972</v>
      </c>
      <c r="B2169" s="60" t="s">
        <v>2249</v>
      </c>
      <c r="C2169" s="184">
        <v>1952</v>
      </c>
      <c r="D2169" s="51"/>
      <c r="E2169" s="243" t="s">
        <v>3733</v>
      </c>
      <c r="F2169" s="243">
        <v>2</v>
      </c>
      <c r="G2169" s="50"/>
      <c r="H2169" s="243">
        <v>633.29999999999995</v>
      </c>
      <c r="I2169" s="243">
        <v>33</v>
      </c>
      <c r="J2169" s="19">
        <f t="shared" si="168"/>
        <v>1002010.1900000001</v>
      </c>
      <c r="K2169" s="50"/>
      <c r="L2169" s="50"/>
      <c r="M2169" s="50"/>
      <c r="N2169" s="19">
        <f>SUMIF('2020'!B:B,B2169,'2020'!C:C)+SUMIF('2021'!B:B,B2169,'2021'!C:C)+SUMIF('2022'!B:B,B2169,'2022'!C:C)</f>
        <v>1002010.1900000001</v>
      </c>
      <c r="O2169" s="219">
        <v>44925</v>
      </c>
      <c r="P2169" s="48" t="s">
        <v>3728</v>
      </c>
    </row>
    <row r="2170" spans="1:16" x14ac:dyDescent="0.3">
      <c r="A2170" s="59">
        <f t="shared" si="171"/>
        <v>1973</v>
      </c>
      <c r="B2170" s="60" t="s">
        <v>2250</v>
      </c>
      <c r="C2170" s="184">
        <v>1965</v>
      </c>
      <c r="D2170" s="51"/>
      <c r="E2170" s="243" t="s">
        <v>3733</v>
      </c>
      <c r="F2170" s="243">
        <v>3</v>
      </c>
      <c r="G2170" s="50"/>
      <c r="H2170" s="243">
        <v>1049.5</v>
      </c>
      <c r="I2170" s="243">
        <v>47</v>
      </c>
      <c r="J2170" s="19">
        <f t="shared" si="168"/>
        <v>649195.81999999995</v>
      </c>
      <c r="K2170" s="50"/>
      <c r="L2170" s="50"/>
      <c r="M2170" s="50"/>
      <c r="N2170" s="19">
        <f>SUMIF('2020'!B:B,B2170,'2020'!C:C)+SUMIF('2021'!B:B,B2170,'2021'!C:C)+SUMIF('2022'!B:B,B2170,'2022'!C:C)</f>
        <v>649195.81999999995</v>
      </c>
      <c r="O2170" s="219">
        <v>44925</v>
      </c>
      <c r="P2170" s="48" t="s">
        <v>3728</v>
      </c>
    </row>
    <row r="2171" spans="1:16" x14ac:dyDescent="0.3">
      <c r="A2171" s="59">
        <f t="shared" si="171"/>
        <v>1974</v>
      </c>
      <c r="B2171" s="60" t="s">
        <v>2251</v>
      </c>
      <c r="C2171" s="184">
        <v>1951</v>
      </c>
      <c r="D2171" s="51"/>
      <c r="E2171" s="244" t="s">
        <v>3731</v>
      </c>
      <c r="F2171" s="244">
        <v>2</v>
      </c>
      <c r="G2171" s="50"/>
      <c r="H2171" s="244">
        <v>421</v>
      </c>
      <c r="I2171" s="244">
        <v>18</v>
      </c>
      <c r="J2171" s="19">
        <f t="shared" si="168"/>
        <v>4361044.6500000004</v>
      </c>
      <c r="K2171" s="50"/>
      <c r="L2171" s="50"/>
      <c r="M2171" s="50"/>
      <c r="N2171" s="19">
        <f>SUMIF('2020'!B:B,B2171,'2020'!C:C)+SUMIF('2021'!B:B,B2171,'2021'!C:C)+SUMIF('2022'!B:B,B2171,'2022'!C:C)</f>
        <v>4361044.6500000004</v>
      </c>
      <c r="O2171" s="219">
        <v>44925</v>
      </c>
      <c r="P2171" s="48" t="s">
        <v>3728</v>
      </c>
    </row>
    <row r="2172" spans="1:16" x14ac:dyDescent="0.3">
      <c r="A2172" s="59">
        <f t="shared" si="171"/>
        <v>1975</v>
      </c>
      <c r="B2172" s="60" t="s">
        <v>2252</v>
      </c>
      <c r="C2172" s="184">
        <v>1975</v>
      </c>
      <c r="D2172" s="51"/>
      <c r="E2172" s="244" t="s">
        <v>3733</v>
      </c>
      <c r="F2172" s="244">
        <v>5</v>
      </c>
      <c r="G2172" s="50"/>
      <c r="H2172" s="244">
        <v>3032.2</v>
      </c>
      <c r="I2172" s="244">
        <v>117</v>
      </c>
      <c r="J2172" s="19">
        <f t="shared" si="168"/>
        <v>1081968.73</v>
      </c>
      <c r="K2172" s="50"/>
      <c r="L2172" s="50"/>
      <c r="M2172" s="50"/>
      <c r="N2172" s="19">
        <f>SUMIF('2020'!B:B,B2172,'2020'!C:C)+SUMIF('2021'!B:B,B2172,'2021'!C:C)+SUMIF('2022'!B:B,B2172,'2022'!C:C)</f>
        <v>1081968.73</v>
      </c>
      <c r="O2172" s="219">
        <v>44925</v>
      </c>
      <c r="P2172" s="48" t="s">
        <v>3728</v>
      </c>
    </row>
    <row r="2173" spans="1:16" x14ac:dyDescent="0.3">
      <c r="A2173" s="59">
        <f t="shared" si="171"/>
        <v>1976</v>
      </c>
      <c r="B2173" s="60" t="s">
        <v>2253</v>
      </c>
      <c r="C2173" s="184">
        <v>1974</v>
      </c>
      <c r="D2173" s="51"/>
      <c r="E2173" s="244" t="s">
        <v>3731</v>
      </c>
      <c r="F2173" s="244">
        <v>5</v>
      </c>
      <c r="G2173" s="50"/>
      <c r="H2173" s="244">
        <v>4352</v>
      </c>
      <c r="I2173" s="244">
        <v>252</v>
      </c>
      <c r="J2173" s="19">
        <f t="shared" si="168"/>
        <v>957016.03</v>
      </c>
      <c r="K2173" s="50"/>
      <c r="L2173" s="50"/>
      <c r="M2173" s="50"/>
      <c r="N2173" s="19">
        <f>SUMIF('2020'!B:B,B2173,'2020'!C:C)+SUMIF('2021'!B:B,B2173,'2021'!C:C)+SUMIF('2022'!B:B,B2173,'2022'!C:C)</f>
        <v>957016.03</v>
      </c>
      <c r="O2173" s="219">
        <v>44925</v>
      </c>
      <c r="P2173" s="48" t="s">
        <v>3728</v>
      </c>
    </row>
    <row r="2174" spans="1:16" x14ac:dyDescent="0.3">
      <c r="A2174" s="59">
        <f t="shared" si="171"/>
        <v>1977</v>
      </c>
      <c r="B2174" s="60" t="s">
        <v>2254</v>
      </c>
      <c r="C2174" s="184">
        <v>1976</v>
      </c>
      <c r="D2174" s="51"/>
      <c r="E2174" s="111" t="s">
        <v>3731</v>
      </c>
      <c r="F2174" s="111">
        <v>5</v>
      </c>
      <c r="G2174" s="50"/>
      <c r="H2174" s="111">
        <v>2713.8</v>
      </c>
      <c r="I2174" s="111">
        <v>164</v>
      </c>
      <c r="J2174" s="19">
        <f t="shared" si="168"/>
        <v>130000</v>
      </c>
      <c r="K2174" s="50"/>
      <c r="L2174" s="50"/>
      <c r="M2174" s="50"/>
      <c r="N2174" s="19">
        <f>SUMIF('2020'!B:B,B2174,'2020'!C:C)+SUMIF('2021'!B:B,B2174,'2021'!C:C)+SUMIF('2022'!B:B,B2174,'2022'!C:C)</f>
        <v>130000</v>
      </c>
      <c r="O2174" s="219">
        <v>44925</v>
      </c>
      <c r="P2174" s="48" t="s">
        <v>2042</v>
      </c>
    </row>
    <row r="2175" spans="1:16" x14ac:dyDescent="0.3">
      <c r="A2175" s="59">
        <f t="shared" si="171"/>
        <v>1978</v>
      </c>
      <c r="B2175" s="60" t="s">
        <v>2255</v>
      </c>
      <c r="C2175" s="184">
        <v>1975</v>
      </c>
      <c r="D2175" s="51"/>
      <c r="E2175" s="111" t="s">
        <v>3731</v>
      </c>
      <c r="F2175" s="111">
        <v>5</v>
      </c>
      <c r="G2175" s="50"/>
      <c r="H2175" s="111">
        <v>2702.7</v>
      </c>
      <c r="I2175" s="111">
        <v>172</v>
      </c>
      <c r="J2175" s="19">
        <f t="shared" si="168"/>
        <v>1025857.14</v>
      </c>
      <c r="K2175" s="50"/>
      <c r="L2175" s="50"/>
      <c r="M2175" s="50"/>
      <c r="N2175" s="19">
        <f>SUMIF('2020'!B:B,B2175,'2020'!C:C)+SUMIF('2021'!B:B,B2175,'2021'!C:C)+SUMIF('2022'!B:B,B2175,'2022'!C:C)</f>
        <v>1025857.14</v>
      </c>
      <c r="O2175" s="219">
        <v>44925</v>
      </c>
      <c r="P2175" s="48" t="s">
        <v>3728</v>
      </c>
    </row>
    <row r="2176" spans="1:16" x14ac:dyDescent="0.3">
      <c r="A2176" s="220"/>
      <c r="B2176" s="248" t="s">
        <v>211</v>
      </c>
      <c r="C2176" s="50"/>
      <c r="D2176" s="50"/>
      <c r="E2176" s="48"/>
      <c r="F2176" s="48"/>
      <c r="G2176" s="50"/>
      <c r="H2176" s="48">
        <f>SUM(H2061:H2175)</f>
        <v>227617.50000000003</v>
      </c>
      <c r="I2176" s="218">
        <f>SUM(I2061:I2175)</f>
        <v>10628</v>
      </c>
      <c r="J2176" s="48">
        <f>SUM(J2061:J2175)</f>
        <v>231683255.35999998</v>
      </c>
      <c r="K2176" s="48">
        <f>SUM(K2061:K2175)</f>
        <v>0</v>
      </c>
      <c r="L2176" s="48">
        <f>SUM(L2061:L2175)</f>
        <v>0</v>
      </c>
      <c r="M2176" s="48">
        <f>N2176-'2020'!C472-'2021'!C1723-'2022'!C627</f>
        <v>0</v>
      </c>
      <c r="N2176" s="48">
        <f>SUM(N2061:N2175)</f>
        <v>231683255.35999998</v>
      </c>
      <c r="O2176" s="50"/>
      <c r="P2176" s="50"/>
    </row>
    <row r="2177" spans="1:16" x14ac:dyDescent="0.3">
      <c r="A2177" s="461" t="s">
        <v>2256</v>
      </c>
      <c r="B2177" s="471"/>
      <c r="C2177" s="50"/>
      <c r="D2177" s="51"/>
      <c r="E2177" s="172"/>
      <c r="F2177" s="172"/>
      <c r="G2177" s="67"/>
      <c r="H2177" s="172"/>
      <c r="I2177" s="172"/>
      <c r="J2177" s="67"/>
      <c r="K2177" s="67"/>
      <c r="L2177" s="67"/>
      <c r="M2177" s="67"/>
      <c r="N2177" s="67"/>
      <c r="O2177" s="67"/>
      <c r="P2177" s="67"/>
    </row>
    <row r="2178" spans="1:16" x14ac:dyDescent="0.3">
      <c r="A2178" s="59">
        <f>A2175+1</f>
        <v>1979</v>
      </c>
      <c r="B2178" s="60" t="s">
        <v>2257</v>
      </c>
      <c r="C2178" s="184">
        <v>1988</v>
      </c>
      <c r="D2178" s="51"/>
      <c r="E2178" s="111" t="s">
        <v>3729</v>
      </c>
      <c r="F2178" s="48">
        <v>5</v>
      </c>
      <c r="G2178" s="50"/>
      <c r="H2178" s="48">
        <v>8064.36</v>
      </c>
      <c r="I2178" s="218">
        <v>259</v>
      </c>
      <c r="J2178" s="19">
        <f t="shared" ref="J2178:J2183" si="172">K2178+L2178+M2178+N2178</f>
        <v>106431</v>
      </c>
      <c r="K2178" s="50"/>
      <c r="L2178" s="50"/>
      <c r="M2178" s="50"/>
      <c r="N2178" s="19">
        <f>SUMIF('2020'!B:B,B2178,'2020'!C:C)+SUMIF('2021'!B:B,B2178,'2021'!C:C)+SUMIF('2022'!B:B,B2178,'2022'!C:C)</f>
        <v>106431</v>
      </c>
      <c r="O2178" s="219">
        <v>44925</v>
      </c>
      <c r="P2178" s="48" t="s">
        <v>3728</v>
      </c>
    </row>
    <row r="2179" spans="1:16" x14ac:dyDescent="0.3">
      <c r="A2179" s="59">
        <f>A2178+1</f>
        <v>1980</v>
      </c>
      <c r="B2179" s="60" t="s">
        <v>2258</v>
      </c>
      <c r="C2179" s="184">
        <v>1949</v>
      </c>
      <c r="D2179" s="51"/>
      <c r="E2179" s="111" t="s">
        <v>3731</v>
      </c>
      <c r="F2179" s="48">
        <v>2</v>
      </c>
      <c r="G2179" s="50"/>
      <c r="H2179" s="48">
        <v>473</v>
      </c>
      <c r="I2179" s="218">
        <v>13</v>
      </c>
      <c r="J2179" s="19">
        <f t="shared" si="172"/>
        <v>130000</v>
      </c>
      <c r="K2179" s="50"/>
      <c r="L2179" s="50"/>
      <c r="M2179" s="50"/>
      <c r="N2179" s="19">
        <f>SUMIF('2020'!B:B,B2179,'2020'!C:C)+SUMIF('2021'!B:B,B2179,'2021'!C:C)+SUMIF('2022'!B:B,B2179,'2022'!C:C)</f>
        <v>130000</v>
      </c>
      <c r="O2179" s="219">
        <v>44925</v>
      </c>
      <c r="P2179" s="48" t="s">
        <v>3728</v>
      </c>
    </row>
    <row r="2180" spans="1:16" x14ac:dyDescent="0.3">
      <c r="A2180" s="59">
        <f>A2179+1</f>
        <v>1981</v>
      </c>
      <c r="B2180" s="60" t="s">
        <v>2259</v>
      </c>
      <c r="C2180" s="184">
        <v>1949</v>
      </c>
      <c r="D2180" s="51"/>
      <c r="E2180" s="111" t="s">
        <v>3731</v>
      </c>
      <c r="F2180" s="48">
        <v>2</v>
      </c>
      <c r="G2180" s="50"/>
      <c r="H2180" s="48">
        <v>487.8</v>
      </c>
      <c r="I2180" s="218">
        <v>17</v>
      </c>
      <c r="J2180" s="19">
        <f t="shared" si="172"/>
        <v>130000</v>
      </c>
      <c r="K2180" s="50"/>
      <c r="L2180" s="50"/>
      <c r="M2180" s="50"/>
      <c r="N2180" s="19">
        <f>SUMIF('2020'!B:B,B2180,'2020'!C:C)+SUMIF('2021'!B:B,B2180,'2021'!C:C)+SUMIF('2022'!B:B,B2180,'2022'!C:C)</f>
        <v>130000</v>
      </c>
      <c r="O2180" s="219">
        <v>44925</v>
      </c>
      <c r="P2180" s="48" t="s">
        <v>3728</v>
      </c>
    </row>
    <row r="2181" spans="1:16" x14ac:dyDescent="0.3">
      <c r="A2181" s="59">
        <f>A2180+1</f>
        <v>1982</v>
      </c>
      <c r="B2181" s="60" t="s">
        <v>2260</v>
      </c>
      <c r="C2181" s="184">
        <v>1951</v>
      </c>
      <c r="D2181" s="51"/>
      <c r="E2181" s="111" t="s">
        <v>3731</v>
      </c>
      <c r="F2181" s="48">
        <v>2</v>
      </c>
      <c r="G2181" s="50"/>
      <c r="H2181" s="48">
        <v>492.5</v>
      </c>
      <c r="I2181" s="218">
        <v>19</v>
      </c>
      <c r="J2181" s="19">
        <f t="shared" si="172"/>
        <v>130000</v>
      </c>
      <c r="K2181" s="50"/>
      <c r="L2181" s="50"/>
      <c r="M2181" s="50"/>
      <c r="N2181" s="19">
        <f>SUMIF('2020'!B:B,B2181,'2020'!C:C)+SUMIF('2021'!B:B,B2181,'2021'!C:C)+SUMIF('2022'!B:B,B2181,'2022'!C:C)</f>
        <v>130000</v>
      </c>
      <c r="O2181" s="219">
        <v>44925</v>
      </c>
      <c r="P2181" s="48" t="s">
        <v>3728</v>
      </c>
    </row>
    <row r="2182" spans="1:16" x14ac:dyDescent="0.3">
      <c r="A2182" s="59">
        <f>A2181+1</f>
        <v>1983</v>
      </c>
      <c r="B2182" s="60" t="s">
        <v>2261</v>
      </c>
      <c r="C2182" s="184">
        <v>1968</v>
      </c>
      <c r="D2182" s="51"/>
      <c r="E2182" s="111" t="s">
        <v>3733</v>
      </c>
      <c r="F2182" s="48">
        <v>5</v>
      </c>
      <c r="G2182" s="50"/>
      <c r="H2182" s="48">
        <v>3820</v>
      </c>
      <c r="I2182" s="218">
        <v>136</v>
      </c>
      <c r="J2182" s="19">
        <f t="shared" si="172"/>
        <v>130000</v>
      </c>
      <c r="K2182" s="50"/>
      <c r="L2182" s="50"/>
      <c r="M2182" s="50"/>
      <c r="N2182" s="19">
        <f>SUMIF('2020'!B:B,B2182,'2020'!C:C)+SUMIF('2021'!B:B,B2182,'2021'!C:C)+SUMIF('2022'!B:B,B2182,'2022'!C:C)</f>
        <v>130000</v>
      </c>
      <c r="O2182" s="219">
        <v>44925</v>
      </c>
      <c r="P2182" s="48" t="s">
        <v>3728</v>
      </c>
    </row>
    <row r="2183" spans="1:16" x14ac:dyDescent="0.3">
      <c r="A2183" s="220"/>
      <c r="B2183" s="248" t="s">
        <v>211</v>
      </c>
      <c r="C2183" s="50"/>
      <c r="D2183" s="50"/>
      <c r="E2183" s="48"/>
      <c r="F2183" s="48"/>
      <c r="G2183" s="50"/>
      <c r="H2183" s="48">
        <f>SUM(H2178:H2182)</f>
        <v>13337.66</v>
      </c>
      <c r="I2183" s="218">
        <f>SUM(I2178:I2182)</f>
        <v>444</v>
      </c>
      <c r="J2183" s="19">
        <f t="shared" si="172"/>
        <v>626431</v>
      </c>
      <c r="K2183" s="50">
        <v>0</v>
      </c>
      <c r="L2183" s="50">
        <v>0</v>
      </c>
      <c r="M2183" s="50">
        <f>N2183-'2022'!C630-'2021'!C1729</f>
        <v>0</v>
      </c>
      <c r="N2183" s="50">
        <f>SUM(N2178:N2182)</f>
        <v>626431</v>
      </c>
      <c r="O2183" s="50"/>
      <c r="P2183" s="50"/>
    </row>
    <row r="2184" spans="1:16" x14ac:dyDescent="0.3">
      <c r="A2184" s="461" t="s">
        <v>2262</v>
      </c>
      <c r="B2184" s="471"/>
      <c r="C2184" s="50"/>
      <c r="D2184" s="51"/>
      <c r="E2184" s="172"/>
      <c r="F2184" s="172"/>
      <c r="G2184" s="67"/>
      <c r="H2184" s="172"/>
      <c r="I2184" s="172"/>
      <c r="J2184" s="67"/>
      <c r="K2184" s="67"/>
      <c r="L2184" s="67"/>
      <c r="M2184" s="67"/>
      <c r="N2184" s="67"/>
      <c r="O2184" s="67"/>
      <c r="P2184" s="67"/>
    </row>
    <row r="2185" spans="1:16" x14ac:dyDescent="0.3">
      <c r="A2185" s="59">
        <f>A2182+1</f>
        <v>1984</v>
      </c>
      <c r="B2185" s="60" t="s">
        <v>2263</v>
      </c>
      <c r="C2185" s="184">
        <v>1964</v>
      </c>
      <c r="D2185" s="51"/>
      <c r="E2185" s="249" t="s">
        <v>3645</v>
      </c>
      <c r="F2185" s="249">
        <v>2</v>
      </c>
      <c r="G2185" s="50"/>
      <c r="H2185" s="249">
        <v>650.79999999999995</v>
      </c>
      <c r="I2185" s="249">
        <v>45</v>
      </c>
      <c r="J2185" s="19">
        <f t="shared" ref="J2185:J2247" si="173">K2185+L2185+M2185+N2185</f>
        <v>767899.40999999992</v>
      </c>
      <c r="K2185" s="50"/>
      <c r="L2185" s="50"/>
      <c r="M2185" s="50"/>
      <c r="N2185" s="19">
        <f>SUMIF('2020'!B:B,B2185,'2020'!C:C)+SUMIF('2021'!B:B,B2185,'2021'!C:C)+SUMIF('2022'!B:B,B2185,'2022'!C:C)</f>
        <v>767899.40999999992</v>
      </c>
      <c r="O2185" s="219">
        <v>44925</v>
      </c>
      <c r="P2185" s="48" t="s">
        <v>3728</v>
      </c>
    </row>
    <row r="2186" spans="1:16" x14ac:dyDescent="0.3">
      <c r="A2186" s="59">
        <f t="shared" ref="A2186:A2227" si="174">A2185+1</f>
        <v>1985</v>
      </c>
      <c r="B2186" s="60" t="s">
        <v>2264</v>
      </c>
      <c r="C2186" s="184">
        <v>1968</v>
      </c>
      <c r="D2186" s="51"/>
      <c r="E2186" s="249" t="s">
        <v>3645</v>
      </c>
      <c r="F2186" s="249">
        <v>2</v>
      </c>
      <c r="G2186" s="50"/>
      <c r="H2186" s="249">
        <v>548.70000000000005</v>
      </c>
      <c r="I2186" s="249">
        <v>27</v>
      </c>
      <c r="J2186" s="19">
        <f t="shared" si="173"/>
        <v>722152.49</v>
      </c>
      <c r="K2186" s="50"/>
      <c r="L2186" s="50"/>
      <c r="M2186" s="50"/>
      <c r="N2186" s="19">
        <f>SUMIF('2020'!B:B,B2186,'2020'!C:C)+SUMIF('2021'!B:B,B2186,'2021'!C:C)+SUMIF('2022'!B:B,B2186,'2022'!C:C)</f>
        <v>722152.49</v>
      </c>
      <c r="O2186" s="219">
        <v>44925</v>
      </c>
      <c r="P2186" s="48" t="s">
        <v>3728</v>
      </c>
    </row>
    <row r="2187" spans="1:16" x14ac:dyDescent="0.3">
      <c r="A2187" s="59">
        <f t="shared" si="174"/>
        <v>1986</v>
      </c>
      <c r="B2187" s="60" t="s">
        <v>2265</v>
      </c>
      <c r="C2187" s="184">
        <v>1968</v>
      </c>
      <c r="D2187" s="51"/>
      <c r="E2187" s="249" t="s">
        <v>3645</v>
      </c>
      <c r="F2187" s="249">
        <v>2</v>
      </c>
      <c r="G2187" s="50"/>
      <c r="H2187" s="249">
        <v>556.5</v>
      </c>
      <c r="I2187" s="249">
        <v>29</v>
      </c>
      <c r="J2187" s="19">
        <f t="shared" si="173"/>
        <v>714029.21</v>
      </c>
      <c r="K2187" s="50"/>
      <c r="L2187" s="50"/>
      <c r="M2187" s="50"/>
      <c r="N2187" s="19">
        <f>SUMIF('2020'!B:B,B2187,'2020'!C:C)+SUMIF('2021'!B:B,B2187,'2021'!C:C)+SUMIF('2022'!B:B,B2187,'2022'!C:C)</f>
        <v>714029.21</v>
      </c>
      <c r="O2187" s="219">
        <v>44925</v>
      </c>
      <c r="P2187" s="48" t="s">
        <v>3728</v>
      </c>
    </row>
    <row r="2188" spans="1:16" x14ac:dyDescent="0.3">
      <c r="A2188" s="59">
        <f t="shared" si="174"/>
        <v>1987</v>
      </c>
      <c r="B2188" s="60" t="s">
        <v>2266</v>
      </c>
      <c r="C2188" s="184">
        <v>1964</v>
      </c>
      <c r="D2188" s="51"/>
      <c r="E2188" s="249" t="s">
        <v>3645</v>
      </c>
      <c r="F2188" s="249">
        <v>2</v>
      </c>
      <c r="G2188" s="50"/>
      <c r="H2188" s="249">
        <v>696.2</v>
      </c>
      <c r="I2188" s="249">
        <v>30</v>
      </c>
      <c r="J2188" s="19">
        <f t="shared" si="173"/>
        <v>1025254</v>
      </c>
      <c r="K2188" s="50"/>
      <c r="L2188" s="50"/>
      <c r="M2188" s="50"/>
      <c r="N2188" s="19">
        <f>SUMIF('2020'!B:B,B2188,'2020'!C:C)+SUMIF('2021'!B:B,B2188,'2021'!C:C)+SUMIF('2022'!B:B,B2188,'2022'!C:C)</f>
        <v>1025254</v>
      </c>
      <c r="O2188" s="219">
        <v>44925</v>
      </c>
      <c r="P2188" s="48" t="s">
        <v>3728</v>
      </c>
    </row>
    <row r="2189" spans="1:16" x14ac:dyDescent="0.3">
      <c r="A2189" s="59">
        <f t="shared" si="174"/>
        <v>1988</v>
      </c>
      <c r="B2189" s="60" t="s">
        <v>2267</v>
      </c>
      <c r="C2189" s="184">
        <v>1964</v>
      </c>
      <c r="D2189" s="51"/>
      <c r="E2189" s="249" t="s">
        <v>3645</v>
      </c>
      <c r="F2189" s="249">
        <v>2</v>
      </c>
      <c r="G2189" s="50"/>
      <c r="H2189" s="249">
        <v>552.6</v>
      </c>
      <c r="I2189" s="249">
        <v>41</v>
      </c>
      <c r="J2189" s="19">
        <f t="shared" si="173"/>
        <v>812439.23</v>
      </c>
      <c r="K2189" s="50"/>
      <c r="L2189" s="50"/>
      <c r="M2189" s="50"/>
      <c r="N2189" s="19">
        <f>SUMIF('2020'!B:B,B2189,'2020'!C:C)+SUMIF('2021'!B:B,B2189,'2021'!C:C)+SUMIF('2022'!B:B,B2189,'2022'!C:C)</f>
        <v>812439.23</v>
      </c>
      <c r="O2189" s="219">
        <v>44925</v>
      </c>
      <c r="P2189" s="48" t="s">
        <v>3728</v>
      </c>
    </row>
    <row r="2190" spans="1:16" x14ac:dyDescent="0.3">
      <c r="A2190" s="59">
        <f t="shared" si="174"/>
        <v>1989</v>
      </c>
      <c r="B2190" s="60" t="s">
        <v>2268</v>
      </c>
      <c r="C2190" s="184">
        <v>1953</v>
      </c>
      <c r="D2190" s="51"/>
      <c r="E2190" s="250" t="s">
        <v>3731</v>
      </c>
      <c r="F2190" s="251">
        <v>2</v>
      </c>
      <c r="G2190" s="50"/>
      <c r="H2190" s="251">
        <v>1149.2</v>
      </c>
      <c r="I2190" s="250">
        <v>32</v>
      </c>
      <c r="J2190" s="19">
        <f t="shared" si="173"/>
        <v>525532.9</v>
      </c>
      <c r="K2190" s="50"/>
      <c r="L2190" s="50"/>
      <c r="M2190" s="50"/>
      <c r="N2190" s="19">
        <f>SUMIF('2020'!B:B,B2190,'2020'!C:C)+SUMIF('2021'!B:B,B2190,'2021'!C:C)+SUMIF('2022'!B:B,B2190,'2022'!C:C)</f>
        <v>525532.9</v>
      </c>
      <c r="O2190" s="219">
        <v>44925</v>
      </c>
      <c r="P2190" s="48" t="s">
        <v>3728</v>
      </c>
    </row>
    <row r="2191" spans="1:16" x14ac:dyDescent="0.3">
      <c r="A2191" s="59">
        <f t="shared" si="174"/>
        <v>1990</v>
      </c>
      <c r="B2191" s="60" t="s">
        <v>2269</v>
      </c>
      <c r="C2191" s="184">
        <v>1948</v>
      </c>
      <c r="D2191" s="51"/>
      <c r="E2191" s="250" t="s">
        <v>3731</v>
      </c>
      <c r="F2191" s="251">
        <v>2</v>
      </c>
      <c r="G2191" s="50"/>
      <c r="H2191" s="251">
        <v>622.79999999999995</v>
      </c>
      <c r="I2191" s="250">
        <v>33</v>
      </c>
      <c r="J2191" s="19">
        <f t="shared" si="173"/>
        <v>220203.52000000002</v>
      </c>
      <c r="K2191" s="50"/>
      <c r="L2191" s="50"/>
      <c r="M2191" s="50"/>
      <c r="N2191" s="19">
        <f>SUMIF('2020'!B:B,B2191,'2020'!C:C)+SUMIF('2021'!B:B,B2191,'2021'!C:C)+SUMIF('2022'!B:B,B2191,'2022'!C:C)</f>
        <v>220203.52000000002</v>
      </c>
      <c r="O2191" s="219">
        <v>44925</v>
      </c>
      <c r="P2191" s="48" t="s">
        <v>3728</v>
      </c>
    </row>
    <row r="2192" spans="1:16" x14ac:dyDescent="0.3">
      <c r="A2192" s="59">
        <f t="shared" si="174"/>
        <v>1991</v>
      </c>
      <c r="B2192" s="60" t="s">
        <v>2270</v>
      </c>
      <c r="C2192" s="184">
        <v>1949</v>
      </c>
      <c r="D2192" s="51"/>
      <c r="E2192" s="250" t="s">
        <v>3731</v>
      </c>
      <c r="F2192" s="251">
        <v>2</v>
      </c>
      <c r="G2192" s="50"/>
      <c r="H2192" s="251">
        <v>656.2</v>
      </c>
      <c r="I2192" s="250">
        <v>22</v>
      </c>
      <c r="J2192" s="19">
        <f t="shared" si="173"/>
        <v>965511.92999999993</v>
      </c>
      <c r="K2192" s="50"/>
      <c r="L2192" s="50"/>
      <c r="M2192" s="50"/>
      <c r="N2192" s="19">
        <f>SUMIF('2020'!B:B,B2192,'2020'!C:C)+SUMIF('2021'!B:B,B2192,'2021'!C:C)+SUMIF('2022'!B:B,B2192,'2022'!C:C)</f>
        <v>965511.92999999993</v>
      </c>
      <c r="O2192" s="219">
        <v>44925</v>
      </c>
      <c r="P2192" s="48" t="s">
        <v>3728</v>
      </c>
    </row>
    <row r="2193" spans="1:16" x14ac:dyDescent="0.3">
      <c r="A2193" s="59">
        <f t="shared" si="174"/>
        <v>1992</v>
      </c>
      <c r="B2193" s="60" t="s">
        <v>2271</v>
      </c>
      <c r="C2193" s="184">
        <v>1952</v>
      </c>
      <c r="D2193" s="51"/>
      <c r="E2193" s="250" t="s">
        <v>3731</v>
      </c>
      <c r="F2193" s="251">
        <v>2</v>
      </c>
      <c r="G2193" s="50"/>
      <c r="H2193" s="251">
        <v>1180.9000000000001</v>
      </c>
      <c r="I2193" s="250">
        <v>45</v>
      </c>
      <c r="J2193" s="19">
        <f t="shared" si="173"/>
        <v>9894924.5800000001</v>
      </c>
      <c r="K2193" s="50"/>
      <c r="L2193" s="50"/>
      <c r="M2193" s="50"/>
      <c r="N2193" s="19">
        <f>SUMIF('2020'!B:B,B2193,'2020'!C:C)+SUMIF('2021'!B:B,B2193,'2021'!C:C)+SUMIF('2022'!B:B,B2193,'2022'!C:C)</f>
        <v>9894924.5800000001</v>
      </c>
      <c r="O2193" s="219">
        <v>44925</v>
      </c>
      <c r="P2193" s="48" t="s">
        <v>3728</v>
      </c>
    </row>
    <row r="2194" spans="1:16" x14ac:dyDescent="0.3">
      <c r="A2194" s="59">
        <f t="shared" si="174"/>
        <v>1993</v>
      </c>
      <c r="B2194" s="60" t="s">
        <v>2272</v>
      </c>
      <c r="C2194" s="184">
        <v>1953</v>
      </c>
      <c r="D2194" s="51"/>
      <c r="E2194" s="250" t="s">
        <v>3731</v>
      </c>
      <c r="F2194" s="251">
        <v>2</v>
      </c>
      <c r="G2194" s="50"/>
      <c r="H2194" s="251">
        <v>780.7</v>
      </c>
      <c r="I2194" s="250">
        <v>30</v>
      </c>
      <c r="J2194" s="19">
        <f t="shared" si="173"/>
        <v>9069827.4100000001</v>
      </c>
      <c r="K2194" s="50"/>
      <c r="L2194" s="50"/>
      <c r="M2194" s="50"/>
      <c r="N2194" s="19">
        <f>SUMIF('2020'!B:B,B2194,'2020'!C:C)+SUMIF('2021'!B:B,B2194,'2021'!C:C)+SUMIF('2022'!B:B,B2194,'2022'!C:C)</f>
        <v>9069827.4100000001</v>
      </c>
      <c r="O2194" s="219">
        <v>44925</v>
      </c>
      <c r="P2194" s="48" t="s">
        <v>3728</v>
      </c>
    </row>
    <row r="2195" spans="1:16" x14ac:dyDescent="0.3">
      <c r="A2195" s="59">
        <f t="shared" si="174"/>
        <v>1994</v>
      </c>
      <c r="B2195" s="60" t="s">
        <v>2273</v>
      </c>
      <c r="C2195" s="184">
        <v>1951</v>
      </c>
      <c r="D2195" s="51"/>
      <c r="E2195" s="250" t="s">
        <v>3731</v>
      </c>
      <c r="F2195" s="251">
        <v>2</v>
      </c>
      <c r="G2195" s="50"/>
      <c r="H2195" s="251">
        <v>820.6</v>
      </c>
      <c r="I2195" s="250">
        <v>55</v>
      </c>
      <c r="J2195" s="19">
        <f t="shared" si="173"/>
        <v>517381.79</v>
      </c>
      <c r="K2195" s="50"/>
      <c r="L2195" s="50"/>
      <c r="M2195" s="50"/>
      <c r="N2195" s="19">
        <f>SUMIF('2020'!B:B,B2195,'2020'!C:C)+SUMIF('2021'!B:B,B2195,'2021'!C:C)+SUMIF('2022'!B:B,B2195,'2022'!C:C)</f>
        <v>517381.79</v>
      </c>
      <c r="O2195" s="219">
        <v>44925</v>
      </c>
      <c r="P2195" s="48" t="s">
        <v>3728</v>
      </c>
    </row>
    <row r="2196" spans="1:16" x14ac:dyDescent="0.3">
      <c r="A2196" s="59">
        <f t="shared" si="174"/>
        <v>1995</v>
      </c>
      <c r="B2196" s="60" t="s">
        <v>2274</v>
      </c>
      <c r="C2196" s="184">
        <v>1951</v>
      </c>
      <c r="D2196" s="51"/>
      <c r="E2196" s="250" t="s">
        <v>3731</v>
      </c>
      <c r="F2196" s="251">
        <v>2</v>
      </c>
      <c r="G2196" s="50"/>
      <c r="H2196" s="251">
        <v>797.1</v>
      </c>
      <c r="I2196" s="250">
        <v>32</v>
      </c>
      <c r="J2196" s="19">
        <f t="shared" si="173"/>
        <v>8981651.3800000008</v>
      </c>
      <c r="K2196" s="50"/>
      <c r="L2196" s="50"/>
      <c r="M2196" s="50"/>
      <c r="N2196" s="19">
        <f>SUMIF('2020'!B:B,B2196,'2020'!C:C)+SUMIF('2021'!B:B,B2196,'2021'!C:C)+SUMIF('2022'!B:B,B2196,'2022'!C:C)</f>
        <v>8981651.3800000008</v>
      </c>
      <c r="O2196" s="219">
        <v>44925</v>
      </c>
      <c r="P2196" s="48" t="s">
        <v>3728</v>
      </c>
    </row>
    <row r="2197" spans="1:16" x14ac:dyDescent="0.3">
      <c r="A2197" s="59">
        <f t="shared" si="174"/>
        <v>1996</v>
      </c>
      <c r="B2197" s="60" t="s">
        <v>2275</v>
      </c>
      <c r="C2197" s="184">
        <v>1951</v>
      </c>
      <c r="D2197" s="51"/>
      <c r="E2197" s="250" t="s">
        <v>3731</v>
      </c>
      <c r="F2197" s="251">
        <v>2</v>
      </c>
      <c r="G2197" s="50"/>
      <c r="H2197" s="251">
        <v>814.2</v>
      </c>
      <c r="I2197" s="250">
        <v>30</v>
      </c>
      <c r="J2197" s="19">
        <f t="shared" si="173"/>
        <v>496738.01999999996</v>
      </c>
      <c r="K2197" s="50"/>
      <c r="L2197" s="50"/>
      <c r="M2197" s="50"/>
      <c r="N2197" s="19">
        <f>SUMIF('2020'!B:B,B2197,'2020'!C:C)+SUMIF('2021'!B:B,B2197,'2021'!C:C)+SUMIF('2022'!B:B,B2197,'2022'!C:C)</f>
        <v>496738.01999999996</v>
      </c>
      <c r="O2197" s="219">
        <v>44925</v>
      </c>
      <c r="P2197" s="48" t="s">
        <v>3728</v>
      </c>
    </row>
    <row r="2198" spans="1:16" x14ac:dyDescent="0.3">
      <c r="A2198" s="59">
        <f t="shared" si="174"/>
        <v>1997</v>
      </c>
      <c r="B2198" s="60" t="s">
        <v>2276</v>
      </c>
      <c r="C2198" s="184">
        <v>1950</v>
      </c>
      <c r="D2198" s="51"/>
      <c r="E2198" s="250" t="s">
        <v>3731</v>
      </c>
      <c r="F2198" s="251">
        <v>2</v>
      </c>
      <c r="G2198" s="50"/>
      <c r="H2198" s="251">
        <v>782.7</v>
      </c>
      <c r="I2198" s="250">
        <v>23</v>
      </c>
      <c r="J2198" s="19">
        <f t="shared" si="173"/>
        <v>14286499.1</v>
      </c>
      <c r="K2198" s="50"/>
      <c r="L2198" s="50"/>
      <c r="M2198" s="50"/>
      <c r="N2198" s="19">
        <f>SUMIF('2020'!B:B,B2198,'2020'!C:C)+SUMIF('2021'!B:B,B2198,'2021'!C:C)+SUMIF('2022'!B:B,B2198,'2022'!C:C)</f>
        <v>14286499.1</v>
      </c>
      <c r="O2198" s="219">
        <v>44925</v>
      </c>
      <c r="P2198" s="48" t="s">
        <v>3728</v>
      </c>
    </row>
    <row r="2199" spans="1:16" x14ac:dyDescent="0.3">
      <c r="A2199" s="59">
        <f t="shared" si="174"/>
        <v>1998</v>
      </c>
      <c r="B2199" s="60" t="s">
        <v>2277</v>
      </c>
      <c r="C2199" s="184">
        <v>1951</v>
      </c>
      <c r="D2199" s="51"/>
      <c r="E2199" s="250" t="s">
        <v>3731</v>
      </c>
      <c r="F2199" s="251">
        <v>2</v>
      </c>
      <c r="G2199" s="50"/>
      <c r="H2199" s="251">
        <v>779.8</v>
      </c>
      <c r="I2199" s="250">
        <v>33</v>
      </c>
      <c r="J2199" s="19">
        <f t="shared" si="173"/>
        <v>5596452.4199999999</v>
      </c>
      <c r="K2199" s="50"/>
      <c r="L2199" s="50"/>
      <c r="M2199" s="50"/>
      <c r="N2199" s="19">
        <f>SUMIF('2020'!B:B,B2199,'2020'!C:C)+SUMIF('2021'!B:B,B2199,'2021'!C:C)+SUMIF('2022'!B:B,B2199,'2022'!C:C)</f>
        <v>5596452.4199999999</v>
      </c>
      <c r="O2199" s="219">
        <v>44925</v>
      </c>
      <c r="P2199" s="48" t="s">
        <v>3728</v>
      </c>
    </row>
    <row r="2200" spans="1:16" x14ac:dyDescent="0.3">
      <c r="A2200" s="59">
        <f t="shared" si="174"/>
        <v>1999</v>
      </c>
      <c r="B2200" s="60" t="s">
        <v>2278</v>
      </c>
      <c r="C2200" s="184">
        <v>1981</v>
      </c>
      <c r="D2200" s="51"/>
      <c r="E2200" s="250" t="s">
        <v>3733</v>
      </c>
      <c r="F2200" s="251">
        <v>2</v>
      </c>
      <c r="G2200" s="50"/>
      <c r="H2200" s="251">
        <v>767.6</v>
      </c>
      <c r="I2200" s="250">
        <v>34</v>
      </c>
      <c r="J2200" s="19">
        <f t="shared" si="173"/>
        <v>560289.14</v>
      </c>
      <c r="K2200" s="50"/>
      <c r="L2200" s="50"/>
      <c r="M2200" s="50"/>
      <c r="N2200" s="19">
        <f>SUMIF('2020'!B:B,B2200,'2020'!C:C)+SUMIF('2021'!B:B,B2200,'2021'!C:C)+SUMIF('2022'!B:B,B2200,'2022'!C:C)</f>
        <v>560289.14</v>
      </c>
      <c r="O2200" s="219">
        <v>44925</v>
      </c>
      <c r="P2200" s="48" t="s">
        <v>3728</v>
      </c>
    </row>
    <row r="2201" spans="1:16" x14ac:dyDescent="0.3">
      <c r="A2201" s="59">
        <f t="shared" si="174"/>
        <v>2000</v>
      </c>
      <c r="B2201" s="60" t="s">
        <v>2279</v>
      </c>
      <c r="C2201" s="184">
        <v>1952</v>
      </c>
      <c r="D2201" s="51"/>
      <c r="E2201" s="250" t="s">
        <v>3731</v>
      </c>
      <c r="F2201" s="251">
        <v>2</v>
      </c>
      <c r="G2201" s="50"/>
      <c r="H2201" s="251">
        <v>784.5</v>
      </c>
      <c r="I2201" s="250">
        <v>32</v>
      </c>
      <c r="J2201" s="19">
        <f t="shared" si="173"/>
        <v>9269417.1799999997</v>
      </c>
      <c r="K2201" s="50"/>
      <c r="L2201" s="50"/>
      <c r="M2201" s="50"/>
      <c r="N2201" s="19">
        <f>SUMIF('2020'!B:B,B2201,'2020'!C:C)+SUMIF('2021'!B:B,B2201,'2021'!C:C)+SUMIF('2022'!B:B,B2201,'2022'!C:C)</f>
        <v>9269417.1799999997</v>
      </c>
      <c r="O2201" s="219">
        <v>44925</v>
      </c>
      <c r="P2201" s="48" t="s">
        <v>3728</v>
      </c>
    </row>
    <row r="2202" spans="1:16" x14ac:dyDescent="0.3">
      <c r="A2202" s="59">
        <f t="shared" si="174"/>
        <v>2001</v>
      </c>
      <c r="B2202" s="60" t="s">
        <v>2280</v>
      </c>
      <c r="C2202" s="184">
        <v>1954</v>
      </c>
      <c r="D2202" s="51"/>
      <c r="E2202" s="250" t="s">
        <v>3731</v>
      </c>
      <c r="F2202" s="251">
        <v>2</v>
      </c>
      <c r="G2202" s="50"/>
      <c r="H2202" s="251">
        <v>800.8</v>
      </c>
      <c r="I2202" s="250">
        <v>31</v>
      </c>
      <c r="J2202" s="19">
        <f t="shared" si="173"/>
        <v>3015627.4299999997</v>
      </c>
      <c r="K2202" s="50"/>
      <c r="L2202" s="50"/>
      <c r="M2202" s="50"/>
      <c r="N2202" s="19">
        <f>SUMIF('2020'!B:B,B2202,'2020'!C:C)+SUMIF('2021'!B:B,B2202,'2021'!C:C)+SUMIF('2022'!B:B,B2202,'2022'!C:C)</f>
        <v>3015627.4299999997</v>
      </c>
      <c r="O2202" s="219">
        <v>44925</v>
      </c>
      <c r="P2202" s="48" t="s">
        <v>3728</v>
      </c>
    </row>
    <row r="2203" spans="1:16" x14ac:dyDescent="0.3">
      <c r="A2203" s="59">
        <f t="shared" si="174"/>
        <v>2002</v>
      </c>
      <c r="B2203" s="60" t="s">
        <v>2281</v>
      </c>
      <c r="C2203" s="184">
        <v>1954</v>
      </c>
      <c r="D2203" s="51"/>
      <c r="E2203" s="250" t="s">
        <v>3731</v>
      </c>
      <c r="F2203" s="251">
        <v>2</v>
      </c>
      <c r="G2203" s="50"/>
      <c r="H2203" s="251">
        <v>821.1</v>
      </c>
      <c r="I2203" s="250">
        <v>27</v>
      </c>
      <c r="J2203" s="19">
        <f t="shared" si="173"/>
        <v>3281147.3000000003</v>
      </c>
      <c r="K2203" s="50"/>
      <c r="L2203" s="50"/>
      <c r="M2203" s="50"/>
      <c r="N2203" s="19">
        <f>SUMIF('2020'!B:B,B2203,'2020'!C:C)+SUMIF('2021'!B:B,B2203,'2021'!C:C)+SUMIF('2022'!B:B,B2203,'2022'!C:C)</f>
        <v>3281147.3000000003</v>
      </c>
      <c r="O2203" s="219">
        <v>44925</v>
      </c>
      <c r="P2203" s="48" t="s">
        <v>3728</v>
      </c>
    </row>
    <row r="2204" spans="1:16" x14ac:dyDescent="0.3">
      <c r="A2204" s="59">
        <f t="shared" si="174"/>
        <v>2003</v>
      </c>
      <c r="B2204" s="60" t="s">
        <v>2283</v>
      </c>
      <c r="C2204" s="184">
        <v>1972</v>
      </c>
      <c r="D2204" s="51"/>
      <c r="E2204" s="250" t="s">
        <v>3729</v>
      </c>
      <c r="F2204" s="251">
        <v>5</v>
      </c>
      <c r="G2204" s="50"/>
      <c r="H2204" s="251">
        <v>4523.6000000000004</v>
      </c>
      <c r="I2204" s="250">
        <v>211</v>
      </c>
      <c r="J2204" s="19">
        <f t="shared" si="173"/>
        <v>1648042.63</v>
      </c>
      <c r="K2204" s="50"/>
      <c r="L2204" s="50"/>
      <c r="M2204" s="50"/>
      <c r="N2204" s="19">
        <f>SUMIF('2020'!B:B,B2204,'2020'!C:C)+SUMIF('2021'!B:B,B2204,'2021'!C:C)+SUMIF('2022'!B:B,B2204,'2022'!C:C)</f>
        <v>1648042.63</v>
      </c>
      <c r="O2204" s="219">
        <v>44925</v>
      </c>
      <c r="P2204" s="48" t="s">
        <v>3728</v>
      </c>
    </row>
    <row r="2205" spans="1:16" x14ac:dyDescent="0.3">
      <c r="A2205" s="59">
        <f t="shared" si="174"/>
        <v>2004</v>
      </c>
      <c r="B2205" s="60" t="s">
        <v>2284</v>
      </c>
      <c r="C2205" s="184">
        <v>1953</v>
      </c>
      <c r="D2205" s="51"/>
      <c r="E2205" s="250" t="s">
        <v>3731</v>
      </c>
      <c r="F2205" s="251">
        <v>2</v>
      </c>
      <c r="G2205" s="50"/>
      <c r="H2205" s="251">
        <v>771.5</v>
      </c>
      <c r="I2205" s="250">
        <v>21</v>
      </c>
      <c r="J2205" s="19">
        <f t="shared" si="173"/>
        <v>740442.03</v>
      </c>
      <c r="K2205" s="50"/>
      <c r="L2205" s="50"/>
      <c r="M2205" s="50"/>
      <c r="N2205" s="19">
        <f>SUMIF('2020'!B:B,B2205,'2020'!C:C)+SUMIF('2021'!B:B,B2205,'2021'!C:C)+SUMIF('2022'!B:B,B2205,'2022'!C:C)</f>
        <v>740442.03</v>
      </c>
      <c r="O2205" s="219">
        <v>44925</v>
      </c>
      <c r="P2205" s="48" t="s">
        <v>3728</v>
      </c>
    </row>
    <row r="2206" spans="1:16" x14ac:dyDescent="0.3">
      <c r="A2206" s="59">
        <f t="shared" si="174"/>
        <v>2005</v>
      </c>
      <c r="B2206" s="60" t="s">
        <v>2285</v>
      </c>
      <c r="C2206" s="184">
        <v>1976</v>
      </c>
      <c r="D2206" s="51"/>
      <c r="E2206" s="250" t="s">
        <v>3729</v>
      </c>
      <c r="F2206" s="251">
        <v>5</v>
      </c>
      <c r="G2206" s="50"/>
      <c r="H2206" s="251">
        <v>3065.8</v>
      </c>
      <c r="I2206" s="250">
        <v>130</v>
      </c>
      <c r="J2206" s="19">
        <f t="shared" si="173"/>
        <v>1065753.78</v>
      </c>
      <c r="K2206" s="50"/>
      <c r="L2206" s="50"/>
      <c r="M2206" s="50"/>
      <c r="N2206" s="19">
        <f>SUMIF('2020'!B:B,B2206,'2020'!C:C)+SUMIF('2021'!B:B,B2206,'2021'!C:C)+SUMIF('2022'!B:B,B2206,'2022'!C:C)</f>
        <v>1065753.78</v>
      </c>
      <c r="O2206" s="219">
        <v>44925</v>
      </c>
      <c r="P2206" s="48" t="s">
        <v>3728</v>
      </c>
    </row>
    <row r="2207" spans="1:16" x14ac:dyDescent="0.3">
      <c r="A2207" s="59">
        <f t="shared" si="174"/>
        <v>2006</v>
      </c>
      <c r="B2207" s="60" t="s">
        <v>2286</v>
      </c>
      <c r="C2207" s="184">
        <v>1955</v>
      </c>
      <c r="D2207" s="51"/>
      <c r="E2207" s="250" t="s">
        <v>3731</v>
      </c>
      <c r="F2207" s="251">
        <v>2</v>
      </c>
      <c r="G2207" s="228"/>
      <c r="H2207" s="251">
        <v>842.2</v>
      </c>
      <c r="I2207" s="250">
        <v>38</v>
      </c>
      <c r="J2207" s="19">
        <f t="shared" si="173"/>
        <v>1374565.04</v>
      </c>
      <c r="K2207" s="50"/>
      <c r="L2207" s="50"/>
      <c r="M2207" s="50"/>
      <c r="N2207" s="19">
        <f>SUMIF('2020'!B:B,B2207,'2020'!C:C)+SUMIF('2021'!B:B,B2207,'2021'!C:C)+SUMIF('2022'!B:B,B2207,'2022'!C:C)</f>
        <v>1374565.04</v>
      </c>
      <c r="O2207" s="219">
        <v>44925</v>
      </c>
      <c r="P2207" s="48" t="s">
        <v>3728</v>
      </c>
    </row>
    <row r="2208" spans="1:16" x14ac:dyDescent="0.3">
      <c r="A2208" s="59">
        <f t="shared" si="174"/>
        <v>2007</v>
      </c>
      <c r="B2208" s="60" t="s">
        <v>2287</v>
      </c>
      <c r="C2208" s="184">
        <v>1970</v>
      </c>
      <c r="D2208" s="51"/>
      <c r="E2208" s="250" t="s">
        <v>3729</v>
      </c>
      <c r="F2208" s="251">
        <v>5</v>
      </c>
      <c r="G2208" s="50"/>
      <c r="H2208" s="251">
        <v>2781.9</v>
      </c>
      <c r="I2208" s="250">
        <v>106</v>
      </c>
      <c r="J2208" s="19">
        <f t="shared" si="173"/>
        <v>1228804.26</v>
      </c>
      <c r="K2208" s="50"/>
      <c r="L2208" s="50"/>
      <c r="M2208" s="50"/>
      <c r="N2208" s="19">
        <f>SUMIF('2020'!B:B,B2208,'2020'!C:C)+SUMIF('2021'!B:B,B2208,'2021'!C:C)+SUMIF('2022'!B:B,B2208,'2022'!C:C)</f>
        <v>1228804.26</v>
      </c>
      <c r="O2208" s="219">
        <v>44925</v>
      </c>
      <c r="P2208" s="48" t="s">
        <v>3728</v>
      </c>
    </row>
    <row r="2209" spans="1:16" x14ac:dyDescent="0.3">
      <c r="A2209" s="59">
        <f t="shared" si="174"/>
        <v>2008</v>
      </c>
      <c r="B2209" s="60" t="s">
        <v>2288</v>
      </c>
      <c r="C2209" s="184">
        <v>1966</v>
      </c>
      <c r="D2209" s="51"/>
      <c r="E2209" s="250" t="s">
        <v>3645</v>
      </c>
      <c r="F2209" s="251">
        <v>4</v>
      </c>
      <c r="G2209" s="50"/>
      <c r="H2209" s="251">
        <v>1281.9000000000001</v>
      </c>
      <c r="I2209" s="250">
        <v>38</v>
      </c>
      <c r="J2209" s="19">
        <f t="shared" si="173"/>
        <v>1087647.32</v>
      </c>
      <c r="K2209" s="50"/>
      <c r="L2209" s="50"/>
      <c r="M2209" s="50"/>
      <c r="N2209" s="19">
        <f>SUMIF('2020'!B:B,B2209,'2020'!C:C)+SUMIF('2021'!B:B,B2209,'2021'!C:C)+SUMIF('2022'!B:B,B2209,'2022'!C:C)</f>
        <v>1087647.32</v>
      </c>
      <c r="O2209" s="219">
        <v>44925</v>
      </c>
      <c r="P2209" s="48" t="s">
        <v>3728</v>
      </c>
    </row>
    <row r="2210" spans="1:16" x14ac:dyDescent="0.3">
      <c r="A2210" s="59">
        <f t="shared" si="174"/>
        <v>2009</v>
      </c>
      <c r="B2210" s="60" t="s">
        <v>2289</v>
      </c>
      <c r="C2210" s="184">
        <v>1973</v>
      </c>
      <c r="D2210" s="51"/>
      <c r="E2210" s="250" t="s">
        <v>3729</v>
      </c>
      <c r="F2210" s="251">
        <v>5</v>
      </c>
      <c r="G2210" s="50"/>
      <c r="H2210" s="251">
        <v>5843</v>
      </c>
      <c r="I2210" s="250">
        <v>229</v>
      </c>
      <c r="J2210" s="19">
        <f t="shared" si="173"/>
        <v>1668627.1800000002</v>
      </c>
      <c r="K2210" s="50"/>
      <c r="L2210" s="50"/>
      <c r="M2210" s="50"/>
      <c r="N2210" s="19">
        <f>SUMIF('2020'!B:B,B2210,'2020'!C:C)+SUMIF('2021'!B:B,B2210,'2021'!C:C)+SUMIF('2022'!B:B,B2210,'2022'!C:C)</f>
        <v>1668627.1800000002</v>
      </c>
      <c r="O2210" s="219">
        <v>44925</v>
      </c>
      <c r="P2210" s="48" t="s">
        <v>3728</v>
      </c>
    </row>
    <row r="2211" spans="1:16" x14ac:dyDescent="0.3">
      <c r="A2211" s="59">
        <f t="shared" si="174"/>
        <v>2010</v>
      </c>
      <c r="B2211" s="60" t="s">
        <v>2290</v>
      </c>
      <c r="C2211" s="184">
        <v>1973</v>
      </c>
      <c r="D2211" s="51"/>
      <c r="E2211" s="250" t="s">
        <v>3645</v>
      </c>
      <c r="F2211" s="251">
        <v>5</v>
      </c>
      <c r="G2211" s="50"/>
      <c r="H2211" s="251">
        <v>3157.1</v>
      </c>
      <c r="I2211" s="250">
        <v>129</v>
      </c>
      <c r="J2211" s="19">
        <f t="shared" si="173"/>
        <v>1310949.82</v>
      </c>
      <c r="K2211" s="50"/>
      <c r="L2211" s="50"/>
      <c r="M2211" s="50"/>
      <c r="N2211" s="19">
        <f>SUMIF('2020'!B:B,B2211,'2020'!C:C)+SUMIF('2021'!B:B,B2211,'2021'!C:C)+SUMIF('2022'!B:B,B2211,'2022'!C:C)</f>
        <v>1310949.82</v>
      </c>
      <c r="O2211" s="219">
        <v>44925</v>
      </c>
      <c r="P2211" s="48" t="s">
        <v>3728</v>
      </c>
    </row>
    <row r="2212" spans="1:16" x14ac:dyDescent="0.3">
      <c r="A2212" s="59">
        <f t="shared" si="174"/>
        <v>2011</v>
      </c>
      <c r="B2212" s="60" t="s">
        <v>2291</v>
      </c>
      <c r="C2212" s="184">
        <v>1980</v>
      </c>
      <c r="D2212" s="51"/>
      <c r="E2212" s="250" t="s">
        <v>3729</v>
      </c>
      <c r="F2212" s="251">
        <v>5</v>
      </c>
      <c r="G2212" s="50"/>
      <c r="H2212" s="251">
        <v>3117.7</v>
      </c>
      <c r="I2212" s="250">
        <v>123</v>
      </c>
      <c r="J2212" s="19">
        <f t="shared" si="173"/>
        <v>1152590.81</v>
      </c>
      <c r="K2212" s="50"/>
      <c r="L2212" s="50"/>
      <c r="M2212" s="50"/>
      <c r="N2212" s="19">
        <f>SUMIF('2020'!B:B,B2212,'2020'!C:C)+SUMIF('2021'!B:B,B2212,'2021'!C:C)+SUMIF('2022'!B:B,B2212,'2022'!C:C)</f>
        <v>1152590.81</v>
      </c>
      <c r="O2212" s="219">
        <v>44925</v>
      </c>
      <c r="P2212" s="48" t="s">
        <v>3728</v>
      </c>
    </row>
    <row r="2213" spans="1:16" x14ac:dyDescent="0.3">
      <c r="A2213" s="59">
        <f t="shared" si="174"/>
        <v>2012</v>
      </c>
      <c r="B2213" s="60" t="s">
        <v>2292</v>
      </c>
      <c r="C2213" s="184">
        <v>1968</v>
      </c>
      <c r="D2213" s="51"/>
      <c r="E2213" s="252" t="s">
        <v>3729</v>
      </c>
      <c r="F2213" s="253">
        <v>5</v>
      </c>
      <c r="G2213" s="50"/>
      <c r="H2213" s="253">
        <v>3632.1</v>
      </c>
      <c r="I2213" s="252">
        <v>143</v>
      </c>
      <c r="J2213" s="19">
        <f t="shared" si="173"/>
        <v>1328918.25</v>
      </c>
      <c r="K2213" s="50"/>
      <c r="L2213" s="50"/>
      <c r="M2213" s="50"/>
      <c r="N2213" s="19">
        <f>SUMIF('2020'!B:B,B2213,'2020'!C:C)+SUMIF('2021'!B:B,B2213,'2021'!C:C)+SUMIF('2022'!B:B,B2213,'2022'!C:C)</f>
        <v>1328918.25</v>
      </c>
      <c r="O2213" s="219">
        <v>44925</v>
      </c>
      <c r="P2213" s="48" t="s">
        <v>3728</v>
      </c>
    </row>
    <row r="2214" spans="1:16" x14ac:dyDescent="0.3">
      <c r="A2214" s="59">
        <f t="shared" si="174"/>
        <v>2013</v>
      </c>
      <c r="B2214" s="60" t="s">
        <v>2293</v>
      </c>
      <c r="C2214" s="184">
        <v>1970</v>
      </c>
      <c r="D2214" s="51"/>
      <c r="E2214" s="252" t="s">
        <v>3730</v>
      </c>
      <c r="F2214" s="253">
        <v>2</v>
      </c>
      <c r="G2214" s="50"/>
      <c r="H2214" s="253">
        <v>687.5</v>
      </c>
      <c r="I2214" s="252">
        <v>40</v>
      </c>
      <c r="J2214" s="19">
        <f t="shared" si="173"/>
        <v>298196.76</v>
      </c>
      <c r="K2214" s="50"/>
      <c r="L2214" s="50"/>
      <c r="M2214" s="50"/>
      <c r="N2214" s="19">
        <f>SUMIF('2020'!B:B,B2214,'2020'!C:C)+SUMIF('2021'!B:B,B2214,'2021'!C:C)+SUMIF('2022'!B:B,B2214,'2022'!C:C)</f>
        <v>298196.76</v>
      </c>
      <c r="O2214" s="219">
        <v>44925</v>
      </c>
      <c r="P2214" s="48" t="s">
        <v>3728</v>
      </c>
    </row>
    <row r="2215" spans="1:16" x14ac:dyDescent="0.3">
      <c r="A2215" s="59">
        <f t="shared" si="174"/>
        <v>2014</v>
      </c>
      <c r="B2215" s="60" t="s">
        <v>2294</v>
      </c>
      <c r="C2215" s="184">
        <v>1951</v>
      </c>
      <c r="D2215" s="51"/>
      <c r="E2215" s="252" t="s">
        <v>3731</v>
      </c>
      <c r="F2215" s="253">
        <v>2</v>
      </c>
      <c r="G2215" s="50"/>
      <c r="H2215" s="253">
        <v>794.8</v>
      </c>
      <c r="I2215" s="252">
        <v>27</v>
      </c>
      <c r="J2215" s="19">
        <f t="shared" si="173"/>
        <v>171522</v>
      </c>
      <c r="K2215" s="50"/>
      <c r="L2215" s="50"/>
      <c r="M2215" s="50"/>
      <c r="N2215" s="19">
        <f>SUMIF('2020'!B:B,B2215,'2020'!C:C)+SUMIF('2021'!B:B,B2215,'2021'!C:C)+SUMIF('2022'!B:B,B2215,'2022'!C:C)</f>
        <v>171522</v>
      </c>
      <c r="O2215" s="219">
        <v>44925</v>
      </c>
      <c r="P2215" s="48" t="s">
        <v>3728</v>
      </c>
    </row>
    <row r="2216" spans="1:16" x14ac:dyDescent="0.3">
      <c r="A2216" s="59">
        <f t="shared" si="174"/>
        <v>2015</v>
      </c>
      <c r="B2216" s="60" t="s">
        <v>2295</v>
      </c>
      <c r="C2216" s="184">
        <v>1950</v>
      </c>
      <c r="D2216" s="51"/>
      <c r="E2216" s="252" t="s">
        <v>3731</v>
      </c>
      <c r="F2216" s="253">
        <v>2</v>
      </c>
      <c r="G2216" s="50"/>
      <c r="H2216" s="253">
        <v>791.2</v>
      </c>
      <c r="I2216" s="252">
        <v>26</v>
      </c>
      <c r="J2216" s="19">
        <f t="shared" si="173"/>
        <v>94924.81</v>
      </c>
      <c r="K2216" s="50"/>
      <c r="L2216" s="50"/>
      <c r="M2216" s="50"/>
      <c r="N2216" s="19">
        <f>SUMIF('2020'!B:B,B2216,'2020'!C:C)+SUMIF('2021'!B:B,B2216,'2021'!C:C)+SUMIF('2022'!B:B,B2216,'2022'!C:C)</f>
        <v>94924.81</v>
      </c>
      <c r="O2216" s="219">
        <v>44925</v>
      </c>
      <c r="P2216" s="48" t="s">
        <v>3728</v>
      </c>
    </row>
    <row r="2217" spans="1:16" x14ac:dyDescent="0.3">
      <c r="A2217" s="59">
        <f t="shared" si="174"/>
        <v>2016</v>
      </c>
      <c r="B2217" s="60" t="s">
        <v>2296</v>
      </c>
      <c r="C2217" s="184">
        <v>1964</v>
      </c>
      <c r="D2217" s="51"/>
      <c r="E2217" s="252" t="s">
        <v>3730</v>
      </c>
      <c r="F2217" s="253">
        <v>2</v>
      </c>
      <c r="G2217" s="228"/>
      <c r="H2217" s="253">
        <v>503.7</v>
      </c>
      <c r="I2217" s="252">
        <v>16</v>
      </c>
      <c r="J2217" s="19">
        <f t="shared" si="173"/>
        <v>1475141</v>
      </c>
      <c r="K2217" s="228"/>
      <c r="L2217" s="228"/>
      <c r="M2217" s="50"/>
      <c r="N2217" s="19">
        <f>SUMIF('2020'!B:B,B2217,'2020'!C:C)+SUMIF('2021'!B:B,B2217,'2021'!C:C)+SUMIF('2022'!B:B,B2217,'2022'!C:C)</f>
        <v>1475141</v>
      </c>
      <c r="O2217" s="219">
        <v>44925</v>
      </c>
      <c r="P2217" s="48" t="s">
        <v>3728</v>
      </c>
    </row>
    <row r="2218" spans="1:16" x14ac:dyDescent="0.3">
      <c r="A2218" s="59">
        <f t="shared" si="174"/>
        <v>2017</v>
      </c>
      <c r="B2218" s="60" t="s">
        <v>2297</v>
      </c>
      <c r="C2218" s="184">
        <v>1955</v>
      </c>
      <c r="D2218" s="51"/>
      <c r="E2218" s="252" t="s">
        <v>3731</v>
      </c>
      <c r="F2218" s="253">
        <v>2</v>
      </c>
      <c r="G2218" s="228"/>
      <c r="H2218" s="253">
        <v>771.5</v>
      </c>
      <c r="I2218" s="252">
        <v>33</v>
      </c>
      <c r="J2218" s="19">
        <f t="shared" si="173"/>
        <v>1173827</v>
      </c>
      <c r="K2218" s="50"/>
      <c r="L2218" s="50"/>
      <c r="M2218" s="50"/>
      <c r="N2218" s="19">
        <f>SUMIF('2020'!B:B,B2218,'2020'!C:C)+SUMIF('2021'!B:B,B2218,'2021'!C:C)+SUMIF('2022'!B:B,B2218,'2022'!C:C)</f>
        <v>1173827</v>
      </c>
      <c r="O2218" s="219">
        <v>44925</v>
      </c>
      <c r="P2218" s="48" t="s">
        <v>3728</v>
      </c>
    </row>
    <row r="2219" spans="1:16" x14ac:dyDescent="0.3">
      <c r="A2219" s="59">
        <f t="shared" si="174"/>
        <v>2018</v>
      </c>
      <c r="B2219" s="60" t="s">
        <v>2298</v>
      </c>
      <c r="C2219" s="184">
        <v>1962</v>
      </c>
      <c r="D2219" s="51"/>
      <c r="E2219" s="252" t="s">
        <v>3645</v>
      </c>
      <c r="F2219" s="253">
        <v>3</v>
      </c>
      <c r="G2219" s="50"/>
      <c r="H2219" s="253">
        <v>556.29999999999995</v>
      </c>
      <c r="I2219" s="252">
        <v>20</v>
      </c>
      <c r="J2219" s="19">
        <f t="shared" si="173"/>
        <v>991114.98</v>
      </c>
      <c r="K2219" s="50"/>
      <c r="L2219" s="50"/>
      <c r="M2219" s="50"/>
      <c r="N2219" s="19">
        <f>SUMIF('2020'!B:B,B2219,'2020'!C:C)+SUMIF('2021'!B:B,B2219,'2021'!C:C)+SUMIF('2022'!B:B,B2219,'2022'!C:C)</f>
        <v>991114.98</v>
      </c>
      <c r="O2219" s="219">
        <v>44925</v>
      </c>
      <c r="P2219" s="48" t="s">
        <v>3728</v>
      </c>
    </row>
    <row r="2220" spans="1:16" x14ac:dyDescent="0.3">
      <c r="A2220" s="59">
        <f t="shared" si="174"/>
        <v>2019</v>
      </c>
      <c r="B2220" s="60" t="s">
        <v>2299</v>
      </c>
      <c r="C2220" s="184">
        <v>1960</v>
      </c>
      <c r="D2220" s="51"/>
      <c r="E2220" s="252" t="s">
        <v>3645</v>
      </c>
      <c r="F2220" s="253">
        <v>2</v>
      </c>
      <c r="G2220" s="50"/>
      <c r="H2220" s="253">
        <v>666.2</v>
      </c>
      <c r="I2220" s="252">
        <v>34</v>
      </c>
      <c r="J2220" s="19">
        <f t="shared" si="173"/>
        <v>1044754.6599999999</v>
      </c>
      <c r="K2220" s="50"/>
      <c r="L2220" s="50"/>
      <c r="M2220" s="50"/>
      <c r="N2220" s="19">
        <f>SUMIF('2020'!B:B,B2220,'2020'!C:C)+SUMIF('2021'!B:B,B2220,'2021'!C:C)+SUMIF('2022'!B:B,B2220,'2022'!C:C)</f>
        <v>1044754.6599999999</v>
      </c>
      <c r="O2220" s="219">
        <v>44925</v>
      </c>
      <c r="P2220" s="48" t="s">
        <v>3728</v>
      </c>
    </row>
    <row r="2221" spans="1:16" x14ac:dyDescent="0.3">
      <c r="A2221" s="59">
        <f t="shared" si="174"/>
        <v>2020</v>
      </c>
      <c r="B2221" s="60" t="s">
        <v>2300</v>
      </c>
      <c r="C2221" s="184">
        <v>1965</v>
      </c>
      <c r="D2221" s="51"/>
      <c r="E2221" s="250" t="s">
        <v>3645</v>
      </c>
      <c r="F2221" s="251">
        <v>4</v>
      </c>
      <c r="G2221" s="50"/>
      <c r="H2221" s="251">
        <v>2005.4</v>
      </c>
      <c r="I2221" s="250">
        <v>83</v>
      </c>
      <c r="J2221" s="19">
        <f t="shared" si="173"/>
        <v>931051.53999999992</v>
      </c>
      <c r="K2221" s="50"/>
      <c r="L2221" s="50"/>
      <c r="M2221" s="50"/>
      <c r="N2221" s="19">
        <f>SUMIF('2020'!B:B,B2221,'2020'!C:C)+SUMIF('2021'!B:B,B2221,'2021'!C:C)+SUMIF('2022'!B:B,B2221,'2022'!C:C)</f>
        <v>931051.53999999992</v>
      </c>
      <c r="O2221" s="219">
        <v>44925</v>
      </c>
      <c r="P2221" s="48" t="s">
        <v>3728</v>
      </c>
    </row>
    <row r="2222" spans="1:16" x14ac:dyDescent="0.3">
      <c r="A2222" s="59">
        <f t="shared" si="174"/>
        <v>2021</v>
      </c>
      <c r="B2222" s="60" t="s">
        <v>2301</v>
      </c>
      <c r="C2222" s="184">
        <v>1960</v>
      </c>
      <c r="D2222" s="51"/>
      <c r="E2222" s="252" t="s">
        <v>3731</v>
      </c>
      <c r="F2222" s="253">
        <v>2</v>
      </c>
      <c r="G2222" s="50"/>
      <c r="H2222" s="253">
        <v>617.29999999999995</v>
      </c>
      <c r="I2222" s="252">
        <v>28</v>
      </c>
      <c r="J2222" s="19">
        <f t="shared" si="173"/>
        <v>503214.01</v>
      </c>
      <c r="K2222" s="50"/>
      <c r="L2222" s="50"/>
      <c r="M2222" s="50"/>
      <c r="N2222" s="19">
        <f>SUMIF('2020'!B:B,B2222,'2020'!C:C)+SUMIF('2021'!B:B,B2222,'2021'!C:C)+SUMIF('2022'!B:B,B2222,'2022'!C:C)</f>
        <v>503214.01</v>
      </c>
      <c r="O2222" s="219">
        <v>44925</v>
      </c>
      <c r="P2222" s="48" t="s">
        <v>3728</v>
      </c>
    </row>
    <row r="2223" spans="1:16" x14ac:dyDescent="0.3">
      <c r="A2223" s="59">
        <f t="shared" si="174"/>
        <v>2022</v>
      </c>
      <c r="B2223" s="60" t="s">
        <v>2302</v>
      </c>
      <c r="C2223" s="184">
        <v>1963</v>
      </c>
      <c r="D2223" s="51"/>
      <c r="E2223" s="252" t="s">
        <v>3645</v>
      </c>
      <c r="F2223" s="251">
        <v>4</v>
      </c>
      <c r="G2223" s="50"/>
      <c r="H2223" s="253">
        <v>2021.8</v>
      </c>
      <c r="I2223" s="252">
        <v>79</v>
      </c>
      <c r="J2223" s="19">
        <f t="shared" si="173"/>
        <v>1331373.1800000002</v>
      </c>
      <c r="K2223" s="50"/>
      <c r="L2223" s="50"/>
      <c r="M2223" s="50"/>
      <c r="N2223" s="19">
        <f>SUMIF('2020'!B:B,B2223,'2020'!C:C)+SUMIF('2021'!B:B,B2223,'2021'!C:C)+SUMIF('2022'!B:B,B2223,'2022'!C:C)</f>
        <v>1331373.1800000002</v>
      </c>
      <c r="O2223" s="219">
        <v>44925</v>
      </c>
      <c r="P2223" s="48" t="s">
        <v>3728</v>
      </c>
    </row>
    <row r="2224" spans="1:16" x14ac:dyDescent="0.3">
      <c r="A2224" s="59">
        <f t="shared" si="174"/>
        <v>2023</v>
      </c>
      <c r="B2224" s="60" t="s">
        <v>2303</v>
      </c>
      <c r="C2224" s="184">
        <v>1959</v>
      </c>
      <c r="D2224" s="51"/>
      <c r="E2224" s="252" t="s">
        <v>3731</v>
      </c>
      <c r="F2224" s="253">
        <v>2</v>
      </c>
      <c r="G2224" s="50"/>
      <c r="H2224" s="253">
        <v>691.1</v>
      </c>
      <c r="I2224" s="252">
        <v>28</v>
      </c>
      <c r="J2224" s="19">
        <f t="shared" si="173"/>
        <v>639806.05000000005</v>
      </c>
      <c r="K2224" s="50"/>
      <c r="L2224" s="50"/>
      <c r="M2224" s="50"/>
      <c r="N2224" s="19">
        <f>SUMIF('2020'!B:B,B2224,'2020'!C:C)+SUMIF('2021'!B:B,B2224,'2021'!C:C)+SUMIF('2022'!B:B,B2224,'2022'!C:C)</f>
        <v>639806.05000000005</v>
      </c>
      <c r="O2224" s="219">
        <v>44925</v>
      </c>
      <c r="P2224" s="48" t="s">
        <v>3728</v>
      </c>
    </row>
    <row r="2225" spans="1:16" x14ac:dyDescent="0.3">
      <c r="A2225" s="59">
        <f t="shared" si="174"/>
        <v>2024</v>
      </c>
      <c r="B2225" s="60" t="s">
        <v>2304</v>
      </c>
      <c r="C2225" s="184">
        <v>1969</v>
      </c>
      <c r="D2225" s="51"/>
      <c r="E2225" s="250" t="s">
        <v>3645</v>
      </c>
      <c r="F2225" s="253">
        <v>2</v>
      </c>
      <c r="G2225" s="50"/>
      <c r="H2225" s="251">
        <v>941.8</v>
      </c>
      <c r="I2225" s="250">
        <v>38</v>
      </c>
      <c r="J2225" s="19">
        <f t="shared" si="173"/>
        <v>734368.13</v>
      </c>
      <c r="K2225" s="50"/>
      <c r="L2225" s="50"/>
      <c r="M2225" s="50"/>
      <c r="N2225" s="19">
        <f>SUMIF('2020'!B:B,B2225,'2020'!C:C)+SUMIF('2021'!B:B,B2225,'2021'!C:C)+SUMIF('2022'!B:B,B2225,'2022'!C:C)</f>
        <v>734368.13</v>
      </c>
      <c r="O2225" s="219">
        <v>44925</v>
      </c>
      <c r="P2225" s="48" t="s">
        <v>3728</v>
      </c>
    </row>
    <row r="2226" spans="1:16" x14ac:dyDescent="0.3">
      <c r="A2226" s="59">
        <f t="shared" si="174"/>
        <v>2025</v>
      </c>
      <c r="B2226" s="60" t="s">
        <v>2305</v>
      </c>
      <c r="C2226" s="184">
        <v>1987</v>
      </c>
      <c r="D2226" s="51"/>
      <c r="E2226" s="250" t="s">
        <v>3645</v>
      </c>
      <c r="F2226" s="253">
        <v>2</v>
      </c>
      <c r="G2226" s="50"/>
      <c r="H2226" s="253">
        <v>746.7</v>
      </c>
      <c r="I2226" s="252">
        <v>32</v>
      </c>
      <c r="J2226" s="19">
        <f t="shared" si="173"/>
        <v>11392623</v>
      </c>
      <c r="K2226" s="50"/>
      <c r="L2226" s="50"/>
      <c r="M2226" s="50"/>
      <c r="N2226" s="19">
        <f>SUMIF('2020'!B:B,B2226,'2020'!C:C)+SUMIF('2021'!B:B,B2226,'2021'!C:C)+SUMIF('2022'!B:B,B2226,'2022'!C:C)</f>
        <v>11392623</v>
      </c>
      <c r="O2226" s="219">
        <v>44925</v>
      </c>
      <c r="P2226" s="48" t="s">
        <v>3728</v>
      </c>
    </row>
    <row r="2227" spans="1:16" x14ac:dyDescent="0.3">
      <c r="A2227" s="59">
        <f t="shared" si="174"/>
        <v>2026</v>
      </c>
      <c r="B2227" s="60" t="s">
        <v>2306</v>
      </c>
      <c r="C2227" s="184">
        <v>1984</v>
      </c>
      <c r="D2227" s="51"/>
      <c r="E2227" s="250" t="s">
        <v>3645</v>
      </c>
      <c r="F2227" s="251">
        <v>3</v>
      </c>
      <c r="G2227" s="50"/>
      <c r="H2227" s="253">
        <v>1318</v>
      </c>
      <c r="I2227" s="252">
        <v>63</v>
      </c>
      <c r="J2227" s="19">
        <f t="shared" si="173"/>
        <v>16293042</v>
      </c>
      <c r="K2227" s="50"/>
      <c r="L2227" s="50"/>
      <c r="M2227" s="50"/>
      <c r="N2227" s="19">
        <f>SUMIF('2020'!B:B,B2227,'2020'!C:C)+SUMIF('2021'!B:B,B2227,'2021'!C:C)+SUMIF('2022'!B:B,B2227,'2022'!C:C)</f>
        <v>16293042</v>
      </c>
      <c r="O2227" s="219">
        <v>44925</v>
      </c>
      <c r="P2227" s="48" t="s">
        <v>3728</v>
      </c>
    </row>
    <row r="2228" spans="1:16" x14ac:dyDescent="0.3">
      <c r="A2228" s="220"/>
      <c r="B2228" s="248" t="s">
        <v>211</v>
      </c>
      <c r="C2228" s="50"/>
      <c r="D2228" s="50"/>
      <c r="E2228" s="48"/>
      <c r="F2228" s="48"/>
      <c r="G2228" s="50"/>
      <c r="H2228" s="48">
        <f>SUM(H2185:H2227)</f>
        <v>56693.1</v>
      </c>
      <c r="I2228" s="218">
        <f>SUM(I2185:I2227)</f>
        <v>2346</v>
      </c>
      <c r="J2228" s="19">
        <f t="shared" si="173"/>
        <v>120404278.68000008</v>
      </c>
      <c r="K2228" s="50">
        <v>0</v>
      </c>
      <c r="L2228" s="50">
        <v>0</v>
      </c>
      <c r="M2228" s="50">
        <f>N2228-'2020'!C479-'2021'!C1747-'2022'!C668</f>
        <v>4.0978193283081055E-8</v>
      </c>
      <c r="N2228" s="50">
        <f>SUM(N2185:N2227)</f>
        <v>120404278.68000004</v>
      </c>
      <c r="O2228" s="50"/>
      <c r="P2228" s="50"/>
    </row>
    <row r="2229" spans="1:16" x14ac:dyDescent="0.3">
      <c r="A2229" s="461" t="s">
        <v>2308</v>
      </c>
      <c r="B2229" s="471"/>
      <c r="C2229" s="50"/>
      <c r="D2229" s="51"/>
      <c r="E2229" s="48"/>
      <c r="F2229" s="48"/>
      <c r="G2229" s="50"/>
      <c r="H2229" s="48"/>
      <c r="I2229" s="48"/>
      <c r="J2229" s="19">
        <f t="shared" si="173"/>
        <v>0</v>
      </c>
      <c r="K2229" s="50"/>
      <c r="L2229" s="50"/>
      <c r="M2229" s="50"/>
      <c r="N2229" s="50"/>
      <c r="O2229" s="50"/>
      <c r="P2229" s="50"/>
    </row>
    <row r="2230" spans="1:16" x14ac:dyDescent="0.3">
      <c r="A2230" s="59">
        <f>A2227+1</f>
        <v>2027</v>
      </c>
      <c r="B2230" s="60" t="s">
        <v>2309</v>
      </c>
      <c r="C2230" s="25">
        <v>1958</v>
      </c>
      <c r="D2230" s="51"/>
      <c r="E2230" s="254" t="s">
        <v>3733</v>
      </c>
      <c r="F2230" s="218">
        <v>2</v>
      </c>
      <c r="G2230" s="50"/>
      <c r="H2230" s="48">
        <v>832</v>
      </c>
      <c r="I2230" s="48"/>
      <c r="J2230" s="19">
        <f t="shared" si="173"/>
        <v>393267</v>
      </c>
      <c r="K2230" s="50"/>
      <c r="L2230" s="50"/>
      <c r="M2230" s="50"/>
      <c r="N2230" s="19">
        <f>SUMIF('2020'!B:B,B2230,'2020'!C:C)+SUMIF('2021'!B:B,B2230,'2021'!C:C)+SUMIF('2022'!B:B,B2230,'2022'!C:C)</f>
        <v>393267</v>
      </c>
      <c r="O2230" s="219">
        <v>44925</v>
      </c>
      <c r="P2230" s="48" t="s">
        <v>3728</v>
      </c>
    </row>
    <row r="2231" spans="1:16" x14ac:dyDescent="0.3">
      <c r="A2231" s="59">
        <f>A2230+1</f>
        <v>2028</v>
      </c>
      <c r="B2231" s="60" t="s">
        <v>2310</v>
      </c>
      <c r="C2231" s="25">
        <v>1948</v>
      </c>
      <c r="D2231" s="51"/>
      <c r="E2231" s="254" t="s">
        <v>3733</v>
      </c>
      <c r="F2231" s="218">
        <v>2</v>
      </c>
      <c r="G2231" s="50"/>
      <c r="H2231" s="48">
        <v>1147</v>
      </c>
      <c r="I2231" s="218">
        <v>46</v>
      </c>
      <c r="J2231" s="19">
        <f t="shared" si="173"/>
        <v>130000</v>
      </c>
      <c r="K2231" s="50"/>
      <c r="L2231" s="50"/>
      <c r="M2231" s="50"/>
      <c r="N2231" s="19">
        <f>SUMIF('2020'!B:B,B2231,'2020'!C:C)+SUMIF('2021'!B:B,B2231,'2021'!C:C)+SUMIF('2022'!B:B,B2231,'2022'!C:C)</f>
        <v>130000</v>
      </c>
      <c r="O2231" s="219">
        <v>44925</v>
      </c>
      <c r="P2231" s="48" t="s">
        <v>3728</v>
      </c>
    </row>
    <row r="2232" spans="1:16" x14ac:dyDescent="0.3">
      <c r="A2232" s="59"/>
      <c r="B2232" s="248" t="s">
        <v>211</v>
      </c>
      <c r="C2232" s="50"/>
      <c r="D2232" s="50"/>
      <c r="E2232" s="48"/>
      <c r="F2232" s="48"/>
      <c r="G2232" s="50"/>
      <c r="H2232" s="48">
        <f>SUM(H2230:H2231)</f>
        <v>1979</v>
      </c>
      <c r="I2232" s="218">
        <f>SUM(I2230:I2231)</f>
        <v>46</v>
      </c>
      <c r="J2232" s="19">
        <f t="shared" si="173"/>
        <v>523267</v>
      </c>
      <c r="K2232" s="50">
        <v>0</v>
      </c>
      <c r="L2232" s="50">
        <v>0</v>
      </c>
      <c r="M2232" s="50">
        <f>N2232-'2021'!C1751</f>
        <v>0</v>
      </c>
      <c r="N2232" s="50">
        <f>SUM(N2230:N2231)</f>
        <v>523267</v>
      </c>
      <c r="O2232" s="50"/>
      <c r="P2232" s="50"/>
    </row>
    <row r="2233" spans="1:16" x14ac:dyDescent="0.3">
      <c r="A2233" s="461" t="s">
        <v>2311</v>
      </c>
      <c r="B2233" s="471"/>
      <c r="C2233" s="50"/>
      <c r="D2233" s="51"/>
      <c r="E2233" s="172"/>
      <c r="F2233" s="172"/>
      <c r="G2233" s="67"/>
      <c r="H2233" s="172"/>
      <c r="I2233" s="255"/>
      <c r="J2233" s="19"/>
      <c r="K2233" s="67"/>
      <c r="L2233" s="67"/>
      <c r="M2233" s="67"/>
      <c r="N2233" s="67"/>
      <c r="O2233" s="67"/>
      <c r="P2233" s="67"/>
    </row>
    <row r="2234" spans="1:16" x14ac:dyDescent="0.3">
      <c r="A2234" s="59">
        <f>A2231+1</f>
        <v>2029</v>
      </c>
      <c r="B2234" s="60" t="s">
        <v>2312</v>
      </c>
      <c r="C2234" s="184">
        <v>1960</v>
      </c>
      <c r="D2234" s="51"/>
      <c r="E2234" s="48"/>
      <c r="F2234" s="218">
        <v>4</v>
      </c>
      <c r="G2234" s="50"/>
      <c r="H2234" s="48">
        <v>2026.35</v>
      </c>
      <c r="I2234" s="218">
        <v>84</v>
      </c>
      <c r="J2234" s="19">
        <f t="shared" si="173"/>
        <v>23268306.080000002</v>
      </c>
      <c r="K2234" s="50"/>
      <c r="L2234" s="50"/>
      <c r="M2234" s="50"/>
      <c r="N2234" s="19">
        <f>SUMIF('2020'!B:B,B2234,'2020'!C:C)+SUMIF('2021'!B:B,B2234,'2021'!C:C)+SUMIF('2022'!B:B,B2234,'2022'!C:C)</f>
        <v>23268306.080000002</v>
      </c>
      <c r="O2234" s="219">
        <v>44925</v>
      </c>
      <c r="P2234" s="48" t="s">
        <v>3728</v>
      </c>
    </row>
    <row r="2235" spans="1:16" x14ac:dyDescent="0.3">
      <c r="A2235" s="59">
        <f>A2234+1</f>
        <v>2030</v>
      </c>
      <c r="B2235" s="60" t="s">
        <v>2313</v>
      </c>
      <c r="C2235" s="184">
        <v>1987</v>
      </c>
      <c r="D2235" s="51"/>
      <c r="E2235" s="48"/>
      <c r="F2235" s="218">
        <v>5</v>
      </c>
      <c r="G2235" s="50"/>
      <c r="H2235" s="48">
        <v>6365.97</v>
      </c>
      <c r="I2235" s="218">
        <v>305</v>
      </c>
      <c r="J2235" s="19">
        <f t="shared" si="173"/>
        <v>13063831.879999999</v>
      </c>
      <c r="K2235" s="50"/>
      <c r="L2235" s="50"/>
      <c r="M2235" s="50"/>
      <c r="N2235" s="19">
        <f>SUMIF('2020'!B:B,B2235,'2020'!C:C)+SUMIF('2021'!B:B,B2235,'2021'!C:C)+SUMIF('2022'!B:B,B2235,'2022'!C:C)</f>
        <v>13063831.879999999</v>
      </c>
      <c r="O2235" s="219">
        <v>44925</v>
      </c>
      <c r="P2235" s="48" t="s">
        <v>3728</v>
      </c>
    </row>
    <row r="2236" spans="1:16" x14ac:dyDescent="0.3">
      <c r="A2236" s="220"/>
      <c r="B2236" s="248" t="s">
        <v>211</v>
      </c>
      <c r="C2236" s="50"/>
      <c r="D2236" s="50"/>
      <c r="E2236" s="48"/>
      <c r="F2236" s="48"/>
      <c r="G2236" s="50"/>
      <c r="H2236" s="48">
        <f>SUM(H2234:H2235)</f>
        <v>8392.32</v>
      </c>
      <c r="I2236" s="218">
        <f>SUM(I2234:I2235)</f>
        <v>389</v>
      </c>
      <c r="J2236" s="19">
        <f t="shared" si="173"/>
        <v>36332137.960000001</v>
      </c>
      <c r="K2236" s="50">
        <v>0</v>
      </c>
      <c r="L2236" s="50">
        <v>0</v>
      </c>
      <c r="M2236" s="50">
        <v>0</v>
      </c>
      <c r="N2236" s="50">
        <f>SUM(N2234:N2235)</f>
        <v>36332137.960000001</v>
      </c>
      <c r="O2236" s="50"/>
      <c r="P2236" s="50"/>
    </row>
    <row r="2237" spans="1:16" x14ac:dyDescent="0.3">
      <c r="A2237" s="461" t="s">
        <v>2314</v>
      </c>
      <c r="B2237" s="471"/>
      <c r="C2237" s="50"/>
      <c r="D2237" s="51"/>
      <c r="E2237" s="172"/>
      <c r="F2237" s="172"/>
      <c r="G2237" s="67"/>
      <c r="H2237" s="172"/>
      <c r="I2237" s="172"/>
      <c r="J2237" s="19"/>
      <c r="K2237" s="67"/>
      <c r="L2237" s="67"/>
      <c r="M2237" s="67"/>
      <c r="N2237" s="67"/>
      <c r="O2237" s="67"/>
      <c r="P2237" s="67"/>
    </row>
    <row r="2238" spans="1:16" x14ac:dyDescent="0.3">
      <c r="A2238" s="59">
        <f>A2235+1</f>
        <v>2031</v>
      </c>
      <c r="B2238" s="60" t="s">
        <v>2315</v>
      </c>
      <c r="C2238" s="184">
        <v>1977</v>
      </c>
      <c r="D2238" s="51"/>
      <c r="E2238" s="48"/>
      <c r="F2238" s="218">
        <v>5</v>
      </c>
      <c r="G2238" s="50"/>
      <c r="H2238" s="48">
        <v>3295.5</v>
      </c>
      <c r="I2238" s="218">
        <v>180</v>
      </c>
      <c r="J2238" s="19">
        <f t="shared" si="173"/>
        <v>1849711.27</v>
      </c>
      <c r="K2238" s="50"/>
      <c r="L2238" s="50"/>
      <c r="M2238" s="50"/>
      <c r="N2238" s="19">
        <f>SUMIF('2020'!B:B,B2238,'2020'!C:C)+SUMIF('2021'!B:B,B2238,'2021'!C:C)+SUMIF('2022'!B:B,B2238,'2022'!C:C)</f>
        <v>1849711.27</v>
      </c>
      <c r="O2238" s="219">
        <v>44925</v>
      </c>
      <c r="P2238" s="48" t="s">
        <v>3728</v>
      </c>
    </row>
    <row r="2239" spans="1:16" x14ac:dyDescent="0.3">
      <c r="A2239" s="59">
        <f>A2238+1</f>
        <v>2032</v>
      </c>
      <c r="B2239" s="60" t="s">
        <v>2316</v>
      </c>
      <c r="C2239" s="184">
        <v>1977</v>
      </c>
      <c r="D2239" s="51"/>
      <c r="E2239" s="48"/>
      <c r="F2239" s="218">
        <v>5</v>
      </c>
      <c r="G2239" s="50"/>
      <c r="H2239" s="48">
        <v>3317.1</v>
      </c>
      <c r="I2239" s="218">
        <v>192</v>
      </c>
      <c r="J2239" s="19">
        <f t="shared" si="173"/>
        <v>1840155.3499999999</v>
      </c>
      <c r="K2239" s="50"/>
      <c r="L2239" s="50"/>
      <c r="M2239" s="50"/>
      <c r="N2239" s="19">
        <f>SUMIF('2020'!B:B,B2239,'2020'!C:C)+SUMIF('2021'!B:B,B2239,'2021'!C:C)+SUMIF('2022'!B:B,B2239,'2022'!C:C)</f>
        <v>1840155.3499999999</v>
      </c>
      <c r="O2239" s="219">
        <v>44925</v>
      </c>
      <c r="P2239" s="48" t="s">
        <v>3728</v>
      </c>
    </row>
    <row r="2240" spans="1:16" x14ac:dyDescent="0.3">
      <c r="A2240" s="220"/>
      <c r="B2240" s="248" t="s">
        <v>211</v>
      </c>
      <c r="C2240" s="50"/>
      <c r="D2240" s="50"/>
      <c r="E2240" s="48"/>
      <c r="F2240" s="48"/>
      <c r="G2240" s="50"/>
      <c r="H2240" s="48">
        <f>SUM(H2238:H2239)</f>
        <v>6612.6</v>
      </c>
      <c r="I2240" s="218">
        <f>SUM(I2238:I2239)</f>
        <v>372</v>
      </c>
      <c r="J2240" s="19">
        <f t="shared" si="173"/>
        <v>3689866.62</v>
      </c>
      <c r="K2240" s="50">
        <v>0</v>
      </c>
      <c r="L2240" s="50">
        <v>0</v>
      </c>
      <c r="M2240" s="50">
        <v>0</v>
      </c>
      <c r="N2240" s="50">
        <f>SUM(N2238:N2239)</f>
        <v>3689866.62</v>
      </c>
      <c r="O2240" s="50"/>
      <c r="P2240" s="50"/>
    </row>
    <row r="2241" spans="1:16" x14ac:dyDescent="0.3">
      <c r="A2241" s="461" t="s">
        <v>2317</v>
      </c>
      <c r="B2241" s="471"/>
      <c r="C2241" s="50"/>
      <c r="D2241" s="51"/>
      <c r="E2241" s="172"/>
      <c r="F2241" s="172"/>
      <c r="G2241" s="67"/>
      <c r="H2241" s="172"/>
      <c r="I2241" s="172"/>
      <c r="J2241" s="19"/>
      <c r="K2241" s="67"/>
      <c r="L2241" s="67"/>
      <c r="M2241" s="67"/>
      <c r="N2241" s="67"/>
      <c r="O2241" s="67"/>
      <c r="P2241" s="67"/>
    </row>
    <row r="2242" spans="1:16" x14ac:dyDescent="0.3">
      <c r="A2242" s="59">
        <f>A2239+1</f>
        <v>2033</v>
      </c>
      <c r="B2242" s="60" t="s">
        <v>2318</v>
      </c>
      <c r="C2242" s="184">
        <v>1968</v>
      </c>
      <c r="D2242" s="51"/>
      <c r="E2242" s="48" t="s">
        <v>3733</v>
      </c>
      <c r="F2242" s="218">
        <v>2</v>
      </c>
      <c r="G2242" s="50"/>
      <c r="H2242" s="48">
        <v>531.4</v>
      </c>
      <c r="I2242" s="218">
        <v>33</v>
      </c>
      <c r="J2242" s="19">
        <f t="shared" si="173"/>
        <v>7337794.4000000004</v>
      </c>
      <c r="K2242" s="50"/>
      <c r="L2242" s="50"/>
      <c r="M2242" s="50"/>
      <c r="N2242" s="19">
        <f>SUMIF('2020'!B:B,B2242,'2020'!C:C)+SUMIF('2021'!B:B,B2242,'2021'!C:C)+SUMIF('2022'!B:B,B2242,'2022'!C:C)</f>
        <v>7337794.4000000004</v>
      </c>
      <c r="O2242" s="219">
        <v>44925</v>
      </c>
      <c r="P2242" s="48" t="s">
        <v>3728</v>
      </c>
    </row>
    <row r="2243" spans="1:16" x14ac:dyDescent="0.3">
      <c r="A2243" s="59">
        <f>A2242+1</f>
        <v>2034</v>
      </c>
      <c r="B2243" s="60" t="s">
        <v>2320</v>
      </c>
      <c r="C2243" s="184">
        <v>1971</v>
      </c>
      <c r="D2243" s="51"/>
      <c r="E2243" s="48" t="s">
        <v>3733</v>
      </c>
      <c r="F2243" s="218">
        <v>2</v>
      </c>
      <c r="G2243" s="50"/>
      <c r="H2243" s="48">
        <v>531.1</v>
      </c>
      <c r="I2243" s="218">
        <v>31</v>
      </c>
      <c r="J2243" s="19">
        <f t="shared" si="173"/>
        <v>7337794.4000000004</v>
      </c>
      <c r="K2243" s="50"/>
      <c r="L2243" s="50"/>
      <c r="M2243" s="50"/>
      <c r="N2243" s="19">
        <f>SUMIF('2020'!B:B,B2243,'2020'!C:C)+SUMIF('2021'!B:B,B2243,'2021'!C:C)+SUMIF('2022'!B:B,B2243,'2022'!C:C)</f>
        <v>7337794.4000000004</v>
      </c>
      <c r="O2243" s="219">
        <v>44925</v>
      </c>
      <c r="P2243" s="48" t="s">
        <v>3728</v>
      </c>
    </row>
    <row r="2244" spans="1:16" x14ac:dyDescent="0.3">
      <c r="A2244" s="59">
        <f>A2243+1</f>
        <v>2035</v>
      </c>
      <c r="B2244" s="60" t="s">
        <v>2321</v>
      </c>
      <c r="C2244" s="184">
        <v>1968</v>
      </c>
      <c r="D2244" s="51"/>
      <c r="E2244" s="48" t="s">
        <v>3733</v>
      </c>
      <c r="F2244" s="218">
        <v>2</v>
      </c>
      <c r="G2244" s="50"/>
      <c r="H2244" s="48">
        <v>525.4</v>
      </c>
      <c r="I2244" s="218">
        <v>39</v>
      </c>
      <c r="J2244" s="19">
        <f t="shared" si="173"/>
        <v>7337794.4000000004</v>
      </c>
      <c r="K2244" s="50"/>
      <c r="L2244" s="50"/>
      <c r="M2244" s="50"/>
      <c r="N2244" s="19">
        <f>SUMIF('2020'!B:B,B2244,'2020'!C:C)+SUMIF('2021'!B:B,B2244,'2021'!C:C)+SUMIF('2022'!B:B,B2244,'2022'!C:C)</f>
        <v>7337794.4000000004</v>
      </c>
      <c r="O2244" s="219">
        <v>44925</v>
      </c>
      <c r="P2244" s="48" t="s">
        <v>3728</v>
      </c>
    </row>
    <row r="2245" spans="1:16" x14ac:dyDescent="0.3">
      <c r="A2245" s="59">
        <f>A2244+1</f>
        <v>2036</v>
      </c>
      <c r="B2245" s="60" t="s">
        <v>2322</v>
      </c>
      <c r="C2245" s="184">
        <v>1976</v>
      </c>
      <c r="D2245" s="51"/>
      <c r="E2245" s="48" t="s">
        <v>3733</v>
      </c>
      <c r="F2245" s="218">
        <v>4</v>
      </c>
      <c r="G2245" s="50"/>
      <c r="H2245" s="48">
        <v>3606.9</v>
      </c>
      <c r="I2245" s="218">
        <v>136</v>
      </c>
      <c r="J2245" s="19">
        <f t="shared" si="173"/>
        <v>4326215.55</v>
      </c>
      <c r="K2245" s="50"/>
      <c r="L2245" s="50"/>
      <c r="M2245" s="50"/>
      <c r="N2245" s="19">
        <f>SUMIF('2020'!B:B,B2245,'2020'!C:C)+SUMIF('2021'!B:B,B2245,'2021'!C:C)+SUMIF('2022'!B:B,B2245,'2022'!C:C)</f>
        <v>4326215.55</v>
      </c>
      <c r="O2245" s="219">
        <v>44925</v>
      </c>
      <c r="P2245" s="48" t="s">
        <v>3728</v>
      </c>
    </row>
    <row r="2246" spans="1:16" x14ac:dyDescent="0.3">
      <c r="A2246" s="59">
        <f>A2245+1</f>
        <v>2037</v>
      </c>
      <c r="B2246" s="60" t="s">
        <v>2323</v>
      </c>
      <c r="C2246" s="184">
        <v>1976</v>
      </c>
      <c r="D2246" s="51"/>
      <c r="E2246" s="48" t="s">
        <v>3733</v>
      </c>
      <c r="F2246" s="218">
        <v>4</v>
      </c>
      <c r="G2246" s="50"/>
      <c r="H2246" s="48">
        <v>3463.8</v>
      </c>
      <c r="I2246" s="218">
        <v>172</v>
      </c>
      <c r="J2246" s="19">
        <f t="shared" si="173"/>
        <v>4326215.55</v>
      </c>
      <c r="K2246" s="50"/>
      <c r="L2246" s="50"/>
      <c r="M2246" s="50">
        <v>0</v>
      </c>
      <c r="N2246" s="19">
        <f>SUMIF('2020'!B:B,B2246,'2020'!C:C)+SUMIF('2021'!B:B,B2246,'2021'!C:C)+SUMIF('2022'!B:B,B2246,'2022'!C:C)</f>
        <v>4326215.55</v>
      </c>
      <c r="O2246" s="219">
        <v>44925</v>
      </c>
      <c r="P2246" s="48" t="s">
        <v>3728</v>
      </c>
    </row>
    <row r="2247" spans="1:16" x14ac:dyDescent="0.3">
      <c r="A2247" s="220"/>
      <c r="B2247" s="248" t="s">
        <v>211</v>
      </c>
      <c r="C2247" s="50"/>
      <c r="D2247" s="50"/>
      <c r="E2247" s="48"/>
      <c r="F2247" s="48"/>
      <c r="G2247" s="50"/>
      <c r="H2247" s="48">
        <f>SUM(H2242:H2246)</f>
        <v>8658.6</v>
      </c>
      <c r="I2247" s="218">
        <f>SUM(I2242:I2246)</f>
        <v>411</v>
      </c>
      <c r="J2247" s="19">
        <f t="shared" si="173"/>
        <v>30665814.300000008</v>
      </c>
      <c r="K2247" s="50">
        <v>0</v>
      </c>
      <c r="L2247" s="50">
        <v>0</v>
      </c>
      <c r="M2247" s="50">
        <f>N2247-'2020'!C490-'2021'!C1756-'2022'!C685</f>
        <v>3.6088749766349792E-9</v>
      </c>
      <c r="N2247" s="50">
        <f>SUM(N2242:N2246)</f>
        <v>30665814.300000004</v>
      </c>
      <c r="O2247" s="50"/>
      <c r="P2247" s="50"/>
    </row>
    <row r="2248" spans="1:16" x14ac:dyDescent="0.3">
      <c r="A2248" s="461" t="s">
        <v>2324</v>
      </c>
      <c r="B2248" s="471"/>
      <c r="C2248" s="50"/>
      <c r="D2248" s="51"/>
      <c r="E2248" s="172"/>
      <c r="F2248" s="172"/>
      <c r="G2248" s="67"/>
      <c r="H2248" s="172"/>
      <c r="I2248" s="172"/>
      <c r="J2248" s="19"/>
      <c r="K2248" s="67"/>
      <c r="L2248" s="67"/>
      <c r="M2248" s="67"/>
      <c r="N2248" s="67"/>
      <c r="O2248" s="67"/>
      <c r="P2248" s="67"/>
    </row>
    <row r="2249" spans="1:16" x14ac:dyDescent="0.3">
      <c r="A2249" s="59">
        <f>A2246+1</f>
        <v>2038</v>
      </c>
      <c r="B2249" s="60" t="s">
        <v>2325</v>
      </c>
      <c r="C2249" s="184">
        <v>1950</v>
      </c>
      <c r="D2249" s="51"/>
      <c r="E2249" s="48" t="s">
        <v>3731</v>
      </c>
      <c r="F2249" s="218">
        <v>2</v>
      </c>
      <c r="G2249" s="50"/>
      <c r="H2249" s="48">
        <v>683.5</v>
      </c>
      <c r="I2249" s="218">
        <v>34</v>
      </c>
      <c r="J2249" s="19">
        <f t="shared" ref="J2249:J2312" si="175">K2249+L2249+M2249+N2249</f>
        <v>130000</v>
      </c>
      <c r="K2249" s="50"/>
      <c r="L2249" s="50"/>
      <c r="M2249" s="50"/>
      <c r="N2249" s="19">
        <f>SUMIF('2020'!B:B,B2249,'2020'!C:C)+SUMIF('2021'!B:B,B2249,'2021'!C:C)+SUMIF('2022'!B:B,B2249,'2022'!C:C)</f>
        <v>130000</v>
      </c>
      <c r="O2249" s="219">
        <v>44925</v>
      </c>
      <c r="P2249" s="48" t="s">
        <v>3728</v>
      </c>
    </row>
    <row r="2250" spans="1:16" x14ac:dyDescent="0.3">
      <c r="A2250" s="59">
        <f>A2249+1</f>
        <v>2039</v>
      </c>
      <c r="B2250" s="60" t="s">
        <v>2326</v>
      </c>
      <c r="C2250" s="184">
        <v>1950</v>
      </c>
      <c r="D2250" s="51"/>
      <c r="E2250" s="48" t="s">
        <v>3731</v>
      </c>
      <c r="F2250" s="218">
        <v>2</v>
      </c>
      <c r="G2250" s="50"/>
      <c r="H2250" s="48">
        <v>695.3</v>
      </c>
      <c r="I2250" s="218">
        <v>38</v>
      </c>
      <c r="J2250" s="19">
        <f t="shared" si="175"/>
        <v>280506.64</v>
      </c>
      <c r="K2250" s="50"/>
      <c r="L2250" s="50"/>
      <c r="M2250" s="50"/>
      <c r="N2250" s="19">
        <f>SUMIF('2020'!B:B,B2250,'2020'!C:C)+SUMIF('2021'!B:B,B2250,'2021'!C:C)+SUMIF('2022'!B:B,B2250,'2022'!C:C)</f>
        <v>280506.64</v>
      </c>
      <c r="O2250" s="219">
        <v>44925</v>
      </c>
      <c r="P2250" s="48" t="s">
        <v>3728</v>
      </c>
    </row>
    <row r="2251" spans="1:16" x14ac:dyDescent="0.3">
      <c r="A2251" s="59">
        <f>A2250+1</f>
        <v>2040</v>
      </c>
      <c r="B2251" s="60" t="s">
        <v>2327</v>
      </c>
      <c r="C2251" s="184">
        <v>1950</v>
      </c>
      <c r="D2251" s="51"/>
      <c r="E2251" s="48" t="s">
        <v>3731</v>
      </c>
      <c r="F2251" s="218">
        <v>2</v>
      </c>
      <c r="G2251" s="50"/>
      <c r="H2251" s="48">
        <v>703.9</v>
      </c>
      <c r="I2251" s="218">
        <v>36</v>
      </c>
      <c r="J2251" s="19">
        <f t="shared" si="175"/>
        <v>130000</v>
      </c>
      <c r="K2251" s="50"/>
      <c r="L2251" s="50"/>
      <c r="M2251" s="50"/>
      <c r="N2251" s="19">
        <f>SUMIF('2020'!B:B,B2251,'2020'!C:C)+SUMIF('2021'!B:B,B2251,'2021'!C:C)+SUMIF('2022'!B:B,B2251,'2022'!C:C)</f>
        <v>130000</v>
      </c>
      <c r="O2251" s="219">
        <v>44925</v>
      </c>
      <c r="P2251" s="48" t="s">
        <v>3728</v>
      </c>
    </row>
    <row r="2252" spans="1:16" x14ac:dyDescent="0.3">
      <c r="A2252" s="59">
        <f>A2251+1</f>
        <v>2041</v>
      </c>
      <c r="B2252" s="60" t="s">
        <v>2328</v>
      </c>
      <c r="C2252" s="184">
        <v>1989</v>
      </c>
      <c r="D2252" s="51"/>
      <c r="E2252" s="48" t="s">
        <v>3729</v>
      </c>
      <c r="F2252" s="218">
        <v>5</v>
      </c>
      <c r="G2252" s="50"/>
      <c r="H2252" s="48">
        <v>6297.9</v>
      </c>
      <c r="I2252" s="218">
        <v>271</v>
      </c>
      <c r="J2252" s="19">
        <f t="shared" si="175"/>
        <v>130000</v>
      </c>
      <c r="K2252" s="50"/>
      <c r="L2252" s="50"/>
      <c r="M2252" s="50"/>
      <c r="N2252" s="19">
        <f>SUMIF('2020'!B:B,B2252,'2020'!C:C)+SUMIF('2021'!B:B,B2252,'2021'!C:C)+SUMIF('2022'!B:B,B2252,'2022'!C:C)</f>
        <v>130000</v>
      </c>
      <c r="O2252" s="219">
        <v>44925</v>
      </c>
      <c r="P2252" s="48" t="s">
        <v>3728</v>
      </c>
    </row>
    <row r="2253" spans="1:16" x14ac:dyDescent="0.3">
      <c r="A2253" s="59">
        <f>A2252+1</f>
        <v>2042</v>
      </c>
      <c r="B2253" s="60" t="s">
        <v>2329</v>
      </c>
      <c r="C2253" s="184">
        <v>1988</v>
      </c>
      <c r="D2253" s="51"/>
      <c r="E2253" s="48" t="s">
        <v>3729</v>
      </c>
      <c r="F2253" s="218">
        <v>5</v>
      </c>
      <c r="G2253" s="50"/>
      <c r="H2253" s="48">
        <v>7299.8</v>
      </c>
      <c r="I2253" s="218">
        <v>342</v>
      </c>
      <c r="J2253" s="19">
        <f t="shared" si="175"/>
        <v>130000</v>
      </c>
      <c r="K2253" s="50"/>
      <c r="L2253" s="50"/>
      <c r="M2253" s="50"/>
      <c r="N2253" s="19">
        <f>SUMIF('2020'!B:B,B2253,'2020'!C:C)+SUMIF('2021'!B:B,B2253,'2021'!C:C)+SUMIF('2022'!B:B,B2253,'2022'!C:C)</f>
        <v>130000</v>
      </c>
      <c r="O2253" s="219">
        <v>44925</v>
      </c>
      <c r="P2253" s="48" t="s">
        <v>3728</v>
      </c>
    </row>
    <row r="2254" spans="1:16" x14ac:dyDescent="0.3">
      <c r="A2254" s="59">
        <f t="shared" ref="A2254:A2258" si="176">A2253+1</f>
        <v>2043</v>
      </c>
      <c r="B2254" s="60" t="s">
        <v>2330</v>
      </c>
      <c r="C2254" s="184">
        <v>1988</v>
      </c>
      <c r="D2254" s="51"/>
      <c r="E2254" s="48" t="s">
        <v>3733</v>
      </c>
      <c r="F2254" s="218">
        <v>2</v>
      </c>
      <c r="G2254" s="50"/>
      <c r="H2254" s="48">
        <v>996.3</v>
      </c>
      <c r="I2254" s="218">
        <v>47</v>
      </c>
      <c r="J2254" s="19">
        <f t="shared" si="175"/>
        <v>130000</v>
      </c>
      <c r="K2254" s="50"/>
      <c r="L2254" s="50"/>
      <c r="M2254" s="50"/>
      <c r="N2254" s="19">
        <f>SUMIF('2020'!B:B,B2254,'2020'!C:C)+SUMIF('2021'!B:B,B2254,'2021'!C:C)+SUMIF('2022'!B:B,B2254,'2022'!C:C)</f>
        <v>130000</v>
      </c>
      <c r="O2254" s="219">
        <v>44925</v>
      </c>
      <c r="P2254" s="48" t="s">
        <v>3728</v>
      </c>
    </row>
    <row r="2255" spans="1:16" x14ac:dyDescent="0.3">
      <c r="A2255" s="59">
        <f t="shared" si="176"/>
        <v>2044</v>
      </c>
      <c r="B2255" s="60" t="s">
        <v>2331</v>
      </c>
      <c r="C2255" s="184">
        <v>1950</v>
      </c>
      <c r="D2255" s="51"/>
      <c r="E2255" s="48" t="s">
        <v>4090</v>
      </c>
      <c r="F2255" s="218">
        <v>2</v>
      </c>
      <c r="G2255" s="50"/>
      <c r="H2255" s="48">
        <v>637.4</v>
      </c>
      <c r="I2255" s="218">
        <v>34</v>
      </c>
      <c r="J2255" s="19">
        <f t="shared" si="175"/>
        <v>130000</v>
      </c>
      <c r="K2255" s="50"/>
      <c r="L2255" s="50"/>
      <c r="M2255" s="50"/>
      <c r="N2255" s="19">
        <f>SUMIF('2020'!B:B,B2255,'2020'!C:C)+SUMIF('2021'!B:B,B2255,'2021'!C:C)+SUMIF('2022'!B:B,B2255,'2022'!C:C)</f>
        <v>130000</v>
      </c>
      <c r="O2255" s="219">
        <v>44925</v>
      </c>
      <c r="P2255" s="48" t="s">
        <v>3728</v>
      </c>
    </row>
    <row r="2256" spans="1:16" x14ac:dyDescent="0.3">
      <c r="A2256" s="59">
        <f t="shared" si="176"/>
        <v>2045</v>
      </c>
      <c r="B2256" s="60" t="s">
        <v>2332</v>
      </c>
      <c r="C2256" s="184">
        <v>1950</v>
      </c>
      <c r="D2256" s="51"/>
      <c r="E2256" s="48" t="s">
        <v>4090</v>
      </c>
      <c r="F2256" s="218">
        <v>2</v>
      </c>
      <c r="G2256" s="50"/>
      <c r="H2256" s="48">
        <v>529.29999999999995</v>
      </c>
      <c r="I2256" s="218">
        <v>40</v>
      </c>
      <c r="J2256" s="19">
        <f t="shared" si="175"/>
        <v>130000</v>
      </c>
      <c r="K2256" s="50"/>
      <c r="L2256" s="50"/>
      <c r="M2256" s="50"/>
      <c r="N2256" s="19">
        <f>SUMIF('2020'!B:B,B2256,'2020'!C:C)+SUMIF('2021'!B:B,B2256,'2021'!C:C)+SUMIF('2022'!B:B,B2256,'2022'!C:C)</f>
        <v>130000</v>
      </c>
      <c r="O2256" s="219">
        <v>44925</v>
      </c>
      <c r="P2256" s="48" t="s">
        <v>3728</v>
      </c>
    </row>
    <row r="2257" spans="1:16" x14ac:dyDescent="0.3">
      <c r="A2257" s="59">
        <f t="shared" si="176"/>
        <v>2046</v>
      </c>
      <c r="B2257" s="60" t="s">
        <v>2333</v>
      </c>
      <c r="C2257" s="184">
        <v>1978</v>
      </c>
      <c r="D2257" s="51"/>
      <c r="E2257" s="48" t="s">
        <v>3733</v>
      </c>
      <c r="F2257" s="218">
        <v>2</v>
      </c>
      <c r="G2257" s="50"/>
      <c r="H2257" s="48">
        <v>827</v>
      </c>
      <c r="I2257" s="218">
        <v>45</v>
      </c>
      <c r="J2257" s="19">
        <f t="shared" si="175"/>
        <v>130000</v>
      </c>
      <c r="K2257" s="50"/>
      <c r="L2257" s="50"/>
      <c r="M2257" s="50"/>
      <c r="N2257" s="19">
        <f>SUMIF('2020'!B:B,B2257,'2020'!C:C)+SUMIF('2021'!B:B,B2257,'2021'!C:C)+SUMIF('2022'!B:B,B2257,'2022'!C:C)</f>
        <v>130000</v>
      </c>
      <c r="O2257" s="219">
        <v>44925</v>
      </c>
      <c r="P2257" s="48" t="s">
        <v>3728</v>
      </c>
    </row>
    <row r="2258" spans="1:16" x14ac:dyDescent="0.3">
      <c r="A2258" s="59">
        <f t="shared" si="176"/>
        <v>2047</v>
      </c>
      <c r="B2258" s="60" t="s">
        <v>2334</v>
      </c>
      <c r="C2258" s="184">
        <v>1950</v>
      </c>
      <c r="D2258" s="51"/>
      <c r="E2258" s="48" t="s">
        <v>4090</v>
      </c>
      <c r="F2258" s="218">
        <v>2</v>
      </c>
      <c r="G2258" s="50"/>
      <c r="H2258" s="48">
        <v>654.4</v>
      </c>
      <c r="I2258" s="218">
        <v>34</v>
      </c>
      <c r="J2258" s="19">
        <f t="shared" si="175"/>
        <v>130000</v>
      </c>
      <c r="K2258" s="50"/>
      <c r="L2258" s="50"/>
      <c r="M2258" s="50"/>
      <c r="N2258" s="19">
        <f>SUMIF('2020'!B:B,B2258,'2020'!C:C)+SUMIF('2021'!B:B,B2258,'2021'!C:C)+SUMIF('2022'!B:B,B2258,'2022'!C:C)</f>
        <v>130000</v>
      </c>
      <c r="O2258" s="219">
        <v>44925</v>
      </c>
      <c r="P2258" s="48" t="s">
        <v>3728</v>
      </c>
    </row>
    <row r="2259" spans="1:16" x14ac:dyDescent="0.3">
      <c r="A2259" s="220"/>
      <c r="B2259" s="248" t="s">
        <v>211</v>
      </c>
      <c r="C2259" s="50"/>
      <c r="D2259" s="50"/>
      <c r="E2259" s="48"/>
      <c r="F2259" s="48"/>
      <c r="G2259" s="50"/>
      <c r="H2259" s="48">
        <f>SUM(H2249:H2258)</f>
        <v>19324.8</v>
      </c>
      <c r="I2259" s="218">
        <f>SUM(I2249:I2258)</f>
        <v>921</v>
      </c>
      <c r="J2259" s="19">
        <f t="shared" si="175"/>
        <v>1450506.6400000001</v>
      </c>
      <c r="K2259" s="50">
        <v>0</v>
      </c>
      <c r="L2259" s="50">
        <v>0</v>
      </c>
      <c r="M2259" s="50">
        <f>N2259-'2020'!C493-'2021'!C1768</f>
        <v>0</v>
      </c>
      <c r="N2259" s="50">
        <f>SUM(N2249:N2258)</f>
        <v>1450506.6400000001</v>
      </c>
      <c r="O2259" s="50"/>
      <c r="P2259" s="50"/>
    </row>
    <row r="2260" spans="1:16" x14ac:dyDescent="0.3">
      <c r="A2260" s="461" t="s">
        <v>2335</v>
      </c>
      <c r="B2260" s="471"/>
      <c r="C2260" s="50"/>
      <c r="D2260" s="51"/>
      <c r="E2260" s="172"/>
      <c r="F2260" s="172"/>
      <c r="G2260" s="67"/>
      <c r="H2260" s="172"/>
      <c r="I2260" s="172"/>
      <c r="J2260" s="19"/>
      <c r="K2260" s="67"/>
      <c r="L2260" s="67"/>
      <c r="M2260" s="67"/>
      <c r="N2260" s="67"/>
      <c r="O2260" s="67"/>
      <c r="P2260" s="67"/>
    </row>
    <row r="2261" spans="1:16" x14ac:dyDescent="0.3">
      <c r="A2261" s="59">
        <f>A2258+1</f>
        <v>2048</v>
      </c>
      <c r="B2261" s="60" t="s">
        <v>2336</v>
      </c>
      <c r="C2261" s="184">
        <v>1973</v>
      </c>
      <c r="D2261" s="51"/>
      <c r="E2261" s="48" t="s">
        <v>3733</v>
      </c>
      <c r="F2261" s="218">
        <v>2</v>
      </c>
      <c r="G2261" s="50"/>
      <c r="H2261" s="48">
        <v>569.33000000000004</v>
      </c>
      <c r="I2261" s="218">
        <v>24</v>
      </c>
      <c r="J2261" s="19">
        <f t="shared" si="175"/>
        <v>4061299.8</v>
      </c>
      <c r="K2261" s="50"/>
      <c r="L2261" s="50"/>
      <c r="M2261" s="50"/>
      <c r="N2261" s="19">
        <f>SUMIF('2020'!B:B,B2261,'2020'!C:C)+SUMIF('2021'!B:B,B2261,'2021'!C:C)+SUMIF('2022'!B:B,B2261,'2022'!C:C)</f>
        <v>4061299.8</v>
      </c>
      <c r="O2261" s="219">
        <v>44925</v>
      </c>
      <c r="P2261" s="48" t="s">
        <v>3728</v>
      </c>
    </row>
    <row r="2262" spans="1:16" x14ac:dyDescent="0.3">
      <c r="A2262" s="59">
        <f>A2261+1</f>
        <v>2049</v>
      </c>
      <c r="B2262" s="60" t="s">
        <v>2338</v>
      </c>
      <c r="C2262" s="184">
        <v>1973</v>
      </c>
      <c r="D2262" s="51"/>
      <c r="E2262" s="48" t="s">
        <v>3733</v>
      </c>
      <c r="F2262" s="218">
        <v>2</v>
      </c>
      <c r="G2262" s="50"/>
      <c r="H2262" s="48">
        <v>504.5</v>
      </c>
      <c r="I2262" s="218">
        <v>29</v>
      </c>
      <c r="J2262" s="19">
        <f t="shared" si="175"/>
        <v>920507.38</v>
      </c>
      <c r="K2262" s="50"/>
      <c r="L2262" s="50"/>
      <c r="M2262" s="50"/>
      <c r="N2262" s="19">
        <f>SUMIF('2020'!B:B,B2262,'2020'!C:C)+SUMIF('2021'!B:B,B2262,'2021'!C:C)+SUMIF('2022'!B:B,B2262,'2022'!C:C)</f>
        <v>920507.38</v>
      </c>
      <c r="O2262" s="219">
        <v>44925</v>
      </c>
      <c r="P2262" s="48" t="s">
        <v>3728</v>
      </c>
    </row>
    <row r="2263" spans="1:16" x14ac:dyDescent="0.3">
      <c r="A2263" s="59">
        <f>A2262+1</f>
        <v>2050</v>
      </c>
      <c r="B2263" s="60" t="s">
        <v>2339</v>
      </c>
      <c r="C2263" s="184">
        <v>1959</v>
      </c>
      <c r="D2263" s="51"/>
      <c r="E2263" s="48" t="s">
        <v>4090</v>
      </c>
      <c r="F2263" s="218">
        <v>2</v>
      </c>
      <c r="G2263" s="50"/>
      <c r="H2263" s="48">
        <v>226.4</v>
      </c>
      <c r="I2263" s="218">
        <v>4</v>
      </c>
      <c r="J2263" s="19">
        <f t="shared" si="175"/>
        <v>708492.64</v>
      </c>
      <c r="K2263" s="50"/>
      <c r="L2263" s="50"/>
      <c r="M2263" s="50"/>
      <c r="N2263" s="19">
        <f>SUMIF('2020'!B:B,B2263,'2020'!C:C)+SUMIF('2021'!B:B,B2263,'2021'!C:C)+SUMIF('2022'!B:B,B2263,'2022'!C:C)</f>
        <v>708492.64</v>
      </c>
      <c r="O2263" s="219">
        <v>44925</v>
      </c>
      <c r="P2263" s="48" t="s">
        <v>3728</v>
      </c>
    </row>
    <row r="2264" spans="1:16" x14ac:dyDescent="0.3">
      <c r="A2264" s="59">
        <f>A2263+1</f>
        <v>2051</v>
      </c>
      <c r="B2264" s="60" t="s">
        <v>2340</v>
      </c>
      <c r="C2264" s="184">
        <v>1970</v>
      </c>
      <c r="D2264" s="51"/>
      <c r="E2264" s="48" t="s">
        <v>3733</v>
      </c>
      <c r="F2264" s="218">
        <v>2</v>
      </c>
      <c r="G2264" s="50"/>
      <c r="H2264" s="48">
        <v>563.1</v>
      </c>
      <c r="I2264" s="218">
        <v>25</v>
      </c>
      <c r="J2264" s="19">
        <f t="shared" si="175"/>
        <v>3926704.88</v>
      </c>
      <c r="K2264" s="50"/>
      <c r="L2264" s="50"/>
      <c r="M2264" s="50"/>
      <c r="N2264" s="19">
        <f>SUMIF('2020'!B:B,B2264,'2020'!C:C)+SUMIF('2021'!B:B,B2264,'2021'!C:C)+SUMIF('2022'!B:B,B2264,'2022'!C:C)</f>
        <v>3926704.88</v>
      </c>
      <c r="O2264" s="219">
        <v>44925</v>
      </c>
      <c r="P2264" s="48" t="s">
        <v>3728</v>
      </c>
    </row>
    <row r="2265" spans="1:16" x14ac:dyDescent="0.3">
      <c r="A2265" s="59">
        <f>A2264+1</f>
        <v>2052</v>
      </c>
      <c r="B2265" s="60" t="s">
        <v>2341</v>
      </c>
      <c r="C2265" s="184">
        <v>1961</v>
      </c>
      <c r="D2265" s="51"/>
      <c r="E2265" s="48" t="s">
        <v>3733</v>
      </c>
      <c r="F2265" s="218">
        <v>2</v>
      </c>
      <c r="G2265" s="50"/>
      <c r="H2265" s="48">
        <v>507.4</v>
      </c>
      <c r="I2265" s="218">
        <v>24</v>
      </c>
      <c r="J2265" s="19">
        <f t="shared" si="175"/>
        <v>834637.6</v>
      </c>
      <c r="K2265" s="50"/>
      <c r="L2265" s="50"/>
      <c r="M2265" s="50"/>
      <c r="N2265" s="19">
        <f>SUMIF('2020'!B:B,B2265,'2020'!C:C)+SUMIF('2021'!B:B,B2265,'2021'!C:C)+SUMIF('2022'!B:B,B2265,'2022'!C:C)</f>
        <v>834637.6</v>
      </c>
      <c r="O2265" s="219">
        <v>44925</v>
      </c>
      <c r="P2265" s="48" t="s">
        <v>3728</v>
      </c>
    </row>
    <row r="2266" spans="1:16" x14ac:dyDescent="0.3">
      <c r="A2266" s="59">
        <f>A2265+1</f>
        <v>2053</v>
      </c>
      <c r="B2266" s="60" t="s">
        <v>2342</v>
      </c>
      <c r="C2266" s="184">
        <v>1964</v>
      </c>
      <c r="D2266" s="51"/>
      <c r="E2266" s="48" t="s">
        <v>3733</v>
      </c>
      <c r="F2266" s="218">
        <v>2</v>
      </c>
      <c r="G2266" s="50"/>
      <c r="H2266" s="48">
        <v>1026</v>
      </c>
      <c r="I2266" s="218">
        <v>28</v>
      </c>
      <c r="J2266" s="19">
        <f t="shared" si="175"/>
        <v>130000</v>
      </c>
      <c r="K2266" s="50"/>
      <c r="L2266" s="50"/>
      <c r="M2266" s="50"/>
      <c r="N2266" s="19">
        <f>SUMIF('2020'!B:B,B2266,'2020'!C:C)+SUMIF('2021'!B:B,B2266,'2021'!C:C)+SUMIF('2022'!B:B,B2266,'2022'!C:C)</f>
        <v>130000</v>
      </c>
      <c r="O2266" s="219">
        <v>44925</v>
      </c>
      <c r="P2266" s="48" t="s">
        <v>3728</v>
      </c>
    </row>
    <row r="2267" spans="1:16" x14ac:dyDescent="0.3">
      <c r="A2267" s="220"/>
      <c r="B2267" s="248" t="s">
        <v>211</v>
      </c>
      <c r="C2267" s="50"/>
      <c r="D2267" s="50"/>
      <c r="E2267" s="48"/>
      <c r="F2267" s="48"/>
      <c r="G2267" s="50"/>
      <c r="H2267" s="48">
        <f>SUM(H2261:H2266)</f>
        <v>3396.73</v>
      </c>
      <c r="I2267" s="218">
        <f>SUM(I2261:I2266)</f>
        <v>134</v>
      </c>
      <c r="J2267" s="19">
        <f t="shared" si="175"/>
        <v>10581642.299999999</v>
      </c>
      <c r="K2267" s="50">
        <v>0</v>
      </c>
      <c r="L2267" s="50">
        <v>0</v>
      </c>
      <c r="M2267" s="50">
        <f>N2267-'2020'!C498-'2021'!C1773-'2022'!C701</f>
        <v>0</v>
      </c>
      <c r="N2267" s="50">
        <f>SUM(N2261:N2266)</f>
        <v>10581642.299999999</v>
      </c>
      <c r="O2267" s="50"/>
      <c r="P2267" s="50"/>
    </row>
    <row r="2268" spans="1:16" x14ac:dyDescent="0.3">
      <c r="A2268" s="461" t="s">
        <v>2343</v>
      </c>
      <c r="B2268" s="471"/>
      <c r="C2268" s="50"/>
      <c r="D2268" s="51"/>
      <c r="E2268" s="172"/>
      <c r="F2268" s="172"/>
      <c r="G2268" s="67"/>
      <c r="H2268" s="172"/>
      <c r="I2268" s="172"/>
      <c r="J2268" s="19"/>
      <c r="K2268" s="67"/>
      <c r="L2268" s="67"/>
      <c r="M2268" s="67"/>
      <c r="N2268" s="67"/>
      <c r="O2268" s="67"/>
      <c r="P2268" s="67"/>
    </row>
    <row r="2269" spans="1:16" x14ac:dyDescent="0.3">
      <c r="A2269" s="59">
        <f>A2266+1</f>
        <v>2054</v>
      </c>
      <c r="B2269" s="60" t="s">
        <v>2344</v>
      </c>
      <c r="C2269" s="184">
        <v>1955</v>
      </c>
      <c r="D2269" s="51"/>
      <c r="E2269" s="256" t="s">
        <v>3733</v>
      </c>
      <c r="F2269" s="256">
        <v>2</v>
      </c>
      <c r="G2269" s="50"/>
      <c r="H2269" s="257">
        <v>910.2</v>
      </c>
      <c r="I2269" s="257">
        <v>33</v>
      </c>
      <c r="J2269" s="19">
        <f t="shared" si="175"/>
        <v>622479.54</v>
      </c>
      <c r="K2269" s="228"/>
      <c r="L2269" s="228"/>
      <c r="M2269" s="50"/>
      <c r="N2269" s="19">
        <f>SUMIF('2020'!B:B,B2269,'2020'!C:C)+SUMIF('2021'!B:B,B2269,'2021'!C:C)+SUMIF('2022'!B:B,B2269,'2022'!C:C)</f>
        <v>622479.54</v>
      </c>
      <c r="O2269" s="219">
        <v>44925</v>
      </c>
      <c r="P2269" s="48" t="s">
        <v>3728</v>
      </c>
    </row>
    <row r="2270" spans="1:16" x14ac:dyDescent="0.3">
      <c r="A2270" s="59">
        <f>A2269+1</f>
        <v>2055</v>
      </c>
      <c r="B2270" s="60" t="s">
        <v>2345</v>
      </c>
      <c r="C2270" s="184">
        <v>1950</v>
      </c>
      <c r="D2270" s="51"/>
      <c r="E2270" s="256" t="s">
        <v>3730</v>
      </c>
      <c r="F2270" s="256">
        <v>2</v>
      </c>
      <c r="G2270" s="50"/>
      <c r="H2270" s="257">
        <v>425.08</v>
      </c>
      <c r="I2270" s="257">
        <v>22</v>
      </c>
      <c r="J2270" s="19">
        <f t="shared" si="175"/>
        <v>1540678.41</v>
      </c>
      <c r="K2270" s="50"/>
      <c r="L2270" s="50"/>
      <c r="M2270" s="50"/>
      <c r="N2270" s="19">
        <f>SUMIF('2020'!B:B,B2270,'2020'!C:C)+SUMIF('2021'!B:B,B2270,'2021'!C:C)+SUMIF('2022'!B:B,B2270,'2022'!C:C)</f>
        <v>1540678.41</v>
      </c>
      <c r="O2270" s="219">
        <v>44925</v>
      </c>
      <c r="P2270" s="48" t="s">
        <v>3728</v>
      </c>
    </row>
    <row r="2271" spans="1:16" x14ac:dyDescent="0.3">
      <c r="A2271" s="59">
        <f t="shared" ref="A2271:A2318" si="177">A2270+1</f>
        <v>2056</v>
      </c>
      <c r="B2271" s="60" t="s">
        <v>2346</v>
      </c>
      <c r="C2271" s="184">
        <v>1962</v>
      </c>
      <c r="D2271" s="51"/>
      <c r="E2271" s="256" t="s">
        <v>3733</v>
      </c>
      <c r="F2271" s="256">
        <v>2</v>
      </c>
      <c r="G2271" s="50"/>
      <c r="H2271" s="257">
        <v>270.8</v>
      </c>
      <c r="I2271" s="257">
        <v>18</v>
      </c>
      <c r="J2271" s="19">
        <f t="shared" si="175"/>
        <v>286205.52999999997</v>
      </c>
      <c r="K2271" s="228"/>
      <c r="L2271" s="228"/>
      <c r="M2271" s="50"/>
      <c r="N2271" s="19">
        <f>SUMIF('2020'!B:B,B2271,'2020'!C:C)+SUMIF('2021'!B:B,B2271,'2021'!C:C)+SUMIF('2022'!B:B,B2271,'2022'!C:C)</f>
        <v>286205.52999999997</v>
      </c>
      <c r="O2271" s="219">
        <v>44925</v>
      </c>
      <c r="P2271" s="48" t="s">
        <v>3728</v>
      </c>
    </row>
    <row r="2272" spans="1:16" x14ac:dyDescent="0.3">
      <c r="A2272" s="59">
        <f t="shared" si="177"/>
        <v>2057</v>
      </c>
      <c r="B2272" s="60" t="s">
        <v>2347</v>
      </c>
      <c r="C2272" s="184">
        <v>1960</v>
      </c>
      <c r="D2272" s="51"/>
      <c r="E2272" s="256" t="s">
        <v>3733</v>
      </c>
      <c r="F2272" s="59">
        <v>2</v>
      </c>
      <c r="G2272" s="50"/>
      <c r="H2272" s="257">
        <v>314.5</v>
      </c>
      <c r="I2272" s="257">
        <v>9</v>
      </c>
      <c r="J2272" s="19">
        <f t="shared" si="175"/>
        <v>705189.42999999993</v>
      </c>
      <c r="K2272" s="50"/>
      <c r="L2272" s="50"/>
      <c r="M2272" s="50"/>
      <c r="N2272" s="19">
        <f>SUMIF('2020'!B:B,B2272,'2020'!C:C)+SUMIF('2021'!B:B,B2272,'2021'!C:C)+SUMIF('2022'!B:B,B2272,'2022'!C:C)</f>
        <v>705189.42999999993</v>
      </c>
      <c r="O2272" s="219">
        <v>44925</v>
      </c>
      <c r="P2272" s="48" t="s">
        <v>3728</v>
      </c>
    </row>
    <row r="2273" spans="1:16" x14ac:dyDescent="0.3">
      <c r="A2273" s="59">
        <f t="shared" si="177"/>
        <v>2058</v>
      </c>
      <c r="B2273" s="60" t="s">
        <v>2348</v>
      </c>
      <c r="C2273" s="184">
        <v>1969</v>
      </c>
      <c r="D2273" s="51"/>
      <c r="E2273" s="256" t="s">
        <v>4113</v>
      </c>
      <c r="F2273" s="59">
        <v>5</v>
      </c>
      <c r="G2273" s="50"/>
      <c r="H2273" s="257">
        <v>1524.7</v>
      </c>
      <c r="I2273" s="257">
        <v>61</v>
      </c>
      <c r="J2273" s="19">
        <f t="shared" si="175"/>
        <v>143409.82999999999</v>
      </c>
      <c r="K2273" s="50"/>
      <c r="L2273" s="50"/>
      <c r="M2273" s="50"/>
      <c r="N2273" s="19">
        <f>SUMIF('2020'!B:B,B2273,'2020'!C:C)+SUMIF('2021'!B:B,B2273,'2021'!C:C)+SUMIF('2022'!B:B,B2273,'2022'!C:C)</f>
        <v>143409.82999999999</v>
      </c>
      <c r="O2273" s="219">
        <v>44925</v>
      </c>
      <c r="P2273" s="48" t="s">
        <v>3728</v>
      </c>
    </row>
    <row r="2274" spans="1:16" x14ac:dyDescent="0.3">
      <c r="A2274" s="59">
        <f t="shared" si="177"/>
        <v>2059</v>
      </c>
      <c r="B2274" s="60" t="s">
        <v>2349</v>
      </c>
      <c r="C2274" s="184">
        <v>1965</v>
      </c>
      <c r="D2274" s="51"/>
      <c r="E2274" s="256" t="s">
        <v>3733</v>
      </c>
      <c r="F2274" s="59">
        <v>5</v>
      </c>
      <c r="G2274" s="228"/>
      <c r="H2274" s="257">
        <v>3486.6</v>
      </c>
      <c r="I2274" s="257">
        <v>114</v>
      </c>
      <c r="J2274" s="19">
        <f t="shared" si="175"/>
        <v>3699368.45</v>
      </c>
      <c r="K2274" s="50"/>
      <c r="L2274" s="50"/>
      <c r="M2274" s="50"/>
      <c r="N2274" s="19">
        <f>SUMIF('2020'!B:B,B2274,'2020'!C:C)+SUMIF('2021'!B:B,B2274,'2021'!C:C)+SUMIF('2022'!B:B,B2274,'2022'!C:C)</f>
        <v>3699368.45</v>
      </c>
      <c r="O2274" s="219">
        <v>44925</v>
      </c>
      <c r="P2274" s="48" t="s">
        <v>3728</v>
      </c>
    </row>
    <row r="2275" spans="1:16" x14ac:dyDescent="0.3">
      <c r="A2275" s="59">
        <f t="shared" si="177"/>
        <v>2060</v>
      </c>
      <c r="B2275" s="60" t="s">
        <v>2350</v>
      </c>
      <c r="C2275" s="184">
        <v>1967</v>
      </c>
      <c r="D2275" s="51"/>
      <c r="E2275" s="256" t="s">
        <v>3733</v>
      </c>
      <c r="F2275" s="59">
        <v>5</v>
      </c>
      <c r="G2275" s="50"/>
      <c r="H2275" s="257">
        <v>3544.6</v>
      </c>
      <c r="I2275" s="257">
        <v>140</v>
      </c>
      <c r="J2275" s="19">
        <f t="shared" si="175"/>
        <v>1523327.34</v>
      </c>
      <c r="K2275" s="50"/>
      <c r="L2275" s="50"/>
      <c r="M2275" s="50"/>
      <c r="N2275" s="19">
        <f>SUMIF('2020'!B:B,B2275,'2020'!C:C)+SUMIF('2021'!B:B,B2275,'2021'!C:C)+SUMIF('2022'!B:B,B2275,'2022'!C:C)</f>
        <v>1523327.34</v>
      </c>
      <c r="O2275" s="219">
        <v>44925</v>
      </c>
      <c r="P2275" s="48" t="s">
        <v>3728</v>
      </c>
    </row>
    <row r="2276" spans="1:16" x14ac:dyDescent="0.3">
      <c r="A2276" s="59">
        <f t="shared" si="177"/>
        <v>2061</v>
      </c>
      <c r="B2276" s="60" t="s">
        <v>2351</v>
      </c>
      <c r="C2276" s="184">
        <v>1968</v>
      </c>
      <c r="D2276" s="51"/>
      <c r="E2276" s="256" t="s">
        <v>3733</v>
      </c>
      <c r="F2276" s="59">
        <v>5</v>
      </c>
      <c r="G2276" s="50"/>
      <c r="H2276" s="257">
        <v>3556.68</v>
      </c>
      <c r="I2276" s="257">
        <v>173</v>
      </c>
      <c r="J2276" s="19">
        <f t="shared" si="175"/>
        <v>1522105.1</v>
      </c>
      <c r="K2276" s="50"/>
      <c r="L2276" s="50"/>
      <c r="M2276" s="50"/>
      <c r="N2276" s="19">
        <f>SUMIF('2020'!B:B,B2276,'2020'!C:C)+SUMIF('2021'!B:B,B2276,'2021'!C:C)+SUMIF('2022'!B:B,B2276,'2022'!C:C)</f>
        <v>1522105.1</v>
      </c>
      <c r="O2276" s="219">
        <v>44925</v>
      </c>
      <c r="P2276" s="48" t="s">
        <v>3728</v>
      </c>
    </row>
    <row r="2277" spans="1:16" x14ac:dyDescent="0.3">
      <c r="A2277" s="59">
        <f t="shared" si="177"/>
        <v>2062</v>
      </c>
      <c r="B2277" s="60" t="s">
        <v>2352</v>
      </c>
      <c r="C2277" s="184">
        <v>1967</v>
      </c>
      <c r="D2277" s="51"/>
      <c r="E2277" s="256" t="s">
        <v>3733</v>
      </c>
      <c r="F2277" s="59">
        <v>5</v>
      </c>
      <c r="G2277" s="50"/>
      <c r="H2277" s="257">
        <v>3606</v>
      </c>
      <c r="I2277" s="257">
        <v>141</v>
      </c>
      <c r="J2277" s="19">
        <f t="shared" si="175"/>
        <v>1544396.32</v>
      </c>
      <c r="K2277" s="228"/>
      <c r="L2277" s="228"/>
      <c r="M2277" s="50"/>
      <c r="N2277" s="19">
        <f>SUMIF('2020'!B:B,B2277,'2020'!C:C)+SUMIF('2021'!B:B,B2277,'2021'!C:C)+SUMIF('2022'!B:B,B2277,'2022'!C:C)</f>
        <v>1544396.32</v>
      </c>
      <c r="O2277" s="219">
        <v>44925</v>
      </c>
      <c r="P2277" s="48" t="s">
        <v>3728</v>
      </c>
    </row>
    <row r="2278" spans="1:16" x14ac:dyDescent="0.3">
      <c r="A2278" s="59">
        <f t="shared" si="177"/>
        <v>2063</v>
      </c>
      <c r="B2278" s="60" t="s">
        <v>2353</v>
      </c>
      <c r="C2278" s="184">
        <v>1966</v>
      </c>
      <c r="D2278" s="51"/>
      <c r="E2278" s="256" t="s">
        <v>3733</v>
      </c>
      <c r="F2278" s="59">
        <v>5</v>
      </c>
      <c r="G2278" s="228"/>
      <c r="H2278" s="257">
        <v>3744.84</v>
      </c>
      <c r="I2278" s="257">
        <v>129</v>
      </c>
      <c r="J2278" s="19">
        <f t="shared" si="175"/>
        <v>1870035.66</v>
      </c>
      <c r="K2278" s="50"/>
      <c r="L2278" s="50"/>
      <c r="M2278" s="50"/>
      <c r="N2278" s="19">
        <f>SUMIF('2020'!B:B,B2278,'2020'!C:C)+SUMIF('2021'!B:B,B2278,'2021'!C:C)+SUMIF('2022'!B:B,B2278,'2022'!C:C)</f>
        <v>1870035.66</v>
      </c>
      <c r="O2278" s="219">
        <v>44925</v>
      </c>
      <c r="P2278" s="48" t="s">
        <v>3728</v>
      </c>
    </row>
    <row r="2279" spans="1:16" x14ac:dyDescent="0.3">
      <c r="A2279" s="59">
        <f t="shared" si="177"/>
        <v>2064</v>
      </c>
      <c r="B2279" s="60" t="s">
        <v>2354</v>
      </c>
      <c r="C2279" s="184">
        <v>1959</v>
      </c>
      <c r="D2279" s="51"/>
      <c r="E2279" s="256" t="s">
        <v>3733</v>
      </c>
      <c r="F2279" s="59">
        <v>3</v>
      </c>
      <c r="G2279" s="228"/>
      <c r="H2279" s="257">
        <v>1960.26</v>
      </c>
      <c r="I2279" s="257">
        <v>80</v>
      </c>
      <c r="J2279" s="19">
        <f t="shared" si="175"/>
        <v>3923622.6</v>
      </c>
      <c r="K2279" s="50"/>
      <c r="L2279" s="50"/>
      <c r="M2279" s="50"/>
      <c r="N2279" s="19">
        <f>SUMIF('2020'!B:B,B2279,'2020'!C:C)+SUMIF('2021'!B:B,B2279,'2021'!C:C)+SUMIF('2022'!B:B,B2279,'2022'!C:C)</f>
        <v>3923622.6</v>
      </c>
      <c r="O2279" s="219">
        <v>44925</v>
      </c>
      <c r="P2279" s="48" t="s">
        <v>3728</v>
      </c>
    </row>
    <row r="2280" spans="1:16" x14ac:dyDescent="0.3">
      <c r="A2280" s="59">
        <f t="shared" si="177"/>
        <v>2065</v>
      </c>
      <c r="B2280" s="60" t="s">
        <v>2355</v>
      </c>
      <c r="C2280" s="184">
        <v>1973</v>
      </c>
      <c r="D2280" s="51"/>
      <c r="E2280" s="256" t="s">
        <v>3733</v>
      </c>
      <c r="F2280" s="59">
        <v>5</v>
      </c>
      <c r="G2280" s="228"/>
      <c r="H2280" s="257">
        <v>4724.5600000000004</v>
      </c>
      <c r="I2280" s="257">
        <v>155</v>
      </c>
      <c r="J2280" s="19">
        <f t="shared" si="175"/>
        <v>1777386.77</v>
      </c>
      <c r="K2280" s="50"/>
      <c r="L2280" s="50"/>
      <c r="M2280" s="50"/>
      <c r="N2280" s="19">
        <f>SUMIF('2020'!B:B,B2280,'2020'!C:C)+SUMIF('2021'!B:B,B2280,'2021'!C:C)+SUMIF('2022'!B:B,B2280,'2022'!C:C)</f>
        <v>1777386.77</v>
      </c>
      <c r="O2280" s="219">
        <v>44925</v>
      </c>
      <c r="P2280" s="48" t="s">
        <v>3728</v>
      </c>
    </row>
    <row r="2281" spans="1:16" x14ac:dyDescent="0.3">
      <c r="A2281" s="59">
        <f t="shared" si="177"/>
        <v>2066</v>
      </c>
      <c r="B2281" s="60" t="s">
        <v>2356</v>
      </c>
      <c r="C2281" s="184">
        <v>1896</v>
      </c>
      <c r="D2281" s="51"/>
      <c r="E2281" s="256" t="s">
        <v>3733</v>
      </c>
      <c r="F2281" s="256">
        <v>3</v>
      </c>
      <c r="G2281" s="50"/>
      <c r="H2281" s="257">
        <v>330.17</v>
      </c>
      <c r="I2281" s="257">
        <v>18</v>
      </c>
      <c r="J2281" s="19">
        <f t="shared" si="175"/>
        <v>6365402.1199999992</v>
      </c>
      <c r="K2281" s="50"/>
      <c r="L2281" s="50"/>
      <c r="M2281" s="50"/>
      <c r="N2281" s="19">
        <f>SUMIF('2020'!B:B,B2281,'2020'!C:C)+SUMIF('2021'!B:B,B2281,'2021'!C:C)+SUMIF('2022'!B:B,B2281,'2022'!C:C)</f>
        <v>6365402.1199999992</v>
      </c>
      <c r="O2281" s="219">
        <v>44925</v>
      </c>
      <c r="P2281" s="48" t="s">
        <v>3728</v>
      </c>
    </row>
    <row r="2282" spans="1:16" x14ac:dyDescent="0.3">
      <c r="A2282" s="59">
        <f t="shared" si="177"/>
        <v>2067</v>
      </c>
      <c r="B2282" s="60" t="s">
        <v>2357</v>
      </c>
      <c r="C2282" s="184">
        <v>1983</v>
      </c>
      <c r="D2282" s="51"/>
      <c r="E2282" s="256" t="s">
        <v>3733</v>
      </c>
      <c r="F2282" s="256">
        <v>5</v>
      </c>
      <c r="G2282" s="50"/>
      <c r="H2282" s="257">
        <v>4808.8</v>
      </c>
      <c r="I2282" s="257">
        <v>152</v>
      </c>
      <c r="J2282" s="19">
        <f t="shared" si="175"/>
        <v>3738809.09</v>
      </c>
      <c r="K2282" s="50"/>
      <c r="L2282" s="50"/>
      <c r="M2282" s="50"/>
      <c r="N2282" s="19">
        <f>SUMIF('2020'!B:B,B2282,'2020'!C:C)+SUMIF('2021'!B:B,B2282,'2021'!C:C)+SUMIF('2022'!B:B,B2282,'2022'!C:C)</f>
        <v>3738809.09</v>
      </c>
      <c r="O2282" s="219">
        <v>44925</v>
      </c>
      <c r="P2282" s="48" t="s">
        <v>3728</v>
      </c>
    </row>
    <row r="2283" spans="1:16" x14ac:dyDescent="0.3">
      <c r="A2283" s="59">
        <f t="shared" si="177"/>
        <v>2068</v>
      </c>
      <c r="B2283" s="60" t="s">
        <v>2358</v>
      </c>
      <c r="C2283" s="184">
        <v>1950</v>
      </c>
      <c r="D2283" s="51"/>
      <c r="E2283" s="256" t="s">
        <v>3733</v>
      </c>
      <c r="F2283" s="59">
        <v>2</v>
      </c>
      <c r="G2283" s="50"/>
      <c r="H2283" s="257">
        <v>759.5</v>
      </c>
      <c r="I2283" s="257">
        <v>14</v>
      </c>
      <c r="J2283" s="19">
        <f t="shared" si="175"/>
        <v>645076.32999999996</v>
      </c>
      <c r="K2283" s="50"/>
      <c r="L2283" s="50"/>
      <c r="M2283" s="50"/>
      <c r="N2283" s="19">
        <f>SUMIF('2020'!B:B,B2283,'2020'!C:C)+SUMIF('2021'!B:B,B2283,'2021'!C:C)+SUMIF('2022'!B:B,B2283,'2022'!C:C)</f>
        <v>645076.32999999996</v>
      </c>
      <c r="O2283" s="219">
        <v>44925</v>
      </c>
      <c r="P2283" s="48" t="s">
        <v>3728</v>
      </c>
    </row>
    <row r="2284" spans="1:16" x14ac:dyDescent="0.3">
      <c r="A2284" s="59">
        <f t="shared" si="177"/>
        <v>2069</v>
      </c>
      <c r="B2284" s="60" t="s">
        <v>2359</v>
      </c>
      <c r="C2284" s="184">
        <v>1950</v>
      </c>
      <c r="D2284" s="51"/>
      <c r="E2284" s="256" t="s">
        <v>3733</v>
      </c>
      <c r="F2284" s="59">
        <v>2</v>
      </c>
      <c r="G2284" s="50"/>
      <c r="H2284" s="257">
        <v>674.8</v>
      </c>
      <c r="I2284" s="257">
        <v>38</v>
      </c>
      <c r="J2284" s="19">
        <f t="shared" si="175"/>
        <v>1172991.4099999999</v>
      </c>
      <c r="K2284" s="50"/>
      <c r="L2284" s="50"/>
      <c r="M2284" s="50"/>
      <c r="N2284" s="19">
        <f>SUMIF('2020'!B:B,B2284,'2020'!C:C)+SUMIF('2021'!B:B,B2284,'2021'!C:C)+SUMIF('2022'!B:B,B2284,'2022'!C:C)</f>
        <v>1172991.4099999999</v>
      </c>
      <c r="O2284" s="219">
        <v>44925</v>
      </c>
      <c r="P2284" s="48" t="s">
        <v>3728</v>
      </c>
    </row>
    <row r="2285" spans="1:16" x14ac:dyDescent="0.3">
      <c r="A2285" s="59">
        <f t="shared" si="177"/>
        <v>2070</v>
      </c>
      <c r="B2285" s="60" t="s">
        <v>2360</v>
      </c>
      <c r="C2285" s="184">
        <v>1951</v>
      </c>
      <c r="D2285" s="51"/>
      <c r="E2285" s="256" t="s">
        <v>3733</v>
      </c>
      <c r="F2285" s="59">
        <v>2</v>
      </c>
      <c r="G2285" s="50"/>
      <c r="H2285" s="257">
        <v>666.28</v>
      </c>
      <c r="I2285" s="257">
        <v>27</v>
      </c>
      <c r="J2285" s="19">
        <f t="shared" si="175"/>
        <v>664445.77</v>
      </c>
      <c r="K2285" s="50"/>
      <c r="L2285" s="50"/>
      <c r="M2285" s="50"/>
      <c r="N2285" s="19">
        <f>SUMIF('2020'!B:B,B2285,'2020'!C:C)+SUMIF('2021'!B:B,B2285,'2021'!C:C)+SUMIF('2022'!B:B,B2285,'2022'!C:C)</f>
        <v>664445.77</v>
      </c>
      <c r="O2285" s="219">
        <v>44925</v>
      </c>
      <c r="P2285" s="48" t="s">
        <v>3728</v>
      </c>
    </row>
    <row r="2286" spans="1:16" x14ac:dyDescent="0.3">
      <c r="A2286" s="59">
        <f t="shared" si="177"/>
        <v>2071</v>
      </c>
      <c r="B2286" s="60" t="s">
        <v>2361</v>
      </c>
      <c r="C2286" s="184">
        <v>1960</v>
      </c>
      <c r="D2286" s="51"/>
      <c r="E2286" s="256" t="s">
        <v>3733</v>
      </c>
      <c r="F2286" s="59">
        <v>3</v>
      </c>
      <c r="G2286" s="50"/>
      <c r="H2286" s="257">
        <v>1544.8</v>
      </c>
      <c r="I2286" s="257">
        <v>69</v>
      </c>
      <c r="J2286" s="19">
        <f t="shared" si="175"/>
        <v>3617358.13</v>
      </c>
      <c r="K2286" s="50"/>
      <c r="L2286" s="50"/>
      <c r="M2286" s="50"/>
      <c r="N2286" s="19">
        <f>SUMIF('2020'!B:B,B2286,'2020'!C:C)+SUMIF('2021'!B:B,B2286,'2021'!C:C)+SUMIF('2022'!B:B,B2286,'2022'!C:C)</f>
        <v>3617358.13</v>
      </c>
      <c r="O2286" s="219">
        <v>44925</v>
      </c>
      <c r="P2286" s="48" t="s">
        <v>3728</v>
      </c>
    </row>
    <row r="2287" spans="1:16" x14ac:dyDescent="0.3">
      <c r="A2287" s="59">
        <f t="shared" si="177"/>
        <v>2072</v>
      </c>
      <c r="B2287" s="60" t="s">
        <v>2362</v>
      </c>
      <c r="C2287" s="184">
        <v>1950</v>
      </c>
      <c r="D2287" s="51"/>
      <c r="E2287" s="256" t="s">
        <v>4114</v>
      </c>
      <c r="F2287" s="59">
        <v>2</v>
      </c>
      <c r="G2287" s="50"/>
      <c r="H2287" s="257">
        <v>764.41</v>
      </c>
      <c r="I2287" s="257">
        <v>52</v>
      </c>
      <c r="J2287" s="19">
        <f t="shared" si="175"/>
        <v>635460.26</v>
      </c>
      <c r="K2287" s="50"/>
      <c r="L2287" s="50"/>
      <c r="M2287" s="50"/>
      <c r="N2287" s="19">
        <f>SUMIF('2020'!B:B,B2287,'2020'!C:C)+SUMIF('2021'!B:B,B2287,'2021'!C:C)+SUMIF('2022'!B:B,B2287,'2022'!C:C)</f>
        <v>635460.26</v>
      </c>
      <c r="O2287" s="219">
        <v>44925</v>
      </c>
      <c r="P2287" s="48" t="s">
        <v>3728</v>
      </c>
    </row>
    <row r="2288" spans="1:16" x14ac:dyDescent="0.3">
      <c r="A2288" s="59">
        <f t="shared" si="177"/>
        <v>2073</v>
      </c>
      <c r="B2288" s="60" t="s">
        <v>2363</v>
      </c>
      <c r="C2288" s="184">
        <v>1950</v>
      </c>
      <c r="D2288" s="51"/>
      <c r="E2288" s="256" t="s">
        <v>3733</v>
      </c>
      <c r="F2288" s="59">
        <v>2</v>
      </c>
      <c r="G2288" s="50"/>
      <c r="H2288" s="257">
        <v>724.17</v>
      </c>
      <c r="I2288" s="257">
        <v>29</v>
      </c>
      <c r="J2288" s="19">
        <f t="shared" si="175"/>
        <v>630789.6</v>
      </c>
      <c r="K2288" s="228"/>
      <c r="L2288" s="228"/>
      <c r="M2288" s="50"/>
      <c r="N2288" s="19">
        <f>SUMIF('2020'!B:B,B2288,'2020'!C:C)+SUMIF('2021'!B:B,B2288,'2021'!C:C)+SUMIF('2022'!B:B,B2288,'2022'!C:C)</f>
        <v>630789.6</v>
      </c>
      <c r="O2288" s="219">
        <v>44925</v>
      </c>
      <c r="P2288" s="48" t="s">
        <v>3728</v>
      </c>
    </row>
    <row r="2289" spans="1:16" x14ac:dyDescent="0.3">
      <c r="A2289" s="59">
        <f t="shared" si="177"/>
        <v>2074</v>
      </c>
      <c r="B2289" s="60" t="s">
        <v>2364</v>
      </c>
      <c r="C2289" s="184">
        <v>1953</v>
      </c>
      <c r="D2289" s="51"/>
      <c r="E2289" s="256" t="s">
        <v>3733</v>
      </c>
      <c r="F2289" s="59">
        <v>2</v>
      </c>
      <c r="G2289" s="50"/>
      <c r="H2289" s="257">
        <v>549.65</v>
      </c>
      <c r="I2289" s="257">
        <v>23</v>
      </c>
      <c r="J2289" s="19">
        <f t="shared" si="175"/>
        <v>1289611.67</v>
      </c>
      <c r="K2289" s="50"/>
      <c r="L2289" s="50"/>
      <c r="M2289" s="50"/>
      <c r="N2289" s="19">
        <f>SUMIF('2020'!B:B,B2289,'2020'!C:C)+SUMIF('2021'!B:B,B2289,'2021'!C:C)+SUMIF('2022'!B:B,B2289,'2022'!C:C)</f>
        <v>1289611.67</v>
      </c>
      <c r="O2289" s="219">
        <v>44925</v>
      </c>
      <c r="P2289" s="48" t="s">
        <v>3728</v>
      </c>
    </row>
    <row r="2290" spans="1:16" x14ac:dyDescent="0.3">
      <c r="A2290" s="59">
        <f t="shared" si="177"/>
        <v>2075</v>
      </c>
      <c r="B2290" s="60" t="s">
        <v>2365</v>
      </c>
      <c r="C2290" s="184">
        <v>1951</v>
      </c>
      <c r="D2290" s="51"/>
      <c r="E2290" s="256" t="s">
        <v>3733</v>
      </c>
      <c r="F2290" s="59">
        <v>2</v>
      </c>
      <c r="G2290" s="50"/>
      <c r="H2290" s="257">
        <v>683.3</v>
      </c>
      <c r="I2290" s="257">
        <v>28</v>
      </c>
      <c r="J2290" s="19">
        <f t="shared" si="175"/>
        <v>643015.69000000006</v>
      </c>
      <c r="K2290" s="50"/>
      <c r="L2290" s="50"/>
      <c r="M2290" s="50"/>
      <c r="N2290" s="19">
        <f>SUMIF('2020'!B:B,B2290,'2020'!C:C)+SUMIF('2021'!B:B,B2290,'2021'!C:C)+SUMIF('2022'!B:B,B2290,'2022'!C:C)</f>
        <v>643015.69000000006</v>
      </c>
      <c r="O2290" s="219">
        <v>44925</v>
      </c>
      <c r="P2290" s="48" t="s">
        <v>3728</v>
      </c>
    </row>
    <row r="2291" spans="1:16" x14ac:dyDescent="0.3">
      <c r="A2291" s="59">
        <f t="shared" si="177"/>
        <v>2076</v>
      </c>
      <c r="B2291" s="60" t="s">
        <v>2366</v>
      </c>
      <c r="C2291" s="184">
        <v>1950</v>
      </c>
      <c r="D2291" s="51"/>
      <c r="E2291" s="256" t="s">
        <v>4114</v>
      </c>
      <c r="F2291" s="59">
        <v>2</v>
      </c>
      <c r="G2291" s="50"/>
      <c r="H2291" s="257">
        <v>695.76</v>
      </c>
      <c r="I2291" s="257">
        <v>45</v>
      </c>
      <c r="J2291" s="19">
        <f t="shared" si="175"/>
        <v>1587297.98</v>
      </c>
      <c r="K2291" s="50"/>
      <c r="L2291" s="50"/>
      <c r="M2291" s="50"/>
      <c r="N2291" s="19">
        <f>SUMIF('2020'!B:B,B2291,'2020'!C:C)+SUMIF('2021'!B:B,B2291,'2021'!C:C)+SUMIF('2022'!B:B,B2291,'2022'!C:C)</f>
        <v>1587297.98</v>
      </c>
      <c r="O2291" s="219">
        <v>44925</v>
      </c>
      <c r="P2291" s="48" t="s">
        <v>3728</v>
      </c>
    </row>
    <row r="2292" spans="1:16" x14ac:dyDescent="0.3">
      <c r="A2292" s="59">
        <f t="shared" si="177"/>
        <v>2077</v>
      </c>
      <c r="B2292" s="60" t="s">
        <v>2367</v>
      </c>
      <c r="C2292" s="184">
        <v>1952</v>
      </c>
      <c r="D2292" s="51"/>
      <c r="E2292" s="256" t="s">
        <v>3733</v>
      </c>
      <c r="F2292" s="59">
        <v>2</v>
      </c>
      <c r="G2292" s="50"/>
      <c r="H2292" s="257">
        <v>935.2</v>
      </c>
      <c r="I2292" s="257">
        <v>42</v>
      </c>
      <c r="J2292" s="19">
        <f t="shared" si="175"/>
        <v>637018.5</v>
      </c>
      <c r="K2292" s="228"/>
      <c r="L2292" s="228"/>
      <c r="M2292" s="50"/>
      <c r="N2292" s="19">
        <f>SUMIF('2020'!B:B,B2292,'2020'!C:C)+SUMIF('2021'!B:B,B2292,'2021'!C:C)+SUMIF('2022'!B:B,B2292,'2022'!C:C)</f>
        <v>637018.5</v>
      </c>
      <c r="O2292" s="219">
        <v>44925</v>
      </c>
      <c r="P2292" s="48" t="s">
        <v>3728</v>
      </c>
    </row>
    <row r="2293" spans="1:16" x14ac:dyDescent="0.3">
      <c r="A2293" s="59">
        <f t="shared" si="177"/>
        <v>2078</v>
      </c>
      <c r="B2293" s="60" t="s">
        <v>2368</v>
      </c>
      <c r="C2293" s="184">
        <v>1952</v>
      </c>
      <c r="D2293" s="51"/>
      <c r="E2293" s="256" t="s">
        <v>3733</v>
      </c>
      <c r="F2293" s="59">
        <v>2</v>
      </c>
      <c r="G2293" s="50"/>
      <c r="H2293" s="257">
        <v>906.9</v>
      </c>
      <c r="I2293" s="257">
        <v>44</v>
      </c>
      <c r="J2293" s="19">
        <f t="shared" si="175"/>
        <v>639552.62</v>
      </c>
      <c r="K2293" s="50"/>
      <c r="L2293" s="50"/>
      <c r="M2293" s="50"/>
      <c r="N2293" s="19">
        <f>SUMIF('2020'!B:B,B2293,'2020'!C:C)+SUMIF('2021'!B:B,B2293,'2021'!C:C)+SUMIF('2022'!B:B,B2293,'2022'!C:C)</f>
        <v>639552.62</v>
      </c>
      <c r="O2293" s="219">
        <v>44925</v>
      </c>
      <c r="P2293" s="48" t="s">
        <v>3728</v>
      </c>
    </row>
    <row r="2294" spans="1:16" x14ac:dyDescent="0.3">
      <c r="A2294" s="59">
        <f t="shared" si="177"/>
        <v>2079</v>
      </c>
      <c r="B2294" s="60" t="s">
        <v>2369</v>
      </c>
      <c r="C2294" s="184">
        <v>1952</v>
      </c>
      <c r="D2294" s="51"/>
      <c r="E2294" s="256" t="s">
        <v>3733</v>
      </c>
      <c r="F2294" s="59">
        <v>2</v>
      </c>
      <c r="G2294" s="50"/>
      <c r="H2294" s="257">
        <v>773</v>
      </c>
      <c r="I2294" s="257">
        <v>33</v>
      </c>
      <c r="J2294" s="19">
        <f t="shared" si="175"/>
        <v>341570.37</v>
      </c>
      <c r="K2294" s="228"/>
      <c r="L2294" s="228"/>
      <c r="M2294" s="50"/>
      <c r="N2294" s="19">
        <f>SUMIF('2020'!B:B,B2294,'2020'!C:C)+SUMIF('2021'!B:B,B2294,'2021'!C:C)+SUMIF('2022'!B:B,B2294,'2022'!C:C)</f>
        <v>341570.37</v>
      </c>
      <c r="O2294" s="219">
        <v>44925</v>
      </c>
      <c r="P2294" s="48" t="s">
        <v>3728</v>
      </c>
    </row>
    <row r="2295" spans="1:16" x14ac:dyDescent="0.3">
      <c r="A2295" s="59">
        <f t="shared" si="177"/>
        <v>2080</v>
      </c>
      <c r="B2295" s="60" t="s">
        <v>2370</v>
      </c>
      <c r="C2295" s="184">
        <v>1971</v>
      </c>
      <c r="D2295" s="51"/>
      <c r="E2295" s="256" t="s">
        <v>3733</v>
      </c>
      <c r="F2295" s="59">
        <v>5</v>
      </c>
      <c r="G2295" s="50"/>
      <c r="H2295" s="257">
        <v>1487.29</v>
      </c>
      <c r="I2295" s="257">
        <v>64</v>
      </c>
      <c r="J2295" s="19">
        <f t="shared" si="175"/>
        <v>1038520.23</v>
      </c>
      <c r="K2295" s="50"/>
      <c r="L2295" s="50"/>
      <c r="M2295" s="228"/>
      <c r="N2295" s="19">
        <f>SUMIF('2020'!B:B,B2295,'2020'!C:C)+SUMIF('2021'!B:B,B2295,'2021'!C:C)+SUMIF('2022'!B:B,B2295,'2022'!C:C)</f>
        <v>1038520.23</v>
      </c>
      <c r="O2295" s="219">
        <v>44925</v>
      </c>
      <c r="P2295" s="48" t="s">
        <v>3728</v>
      </c>
    </row>
    <row r="2296" spans="1:16" x14ac:dyDescent="0.3">
      <c r="A2296" s="59">
        <f t="shared" si="177"/>
        <v>2081</v>
      </c>
      <c r="B2296" s="60" t="s">
        <v>2371</v>
      </c>
      <c r="C2296" s="184">
        <v>1975</v>
      </c>
      <c r="D2296" s="51"/>
      <c r="E2296" s="256" t="s">
        <v>3733</v>
      </c>
      <c r="F2296" s="59">
        <v>5</v>
      </c>
      <c r="G2296" s="50"/>
      <c r="H2296" s="257">
        <v>7810.26</v>
      </c>
      <c r="I2296" s="257">
        <v>405</v>
      </c>
      <c r="J2296" s="19">
        <f t="shared" si="175"/>
        <v>2169794.2999999998</v>
      </c>
      <c r="K2296" s="50"/>
      <c r="L2296" s="50"/>
      <c r="M2296" s="50"/>
      <c r="N2296" s="19">
        <f>SUMIF('2020'!B:B,B2296,'2020'!C:C)+SUMIF('2021'!B:B,B2296,'2021'!C:C)+SUMIF('2022'!B:B,B2296,'2022'!C:C)</f>
        <v>2169794.2999999998</v>
      </c>
      <c r="O2296" s="219">
        <v>44925</v>
      </c>
      <c r="P2296" s="48" t="s">
        <v>3728</v>
      </c>
    </row>
    <row r="2297" spans="1:16" x14ac:dyDescent="0.3">
      <c r="A2297" s="59">
        <f t="shared" si="177"/>
        <v>2082</v>
      </c>
      <c r="B2297" s="60" t="s">
        <v>2372</v>
      </c>
      <c r="C2297" s="184">
        <v>1971</v>
      </c>
      <c r="D2297" s="51"/>
      <c r="E2297" s="256" t="s">
        <v>3733</v>
      </c>
      <c r="F2297" s="59">
        <v>5</v>
      </c>
      <c r="G2297" s="50"/>
      <c r="H2297" s="257">
        <v>4039.8</v>
      </c>
      <c r="I2297" s="257">
        <v>202</v>
      </c>
      <c r="J2297" s="19">
        <f t="shared" si="175"/>
        <v>1306045.18</v>
      </c>
      <c r="K2297" s="228"/>
      <c r="L2297" s="228"/>
      <c r="M2297" s="50"/>
      <c r="N2297" s="19">
        <f>SUMIF('2020'!B:B,B2297,'2020'!C:C)+SUMIF('2021'!B:B,B2297,'2021'!C:C)+SUMIF('2022'!B:B,B2297,'2022'!C:C)</f>
        <v>1306045.18</v>
      </c>
      <c r="O2297" s="219">
        <v>44925</v>
      </c>
      <c r="P2297" s="48" t="s">
        <v>3728</v>
      </c>
    </row>
    <row r="2298" spans="1:16" x14ac:dyDescent="0.3">
      <c r="A2298" s="59">
        <f t="shared" si="177"/>
        <v>2083</v>
      </c>
      <c r="B2298" s="60" t="s">
        <v>2373</v>
      </c>
      <c r="C2298" s="184">
        <v>1955</v>
      </c>
      <c r="D2298" s="51"/>
      <c r="E2298" s="256" t="s">
        <v>3733</v>
      </c>
      <c r="F2298" s="256">
        <v>2</v>
      </c>
      <c r="G2298" s="50"/>
      <c r="H2298" s="257">
        <v>581.52</v>
      </c>
      <c r="I2298" s="257">
        <v>29</v>
      </c>
      <c r="J2298" s="19">
        <f t="shared" si="175"/>
        <v>1045002.04</v>
      </c>
      <c r="K2298" s="50"/>
      <c r="L2298" s="50"/>
      <c r="M2298" s="50"/>
      <c r="N2298" s="19">
        <f>SUMIF('2020'!B:B,B2298,'2020'!C:C)+SUMIF('2021'!B:B,B2298,'2021'!C:C)+SUMIF('2022'!B:B,B2298,'2022'!C:C)</f>
        <v>1045002.04</v>
      </c>
      <c r="O2298" s="219">
        <v>44925</v>
      </c>
      <c r="P2298" s="48" t="s">
        <v>3728</v>
      </c>
    </row>
    <row r="2299" spans="1:16" x14ac:dyDescent="0.3">
      <c r="A2299" s="59">
        <f t="shared" si="177"/>
        <v>2084</v>
      </c>
      <c r="B2299" s="60" t="s">
        <v>2374</v>
      </c>
      <c r="C2299" s="184">
        <v>1974</v>
      </c>
      <c r="D2299" s="51"/>
      <c r="E2299" s="256" t="s">
        <v>3733</v>
      </c>
      <c r="F2299" s="256">
        <v>5</v>
      </c>
      <c r="G2299" s="50"/>
      <c r="H2299" s="257">
        <v>5937.1</v>
      </c>
      <c r="I2299" s="257">
        <v>278</v>
      </c>
      <c r="J2299" s="19">
        <f t="shared" si="175"/>
        <v>1283462.23</v>
      </c>
      <c r="K2299" s="50"/>
      <c r="L2299" s="50"/>
      <c r="M2299" s="50"/>
      <c r="N2299" s="19">
        <f>SUMIF('2020'!B:B,B2299,'2020'!C:C)+SUMIF('2021'!B:B,B2299,'2021'!C:C)+SUMIF('2022'!B:B,B2299,'2022'!C:C)</f>
        <v>1283462.23</v>
      </c>
      <c r="O2299" s="219">
        <v>44925</v>
      </c>
      <c r="P2299" s="48" t="s">
        <v>3728</v>
      </c>
    </row>
    <row r="2300" spans="1:16" x14ac:dyDescent="0.3">
      <c r="A2300" s="59">
        <f t="shared" si="177"/>
        <v>2085</v>
      </c>
      <c r="B2300" s="60" t="s">
        <v>2375</v>
      </c>
      <c r="C2300" s="184">
        <v>1976</v>
      </c>
      <c r="D2300" s="51"/>
      <c r="E2300" s="256" t="s">
        <v>3733</v>
      </c>
      <c r="F2300" s="256">
        <v>5</v>
      </c>
      <c r="G2300" s="50"/>
      <c r="H2300" s="257">
        <v>5981.1</v>
      </c>
      <c r="I2300" s="257">
        <v>270</v>
      </c>
      <c r="J2300" s="19">
        <f t="shared" si="175"/>
        <v>1920945.31</v>
      </c>
      <c r="K2300" s="50"/>
      <c r="L2300" s="50"/>
      <c r="M2300" s="50"/>
      <c r="N2300" s="19">
        <f>SUMIF('2020'!B:B,B2300,'2020'!C:C)+SUMIF('2021'!B:B,B2300,'2021'!C:C)+SUMIF('2022'!B:B,B2300,'2022'!C:C)</f>
        <v>1920945.31</v>
      </c>
      <c r="O2300" s="219">
        <v>44925</v>
      </c>
      <c r="P2300" s="48" t="s">
        <v>3728</v>
      </c>
    </row>
    <row r="2301" spans="1:16" x14ac:dyDescent="0.3">
      <c r="A2301" s="59">
        <f t="shared" si="177"/>
        <v>2086</v>
      </c>
      <c r="B2301" s="60" t="s">
        <v>2376</v>
      </c>
      <c r="C2301" s="184">
        <v>1961</v>
      </c>
      <c r="D2301" s="51"/>
      <c r="E2301" s="256" t="s">
        <v>3733</v>
      </c>
      <c r="F2301" s="257">
        <v>2</v>
      </c>
      <c r="G2301" s="50"/>
      <c r="H2301" s="257">
        <v>364.03</v>
      </c>
      <c r="I2301" s="257">
        <v>19</v>
      </c>
      <c r="J2301" s="19">
        <f t="shared" si="175"/>
        <v>729794.69</v>
      </c>
      <c r="K2301" s="50"/>
      <c r="L2301" s="50"/>
      <c r="M2301" s="50"/>
      <c r="N2301" s="19">
        <f>SUMIF('2020'!B:B,B2301,'2020'!C:C)+SUMIF('2021'!B:B,B2301,'2021'!C:C)+SUMIF('2022'!B:B,B2301,'2022'!C:C)</f>
        <v>729794.69</v>
      </c>
      <c r="O2301" s="219">
        <v>44925</v>
      </c>
      <c r="P2301" s="48" t="s">
        <v>3728</v>
      </c>
    </row>
    <row r="2302" spans="1:16" x14ac:dyDescent="0.3">
      <c r="A2302" s="59">
        <f t="shared" si="177"/>
        <v>2087</v>
      </c>
      <c r="B2302" s="60" t="s">
        <v>2377</v>
      </c>
      <c r="C2302" s="184">
        <v>1961</v>
      </c>
      <c r="D2302" s="51"/>
      <c r="E2302" s="256" t="s">
        <v>3733</v>
      </c>
      <c r="F2302" s="257">
        <v>2</v>
      </c>
      <c r="G2302" s="50"/>
      <c r="H2302" s="257">
        <v>333.94</v>
      </c>
      <c r="I2302" s="257">
        <v>13</v>
      </c>
      <c r="J2302" s="19">
        <f t="shared" si="175"/>
        <v>729096</v>
      </c>
      <c r="K2302" s="228"/>
      <c r="L2302" s="228"/>
      <c r="M2302" s="50"/>
      <c r="N2302" s="19">
        <f>SUMIF('2020'!B:B,B2302,'2020'!C:C)+SUMIF('2021'!B:B,B2302,'2021'!C:C)+SUMIF('2022'!B:B,B2302,'2022'!C:C)</f>
        <v>729096</v>
      </c>
      <c r="O2302" s="219">
        <v>44925</v>
      </c>
      <c r="P2302" s="48" t="s">
        <v>3728</v>
      </c>
    </row>
    <row r="2303" spans="1:16" x14ac:dyDescent="0.3">
      <c r="A2303" s="59">
        <f t="shared" si="177"/>
        <v>2088</v>
      </c>
      <c r="B2303" s="60" t="s">
        <v>2378</v>
      </c>
      <c r="C2303" s="184">
        <v>1951</v>
      </c>
      <c r="D2303" s="51"/>
      <c r="E2303" s="256" t="s">
        <v>3730</v>
      </c>
      <c r="F2303" s="257">
        <v>2</v>
      </c>
      <c r="G2303" s="50"/>
      <c r="H2303" s="257">
        <v>341.73</v>
      </c>
      <c r="I2303" s="257">
        <v>30</v>
      </c>
      <c r="J2303" s="19">
        <f t="shared" si="175"/>
        <v>279110.33999999997</v>
      </c>
      <c r="K2303" s="50"/>
      <c r="L2303" s="50"/>
      <c r="M2303" s="50"/>
      <c r="N2303" s="19">
        <f>SUMIF('2020'!B:B,B2303,'2020'!C:C)+SUMIF('2021'!B:B,B2303,'2021'!C:C)+SUMIF('2022'!B:B,B2303,'2022'!C:C)</f>
        <v>279110.33999999997</v>
      </c>
      <c r="O2303" s="219">
        <v>44925</v>
      </c>
      <c r="P2303" s="48" t="s">
        <v>3728</v>
      </c>
    </row>
    <row r="2304" spans="1:16" x14ac:dyDescent="0.3">
      <c r="A2304" s="59">
        <f t="shared" si="177"/>
        <v>2089</v>
      </c>
      <c r="B2304" s="60" t="s">
        <v>2379</v>
      </c>
      <c r="C2304" s="184">
        <v>1952</v>
      </c>
      <c r="D2304" s="51"/>
      <c r="E2304" s="256" t="s">
        <v>3730</v>
      </c>
      <c r="F2304" s="257">
        <v>2</v>
      </c>
      <c r="G2304" s="50"/>
      <c r="H2304" s="257">
        <v>352.3</v>
      </c>
      <c r="I2304" s="257">
        <v>25</v>
      </c>
      <c r="J2304" s="19">
        <f t="shared" si="175"/>
        <v>1271634.71</v>
      </c>
      <c r="K2304" s="50"/>
      <c r="L2304" s="50"/>
      <c r="M2304" s="50"/>
      <c r="N2304" s="19">
        <f>SUMIF('2020'!B:B,B2304,'2020'!C:C)+SUMIF('2021'!B:B,B2304,'2021'!C:C)+SUMIF('2022'!B:B,B2304,'2022'!C:C)</f>
        <v>1271634.71</v>
      </c>
      <c r="O2304" s="219">
        <v>44925</v>
      </c>
      <c r="P2304" s="48" t="s">
        <v>3728</v>
      </c>
    </row>
    <row r="2305" spans="1:16" x14ac:dyDescent="0.3">
      <c r="A2305" s="59">
        <f t="shared" si="177"/>
        <v>2090</v>
      </c>
      <c r="B2305" s="60" t="s">
        <v>2380</v>
      </c>
      <c r="C2305" s="184">
        <v>1959</v>
      </c>
      <c r="D2305" s="51"/>
      <c r="E2305" s="256" t="s">
        <v>3730</v>
      </c>
      <c r="F2305" s="257">
        <v>2</v>
      </c>
      <c r="G2305" s="50"/>
      <c r="H2305" s="257">
        <v>404.53</v>
      </c>
      <c r="I2305" s="257">
        <v>21</v>
      </c>
      <c r="J2305" s="19">
        <f t="shared" si="175"/>
        <v>1114235.75</v>
      </c>
      <c r="K2305" s="50"/>
      <c r="L2305" s="50"/>
      <c r="M2305" s="50"/>
      <c r="N2305" s="19">
        <f>SUMIF('2020'!B:B,B2305,'2020'!C:C)+SUMIF('2021'!B:B,B2305,'2021'!C:C)+SUMIF('2022'!B:B,B2305,'2022'!C:C)</f>
        <v>1114235.75</v>
      </c>
      <c r="O2305" s="219">
        <v>44925</v>
      </c>
      <c r="P2305" s="48" t="s">
        <v>3728</v>
      </c>
    </row>
    <row r="2306" spans="1:16" x14ac:dyDescent="0.3">
      <c r="A2306" s="59">
        <f t="shared" si="177"/>
        <v>2091</v>
      </c>
      <c r="B2306" s="60" t="s">
        <v>2381</v>
      </c>
      <c r="C2306" s="184">
        <v>1960</v>
      </c>
      <c r="D2306" s="51"/>
      <c r="E2306" s="256" t="s">
        <v>3730</v>
      </c>
      <c r="F2306" s="257">
        <v>2</v>
      </c>
      <c r="G2306" s="50"/>
      <c r="H2306" s="257">
        <v>349.63</v>
      </c>
      <c r="I2306" s="257">
        <v>18</v>
      </c>
      <c r="J2306" s="19">
        <f t="shared" si="175"/>
        <v>311990.67</v>
      </c>
      <c r="K2306" s="50"/>
      <c r="L2306" s="50"/>
      <c r="M2306" s="50"/>
      <c r="N2306" s="19">
        <f>SUMIF('2020'!B:B,B2306,'2020'!C:C)+SUMIF('2021'!B:B,B2306,'2021'!C:C)+SUMIF('2022'!B:B,B2306,'2022'!C:C)</f>
        <v>311990.67</v>
      </c>
      <c r="O2306" s="219">
        <v>44925</v>
      </c>
      <c r="P2306" s="48" t="s">
        <v>3728</v>
      </c>
    </row>
    <row r="2307" spans="1:16" x14ac:dyDescent="0.3">
      <c r="A2307" s="59">
        <f t="shared" si="177"/>
        <v>2092</v>
      </c>
      <c r="B2307" s="60" t="s">
        <v>2382</v>
      </c>
      <c r="C2307" s="184">
        <v>1960</v>
      </c>
      <c r="D2307" s="51"/>
      <c r="E2307" s="256" t="s">
        <v>3730</v>
      </c>
      <c r="F2307" s="257">
        <v>2</v>
      </c>
      <c r="G2307" s="50"/>
      <c r="H2307" s="257">
        <v>341.1</v>
      </c>
      <c r="I2307" s="257">
        <v>24</v>
      </c>
      <c r="J2307" s="19">
        <f t="shared" si="175"/>
        <v>1037770.4099999999</v>
      </c>
      <c r="K2307" s="50"/>
      <c r="L2307" s="50"/>
      <c r="M2307" s="50"/>
      <c r="N2307" s="19">
        <f>SUMIF('2020'!B:B,B2307,'2020'!C:C)+SUMIF('2021'!B:B,B2307,'2021'!C:C)+SUMIF('2022'!B:B,B2307,'2022'!C:C)</f>
        <v>1037770.4099999999</v>
      </c>
      <c r="O2307" s="219">
        <v>44925</v>
      </c>
      <c r="P2307" s="48" t="s">
        <v>3728</v>
      </c>
    </row>
    <row r="2308" spans="1:16" x14ac:dyDescent="0.3">
      <c r="A2308" s="59">
        <f t="shared" si="177"/>
        <v>2093</v>
      </c>
      <c r="B2308" s="60" t="s">
        <v>2383</v>
      </c>
      <c r="C2308" s="184">
        <v>1955</v>
      </c>
      <c r="D2308" s="51"/>
      <c r="E2308" s="256" t="s">
        <v>3730</v>
      </c>
      <c r="F2308" s="257">
        <v>2</v>
      </c>
      <c r="G2308" s="50"/>
      <c r="H2308" s="257">
        <v>457.85</v>
      </c>
      <c r="I2308" s="257">
        <v>35</v>
      </c>
      <c r="J2308" s="19">
        <f t="shared" si="175"/>
        <v>2978411.25</v>
      </c>
      <c r="K2308" s="50"/>
      <c r="L2308" s="50"/>
      <c r="M2308" s="50"/>
      <c r="N2308" s="19">
        <f>SUMIF('2020'!B:B,B2308,'2020'!C:C)+SUMIF('2021'!B:B,B2308,'2021'!C:C)+SUMIF('2022'!B:B,B2308,'2022'!C:C)</f>
        <v>2978411.25</v>
      </c>
      <c r="O2308" s="219">
        <v>44925</v>
      </c>
      <c r="P2308" s="48" t="s">
        <v>3728</v>
      </c>
    </row>
    <row r="2309" spans="1:16" x14ac:dyDescent="0.3">
      <c r="A2309" s="59">
        <f t="shared" si="177"/>
        <v>2094</v>
      </c>
      <c r="B2309" s="60" t="s">
        <v>2384</v>
      </c>
      <c r="C2309" s="184">
        <v>1955</v>
      </c>
      <c r="D2309" s="51"/>
      <c r="E2309" s="256" t="s">
        <v>3733</v>
      </c>
      <c r="F2309" s="257">
        <v>2</v>
      </c>
      <c r="G2309" s="50"/>
      <c r="H2309" s="257">
        <v>802.98</v>
      </c>
      <c r="I2309" s="257">
        <v>39</v>
      </c>
      <c r="J2309" s="19">
        <f t="shared" si="175"/>
        <v>3163277.64</v>
      </c>
      <c r="K2309" s="50"/>
      <c r="L2309" s="50"/>
      <c r="M2309" s="50"/>
      <c r="N2309" s="19">
        <f>SUMIF('2020'!B:B,B2309,'2020'!C:C)+SUMIF('2021'!B:B,B2309,'2021'!C:C)+SUMIF('2022'!B:B,B2309,'2022'!C:C)</f>
        <v>3163277.64</v>
      </c>
      <c r="O2309" s="219">
        <v>44925</v>
      </c>
      <c r="P2309" s="48" t="s">
        <v>3728</v>
      </c>
    </row>
    <row r="2310" spans="1:16" x14ac:dyDescent="0.3">
      <c r="A2310" s="59">
        <f t="shared" si="177"/>
        <v>2095</v>
      </c>
      <c r="B2310" s="60" t="s">
        <v>2385</v>
      </c>
      <c r="C2310" s="184">
        <v>1960</v>
      </c>
      <c r="D2310" s="51"/>
      <c r="E2310" s="256" t="s">
        <v>3733</v>
      </c>
      <c r="F2310" s="257">
        <v>2</v>
      </c>
      <c r="G2310" s="50"/>
      <c r="H2310" s="257">
        <v>297.2</v>
      </c>
      <c r="I2310" s="257">
        <v>14</v>
      </c>
      <c r="J2310" s="19">
        <f t="shared" si="175"/>
        <v>639416.01</v>
      </c>
      <c r="K2310" s="228"/>
      <c r="L2310" s="228"/>
      <c r="M2310" s="50"/>
      <c r="N2310" s="19">
        <f>SUMIF('2020'!B:B,B2310,'2020'!C:C)+SUMIF('2021'!B:B,B2310,'2021'!C:C)+SUMIF('2022'!B:B,B2310,'2022'!C:C)</f>
        <v>639416.01</v>
      </c>
      <c r="O2310" s="219">
        <v>44925</v>
      </c>
      <c r="P2310" s="48" t="s">
        <v>3728</v>
      </c>
    </row>
    <row r="2311" spans="1:16" x14ac:dyDescent="0.3">
      <c r="A2311" s="59">
        <f t="shared" si="177"/>
        <v>2096</v>
      </c>
      <c r="B2311" s="60" t="s">
        <v>2386</v>
      </c>
      <c r="C2311" s="184">
        <v>1961</v>
      </c>
      <c r="D2311" s="51"/>
      <c r="E2311" s="256" t="s">
        <v>3733</v>
      </c>
      <c r="F2311" s="257">
        <v>2</v>
      </c>
      <c r="G2311" s="50"/>
      <c r="H2311" s="257">
        <v>465</v>
      </c>
      <c r="I2311" s="257">
        <v>26</v>
      </c>
      <c r="J2311" s="19">
        <f t="shared" si="175"/>
        <v>2994590.2600000002</v>
      </c>
      <c r="K2311" s="50"/>
      <c r="L2311" s="50"/>
      <c r="M2311" s="50"/>
      <c r="N2311" s="19">
        <f>SUMIF('2020'!B:B,B2311,'2020'!C:C)+SUMIF('2021'!B:B,B2311,'2021'!C:C)+SUMIF('2022'!B:B,B2311,'2022'!C:C)</f>
        <v>2994590.2600000002</v>
      </c>
      <c r="O2311" s="219">
        <v>44925</v>
      </c>
      <c r="P2311" s="48" t="s">
        <v>3728</v>
      </c>
    </row>
    <row r="2312" spans="1:16" x14ac:dyDescent="0.3">
      <c r="A2312" s="59">
        <f t="shared" si="177"/>
        <v>2097</v>
      </c>
      <c r="B2312" s="60" t="s">
        <v>2387</v>
      </c>
      <c r="C2312" s="184">
        <v>1948</v>
      </c>
      <c r="D2312" s="51"/>
      <c r="E2312" s="256" t="s">
        <v>3730</v>
      </c>
      <c r="F2312" s="257">
        <v>2</v>
      </c>
      <c r="G2312" s="50"/>
      <c r="H2312" s="257">
        <v>229.3</v>
      </c>
      <c r="I2312" s="257">
        <v>13</v>
      </c>
      <c r="J2312" s="19">
        <f t="shared" si="175"/>
        <v>1336633.4000000001</v>
      </c>
      <c r="K2312" s="50"/>
      <c r="L2312" s="50"/>
      <c r="M2312" s="50"/>
      <c r="N2312" s="19">
        <f>SUMIF('2020'!B:B,B2312,'2020'!C:C)+SUMIF('2021'!B:B,B2312,'2021'!C:C)+SUMIF('2022'!B:B,B2312,'2022'!C:C)</f>
        <v>1336633.4000000001</v>
      </c>
      <c r="O2312" s="219">
        <v>44925</v>
      </c>
      <c r="P2312" s="48" t="s">
        <v>3728</v>
      </c>
    </row>
    <row r="2313" spans="1:16" x14ac:dyDescent="0.3">
      <c r="A2313" s="59">
        <f t="shared" si="177"/>
        <v>2098</v>
      </c>
      <c r="B2313" s="60" t="s">
        <v>2388</v>
      </c>
      <c r="C2313" s="184">
        <v>1960</v>
      </c>
      <c r="D2313" s="51"/>
      <c r="E2313" s="256" t="s">
        <v>3733</v>
      </c>
      <c r="F2313" s="257">
        <v>2</v>
      </c>
      <c r="G2313" s="50"/>
      <c r="H2313" s="257">
        <v>465</v>
      </c>
      <c r="I2313" s="257">
        <v>20</v>
      </c>
      <c r="J2313" s="19">
        <f t="shared" ref="J2313:J2376" si="178">K2313+L2313+M2313+N2313</f>
        <v>1406963.62</v>
      </c>
      <c r="K2313" s="50"/>
      <c r="L2313" s="50"/>
      <c r="M2313" s="50"/>
      <c r="N2313" s="19">
        <f>SUMIF('2020'!B:B,B2313,'2020'!C:C)+SUMIF('2021'!B:B,B2313,'2021'!C:C)+SUMIF('2022'!B:B,B2313,'2022'!C:C)</f>
        <v>1406963.62</v>
      </c>
      <c r="O2313" s="219">
        <v>44925</v>
      </c>
      <c r="P2313" s="48" t="s">
        <v>3728</v>
      </c>
    </row>
    <row r="2314" spans="1:16" x14ac:dyDescent="0.3">
      <c r="A2314" s="59">
        <f t="shared" si="177"/>
        <v>2099</v>
      </c>
      <c r="B2314" s="60" t="s">
        <v>2389</v>
      </c>
      <c r="C2314" s="184">
        <v>1959</v>
      </c>
      <c r="D2314" s="51"/>
      <c r="E2314" s="256" t="s">
        <v>3733</v>
      </c>
      <c r="F2314" s="257">
        <v>2</v>
      </c>
      <c r="G2314" s="50"/>
      <c r="H2314" s="257">
        <v>835.2</v>
      </c>
      <c r="I2314" s="257">
        <v>33</v>
      </c>
      <c r="J2314" s="19">
        <f t="shared" si="178"/>
        <v>558816</v>
      </c>
      <c r="K2314" s="50"/>
      <c r="L2314" s="50"/>
      <c r="M2314" s="50"/>
      <c r="N2314" s="19">
        <f>SUMIF('2020'!B:B,B2314,'2020'!C:C)+SUMIF('2021'!B:B,B2314,'2021'!C:C)+SUMIF('2022'!B:B,B2314,'2022'!C:C)</f>
        <v>558816</v>
      </c>
      <c r="O2314" s="219">
        <v>44925</v>
      </c>
      <c r="P2314" s="48" t="s">
        <v>3728</v>
      </c>
    </row>
    <row r="2315" spans="1:16" x14ac:dyDescent="0.3">
      <c r="A2315" s="59">
        <f t="shared" si="177"/>
        <v>2100</v>
      </c>
      <c r="B2315" s="60" t="s">
        <v>2390</v>
      </c>
      <c r="C2315" s="184">
        <v>1959</v>
      </c>
      <c r="D2315" s="51"/>
      <c r="E2315" s="256" t="s">
        <v>3733</v>
      </c>
      <c r="F2315" s="257">
        <v>2</v>
      </c>
      <c r="G2315" s="50"/>
      <c r="H2315" s="257">
        <v>370.6</v>
      </c>
      <c r="I2315" s="257">
        <v>29</v>
      </c>
      <c r="J2315" s="19">
        <f t="shared" si="178"/>
        <v>1065793.26</v>
      </c>
      <c r="K2315" s="50"/>
      <c r="L2315" s="50"/>
      <c r="M2315" s="50"/>
      <c r="N2315" s="19">
        <f>SUMIF('2020'!B:B,B2315,'2020'!C:C)+SUMIF('2021'!B:B,B2315,'2021'!C:C)+SUMIF('2022'!B:B,B2315,'2022'!C:C)</f>
        <v>1065793.26</v>
      </c>
      <c r="O2315" s="219">
        <v>44925</v>
      </c>
      <c r="P2315" s="48" t="s">
        <v>3728</v>
      </c>
    </row>
    <row r="2316" spans="1:16" x14ac:dyDescent="0.3">
      <c r="A2316" s="59">
        <f t="shared" si="177"/>
        <v>2101</v>
      </c>
      <c r="B2316" s="60" t="s">
        <v>2391</v>
      </c>
      <c r="C2316" s="184">
        <v>1963</v>
      </c>
      <c r="D2316" s="51"/>
      <c r="E2316" s="256" t="s">
        <v>3733</v>
      </c>
      <c r="F2316" s="257">
        <v>2</v>
      </c>
      <c r="G2316" s="50"/>
      <c r="H2316" s="257">
        <v>504.47</v>
      </c>
      <c r="I2316" s="257">
        <v>24</v>
      </c>
      <c r="J2316" s="19">
        <f t="shared" si="178"/>
        <v>1792326.44</v>
      </c>
      <c r="K2316" s="50"/>
      <c r="L2316" s="50"/>
      <c r="M2316" s="50"/>
      <c r="N2316" s="19">
        <f>SUMIF('2020'!B:B,B2316,'2020'!C:C)+SUMIF('2021'!B:B,B2316,'2021'!C:C)+SUMIF('2022'!B:B,B2316,'2022'!C:C)</f>
        <v>1792326.44</v>
      </c>
      <c r="O2316" s="219">
        <v>44925</v>
      </c>
      <c r="P2316" s="48" t="s">
        <v>3728</v>
      </c>
    </row>
    <row r="2317" spans="1:16" x14ac:dyDescent="0.3">
      <c r="A2317" s="59">
        <f t="shared" si="177"/>
        <v>2102</v>
      </c>
      <c r="B2317" s="60" t="s">
        <v>2392</v>
      </c>
      <c r="C2317" s="184">
        <v>1962</v>
      </c>
      <c r="D2317" s="51"/>
      <c r="E2317" s="256" t="s">
        <v>3733</v>
      </c>
      <c r="F2317" s="257">
        <v>2</v>
      </c>
      <c r="G2317" s="50"/>
      <c r="H2317" s="257">
        <v>530.04</v>
      </c>
      <c r="I2317" s="257">
        <v>17</v>
      </c>
      <c r="J2317" s="19">
        <f t="shared" si="178"/>
        <v>1686848.6</v>
      </c>
      <c r="K2317" s="50"/>
      <c r="L2317" s="50"/>
      <c r="M2317" s="50"/>
      <c r="N2317" s="19">
        <f>SUMIF('2020'!B:B,B2317,'2020'!C:C)+SUMIF('2021'!B:B,B2317,'2021'!C:C)+SUMIF('2022'!B:B,B2317,'2022'!C:C)</f>
        <v>1686848.6</v>
      </c>
      <c r="O2317" s="219">
        <v>44925</v>
      </c>
      <c r="P2317" s="48" t="s">
        <v>3728</v>
      </c>
    </row>
    <row r="2318" spans="1:16" x14ac:dyDescent="0.3">
      <c r="A2318" s="59">
        <f t="shared" si="177"/>
        <v>2103</v>
      </c>
      <c r="B2318" s="60" t="s">
        <v>2393</v>
      </c>
      <c r="C2318" s="184">
        <v>1963</v>
      </c>
      <c r="D2318" s="51"/>
      <c r="E2318" s="256" t="s">
        <v>3733</v>
      </c>
      <c r="F2318" s="257">
        <v>2</v>
      </c>
      <c r="G2318" s="50"/>
      <c r="H2318" s="257">
        <v>495.85</v>
      </c>
      <c r="I2318" s="257">
        <v>17</v>
      </c>
      <c r="J2318" s="19">
        <f t="shared" si="178"/>
        <v>1485739.41</v>
      </c>
      <c r="K2318" s="50"/>
      <c r="L2318" s="50"/>
      <c r="M2318" s="50"/>
      <c r="N2318" s="19">
        <f>SUMIF('2020'!B:B,B2318,'2020'!C:C)+SUMIF('2021'!B:B,B2318,'2021'!C:C)+SUMIF('2022'!B:B,B2318,'2022'!C:C)</f>
        <v>1485739.41</v>
      </c>
      <c r="O2318" s="219">
        <v>44925</v>
      </c>
      <c r="P2318" s="48" t="s">
        <v>3728</v>
      </c>
    </row>
    <row r="2319" spans="1:16" x14ac:dyDescent="0.3">
      <c r="A2319" s="220"/>
      <c r="B2319" s="248" t="s">
        <v>211</v>
      </c>
      <c r="C2319" s="50"/>
      <c r="D2319" s="50"/>
      <c r="E2319" s="48"/>
      <c r="F2319" s="48"/>
      <c r="G2319" s="50"/>
      <c r="H2319" s="48">
        <f>SUM(H2269:H2318)</f>
        <v>76663.380000000034</v>
      </c>
      <c r="I2319" s="218">
        <f>SUM(I2269:I2318)</f>
        <v>3354</v>
      </c>
      <c r="J2319" s="19">
        <f t="shared" si="178"/>
        <v>75112822.269999981</v>
      </c>
      <c r="K2319" s="50">
        <v>0</v>
      </c>
      <c r="L2319" s="50">
        <v>0</v>
      </c>
      <c r="M2319" s="50">
        <f>N2319-'2020'!C519-'2021'!C1781-'2022'!C752</f>
        <v>0</v>
      </c>
      <c r="N2319" s="50">
        <f>SUM(N2269:N2318)</f>
        <v>75112822.269999981</v>
      </c>
      <c r="O2319" s="50"/>
      <c r="P2319" s="50"/>
    </row>
    <row r="2320" spans="1:16" s="160" customFormat="1" x14ac:dyDescent="0.3">
      <c r="A2320" s="168"/>
      <c r="B2320" s="163" t="s">
        <v>2394</v>
      </c>
      <c r="C2320" s="67"/>
      <c r="D2320" s="67"/>
      <c r="E2320" s="172"/>
      <c r="F2320" s="172"/>
      <c r="G2320" s="67"/>
      <c r="H2320" s="67">
        <f t="shared" ref="H2320:M2320" si="179">H2319+H2267+H2259+H2247+H2240+H2236+H2232+H2183+H2176+H2228</f>
        <v>422675.69000000006</v>
      </c>
      <c r="I2320" s="67">
        <f t="shared" si="179"/>
        <v>19045</v>
      </c>
      <c r="J2320" s="67">
        <f t="shared" si="179"/>
        <v>511070022.13000005</v>
      </c>
      <c r="K2320" s="67">
        <f t="shared" si="179"/>
        <v>0</v>
      </c>
      <c r="L2320" s="67">
        <f t="shared" si="179"/>
        <v>0</v>
      </c>
      <c r="M2320" s="67">
        <f t="shared" si="179"/>
        <v>4.4587068259716034E-8</v>
      </c>
      <c r="N2320" s="67">
        <f>N2319+N2267+N2259+N2247+N2240+N2236+N2232+N2183+N2176+N2228</f>
        <v>511070022.13</v>
      </c>
      <c r="O2320" s="67"/>
      <c r="P2320" s="67"/>
    </row>
    <row r="2321" spans="1:16" s="160" customFormat="1" x14ac:dyDescent="0.3">
      <c r="A2321" s="478" t="s">
        <v>2395</v>
      </c>
      <c r="B2321" s="478"/>
      <c r="C2321" s="478"/>
      <c r="D2321" s="478"/>
      <c r="E2321" s="478"/>
      <c r="F2321" s="478"/>
      <c r="G2321" s="478"/>
      <c r="H2321" s="478"/>
      <c r="I2321" s="478"/>
      <c r="J2321" s="478"/>
      <c r="K2321" s="478"/>
      <c r="L2321" s="478"/>
      <c r="M2321" s="478"/>
      <c r="N2321" s="478"/>
      <c r="O2321" s="478"/>
      <c r="P2321" s="478"/>
    </row>
    <row r="2322" spans="1:16" x14ac:dyDescent="0.3">
      <c r="A2322" s="258" t="s">
        <v>2396</v>
      </c>
      <c r="B2322" s="259"/>
      <c r="C2322" s="172"/>
      <c r="D2322" s="172"/>
      <c r="E2322" s="172"/>
      <c r="F2322" s="172"/>
      <c r="G2322" s="172"/>
      <c r="H2322" s="172"/>
      <c r="I2322" s="172"/>
      <c r="J2322" s="19"/>
      <c r="K2322" s="172"/>
      <c r="L2322" s="172"/>
      <c r="M2322" s="172"/>
      <c r="N2322" s="172"/>
      <c r="O2322" s="172"/>
      <c r="P2322" s="172"/>
    </row>
    <row r="2323" spans="1:16" x14ac:dyDescent="0.3">
      <c r="A2323" s="59">
        <f>A2318+1</f>
        <v>2104</v>
      </c>
      <c r="B2323" s="60" t="s">
        <v>2397</v>
      </c>
      <c r="C2323" s="184">
        <v>1950</v>
      </c>
      <c r="D2323" s="51"/>
      <c r="E2323" s="52" t="s">
        <v>3733</v>
      </c>
      <c r="F2323" s="47">
        <v>2</v>
      </c>
      <c r="G2323" s="51"/>
      <c r="H2323" s="52">
        <v>894.4</v>
      </c>
      <c r="I2323" s="47">
        <v>22</v>
      </c>
      <c r="J2323" s="19">
        <f t="shared" si="178"/>
        <v>130000</v>
      </c>
      <c r="K2323" s="51"/>
      <c r="L2323" s="50"/>
      <c r="M2323" s="51"/>
      <c r="N2323" s="19">
        <f>SUMIF('2020'!B:B,B2323,'2020'!C:C)+SUMIF('2021'!B:B,B2323,'2021'!C:C)+SUMIF('2022'!B:B,B2323,'2022'!C:C)</f>
        <v>130000</v>
      </c>
      <c r="O2323" s="219">
        <v>44925</v>
      </c>
      <c r="P2323" s="48" t="s">
        <v>3728</v>
      </c>
    </row>
    <row r="2324" spans="1:16" x14ac:dyDescent="0.3">
      <c r="A2324" s="260" t="s">
        <v>211</v>
      </c>
      <c r="B2324" s="261"/>
      <c r="C2324" s="50"/>
      <c r="D2324" s="50"/>
      <c r="E2324" s="48"/>
      <c r="F2324" s="48"/>
      <c r="G2324" s="50"/>
      <c r="H2324" s="48">
        <f>SUM(H2323)</f>
        <v>894.4</v>
      </c>
      <c r="I2324" s="48">
        <f>SUM(I2323)</f>
        <v>22</v>
      </c>
      <c r="J2324" s="19">
        <f t="shared" si="178"/>
        <v>130000</v>
      </c>
      <c r="K2324" s="50">
        <v>0</v>
      </c>
      <c r="L2324" s="50">
        <v>0</v>
      </c>
      <c r="M2324" s="50">
        <v>0</v>
      </c>
      <c r="N2324" s="50">
        <f>SUM(N2323)</f>
        <v>130000</v>
      </c>
      <c r="O2324" s="50"/>
      <c r="P2324" s="50"/>
    </row>
    <row r="2325" spans="1:16" x14ac:dyDescent="0.3">
      <c r="A2325" s="258" t="s">
        <v>2398</v>
      </c>
      <c r="B2325" s="259"/>
      <c r="C2325" s="50"/>
      <c r="D2325" s="51"/>
      <c r="E2325" s="52"/>
      <c r="F2325" s="52"/>
      <c r="G2325" s="51"/>
      <c r="H2325" s="52"/>
      <c r="I2325" s="52"/>
      <c r="J2325" s="19"/>
      <c r="K2325" s="51"/>
      <c r="L2325" s="50"/>
      <c r="M2325" s="51"/>
      <c r="N2325" s="51"/>
      <c r="O2325" s="50"/>
      <c r="P2325" s="50"/>
    </row>
    <row r="2326" spans="1:16" x14ac:dyDescent="0.3">
      <c r="A2326" s="59">
        <f>A2323+1</f>
        <v>2105</v>
      </c>
      <c r="B2326" s="60" t="s">
        <v>2399</v>
      </c>
      <c r="C2326" s="184">
        <v>1976</v>
      </c>
      <c r="D2326" s="51"/>
      <c r="E2326" s="52" t="s">
        <v>3733</v>
      </c>
      <c r="F2326" s="47">
        <v>2</v>
      </c>
      <c r="G2326" s="51"/>
      <c r="H2326" s="52">
        <v>894.4</v>
      </c>
      <c r="I2326" s="47">
        <v>22</v>
      </c>
      <c r="J2326" s="19">
        <f t="shared" si="178"/>
        <v>559499.44999999995</v>
      </c>
      <c r="K2326" s="51"/>
      <c r="L2326" s="50"/>
      <c r="M2326" s="51"/>
      <c r="N2326" s="19">
        <f>SUMIF('2020'!B:B,B2326,'2020'!C:C)+SUMIF('2021'!B:B,B2326,'2021'!C:C)+SUMIF('2022'!B:B,B2326,'2022'!C:C)</f>
        <v>559499.44999999995</v>
      </c>
      <c r="O2326" s="219">
        <v>44925</v>
      </c>
      <c r="P2326" s="48" t="s">
        <v>3728</v>
      </c>
    </row>
    <row r="2327" spans="1:16" x14ac:dyDescent="0.3">
      <c r="A2327" s="59">
        <f t="shared" ref="A2327" si="180">A2326+1</f>
        <v>2106</v>
      </c>
      <c r="B2327" s="60" t="s">
        <v>2400</v>
      </c>
      <c r="C2327" s="184">
        <v>1927</v>
      </c>
      <c r="D2327" s="51"/>
      <c r="E2327" s="48"/>
      <c r="F2327" s="47"/>
      <c r="G2327" s="51"/>
      <c r="H2327" s="52"/>
      <c r="I2327" s="47"/>
      <c r="J2327" s="19">
        <f t="shared" si="178"/>
        <v>398586.48</v>
      </c>
      <c r="K2327" s="51"/>
      <c r="L2327" s="50"/>
      <c r="M2327" s="233"/>
      <c r="N2327" s="19">
        <f>SUMIF('2020'!B:B,B2327,'2020'!C:C)+SUMIF('2021'!B:B,B2327,'2021'!C:C)+SUMIF('2022'!B:B,B2327,'2022'!C:C)</f>
        <v>398586.48</v>
      </c>
      <c r="O2327" s="219">
        <v>44925</v>
      </c>
      <c r="P2327" s="48" t="s">
        <v>3728</v>
      </c>
    </row>
    <row r="2328" spans="1:16" x14ac:dyDescent="0.3">
      <c r="A2328" s="59">
        <f t="shared" ref="A2328:A2391" si="181">A2327+1</f>
        <v>2107</v>
      </c>
      <c r="B2328" s="60" t="s">
        <v>2401</v>
      </c>
      <c r="C2328" s="184">
        <v>1983</v>
      </c>
      <c r="D2328" s="51"/>
      <c r="E2328" s="52" t="s">
        <v>3731</v>
      </c>
      <c r="F2328" s="47">
        <v>2</v>
      </c>
      <c r="G2328" s="51"/>
      <c r="H2328" s="52">
        <v>644.1</v>
      </c>
      <c r="I2328" s="47">
        <v>18</v>
      </c>
      <c r="J2328" s="19">
        <f t="shared" si="178"/>
        <v>1810627.7999999998</v>
      </c>
      <c r="K2328" s="233"/>
      <c r="L2328" s="50"/>
      <c r="M2328" s="51"/>
      <c r="N2328" s="19">
        <f>SUMIF('2020'!B:B,B2328,'2020'!C:C)+SUMIF('2021'!B:B,B2328,'2021'!C:C)+SUMIF('2022'!B:B,B2328,'2022'!C:C)</f>
        <v>1810627.7999999998</v>
      </c>
      <c r="O2328" s="219">
        <v>44925</v>
      </c>
      <c r="P2328" s="48" t="s">
        <v>3728</v>
      </c>
    </row>
    <row r="2329" spans="1:16" x14ac:dyDescent="0.3">
      <c r="A2329" s="59">
        <f t="shared" si="181"/>
        <v>2108</v>
      </c>
      <c r="B2329" s="60" t="s">
        <v>2402</v>
      </c>
      <c r="C2329" s="184">
        <v>1976</v>
      </c>
      <c r="D2329" s="51"/>
      <c r="E2329" s="52" t="s">
        <v>3731</v>
      </c>
      <c r="F2329" s="47">
        <v>2</v>
      </c>
      <c r="G2329" s="51"/>
      <c r="H2329" s="52">
        <v>615.6</v>
      </c>
      <c r="I2329" s="47">
        <v>16</v>
      </c>
      <c r="J2329" s="19">
        <f t="shared" si="178"/>
        <v>517954.93999999994</v>
      </c>
      <c r="K2329" s="51"/>
      <c r="L2329" s="50"/>
      <c r="M2329" s="51"/>
      <c r="N2329" s="19">
        <f>SUMIF('2020'!B:B,B2329,'2020'!C:C)+SUMIF('2021'!B:B,B2329,'2021'!C:C)+SUMIF('2022'!B:B,B2329,'2022'!C:C)</f>
        <v>517954.93999999994</v>
      </c>
      <c r="O2329" s="219">
        <v>44925</v>
      </c>
      <c r="P2329" s="48" t="s">
        <v>3728</v>
      </c>
    </row>
    <row r="2330" spans="1:16" x14ac:dyDescent="0.3">
      <c r="A2330" s="59">
        <f t="shared" si="181"/>
        <v>2109</v>
      </c>
      <c r="B2330" s="60" t="s">
        <v>2403</v>
      </c>
      <c r="C2330" s="184">
        <v>1927</v>
      </c>
      <c r="D2330" s="51"/>
      <c r="E2330" s="52"/>
      <c r="F2330" s="47"/>
      <c r="G2330" s="51"/>
      <c r="H2330" s="52"/>
      <c r="I2330" s="47"/>
      <c r="J2330" s="19">
        <f t="shared" si="178"/>
        <v>319044.95999999996</v>
      </c>
      <c r="K2330" s="51"/>
      <c r="L2330" s="50"/>
      <c r="M2330" s="233"/>
      <c r="N2330" s="19">
        <f>SUMIF('2020'!B:B,B2330,'2020'!C:C)+SUMIF('2021'!B:B,B2330,'2021'!C:C)+SUMIF('2022'!B:B,B2330,'2022'!C:C)</f>
        <v>319044.95999999996</v>
      </c>
      <c r="O2330" s="219">
        <v>44925</v>
      </c>
      <c r="P2330" s="48" t="s">
        <v>3728</v>
      </c>
    </row>
    <row r="2331" spans="1:16" x14ac:dyDescent="0.3">
      <c r="A2331" s="59">
        <f t="shared" si="181"/>
        <v>2110</v>
      </c>
      <c r="B2331" s="60" t="s">
        <v>2404</v>
      </c>
      <c r="C2331" s="184">
        <v>1982</v>
      </c>
      <c r="D2331" s="51"/>
      <c r="E2331" s="52" t="s">
        <v>3731</v>
      </c>
      <c r="F2331" s="47">
        <v>2</v>
      </c>
      <c r="G2331" s="51"/>
      <c r="H2331" s="52">
        <v>634.79999999999995</v>
      </c>
      <c r="I2331" s="47">
        <v>16</v>
      </c>
      <c r="J2331" s="19">
        <f t="shared" si="178"/>
        <v>538693.62</v>
      </c>
      <c r="K2331" s="51"/>
      <c r="L2331" s="50"/>
      <c r="M2331" s="51"/>
      <c r="N2331" s="19">
        <f>SUMIF('2020'!B:B,B2331,'2020'!C:C)+SUMIF('2021'!B:B,B2331,'2021'!C:C)+SUMIF('2022'!B:B,B2331,'2022'!C:C)</f>
        <v>538693.62</v>
      </c>
      <c r="O2331" s="219">
        <v>44925</v>
      </c>
      <c r="P2331" s="48" t="s">
        <v>3728</v>
      </c>
    </row>
    <row r="2332" spans="1:16" x14ac:dyDescent="0.3">
      <c r="A2332" s="59">
        <f t="shared" si="181"/>
        <v>2111</v>
      </c>
      <c r="B2332" s="60" t="s">
        <v>2405</v>
      </c>
      <c r="C2332" s="184">
        <v>1977</v>
      </c>
      <c r="D2332" s="51"/>
      <c r="E2332" s="52" t="s">
        <v>3731</v>
      </c>
      <c r="F2332" s="47">
        <v>2</v>
      </c>
      <c r="G2332" s="51"/>
      <c r="H2332" s="52">
        <v>613.1</v>
      </c>
      <c r="I2332" s="47">
        <v>17</v>
      </c>
      <c r="J2332" s="19">
        <f t="shared" si="178"/>
        <v>520484.04000000004</v>
      </c>
      <c r="K2332" s="51"/>
      <c r="L2332" s="50"/>
      <c r="M2332" s="51"/>
      <c r="N2332" s="19">
        <f>SUMIF('2020'!B:B,B2332,'2020'!C:C)+SUMIF('2021'!B:B,B2332,'2021'!C:C)+SUMIF('2022'!B:B,B2332,'2022'!C:C)</f>
        <v>520484.04000000004</v>
      </c>
      <c r="O2332" s="219">
        <v>44925</v>
      </c>
      <c r="P2332" s="48" t="s">
        <v>3728</v>
      </c>
    </row>
    <row r="2333" spans="1:16" x14ac:dyDescent="0.3">
      <c r="A2333" s="59">
        <f t="shared" si="181"/>
        <v>2112</v>
      </c>
      <c r="B2333" s="60" t="s">
        <v>2406</v>
      </c>
      <c r="C2333" s="184">
        <v>1927</v>
      </c>
      <c r="D2333" s="51"/>
      <c r="E2333" s="52"/>
      <c r="F2333" s="47"/>
      <c r="G2333" s="51"/>
      <c r="H2333" s="48"/>
      <c r="I2333" s="47"/>
      <c r="J2333" s="19">
        <f t="shared" si="178"/>
        <v>323337.7</v>
      </c>
      <c r="K2333" s="51"/>
      <c r="L2333" s="50"/>
      <c r="M2333" s="233"/>
      <c r="N2333" s="19">
        <f>SUMIF('2020'!B:B,B2333,'2020'!C:C)+SUMIF('2021'!B:B,B2333,'2021'!C:C)+SUMIF('2022'!B:B,B2333,'2022'!C:C)</f>
        <v>323337.7</v>
      </c>
      <c r="O2333" s="219">
        <v>44925</v>
      </c>
      <c r="P2333" s="48" t="s">
        <v>3728</v>
      </c>
    </row>
    <row r="2334" spans="1:16" x14ac:dyDescent="0.3">
      <c r="A2334" s="59">
        <f t="shared" si="181"/>
        <v>2113</v>
      </c>
      <c r="B2334" s="60" t="s">
        <v>2407</v>
      </c>
      <c r="C2334" s="184">
        <v>1978</v>
      </c>
      <c r="D2334" s="51"/>
      <c r="E2334" s="52" t="s">
        <v>3731</v>
      </c>
      <c r="F2334" s="47">
        <v>2</v>
      </c>
      <c r="G2334" s="51"/>
      <c r="H2334" s="52">
        <v>609.79999999999995</v>
      </c>
      <c r="I2334" s="47">
        <v>18</v>
      </c>
      <c r="J2334" s="19">
        <f t="shared" si="178"/>
        <v>646347.5</v>
      </c>
      <c r="K2334" s="51"/>
      <c r="L2334" s="50"/>
      <c r="M2334" s="51"/>
      <c r="N2334" s="19">
        <f>SUMIF('2020'!B:B,B2334,'2020'!C:C)+SUMIF('2021'!B:B,B2334,'2021'!C:C)+SUMIF('2022'!B:B,B2334,'2022'!C:C)</f>
        <v>646347.5</v>
      </c>
      <c r="O2334" s="219">
        <v>44925</v>
      </c>
      <c r="P2334" s="48" t="s">
        <v>3728</v>
      </c>
    </row>
    <row r="2335" spans="1:16" x14ac:dyDescent="0.3">
      <c r="A2335" s="59">
        <f t="shared" si="181"/>
        <v>2114</v>
      </c>
      <c r="B2335" s="60" t="s">
        <v>2408</v>
      </c>
      <c r="C2335" s="184">
        <v>1980</v>
      </c>
      <c r="D2335" s="51"/>
      <c r="E2335" s="52" t="s">
        <v>3731</v>
      </c>
      <c r="F2335" s="47">
        <v>2</v>
      </c>
      <c r="G2335" s="51"/>
      <c r="H2335" s="52">
        <v>619.20000000000005</v>
      </c>
      <c r="I2335" s="47">
        <v>12</v>
      </c>
      <c r="J2335" s="19">
        <f t="shared" si="178"/>
        <v>562054.24</v>
      </c>
      <c r="K2335" s="51"/>
      <c r="L2335" s="50"/>
      <c r="M2335" s="51"/>
      <c r="N2335" s="19">
        <f>SUMIF('2020'!B:B,B2335,'2020'!C:C)+SUMIF('2021'!B:B,B2335,'2021'!C:C)+SUMIF('2022'!B:B,B2335,'2022'!C:C)</f>
        <v>562054.24</v>
      </c>
      <c r="O2335" s="219">
        <v>44925</v>
      </c>
      <c r="P2335" s="48" t="s">
        <v>3728</v>
      </c>
    </row>
    <row r="2336" spans="1:16" x14ac:dyDescent="0.3">
      <c r="A2336" s="59">
        <f t="shared" si="181"/>
        <v>2115</v>
      </c>
      <c r="B2336" s="60" t="s">
        <v>2409</v>
      </c>
      <c r="C2336" s="184">
        <v>1967</v>
      </c>
      <c r="D2336" s="51"/>
      <c r="E2336" s="48" t="s">
        <v>3739</v>
      </c>
      <c r="F2336" s="47">
        <v>5</v>
      </c>
      <c r="G2336" s="50"/>
      <c r="H2336" s="52">
        <v>4757</v>
      </c>
      <c r="I2336" s="47">
        <v>140</v>
      </c>
      <c r="J2336" s="19">
        <f t="shared" si="178"/>
        <v>896011.09000000008</v>
      </c>
      <c r="K2336" s="51"/>
      <c r="L2336" s="50"/>
      <c r="M2336" s="51"/>
      <c r="N2336" s="19">
        <f>SUMIF('2020'!B:B,B2336,'2020'!C:C)+SUMIF('2021'!B:B,B2336,'2021'!C:C)+SUMIF('2022'!B:B,B2336,'2022'!C:C)</f>
        <v>896011.09000000008</v>
      </c>
      <c r="O2336" s="219">
        <v>44925</v>
      </c>
      <c r="P2336" s="48" t="s">
        <v>3728</v>
      </c>
    </row>
    <row r="2337" spans="1:16" x14ac:dyDescent="0.3">
      <c r="A2337" s="59">
        <f t="shared" si="181"/>
        <v>2116</v>
      </c>
      <c r="B2337" s="60" t="s">
        <v>2411</v>
      </c>
      <c r="C2337" s="184">
        <v>1971</v>
      </c>
      <c r="D2337" s="51"/>
      <c r="E2337" s="48" t="s">
        <v>3739</v>
      </c>
      <c r="F2337" s="47">
        <v>5</v>
      </c>
      <c r="G2337" s="50"/>
      <c r="H2337" s="52">
        <v>7935.7</v>
      </c>
      <c r="I2337" s="47">
        <v>266</v>
      </c>
      <c r="J2337" s="19">
        <f t="shared" si="178"/>
        <v>15072386.709999999</v>
      </c>
      <c r="K2337" s="51"/>
      <c r="L2337" s="50"/>
      <c r="M2337" s="51"/>
      <c r="N2337" s="19">
        <f>SUMIF('2020'!B:B,B2337,'2020'!C:C)+SUMIF('2021'!B:B,B2337,'2021'!C:C)+SUMIF('2022'!B:B,B2337,'2022'!C:C)</f>
        <v>15072386.709999999</v>
      </c>
      <c r="O2337" s="219">
        <v>44925</v>
      </c>
      <c r="P2337" s="48" t="s">
        <v>3728</v>
      </c>
    </row>
    <row r="2338" spans="1:16" x14ac:dyDescent="0.3">
      <c r="A2338" s="59">
        <f t="shared" si="181"/>
        <v>2117</v>
      </c>
      <c r="B2338" s="60" t="s">
        <v>2413</v>
      </c>
      <c r="C2338" s="184">
        <v>1971</v>
      </c>
      <c r="D2338" s="51"/>
      <c r="E2338" s="48" t="s">
        <v>3733</v>
      </c>
      <c r="F2338" s="47">
        <v>5</v>
      </c>
      <c r="G2338" s="50"/>
      <c r="H2338" s="52">
        <v>5408.9</v>
      </c>
      <c r="I2338" s="47">
        <v>189</v>
      </c>
      <c r="J2338" s="19">
        <f t="shared" si="178"/>
        <v>888739.46</v>
      </c>
      <c r="K2338" s="51"/>
      <c r="L2338" s="50"/>
      <c r="M2338" s="51"/>
      <c r="N2338" s="19">
        <f>SUMIF('2020'!B:B,B2338,'2020'!C:C)+SUMIF('2021'!B:B,B2338,'2021'!C:C)+SUMIF('2022'!B:B,B2338,'2022'!C:C)</f>
        <v>888739.46</v>
      </c>
      <c r="O2338" s="219">
        <v>44925</v>
      </c>
      <c r="P2338" s="48" t="s">
        <v>3728</v>
      </c>
    </row>
    <row r="2339" spans="1:16" x14ac:dyDescent="0.3">
      <c r="A2339" s="59">
        <f t="shared" si="181"/>
        <v>2118</v>
      </c>
      <c r="B2339" s="60" t="s">
        <v>2415</v>
      </c>
      <c r="C2339" s="184">
        <v>1958</v>
      </c>
      <c r="D2339" s="51"/>
      <c r="E2339" s="48" t="s">
        <v>3733</v>
      </c>
      <c r="F2339" s="47">
        <v>2</v>
      </c>
      <c r="G2339" s="51"/>
      <c r="H2339" s="52">
        <v>1529.2</v>
      </c>
      <c r="I2339" s="47">
        <v>34</v>
      </c>
      <c r="J2339" s="19">
        <f t="shared" si="178"/>
        <v>545087.49</v>
      </c>
      <c r="K2339" s="51"/>
      <c r="L2339" s="50"/>
      <c r="M2339" s="51"/>
      <c r="N2339" s="19">
        <f>SUMIF('2020'!B:B,B2339,'2020'!C:C)+SUMIF('2021'!B:B,B2339,'2021'!C:C)+SUMIF('2022'!B:B,B2339,'2022'!C:C)</f>
        <v>545087.49</v>
      </c>
      <c r="O2339" s="219">
        <v>44925</v>
      </c>
      <c r="P2339" s="48" t="s">
        <v>3728</v>
      </c>
    </row>
    <row r="2340" spans="1:16" x14ac:dyDescent="0.3">
      <c r="A2340" s="59">
        <f t="shared" si="181"/>
        <v>2119</v>
      </c>
      <c r="B2340" s="60" t="s">
        <v>2417</v>
      </c>
      <c r="C2340" s="184">
        <v>1958</v>
      </c>
      <c r="D2340" s="51"/>
      <c r="E2340" s="48" t="s">
        <v>3733</v>
      </c>
      <c r="F2340" s="47">
        <v>3</v>
      </c>
      <c r="G2340" s="51"/>
      <c r="H2340" s="52">
        <v>1474.4</v>
      </c>
      <c r="I2340" s="47">
        <v>41</v>
      </c>
      <c r="J2340" s="19">
        <f t="shared" si="178"/>
        <v>2317979.9500000002</v>
      </c>
      <c r="K2340" s="51"/>
      <c r="L2340" s="50"/>
      <c r="M2340" s="51"/>
      <c r="N2340" s="19">
        <f>SUMIF('2020'!B:B,B2340,'2020'!C:C)+SUMIF('2021'!B:B,B2340,'2021'!C:C)+SUMIF('2022'!B:B,B2340,'2022'!C:C)</f>
        <v>2317979.9500000002</v>
      </c>
      <c r="O2340" s="219">
        <v>44925</v>
      </c>
      <c r="P2340" s="48" t="s">
        <v>3728</v>
      </c>
    </row>
    <row r="2341" spans="1:16" x14ac:dyDescent="0.3">
      <c r="A2341" s="59">
        <f t="shared" si="181"/>
        <v>2120</v>
      </c>
      <c r="B2341" s="60" t="s">
        <v>2418</v>
      </c>
      <c r="C2341" s="184">
        <v>1958</v>
      </c>
      <c r="D2341" s="51"/>
      <c r="E2341" s="48" t="s">
        <v>3733</v>
      </c>
      <c r="F2341" s="47">
        <v>2</v>
      </c>
      <c r="G2341" s="51"/>
      <c r="H2341" s="52">
        <v>1116.0999999999999</v>
      </c>
      <c r="I2341" s="47">
        <v>13</v>
      </c>
      <c r="J2341" s="19">
        <f t="shared" si="178"/>
        <v>363804.95999999996</v>
      </c>
      <c r="K2341" s="51"/>
      <c r="L2341" s="50"/>
      <c r="M2341" s="51"/>
      <c r="N2341" s="19">
        <f>SUMIF('2020'!B:B,B2341,'2020'!C:C)+SUMIF('2021'!B:B,B2341,'2021'!C:C)+SUMIF('2022'!B:B,B2341,'2022'!C:C)</f>
        <v>363804.95999999996</v>
      </c>
      <c r="O2341" s="219">
        <v>44925</v>
      </c>
      <c r="P2341" s="48" t="s">
        <v>3728</v>
      </c>
    </row>
    <row r="2342" spans="1:16" x14ac:dyDescent="0.3">
      <c r="A2342" s="59">
        <f t="shared" si="181"/>
        <v>2121</v>
      </c>
      <c r="B2342" s="60" t="s">
        <v>2420</v>
      </c>
      <c r="C2342" s="184">
        <v>1975</v>
      </c>
      <c r="D2342" s="51"/>
      <c r="E2342" s="48" t="s">
        <v>3733</v>
      </c>
      <c r="F2342" s="47">
        <v>5</v>
      </c>
      <c r="G2342" s="51"/>
      <c r="H2342" s="52">
        <v>9217.7999999999993</v>
      </c>
      <c r="I2342" s="47">
        <v>258</v>
      </c>
      <c r="J2342" s="19">
        <f t="shared" si="178"/>
        <v>1327505.83</v>
      </c>
      <c r="K2342" s="51"/>
      <c r="L2342" s="50"/>
      <c r="M2342" s="51"/>
      <c r="N2342" s="19">
        <f>SUMIF('2020'!B:B,B2342,'2020'!C:C)+SUMIF('2021'!B:B,B2342,'2021'!C:C)+SUMIF('2022'!B:B,B2342,'2022'!C:C)</f>
        <v>1327505.83</v>
      </c>
      <c r="O2342" s="219">
        <v>44925</v>
      </c>
      <c r="P2342" s="48" t="s">
        <v>3728</v>
      </c>
    </row>
    <row r="2343" spans="1:16" x14ac:dyDescent="0.3">
      <c r="A2343" s="59">
        <f t="shared" si="181"/>
        <v>2122</v>
      </c>
      <c r="B2343" s="60" t="s">
        <v>2422</v>
      </c>
      <c r="C2343" s="184">
        <v>1988</v>
      </c>
      <c r="D2343" s="51"/>
      <c r="E2343" s="48" t="s">
        <v>3733</v>
      </c>
      <c r="F2343" s="47">
        <v>5</v>
      </c>
      <c r="G2343" s="51"/>
      <c r="H2343" s="52">
        <v>5071</v>
      </c>
      <c r="I2343" s="47">
        <v>147</v>
      </c>
      <c r="J2343" s="19">
        <f t="shared" si="178"/>
        <v>692939.31</v>
      </c>
      <c r="K2343" s="51"/>
      <c r="L2343" s="50"/>
      <c r="M2343" s="51"/>
      <c r="N2343" s="19">
        <f>SUMIF('2020'!B:B,B2343,'2020'!C:C)+SUMIF('2021'!B:B,B2343,'2021'!C:C)+SUMIF('2022'!B:B,B2343,'2022'!C:C)</f>
        <v>692939.31</v>
      </c>
      <c r="O2343" s="219">
        <v>44925</v>
      </c>
      <c r="P2343" s="48" t="s">
        <v>3728</v>
      </c>
    </row>
    <row r="2344" spans="1:16" x14ac:dyDescent="0.3">
      <c r="A2344" s="59">
        <f t="shared" si="181"/>
        <v>2123</v>
      </c>
      <c r="B2344" s="60" t="s">
        <v>2423</v>
      </c>
      <c r="C2344" s="184">
        <v>1967</v>
      </c>
      <c r="D2344" s="51"/>
      <c r="E2344" s="48" t="s">
        <v>3739</v>
      </c>
      <c r="F2344" s="47">
        <v>5</v>
      </c>
      <c r="G2344" s="51"/>
      <c r="H2344" s="48">
        <v>7466.4</v>
      </c>
      <c r="I2344" s="47">
        <v>197</v>
      </c>
      <c r="J2344" s="19">
        <f t="shared" si="178"/>
        <v>4607289.75</v>
      </c>
      <c r="K2344" s="51"/>
      <c r="L2344" s="50"/>
      <c r="M2344" s="51"/>
      <c r="N2344" s="19">
        <f>SUMIF('2020'!B:B,B2344,'2020'!C:C)+SUMIF('2021'!B:B,B2344,'2021'!C:C)+SUMIF('2022'!B:B,B2344,'2022'!C:C)</f>
        <v>4607289.75</v>
      </c>
      <c r="O2344" s="219">
        <v>44925</v>
      </c>
      <c r="P2344" s="48" t="s">
        <v>3728</v>
      </c>
    </row>
    <row r="2345" spans="1:16" x14ac:dyDescent="0.3">
      <c r="A2345" s="59">
        <f t="shared" si="181"/>
        <v>2124</v>
      </c>
      <c r="B2345" s="60" t="s">
        <v>2425</v>
      </c>
      <c r="C2345" s="184">
        <v>1986</v>
      </c>
      <c r="D2345" s="51"/>
      <c r="E2345" s="48" t="s">
        <v>3739</v>
      </c>
      <c r="F2345" s="47">
        <v>5</v>
      </c>
      <c r="G2345" s="51"/>
      <c r="H2345" s="52">
        <v>7521.2</v>
      </c>
      <c r="I2345" s="47">
        <v>213</v>
      </c>
      <c r="J2345" s="19">
        <f t="shared" si="178"/>
        <v>2425877.83</v>
      </c>
      <c r="K2345" s="51"/>
      <c r="L2345" s="50"/>
      <c r="M2345" s="51"/>
      <c r="N2345" s="19">
        <f>SUMIF('2020'!B:B,B2345,'2020'!C:C)+SUMIF('2021'!B:B,B2345,'2021'!C:C)+SUMIF('2022'!B:B,B2345,'2022'!C:C)</f>
        <v>2425877.83</v>
      </c>
      <c r="O2345" s="219">
        <v>44925</v>
      </c>
      <c r="P2345" s="48" t="s">
        <v>3728</v>
      </c>
    </row>
    <row r="2346" spans="1:16" x14ac:dyDescent="0.3">
      <c r="A2346" s="59">
        <f t="shared" si="181"/>
        <v>2125</v>
      </c>
      <c r="B2346" s="60" t="s">
        <v>2426</v>
      </c>
      <c r="C2346" s="184">
        <v>1971</v>
      </c>
      <c r="D2346" s="51"/>
      <c r="E2346" s="48" t="s">
        <v>3739</v>
      </c>
      <c r="F2346" s="47">
        <v>5</v>
      </c>
      <c r="G2346" s="51"/>
      <c r="H2346" s="52">
        <v>7435.7</v>
      </c>
      <c r="I2346" s="47">
        <v>234</v>
      </c>
      <c r="J2346" s="19">
        <f t="shared" si="178"/>
        <v>760714.84</v>
      </c>
      <c r="K2346" s="51"/>
      <c r="L2346" s="50"/>
      <c r="M2346" s="51"/>
      <c r="N2346" s="19">
        <f>SUMIF('2020'!B:B,B2346,'2020'!C:C)+SUMIF('2021'!B:B,B2346,'2021'!C:C)+SUMIF('2022'!B:B,B2346,'2022'!C:C)</f>
        <v>760714.84</v>
      </c>
      <c r="O2346" s="219">
        <v>44925</v>
      </c>
      <c r="P2346" s="48" t="s">
        <v>3728</v>
      </c>
    </row>
    <row r="2347" spans="1:16" x14ac:dyDescent="0.3">
      <c r="A2347" s="59">
        <f t="shared" si="181"/>
        <v>2126</v>
      </c>
      <c r="B2347" s="60" t="s">
        <v>2427</v>
      </c>
      <c r="C2347" s="184">
        <v>1988</v>
      </c>
      <c r="D2347" s="51"/>
      <c r="E2347" s="48" t="s">
        <v>3739</v>
      </c>
      <c r="F2347" s="47">
        <v>5</v>
      </c>
      <c r="G2347" s="51"/>
      <c r="H2347" s="52">
        <v>5076.7</v>
      </c>
      <c r="I2347" s="47">
        <v>143</v>
      </c>
      <c r="J2347" s="19">
        <f t="shared" si="178"/>
        <v>1211219.3799999999</v>
      </c>
      <c r="K2347" s="51"/>
      <c r="L2347" s="50"/>
      <c r="M2347" s="51"/>
      <c r="N2347" s="19">
        <f>SUMIF('2020'!B:B,B2347,'2020'!C:C)+SUMIF('2021'!B:B,B2347,'2021'!C:C)+SUMIF('2022'!B:B,B2347,'2022'!C:C)</f>
        <v>1211219.3799999999</v>
      </c>
      <c r="O2347" s="219">
        <v>44925</v>
      </c>
      <c r="P2347" s="48" t="s">
        <v>3728</v>
      </c>
    </row>
    <row r="2348" spans="1:16" x14ac:dyDescent="0.3">
      <c r="A2348" s="59">
        <f t="shared" si="181"/>
        <v>2127</v>
      </c>
      <c r="B2348" s="60" t="s">
        <v>2428</v>
      </c>
      <c r="C2348" s="184">
        <v>1978</v>
      </c>
      <c r="D2348" s="51"/>
      <c r="E2348" s="48" t="s">
        <v>3739</v>
      </c>
      <c r="F2348" s="47">
        <v>5</v>
      </c>
      <c r="G2348" s="51"/>
      <c r="H2348" s="52">
        <v>6303.8</v>
      </c>
      <c r="I2348" s="47">
        <v>188</v>
      </c>
      <c r="J2348" s="19">
        <f t="shared" si="178"/>
        <v>615116.93999999994</v>
      </c>
      <c r="K2348" s="51"/>
      <c r="L2348" s="50"/>
      <c r="M2348" s="51"/>
      <c r="N2348" s="19">
        <f>SUMIF('2020'!B:B,B2348,'2020'!C:C)+SUMIF('2021'!B:B,B2348,'2021'!C:C)+SUMIF('2022'!B:B,B2348,'2022'!C:C)</f>
        <v>615116.93999999994</v>
      </c>
      <c r="O2348" s="219">
        <v>44925</v>
      </c>
      <c r="P2348" s="48" t="s">
        <v>3728</v>
      </c>
    </row>
    <row r="2349" spans="1:16" x14ac:dyDescent="0.3">
      <c r="A2349" s="59">
        <f t="shared" si="181"/>
        <v>2128</v>
      </c>
      <c r="B2349" s="60" t="s">
        <v>2429</v>
      </c>
      <c r="C2349" s="184">
        <v>1956</v>
      </c>
      <c r="D2349" s="51"/>
      <c r="E2349" s="48" t="s">
        <v>3739</v>
      </c>
      <c r="F2349" s="47">
        <v>5</v>
      </c>
      <c r="G2349" s="51"/>
      <c r="H2349" s="52">
        <v>4755.3</v>
      </c>
      <c r="I2349" s="47">
        <v>146</v>
      </c>
      <c r="J2349" s="19">
        <f t="shared" si="178"/>
        <v>1590019.1500000001</v>
      </c>
      <c r="K2349" s="51"/>
      <c r="L2349" s="50"/>
      <c r="M2349" s="51"/>
      <c r="N2349" s="19">
        <f>SUMIF('2020'!B:B,B2349,'2020'!C:C)+SUMIF('2021'!B:B,B2349,'2021'!C:C)+SUMIF('2022'!B:B,B2349,'2022'!C:C)</f>
        <v>1590019.1500000001</v>
      </c>
      <c r="O2349" s="219">
        <v>44925</v>
      </c>
      <c r="P2349" s="48" t="s">
        <v>3728</v>
      </c>
    </row>
    <row r="2350" spans="1:16" x14ac:dyDescent="0.3">
      <c r="A2350" s="59">
        <f t="shared" si="181"/>
        <v>2129</v>
      </c>
      <c r="B2350" s="60" t="s">
        <v>2431</v>
      </c>
      <c r="C2350" s="184">
        <v>1986</v>
      </c>
      <c r="D2350" s="51"/>
      <c r="E2350" s="48" t="s">
        <v>3733</v>
      </c>
      <c r="F2350" s="47">
        <v>3</v>
      </c>
      <c r="G2350" s="51"/>
      <c r="H2350" s="52">
        <v>2424.6999999999998</v>
      </c>
      <c r="I2350" s="47">
        <v>75</v>
      </c>
      <c r="J2350" s="19">
        <f t="shared" si="178"/>
        <v>753478.5</v>
      </c>
      <c r="K2350" s="51"/>
      <c r="L2350" s="50"/>
      <c r="M2350" s="51"/>
      <c r="N2350" s="19">
        <f>SUMIF('2020'!B:B,B2350,'2020'!C:C)+SUMIF('2021'!B:B,B2350,'2021'!C:C)+SUMIF('2022'!B:B,B2350,'2022'!C:C)</f>
        <v>753478.5</v>
      </c>
      <c r="O2350" s="219">
        <v>44925</v>
      </c>
      <c r="P2350" s="48" t="s">
        <v>3728</v>
      </c>
    </row>
    <row r="2351" spans="1:16" x14ac:dyDescent="0.3">
      <c r="A2351" s="59">
        <f t="shared" si="181"/>
        <v>2130</v>
      </c>
      <c r="B2351" s="60" t="s">
        <v>2432</v>
      </c>
      <c r="C2351" s="184">
        <v>1980</v>
      </c>
      <c r="D2351" s="51"/>
      <c r="E2351" s="52"/>
      <c r="F2351" s="47"/>
      <c r="G2351" s="51"/>
      <c r="H2351" s="52"/>
      <c r="I2351" s="47"/>
      <c r="J2351" s="19">
        <f t="shared" si="178"/>
        <v>155605.99</v>
      </c>
      <c r="K2351" s="233"/>
      <c r="L2351" s="50"/>
      <c r="M2351" s="233"/>
      <c r="N2351" s="19">
        <f>SUMIF('2020'!B:B,B2351,'2020'!C:C)+SUMIF('2021'!B:B,B2351,'2021'!C:C)+SUMIF('2022'!B:B,B2351,'2022'!C:C)</f>
        <v>155605.99</v>
      </c>
      <c r="O2351" s="219">
        <v>44925</v>
      </c>
      <c r="P2351" s="48" t="s">
        <v>3728</v>
      </c>
    </row>
    <row r="2352" spans="1:16" x14ac:dyDescent="0.3">
      <c r="A2352" s="59">
        <f t="shared" si="181"/>
        <v>2131</v>
      </c>
      <c r="B2352" s="60" t="s">
        <v>2433</v>
      </c>
      <c r="C2352" s="184">
        <v>1969</v>
      </c>
      <c r="D2352" s="51"/>
      <c r="E2352" s="52" t="s">
        <v>3731</v>
      </c>
      <c r="F2352" s="47">
        <v>3</v>
      </c>
      <c r="G2352" s="51"/>
      <c r="H2352" s="52">
        <v>2209.4</v>
      </c>
      <c r="I2352" s="47">
        <v>46</v>
      </c>
      <c r="J2352" s="19">
        <f t="shared" si="178"/>
        <v>232178.5</v>
      </c>
      <c r="K2352" s="51"/>
      <c r="L2352" s="50"/>
      <c r="M2352" s="51"/>
      <c r="N2352" s="19">
        <f>SUMIF('2020'!B:B,B2352,'2020'!C:C)+SUMIF('2021'!B:B,B2352,'2021'!C:C)+SUMIF('2022'!B:B,B2352,'2022'!C:C)</f>
        <v>232178.5</v>
      </c>
      <c r="O2352" s="219">
        <v>44925</v>
      </c>
      <c r="P2352" s="48" t="s">
        <v>3728</v>
      </c>
    </row>
    <row r="2353" spans="1:16" x14ac:dyDescent="0.3">
      <c r="A2353" s="59">
        <f t="shared" si="181"/>
        <v>2132</v>
      </c>
      <c r="B2353" s="60" t="s">
        <v>2435</v>
      </c>
      <c r="C2353" s="184">
        <v>1964</v>
      </c>
      <c r="D2353" s="51"/>
      <c r="E2353" s="52" t="s">
        <v>3731</v>
      </c>
      <c r="F2353" s="47">
        <v>4</v>
      </c>
      <c r="G2353" s="51"/>
      <c r="H2353" s="52">
        <v>1732.2</v>
      </c>
      <c r="I2353" s="47">
        <v>62</v>
      </c>
      <c r="J2353" s="19">
        <f t="shared" si="178"/>
        <v>1009707.92</v>
      </c>
      <c r="K2353" s="51"/>
      <c r="L2353" s="50"/>
      <c r="M2353" s="51"/>
      <c r="N2353" s="19">
        <f>SUMIF('2020'!B:B,B2353,'2020'!C:C)+SUMIF('2021'!B:B,B2353,'2021'!C:C)+SUMIF('2022'!B:B,B2353,'2022'!C:C)</f>
        <v>1009707.92</v>
      </c>
      <c r="O2353" s="219">
        <v>44925</v>
      </c>
      <c r="P2353" s="48" t="s">
        <v>3728</v>
      </c>
    </row>
    <row r="2354" spans="1:16" x14ac:dyDescent="0.3">
      <c r="A2354" s="59">
        <f t="shared" si="181"/>
        <v>2133</v>
      </c>
      <c r="B2354" s="60" t="s">
        <v>2436</v>
      </c>
      <c r="C2354" s="184">
        <v>1957</v>
      </c>
      <c r="D2354" s="51"/>
      <c r="E2354" s="52" t="s">
        <v>3731</v>
      </c>
      <c r="F2354" s="47">
        <v>3</v>
      </c>
      <c r="G2354" s="51"/>
      <c r="H2354" s="48">
        <v>4199.1000000000004</v>
      </c>
      <c r="I2354" s="47">
        <v>70</v>
      </c>
      <c r="J2354" s="19">
        <f t="shared" si="178"/>
        <v>938008.17</v>
      </c>
      <c r="K2354" s="51"/>
      <c r="L2354" s="50"/>
      <c r="M2354" s="51"/>
      <c r="N2354" s="19">
        <f>SUMIF('2020'!B:B,B2354,'2020'!C:C)+SUMIF('2021'!B:B,B2354,'2021'!C:C)+SUMIF('2022'!B:B,B2354,'2022'!C:C)</f>
        <v>938008.17</v>
      </c>
      <c r="O2354" s="219">
        <v>44925</v>
      </c>
      <c r="P2354" s="48" t="s">
        <v>3728</v>
      </c>
    </row>
    <row r="2355" spans="1:16" x14ac:dyDescent="0.3">
      <c r="A2355" s="59">
        <f t="shared" si="181"/>
        <v>2134</v>
      </c>
      <c r="B2355" s="60" t="s">
        <v>2437</v>
      </c>
      <c r="C2355" s="184">
        <v>1960</v>
      </c>
      <c r="D2355" s="51"/>
      <c r="E2355" s="52" t="s">
        <v>3731</v>
      </c>
      <c r="F2355" s="47">
        <v>3</v>
      </c>
      <c r="G2355" s="51"/>
      <c r="H2355" s="48">
        <v>2882</v>
      </c>
      <c r="I2355" s="47">
        <v>43</v>
      </c>
      <c r="J2355" s="19">
        <f t="shared" si="178"/>
        <v>764813.15999999992</v>
      </c>
      <c r="K2355" s="51"/>
      <c r="L2355" s="50"/>
      <c r="M2355" s="51"/>
      <c r="N2355" s="19">
        <f>SUMIF('2020'!B:B,B2355,'2020'!C:C)+SUMIF('2021'!B:B,B2355,'2021'!C:C)+SUMIF('2022'!B:B,B2355,'2022'!C:C)</f>
        <v>764813.15999999992</v>
      </c>
      <c r="O2355" s="219">
        <v>44925</v>
      </c>
      <c r="P2355" s="48" t="s">
        <v>3728</v>
      </c>
    </row>
    <row r="2356" spans="1:16" x14ac:dyDescent="0.3">
      <c r="A2356" s="59">
        <f t="shared" si="181"/>
        <v>2135</v>
      </c>
      <c r="B2356" s="60" t="s">
        <v>2438</v>
      </c>
      <c r="C2356" s="184">
        <v>1954</v>
      </c>
      <c r="D2356" s="51"/>
      <c r="E2356" s="52" t="s">
        <v>3731</v>
      </c>
      <c r="F2356" s="47">
        <v>2</v>
      </c>
      <c r="G2356" s="51"/>
      <c r="H2356" s="52">
        <v>1760.8</v>
      </c>
      <c r="I2356" s="47">
        <v>30</v>
      </c>
      <c r="J2356" s="19">
        <f t="shared" si="178"/>
        <v>495527.24</v>
      </c>
      <c r="K2356" s="51"/>
      <c r="L2356" s="50"/>
      <c r="M2356" s="51"/>
      <c r="N2356" s="19">
        <f>SUMIF('2020'!B:B,B2356,'2020'!C:C)+SUMIF('2021'!B:B,B2356,'2021'!C:C)+SUMIF('2022'!B:B,B2356,'2022'!C:C)</f>
        <v>495527.24</v>
      </c>
      <c r="O2356" s="219">
        <v>44925</v>
      </c>
      <c r="P2356" s="48" t="s">
        <v>3728</v>
      </c>
    </row>
    <row r="2357" spans="1:16" x14ac:dyDescent="0.3">
      <c r="A2357" s="59">
        <f t="shared" si="181"/>
        <v>2136</v>
      </c>
      <c r="B2357" s="60" t="s">
        <v>2439</v>
      </c>
      <c r="C2357" s="184">
        <v>1957</v>
      </c>
      <c r="D2357" s="51"/>
      <c r="E2357" s="52" t="s">
        <v>3731</v>
      </c>
      <c r="F2357" s="47">
        <v>2</v>
      </c>
      <c r="G2357" s="51"/>
      <c r="H2357" s="52">
        <v>1749.7</v>
      </c>
      <c r="I2357" s="47">
        <v>27</v>
      </c>
      <c r="J2357" s="19">
        <f t="shared" si="178"/>
        <v>377781.83999999997</v>
      </c>
      <c r="K2357" s="51"/>
      <c r="L2357" s="50"/>
      <c r="M2357" s="51"/>
      <c r="N2357" s="19">
        <f>SUMIF('2020'!B:B,B2357,'2020'!C:C)+SUMIF('2021'!B:B,B2357,'2021'!C:C)+SUMIF('2022'!B:B,B2357,'2022'!C:C)</f>
        <v>377781.83999999997</v>
      </c>
      <c r="O2357" s="219">
        <v>44925</v>
      </c>
      <c r="P2357" s="48" t="s">
        <v>3728</v>
      </c>
    </row>
    <row r="2358" spans="1:16" x14ac:dyDescent="0.3">
      <c r="A2358" s="59">
        <f t="shared" si="181"/>
        <v>2137</v>
      </c>
      <c r="B2358" s="60" t="s">
        <v>2440</v>
      </c>
      <c r="C2358" s="184">
        <v>1960</v>
      </c>
      <c r="D2358" s="51"/>
      <c r="E2358" s="52" t="s">
        <v>3731</v>
      </c>
      <c r="F2358" s="47">
        <v>4</v>
      </c>
      <c r="G2358" s="51"/>
      <c r="H2358" s="48">
        <v>2876.3</v>
      </c>
      <c r="I2358" s="47">
        <v>78</v>
      </c>
      <c r="J2358" s="19">
        <f t="shared" si="178"/>
        <v>329421.70999999996</v>
      </c>
      <c r="K2358" s="51"/>
      <c r="L2358" s="50"/>
      <c r="M2358" s="233"/>
      <c r="N2358" s="19">
        <f>SUMIF('2020'!B:B,B2358,'2020'!C:C)+SUMIF('2021'!B:B,B2358,'2021'!C:C)+SUMIF('2022'!B:B,B2358,'2022'!C:C)</f>
        <v>329421.70999999996</v>
      </c>
      <c r="O2358" s="219">
        <v>44925</v>
      </c>
      <c r="P2358" s="48" t="s">
        <v>3728</v>
      </c>
    </row>
    <row r="2359" spans="1:16" x14ac:dyDescent="0.3">
      <c r="A2359" s="59">
        <f t="shared" si="181"/>
        <v>2138</v>
      </c>
      <c r="B2359" s="60" t="s">
        <v>2441</v>
      </c>
      <c r="C2359" s="184">
        <v>1976</v>
      </c>
      <c r="D2359" s="51"/>
      <c r="E2359" s="52" t="s">
        <v>3733</v>
      </c>
      <c r="F2359" s="47">
        <v>5</v>
      </c>
      <c r="G2359" s="51"/>
      <c r="H2359" s="52">
        <v>9253.7999999999993</v>
      </c>
      <c r="I2359" s="47">
        <v>260</v>
      </c>
      <c r="J2359" s="19">
        <f t="shared" si="178"/>
        <v>101322.67</v>
      </c>
      <c r="K2359" s="51"/>
      <c r="L2359" s="50"/>
      <c r="M2359" s="51"/>
      <c r="N2359" s="19">
        <f>SUMIF('2020'!B:B,B2359,'2020'!C:C)+SUMIF('2021'!B:B,B2359,'2021'!C:C)+SUMIF('2022'!B:B,B2359,'2022'!C:C)</f>
        <v>101322.67</v>
      </c>
      <c r="O2359" s="219">
        <v>44925</v>
      </c>
      <c r="P2359" s="48" t="s">
        <v>3728</v>
      </c>
    </row>
    <row r="2360" spans="1:16" x14ac:dyDescent="0.3">
      <c r="A2360" s="59">
        <f t="shared" si="181"/>
        <v>2139</v>
      </c>
      <c r="B2360" s="60" t="s">
        <v>2442</v>
      </c>
      <c r="C2360" s="184">
        <v>1917</v>
      </c>
      <c r="D2360" s="51"/>
      <c r="E2360" s="48" t="s">
        <v>3733</v>
      </c>
      <c r="F2360" s="47">
        <v>3</v>
      </c>
      <c r="G2360" s="51"/>
      <c r="H2360" s="52">
        <v>1402.7</v>
      </c>
      <c r="I2360" s="47">
        <v>36</v>
      </c>
      <c r="J2360" s="19">
        <f t="shared" si="178"/>
        <v>932041.07000000007</v>
      </c>
      <c r="K2360" s="51"/>
      <c r="L2360" s="50"/>
      <c r="M2360" s="51"/>
      <c r="N2360" s="19">
        <f>SUMIF('2020'!B:B,B2360,'2020'!C:C)+SUMIF('2021'!B:B,B2360,'2021'!C:C)+SUMIF('2022'!B:B,B2360,'2022'!C:C)</f>
        <v>932041.07000000007</v>
      </c>
      <c r="O2360" s="219">
        <v>44925</v>
      </c>
      <c r="P2360" s="48" t="s">
        <v>3728</v>
      </c>
    </row>
    <row r="2361" spans="1:16" x14ac:dyDescent="0.3">
      <c r="A2361" s="59">
        <f t="shared" si="181"/>
        <v>2140</v>
      </c>
      <c r="B2361" s="60" t="s">
        <v>2444</v>
      </c>
      <c r="C2361" s="184">
        <v>1952</v>
      </c>
      <c r="D2361" s="51"/>
      <c r="E2361" s="48" t="s">
        <v>3731</v>
      </c>
      <c r="F2361" s="47">
        <v>2</v>
      </c>
      <c r="G2361" s="51"/>
      <c r="H2361" s="48">
        <v>691.8</v>
      </c>
      <c r="I2361" s="47">
        <v>18</v>
      </c>
      <c r="J2361" s="19">
        <f t="shared" si="178"/>
        <v>312039</v>
      </c>
      <c r="K2361" s="51"/>
      <c r="L2361" s="50"/>
      <c r="M2361" s="51"/>
      <c r="N2361" s="19">
        <f>SUMIF('2020'!B:B,B2361,'2020'!C:C)+SUMIF('2021'!B:B,B2361,'2021'!C:C)+SUMIF('2022'!B:B,B2361,'2022'!C:C)</f>
        <v>312039</v>
      </c>
      <c r="O2361" s="219">
        <v>44925</v>
      </c>
      <c r="P2361" s="48" t="s">
        <v>3728</v>
      </c>
    </row>
    <row r="2362" spans="1:16" x14ac:dyDescent="0.3">
      <c r="A2362" s="59">
        <f t="shared" si="181"/>
        <v>2141</v>
      </c>
      <c r="B2362" s="60" t="s">
        <v>2445</v>
      </c>
      <c r="C2362" s="184">
        <v>1956</v>
      </c>
      <c r="D2362" s="51"/>
      <c r="E2362" s="48" t="s">
        <v>3731</v>
      </c>
      <c r="F2362" s="47">
        <v>2</v>
      </c>
      <c r="G2362" s="51"/>
      <c r="H2362" s="48">
        <v>677.9</v>
      </c>
      <c r="I2362" s="47">
        <v>15</v>
      </c>
      <c r="J2362" s="19">
        <f t="shared" si="178"/>
        <v>3163508.8000000003</v>
      </c>
      <c r="K2362" s="51"/>
      <c r="L2362" s="50"/>
      <c r="M2362" s="51"/>
      <c r="N2362" s="19">
        <f>SUMIF('2020'!B:B,B2362,'2020'!C:C)+SUMIF('2021'!B:B,B2362,'2021'!C:C)+SUMIF('2022'!B:B,B2362,'2022'!C:C)</f>
        <v>3163508.8000000003</v>
      </c>
      <c r="O2362" s="219">
        <v>44925</v>
      </c>
      <c r="P2362" s="48" t="s">
        <v>3728</v>
      </c>
    </row>
    <row r="2363" spans="1:16" x14ac:dyDescent="0.3">
      <c r="A2363" s="59">
        <f t="shared" si="181"/>
        <v>2142</v>
      </c>
      <c r="B2363" s="60" t="s">
        <v>2446</v>
      </c>
      <c r="C2363" s="184">
        <v>1968</v>
      </c>
      <c r="D2363" s="51"/>
      <c r="E2363" s="48" t="s">
        <v>3733</v>
      </c>
      <c r="F2363" s="47">
        <v>5</v>
      </c>
      <c r="G2363" s="51"/>
      <c r="H2363" s="48">
        <v>4629.7</v>
      </c>
      <c r="I2363" s="47">
        <v>136</v>
      </c>
      <c r="J2363" s="19">
        <f t="shared" si="178"/>
        <v>1081682.26</v>
      </c>
      <c r="K2363" s="51"/>
      <c r="L2363" s="50"/>
      <c r="M2363" s="51"/>
      <c r="N2363" s="19">
        <f>SUMIF('2020'!B:B,B2363,'2020'!C:C)+SUMIF('2021'!B:B,B2363,'2021'!C:C)+SUMIF('2022'!B:B,B2363,'2022'!C:C)</f>
        <v>1081682.26</v>
      </c>
      <c r="O2363" s="219">
        <v>44925</v>
      </c>
      <c r="P2363" s="48" t="s">
        <v>3728</v>
      </c>
    </row>
    <row r="2364" spans="1:16" x14ac:dyDescent="0.3">
      <c r="A2364" s="59">
        <f t="shared" si="181"/>
        <v>2143</v>
      </c>
      <c r="B2364" s="60" t="s">
        <v>2448</v>
      </c>
      <c r="C2364" s="184">
        <v>1956</v>
      </c>
      <c r="D2364" s="51"/>
      <c r="E2364" s="48" t="s">
        <v>3733</v>
      </c>
      <c r="F2364" s="47">
        <v>2</v>
      </c>
      <c r="G2364" s="51"/>
      <c r="H2364" s="52">
        <v>1308.8</v>
      </c>
      <c r="I2364" s="47">
        <v>23</v>
      </c>
      <c r="J2364" s="19">
        <f t="shared" si="178"/>
        <v>942215.24</v>
      </c>
      <c r="K2364" s="51"/>
      <c r="L2364" s="50"/>
      <c r="M2364" s="51"/>
      <c r="N2364" s="19">
        <f>SUMIF('2020'!B:B,B2364,'2020'!C:C)+SUMIF('2021'!B:B,B2364,'2021'!C:C)+SUMIF('2022'!B:B,B2364,'2022'!C:C)</f>
        <v>942215.24</v>
      </c>
      <c r="O2364" s="219">
        <v>44925</v>
      </c>
      <c r="P2364" s="48" t="s">
        <v>3728</v>
      </c>
    </row>
    <row r="2365" spans="1:16" x14ac:dyDescent="0.3">
      <c r="A2365" s="59">
        <f t="shared" si="181"/>
        <v>2144</v>
      </c>
      <c r="B2365" s="60" t="s">
        <v>2449</v>
      </c>
      <c r="C2365" s="184">
        <v>1981</v>
      </c>
      <c r="D2365" s="51"/>
      <c r="E2365" s="48" t="s">
        <v>3739</v>
      </c>
      <c r="F2365" s="47">
        <v>5</v>
      </c>
      <c r="G2365" s="51"/>
      <c r="H2365" s="52">
        <v>4869.8999999999996</v>
      </c>
      <c r="I2365" s="47">
        <v>217</v>
      </c>
      <c r="J2365" s="19">
        <f t="shared" si="178"/>
        <v>272126.63</v>
      </c>
      <c r="K2365" s="51"/>
      <c r="L2365" s="50"/>
      <c r="M2365" s="51"/>
      <c r="N2365" s="19">
        <f>SUMIF('2020'!B:B,B2365,'2020'!C:C)+SUMIF('2021'!B:B,B2365,'2021'!C:C)+SUMIF('2022'!B:B,B2365,'2022'!C:C)</f>
        <v>272126.63</v>
      </c>
      <c r="O2365" s="219">
        <v>44925</v>
      </c>
      <c r="P2365" s="48" t="s">
        <v>3728</v>
      </c>
    </row>
    <row r="2366" spans="1:16" x14ac:dyDescent="0.3">
      <c r="A2366" s="59">
        <f t="shared" si="181"/>
        <v>2145</v>
      </c>
      <c r="B2366" s="60" t="s">
        <v>2450</v>
      </c>
      <c r="C2366" s="184">
        <v>1987</v>
      </c>
      <c r="D2366" s="51"/>
      <c r="E2366" s="48" t="s">
        <v>3739</v>
      </c>
      <c r="F2366" s="47">
        <v>5</v>
      </c>
      <c r="G2366" s="51"/>
      <c r="H2366" s="52">
        <v>7432.9</v>
      </c>
      <c r="I2366" s="47">
        <v>215</v>
      </c>
      <c r="J2366" s="19">
        <f t="shared" si="178"/>
        <v>864087.2</v>
      </c>
      <c r="K2366" s="51"/>
      <c r="L2366" s="50"/>
      <c r="M2366" s="51"/>
      <c r="N2366" s="19">
        <f>SUMIF('2020'!B:B,B2366,'2020'!C:C)+SUMIF('2021'!B:B,B2366,'2021'!C:C)+SUMIF('2022'!B:B,B2366,'2022'!C:C)</f>
        <v>864087.2</v>
      </c>
      <c r="O2366" s="219">
        <v>44925</v>
      </c>
      <c r="P2366" s="48" t="s">
        <v>3728</v>
      </c>
    </row>
    <row r="2367" spans="1:16" x14ac:dyDescent="0.3">
      <c r="A2367" s="59">
        <f t="shared" si="181"/>
        <v>2146</v>
      </c>
      <c r="B2367" s="60" t="s">
        <v>2451</v>
      </c>
      <c r="C2367" s="184">
        <v>1984</v>
      </c>
      <c r="D2367" s="51"/>
      <c r="E2367" s="48" t="s">
        <v>3739</v>
      </c>
      <c r="F2367" s="47">
        <v>5</v>
      </c>
      <c r="G2367" s="51"/>
      <c r="H2367" s="48">
        <v>5022.5</v>
      </c>
      <c r="I2367" s="47">
        <v>135</v>
      </c>
      <c r="J2367" s="19">
        <f t="shared" si="178"/>
        <v>709094.34000000008</v>
      </c>
      <c r="K2367" s="51"/>
      <c r="L2367" s="50"/>
      <c r="M2367" s="51"/>
      <c r="N2367" s="19">
        <f>SUMIF('2020'!B:B,B2367,'2020'!C:C)+SUMIF('2021'!B:B,B2367,'2021'!C:C)+SUMIF('2022'!B:B,B2367,'2022'!C:C)</f>
        <v>709094.34000000008</v>
      </c>
      <c r="O2367" s="219">
        <v>44925</v>
      </c>
      <c r="P2367" s="48" t="s">
        <v>3728</v>
      </c>
    </row>
    <row r="2368" spans="1:16" x14ac:dyDescent="0.3">
      <c r="A2368" s="59">
        <f t="shared" si="181"/>
        <v>2147</v>
      </c>
      <c r="B2368" s="60" t="s">
        <v>2453</v>
      </c>
      <c r="C2368" s="184">
        <v>1969</v>
      </c>
      <c r="D2368" s="51"/>
      <c r="E2368" s="52" t="s">
        <v>3733</v>
      </c>
      <c r="F2368" s="47">
        <v>5</v>
      </c>
      <c r="G2368" s="51"/>
      <c r="H2368" s="52">
        <v>4248.8</v>
      </c>
      <c r="I2368" s="47">
        <v>168</v>
      </c>
      <c r="J2368" s="19">
        <f t="shared" si="178"/>
        <v>11125673.660000002</v>
      </c>
      <c r="K2368" s="51"/>
      <c r="L2368" s="50"/>
      <c r="M2368" s="51"/>
      <c r="N2368" s="19">
        <f>SUMIF('2020'!B:B,B2368,'2020'!C:C)+SUMIF('2021'!B:B,B2368,'2021'!C:C)+SUMIF('2022'!B:B,B2368,'2022'!C:C)</f>
        <v>11125673.660000002</v>
      </c>
      <c r="O2368" s="219">
        <v>44925</v>
      </c>
      <c r="P2368" s="48" t="s">
        <v>3728</v>
      </c>
    </row>
    <row r="2369" spans="1:16" x14ac:dyDescent="0.3">
      <c r="A2369" s="59">
        <f t="shared" si="181"/>
        <v>2148</v>
      </c>
      <c r="B2369" s="60" t="s">
        <v>2454</v>
      </c>
      <c r="C2369" s="184">
        <v>1917</v>
      </c>
      <c r="D2369" s="51"/>
      <c r="E2369" s="48" t="s">
        <v>4090</v>
      </c>
      <c r="F2369" s="47">
        <v>2</v>
      </c>
      <c r="G2369" s="51"/>
      <c r="H2369" s="52">
        <v>648.28</v>
      </c>
      <c r="I2369" s="47">
        <v>12</v>
      </c>
      <c r="J2369" s="19">
        <f t="shared" si="178"/>
        <v>583349.74</v>
      </c>
      <c r="K2369" s="51"/>
      <c r="L2369" s="50"/>
      <c r="M2369" s="51"/>
      <c r="N2369" s="19">
        <f>SUMIF('2020'!B:B,B2369,'2020'!C:C)+SUMIF('2021'!B:B,B2369,'2021'!C:C)+SUMIF('2022'!B:B,B2369,'2022'!C:C)</f>
        <v>583349.74</v>
      </c>
      <c r="O2369" s="219">
        <v>44925</v>
      </c>
      <c r="P2369" s="48" t="s">
        <v>3728</v>
      </c>
    </row>
    <row r="2370" spans="1:16" x14ac:dyDescent="0.3">
      <c r="A2370" s="59">
        <f t="shared" si="181"/>
        <v>2149</v>
      </c>
      <c r="B2370" s="60" t="s">
        <v>2456</v>
      </c>
      <c r="C2370" s="184">
        <v>1917</v>
      </c>
      <c r="D2370" s="51"/>
      <c r="E2370" s="48" t="s">
        <v>4090</v>
      </c>
      <c r="F2370" s="47">
        <v>2</v>
      </c>
      <c r="G2370" s="51"/>
      <c r="H2370" s="52">
        <v>423.4</v>
      </c>
      <c r="I2370" s="47">
        <v>4</v>
      </c>
      <c r="J2370" s="19">
        <f t="shared" si="178"/>
        <v>470158.76</v>
      </c>
      <c r="K2370" s="51"/>
      <c r="L2370" s="50"/>
      <c r="M2370" s="51"/>
      <c r="N2370" s="19">
        <f>SUMIF('2020'!B:B,B2370,'2020'!C:C)+SUMIF('2021'!B:B,B2370,'2021'!C:C)+SUMIF('2022'!B:B,B2370,'2022'!C:C)</f>
        <v>470158.76</v>
      </c>
      <c r="O2370" s="219">
        <v>44925</v>
      </c>
      <c r="P2370" s="48" t="s">
        <v>3728</v>
      </c>
    </row>
    <row r="2371" spans="1:16" x14ac:dyDescent="0.3">
      <c r="A2371" s="59">
        <f t="shared" si="181"/>
        <v>2150</v>
      </c>
      <c r="B2371" s="60" t="s">
        <v>2457</v>
      </c>
      <c r="C2371" s="184">
        <v>1975</v>
      </c>
      <c r="D2371" s="51"/>
      <c r="E2371" s="52" t="s">
        <v>3739</v>
      </c>
      <c r="F2371" s="47">
        <v>5</v>
      </c>
      <c r="G2371" s="51"/>
      <c r="H2371" s="52">
        <v>3527.3</v>
      </c>
      <c r="I2371" s="47">
        <v>98</v>
      </c>
      <c r="J2371" s="19">
        <f t="shared" si="178"/>
        <v>438821.18</v>
      </c>
      <c r="K2371" s="51"/>
      <c r="L2371" s="50"/>
      <c r="M2371" s="51"/>
      <c r="N2371" s="19">
        <f>SUMIF('2020'!B:B,B2371,'2020'!C:C)+SUMIF('2021'!B:B,B2371,'2021'!C:C)+SUMIF('2022'!B:B,B2371,'2022'!C:C)</f>
        <v>438821.18</v>
      </c>
      <c r="O2371" s="219">
        <v>44925</v>
      </c>
      <c r="P2371" s="48" t="s">
        <v>3728</v>
      </c>
    </row>
    <row r="2372" spans="1:16" x14ac:dyDescent="0.3">
      <c r="A2372" s="59">
        <f t="shared" si="181"/>
        <v>2151</v>
      </c>
      <c r="B2372" s="60" t="s">
        <v>2458</v>
      </c>
      <c r="C2372" s="184">
        <v>1960</v>
      </c>
      <c r="D2372" s="51"/>
      <c r="E2372" s="48" t="s">
        <v>3733</v>
      </c>
      <c r="F2372" s="47">
        <v>4</v>
      </c>
      <c r="G2372" s="51"/>
      <c r="H2372" s="52">
        <v>2705.1</v>
      </c>
      <c r="I2372" s="47">
        <v>74</v>
      </c>
      <c r="J2372" s="19">
        <f t="shared" si="178"/>
        <v>1665216.6400000001</v>
      </c>
      <c r="K2372" s="51"/>
      <c r="L2372" s="262"/>
      <c r="M2372" s="51"/>
      <c r="N2372" s="19">
        <f>SUMIF('2020'!B:B,B2372,'2020'!C:C)+SUMIF('2021'!B:B,B2372,'2021'!C:C)+SUMIF('2022'!B:B,B2372,'2022'!C:C)</f>
        <v>1665216.6400000001</v>
      </c>
      <c r="O2372" s="219">
        <v>44925</v>
      </c>
      <c r="P2372" s="48" t="s">
        <v>3728</v>
      </c>
    </row>
    <row r="2373" spans="1:16" x14ac:dyDescent="0.3">
      <c r="A2373" s="59">
        <f t="shared" si="181"/>
        <v>2152</v>
      </c>
      <c r="B2373" s="60" t="s">
        <v>2460</v>
      </c>
      <c r="C2373" s="184">
        <v>1975</v>
      </c>
      <c r="D2373" s="51"/>
      <c r="E2373" s="52" t="s">
        <v>3733</v>
      </c>
      <c r="F2373" s="47">
        <v>5</v>
      </c>
      <c r="G2373" s="51"/>
      <c r="H2373" s="52">
        <v>4120.2</v>
      </c>
      <c r="I2373" s="47">
        <v>142</v>
      </c>
      <c r="J2373" s="19">
        <f t="shared" si="178"/>
        <v>315676.07</v>
      </c>
      <c r="K2373" s="51"/>
      <c r="L2373" s="50"/>
      <c r="M2373" s="51"/>
      <c r="N2373" s="19">
        <f>SUMIF('2020'!B:B,B2373,'2020'!C:C)+SUMIF('2021'!B:B,B2373,'2021'!C:C)+SUMIF('2022'!B:B,B2373,'2022'!C:C)</f>
        <v>315676.07</v>
      </c>
      <c r="O2373" s="219">
        <v>44925</v>
      </c>
      <c r="P2373" s="48" t="s">
        <v>3728</v>
      </c>
    </row>
    <row r="2374" spans="1:16" x14ac:dyDescent="0.3">
      <c r="A2374" s="59">
        <f t="shared" si="181"/>
        <v>2153</v>
      </c>
      <c r="B2374" s="60" t="s">
        <v>2461</v>
      </c>
      <c r="C2374" s="184">
        <v>1974</v>
      </c>
      <c r="D2374" s="51"/>
      <c r="E2374" s="48" t="s">
        <v>4090</v>
      </c>
      <c r="F2374" s="47">
        <v>2</v>
      </c>
      <c r="G2374" s="51"/>
      <c r="H2374" s="52">
        <v>332.6</v>
      </c>
      <c r="I2374" s="47">
        <v>9</v>
      </c>
      <c r="J2374" s="19">
        <f t="shared" si="178"/>
        <v>221569.5</v>
      </c>
      <c r="K2374" s="51"/>
      <c r="L2374" s="50"/>
      <c r="M2374" s="51"/>
      <c r="N2374" s="19">
        <f>SUMIF('2020'!B:B,B2374,'2020'!C:C)+SUMIF('2021'!B:B,B2374,'2021'!C:C)+SUMIF('2022'!B:B,B2374,'2022'!C:C)</f>
        <v>221569.5</v>
      </c>
      <c r="O2374" s="219">
        <v>44925</v>
      </c>
      <c r="P2374" s="48" t="s">
        <v>3728</v>
      </c>
    </row>
    <row r="2375" spans="1:16" x14ac:dyDescent="0.3">
      <c r="A2375" s="59">
        <f t="shared" si="181"/>
        <v>2154</v>
      </c>
      <c r="B2375" s="60" t="s">
        <v>2463</v>
      </c>
      <c r="C2375" s="184">
        <v>1981</v>
      </c>
      <c r="D2375" s="51"/>
      <c r="E2375" s="48" t="s">
        <v>3733</v>
      </c>
      <c r="F2375" s="47">
        <v>2</v>
      </c>
      <c r="G2375" s="51"/>
      <c r="H2375" s="52">
        <v>984.1</v>
      </c>
      <c r="I2375" s="47">
        <v>24</v>
      </c>
      <c r="J2375" s="19">
        <f t="shared" si="178"/>
        <v>705467.63</v>
      </c>
      <c r="K2375" s="51"/>
      <c r="L2375" s="50"/>
      <c r="M2375" s="51"/>
      <c r="N2375" s="19">
        <f>SUMIF('2020'!B:B,B2375,'2020'!C:C)+SUMIF('2021'!B:B,B2375,'2021'!C:C)+SUMIF('2022'!B:B,B2375,'2022'!C:C)</f>
        <v>705467.63</v>
      </c>
      <c r="O2375" s="219">
        <v>44925</v>
      </c>
      <c r="P2375" s="48" t="s">
        <v>3728</v>
      </c>
    </row>
    <row r="2376" spans="1:16" x14ac:dyDescent="0.3">
      <c r="A2376" s="59">
        <f t="shared" si="181"/>
        <v>2155</v>
      </c>
      <c r="B2376" s="60" t="s">
        <v>2464</v>
      </c>
      <c r="C2376" s="184">
        <v>1972</v>
      </c>
      <c r="D2376" s="51"/>
      <c r="E2376" s="48" t="s">
        <v>3733</v>
      </c>
      <c r="F2376" s="47">
        <v>2</v>
      </c>
      <c r="G2376" s="51"/>
      <c r="H2376" s="52">
        <v>1684.9</v>
      </c>
      <c r="I2376" s="47">
        <v>35</v>
      </c>
      <c r="J2376" s="19">
        <f t="shared" si="178"/>
        <v>583541.04</v>
      </c>
      <c r="K2376" s="51"/>
      <c r="L2376" s="50"/>
      <c r="M2376" s="51"/>
      <c r="N2376" s="19">
        <f>SUMIF('2020'!B:B,B2376,'2020'!C:C)+SUMIF('2021'!B:B,B2376,'2021'!C:C)+SUMIF('2022'!B:B,B2376,'2022'!C:C)</f>
        <v>583541.04</v>
      </c>
      <c r="O2376" s="219">
        <v>44925</v>
      </c>
      <c r="P2376" s="48" t="s">
        <v>3728</v>
      </c>
    </row>
    <row r="2377" spans="1:16" x14ac:dyDescent="0.3">
      <c r="A2377" s="59">
        <f t="shared" si="181"/>
        <v>2156</v>
      </c>
      <c r="B2377" s="60" t="s">
        <v>2465</v>
      </c>
      <c r="C2377" s="184">
        <v>1973</v>
      </c>
      <c r="D2377" s="51"/>
      <c r="E2377" s="48" t="s">
        <v>3733</v>
      </c>
      <c r="F2377" s="47">
        <v>2</v>
      </c>
      <c r="G2377" s="51"/>
      <c r="H2377" s="52">
        <v>1303.3</v>
      </c>
      <c r="I2377" s="47">
        <v>38</v>
      </c>
      <c r="J2377" s="19">
        <f t="shared" ref="J2377:J2440" si="182">K2377+L2377+M2377+N2377</f>
        <v>117965.82</v>
      </c>
      <c r="K2377" s="51"/>
      <c r="L2377" s="50"/>
      <c r="M2377" s="233"/>
      <c r="N2377" s="19">
        <f>SUMIF('2020'!B:B,B2377,'2020'!C:C)+SUMIF('2021'!B:B,B2377,'2021'!C:C)+SUMIF('2022'!B:B,B2377,'2022'!C:C)</f>
        <v>117965.82</v>
      </c>
      <c r="O2377" s="219">
        <v>44925</v>
      </c>
      <c r="P2377" s="48" t="s">
        <v>3728</v>
      </c>
    </row>
    <row r="2378" spans="1:16" x14ac:dyDescent="0.3">
      <c r="A2378" s="59">
        <f t="shared" si="181"/>
        <v>2157</v>
      </c>
      <c r="B2378" s="60" t="s">
        <v>2466</v>
      </c>
      <c r="C2378" s="184">
        <v>1948</v>
      </c>
      <c r="D2378" s="51"/>
      <c r="E2378" s="48" t="s">
        <v>3731</v>
      </c>
      <c r="F2378" s="47">
        <v>2</v>
      </c>
      <c r="G2378" s="51"/>
      <c r="H2378" s="48">
        <v>853.1</v>
      </c>
      <c r="I2378" s="47">
        <v>29</v>
      </c>
      <c r="J2378" s="19">
        <f t="shared" si="182"/>
        <v>966033.44</v>
      </c>
      <c r="K2378" s="51"/>
      <c r="L2378" s="50"/>
      <c r="M2378" s="51"/>
      <c r="N2378" s="19">
        <f>SUMIF('2020'!B:B,B2378,'2020'!C:C)+SUMIF('2021'!B:B,B2378,'2021'!C:C)+SUMIF('2022'!B:B,B2378,'2022'!C:C)</f>
        <v>966033.44</v>
      </c>
      <c r="O2378" s="219">
        <v>44925</v>
      </c>
      <c r="P2378" s="48" t="s">
        <v>3728</v>
      </c>
    </row>
    <row r="2379" spans="1:16" x14ac:dyDescent="0.3">
      <c r="A2379" s="59">
        <f t="shared" si="181"/>
        <v>2158</v>
      </c>
      <c r="B2379" s="60" t="s">
        <v>2467</v>
      </c>
      <c r="C2379" s="184">
        <v>1958</v>
      </c>
      <c r="D2379" s="51"/>
      <c r="E2379" s="48"/>
      <c r="F2379" s="47"/>
      <c r="G2379" s="51"/>
      <c r="H2379" s="48"/>
      <c r="I2379" s="47"/>
      <c r="J2379" s="19">
        <f t="shared" si="182"/>
        <v>130000</v>
      </c>
      <c r="K2379" s="233"/>
      <c r="L2379" s="50"/>
      <c r="M2379" s="233"/>
      <c r="N2379" s="19">
        <f>SUMIF('2020'!B:B,B2379,'2020'!C:C)+SUMIF('2021'!B:B,B2379,'2021'!C:C)+SUMIF('2022'!B:B,B2379,'2022'!C:C)</f>
        <v>130000</v>
      </c>
      <c r="O2379" s="219">
        <v>44925</v>
      </c>
      <c r="P2379" s="48" t="s">
        <v>3728</v>
      </c>
    </row>
    <row r="2380" spans="1:16" x14ac:dyDescent="0.3">
      <c r="A2380" s="59">
        <f t="shared" si="181"/>
        <v>2159</v>
      </c>
      <c r="B2380" s="60" t="s">
        <v>2468</v>
      </c>
      <c r="C2380" s="184">
        <v>1978</v>
      </c>
      <c r="D2380" s="51"/>
      <c r="E2380" s="48" t="s">
        <v>4090</v>
      </c>
      <c r="F2380" s="47">
        <v>2</v>
      </c>
      <c r="G2380" s="51"/>
      <c r="H2380" s="48">
        <v>435</v>
      </c>
      <c r="I2380" s="47">
        <v>16</v>
      </c>
      <c r="J2380" s="19">
        <f t="shared" si="182"/>
        <v>396034.68000000005</v>
      </c>
      <c r="K2380" s="51"/>
      <c r="L2380" s="50"/>
      <c r="M2380" s="51"/>
      <c r="N2380" s="19">
        <f>SUMIF('2020'!B:B,B2380,'2020'!C:C)+SUMIF('2021'!B:B,B2380,'2021'!C:C)+SUMIF('2022'!B:B,B2380,'2022'!C:C)</f>
        <v>396034.68000000005</v>
      </c>
      <c r="O2380" s="219">
        <v>44925</v>
      </c>
      <c r="P2380" s="48" t="s">
        <v>3728</v>
      </c>
    </row>
    <row r="2381" spans="1:16" x14ac:dyDescent="0.3">
      <c r="A2381" s="59">
        <f t="shared" si="181"/>
        <v>2160</v>
      </c>
      <c r="B2381" s="60" t="s">
        <v>2469</v>
      </c>
      <c r="C2381" s="184">
        <v>1979</v>
      </c>
      <c r="D2381" s="51"/>
      <c r="E2381" s="48" t="s">
        <v>4090</v>
      </c>
      <c r="F2381" s="47">
        <v>2</v>
      </c>
      <c r="G2381" s="51"/>
      <c r="H2381" s="52">
        <v>588.6</v>
      </c>
      <c r="I2381" s="47">
        <v>22</v>
      </c>
      <c r="J2381" s="19">
        <f t="shared" si="182"/>
        <v>130000</v>
      </c>
      <c r="K2381" s="51"/>
      <c r="L2381" s="50"/>
      <c r="M2381" s="51"/>
      <c r="N2381" s="19">
        <f>SUMIF('2020'!B:B,B2381,'2020'!C:C)+SUMIF('2021'!B:B,B2381,'2021'!C:C)+SUMIF('2022'!B:B,B2381,'2022'!C:C)</f>
        <v>130000</v>
      </c>
      <c r="O2381" s="219">
        <v>44925</v>
      </c>
      <c r="P2381" s="48" t="s">
        <v>3728</v>
      </c>
    </row>
    <row r="2382" spans="1:16" x14ac:dyDescent="0.3">
      <c r="A2382" s="59">
        <f t="shared" si="181"/>
        <v>2161</v>
      </c>
      <c r="B2382" s="60" t="s">
        <v>2470</v>
      </c>
      <c r="C2382" s="184">
        <v>1969</v>
      </c>
      <c r="D2382" s="51"/>
      <c r="E2382" s="48" t="s">
        <v>3733</v>
      </c>
      <c r="F2382" s="47">
        <v>5</v>
      </c>
      <c r="G2382" s="51"/>
      <c r="H2382" s="52">
        <v>3454.1</v>
      </c>
      <c r="I2382" s="47">
        <v>69</v>
      </c>
      <c r="J2382" s="19">
        <f t="shared" si="182"/>
        <v>2836707.37</v>
      </c>
      <c r="K2382" s="51"/>
      <c r="L2382" s="50"/>
      <c r="M2382" s="51"/>
      <c r="N2382" s="19">
        <f>SUMIF('2020'!B:B,B2382,'2020'!C:C)+SUMIF('2021'!B:B,B2382,'2021'!C:C)+SUMIF('2022'!B:B,B2382,'2022'!C:C)</f>
        <v>2836707.37</v>
      </c>
      <c r="O2382" s="219">
        <v>44925</v>
      </c>
      <c r="P2382" s="48" t="s">
        <v>3728</v>
      </c>
    </row>
    <row r="2383" spans="1:16" x14ac:dyDescent="0.3">
      <c r="A2383" s="59">
        <f t="shared" si="181"/>
        <v>2162</v>
      </c>
      <c r="B2383" s="60" t="s">
        <v>2472</v>
      </c>
      <c r="C2383" s="184">
        <v>1969</v>
      </c>
      <c r="D2383" s="51"/>
      <c r="E2383" s="48" t="s">
        <v>3733</v>
      </c>
      <c r="F2383" s="47">
        <v>5</v>
      </c>
      <c r="G2383" s="51"/>
      <c r="H2383" s="52">
        <v>4666.8</v>
      </c>
      <c r="I2383" s="47">
        <v>144</v>
      </c>
      <c r="J2383" s="19">
        <f t="shared" si="182"/>
        <v>2482975.79</v>
      </c>
      <c r="K2383" s="51"/>
      <c r="L2383" s="50"/>
      <c r="M2383" s="51"/>
      <c r="N2383" s="19">
        <f>SUMIF('2020'!B:B,B2383,'2020'!C:C)+SUMIF('2021'!B:B,B2383,'2021'!C:C)+SUMIF('2022'!B:B,B2383,'2022'!C:C)</f>
        <v>2482975.79</v>
      </c>
      <c r="O2383" s="219">
        <v>44925</v>
      </c>
      <c r="P2383" s="48" t="s">
        <v>3728</v>
      </c>
    </row>
    <row r="2384" spans="1:16" x14ac:dyDescent="0.3">
      <c r="A2384" s="59">
        <f t="shared" si="181"/>
        <v>2163</v>
      </c>
      <c r="B2384" s="60" t="s">
        <v>2474</v>
      </c>
      <c r="C2384" s="184">
        <v>1970</v>
      </c>
      <c r="D2384" s="51"/>
      <c r="E2384" s="48" t="s">
        <v>3733</v>
      </c>
      <c r="F2384" s="47">
        <v>5</v>
      </c>
      <c r="G2384" s="51"/>
      <c r="H2384" s="52">
        <v>3458.1</v>
      </c>
      <c r="I2384" s="47">
        <v>96</v>
      </c>
      <c r="J2384" s="19">
        <f t="shared" si="182"/>
        <v>2777872.67</v>
      </c>
      <c r="K2384" s="51"/>
      <c r="L2384" s="50"/>
      <c r="M2384" s="51"/>
      <c r="N2384" s="19">
        <f>SUMIF('2020'!B:B,B2384,'2020'!C:C)+SUMIF('2021'!B:B,B2384,'2021'!C:C)+SUMIF('2022'!B:B,B2384,'2022'!C:C)</f>
        <v>2777872.67</v>
      </c>
      <c r="O2384" s="219">
        <v>44925</v>
      </c>
      <c r="P2384" s="48" t="s">
        <v>3728</v>
      </c>
    </row>
    <row r="2385" spans="1:16" x14ac:dyDescent="0.3">
      <c r="A2385" s="59">
        <f t="shared" si="181"/>
        <v>2164</v>
      </c>
      <c r="B2385" s="60" t="s">
        <v>2476</v>
      </c>
      <c r="C2385" s="184">
        <v>1951</v>
      </c>
      <c r="D2385" s="51"/>
      <c r="E2385" s="48" t="s">
        <v>4090</v>
      </c>
      <c r="F2385" s="47">
        <v>2</v>
      </c>
      <c r="G2385" s="51"/>
      <c r="H2385" s="52">
        <v>390.6</v>
      </c>
      <c r="I2385" s="47">
        <v>13</v>
      </c>
      <c r="J2385" s="19">
        <f t="shared" si="182"/>
        <v>644428.51</v>
      </c>
      <c r="K2385" s="233"/>
      <c r="L2385" s="50"/>
      <c r="M2385" s="51"/>
      <c r="N2385" s="19">
        <f>SUMIF('2020'!B:B,B2385,'2020'!C:C)+SUMIF('2021'!B:B,B2385,'2021'!C:C)+SUMIF('2022'!B:B,B2385,'2022'!C:C)</f>
        <v>644428.51</v>
      </c>
      <c r="O2385" s="219">
        <v>44925</v>
      </c>
      <c r="P2385" s="48" t="s">
        <v>3728</v>
      </c>
    </row>
    <row r="2386" spans="1:16" x14ac:dyDescent="0.3">
      <c r="A2386" s="59">
        <f t="shared" si="181"/>
        <v>2165</v>
      </c>
      <c r="B2386" s="60" t="s">
        <v>2478</v>
      </c>
      <c r="C2386" s="184">
        <v>1951</v>
      </c>
      <c r="D2386" s="51"/>
      <c r="E2386" s="48" t="s">
        <v>4090</v>
      </c>
      <c r="F2386" s="47">
        <v>2</v>
      </c>
      <c r="G2386" s="51"/>
      <c r="H2386" s="52">
        <v>514.20000000000005</v>
      </c>
      <c r="I2386" s="47">
        <v>13</v>
      </c>
      <c r="J2386" s="19">
        <f t="shared" si="182"/>
        <v>662598.6</v>
      </c>
      <c r="K2386" s="233"/>
      <c r="L2386" s="50"/>
      <c r="M2386" s="51"/>
      <c r="N2386" s="19">
        <f>SUMIF('2020'!B:B,B2386,'2020'!C:C)+SUMIF('2021'!B:B,B2386,'2021'!C:C)+SUMIF('2022'!B:B,B2386,'2022'!C:C)</f>
        <v>662598.6</v>
      </c>
      <c r="O2386" s="219">
        <v>44925</v>
      </c>
      <c r="P2386" s="48" t="s">
        <v>3728</v>
      </c>
    </row>
    <row r="2387" spans="1:16" x14ac:dyDescent="0.3">
      <c r="A2387" s="59">
        <f t="shared" si="181"/>
        <v>2166</v>
      </c>
      <c r="B2387" s="60" t="s">
        <v>2479</v>
      </c>
      <c r="C2387" s="184">
        <v>1959</v>
      </c>
      <c r="D2387" s="51"/>
      <c r="E2387" s="48" t="s">
        <v>3733</v>
      </c>
      <c r="F2387" s="47">
        <v>2</v>
      </c>
      <c r="G2387" s="51"/>
      <c r="H2387" s="52">
        <v>1048.5</v>
      </c>
      <c r="I2387" s="47">
        <v>28</v>
      </c>
      <c r="J2387" s="19">
        <f t="shared" si="182"/>
        <v>471097.56</v>
      </c>
      <c r="K2387" s="233"/>
      <c r="L2387" s="51"/>
      <c r="M2387" s="51"/>
      <c r="N2387" s="19">
        <f>SUMIF('2020'!B:B,B2387,'2020'!C:C)+SUMIF('2021'!B:B,B2387,'2021'!C:C)+SUMIF('2022'!B:B,B2387,'2022'!C:C)</f>
        <v>471097.56</v>
      </c>
      <c r="O2387" s="219">
        <v>44925</v>
      </c>
      <c r="P2387" s="48" t="s">
        <v>3728</v>
      </c>
    </row>
    <row r="2388" spans="1:16" x14ac:dyDescent="0.3">
      <c r="A2388" s="59">
        <f t="shared" si="181"/>
        <v>2167</v>
      </c>
      <c r="B2388" s="60" t="s">
        <v>2481</v>
      </c>
      <c r="C2388" s="184">
        <v>1978</v>
      </c>
      <c r="D2388" s="51"/>
      <c r="E2388" s="48" t="s">
        <v>3739</v>
      </c>
      <c r="F2388" s="47">
        <v>5</v>
      </c>
      <c r="G2388" s="51"/>
      <c r="H2388" s="48">
        <v>6292.7</v>
      </c>
      <c r="I2388" s="47">
        <v>191</v>
      </c>
      <c r="J2388" s="19">
        <f t="shared" si="182"/>
        <v>2598100.56</v>
      </c>
      <c r="K2388" s="233"/>
      <c r="L2388" s="50"/>
      <c r="M2388" s="233"/>
      <c r="N2388" s="19">
        <f>SUMIF('2020'!B:B,B2388,'2020'!C:C)+SUMIF('2021'!B:B,B2388,'2021'!C:C)+SUMIF('2022'!B:B,B2388,'2022'!C:C)</f>
        <v>2598100.56</v>
      </c>
      <c r="O2388" s="219">
        <v>44925</v>
      </c>
      <c r="P2388" s="48" t="s">
        <v>3728</v>
      </c>
    </row>
    <row r="2389" spans="1:16" x14ac:dyDescent="0.3">
      <c r="A2389" s="59">
        <f t="shared" si="181"/>
        <v>2168</v>
      </c>
      <c r="B2389" s="60" t="s">
        <v>2482</v>
      </c>
      <c r="C2389" s="184">
        <v>1978</v>
      </c>
      <c r="D2389" s="51"/>
      <c r="E2389" s="52" t="s">
        <v>3739</v>
      </c>
      <c r="F2389" s="47">
        <v>5</v>
      </c>
      <c r="G2389" s="51"/>
      <c r="H2389" s="48">
        <v>7480.4</v>
      </c>
      <c r="I2389" s="47">
        <v>195</v>
      </c>
      <c r="J2389" s="19">
        <f t="shared" si="182"/>
        <v>274786.93</v>
      </c>
      <c r="K2389" s="51"/>
      <c r="L2389" s="50"/>
      <c r="M2389" s="51"/>
      <c r="N2389" s="19">
        <f>SUMIF('2020'!B:B,B2389,'2020'!C:C)+SUMIF('2021'!B:B,B2389,'2021'!C:C)+SUMIF('2022'!B:B,B2389,'2022'!C:C)</f>
        <v>274786.93</v>
      </c>
      <c r="O2389" s="219">
        <v>44925</v>
      </c>
      <c r="P2389" s="48" t="s">
        <v>3728</v>
      </c>
    </row>
    <row r="2390" spans="1:16" x14ac:dyDescent="0.3">
      <c r="A2390" s="59">
        <f t="shared" si="181"/>
        <v>2169</v>
      </c>
      <c r="B2390" s="60" t="s">
        <v>2483</v>
      </c>
      <c r="C2390" s="184">
        <v>1958</v>
      </c>
      <c r="D2390" s="51"/>
      <c r="E2390" s="48" t="s">
        <v>3733</v>
      </c>
      <c r="F2390" s="47">
        <v>2</v>
      </c>
      <c r="G2390" s="51"/>
      <c r="H2390" s="52">
        <v>752.8</v>
      </c>
      <c r="I2390" s="47">
        <v>22</v>
      </c>
      <c r="J2390" s="19">
        <f t="shared" si="182"/>
        <v>1044652.12</v>
      </c>
      <c r="K2390" s="51"/>
      <c r="L2390" s="50"/>
      <c r="M2390" s="51"/>
      <c r="N2390" s="19">
        <f>SUMIF('2020'!B:B,B2390,'2020'!C:C)+SUMIF('2021'!B:B,B2390,'2021'!C:C)+SUMIF('2022'!B:B,B2390,'2022'!C:C)</f>
        <v>1044652.12</v>
      </c>
      <c r="O2390" s="219">
        <v>44925</v>
      </c>
      <c r="P2390" s="48" t="s">
        <v>3728</v>
      </c>
    </row>
    <row r="2391" spans="1:16" x14ac:dyDescent="0.3">
      <c r="A2391" s="59">
        <f t="shared" si="181"/>
        <v>2170</v>
      </c>
      <c r="B2391" s="60" t="s">
        <v>2484</v>
      </c>
      <c r="C2391" s="184">
        <v>1917</v>
      </c>
      <c r="D2391" s="51"/>
      <c r="E2391" s="48" t="s">
        <v>3733</v>
      </c>
      <c r="F2391" s="47">
        <v>3</v>
      </c>
      <c r="G2391" s="51"/>
      <c r="H2391" s="52">
        <v>2597.1999999999998</v>
      </c>
      <c r="I2391" s="47">
        <v>42</v>
      </c>
      <c r="J2391" s="19">
        <f t="shared" si="182"/>
        <v>1082120.6099999999</v>
      </c>
      <c r="K2391" s="51"/>
      <c r="L2391" s="50"/>
      <c r="M2391" s="51"/>
      <c r="N2391" s="19">
        <f>SUMIF('2020'!B:B,B2391,'2020'!C:C)+SUMIF('2021'!B:B,B2391,'2021'!C:C)+SUMIF('2022'!B:B,B2391,'2022'!C:C)</f>
        <v>1082120.6099999999</v>
      </c>
      <c r="O2391" s="219">
        <v>44925</v>
      </c>
      <c r="P2391" s="48" t="s">
        <v>3728</v>
      </c>
    </row>
    <row r="2392" spans="1:16" x14ac:dyDescent="0.3">
      <c r="A2392" s="59">
        <f t="shared" ref="A2392:A2455" si="183">A2391+1</f>
        <v>2171</v>
      </c>
      <c r="B2392" s="60" t="s">
        <v>2485</v>
      </c>
      <c r="C2392" s="184">
        <v>1950</v>
      </c>
      <c r="D2392" s="51"/>
      <c r="E2392" s="48" t="s">
        <v>4090</v>
      </c>
      <c r="F2392" s="47">
        <v>2</v>
      </c>
      <c r="G2392" s="51"/>
      <c r="H2392" s="52">
        <v>320.3</v>
      </c>
      <c r="I2392" s="47">
        <v>14</v>
      </c>
      <c r="J2392" s="19">
        <f t="shared" si="182"/>
        <v>417424.23000000004</v>
      </c>
      <c r="K2392" s="51"/>
      <c r="L2392" s="50"/>
      <c r="M2392" s="51"/>
      <c r="N2392" s="19">
        <f>SUMIF('2020'!B:B,B2392,'2020'!C:C)+SUMIF('2021'!B:B,B2392,'2021'!C:C)+SUMIF('2022'!B:B,B2392,'2022'!C:C)</f>
        <v>417424.23000000004</v>
      </c>
      <c r="O2392" s="219">
        <v>44925</v>
      </c>
      <c r="P2392" s="48" t="s">
        <v>3728</v>
      </c>
    </row>
    <row r="2393" spans="1:16" x14ac:dyDescent="0.3">
      <c r="A2393" s="59">
        <f t="shared" si="183"/>
        <v>2172</v>
      </c>
      <c r="B2393" s="60" t="s">
        <v>2487</v>
      </c>
      <c r="C2393" s="184">
        <v>1964</v>
      </c>
      <c r="D2393" s="51"/>
      <c r="E2393" s="48" t="s">
        <v>3733</v>
      </c>
      <c r="F2393" s="47">
        <v>5</v>
      </c>
      <c r="G2393" s="51"/>
      <c r="H2393" s="52">
        <v>2032.3</v>
      </c>
      <c r="I2393" s="47">
        <v>72</v>
      </c>
      <c r="J2393" s="19">
        <f t="shared" si="182"/>
        <v>7622335.1299999999</v>
      </c>
      <c r="K2393" s="51"/>
      <c r="L2393" s="50"/>
      <c r="M2393" s="51"/>
      <c r="N2393" s="19">
        <f>SUMIF('2020'!B:B,B2393,'2020'!C:C)+SUMIF('2021'!B:B,B2393,'2021'!C:C)+SUMIF('2022'!B:B,B2393,'2022'!C:C)</f>
        <v>7622335.1299999999</v>
      </c>
      <c r="O2393" s="219">
        <v>44925</v>
      </c>
      <c r="P2393" s="48" t="s">
        <v>3728</v>
      </c>
    </row>
    <row r="2394" spans="1:16" x14ac:dyDescent="0.3">
      <c r="A2394" s="59">
        <f t="shared" si="183"/>
        <v>2173</v>
      </c>
      <c r="B2394" s="60" t="s">
        <v>2488</v>
      </c>
      <c r="C2394" s="184">
        <v>1964</v>
      </c>
      <c r="D2394" s="51"/>
      <c r="E2394" s="52" t="s">
        <v>3733</v>
      </c>
      <c r="F2394" s="47">
        <v>5</v>
      </c>
      <c r="G2394" s="51"/>
      <c r="H2394" s="52">
        <v>3402.5</v>
      </c>
      <c r="I2394" s="47">
        <v>96</v>
      </c>
      <c r="J2394" s="19">
        <f t="shared" si="182"/>
        <v>11786618.200000001</v>
      </c>
      <c r="K2394" s="51"/>
      <c r="L2394" s="50"/>
      <c r="M2394" s="51"/>
      <c r="N2394" s="19">
        <f>SUMIF('2020'!B:B,B2394,'2020'!C:C)+SUMIF('2021'!B:B,B2394,'2021'!C:C)+SUMIF('2022'!B:B,B2394,'2022'!C:C)</f>
        <v>11786618.200000001</v>
      </c>
      <c r="O2394" s="219">
        <v>44925</v>
      </c>
      <c r="P2394" s="48" t="s">
        <v>3728</v>
      </c>
    </row>
    <row r="2395" spans="1:16" x14ac:dyDescent="0.3">
      <c r="A2395" s="59">
        <f t="shared" si="183"/>
        <v>2174</v>
      </c>
      <c r="B2395" s="60" t="s">
        <v>2489</v>
      </c>
      <c r="C2395" s="184">
        <v>1965</v>
      </c>
      <c r="D2395" s="51"/>
      <c r="E2395" s="48" t="s">
        <v>3733</v>
      </c>
      <c r="F2395" s="47">
        <v>5</v>
      </c>
      <c r="G2395" s="51"/>
      <c r="H2395" s="52">
        <v>2105.5</v>
      </c>
      <c r="I2395" s="47">
        <v>55</v>
      </c>
      <c r="J2395" s="19">
        <f t="shared" si="182"/>
        <v>3334908.26</v>
      </c>
      <c r="K2395" s="51"/>
      <c r="L2395" s="50"/>
      <c r="M2395" s="51"/>
      <c r="N2395" s="19">
        <f>SUMIF('2020'!B:B,B2395,'2020'!C:C)+SUMIF('2021'!B:B,B2395,'2021'!C:C)+SUMIF('2022'!B:B,B2395,'2022'!C:C)</f>
        <v>3334908.26</v>
      </c>
      <c r="O2395" s="219">
        <v>44925</v>
      </c>
      <c r="P2395" s="48" t="s">
        <v>3728</v>
      </c>
    </row>
    <row r="2396" spans="1:16" x14ac:dyDescent="0.3">
      <c r="A2396" s="59">
        <f t="shared" si="183"/>
        <v>2175</v>
      </c>
      <c r="B2396" s="60" t="s">
        <v>2491</v>
      </c>
      <c r="C2396" s="184">
        <v>1962</v>
      </c>
      <c r="D2396" s="51"/>
      <c r="E2396" s="48" t="s">
        <v>3733</v>
      </c>
      <c r="F2396" s="47">
        <v>4</v>
      </c>
      <c r="G2396" s="51"/>
      <c r="H2396" s="52">
        <v>2634.9</v>
      </c>
      <c r="I2396" s="47">
        <v>87</v>
      </c>
      <c r="J2396" s="19">
        <f t="shared" si="182"/>
        <v>656411.88</v>
      </c>
      <c r="K2396" s="233"/>
      <c r="L2396" s="50"/>
      <c r="M2396" s="51"/>
      <c r="N2396" s="19">
        <f>SUMIF('2020'!B:B,B2396,'2020'!C:C)+SUMIF('2021'!B:B,B2396,'2021'!C:C)+SUMIF('2022'!B:B,B2396,'2022'!C:C)</f>
        <v>656411.88</v>
      </c>
      <c r="O2396" s="219">
        <v>44925</v>
      </c>
      <c r="P2396" s="48" t="s">
        <v>3728</v>
      </c>
    </row>
    <row r="2397" spans="1:16" x14ac:dyDescent="0.3">
      <c r="A2397" s="59">
        <f t="shared" si="183"/>
        <v>2176</v>
      </c>
      <c r="B2397" s="60" t="s">
        <v>2492</v>
      </c>
      <c r="C2397" s="184">
        <v>1970</v>
      </c>
      <c r="D2397" s="51"/>
      <c r="E2397" s="48" t="s">
        <v>3733</v>
      </c>
      <c r="F2397" s="47">
        <v>5</v>
      </c>
      <c r="G2397" s="51"/>
      <c r="H2397" s="52">
        <v>7614.4</v>
      </c>
      <c r="I2397" s="47">
        <v>180</v>
      </c>
      <c r="J2397" s="19">
        <f t="shared" si="182"/>
        <v>3797076.26</v>
      </c>
      <c r="K2397" s="233"/>
      <c r="L2397" s="50"/>
      <c r="M2397" s="51"/>
      <c r="N2397" s="19">
        <f>SUMIF('2020'!B:B,B2397,'2020'!C:C)+SUMIF('2021'!B:B,B2397,'2021'!C:C)+SUMIF('2022'!B:B,B2397,'2022'!C:C)</f>
        <v>3797076.26</v>
      </c>
      <c r="O2397" s="219">
        <v>44925</v>
      </c>
      <c r="P2397" s="48" t="s">
        <v>3728</v>
      </c>
    </row>
    <row r="2398" spans="1:16" x14ac:dyDescent="0.3">
      <c r="A2398" s="59">
        <f t="shared" si="183"/>
        <v>2177</v>
      </c>
      <c r="B2398" s="60" t="s">
        <v>2494</v>
      </c>
      <c r="C2398" s="184">
        <v>1972</v>
      </c>
      <c r="D2398" s="51"/>
      <c r="E2398" s="48" t="s">
        <v>3733</v>
      </c>
      <c r="F2398" s="47">
        <v>5</v>
      </c>
      <c r="G2398" s="51"/>
      <c r="H2398" s="48">
        <v>8111.5</v>
      </c>
      <c r="I2398" s="47">
        <v>257</v>
      </c>
      <c r="J2398" s="19">
        <f t="shared" si="182"/>
        <v>1634808.2</v>
      </c>
      <c r="K2398" s="233"/>
      <c r="L2398" s="50"/>
      <c r="M2398" s="51"/>
      <c r="N2398" s="19">
        <f>SUMIF('2020'!B:B,B2398,'2020'!C:C)+SUMIF('2021'!B:B,B2398,'2021'!C:C)+SUMIF('2022'!B:B,B2398,'2022'!C:C)</f>
        <v>1634808.2</v>
      </c>
      <c r="O2398" s="219">
        <v>44925</v>
      </c>
      <c r="P2398" s="48" t="s">
        <v>3728</v>
      </c>
    </row>
    <row r="2399" spans="1:16" x14ac:dyDescent="0.3">
      <c r="A2399" s="59">
        <f t="shared" si="183"/>
        <v>2178</v>
      </c>
      <c r="B2399" s="60" t="s">
        <v>2495</v>
      </c>
      <c r="C2399" s="184">
        <v>1973</v>
      </c>
      <c r="D2399" s="51"/>
      <c r="E2399" s="48" t="s">
        <v>3733</v>
      </c>
      <c r="F2399" s="47">
        <v>5</v>
      </c>
      <c r="G2399" s="51"/>
      <c r="H2399" s="52">
        <v>4493.3</v>
      </c>
      <c r="I2399" s="47">
        <v>133</v>
      </c>
      <c r="J2399" s="19">
        <f t="shared" si="182"/>
        <v>4867825.4800000004</v>
      </c>
      <c r="K2399" s="233"/>
      <c r="L2399" s="50"/>
      <c r="M2399" s="51"/>
      <c r="N2399" s="19">
        <f>SUMIF('2020'!B:B,B2399,'2020'!C:C)+SUMIF('2021'!B:B,B2399,'2021'!C:C)+SUMIF('2022'!B:B,B2399,'2022'!C:C)</f>
        <v>4867825.4800000004</v>
      </c>
      <c r="O2399" s="219">
        <v>44925</v>
      </c>
      <c r="P2399" s="48" t="s">
        <v>3728</v>
      </c>
    </row>
    <row r="2400" spans="1:16" x14ac:dyDescent="0.3">
      <c r="A2400" s="59">
        <f t="shared" si="183"/>
        <v>2179</v>
      </c>
      <c r="B2400" s="60" t="s">
        <v>2496</v>
      </c>
      <c r="C2400" s="184">
        <v>1953</v>
      </c>
      <c r="D2400" s="51"/>
      <c r="E2400" s="48" t="s">
        <v>3731</v>
      </c>
      <c r="F2400" s="47">
        <v>2</v>
      </c>
      <c r="G2400" s="51"/>
      <c r="H2400" s="52">
        <v>756.8</v>
      </c>
      <c r="I2400" s="47">
        <v>15</v>
      </c>
      <c r="J2400" s="19">
        <f t="shared" si="182"/>
        <v>685662.05</v>
      </c>
      <c r="K2400" s="233"/>
      <c r="L2400" s="50"/>
      <c r="M2400" s="51"/>
      <c r="N2400" s="19">
        <f>SUMIF('2020'!B:B,B2400,'2020'!C:C)+SUMIF('2021'!B:B,B2400,'2021'!C:C)+SUMIF('2022'!B:B,B2400,'2022'!C:C)</f>
        <v>685662.05</v>
      </c>
      <c r="O2400" s="219">
        <v>44925</v>
      </c>
      <c r="P2400" s="48" t="s">
        <v>3728</v>
      </c>
    </row>
    <row r="2401" spans="1:16" x14ac:dyDescent="0.3">
      <c r="A2401" s="59">
        <f t="shared" si="183"/>
        <v>2180</v>
      </c>
      <c r="B2401" s="60" t="s">
        <v>2497</v>
      </c>
      <c r="C2401" s="184">
        <v>1975</v>
      </c>
      <c r="D2401" s="51"/>
      <c r="E2401" s="48" t="s">
        <v>3733</v>
      </c>
      <c r="F2401" s="47">
        <v>5</v>
      </c>
      <c r="G2401" s="51"/>
      <c r="H2401" s="48">
        <v>6172.3</v>
      </c>
      <c r="I2401" s="47">
        <v>229</v>
      </c>
      <c r="J2401" s="19">
        <f t="shared" si="182"/>
        <v>941530.78999999992</v>
      </c>
      <c r="K2401" s="51"/>
      <c r="L2401" s="50"/>
      <c r="M2401" s="51"/>
      <c r="N2401" s="19">
        <f>SUMIF('2020'!B:B,B2401,'2020'!C:C)+SUMIF('2021'!B:B,B2401,'2021'!C:C)+SUMIF('2022'!B:B,B2401,'2022'!C:C)</f>
        <v>941530.78999999992</v>
      </c>
      <c r="O2401" s="219">
        <v>44925</v>
      </c>
      <c r="P2401" s="48" t="s">
        <v>3728</v>
      </c>
    </row>
    <row r="2402" spans="1:16" x14ac:dyDescent="0.3">
      <c r="A2402" s="59">
        <f t="shared" si="183"/>
        <v>2181</v>
      </c>
      <c r="B2402" s="60" t="s">
        <v>2499</v>
      </c>
      <c r="C2402" s="184">
        <v>1977</v>
      </c>
      <c r="D2402" s="51"/>
      <c r="E2402" s="48" t="s">
        <v>3733</v>
      </c>
      <c r="F2402" s="47">
        <v>5</v>
      </c>
      <c r="G2402" s="51"/>
      <c r="H2402" s="52">
        <v>4485.7</v>
      </c>
      <c r="I2402" s="47">
        <v>165</v>
      </c>
      <c r="J2402" s="19">
        <f t="shared" si="182"/>
        <v>26342358.079999998</v>
      </c>
      <c r="K2402" s="51"/>
      <c r="L2402" s="50"/>
      <c r="M2402" s="233"/>
      <c r="N2402" s="19">
        <f>SUMIF('2020'!B:B,B2402,'2020'!C:C)+SUMIF('2021'!B:B,B2402,'2021'!C:C)+SUMIF('2022'!B:B,B2402,'2022'!C:C)</f>
        <v>26342358.079999998</v>
      </c>
      <c r="O2402" s="219">
        <v>44925</v>
      </c>
      <c r="P2402" s="48" t="s">
        <v>3728</v>
      </c>
    </row>
    <row r="2403" spans="1:16" x14ac:dyDescent="0.3">
      <c r="A2403" s="59">
        <f t="shared" si="183"/>
        <v>2182</v>
      </c>
      <c r="B2403" s="60" t="s">
        <v>2500</v>
      </c>
      <c r="C2403" s="184">
        <v>1973</v>
      </c>
      <c r="D2403" s="51"/>
      <c r="E2403" s="48" t="s">
        <v>3733</v>
      </c>
      <c r="F2403" s="47">
        <v>5</v>
      </c>
      <c r="G2403" s="51"/>
      <c r="H2403" s="52">
        <v>3732.1</v>
      </c>
      <c r="I2403" s="47">
        <v>110</v>
      </c>
      <c r="J2403" s="19">
        <f t="shared" si="182"/>
        <v>911748.78</v>
      </c>
      <c r="K2403" s="233"/>
      <c r="L2403" s="50"/>
      <c r="M2403" s="51"/>
      <c r="N2403" s="19">
        <f>SUMIF('2020'!B:B,B2403,'2020'!C:C)+SUMIF('2021'!B:B,B2403,'2021'!C:C)+SUMIF('2022'!B:B,B2403,'2022'!C:C)</f>
        <v>911748.78</v>
      </c>
      <c r="O2403" s="219">
        <v>44925</v>
      </c>
      <c r="P2403" s="48" t="s">
        <v>3728</v>
      </c>
    </row>
    <row r="2404" spans="1:16" x14ac:dyDescent="0.3">
      <c r="A2404" s="59">
        <f t="shared" si="183"/>
        <v>2183</v>
      </c>
      <c r="B2404" s="60" t="s">
        <v>2501</v>
      </c>
      <c r="C2404" s="184">
        <v>1981</v>
      </c>
      <c r="D2404" s="51"/>
      <c r="E2404" s="48" t="s">
        <v>3733</v>
      </c>
      <c r="F2404" s="47">
        <v>5</v>
      </c>
      <c r="G2404" s="51"/>
      <c r="H2404" s="52">
        <v>6946.4</v>
      </c>
      <c r="I2404" s="47">
        <v>200</v>
      </c>
      <c r="J2404" s="19">
        <f t="shared" si="182"/>
        <v>824120.51</v>
      </c>
      <c r="K2404" s="51"/>
      <c r="L2404" s="50"/>
      <c r="M2404" s="51"/>
      <c r="N2404" s="19">
        <f>SUMIF('2020'!B:B,B2404,'2020'!C:C)+SUMIF('2021'!B:B,B2404,'2021'!C:C)+SUMIF('2022'!B:B,B2404,'2022'!C:C)</f>
        <v>824120.51</v>
      </c>
      <c r="O2404" s="219">
        <v>44925</v>
      </c>
      <c r="P2404" s="48" t="s">
        <v>3728</v>
      </c>
    </row>
    <row r="2405" spans="1:16" x14ac:dyDescent="0.3">
      <c r="A2405" s="59">
        <f t="shared" si="183"/>
        <v>2184</v>
      </c>
      <c r="B2405" s="60" t="s">
        <v>2502</v>
      </c>
      <c r="C2405" s="184">
        <v>1989</v>
      </c>
      <c r="D2405" s="51"/>
      <c r="E2405" s="52" t="s">
        <v>3733</v>
      </c>
      <c r="F2405" s="47">
        <v>5</v>
      </c>
      <c r="G2405" s="51"/>
      <c r="H2405" s="52">
        <v>2349.5</v>
      </c>
      <c r="I2405" s="47">
        <v>87</v>
      </c>
      <c r="J2405" s="19">
        <f t="shared" si="182"/>
        <v>458475.27</v>
      </c>
      <c r="K2405" s="51"/>
      <c r="L2405" s="50"/>
      <c r="M2405" s="51"/>
      <c r="N2405" s="19">
        <f>SUMIF('2020'!B:B,B2405,'2020'!C:C)+SUMIF('2021'!B:B,B2405,'2021'!C:C)+SUMIF('2022'!B:B,B2405,'2022'!C:C)</f>
        <v>458475.27</v>
      </c>
      <c r="O2405" s="219">
        <v>44925</v>
      </c>
      <c r="P2405" s="48" t="s">
        <v>3728</v>
      </c>
    </row>
    <row r="2406" spans="1:16" x14ac:dyDescent="0.3">
      <c r="A2406" s="59">
        <f t="shared" si="183"/>
        <v>2185</v>
      </c>
      <c r="B2406" s="60" t="s">
        <v>2503</v>
      </c>
      <c r="C2406" s="184">
        <v>1989</v>
      </c>
      <c r="D2406" s="51"/>
      <c r="E2406" s="52" t="s">
        <v>3733</v>
      </c>
      <c r="F2406" s="47">
        <v>5</v>
      </c>
      <c r="G2406" s="51"/>
      <c r="H2406" s="52">
        <v>2395.6999999999998</v>
      </c>
      <c r="I2406" s="47">
        <v>67</v>
      </c>
      <c r="J2406" s="19">
        <f t="shared" si="182"/>
        <v>457842.56</v>
      </c>
      <c r="K2406" s="51"/>
      <c r="L2406" s="50"/>
      <c r="M2406" s="51"/>
      <c r="N2406" s="19">
        <f>SUMIF('2020'!B:B,B2406,'2020'!C:C)+SUMIF('2021'!B:B,B2406,'2021'!C:C)+SUMIF('2022'!B:B,B2406,'2022'!C:C)</f>
        <v>457842.56</v>
      </c>
      <c r="O2406" s="219">
        <v>44925</v>
      </c>
      <c r="P2406" s="48" t="s">
        <v>3728</v>
      </c>
    </row>
    <row r="2407" spans="1:16" x14ac:dyDescent="0.3">
      <c r="A2407" s="59">
        <f t="shared" si="183"/>
        <v>2186</v>
      </c>
      <c r="B2407" s="60" t="s">
        <v>2504</v>
      </c>
      <c r="C2407" s="184">
        <v>1989</v>
      </c>
      <c r="D2407" s="51"/>
      <c r="E2407" s="52" t="s">
        <v>3733</v>
      </c>
      <c r="F2407" s="47">
        <v>5</v>
      </c>
      <c r="G2407" s="51"/>
      <c r="H2407" s="52">
        <v>2457.8000000000002</v>
      </c>
      <c r="I2407" s="47">
        <v>82</v>
      </c>
      <c r="J2407" s="19">
        <f t="shared" si="182"/>
        <v>457141.69999999995</v>
      </c>
      <c r="K2407" s="51"/>
      <c r="L2407" s="50"/>
      <c r="M2407" s="51"/>
      <c r="N2407" s="19">
        <f>SUMIF('2020'!B:B,B2407,'2020'!C:C)+SUMIF('2021'!B:B,B2407,'2021'!C:C)+SUMIF('2022'!B:B,B2407,'2022'!C:C)</f>
        <v>457141.69999999995</v>
      </c>
      <c r="O2407" s="219">
        <v>44925</v>
      </c>
      <c r="P2407" s="48" t="s">
        <v>3728</v>
      </c>
    </row>
    <row r="2408" spans="1:16" x14ac:dyDescent="0.3">
      <c r="A2408" s="59">
        <f t="shared" si="183"/>
        <v>2187</v>
      </c>
      <c r="B2408" s="60" t="s">
        <v>2505</v>
      </c>
      <c r="C2408" s="184">
        <v>1989</v>
      </c>
      <c r="D2408" s="51"/>
      <c r="E2408" s="52" t="s">
        <v>3733</v>
      </c>
      <c r="F2408" s="47">
        <v>5</v>
      </c>
      <c r="G2408" s="51"/>
      <c r="H2408" s="52">
        <v>2434.1</v>
      </c>
      <c r="I2408" s="47">
        <v>61</v>
      </c>
      <c r="J2408" s="19">
        <f t="shared" si="182"/>
        <v>460968.43000000005</v>
      </c>
      <c r="K2408" s="51"/>
      <c r="L2408" s="50"/>
      <c r="M2408" s="51"/>
      <c r="N2408" s="19">
        <f>SUMIF('2020'!B:B,B2408,'2020'!C:C)+SUMIF('2021'!B:B,B2408,'2021'!C:C)+SUMIF('2022'!B:B,B2408,'2022'!C:C)</f>
        <v>460968.43000000005</v>
      </c>
      <c r="O2408" s="219">
        <v>44925</v>
      </c>
      <c r="P2408" s="48" t="s">
        <v>3728</v>
      </c>
    </row>
    <row r="2409" spans="1:16" x14ac:dyDescent="0.3">
      <c r="A2409" s="59">
        <f t="shared" si="183"/>
        <v>2188</v>
      </c>
      <c r="B2409" s="60" t="s">
        <v>2506</v>
      </c>
      <c r="C2409" s="184">
        <v>1989</v>
      </c>
      <c r="D2409" s="51"/>
      <c r="E2409" s="52" t="s">
        <v>3733</v>
      </c>
      <c r="F2409" s="47">
        <v>5</v>
      </c>
      <c r="G2409" s="51"/>
      <c r="H2409" s="52">
        <v>3033.2</v>
      </c>
      <c r="I2409" s="47">
        <v>73</v>
      </c>
      <c r="J2409" s="19">
        <f t="shared" si="182"/>
        <v>662159.15</v>
      </c>
      <c r="K2409" s="51"/>
      <c r="L2409" s="50"/>
      <c r="M2409" s="51"/>
      <c r="N2409" s="19">
        <f>SUMIF('2020'!B:B,B2409,'2020'!C:C)+SUMIF('2021'!B:B,B2409,'2021'!C:C)+SUMIF('2022'!B:B,B2409,'2022'!C:C)</f>
        <v>662159.15</v>
      </c>
      <c r="O2409" s="219">
        <v>44925</v>
      </c>
      <c r="P2409" s="48" t="s">
        <v>3728</v>
      </c>
    </row>
    <row r="2410" spans="1:16" x14ac:dyDescent="0.3">
      <c r="A2410" s="59">
        <f t="shared" si="183"/>
        <v>2189</v>
      </c>
      <c r="B2410" s="60" t="s">
        <v>2507</v>
      </c>
      <c r="C2410" s="184">
        <v>1960</v>
      </c>
      <c r="D2410" s="51"/>
      <c r="E2410" s="48" t="s">
        <v>4090</v>
      </c>
      <c r="F2410" s="47">
        <v>2</v>
      </c>
      <c r="G2410" s="51"/>
      <c r="H2410" s="48">
        <v>944.9</v>
      </c>
      <c r="I2410" s="47">
        <v>42</v>
      </c>
      <c r="J2410" s="19">
        <f t="shared" si="182"/>
        <v>351340.08999999997</v>
      </c>
      <c r="K2410" s="233"/>
      <c r="L2410" s="50"/>
      <c r="M2410" s="51"/>
      <c r="N2410" s="19">
        <f>SUMIF('2020'!B:B,B2410,'2020'!C:C)+SUMIF('2021'!B:B,B2410,'2021'!C:C)+SUMIF('2022'!B:B,B2410,'2022'!C:C)</f>
        <v>351340.08999999997</v>
      </c>
      <c r="O2410" s="219">
        <v>44925</v>
      </c>
      <c r="P2410" s="48" t="s">
        <v>3728</v>
      </c>
    </row>
    <row r="2411" spans="1:16" x14ac:dyDescent="0.3">
      <c r="A2411" s="59">
        <f t="shared" si="183"/>
        <v>2190</v>
      </c>
      <c r="B2411" s="60" t="s">
        <v>2509</v>
      </c>
      <c r="C2411" s="184">
        <v>1991</v>
      </c>
      <c r="D2411" s="51"/>
      <c r="E2411" s="52" t="s">
        <v>3739</v>
      </c>
      <c r="F2411" s="47">
        <v>5</v>
      </c>
      <c r="G2411" s="51"/>
      <c r="H2411" s="52">
        <v>4902.1000000000004</v>
      </c>
      <c r="I2411" s="47">
        <v>136</v>
      </c>
      <c r="J2411" s="19">
        <f t="shared" si="182"/>
        <v>721887.03</v>
      </c>
      <c r="K2411" s="51"/>
      <c r="L2411" s="50"/>
      <c r="M2411" s="51"/>
      <c r="N2411" s="19">
        <f>SUMIF('2020'!B:B,B2411,'2020'!C:C)+SUMIF('2021'!B:B,B2411,'2021'!C:C)+SUMIF('2022'!B:B,B2411,'2022'!C:C)</f>
        <v>721887.03</v>
      </c>
      <c r="O2411" s="219">
        <v>44925</v>
      </c>
      <c r="P2411" s="48" t="s">
        <v>3728</v>
      </c>
    </row>
    <row r="2412" spans="1:16" x14ac:dyDescent="0.3">
      <c r="A2412" s="59">
        <f t="shared" si="183"/>
        <v>2191</v>
      </c>
      <c r="B2412" s="60" t="s">
        <v>2511</v>
      </c>
      <c r="C2412" s="184">
        <v>1990</v>
      </c>
      <c r="D2412" s="51"/>
      <c r="E2412" s="52" t="s">
        <v>3739</v>
      </c>
      <c r="F2412" s="47">
        <v>5</v>
      </c>
      <c r="G2412" s="51"/>
      <c r="H2412" s="52">
        <v>5151.8</v>
      </c>
      <c r="I2412" s="47">
        <v>144</v>
      </c>
      <c r="J2412" s="19">
        <f t="shared" si="182"/>
        <v>1986379.06</v>
      </c>
      <c r="K2412" s="51"/>
      <c r="L2412" s="50"/>
      <c r="M2412" s="51"/>
      <c r="N2412" s="19">
        <f>SUMIF('2020'!B:B,B2412,'2020'!C:C)+SUMIF('2021'!B:B,B2412,'2021'!C:C)+SUMIF('2022'!B:B,B2412,'2022'!C:C)</f>
        <v>1986379.06</v>
      </c>
      <c r="O2412" s="219">
        <v>44925</v>
      </c>
      <c r="P2412" s="48" t="s">
        <v>3728</v>
      </c>
    </row>
    <row r="2413" spans="1:16" x14ac:dyDescent="0.3">
      <c r="A2413" s="59">
        <f t="shared" si="183"/>
        <v>2192</v>
      </c>
      <c r="B2413" s="60" t="s">
        <v>2512</v>
      </c>
      <c r="C2413" s="184">
        <v>1990</v>
      </c>
      <c r="D2413" s="51"/>
      <c r="E2413" s="52" t="s">
        <v>3739</v>
      </c>
      <c r="F2413" s="47">
        <v>5</v>
      </c>
      <c r="G2413" s="51"/>
      <c r="H2413" s="52">
        <v>7173</v>
      </c>
      <c r="I2413" s="47">
        <v>189</v>
      </c>
      <c r="J2413" s="19">
        <f t="shared" si="182"/>
        <v>646312.82999999996</v>
      </c>
      <c r="K2413" s="51"/>
      <c r="L2413" s="50"/>
      <c r="M2413" s="51"/>
      <c r="N2413" s="19">
        <f>SUMIF('2020'!B:B,B2413,'2020'!C:C)+SUMIF('2021'!B:B,B2413,'2021'!C:C)+SUMIF('2022'!B:B,B2413,'2022'!C:C)</f>
        <v>646312.82999999996</v>
      </c>
      <c r="O2413" s="219">
        <v>44925</v>
      </c>
      <c r="P2413" s="48" t="s">
        <v>3728</v>
      </c>
    </row>
    <row r="2414" spans="1:16" x14ac:dyDescent="0.3">
      <c r="A2414" s="59">
        <f t="shared" si="183"/>
        <v>2193</v>
      </c>
      <c r="B2414" s="60" t="s">
        <v>2513</v>
      </c>
      <c r="C2414" s="184">
        <v>1991</v>
      </c>
      <c r="D2414" s="51"/>
      <c r="E2414" s="52" t="s">
        <v>3739</v>
      </c>
      <c r="F2414" s="47">
        <v>5</v>
      </c>
      <c r="G2414" s="51"/>
      <c r="H2414" s="52">
        <v>5409.2</v>
      </c>
      <c r="I2414" s="47">
        <v>121</v>
      </c>
      <c r="J2414" s="19">
        <f t="shared" si="182"/>
        <v>715003.76</v>
      </c>
      <c r="K2414" s="51"/>
      <c r="L2414" s="50"/>
      <c r="M2414" s="233"/>
      <c r="N2414" s="19">
        <f>SUMIF('2020'!B:B,B2414,'2020'!C:C)+SUMIF('2021'!B:B,B2414,'2021'!C:C)+SUMIF('2022'!B:B,B2414,'2022'!C:C)</f>
        <v>715003.76</v>
      </c>
      <c r="O2414" s="219">
        <v>44925</v>
      </c>
      <c r="P2414" s="48" t="s">
        <v>3728</v>
      </c>
    </row>
    <row r="2415" spans="1:16" x14ac:dyDescent="0.3">
      <c r="A2415" s="59">
        <f t="shared" si="183"/>
        <v>2194</v>
      </c>
      <c r="B2415" s="60" t="s">
        <v>2514</v>
      </c>
      <c r="C2415" s="184">
        <v>1962</v>
      </c>
      <c r="D2415" s="51"/>
      <c r="E2415" s="48" t="s">
        <v>4090</v>
      </c>
      <c r="F2415" s="47">
        <v>2</v>
      </c>
      <c r="G2415" s="51"/>
      <c r="H2415" s="52">
        <v>572.1</v>
      </c>
      <c r="I2415" s="47">
        <v>22</v>
      </c>
      <c r="J2415" s="19">
        <f t="shared" si="182"/>
        <v>793853.4</v>
      </c>
      <c r="K2415" s="233"/>
      <c r="L2415" s="50"/>
      <c r="M2415" s="233"/>
      <c r="N2415" s="19">
        <f>SUMIF('2020'!B:B,B2415,'2020'!C:C)+SUMIF('2021'!B:B,B2415,'2021'!C:C)+SUMIF('2022'!B:B,B2415,'2022'!C:C)</f>
        <v>793853.4</v>
      </c>
      <c r="O2415" s="219">
        <v>44925</v>
      </c>
      <c r="P2415" s="48" t="s">
        <v>3728</v>
      </c>
    </row>
    <row r="2416" spans="1:16" x14ac:dyDescent="0.3">
      <c r="A2416" s="59">
        <f t="shared" si="183"/>
        <v>2195</v>
      </c>
      <c r="B2416" s="60" t="s">
        <v>2515</v>
      </c>
      <c r="C2416" s="184">
        <v>1963</v>
      </c>
      <c r="D2416" s="51"/>
      <c r="E2416" s="48" t="s">
        <v>3731</v>
      </c>
      <c r="F2416" s="47">
        <v>2</v>
      </c>
      <c r="G2416" s="51"/>
      <c r="H2416" s="52">
        <v>559.6</v>
      </c>
      <c r="I2416" s="47">
        <v>21</v>
      </c>
      <c r="J2416" s="19">
        <f t="shared" si="182"/>
        <v>711277.8</v>
      </c>
      <c r="K2416" s="51"/>
      <c r="L2416" s="50"/>
      <c r="M2416" s="233"/>
      <c r="N2416" s="19">
        <f>SUMIF('2020'!B:B,B2416,'2020'!C:C)+SUMIF('2021'!B:B,B2416,'2021'!C:C)+SUMIF('2022'!B:B,B2416,'2022'!C:C)</f>
        <v>711277.8</v>
      </c>
      <c r="O2416" s="219">
        <v>44925</v>
      </c>
      <c r="P2416" s="48" t="s">
        <v>3728</v>
      </c>
    </row>
    <row r="2417" spans="1:16" x14ac:dyDescent="0.3">
      <c r="A2417" s="59">
        <f t="shared" si="183"/>
        <v>2196</v>
      </c>
      <c r="B2417" s="60" t="s">
        <v>2516</v>
      </c>
      <c r="C2417" s="184">
        <v>1967</v>
      </c>
      <c r="D2417" s="51"/>
      <c r="E2417" s="48" t="s">
        <v>3731</v>
      </c>
      <c r="F2417" s="47">
        <v>2</v>
      </c>
      <c r="G2417" s="51"/>
      <c r="H2417" s="52">
        <v>584.20000000000005</v>
      </c>
      <c r="I2417" s="47">
        <v>19</v>
      </c>
      <c r="J2417" s="19">
        <f t="shared" si="182"/>
        <v>713734.2</v>
      </c>
      <c r="K2417" s="51"/>
      <c r="L2417" s="50"/>
      <c r="M2417" s="233"/>
      <c r="N2417" s="19">
        <f>SUMIF('2020'!B:B,B2417,'2020'!C:C)+SUMIF('2021'!B:B,B2417,'2021'!C:C)+SUMIF('2022'!B:B,B2417,'2022'!C:C)</f>
        <v>713734.2</v>
      </c>
      <c r="O2417" s="219">
        <v>44925</v>
      </c>
      <c r="P2417" s="48" t="s">
        <v>3728</v>
      </c>
    </row>
    <row r="2418" spans="1:16" x14ac:dyDescent="0.3">
      <c r="A2418" s="59">
        <f t="shared" si="183"/>
        <v>2197</v>
      </c>
      <c r="B2418" s="60" t="s">
        <v>2517</v>
      </c>
      <c r="C2418" s="184">
        <v>1964</v>
      </c>
      <c r="D2418" s="51"/>
      <c r="E2418" s="48" t="s">
        <v>3731</v>
      </c>
      <c r="F2418" s="47">
        <v>2</v>
      </c>
      <c r="G2418" s="51"/>
      <c r="H2418" s="52">
        <v>556.70000000000005</v>
      </c>
      <c r="I2418" s="47">
        <v>16</v>
      </c>
      <c r="J2418" s="19">
        <f t="shared" si="182"/>
        <v>1097831.04</v>
      </c>
      <c r="K2418" s="51"/>
      <c r="L2418" s="50"/>
      <c r="M2418" s="233"/>
      <c r="N2418" s="19">
        <f>SUMIF('2020'!B:B,B2418,'2020'!C:C)+SUMIF('2021'!B:B,B2418,'2021'!C:C)+SUMIF('2022'!B:B,B2418,'2022'!C:C)</f>
        <v>1097831.04</v>
      </c>
      <c r="O2418" s="219">
        <v>44925</v>
      </c>
      <c r="P2418" s="48" t="s">
        <v>3728</v>
      </c>
    </row>
    <row r="2419" spans="1:16" x14ac:dyDescent="0.3">
      <c r="A2419" s="59">
        <f t="shared" si="183"/>
        <v>2198</v>
      </c>
      <c r="B2419" s="60" t="s">
        <v>2518</v>
      </c>
      <c r="C2419" s="184">
        <v>1960</v>
      </c>
      <c r="D2419" s="51"/>
      <c r="E2419" s="48" t="s">
        <v>3731</v>
      </c>
      <c r="F2419" s="47">
        <v>2</v>
      </c>
      <c r="G2419" s="51"/>
      <c r="H2419" s="52">
        <v>566.4</v>
      </c>
      <c r="I2419" s="47">
        <v>14</v>
      </c>
      <c r="J2419" s="19">
        <f t="shared" si="182"/>
        <v>769082.22</v>
      </c>
      <c r="K2419" s="233"/>
      <c r="L2419" s="50"/>
      <c r="M2419" s="233"/>
      <c r="N2419" s="19">
        <f>SUMIF('2020'!B:B,B2419,'2020'!C:C)+SUMIF('2021'!B:B,B2419,'2021'!C:C)+SUMIF('2022'!B:B,B2419,'2022'!C:C)</f>
        <v>769082.22</v>
      </c>
      <c r="O2419" s="219">
        <v>44925</v>
      </c>
      <c r="P2419" s="48" t="s">
        <v>3728</v>
      </c>
    </row>
    <row r="2420" spans="1:16" x14ac:dyDescent="0.3">
      <c r="A2420" s="59">
        <f t="shared" si="183"/>
        <v>2199</v>
      </c>
      <c r="B2420" s="60" t="s">
        <v>2519</v>
      </c>
      <c r="C2420" s="184">
        <v>1984</v>
      </c>
      <c r="D2420" s="51"/>
      <c r="E2420" s="48" t="s">
        <v>3739</v>
      </c>
      <c r="F2420" s="47">
        <v>5</v>
      </c>
      <c r="G2420" s="51"/>
      <c r="H2420" s="52">
        <v>7568.7</v>
      </c>
      <c r="I2420" s="47">
        <v>198</v>
      </c>
      <c r="J2420" s="19">
        <f t="shared" si="182"/>
        <v>618334.30000000005</v>
      </c>
      <c r="K2420" s="51"/>
      <c r="L2420" s="50"/>
      <c r="M2420" s="51"/>
      <c r="N2420" s="19">
        <f>SUMIF('2020'!B:B,B2420,'2020'!C:C)+SUMIF('2021'!B:B,B2420,'2021'!C:C)+SUMIF('2022'!B:B,B2420,'2022'!C:C)</f>
        <v>618334.30000000005</v>
      </c>
      <c r="O2420" s="219">
        <v>44925</v>
      </c>
      <c r="P2420" s="48" t="s">
        <v>3728</v>
      </c>
    </row>
    <row r="2421" spans="1:16" x14ac:dyDescent="0.3">
      <c r="A2421" s="59">
        <f t="shared" si="183"/>
        <v>2200</v>
      </c>
      <c r="B2421" s="60" t="s">
        <v>2520</v>
      </c>
      <c r="C2421" s="184">
        <v>1983</v>
      </c>
      <c r="D2421" s="51"/>
      <c r="E2421" s="48" t="s">
        <v>3739</v>
      </c>
      <c r="F2421" s="47">
        <v>5</v>
      </c>
      <c r="G2421" s="51"/>
      <c r="H2421" s="52">
        <v>4976.7</v>
      </c>
      <c r="I2421" s="47">
        <v>141</v>
      </c>
      <c r="J2421" s="19">
        <f t="shared" si="182"/>
        <v>676232.73</v>
      </c>
      <c r="K2421" s="51"/>
      <c r="L2421" s="50"/>
      <c r="M2421" s="51"/>
      <c r="N2421" s="19">
        <f>SUMIF('2020'!B:B,B2421,'2020'!C:C)+SUMIF('2021'!B:B,B2421,'2021'!C:C)+SUMIF('2022'!B:B,B2421,'2022'!C:C)</f>
        <v>676232.73</v>
      </c>
      <c r="O2421" s="219">
        <v>44925</v>
      </c>
      <c r="P2421" s="48" t="s">
        <v>3728</v>
      </c>
    </row>
    <row r="2422" spans="1:16" x14ac:dyDescent="0.3">
      <c r="A2422" s="59">
        <f t="shared" si="183"/>
        <v>2201</v>
      </c>
      <c r="B2422" s="60" t="s">
        <v>2521</v>
      </c>
      <c r="C2422" s="184">
        <v>1980</v>
      </c>
      <c r="D2422" s="51"/>
      <c r="E2422" s="48" t="s">
        <v>3739</v>
      </c>
      <c r="F2422" s="47">
        <v>5</v>
      </c>
      <c r="G2422" s="51"/>
      <c r="H2422" s="52">
        <v>5011</v>
      </c>
      <c r="I2422" s="47">
        <v>144</v>
      </c>
      <c r="J2422" s="19">
        <f t="shared" si="182"/>
        <v>488105.82999999996</v>
      </c>
      <c r="K2422" s="51"/>
      <c r="L2422" s="50"/>
      <c r="M2422" s="51"/>
      <c r="N2422" s="19">
        <f>SUMIF('2020'!B:B,B2422,'2020'!C:C)+SUMIF('2021'!B:B,B2422,'2021'!C:C)+SUMIF('2022'!B:B,B2422,'2022'!C:C)</f>
        <v>488105.82999999996</v>
      </c>
      <c r="O2422" s="219">
        <v>44925</v>
      </c>
      <c r="P2422" s="48" t="s">
        <v>3728</v>
      </c>
    </row>
    <row r="2423" spans="1:16" x14ac:dyDescent="0.3">
      <c r="A2423" s="59">
        <f t="shared" si="183"/>
        <v>2202</v>
      </c>
      <c r="B2423" s="60" t="s">
        <v>2522</v>
      </c>
      <c r="C2423" s="184">
        <v>1982</v>
      </c>
      <c r="D2423" s="51"/>
      <c r="E2423" s="48" t="s">
        <v>3739</v>
      </c>
      <c r="F2423" s="47">
        <v>5</v>
      </c>
      <c r="G2423" s="51"/>
      <c r="H2423" s="52">
        <v>5021.7</v>
      </c>
      <c r="I2423" s="47">
        <v>132</v>
      </c>
      <c r="J2423" s="19">
        <f t="shared" si="182"/>
        <v>1553784.2</v>
      </c>
      <c r="K2423" s="51"/>
      <c r="L2423" s="50"/>
      <c r="M2423" s="233"/>
      <c r="N2423" s="19">
        <f>SUMIF('2020'!B:B,B2423,'2020'!C:C)+SUMIF('2021'!B:B,B2423,'2021'!C:C)+SUMIF('2022'!B:B,B2423,'2022'!C:C)</f>
        <v>1553784.2</v>
      </c>
      <c r="O2423" s="219">
        <v>44925</v>
      </c>
      <c r="P2423" s="48" t="s">
        <v>3728</v>
      </c>
    </row>
    <row r="2424" spans="1:16" x14ac:dyDescent="0.3">
      <c r="A2424" s="59">
        <f t="shared" si="183"/>
        <v>2203</v>
      </c>
      <c r="B2424" s="60" t="s">
        <v>2523</v>
      </c>
      <c r="C2424" s="184">
        <v>1985</v>
      </c>
      <c r="D2424" s="51"/>
      <c r="E2424" s="48" t="s">
        <v>3739</v>
      </c>
      <c r="F2424" s="47">
        <v>5</v>
      </c>
      <c r="G2424" s="51"/>
      <c r="H2424" s="52">
        <v>7915.5</v>
      </c>
      <c r="I2424" s="47">
        <v>185</v>
      </c>
      <c r="J2424" s="19">
        <f t="shared" si="182"/>
        <v>564863.76</v>
      </c>
      <c r="K2424" s="233"/>
      <c r="L2424" s="50"/>
      <c r="M2424" s="263"/>
      <c r="N2424" s="19">
        <f>SUMIF('2020'!B:B,B2424,'2020'!C:C)+SUMIF('2021'!B:B,B2424,'2021'!C:C)+SUMIF('2022'!B:B,B2424,'2022'!C:C)</f>
        <v>564863.76</v>
      </c>
      <c r="O2424" s="219">
        <v>44925</v>
      </c>
      <c r="P2424" s="48" t="s">
        <v>3728</v>
      </c>
    </row>
    <row r="2425" spans="1:16" x14ac:dyDescent="0.3">
      <c r="A2425" s="59">
        <f t="shared" si="183"/>
        <v>2204</v>
      </c>
      <c r="B2425" s="60" t="s">
        <v>2524</v>
      </c>
      <c r="C2425" s="184">
        <v>1983</v>
      </c>
      <c r="D2425" s="51"/>
      <c r="E2425" s="48" t="s">
        <v>3739</v>
      </c>
      <c r="F2425" s="47">
        <v>5</v>
      </c>
      <c r="G2425" s="51"/>
      <c r="H2425" s="52">
        <v>5086</v>
      </c>
      <c r="I2425" s="47">
        <v>109</v>
      </c>
      <c r="J2425" s="19">
        <f t="shared" si="182"/>
        <v>287261</v>
      </c>
      <c r="K2425" s="233"/>
      <c r="L2425" s="50"/>
      <c r="M2425" s="263"/>
      <c r="N2425" s="19">
        <f>SUMIF('2020'!B:B,B2425,'2020'!C:C)+SUMIF('2021'!B:B,B2425,'2021'!C:C)+SUMIF('2022'!B:B,B2425,'2022'!C:C)</f>
        <v>287261</v>
      </c>
      <c r="O2425" s="219">
        <v>44925</v>
      </c>
      <c r="P2425" s="48" t="s">
        <v>3728</v>
      </c>
    </row>
    <row r="2426" spans="1:16" x14ac:dyDescent="0.3">
      <c r="A2426" s="59">
        <f t="shared" si="183"/>
        <v>2205</v>
      </c>
      <c r="B2426" s="60" t="s">
        <v>2525</v>
      </c>
      <c r="C2426" s="184">
        <v>1985</v>
      </c>
      <c r="D2426" s="51"/>
      <c r="E2426" s="48" t="s">
        <v>3739</v>
      </c>
      <c r="F2426" s="47">
        <v>5</v>
      </c>
      <c r="G2426" s="51"/>
      <c r="H2426" s="52">
        <v>7556.2</v>
      </c>
      <c r="I2426" s="47">
        <v>194</v>
      </c>
      <c r="J2426" s="19">
        <f t="shared" si="182"/>
        <v>404741.39</v>
      </c>
      <c r="K2426" s="51"/>
      <c r="L2426" s="50"/>
      <c r="M2426" s="51"/>
      <c r="N2426" s="19">
        <f>SUMIF('2020'!B:B,B2426,'2020'!C:C)+SUMIF('2021'!B:B,B2426,'2021'!C:C)+SUMIF('2022'!B:B,B2426,'2022'!C:C)</f>
        <v>404741.39</v>
      </c>
      <c r="O2426" s="219">
        <v>44925</v>
      </c>
      <c r="P2426" s="48" t="s">
        <v>3728</v>
      </c>
    </row>
    <row r="2427" spans="1:16" x14ac:dyDescent="0.3">
      <c r="A2427" s="59">
        <f t="shared" si="183"/>
        <v>2206</v>
      </c>
      <c r="B2427" s="60" t="s">
        <v>2526</v>
      </c>
      <c r="C2427" s="184">
        <v>1957</v>
      </c>
      <c r="D2427" s="51"/>
      <c r="E2427" s="48" t="s">
        <v>3731</v>
      </c>
      <c r="F2427" s="47">
        <v>2</v>
      </c>
      <c r="G2427" s="51"/>
      <c r="H2427" s="48">
        <v>161.9</v>
      </c>
      <c r="I2427" s="47">
        <v>5</v>
      </c>
      <c r="J2427" s="19">
        <f t="shared" si="182"/>
        <v>233880.52</v>
      </c>
      <c r="K2427" s="51"/>
      <c r="L2427" s="50"/>
      <c r="M2427" s="233"/>
      <c r="N2427" s="19">
        <f>SUMIF('2020'!B:B,B2427,'2020'!C:C)+SUMIF('2021'!B:B,B2427,'2021'!C:C)+SUMIF('2022'!B:B,B2427,'2022'!C:C)</f>
        <v>233880.52</v>
      </c>
      <c r="O2427" s="219">
        <v>44925</v>
      </c>
      <c r="P2427" s="48" t="s">
        <v>3728</v>
      </c>
    </row>
    <row r="2428" spans="1:16" x14ac:dyDescent="0.3">
      <c r="A2428" s="59">
        <f t="shared" si="183"/>
        <v>2207</v>
      </c>
      <c r="B2428" s="60" t="s">
        <v>2527</v>
      </c>
      <c r="C2428" s="184">
        <v>1948</v>
      </c>
      <c r="D2428" s="51"/>
      <c r="E2428" s="48" t="s">
        <v>3731</v>
      </c>
      <c r="F2428" s="47">
        <v>2</v>
      </c>
      <c r="G2428" s="51"/>
      <c r="H2428" s="52">
        <v>943.5</v>
      </c>
      <c r="I2428" s="47">
        <v>12</v>
      </c>
      <c r="J2428" s="19">
        <f t="shared" si="182"/>
        <v>687418.88</v>
      </c>
      <c r="K2428" s="51"/>
      <c r="L2428" s="50"/>
      <c r="M2428" s="233"/>
      <c r="N2428" s="19">
        <f>SUMIF('2020'!B:B,B2428,'2020'!C:C)+SUMIF('2021'!B:B,B2428,'2021'!C:C)+SUMIF('2022'!B:B,B2428,'2022'!C:C)</f>
        <v>687418.88</v>
      </c>
      <c r="O2428" s="219">
        <v>44925</v>
      </c>
      <c r="P2428" s="48" t="s">
        <v>3728</v>
      </c>
    </row>
    <row r="2429" spans="1:16" x14ac:dyDescent="0.3">
      <c r="A2429" s="59">
        <f t="shared" si="183"/>
        <v>2208</v>
      </c>
      <c r="B2429" s="60" t="s">
        <v>2528</v>
      </c>
      <c r="C2429" s="184">
        <v>1959</v>
      </c>
      <c r="D2429" s="51"/>
      <c r="E2429" s="48" t="s">
        <v>3731</v>
      </c>
      <c r="F2429" s="47">
        <v>2</v>
      </c>
      <c r="G2429" s="51"/>
      <c r="H2429" s="48">
        <v>155</v>
      </c>
      <c r="I2429" s="47">
        <v>3</v>
      </c>
      <c r="J2429" s="19">
        <f t="shared" si="182"/>
        <v>231886</v>
      </c>
      <c r="K2429" s="51"/>
      <c r="L2429" s="50"/>
      <c r="M2429" s="233"/>
      <c r="N2429" s="19">
        <f>SUMIF('2020'!B:B,B2429,'2020'!C:C)+SUMIF('2021'!B:B,B2429,'2021'!C:C)+SUMIF('2022'!B:B,B2429,'2022'!C:C)</f>
        <v>231886</v>
      </c>
      <c r="O2429" s="219">
        <v>44925</v>
      </c>
      <c r="P2429" s="48" t="s">
        <v>3728</v>
      </c>
    </row>
    <row r="2430" spans="1:16" x14ac:dyDescent="0.3">
      <c r="A2430" s="59">
        <f t="shared" si="183"/>
        <v>2209</v>
      </c>
      <c r="B2430" s="60" t="s">
        <v>2529</v>
      </c>
      <c r="C2430" s="184">
        <v>1957</v>
      </c>
      <c r="D2430" s="51"/>
      <c r="E2430" s="48" t="s">
        <v>3731</v>
      </c>
      <c r="F2430" s="47">
        <v>2</v>
      </c>
      <c r="G2430" s="51"/>
      <c r="H2430" s="48">
        <v>165.8</v>
      </c>
      <c r="I2430" s="47">
        <v>5</v>
      </c>
      <c r="J2430" s="19">
        <f t="shared" si="182"/>
        <v>235236.78000000003</v>
      </c>
      <c r="K2430" s="51"/>
      <c r="L2430" s="50"/>
      <c r="M2430" s="233"/>
      <c r="N2430" s="19">
        <f>SUMIF('2020'!B:B,B2430,'2020'!C:C)+SUMIF('2021'!B:B,B2430,'2021'!C:C)+SUMIF('2022'!B:B,B2430,'2022'!C:C)</f>
        <v>235236.78000000003</v>
      </c>
      <c r="O2430" s="219">
        <v>44925</v>
      </c>
      <c r="P2430" s="48" t="s">
        <v>3728</v>
      </c>
    </row>
    <row r="2431" spans="1:16" x14ac:dyDescent="0.3">
      <c r="A2431" s="59">
        <f t="shared" si="183"/>
        <v>2210</v>
      </c>
      <c r="B2431" s="60" t="s">
        <v>2530</v>
      </c>
      <c r="C2431" s="184">
        <v>1957</v>
      </c>
      <c r="D2431" s="51"/>
      <c r="E2431" s="48" t="s">
        <v>3731</v>
      </c>
      <c r="F2431" s="47">
        <v>2</v>
      </c>
      <c r="G2431" s="51"/>
      <c r="H2431" s="48">
        <v>163.80000000000001</v>
      </c>
      <c r="I2431" s="47">
        <v>4</v>
      </c>
      <c r="J2431" s="19">
        <f t="shared" si="182"/>
        <v>359699.6</v>
      </c>
      <c r="K2431" s="51"/>
      <c r="L2431" s="50"/>
      <c r="M2431" s="233"/>
      <c r="N2431" s="19">
        <f>SUMIF('2020'!B:B,B2431,'2020'!C:C)+SUMIF('2021'!B:B,B2431,'2021'!C:C)+SUMIF('2022'!B:B,B2431,'2022'!C:C)</f>
        <v>359699.6</v>
      </c>
      <c r="O2431" s="219">
        <v>44925</v>
      </c>
      <c r="P2431" s="48" t="s">
        <v>3728</v>
      </c>
    </row>
    <row r="2432" spans="1:16" x14ac:dyDescent="0.3">
      <c r="A2432" s="59">
        <f t="shared" si="183"/>
        <v>2211</v>
      </c>
      <c r="B2432" s="60" t="s">
        <v>2531</v>
      </c>
      <c r="C2432" s="184">
        <v>1957</v>
      </c>
      <c r="D2432" s="51"/>
      <c r="E2432" s="48" t="s">
        <v>3731</v>
      </c>
      <c r="F2432" s="47">
        <v>2</v>
      </c>
      <c r="G2432" s="51"/>
      <c r="H2432" s="48">
        <v>163.9</v>
      </c>
      <c r="I2432" s="47">
        <v>2</v>
      </c>
      <c r="J2432" s="19">
        <f t="shared" si="182"/>
        <v>2271612.1199999996</v>
      </c>
      <c r="K2432" s="51"/>
      <c r="L2432" s="50"/>
      <c r="M2432" s="233"/>
      <c r="N2432" s="19">
        <f>SUMIF('2020'!B:B,B2432,'2020'!C:C)+SUMIF('2021'!B:B,B2432,'2021'!C:C)+SUMIF('2022'!B:B,B2432,'2022'!C:C)</f>
        <v>2271612.1199999996</v>
      </c>
      <c r="O2432" s="219">
        <v>44925</v>
      </c>
      <c r="P2432" s="48" t="s">
        <v>3728</v>
      </c>
    </row>
    <row r="2433" spans="1:16" x14ac:dyDescent="0.3">
      <c r="A2433" s="59">
        <f t="shared" si="183"/>
        <v>2212</v>
      </c>
      <c r="B2433" s="60" t="s">
        <v>2532</v>
      </c>
      <c r="C2433" s="184">
        <v>1957</v>
      </c>
      <c r="D2433" s="51"/>
      <c r="E2433" s="48" t="s">
        <v>3731</v>
      </c>
      <c r="F2433" s="47">
        <v>2</v>
      </c>
      <c r="G2433" s="51"/>
      <c r="H2433" s="48">
        <v>160.9</v>
      </c>
      <c r="I2433" s="47">
        <v>8</v>
      </c>
      <c r="J2433" s="19">
        <f t="shared" si="182"/>
        <v>232740.66999999998</v>
      </c>
      <c r="K2433" s="51"/>
      <c r="L2433" s="50"/>
      <c r="M2433" s="233"/>
      <c r="N2433" s="19">
        <f>SUMIF('2020'!B:B,B2433,'2020'!C:C)+SUMIF('2021'!B:B,B2433,'2021'!C:C)+SUMIF('2022'!B:B,B2433,'2022'!C:C)</f>
        <v>232740.66999999998</v>
      </c>
      <c r="O2433" s="219">
        <v>44925</v>
      </c>
      <c r="P2433" s="48" t="s">
        <v>3728</v>
      </c>
    </row>
    <row r="2434" spans="1:16" x14ac:dyDescent="0.3">
      <c r="A2434" s="59">
        <f t="shared" si="183"/>
        <v>2213</v>
      </c>
      <c r="B2434" s="60" t="s">
        <v>2533</v>
      </c>
      <c r="C2434" s="184">
        <v>1962</v>
      </c>
      <c r="D2434" s="51"/>
      <c r="E2434" s="48" t="s">
        <v>3731</v>
      </c>
      <c r="F2434" s="47">
        <v>2</v>
      </c>
      <c r="G2434" s="51"/>
      <c r="H2434" s="52">
        <v>4847.2</v>
      </c>
      <c r="I2434" s="47">
        <v>20</v>
      </c>
      <c r="J2434" s="19">
        <f t="shared" si="182"/>
        <v>696561.96</v>
      </c>
      <c r="K2434" s="51"/>
      <c r="L2434" s="50"/>
      <c r="M2434" s="233"/>
      <c r="N2434" s="19">
        <f>SUMIF('2020'!B:B,B2434,'2020'!C:C)+SUMIF('2021'!B:B,B2434,'2021'!C:C)+SUMIF('2022'!B:B,B2434,'2022'!C:C)</f>
        <v>696561.96</v>
      </c>
      <c r="O2434" s="219">
        <v>44925</v>
      </c>
      <c r="P2434" s="48" t="s">
        <v>3728</v>
      </c>
    </row>
    <row r="2435" spans="1:16" x14ac:dyDescent="0.3">
      <c r="A2435" s="59">
        <f t="shared" si="183"/>
        <v>2214</v>
      </c>
      <c r="B2435" s="60" t="s">
        <v>2534</v>
      </c>
      <c r="C2435" s="184">
        <v>1957</v>
      </c>
      <c r="D2435" s="51"/>
      <c r="E2435" s="52" t="s">
        <v>3731</v>
      </c>
      <c r="F2435" s="47">
        <v>2</v>
      </c>
      <c r="G2435" s="51"/>
      <c r="H2435" s="48">
        <v>160.19999999999999</v>
      </c>
      <c r="I2435" s="47">
        <v>8</v>
      </c>
      <c r="J2435" s="19">
        <f t="shared" si="182"/>
        <v>130000</v>
      </c>
      <c r="K2435" s="51"/>
      <c r="L2435" s="50"/>
      <c r="M2435" s="233"/>
      <c r="N2435" s="19">
        <f>SUMIF('2020'!B:B,B2435,'2020'!C:C)+SUMIF('2021'!B:B,B2435,'2021'!C:C)+SUMIF('2022'!B:B,B2435,'2022'!C:C)</f>
        <v>130000</v>
      </c>
      <c r="O2435" s="219">
        <v>44925</v>
      </c>
      <c r="P2435" s="48" t="s">
        <v>3728</v>
      </c>
    </row>
    <row r="2436" spans="1:16" x14ac:dyDescent="0.3">
      <c r="A2436" s="59">
        <f t="shared" si="183"/>
        <v>2215</v>
      </c>
      <c r="B2436" s="60" t="s">
        <v>2535</v>
      </c>
      <c r="C2436" s="184">
        <v>1957</v>
      </c>
      <c r="D2436" s="51"/>
      <c r="E2436" s="48" t="s">
        <v>3731</v>
      </c>
      <c r="F2436" s="47">
        <v>2</v>
      </c>
      <c r="G2436" s="51"/>
      <c r="H2436" s="48">
        <v>162.30000000000001</v>
      </c>
      <c r="I2436" s="47">
        <v>7</v>
      </c>
      <c r="J2436" s="19">
        <f t="shared" si="182"/>
        <v>435305.02</v>
      </c>
      <c r="K2436" s="233"/>
      <c r="L2436" s="50"/>
      <c r="M2436" s="51"/>
      <c r="N2436" s="19">
        <f>SUMIF('2020'!B:B,B2436,'2020'!C:C)+SUMIF('2021'!B:B,B2436,'2021'!C:C)+SUMIF('2022'!B:B,B2436,'2022'!C:C)</f>
        <v>435305.02</v>
      </c>
      <c r="O2436" s="219">
        <v>44925</v>
      </c>
      <c r="P2436" s="48" t="s">
        <v>3728</v>
      </c>
    </row>
    <row r="2437" spans="1:16" x14ac:dyDescent="0.3">
      <c r="A2437" s="59">
        <f t="shared" si="183"/>
        <v>2216</v>
      </c>
      <c r="B2437" s="60" t="s">
        <v>2536</v>
      </c>
      <c r="C2437" s="184">
        <v>1927</v>
      </c>
      <c r="D2437" s="51"/>
      <c r="E2437" s="48" t="s">
        <v>4090</v>
      </c>
      <c r="F2437" s="47">
        <v>2</v>
      </c>
      <c r="G2437" s="51"/>
      <c r="H2437" s="52">
        <v>355.4</v>
      </c>
      <c r="I2437" s="47">
        <v>14</v>
      </c>
      <c r="J2437" s="19">
        <f t="shared" si="182"/>
        <v>381103.87000000005</v>
      </c>
      <c r="K2437" s="51"/>
      <c r="L2437" s="50"/>
      <c r="M2437" s="51"/>
      <c r="N2437" s="19">
        <f>SUMIF('2020'!B:B,B2437,'2020'!C:C)+SUMIF('2021'!B:B,B2437,'2021'!C:C)+SUMIF('2022'!B:B,B2437,'2022'!C:C)</f>
        <v>381103.87000000005</v>
      </c>
      <c r="O2437" s="219">
        <v>44925</v>
      </c>
      <c r="P2437" s="48" t="s">
        <v>3728</v>
      </c>
    </row>
    <row r="2438" spans="1:16" x14ac:dyDescent="0.3">
      <c r="A2438" s="59">
        <f t="shared" si="183"/>
        <v>2217</v>
      </c>
      <c r="B2438" s="60" t="s">
        <v>2537</v>
      </c>
      <c r="C2438" s="184">
        <v>1967</v>
      </c>
      <c r="D2438" s="51"/>
      <c r="E2438" s="48" t="s">
        <v>4115</v>
      </c>
      <c r="F2438" s="47">
        <v>2</v>
      </c>
      <c r="G2438" s="51"/>
      <c r="H2438" s="52">
        <v>417.3</v>
      </c>
      <c r="I2438" s="47">
        <v>10</v>
      </c>
      <c r="J2438" s="19">
        <f t="shared" si="182"/>
        <v>462176.07</v>
      </c>
      <c r="K2438" s="51"/>
      <c r="L2438" s="50"/>
      <c r="M2438" s="51"/>
      <c r="N2438" s="19">
        <f>SUMIF('2020'!B:B,B2438,'2020'!C:C)+SUMIF('2021'!B:B,B2438,'2021'!C:C)+SUMIF('2022'!B:B,B2438,'2022'!C:C)</f>
        <v>462176.07</v>
      </c>
      <c r="O2438" s="219">
        <v>44925</v>
      </c>
      <c r="P2438" s="48" t="s">
        <v>3728</v>
      </c>
    </row>
    <row r="2439" spans="1:16" x14ac:dyDescent="0.3">
      <c r="A2439" s="59">
        <f t="shared" si="183"/>
        <v>2218</v>
      </c>
      <c r="B2439" s="60" t="s">
        <v>2539</v>
      </c>
      <c r="C2439" s="184">
        <v>1958</v>
      </c>
      <c r="D2439" s="51"/>
      <c r="E2439" s="48" t="s">
        <v>3731</v>
      </c>
      <c r="F2439" s="47">
        <v>2</v>
      </c>
      <c r="G2439" s="51"/>
      <c r="H2439" s="48">
        <v>145</v>
      </c>
      <c r="I2439" s="47">
        <v>3</v>
      </c>
      <c r="J2439" s="19">
        <f t="shared" si="182"/>
        <v>381880.08</v>
      </c>
      <c r="K2439" s="233"/>
      <c r="L2439" s="50"/>
      <c r="M2439" s="233"/>
      <c r="N2439" s="19">
        <f>SUMIF('2020'!B:B,B2439,'2020'!C:C)+SUMIF('2021'!B:B,B2439,'2021'!C:C)+SUMIF('2022'!B:B,B2439,'2022'!C:C)</f>
        <v>381880.08</v>
      </c>
      <c r="O2439" s="219">
        <v>44925</v>
      </c>
      <c r="P2439" s="48" t="s">
        <v>3728</v>
      </c>
    </row>
    <row r="2440" spans="1:16" x14ac:dyDescent="0.3">
      <c r="A2440" s="59">
        <f t="shared" si="183"/>
        <v>2219</v>
      </c>
      <c r="B2440" s="60" t="s">
        <v>2540</v>
      </c>
      <c r="C2440" s="184">
        <v>1958</v>
      </c>
      <c r="D2440" s="51"/>
      <c r="E2440" s="48" t="s">
        <v>3731</v>
      </c>
      <c r="F2440" s="47">
        <v>2</v>
      </c>
      <c r="G2440" s="51"/>
      <c r="H2440" s="52">
        <v>151.6</v>
      </c>
      <c r="I2440" s="47">
        <v>6</v>
      </c>
      <c r="J2440" s="19">
        <f t="shared" si="182"/>
        <v>426201.99</v>
      </c>
      <c r="K2440" s="51"/>
      <c r="L2440" s="50"/>
      <c r="M2440" s="233"/>
      <c r="N2440" s="19">
        <f>SUMIF('2020'!B:B,B2440,'2020'!C:C)+SUMIF('2021'!B:B,B2440,'2021'!C:C)+SUMIF('2022'!B:B,B2440,'2022'!C:C)</f>
        <v>426201.99</v>
      </c>
      <c r="O2440" s="219">
        <v>44925</v>
      </c>
      <c r="P2440" s="48" t="s">
        <v>3728</v>
      </c>
    </row>
    <row r="2441" spans="1:16" x14ac:dyDescent="0.3">
      <c r="A2441" s="59">
        <f t="shared" si="183"/>
        <v>2220</v>
      </c>
      <c r="B2441" s="60" t="s">
        <v>2542</v>
      </c>
      <c r="C2441" s="184">
        <v>1975</v>
      </c>
      <c r="D2441" s="51"/>
      <c r="E2441" s="52" t="s">
        <v>3731</v>
      </c>
      <c r="F2441" s="47">
        <v>2</v>
      </c>
      <c r="G2441" s="51"/>
      <c r="H2441" s="52">
        <v>453.8</v>
      </c>
      <c r="I2441" s="47">
        <v>13</v>
      </c>
      <c r="J2441" s="19">
        <f t="shared" ref="J2441:J2490" si="184">K2441+L2441+M2441+N2441</f>
        <v>213428.13</v>
      </c>
      <c r="K2441" s="51"/>
      <c r="L2441" s="50"/>
      <c r="M2441" s="51"/>
      <c r="N2441" s="19">
        <f>SUMIF('2020'!B:B,B2441,'2020'!C:C)+SUMIF('2021'!B:B,B2441,'2021'!C:C)+SUMIF('2022'!B:B,B2441,'2022'!C:C)</f>
        <v>213428.13</v>
      </c>
      <c r="O2441" s="219">
        <v>44925</v>
      </c>
      <c r="P2441" s="48" t="s">
        <v>3728</v>
      </c>
    </row>
    <row r="2442" spans="1:16" x14ac:dyDescent="0.3">
      <c r="A2442" s="59">
        <f t="shared" si="183"/>
        <v>2221</v>
      </c>
      <c r="B2442" s="60" t="s">
        <v>2543</v>
      </c>
      <c r="C2442" s="184">
        <v>1956</v>
      </c>
      <c r="D2442" s="51"/>
      <c r="E2442" s="52" t="s">
        <v>3733</v>
      </c>
      <c r="F2442" s="47">
        <v>3</v>
      </c>
      <c r="G2442" s="51"/>
      <c r="H2442" s="48">
        <v>3508.4</v>
      </c>
      <c r="I2442" s="47">
        <v>68</v>
      </c>
      <c r="J2442" s="19">
        <f t="shared" si="184"/>
        <v>590975.94999999995</v>
      </c>
      <c r="K2442" s="51"/>
      <c r="L2442" s="51"/>
      <c r="M2442" s="51"/>
      <c r="N2442" s="19">
        <f>SUMIF('2020'!B:B,B2442,'2020'!C:C)+SUMIF('2021'!B:B,B2442,'2021'!C:C)+SUMIF('2022'!B:B,B2442,'2022'!C:C)</f>
        <v>590975.94999999995</v>
      </c>
      <c r="O2442" s="219">
        <v>44925</v>
      </c>
      <c r="P2442" s="48" t="s">
        <v>3728</v>
      </c>
    </row>
    <row r="2443" spans="1:16" x14ac:dyDescent="0.3">
      <c r="A2443" s="59">
        <f t="shared" si="183"/>
        <v>2222</v>
      </c>
      <c r="B2443" s="60" t="s">
        <v>2544</v>
      </c>
      <c r="C2443" s="184">
        <v>1983</v>
      </c>
      <c r="D2443" s="51"/>
      <c r="E2443" s="48" t="s">
        <v>3739</v>
      </c>
      <c r="F2443" s="47">
        <v>5</v>
      </c>
      <c r="G2443" s="51"/>
      <c r="H2443" s="52">
        <v>4847.2</v>
      </c>
      <c r="I2443" s="47">
        <v>133</v>
      </c>
      <c r="J2443" s="19">
        <f t="shared" si="184"/>
        <v>649802.98</v>
      </c>
      <c r="K2443" s="51"/>
      <c r="L2443" s="50"/>
      <c r="M2443" s="51"/>
      <c r="N2443" s="19">
        <f>SUMIF('2020'!B:B,B2443,'2020'!C:C)+SUMIF('2021'!B:B,B2443,'2021'!C:C)+SUMIF('2022'!B:B,B2443,'2022'!C:C)</f>
        <v>649802.98</v>
      </c>
      <c r="O2443" s="219">
        <v>44925</v>
      </c>
      <c r="P2443" s="48" t="s">
        <v>3728</v>
      </c>
    </row>
    <row r="2444" spans="1:16" x14ac:dyDescent="0.3">
      <c r="A2444" s="59">
        <f t="shared" si="183"/>
        <v>2223</v>
      </c>
      <c r="B2444" s="60" t="s">
        <v>2545</v>
      </c>
      <c r="C2444" s="184">
        <v>1986</v>
      </c>
      <c r="D2444" s="51"/>
      <c r="E2444" s="48" t="s">
        <v>3739</v>
      </c>
      <c r="F2444" s="47">
        <v>5</v>
      </c>
      <c r="G2444" s="51"/>
      <c r="H2444" s="52">
        <v>4847.2</v>
      </c>
      <c r="I2444" s="47">
        <v>112</v>
      </c>
      <c r="J2444" s="19">
        <f t="shared" si="184"/>
        <v>21868153.140000001</v>
      </c>
      <c r="K2444" s="51"/>
      <c r="L2444" s="50"/>
      <c r="M2444" s="51"/>
      <c r="N2444" s="19">
        <f>SUMIF('2020'!B:B,B2444,'2020'!C:C)+SUMIF('2021'!B:B,B2444,'2021'!C:C)+SUMIF('2022'!B:B,B2444,'2022'!C:C)</f>
        <v>21868153.140000001</v>
      </c>
      <c r="O2444" s="219">
        <v>44925</v>
      </c>
      <c r="P2444" s="48" t="s">
        <v>3728</v>
      </c>
    </row>
    <row r="2445" spans="1:16" x14ac:dyDescent="0.3">
      <c r="A2445" s="59">
        <f t="shared" si="183"/>
        <v>2224</v>
      </c>
      <c r="B2445" s="60" t="s">
        <v>2546</v>
      </c>
      <c r="C2445" s="184">
        <v>1994</v>
      </c>
      <c r="D2445" s="51"/>
      <c r="E2445" s="52" t="s">
        <v>3739</v>
      </c>
      <c r="F2445" s="47">
        <v>5</v>
      </c>
      <c r="G2445" s="51"/>
      <c r="H2445" s="52">
        <v>9328</v>
      </c>
      <c r="I2445" s="47">
        <v>171</v>
      </c>
      <c r="J2445" s="19">
        <f t="shared" si="184"/>
        <v>789309.06</v>
      </c>
      <c r="K2445" s="51"/>
      <c r="L2445" s="50"/>
      <c r="M2445" s="51"/>
      <c r="N2445" s="19">
        <f>SUMIF('2020'!B:B,B2445,'2020'!C:C)+SUMIF('2021'!B:B,B2445,'2021'!C:C)+SUMIF('2022'!B:B,B2445,'2022'!C:C)</f>
        <v>789309.06</v>
      </c>
      <c r="O2445" s="219">
        <v>44925</v>
      </c>
      <c r="P2445" s="48" t="s">
        <v>3728</v>
      </c>
    </row>
    <row r="2446" spans="1:16" x14ac:dyDescent="0.3">
      <c r="A2446" s="59">
        <f t="shared" si="183"/>
        <v>2225</v>
      </c>
      <c r="B2446" s="60" t="s">
        <v>2547</v>
      </c>
      <c r="C2446" s="184">
        <v>1955</v>
      </c>
      <c r="D2446" s="51"/>
      <c r="E2446" s="52" t="s">
        <v>3733</v>
      </c>
      <c r="F2446" s="47">
        <v>3</v>
      </c>
      <c r="G2446" s="51"/>
      <c r="H2446" s="48">
        <v>2832.04</v>
      </c>
      <c r="I2446" s="47">
        <v>67</v>
      </c>
      <c r="J2446" s="19">
        <f t="shared" si="184"/>
        <v>156146.35</v>
      </c>
      <c r="K2446" s="51"/>
      <c r="L2446" s="50"/>
      <c r="M2446" s="51"/>
      <c r="N2446" s="19">
        <f>SUMIF('2020'!B:B,B2446,'2020'!C:C)+SUMIF('2021'!B:B,B2446,'2021'!C:C)+SUMIF('2022'!B:B,B2446,'2022'!C:C)</f>
        <v>156146.35</v>
      </c>
      <c r="O2446" s="219">
        <v>44925</v>
      </c>
      <c r="P2446" s="48" t="s">
        <v>3728</v>
      </c>
    </row>
    <row r="2447" spans="1:16" x14ac:dyDescent="0.3">
      <c r="A2447" s="59">
        <f t="shared" si="183"/>
        <v>2226</v>
      </c>
      <c r="B2447" s="60" t="s">
        <v>2548</v>
      </c>
      <c r="C2447" s="184">
        <v>1955</v>
      </c>
      <c r="D2447" s="51"/>
      <c r="E2447" s="52" t="s">
        <v>3733</v>
      </c>
      <c r="F2447" s="47">
        <v>3</v>
      </c>
      <c r="G2447" s="51"/>
      <c r="H2447" s="48">
        <v>2868.53</v>
      </c>
      <c r="I2447" s="47">
        <v>60</v>
      </c>
      <c r="J2447" s="19">
        <f t="shared" si="184"/>
        <v>157554.6</v>
      </c>
      <c r="K2447" s="51"/>
      <c r="L2447" s="51"/>
      <c r="M2447" s="264"/>
      <c r="N2447" s="19">
        <f>SUMIF('2020'!B:B,B2447,'2020'!C:C)+SUMIF('2021'!B:B,B2447,'2021'!C:C)+SUMIF('2022'!B:B,B2447,'2022'!C:C)</f>
        <v>157554.6</v>
      </c>
      <c r="O2447" s="219">
        <v>44925</v>
      </c>
      <c r="P2447" s="48" t="s">
        <v>3728</v>
      </c>
    </row>
    <row r="2448" spans="1:16" x14ac:dyDescent="0.3">
      <c r="A2448" s="59">
        <f t="shared" si="183"/>
        <v>2227</v>
      </c>
      <c r="B2448" s="60" t="s">
        <v>2549</v>
      </c>
      <c r="C2448" s="184">
        <v>1956</v>
      </c>
      <c r="D2448" s="51"/>
      <c r="E2448" s="52" t="s">
        <v>3733</v>
      </c>
      <c r="F2448" s="47">
        <v>3</v>
      </c>
      <c r="G2448" s="51"/>
      <c r="H2448" s="48">
        <v>3418.69</v>
      </c>
      <c r="I2448" s="47">
        <v>52</v>
      </c>
      <c r="J2448" s="19">
        <f t="shared" si="184"/>
        <v>578977.97</v>
      </c>
      <c r="K2448" s="51"/>
      <c r="L2448" s="51"/>
      <c r="M2448" s="51"/>
      <c r="N2448" s="19">
        <f>SUMIF('2020'!B:B,B2448,'2020'!C:C)+SUMIF('2021'!B:B,B2448,'2021'!C:C)+SUMIF('2022'!B:B,B2448,'2022'!C:C)</f>
        <v>578977.97</v>
      </c>
      <c r="O2448" s="219">
        <v>44925</v>
      </c>
      <c r="P2448" s="48" t="s">
        <v>3728</v>
      </c>
    </row>
    <row r="2449" spans="1:16" x14ac:dyDescent="0.3">
      <c r="A2449" s="59">
        <f t="shared" si="183"/>
        <v>2228</v>
      </c>
      <c r="B2449" s="60" t="s">
        <v>2550</v>
      </c>
      <c r="C2449" s="184">
        <v>1955</v>
      </c>
      <c r="D2449" s="51"/>
      <c r="E2449" s="52" t="s">
        <v>3733</v>
      </c>
      <c r="F2449" s="47">
        <v>3</v>
      </c>
      <c r="G2449" s="51"/>
      <c r="H2449" s="52">
        <v>3118.5</v>
      </c>
      <c r="I2449" s="47">
        <v>57</v>
      </c>
      <c r="J2449" s="19">
        <f t="shared" si="184"/>
        <v>1269272.3999999999</v>
      </c>
      <c r="K2449" s="51"/>
      <c r="L2449" s="50"/>
      <c r="M2449" s="51"/>
      <c r="N2449" s="19">
        <f>SUMIF('2020'!B:B,B2449,'2020'!C:C)+SUMIF('2021'!B:B,B2449,'2021'!C:C)+SUMIF('2022'!B:B,B2449,'2022'!C:C)</f>
        <v>1269272.3999999999</v>
      </c>
      <c r="O2449" s="219">
        <v>44925</v>
      </c>
      <c r="P2449" s="48" t="s">
        <v>3728</v>
      </c>
    </row>
    <row r="2450" spans="1:16" x14ac:dyDescent="0.3">
      <c r="A2450" s="59">
        <f t="shared" si="183"/>
        <v>2229</v>
      </c>
      <c r="B2450" s="60" t="s">
        <v>2551</v>
      </c>
      <c r="C2450" s="184">
        <v>1963</v>
      </c>
      <c r="D2450" s="51"/>
      <c r="E2450" s="52" t="s">
        <v>3733</v>
      </c>
      <c r="F2450" s="47">
        <v>3</v>
      </c>
      <c r="G2450" s="51"/>
      <c r="H2450" s="52">
        <v>2964.7</v>
      </c>
      <c r="I2450" s="47">
        <v>72</v>
      </c>
      <c r="J2450" s="19">
        <f t="shared" si="184"/>
        <v>808863.99</v>
      </c>
      <c r="K2450" s="51"/>
      <c r="L2450" s="50"/>
      <c r="M2450" s="51"/>
      <c r="N2450" s="19">
        <f>SUMIF('2020'!B:B,B2450,'2020'!C:C)+SUMIF('2021'!B:B,B2450,'2021'!C:C)+SUMIF('2022'!B:B,B2450,'2022'!C:C)</f>
        <v>808863.99</v>
      </c>
      <c r="O2450" s="219">
        <v>44925</v>
      </c>
      <c r="P2450" s="48" t="s">
        <v>3728</v>
      </c>
    </row>
    <row r="2451" spans="1:16" x14ac:dyDescent="0.3">
      <c r="A2451" s="59">
        <f t="shared" si="183"/>
        <v>2230</v>
      </c>
      <c r="B2451" s="60" t="s">
        <v>2552</v>
      </c>
      <c r="C2451" s="184">
        <v>1973</v>
      </c>
      <c r="D2451" s="51"/>
      <c r="E2451" s="52" t="s">
        <v>3733</v>
      </c>
      <c r="F2451" s="47">
        <v>3</v>
      </c>
      <c r="G2451" s="51"/>
      <c r="H2451" s="52">
        <v>3133.7</v>
      </c>
      <c r="I2451" s="47">
        <v>71</v>
      </c>
      <c r="J2451" s="19">
        <f t="shared" si="184"/>
        <v>3474652.4000000004</v>
      </c>
      <c r="K2451" s="51"/>
      <c r="L2451" s="51"/>
      <c r="M2451" s="51"/>
      <c r="N2451" s="19">
        <f>SUMIF('2020'!B:B,B2451,'2020'!C:C)+SUMIF('2021'!B:B,B2451,'2021'!C:C)+SUMIF('2022'!B:B,B2451,'2022'!C:C)</f>
        <v>3474652.4000000004</v>
      </c>
      <c r="O2451" s="219">
        <v>44925</v>
      </c>
      <c r="P2451" s="48" t="s">
        <v>3728</v>
      </c>
    </row>
    <row r="2452" spans="1:16" x14ac:dyDescent="0.3">
      <c r="A2452" s="59">
        <f t="shared" si="183"/>
        <v>2231</v>
      </c>
      <c r="B2452" s="60" t="s">
        <v>2553</v>
      </c>
      <c r="C2452" s="184">
        <v>1979</v>
      </c>
      <c r="D2452" s="51"/>
      <c r="E2452" s="52" t="s">
        <v>3733</v>
      </c>
      <c r="F2452" s="47">
        <v>5</v>
      </c>
      <c r="G2452" s="51"/>
      <c r="H2452" s="48">
        <v>4754.5</v>
      </c>
      <c r="I2452" s="47">
        <v>117</v>
      </c>
      <c r="J2452" s="19">
        <f t="shared" si="184"/>
        <v>20067304.989999998</v>
      </c>
      <c r="K2452" s="51"/>
      <c r="L2452" s="50"/>
      <c r="M2452" s="51"/>
      <c r="N2452" s="19">
        <f>SUMIF('2020'!B:B,B2452,'2020'!C:C)+SUMIF('2021'!B:B,B2452,'2021'!C:C)+SUMIF('2022'!B:B,B2452,'2022'!C:C)</f>
        <v>20067304.989999998</v>
      </c>
      <c r="O2452" s="219">
        <v>44925</v>
      </c>
      <c r="P2452" s="48" t="s">
        <v>3728</v>
      </c>
    </row>
    <row r="2453" spans="1:16" x14ac:dyDescent="0.3">
      <c r="A2453" s="59">
        <f t="shared" si="183"/>
        <v>2232</v>
      </c>
      <c r="B2453" s="60" t="s">
        <v>2554</v>
      </c>
      <c r="C2453" s="184">
        <v>1970</v>
      </c>
      <c r="D2453" s="51"/>
      <c r="E2453" s="48" t="s">
        <v>3731</v>
      </c>
      <c r="F2453" s="47">
        <v>5</v>
      </c>
      <c r="G2453" s="51"/>
      <c r="H2453" s="52">
        <v>6327.1</v>
      </c>
      <c r="I2453" s="47">
        <v>166</v>
      </c>
      <c r="J2453" s="19">
        <f t="shared" si="184"/>
        <v>1202729</v>
      </c>
      <c r="K2453" s="233"/>
      <c r="L2453" s="50"/>
      <c r="M2453" s="233"/>
      <c r="N2453" s="19">
        <f>SUMIF('2020'!B:B,B2453,'2020'!C:C)+SUMIF('2021'!B:B,B2453,'2021'!C:C)+SUMIF('2022'!B:B,B2453,'2022'!C:C)</f>
        <v>1202729</v>
      </c>
      <c r="O2453" s="219">
        <v>44925</v>
      </c>
      <c r="P2453" s="48" t="s">
        <v>3728</v>
      </c>
    </row>
    <row r="2454" spans="1:16" x14ac:dyDescent="0.3">
      <c r="A2454" s="59">
        <f t="shared" si="183"/>
        <v>2233</v>
      </c>
      <c r="B2454" s="60" t="s">
        <v>2555</v>
      </c>
      <c r="C2454" s="184">
        <v>1962</v>
      </c>
      <c r="D2454" s="51"/>
      <c r="E2454" s="48" t="s">
        <v>3731</v>
      </c>
      <c r="F2454" s="47">
        <v>4</v>
      </c>
      <c r="G2454" s="51"/>
      <c r="H2454" s="52">
        <v>2254.9</v>
      </c>
      <c r="I2454" s="47">
        <v>48</v>
      </c>
      <c r="J2454" s="19">
        <f t="shared" si="184"/>
        <v>1087242.1200000001</v>
      </c>
      <c r="K2454" s="51"/>
      <c r="L2454" s="50"/>
      <c r="M2454" s="51"/>
      <c r="N2454" s="19">
        <f>SUMIF('2020'!B:B,B2454,'2020'!C:C)+SUMIF('2021'!B:B,B2454,'2021'!C:C)+SUMIF('2022'!B:B,B2454,'2022'!C:C)</f>
        <v>1087242.1200000001</v>
      </c>
      <c r="O2454" s="219">
        <v>44925</v>
      </c>
      <c r="P2454" s="48" t="s">
        <v>3728</v>
      </c>
    </row>
    <row r="2455" spans="1:16" x14ac:dyDescent="0.3">
      <c r="A2455" s="59">
        <f t="shared" si="183"/>
        <v>2234</v>
      </c>
      <c r="B2455" s="60" t="s">
        <v>2556</v>
      </c>
      <c r="C2455" s="184">
        <v>1965</v>
      </c>
      <c r="D2455" s="51"/>
      <c r="E2455" s="48" t="s">
        <v>3731</v>
      </c>
      <c r="F2455" s="47">
        <v>5</v>
      </c>
      <c r="G2455" s="51"/>
      <c r="H2455" s="52">
        <v>2097.1</v>
      </c>
      <c r="I2455" s="47">
        <v>49</v>
      </c>
      <c r="J2455" s="19">
        <f t="shared" si="184"/>
        <v>563614.01</v>
      </c>
      <c r="K2455" s="51"/>
      <c r="L2455" s="50"/>
      <c r="M2455" s="51"/>
      <c r="N2455" s="19">
        <f>SUMIF('2020'!B:B,B2455,'2020'!C:C)+SUMIF('2021'!B:B,B2455,'2021'!C:C)+SUMIF('2022'!B:B,B2455,'2022'!C:C)</f>
        <v>563614.01</v>
      </c>
      <c r="O2455" s="219">
        <v>44925</v>
      </c>
      <c r="P2455" s="48" t="s">
        <v>3728</v>
      </c>
    </row>
    <row r="2456" spans="1:16" x14ac:dyDescent="0.3">
      <c r="A2456" s="59">
        <f t="shared" ref="A2456:A2483" si="185">A2455+1</f>
        <v>2235</v>
      </c>
      <c r="B2456" s="60" t="s">
        <v>2557</v>
      </c>
      <c r="C2456" s="184">
        <v>1967</v>
      </c>
      <c r="D2456" s="51"/>
      <c r="E2456" s="52" t="s">
        <v>3739</v>
      </c>
      <c r="F2456" s="47">
        <v>5</v>
      </c>
      <c r="G2456" s="51"/>
      <c r="H2456" s="52">
        <v>4670</v>
      </c>
      <c r="I2456" s="47">
        <v>168</v>
      </c>
      <c r="J2456" s="19">
        <f t="shared" si="184"/>
        <v>502456.48</v>
      </c>
      <c r="K2456" s="51"/>
      <c r="L2456" s="50"/>
      <c r="M2456" s="51"/>
      <c r="N2456" s="19">
        <f>SUMIF('2020'!B:B,B2456,'2020'!C:C)+SUMIF('2021'!B:B,B2456,'2021'!C:C)+SUMIF('2022'!B:B,B2456,'2022'!C:C)</f>
        <v>502456.48</v>
      </c>
      <c r="O2456" s="219">
        <v>44925</v>
      </c>
      <c r="P2456" s="48" t="s">
        <v>3728</v>
      </c>
    </row>
    <row r="2457" spans="1:16" x14ac:dyDescent="0.3">
      <c r="A2457" s="59">
        <f t="shared" si="185"/>
        <v>2236</v>
      </c>
      <c r="B2457" s="60" t="s">
        <v>2558</v>
      </c>
      <c r="C2457" s="184">
        <v>1951</v>
      </c>
      <c r="D2457" s="51"/>
      <c r="E2457" s="48" t="s">
        <v>4090</v>
      </c>
      <c r="F2457" s="47">
        <v>2</v>
      </c>
      <c r="G2457" s="51"/>
      <c r="H2457" s="52">
        <v>363.2</v>
      </c>
      <c r="I2457" s="47">
        <v>14</v>
      </c>
      <c r="J2457" s="19">
        <f t="shared" si="184"/>
        <v>460846.82</v>
      </c>
      <c r="K2457" s="51"/>
      <c r="L2457" s="50"/>
      <c r="M2457" s="51"/>
      <c r="N2457" s="19">
        <f>SUMIF('2020'!B:B,B2457,'2020'!C:C)+SUMIF('2021'!B:B,B2457,'2021'!C:C)+SUMIF('2022'!B:B,B2457,'2022'!C:C)</f>
        <v>460846.82</v>
      </c>
      <c r="O2457" s="219">
        <v>44925</v>
      </c>
      <c r="P2457" s="48" t="s">
        <v>3728</v>
      </c>
    </row>
    <row r="2458" spans="1:16" x14ac:dyDescent="0.3">
      <c r="A2458" s="59">
        <f t="shared" si="185"/>
        <v>2237</v>
      </c>
      <c r="B2458" s="60" t="s">
        <v>2559</v>
      </c>
      <c r="C2458" s="184">
        <v>1927</v>
      </c>
      <c r="D2458" s="51"/>
      <c r="E2458" s="48"/>
      <c r="F2458" s="47"/>
      <c r="G2458" s="51"/>
      <c r="H2458" s="52"/>
      <c r="I2458" s="47"/>
      <c r="J2458" s="19">
        <f t="shared" si="184"/>
        <v>161740.52000000002</v>
      </c>
      <c r="K2458" s="51"/>
      <c r="L2458" s="50"/>
      <c r="M2458" s="51"/>
      <c r="N2458" s="19">
        <f>SUMIF('2020'!B:B,B2458,'2020'!C:C)+SUMIF('2021'!B:B,B2458,'2021'!C:C)+SUMIF('2022'!B:B,B2458,'2022'!C:C)</f>
        <v>161740.52000000002</v>
      </c>
      <c r="O2458" s="219">
        <v>44925</v>
      </c>
      <c r="P2458" s="48" t="s">
        <v>3728</v>
      </c>
    </row>
    <row r="2459" spans="1:16" x14ac:dyDescent="0.3">
      <c r="A2459" s="59">
        <f t="shared" si="185"/>
        <v>2238</v>
      </c>
      <c r="B2459" s="60" t="s">
        <v>2561</v>
      </c>
      <c r="C2459" s="184">
        <v>1929</v>
      </c>
      <c r="D2459" s="51"/>
      <c r="E2459" s="48" t="s">
        <v>4090</v>
      </c>
      <c r="F2459" s="47">
        <v>2</v>
      </c>
      <c r="G2459" s="51"/>
      <c r="H2459" s="52">
        <v>455.4</v>
      </c>
      <c r="I2459" s="47">
        <v>11</v>
      </c>
      <c r="J2459" s="19">
        <f t="shared" si="184"/>
        <v>156447.93</v>
      </c>
      <c r="K2459" s="51"/>
      <c r="L2459" s="50"/>
      <c r="M2459" s="51"/>
      <c r="N2459" s="19">
        <f>SUMIF('2020'!B:B,B2459,'2020'!C:C)+SUMIF('2021'!B:B,B2459,'2021'!C:C)+SUMIF('2022'!B:B,B2459,'2022'!C:C)</f>
        <v>156447.93</v>
      </c>
      <c r="O2459" s="219">
        <v>44925</v>
      </c>
      <c r="P2459" s="48" t="s">
        <v>3728</v>
      </c>
    </row>
    <row r="2460" spans="1:16" x14ac:dyDescent="0.3">
      <c r="A2460" s="59">
        <f t="shared" si="185"/>
        <v>2239</v>
      </c>
      <c r="B2460" s="60" t="s">
        <v>2562</v>
      </c>
      <c r="C2460" s="184">
        <v>1927</v>
      </c>
      <c r="D2460" s="51"/>
      <c r="E2460" s="48" t="s">
        <v>4090</v>
      </c>
      <c r="F2460" s="47">
        <v>2</v>
      </c>
      <c r="G2460" s="51"/>
      <c r="H2460" s="48">
        <v>457.9</v>
      </c>
      <c r="I2460" s="47">
        <v>11</v>
      </c>
      <c r="J2460" s="19">
        <f t="shared" si="184"/>
        <v>5608642.4600000009</v>
      </c>
      <c r="K2460" s="51"/>
      <c r="L2460" s="50"/>
      <c r="M2460" s="51"/>
      <c r="N2460" s="19">
        <f>SUMIF('2020'!B:B,B2460,'2020'!C:C)+SUMIF('2021'!B:B,B2460,'2021'!C:C)+SUMIF('2022'!B:B,B2460,'2022'!C:C)</f>
        <v>5608642.4600000009</v>
      </c>
      <c r="O2460" s="219">
        <v>44925</v>
      </c>
      <c r="P2460" s="48" t="s">
        <v>3728</v>
      </c>
    </row>
    <row r="2461" spans="1:16" x14ac:dyDescent="0.3">
      <c r="A2461" s="59">
        <f t="shared" si="185"/>
        <v>2240</v>
      </c>
      <c r="B2461" s="60" t="s">
        <v>2564</v>
      </c>
      <c r="C2461" s="184">
        <v>1927</v>
      </c>
      <c r="D2461" s="51"/>
      <c r="E2461" s="48" t="s">
        <v>4090</v>
      </c>
      <c r="F2461" s="47">
        <v>2</v>
      </c>
      <c r="G2461" s="51"/>
      <c r="H2461" s="48">
        <v>455.4</v>
      </c>
      <c r="I2461" s="47">
        <v>21</v>
      </c>
      <c r="J2461" s="19">
        <f t="shared" si="184"/>
        <v>79122.48</v>
      </c>
      <c r="K2461" s="51"/>
      <c r="L2461" s="50"/>
      <c r="M2461" s="51"/>
      <c r="N2461" s="19">
        <f>SUMIF('2020'!B:B,B2461,'2020'!C:C)+SUMIF('2021'!B:B,B2461,'2021'!C:C)+SUMIF('2022'!B:B,B2461,'2022'!C:C)</f>
        <v>79122.48</v>
      </c>
      <c r="O2461" s="219">
        <v>44925</v>
      </c>
      <c r="P2461" s="48" t="s">
        <v>3728</v>
      </c>
    </row>
    <row r="2462" spans="1:16" x14ac:dyDescent="0.3">
      <c r="A2462" s="59">
        <f t="shared" si="185"/>
        <v>2241</v>
      </c>
      <c r="B2462" s="60" t="s">
        <v>2565</v>
      </c>
      <c r="C2462" s="184">
        <v>1927</v>
      </c>
      <c r="D2462" s="51"/>
      <c r="E2462" s="48" t="s">
        <v>4090</v>
      </c>
      <c r="F2462" s="47">
        <v>2</v>
      </c>
      <c r="G2462" s="51"/>
      <c r="H2462" s="48">
        <v>468.9</v>
      </c>
      <c r="I2462" s="47">
        <v>15</v>
      </c>
      <c r="J2462" s="19">
        <f t="shared" si="184"/>
        <v>312039</v>
      </c>
      <c r="K2462" s="51"/>
      <c r="L2462" s="50"/>
      <c r="M2462" s="51"/>
      <c r="N2462" s="19">
        <f>SUMIF('2020'!B:B,B2462,'2020'!C:C)+SUMIF('2021'!B:B,B2462,'2021'!C:C)+SUMIF('2022'!B:B,B2462,'2022'!C:C)</f>
        <v>312039</v>
      </c>
      <c r="O2462" s="219">
        <v>44925</v>
      </c>
      <c r="P2462" s="48" t="s">
        <v>3728</v>
      </c>
    </row>
    <row r="2463" spans="1:16" x14ac:dyDescent="0.3">
      <c r="A2463" s="59">
        <f t="shared" si="185"/>
        <v>2242</v>
      </c>
      <c r="B2463" s="60" t="s">
        <v>2566</v>
      </c>
      <c r="C2463" s="184">
        <v>1988</v>
      </c>
      <c r="D2463" s="51"/>
      <c r="E2463" s="48" t="s">
        <v>3739</v>
      </c>
      <c r="F2463" s="47">
        <v>5</v>
      </c>
      <c r="G2463" s="51"/>
      <c r="H2463" s="52">
        <v>4779.3999999999996</v>
      </c>
      <c r="I2463" s="47">
        <v>15</v>
      </c>
      <c r="J2463" s="19">
        <f t="shared" si="184"/>
        <v>539744.25</v>
      </c>
      <c r="K2463" s="51"/>
      <c r="L2463" s="50"/>
      <c r="M2463" s="51"/>
      <c r="N2463" s="19">
        <f>SUMIF('2020'!B:B,B2463,'2020'!C:C)+SUMIF('2021'!B:B,B2463,'2021'!C:C)+SUMIF('2022'!B:B,B2463,'2022'!C:C)</f>
        <v>539744.25</v>
      </c>
      <c r="O2463" s="219">
        <v>44925</v>
      </c>
      <c r="P2463" s="48" t="s">
        <v>3728</v>
      </c>
    </row>
    <row r="2464" spans="1:16" x14ac:dyDescent="0.3">
      <c r="A2464" s="59">
        <f t="shared" si="185"/>
        <v>2243</v>
      </c>
      <c r="B2464" s="60" t="s">
        <v>2567</v>
      </c>
      <c r="C2464" s="184">
        <v>1984</v>
      </c>
      <c r="D2464" s="51"/>
      <c r="E2464" s="48" t="s">
        <v>3739</v>
      </c>
      <c r="F2464" s="47">
        <v>5</v>
      </c>
      <c r="G2464" s="51"/>
      <c r="H2464" s="52">
        <v>4856.8999999999996</v>
      </c>
      <c r="I2464" s="47">
        <v>143</v>
      </c>
      <c r="J2464" s="19">
        <f t="shared" si="184"/>
        <v>451961.79</v>
      </c>
      <c r="K2464" s="51"/>
      <c r="L2464" s="50"/>
      <c r="M2464" s="51"/>
      <c r="N2464" s="19">
        <f>SUMIF('2020'!B:B,B2464,'2020'!C:C)+SUMIF('2021'!B:B,B2464,'2021'!C:C)+SUMIF('2022'!B:B,B2464,'2022'!C:C)</f>
        <v>451961.79</v>
      </c>
      <c r="O2464" s="219">
        <v>44925</v>
      </c>
      <c r="P2464" s="48" t="s">
        <v>3728</v>
      </c>
    </row>
    <row r="2465" spans="1:16" x14ac:dyDescent="0.3">
      <c r="A2465" s="59">
        <f t="shared" si="185"/>
        <v>2244</v>
      </c>
      <c r="B2465" s="60" t="s">
        <v>2568</v>
      </c>
      <c r="C2465" s="184">
        <v>1990</v>
      </c>
      <c r="D2465" s="51"/>
      <c r="E2465" s="48" t="s">
        <v>3739</v>
      </c>
      <c r="F2465" s="47">
        <v>5</v>
      </c>
      <c r="G2465" s="51"/>
      <c r="H2465" s="52">
        <v>4950</v>
      </c>
      <c r="I2465" s="47">
        <v>121</v>
      </c>
      <c r="J2465" s="19">
        <f t="shared" si="184"/>
        <v>720645.58000000007</v>
      </c>
      <c r="K2465" s="51"/>
      <c r="L2465" s="50"/>
      <c r="M2465" s="51"/>
      <c r="N2465" s="19">
        <f>SUMIF('2020'!B:B,B2465,'2020'!C:C)+SUMIF('2021'!B:B,B2465,'2021'!C:C)+SUMIF('2022'!B:B,B2465,'2022'!C:C)</f>
        <v>720645.58000000007</v>
      </c>
      <c r="O2465" s="219">
        <v>44925</v>
      </c>
      <c r="P2465" s="48" t="s">
        <v>3728</v>
      </c>
    </row>
    <row r="2466" spans="1:16" x14ac:dyDescent="0.3">
      <c r="A2466" s="59">
        <f t="shared" si="185"/>
        <v>2245</v>
      </c>
      <c r="B2466" s="60" t="s">
        <v>2569</v>
      </c>
      <c r="C2466" s="184">
        <v>1987</v>
      </c>
      <c r="D2466" s="51"/>
      <c r="E2466" s="48" t="s">
        <v>3739</v>
      </c>
      <c r="F2466" s="47">
        <v>5</v>
      </c>
      <c r="G2466" s="51"/>
      <c r="H2466" s="52">
        <v>4970.1000000000004</v>
      </c>
      <c r="I2466" s="47">
        <v>138</v>
      </c>
      <c r="J2466" s="19">
        <f t="shared" si="184"/>
        <v>1052121.19</v>
      </c>
      <c r="K2466" s="51"/>
      <c r="L2466" s="50"/>
      <c r="M2466" s="51"/>
      <c r="N2466" s="19">
        <f>SUMIF('2020'!B:B,B2466,'2020'!C:C)+SUMIF('2021'!B:B,B2466,'2021'!C:C)+SUMIF('2022'!B:B,B2466,'2022'!C:C)</f>
        <v>1052121.19</v>
      </c>
      <c r="O2466" s="219">
        <v>44925</v>
      </c>
      <c r="P2466" s="48" t="s">
        <v>3728</v>
      </c>
    </row>
    <row r="2467" spans="1:16" x14ac:dyDescent="0.3">
      <c r="A2467" s="59">
        <f t="shared" si="185"/>
        <v>2246</v>
      </c>
      <c r="B2467" s="60" t="s">
        <v>2570</v>
      </c>
      <c r="C2467" s="184">
        <v>1983</v>
      </c>
      <c r="D2467" s="51"/>
      <c r="E2467" s="48" t="s">
        <v>3739</v>
      </c>
      <c r="F2467" s="47">
        <v>5</v>
      </c>
      <c r="G2467" s="51"/>
      <c r="H2467" s="52">
        <v>5056.7</v>
      </c>
      <c r="I2467" s="47">
        <v>135</v>
      </c>
      <c r="J2467" s="19">
        <f t="shared" si="184"/>
        <v>494922.14</v>
      </c>
      <c r="K2467" s="51"/>
      <c r="L2467" s="50"/>
      <c r="M2467" s="51"/>
      <c r="N2467" s="19">
        <f>SUMIF('2020'!B:B,B2467,'2020'!C:C)+SUMIF('2021'!B:B,B2467,'2021'!C:C)+SUMIF('2022'!B:B,B2467,'2022'!C:C)</f>
        <v>494922.14</v>
      </c>
      <c r="O2467" s="219">
        <v>44925</v>
      </c>
      <c r="P2467" s="48" t="s">
        <v>3728</v>
      </c>
    </row>
    <row r="2468" spans="1:16" x14ac:dyDescent="0.3">
      <c r="A2468" s="59">
        <f t="shared" si="185"/>
        <v>2247</v>
      </c>
      <c r="B2468" s="60" t="s">
        <v>2571</v>
      </c>
      <c r="C2468" s="184">
        <v>1948</v>
      </c>
      <c r="D2468" s="51"/>
      <c r="E2468" s="48" t="s">
        <v>4090</v>
      </c>
      <c r="F2468" s="47">
        <v>2</v>
      </c>
      <c r="G2468" s="51"/>
      <c r="H2468" s="48">
        <v>251.1</v>
      </c>
      <c r="I2468" s="47">
        <v>8</v>
      </c>
      <c r="J2468" s="19">
        <f t="shared" si="184"/>
        <v>497376.71</v>
      </c>
      <c r="K2468" s="51"/>
      <c r="L2468" s="50"/>
      <c r="M2468" s="51"/>
      <c r="N2468" s="19">
        <f>SUMIF('2020'!B:B,B2468,'2020'!C:C)+SUMIF('2021'!B:B,B2468,'2021'!C:C)+SUMIF('2022'!B:B,B2468,'2022'!C:C)</f>
        <v>497376.71</v>
      </c>
      <c r="O2468" s="219">
        <v>44925</v>
      </c>
      <c r="P2468" s="48" t="s">
        <v>3728</v>
      </c>
    </row>
    <row r="2469" spans="1:16" x14ac:dyDescent="0.3">
      <c r="A2469" s="59">
        <f t="shared" si="185"/>
        <v>2248</v>
      </c>
      <c r="B2469" s="60" t="s">
        <v>2573</v>
      </c>
      <c r="C2469" s="184">
        <v>1981</v>
      </c>
      <c r="D2469" s="51"/>
      <c r="E2469" s="48" t="s">
        <v>3739</v>
      </c>
      <c r="F2469" s="47">
        <v>5</v>
      </c>
      <c r="G2469" s="51"/>
      <c r="H2469" s="52">
        <v>5411.1</v>
      </c>
      <c r="I2469" s="47">
        <v>167</v>
      </c>
      <c r="J2469" s="19">
        <f t="shared" si="184"/>
        <v>1004680.71</v>
      </c>
      <c r="K2469" s="51"/>
      <c r="L2469" s="50"/>
      <c r="M2469" s="51"/>
      <c r="N2469" s="19">
        <f>SUMIF('2020'!B:B,B2469,'2020'!C:C)+SUMIF('2021'!B:B,B2469,'2021'!C:C)+SUMIF('2022'!B:B,B2469,'2022'!C:C)</f>
        <v>1004680.71</v>
      </c>
      <c r="O2469" s="219">
        <v>44925</v>
      </c>
      <c r="P2469" s="48" t="s">
        <v>3728</v>
      </c>
    </row>
    <row r="2470" spans="1:16" x14ac:dyDescent="0.3">
      <c r="A2470" s="59">
        <f t="shared" si="185"/>
        <v>2249</v>
      </c>
      <c r="B2470" s="60" t="s">
        <v>2574</v>
      </c>
      <c r="C2470" s="184">
        <v>1978</v>
      </c>
      <c r="D2470" s="51"/>
      <c r="E2470" s="48" t="s">
        <v>3739</v>
      </c>
      <c r="F2470" s="47">
        <v>5</v>
      </c>
      <c r="G2470" s="51"/>
      <c r="H2470" s="52">
        <v>5006.8999999999996</v>
      </c>
      <c r="I2470" s="47">
        <v>132</v>
      </c>
      <c r="J2470" s="19">
        <f t="shared" si="184"/>
        <v>469849.33999999997</v>
      </c>
      <c r="K2470" s="51"/>
      <c r="L2470" s="50"/>
      <c r="M2470" s="51"/>
      <c r="N2470" s="19">
        <f>SUMIF('2020'!B:B,B2470,'2020'!C:C)+SUMIF('2021'!B:B,B2470,'2021'!C:C)+SUMIF('2022'!B:B,B2470,'2022'!C:C)</f>
        <v>469849.33999999997</v>
      </c>
      <c r="O2470" s="219">
        <v>44925</v>
      </c>
      <c r="P2470" s="48" t="s">
        <v>3728</v>
      </c>
    </row>
    <row r="2471" spans="1:16" x14ac:dyDescent="0.3">
      <c r="A2471" s="59">
        <f t="shared" si="185"/>
        <v>2250</v>
      </c>
      <c r="B2471" s="60" t="s">
        <v>2575</v>
      </c>
      <c r="C2471" s="184">
        <v>1988</v>
      </c>
      <c r="D2471" s="51"/>
      <c r="E2471" s="48" t="s">
        <v>3739</v>
      </c>
      <c r="F2471" s="47">
        <v>5</v>
      </c>
      <c r="G2471" s="51"/>
      <c r="H2471" s="52">
        <v>5030</v>
      </c>
      <c r="I2471" s="47">
        <v>144</v>
      </c>
      <c r="J2471" s="19">
        <f t="shared" si="184"/>
        <v>544443.53</v>
      </c>
      <c r="K2471" s="51"/>
      <c r="L2471" s="50"/>
      <c r="M2471" s="51"/>
      <c r="N2471" s="19">
        <f>SUMIF('2020'!B:B,B2471,'2020'!C:C)+SUMIF('2021'!B:B,B2471,'2021'!C:C)+SUMIF('2022'!B:B,B2471,'2022'!C:C)</f>
        <v>544443.53</v>
      </c>
      <c r="O2471" s="219">
        <v>44925</v>
      </c>
      <c r="P2471" s="48" t="s">
        <v>3728</v>
      </c>
    </row>
    <row r="2472" spans="1:16" x14ac:dyDescent="0.3">
      <c r="A2472" s="59">
        <f t="shared" si="185"/>
        <v>2251</v>
      </c>
      <c r="B2472" s="60" t="s">
        <v>2576</v>
      </c>
      <c r="C2472" s="184">
        <v>1987</v>
      </c>
      <c r="D2472" s="51"/>
      <c r="E2472" s="48" t="s">
        <v>3739</v>
      </c>
      <c r="F2472" s="47">
        <v>5</v>
      </c>
      <c r="G2472" s="51"/>
      <c r="H2472" s="52">
        <v>5029.3999999999996</v>
      </c>
      <c r="I2472" s="47">
        <v>129</v>
      </c>
      <c r="J2472" s="19">
        <f t="shared" si="184"/>
        <v>938886.46</v>
      </c>
      <c r="K2472" s="51"/>
      <c r="L2472" s="50"/>
      <c r="M2472" s="51"/>
      <c r="N2472" s="19">
        <f>SUMIF('2020'!B:B,B2472,'2020'!C:C)+SUMIF('2021'!B:B,B2472,'2021'!C:C)+SUMIF('2022'!B:B,B2472,'2022'!C:C)</f>
        <v>938886.46</v>
      </c>
      <c r="O2472" s="219">
        <v>44925</v>
      </c>
      <c r="P2472" s="48" t="s">
        <v>3728</v>
      </c>
    </row>
    <row r="2473" spans="1:16" x14ac:dyDescent="0.3">
      <c r="A2473" s="59">
        <f t="shared" si="185"/>
        <v>2252</v>
      </c>
      <c r="B2473" s="60" t="s">
        <v>2577</v>
      </c>
      <c r="C2473" s="184">
        <v>1973</v>
      </c>
      <c r="D2473" s="51"/>
      <c r="E2473" s="52"/>
      <c r="F2473" s="47"/>
      <c r="G2473" s="51"/>
      <c r="H2473" s="52"/>
      <c r="I2473" s="47"/>
      <c r="J2473" s="19">
        <f t="shared" si="184"/>
        <v>130000</v>
      </c>
      <c r="K2473" s="51"/>
      <c r="L2473" s="50"/>
      <c r="M2473" s="51"/>
      <c r="N2473" s="19">
        <f>SUMIF('2020'!B:B,B2473,'2020'!C:C)+SUMIF('2021'!B:B,B2473,'2021'!C:C)+SUMIF('2022'!B:B,B2473,'2022'!C:C)</f>
        <v>130000</v>
      </c>
      <c r="O2473" s="219">
        <v>44925</v>
      </c>
      <c r="P2473" s="48" t="s">
        <v>3728</v>
      </c>
    </row>
    <row r="2474" spans="1:16" x14ac:dyDescent="0.3">
      <c r="A2474" s="59">
        <f t="shared" si="185"/>
        <v>2253</v>
      </c>
      <c r="B2474" s="60" t="s">
        <v>2578</v>
      </c>
      <c r="C2474" s="184">
        <v>1965</v>
      </c>
      <c r="D2474" s="51"/>
      <c r="E2474" s="48" t="s">
        <v>3733</v>
      </c>
      <c r="F2474" s="47">
        <v>2</v>
      </c>
      <c r="G2474" s="51"/>
      <c r="H2474" s="52">
        <v>816</v>
      </c>
      <c r="I2474" s="47">
        <v>39</v>
      </c>
      <c r="J2474" s="19">
        <f t="shared" si="184"/>
        <v>1735775.71</v>
      </c>
      <c r="K2474" s="51"/>
      <c r="L2474" s="50"/>
      <c r="M2474" s="51"/>
      <c r="N2474" s="19">
        <f>SUMIF('2020'!B:B,B2474,'2020'!C:C)+SUMIF('2021'!B:B,B2474,'2021'!C:C)+SUMIF('2022'!B:B,B2474,'2022'!C:C)</f>
        <v>1735775.71</v>
      </c>
      <c r="O2474" s="219">
        <v>44925</v>
      </c>
      <c r="P2474" s="48" t="s">
        <v>3728</v>
      </c>
    </row>
    <row r="2475" spans="1:16" x14ac:dyDescent="0.3">
      <c r="A2475" s="59">
        <f t="shared" si="185"/>
        <v>2254</v>
      </c>
      <c r="B2475" s="60" t="s">
        <v>2580</v>
      </c>
      <c r="C2475" s="184">
        <v>1979</v>
      </c>
      <c r="D2475" s="51"/>
      <c r="E2475" s="48" t="s">
        <v>3733</v>
      </c>
      <c r="F2475" s="47">
        <v>2</v>
      </c>
      <c r="G2475" s="51"/>
      <c r="H2475" s="52">
        <v>976.3</v>
      </c>
      <c r="I2475" s="47">
        <v>41</v>
      </c>
      <c r="J2475" s="19">
        <f t="shared" si="184"/>
        <v>120193.26</v>
      </c>
      <c r="K2475" s="51"/>
      <c r="L2475" s="50"/>
      <c r="M2475" s="51"/>
      <c r="N2475" s="19">
        <f>SUMIF('2020'!B:B,B2475,'2020'!C:C)+SUMIF('2021'!B:B,B2475,'2021'!C:C)+SUMIF('2022'!B:B,B2475,'2022'!C:C)</f>
        <v>120193.26</v>
      </c>
      <c r="O2475" s="219">
        <v>44925</v>
      </c>
      <c r="P2475" s="48" t="s">
        <v>3728</v>
      </c>
    </row>
    <row r="2476" spans="1:16" x14ac:dyDescent="0.3">
      <c r="A2476" s="59">
        <f t="shared" si="185"/>
        <v>2255</v>
      </c>
      <c r="B2476" s="60" t="s">
        <v>2581</v>
      </c>
      <c r="C2476" s="184">
        <v>1979</v>
      </c>
      <c r="D2476" s="51"/>
      <c r="E2476" s="48"/>
      <c r="F2476" s="47">
        <v>3</v>
      </c>
      <c r="G2476" s="51"/>
      <c r="H2476" s="52">
        <v>1026.4000000000001</v>
      </c>
      <c r="I2476" s="47">
        <v>30</v>
      </c>
      <c r="J2476" s="19">
        <f t="shared" si="184"/>
        <v>268919.8</v>
      </c>
      <c r="K2476" s="51"/>
      <c r="L2476" s="50"/>
      <c r="M2476" s="51"/>
      <c r="N2476" s="19">
        <f>SUMIF('2020'!B:B,B2476,'2020'!C:C)+SUMIF('2021'!B:B,B2476,'2021'!C:C)+SUMIF('2022'!B:B,B2476,'2022'!C:C)</f>
        <v>268919.8</v>
      </c>
      <c r="O2476" s="219">
        <v>44925</v>
      </c>
      <c r="P2476" s="48" t="s">
        <v>3728</v>
      </c>
    </row>
    <row r="2477" spans="1:16" x14ac:dyDescent="0.3">
      <c r="A2477" s="59">
        <f t="shared" si="185"/>
        <v>2256</v>
      </c>
      <c r="B2477" s="60" t="s">
        <v>2582</v>
      </c>
      <c r="C2477" s="184">
        <v>1974</v>
      </c>
      <c r="D2477" s="51"/>
      <c r="E2477" s="48" t="s">
        <v>3733</v>
      </c>
      <c r="F2477" s="47">
        <v>2</v>
      </c>
      <c r="G2477" s="51"/>
      <c r="H2477" s="48">
        <v>579</v>
      </c>
      <c r="I2477" s="47">
        <v>13</v>
      </c>
      <c r="J2477" s="19">
        <f t="shared" si="184"/>
        <v>182231.66999999998</v>
      </c>
      <c r="K2477" s="51"/>
      <c r="L2477" s="50"/>
      <c r="M2477" s="51"/>
      <c r="N2477" s="19">
        <f>SUMIF('2020'!B:B,B2477,'2020'!C:C)+SUMIF('2021'!B:B,B2477,'2021'!C:C)+SUMIF('2022'!B:B,B2477,'2022'!C:C)</f>
        <v>182231.66999999998</v>
      </c>
      <c r="O2477" s="219">
        <v>44925</v>
      </c>
      <c r="P2477" s="48" t="s">
        <v>3728</v>
      </c>
    </row>
    <row r="2478" spans="1:16" x14ac:dyDescent="0.3">
      <c r="A2478" s="59">
        <f t="shared" si="185"/>
        <v>2257</v>
      </c>
      <c r="B2478" s="60" t="s">
        <v>2584</v>
      </c>
      <c r="C2478" s="184">
        <v>1977</v>
      </c>
      <c r="D2478" s="51"/>
      <c r="E2478" s="48" t="s">
        <v>3729</v>
      </c>
      <c r="F2478" s="47">
        <v>3</v>
      </c>
      <c r="G2478" s="51"/>
      <c r="H2478" s="52">
        <v>2592.1999999999998</v>
      </c>
      <c r="I2478" s="47">
        <v>61</v>
      </c>
      <c r="J2478" s="19">
        <f t="shared" si="184"/>
        <v>399886.78</v>
      </c>
      <c r="K2478" s="51"/>
      <c r="L2478" s="50"/>
      <c r="M2478" s="51"/>
      <c r="N2478" s="19">
        <f>SUMIF('2020'!B:B,B2478,'2020'!C:C)+SUMIF('2021'!B:B,B2478,'2021'!C:C)+SUMIF('2022'!B:B,B2478,'2022'!C:C)</f>
        <v>399886.78</v>
      </c>
      <c r="O2478" s="219">
        <v>44925</v>
      </c>
      <c r="P2478" s="48" t="s">
        <v>3728</v>
      </c>
    </row>
    <row r="2479" spans="1:16" x14ac:dyDescent="0.3">
      <c r="A2479" s="59">
        <f t="shared" si="185"/>
        <v>2258</v>
      </c>
      <c r="B2479" s="60" t="s">
        <v>2585</v>
      </c>
      <c r="C2479" s="184">
        <v>1977</v>
      </c>
      <c r="D2479" s="51"/>
      <c r="E2479" s="48" t="s">
        <v>3729</v>
      </c>
      <c r="F2479" s="47">
        <v>3</v>
      </c>
      <c r="G2479" s="51"/>
      <c r="H2479" s="52">
        <v>2080</v>
      </c>
      <c r="I2479" s="47">
        <v>53</v>
      </c>
      <c r="J2479" s="19">
        <f t="shared" si="184"/>
        <v>1333515.78</v>
      </c>
      <c r="K2479" s="51"/>
      <c r="L2479" s="50"/>
      <c r="M2479" s="233"/>
      <c r="N2479" s="19">
        <f>SUMIF('2020'!B:B,B2479,'2020'!C:C)+SUMIF('2021'!B:B,B2479,'2021'!C:C)+SUMIF('2022'!B:B,B2479,'2022'!C:C)</f>
        <v>1333515.78</v>
      </c>
      <c r="O2479" s="219">
        <v>44925</v>
      </c>
      <c r="P2479" s="48" t="s">
        <v>3728</v>
      </c>
    </row>
    <row r="2480" spans="1:16" x14ac:dyDescent="0.3">
      <c r="A2480" s="59">
        <f t="shared" si="185"/>
        <v>2259</v>
      </c>
      <c r="B2480" s="60" t="s">
        <v>2586</v>
      </c>
      <c r="C2480" s="184">
        <v>1979</v>
      </c>
      <c r="D2480" s="51"/>
      <c r="E2480" s="48" t="s">
        <v>3729</v>
      </c>
      <c r="F2480" s="47">
        <v>5</v>
      </c>
      <c r="G2480" s="51"/>
      <c r="H2480" s="52">
        <v>4787.6000000000004</v>
      </c>
      <c r="I2480" s="47">
        <v>141</v>
      </c>
      <c r="J2480" s="19">
        <f t="shared" si="184"/>
        <v>722409.17</v>
      </c>
      <c r="K2480" s="51"/>
      <c r="L2480" s="50"/>
      <c r="M2480" s="233"/>
      <c r="N2480" s="19">
        <f>SUMIF('2020'!B:B,B2480,'2020'!C:C)+SUMIF('2021'!B:B,B2480,'2021'!C:C)+SUMIF('2022'!B:B,B2480,'2022'!C:C)</f>
        <v>722409.17</v>
      </c>
      <c r="O2480" s="219">
        <v>44925</v>
      </c>
      <c r="P2480" s="48" t="s">
        <v>3728</v>
      </c>
    </row>
    <row r="2481" spans="1:16" x14ac:dyDescent="0.3">
      <c r="A2481" s="59">
        <f t="shared" si="185"/>
        <v>2260</v>
      </c>
      <c r="B2481" s="60" t="s">
        <v>2587</v>
      </c>
      <c r="C2481" s="184">
        <v>1980</v>
      </c>
      <c r="D2481" s="51"/>
      <c r="E2481" s="48" t="s">
        <v>3729</v>
      </c>
      <c r="F2481" s="47">
        <v>3</v>
      </c>
      <c r="G2481" s="51"/>
      <c r="H2481" s="52">
        <v>2616</v>
      </c>
      <c r="I2481" s="47">
        <v>57</v>
      </c>
      <c r="J2481" s="19">
        <f t="shared" si="184"/>
        <v>259198.42</v>
      </c>
      <c r="K2481" s="51"/>
      <c r="L2481" s="50"/>
      <c r="M2481" s="51"/>
      <c r="N2481" s="19">
        <f>SUMIF('2020'!B:B,B2481,'2020'!C:C)+SUMIF('2021'!B:B,B2481,'2021'!C:C)+SUMIF('2022'!B:B,B2481,'2022'!C:C)</f>
        <v>259198.42</v>
      </c>
      <c r="O2481" s="219">
        <v>44925</v>
      </c>
      <c r="P2481" s="48" t="s">
        <v>3728</v>
      </c>
    </row>
    <row r="2482" spans="1:16" x14ac:dyDescent="0.3">
      <c r="A2482" s="59">
        <f t="shared" si="185"/>
        <v>2261</v>
      </c>
      <c r="B2482" s="60" t="s">
        <v>2588</v>
      </c>
      <c r="C2482" s="184">
        <v>1982</v>
      </c>
      <c r="D2482" s="51"/>
      <c r="E2482" s="48" t="s">
        <v>3729</v>
      </c>
      <c r="F2482" s="47">
        <v>3</v>
      </c>
      <c r="G2482" s="51"/>
      <c r="H2482" s="52">
        <v>2674</v>
      </c>
      <c r="I2482" s="47">
        <v>54</v>
      </c>
      <c r="J2482" s="19">
        <f t="shared" si="184"/>
        <v>431315.82</v>
      </c>
      <c r="K2482" s="51"/>
      <c r="L2482" s="50"/>
      <c r="M2482" s="51"/>
      <c r="N2482" s="19">
        <f>SUMIF('2020'!B:B,B2482,'2020'!C:C)+SUMIF('2021'!B:B,B2482,'2021'!C:C)+SUMIF('2022'!B:B,B2482,'2022'!C:C)</f>
        <v>431315.82</v>
      </c>
      <c r="O2482" s="219">
        <v>44925</v>
      </c>
      <c r="P2482" s="48" t="s">
        <v>3728</v>
      </c>
    </row>
    <row r="2483" spans="1:16" x14ac:dyDescent="0.3">
      <c r="A2483" s="59">
        <f t="shared" si="185"/>
        <v>2262</v>
      </c>
      <c r="B2483" s="60" t="s">
        <v>2589</v>
      </c>
      <c r="C2483" s="184">
        <v>1984</v>
      </c>
      <c r="D2483" s="51"/>
      <c r="E2483" s="48" t="s">
        <v>3729</v>
      </c>
      <c r="F2483" s="47">
        <v>3</v>
      </c>
      <c r="G2483" s="51"/>
      <c r="H2483" s="52">
        <v>2599.3000000000002</v>
      </c>
      <c r="I2483" s="47">
        <v>70</v>
      </c>
      <c r="J2483" s="19">
        <f t="shared" si="184"/>
        <v>315877.34000000003</v>
      </c>
      <c r="K2483" s="51"/>
      <c r="L2483" s="50"/>
      <c r="M2483" s="51"/>
      <c r="N2483" s="19">
        <f>SUMIF('2020'!B:B,B2483,'2020'!C:C)+SUMIF('2021'!B:B,B2483,'2021'!C:C)+SUMIF('2022'!B:B,B2483,'2022'!C:C)</f>
        <v>315877.34000000003</v>
      </c>
      <c r="O2483" s="219">
        <v>44925</v>
      </c>
      <c r="P2483" s="48" t="s">
        <v>3728</v>
      </c>
    </row>
    <row r="2484" spans="1:16" x14ac:dyDescent="0.3">
      <c r="A2484" s="260" t="s">
        <v>211</v>
      </c>
      <c r="B2484" s="261"/>
      <c r="C2484" s="50"/>
      <c r="D2484" s="50"/>
      <c r="E2484" s="48"/>
      <c r="F2484" s="48"/>
      <c r="G2484" s="50"/>
      <c r="H2484" s="48">
        <f>SUM(H2326:H2483)</f>
        <v>460235.94000000024</v>
      </c>
      <c r="I2484" s="47">
        <f>SUM(I2326:I2483)</f>
        <v>12402</v>
      </c>
      <c r="J2484" s="19">
        <f t="shared" si="184"/>
        <v>245629233.93000004</v>
      </c>
      <c r="K2484" s="50">
        <v>0</v>
      </c>
      <c r="L2484" s="50">
        <v>0</v>
      </c>
      <c r="M2484" s="50">
        <v>0</v>
      </c>
      <c r="N2484" s="50">
        <f>SUM(N2326:N2483)</f>
        <v>245629233.93000004</v>
      </c>
      <c r="O2484" s="50"/>
      <c r="P2484" s="50"/>
    </row>
    <row r="2485" spans="1:16" x14ac:dyDescent="0.3">
      <c r="A2485" s="258" t="s">
        <v>2590</v>
      </c>
      <c r="B2485" s="259"/>
      <c r="C2485" s="50"/>
      <c r="D2485" s="51"/>
      <c r="E2485" s="52"/>
      <c r="F2485" s="52"/>
      <c r="G2485" s="51"/>
      <c r="H2485" s="52"/>
      <c r="I2485" s="52"/>
      <c r="J2485" s="19"/>
      <c r="K2485" s="51"/>
      <c r="L2485" s="50"/>
      <c r="M2485" s="51"/>
      <c r="N2485" s="51"/>
      <c r="O2485" s="51"/>
      <c r="P2485" s="50"/>
    </row>
    <row r="2486" spans="1:16" x14ac:dyDescent="0.3">
      <c r="A2486" s="59">
        <f>A2483+1</f>
        <v>2263</v>
      </c>
      <c r="B2486" s="60" t="s">
        <v>2591</v>
      </c>
      <c r="C2486" s="184">
        <v>1982</v>
      </c>
      <c r="D2486" s="51"/>
      <c r="E2486" s="52" t="s">
        <v>3731</v>
      </c>
      <c r="F2486" s="47">
        <v>2</v>
      </c>
      <c r="G2486" s="51"/>
      <c r="H2486" s="52">
        <v>508.6</v>
      </c>
      <c r="I2486" s="47">
        <v>21</v>
      </c>
      <c r="J2486" s="19">
        <f t="shared" si="184"/>
        <v>973895.94</v>
      </c>
      <c r="K2486" s="51"/>
      <c r="L2486" s="51"/>
      <c r="M2486" s="51"/>
      <c r="N2486" s="19">
        <f>SUMIF('2020'!B:B,B2486,'2020'!C:C)+SUMIF('2021'!B:B,B2486,'2021'!C:C)+SUMIF('2022'!B:B,B2486,'2022'!C:C)</f>
        <v>973895.94</v>
      </c>
      <c r="O2486" s="219">
        <v>44925</v>
      </c>
      <c r="P2486" s="48" t="s">
        <v>3728</v>
      </c>
    </row>
    <row r="2487" spans="1:16" x14ac:dyDescent="0.3">
      <c r="A2487" s="59">
        <f>A2486+1</f>
        <v>2264</v>
      </c>
      <c r="B2487" s="60" t="s">
        <v>2592</v>
      </c>
      <c r="C2487" s="184">
        <v>1972</v>
      </c>
      <c r="D2487" s="51"/>
      <c r="E2487" s="52" t="s">
        <v>3733</v>
      </c>
      <c r="F2487" s="47">
        <v>5</v>
      </c>
      <c r="G2487" s="51"/>
      <c r="H2487" s="52">
        <v>4678.6000000000004</v>
      </c>
      <c r="I2487" s="47">
        <v>112</v>
      </c>
      <c r="J2487" s="19">
        <f t="shared" si="184"/>
        <v>986370.44</v>
      </c>
      <c r="K2487" s="51"/>
      <c r="L2487" s="50"/>
      <c r="M2487" s="51"/>
      <c r="N2487" s="19">
        <f>SUMIF('2020'!B:B,B2487,'2020'!C:C)+SUMIF('2021'!B:B,B2487,'2021'!C:C)+SUMIF('2022'!B:B,B2487,'2022'!C:C)</f>
        <v>986370.44</v>
      </c>
      <c r="O2487" s="219">
        <v>44925</v>
      </c>
      <c r="P2487" s="48" t="s">
        <v>3728</v>
      </c>
    </row>
    <row r="2488" spans="1:16" x14ac:dyDescent="0.3">
      <c r="A2488" s="59">
        <f>A2487+1</f>
        <v>2265</v>
      </c>
      <c r="B2488" s="60" t="s">
        <v>2593</v>
      </c>
      <c r="C2488" s="184">
        <v>1985</v>
      </c>
      <c r="D2488" s="51"/>
      <c r="E2488" s="52" t="s">
        <v>3729</v>
      </c>
      <c r="F2488" s="47">
        <v>5</v>
      </c>
      <c r="G2488" s="51"/>
      <c r="H2488" s="52">
        <v>5082</v>
      </c>
      <c r="I2488" s="47">
        <v>114</v>
      </c>
      <c r="J2488" s="19">
        <f t="shared" si="184"/>
        <v>844529.45</v>
      </c>
      <c r="K2488" s="51"/>
      <c r="L2488" s="50"/>
      <c r="M2488" s="51"/>
      <c r="N2488" s="19">
        <f>SUMIF('2020'!B:B,B2488,'2020'!C:C)+SUMIF('2021'!B:B,B2488,'2021'!C:C)+SUMIF('2022'!B:B,B2488,'2022'!C:C)</f>
        <v>844529.45</v>
      </c>
      <c r="O2488" s="219">
        <v>44925</v>
      </c>
      <c r="P2488" s="48" t="s">
        <v>3728</v>
      </c>
    </row>
    <row r="2489" spans="1:16" x14ac:dyDescent="0.3">
      <c r="A2489" s="260" t="s">
        <v>211</v>
      </c>
      <c r="B2489" s="261"/>
      <c r="C2489" s="50"/>
      <c r="D2489" s="50"/>
      <c r="E2489" s="48"/>
      <c r="F2489" s="48"/>
      <c r="G2489" s="50"/>
      <c r="H2489" s="48">
        <f>SUM(H2486:H2488)</f>
        <v>10269.200000000001</v>
      </c>
      <c r="I2489" s="47">
        <f>SUM(I2486:I2488)</f>
        <v>247</v>
      </c>
      <c r="J2489" s="19">
        <f t="shared" si="184"/>
        <v>2804795.83</v>
      </c>
      <c r="K2489" s="50">
        <v>0</v>
      </c>
      <c r="L2489" s="50">
        <v>0</v>
      </c>
      <c r="M2489" s="50">
        <v>0</v>
      </c>
      <c r="N2489" s="50">
        <f>SUM(N2486:N2488)</f>
        <v>2804795.83</v>
      </c>
      <c r="O2489" s="50"/>
      <c r="P2489" s="50"/>
    </row>
    <row r="2490" spans="1:16" x14ac:dyDescent="0.3">
      <c r="A2490" s="173" t="s">
        <v>2594</v>
      </c>
      <c r="B2490" s="164"/>
      <c r="C2490" s="50"/>
      <c r="D2490" s="50"/>
      <c r="E2490" s="48"/>
      <c r="F2490" s="48"/>
      <c r="G2490" s="50"/>
      <c r="H2490" s="19">
        <f t="shared" ref="H2490" si="186">I2490+J2490+K2490+L2490</f>
        <v>497128059.5200001</v>
      </c>
      <c r="I2490" s="19">
        <f t="shared" ref="I2490" si="187">J2490+K2490+L2490+M2490</f>
        <v>248564029.76000005</v>
      </c>
      <c r="J2490" s="19">
        <f t="shared" si="184"/>
        <v>248564029.76000005</v>
      </c>
      <c r="K2490" s="50">
        <v>0</v>
      </c>
      <c r="L2490" s="50">
        <v>0</v>
      </c>
      <c r="M2490" s="50">
        <v>0</v>
      </c>
      <c r="N2490" s="50">
        <f>N2489+N2484+N2324</f>
        <v>248564029.76000005</v>
      </c>
      <c r="O2490" s="50"/>
      <c r="P2490" s="50"/>
    </row>
    <row r="2491" spans="1:16" x14ac:dyDescent="0.3">
      <c r="A2491" s="476" t="s">
        <v>2595</v>
      </c>
      <c r="B2491" s="477"/>
      <c r="C2491" s="477"/>
      <c r="D2491" s="477"/>
      <c r="E2491" s="477"/>
      <c r="F2491" s="477"/>
      <c r="G2491" s="477"/>
      <c r="H2491" s="477"/>
      <c r="I2491" s="477"/>
      <c r="J2491" s="477"/>
      <c r="K2491" s="477"/>
      <c r="L2491" s="477"/>
      <c r="M2491" s="477"/>
      <c r="N2491" s="477"/>
      <c r="O2491" s="477"/>
      <c r="P2491" s="477"/>
    </row>
    <row r="2492" spans="1:16" x14ac:dyDescent="0.3">
      <c r="A2492" s="472" t="s">
        <v>2596</v>
      </c>
      <c r="B2492" s="473"/>
      <c r="C2492" s="50"/>
      <c r="D2492" s="51"/>
      <c r="E2492" s="52"/>
      <c r="F2492" s="52"/>
      <c r="G2492" s="51"/>
      <c r="H2492" s="52"/>
      <c r="I2492" s="52"/>
      <c r="J2492" s="51"/>
      <c r="K2492" s="51"/>
      <c r="L2492" s="50"/>
      <c r="M2492" s="51"/>
      <c r="N2492" s="51"/>
      <c r="O2492" s="50"/>
      <c r="P2492" s="50"/>
    </row>
    <row r="2493" spans="1:16" x14ac:dyDescent="0.3">
      <c r="A2493" s="59">
        <f>A2488+1</f>
        <v>2266</v>
      </c>
      <c r="B2493" s="66" t="s">
        <v>2597</v>
      </c>
      <c r="C2493" s="184">
        <v>1992</v>
      </c>
      <c r="D2493" s="51"/>
      <c r="E2493" s="52"/>
      <c r="F2493" s="52"/>
      <c r="G2493" s="51"/>
      <c r="H2493" s="52"/>
      <c r="I2493" s="52"/>
      <c r="J2493" s="19">
        <f t="shared" ref="J2493:J2556" si="188">K2493+L2493+M2493+N2493</f>
        <v>5894640.6000000006</v>
      </c>
      <c r="K2493" s="233"/>
      <c r="L2493" s="50"/>
      <c r="M2493" s="51"/>
      <c r="N2493" s="19">
        <f>SUMIF('2020'!B:B,B2493,'2020'!C:C)+SUMIF('2021'!B:B,B2493,'2021'!C:C)+SUMIF('2022'!B:B,B2493,'2022'!C:C)</f>
        <v>5894640.6000000006</v>
      </c>
      <c r="O2493" s="219">
        <v>44925</v>
      </c>
      <c r="P2493" s="48" t="s">
        <v>3728</v>
      </c>
    </row>
    <row r="2494" spans="1:16" x14ac:dyDescent="0.3">
      <c r="A2494" s="59">
        <f>A2493+1</f>
        <v>2267</v>
      </c>
      <c r="B2494" s="66" t="s">
        <v>2598</v>
      </c>
      <c r="C2494" s="184">
        <v>1993</v>
      </c>
      <c r="D2494" s="51"/>
      <c r="E2494" s="52" t="s">
        <v>3731</v>
      </c>
      <c r="F2494" s="47">
        <v>5</v>
      </c>
      <c r="G2494" s="51"/>
      <c r="H2494" s="52">
        <v>4562.5</v>
      </c>
      <c r="I2494" s="47">
        <v>146</v>
      </c>
      <c r="J2494" s="19">
        <f t="shared" si="188"/>
        <v>25335400</v>
      </c>
      <c r="K2494" s="51"/>
      <c r="L2494" s="50"/>
      <c r="M2494" s="51"/>
      <c r="N2494" s="19">
        <f>SUMIF('2020'!B:B,B2494,'2020'!C:C)+SUMIF('2021'!B:B,B2494,'2021'!C:C)+SUMIF('2022'!B:B,B2494,'2022'!C:C)</f>
        <v>25335400</v>
      </c>
      <c r="O2494" s="219">
        <v>44925</v>
      </c>
      <c r="P2494" s="48" t="s">
        <v>3728</v>
      </c>
    </row>
    <row r="2495" spans="1:16" x14ac:dyDescent="0.3">
      <c r="A2495" s="59">
        <f>A2494+1</f>
        <v>2268</v>
      </c>
      <c r="B2495" s="66" t="s">
        <v>2599</v>
      </c>
      <c r="C2495" s="184">
        <v>1995</v>
      </c>
      <c r="D2495" s="51"/>
      <c r="E2495" s="52" t="s">
        <v>3731</v>
      </c>
      <c r="F2495" s="47">
        <v>5</v>
      </c>
      <c r="G2495" s="51"/>
      <c r="H2495" s="52">
        <v>4664.7</v>
      </c>
      <c r="I2495" s="47">
        <v>106</v>
      </c>
      <c r="J2495" s="19">
        <f t="shared" si="188"/>
        <v>25335400</v>
      </c>
      <c r="K2495" s="51"/>
      <c r="L2495" s="50"/>
      <c r="M2495" s="51"/>
      <c r="N2495" s="19">
        <f>SUMIF('2020'!B:B,B2495,'2020'!C:C)+SUMIF('2021'!B:B,B2495,'2021'!C:C)+SUMIF('2022'!B:B,B2495,'2022'!C:C)</f>
        <v>25335400</v>
      </c>
      <c r="O2495" s="219">
        <v>44925</v>
      </c>
      <c r="P2495" s="48" t="s">
        <v>3728</v>
      </c>
    </row>
    <row r="2496" spans="1:16" x14ac:dyDescent="0.3">
      <c r="A2496" s="474" t="s">
        <v>211</v>
      </c>
      <c r="B2496" s="475"/>
      <c r="C2496" s="50"/>
      <c r="D2496" s="50"/>
      <c r="E2496" s="48"/>
      <c r="F2496" s="48"/>
      <c r="G2496" s="50"/>
      <c r="H2496" s="48">
        <f t="shared" ref="H2496:M2496" si="189">SUM(H2493:H2495)</f>
        <v>9227.2000000000007</v>
      </c>
      <c r="I2496" s="48">
        <f t="shared" si="189"/>
        <v>252</v>
      </c>
      <c r="J2496" s="48">
        <f t="shared" si="189"/>
        <v>56565440.600000001</v>
      </c>
      <c r="K2496" s="48">
        <f t="shared" si="189"/>
        <v>0</v>
      </c>
      <c r="L2496" s="48">
        <f t="shared" si="189"/>
        <v>0</v>
      </c>
      <c r="M2496" s="48">
        <f t="shared" si="189"/>
        <v>0</v>
      </c>
      <c r="N2496" s="48">
        <f>SUM(N2493:N2495)</f>
        <v>56565440.600000001</v>
      </c>
      <c r="O2496" s="50"/>
      <c r="P2496" s="50"/>
    </row>
    <row r="2497" spans="1:16" x14ac:dyDescent="0.3">
      <c r="A2497" s="472" t="s">
        <v>2600</v>
      </c>
      <c r="B2497" s="473"/>
      <c r="C2497" s="50"/>
      <c r="D2497" s="51"/>
      <c r="E2497" s="52"/>
      <c r="F2497" s="52"/>
      <c r="G2497" s="51"/>
      <c r="H2497" s="52"/>
      <c r="I2497" s="52"/>
      <c r="J2497" s="19">
        <f t="shared" si="188"/>
        <v>0</v>
      </c>
      <c r="K2497" s="51"/>
      <c r="L2497" s="50"/>
      <c r="M2497" s="51"/>
      <c r="N2497" s="51"/>
      <c r="O2497" s="228"/>
      <c r="P2497" s="50"/>
    </row>
    <row r="2498" spans="1:16" x14ac:dyDescent="0.3">
      <c r="A2498" s="59">
        <f>A2495+1</f>
        <v>2269</v>
      </c>
      <c r="B2498" s="66" t="s">
        <v>2601</v>
      </c>
      <c r="C2498" s="184">
        <v>1985</v>
      </c>
      <c r="D2498" s="51"/>
      <c r="E2498" s="48"/>
      <c r="F2498" s="218">
        <v>5</v>
      </c>
      <c r="G2498" s="50"/>
      <c r="H2498" s="48">
        <v>3240</v>
      </c>
      <c r="I2498" s="47">
        <v>157</v>
      </c>
      <c r="J2498" s="19">
        <f t="shared" si="188"/>
        <v>23171490.140000001</v>
      </c>
      <c r="K2498" s="51"/>
      <c r="L2498" s="50"/>
      <c r="M2498" s="51"/>
      <c r="N2498" s="19">
        <f>SUMIF('2020'!B:B,B2498,'2020'!C:C)+SUMIF('2021'!B:B,B2498,'2021'!C:C)+SUMIF('2022'!B:B,B2498,'2022'!C:C)</f>
        <v>23171490.140000001</v>
      </c>
      <c r="O2498" s="219">
        <v>44925</v>
      </c>
      <c r="P2498" s="48" t="s">
        <v>3728</v>
      </c>
    </row>
    <row r="2499" spans="1:16" x14ac:dyDescent="0.3">
      <c r="A2499" s="59">
        <f t="shared" ref="A2499:A2510" si="190">A2498+1</f>
        <v>2270</v>
      </c>
      <c r="B2499" s="66" t="s">
        <v>2602</v>
      </c>
      <c r="C2499" s="184">
        <v>1981</v>
      </c>
      <c r="D2499" s="51"/>
      <c r="E2499" s="52"/>
      <c r="F2499" s="218"/>
      <c r="G2499" s="51"/>
      <c r="H2499" s="52"/>
      <c r="I2499" s="47"/>
      <c r="J2499" s="19">
        <f t="shared" si="188"/>
        <v>9427379</v>
      </c>
      <c r="K2499" s="51"/>
      <c r="L2499" s="50"/>
      <c r="M2499" s="51"/>
      <c r="N2499" s="19">
        <f>SUMIF('2020'!B:B,B2499,'2020'!C:C)+SUMIF('2021'!B:B,B2499,'2021'!C:C)+SUMIF('2022'!B:B,B2499,'2022'!C:C)</f>
        <v>9427379</v>
      </c>
      <c r="O2499" s="219">
        <v>44925</v>
      </c>
      <c r="P2499" s="48" t="s">
        <v>3728</v>
      </c>
    </row>
    <row r="2500" spans="1:16" x14ac:dyDescent="0.3">
      <c r="A2500" s="59">
        <f t="shared" si="190"/>
        <v>2271</v>
      </c>
      <c r="B2500" s="66" t="s">
        <v>2603</v>
      </c>
      <c r="C2500" s="184">
        <v>1996</v>
      </c>
      <c r="D2500" s="51"/>
      <c r="E2500" s="48"/>
      <c r="F2500" s="218">
        <v>2</v>
      </c>
      <c r="G2500" s="50"/>
      <c r="H2500" s="48">
        <v>330.3</v>
      </c>
      <c r="I2500" s="47">
        <v>16</v>
      </c>
      <c r="J2500" s="19">
        <f t="shared" si="188"/>
        <v>5279458.4560000002</v>
      </c>
      <c r="K2500" s="51"/>
      <c r="L2500" s="50"/>
      <c r="M2500" s="51"/>
      <c r="N2500" s="19">
        <f>SUMIF('2020'!B:B,B2500,'2020'!C:C)+SUMIF('2021'!B:B,B2500,'2021'!C:C)+SUMIF('2022'!B:B,B2500,'2022'!C:C)</f>
        <v>5279458.4560000002</v>
      </c>
      <c r="O2500" s="219">
        <v>44925</v>
      </c>
      <c r="P2500" s="48" t="s">
        <v>3728</v>
      </c>
    </row>
    <row r="2501" spans="1:16" x14ac:dyDescent="0.3">
      <c r="A2501" s="59">
        <f t="shared" si="190"/>
        <v>2272</v>
      </c>
      <c r="B2501" s="66" t="s">
        <v>2604</v>
      </c>
      <c r="C2501" s="184">
        <v>1999</v>
      </c>
      <c r="D2501" s="51"/>
      <c r="E2501" s="48"/>
      <c r="F2501" s="218">
        <v>2</v>
      </c>
      <c r="G2501" s="50"/>
      <c r="H2501" s="48">
        <v>330.3</v>
      </c>
      <c r="I2501" s="47">
        <v>13</v>
      </c>
      <c r="J2501" s="19">
        <f t="shared" si="188"/>
        <v>5223125.3959999997</v>
      </c>
      <c r="K2501" s="51"/>
      <c r="L2501" s="50"/>
      <c r="M2501" s="51"/>
      <c r="N2501" s="19">
        <f>SUMIF('2020'!B:B,B2501,'2020'!C:C)+SUMIF('2021'!B:B,B2501,'2021'!C:C)+SUMIF('2022'!B:B,B2501,'2022'!C:C)</f>
        <v>5223125.3959999997</v>
      </c>
      <c r="O2501" s="219">
        <v>44925</v>
      </c>
      <c r="P2501" s="48" t="s">
        <v>3728</v>
      </c>
    </row>
    <row r="2502" spans="1:16" x14ac:dyDescent="0.3">
      <c r="A2502" s="59">
        <f t="shared" si="190"/>
        <v>2273</v>
      </c>
      <c r="B2502" s="66" t="s">
        <v>2605</v>
      </c>
      <c r="C2502" s="184">
        <v>1996</v>
      </c>
      <c r="D2502" s="51"/>
      <c r="E2502" s="48"/>
      <c r="F2502" s="218">
        <v>2</v>
      </c>
      <c r="G2502" s="50"/>
      <c r="H2502" s="48">
        <v>322.8</v>
      </c>
      <c r="I2502" s="47">
        <v>10</v>
      </c>
      <c r="J2502" s="19">
        <f t="shared" si="188"/>
        <v>2535309.5499999998</v>
      </c>
      <c r="K2502" s="51"/>
      <c r="L2502" s="50"/>
      <c r="M2502" s="51"/>
      <c r="N2502" s="19">
        <f>SUMIF('2020'!B:B,B2502,'2020'!C:C)+SUMIF('2021'!B:B,B2502,'2021'!C:C)+SUMIF('2022'!B:B,B2502,'2022'!C:C)</f>
        <v>2535309.5499999998</v>
      </c>
      <c r="O2502" s="219">
        <v>44925</v>
      </c>
      <c r="P2502" s="48" t="s">
        <v>3728</v>
      </c>
    </row>
    <row r="2503" spans="1:16" x14ac:dyDescent="0.3">
      <c r="A2503" s="59">
        <f t="shared" si="190"/>
        <v>2274</v>
      </c>
      <c r="B2503" s="66" t="s">
        <v>2606</v>
      </c>
      <c r="C2503" s="184">
        <v>1996</v>
      </c>
      <c r="D2503" s="51"/>
      <c r="E2503" s="48"/>
      <c r="F2503" s="218">
        <v>2</v>
      </c>
      <c r="G2503" s="50"/>
      <c r="H2503" s="48">
        <v>319.5</v>
      </c>
      <c r="I2503" s="47">
        <v>13</v>
      </c>
      <c r="J2503" s="19">
        <f t="shared" si="188"/>
        <v>14353312.24</v>
      </c>
      <c r="K2503" s="51"/>
      <c r="L2503" s="50"/>
      <c r="M2503" s="51"/>
      <c r="N2503" s="19">
        <f>SUMIF('2020'!B:B,B2503,'2020'!C:C)+SUMIF('2021'!B:B,B2503,'2021'!C:C)+SUMIF('2022'!B:B,B2503,'2022'!C:C)</f>
        <v>14353312.24</v>
      </c>
      <c r="O2503" s="219">
        <v>44925</v>
      </c>
      <c r="P2503" s="48" t="s">
        <v>3728</v>
      </c>
    </row>
    <row r="2504" spans="1:16" x14ac:dyDescent="0.3">
      <c r="A2504" s="59">
        <f t="shared" si="190"/>
        <v>2275</v>
      </c>
      <c r="B2504" s="66" t="s">
        <v>2607</v>
      </c>
      <c r="C2504" s="184">
        <v>1996</v>
      </c>
      <c r="D2504" s="51"/>
      <c r="E2504" s="48"/>
      <c r="F2504" s="218">
        <v>2</v>
      </c>
      <c r="G2504" s="50"/>
      <c r="H2504" s="48">
        <v>322.8</v>
      </c>
      <c r="I2504" s="47">
        <v>14</v>
      </c>
      <c r="J2504" s="19">
        <f t="shared" si="188"/>
        <v>2547051.6</v>
      </c>
      <c r="K2504" s="51"/>
      <c r="L2504" s="50"/>
      <c r="M2504" s="51"/>
      <c r="N2504" s="19">
        <f>SUMIF('2020'!B:B,B2504,'2020'!C:C)+SUMIF('2021'!B:B,B2504,'2021'!C:C)+SUMIF('2022'!B:B,B2504,'2022'!C:C)</f>
        <v>2547051.6</v>
      </c>
      <c r="O2504" s="219">
        <v>44925</v>
      </c>
      <c r="P2504" s="48" t="s">
        <v>3728</v>
      </c>
    </row>
    <row r="2505" spans="1:16" x14ac:dyDescent="0.3">
      <c r="A2505" s="59">
        <f t="shared" si="190"/>
        <v>2276</v>
      </c>
      <c r="B2505" s="66" t="s">
        <v>2608</v>
      </c>
      <c r="C2505" s="184">
        <v>1999</v>
      </c>
      <c r="D2505" s="51"/>
      <c r="E2505" s="48"/>
      <c r="F2505" s="218">
        <v>2</v>
      </c>
      <c r="G2505" s="50"/>
      <c r="H2505" s="48">
        <v>328.6</v>
      </c>
      <c r="I2505" s="47">
        <v>15</v>
      </c>
      <c r="J2505" s="19">
        <f t="shared" si="188"/>
        <v>2477290.8000000003</v>
      </c>
      <c r="K2505" s="51"/>
      <c r="L2505" s="50"/>
      <c r="M2505" s="51"/>
      <c r="N2505" s="19">
        <f>SUMIF('2020'!B:B,B2505,'2020'!C:C)+SUMIF('2021'!B:B,B2505,'2021'!C:C)+SUMIF('2022'!B:B,B2505,'2022'!C:C)</f>
        <v>2477290.8000000003</v>
      </c>
      <c r="O2505" s="219">
        <v>44925</v>
      </c>
      <c r="P2505" s="48" t="s">
        <v>3728</v>
      </c>
    </row>
    <row r="2506" spans="1:16" x14ac:dyDescent="0.3">
      <c r="A2506" s="59">
        <f t="shared" si="190"/>
        <v>2277</v>
      </c>
      <c r="B2506" s="66" t="s">
        <v>2609</v>
      </c>
      <c r="C2506" s="184">
        <v>1976</v>
      </c>
      <c r="D2506" s="51"/>
      <c r="E2506" s="52"/>
      <c r="F2506" s="218"/>
      <c r="G2506" s="51"/>
      <c r="H2506" s="52"/>
      <c r="I2506" s="47"/>
      <c r="J2506" s="19">
        <f t="shared" si="188"/>
        <v>9557379</v>
      </c>
      <c r="K2506" s="51"/>
      <c r="L2506" s="50"/>
      <c r="M2506" s="51"/>
      <c r="N2506" s="19">
        <f>SUMIF('2020'!B:B,B2506,'2020'!C:C)+SUMIF('2021'!B:B,B2506,'2021'!C:C)+SUMIF('2022'!B:B,B2506,'2022'!C:C)</f>
        <v>9557379</v>
      </c>
      <c r="O2506" s="219">
        <v>44925</v>
      </c>
      <c r="P2506" s="48" t="s">
        <v>3728</v>
      </c>
    </row>
    <row r="2507" spans="1:16" x14ac:dyDescent="0.3">
      <c r="A2507" s="59">
        <f t="shared" si="190"/>
        <v>2278</v>
      </c>
      <c r="B2507" s="66" t="s">
        <v>2610</v>
      </c>
      <c r="C2507" s="184">
        <v>1976</v>
      </c>
      <c r="D2507" s="51"/>
      <c r="E2507" s="52"/>
      <c r="F2507" s="218">
        <v>5</v>
      </c>
      <c r="G2507" s="51"/>
      <c r="H2507" s="52">
        <v>3265.8</v>
      </c>
      <c r="I2507" s="47">
        <v>176</v>
      </c>
      <c r="J2507" s="19">
        <f t="shared" si="188"/>
        <v>17114338.800000001</v>
      </c>
      <c r="K2507" s="51"/>
      <c r="L2507" s="50"/>
      <c r="M2507" s="51"/>
      <c r="N2507" s="19">
        <f>SUMIF('2020'!B:B,B2507,'2020'!C:C)+SUMIF('2021'!B:B,B2507,'2021'!C:C)+SUMIF('2022'!B:B,B2507,'2022'!C:C)</f>
        <v>17114338.800000001</v>
      </c>
      <c r="O2507" s="219">
        <v>44925</v>
      </c>
      <c r="P2507" s="48" t="s">
        <v>3728</v>
      </c>
    </row>
    <row r="2508" spans="1:16" x14ac:dyDescent="0.3">
      <c r="A2508" s="59">
        <f t="shared" si="190"/>
        <v>2279</v>
      </c>
      <c r="B2508" s="66" t="s">
        <v>2611</v>
      </c>
      <c r="C2508" s="184">
        <v>1980</v>
      </c>
      <c r="D2508" s="51"/>
      <c r="E2508" s="48"/>
      <c r="F2508" s="218">
        <v>5</v>
      </c>
      <c r="G2508" s="50"/>
      <c r="H2508" s="48">
        <v>4863.6000000000004</v>
      </c>
      <c r="I2508" s="47">
        <v>225</v>
      </c>
      <c r="J2508" s="19">
        <f t="shared" si="188"/>
        <v>5919884.4000000004</v>
      </c>
      <c r="K2508" s="51"/>
      <c r="L2508" s="50"/>
      <c r="M2508" s="51"/>
      <c r="N2508" s="19">
        <f>SUMIF('2020'!B:B,B2508,'2020'!C:C)+SUMIF('2021'!B:B,B2508,'2021'!C:C)+SUMIF('2022'!B:B,B2508,'2022'!C:C)</f>
        <v>5919884.4000000004</v>
      </c>
      <c r="O2508" s="219">
        <v>44925</v>
      </c>
      <c r="P2508" s="48" t="s">
        <v>3728</v>
      </c>
    </row>
    <row r="2509" spans="1:16" x14ac:dyDescent="0.3">
      <c r="A2509" s="59">
        <f t="shared" si="190"/>
        <v>2280</v>
      </c>
      <c r="B2509" s="66" t="s">
        <v>2612</v>
      </c>
      <c r="C2509" s="184">
        <v>1965</v>
      </c>
      <c r="D2509" s="51"/>
      <c r="E2509" s="48"/>
      <c r="F2509" s="218">
        <v>4</v>
      </c>
      <c r="G2509" s="50"/>
      <c r="H2509" s="48">
        <v>1995.3</v>
      </c>
      <c r="I2509" s="47">
        <v>104</v>
      </c>
      <c r="J2509" s="19">
        <f t="shared" si="188"/>
        <v>6544181.0099999998</v>
      </c>
      <c r="K2509" s="51"/>
      <c r="L2509" s="50"/>
      <c r="M2509" s="51"/>
      <c r="N2509" s="19">
        <f>SUMIF('2020'!B:B,B2509,'2020'!C:C)+SUMIF('2021'!B:B,B2509,'2021'!C:C)+SUMIF('2022'!B:B,B2509,'2022'!C:C)</f>
        <v>6544181.0099999998</v>
      </c>
      <c r="O2509" s="219">
        <v>44925</v>
      </c>
      <c r="P2509" s="48" t="s">
        <v>3728</v>
      </c>
    </row>
    <row r="2510" spans="1:16" x14ac:dyDescent="0.3">
      <c r="A2510" s="59">
        <f t="shared" si="190"/>
        <v>2281</v>
      </c>
      <c r="B2510" s="66" t="s">
        <v>2613</v>
      </c>
      <c r="C2510" s="184">
        <v>1965</v>
      </c>
      <c r="D2510" s="51"/>
      <c r="E2510" s="48"/>
      <c r="F2510" s="218">
        <v>4</v>
      </c>
      <c r="G2510" s="51"/>
      <c r="H2510" s="52">
        <v>1994.26</v>
      </c>
      <c r="I2510" s="47">
        <v>82</v>
      </c>
      <c r="J2510" s="19">
        <f t="shared" si="188"/>
        <v>16308234.300000001</v>
      </c>
      <c r="K2510" s="51"/>
      <c r="L2510" s="50"/>
      <c r="M2510" s="51"/>
      <c r="N2510" s="19">
        <f>SUMIF('2020'!B:B,B2510,'2020'!C:C)+SUMIF('2021'!B:B,B2510,'2021'!C:C)+SUMIF('2022'!B:B,B2510,'2022'!C:C)</f>
        <v>16308234.300000001</v>
      </c>
      <c r="O2510" s="219">
        <v>44925</v>
      </c>
      <c r="P2510" s="48" t="s">
        <v>3728</v>
      </c>
    </row>
    <row r="2511" spans="1:16" x14ac:dyDescent="0.3">
      <c r="A2511" s="474" t="s">
        <v>211</v>
      </c>
      <c r="B2511" s="475"/>
      <c r="C2511" s="50"/>
      <c r="D2511" s="50"/>
      <c r="E2511" s="48"/>
      <c r="F2511" s="48"/>
      <c r="G2511" s="50"/>
      <c r="H2511" s="48">
        <f>SUM(H2498:H2510)</f>
        <v>17313.260000000002</v>
      </c>
      <c r="I2511" s="47">
        <f>SUM(I2498:I2510)</f>
        <v>825</v>
      </c>
      <c r="J2511" s="19">
        <f t="shared" si="188"/>
        <v>120458434.692</v>
      </c>
      <c r="K2511" s="50">
        <v>0</v>
      </c>
      <c r="L2511" s="50">
        <v>0</v>
      </c>
      <c r="M2511" s="50">
        <f>N2511-'2020'!C551-'2021'!C1958-'2022'!C813</f>
        <v>0</v>
      </c>
      <c r="N2511" s="50">
        <f>SUM(N2498:N2510)</f>
        <v>120458434.692</v>
      </c>
      <c r="O2511" s="50"/>
      <c r="P2511" s="50"/>
    </row>
    <row r="2512" spans="1:16" x14ac:dyDescent="0.3">
      <c r="A2512" s="472" t="s">
        <v>2614</v>
      </c>
      <c r="B2512" s="473"/>
      <c r="C2512" s="50"/>
      <c r="D2512" s="51"/>
      <c r="E2512" s="52"/>
      <c r="F2512" s="52"/>
      <c r="G2512" s="51"/>
      <c r="H2512" s="52"/>
      <c r="I2512" s="52"/>
      <c r="J2512" s="19"/>
      <c r="K2512" s="51"/>
      <c r="L2512" s="50"/>
      <c r="M2512" s="51"/>
      <c r="N2512" s="51"/>
      <c r="O2512" s="228"/>
      <c r="P2512" s="50"/>
    </row>
    <row r="2513" spans="1:16" x14ac:dyDescent="0.3">
      <c r="A2513" s="59">
        <f>A2510+1</f>
        <v>2282</v>
      </c>
      <c r="B2513" s="66" t="s">
        <v>2615</v>
      </c>
      <c r="C2513" s="184">
        <v>1971</v>
      </c>
      <c r="D2513" s="51"/>
      <c r="E2513" s="48" t="s">
        <v>3733</v>
      </c>
      <c r="F2513" s="218">
        <v>2</v>
      </c>
      <c r="G2513" s="50"/>
      <c r="H2513" s="48">
        <v>868.1</v>
      </c>
      <c r="I2513" s="47">
        <v>41</v>
      </c>
      <c r="J2513" s="19">
        <f t="shared" si="188"/>
        <v>304782.61</v>
      </c>
      <c r="K2513" s="51"/>
      <c r="L2513" s="50"/>
      <c r="M2513" s="51"/>
      <c r="N2513" s="19">
        <f>SUMIF('2020'!B:B,B2513,'2020'!C:C)+SUMIF('2021'!B:B,B2513,'2021'!C:C)+SUMIF('2022'!B:B,B2513,'2022'!C:C)</f>
        <v>304782.61</v>
      </c>
      <c r="O2513" s="219">
        <v>44925</v>
      </c>
      <c r="P2513" s="48" t="s">
        <v>3728</v>
      </c>
    </row>
    <row r="2514" spans="1:16" x14ac:dyDescent="0.3">
      <c r="A2514" s="59">
        <f>A2513+1</f>
        <v>2283</v>
      </c>
      <c r="B2514" s="66" t="s">
        <v>2616</v>
      </c>
      <c r="C2514" s="184">
        <v>1937</v>
      </c>
      <c r="D2514" s="51"/>
      <c r="E2514" s="48" t="s">
        <v>4090</v>
      </c>
      <c r="F2514" s="218">
        <v>2</v>
      </c>
      <c r="G2514" s="50"/>
      <c r="H2514" s="48">
        <v>595</v>
      </c>
      <c r="I2514" s="47">
        <v>34</v>
      </c>
      <c r="J2514" s="19">
        <f t="shared" si="188"/>
        <v>514069.18</v>
      </c>
      <c r="K2514" s="51"/>
      <c r="L2514" s="50"/>
      <c r="M2514" s="51"/>
      <c r="N2514" s="19">
        <f>SUMIF('2020'!B:B,B2514,'2020'!C:C)+SUMIF('2021'!B:B,B2514,'2021'!C:C)+SUMIF('2022'!B:B,B2514,'2022'!C:C)</f>
        <v>514069.18</v>
      </c>
      <c r="O2514" s="219">
        <v>44925</v>
      </c>
      <c r="P2514" s="48" t="s">
        <v>3728</v>
      </c>
    </row>
    <row r="2515" spans="1:16" x14ac:dyDescent="0.3">
      <c r="A2515" s="59">
        <f>A2514+1</f>
        <v>2284</v>
      </c>
      <c r="B2515" s="66" t="s">
        <v>2617</v>
      </c>
      <c r="C2515" s="184">
        <v>1937</v>
      </c>
      <c r="D2515" s="51"/>
      <c r="E2515" s="48" t="s">
        <v>4090</v>
      </c>
      <c r="F2515" s="218">
        <v>2</v>
      </c>
      <c r="G2515" s="50"/>
      <c r="H2515" s="48">
        <v>579.20000000000005</v>
      </c>
      <c r="I2515" s="47">
        <v>38</v>
      </c>
      <c r="J2515" s="19">
        <f t="shared" si="188"/>
        <v>514069.18</v>
      </c>
      <c r="K2515" s="51"/>
      <c r="L2515" s="50"/>
      <c r="M2515" s="51"/>
      <c r="N2515" s="19">
        <f>SUMIF('2020'!B:B,B2515,'2020'!C:C)+SUMIF('2021'!B:B,B2515,'2021'!C:C)+SUMIF('2022'!B:B,B2515,'2022'!C:C)</f>
        <v>514069.18</v>
      </c>
      <c r="O2515" s="219">
        <v>44925</v>
      </c>
      <c r="P2515" s="48" t="s">
        <v>3728</v>
      </c>
    </row>
    <row r="2516" spans="1:16" x14ac:dyDescent="0.3">
      <c r="A2516" s="59">
        <f>A2515+1</f>
        <v>2285</v>
      </c>
      <c r="B2516" s="66" t="s">
        <v>2618</v>
      </c>
      <c r="C2516" s="184">
        <v>1937</v>
      </c>
      <c r="D2516" s="51"/>
      <c r="E2516" s="48" t="s">
        <v>4090</v>
      </c>
      <c r="F2516" s="218">
        <v>2</v>
      </c>
      <c r="G2516" s="50"/>
      <c r="H2516" s="48">
        <v>586.20000000000005</v>
      </c>
      <c r="I2516" s="47">
        <v>29</v>
      </c>
      <c r="J2516" s="19">
        <f t="shared" si="188"/>
        <v>517932.61</v>
      </c>
      <c r="K2516" s="51"/>
      <c r="L2516" s="50"/>
      <c r="M2516" s="51"/>
      <c r="N2516" s="19">
        <f>SUMIF('2020'!B:B,B2516,'2020'!C:C)+SUMIF('2021'!B:B,B2516,'2021'!C:C)+SUMIF('2022'!B:B,B2516,'2022'!C:C)</f>
        <v>517932.61</v>
      </c>
      <c r="O2516" s="219">
        <v>44925</v>
      </c>
      <c r="P2516" s="48" t="s">
        <v>3728</v>
      </c>
    </row>
    <row r="2517" spans="1:16" x14ac:dyDescent="0.3">
      <c r="A2517" s="59">
        <f>A2516+1</f>
        <v>2286</v>
      </c>
      <c r="B2517" s="66" t="s">
        <v>2619</v>
      </c>
      <c r="C2517" s="184">
        <v>1935</v>
      </c>
      <c r="D2517" s="51"/>
      <c r="E2517" s="48" t="s">
        <v>4090</v>
      </c>
      <c r="F2517" s="218">
        <v>2</v>
      </c>
      <c r="G2517" s="50"/>
      <c r="H2517" s="48">
        <v>570.20000000000005</v>
      </c>
      <c r="I2517" s="47">
        <v>29</v>
      </c>
      <c r="J2517" s="19">
        <f t="shared" si="188"/>
        <v>517932.61</v>
      </c>
      <c r="K2517" s="51"/>
      <c r="L2517" s="50"/>
      <c r="M2517" s="51"/>
      <c r="N2517" s="19">
        <f>SUMIF('2020'!B:B,B2517,'2020'!C:C)+SUMIF('2021'!B:B,B2517,'2021'!C:C)+SUMIF('2022'!B:B,B2517,'2022'!C:C)</f>
        <v>517932.61</v>
      </c>
      <c r="O2517" s="219">
        <v>44925</v>
      </c>
      <c r="P2517" s="48" t="s">
        <v>3728</v>
      </c>
    </row>
    <row r="2518" spans="1:16" x14ac:dyDescent="0.3">
      <c r="A2518" s="59">
        <f>A2517+1</f>
        <v>2287</v>
      </c>
      <c r="B2518" s="66" t="s">
        <v>2620</v>
      </c>
      <c r="C2518" s="184">
        <v>1938</v>
      </c>
      <c r="D2518" s="51"/>
      <c r="E2518" s="48" t="s">
        <v>4090</v>
      </c>
      <c r="F2518" s="218">
        <v>2</v>
      </c>
      <c r="G2518" s="50"/>
      <c r="H2518" s="52">
        <v>1029.2</v>
      </c>
      <c r="I2518" s="47">
        <v>32</v>
      </c>
      <c r="J2518" s="19">
        <f t="shared" si="188"/>
        <v>540518.56000000006</v>
      </c>
      <c r="K2518" s="51"/>
      <c r="L2518" s="50"/>
      <c r="M2518" s="51"/>
      <c r="N2518" s="19">
        <f>SUMIF('2020'!B:B,B2518,'2020'!C:C)+SUMIF('2021'!B:B,B2518,'2021'!C:C)+SUMIF('2022'!B:B,B2518,'2022'!C:C)</f>
        <v>540518.56000000006</v>
      </c>
      <c r="O2518" s="219">
        <v>44925</v>
      </c>
      <c r="P2518" s="48" t="s">
        <v>3728</v>
      </c>
    </row>
    <row r="2519" spans="1:16" x14ac:dyDescent="0.3">
      <c r="A2519" s="474" t="s">
        <v>211</v>
      </c>
      <c r="B2519" s="475"/>
      <c r="C2519" s="50"/>
      <c r="D2519" s="50"/>
      <c r="E2519" s="48"/>
      <c r="F2519" s="48"/>
      <c r="G2519" s="50"/>
      <c r="H2519" s="48">
        <f>SUM(H2513:H2518)</f>
        <v>4227.8999999999996</v>
      </c>
      <c r="I2519" s="47">
        <f>SUM(I2513:I2518)</f>
        <v>203</v>
      </c>
      <c r="J2519" s="19">
        <f t="shared" si="188"/>
        <v>2909304.75</v>
      </c>
      <c r="K2519" s="50">
        <v>0</v>
      </c>
      <c r="L2519" s="50">
        <v>0</v>
      </c>
      <c r="M2519" s="50">
        <f>N2519-'2021'!C1966</f>
        <v>0</v>
      </c>
      <c r="N2519" s="50">
        <f>SUM(N2513:N2518)</f>
        <v>2909304.75</v>
      </c>
      <c r="O2519" s="50"/>
      <c r="P2519" s="50"/>
    </row>
    <row r="2520" spans="1:16" x14ac:dyDescent="0.3">
      <c r="A2520" s="472" t="s">
        <v>2621</v>
      </c>
      <c r="B2520" s="473"/>
      <c r="C2520" s="50"/>
      <c r="D2520" s="51"/>
      <c r="E2520" s="52"/>
      <c r="F2520" s="52"/>
      <c r="G2520" s="51"/>
      <c r="H2520" s="52"/>
      <c r="I2520" s="52"/>
      <c r="J2520" s="19"/>
      <c r="K2520" s="51"/>
      <c r="L2520" s="50"/>
      <c r="M2520" s="51"/>
      <c r="N2520" s="51"/>
      <c r="O2520" s="228"/>
      <c r="P2520" s="50"/>
    </row>
    <row r="2521" spans="1:16" x14ac:dyDescent="0.3">
      <c r="A2521" s="59">
        <f>A2518+1</f>
        <v>2288</v>
      </c>
      <c r="B2521" s="66" t="s">
        <v>2622</v>
      </c>
      <c r="C2521" s="184">
        <v>1994</v>
      </c>
      <c r="D2521" s="51"/>
      <c r="E2521" s="52"/>
      <c r="F2521" s="47">
        <v>5</v>
      </c>
      <c r="G2521" s="51"/>
      <c r="H2521" s="52">
        <v>8338.1</v>
      </c>
      <c r="I2521" s="47">
        <v>347</v>
      </c>
      <c r="J2521" s="19">
        <f t="shared" si="188"/>
        <v>66078821.5</v>
      </c>
      <c r="K2521" s="51"/>
      <c r="L2521" s="50"/>
      <c r="M2521" s="51"/>
      <c r="N2521" s="19">
        <f>SUMIF('2020'!B:B,B2521,'2020'!C:C)+SUMIF('2021'!B:B,B2521,'2021'!C:C)+SUMIF('2022'!B:B,B2521,'2022'!C:C)</f>
        <v>66078821.5</v>
      </c>
      <c r="O2521" s="219">
        <v>44925</v>
      </c>
      <c r="P2521" s="48" t="s">
        <v>3728</v>
      </c>
    </row>
    <row r="2522" spans="1:16" x14ac:dyDescent="0.3">
      <c r="A2522" s="59">
        <f>A2521+1</f>
        <v>2289</v>
      </c>
      <c r="B2522" s="66" t="s">
        <v>2623</v>
      </c>
      <c r="C2522" s="184">
        <v>1972</v>
      </c>
      <c r="D2522" s="51"/>
      <c r="E2522" s="52"/>
      <c r="F2522" s="47">
        <v>5</v>
      </c>
      <c r="G2522" s="51"/>
      <c r="H2522" s="52">
        <v>2594.6</v>
      </c>
      <c r="I2522" s="47">
        <v>116</v>
      </c>
      <c r="J2522" s="19">
        <f t="shared" si="188"/>
        <v>17281753.300000001</v>
      </c>
      <c r="K2522" s="51"/>
      <c r="L2522" s="50"/>
      <c r="M2522" s="51"/>
      <c r="N2522" s="19">
        <f>SUMIF('2020'!B:B,B2522,'2020'!C:C)+SUMIF('2021'!B:B,B2522,'2021'!C:C)+SUMIF('2022'!B:B,B2522,'2022'!C:C)</f>
        <v>17281753.300000001</v>
      </c>
      <c r="O2522" s="219">
        <v>44925</v>
      </c>
      <c r="P2522" s="48" t="s">
        <v>3728</v>
      </c>
    </row>
    <row r="2523" spans="1:16" x14ac:dyDescent="0.3">
      <c r="A2523" s="59">
        <f>A2522+1</f>
        <v>2290</v>
      </c>
      <c r="B2523" s="66" t="s">
        <v>2624</v>
      </c>
      <c r="C2523" s="184">
        <v>1973</v>
      </c>
      <c r="D2523" s="51"/>
      <c r="E2523" s="52"/>
      <c r="F2523" s="47">
        <v>5</v>
      </c>
      <c r="G2523" s="51"/>
      <c r="H2523" s="52">
        <v>2543.6</v>
      </c>
      <c r="I2523" s="47">
        <v>136</v>
      </c>
      <c r="J2523" s="19">
        <f t="shared" si="188"/>
        <v>17281753.300000001</v>
      </c>
      <c r="K2523" s="51"/>
      <c r="L2523" s="50"/>
      <c r="M2523" s="51"/>
      <c r="N2523" s="19">
        <f>SUMIF('2020'!B:B,B2523,'2020'!C:C)+SUMIF('2021'!B:B,B2523,'2021'!C:C)+SUMIF('2022'!B:B,B2523,'2022'!C:C)</f>
        <v>17281753.300000001</v>
      </c>
      <c r="O2523" s="219">
        <v>44925</v>
      </c>
      <c r="P2523" s="48" t="s">
        <v>3728</v>
      </c>
    </row>
    <row r="2524" spans="1:16" x14ac:dyDescent="0.3">
      <c r="A2524" s="59">
        <f>A2523+1</f>
        <v>2291</v>
      </c>
      <c r="B2524" s="66" t="s">
        <v>2625</v>
      </c>
      <c r="C2524" s="184">
        <v>1980</v>
      </c>
      <c r="D2524" s="51"/>
      <c r="E2524" s="52"/>
      <c r="F2524" s="47">
        <v>5</v>
      </c>
      <c r="G2524" s="51"/>
      <c r="H2524" s="52">
        <v>2002.2</v>
      </c>
      <c r="I2524" s="47">
        <v>115</v>
      </c>
      <c r="J2524" s="19">
        <f t="shared" si="188"/>
        <v>17871674.399999999</v>
      </c>
      <c r="K2524" s="51"/>
      <c r="L2524" s="50"/>
      <c r="M2524" s="51"/>
      <c r="N2524" s="19">
        <f>SUMIF('2020'!B:B,B2524,'2020'!C:C)+SUMIF('2021'!B:B,B2524,'2021'!C:C)+SUMIF('2022'!B:B,B2524,'2022'!C:C)</f>
        <v>17871674.399999999</v>
      </c>
      <c r="O2524" s="219">
        <v>44925</v>
      </c>
      <c r="P2524" s="48" t="s">
        <v>3728</v>
      </c>
    </row>
    <row r="2525" spans="1:16" x14ac:dyDescent="0.3">
      <c r="A2525" s="474" t="s">
        <v>211</v>
      </c>
      <c r="B2525" s="475"/>
      <c r="C2525" s="50"/>
      <c r="D2525" s="50"/>
      <c r="E2525" s="48"/>
      <c r="F2525" s="48"/>
      <c r="G2525" s="50"/>
      <c r="H2525" s="48">
        <f>SUM(H2521:H2524)</f>
        <v>15478.500000000002</v>
      </c>
      <c r="I2525" s="47">
        <f>SUM(I2521:I2524)</f>
        <v>714</v>
      </c>
      <c r="J2525" s="19">
        <f t="shared" si="188"/>
        <v>118514002.5</v>
      </c>
      <c r="K2525" s="50">
        <v>0</v>
      </c>
      <c r="L2525" s="50">
        <v>0</v>
      </c>
      <c r="M2525" s="50">
        <v>0</v>
      </c>
      <c r="N2525" s="50">
        <f>SUM(N2521:N2524)</f>
        <v>118514002.5</v>
      </c>
      <c r="O2525" s="50"/>
      <c r="P2525" s="50"/>
    </row>
    <row r="2526" spans="1:16" x14ac:dyDescent="0.3">
      <c r="A2526" s="472" t="s">
        <v>2626</v>
      </c>
      <c r="B2526" s="473"/>
      <c r="C2526" s="50"/>
      <c r="D2526" s="51"/>
      <c r="E2526" s="52"/>
      <c r="F2526" s="52"/>
      <c r="G2526" s="51"/>
      <c r="H2526" s="52"/>
      <c r="I2526" s="52"/>
      <c r="J2526" s="19"/>
      <c r="K2526" s="51"/>
      <c r="L2526" s="50"/>
      <c r="M2526" s="51"/>
      <c r="N2526" s="51"/>
      <c r="O2526" s="228"/>
      <c r="P2526" s="50"/>
    </row>
    <row r="2527" spans="1:16" x14ac:dyDescent="0.3">
      <c r="A2527" s="59">
        <f>A2524+1</f>
        <v>2292</v>
      </c>
      <c r="B2527" s="66" t="s">
        <v>2627</v>
      </c>
      <c r="C2527" s="184">
        <v>1976</v>
      </c>
      <c r="D2527" s="51"/>
      <c r="E2527" s="52" t="s">
        <v>3729</v>
      </c>
      <c r="F2527" s="47">
        <v>5</v>
      </c>
      <c r="G2527" s="51"/>
      <c r="H2527" s="52">
        <v>5624.5</v>
      </c>
      <c r="I2527" s="47">
        <v>90</v>
      </c>
      <c r="J2527" s="19">
        <f t="shared" si="188"/>
        <v>130000</v>
      </c>
      <c r="K2527" s="51"/>
      <c r="L2527" s="50"/>
      <c r="M2527" s="51"/>
      <c r="N2527" s="19">
        <f>SUMIF('2020'!B:B,B2527,'2020'!C:C)+SUMIF('2021'!B:B,B2527,'2021'!C:C)+SUMIF('2022'!B:B,B2527,'2022'!C:C)</f>
        <v>130000</v>
      </c>
      <c r="O2527" s="219">
        <v>44925</v>
      </c>
      <c r="P2527" s="48" t="s">
        <v>3728</v>
      </c>
    </row>
    <row r="2528" spans="1:16" x14ac:dyDescent="0.3">
      <c r="A2528" s="59">
        <f t="shared" ref="A2528:A2542" si="191">A2527+1</f>
        <v>2293</v>
      </c>
      <c r="B2528" s="66" t="s">
        <v>2628</v>
      </c>
      <c r="C2528" s="184">
        <v>1972</v>
      </c>
      <c r="D2528" s="51"/>
      <c r="E2528" s="52" t="s">
        <v>3729</v>
      </c>
      <c r="F2528" s="47">
        <v>5</v>
      </c>
      <c r="G2528" s="51"/>
      <c r="H2528" s="52">
        <v>4862</v>
      </c>
      <c r="I2528" s="47">
        <v>90</v>
      </c>
      <c r="J2528" s="19">
        <f t="shared" si="188"/>
        <v>130000</v>
      </c>
      <c r="K2528" s="51"/>
      <c r="L2528" s="50"/>
      <c r="M2528" s="51"/>
      <c r="N2528" s="19">
        <f>SUMIF('2020'!B:B,B2528,'2020'!C:C)+SUMIF('2021'!B:B,B2528,'2021'!C:C)+SUMIF('2022'!B:B,B2528,'2022'!C:C)</f>
        <v>130000</v>
      </c>
      <c r="O2528" s="219">
        <v>44925</v>
      </c>
      <c r="P2528" s="48" t="s">
        <v>3728</v>
      </c>
    </row>
    <row r="2529" spans="1:16" x14ac:dyDescent="0.3">
      <c r="A2529" s="59">
        <f t="shared" si="191"/>
        <v>2294</v>
      </c>
      <c r="B2529" s="66" t="s">
        <v>2629</v>
      </c>
      <c r="C2529" s="184">
        <v>1974</v>
      </c>
      <c r="D2529" s="51"/>
      <c r="E2529" s="52" t="s">
        <v>3729</v>
      </c>
      <c r="F2529" s="47">
        <v>5</v>
      </c>
      <c r="G2529" s="51"/>
      <c r="H2529" s="52">
        <v>4810</v>
      </c>
      <c r="I2529" s="47">
        <v>90</v>
      </c>
      <c r="J2529" s="19">
        <f t="shared" si="188"/>
        <v>130000</v>
      </c>
      <c r="K2529" s="51"/>
      <c r="L2529" s="50"/>
      <c r="M2529" s="51"/>
      <c r="N2529" s="19">
        <f>SUMIF('2020'!B:B,B2529,'2020'!C:C)+SUMIF('2021'!B:B,B2529,'2021'!C:C)+SUMIF('2022'!B:B,B2529,'2022'!C:C)</f>
        <v>130000</v>
      </c>
      <c r="O2529" s="219">
        <v>44925</v>
      </c>
      <c r="P2529" s="48" t="s">
        <v>3728</v>
      </c>
    </row>
    <row r="2530" spans="1:16" x14ac:dyDescent="0.3">
      <c r="A2530" s="59">
        <f t="shared" si="191"/>
        <v>2295</v>
      </c>
      <c r="B2530" s="66" t="s">
        <v>2630</v>
      </c>
      <c r="C2530" s="184">
        <v>1975</v>
      </c>
      <c r="D2530" s="51"/>
      <c r="E2530" s="52" t="s">
        <v>3729</v>
      </c>
      <c r="F2530" s="47">
        <v>5</v>
      </c>
      <c r="G2530" s="51"/>
      <c r="H2530" s="52">
        <v>6728.7</v>
      </c>
      <c r="I2530" s="47">
        <v>130</v>
      </c>
      <c r="J2530" s="19">
        <f t="shared" si="188"/>
        <v>130000</v>
      </c>
      <c r="K2530" s="51"/>
      <c r="L2530" s="50"/>
      <c r="M2530" s="51"/>
      <c r="N2530" s="19">
        <f>SUMIF('2020'!B:B,B2530,'2020'!C:C)+SUMIF('2021'!B:B,B2530,'2021'!C:C)+SUMIF('2022'!B:B,B2530,'2022'!C:C)</f>
        <v>130000</v>
      </c>
      <c r="O2530" s="219">
        <v>44925</v>
      </c>
      <c r="P2530" s="48" t="s">
        <v>3728</v>
      </c>
    </row>
    <row r="2531" spans="1:16" x14ac:dyDescent="0.3">
      <c r="A2531" s="59">
        <f t="shared" si="191"/>
        <v>2296</v>
      </c>
      <c r="B2531" s="66" t="s">
        <v>2631</v>
      </c>
      <c r="C2531" s="184">
        <v>1966</v>
      </c>
      <c r="D2531" s="51"/>
      <c r="E2531" s="52" t="s">
        <v>3729</v>
      </c>
      <c r="F2531" s="47">
        <v>5</v>
      </c>
      <c r="G2531" s="51"/>
      <c r="H2531" s="52">
        <v>6035.8</v>
      </c>
      <c r="I2531" s="47">
        <v>110</v>
      </c>
      <c r="J2531" s="19">
        <f t="shared" si="188"/>
        <v>130000</v>
      </c>
      <c r="K2531" s="51"/>
      <c r="L2531" s="50"/>
      <c r="M2531" s="51"/>
      <c r="N2531" s="19">
        <f>SUMIF('2020'!B:B,B2531,'2020'!C:C)+SUMIF('2021'!B:B,B2531,'2021'!C:C)+SUMIF('2022'!B:B,B2531,'2022'!C:C)</f>
        <v>130000</v>
      </c>
      <c r="O2531" s="219">
        <v>44925</v>
      </c>
      <c r="P2531" s="48" t="s">
        <v>3728</v>
      </c>
    </row>
    <row r="2532" spans="1:16" x14ac:dyDescent="0.3">
      <c r="A2532" s="59">
        <f t="shared" si="191"/>
        <v>2297</v>
      </c>
      <c r="B2532" s="66" t="s">
        <v>2632</v>
      </c>
      <c r="C2532" s="184">
        <v>1977</v>
      </c>
      <c r="D2532" s="51"/>
      <c r="E2532" s="52" t="s">
        <v>3729</v>
      </c>
      <c r="F2532" s="47">
        <v>5</v>
      </c>
      <c r="G2532" s="51"/>
      <c r="H2532" s="52">
        <v>5592.8</v>
      </c>
      <c r="I2532" s="47">
        <v>90</v>
      </c>
      <c r="J2532" s="19">
        <f t="shared" si="188"/>
        <v>130000</v>
      </c>
      <c r="K2532" s="51"/>
      <c r="L2532" s="50"/>
      <c r="M2532" s="51"/>
      <c r="N2532" s="19">
        <f>SUMIF('2020'!B:B,B2532,'2020'!C:C)+SUMIF('2021'!B:B,B2532,'2021'!C:C)+SUMIF('2022'!B:B,B2532,'2022'!C:C)</f>
        <v>130000</v>
      </c>
      <c r="O2532" s="219">
        <v>44925</v>
      </c>
      <c r="P2532" s="48" t="s">
        <v>3728</v>
      </c>
    </row>
    <row r="2533" spans="1:16" x14ac:dyDescent="0.3">
      <c r="A2533" s="59">
        <f t="shared" si="191"/>
        <v>2298</v>
      </c>
      <c r="B2533" s="66" t="s">
        <v>2633</v>
      </c>
      <c r="C2533" s="184">
        <v>1967</v>
      </c>
      <c r="D2533" s="51"/>
      <c r="E2533" s="52" t="s">
        <v>3729</v>
      </c>
      <c r="F2533" s="47">
        <v>5</v>
      </c>
      <c r="G2533" s="51"/>
      <c r="H2533" s="52">
        <v>4910.6000000000004</v>
      </c>
      <c r="I2533" s="47">
        <v>100</v>
      </c>
      <c r="J2533" s="19">
        <f t="shared" si="188"/>
        <v>130000</v>
      </c>
      <c r="K2533" s="51"/>
      <c r="L2533" s="50"/>
      <c r="M2533" s="51"/>
      <c r="N2533" s="19">
        <f>SUMIF('2020'!B:B,B2533,'2020'!C:C)+SUMIF('2021'!B:B,B2533,'2021'!C:C)+SUMIF('2022'!B:B,B2533,'2022'!C:C)</f>
        <v>130000</v>
      </c>
      <c r="O2533" s="219">
        <v>44925</v>
      </c>
      <c r="P2533" s="48" t="s">
        <v>3728</v>
      </c>
    </row>
    <row r="2534" spans="1:16" x14ac:dyDescent="0.3">
      <c r="A2534" s="59">
        <f t="shared" si="191"/>
        <v>2299</v>
      </c>
      <c r="B2534" s="66" t="s">
        <v>2634</v>
      </c>
      <c r="C2534" s="184">
        <v>1977</v>
      </c>
      <c r="D2534" s="51"/>
      <c r="E2534" s="52" t="s">
        <v>3729</v>
      </c>
      <c r="F2534" s="47">
        <v>5</v>
      </c>
      <c r="G2534" s="51"/>
      <c r="H2534" s="52">
        <v>5464.7</v>
      </c>
      <c r="I2534" s="47">
        <v>90</v>
      </c>
      <c r="J2534" s="19">
        <f t="shared" si="188"/>
        <v>130000</v>
      </c>
      <c r="K2534" s="51"/>
      <c r="L2534" s="50"/>
      <c r="M2534" s="51"/>
      <c r="N2534" s="19">
        <f>SUMIF('2020'!B:B,B2534,'2020'!C:C)+SUMIF('2021'!B:B,B2534,'2021'!C:C)+SUMIF('2022'!B:B,B2534,'2022'!C:C)</f>
        <v>130000</v>
      </c>
      <c r="O2534" s="219">
        <v>44925</v>
      </c>
      <c r="P2534" s="48" t="s">
        <v>3728</v>
      </c>
    </row>
    <row r="2535" spans="1:16" x14ac:dyDescent="0.3">
      <c r="A2535" s="59">
        <f t="shared" si="191"/>
        <v>2300</v>
      </c>
      <c r="B2535" s="66" t="s">
        <v>2635</v>
      </c>
      <c r="C2535" s="184">
        <v>1966</v>
      </c>
      <c r="D2535" s="51"/>
      <c r="E2535" s="52" t="s">
        <v>3729</v>
      </c>
      <c r="F2535" s="47">
        <v>5</v>
      </c>
      <c r="G2535" s="51"/>
      <c r="H2535" s="52">
        <v>5728</v>
      </c>
      <c r="I2535" s="47">
        <v>139</v>
      </c>
      <c r="J2535" s="19">
        <f t="shared" si="188"/>
        <v>130000</v>
      </c>
      <c r="K2535" s="51"/>
      <c r="L2535" s="50"/>
      <c r="M2535" s="51"/>
      <c r="N2535" s="19">
        <f>SUMIF('2020'!B:B,B2535,'2020'!C:C)+SUMIF('2021'!B:B,B2535,'2021'!C:C)+SUMIF('2022'!B:B,B2535,'2022'!C:C)</f>
        <v>130000</v>
      </c>
      <c r="O2535" s="219">
        <v>44925</v>
      </c>
      <c r="P2535" s="48" t="s">
        <v>3728</v>
      </c>
    </row>
    <row r="2536" spans="1:16" x14ac:dyDescent="0.3">
      <c r="A2536" s="59">
        <f t="shared" si="191"/>
        <v>2301</v>
      </c>
      <c r="B2536" s="66" t="s">
        <v>2636</v>
      </c>
      <c r="C2536" s="184">
        <v>1978</v>
      </c>
      <c r="D2536" s="51"/>
      <c r="E2536" s="52" t="s">
        <v>3729</v>
      </c>
      <c r="F2536" s="47">
        <v>5</v>
      </c>
      <c r="G2536" s="51"/>
      <c r="H2536" s="52">
        <v>5504</v>
      </c>
      <c r="I2536" s="47">
        <v>90</v>
      </c>
      <c r="J2536" s="19">
        <f t="shared" si="188"/>
        <v>130000</v>
      </c>
      <c r="K2536" s="51"/>
      <c r="L2536" s="50"/>
      <c r="M2536" s="51"/>
      <c r="N2536" s="19">
        <f>SUMIF('2020'!B:B,B2536,'2020'!C:C)+SUMIF('2021'!B:B,B2536,'2021'!C:C)+SUMIF('2022'!B:B,B2536,'2022'!C:C)</f>
        <v>130000</v>
      </c>
      <c r="O2536" s="219">
        <v>44925</v>
      </c>
      <c r="P2536" s="48" t="s">
        <v>3728</v>
      </c>
    </row>
    <row r="2537" spans="1:16" x14ac:dyDescent="0.3">
      <c r="A2537" s="59">
        <f t="shared" si="191"/>
        <v>2302</v>
      </c>
      <c r="B2537" s="66" t="s">
        <v>2637</v>
      </c>
      <c r="C2537" s="184">
        <v>1973</v>
      </c>
      <c r="D2537" s="51"/>
      <c r="E2537" s="52" t="s">
        <v>3729</v>
      </c>
      <c r="F2537" s="47">
        <v>5</v>
      </c>
      <c r="G2537" s="51"/>
      <c r="H2537" s="52">
        <v>4892.3</v>
      </c>
      <c r="I2537" s="47">
        <v>90</v>
      </c>
      <c r="J2537" s="19">
        <f t="shared" si="188"/>
        <v>130000</v>
      </c>
      <c r="K2537" s="51"/>
      <c r="L2537" s="50"/>
      <c r="M2537" s="51"/>
      <c r="N2537" s="19">
        <f>SUMIF('2020'!B:B,B2537,'2020'!C:C)+SUMIF('2021'!B:B,B2537,'2021'!C:C)+SUMIF('2022'!B:B,B2537,'2022'!C:C)</f>
        <v>130000</v>
      </c>
      <c r="O2537" s="219">
        <v>44925</v>
      </c>
      <c r="P2537" s="48" t="s">
        <v>3728</v>
      </c>
    </row>
    <row r="2538" spans="1:16" x14ac:dyDescent="0.3">
      <c r="A2538" s="59">
        <f t="shared" si="191"/>
        <v>2303</v>
      </c>
      <c r="B2538" s="66" t="s">
        <v>2638</v>
      </c>
      <c r="C2538" s="184">
        <v>1965</v>
      </c>
      <c r="D2538" s="51"/>
      <c r="E2538" s="52" t="s">
        <v>3729</v>
      </c>
      <c r="F2538" s="47">
        <v>5</v>
      </c>
      <c r="G2538" s="50"/>
      <c r="H2538" s="48">
        <v>681.5</v>
      </c>
      <c r="I2538" s="47"/>
      <c r="J2538" s="19">
        <f t="shared" si="188"/>
        <v>14114861.91</v>
      </c>
      <c r="K2538" s="51"/>
      <c r="L2538" s="50"/>
      <c r="M2538" s="233"/>
      <c r="N2538" s="19">
        <f>SUMIF('2020'!B:B,B2538,'2020'!C:C)+SUMIF('2021'!B:B,B2538,'2021'!C:C)+SUMIF('2022'!B:B,B2538,'2022'!C:C)</f>
        <v>14114861.91</v>
      </c>
      <c r="O2538" s="219">
        <v>44925</v>
      </c>
      <c r="P2538" s="48" t="s">
        <v>3728</v>
      </c>
    </row>
    <row r="2539" spans="1:16" x14ac:dyDescent="0.3">
      <c r="A2539" s="59">
        <f t="shared" si="191"/>
        <v>2304</v>
      </c>
      <c r="B2539" s="66" t="s">
        <v>2639</v>
      </c>
      <c r="C2539" s="184">
        <v>1978</v>
      </c>
      <c r="D2539" s="51"/>
      <c r="E2539" s="52" t="s">
        <v>3729</v>
      </c>
      <c r="F2539" s="47">
        <v>5</v>
      </c>
      <c r="G2539" s="51"/>
      <c r="H2539" s="52">
        <v>4172</v>
      </c>
      <c r="I2539" s="47">
        <v>80</v>
      </c>
      <c r="J2539" s="19">
        <f t="shared" si="188"/>
        <v>130000</v>
      </c>
      <c r="K2539" s="51"/>
      <c r="L2539" s="50"/>
      <c r="M2539" s="51"/>
      <c r="N2539" s="19">
        <f>SUMIF('2020'!B:B,B2539,'2020'!C:C)+SUMIF('2021'!B:B,B2539,'2021'!C:C)+SUMIF('2022'!B:B,B2539,'2022'!C:C)</f>
        <v>130000</v>
      </c>
      <c r="O2539" s="219">
        <v>44925</v>
      </c>
      <c r="P2539" s="48" t="s">
        <v>3728</v>
      </c>
    </row>
    <row r="2540" spans="1:16" x14ac:dyDescent="0.3">
      <c r="A2540" s="59">
        <f t="shared" si="191"/>
        <v>2305</v>
      </c>
      <c r="B2540" s="66" t="s">
        <v>2640</v>
      </c>
      <c r="C2540" s="184">
        <v>1976</v>
      </c>
      <c r="D2540" s="51"/>
      <c r="E2540" s="52"/>
      <c r="F2540" s="52"/>
      <c r="G2540" s="51"/>
      <c r="H2540" s="52"/>
      <c r="I2540" s="47"/>
      <c r="J2540" s="19">
        <f t="shared" si="188"/>
        <v>130000</v>
      </c>
      <c r="K2540" s="51"/>
      <c r="L2540" s="50"/>
      <c r="M2540" s="51"/>
      <c r="N2540" s="19">
        <f>SUMIF('2020'!B:B,B2540,'2020'!C:C)+SUMIF('2021'!B:B,B2540,'2021'!C:C)+SUMIF('2022'!B:B,B2540,'2022'!C:C)</f>
        <v>130000</v>
      </c>
      <c r="O2540" s="219">
        <v>44925</v>
      </c>
      <c r="P2540" s="48" t="s">
        <v>3728</v>
      </c>
    </row>
    <row r="2541" spans="1:16" x14ac:dyDescent="0.3">
      <c r="A2541" s="59">
        <f t="shared" si="191"/>
        <v>2306</v>
      </c>
      <c r="B2541" s="66" t="s">
        <v>2641</v>
      </c>
      <c r="C2541" s="184">
        <v>1974</v>
      </c>
      <c r="D2541" s="51"/>
      <c r="E2541" s="52"/>
      <c r="F2541" s="52"/>
      <c r="G2541" s="51"/>
      <c r="H2541" s="52"/>
      <c r="I2541" s="47"/>
      <c r="J2541" s="19">
        <f t="shared" si="188"/>
        <v>130000</v>
      </c>
      <c r="K2541" s="51"/>
      <c r="L2541" s="50"/>
      <c r="M2541" s="51"/>
      <c r="N2541" s="19">
        <f>SUMIF('2020'!B:B,B2541,'2020'!C:C)+SUMIF('2021'!B:B,B2541,'2021'!C:C)+SUMIF('2022'!B:B,B2541,'2022'!C:C)</f>
        <v>130000</v>
      </c>
      <c r="O2541" s="219">
        <v>44925</v>
      </c>
      <c r="P2541" s="48" t="s">
        <v>3728</v>
      </c>
    </row>
    <row r="2542" spans="1:16" x14ac:dyDescent="0.3">
      <c r="A2542" s="59">
        <f t="shared" si="191"/>
        <v>2307</v>
      </c>
      <c r="B2542" s="66" t="s">
        <v>2642</v>
      </c>
      <c r="C2542" s="184">
        <v>1973</v>
      </c>
      <c r="D2542" s="51"/>
      <c r="E2542" s="52"/>
      <c r="F2542" s="52"/>
      <c r="G2542" s="51"/>
      <c r="H2542" s="52"/>
      <c r="I2542" s="47"/>
      <c r="J2542" s="19">
        <f t="shared" si="188"/>
        <v>130000</v>
      </c>
      <c r="K2542" s="51"/>
      <c r="L2542" s="50"/>
      <c r="M2542" s="51"/>
      <c r="N2542" s="19">
        <f>SUMIF('2020'!B:B,B2542,'2020'!C:C)+SUMIF('2021'!B:B,B2542,'2021'!C:C)+SUMIF('2022'!B:B,B2542,'2022'!C:C)</f>
        <v>130000</v>
      </c>
      <c r="O2542" s="219">
        <v>44925</v>
      </c>
      <c r="P2542" s="48" t="s">
        <v>3728</v>
      </c>
    </row>
    <row r="2543" spans="1:16" x14ac:dyDescent="0.3">
      <c r="A2543" s="474" t="s">
        <v>211</v>
      </c>
      <c r="B2543" s="475"/>
      <c r="C2543" s="50"/>
      <c r="D2543" s="50"/>
      <c r="E2543" s="48"/>
      <c r="F2543" s="48"/>
      <c r="G2543" s="50"/>
      <c r="H2543" s="48">
        <f>SUM(H2527:H2542)</f>
        <v>65006.9</v>
      </c>
      <c r="I2543" s="47">
        <f>SUM(I2527:K2542)</f>
        <v>16066050.91</v>
      </c>
      <c r="J2543" s="19">
        <f t="shared" si="188"/>
        <v>16064861.91</v>
      </c>
      <c r="K2543" s="48">
        <f>SUM(K2527:M2542)</f>
        <v>0</v>
      </c>
      <c r="L2543" s="48">
        <f>M2543-'2020'!B554-'2021'!B1984-'2022'!B830</f>
        <v>0</v>
      </c>
      <c r="M2543" s="48">
        <f>N2543-'2020'!C554-'2021'!C1984-'2022'!C830</f>
        <v>0</v>
      </c>
      <c r="N2543" s="48">
        <f>SUM(N2527:N2542)</f>
        <v>16064861.91</v>
      </c>
      <c r="O2543" s="50"/>
      <c r="P2543" s="50"/>
    </row>
    <row r="2544" spans="1:16" x14ac:dyDescent="0.3">
      <c r="A2544" s="472" t="s">
        <v>2643</v>
      </c>
      <c r="B2544" s="473"/>
      <c r="C2544" s="50"/>
      <c r="D2544" s="51"/>
      <c r="E2544" s="52"/>
      <c r="F2544" s="52"/>
      <c r="G2544" s="51"/>
      <c r="H2544" s="52"/>
      <c r="I2544" s="52"/>
      <c r="J2544" s="19"/>
      <c r="K2544" s="51"/>
      <c r="L2544" s="50"/>
      <c r="M2544" s="51"/>
      <c r="N2544" s="51"/>
      <c r="O2544" s="228"/>
      <c r="P2544" s="50"/>
    </row>
    <row r="2545" spans="1:16" x14ac:dyDescent="0.3">
      <c r="A2545" s="59">
        <f>A2542+1</f>
        <v>2308</v>
      </c>
      <c r="B2545" s="66" t="s">
        <v>2644</v>
      </c>
      <c r="C2545" s="184">
        <v>1980</v>
      </c>
      <c r="D2545" s="51"/>
      <c r="E2545" s="52" t="s">
        <v>3729</v>
      </c>
      <c r="F2545" s="47">
        <v>5</v>
      </c>
      <c r="G2545" s="51"/>
      <c r="H2545" s="52">
        <v>4829</v>
      </c>
      <c r="I2545" s="47">
        <v>233</v>
      </c>
      <c r="J2545" s="19">
        <f t="shared" si="188"/>
        <v>8536503.5999999996</v>
      </c>
      <c r="K2545" s="51"/>
      <c r="L2545" s="50"/>
      <c r="M2545" s="51"/>
      <c r="N2545" s="19">
        <f>SUMIF('2020'!B:B,B2545,'2020'!C:C)+SUMIF('2021'!B:B,B2545,'2021'!C:C)+SUMIF('2022'!B:B,B2545,'2022'!C:C)</f>
        <v>8536503.5999999996</v>
      </c>
      <c r="O2545" s="219">
        <v>44925</v>
      </c>
      <c r="P2545" s="48" t="s">
        <v>3728</v>
      </c>
    </row>
    <row r="2546" spans="1:16" x14ac:dyDescent="0.3">
      <c r="A2546" s="59">
        <f>A2545+1</f>
        <v>2309</v>
      </c>
      <c r="B2546" s="66" t="s">
        <v>2645</v>
      </c>
      <c r="C2546" s="184">
        <v>1961</v>
      </c>
      <c r="D2546" s="51"/>
      <c r="E2546" s="52" t="s">
        <v>3733</v>
      </c>
      <c r="F2546" s="47">
        <v>2</v>
      </c>
      <c r="G2546" s="51"/>
      <c r="H2546" s="52">
        <v>488</v>
      </c>
      <c r="I2546" s="47">
        <v>40</v>
      </c>
      <c r="J2546" s="19">
        <f t="shared" si="188"/>
        <v>736478.34000000008</v>
      </c>
      <c r="K2546" s="51"/>
      <c r="L2546" s="50"/>
      <c r="M2546" s="51"/>
      <c r="N2546" s="19">
        <f>SUMIF('2020'!B:B,B2546,'2020'!C:C)+SUMIF('2021'!B:B,B2546,'2021'!C:C)+SUMIF('2022'!B:B,B2546,'2022'!C:C)</f>
        <v>736478.34000000008</v>
      </c>
      <c r="O2546" s="219">
        <v>44925</v>
      </c>
      <c r="P2546" s="48" t="s">
        <v>3728</v>
      </c>
    </row>
    <row r="2547" spans="1:16" x14ac:dyDescent="0.3">
      <c r="A2547" s="59">
        <f>A2546+1</f>
        <v>2310</v>
      </c>
      <c r="B2547" s="66" t="s">
        <v>2646</v>
      </c>
      <c r="C2547" s="184">
        <v>1984</v>
      </c>
      <c r="D2547" s="51"/>
      <c r="E2547" s="52" t="s">
        <v>3729</v>
      </c>
      <c r="F2547" s="47">
        <v>5</v>
      </c>
      <c r="G2547" s="51"/>
      <c r="H2547" s="52">
        <v>4898.2</v>
      </c>
      <c r="I2547" s="47">
        <v>228</v>
      </c>
      <c r="J2547" s="19">
        <f t="shared" si="188"/>
        <v>8536503.5999999996</v>
      </c>
      <c r="K2547" s="51"/>
      <c r="L2547" s="50"/>
      <c r="M2547" s="51"/>
      <c r="N2547" s="19">
        <f>SUMIF('2020'!B:B,B2547,'2020'!C:C)+SUMIF('2021'!B:B,B2547,'2021'!C:C)+SUMIF('2022'!B:B,B2547,'2022'!C:C)</f>
        <v>8536503.5999999996</v>
      </c>
      <c r="O2547" s="219">
        <v>44925</v>
      </c>
      <c r="P2547" s="48" t="s">
        <v>3728</v>
      </c>
    </row>
    <row r="2548" spans="1:16" x14ac:dyDescent="0.3">
      <c r="A2548" s="59">
        <f>A2547+1</f>
        <v>2311</v>
      </c>
      <c r="B2548" s="66" t="s">
        <v>2647</v>
      </c>
      <c r="C2548" s="184">
        <v>1964</v>
      </c>
      <c r="D2548" s="51"/>
      <c r="E2548" s="52" t="s">
        <v>3733</v>
      </c>
      <c r="F2548" s="47">
        <v>2</v>
      </c>
      <c r="G2548" s="51"/>
      <c r="H2548" s="52">
        <v>541.29</v>
      </c>
      <c r="I2548" s="47">
        <v>26</v>
      </c>
      <c r="J2548" s="19">
        <f t="shared" si="188"/>
        <v>6540166.7999999998</v>
      </c>
      <c r="K2548" s="51"/>
      <c r="L2548" s="50"/>
      <c r="M2548" s="51"/>
      <c r="N2548" s="19">
        <f>SUMIF('2020'!B:B,B2548,'2020'!C:C)+SUMIF('2021'!B:B,B2548,'2021'!C:C)+SUMIF('2022'!B:B,B2548,'2022'!C:C)</f>
        <v>6540166.7999999998</v>
      </c>
      <c r="O2548" s="219">
        <v>44925</v>
      </c>
      <c r="P2548" s="48" t="s">
        <v>3728</v>
      </c>
    </row>
    <row r="2549" spans="1:16" x14ac:dyDescent="0.3">
      <c r="A2549" s="59">
        <f>A2548+1</f>
        <v>2312</v>
      </c>
      <c r="B2549" s="66" t="s">
        <v>2648</v>
      </c>
      <c r="C2549" s="184">
        <v>1970</v>
      </c>
      <c r="D2549" s="51"/>
      <c r="E2549" s="52" t="s">
        <v>3733</v>
      </c>
      <c r="F2549" s="47">
        <v>2</v>
      </c>
      <c r="G2549" s="51"/>
      <c r="H2549" s="52">
        <v>547.76</v>
      </c>
      <c r="I2549" s="47">
        <v>38</v>
      </c>
      <c r="J2549" s="19">
        <f t="shared" si="188"/>
        <v>6540166.7999999998</v>
      </c>
      <c r="K2549" s="51"/>
      <c r="L2549" s="50"/>
      <c r="M2549" s="51"/>
      <c r="N2549" s="19">
        <f>SUMIF('2020'!B:B,B2549,'2020'!C:C)+SUMIF('2021'!B:B,B2549,'2021'!C:C)+SUMIF('2022'!B:B,B2549,'2022'!C:C)</f>
        <v>6540166.7999999998</v>
      </c>
      <c r="O2549" s="219">
        <v>44925</v>
      </c>
      <c r="P2549" s="48" t="s">
        <v>3728</v>
      </c>
    </row>
    <row r="2550" spans="1:16" x14ac:dyDescent="0.3">
      <c r="A2550" s="474" t="s">
        <v>211</v>
      </c>
      <c r="B2550" s="475"/>
      <c r="C2550" s="50"/>
      <c r="D2550" s="50"/>
      <c r="E2550" s="48"/>
      <c r="F2550" s="48"/>
      <c r="G2550" s="50"/>
      <c r="H2550" s="48">
        <f>SUM(H2545:H2549)</f>
        <v>11304.250000000002</v>
      </c>
      <c r="I2550" s="50">
        <f t="shared" ref="I2550:M2550" si="192">SUM(I2545:I2549)</f>
        <v>565</v>
      </c>
      <c r="J2550" s="50">
        <f t="shared" si="192"/>
        <v>30889819.140000001</v>
      </c>
      <c r="K2550" s="50">
        <f t="shared" si="192"/>
        <v>0</v>
      </c>
      <c r="L2550" s="50">
        <f t="shared" si="192"/>
        <v>0</v>
      </c>
      <c r="M2550" s="50">
        <f t="shared" si="192"/>
        <v>0</v>
      </c>
      <c r="N2550" s="50">
        <f>SUM(N2545:N2549)</f>
        <v>30889819.140000001</v>
      </c>
      <c r="O2550" s="50"/>
      <c r="P2550" s="50"/>
    </row>
    <row r="2551" spans="1:16" x14ac:dyDescent="0.3">
      <c r="A2551" s="472" t="s">
        <v>2649</v>
      </c>
      <c r="B2551" s="473"/>
      <c r="C2551" s="50"/>
      <c r="D2551" s="51"/>
      <c r="E2551" s="52"/>
      <c r="F2551" s="52"/>
      <c r="G2551" s="51"/>
      <c r="H2551" s="52"/>
      <c r="I2551" s="52"/>
      <c r="J2551" s="19"/>
      <c r="K2551" s="51"/>
      <c r="L2551" s="50"/>
      <c r="M2551" s="51"/>
      <c r="N2551" s="51"/>
      <c r="O2551" s="228"/>
      <c r="P2551" s="50"/>
    </row>
    <row r="2552" spans="1:16" x14ac:dyDescent="0.3">
      <c r="A2552" s="59">
        <f>A2549+1</f>
        <v>2313</v>
      </c>
      <c r="B2552" s="66" t="s">
        <v>2650</v>
      </c>
      <c r="C2552" s="184">
        <v>1969</v>
      </c>
      <c r="D2552" s="51"/>
      <c r="E2552" s="48"/>
      <c r="F2552" s="47">
        <v>2</v>
      </c>
      <c r="G2552" s="51"/>
      <c r="H2552" s="52">
        <v>563.29999999999995</v>
      </c>
      <c r="I2552" s="47">
        <v>2</v>
      </c>
      <c r="J2552" s="19">
        <f t="shared" si="188"/>
        <v>18240051.57</v>
      </c>
      <c r="K2552" s="51"/>
      <c r="L2552" s="50"/>
      <c r="M2552" s="51"/>
      <c r="N2552" s="19">
        <f>SUMIF('2020'!B:B,B2552,'2020'!C:C)+SUMIF('2021'!B:B,B2552,'2021'!C:C)+SUMIF('2022'!B:B,B2552,'2022'!C:C)</f>
        <v>18240051.57</v>
      </c>
      <c r="O2552" s="219">
        <v>44925</v>
      </c>
      <c r="P2552" s="48" t="s">
        <v>3728</v>
      </c>
    </row>
    <row r="2553" spans="1:16" x14ac:dyDescent="0.3">
      <c r="A2553" s="474" t="s">
        <v>211</v>
      </c>
      <c r="B2553" s="475"/>
      <c r="C2553" s="50"/>
      <c r="D2553" s="50"/>
      <c r="E2553" s="48"/>
      <c r="F2553" s="48"/>
      <c r="G2553" s="50"/>
      <c r="H2553" s="48">
        <f>SUM(H2552)</f>
        <v>563.29999999999995</v>
      </c>
      <c r="I2553" s="47">
        <f>SUM(I2552)</f>
        <v>2</v>
      </c>
      <c r="J2553" s="19">
        <f t="shared" si="188"/>
        <v>18240051.57</v>
      </c>
      <c r="K2553" s="50">
        <v>0</v>
      </c>
      <c r="L2553" s="50">
        <v>0</v>
      </c>
      <c r="M2553" s="50">
        <v>0</v>
      </c>
      <c r="N2553" s="50">
        <f>SUM(N2552)</f>
        <v>18240051.57</v>
      </c>
      <c r="O2553" s="50"/>
      <c r="P2553" s="50"/>
    </row>
    <row r="2554" spans="1:16" x14ac:dyDescent="0.3">
      <c r="A2554" s="472" t="s">
        <v>2651</v>
      </c>
      <c r="B2554" s="473"/>
      <c r="C2554" s="50"/>
      <c r="D2554" s="51"/>
      <c r="E2554" s="52"/>
      <c r="F2554" s="52"/>
      <c r="G2554" s="51"/>
      <c r="H2554" s="52"/>
      <c r="I2554" s="52"/>
      <c r="J2554" s="19"/>
      <c r="K2554" s="51"/>
      <c r="L2554" s="50"/>
      <c r="M2554" s="51"/>
      <c r="N2554" s="51"/>
      <c r="O2554" s="228"/>
      <c r="P2554" s="50"/>
    </row>
    <row r="2555" spans="1:16" x14ac:dyDescent="0.3">
      <c r="A2555" s="59">
        <f>A2552+1</f>
        <v>2314</v>
      </c>
      <c r="B2555" s="66" t="s">
        <v>2652</v>
      </c>
      <c r="C2555" s="184">
        <v>1970</v>
      </c>
      <c r="D2555" s="51"/>
      <c r="E2555" s="52" t="s">
        <v>3733</v>
      </c>
      <c r="F2555" s="47">
        <v>5</v>
      </c>
      <c r="G2555" s="51"/>
      <c r="H2555" s="52">
        <v>3142.9</v>
      </c>
      <c r="I2555" s="47">
        <v>163</v>
      </c>
      <c r="J2555" s="19">
        <f t="shared" si="188"/>
        <v>1155458.7</v>
      </c>
      <c r="K2555" s="51"/>
      <c r="L2555" s="50"/>
      <c r="M2555" s="51"/>
      <c r="N2555" s="19">
        <f>SUMIF('2020'!B:B,B2555,'2020'!C:C)+SUMIF('2021'!B:B,B2555,'2021'!C:C)+SUMIF('2022'!B:B,B2555,'2022'!C:C)</f>
        <v>1155458.7</v>
      </c>
      <c r="O2555" s="219">
        <v>44925</v>
      </c>
      <c r="P2555" s="48" t="s">
        <v>3728</v>
      </c>
    </row>
    <row r="2556" spans="1:16" x14ac:dyDescent="0.3">
      <c r="A2556" s="59">
        <f t="shared" ref="A2556:A2565" si="193">A2555+1</f>
        <v>2315</v>
      </c>
      <c r="B2556" s="66" t="s">
        <v>2653</v>
      </c>
      <c r="C2556" s="184">
        <v>1969</v>
      </c>
      <c r="D2556" s="51"/>
      <c r="E2556" s="52" t="s">
        <v>3733</v>
      </c>
      <c r="F2556" s="47">
        <v>5</v>
      </c>
      <c r="G2556" s="51"/>
      <c r="H2556" s="52">
        <v>4224.3</v>
      </c>
      <c r="I2556" s="47">
        <v>215</v>
      </c>
      <c r="J2556" s="19">
        <f t="shared" si="188"/>
        <v>1347404.27</v>
      </c>
      <c r="K2556" s="51"/>
      <c r="L2556" s="50"/>
      <c r="M2556" s="51"/>
      <c r="N2556" s="19">
        <f>SUMIF('2020'!B:B,B2556,'2020'!C:C)+SUMIF('2021'!B:B,B2556,'2021'!C:C)+SUMIF('2022'!B:B,B2556,'2022'!C:C)</f>
        <v>1347404.27</v>
      </c>
      <c r="O2556" s="219">
        <v>44925</v>
      </c>
      <c r="P2556" s="48" t="s">
        <v>3728</v>
      </c>
    </row>
    <row r="2557" spans="1:16" x14ac:dyDescent="0.3">
      <c r="A2557" s="59">
        <f t="shared" si="193"/>
        <v>2316</v>
      </c>
      <c r="B2557" s="66" t="s">
        <v>2654</v>
      </c>
      <c r="C2557" s="184">
        <v>1971</v>
      </c>
      <c r="D2557" s="51"/>
      <c r="E2557" s="52" t="s">
        <v>3733</v>
      </c>
      <c r="F2557" s="47">
        <v>5</v>
      </c>
      <c r="G2557" s="51"/>
      <c r="H2557" s="52">
        <v>3102.6</v>
      </c>
      <c r="I2557" s="47">
        <v>158</v>
      </c>
      <c r="J2557" s="19">
        <f t="shared" ref="J2557:J2620" si="194">K2557+L2557+M2557+N2557</f>
        <v>1371712.24</v>
      </c>
      <c r="K2557" s="51"/>
      <c r="L2557" s="51"/>
      <c r="M2557" s="51"/>
      <c r="N2557" s="19">
        <f>SUMIF('2020'!B:B,B2557,'2020'!C:C)+SUMIF('2021'!B:B,B2557,'2021'!C:C)+SUMIF('2022'!B:B,B2557,'2022'!C:C)</f>
        <v>1371712.24</v>
      </c>
      <c r="O2557" s="219">
        <v>44925</v>
      </c>
      <c r="P2557" s="48" t="s">
        <v>3728</v>
      </c>
    </row>
    <row r="2558" spans="1:16" x14ac:dyDescent="0.3">
      <c r="A2558" s="59">
        <f t="shared" si="193"/>
        <v>2317</v>
      </c>
      <c r="B2558" s="66" t="s">
        <v>2655</v>
      </c>
      <c r="C2558" s="184">
        <v>1972</v>
      </c>
      <c r="D2558" s="51"/>
      <c r="E2558" s="52" t="s">
        <v>3733</v>
      </c>
      <c r="F2558" s="47">
        <v>5</v>
      </c>
      <c r="G2558" s="51"/>
      <c r="H2558" s="52">
        <v>4460</v>
      </c>
      <c r="I2558" s="47">
        <v>178</v>
      </c>
      <c r="J2558" s="19">
        <f t="shared" si="194"/>
        <v>1367654.85</v>
      </c>
      <c r="K2558" s="51"/>
      <c r="L2558" s="50"/>
      <c r="M2558" s="51"/>
      <c r="N2558" s="19">
        <f>SUMIF('2020'!B:B,B2558,'2020'!C:C)+SUMIF('2021'!B:B,B2558,'2021'!C:C)+SUMIF('2022'!B:B,B2558,'2022'!C:C)</f>
        <v>1367654.85</v>
      </c>
      <c r="O2558" s="219">
        <v>44925</v>
      </c>
      <c r="P2558" s="48" t="s">
        <v>3728</v>
      </c>
    </row>
    <row r="2559" spans="1:16" x14ac:dyDescent="0.3">
      <c r="A2559" s="59">
        <f t="shared" si="193"/>
        <v>2318</v>
      </c>
      <c r="B2559" s="66" t="s">
        <v>2656</v>
      </c>
      <c r="C2559" s="184">
        <v>1977</v>
      </c>
      <c r="D2559" s="51"/>
      <c r="E2559" s="52" t="s">
        <v>3733</v>
      </c>
      <c r="F2559" s="47">
        <v>5</v>
      </c>
      <c r="G2559" s="51"/>
      <c r="H2559" s="52">
        <v>3465</v>
      </c>
      <c r="I2559" s="47">
        <v>165</v>
      </c>
      <c r="J2559" s="19">
        <f t="shared" si="194"/>
        <v>1302877.1000000001</v>
      </c>
      <c r="K2559" s="51"/>
      <c r="L2559" s="50"/>
      <c r="M2559" s="51"/>
      <c r="N2559" s="19">
        <f>SUMIF('2020'!B:B,B2559,'2020'!C:C)+SUMIF('2021'!B:B,B2559,'2021'!C:C)+SUMIF('2022'!B:B,B2559,'2022'!C:C)</f>
        <v>1302877.1000000001</v>
      </c>
      <c r="O2559" s="219">
        <v>44925</v>
      </c>
      <c r="P2559" s="48" t="s">
        <v>3728</v>
      </c>
    </row>
    <row r="2560" spans="1:16" x14ac:dyDescent="0.3">
      <c r="A2560" s="59">
        <f t="shared" si="193"/>
        <v>2319</v>
      </c>
      <c r="B2560" s="66" t="s">
        <v>2657</v>
      </c>
      <c r="C2560" s="184">
        <v>1965</v>
      </c>
      <c r="D2560" s="51"/>
      <c r="E2560" s="52" t="s">
        <v>3733</v>
      </c>
      <c r="F2560" s="47">
        <v>2</v>
      </c>
      <c r="G2560" s="51"/>
      <c r="H2560" s="52">
        <v>649.5</v>
      </c>
      <c r="I2560" s="47">
        <v>21</v>
      </c>
      <c r="J2560" s="19">
        <f t="shared" si="194"/>
        <v>866481.48</v>
      </c>
      <c r="K2560" s="51"/>
      <c r="L2560" s="51"/>
      <c r="M2560" s="51"/>
      <c r="N2560" s="19">
        <f>SUMIF('2020'!B:B,B2560,'2020'!C:C)+SUMIF('2021'!B:B,B2560,'2021'!C:C)+SUMIF('2022'!B:B,B2560,'2022'!C:C)</f>
        <v>866481.48</v>
      </c>
      <c r="O2560" s="219">
        <v>44925</v>
      </c>
      <c r="P2560" s="48" t="s">
        <v>3728</v>
      </c>
    </row>
    <row r="2561" spans="1:16" x14ac:dyDescent="0.3">
      <c r="A2561" s="59">
        <f t="shared" si="193"/>
        <v>2320</v>
      </c>
      <c r="B2561" s="66" t="s">
        <v>2658</v>
      </c>
      <c r="C2561" s="184">
        <v>1961</v>
      </c>
      <c r="D2561" s="51"/>
      <c r="E2561" s="52" t="s">
        <v>3733</v>
      </c>
      <c r="F2561" s="47">
        <v>2</v>
      </c>
      <c r="G2561" s="51"/>
      <c r="H2561" s="52">
        <v>670.9</v>
      </c>
      <c r="I2561" s="47">
        <v>11</v>
      </c>
      <c r="J2561" s="19">
        <f t="shared" si="194"/>
        <v>1149804.3899999999</v>
      </c>
      <c r="K2561" s="51"/>
      <c r="L2561" s="51"/>
      <c r="M2561" s="51"/>
      <c r="N2561" s="19">
        <f>SUMIF('2020'!B:B,B2561,'2020'!C:C)+SUMIF('2021'!B:B,B2561,'2021'!C:C)+SUMIF('2022'!B:B,B2561,'2022'!C:C)</f>
        <v>1149804.3899999999</v>
      </c>
      <c r="O2561" s="219">
        <v>44925</v>
      </c>
      <c r="P2561" s="48" t="s">
        <v>3728</v>
      </c>
    </row>
    <row r="2562" spans="1:16" x14ac:dyDescent="0.3">
      <c r="A2562" s="59">
        <f t="shared" si="193"/>
        <v>2321</v>
      </c>
      <c r="B2562" s="66" t="s">
        <v>2659</v>
      </c>
      <c r="C2562" s="184">
        <v>1963</v>
      </c>
      <c r="D2562" s="51"/>
      <c r="E2562" s="52" t="s">
        <v>3733</v>
      </c>
      <c r="F2562" s="47">
        <v>2</v>
      </c>
      <c r="G2562" s="51"/>
      <c r="H2562" s="52">
        <v>409.7</v>
      </c>
      <c r="I2562" s="47">
        <v>18</v>
      </c>
      <c r="J2562" s="19">
        <f t="shared" si="194"/>
        <v>1087284.9099999999</v>
      </c>
      <c r="K2562" s="51"/>
      <c r="L2562" s="51"/>
      <c r="M2562" s="51"/>
      <c r="N2562" s="19">
        <f>SUMIF('2020'!B:B,B2562,'2020'!C:C)+SUMIF('2021'!B:B,B2562,'2021'!C:C)+SUMIF('2022'!B:B,B2562,'2022'!C:C)</f>
        <v>1087284.9099999999</v>
      </c>
      <c r="O2562" s="219">
        <v>44925</v>
      </c>
      <c r="P2562" s="48" t="s">
        <v>3728</v>
      </c>
    </row>
    <row r="2563" spans="1:16" x14ac:dyDescent="0.3">
      <c r="A2563" s="59">
        <f t="shared" si="193"/>
        <v>2322</v>
      </c>
      <c r="B2563" s="66" t="s">
        <v>2660</v>
      </c>
      <c r="C2563" s="184">
        <v>1954</v>
      </c>
      <c r="D2563" s="51"/>
      <c r="E2563" s="52" t="s">
        <v>3733</v>
      </c>
      <c r="F2563" s="47">
        <v>2</v>
      </c>
      <c r="G2563" s="51"/>
      <c r="H2563" s="52">
        <v>418</v>
      </c>
      <c r="I2563" s="47">
        <v>17</v>
      </c>
      <c r="J2563" s="19">
        <f t="shared" si="194"/>
        <v>1101360.05</v>
      </c>
      <c r="K2563" s="51"/>
      <c r="L2563" s="51"/>
      <c r="M2563" s="51"/>
      <c r="N2563" s="19">
        <f>SUMIF('2020'!B:B,B2563,'2020'!C:C)+SUMIF('2021'!B:B,B2563,'2021'!C:C)+SUMIF('2022'!B:B,B2563,'2022'!C:C)</f>
        <v>1101360.05</v>
      </c>
      <c r="O2563" s="219">
        <v>44925</v>
      </c>
      <c r="P2563" s="48" t="s">
        <v>3728</v>
      </c>
    </row>
    <row r="2564" spans="1:16" x14ac:dyDescent="0.3">
      <c r="A2564" s="59">
        <f t="shared" si="193"/>
        <v>2323</v>
      </c>
      <c r="B2564" s="66" t="s">
        <v>2661</v>
      </c>
      <c r="C2564" s="184">
        <v>1955</v>
      </c>
      <c r="D2564" s="51"/>
      <c r="E2564" s="52" t="s">
        <v>3733</v>
      </c>
      <c r="F2564" s="47">
        <v>2</v>
      </c>
      <c r="G2564" s="51"/>
      <c r="H2564" s="52">
        <v>427.8</v>
      </c>
      <c r="I2564" s="47">
        <v>28</v>
      </c>
      <c r="J2564" s="19">
        <f t="shared" si="194"/>
        <v>1121978.49</v>
      </c>
      <c r="K2564" s="51"/>
      <c r="L2564" s="51"/>
      <c r="M2564" s="51"/>
      <c r="N2564" s="19">
        <f>SUMIF('2020'!B:B,B2564,'2020'!C:C)+SUMIF('2021'!B:B,B2564,'2021'!C:C)+SUMIF('2022'!B:B,B2564,'2022'!C:C)</f>
        <v>1121978.49</v>
      </c>
      <c r="O2564" s="219">
        <v>44925</v>
      </c>
      <c r="P2564" s="48" t="s">
        <v>3728</v>
      </c>
    </row>
    <row r="2565" spans="1:16" x14ac:dyDescent="0.3">
      <c r="A2565" s="59">
        <f t="shared" si="193"/>
        <v>2324</v>
      </c>
      <c r="B2565" s="66" t="s">
        <v>2662</v>
      </c>
      <c r="C2565" s="184">
        <v>1965</v>
      </c>
      <c r="D2565" s="51"/>
      <c r="E2565" s="52" t="s">
        <v>3733</v>
      </c>
      <c r="F2565" s="47">
        <v>2</v>
      </c>
      <c r="G2565" s="51"/>
      <c r="H2565" s="52">
        <v>661.7</v>
      </c>
      <c r="I2565" s="47">
        <v>19</v>
      </c>
      <c r="J2565" s="19">
        <f t="shared" si="194"/>
        <v>877940.19</v>
      </c>
      <c r="K2565" s="51"/>
      <c r="L2565" s="51"/>
      <c r="M2565" s="51"/>
      <c r="N2565" s="19">
        <f>SUMIF('2020'!B:B,B2565,'2020'!C:C)+SUMIF('2021'!B:B,B2565,'2021'!C:C)+SUMIF('2022'!B:B,B2565,'2022'!C:C)</f>
        <v>877940.19</v>
      </c>
      <c r="O2565" s="219">
        <v>44925</v>
      </c>
      <c r="P2565" s="48" t="s">
        <v>3728</v>
      </c>
    </row>
    <row r="2566" spans="1:16" x14ac:dyDescent="0.3">
      <c r="A2566" s="474" t="s">
        <v>211</v>
      </c>
      <c r="B2566" s="475"/>
      <c r="C2566" s="50"/>
      <c r="D2566" s="50"/>
      <c r="E2566" s="48"/>
      <c r="F2566" s="48"/>
      <c r="G2566" s="50"/>
      <c r="H2566" s="48">
        <f>SUM(H2555:H2565)</f>
        <v>21632.400000000005</v>
      </c>
      <c r="I2566" s="47">
        <f t="shared" ref="I2566:N2566" si="195">SUM(I2555:I2565)</f>
        <v>993</v>
      </c>
      <c r="J2566" s="19">
        <f t="shared" si="194"/>
        <v>12749956.670000002</v>
      </c>
      <c r="K2566" s="48">
        <f t="shared" si="195"/>
        <v>0</v>
      </c>
      <c r="L2566" s="48">
        <f t="shared" si="195"/>
        <v>0</v>
      </c>
      <c r="M2566" s="48">
        <v>0</v>
      </c>
      <c r="N2566" s="48">
        <f t="shared" si="195"/>
        <v>12749956.670000002</v>
      </c>
      <c r="O2566" s="50"/>
      <c r="P2566" s="50"/>
    </row>
    <row r="2567" spans="1:16" x14ac:dyDescent="0.3">
      <c r="A2567" s="472" t="s">
        <v>2663</v>
      </c>
      <c r="B2567" s="473"/>
      <c r="C2567" s="50"/>
      <c r="D2567" s="51"/>
      <c r="E2567" s="52"/>
      <c r="F2567" s="52"/>
      <c r="G2567" s="51"/>
      <c r="H2567" s="52"/>
      <c r="I2567" s="52"/>
      <c r="J2567" s="19"/>
      <c r="K2567" s="51"/>
      <c r="L2567" s="50"/>
      <c r="M2567" s="51"/>
      <c r="N2567" s="51"/>
      <c r="O2567" s="228"/>
      <c r="P2567" s="50"/>
    </row>
    <row r="2568" spans="1:16" x14ac:dyDescent="0.3">
      <c r="A2568" s="59">
        <f>A2565+1</f>
        <v>2325</v>
      </c>
      <c r="B2568" s="66" t="s">
        <v>2664</v>
      </c>
      <c r="C2568" s="184">
        <v>1937</v>
      </c>
      <c r="D2568" s="51"/>
      <c r="E2568" s="52"/>
      <c r="F2568" s="52"/>
      <c r="G2568" s="51"/>
      <c r="H2568" s="52"/>
      <c r="I2568" s="52"/>
      <c r="J2568" s="19">
        <f t="shared" si="194"/>
        <v>130000</v>
      </c>
      <c r="K2568" s="51"/>
      <c r="L2568" s="51"/>
      <c r="M2568" s="51"/>
      <c r="N2568" s="19">
        <f>SUMIF('2020'!B:B,B2568,'2020'!C:C)+SUMIF('2021'!B:B,B2568,'2021'!C:C)+SUMIF('2022'!B:B,B2568,'2022'!C:C)</f>
        <v>130000</v>
      </c>
      <c r="O2568" s="219">
        <v>44925</v>
      </c>
      <c r="P2568" s="48" t="s">
        <v>3728</v>
      </c>
    </row>
    <row r="2569" spans="1:16" x14ac:dyDescent="0.3">
      <c r="A2569" s="59">
        <f t="shared" ref="A2569:A2575" si="196">A2568+1</f>
        <v>2326</v>
      </c>
      <c r="B2569" s="66" t="s">
        <v>2665</v>
      </c>
      <c r="C2569" s="184">
        <v>1938</v>
      </c>
      <c r="D2569" s="51"/>
      <c r="E2569" s="52"/>
      <c r="F2569" s="52"/>
      <c r="G2569" s="51"/>
      <c r="H2569" s="52"/>
      <c r="I2569" s="52"/>
      <c r="J2569" s="19">
        <f t="shared" si="194"/>
        <v>130000</v>
      </c>
      <c r="K2569" s="51"/>
      <c r="L2569" s="51"/>
      <c r="M2569" s="51"/>
      <c r="N2569" s="19">
        <f>SUMIF('2020'!B:B,B2569,'2020'!C:C)+SUMIF('2021'!B:B,B2569,'2021'!C:C)+SUMIF('2022'!B:B,B2569,'2022'!C:C)</f>
        <v>130000</v>
      </c>
      <c r="O2569" s="219">
        <v>44925</v>
      </c>
      <c r="P2569" s="48" t="s">
        <v>3728</v>
      </c>
    </row>
    <row r="2570" spans="1:16" x14ac:dyDescent="0.3">
      <c r="A2570" s="59">
        <f t="shared" si="196"/>
        <v>2327</v>
      </c>
      <c r="B2570" s="66" t="s">
        <v>2666</v>
      </c>
      <c r="C2570" s="184">
        <v>1967</v>
      </c>
      <c r="D2570" s="51"/>
      <c r="E2570" s="52"/>
      <c r="F2570" s="52"/>
      <c r="G2570" s="51"/>
      <c r="H2570" s="52"/>
      <c r="I2570" s="52"/>
      <c r="J2570" s="19">
        <f t="shared" si="194"/>
        <v>130000</v>
      </c>
      <c r="K2570" s="51"/>
      <c r="L2570" s="50"/>
      <c r="M2570" s="51"/>
      <c r="N2570" s="19">
        <f>SUMIF('2020'!B:B,B2570,'2020'!C:C)+SUMIF('2021'!B:B,B2570,'2021'!C:C)+SUMIF('2022'!B:B,B2570,'2022'!C:C)</f>
        <v>130000</v>
      </c>
      <c r="O2570" s="219">
        <v>44925</v>
      </c>
      <c r="P2570" s="48" t="s">
        <v>3728</v>
      </c>
    </row>
    <row r="2571" spans="1:16" x14ac:dyDescent="0.3">
      <c r="A2571" s="59">
        <f t="shared" si="196"/>
        <v>2328</v>
      </c>
      <c r="B2571" s="66" t="s">
        <v>2667</v>
      </c>
      <c r="C2571" s="184">
        <v>1962</v>
      </c>
      <c r="D2571" s="51"/>
      <c r="E2571" s="52"/>
      <c r="F2571" s="47">
        <v>3</v>
      </c>
      <c r="G2571" s="51"/>
      <c r="H2571" s="52">
        <v>964.2</v>
      </c>
      <c r="I2571" s="47">
        <v>41</v>
      </c>
      <c r="J2571" s="19">
        <f t="shared" si="194"/>
        <v>14129489.289999999</v>
      </c>
      <c r="K2571" s="51"/>
      <c r="L2571" s="50"/>
      <c r="M2571" s="51"/>
      <c r="N2571" s="19">
        <f>SUMIF('2020'!B:B,B2571,'2020'!C:C)+SUMIF('2021'!B:B,B2571,'2021'!C:C)+SUMIF('2022'!B:B,B2571,'2022'!C:C)</f>
        <v>14129489.289999999</v>
      </c>
      <c r="O2571" s="219">
        <v>44925</v>
      </c>
      <c r="P2571" s="48" t="s">
        <v>3728</v>
      </c>
    </row>
    <row r="2572" spans="1:16" x14ac:dyDescent="0.3">
      <c r="A2572" s="59">
        <f t="shared" si="196"/>
        <v>2329</v>
      </c>
      <c r="B2572" s="66" t="s">
        <v>2668</v>
      </c>
      <c r="C2572" s="184">
        <v>1982</v>
      </c>
      <c r="D2572" s="51"/>
      <c r="E2572" s="52"/>
      <c r="F2572" s="47">
        <v>5</v>
      </c>
      <c r="G2572" s="50"/>
      <c r="H2572" s="48">
        <v>3417.3</v>
      </c>
      <c r="I2572" s="47">
        <v>153</v>
      </c>
      <c r="J2572" s="19">
        <f t="shared" si="194"/>
        <v>39878316.530000001</v>
      </c>
      <c r="K2572" s="51"/>
      <c r="L2572" s="50"/>
      <c r="M2572" s="51"/>
      <c r="N2572" s="19">
        <f>SUMIF('2020'!B:B,B2572,'2020'!C:C)+SUMIF('2021'!B:B,B2572,'2021'!C:C)+SUMIF('2022'!B:B,B2572,'2022'!C:C)</f>
        <v>39878316.530000001</v>
      </c>
      <c r="O2572" s="219">
        <v>44925</v>
      </c>
      <c r="P2572" s="48" t="s">
        <v>3728</v>
      </c>
    </row>
    <row r="2573" spans="1:16" x14ac:dyDescent="0.3">
      <c r="A2573" s="59">
        <f t="shared" si="196"/>
        <v>2330</v>
      </c>
      <c r="B2573" s="66" t="s">
        <v>2669</v>
      </c>
      <c r="C2573" s="184">
        <v>1984</v>
      </c>
      <c r="D2573" s="51"/>
      <c r="E2573" s="52"/>
      <c r="F2573" s="47">
        <v>5</v>
      </c>
      <c r="G2573" s="50"/>
      <c r="H2573" s="48">
        <v>3498.7</v>
      </c>
      <c r="I2573" s="47">
        <v>167</v>
      </c>
      <c r="J2573" s="19">
        <f t="shared" si="194"/>
        <v>48804034.930000007</v>
      </c>
      <c r="K2573" s="51"/>
      <c r="L2573" s="50"/>
      <c r="M2573" s="51"/>
      <c r="N2573" s="19">
        <f>SUMIF('2020'!B:B,B2573,'2020'!C:C)+SUMIF('2021'!B:B,B2573,'2021'!C:C)+SUMIF('2022'!B:B,B2573,'2022'!C:C)</f>
        <v>48804034.930000007</v>
      </c>
      <c r="O2573" s="219">
        <v>44925</v>
      </c>
      <c r="P2573" s="48" t="s">
        <v>3728</v>
      </c>
    </row>
    <row r="2574" spans="1:16" x14ac:dyDescent="0.3">
      <c r="A2574" s="59">
        <f t="shared" si="196"/>
        <v>2331</v>
      </c>
      <c r="B2574" s="66" t="s">
        <v>2670</v>
      </c>
      <c r="C2574" s="184">
        <v>1988</v>
      </c>
      <c r="D2574" s="51"/>
      <c r="E2574" s="52"/>
      <c r="F2574" s="47">
        <v>5</v>
      </c>
      <c r="G2574" s="50"/>
      <c r="H2574" s="48">
        <v>3502.6</v>
      </c>
      <c r="I2574" s="47">
        <v>155</v>
      </c>
      <c r="J2574" s="19">
        <f t="shared" si="194"/>
        <v>48804034.930000007</v>
      </c>
      <c r="K2574" s="51"/>
      <c r="L2574" s="50"/>
      <c r="M2574" s="51"/>
      <c r="N2574" s="19">
        <f>SUMIF('2020'!B:B,B2574,'2020'!C:C)+SUMIF('2021'!B:B,B2574,'2021'!C:C)+SUMIF('2022'!B:B,B2574,'2022'!C:C)</f>
        <v>48804034.930000007</v>
      </c>
      <c r="O2574" s="219">
        <v>44925</v>
      </c>
      <c r="P2574" s="48" t="s">
        <v>3728</v>
      </c>
    </row>
    <row r="2575" spans="1:16" x14ac:dyDescent="0.3">
      <c r="A2575" s="59">
        <f t="shared" si="196"/>
        <v>2332</v>
      </c>
      <c r="B2575" s="66" t="s">
        <v>2671</v>
      </c>
      <c r="C2575" s="184">
        <v>1938</v>
      </c>
      <c r="D2575" s="51"/>
      <c r="E2575" s="52"/>
      <c r="F2575" s="52"/>
      <c r="G2575" s="51"/>
      <c r="H2575" s="52"/>
      <c r="I2575" s="52"/>
      <c r="J2575" s="19">
        <f t="shared" si="194"/>
        <v>130000</v>
      </c>
      <c r="K2575" s="51"/>
      <c r="L2575" s="51"/>
      <c r="M2575" s="51"/>
      <c r="N2575" s="19">
        <f>SUMIF('2020'!B:B,B2575,'2020'!C:C)+SUMIF('2021'!B:B,B2575,'2021'!C:C)+SUMIF('2022'!B:B,B2575,'2022'!C:C)</f>
        <v>130000</v>
      </c>
      <c r="O2575" s="219">
        <v>44925</v>
      </c>
      <c r="P2575" s="48" t="s">
        <v>3728</v>
      </c>
    </row>
    <row r="2576" spans="1:16" x14ac:dyDescent="0.3">
      <c r="A2576" s="474" t="s">
        <v>211</v>
      </c>
      <c r="B2576" s="475"/>
      <c r="C2576" s="50"/>
      <c r="D2576" s="50"/>
      <c r="E2576" s="48"/>
      <c r="F2576" s="48"/>
      <c r="G2576" s="50"/>
      <c r="H2576" s="48">
        <f t="shared" ref="H2576:M2576" si="197">SUM(H2568:H2575)</f>
        <v>11382.8</v>
      </c>
      <c r="I2576" s="48">
        <f t="shared" si="197"/>
        <v>516</v>
      </c>
      <c r="J2576" s="48">
        <f t="shared" si="197"/>
        <v>152135875.68000001</v>
      </c>
      <c r="K2576" s="48">
        <f t="shared" si="197"/>
        <v>0</v>
      </c>
      <c r="L2576" s="48">
        <f t="shared" si="197"/>
        <v>0</v>
      </c>
      <c r="M2576" s="48">
        <f t="shared" si="197"/>
        <v>0</v>
      </c>
      <c r="N2576" s="48">
        <f>SUM(N2568:N2575)</f>
        <v>152135875.68000001</v>
      </c>
      <c r="O2576" s="50"/>
      <c r="P2576" s="50"/>
    </row>
    <row r="2577" spans="1:16" x14ac:dyDescent="0.3">
      <c r="A2577" s="472" t="s">
        <v>2672</v>
      </c>
      <c r="B2577" s="473"/>
      <c r="C2577" s="50"/>
      <c r="D2577" s="51"/>
      <c r="E2577" s="52"/>
      <c r="F2577" s="52"/>
      <c r="G2577" s="51"/>
      <c r="H2577" s="52"/>
      <c r="I2577" s="52"/>
      <c r="J2577" s="19"/>
      <c r="K2577" s="51"/>
      <c r="L2577" s="50"/>
      <c r="M2577" s="51"/>
      <c r="N2577" s="51"/>
      <c r="O2577" s="228"/>
      <c r="P2577" s="50"/>
    </row>
    <row r="2578" spans="1:16" x14ac:dyDescent="0.3">
      <c r="A2578" s="59">
        <f>A2575+1</f>
        <v>2333</v>
      </c>
      <c r="B2578" s="66" t="s">
        <v>2673</v>
      </c>
      <c r="C2578" s="184">
        <v>1983</v>
      </c>
      <c r="D2578" s="51"/>
      <c r="E2578" s="52" t="s">
        <v>3733</v>
      </c>
      <c r="F2578" s="47">
        <v>2</v>
      </c>
      <c r="G2578" s="51"/>
      <c r="H2578" s="52">
        <v>901</v>
      </c>
      <c r="I2578" s="47">
        <v>55</v>
      </c>
      <c r="J2578" s="19">
        <f t="shared" si="194"/>
        <v>123945.74</v>
      </c>
      <c r="K2578" s="51"/>
      <c r="L2578" s="50"/>
      <c r="M2578" s="51"/>
      <c r="N2578" s="19">
        <f>SUMIF('2020'!B:B,B2578,'2020'!C:C)+SUMIF('2021'!B:B,B2578,'2021'!C:C)+SUMIF('2022'!B:B,B2578,'2022'!C:C)</f>
        <v>123945.74</v>
      </c>
      <c r="O2578" s="219">
        <v>44925</v>
      </c>
      <c r="P2578" s="48" t="s">
        <v>3728</v>
      </c>
    </row>
    <row r="2579" spans="1:16" x14ac:dyDescent="0.3">
      <c r="A2579" s="59">
        <f t="shared" ref="A2579:A2584" si="198">A2578+1</f>
        <v>2334</v>
      </c>
      <c r="B2579" s="66" t="s">
        <v>3835</v>
      </c>
      <c r="C2579" s="184"/>
      <c r="D2579" s="51"/>
      <c r="E2579" s="52"/>
      <c r="F2579" s="47"/>
      <c r="G2579" s="51"/>
      <c r="H2579" s="52"/>
      <c r="I2579" s="47"/>
      <c r="J2579" s="19">
        <f t="shared" si="194"/>
        <v>235222</v>
      </c>
      <c r="K2579" s="51"/>
      <c r="L2579" s="50"/>
      <c r="M2579" s="51"/>
      <c r="N2579" s="19">
        <f>SUMIF('2020'!B:B,B2579,'2020'!C:C)+SUMIF('2021'!B:B,B2579,'2021'!C:C)+SUMIF('2022'!B:B,B2579,'2022'!C:C)</f>
        <v>235222</v>
      </c>
      <c r="O2579" s="219"/>
      <c r="P2579" s="48"/>
    </row>
    <row r="2580" spans="1:16" x14ac:dyDescent="0.3">
      <c r="A2580" s="59">
        <f t="shared" si="198"/>
        <v>2335</v>
      </c>
      <c r="B2580" s="66" t="s">
        <v>2674</v>
      </c>
      <c r="C2580" s="184">
        <v>1972</v>
      </c>
      <c r="D2580" s="51"/>
      <c r="E2580" s="52" t="s">
        <v>3733</v>
      </c>
      <c r="F2580" s="47">
        <v>2</v>
      </c>
      <c r="G2580" s="51"/>
      <c r="H2580" s="52">
        <v>750.7</v>
      </c>
      <c r="I2580" s="47">
        <v>30</v>
      </c>
      <c r="J2580" s="19">
        <f t="shared" si="194"/>
        <v>119578.8</v>
      </c>
      <c r="K2580" s="51"/>
      <c r="L2580" s="50"/>
      <c r="M2580" s="51"/>
      <c r="N2580" s="19">
        <f>SUMIF('2020'!B:B,B2580,'2020'!C:C)+SUMIF('2021'!B:B,B2580,'2021'!C:C)+SUMIF('2022'!B:B,B2580,'2022'!C:C)</f>
        <v>119578.8</v>
      </c>
      <c r="O2580" s="219">
        <v>44925</v>
      </c>
      <c r="P2580" s="48" t="s">
        <v>3728</v>
      </c>
    </row>
    <row r="2581" spans="1:16" x14ac:dyDescent="0.3">
      <c r="A2581" s="59">
        <f t="shared" si="198"/>
        <v>2336</v>
      </c>
      <c r="B2581" s="66" t="s">
        <v>2675</v>
      </c>
      <c r="C2581" s="184">
        <v>1973</v>
      </c>
      <c r="D2581" s="51"/>
      <c r="E2581" s="52" t="s">
        <v>4107</v>
      </c>
      <c r="F2581" s="47">
        <v>3</v>
      </c>
      <c r="G2581" s="51"/>
      <c r="H2581" s="52">
        <v>1458</v>
      </c>
      <c r="I2581" s="47">
        <v>79</v>
      </c>
      <c r="J2581" s="19">
        <f t="shared" si="194"/>
        <v>333710.20999999996</v>
      </c>
      <c r="K2581" s="51"/>
      <c r="L2581" s="51"/>
      <c r="M2581" s="51"/>
      <c r="N2581" s="19">
        <f>SUMIF('2020'!B:B,B2581,'2020'!C:C)+SUMIF('2021'!B:B,B2581,'2021'!C:C)+SUMIF('2022'!B:B,B2581,'2022'!C:C)</f>
        <v>333710.20999999996</v>
      </c>
      <c r="O2581" s="219">
        <v>44925</v>
      </c>
      <c r="P2581" s="48" t="s">
        <v>3728</v>
      </c>
    </row>
    <row r="2582" spans="1:16" x14ac:dyDescent="0.3">
      <c r="A2582" s="59">
        <f t="shared" si="198"/>
        <v>2337</v>
      </c>
      <c r="B2582" s="66" t="s">
        <v>2676</v>
      </c>
      <c r="C2582" s="184">
        <v>1987</v>
      </c>
      <c r="D2582" s="51"/>
      <c r="E2582" s="52" t="s">
        <v>3733</v>
      </c>
      <c r="F2582" s="47">
        <v>2</v>
      </c>
      <c r="G2582" s="51"/>
      <c r="H2582" s="52">
        <v>633.6</v>
      </c>
      <c r="I2582" s="47">
        <v>25</v>
      </c>
      <c r="J2582" s="19">
        <f t="shared" si="194"/>
        <v>1018388.98</v>
      </c>
      <c r="K2582" s="51"/>
      <c r="L2582" s="50"/>
      <c r="M2582" s="51"/>
      <c r="N2582" s="19">
        <f>SUMIF('2020'!B:B,B2582,'2020'!C:C)+SUMIF('2021'!B:B,B2582,'2021'!C:C)+SUMIF('2022'!B:B,B2582,'2022'!C:C)</f>
        <v>1018388.98</v>
      </c>
      <c r="O2582" s="219">
        <v>44925</v>
      </c>
      <c r="P2582" s="48" t="s">
        <v>3728</v>
      </c>
    </row>
    <row r="2583" spans="1:16" x14ac:dyDescent="0.3">
      <c r="A2583" s="59">
        <f t="shared" si="198"/>
        <v>2338</v>
      </c>
      <c r="B2583" s="66" t="s">
        <v>2677</v>
      </c>
      <c r="C2583" s="184">
        <v>1964</v>
      </c>
      <c r="D2583" s="51"/>
      <c r="E2583" s="52" t="s">
        <v>3733</v>
      </c>
      <c r="F2583" s="47">
        <v>2</v>
      </c>
      <c r="G2583" s="51"/>
      <c r="H2583" s="52">
        <v>508.1</v>
      </c>
      <c r="I2583" s="47">
        <v>36</v>
      </c>
      <c r="J2583" s="19">
        <f t="shared" si="194"/>
        <v>91685.58</v>
      </c>
      <c r="K2583" s="51"/>
      <c r="L2583" s="50"/>
      <c r="M2583" s="51"/>
      <c r="N2583" s="19">
        <f>SUMIF('2020'!B:B,B2583,'2020'!C:C)+SUMIF('2021'!B:B,B2583,'2021'!C:C)+SUMIF('2022'!B:B,B2583,'2022'!C:C)</f>
        <v>91685.58</v>
      </c>
      <c r="O2583" s="219">
        <v>44925</v>
      </c>
      <c r="P2583" s="48" t="s">
        <v>3728</v>
      </c>
    </row>
    <row r="2584" spans="1:16" x14ac:dyDescent="0.3">
      <c r="A2584" s="59">
        <f t="shared" si="198"/>
        <v>2339</v>
      </c>
      <c r="B2584" s="66" t="s">
        <v>2678</v>
      </c>
      <c r="C2584" s="184">
        <v>1968</v>
      </c>
      <c r="D2584" s="51"/>
      <c r="E2584" s="52" t="s">
        <v>3733</v>
      </c>
      <c r="F2584" s="47">
        <v>2</v>
      </c>
      <c r="G2584" s="51"/>
      <c r="H2584" s="52">
        <v>643.20000000000005</v>
      </c>
      <c r="I2584" s="47">
        <v>32</v>
      </c>
      <c r="J2584" s="19">
        <f t="shared" si="194"/>
        <v>109932.97</v>
      </c>
      <c r="K2584" s="51"/>
      <c r="L2584" s="50"/>
      <c r="M2584" s="51"/>
      <c r="N2584" s="19">
        <f>SUMIF('2020'!B:B,B2584,'2020'!C:C)+SUMIF('2021'!B:B,B2584,'2021'!C:C)+SUMIF('2022'!B:B,B2584,'2022'!C:C)</f>
        <v>109932.97</v>
      </c>
      <c r="O2584" s="219">
        <v>44925</v>
      </c>
      <c r="P2584" s="48" t="s">
        <v>3728</v>
      </c>
    </row>
    <row r="2585" spans="1:16" x14ac:dyDescent="0.3">
      <c r="A2585" s="59">
        <f t="shared" ref="A2585:A2590" si="199">A2584+1</f>
        <v>2340</v>
      </c>
      <c r="B2585" s="66" t="s">
        <v>2679</v>
      </c>
      <c r="C2585" s="184">
        <v>1965</v>
      </c>
      <c r="D2585" s="51"/>
      <c r="E2585" s="52" t="s">
        <v>3733</v>
      </c>
      <c r="F2585" s="47">
        <v>2</v>
      </c>
      <c r="G2585" s="51"/>
      <c r="H2585" s="52">
        <v>622.6</v>
      </c>
      <c r="I2585" s="47">
        <v>30</v>
      </c>
      <c r="J2585" s="19">
        <f t="shared" si="194"/>
        <v>107083.18</v>
      </c>
      <c r="K2585" s="51"/>
      <c r="L2585" s="50"/>
      <c r="M2585" s="51"/>
      <c r="N2585" s="19">
        <f>SUMIF('2020'!B:B,B2585,'2020'!C:C)+SUMIF('2021'!B:B,B2585,'2021'!C:C)+SUMIF('2022'!B:B,B2585,'2022'!C:C)</f>
        <v>107083.18</v>
      </c>
      <c r="O2585" s="219">
        <v>44925</v>
      </c>
      <c r="P2585" s="48" t="s">
        <v>3728</v>
      </c>
    </row>
    <row r="2586" spans="1:16" x14ac:dyDescent="0.3">
      <c r="A2586" s="59">
        <f t="shared" si="199"/>
        <v>2341</v>
      </c>
      <c r="B2586" s="66" t="s">
        <v>2680</v>
      </c>
      <c r="C2586" s="184">
        <v>1964</v>
      </c>
      <c r="D2586" s="51"/>
      <c r="E2586" s="52" t="s">
        <v>3729</v>
      </c>
      <c r="F2586" s="47">
        <v>5</v>
      </c>
      <c r="G2586" s="51"/>
      <c r="H2586" s="52">
        <v>3695</v>
      </c>
      <c r="I2586" s="47">
        <v>186</v>
      </c>
      <c r="J2586" s="19">
        <f t="shared" si="194"/>
        <v>376209.98</v>
      </c>
      <c r="K2586" s="51"/>
      <c r="L2586" s="51"/>
      <c r="M2586" s="51"/>
      <c r="N2586" s="19">
        <f>SUMIF('2020'!B:B,B2586,'2020'!C:C)+SUMIF('2021'!B:B,B2586,'2021'!C:C)+SUMIF('2022'!B:B,B2586,'2022'!C:C)</f>
        <v>376209.98</v>
      </c>
      <c r="O2586" s="219">
        <v>44925</v>
      </c>
      <c r="P2586" s="48" t="s">
        <v>3728</v>
      </c>
    </row>
    <row r="2587" spans="1:16" x14ac:dyDescent="0.3">
      <c r="A2587" s="59">
        <f t="shared" si="199"/>
        <v>2342</v>
      </c>
      <c r="B2587" s="66" t="s">
        <v>2681</v>
      </c>
      <c r="C2587" s="184">
        <v>1981</v>
      </c>
      <c r="D2587" s="51"/>
      <c r="E2587" s="52" t="s">
        <v>4107</v>
      </c>
      <c r="F2587" s="47">
        <v>5</v>
      </c>
      <c r="G2587" s="51"/>
      <c r="H2587" s="52">
        <v>3609.1</v>
      </c>
      <c r="I2587" s="47">
        <v>187</v>
      </c>
      <c r="J2587" s="19">
        <f t="shared" si="194"/>
        <v>204609.5</v>
      </c>
      <c r="K2587" s="51"/>
      <c r="L2587" s="50"/>
      <c r="M2587" s="51"/>
      <c r="N2587" s="19">
        <f>SUMIF('2020'!B:B,B2587,'2020'!C:C)+SUMIF('2021'!B:B,B2587,'2021'!C:C)+SUMIF('2022'!B:B,B2587,'2022'!C:C)</f>
        <v>204609.5</v>
      </c>
      <c r="O2587" s="219">
        <v>44925</v>
      </c>
      <c r="P2587" s="48" t="s">
        <v>3728</v>
      </c>
    </row>
    <row r="2588" spans="1:16" x14ac:dyDescent="0.3">
      <c r="A2588" s="59">
        <f t="shared" si="199"/>
        <v>2343</v>
      </c>
      <c r="B2588" s="66" t="s">
        <v>2682</v>
      </c>
      <c r="C2588" s="184">
        <v>1970</v>
      </c>
      <c r="D2588" s="51"/>
      <c r="E2588" s="52" t="s">
        <v>4107</v>
      </c>
      <c r="F2588" s="47">
        <v>5</v>
      </c>
      <c r="G2588" s="51"/>
      <c r="H2588" s="52">
        <v>3586.2</v>
      </c>
      <c r="I2588" s="47">
        <v>174</v>
      </c>
      <c r="J2588" s="19">
        <f t="shared" si="194"/>
        <v>204609.5</v>
      </c>
      <c r="K2588" s="51"/>
      <c r="L2588" s="50"/>
      <c r="M2588" s="51"/>
      <c r="N2588" s="19">
        <f>SUMIF('2020'!B:B,B2588,'2020'!C:C)+SUMIF('2021'!B:B,B2588,'2021'!C:C)+SUMIF('2022'!B:B,B2588,'2022'!C:C)</f>
        <v>204609.5</v>
      </c>
      <c r="O2588" s="219">
        <v>44925</v>
      </c>
      <c r="P2588" s="48" t="s">
        <v>3728</v>
      </c>
    </row>
    <row r="2589" spans="1:16" x14ac:dyDescent="0.3">
      <c r="A2589" s="59">
        <f t="shared" si="199"/>
        <v>2344</v>
      </c>
      <c r="B2589" s="66" t="s">
        <v>2683</v>
      </c>
      <c r="C2589" s="184">
        <v>1971</v>
      </c>
      <c r="D2589" s="51"/>
      <c r="E2589" s="52" t="s">
        <v>4107</v>
      </c>
      <c r="F2589" s="47">
        <v>5</v>
      </c>
      <c r="G2589" s="51"/>
      <c r="H2589" s="52">
        <v>3524.2</v>
      </c>
      <c r="I2589" s="47">
        <v>164</v>
      </c>
      <c r="J2589" s="19">
        <f t="shared" si="194"/>
        <v>201542.47</v>
      </c>
      <c r="K2589" s="51"/>
      <c r="L2589" s="50"/>
      <c r="M2589" s="51"/>
      <c r="N2589" s="19">
        <f>SUMIF('2020'!B:B,B2589,'2020'!C:C)+SUMIF('2021'!B:B,B2589,'2021'!C:C)+SUMIF('2022'!B:B,B2589,'2022'!C:C)</f>
        <v>201542.47</v>
      </c>
      <c r="O2589" s="219">
        <v>44925</v>
      </c>
      <c r="P2589" s="48" t="s">
        <v>3728</v>
      </c>
    </row>
    <row r="2590" spans="1:16" x14ac:dyDescent="0.3">
      <c r="A2590" s="59">
        <f t="shared" si="199"/>
        <v>2345</v>
      </c>
      <c r="B2590" s="66" t="s">
        <v>2684</v>
      </c>
      <c r="C2590" s="184">
        <v>1969</v>
      </c>
      <c r="D2590" s="51"/>
      <c r="E2590" s="52" t="s">
        <v>4116</v>
      </c>
      <c r="F2590" s="47">
        <v>5</v>
      </c>
      <c r="G2590" s="51"/>
      <c r="H2590" s="52">
        <v>4403</v>
      </c>
      <c r="I2590" s="47">
        <v>249</v>
      </c>
      <c r="J2590" s="19">
        <f t="shared" si="194"/>
        <v>33410154.32</v>
      </c>
      <c r="K2590" s="51"/>
      <c r="L2590" s="50"/>
      <c r="M2590" s="51"/>
      <c r="N2590" s="19">
        <f>SUMIF('2020'!B:B,B2590,'2020'!C:C)+SUMIF('2021'!B:B,B2590,'2021'!C:C)+SUMIF('2022'!B:B,B2590,'2022'!C:C)</f>
        <v>33410154.32</v>
      </c>
      <c r="O2590" s="219">
        <v>44925</v>
      </c>
      <c r="P2590" s="48" t="s">
        <v>3728</v>
      </c>
    </row>
    <row r="2591" spans="1:16" x14ac:dyDescent="0.3">
      <c r="A2591" s="474" t="s">
        <v>211</v>
      </c>
      <c r="B2591" s="475"/>
      <c r="C2591" s="50"/>
      <c r="D2591" s="50"/>
      <c r="E2591" s="48"/>
      <c r="F2591" s="48"/>
      <c r="G2591" s="50"/>
      <c r="H2591" s="48">
        <f>SUM(H2578:H2590)</f>
        <v>24334.7</v>
      </c>
      <c r="I2591" s="47">
        <f>SUM(I2578:I2590)</f>
        <v>1247</v>
      </c>
      <c r="J2591" s="19">
        <f t="shared" si="194"/>
        <v>36536673.230000004</v>
      </c>
      <c r="K2591" s="50">
        <v>0</v>
      </c>
      <c r="L2591" s="50">
        <v>0</v>
      </c>
      <c r="M2591" s="50">
        <f>N2591-'2020'!C570-'2021'!C2004-'2022'!C867</f>
        <v>0</v>
      </c>
      <c r="N2591" s="50">
        <f>SUM(N2578:N2590)</f>
        <v>36536673.230000004</v>
      </c>
      <c r="O2591" s="50"/>
      <c r="P2591" s="50"/>
    </row>
    <row r="2592" spans="1:16" x14ac:dyDescent="0.3">
      <c r="A2592" s="472" t="s">
        <v>2685</v>
      </c>
      <c r="B2592" s="473"/>
      <c r="C2592" s="50"/>
      <c r="D2592" s="51"/>
      <c r="E2592" s="52"/>
      <c r="F2592" s="52"/>
      <c r="G2592" s="51"/>
      <c r="H2592" s="52"/>
      <c r="I2592" s="52"/>
      <c r="J2592" s="19"/>
      <c r="K2592" s="51"/>
      <c r="L2592" s="50"/>
      <c r="M2592" s="51"/>
      <c r="N2592" s="51"/>
      <c r="O2592" s="228"/>
      <c r="P2592" s="50"/>
    </row>
    <row r="2593" spans="1:16" x14ac:dyDescent="0.3">
      <c r="A2593" s="59">
        <f>A2590+1</f>
        <v>2346</v>
      </c>
      <c r="B2593" s="66" t="s">
        <v>2686</v>
      </c>
      <c r="C2593" s="184">
        <v>1974</v>
      </c>
      <c r="D2593" s="51"/>
      <c r="E2593" s="52"/>
      <c r="F2593" s="47">
        <v>5</v>
      </c>
      <c r="G2593" s="51"/>
      <c r="H2593" s="52">
        <v>5805.1</v>
      </c>
      <c r="I2593" s="47">
        <v>324</v>
      </c>
      <c r="J2593" s="19">
        <f t="shared" si="194"/>
        <v>10667647.279999999</v>
      </c>
      <c r="K2593" s="51"/>
      <c r="L2593" s="50"/>
      <c r="M2593" s="51"/>
      <c r="N2593" s="19">
        <f>SUMIF('2020'!B:B,B2593,'2020'!C:C)+SUMIF('2021'!B:B,B2593,'2021'!C:C)+SUMIF('2022'!B:B,B2593,'2022'!C:C)</f>
        <v>10667647.279999999</v>
      </c>
      <c r="O2593" s="219">
        <v>44925</v>
      </c>
      <c r="P2593" s="48" t="s">
        <v>3728</v>
      </c>
    </row>
    <row r="2594" spans="1:16" x14ac:dyDescent="0.3">
      <c r="A2594" s="59">
        <f>A2593+1</f>
        <v>2347</v>
      </c>
      <c r="B2594" s="66" t="s">
        <v>2687</v>
      </c>
      <c r="C2594" s="184">
        <v>1981</v>
      </c>
      <c r="D2594" s="51"/>
      <c r="E2594" s="52"/>
      <c r="F2594" s="47">
        <v>5</v>
      </c>
      <c r="G2594" s="51"/>
      <c r="H2594" s="52">
        <v>6472</v>
      </c>
      <c r="I2594" s="47">
        <v>365</v>
      </c>
      <c r="J2594" s="19">
        <f t="shared" si="194"/>
        <v>21934347.82</v>
      </c>
      <c r="K2594" s="51"/>
      <c r="L2594" s="50"/>
      <c r="M2594" s="51"/>
      <c r="N2594" s="19">
        <f>SUMIF('2020'!B:B,B2594,'2020'!C:C)+SUMIF('2021'!B:B,B2594,'2021'!C:C)+SUMIF('2022'!B:B,B2594,'2022'!C:C)</f>
        <v>21934347.82</v>
      </c>
      <c r="O2594" s="219">
        <v>44925</v>
      </c>
      <c r="P2594" s="48" t="s">
        <v>3728</v>
      </c>
    </row>
    <row r="2595" spans="1:16" x14ac:dyDescent="0.3">
      <c r="A2595" s="474" t="s">
        <v>211</v>
      </c>
      <c r="B2595" s="475"/>
      <c r="C2595" s="50"/>
      <c r="D2595" s="50"/>
      <c r="E2595" s="48"/>
      <c r="F2595" s="48"/>
      <c r="G2595" s="50"/>
      <c r="H2595" s="48">
        <f>SUM(H2593:H2594)</f>
        <v>12277.1</v>
      </c>
      <c r="I2595" s="47">
        <f>SUM(I2593:I2594)</f>
        <v>689</v>
      </c>
      <c r="J2595" s="19">
        <f t="shared" si="194"/>
        <v>32601995.100000001</v>
      </c>
      <c r="K2595" s="50">
        <v>0</v>
      </c>
      <c r="L2595" s="50">
        <v>0</v>
      </c>
      <c r="M2595" s="50">
        <f>N2595-'2020'!C573-'2021'!C2007-'2022'!C870</f>
        <v>-7.5669959187507629E-10</v>
      </c>
      <c r="N2595" s="50">
        <f>SUM(N2593:N2594)</f>
        <v>32601995.100000001</v>
      </c>
      <c r="O2595" s="50"/>
      <c r="P2595" s="50"/>
    </row>
    <row r="2596" spans="1:16" x14ac:dyDescent="0.3">
      <c r="A2596" s="472" t="s">
        <v>2688</v>
      </c>
      <c r="B2596" s="473"/>
      <c r="C2596" s="50"/>
      <c r="D2596" s="51"/>
      <c r="E2596" s="52"/>
      <c r="F2596" s="52"/>
      <c r="G2596" s="51"/>
      <c r="H2596" s="52"/>
      <c r="I2596" s="52"/>
      <c r="J2596" s="19"/>
      <c r="K2596" s="51"/>
      <c r="L2596" s="50"/>
      <c r="M2596" s="51"/>
      <c r="N2596" s="51"/>
      <c r="O2596" s="228"/>
      <c r="P2596" s="50"/>
    </row>
    <row r="2597" spans="1:16" x14ac:dyDescent="0.3">
      <c r="A2597" s="59">
        <f>A2594+1</f>
        <v>2348</v>
      </c>
      <c r="B2597" s="66" t="s">
        <v>2689</v>
      </c>
      <c r="C2597" s="184">
        <v>1970</v>
      </c>
      <c r="D2597" s="51"/>
      <c r="E2597" s="52"/>
      <c r="F2597" s="47">
        <v>2</v>
      </c>
      <c r="G2597" s="51"/>
      <c r="H2597" s="52">
        <v>563.29999999999995</v>
      </c>
      <c r="I2597" s="47">
        <v>35</v>
      </c>
      <c r="J2597" s="19">
        <f t="shared" si="194"/>
        <v>98261.36</v>
      </c>
      <c r="K2597" s="51"/>
      <c r="L2597" s="50"/>
      <c r="M2597" s="51"/>
      <c r="N2597" s="19">
        <f>SUMIF('2020'!B:B,B2597,'2020'!C:C)+SUMIF('2021'!B:B,B2597,'2021'!C:C)+SUMIF('2022'!B:B,B2597,'2022'!C:C)</f>
        <v>98261.36</v>
      </c>
      <c r="O2597" s="219">
        <v>44925</v>
      </c>
      <c r="P2597" s="48" t="s">
        <v>3728</v>
      </c>
    </row>
    <row r="2598" spans="1:16" x14ac:dyDescent="0.3">
      <c r="A2598" s="59">
        <f t="shared" ref="A2598:A2603" si="200">A2597+1</f>
        <v>2349</v>
      </c>
      <c r="B2598" s="66" t="s">
        <v>2690</v>
      </c>
      <c r="C2598" s="184">
        <v>1979</v>
      </c>
      <c r="D2598" s="51"/>
      <c r="E2598" s="52"/>
      <c r="F2598" s="47">
        <v>5</v>
      </c>
      <c r="G2598" s="51"/>
      <c r="H2598" s="52">
        <v>3225.2</v>
      </c>
      <c r="I2598" s="47">
        <v>148</v>
      </c>
      <c r="J2598" s="19">
        <f t="shared" si="194"/>
        <v>305710.40000000002</v>
      </c>
      <c r="K2598" s="51"/>
      <c r="L2598" s="50"/>
      <c r="M2598" s="51"/>
      <c r="N2598" s="19">
        <f>SUMIF('2020'!B:B,B2598,'2020'!C:C)+SUMIF('2021'!B:B,B2598,'2021'!C:C)+SUMIF('2022'!B:B,B2598,'2022'!C:C)</f>
        <v>305710.40000000002</v>
      </c>
      <c r="O2598" s="219">
        <v>44925</v>
      </c>
      <c r="P2598" s="48" t="s">
        <v>3728</v>
      </c>
    </row>
    <row r="2599" spans="1:16" x14ac:dyDescent="0.3">
      <c r="A2599" s="59">
        <f t="shared" si="200"/>
        <v>2350</v>
      </c>
      <c r="B2599" s="66" t="s">
        <v>2691</v>
      </c>
      <c r="C2599" s="184">
        <v>1992</v>
      </c>
      <c r="D2599" s="51"/>
      <c r="E2599" s="52"/>
      <c r="F2599" s="47">
        <v>5</v>
      </c>
      <c r="G2599" s="51"/>
      <c r="H2599" s="52">
        <v>3592</v>
      </c>
      <c r="I2599" s="47">
        <v>157</v>
      </c>
      <c r="J2599" s="19">
        <f t="shared" si="194"/>
        <v>25546229.440000001</v>
      </c>
      <c r="K2599" s="51"/>
      <c r="L2599" s="50"/>
      <c r="M2599" s="233"/>
      <c r="N2599" s="19">
        <f>SUMIF('2020'!B:B,B2599,'2020'!C:C)+SUMIF('2021'!B:B,B2599,'2021'!C:C)+SUMIF('2022'!B:B,B2599,'2022'!C:C)</f>
        <v>25546229.440000001</v>
      </c>
      <c r="O2599" s="219">
        <v>44925</v>
      </c>
      <c r="P2599" s="48" t="s">
        <v>3728</v>
      </c>
    </row>
    <row r="2600" spans="1:16" x14ac:dyDescent="0.3">
      <c r="A2600" s="59">
        <f t="shared" si="200"/>
        <v>2351</v>
      </c>
      <c r="B2600" s="66" t="s">
        <v>2692</v>
      </c>
      <c r="C2600" s="184">
        <v>1969</v>
      </c>
      <c r="D2600" s="51"/>
      <c r="E2600" s="52"/>
      <c r="F2600" s="47">
        <v>2</v>
      </c>
      <c r="G2600" s="51"/>
      <c r="H2600" s="52">
        <v>563.6</v>
      </c>
      <c r="I2600" s="47"/>
      <c r="J2600" s="19">
        <f t="shared" si="194"/>
        <v>130000</v>
      </c>
      <c r="K2600" s="51"/>
      <c r="L2600" s="50"/>
      <c r="M2600" s="51"/>
      <c r="N2600" s="19">
        <f>SUMIF('2020'!B:B,B2600,'2020'!C:C)+SUMIF('2021'!B:B,B2600,'2021'!C:C)+SUMIF('2022'!B:B,B2600,'2022'!C:C)</f>
        <v>130000</v>
      </c>
      <c r="O2600" s="219">
        <v>44925</v>
      </c>
      <c r="P2600" s="48" t="s">
        <v>3728</v>
      </c>
    </row>
    <row r="2601" spans="1:16" x14ac:dyDescent="0.3">
      <c r="A2601" s="59">
        <f t="shared" si="200"/>
        <v>2352</v>
      </c>
      <c r="B2601" s="66" t="s">
        <v>2693</v>
      </c>
      <c r="C2601" s="184">
        <v>1974</v>
      </c>
      <c r="D2601" s="51"/>
      <c r="E2601" s="52"/>
      <c r="F2601" s="47">
        <v>2</v>
      </c>
      <c r="G2601" s="51"/>
      <c r="H2601" s="52">
        <v>347.9</v>
      </c>
      <c r="I2601" s="47">
        <v>17</v>
      </c>
      <c r="J2601" s="19">
        <f t="shared" si="194"/>
        <v>99679.63</v>
      </c>
      <c r="K2601" s="51"/>
      <c r="L2601" s="50"/>
      <c r="M2601" s="51"/>
      <c r="N2601" s="19">
        <f>SUMIF('2020'!B:B,B2601,'2020'!C:C)+SUMIF('2021'!B:B,B2601,'2021'!C:C)+SUMIF('2022'!B:B,B2601,'2022'!C:C)</f>
        <v>99679.63</v>
      </c>
      <c r="O2601" s="219">
        <v>44925</v>
      </c>
      <c r="P2601" s="48" t="s">
        <v>3728</v>
      </c>
    </row>
    <row r="2602" spans="1:16" x14ac:dyDescent="0.3">
      <c r="A2602" s="59">
        <f t="shared" si="200"/>
        <v>2353</v>
      </c>
      <c r="B2602" s="66" t="s">
        <v>2694</v>
      </c>
      <c r="C2602" s="184">
        <v>1965</v>
      </c>
      <c r="D2602" s="51"/>
      <c r="E2602" s="52"/>
      <c r="F2602" s="47">
        <v>2</v>
      </c>
      <c r="G2602" s="51"/>
      <c r="H2602" s="52">
        <v>291.10000000000002</v>
      </c>
      <c r="I2602" s="47"/>
      <c r="J2602" s="19">
        <f t="shared" si="194"/>
        <v>130000</v>
      </c>
      <c r="K2602" s="51"/>
      <c r="L2602" s="50"/>
      <c r="M2602" s="51"/>
      <c r="N2602" s="19">
        <f>SUMIF('2020'!B:B,B2602,'2020'!C:C)+SUMIF('2021'!B:B,B2602,'2021'!C:C)+SUMIF('2022'!B:B,B2602,'2022'!C:C)</f>
        <v>130000</v>
      </c>
      <c r="O2602" s="219">
        <v>44925</v>
      </c>
      <c r="P2602" s="48" t="s">
        <v>3728</v>
      </c>
    </row>
    <row r="2603" spans="1:16" x14ac:dyDescent="0.3">
      <c r="A2603" s="59">
        <f t="shared" si="200"/>
        <v>2354</v>
      </c>
      <c r="B2603" s="66" t="s">
        <v>2695</v>
      </c>
      <c r="C2603" s="184">
        <v>1967</v>
      </c>
      <c r="D2603" s="51"/>
      <c r="E2603" s="52"/>
      <c r="F2603" s="47">
        <v>2</v>
      </c>
      <c r="G2603" s="51"/>
      <c r="H2603" s="52">
        <v>670.8</v>
      </c>
      <c r="I2603" s="47"/>
      <c r="J2603" s="19">
        <f t="shared" si="194"/>
        <v>130000</v>
      </c>
      <c r="K2603" s="51"/>
      <c r="L2603" s="50"/>
      <c r="M2603" s="51"/>
      <c r="N2603" s="19">
        <f>SUMIF('2020'!B:B,B2603,'2020'!C:C)+SUMIF('2021'!B:B,B2603,'2021'!C:C)+SUMIF('2022'!B:B,B2603,'2022'!C:C)</f>
        <v>130000</v>
      </c>
      <c r="O2603" s="219">
        <v>44925</v>
      </c>
      <c r="P2603" s="48" t="s">
        <v>3728</v>
      </c>
    </row>
    <row r="2604" spans="1:16" x14ac:dyDescent="0.3">
      <c r="A2604" s="474" t="s">
        <v>211</v>
      </c>
      <c r="B2604" s="475"/>
      <c r="C2604" s="50"/>
      <c r="D2604" s="50"/>
      <c r="E2604" s="48"/>
      <c r="F2604" s="48"/>
      <c r="G2604" s="50"/>
      <c r="H2604" s="48">
        <f>SUM(H2597:H2603)</f>
        <v>9253.9</v>
      </c>
      <c r="I2604" s="47">
        <f t="shared" ref="I2604:N2604" si="201">SUM(I2597:I2603)</f>
        <v>357</v>
      </c>
      <c r="J2604" s="19">
        <f t="shared" si="194"/>
        <v>26439880.830000002</v>
      </c>
      <c r="K2604" s="48">
        <f t="shared" si="201"/>
        <v>0</v>
      </c>
      <c r="L2604" s="48">
        <f t="shared" si="201"/>
        <v>0</v>
      </c>
      <c r="M2604" s="48">
        <f t="shared" si="201"/>
        <v>0</v>
      </c>
      <c r="N2604" s="48">
        <f t="shared" si="201"/>
        <v>26439880.830000002</v>
      </c>
      <c r="O2604" s="50"/>
      <c r="P2604" s="50"/>
    </row>
    <row r="2605" spans="1:16" x14ac:dyDescent="0.3">
      <c r="A2605" s="472" t="s">
        <v>2696</v>
      </c>
      <c r="B2605" s="473"/>
      <c r="C2605" s="50"/>
      <c r="D2605" s="51"/>
      <c r="E2605" s="52"/>
      <c r="F2605" s="52"/>
      <c r="G2605" s="51"/>
      <c r="H2605" s="52"/>
      <c r="I2605" s="52"/>
      <c r="J2605" s="19"/>
      <c r="K2605" s="51"/>
      <c r="L2605" s="50"/>
      <c r="M2605" s="51"/>
      <c r="N2605" s="51"/>
      <c r="O2605" s="228"/>
      <c r="P2605" s="50"/>
    </row>
    <row r="2606" spans="1:16" x14ac:dyDescent="0.3">
      <c r="A2606" s="59">
        <f>A2603+1</f>
        <v>2355</v>
      </c>
      <c r="B2606" s="66" t="s">
        <v>2697</v>
      </c>
      <c r="C2606" s="184">
        <v>1940</v>
      </c>
      <c r="D2606" s="51"/>
      <c r="E2606" s="52"/>
      <c r="F2606" s="47">
        <v>2</v>
      </c>
      <c r="G2606" s="51"/>
      <c r="H2606" s="52">
        <v>650.79999999999995</v>
      </c>
      <c r="I2606" s="47">
        <v>21</v>
      </c>
      <c r="J2606" s="19">
        <f t="shared" si="194"/>
        <v>615062.97</v>
      </c>
      <c r="K2606" s="51"/>
      <c r="L2606" s="51"/>
      <c r="M2606" s="51"/>
      <c r="N2606" s="19">
        <f>SUMIF('2020'!B:B,B2606,'2020'!C:C)+SUMIF('2021'!B:B,B2606,'2021'!C:C)+SUMIF('2022'!B:B,B2606,'2022'!C:C)</f>
        <v>615062.97</v>
      </c>
      <c r="O2606" s="219">
        <v>44925</v>
      </c>
      <c r="P2606" s="48" t="s">
        <v>3728</v>
      </c>
    </row>
    <row r="2607" spans="1:16" x14ac:dyDescent="0.3">
      <c r="A2607" s="59">
        <f>A2606+1</f>
        <v>2356</v>
      </c>
      <c r="B2607" s="66" t="s">
        <v>2698</v>
      </c>
      <c r="C2607" s="184">
        <v>1941</v>
      </c>
      <c r="D2607" s="51"/>
      <c r="E2607" s="52"/>
      <c r="F2607" s="47">
        <v>2</v>
      </c>
      <c r="G2607" s="51"/>
      <c r="H2607" s="52">
        <v>655.20000000000005</v>
      </c>
      <c r="I2607" s="47">
        <v>20</v>
      </c>
      <c r="J2607" s="19">
        <f t="shared" si="194"/>
        <v>628111.98</v>
      </c>
      <c r="K2607" s="51"/>
      <c r="L2607" s="51"/>
      <c r="M2607" s="51"/>
      <c r="N2607" s="19">
        <f>SUMIF('2020'!B:B,B2607,'2020'!C:C)+SUMIF('2021'!B:B,B2607,'2021'!C:C)+SUMIF('2022'!B:B,B2607,'2022'!C:C)</f>
        <v>628111.98</v>
      </c>
      <c r="O2607" s="219">
        <v>44925</v>
      </c>
      <c r="P2607" s="48" t="s">
        <v>3728</v>
      </c>
    </row>
    <row r="2608" spans="1:16" x14ac:dyDescent="0.3">
      <c r="A2608" s="59">
        <f>A2607+1</f>
        <v>2357</v>
      </c>
      <c r="B2608" s="66" t="s">
        <v>2699</v>
      </c>
      <c r="C2608" s="184">
        <v>1936</v>
      </c>
      <c r="D2608" s="51"/>
      <c r="E2608" s="52"/>
      <c r="F2608" s="47">
        <v>2</v>
      </c>
      <c r="G2608" s="51"/>
      <c r="H2608" s="52">
        <v>578.9</v>
      </c>
      <c r="I2608" s="47">
        <v>25</v>
      </c>
      <c r="J2608" s="19">
        <f t="shared" si="194"/>
        <v>526058.23</v>
      </c>
      <c r="K2608" s="51"/>
      <c r="L2608" s="51"/>
      <c r="M2608" s="51"/>
      <c r="N2608" s="19">
        <f>SUMIF('2020'!B:B,B2608,'2020'!C:C)+SUMIF('2021'!B:B,B2608,'2021'!C:C)+SUMIF('2022'!B:B,B2608,'2022'!C:C)</f>
        <v>526058.23</v>
      </c>
      <c r="O2608" s="219">
        <v>44925</v>
      </c>
      <c r="P2608" s="48" t="s">
        <v>3728</v>
      </c>
    </row>
    <row r="2609" spans="1:16" x14ac:dyDescent="0.3">
      <c r="A2609" s="59">
        <f>A2608+1</f>
        <v>2358</v>
      </c>
      <c r="B2609" s="66" t="s">
        <v>2700</v>
      </c>
      <c r="C2609" s="184">
        <v>1936</v>
      </c>
      <c r="D2609" s="51"/>
      <c r="E2609" s="52"/>
      <c r="F2609" s="47">
        <v>2</v>
      </c>
      <c r="G2609" s="51"/>
      <c r="H2609" s="52">
        <v>549</v>
      </c>
      <c r="I2609" s="47">
        <v>17</v>
      </c>
      <c r="J2609" s="19">
        <f t="shared" si="194"/>
        <v>529382.49</v>
      </c>
      <c r="K2609" s="51"/>
      <c r="L2609" s="51"/>
      <c r="M2609" s="51"/>
      <c r="N2609" s="19">
        <f>SUMIF('2020'!B:B,B2609,'2020'!C:C)+SUMIF('2021'!B:B,B2609,'2021'!C:C)+SUMIF('2022'!B:B,B2609,'2022'!C:C)</f>
        <v>529382.49</v>
      </c>
      <c r="O2609" s="219">
        <v>44925</v>
      </c>
      <c r="P2609" s="48" t="s">
        <v>3728</v>
      </c>
    </row>
    <row r="2610" spans="1:16" x14ac:dyDescent="0.3">
      <c r="A2610" s="474" t="s">
        <v>211</v>
      </c>
      <c r="B2610" s="475"/>
      <c r="C2610" s="50"/>
      <c r="D2610" s="50"/>
      <c r="E2610" s="48"/>
      <c r="F2610" s="48"/>
      <c r="G2610" s="50"/>
      <c r="H2610" s="48">
        <f>SUM(H2606:H2609)</f>
        <v>2433.9</v>
      </c>
      <c r="I2610" s="47">
        <f>SUM(I2606:I2609)</f>
        <v>83</v>
      </c>
      <c r="J2610" s="19">
        <f t="shared" si="194"/>
        <v>2298615.67</v>
      </c>
      <c r="K2610" s="50">
        <v>0</v>
      </c>
      <c r="L2610" s="50">
        <v>0</v>
      </c>
      <c r="M2610" s="50">
        <v>0</v>
      </c>
      <c r="N2610" s="50">
        <f>SUM(N2606:N2609)</f>
        <v>2298615.67</v>
      </c>
      <c r="O2610" s="50"/>
      <c r="P2610" s="50"/>
    </row>
    <row r="2611" spans="1:16" x14ac:dyDescent="0.3">
      <c r="A2611" s="472" t="s">
        <v>2701</v>
      </c>
      <c r="B2611" s="473"/>
      <c r="C2611" s="50"/>
      <c r="D2611" s="51"/>
      <c r="E2611" s="52"/>
      <c r="F2611" s="52"/>
      <c r="G2611" s="51"/>
      <c r="H2611" s="52"/>
      <c r="I2611" s="52"/>
      <c r="J2611" s="19"/>
      <c r="K2611" s="51"/>
      <c r="L2611" s="50"/>
      <c r="M2611" s="51"/>
      <c r="N2611" s="51"/>
      <c r="O2611" s="228"/>
      <c r="P2611" s="50"/>
    </row>
    <row r="2612" spans="1:16" x14ac:dyDescent="0.3">
      <c r="A2612" s="59">
        <f>A2609+1</f>
        <v>2359</v>
      </c>
      <c r="B2612" s="66" t="s">
        <v>2702</v>
      </c>
      <c r="C2612" s="184">
        <v>1971</v>
      </c>
      <c r="D2612" s="51"/>
      <c r="E2612" s="52"/>
      <c r="F2612" s="47">
        <v>5</v>
      </c>
      <c r="G2612" s="51"/>
      <c r="H2612" s="52">
        <v>4595.3999999999996</v>
      </c>
      <c r="I2612" s="47">
        <v>175</v>
      </c>
      <c r="J2612" s="19">
        <f t="shared" si="194"/>
        <v>192030.89</v>
      </c>
      <c r="K2612" s="51"/>
      <c r="L2612" s="50"/>
      <c r="M2612" s="51"/>
      <c r="N2612" s="19">
        <f>SUMIF('2020'!B:B,B2612,'2020'!C:C)+SUMIF('2021'!B:B,B2612,'2021'!C:C)+SUMIF('2022'!B:B,B2612,'2022'!C:C)</f>
        <v>192030.89</v>
      </c>
      <c r="O2612" s="219">
        <v>44925</v>
      </c>
      <c r="P2612" s="48" t="s">
        <v>3728</v>
      </c>
    </row>
    <row r="2613" spans="1:16" x14ac:dyDescent="0.3">
      <c r="A2613" s="59">
        <f t="shared" ref="A2613:A2620" si="202">A2612+1</f>
        <v>2360</v>
      </c>
      <c r="B2613" s="66" t="s">
        <v>2703</v>
      </c>
      <c r="C2613" s="184">
        <v>1975</v>
      </c>
      <c r="D2613" s="51"/>
      <c r="E2613" s="52"/>
      <c r="F2613" s="47">
        <v>5</v>
      </c>
      <c r="G2613" s="51"/>
      <c r="H2613" s="52">
        <v>1930.8</v>
      </c>
      <c r="I2613" s="47">
        <v>64</v>
      </c>
      <c r="J2613" s="19">
        <f t="shared" si="194"/>
        <v>562660.14</v>
      </c>
      <c r="K2613" s="51"/>
      <c r="L2613" s="50"/>
      <c r="M2613" s="51"/>
      <c r="N2613" s="19">
        <f>SUMIF('2020'!B:B,B2613,'2020'!C:C)+SUMIF('2021'!B:B,B2613,'2021'!C:C)+SUMIF('2022'!B:B,B2613,'2022'!C:C)</f>
        <v>562660.14</v>
      </c>
      <c r="O2613" s="219">
        <v>44925</v>
      </c>
      <c r="P2613" s="48" t="s">
        <v>3728</v>
      </c>
    </row>
    <row r="2614" spans="1:16" x14ac:dyDescent="0.3">
      <c r="A2614" s="59">
        <f t="shared" si="202"/>
        <v>2361</v>
      </c>
      <c r="B2614" s="66" t="s">
        <v>2704</v>
      </c>
      <c r="C2614" s="184">
        <v>1975</v>
      </c>
      <c r="D2614" s="51"/>
      <c r="E2614" s="52"/>
      <c r="F2614" s="47">
        <v>5</v>
      </c>
      <c r="G2614" s="51"/>
      <c r="H2614" s="52">
        <v>1944.1</v>
      </c>
      <c r="I2614" s="47">
        <v>65</v>
      </c>
      <c r="J2614" s="19">
        <f t="shared" si="194"/>
        <v>580271.29</v>
      </c>
      <c r="K2614" s="51"/>
      <c r="L2614" s="50"/>
      <c r="M2614" s="51"/>
      <c r="N2614" s="19">
        <f>SUMIF('2020'!B:B,B2614,'2020'!C:C)+SUMIF('2021'!B:B,B2614,'2021'!C:C)+SUMIF('2022'!B:B,B2614,'2022'!C:C)</f>
        <v>580271.29</v>
      </c>
      <c r="O2614" s="219">
        <v>44925</v>
      </c>
      <c r="P2614" s="48" t="s">
        <v>2042</v>
      </c>
    </row>
    <row r="2615" spans="1:16" x14ac:dyDescent="0.3">
      <c r="A2615" s="59">
        <f t="shared" si="202"/>
        <v>2362</v>
      </c>
      <c r="B2615" s="66" t="s">
        <v>2705</v>
      </c>
      <c r="C2615" s="184">
        <v>1977</v>
      </c>
      <c r="D2615" s="51"/>
      <c r="E2615" s="52"/>
      <c r="F2615" s="47">
        <v>5</v>
      </c>
      <c r="G2615" s="51"/>
      <c r="H2615" s="52">
        <v>1944.1</v>
      </c>
      <c r="I2615" s="47">
        <v>66</v>
      </c>
      <c r="J2615" s="19">
        <f t="shared" si="194"/>
        <v>448446.39</v>
      </c>
      <c r="K2615" s="51"/>
      <c r="L2615" s="51"/>
      <c r="M2615" s="51"/>
      <c r="N2615" s="19">
        <f>SUMIF('2020'!B:B,B2615,'2020'!C:C)+SUMIF('2021'!B:B,B2615,'2021'!C:C)+SUMIF('2022'!B:B,B2615,'2022'!C:C)</f>
        <v>448446.39</v>
      </c>
      <c r="O2615" s="219">
        <v>44925</v>
      </c>
      <c r="P2615" s="48" t="s">
        <v>3728</v>
      </c>
    </row>
    <row r="2616" spans="1:16" x14ac:dyDescent="0.3">
      <c r="A2616" s="59">
        <f t="shared" si="202"/>
        <v>2363</v>
      </c>
      <c r="B2616" s="66" t="s">
        <v>2706</v>
      </c>
      <c r="C2616" s="184">
        <v>1968</v>
      </c>
      <c r="D2616" s="51"/>
      <c r="E2616" s="48"/>
      <c r="F2616" s="47">
        <v>5</v>
      </c>
      <c r="G2616" s="50"/>
      <c r="H2616" s="48">
        <v>3478.4</v>
      </c>
      <c r="I2616" s="47">
        <v>135</v>
      </c>
      <c r="J2616" s="19">
        <f t="shared" si="194"/>
        <v>22121366.969999999</v>
      </c>
      <c r="K2616" s="51"/>
      <c r="L2616" s="50"/>
      <c r="M2616" s="51"/>
      <c r="N2616" s="19">
        <f>SUMIF('2020'!B:B,B2616,'2020'!C:C)+SUMIF('2021'!B:B,B2616,'2021'!C:C)+SUMIF('2022'!B:B,B2616,'2022'!C:C)</f>
        <v>22121366.969999999</v>
      </c>
      <c r="O2616" s="219">
        <v>44925</v>
      </c>
      <c r="P2616" s="48" t="s">
        <v>3728</v>
      </c>
    </row>
    <row r="2617" spans="1:16" x14ac:dyDescent="0.3">
      <c r="A2617" s="59">
        <f t="shared" si="202"/>
        <v>2364</v>
      </c>
      <c r="B2617" s="66" t="s">
        <v>2707</v>
      </c>
      <c r="C2617" s="184">
        <v>1968</v>
      </c>
      <c r="D2617" s="51"/>
      <c r="E2617" s="52"/>
      <c r="F2617" s="47">
        <v>5</v>
      </c>
      <c r="G2617" s="51"/>
      <c r="H2617" s="52">
        <v>4606.8</v>
      </c>
      <c r="I2617" s="47">
        <v>203</v>
      </c>
      <c r="J2617" s="19">
        <f t="shared" si="194"/>
        <v>202196.69</v>
      </c>
      <c r="K2617" s="51"/>
      <c r="L2617" s="50"/>
      <c r="M2617" s="51"/>
      <c r="N2617" s="19">
        <f>SUMIF('2020'!B:B,B2617,'2020'!C:C)+SUMIF('2021'!B:B,B2617,'2021'!C:C)+SUMIF('2022'!B:B,B2617,'2022'!C:C)</f>
        <v>202196.69</v>
      </c>
      <c r="O2617" s="219">
        <v>44925</v>
      </c>
      <c r="P2617" s="48" t="s">
        <v>3728</v>
      </c>
    </row>
    <row r="2618" spans="1:16" x14ac:dyDescent="0.3">
      <c r="A2618" s="59">
        <f t="shared" si="202"/>
        <v>2365</v>
      </c>
      <c r="B2618" s="66" t="s">
        <v>2708</v>
      </c>
      <c r="C2618" s="184">
        <v>1969</v>
      </c>
      <c r="D2618" s="51"/>
      <c r="E2618" s="52"/>
      <c r="F2618" s="47">
        <v>5</v>
      </c>
      <c r="G2618" s="51"/>
      <c r="H2618" s="52">
        <v>4610.8999999999996</v>
      </c>
      <c r="I2618" s="47">
        <v>200</v>
      </c>
      <c r="J2618" s="19">
        <f t="shared" si="194"/>
        <v>202196.69</v>
      </c>
      <c r="K2618" s="51"/>
      <c r="L2618" s="50"/>
      <c r="M2618" s="51"/>
      <c r="N2618" s="19">
        <f>SUMIF('2020'!B:B,B2618,'2020'!C:C)+SUMIF('2021'!B:B,B2618,'2021'!C:C)+SUMIF('2022'!B:B,B2618,'2022'!C:C)</f>
        <v>202196.69</v>
      </c>
      <c r="O2618" s="219">
        <v>44925</v>
      </c>
      <c r="P2618" s="48" t="s">
        <v>3728</v>
      </c>
    </row>
    <row r="2619" spans="1:16" x14ac:dyDescent="0.3">
      <c r="A2619" s="59">
        <f t="shared" si="202"/>
        <v>2366</v>
      </c>
      <c r="B2619" s="66" t="s">
        <v>2709</v>
      </c>
      <c r="C2619" s="184">
        <v>1971</v>
      </c>
      <c r="D2619" s="51"/>
      <c r="E2619" s="52"/>
      <c r="F2619" s="47">
        <v>5</v>
      </c>
      <c r="G2619" s="51"/>
      <c r="H2619" s="52">
        <v>4595.1000000000004</v>
      </c>
      <c r="I2619" s="47">
        <v>175</v>
      </c>
      <c r="J2619" s="19">
        <f t="shared" si="194"/>
        <v>202679.24</v>
      </c>
      <c r="K2619" s="51"/>
      <c r="L2619" s="50"/>
      <c r="M2619" s="51"/>
      <c r="N2619" s="19">
        <f>SUMIF('2020'!B:B,B2619,'2020'!C:C)+SUMIF('2021'!B:B,B2619,'2021'!C:C)+SUMIF('2022'!B:B,B2619,'2022'!C:C)</f>
        <v>202679.24</v>
      </c>
      <c r="O2619" s="219">
        <v>44925</v>
      </c>
      <c r="P2619" s="48" t="s">
        <v>3728</v>
      </c>
    </row>
    <row r="2620" spans="1:16" x14ac:dyDescent="0.3">
      <c r="A2620" s="59">
        <f t="shared" si="202"/>
        <v>2367</v>
      </c>
      <c r="B2620" s="66" t="s">
        <v>2710</v>
      </c>
      <c r="C2620" s="184">
        <v>1973</v>
      </c>
      <c r="D2620" s="51"/>
      <c r="E2620" s="52"/>
      <c r="F2620" s="47">
        <v>5</v>
      </c>
      <c r="G2620" s="51"/>
      <c r="H2620" s="52">
        <v>5711.2</v>
      </c>
      <c r="I2620" s="47">
        <v>260</v>
      </c>
      <c r="J2620" s="19">
        <f t="shared" si="194"/>
        <v>982644.77</v>
      </c>
      <c r="K2620" s="51"/>
      <c r="L2620" s="51"/>
      <c r="M2620" s="51"/>
      <c r="N2620" s="19">
        <f>SUMIF('2020'!B:B,B2620,'2020'!C:C)+SUMIF('2021'!B:B,B2620,'2021'!C:C)+SUMIF('2022'!B:B,B2620,'2022'!C:C)</f>
        <v>982644.77</v>
      </c>
      <c r="O2620" s="219">
        <v>44925</v>
      </c>
      <c r="P2620" s="48" t="s">
        <v>3728</v>
      </c>
    </row>
    <row r="2621" spans="1:16" x14ac:dyDescent="0.3">
      <c r="A2621" s="474" t="s">
        <v>211</v>
      </c>
      <c r="B2621" s="475"/>
      <c r="C2621" s="184"/>
      <c r="D2621" s="50"/>
      <c r="E2621" s="48"/>
      <c r="F2621" s="48"/>
      <c r="G2621" s="50"/>
      <c r="H2621" s="48">
        <f>SUM(H2612:H2620)</f>
        <v>33416.799999999996</v>
      </c>
      <c r="I2621" s="47">
        <f t="shared" ref="I2621:N2621" si="203">SUM(I2612:I2620)</f>
        <v>1343</v>
      </c>
      <c r="J2621" s="19">
        <f t="shared" ref="J2621:J2683" si="204">K2621+L2621+M2621+N2621</f>
        <v>25494493.07</v>
      </c>
      <c r="K2621" s="48">
        <f t="shared" si="203"/>
        <v>0</v>
      </c>
      <c r="L2621" s="48">
        <f t="shared" si="203"/>
        <v>0</v>
      </c>
      <c r="M2621" s="48">
        <f>N2621-'2020'!C576-'2021'!C2027</f>
        <v>0</v>
      </c>
      <c r="N2621" s="48">
        <f t="shared" si="203"/>
        <v>25494493.07</v>
      </c>
      <c r="O2621" s="50"/>
      <c r="P2621" s="50"/>
    </row>
    <row r="2622" spans="1:16" s="160" customFormat="1" x14ac:dyDescent="0.3">
      <c r="A2622" s="479" t="s">
        <v>2711</v>
      </c>
      <c r="B2622" s="480"/>
      <c r="C2622" s="67"/>
      <c r="D2622" s="67"/>
      <c r="E2622" s="172"/>
      <c r="F2622" s="172"/>
      <c r="G2622" s="67"/>
      <c r="H2622" s="67">
        <f t="shared" ref="H2622:M2622" si="205">H2621+H2610+H2604+H2595+H2591+H2576+H2566+H2553+H2550+H2525+H2519+H2511+H2496+H2543</f>
        <v>237852.91000000003</v>
      </c>
      <c r="I2622" s="67">
        <f t="shared" si="205"/>
        <v>16073839.91</v>
      </c>
      <c r="J2622" s="67">
        <f t="shared" si="205"/>
        <v>651899405.41200006</v>
      </c>
      <c r="K2622" s="67">
        <f t="shared" si="205"/>
        <v>0</v>
      </c>
      <c r="L2622" s="67">
        <f t="shared" si="205"/>
        <v>0</v>
      </c>
      <c r="M2622" s="67">
        <f t="shared" si="205"/>
        <v>-7.5669959187507629E-10</v>
      </c>
      <c r="N2622" s="67">
        <f>N2621+N2610+N2604+N2595+N2591+N2576+N2566+N2553+N2550+N2525+N2519+N2511+N2496+N2543</f>
        <v>651899405.41200006</v>
      </c>
      <c r="O2622" s="67"/>
      <c r="P2622" s="67"/>
    </row>
    <row r="2623" spans="1:16" s="160" customFormat="1" x14ac:dyDescent="0.3">
      <c r="A2623" s="135"/>
      <c r="B2623" s="446" t="s">
        <v>3836</v>
      </c>
      <c r="C2623" s="446"/>
      <c r="D2623" s="446"/>
      <c r="E2623" s="446"/>
      <c r="F2623" s="446"/>
      <c r="G2623" s="446"/>
      <c r="H2623" s="446"/>
      <c r="I2623" s="446"/>
      <c r="J2623" s="446"/>
      <c r="K2623" s="446"/>
      <c r="L2623" s="446"/>
      <c r="M2623" s="446"/>
      <c r="N2623" s="446"/>
      <c r="O2623" s="446"/>
      <c r="P2623" s="447"/>
    </row>
    <row r="2624" spans="1:16" x14ac:dyDescent="0.3">
      <c r="A2624" s="448" t="s">
        <v>3922</v>
      </c>
      <c r="B2624" s="448"/>
      <c r="C2624" s="50"/>
      <c r="D2624" s="50"/>
      <c r="E2624" s="48"/>
      <c r="F2624" s="48"/>
      <c r="G2624" s="50"/>
      <c r="H2624" s="48"/>
      <c r="I2624" s="48"/>
      <c r="J2624" s="19"/>
      <c r="K2624" s="50"/>
      <c r="L2624" s="50"/>
      <c r="M2624" s="50"/>
      <c r="N2624" s="50"/>
      <c r="O2624" s="50"/>
      <c r="P2624" s="50"/>
    </row>
    <row r="2625" spans="1:16" x14ac:dyDescent="0.3">
      <c r="A2625" s="59">
        <f>A2620+1</f>
        <v>2368</v>
      </c>
      <c r="B2625" s="66" t="s">
        <v>3923</v>
      </c>
      <c r="C2625" s="184">
        <v>1963</v>
      </c>
      <c r="D2625" s="48"/>
      <c r="E2625" s="190" t="s">
        <v>3645</v>
      </c>
      <c r="F2625" s="190">
        <v>2</v>
      </c>
      <c r="G2625" s="48"/>
      <c r="H2625" s="190">
        <v>670.8</v>
      </c>
      <c r="I2625" s="190">
        <v>39</v>
      </c>
      <c r="J2625" s="19">
        <f t="shared" si="204"/>
        <v>847073.73</v>
      </c>
      <c r="K2625" s="50"/>
      <c r="L2625" s="50"/>
      <c r="M2625" s="50"/>
      <c r="N2625" s="19">
        <f>SUMIF('2020'!B:B,B2625,'2020'!C:C)+SUMIF('2021'!B:B,B2625,'2021'!C:C)+SUMIF('2022'!B:B,B2625,'2022'!C:C)</f>
        <v>847073.73</v>
      </c>
      <c r="O2625" s="219">
        <v>44925</v>
      </c>
      <c r="P2625" s="48" t="s">
        <v>3728</v>
      </c>
    </row>
    <row r="2626" spans="1:16" x14ac:dyDescent="0.3">
      <c r="A2626" s="59">
        <f t="shared" ref="A2626:A2628" si="206">A2625+1</f>
        <v>2369</v>
      </c>
      <c r="B2626" s="66" t="s">
        <v>3924</v>
      </c>
      <c r="C2626" s="184">
        <v>1964</v>
      </c>
      <c r="D2626" s="48"/>
      <c r="E2626" s="190" t="s">
        <v>3645</v>
      </c>
      <c r="F2626" s="190">
        <v>2</v>
      </c>
      <c r="G2626" s="48"/>
      <c r="H2626" s="190">
        <v>670.5</v>
      </c>
      <c r="I2626" s="190">
        <v>32</v>
      </c>
      <c r="J2626" s="19">
        <f t="shared" si="204"/>
        <v>859261.85</v>
      </c>
      <c r="K2626" s="50"/>
      <c r="L2626" s="50"/>
      <c r="M2626" s="50"/>
      <c r="N2626" s="19">
        <f>SUMIF('2020'!B:B,B2626,'2020'!C:C)+SUMIF('2021'!B:B,B2626,'2021'!C:C)+SUMIF('2022'!B:B,B2626,'2022'!C:C)</f>
        <v>859261.85</v>
      </c>
      <c r="O2626" s="219">
        <v>44925</v>
      </c>
      <c r="P2626" s="48" t="s">
        <v>3728</v>
      </c>
    </row>
    <row r="2627" spans="1:16" x14ac:dyDescent="0.3">
      <c r="A2627" s="59">
        <f t="shared" si="206"/>
        <v>2370</v>
      </c>
      <c r="B2627" s="66" t="s">
        <v>3925</v>
      </c>
      <c r="C2627" s="184">
        <v>1966</v>
      </c>
      <c r="D2627" s="48"/>
      <c r="E2627" s="190" t="s">
        <v>3645</v>
      </c>
      <c r="F2627" s="190">
        <v>2</v>
      </c>
      <c r="G2627" s="48"/>
      <c r="H2627" s="190">
        <v>689.5</v>
      </c>
      <c r="I2627" s="190">
        <v>36</v>
      </c>
      <c r="J2627" s="19">
        <f t="shared" si="204"/>
        <v>843727.49</v>
      </c>
      <c r="K2627" s="50"/>
      <c r="L2627" s="50"/>
      <c r="M2627" s="50"/>
      <c r="N2627" s="19">
        <f>SUMIF('2020'!B:B,B2627,'2020'!C:C)+SUMIF('2021'!B:B,B2627,'2021'!C:C)+SUMIF('2022'!B:B,B2627,'2022'!C:C)</f>
        <v>843727.49</v>
      </c>
      <c r="O2627" s="219">
        <v>44925</v>
      </c>
      <c r="P2627" s="48" t="s">
        <v>3728</v>
      </c>
    </row>
    <row r="2628" spans="1:16" x14ac:dyDescent="0.3">
      <c r="A2628" s="59">
        <f t="shared" si="206"/>
        <v>2371</v>
      </c>
      <c r="B2628" s="66" t="s">
        <v>3926</v>
      </c>
      <c r="C2628" s="184">
        <v>1964</v>
      </c>
      <c r="D2628" s="48"/>
      <c r="E2628" s="190" t="s">
        <v>3645</v>
      </c>
      <c r="F2628" s="190">
        <v>2</v>
      </c>
      <c r="G2628" s="48"/>
      <c r="H2628" s="190">
        <v>677.8</v>
      </c>
      <c r="I2628" s="190">
        <v>31</v>
      </c>
      <c r="J2628" s="19">
        <f t="shared" si="204"/>
        <v>833688.76</v>
      </c>
      <c r="K2628" s="50"/>
      <c r="L2628" s="50"/>
      <c r="M2628" s="50"/>
      <c r="N2628" s="19">
        <f>SUMIF('2020'!B:B,B2628,'2020'!C:C)+SUMIF('2021'!B:B,B2628,'2021'!C:C)+SUMIF('2022'!B:B,B2628,'2022'!C:C)</f>
        <v>833688.76</v>
      </c>
      <c r="O2628" s="219">
        <v>44925</v>
      </c>
      <c r="P2628" s="48" t="s">
        <v>3728</v>
      </c>
    </row>
    <row r="2629" spans="1:16" x14ac:dyDescent="0.3">
      <c r="A2629" s="59">
        <f t="shared" ref="A2629:A2631" si="207">A2628+1</f>
        <v>2372</v>
      </c>
      <c r="B2629" s="66" t="s">
        <v>3927</v>
      </c>
      <c r="C2629" s="184">
        <v>1965</v>
      </c>
      <c r="D2629" s="48"/>
      <c r="E2629" s="190" t="s">
        <v>3645</v>
      </c>
      <c r="F2629" s="190">
        <v>2</v>
      </c>
      <c r="G2629" s="48"/>
      <c r="H2629" s="190">
        <v>689.5</v>
      </c>
      <c r="I2629" s="190">
        <v>36</v>
      </c>
      <c r="J2629" s="19">
        <f t="shared" si="204"/>
        <v>825323.14999999991</v>
      </c>
      <c r="K2629" s="50"/>
      <c r="L2629" s="50"/>
      <c r="M2629" s="50"/>
      <c r="N2629" s="19">
        <f>SUMIF('2020'!B:B,B2629,'2020'!C:C)+SUMIF('2021'!B:B,B2629,'2021'!C:C)+SUMIF('2022'!B:B,B2629,'2022'!C:C)</f>
        <v>825323.14999999991</v>
      </c>
      <c r="O2629" s="219">
        <v>44925</v>
      </c>
      <c r="P2629" s="48" t="s">
        <v>3728</v>
      </c>
    </row>
    <row r="2630" spans="1:16" x14ac:dyDescent="0.3">
      <c r="A2630" s="59">
        <f t="shared" si="207"/>
        <v>2373</v>
      </c>
      <c r="B2630" s="66" t="s">
        <v>3928</v>
      </c>
      <c r="C2630" s="184">
        <v>1975</v>
      </c>
      <c r="D2630" s="48"/>
      <c r="E2630" s="190" t="s">
        <v>4096</v>
      </c>
      <c r="F2630" s="190">
        <v>5</v>
      </c>
      <c r="G2630" s="48"/>
      <c r="H2630" s="190">
        <v>5361</v>
      </c>
      <c r="I2630" s="190">
        <v>245</v>
      </c>
      <c r="J2630" s="19">
        <f t="shared" si="204"/>
        <v>1634102.77</v>
      </c>
      <c r="K2630" s="50"/>
      <c r="L2630" s="50"/>
      <c r="M2630" s="50"/>
      <c r="N2630" s="19">
        <f>SUMIF('2020'!B:B,B2630,'2020'!C:C)+SUMIF('2021'!B:B,B2630,'2021'!C:C)+SUMIF('2022'!B:B,B2630,'2022'!C:C)</f>
        <v>1634102.77</v>
      </c>
      <c r="O2630" s="219">
        <v>44925</v>
      </c>
      <c r="P2630" s="48" t="s">
        <v>3728</v>
      </c>
    </row>
    <row r="2631" spans="1:16" x14ac:dyDescent="0.3">
      <c r="A2631" s="59">
        <f t="shared" si="207"/>
        <v>2374</v>
      </c>
      <c r="B2631" s="66" t="s">
        <v>3929</v>
      </c>
      <c r="C2631" s="184">
        <v>1975</v>
      </c>
      <c r="D2631" s="48"/>
      <c r="E2631" s="190" t="s">
        <v>3645</v>
      </c>
      <c r="F2631" s="190">
        <v>2</v>
      </c>
      <c r="G2631" s="48"/>
      <c r="H2631" s="190">
        <v>675.7</v>
      </c>
      <c r="I2631" s="190">
        <v>33</v>
      </c>
      <c r="J2631" s="19">
        <f t="shared" si="204"/>
        <v>860422.21</v>
      </c>
      <c r="K2631" s="50"/>
      <c r="L2631" s="50"/>
      <c r="M2631" s="50"/>
      <c r="N2631" s="19">
        <f>SUMIF('2020'!B:B,B2631,'2020'!C:C)+SUMIF('2021'!B:B,B2631,'2021'!C:C)+SUMIF('2022'!B:B,B2631,'2022'!C:C)</f>
        <v>860422.21</v>
      </c>
      <c r="O2631" s="219">
        <v>44925</v>
      </c>
      <c r="P2631" s="48" t="s">
        <v>3728</v>
      </c>
    </row>
    <row r="2632" spans="1:16" x14ac:dyDescent="0.3">
      <c r="A2632" s="449" t="s">
        <v>211</v>
      </c>
      <c r="B2632" s="449"/>
      <c r="C2632" s="50"/>
      <c r="D2632" s="50"/>
      <c r="E2632" s="48"/>
      <c r="F2632" s="48"/>
      <c r="G2632" s="50"/>
      <c r="H2632" s="50">
        <f t="shared" ref="H2632:M2632" si="208">SUM(H2625:H2631)</f>
        <v>9434.8000000000011</v>
      </c>
      <c r="I2632" s="50">
        <f t="shared" si="208"/>
        <v>452</v>
      </c>
      <c r="J2632" s="50">
        <f t="shared" si="208"/>
        <v>6703599.96</v>
      </c>
      <c r="K2632" s="50">
        <f t="shared" si="208"/>
        <v>0</v>
      </c>
      <c r="L2632" s="50">
        <f t="shared" si="208"/>
        <v>0</v>
      </c>
      <c r="M2632" s="50">
        <f t="shared" si="208"/>
        <v>0</v>
      </c>
      <c r="N2632" s="50">
        <f>SUM(N2625:N2631)</f>
        <v>6703599.96</v>
      </c>
      <c r="O2632" s="50"/>
      <c r="P2632" s="50"/>
    </row>
    <row r="2633" spans="1:16" x14ac:dyDescent="0.3">
      <c r="A2633" s="448" t="s">
        <v>3930</v>
      </c>
      <c r="B2633" s="448"/>
      <c r="C2633" s="50"/>
      <c r="D2633" s="50"/>
      <c r="E2633" s="48"/>
      <c r="F2633" s="48"/>
      <c r="G2633" s="50"/>
      <c r="H2633" s="48"/>
      <c r="I2633" s="48"/>
      <c r="J2633" s="19"/>
      <c r="K2633" s="50"/>
      <c r="L2633" s="50"/>
      <c r="M2633" s="50"/>
      <c r="N2633" s="50"/>
      <c r="O2633" s="50"/>
      <c r="P2633" s="50"/>
    </row>
    <row r="2634" spans="1:16" x14ac:dyDescent="0.3">
      <c r="A2634" s="59">
        <f>A2631+1</f>
        <v>2375</v>
      </c>
      <c r="B2634" s="66" t="s">
        <v>3931</v>
      </c>
      <c r="C2634" s="184">
        <v>1967</v>
      </c>
      <c r="D2634" s="48"/>
      <c r="E2634" s="190" t="s">
        <v>3645</v>
      </c>
      <c r="F2634" s="190">
        <v>2</v>
      </c>
      <c r="G2634" s="48"/>
      <c r="H2634" s="190">
        <v>692.3</v>
      </c>
      <c r="I2634" s="190">
        <v>17</v>
      </c>
      <c r="J2634" s="19">
        <f t="shared" si="204"/>
        <v>294574.88</v>
      </c>
      <c r="K2634" s="50"/>
      <c r="L2634" s="50"/>
      <c r="M2634" s="50"/>
      <c r="N2634" s="19">
        <f>SUMIF('2020'!B:B,B2634,'2020'!C:C)+SUMIF('2021'!B:B,B2634,'2021'!C:C)+SUMIF('2022'!B:B,B2634,'2022'!C:C)</f>
        <v>294574.88</v>
      </c>
      <c r="O2634" s="219">
        <v>44925</v>
      </c>
      <c r="P2634" s="48" t="s">
        <v>3728</v>
      </c>
    </row>
    <row r="2635" spans="1:16" x14ac:dyDescent="0.3">
      <c r="A2635" s="59">
        <f t="shared" ref="A2635:A2660" si="209">A2634+1</f>
        <v>2376</v>
      </c>
      <c r="B2635" s="66" t="s">
        <v>3932</v>
      </c>
      <c r="C2635" s="184">
        <v>1968</v>
      </c>
      <c r="D2635" s="48"/>
      <c r="E2635" s="190" t="s">
        <v>3645</v>
      </c>
      <c r="F2635" s="190">
        <v>2</v>
      </c>
      <c r="G2635" s="48"/>
      <c r="H2635" s="190">
        <v>564.9</v>
      </c>
      <c r="I2635" s="190">
        <v>9</v>
      </c>
      <c r="J2635" s="19">
        <f t="shared" si="204"/>
        <v>266018.39</v>
      </c>
      <c r="K2635" s="50"/>
      <c r="L2635" s="50"/>
      <c r="M2635" s="50"/>
      <c r="N2635" s="19">
        <f>SUMIF('2020'!B:B,B2635,'2020'!C:C)+SUMIF('2021'!B:B,B2635,'2021'!C:C)+SUMIF('2022'!B:B,B2635,'2022'!C:C)</f>
        <v>266018.39</v>
      </c>
      <c r="O2635" s="219">
        <v>44925</v>
      </c>
      <c r="P2635" s="48" t="s">
        <v>3728</v>
      </c>
    </row>
    <row r="2636" spans="1:16" x14ac:dyDescent="0.3">
      <c r="A2636" s="59">
        <f t="shared" si="209"/>
        <v>2377</v>
      </c>
      <c r="B2636" s="66" t="s">
        <v>3933</v>
      </c>
      <c r="C2636" s="184">
        <v>1966</v>
      </c>
      <c r="D2636" s="48"/>
      <c r="E2636" s="190" t="s">
        <v>3645</v>
      </c>
      <c r="F2636" s="190">
        <v>2</v>
      </c>
      <c r="G2636" s="48"/>
      <c r="H2636" s="190">
        <v>659.6</v>
      </c>
      <c r="I2636" s="190">
        <v>45</v>
      </c>
      <c r="J2636" s="19">
        <f t="shared" si="204"/>
        <v>307489.8</v>
      </c>
      <c r="K2636" s="50"/>
      <c r="L2636" s="50"/>
      <c r="M2636" s="50"/>
      <c r="N2636" s="19">
        <f>SUMIF('2020'!B:B,B2636,'2020'!C:C)+SUMIF('2021'!B:B,B2636,'2021'!C:C)+SUMIF('2022'!B:B,B2636,'2022'!C:C)</f>
        <v>307489.8</v>
      </c>
      <c r="O2636" s="219">
        <v>44925</v>
      </c>
      <c r="P2636" s="48" t="s">
        <v>3728</v>
      </c>
    </row>
    <row r="2637" spans="1:16" x14ac:dyDescent="0.3">
      <c r="A2637" s="59">
        <f t="shared" si="209"/>
        <v>2378</v>
      </c>
      <c r="B2637" s="66" t="s">
        <v>3934</v>
      </c>
      <c r="C2637" s="184">
        <v>1978</v>
      </c>
      <c r="D2637" s="48"/>
      <c r="E2637" s="190" t="s">
        <v>3729</v>
      </c>
      <c r="F2637" s="190">
        <v>3</v>
      </c>
      <c r="G2637" s="48"/>
      <c r="H2637" s="190">
        <v>2016.9</v>
      </c>
      <c r="I2637" s="190">
        <v>65</v>
      </c>
      <c r="J2637" s="19">
        <f t="shared" si="204"/>
        <v>288967.08</v>
      </c>
      <c r="K2637" s="50"/>
      <c r="L2637" s="50"/>
      <c r="M2637" s="50"/>
      <c r="N2637" s="19">
        <f>SUMIF('2020'!B:B,B2637,'2020'!C:C)+SUMIF('2021'!B:B,B2637,'2021'!C:C)+SUMIF('2022'!B:B,B2637,'2022'!C:C)</f>
        <v>288967.08</v>
      </c>
      <c r="O2637" s="219">
        <v>44925</v>
      </c>
      <c r="P2637" s="48" t="s">
        <v>3728</v>
      </c>
    </row>
    <row r="2638" spans="1:16" x14ac:dyDescent="0.3">
      <c r="A2638" s="59">
        <f t="shared" si="209"/>
        <v>2379</v>
      </c>
      <c r="B2638" s="66" t="s">
        <v>3935</v>
      </c>
      <c r="C2638" s="184">
        <v>1966</v>
      </c>
      <c r="D2638" s="48"/>
      <c r="E2638" s="190" t="s">
        <v>3645</v>
      </c>
      <c r="F2638" s="190">
        <v>2</v>
      </c>
      <c r="G2638" s="48"/>
      <c r="H2638" s="190">
        <v>659.6</v>
      </c>
      <c r="I2638" s="190">
        <v>41</v>
      </c>
      <c r="J2638" s="19">
        <f t="shared" si="204"/>
        <v>303045.83999999997</v>
      </c>
      <c r="K2638" s="50"/>
      <c r="L2638" s="50"/>
      <c r="M2638" s="50"/>
      <c r="N2638" s="19">
        <f>SUMIF('2020'!B:B,B2638,'2020'!C:C)+SUMIF('2021'!B:B,B2638,'2021'!C:C)+SUMIF('2022'!B:B,B2638,'2022'!C:C)</f>
        <v>303045.83999999997</v>
      </c>
      <c r="O2638" s="219">
        <v>44925</v>
      </c>
      <c r="P2638" s="48" t="s">
        <v>3728</v>
      </c>
    </row>
    <row r="2639" spans="1:16" x14ac:dyDescent="0.3">
      <c r="A2639" s="59">
        <f t="shared" si="209"/>
        <v>2380</v>
      </c>
      <c r="B2639" s="66" t="s">
        <v>3936</v>
      </c>
      <c r="C2639" s="184">
        <v>1978</v>
      </c>
      <c r="D2639" s="48"/>
      <c r="E2639" s="190" t="s">
        <v>3729</v>
      </c>
      <c r="F2639" s="190">
        <v>3</v>
      </c>
      <c r="G2639" s="48"/>
      <c r="H2639" s="190">
        <v>2017</v>
      </c>
      <c r="I2639" s="190">
        <v>58</v>
      </c>
      <c r="J2639" s="19">
        <f t="shared" si="204"/>
        <v>505251.88</v>
      </c>
      <c r="K2639" s="50"/>
      <c r="L2639" s="50"/>
      <c r="M2639" s="50"/>
      <c r="N2639" s="19">
        <f>SUMIF('2020'!B:B,B2639,'2020'!C:C)+SUMIF('2021'!B:B,B2639,'2021'!C:C)+SUMIF('2022'!B:B,B2639,'2022'!C:C)</f>
        <v>505251.88</v>
      </c>
      <c r="O2639" s="219">
        <v>44925</v>
      </c>
      <c r="P2639" s="48" t="s">
        <v>3728</v>
      </c>
    </row>
    <row r="2640" spans="1:16" x14ac:dyDescent="0.3">
      <c r="A2640" s="59">
        <f t="shared" si="209"/>
        <v>2381</v>
      </c>
      <c r="B2640" s="66" t="s">
        <v>3937</v>
      </c>
      <c r="C2640" s="184">
        <v>1971</v>
      </c>
      <c r="D2640" s="48"/>
      <c r="E2640" s="190" t="s">
        <v>3645</v>
      </c>
      <c r="F2640" s="190">
        <v>2</v>
      </c>
      <c r="G2640" s="48"/>
      <c r="H2640" s="190">
        <v>764.7</v>
      </c>
      <c r="I2640" s="190">
        <v>38</v>
      </c>
      <c r="J2640" s="19">
        <f t="shared" si="204"/>
        <v>113597.11</v>
      </c>
      <c r="K2640" s="50"/>
      <c r="L2640" s="50"/>
      <c r="M2640" s="50"/>
      <c r="N2640" s="19">
        <f>SUMIF('2020'!B:B,B2640,'2020'!C:C)+SUMIF('2021'!B:B,B2640,'2021'!C:C)+SUMIF('2022'!B:B,B2640,'2022'!C:C)</f>
        <v>113597.11</v>
      </c>
      <c r="O2640" s="219">
        <v>44925</v>
      </c>
      <c r="P2640" s="48" t="s">
        <v>3728</v>
      </c>
    </row>
    <row r="2641" spans="1:16" x14ac:dyDescent="0.3">
      <c r="A2641" s="59">
        <f t="shared" si="209"/>
        <v>2382</v>
      </c>
      <c r="B2641" s="66" t="s">
        <v>3938</v>
      </c>
      <c r="C2641" s="184">
        <v>1978</v>
      </c>
      <c r="D2641" s="48"/>
      <c r="E2641" s="190" t="s">
        <v>3729</v>
      </c>
      <c r="F2641" s="190">
        <v>3</v>
      </c>
      <c r="G2641" s="48"/>
      <c r="H2641" s="190">
        <v>2017</v>
      </c>
      <c r="I2641" s="190">
        <v>38</v>
      </c>
      <c r="J2641" s="19">
        <f t="shared" si="204"/>
        <v>130000</v>
      </c>
      <c r="K2641" s="50"/>
      <c r="L2641" s="50"/>
      <c r="M2641" s="50"/>
      <c r="N2641" s="19">
        <f>SUMIF('2020'!B:B,B2641,'2020'!C:C)+SUMIF('2021'!B:B,B2641,'2021'!C:C)+SUMIF('2022'!B:B,B2641,'2022'!C:C)</f>
        <v>130000</v>
      </c>
      <c r="O2641" s="219">
        <v>44925</v>
      </c>
      <c r="P2641" s="48" t="s">
        <v>3728</v>
      </c>
    </row>
    <row r="2642" spans="1:16" x14ac:dyDescent="0.3">
      <c r="A2642" s="59">
        <f t="shared" si="209"/>
        <v>2383</v>
      </c>
      <c r="B2642" s="66" t="s">
        <v>3939</v>
      </c>
      <c r="C2642" s="184">
        <v>1971</v>
      </c>
      <c r="D2642" s="48"/>
      <c r="E2642" s="190" t="s">
        <v>3645</v>
      </c>
      <c r="F2642" s="190">
        <v>2</v>
      </c>
      <c r="G2642" s="48"/>
      <c r="H2642" s="190">
        <v>760.5</v>
      </c>
      <c r="I2642" s="190">
        <v>40</v>
      </c>
      <c r="J2642" s="19">
        <f t="shared" si="204"/>
        <v>111689.34</v>
      </c>
      <c r="K2642" s="50"/>
      <c r="L2642" s="50"/>
      <c r="M2642" s="50"/>
      <c r="N2642" s="19">
        <f>SUMIF('2020'!B:B,B2642,'2020'!C:C)+SUMIF('2021'!B:B,B2642,'2021'!C:C)+SUMIF('2022'!B:B,B2642,'2022'!C:C)</f>
        <v>111689.34</v>
      </c>
      <c r="O2642" s="219">
        <v>44925</v>
      </c>
      <c r="P2642" s="48" t="s">
        <v>3728</v>
      </c>
    </row>
    <row r="2643" spans="1:16" x14ac:dyDescent="0.3">
      <c r="A2643" s="59">
        <f t="shared" si="209"/>
        <v>2384</v>
      </c>
      <c r="B2643" s="66" t="s">
        <v>3940</v>
      </c>
      <c r="C2643" s="184">
        <v>1959</v>
      </c>
      <c r="D2643" s="48"/>
      <c r="E2643" s="190" t="s">
        <v>3646</v>
      </c>
      <c r="F2643" s="190">
        <v>2</v>
      </c>
      <c r="G2643" s="48"/>
      <c r="H2643" s="190">
        <v>468.4</v>
      </c>
      <c r="I2643" s="190">
        <v>24</v>
      </c>
      <c r="J2643" s="19">
        <f t="shared" si="204"/>
        <v>601818.74</v>
      </c>
      <c r="K2643" s="50"/>
      <c r="L2643" s="50"/>
      <c r="M2643" s="50"/>
      <c r="N2643" s="19">
        <f>SUMIF('2020'!B:B,B2643,'2020'!C:C)+SUMIF('2021'!B:B,B2643,'2021'!C:C)+SUMIF('2022'!B:B,B2643,'2022'!C:C)</f>
        <v>601818.74</v>
      </c>
      <c r="O2643" s="219">
        <v>44925</v>
      </c>
      <c r="P2643" s="48" t="s">
        <v>3728</v>
      </c>
    </row>
    <row r="2644" spans="1:16" x14ac:dyDescent="0.3">
      <c r="A2644" s="59">
        <f t="shared" si="209"/>
        <v>2385</v>
      </c>
      <c r="B2644" s="66" t="s">
        <v>3941</v>
      </c>
      <c r="C2644" s="184">
        <v>1960</v>
      </c>
      <c r="D2644" s="48"/>
      <c r="E2644" s="190" t="s">
        <v>3646</v>
      </c>
      <c r="F2644" s="190">
        <v>2</v>
      </c>
      <c r="G2644" s="48"/>
      <c r="H2644" s="190">
        <v>672.4</v>
      </c>
      <c r="I2644" s="190">
        <v>20</v>
      </c>
      <c r="J2644" s="19">
        <f t="shared" si="204"/>
        <v>512145.28</v>
      </c>
      <c r="K2644" s="50"/>
      <c r="L2644" s="50"/>
      <c r="M2644" s="50"/>
      <c r="N2644" s="19">
        <f>SUMIF('2020'!B:B,B2644,'2020'!C:C)+SUMIF('2021'!B:B,B2644,'2021'!C:C)+SUMIF('2022'!B:B,B2644,'2022'!C:C)</f>
        <v>512145.28</v>
      </c>
      <c r="O2644" s="219">
        <v>44925</v>
      </c>
      <c r="P2644" s="48" t="s">
        <v>3728</v>
      </c>
    </row>
    <row r="2645" spans="1:16" x14ac:dyDescent="0.3">
      <c r="A2645" s="59">
        <f t="shared" si="209"/>
        <v>2386</v>
      </c>
      <c r="B2645" s="66" t="s">
        <v>3942</v>
      </c>
      <c r="C2645" s="184">
        <v>1961</v>
      </c>
      <c r="D2645" s="48"/>
      <c r="E2645" s="190" t="s">
        <v>3646</v>
      </c>
      <c r="F2645" s="190">
        <v>2</v>
      </c>
      <c r="G2645" s="48"/>
      <c r="H2645" s="190">
        <v>670</v>
      </c>
      <c r="I2645" s="190">
        <v>27</v>
      </c>
      <c r="J2645" s="19">
        <f t="shared" si="204"/>
        <v>516268.32000000007</v>
      </c>
      <c r="K2645" s="50"/>
      <c r="L2645" s="50"/>
      <c r="M2645" s="50"/>
      <c r="N2645" s="19">
        <f>SUMIF('2020'!B:B,B2645,'2020'!C:C)+SUMIF('2021'!B:B,B2645,'2021'!C:C)+SUMIF('2022'!B:B,B2645,'2022'!C:C)</f>
        <v>516268.32000000007</v>
      </c>
      <c r="O2645" s="219">
        <v>44925</v>
      </c>
      <c r="P2645" s="48" t="s">
        <v>3728</v>
      </c>
    </row>
    <row r="2646" spans="1:16" x14ac:dyDescent="0.3">
      <c r="A2646" s="59">
        <f t="shared" si="209"/>
        <v>2387</v>
      </c>
      <c r="B2646" s="66" t="s">
        <v>3943</v>
      </c>
      <c r="C2646" s="184">
        <v>1961</v>
      </c>
      <c r="D2646" s="48"/>
      <c r="E2646" s="190" t="s">
        <v>3646</v>
      </c>
      <c r="F2646" s="190">
        <v>2</v>
      </c>
      <c r="G2646" s="48"/>
      <c r="H2646" s="190">
        <v>675.9</v>
      </c>
      <c r="I2646" s="190">
        <v>21</v>
      </c>
      <c r="J2646" s="19">
        <f t="shared" si="204"/>
        <v>318280.22000000003</v>
      </c>
      <c r="K2646" s="50"/>
      <c r="L2646" s="50"/>
      <c r="M2646" s="50"/>
      <c r="N2646" s="19">
        <f>SUMIF('2020'!B:B,B2646,'2020'!C:C)+SUMIF('2021'!B:B,B2646,'2021'!C:C)+SUMIF('2022'!B:B,B2646,'2022'!C:C)</f>
        <v>318280.22000000003</v>
      </c>
      <c r="O2646" s="219">
        <v>44925</v>
      </c>
      <c r="P2646" s="48" t="s">
        <v>3728</v>
      </c>
    </row>
    <row r="2647" spans="1:16" x14ac:dyDescent="0.3">
      <c r="A2647" s="59">
        <f t="shared" si="209"/>
        <v>2388</v>
      </c>
      <c r="B2647" s="66" t="s">
        <v>3944</v>
      </c>
      <c r="C2647" s="184">
        <v>1961</v>
      </c>
      <c r="D2647" s="48"/>
      <c r="E2647" s="190" t="s">
        <v>3646</v>
      </c>
      <c r="F2647" s="190">
        <v>2</v>
      </c>
      <c r="G2647" s="48"/>
      <c r="H2647" s="190">
        <v>677.6</v>
      </c>
      <c r="I2647" s="190">
        <v>27</v>
      </c>
      <c r="J2647" s="19">
        <f t="shared" si="204"/>
        <v>324790.09000000003</v>
      </c>
      <c r="K2647" s="50"/>
      <c r="L2647" s="50"/>
      <c r="M2647" s="50"/>
      <c r="N2647" s="19">
        <f>SUMIF('2020'!B:B,B2647,'2020'!C:C)+SUMIF('2021'!B:B,B2647,'2021'!C:C)+SUMIF('2022'!B:B,B2647,'2022'!C:C)</f>
        <v>324790.09000000003</v>
      </c>
      <c r="O2647" s="219">
        <v>44925</v>
      </c>
      <c r="P2647" s="48" t="s">
        <v>3728</v>
      </c>
    </row>
    <row r="2648" spans="1:16" x14ac:dyDescent="0.3">
      <c r="A2648" s="59">
        <f t="shared" si="209"/>
        <v>2389</v>
      </c>
      <c r="B2648" s="66" t="s">
        <v>3945</v>
      </c>
      <c r="C2648" s="184">
        <v>1961</v>
      </c>
      <c r="D2648" s="48"/>
      <c r="E2648" s="190" t="s">
        <v>3646</v>
      </c>
      <c r="F2648" s="190">
        <v>2</v>
      </c>
      <c r="G2648" s="48"/>
      <c r="H2648" s="190">
        <v>671.9</v>
      </c>
      <c r="I2648" s="190">
        <v>20</v>
      </c>
      <c r="J2648" s="19">
        <f t="shared" si="204"/>
        <v>516268.32000000007</v>
      </c>
      <c r="K2648" s="50"/>
      <c r="L2648" s="50"/>
      <c r="M2648" s="50"/>
      <c r="N2648" s="19">
        <f>SUMIF('2020'!B:B,B2648,'2020'!C:C)+SUMIF('2021'!B:B,B2648,'2021'!C:C)+SUMIF('2022'!B:B,B2648,'2022'!C:C)</f>
        <v>516268.32000000007</v>
      </c>
      <c r="O2648" s="219">
        <v>44925</v>
      </c>
      <c r="P2648" s="48" t="s">
        <v>3728</v>
      </c>
    </row>
    <row r="2649" spans="1:16" x14ac:dyDescent="0.3">
      <c r="A2649" s="59">
        <f t="shared" si="209"/>
        <v>2390</v>
      </c>
      <c r="B2649" s="66" t="s">
        <v>3946</v>
      </c>
      <c r="C2649" s="184">
        <v>1961</v>
      </c>
      <c r="D2649" s="48"/>
      <c r="E2649" s="190" t="s">
        <v>3646</v>
      </c>
      <c r="F2649" s="190">
        <v>2</v>
      </c>
      <c r="G2649" s="48"/>
      <c r="H2649" s="190">
        <v>687.5</v>
      </c>
      <c r="I2649" s="190">
        <v>22</v>
      </c>
      <c r="J2649" s="19">
        <f t="shared" si="204"/>
        <v>516268.32000000007</v>
      </c>
      <c r="K2649" s="50"/>
      <c r="L2649" s="50"/>
      <c r="M2649" s="50"/>
      <c r="N2649" s="19">
        <f>SUMIF('2020'!B:B,B2649,'2020'!C:C)+SUMIF('2021'!B:B,B2649,'2021'!C:C)+SUMIF('2022'!B:B,B2649,'2022'!C:C)</f>
        <v>516268.32000000007</v>
      </c>
      <c r="O2649" s="219">
        <v>44925</v>
      </c>
      <c r="P2649" s="48" t="s">
        <v>3728</v>
      </c>
    </row>
    <row r="2650" spans="1:16" x14ac:dyDescent="0.3">
      <c r="A2650" s="59">
        <f t="shared" si="209"/>
        <v>2391</v>
      </c>
      <c r="B2650" s="66" t="s">
        <v>3947</v>
      </c>
      <c r="C2650" s="184">
        <v>1961</v>
      </c>
      <c r="D2650" s="48"/>
      <c r="E2650" s="190" t="s">
        <v>3645</v>
      </c>
      <c r="F2650" s="190">
        <v>2</v>
      </c>
      <c r="G2650" s="48"/>
      <c r="H2650" s="190">
        <v>687.5</v>
      </c>
      <c r="I2650" s="190">
        <v>23</v>
      </c>
      <c r="J2650" s="19">
        <f t="shared" si="204"/>
        <v>516268.32000000007</v>
      </c>
      <c r="K2650" s="50"/>
      <c r="L2650" s="50"/>
      <c r="M2650" s="50"/>
      <c r="N2650" s="19">
        <f>SUMIF('2020'!B:B,B2650,'2020'!C:C)+SUMIF('2021'!B:B,B2650,'2021'!C:C)+SUMIF('2022'!B:B,B2650,'2022'!C:C)</f>
        <v>516268.32000000007</v>
      </c>
      <c r="O2650" s="219">
        <v>44925</v>
      </c>
      <c r="P2650" s="48" t="s">
        <v>3728</v>
      </c>
    </row>
    <row r="2651" spans="1:16" x14ac:dyDescent="0.3">
      <c r="A2651" s="59">
        <f t="shared" si="209"/>
        <v>2392</v>
      </c>
      <c r="B2651" s="66" t="s">
        <v>3948</v>
      </c>
      <c r="C2651" s="184">
        <v>1961</v>
      </c>
      <c r="D2651" s="48"/>
      <c r="E2651" s="190" t="s">
        <v>3646</v>
      </c>
      <c r="F2651" s="190">
        <v>2</v>
      </c>
      <c r="G2651" s="48"/>
      <c r="H2651" s="190">
        <v>670</v>
      </c>
      <c r="I2651" s="190">
        <v>24</v>
      </c>
      <c r="J2651" s="19">
        <f t="shared" si="204"/>
        <v>519164.72</v>
      </c>
      <c r="K2651" s="50"/>
      <c r="L2651" s="50"/>
      <c r="M2651" s="50"/>
      <c r="N2651" s="19">
        <f>SUMIF('2020'!B:B,B2651,'2020'!C:C)+SUMIF('2021'!B:B,B2651,'2021'!C:C)+SUMIF('2022'!B:B,B2651,'2022'!C:C)</f>
        <v>519164.72</v>
      </c>
      <c r="O2651" s="219">
        <v>44925</v>
      </c>
      <c r="P2651" s="48" t="s">
        <v>3728</v>
      </c>
    </row>
    <row r="2652" spans="1:16" x14ac:dyDescent="0.3">
      <c r="A2652" s="59">
        <f t="shared" si="209"/>
        <v>2393</v>
      </c>
      <c r="B2652" s="66" t="s">
        <v>3949</v>
      </c>
      <c r="C2652" s="184">
        <v>1981</v>
      </c>
      <c r="D2652" s="48"/>
      <c r="E2652" s="190" t="s">
        <v>3645</v>
      </c>
      <c r="F2652" s="190">
        <v>2</v>
      </c>
      <c r="G2652" s="48"/>
      <c r="H2652" s="190">
        <v>983.9</v>
      </c>
      <c r="I2652" s="190">
        <v>31</v>
      </c>
      <c r="J2652" s="19">
        <f t="shared" si="204"/>
        <v>217116.78</v>
      </c>
      <c r="K2652" s="50"/>
      <c r="L2652" s="50"/>
      <c r="M2652" s="50"/>
      <c r="N2652" s="19">
        <f>SUMIF('2020'!B:B,B2652,'2020'!C:C)+SUMIF('2021'!B:B,B2652,'2021'!C:C)+SUMIF('2022'!B:B,B2652,'2022'!C:C)</f>
        <v>217116.78</v>
      </c>
      <c r="O2652" s="219">
        <v>44925</v>
      </c>
      <c r="P2652" s="48" t="s">
        <v>3728</v>
      </c>
    </row>
    <row r="2653" spans="1:16" x14ac:dyDescent="0.3">
      <c r="A2653" s="59">
        <f t="shared" si="209"/>
        <v>2394</v>
      </c>
      <c r="B2653" s="66" t="s">
        <v>3950</v>
      </c>
      <c r="C2653" s="184">
        <v>1960</v>
      </c>
      <c r="D2653" s="48"/>
      <c r="E2653" s="190" t="s">
        <v>3646</v>
      </c>
      <c r="F2653" s="190">
        <v>2</v>
      </c>
      <c r="G2653" s="48"/>
      <c r="H2653" s="190">
        <v>663.6</v>
      </c>
      <c r="I2653" s="190">
        <v>22</v>
      </c>
      <c r="J2653" s="19">
        <f t="shared" si="204"/>
        <v>318280.22000000003</v>
      </c>
      <c r="K2653" s="50"/>
      <c r="L2653" s="50"/>
      <c r="M2653" s="50"/>
      <c r="N2653" s="19">
        <f>SUMIF('2020'!B:B,B2653,'2020'!C:C)+SUMIF('2021'!B:B,B2653,'2021'!C:C)+SUMIF('2022'!B:B,B2653,'2022'!C:C)</f>
        <v>318280.22000000003</v>
      </c>
      <c r="O2653" s="219">
        <v>44925</v>
      </c>
      <c r="P2653" s="48" t="s">
        <v>3728</v>
      </c>
    </row>
    <row r="2654" spans="1:16" x14ac:dyDescent="0.3">
      <c r="A2654" s="59">
        <f t="shared" si="209"/>
        <v>2395</v>
      </c>
      <c r="B2654" s="66" t="s">
        <v>3951</v>
      </c>
      <c r="C2654" s="184">
        <v>1960</v>
      </c>
      <c r="D2654" s="48"/>
      <c r="E2654" s="190" t="s">
        <v>3646</v>
      </c>
      <c r="F2654" s="190">
        <v>2</v>
      </c>
      <c r="G2654" s="48"/>
      <c r="H2654" s="190">
        <v>665</v>
      </c>
      <c r="I2654" s="190">
        <v>25</v>
      </c>
      <c r="J2654" s="19">
        <f t="shared" si="204"/>
        <v>509394.51</v>
      </c>
      <c r="K2654" s="50"/>
      <c r="L2654" s="50"/>
      <c r="M2654" s="50"/>
      <c r="N2654" s="19">
        <f>SUMIF('2020'!B:B,B2654,'2020'!C:C)+SUMIF('2021'!B:B,B2654,'2021'!C:C)+SUMIF('2022'!B:B,B2654,'2022'!C:C)</f>
        <v>509394.51</v>
      </c>
      <c r="O2654" s="219">
        <v>44925</v>
      </c>
      <c r="P2654" s="48" t="s">
        <v>3728</v>
      </c>
    </row>
    <row r="2655" spans="1:16" x14ac:dyDescent="0.3">
      <c r="A2655" s="59">
        <f t="shared" si="209"/>
        <v>2396</v>
      </c>
      <c r="B2655" s="66" t="s">
        <v>3952</v>
      </c>
      <c r="C2655" s="184">
        <v>1960</v>
      </c>
      <c r="D2655" s="48"/>
      <c r="E2655" s="190" t="s">
        <v>3646</v>
      </c>
      <c r="F2655" s="190">
        <v>2</v>
      </c>
      <c r="G2655" s="48"/>
      <c r="H2655" s="190">
        <v>684.1</v>
      </c>
      <c r="I2655" s="190">
        <v>25</v>
      </c>
      <c r="J2655" s="19">
        <f t="shared" si="204"/>
        <v>509458.01</v>
      </c>
      <c r="K2655" s="50"/>
      <c r="L2655" s="50"/>
      <c r="M2655" s="50"/>
      <c r="N2655" s="19">
        <f>SUMIF('2020'!B:B,B2655,'2020'!C:C)+SUMIF('2021'!B:B,B2655,'2021'!C:C)+SUMIF('2022'!B:B,B2655,'2022'!C:C)</f>
        <v>509458.01</v>
      </c>
      <c r="O2655" s="219">
        <v>44925</v>
      </c>
      <c r="P2655" s="48" t="s">
        <v>3728</v>
      </c>
    </row>
    <row r="2656" spans="1:16" x14ac:dyDescent="0.3">
      <c r="A2656" s="59">
        <f t="shared" si="209"/>
        <v>2397</v>
      </c>
      <c r="B2656" s="66" t="s">
        <v>3953</v>
      </c>
      <c r="C2656" s="184">
        <v>1960</v>
      </c>
      <c r="D2656" s="48"/>
      <c r="E2656" s="190" t="s">
        <v>3646</v>
      </c>
      <c r="F2656" s="190">
        <v>2</v>
      </c>
      <c r="G2656" s="48"/>
      <c r="H2656" s="190">
        <v>710.1</v>
      </c>
      <c r="I2656" s="190">
        <v>25</v>
      </c>
      <c r="J2656" s="19">
        <f t="shared" si="204"/>
        <v>338398.98</v>
      </c>
      <c r="K2656" s="50"/>
      <c r="L2656" s="50"/>
      <c r="M2656" s="50"/>
      <c r="N2656" s="19">
        <f>SUMIF('2020'!B:B,B2656,'2020'!C:C)+SUMIF('2021'!B:B,B2656,'2021'!C:C)+SUMIF('2022'!B:B,B2656,'2022'!C:C)</f>
        <v>338398.98</v>
      </c>
      <c r="O2656" s="219">
        <v>44925</v>
      </c>
      <c r="P2656" s="48" t="s">
        <v>3728</v>
      </c>
    </row>
    <row r="2657" spans="1:16" x14ac:dyDescent="0.3">
      <c r="A2657" s="59">
        <f t="shared" si="209"/>
        <v>2398</v>
      </c>
      <c r="B2657" s="66" t="s">
        <v>3954</v>
      </c>
      <c r="C2657" s="184">
        <v>1960</v>
      </c>
      <c r="D2657" s="48"/>
      <c r="E2657" s="190" t="s">
        <v>3646</v>
      </c>
      <c r="F2657" s="190">
        <v>2</v>
      </c>
      <c r="G2657" s="48"/>
      <c r="H2657" s="190">
        <v>686.7</v>
      </c>
      <c r="I2657" s="190">
        <v>38</v>
      </c>
      <c r="J2657" s="19">
        <f t="shared" si="204"/>
        <v>519613.68</v>
      </c>
      <c r="K2657" s="50"/>
      <c r="L2657" s="50"/>
      <c r="M2657" s="50"/>
      <c r="N2657" s="19">
        <f>SUMIF('2020'!B:B,B2657,'2020'!C:C)+SUMIF('2021'!B:B,B2657,'2021'!C:C)+SUMIF('2022'!B:B,B2657,'2022'!C:C)</f>
        <v>519613.68</v>
      </c>
      <c r="O2657" s="219">
        <v>44925</v>
      </c>
      <c r="P2657" s="48" t="s">
        <v>3728</v>
      </c>
    </row>
    <row r="2658" spans="1:16" x14ac:dyDescent="0.3">
      <c r="A2658" s="59">
        <f t="shared" si="209"/>
        <v>2399</v>
      </c>
      <c r="B2658" s="66" t="s">
        <v>3955</v>
      </c>
      <c r="C2658" s="184">
        <v>1960</v>
      </c>
      <c r="D2658" s="48"/>
      <c r="E2658" s="190" t="s">
        <v>3646</v>
      </c>
      <c r="F2658" s="190">
        <v>2</v>
      </c>
      <c r="G2658" s="48"/>
      <c r="H2658" s="190">
        <v>711.9</v>
      </c>
      <c r="I2658" s="190">
        <v>28</v>
      </c>
      <c r="J2658" s="19">
        <f t="shared" si="204"/>
        <v>338398.98</v>
      </c>
      <c r="K2658" s="50"/>
      <c r="L2658" s="50"/>
      <c r="M2658" s="50"/>
      <c r="N2658" s="19">
        <f>SUMIF('2020'!B:B,B2658,'2020'!C:C)+SUMIF('2021'!B:B,B2658,'2021'!C:C)+SUMIF('2022'!B:B,B2658,'2022'!C:C)</f>
        <v>338398.98</v>
      </c>
      <c r="O2658" s="219">
        <v>44925</v>
      </c>
      <c r="P2658" s="48" t="s">
        <v>3728</v>
      </c>
    </row>
    <row r="2659" spans="1:16" x14ac:dyDescent="0.3">
      <c r="A2659" s="59">
        <f t="shared" si="209"/>
        <v>2400</v>
      </c>
      <c r="B2659" s="66" t="s">
        <v>3956</v>
      </c>
      <c r="C2659" s="184">
        <v>1960</v>
      </c>
      <c r="D2659" s="48"/>
      <c r="E2659" s="190" t="s">
        <v>3646</v>
      </c>
      <c r="F2659" s="190">
        <v>2</v>
      </c>
      <c r="G2659" s="48"/>
      <c r="H2659" s="190">
        <v>682.2</v>
      </c>
      <c r="I2659" s="190">
        <v>24</v>
      </c>
      <c r="J2659" s="19">
        <f t="shared" si="204"/>
        <v>320679.61</v>
      </c>
      <c r="K2659" s="50"/>
      <c r="L2659" s="50"/>
      <c r="M2659" s="50"/>
      <c r="N2659" s="19">
        <f>SUMIF('2020'!B:B,B2659,'2020'!C:C)+SUMIF('2021'!B:B,B2659,'2021'!C:C)+SUMIF('2022'!B:B,B2659,'2022'!C:C)</f>
        <v>320679.61</v>
      </c>
      <c r="O2659" s="219">
        <v>44925</v>
      </c>
      <c r="P2659" s="48" t="s">
        <v>3728</v>
      </c>
    </row>
    <row r="2660" spans="1:16" x14ac:dyDescent="0.3">
      <c r="A2660" s="59">
        <f t="shared" si="209"/>
        <v>2401</v>
      </c>
      <c r="B2660" s="66" t="s">
        <v>3957</v>
      </c>
      <c r="C2660" s="184">
        <v>1960</v>
      </c>
      <c r="D2660" s="48"/>
      <c r="E2660" s="190" t="s">
        <v>3646</v>
      </c>
      <c r="F2660" s="190">
        <v>2</v>
      </c>
      <c r="G2660" s="48"/>
      <c r="H2660" s="190">
        <v>711.9</v>
      </c>
      <c r="I2660" s="190">
        <v>26</v>
      </c>
      <c r="J2660" s="19">
        <f t="shared" si="204"/>
        <v>338398.98</v>
      </c>
      <c r="K2660" s="50"/>
      <c r="L2660" s="50"/>
      <c r="M2660" s="50"/>
      <c r="N2660" s="19">
        <f>SUMIF('2020'!B:B,B2660,'2020'!C:C)+SUMIF('2021'!B:B,B2660,'2021'!C:C)+SUMIF('2022'!B:B,B2660,'2022'!C:C)</f>
        <v>338398.98</v>
      </c>
      <c r="O2660" s="219">
        <v>44925</v>
      </c>
      <c r="P2660" s="48" t="s">
        <v>3728</v>
      </c>
    </row>
    <row r="2661" spans="1:16" x14ac:dyDescent="0.3">
      <c r="A2661" s="449" t="s">
        <v>211</v>
      </c>
      <c r="B2661" s="449"/>
      <c r="C2661" s="50"/>
      <c r="D2661" s="50"/>
      <c r="E2661" s="48"/>
      <c r="F2661" s="48"/>
      <c r="G2661" s="50"/>
      <c r="H2661" s="19">
        <f t="shared" ref="H2661" si="210">I2661+J2661+K2661+L2661</f>
        <v>20143292.800000001</v>
      </c>
      <c r="I2661" s="19">
        <f t="shared" ref="I2661" si="211">J2661+K2661+L2661+M2661</f>
        <v>10071646.4</v>
      </c>
      <c r="J2661" s="19">
        <f t="shared" si="204"/>
        <v>10071646.4</v>
      </c>
      <c r="K2661" s="50">
        <v>0</v>
      </c>
      <c r="L2661" s="50">
        <v>0</v>
      </c>
      <c r="M2661" s="50">
        <f>N2661-'2021'!C2058</f>
        <v>0</v>
      </c>
      <c r="N2661" s="19">
        <f>SUM(N2634:N2660)</f>
        <v>10071646.4</v>
      </c>
      <c r="O2661" s="50"/>
      <c r="P2661" s="50"/>
    </row>
    <row r="2662" spans="1:16" x14ac:dyDescent="0.3">
      <c r="A2662" s="448" t="s">
        <v>3958</v>
      </c>
      <c r="B2662" s="448"/>
      <c r="C2662" s="50"/>
      <c r="D2662" s="50"/>
      <c r="E2662" s="48"/>
      <c r="F2662" s="48"/>
      <c r="G2662" s="50"/>
      <c r="H2662" s="48"/>
      <c r="I2662" s="48"/>
      <c r="J2662" s="19"/>
      <c r="K2662" s="50"/>
      <c r="L2662" s="50"/>
      <c r="M2662" s="50"/>
      <c r="N2662" s="50"/>
      <c r="O2662" s="50"/>
      <c r="P2662" s="50"/>
    </row>
    <row r="2663" spans="1:16" x14ac:dyDescent="0.3">
      <c r="A2663" s="59">
        <f>A2660+1</f>
        <v>2402</v>
      </c>
      <c r="B2663" s="66" t="s">
        <v>3959</v>
      </c>
      <c r="C2663" s="184">
        <v>1965</v>
      </c>
      <c r="D2663" s="48"/>
      <c r="E2663" s="191" t="s">
        <v>3733</v>
      </c>
      <c r="F2663" s="83">
        <v>2</v>
      </c>
      <c r="G2663" s="48"/>
      <c r="H2663" s="192">
        <v>664.6</v>
      </c>
      <c r="I2663" s="191">
        <v>38</v>
      </c>
      <c r="J2663" s="19">
        <f t="shared" si="204"/>
        <v>130000</v>
      </c>
      <c r="K2663" s="50"/>
      <c r="L2663" s="50"/>
      <c r="M2663" s="50"/>
      <c r="N2663" s="19">
        <f>SUMIF('2020'!B:B,B2663,'2020'!C:C)+SUMIF('2021'!B:B,B2663,'2021'!C:C)+SUMIF('2022'!B:B,B2663,'2022'!C:C)</f>
        <v>130000</v>
      </c>
      <c r="O2663" s="219">
        <v>44925</v>
      </c>
      <c r="P2663" s="48" t="s">
        <v>3728</v>
      </c>
    </row>
    <row r="2664" spans="1:16" x14ac:dyDescent="0.3">
      <c r="A2664" s="59">
        <f t="shared" ref="A2664:A2682" si="212">A2663+1</f>
        <v>2403</v>
      </c>
      <c r="B2664" s="66" t="s">
        <v>3960</v>
      </c>
      <c r="C2664" s="184">
        <v>1969</v>
      </c>
      <c r="D2664" s="48"/>
      <c r="E2664" s="191" t="s">
        <v>3733</v>
      </c>
      <c r="F2664" s="83">
        <v>2</v>
      </c>
      <c r="G2664" s="48"/>
      <c r="H2664" s="192">
        <v>570.29999999999995</v>
      </c>
      <c r="I2664" s="191">
        <v>39</v>
      </c>
      <c r="J2664" s="19">
        <f t="shared" si="204"/>
        <v>130000</v>
      </c>
      <c r="K2664" s="50"/>
      <c r="L2664" s="50"/>
      <c r="M2664" s="50"/>
      <c r="N2664" s="19">
        <f>SUMIF('2020'!B:B,B2664,'2020'!C:C)+SUMIF('2021'!B:B,B2664,'2021'!C:C)+SUMIF('2022'!B:B,B2664,'2022'!C:C)</f>
        <v>130000</v>
      </c>
      <c r="O2664" s="219">
        <v>44925</v>
      </c>
      <c r="P2664" s="48" t="s">
        <v>3728</v>
      </c>
    </row>
    <row r="2665" spans="1:16" x14ac:dyDescent="0.3">
      <c r="A2665" s="59">
        <f t="shared" si="212"/>
        <v>2404</v>
      </c>
      <c r="B2665" s="66" t="s">
        <v>3961</v>
      </c>
      <c r="C2665" s="184">
        <v>1969</v>
      </c>
      <c r="D2665" s="48"/>
      <c r="E2665" s="191" t="s">
        <v>3733</v>
      </c>
      <c r="F2665" s="83">
        <v>2</v>
      </c>
      <c r="G2665" s="48"/>
      <c r="H2665" s="192">
        <v>570.6</v>
      </c>
      <c r="I2665" s="191">
        <v>28</v>
      </c>
      <c r="J2665" s="19">
        <f t="shared" si="204"/>
        <v>130000</v>
      </c>
      <c r="K2665" s="50"/>
      <c r="L2665" s="50"/>
      <c r="M2665" s="50"/>
      <c r="N2665" s="19">
        <f>SUMIF('2020'!B:B,B2665,'2020'!C:C)+SUMIF('2021'!B:B,B2665,'2021'!C:C)+SUMIF('2022'!B:B,B2665,'2022'!C:C)</f>
        <v>130000</v>
      </c>
      <c r="O2665" s="219">
        <v>44925</v>
      </c>
      <c r="P2665" s="48" t="s">
        <v>3728</v>
      </c>
    </row>
    <row r="2666" spans="1:16" x14ac:dyDescent="0.3">
      <c r="A2666" s="59">
        <f t="shared" si="212"/>
        <v>2405</v>
      </c>
      <c r="B2666" s="66" t="s">
        <v>3962</v>
      </c>
      <c r="C2666" s="184">
        <v>1970</v>
      </c>
      <c r="D2666" s="48"/>
      <c r="E2666" s="191" t="s">
        <v>3733</v>
      </c>
      <c r="F2666" s="83">
        <v>2</v>
      </c>
      <c r="G2666" s="48"/>
      <c r="H2666" s="192">
        <v>538.5</v>
      </c>
      <c r="I2666" s="191">
        <v>11</v>
      </c>
      <c r="J2666" s="19">
        <f t="shared" si="204"/>
        <v>130000</v>
      </c>
      <c r="K2666" s="50"/>
      <c r="L2666" s="50"/>
      <c r="M2666" s="50"/>
      <c r="N2666" s="19">
        <f>SUMIF('2020'!B:B,B2666,'2020'!C:C)+SUMIF('2021'!B:B,B2666,'2021'!C:C)+SUMIF('2022'!B:B,B2666,'2022'!C:C)</f>
        <v>130000</v>
      </c>
      <c r="O2666" s="219">
        <v>44925</v>
      </c>
      <c r="P2666" s="48" t="s">
        <v>3728</v>
      </c>
    </row>
    <row r="2667" spans="1:16" x14ac:dyDescent="0.3">
      <c r="A2667" s="59">
        <f t="shared" si="212"/>
        <v>2406</v>
      </c>
      <c r="B2667" s="66" t="s">
        <v>3963</v>
      </c>
      <c r="C2667" s="184">
        <v>1966</v>
      </c>
      <c r="D2667" s="48"/>
      <c r="E2667" s="191" t="s">
        <v>3733</v>
      </c>
      <c r="F2667" s="83">
        <v>2</v>
      </c>
      <c r="G2667" s="48"/>
      <c r="H2667" s="192">
        <v>549.6</v>
      </c>
      <c r="I2667" s="191">
        <v>25</v>
      </c>
      <c r="J2667" s="19">
        <f t="shared" si="204"/>
        <v>130000</v>
      </c>
      <c r="K2667" s="50"/>
      <c r="L2667" s="50"/>
      <c r="M2667" s="50"/>
      <c r="N2667" s="19">
        <f>SUMIF('2020'!B:B,B2667,'2020'!C:C)+SUMIF('2021'!B:B,B2667,'2021'!C:C)+SUMIF('2022'!B:B,B2667,'2022'!C:C)</f>
        <v>130000</v>
      </c>
      <c r="O2667" s="219">
        <v>44925</v>
      </c>
      <c r="P2667" s="48" t="s">
        <v>3728</v>
      </c>
    </row>
    <row r="2668" spans="1:16" x14ac:dyDescent="0.3">
      <c r="A2668" s="59">
        <f t="shared" si="212"/>
        <v>2407</v>
      </c>
      <c r="B2668" s="66" t="s">
        <v>3964</v>
      </c>
      <c r="C2668" s="184">
        <v>1967</v>
      </c>
      <c r="D2668" s="48"/>
      <c r="E2668" s="191" t="s">
        <v>3733</v>
      </c>
      <c r="F2668" s="83">
        <v>2</v>
      </c>
      <c r="G2668" s="48"/>
      <c r="H2668" s="192">
        <v>530</v>
      </c>
      <c r="I2668" s="191">
        <v>30</v>
      </c>
      <c r="J2668" s="19">
        <f t="shared" si="204"/>
        <v>130000</v>
      </c>
      <c r="K2668" s="50"/>
      <c r="L2668" s="50"/>
      <c r="M2668" s="50"/>
      <c r="N2668" s="19">
        <f>SUMIF('2020'!B:B,B2668,'2020'!C:C)+SUMIF('2021'!B:B,B2668,'2021'!C:C)+SUMIF('2022'!B:B,B2668,'2022'!C:C)</f>
        <v>130000</v>
      </c>
      <c r="O2668" s="219">
        <v>44925</v>
      </c>
      <c r="P2668" s="48" t="s">
        <v>3728</v>
      </c>
    </row>
    <row r="2669" spans="1:16" x14ac:dyDescent="0.3">
      <c r="A2669" s="59">
        <f t="shared" si="212"/>
        <v>2408</v>
      </c>
      <c r="B2669" s="66" t="s">
        <v>3965</v>
      </c>
      <c r="C2669" s="184">
        <v>1977</v>
      </c>
      <c r="D2669" s="48"/>
      <c r="E2669" s="191" t="s">
        <v>3731</v>
      </c>
      <c r="F2669" s="83">
        <v>5</v>
      </c>
      <c r="G2669" s="48"/>
      <c r="H2669" s="192">
        <v>5006.6000000000004</v>
      </c>
      <c r="I2669" s="191">
        <v>167</v>
      </c>
      <c r="J2669" s="19">
        <f t="shared" si="204"/>
        <v>130000</v>
      </c>
      <c r="K2669" s="50"/>
      <c r="L2669" s="50"/>
      <c r="M2669" s="50"/>
      <c r="N2669" s="19">
        <f>SUMIF('2020'!B:B,B2669,'2020'!C:C)+SUMIF('2021'!B:B,B2669,'2021'!C:C)+SUMIF('2022'!B:B,B2669,'2022'!C:C)</f>
        <v>130000</v>
      </c>
      <c r="O2669" s="219">
        <v>44925</v>
      </c>
      <c r="P2669" s="48" t="s">
        <v>3728</v>
      </c>
    </row>
    <row r="2670" spans="1:16" x14ac:dyDescent="0.3">
      <c r="A2670" s="59">
        <f t="shared" si="212"/>
        <v>2409</v>
      </c>
      <c r="B2670" s="66" t="s">
        <v>3966</v>
      </c>
      <c r="C2670" s="184">
        <v>1977</v>
      </c>
      <c r="D2670" s="48"/>
      <c r="E2670" s="191" t="s">
        <v>3731</v>
      </c>
      <c r="F2670" s="83">
        <v>5</v>
      </c>
      <c r="G2670" s="48"/>
      <c r="H2670" s="192">
        <v>3975</v>
      </c>
      <c r="I2670" s="191">
        <v>126</v>
      </c>
      <c r="J2670" s="19">
        <f t="shared" si="204"/>
        <v>130000</v>
      </c>
      <c r="K2670" s="50"/>
      <c r="L2670" s="50"/>
      <c r="M2670" s="50"/>
      <c r="N2670" s="19">
        <f>SUMIF('2020'!B:B,B2670,'2020'!C:C)+SUMIF('2021'!B:B,B2670,'2021'!C:C)+SUMIF('2022'!B:B,B2670,'2022'!C:C)</f>
        <v>130000</v>
      </c>
      <c r="O2670" s="219">
        <v>44925</v>
      </c>
      <c r="P2670" s="48" t="s">
        <v>3728</v>
      </c>
    </row>
    <row r="2671" spans="1:16" x14ac:dyDescent="0.3">
      <c r="A2671" s="59">
        <f t="shared" si="212"/>
        <v>2410</v>
      </c>
      <c r="B2671" s="66" t="s">
        <v>3967</v>
      </c>
      <c r="C2671" s="184">
        <v>1984</v>
      </c>
      <c r="D2671" s="48"/>
      <c r="E2671" s="191" t="s">
        <v>3731</v>
      </c>
      <c r="F2671" s="83">
        <v>3</v>
      </c>
      <c r="G2671" s="48"/>
      <c r="H2671" s="192">
        <v>2096.1999999999998</v>
      </c>
      <c r="I2671" s="191">
        <v>52</v>
      </c>
      <c r="J2671" s="19">
        <f t="shared" si="204"/>
        <v>492972.77</v>
      </c>
      <c r="K2671" s="50"/>
      <c r="L2671" s="50"/>
      <c r="M2671" s="50"/>
      <c r="N2671" s="19">
        <f>SUMIF('2020'!B:B,B2671,'2020'!C:C)+SUMIF('2021'!B:B,B2671,'2021'!C:C)+SUMIF('2022'!B:B,B2671,'2022'!C:C)</f>
        <v>492972.77</v>
      </c>
      <c r="O2671" s="219">
        <v>44925</v>
      </c>
      <c r="P2671" s="48" t="s">
        <v>3728</v>
      </c>
    </row>
    <row r="2672" spans="1:16" x14ac:dyDescent="0.3">
      <c r="A2672" s="59">
        <f t="shared" si="212"/>
        <v>2411</v>
      </c>
      <c r="B2672" s="66" t="s">
        <v>3968</v>
      </c>
      <c r="C2672" s="184">
        <v>1965</v>
      </c>
      <c r="D2672" s="48"/>
      <c r="E2672" s="191" t="s">
        <v>3733</v>
      </c>
      <c r="F2672" s="83">
        <v>2</v>
      </c>
      <c r="G2672" s="48"/>
      <c r="H2672" s="192">
        <v>649.79999999999995</v>
      </c>
      <c r="I2672" s="191">
        <v>20</v>
      </c>
      <c r="J2672" s="19">
        <f t="shared" si="204"/>
        <v>130000</v>
      </c>
      <c r="K2672" s="50"/>
      <c r="L2672" s="50"/>
      <c r="M2672" s="50"/>
      <c r="N2672" s="19">
        <f>SUMIF('2020'!B:B,B2672,'2020'!C:C)+SUMIF('2021'!B:B,B2672,'2021'!C:C)+SUMIF('2022'!B:B,B2672,'2022'!C:C)</f>
        <v>130000</v>
      </c>
      <c r="O2672" s="219">
        <v>44925</v>
      </c>
      <c r="P2672" s="48" t="s">
        <v>3728</v>
      </c>
    </row>
    <row r="2673" spans="1:16" x14ac:dyDescent="0.3">
      <c r="A2673" s="59">
        <f t="shared" si="212"/>
        <v>2412</v>
      </c>
      <c r="B2673" s="66" t="s">
        <v>3969</v>
      </c>
      <c r="C2673" s="184">
        <v>1972</v>
      </c>
      <c r="D2673" s="48"/>
      <c r="E2673" s="191" t="s">
        <v>3731</v>
      </c>
      <c r="F2673" s="83">
        <v>5</v>
      </c>
      <c r="G2673" s="48"/>
      <c r="H2673" s="192">
        <v>4548.1000000000004</v>
      </c>
      <c r="I2673" s="191">
        <v>205</v>
      </c>
      <c r="J2673" s="19">
        <f t="shared" si="204"/>
        <v>115701.19</v>
      </c>
      <c r="K2673" s="50"/>
      <c r="L2673" s="50"/>
      <c r="M2673" s="50"/>
      <c r="N2673" s="19">
        <f>SUMIF('2020'!B:B,B2673,'2020'!C:C)+SUMIF('2021'!B:B,B2673,'2021'!C:C)+SUMIF('2022'!B:B,B2673,'2022'!C:C)</f>
        <v>115701.19</v>
      </c>
      <c r="O2673" s="219">
        <v>44925</v>
      </c>
      <c r="P2673" s="48" t="s">
        <v>3728</v>
      </c>
    </row>
    <row r="2674" spans="1:16" x14ac:dyDescent="0.3">
      <c r="A2674" s="59">
        <f t="shared" si="212"/>
        <v>2413</v>
      </c>
      <c r="B2674" s="66" t="s">
        <v>3970</v>
      </c>
      <c r="C2674" s="184">
        <v>1975</v>
      </c>
      <c r="D2674" s="48"/>
      <c r="E2674" s="191" t="s">
        <v>3731</v>
      </c>
      <c r="F2674" s="83">
        <v>5</v>
      </c>
      <c r="G2674" s="48"/>
      <c r="H2674" s="192">
        <v>3355.9</v>
      </c>
      <c r="I2674" s="191">
        <v>130</v>
      </c>
      <c r="J2674" s="19">
        <f t="shared" si="204"/>
        <v>130000</v>
      </c>
      <c r="K2674" s="50"/>
      <c r="L2674" s="50"/>
      <c r="M2674" s="50"/>
      <c r="N2674" s="19">
        <f>SUMIF('2020'!B:B,B2674,'2020'!C:C)+SUMIF('2021'!B:B,B2674,'2021'!C:C)+SUMIF('2022'!B:B,B2674,'2022'!C:C)</f>
        <v>130000</v>
      </c>
      <c r="O2674" s="219">
        <v>44925</v>
      </c>
      <c r="P2674" s="48" t="s">
        <v>3728</v>
      </c>
    </row>
    <row r="2675" spans="1:16" x14ac:dyDescent="0.3">
      <c r="A2675" s="59">
        <f t="shared" si="212"/>
        <v>2414</v>
      </c>
      <c r="B2675" s="66" t="s">
        <v>3971</v>
      </c>
      <c r="C2675" s="184">
        <v>1957</v>
      </c>
      <c r="D2675" s="48"/>
      <c r="E2675" s="191" t="s">
        <v>3733</v>
      </c>
      <c r="F2675" s="83">
        <v>2</v>
      </c>
      <c r="G2675" s="48"/>
      <c r="H2675" s="192">
        <v>429.5</v>
      </c>
      <c r="I2675" s="191">
        <v>27</v>
      </c>
      <c r="J2675" s="19">
        <f t="shared" si="204"/>
        <v>492338</v>
      </c>
      <c r="K2675" s="50"/>
      <c r="L2675" s="50"/>
      <c r="M2675" s="50"/>
      <c r="N2675" s="19">
        <f>SUMIF('2020'!B:B,B2675,'2020'!C:C)+SUMIF('2021'!B:B,B2675,'2021'!C:C)+SUMIF('2022'!B:B,B2675,'2022'!C:C)</f>
        <v>492338</v>
      </c>
      <c r="O2675" s="219">
        <v>44925</v>
      </c>
      <c r="P2675" s="48" t="s">
        <v>3728</v>
      </c>
    </row>
    <row r="2676" spans="1:16" x14ac:dyDescent="0.3">
      <c r="A2676" s="59">
        <f t="shared" si="212"/>
        <v>2415</v>
      </c>
      <c r="B2676" s="66" t="s">
        <v>3972</v>
      </c>
      <c r="C2676" s="184">
        <v>1967</v>
      </c>
      <c r="D2676" s="48"/>
      <c r="E2676" s="191" t="s">
        <v>3733</v>
      </c>
      <c r="F2676" s="83">
        <v>2</v>
      </c>
      <c r="G2676" s="48"/>
      <c r="H2676" s="192">
        <v>765.9</v>
      </c>
      <c r="I2676" s="191">
        <v>41</v>
      </c>
      <c r="J2676" s="19">
        <f t="shared" si="204"/>
        <v>115701.19</v>
      </c>
      <c r="K2676" s="50"/>
      <c r="L2676" s="50"/>
      <c r="M2676" s="50"/>
      <c r="N2676" s="19">
        <f>SUMIF('2020'!B:B,B2676,'2020'!C:C)+SUMIF('2021'!B:B,B2676,'2021'!C:C)+SUMIF('2022'!B:B,B2676,'2022'!C:C)</f>
        <v>115701.19</v>
      </c>
      <c r="O2676" s="219">
        <v>44925</v>
      </c>
      <c r="P2676" s="48" t="s">
        <v>3728</v>
      </c>
    </row>
    <row r="2677" spans="1:16" x14ac:dyDescent="0.3">
      <c r="A2677" s="59">
        <f t="shared" si="212"/>
        <v>2416</v>
      </c>
      <c r="B2677" s="66" t="s">
        <v>3973</v>
      </c>
      <c r="C2677" s="184">
        <v>1969</v>
      </c>
      <c r="D2677" s="48"/>
      <c r="E2677" s="191" t="s">
        <v>3733</v>
      </c>
      <c r="F2677" s="83">
        <v>2</v>
      </c>
      <c r="G2677" s="48"/>
      <c r="H2677" s="192">
        <v>1191.9000000000001</v>
      </c>
      <c r="I2677" s="191">
        <v>20</v>
      </c>
      <c r="J2677" s="19">
        <f t="shared" si="204"/>
        <v>685961.49</v>
      </c>
      <c r="K2677" s="50"/>
      <c r="L2677" s="50"/>
      <c r="M2677" s="50"/>
      <c r="N2677" s="19">
        <f>SUMIF('2020'!B:B,B2677,'2020'!C:C)+SUMIF('2021'!B:B,B2677,'2021'!C:C)+SUMIF('2022'!B:B,B2677,'2022'!C:C)</f>
        <v>685961.49</v>
      </c>
      <c r="O2677" s="219">
        <v>44925</v>
      </c>
      <c r="P2677" s="48" t="s">
        <v>3728</v>
      </c>
    </row>
    <row r="2678" spans="1:16" x14ac:dyDescent="0.3">
      <c r="A2678" s="59">
        <f t="shared" si="212"/>
        <v>2417</v>
      </c>
      <c r="B2678" s="66" t="s">
        <v>3974</v>
      </c>
      <c r="C2678" s="184">
        <v>1945</v>
      </c>
      <c r="D2678" s="48"/>
      <c r="E2678" s="191" t="s">
        <v>3733</v>
      </c>
      <c r="F2678" s="83">
        <v>2</v>
      </c>
      <c r="G2678" s="48"/>
      <c r="H2678" s="192">
        <v>399.5</v>
      </c>
      <c r="I2678" s="191">
        <v>20</v>
      </c>
      <c r="J2678" s="19">
        <f t="shared" si="204"/>
        <v>253808.77000000002</v>
      </c>
      <c r="K2678" s="50"/>
      <c r="L2678" s="50"/>
      <c r="M2678" s="50"/>
      <c r="N2678" s="19">
        <f>SUMIF('2020'!B:B,B2678,'2020'!C:C)+SUMIF('2021'!B:B,B2678,'2021'!C:C)+SUMIF('2022'!B:B,B2678,'2022'!C:C)</f>
        <v>253808.77000000002</v>
      </c>
      <c r="O2678" s="219">
        <v>44925</v>
      </c>
      <c r="P2678" s="48" t="s">
        <v>3728</v>
      </c>
    </row>
    <row r="2679" spans="1:16" x14ac:dyDescent="0.3">
      <c r="A2679" s="59">
        <f t="shared" si="212"/>
        <v>2418</v>
      </c>
      <c r="B2679" s="66" t="s">
        <v>3975</v>
      </c>
      <c r="C2679" s="184">
        <v>1963</v>
      </c>
      <c r="D2679" s="48"/>
      <c r="E2679" s="191" t="s">
        <v>3733</v>
      </c>
      <c r="F2679" s="83">
        <v>2</v>
      </c>
      <c r="G2679" s="48"/>
      <c r="H2679" s="192">
        <v>428.1</v>
      </c>
      <c r="I2679" s="191">
        <v>21</v>
      </c>
      <c r="J2679" s="19">
        <f t="shared" si="204"/>
        <v>114779.33</v>
      </c>
      <c r="K2679" s="50"/>
      <c r="L2679" s="50"/>
      <c r="M2679" s="50"/>
      <c r="N2679" s="19">
        <f>SUMIF('2020'!B:B,B2679,'2020'!C:C)+SUMIF('2021'!B:B,B2679,'2021'!C:C)+SUMIF('2022'!B:B,B2679,'2022'!C:C)</f>
        <v>114779.33</v>
      </c>
      <c r="O2679" s="219">
        <v>44925</v>
      </c>
      <c r="P2679" s="48" t="s">
        <v>3728</v>
      </c>
    </row>
    <row r="2680" spans="1:16" x14ac:dyDescent="0.3">
      <c r="A2680" s="59">
        <f t="shared" si="212"/>
        <v>2419</v>
      </c>
      <c r="B2680" s="66" t="s">
        <v>3976</v>
      </c>
      <c r="C2680" s="184">
        <v>1930</v>
      </c>
      <c r="D2680" s="48"/>
      <c r="E2680" s="191" t="s">
        <v>3733</v>
      </c>
      <c r="F2680" s="83">
        <v>2</v>
      </c>
      <c r="G2680" s="48"/>
      <c r="H2680" s="192">
        <v>366.9</v>
      </c>
      <c r="I2680" s="191">
        <v>17</v>
      </c>
      <c r="J2680" s="19">
        <f t="shared" si="204"/>
        <v>130</v>
      </c>
      <c r="K2680" s="50"/>
      <c r="L2680" s="50"/>
      <c r="M2680" s="50"/>
      <c r="N2680" s="19">
        <f>SUMIF('2020'!B:B,B2680,'2020'!C:C)+SUMIF('2021'!B:B,B2680,'2021'!C:C)+SUMIF('2022'!B:B,B2680,'2022'!C:C)</f>
        <v>130</v>
      </c>
      <c r="O2680" s="219">
        <v>44925</v>
      </c>
      <c r="P2680" s="48" t="s">
        <v>3728</v>
      </c>
    </row>
    <row r="2681" spans="1:16" x14ac:dyDescent="0.3">
      <c r="A2681" s="59">
        <f t="shared" si="212"/>
        <v>2420</v>
      </c>
      <c r="B2681" s="66" t="s">
        <v>3977</v>
      </c>
      <c r="C2681" s="184">
        <v>1963</v>
      </c>
      <c r="D2681" s="48"/>
      <c r="E2681" s="191" t="s">
        <v>3733</v>
      </c>
      <c r="F2681" s="83">
        <v>2</v>
      </c>
      <c r="G2681" s="48"/>
      <c r="H2681" s="192">
        <v>440.5</v>
      </c>
      <c r="I2681" s="191">
        <v>18</v>
      </c>
      <c r="J2681" s="19">
        <f t="shared" si="204"/>
        <v>130000</v>
      </c>
      <c r="K2681" s="50"/>
      <c r="L2681" s="50"/>
      <c r="M2681" s="50"/>
      <c r="N2681" s="19">
        <f>SUMIF('2020'!B:B,B2681,'2020'!C:C)+SUMIF('2021'!B:B,B2681,'2021'!C:C)+SUMIF('2022'!B:B,B2681,'2022'!C:C)</f>
        <v>130000</v>
      </c>
      <c r="O2681" s="219">
        <v>44925</v>
      </c>
      <c r="P2681" s="48" t="s">
        <v>3728</v>
      </c>
    </row>
    <row r="2682" spans="1:16" x14ac:dyDescent="0.3">
      <c r="A2682" s="59">
        <f t="shared" si="212"/>
        <v>2421</v>
      </c>
      <c r="B2682" s="66" t="s">
        <v>3978</v>
      </c>
      <c r="C2682" s="184">
        <v>1962</v>
      </c>
      <c r="D2682" s="48"/>
      <c r="E2682" s="191" t="s">
        <v>3733</v>
      </c>
      <c r="F2682" s="83">
        <v>2</v>
      </c>
      <c r="G2682" s="48"/>
      <c r="H2682" s="192">
        <v>419.4</v>
      </c>
      <c r="I2682" s="191">
        <v>31</v>
      </c>
      <c r="J2682" s="19">
        <f t="shared" si="204"/>
        <v>114779.33</v>
      </c>
      <c r="K2682" s="50"/>
      <c r="L2682" s="50"/>
      <c r="M2682" s="50"/>
      <c r="N2682" s="19">
        <f>SUMIF('2020'!B:B,B2682,'2020'!C:C)+SUMIF('2021'!B:B,B2682,'2021'!C:C)+SUMIF('2022'!B:B,B2682,'2022'!C:C)</f>
        <v>114779.33</v>
      </c>
      <c r="O2682" s="219">
        <v>44926</v>
      </c>
      <c r="P2682" s="48" t="s">
        <v>3728</v>
      </c>
    </row>
    <row r="2683" spans="1:16" x14ac:dyDescent="0.3">
      <c r="A2683" s="449" t="s">
        <v>211</v>
      </c>
      <c r="B2683" s="449"/>
      <c r="C2683" s="50"/>
      <c r="D2683" s="50"/>
      <c r="E2683" s="48"/>
      <c r="F2683" s="48"/>
      <c r="G2683" s="50"/>
      <c r="H2683" s="19">
        <f t="shared" ref="H2683" si="213">I2683+J2683+K2683+L2683</f>
        <v>7632344.1399999997</v>
      </c>
      <c r="I2683" s="19">
        <f t="shared" ref="I2683" si="214">J2683+K2683+L2683+M2683</f>
        <v>3816172.07</v>
      </c>
      <c r="J2683" s="19">
        <f t="shared" si="204"/>
        <v>3816172.07</v>
      </c>
      <c r="K2683" s="50">
        <v>0</v>
      </c>
      <c r="L2683" s="50">
        <v>0</v>
      </c>
      <c r="M2683" s="50">
        <f>N2683-'2021'!C2080</f>
        <v>0</v>
      </c>
      <c r="N2683" s="50">
        <f>SUM(N2663:N2682)</f>
        <v>3816172.07</v>
      </c>
      <c r="O2683" s="50"/>
      <c r="P2683" s="50"/>
    </row>
    <row r="2684" spans="1:16" x14ac:dyDescent="0.3">
      <c r="A2684" s="448" t="s">
        <v>3837</v>
      </c>
      <c r="B2684" s="448"/>
      <c r="C2684" s="50"/>
      <c r="D2684" s="50"/>
      <c r="E2684" s="48"/>
      <c r="F2684" s="48"/>
      <c r="G2684" s="50"/>
      <c r="H2684" s="48"/>
      <c r="I2684" s="48"/>
      <c r="J2684" s="19"/>
      <c r="K2684" s="50"/>
      <c r="L2684" s="50"/>
      <c r="M2684" s="50"/>
      <c r="N2684" s="50"/>
      <c r="O2684" s="50"/>
      <c r="P2684" s="50"/>
    </row>
    <row r="2685" spans="1:16" x14ac:dyDescent="0.3">
      <c r="A2685" s="59">
        <f>A2682+1</f>
        <v>2422</v>
      </c>
      <c r="B2685" s="66" t="s">
        <v>3838</v>
      </c>
      <c r="C2685" s="184">
        <v>1969</v>
      </c>
      <c r="D2685" s="48"/>
      <c r="E2685" s="193" t="s">
        <v>3645</v>
      </c>
      <c r="F2685" s="48">
        <v>2</v>
      </c>
      <c r="G2685" s="48"/>
      <c r="H2685" s="193">
        <v>771.2</v>
      </c>
      <c r="I2685" s="48">
        <v>31</v>
      </c>
      <c r="J2685" s="19">
        <f t="shared" ref="J2685:J2748" si="215">K2685+L2685+M2685+N2685</f>
        <v>3666566.4</v>
      </c>
      <c r="K2685" s="50"/>
      <c r="L2685" s="50"/>
      <c r="M2685" s="50"/>
      <c r="N2685" s="19">
        <f>SUMIF('2020'!B:B,B2685,'2020'!C:C)+SUMIF('2021'!B:B,B2685,'2021'!C:C)+SUMIF('2022'!B:B,B2685,'2022'!C:C)</f>
        <v>3666566.4</v>
      </c>
      <c r="O2685" s="219">
        <v>44925</v>
      </c>
      <c r="P2685" s="48" t="s">
        <v>3728</v>
      </c>
    </row>
    <row r="2686" spans="1:16" x14ac:dyDescent="0.3">
      <c r="A2686" s="449" t="s">
        <v>211</v>
      </c>
      <c r="B2686" s="449"/>
      <c r="C2686" s="50"/>
      <c r="D2686" s="50"/>
      <c r="E2686" s="48"/>
      <c r="F2686" s="48"/>
      <c r="G2686" s="50"/>
      <c r="H2686" s="19">
        <f t="shared" ref="H2686" si="216">I2686+J2686+K2686+L2686</f>
        <v>7333132.7999999998</v>
      </c>
      <c r="I2686" s="19">
        <f t="shared" ref="I2686" si="217">J2686+K2686+L2686+M2686</f>
        <v>3666566.4</v>
      </c>
      <c r="J2686" s="19">
        <f t="shared" si="215"/>
        <v>3666566.4</v>
      </c>
      <c r="K2686" s="50">
        <v>0</v>
      </c>
      <c r="L2686" s="50">
        <v>0</v>
      </c>
      <c r="M2686" s="50">
        <v>0</v>
      </c>
      <c r="N2686" s="50">
        <f>N2685</f>
        <v>3666566.4</v>
      </c>
      <c r="O2686" s="50"/>
      <c r="P2686" s="50"/>
    </row>
    <row r="2687" spans="1:16" x14ac:dyDescent="0.3">
      <c r="A2687" s="448" t="s">
        <v>3839</v>
      </c>
      <c r="B2687" s="448"/>
      <c r="C2687" s="50"/>
      <c r="D2687" s="50"/>
      <c r="E2687" s="48"/>
      <c r="F2687" s="48"/>
      <c r="G2687" s="50"/>
      <c r="H2687" s="48"/>
      <c r="I2687" s="48"/>
      <c r="J2687" s="19"/>
      <c r="K2687" s="50"/>
      <c r="L2687" s="50"/>
      <c r="M2687" s="50"/>
      <c r="N2687" s="50"/>
      <c r="O2687" s="50"/>
      <c r="P2687" s="50"/>
    </row>
    <row r="2688" spans="1:16" x14ac:dyDescent="0.3">
      <c r="A2688" s="59">
        <f>A2685+1</f>
        <v>2423</v>
      </c>
      <c r="B2688" s="66" t="s">
        <v>3840</v>
      </c>
      <c r="C2688" s="184">
        <v>1936</v>
      </c>
      <c r="D2688" s="48"/>
      <c r="E2688" s="193" t="s">
        <v>3733</v>
      </c>
      <c r="F2688" s="83">
        <v>4</v>
      </c>
      <c r="G2688" s="48"/>
      <c r="H2688" s="192">
        <v>2260.5</v>
      </c>
      <c r="I2688" s="194">
        <v>90</v>
      </c>
      <c r="J2688" s="19">
        <f t="shared" si="215"/>
        <v>7266240.7000000002</v>
      </c>
      <c r="K2688" s="50"/>
      <c r="L2688" s="50"/>
      <c r="M2688" s="50"/>
      <c r="N2688" s="19">
        <f>SUMIF('2020'!B:B,B2688,'2020'!C:C)+SUMIF('2021'!B:B,B2688,'2021'!C:C)+SUMIF('2022'!B:B,B2688,'2022'!C:C)</f>
        <v>7266240.7000000002</v>
      </c>
      <c r="O2688" s="219">
        <v>44925</v>
      </c>
      <c r="P2688" s="48" t="s">
        <v>3728</v>
      </c>
    </row>
    <row r="2689" spans="1:16" x14ac:dyDescent="0.3">
      <c r="A2689" s="59">
        <f t="shared" ref="A2689:A2753" si="218">A2688+1</f>
        <v>2424</v>
      </c>
      <c r="B2689" s="66" t="s">
        <v>3979</v>
      </c>
      <c r="C2689" s="184">
        <v>1935</v>
      </c>
      <c r="D2689" s="48"/>
      <c r="E2689" s="193" t="s">
        <v>3733</v>
      </c>
      <c r="F2689" s="193">
        <v>4</v>
      </c>
      <c r="G2689" s="48"/>
      <c r="H2689" s="192">
        <v>2538.6</v>
      </c>
      <c r="I2689" s="193">
        <v>79</v>
      </c>
      <c r="J2689" s="19">
        <f t="shared" si="215"/>
        <v>1780519.58</v>
      </c>
      <c r="K2689" s="50"/>
      <c r="L2689" s="50"/>
      <c r="M2689" s="50"/>
      <c r="N2689" s="19">
        <f>SUMIF('2020'!B:B,B2689,'2020'!C:C)+SUMIF('2021'!B:B,B2689,'2021'!C:C)+SUMIF('2022'!B:B,B2689,'2022'!C:C)</f>
        <v>1780519.58</v>
      </c>
      <c r="O2689" s="219">
        <v>44925</v>
      </c>
      <c r="P2689" s="48" t="s">
        <v>3728</v>
      </c>
    </row>
    <row r="2690" spans="1:16" x14ac:dyDescent="0.3">
      <c r="A2690" s="59">
        <f t="shared" si="218"/>
        <v>2425</v>
      </c>
      <c r="B2690" s="66" t="s">
        <v>3980</v>
      </c>
      <c r="C2690" s="184">
        <v>1935</v>
      </c>
      <c r="D2690" s="48"/>
      <c r="E2690" s="193" t="s">
        <v>3733</v>
      </c>
      <c r="F2690" s="193">
        <v>4</v>
      </c>
      <c r="G2690" s="48"/>
      <c r="H2690" s="192">
        <v>2540.1</v>
      </c>
      <c r="I2690" s="193">
        <v>91</v>
      </c>
      <c r="J2690" s="19">
        <f t="shared" si="215"/>
        <v>1600813.51</v>
      </c>
      <c r="K2690" s="50"/>
      <c r="L2690" s="50"/>
      <c r="M2690" s="50"/>
      <c r="N2690" s="19">
        <f>SUMIF('2020'!B:B,B2690,'2020'!C:C)+SUMIF('2021'!B:B,B2690,'2021'!C:C)+SUMIF('2022'!B:B,B2690,'2022'!C:C)</f>
        <v>1600813.51</v>
      </c>
      <c r="O2690" s="219">
        <v>44925</v>
      </c>
      <c r="P2690" s="48" t="s">
        <v>3728</v>
      </c>
    </row>
    <row r="2691" spans="1:16" x14ac:dyDescent="0.3">
      <c r="A2691" s="59">
        <f t="shared" si="218"/>
        <v>2426</v>
      </c>
      <c r="B2691" s="66" t="s">
        <v>3981</v>
      </c>
      <c r="C2691" s="184">
        <v>1960</v>
      </c>
      <c r="D2691" s="48"/>
      <c r="E2691" s="193" t="s">
        <v>3733</v>
      </c>
      <c r="F2691" s="193">
        <v>2</v>
      </c>
      <c r="G2691" s="48"/>
      <c r="H2691" s="192">
        <v>691.6</v>
      </c>
      <c r="I2691" s="193">
        <v>12</v>
      </c>
      <c r="J2691" s="19">
        <f t="shared" si="215"/>
        <v>335983.25</v>
      </c>
      <c r="K2691" s="50"/>
      <c r="L2691" s="50"/>
      <c r="M2691" s="50"/>
      <c r="N2691" s="19">
        <f>SUMIF('2020'!B:B,B2691,'2020'!C:C)+SUMIF('2021'!B:B,B2691,'2021'!C:C)+SUMIF('2022'!B:B,B2691,'2022'!C:C)</f>
        <v>335983.25</v>
      </c>
      <c r="O2691" s="219">
        <v>44925</v>
      </c>
      <c r="P2691" s="48" t="s">
        <v>3728</v>
      </c>
    </row>
    <row r="2692" spans="1:16" x14ac:dyDescent="0.3">
      <c r="A2692" s="59">
        <f t="shared" si="218"/>
        <v>2427</v>
      </c>
      <c r="B2692" s="66" t="s">
        <v>3982</v>
      </c>
      <c r="C2692" s="184">
        <v>1960</v>
      </c>
      <c r="D2692" s="48"/>
      <c r="E2692" s="193" t="s">
        <v>3733</v>
      </c>
      <c r="F2692" s="193">
        <v>2</v>
      </c>
      <c r="G2692" s="48"/>
      <c r="H2692" s="192">
        <v>684</v>
      </c>
      <c r="I2692" s="193">
        <v>23</v>
      </c>
      <c r="J2692" s="19">
        <f t="shared" si="215"/>
        <v>549718.75</v>
      </c>
      <c r="K2692" s="50"/>
      <c r="L2692" s="50"/>
      <c r="M2692" s="50"/>
      <c r="N2692" s="19">
        <f>SUMIF('2020'!B:B,B2692,'2020'!C:C)+SUMIF('2021'!B:B,B2692,'2021'!C:C)+SUMIF('2022'!B:B,B2692,'2022'!C:C)</f>
        <v>549718.75</v>
      </c>
      <c r="O2692" s="219">
        <v>44925</v>
      </c>
      <c r="P2692" s="48" t="s">
        <v>3728</v>
      </c>
    </row>
    <row r="2693" spans="1:16" x14ac:dyDescent="0.3">
      <c r="A2693" s="59">
        <f t="shared" si="218"/>
        <v>2428</v>
      </c>
      <c r="B2693" s="66" t="s">
        <v>3983</v>
      </c>
      <c r="C2693" s="184">
        <v>1938</v>
      </c>
      <c r="D2693" s="48"/>
      <c r="E2693" s="193" t="s">
        <v>3733</v>
      </c>
      <c r="F2693" s="193">
        <v>4</v>
      </c>
      <c r="G2693" s="48"/>
      <c r="H2693" s="192">
        <v>2673</v>
      </c>
      <c r="I2693" s="193">
        <v>74</v>
      </c>
      <c r="J2693" s="19">
        <f t="shared" si="215"/>
        <v>646534.38</v>
      </c>
      <c r="K2693" s="50"/>
      <c r="L2693" s="50"/>
      <c r="M2693" s="50"/>
      <c r="N2693" s="19">
        <f>SUMIF('2020'!B:B,B2693,'2020'!C:C)+SUMIF('2021'!B:B,B2693,'2021'!C:C)+SUMIF('2022'!B:B,B2693,'2022'!C:C)</f>
        <v>646534.38</v>
      </c>
      <c r="O2693" s="219">
        <v>44925</v>
      </c>
      <c r="P2693" s="48" t="s">
        <v>3728</v>
      </c>
    </row>
    <row r="2694" spans="1:16" x14ac:dyDescent="0.3">
      <c r="A2694" s="59">
        <f t="shared" si="218"/>
        <v>2429</v>
      </c>
      <c r="B2694" s="66" t="s">
        <v>3984</v>
      </c>
      <c r="C2694" s="184">
        <v>1960</v>
      </c>
      <c r="D2694" s="48"/>
      <c r="E2694" s="193" t="s">
        <v>3733</v>
      </c>
      <c r="F2694" s="193">
        <v>2</v>
      </c>
      <c r="G2694" s="48"/>
      <c r="H2694" s="192">
        <v>688.1</v>
      </c>
      <c r="I2694" s="193">
        <v>7</v>
      </c>
      <c r="J2694" s="19">
        <f t="shared" si="215"/>
        <v>579339.16</v>
      </c>
      <c r="K2694" s="50"/>
      <c r="L2694" s="50"/>
      <c r="M2694" s="50"/>
      <c r="N2694" s="19">
        <f>SUMIF('2020'!B:B,B2694,'2020'!C:C)+SUMIF('2021'!B:B,B2694,'2021'!C:C)+SUMIF('2022'!B:B,B2694,'2022'!C:C)</f>
        <v>579339.16</v>
      </c>
      <c r="O2694" s="219">
        <v>44925</v>
      </c>
      <c r="P2694" s="48" t="s">
        <v>3728</v>
      </c>
    </row>
    <row r="2695" spans="1:16" x14ac:dyDescent="0.3">
      <c r="A2695" s="59">
        <f t="shared" si="218"/>
        <v>2430</v>
      </c>
      <c r="B2695" s="66" t="s">
        <v>3985</v>
      </c>
      <c r="C2695" s="184">
        <v>1960</v>
      </c>
      <c r="D2695" s="48"/>
      <c r="E2695" s="193" t="s">
        <v>3733</v>
      </c>
      <c r="F2695" s="193">
        <v>2</v>
      </c>
      <c r="G2695" s="48"/>
      <c r="H2695" s="192">
        <v>660.6</v>
      </c>
      <c r="I2695" s="193">
        <v>9</v>
      </c>
      <c r="J2695" s="19">
        <f t="shared" si="215"/>
        <v>355302.2</v>
      </c>
      <c r="K2695" s="50"/>
      <c r="L2695" s="50"/>
      <c r="M2695" s="50"/>
      <c r="N2695" s="19">
        <f>SUMIF('2020'!B:B,B2695,'2020'!C:C)+SUMIF('2021'!B:B,B2695,'2021'!C:C)+SUMIF('2022'!B:B,B2695,'2022'!C:C)</f>
        <v>355302.2</v>
      </c>
      <c r="O2695" s="219">
        <v>44925</v>
      </c>
      <c r="P2695" s="48" t="s">
        <v>3728</v>
      </c>
    </row>
    <row r="2696" spans="1:16" x14ac:dyDescent="0.3">
      <c r="A2696" s="59">
        <f t="shared" si="218"/>
        <v>2431</v>
      </c>
      <c r="B2696" s="66" t="s">
        <v>3841</v>
      </c>
      <c r="C2696" s="184">
        <v>1970</v>
      </c>
      <c r="D2696" s="48"/>
      <c r="E2696" s="193" t="s">
        <v>3729</v>
      </c>
      <c r="F2696" s="193">
        <v>5</v>
      </c>
      <c r="G2696" s="48"/>
      <c r="H2696" s="192">
        <v>3396.9</v>
      </c>
      <c r="I2696" s="193">
        <v>101</v>
      </c>
      <c r="J2696" s="19">
        <f t="shared" si="215"/>
        <v>4559446.3</v>
      </c>
      <c r="K2696" s="50"/>
      <c r="L2696" s="50"/>
      <c r="M2696" s="50"/>
      <c r="N2696" s="19">
        <f>SUMIF('2020'!B:B,B2696,'2020'!C:C)+SUMIF('2021'!B:B,B2696,'2021'!C:C)+SUMIF('2022'!B:B,B2696,'2022'!C:C)</f>
        <v>4559446.3</v>
      </c>
      <c r="O2696" s="219">
        <v>44925</v>
      </c>
      <c r="P2696" s="48" t="s">
        <v>3728</v>
      </c>
    </row>
    <row r="2697" spans="1:16" x14ac:dyDescent="0.3">
      <c r="A2697" s="59">
        <f t="shared" si="218"/>
        <v>2432</v>
      </c>
      <c r="B2697" s="66" t="s">
        <v>3986</v>
      </c>
      <c r="C2697" s="184">
        <v>1918</v>
      </c>
      <c r="D2697" s="48"/>
      <c r="E2697" s="193" t="s">
        <v>3730</v>
      </c>
      <c r="F2697" s="193">
        <v>2</v>
      </c>
      <c r="G2697" s="48"/>
      <c r="H2697" s="192">
        <v>256.10000000000002</v>
      </c>
      <c r="I2697" s="193">
        <v>6</v>
      </c>
      <c r="J2697" s="19">
        <f t="shared" si="215"/>
        <v>228297.78999999998</v>
      </c>
      <c r="K2697" s="50"/>
      <c r="L2697" s="50"/>
      <c r="M2697" s="50"/>
      <c r="N2697" s="19">
        <f>SUMIF('2020'!B:B,B2697,'2020'!C:C)+SUMIF('2021'!B:B,B2697,'2021'!C:C)+SUMIF('2022'!B:B,B2697,'2022'!C:C)</f>
        <v>228297.78999999998</v>
      </c>
      <c r="O2697" s="219">
        <v>44925</v>
      </c>
      <c r="P2697" s="48" t="s">
        <v>3728</v>
      </c>
    </row>
    <row r="2698" spans="1:16" x14ac:dyDescent="0.3">
      <c r="A2698" s="59">
        <f t="shared" si="218"/>
        <v>2433</v>
      </c>
      <c r="B2698" s="66" t="s">
        <v>3987</v>
      </c>
      <c r="C2698" s="184">
        <v>1962</v>
      </c>
      <c r="D2698" s="48"/>
      <c r="E2698" s="193" t="s">
        <v>3733</v>
      </c>
      <c r="F2698" s="193">
        <v>2</v>
      </c>
      <c r="G2698" s="48"/>
      <c r="H2698" s="192">
        <v>355.1</v>
      </c>
      <c r="I2698" s="193">
        <v>7</v>
      </c>
      <c r="J2698" s="19">
        <f t="shared" si="215"/>
        <v>282950.68</v>
      </c>
      <c r="K2698" s="50"/>
      <c r="L2698" s="50"/>
      <c r="M2698" s="50"/>
      <c r="N2698" s="19">
        <f>SUMIF('2020'!B:B,B2698,'2020'!C:C)+SUMIF('2021'!B:B,B2698,'2021'!C:C)+SUMIF('2022'!B:B,B2698,'2022'!C:C)</f>
        <v>282950.68</v>
      </c>
      <c r="O2698" s="219">
        <v>44925</v>
      </c>
      <c r="P2698" s="48" t="s">
        <v>3728</v>
      </c>
    </row>
    <row r="2699" spans="1:16" x14ac:dyDescent="0.3">
      <c r="A2699" s="59">
        <f t="shared" si="218"/>
        <v>2434</v>
      </c>
      <c r="B2699" s="66" t="s">
        <v>3988</v>
      </c>
      <c r="C2699" s="184">
        <v>1917</v>
      </c>
      <c r="D2699" s="48"/>
      <c r="E2699" s="193" t="s">
        <v>3733</v>
      </c>
      <c r="F2699" s="193">
        <v>2</v>
      </c>
      <c r="G2699" s="48"/>
      <c r="H2699" s="192">
        <v>413.6</v>
      </c>
      <c r="I2699" s="193">
        <v>11</v>
      </c>
      <c r="J2699" s="19">
        <f t="shared" si="215"/>
        <v>861061.80000000016</v>
      </c>
      <c r="K2699" s="50"/>
      <c r="L2699" s="50"/>
      <c r="M2699" s="50"/>
      <c r="N2699" s="19">
        <f>SUMIF('2020'!B:B,B2699,'2020'!C:C)+SUMIF('2021'!B:B,B2699,'2021'!C:C)+SUMIF('2022'!B:B,B2699,'2022'!C:C)</f>
        <v>861061.80000000016</v>
      </c>
      <c r="O2699" s="219">
        <v>44925</v>
      </c>
      <c r="P2699" s="48" t="s">
        <v>3728</v>
      </c>
    </row>
    <row r="2700" spans="1:16" x14ac:dyDescent="0.3">
      <c r="A2700" s="59">
        <f t="shared" si="218"/>
        <v>2435</v>
      </c>
      <c r="B2700" s="66" t="s">
        <v>3989</v>
      </c>
      <c r="C2700" s="184">
        <v>1976</v>
      </c>
      <c r="D2700" s="48"/>
      <c r="E2700" s="193" t="s">
        <v>3729</v>
      </c>
      <c r="F2700" s="193">
        <v>5</v>
      </c>
      <c r="G2700" s="48"/>
      <c r="H2700" s="192">
        <v>5442.8</v>
      </c>
      <c r="I2700" s="193">
        <v>197</v>
      </c>
      <c r="J2700" s="19">
        <f t="shared" si="215"/>
        <v>327964.7</v>
      </c>
      <c r="K2700" s="50"/>
      <c r="L2700" s="50"/>
      <c r="M2700" s="50"/>
      <c r="N2700" s="19">
        <f>SUMIF('2020'!B:B,B2700,'2020'!C:C)+SUMIF('2021'!B:B,B2700,'2021'!C:C)+SUMIF('2022'!B:B,B2700,'2022'!C:C)</f>
        <v>327964.7</v>
      </c>
      <c r="O2700" s="219">
        <v>44925</v>
      </c>
      <c r="P2700" s="48" t="s">
        <v>3728</v>
      </c>
    </row>
    <row r="2701" spans="1:16" x14ac:dyDescent="0.3">
      <c r="A2701" s="59">
        <f t="shared" si="218"/>
        <v>2436</v>
      </c>
      <c r="B2701" s="66" t="s">
        <v>3842</v>
      </c>
      <c r="C2701" s="184">
        <v>1991</v>
      </c>
      <c r="D2701" s="48"/>
      <c r="E2701" s="193" t="s">
        <v>3729</v>
      </c>
      <c r="F2701" s="193">
        <v>9</v>
      </c>
      <c r="G2701" s="48"/>
      <c r="H2701" s="192">
        <v>4870.2</v>
      </c>
      <c r="I2701" s="193">
        <v>168</v>
      </c>
      <c r="J2701" s="19">
        <f t="shared" si="215"/>
        <v>495327.28</v>
      </c>
      <c r="K2701" s="50"/>
      <c r="L2701" s="50"/>
      <c r="M2701" s="50"/>
      <c r="N2701" s="19">
        <f>SUMIF('2020'!B:B,B2701,'2020'!C:C)+SUMIF('2021'!B:B,B2701,'2021'!C:C)+SUMIF('2022'!B:B,B2701,'2022'!C:C)</f>
        <v>495327.28</v>
      </c>
      <c r="O2701" s="219">
        <v>44925</v>
      </c>
      <c r="P2701" s="48" t="s">
        <v>3728</v>
      </c>
    </row>
    <row r="2702" spans="1:16" x14ac:dyDescent="0.3">
      <c r="A2702" s="59">
        <f t="shared" si="218"/>
        <v>2437</v>
      </c>
      <c r="B2702" s="66" t="s">
        <v>3990</v>
      </c>
      <c r="C2702" s="184">
        <v>1973</v>
      </c>
      <c r="D2702" s="48"/>
      <c r="E2702" s="193" t="s">
        <v>3733</v>
      </c>
      <c r="F2702" s="193">
        <v>5</v>
      </c>
      <c r="G2702" s="48"/>
      <c r="H2702" s="192">
        <v>6256.4</v>
      </c>
      <c r="I2702" s="193">
        <v>130</v>
      </c>
      <c r="J2702" s="19">
        <f t="shared" si="215"/>
        <v>405768.01</v>
      </c>
      <c r="K2702" s="50"/>
      <c r="L2702" s="50"/>
      <c r="M2702" s="50"/>
      <c r="N2702" s="19">
        <f>SUMIF('2020'!B:B,B2702,'2020'!C:C)+SUMIF('2021'!B:B,B2702,'2021'!C:C)+SUMIF('2022'!B:B,B2702,'2022'!C:C)</f>
        <v>405768.01</v>
      </c>
      <c r="O2702" s="219">
        <v>44925</v>
      </c>
      <c r="P2702" s="48" t="s">
        <v>3728</v>
      </c>
    </row>
    <row r="2703" spans="1:16" x14ac:dyDescent="0.3">
      <c r="A2703" s="59">
        <f t="shared" si="218"/>
        <v>2438</v>
      </c>
      <c r="B2703" s="66" t="s">
        <v>3843</v>
      </c>
      <c r="C2703" s="184">
        <v>1983</v>
      </c>
      <c r="D2703" s="48"/>
      <c r="E2703" s="193" t="s">
        <v>3729</v>
      </c>
      <c r="F2703" s="193">
        <v>5</v>
      </c>
      <c r="G2703" s="48"/>
      <c r="H2703" s="192">
        <v>13133.6</v>
      </c>
      <c r="I2703" s="193">
        <v>183</v>
      </c>
      <c r="J2703" s="19">
        <f t="shared" si="215"/>
        <v>11541715.699999999</v>
      </c>
      <c r="K2703" s="50"/>
      <c r="L2703" s="50"/>
      <c r="M2703" s="50"/>
      <c r="N2703" s="19">
        <f>SUMIF('2020'!B:B,B2703,'2020'!C:C)+SUMIF('2021'!B:B,B2703,'2021'!C:C)+SUMIF('2022'!B:B,B2703,'2022'!C:C)</f>
        <v>11541715.699999999</v>
      </c>
      <c r="O2703" s="219">
        <v>44925</v>
      </c>
      <c r="P2703" s="48" t="s">
        <v>3728</v>
      </c>
    </row>
    <row r="2704" spans="1:16" x14ac:dyDescent="0.3">
      <c r="A2704" s="59">
        <f t="shared" si="218"/>
        <v>2439</v>
      </c>
      <c r="B2704" s="66" t="s">
        <v>3844</v>
      </c>
      <c r="C2704" s="184">
        <v>1986</v>
      </c>
      <c r="D2704" s="48"/>
      <c r="E2704" s="193" t="s">
        <v>3729</v>
      </c>
      <c r="F2704" s="193" t="s">
        <v>4187</v>
      </c>
      <c r="G2704" s="48"/>
      <c r="H2704" s="192">
        <v>10281.799999999999</v>
      </c>
      <c r="I2704" s="193">
        <v>299</v>
      </c>
      <c r="J2704" s="19">
        <f t="shared" si="215"/>
        <v>19687856.509999998</v>
      </c>
      <c r="K2704" s="50"/>
      <c r="L2704" s="50"/>
      <c r="M2704" s="50"/>
      <c r="N2704" s="19">
        <f>SUMIF('2020'!B:B,B2704,'2020'!C:C)+SUMIF('2021'!B:B,B2704,'2021'!C:C)+SUMIF('2022'!B:B,B2704,'2022'!C:C)</f>
        <v>19687856.509999998</v>
      </c>
      <c r="O2704" s="219">
        <v>44925</v>
      </c>
      <c r="P2704" s="48" t="s">
        <v>3728</v>
      </c>
    </row>
    <row r="2705" spans="1:16" x14ac:dyDescent="0.3">
      <c r="A2705" s="59">
        <f t="shared" si="218"/>
        <v>2440</v>
      </c>
      <c r="B2705" s="66" t="s">
        <v>3846</v>
      </c>
      <c r="C2705" s="50"/>
      <c r="D2705" s="50"/>
      <c r="E2705" s="48"/>
      <c r="F2705" s="48"/>
      <c r="G2705" s="50"/>
      <c r="H2705" s="48"/>
      <c r="I2705" s="48"/>
      <c r="J2705" s="19">
        <f t="shared" si="215"/>
        <v>408408</v>
      </c>
      <c r="K2705" s="50"/>
      <c r="L2705" s="50"/>
      <c r="M2705" s="50"/>
      <c r="N2705" s="19">
        <f>SUMIF('2020'!B:B,B2705,'2020'!C:C)+SUMIF('2021'!B:B,B2705,'2021'!C:C)+SUMIF('2022'!B:B,B2705,'2022'!C:C)</f>
        <v>408408</v>
      </c>
      <c r="O2705" s="219">
        <v>44925</v>
      </c>
      <c r="P2705" s="48" t="s">
        <v>3728</v>
      </c>
    </row>
    <row r="2706" spans="1:16" x14ac:dyDescent="0.3">
      <c r="A2706" s="59">
        <f t="shared" si="218"/>
        <v>2441</v>
      </c>
      <c r="B2706" s="66" t="s">
        <v>3847</v>
      </c>
      <c r="C2706" s="184">
        <v>1990</v>
      </c>
      <c r="D2706" s="48"/>
      <c r="E2706" s="193" t="s">
        <v>3729</v>
      </c>
      <c r="F2706" s="193">
        <v>5</v>
      </c>
      <c r="G2706" s="48"/>
      <c r="H2706" s="192">
        <v>4344.8</v>
      </c>
      <c r="I2706" s="193">
        <v>131</v>
      </c>
      <c r="J2706" s="19">
        <f t="shared" si="215"/>
        <v>6142465.5899999999</v>
      </c>
      <c r="K2706" s="50"/>
      <c r="L2706" s="50"/>
      <c r="M2706" s="50"/>
      <c r="N2706" s="19">
        <f>SUMIF('2020'!B:B,B2706,'2020'!C:C)+SUMIF('2021'!B:B,B2706,'2021'!C:C)+SUMIF('2022'!B:B,B2706,'2022'!C:C)</f>
        <v>6142465.5899999999</v>
      </c>
      <c r="O2706" s="219">
        <v>44925</v>
      </c>
      <c r="P2706" s="48" t="s">
        <v>3728</v>
      </c>
    </row>
    <row r="2707" spans="1:16" x14ac:dyDescent="0.3">
      <c r="A2707" s="59">
        <f t="shared" si="218"/>
        <v>2442</v>
      </c>
      <c r="B2707" s="66" t="s">
        <v>3991</v>
      </c>
      <c r="C2707" s="184">
        <v>1975</v>
      </c>
      <c r="D2707" s="48"/>
      <c r="E2707" s="193" t="s">
        <v>3733</v>
      </c>
      <c r="F2707" s="193">
        <v>5</v>
      </c>
      <c r="G2707" s="48"/>
      <c r="H2707" s="192">
        <v>2949.3</v>
      </c>
      <c r="I2707" s="193">
        <v>74</v>
      </c>
      <c r="J2707" s="19">
        <f t="shared" si="215"/>
        <v>288483.83</v>
      </c>
      <c r="K2707" s="50"/>
      <c r="L2707" s="50"/>
      <c r="M2707" s="50"/>
      <c r="N2707" s="19">
        <f>SUMIF('2020'!B:B,B2707,'2020'!C:C)+SUMIF('2021'!B:B,B2707,'2021'!C:C)+SUMIF('2022'!B:B,B2707,'2022'!C:C)</f>
        <v>288483.83</v>
      </c>
      <c r="O2707" s="219">
        <v>44925</v>
      </c>
      <c r="P2707" s="48" t="s">
        <v>3728</v>
      </c>
    </row>
    <row r="2708" spans="1:16" x14ac:dyDescent="0.3">
      <c r="A2708" s="59">
        <f t="shared" si="218"/>
        <v>2443</v>
      </c>
      <c r="B2708" s="66" t="s">
        <v>3992</v>
      </c>
      <c r="C2708" s="184">
        <v>1958</v>
      </c>
      <c r="D2708" s="48"/>
      <c r="E2708" s="193" t="s">
        <v>3733</v>
      </c>
      <c r="F2708" s="193">
        <v>2</v>
      </c>
      <c r="G2708" s="48"/>
      <c r="H2708" s="192">
        <v>816</v>
      </c>
      <c r="I2708" s="193">
        <v>26</v>
      </c>
      <c r="J2708" s="19">
        <f t="shared" si="215"/>
        <v>274518.8</v>
      </c>
      <c r="K2708" s="50"/>
      <c r="L2708" s="50"/>
      <c r="M2708" s="50"/>
      <c r="N2708" s="19">
        <f>SUMIF('2020'!B:B,B2708,'2020'!C:C)+SUMIF('2021'!B:B,B2708,'2021'!C:C)+SUMIF('2022'!B:B,B2708,'2022'!C:C)</f>
        <v>274518.8</v>
      </c>
      <c r="O2708" s="219">
        <v>44925</v>
      </c>
      <c r="P2708" s="48" t="s">
        <v>3728</v>
      </c>
    </row>
    <row r="2709" spans="1:16" x14ac:dyDescent="0.3">
      <c r="A2709" s="59">
        <f t="shared" si="218"/>
        <v>2444</v>
      </c>
      <c r="B2709" s="66" t="s">
        <v>3993</v>
      </c>
      <c r="C2709" s="184">
        <v>1980</v>
      </c>
      <c r="D2709" s="48"/>
      <c r="E2709" s="193" t="s">
        <v>3729</v>
      </c>
      <c r="F2709" s="193">
        <v>5</v>
      </c>
      <c r="G2709" s="48"/>
      <c r="H2709" s="195">
        <v>7171.2</v>
      </c>
      <c r="I2709" s="193">
        <v>297</v>
      </c>
      <c r="J2709" s="19">
        <f t="shared" si="215"/>
        <v>31629761.48</v>
      </c>
      <c r="K2709" s="50"/>
      <c r="L2709" s="50"/>
      <c r="M2709" s="50"/>
      <c r="N2709" s="19">
        <f>SUMIF('2020'!B:B,B2709,'2020'!C:C)+SUMIF('2021'!B:B,B2709,'2021'!C:C)+SUMIF('2022'!B:B,B2709,'2022'!C:C)</f>
        <v>31629761.48</v>
      </c>
      <c r="O2709" s="219">
        <v>44925</v>
      </c>
      <c r="P2709" s="48" t="s">
        <v>3728</v>
      </c>
    </row>
    <row r="2710" spans="1:16" x14ac:dyDescent="0.3">
      <c r="A2710" s="59">
        <f t="shared" si="218"/>
        <v>2445</v>
      </c>
      <c r="B2710" s="66" t="s">
        <v>3994</v>
      </c>
      <c r="C2710" s="184">
        <v>1951</v>
      </c>
      <c r="D2710" s="48"/>
      <c r="E2710" s="193" t="s">
        <v>3731</v>
      </c>
      <c r="F2710" s="193">
        <v>2</v>
      </c>
      <c r="G2710" s="48"/>
      <c r="H2710" s="192">
        <v>422.2</v>
      </c>
      <c r="I2710" s="193">
        <v>19</v>
      </c>
      <c r="J2710" s="19">
        <f t="shared" si="215"/>
        <v>627582.77</v>
      </c>
      <c r="K2710" s="50"/>
      <c r="L2710" s="50"/>
      <c r="M2710" s="50"/>
      <c r="N2710" s="19">
        <f>SUMIF('2020'!B:B,B2710,'2020'!C:C)+SUMIF('2021'!B:B,B2710,'2021'!C:C)+SUMIF('2022'!B:B,B2710,'2022'!C:C)</f>
        <v>627582.77</v>
      </c>
      <c r="O2710" s="219">
        <v>44925</v>
      </c>
      <c r="P2710" s="48" t="s">
        <v>3728</v>
      </c>
    </row>
    <row r="2711" spans="1:16" x14ac:dyDescent="0.3">
      <c r="A2711" s="59">
        <f t="shared" si="218"/>
        <v>2446</v>
      </c>
      <c r="B2711" s="66" t="s">
        <v>3848</v>
      </c>
      <c r="C2711" s="184">
        <v>1917</v>
      </c>
      <c r="D2711" s="48"/>
      <c r="E2711" s="193" t="s">
        <v>3733</v>
      </c>
      <c r="F2711" s="193">
        <v>2</v>
      </c>
      <c r="G2711" s="48"/>
      <c r="H2711" s="192">
        <v>281.2</v>
      </c>
      <c r="I2711" s="193">
        <v>7</v>
      </c>
      <c r="J2711" s="19">
        <f t="shared" si="215"/>
        <v>2317273.04</v>
      </c>
      <c r="K2711" s="50"/>
      <c r="L2711" s="50"/>
      <c r="M2711" s="50"/>
      <c r="N2711" s="19">
        <f>SUMIF('2020'!B:B,B2711,'2020'!C:C)+SUMIF('2021'!B:B,B2711,'2021'!C:C)+SUMIF('2022'!B:B,B2711,'2022'!C:C)</f>
        <v>2317273.04</v>
      </c>
      <c r="O2711" s="219">
        <v>44925</v>
      </c>
      <c r="P2711" s="48" t="s">
        <v>3728</v>
      </c>
    </row>
    <row r="2712" spans="1:16" x14ac:dyDescent="0.3">
      <c r="A2712" s="59">
        <f t="shared" si="218"/>
        <v>2447</v>
      </c>
      <c r="B2712" s="66" t="s">
        <v>3995</v>
      </c>
      <c r="C2712" s="184">
        <v>1947</v>
      </c>
      <c r="D2712" s="48"/>
      <c r="E2712" s="193" t="s">
        <v>3733</v>
      </c>
      <c r="F2712" s="193">
        <v>2</v>
      </c>
      <c r="G2712" s="48"/>
      <c r="H2712" s="192">
        <v>425.8</v>
      </c>
      <c r="I2712" s="193">
        <v>10</v>
      </c>
      <c r="J2712" s="19">
        <f t="shared" si="215"/>
        <v>967287.21</v>
      </c>
      <c r="K2712" s="50"/>
      <c r="L2712" s="50"/>
      <c r="M2712" s="50"/>
      <c r="N2712" s="19">
        <f>SUMIF('2020'!B:B,B2712,'2020'!C:C)+SUMIF('2021'!B:B,B2712,'2021'!C:C)+SUMIF('2022'!B:B,B2712,'2022'!C:C)</f>
        <v>967287.21</v>
      </c>
      <c r="O2712" s="219">
        <v>44925</v>
      </c>
      <c r="P2712" s="48" t="s">
        <v>3728</v>
      </c>
    </row>
    <row r="2713" spans="1:16" x14ac:dyDescent="0.3">
      <c r="A2713" s="59">
        <f t="shared" si="218"/>
        <v>2448</v>
      </c>
      <c r="B2713" s="66" t="s">
        <v>3996</v>
      </c>
      <c r="C2713" s="184">
        <v>1949</v>
      </c>
      <c r="D2713" s="48"/>
      <c r="E2713" s="193" t="s">
        <v>3731</v>
      </c>
      <c r="F2713" s="193">
        <v>2</v>
      </c>
      <c r="G2713" s="48"/>
      <c r="H2713" s="192">
        <v>583.6</v>
      </c>
      <c r="I2713" s="193">
        <v>17</v>
      </c>
      <c r="J2713" s="19">
        <f t="shared" si="215"/>
        <v>583981.11</v>
      </c>
      <c r="K2713" s="50"/>
      <c r="L2713" s="50"/>
      <c r="M2713" s="50"/>
      <c r="N2713" s="19">
        <f>SUMIF('2020'!B:B,B2713,'2020'!C:C)+SUMIF('2021'!B:B,B2713,'2021'!C:C)+SUMIF('2022'!B:B,B2713,'2022'!C:C)</f>
        <v>583981.11</v>
      </c>
      <c r="O2713" s="219">
        <v>44925</v>
      </c>
      <c r="P2713" s="48" t="s">
        <v>3728</v>
      </c>
    </row>
    <row r="2714" spans="1:16" x14ac:dyDescent="0.3">
      <c r="A2714" s="59">
        <f t="shared" si="218"/>
        <v>2449</v>
      </c>
      <c r="B2714" s="66" t="s">
        <v>3997</v>
      </c>
      <c r="C2714" s="184">
        <v>1983</v>
      </c>
      <c r="D2714" s="48"/>
      <c r="E2714" s="193" t="s">
        <v>3733</v>
      </c>
      <c r="F2714" s="193">
        <v>9</v>
      </c>
      <c r="G2714" s="48"/>
      <c r="H2714" s="192">
        <v>7725.6</v>
      </c>
      <c r="I2714" s="193">
        <v>189</v>
      </c>
      <c r="J2714" s="19">
        <f t="shared" si="215"/>
        <v>604106.42000000004</v>
      </c>
      <c r="K2714" s="50"/>
      <c r="L2714" s="50"/>
      <c r="M2714" s="50"/>
      <c r="N2714" s="19">
        <f>SUMIF('2020'!B:B,B2714,'2020'!C:C)+SUMIF('2021'!B:B,B2714,'2021'!C:C)+SUMIF('2022'!B:B,B2714,'2022'!C:C)</f>
        <v>604106.42000000004</v>
      </c>
      <c r="O2714" s="219">
        <v>44925</v>
      </c>
      <c r="P2714" s="48" t="s">
        <v>3728</v>
      </c>
    </row>
    <row r="2715" spans="1:16" x14ac:dyDescent="0.3">
      <c r="A2715" s="59">
        <f t="shared" si="218"/>
        <v>2450</v>
      </c>
      <c r="B2715" s="66" t="s">
        <v>3998</v>
      </c>
      <c r="C2715" s="184">
        <v>1960</v>
      </c>
      <c r="D2715" s="48"/>
      <c r="E2715" s="193" t="s">
        <v>3733</v>
      </c>
      <c r="F2715" s="193">
        <v>2</v>
      </c>
      <c r="G2715" s="48"/>
      <c r="H2715" s="192">
        <v>1093.0999999999999</v>
      </c>
      <c r="I2715" s="193">
        <v>43</v>
      </c>
      <c r="J2715" s="19">
        <f t="shared" si="215"/>
        <v>793914.95</v>
      </c>
      <c r="K2715" s="50"/>
      <c r="L2715" s="50"/>
      <c r="M2715" s="50"/>
      <c r="N2715" s="19">
        <f>SUMIF('2020'!B:B,B2715,'2020'!C:C)+SUMIF('2021'!B:B,B2715,'2021'!C:C)+SUMIF('2022'!B:B,B2715,'2022'!C:C)</f>
        <v>793914.95</v>
      </c>
      <c r="O2715" s="219">
        <v>44925</v>
      </c>
      <c r="P2715" s="48" t="s">
        <v>3728</v>
      </c>
    </row>
    <row r="2716" spans="1:16" x14ac:dyDescent="0.3">
      <c r="A2716" s="59">
        <f t="shared" si="218"/>
        <v>2451</v>
      </c>
      <c r="B2716" s="66" t="s">
        <v>4054</v>
      </c>
      <c r="C2716" s="184">
        <v>1967</v>
      </c>
      <c r="D2716" s="48"/>
      <c r="E2716" s="193" t="s">
        <v>3733</v>
      </c>
      <c r="F2716" s="193">
        <v>5</v>
      </c>
      <c r="G2716" s="48"/>
      <c r="H2716" s="192">
        <v>3897.6</v>
      </c>
      <c r="I2716" s="193">
        <v>107</v>
      </c>
      <c r="J2716" s="19">
        <f t="shared" si="215"/>
        <v>4696462.8</v>
      </c>
      <c r="K2716" s="50"/>
      <c r="L2716" s="50"/>
      <c r="M2716" s="50"/>
      <c r="N2716" s="19">
        <f>SUMIF('2020'!B:B,B2716,'2020'!C:C)+SUMIF('2021'!B:B,B2716,'2021'!C:C)+SUMIF('2022'!B:B,B2716,'2022'!C:C)</f>
        <v>4696462.8</v>
      </c>
      <c r="O2716" s="219">
        <v>44925</v>
      </c>
      <c r="P2716" s="48" t="s">
        <v>3728</v>
      </c>
    </row>
    <row r="2717" spans="1:16" x14ac:dyDescent="0.3">
      <c r="A2717" s="59">
        <f t="shared" si="218"/>
        <v>2452</v>
      </c>
      <c r="B2717" s="66" t="s">
        <v>3849</v>
      </c>
      <c r="C2717" s="184">
        <v>1968</v>
      </c>
      <c r="D2717" s="48"/>
      <c r="E2717" s="193" t="s">
        <v>3733</v>
      </c>
      <c r="F2717" s="193">
        <v>5</v>
      </c>
      <c r="G2717" s="48"/>
      <c r="H2717" s="192">
        <v>4370.8999999999996</v>
      </c>
      <c r="I2717" s="193">
        <v>104</v>
      </c>
      <c r="J2717" s="19">
        <f t="shared" si="215"/>
        <v>12863890.300000001</v>
      </c>
      <c r="K2717" s="50"/>
      <c r="L2717" s="50"/>
      <c r="M2717" s="50"/>
      <c r="N2717" s="19">
        <f>SUMIF('2020'!B:B,B2717,'2020'!C:C)+SUMIF('2021'!B:B,B2717,'2021'!C:C)+SUMIF('2022'!B:B,B2717,'2022'!C:C)</f>
        <v>12863890.300000001</v>
      </c>
      <c r="O2717" s="219">
        <v>44925</v>
      </c>
      <c r="P2717" s="48" t="s">
        <v>3728</v>
      </c>
    </row>
    <row r="2718" spans="1:16" x14ac:dyDescent="0.3">
      <c r="A2718" s="59">
        <f t="shared" si="218"/>
        <v>2453</v>
      </c>
      <c r="B2718" s="66" t="s">
        <v>3850</v>
      </c>
      <c r="C2718" s="184">
        <v>1976</v>
      </c>
      <c r="D2718" s="48"/>
      <c r="E2718" s="193" t="s">
        <v>3729</v>
      </c>
      <c r="F2718" s="193">
        <v>5</v>
      </c>
      <c r="G2718" s="48"/>
      <c r="H2718" s="192">
        <v>5720.9</v>
      </c>
      <c r="I2718" s="193">
        <v>177</v>
      </c>
      <c r="J2718" s="19">
        <f t="shared" si="215"/>
        <v>7384366</v>
      </c>
      <c r="K2718" s="50"/>
      <c r="L2718" s="50"/>
      <c r="M2718" s="50"/>
      <c r="N2718" s="19">
        <f>SUMIF('2020'!B:B,B2718,'2020'!C:C)+SUMIF('2021'!B:B,B2718,'2021'!C:C)+SUMIF('2022'!B:B,B2718,'2022'!C:C)</f>
        <v>7384366</v>
      </c>
      <c r="O2718" s="219">
        <v>44925</v>
      </c>
      <c r="P2718" s="48" t="s">
        <v>3728</v>
      </c>
    </row>
    <row r="2719" spans="1:16" x14ac:dyDescent="0.3">
      <c r="A2719" s="59">
        <f t="shared" si="218"/>
        <v>2454</v>
      </c>
      <c r="B2719" s="66" t="s">
        <v>4055</v>
      </c>
      <c r="C2719" s="184">
        <v>1968</v>
      </c>
      <c r="D2719" s="48"/>
      <c r="E2719" s="193" t="s">
        <v>3733</v>
      </c>
      <c r="F2719" s="193">
        <v>5</v>
      </c>
      <c r="G2719" s="48"/>
      <c r="H2719" s="192">
        <v>4154.2</v>
      </c>
      <c r="I2719" s="193">
        <v>90</v>
      </c>
      <c r="J2719" s="19">
        <f t="shared" si="215"/>
        <v>5264296.8</v>
      </c>
      <c r="K2719" s="50"/>
      <c r="L2719" s="50"/>
      <c r="M2719" s="50"/>
      <c r="N2719" s="19">
        <f>SUMIF('2020'!B:B,B2719,'2020'!C:C)+SUMIF('2021'!B:B,B2719,'2021'!C:C)+SUMIF('2022'!B:B,B2719,'2022'!C:C)</f>
        <v>5264296.8</v>
      </c>
      <c r="O2719" s="219">
        <v>44925</v>
      </c>
      <c r="P2719" s="48" t="s">
        <v>3728</v>
      </c>
    </row>
    <row r="2720" spans="1:16" x14ac:dyDescent="0.3">
      <c r="A2720" s="59">
        <f t="shared" si="218"/>
        <v>2455</v>
      </c>
      <c r="B2720" s="66" t="s">
        <v>3999</v>
      </c>
      <c r="C2720" s="184">
        <v>1947</v>
      </c>
      <c r="D2720" s="48"/>
      <c r="E2720" s="193" t="s">
        <v>3730</v>
      </c>
      <c r="F2720" s="193">
        <v>2</v>
      </c>
      <c r="G2720" s="48"/>
      <c r="H2720" s="192">
        <v>517.1</v>
      </c>
      <c r="I2720" s="193">
        <v>21</v>
      </c>
      <c r="J2720" s="19">
        <f t="shared" si="215"/>
        <v>471618.12</v>
      </c>
      <c r="K2720" s="50"/>
      <c r="L2720" s="50"/>
      <c r="M2720" s="50"/>
      <c r="N2720" s="19">
        <f>SUMIF('2020'!B:B,B2720,'2020'!C:C)+SUMIF('2021'!B:B,B2720,'2021'!C:C)+SUMIF('2022'!B:B,B2720,'2022'!C:C)</f>
        <v>471618.12</v>
      </c>
      <c r="O2720" s="219">
        <v>44925</v>
      </c>
      <c r="P2720" s="48" t="s">
        <v>3728</v>
      </c>
    </row>
    <row r="2721" spans="1:16" x14ac:dyDescent="0.3">
      <c r="A2721" s="59">
        <f t="shared" si="218"/>
        <v>2456</v>
      </c>
      <c r="B2721" s="66" t="s">
        <v>4000</v>
      </c>
      <c r="C2721" s="184">
        <v>1960</v>
      </c>
      <c r="D2721" s="48"/>
      <c r="E2721" s="193" t="s">
        <v>3733</v>
      </c>
      <c r="F2721" s="193">
        <v>2</v>
      </c>
      <c r="G2721" s="48"/>
      <c r="H2721" s="192">
        <v>311.2</v>
      </c>
      <c r="I2721" s="193">
        <v>12</v>
      </c>
      <c r="J2721" s="19">
        <f t="shared" si="215"/>
        <v>424922.85</v>
      </c>
      <c r="K2721" s="50"/>
      <c r="L2721" s="50"/>
      <c r="M2721" s="50"/>
      <c r="N2721" s="19">
        <f>SUMIF('2020'!B:B,B2721,'2020'!C:C)+SUMIF('2021'!B:B,B2721,'2021'!C:C)+SUMIF('2022'!B:B,B2721,'2022'!C:C)</f>
        <v>424922.85</v>
      </c>
      <c r="O2721" s="219">
        <v>44925</v>
      </c>
      <c r="P2721" s="48" t="s">
        <v>3728</v>
      </c>
    </row>
    <row r="2722" spans="1:16" x14ac:dyDescent="0.3">
      <c r="A2722" s="59">
        <f t="shared" si="218"/>
        <v>2457</v>
      </c>
      <c r="B2722" s="66" t="s">
        <v>4001</v>
      </c>
      <c r="C2722" s="184">
        <v>1925</v>
      </c>
      <c r="D2722" s="48"/>
      <c r="E2722" s="193" t="s">
        <v>3733</v>
      </c>
      <c r="F2722" s="193">
        <v>2</v>
      </c>
      <c r="G2722" s="48"/>
      <c r="H2722" s="192">
        <v>359.4</v>
      </c>
      <c r="I2722" s="193">
        <v>7</v>
      </c>
      <c r="J2722" s="19">
        <f t="shared" si="215"/>
        <v>130000</v>
      </c>
      <c r="K2722" s="50"/>
      <c r="L2722" s="50"/>
      <c r="M2722" s="50"/>
      <c r="N2722" s="19">
        <f>SUMIF('2020'!B:B,B2722,'2020'!C:C)+SUMIF('2021'!B:B,B2722,'2021'!C:C)+SUMIF('2022'!B:B,B2722,'2022'!C:C)</f>
        <v>130000</v>
      </c>
      <c r="O2722" s="219">
        <v>44925</v>
      </c>
      <c r="P2722" s="48" t="s">
        <v>3728</v>
      </c>
    </row>
    <row r="2723" spans="1:16" x14ac:dyDescent="0.3">
      <c r="A2723" s="59">
        <f t="shared" si="218"/>
        <v>2458</v>
      </c>
      <c r="B2723" s="66" t="s">
        <v>4002</v>
      </c>
      <c r="C2723" s="184">
        <v>1918</v>
      </c>
      <c r="D2723" s="48"/>
      <c r="E2723" s="193" t="s">
        <v>3730</v>
      </c>
      <c r="F2723" s="193">
        <v>2</v>
      </c>
      <c r="G2723" s="48"/>
      <c r="H2723" s="192">
        <v>207.1</v>
      </c>
      <c r="I2723" s="193">
        <v>23</v>
      </c>
      <c r="J2723" s="19">
        <f t="shared" si="215"/>
        <v>196098.16</v>
      </c>
      <c r="K2723" s="50"/>
      <c r="L2723" s="50"/>
      <c r="M2723" s="50"/>
      <c r="N2723" s="19">
        <f>SUMIF('2020'!B:B,B2723,'2020'!C:C)+SUMIF('2021'!B:B,B2723,'2021'!C:C)+SUMIF('2022'!B:B,B2723,'2022'!C:C)</f>
        <v>196098.16</v>
      </c>
      <c r="O2723" s="219">
        <v>44925</v>
      </c>
      <c r="P2723" s="48" t="s">
        <v>3728</v>
      </c>
    </row>
    <row r="2724" spans="1:16" x14ac:dyDescent="0.3">
      <c r="A2724" s="59">
        <f t="shared" si="218"/>
        <v>2459</v>
      </c>
      <c r="B2724" s="66" t="s">
        <v>4003</v>
      </c>
      <c r="C2724" s="184">
        <v>1917</v>
      </c>
      <c r="D2724" s="48"/>
      <c r="E2724" s="193" t="s">
        <v>3730</v>
      </c>
      <c r="F2724" s="193">
        <v>2</v>
      </c>
      <c r="G2724" s="48"/>
      <c r="H2724" s="192">
        <v>171.4</v>
      </c>
      <c r="I2724" s="193">
        <v>11</v>
      </c>
      <c r="J2724" s="19">
        <f t="shared" si="215"/>
        <v>313683.09999999998</v>
      </c>
      <c r="K2724" s="50"/>
      <c r="L2724" s="50"/>
      <c r="M2724" s="50"/>
      <c r="N2724" s="19">
        <f>SUMIF('2020'!B:B,B2724,'2020'!C:C)+SUMIF('2021'!B:B,B2724,'2021'!C:C)+SUMIF('2022'!B:B,B2724,'2022'!C:C)</f>
        <v>313683.09999999998</v>
      </c>
      <c r="O2724" s="219">
        <v>44925</v>
      </c>
      <c r="P2724" s="48" t="s">
        <v>3728</v>
      </c>
    </row>
    <row r="2725" spans="1:16" x14ac:dyDescent="0.3">
      <c r="A2725" s="59">
        <f t="shared" si="218"/>
        <v>2460</v>
      </c>
      <c r="B2725" s="66" t="s">
        <v>4004</v>
      </c>
      <c r="C2725" s="184">
        <v>1941</v>
      </c>
      <c r="D2725" s="48"/>
      <c r="E2725" s="193" t="s">
        <v>3733</v>
      </c>
      <c r="F2725" s="193">
        <v>4</v>
      </c>
      <c r="G2725" s="48"/>
      <c r="H2725" s="192">
        <v>2537.1</v>
      </c>
      <c r="I2725" s="193">
        <v>79</v>
      </c>
      <c r="J2725" s="19">
        <f t="shared" si="215"/>
        <v>431662.08999999997</v>
      </c>
      <c r="K2725" s="50"/>
      <c r="L2725" s="50"/>
      <c r="M2725" s="50"/>
      <c r="N2725" s="19">
        <f>SUMIF('2020'!B:B,B2725,'2020'!C:C)+SUMIF('2021'!B:B,B2725,'2021'!C:C)+SUMIF('2022'!B:B,B2725,'2022'!C:C)</f>
        <v>431662.08999999997</v>
      </c>
      <c r="O2725" s="219">
        <v>44925</v>
      </c>
      <c r="P2725" s="48" t="s">
        <v>3728</v>
      </c>
    </row>
    <row r="2726" spans="1:16" x14ac:dyDescent="0.3">
      <c r="A2726" s="59">
        <f t="shared" si="218"/>
        <v>2461</v>
      </c>
      <c r="B2726" s="66" t="s">
        <v>4005</v>
      </c>
      <c r="C2726" s="184">
        <v>1948</v>
      </c>
      <c r="D2726" s="48"/>
      <c r="E2726" s="193" t="s">
        <v>3733</v>
      </c>
      <c r="F2726" s="193">
        <v>4</v>
      </c>
      <c r="G2726" s="48"/>
      <c r="H2726" s="192">
        <v>2725.8</v>
      </c>
      <c r="I2726" s="193">
        <v>107</v>
      </c>
      <c r="J2726" s="19">
        <f t="shared" si="215"/>
        <v>269549.98</v>
      </c>
      <c r="K2726" s="50"/>
      <c r="L2726" s="50"/>
      <c r="M2726" s="50"/>
      <c r="N2726" s="19">
        <f>SUMIF('2020'!B:B,B2726,'2020'!C:C)+SUMIF('2021'!B:B,B2726,'2021'!C:C)+SUMIF('2022'!B:B,B2726,'2022'!C:C)</f>
        <v>269549.98</v>
      </c>
      <c r="O2726" s="219">
        <v>44925</v>
      </c>
      <c r="P2726" s="48" t="s">
        <v>3728</v>
      </c>
    </row>
    <row r="2727" spans="1:16" x14ac:dyDescent="0.3">
      <c r="A2727" s="59">
        <f t="shared" si="218"/>
        <v>2462</v>
      </c>
      <c r="B2727" s="66" t="s">
        <v>4056</v>
      </c>
      <c r="C2727" s="184">
        <v>1978</v>
      </c>
      <c r="D2727" s="48"/>
      <c r="E2727" s="193" t="s">
        <v>3729</v>
      </c>
      <c r="F2727" s="193">
        <v>5</v>
      </c>
      <c r="G2727" s="48"/>
      <c r="H2727" s="192">
        <v>6421.6</v>
      </c>
      <c r="I2727" s="193">
        <v>173</v>
      </c>
      <c r="J2727" s="19">
        <f t="shared" si="215"/>
        <v>25584548.399999999</v>
      </c>
      <c r="K2727" s="50"/>
      <c r="L2727" s="50"/>
      <c r="M2727" s="50"/>
      <c r="N2727" s="19">
        <f>SUMIF('2020'!B:B,B2727,'2020'!C:C)+SUMIF('2021'!B:B,B2727,'2021'!C:C)+SUMIF('2022'!B:B,B2727,'2022'!C:C)</f>
        <v>25584548.399999999</v>
      </c>
      <c r="O2727" s="219">
        <v>44925</v>
      </c>
      <c r="P2727" s="48" t="s">
        <v>3728</v>
      </c>
    </row>
    <row r="2728" spans="1:16" x14ac:dyDescent="0.3">
      <c r="A2728" s="59">
        <f t="shared" si="218"/>
        <v>2463</v>
      </c>
      <c r="B2728" s="66" t="s">
        <v>4057</v>
      </c>
      <c r="C2728" s="184">
        <v>1976</v>
      </c>
      <c r="D2728" s="48"/>
      <c r="E2728" s="193" t="s">
        <v>3729</v>
      </c>
      <c r="F2728" s="193">
        <v>5</v>
      </c>
      <c r="G2728" s="48"/>
      <c r="H2728" s="192">
        <v>5085.6000000000004</v>
      </c>
      <c r="I2728" s="193">
        <v>173</v>
      </c>
      <c r="J2728" s="19">
        <f t="shared" si="215"/>
        <v>22961302.800000001</v>
      </c>
      <c r="K2728" s="50"/>
      <c r="L2728" s="50"/>
      <c r="M2728" s="50"/>
      <c r="N2728" s="19">
        <f>SUMIF('2020'!B:B,B2728,'2020'!C:C)+SUMIF('2021'!B:B,B2728,'2021'!C:C)+SUMIF('2022'!B:B,B2728,'2022'!C:C)</f>
        <v>22961302.800000001</v>
      </c>
      <c r="O2728" s="219">
        <v>44925</v>
      </c>
      <c r="P2728" s="48" t="s">
        <v>3728</v>
      </c>
    </row>
    <row r="2729" spans="1:16" x14ac:dyDescent="0.3">
      <c r="A2729" s="59">
        <f t="shared" si="218"/>
        <v>2464</v>
      </c>
      <c r="B2729" s="66" t="s">
        <v>4006</v>
      </c>
      <c r="C2729" s="184">
        <v>1961</v>
      </c>
      <c r="D2729" s="48"/>
      <c r="E2729" s="193" t="s">
        <v>3733</v>
      </c>
      <c r="F2729" s="193">
        <v>3</v>
      </c>
      <c r="G2729" s="48"/>
      <c r="H2729" s="192">
        <v>1372.3</v>
      </c>
      <c r="I2729" s="193">
        <v>42</v>
      </c>
      <c r="J2729" s="19">
        <f t="shared" si="215"/>
        <v>839913.58</v>
      </c>
      <c r="K2729" s="50"/>
      <c r="L2729" s="50"/>
      <c r="M2729" s="50"/>
      <c r="N2729" s="19">
        <f>SUMIF('2020'!B:B,B2729,'2020'!C:C)+SUMIF('2021'!B:B,B2729,'2021'!C:C)+SUMIF('2022'!B:B,B2729,'2022'!C:C)</f>
        <v>839913.58</v>
      </c>
      <c r="O2729" s="219">
        <v>44925</v>
      </c>
      <c r="P2729" s="48" t="s">
        <v>3728</v>
      </c>
    </row>
    <row r="2730" spans="1:16" x14ac:dyDescent="0.3">
      <c r="A2730" s="59">
        <f t="shared" si="218"/>
        <v>2465</v>
      </c>
      <c r="B2730" s="66" t="s">
        <v>4007</v>
      </c>
      <c r="C2730" s="184">
        <v>1971</v>
      </c>
      <c r="D2730" s="48"/>
      <c r="E2730" s="193" t="s">
        <v>3729</v>
      </c>
      <c r="F2730" s="193">
        <v>5</v>
      </c>
      <c r="G2730" s="48"/>
      <c r="H2730" s="192">
        <v>7435.8</v>
      </c>
      <c r="I2730" s="193">
        <v>258</v>
      </c>
      <c r="J2730" s="19">
        <f t="shared" si="215"/>
        <v>704307.36</v>
      </c>
      <c r="K2730" s="50"/>
      <c r="L2730" s="50"/>
      <c r="M2730" s="50"/>
      <c r="N2730" s="19">
        <f>SUMIF('2020'!B:B,B2730,'2020'!C:C)+SUMIF('2021'!B:B,B2730,'2021'!C:C)+SUMIF('2022'!B:B,B2730,'2022'!C:C)</f>
        <v>704307.36</v>
      </c>
      <c r="O2730" s="219">
        <v>44925</v>
      </c>
      <c r="P2730" s="48" t="s">
        <v>3728</v>
      </c>
    </row>
    <row r="2731" spans="1:16" x14ac:dyDescent="0.3">
      <c r="A2731" s="59">
        <f t="shared" si="218"/>
        <v>2466</v>
      </c>
      <c r="B2731" s="66" t="s">
        <v>4008</v>
      </c>
      <c r="C2731" s="184">
        <v>1918</v>
      </c>
      <c r="D2731" s="48"/>
      <c r="E2731" s="193" t="s">
        <v>3730</v>
      </c>
      <c r="F2731" s="193">
        <v>2</v>
      </c>
      <c r="G2731" s="48"/>
      <c r="H2731" s="192">
        <v>221.5</v>
      </c>
      <c r="I2731" s="193">
        <v>5</v>
      </c>
      <c r="J2731" s="19">
        <f t="shared" si="215"/>
        <v>335112.57</v>
      </c>
      <c r="K2731" s="50"/>
      <c r="L2731" s="50"/>
      <c r="M2731" s="50"/>
      <c r="N2731" s="19">
        <f>SUMIF('2020'!B:B,B2731,'2020'!C:C)+SUMIF('2021'!B:B,B2731,'2021'!C:C)+SUMIF('2022'!B:B,B2731,'2022'!C:C)</f>
        <v>335112.57</v>
      </c>
      <c r="O2731" s="219">
        <v>44925</v>
      </c>
      <c r="P2731" s="48" t="s">
        <v>3728</v>
      </c>
    </row>
    <row r="2732" spans="1:16" x14ac:dyDescent="0.3">
      <c r="A2732" s="59">
        <f t="shared" si="218"/>
        <v>2467</v>
      </c>
      <c r="B2732" s="66" t="s">
        <v>4009</v>
      </c>
      <c r="C2732" s="184">
        <v>1974</v>
      </c>
      <c r="D2732" s="48"/>
      <c r="E2732" s="193" t="s">
        <v>3729</v>
      </c>
      <c r="F2732" s="193">
        <v>5</v>
      </c>
      <c r="G2732" s="48"/>
      <c r="H2732" s="192" t="s">
        <v>4188</v>
      </c>
      <c r="I2732" s="193">
        <v>180</v>
      </c>
      <c r="J2732" s="19">
        <f t="shared" si="215"/>
        <v>740166.06</v>
      </c>
      <c r="K2732" s="50"/>
      <c r="L2732" s="50"/>
      <c r="M2732" s="50"/>
      <c r="N2732" s="19">
        <f>SUMIF('2020'!B:B,B2732,'2020'!C:C)+SUMIF('2021'!B:B,B2732,'2021'!C:C)+SUMIF('2022'!B:B,B2732,'2022'!C:C)</f>
        <v>740166.06</v>
      </c>
      <c r="O2732" s="219">
        <v>44925</v>
      </c>
      <c r="P2732" s="48" t="s">
        <v>3728</v>
      </c>
    </row>
    <row r="2733" spans="1:16" x14ac:dyDescent="0.3">
      <c r="A2733" s="59">
        <f t="shared" si="218"/>
        <v>2468</v>
      </c>
      <c r="B2733" s="66" t="s">
        <v>3851</v>
      </c>
      <c r="C2733" s="184">
        <v>1993</v>
      </c>
      <c r="D2733" s="48"/>
      <c r="E2733" s="193" t="s">
        <v>3729</v>
      </c>
      <c r="F2733" s="193">
        <v>9</v>
      </c>
      <c r="G2733" s="48"/>
      <c r="H2733" s="192">
        <v>7582</v>
      </c>
      <c r="I2733" s="193">
        <v>203</v>
      </c>
      <c r="J2733" s="19">
        <f t="shared" si="215"/>
        <v>9561226.1300000008</v>
      </c>
      <c r="K2733" s="50"/>
      <c r="L2733" s="50"/>
      <c r="M2733" s="50"/>
      <c r="N2733" s="19">
        <f>SUMIF('2020'!B:B,B2733,'2020'!C:C)+SUMIF('2021'!B:B,B2733,'2021'!C:C)+SUMIF('2022'!B:B,B2733,'2022'!C:C)</f>
        <v>9561226.1300000008</v>
      </c>
      <c r="O2733" s="219">
        <v>44925</v>
      </c>
      <c r="P2733" s="48" t="s">
        <v>3728</v>
      </c>
    </row>
    <row r="2734" spans="1:16" x14ac:dyDescent="0.3">
      <c r="A2734" s="59">
        <f t="shared" si="218"/>
        <v>2469</v>
      </c>
      <c r="B2734" s="66" t="s">
        <v>3852</v>
      </c>
      <c r="C2734" s="184">
        <v>1990</v>
      </c>
      <c r="D2734" s="48"/>
      <c r="E2734" s="193" t="s">
        <v>3729</v>
      </c>
      <c r="F2734" s="193">
        <v>5</v>
      </c>
      <c r="G2734" s="48"/>
      <c r="H2734" s="192">
        <v>10118.799999999999</v>
      </c>
      <c r="I2734" s="193">
        <v>285</v>
      </c>
      <c r="J2734" s="19">
        <f t="shared" si="215"/>
        <v>13594330.380000001</v>
      </c>
      <c r="K2734" s="50"/>
      <c r="L2734" s="50"/>
      <c r="M2734" s="50"/>
      <c r="N2734" s="19">
        <f>SUMIF('2020'!B:B,B2734,'2020'!C:C)+SUMIF('2021'!B:B,B2734,'2021'!C:C)+SUMIF('2022'!B:B,B2734,'2022'!C:C)</f>
        <v>13594330.380000001</v>
      </c>
      <c r="O2734" s="219">
        <v>44925</v>
      </c>
      <c r="P2734" s="48" t="s">
        <v>3728</v>
      </c>
    </row>
    <row r="2735" spans="1:16" x14ac:dyDescent="0.3">
      <c r="A2735" s="59">
        <f t="shared" si="218"/>
        <v>2470</v>
      </c>
      <c r="B2735" s="66" t="s">
        <v>4010</v>
      </c>
      <c r="C2735" s="184">
        <v>1918</v>
      </c>
      <c r="D2735" s="48"/>
      <c r="E2735" s="193" t="s">
        <v>3730</v>
      </c>
      <c r="F2735" s="193">
        <v>2</v>
      </c>
      <c r="G2735" s="48"/>
      <c r="H2735" s="192">
        <v>461.2</v>
      </c>
      <c r="I2735" s="193">
        <v>17</v>
      </c>
      <c r="J2735" s="19">
        <f t="shared" si="215"/>
        <v>916578.73</v>
      </c>
      <c r="K2735" s="50"/>
      <c r="L2735" s="50"/>
      <c r="M2735" s="50"/>
      <c r="N2735" s="19">
        <f>SUMIF('2020'!B:B,B2735,'2020'!C:C)+SUMIF('2021'!B:B,B2735,'2021'!C:C)+SUMIF('2022'!B:B,B2735,'2022'!C:C)</f>
        <v>916578.73</v>
      </c>
      <c r="O2735" s="219">
        <v>44925</v>
      </c>
      <c r="P2735" s="48" t="s">
        <v>3728</v>
      </c>
    </row>
    <row r="2736" spans="1:16" x14ac:dyDescent="0.3">
      <c r="A2736" s="59">
        <f t="shared" si="218"/>
        <v>2471</v>
      </c>
      <c r="B2736" s="66" t="s">
        <v>3853</v>
      </c>
      <c r="C2736" s="184">
        <v>1975</v>
      </c>
      <c r="D2736" s="48"/>
      <c r="E2736" s="193" t="s">
        <v>3733</v>
      </c>
      <c r="F2736" s="193">
        <v>2</v>
      </c>
      <c r="G2736" s="48"/>
      <c r="H2736" s="192">
        <v>813.4</v>
      </c>
      <c r="I2736" s="193">
        <v>29</v>
      </c>
      <c r="J2736" s="19">
        <f t="shared" si="215"/>
        <v>421569.58</v>
      </c>
      <c r="K2736" s="50"/>
      <c r="L2736" s="50"/>
      <c r="M2736" s="50"/>
      <c r="N2736" s="19">
        <f>SUMIF('2020'!B:B,B2736,'2020'!C:C)+SUMIF('2021'!B:B,B2736,'2021'!C:C)+SUMIF('2022'!B:B,B2736,'2022'!C:C)</f>
        <v>421569.58</v>
      </c>
      <c r="O2736" s="219">
        <v>44925</v>
      </c>
      <c r="P2736" s="48" t="s">
        <v>3728</v>
      </c>
    </row>
    <row r="2737" spans="1:16" x14ac:dyDescent="0.3">
      <c r="A2737" s="59">
        <f t="shared" si="218"/>
        <v>2472</v>
      </c>
      <c r="B2737" s="66" t="s">
        <v>3854</v>
      </c>
      <c r="C2737" s="184">
        <v>1917</v>
      </c>
      <c r="D2737" s="48"/>
      <c r="E2737" s="193" t="s">
        <v>3733</v>
      </c>
      <c r="F2737" s="193">
        <v>3</v>
      </c>
      <c r="G2737" s="48"/>
      <c r="H2737" s="192">
        <v>2655.5</v>
      </c>
      <c r="I2737" s="193">
        <v>85</v>
      </c>
      <c r="J2737" s="19">
        <f t="shared" si="215"/>
        <v>12793462.75</v>
      </c>
      <c r="K2737" s="50"/>
      <c r="L2737" s="50"/>
      <c r="M2737" s="50"/>
      <c r="N2737" s="19">
        <f>SUMIF('2020'!B:B,B2737,'2020'!C:C)+SUMIF('2021'!B:B,B2737,'2021'!C:C)+SUMIF('2022'!B:B,B2737,'2022'!C:C)</f>
        <v>12793462.75</v>
      </c>
      <c r="O2737" s="219">
        <v>44925</v>
      </c>
      <c r="P2737" s="48" t="s">
        <v>3728</v>
      </c>
    </row>
    <row r="2738" spans="1:16" x14ac:dyDescent="0.3">
      <c r="A2738" s="59">
        <f t="shared" si="218"/>
        <v>2473</v>
      </c>
      <c r="B2738" s="66" t="s">
        <v>3855</v>
      </c>
      <c r="C2738" s="184">
        <v>1988</v>
      </c>
      <c r="D2738" s="48"/>
      <c r="E2738" s="193" t="s">
        <v>3729</v>
      </c>
      <c r="F2738" s="193">
        <v>9</v>
      </c>
      <c r="G2738" s="48"/>
      <c r="H2738" s="192">
        <v>3004.6</v>
      </c>
      <c r="I2738" s="193">
        <v>82</v>
      </c>
      <c r="J2738" s="19">
        <f t="shared" si="215"/>
        <v>247663.64</v>
      </c>
      <c r="K2738" s="50"/>
      <c r="L2738" s="50"/>
      <c r="M2738" s="50"/>
      <c r="N2738" s="19">
        <f>SUMIF('2020'!B:B,B2738,'2020'!C:C)+SUMIF('2021'!B:B,B2738,'2021'!C:C)+SUMIF('2022'!B:B,B2738,'2022'!C:C)</f>
        <v>247663.64</v>
      </c>
      <c r="O2738" s="219">
        <v>44925</v>
      </c>
      <c r="P2738" s="48" t="s">
        <v>3728</v>
      </c>
    </row>
    <row r="2739" spans="1:16" x14ac:dyDescent="0.3">
      <c r="A2739" s="59">
        <f t="shared" si="218"/>
        <v>2474</v>
      </c>
      <c r="B2739" s="66" t="s">
        <v>3856</v>
      </c>
      <c r="C2739" s="184">
        <v>1997</v>
      </c>
      <c r="D2739" s="48"/>
      <c r="E2739" s="193" t="s">
        <v>3733</v>
      </c>
      <c r="F2739" s="193">
        <v>10</v>
      </c>
      <c r="G2739" s="48"/>
      <c r="H2739" s="192">
        <v>2563.1999999999998</v>
      </c>
      <c r="I2739" s="193">
        <v>89</v>
      </c>
      <c r="J2739" s="19">
        <f t="shared" si="215"/>
        <v>247827.36</v>
      </c>
      <c r="K2739" s="50"/>
      <c r="L2739" s="50"/>
      <c r="M2739" s="50"/>
      <c r="N2739" s="19">
        <f>SUMIF('2020'!B:B,B2739,'2020'!C:C)+SUMIF('2021'!B:B,B2739,'2021'!C:C)+SUMIF('2022'!B:B,B2739,'2022'!C:C)</f>
        <v>247827.36</v>
      </c>
      <c r="O2739" s="219">
        <v>44925</v>
      </c>
      <c r="P2739" s="48" t="s">
        <v>3728</v>
      </c>
    </row>
    <row r="2740" spans="1:16" x14ac:dyDescent="0.3">
      <c r="A2740" s="59">
        <f t="shared" si="218"/>
        <v>2475</v>
      </c>
      <c r="B2740" s="66" t="s">
        <v>4180</v>
      </c>
      <c r="C2740" s="184">
        <v>1981</v>
      </c>
      <c r="D2740" s="48"/>
      <c r="E2740" s="193" t="s">
        <v>3729</v>
      </c>
      <c r="F2740" s="193">
        <v>5</v>
      </c>
      <c r="G2740" s="48"/>
      <c r="H2740" s="192">
        <v>6353.6</v>
      </c>
      <c r="I2740" s="193">
        <v>152</v>
      </c>
      <c r="J2740" s="19">
        <f t="shared" si="215"/>
        <v>130000</v>
      </c>
      <c r="K2740" s="50"/>
      <c r="L2740" s="50"/>
      <c r="M2740" s="50"/>
      <c r="N2740" s="19">
        <f>SUMIF('2020'!B:B,B2740,'2020'!C:C)+SUMIF('2021'!B:B,B2740,'2021'!C:C)+SUMIF('2022'!B:B,B2740,'2022'!C:C)</f>
        <v>130000</v>
      </c>
      <c r="O2740" s="219">
        <v>44925</v>
      </c>
      <c r="P2740" s="48" t="s">
        <v>3728</v>
      </c>
    </row>
    <row r="2741" spans="1:16" x14ac:dyDescent="0.3">
      <c r="A2741" s="59">
        <f t="shared" si="218"/>
        <v>2476</v>
      </c>
      <c r="B2741" s="66" t="s">
        <v>4011</v>
      </c>
      <c r="C2741" s="184">
        <v>1959</v>
      </c>
      <c r="D2741" s="48"/>
      <c r="E2741" s="193" t="s">
        <v>3733</v>
      </c>
      <c r="F2741" s="193">
        <v>2</v>
      </c>
      <c r="G2741" s="48"/>
      <c r="H2741" s="192">
        <v>640</v>
      </c>
      <c r="I2741" s="193">
        <v>17</v>
      </c>
      <c r="J2741" s="19">
        <f t="shared" si="215"/>
        <v>258700.98</v>
      </c>
      <c r="K2741" s="50"/>
      <c r="L2741" s="50"/>
      <c r="M2741" s="50"/>
      <c r="N2741" s="19">
        <f>SUMIF('2020'!B:B,B2741,'2020'!C:C)+SUMIF('2021'!B:B,B2741,'2021'!C:C)+SUMIF('2022'!B:B,B2741,'2022'!C:C)</f>
        <v>258700.98</v>
      </c>
      <c r="O2741" s="219">
        <v>44925</v>
      </c>
      <c r="P2741" s="48" t="s">
        <v>3728</v>
      </c>
    </row>
    <row r="2742" spans="1:16" x14ac:dyDescent="0.3">
      <c r="A2742" s="59">
        <f t="shared" si="218"/>
        <v>2477</v>
      </c>
      <c r="B2742" s="66" t="s">
        <v>3857</v>
      </c>
      <c r="C2742" s="184">
        <v>1991</v>
      </c>
      <c r="D2742" s="48"/>
      <c r="E2742" s="193" t="s">
        <v>3729</v>
      </c>
      <c r="F2742" s="193">
        <v>3</v>
      </c>
      <c r="G2742" s="48"/>
      <c r="H2742" s="192">
        <v>1658.9</v>
      </c>
      <c r="I2742" s="193">
        <v>64</v>
      </c>
      <c r="J2742" s="19">
        <f t="shared" si="215"/>
        <v>3111848.4</v>
      </c>
      <c r="K2742" s="50"/>
      <c r="L2742" s="50"/>
      <c r="M2742" s="50"/>
      <c r="N2742" s="19">
        <f>SUMIF('2020'!B:B,B2742,'2020'!C:C)+SUMIF('2021'!B:B,B2742,'2021'!C:C)+SUMIF('2022'!B:B,B2742,'2022'!C:C)</f>
        <v>3111848.4</v>
      </c>
      <c r="O2742" s="219">
        <v>44925</v>
      </c>
      <c r="P2742" s="48" t="s">
        <v>3728</v>
      </c>
    </row>
    <row r="2743" spans="1:16" x14ac:dyDescent="0.3">
      <c r="A2743" s="59">
        <f t="shared" si="218"/>
        <v>2478</v>
      </c>
      <c r="B2743" s="66" t="s">
        <v>3858</v>
      </c>
      <c r="C2743" s="184">
        <v>1978</v>
      </c>
      <c r="D2743" s="48"/>
      <c r="E2743" s="193" t="s">
        <v>3729</v>
      </c>
      <c r="F2743" s="193">
        <v>3</v>
      </c>
      <c r="G2743" s="48"/>
      <c r="H2743" s="192">
        <v>1646.4</v>
      </c>
      <c r="I2743" s="193">
        <v>61</v>
      </c>
      <c r="J2743" s="19">
        <f t="shared" si="215"/>
        <v>1332338.3999999999</v>
      </c>
      <c r="K2743" s="50"/>
      <c r="L2743" s="50"/>
      <c r="M2743" s="50"/>
      <c r="N2743" s="19">
        <f>SUMIF('2020'!B:B,B2743,'2020'!C:C)+SUMIF('2021'!B:B,B2743,'2021'!C:C)+SUMIF('2022'!B:B,B2743,'2022'!C:C)</f>
        <v>1332338.3999999999</v>
      </c>
      <c r="O2743" s="219">
        <v>44925</v>
      </c>
      <c r="P2743" s="48" t="s">
        <v>3728</v>
      </c>
    </row>
    <row r="2744" spans="1:16" x14ac:dyDescent="0.3">
      <c r="A2744" s="59">
        <f t="shared" si="218"/>
        <v>2479</v>
      </c>
      <c r="B2744" s="66" t="s">
        <v>3859</v>
      </c>
      <c r="C2744" s="184">
        <v>1913</v>
      </c>
      <c r="D2744" s="48"/>
      <c r="E2744" s="193" t="s">
        <v>3733</v>
      </c>
      <c r="F2744" s="196">
        <v>2</v>
      </c>
      <c r="G2744" s="48"/>
      <c r="H2744" s="192">
        <v>863.8</v>
      </c>
      <c r="I2744" s="193">
        <v>33</v>
      </c>
      <c r="J2744" s="19">
        <f t="shared" si="215"/>
        <v>5540541.0800000001</v>
      </c>
      <c r="K2744" s="50"/>
      <c r="L2744" s="50"/>
      <c r="M2744" s="50"/>
      <c r="N2744" s="19">
        <f>SUMIF('2020'!B:B,B2744,'2020'!C:C)+SUMIF('2021'!B:B,B2744,'2021'!C:C)+SUMIF('2022'!B:B,B2744,'2022'!C:C)</f>
        <v>5540541.0800000001</v>
      </c>
      <c r="O2744" s="219">
        <v>44925</v>
      </c>
      <c r="P2744" s="48" t="s">
        <v>3728</v>
      </c>
    </row>
    <row r="2745" spans="1:16" x14ac:dyDescent="0.3">
      <c r="A2745" s="59">
        <f t="shared" si="218"/>
        <v>2480</v>
      </c>
      <c r="B2745" s="66" t="s">
        <v>3860</v>
      </c>
      <c r="C2745" s="184">
        <v>1913</v>
      </c>
      <c r="D2745" s="48"/>
      <c r="E2745" s="193" t="s">
        <v>3733</v>
      </c>
      <c r="F2745" s="196">
        <v>3</v>
      </c>
      <c r="G2745" s="48"/>
      <c r="H2745" s="192">
        <v>1049.0999999999999</v>
      </c>
      <c r="I2745" s="193">
        <v>43</v>
      </c>
      <c r="J2745" s="19">
        <f t="shared" si="215"/>
        <v>3813116.6</v>
      </c>
      <c r="K2745" s="50"/>
      <c r="L2745" s="50"/>
      <c r="M2745" s="50"/>
      <c r="N2745" s="19">
        <f>SUMIF('2020'!B:B,B2745,'2020'!C:C)+SUMIF('2021'!B:B,B2745,'2021'!C:C)+SUMIF('2022'!B:B,B2745,'2022'!C:C)</f>
        <v>3813116.6</v>
      </c>
      <c r="O2745" s="219">
        <v>44925</v>
      </c>
      <c r="P2745" s="48" t="s">
        <v>3728</v>
      </c>
    </row>
    <row r="2746" spans="1:16" x14ac:dyDescent="0.3">
      <c r="A2746" s="59">
        <f t="shared" si="218"/>
        <v>2481</v>
      </c>
      <c r="B2746" s="66" t="s">
        <v>3861</v>
      </c>
      <c r="C2746" s="184">
        <v>1913</v>
      </c>
      <c r="D2746" s="48"/>
      <c r="E2746" s="193" t="s">
        <v>3733</v>
      </c>
      <c r="F2746" s="193">
        <v>3</v>
      </c>
      <c r="G2746" s="48"/>
      <c r="H2746" s="192">
        <v>1600.2</v>
      </c>
      <c r="I2746" s="193">
        <v>66</v>
      </c>
      <c r="J2746" s="19">
        <f t="shared" si="215"/>
        <v>8173206.9299999997</v>
      </c>
      <c r="K2746" s="50"/>
      <c r="L2746" s="50"/>
      <c r="M2746" s="50"/>
      <c r="N2746" s="19">
        <f>SUMIF('2020'!B:B,B2746,'2020'!C:C)+SUMIF('2021'!B:B,B2746,'2021'!C:C)+SUMIF('2022'!B:B,B2746,'2022'!C:C)</f>
        <v>8173206.9299999997</v>
      </c>
      <c r="O2746" s="219">
        <v>44925</v>
      </c>
      <c r="P2746" s="48" t="s">
        <v>3728</v>
      </c>
    </row>
    <row r="2747" spans="1:16" x14ac:dyDescent="0.3">
      <c r="A2747" s="59">
        <f t="shared" si="218"/>
        <v>2482</v>
      </c>
      <c r="B2747" s="66" t="s">
        <v>4012</v>
      </c>
      <c r="C2747" s="184">
        <v>1913</v>
      </c>
      <c r="D2747" s="48"/>
      <c r="E2747" s="193" t="s">
        <v>3733</v>
      </c>
      <c r="F2747" s="193">
        <v>2</v>
      </c>
      <c r="G2747" s="48"/>
      <c r="H2747" s="192">
        <v>534.5</v>
      </c>
      <c r="I2747" s="193">
        <v>24</v>
      </c>
      <c r="J2747" s="19">
        <f t="shared" si="215"/>
        <v>626808.98</v>
      </c>
      <c r="K2747" s="50"/>
      <c r="L2747" s="50"/>
      <c r="M2747" s="50"/>
      <c r="N2747" s="19">
        <f>SUMIF('2020'!B:B,B2747,'2020'!C:C)+SUMIF('2021'!B:B,B2747,'2021'!C:C)+SUMIF('2022'!B:B,B2747,'2022'!C:C)</f>
        <v>626808.98</v>
      </c>
      <c r="O2747" s="219">
        <v>44925</v>
      </c>
      <c r="P2747" s="48" t="s">
        <v>3728</v>
      </c>
    </row>
    <row r="2748" spans="1:16" x14ac:dyDescent="0.3">
      <c r="A2748" s="59">
        <f t="shared" si="218"/>
        <v>2483</v>
      </c>
      <c r="B2748" s="66" t="s">
        <v>4013</v>
      </c>
      <c r="C2748" s="184">
        <v>1913</v>
      </c>
      <c r="D2748" s="48"/>
      <c r="E2748" s="193" t="s">
        <v>3733</v>
      </c>
      <c r="F2748" s="193">
        <v>2</v>
      </c>
      <c r="G2748" s="48"/>
      <c r="H2748" s="192">
        <v>519.70000000000005</v>
      </c>
      <c r="I2748" s="193">
        <v>13</v>
      </c>
      <c r="J2748" s="19">
        <f t="shared" si="215"/>
        <v>696710.91</v>
      </c>
      <c r="K2748" s="50"/>
      <c r="L2748" s="50"/>
      <c r="M2748" s="50"/>
      <c r="N2748" s="19">
        <f>SUMIF('2020'!B:B,B2748,'2020'!C:C)+SUMIF('2021'!B:B,B2748,'2021'!C:C)+SUMIF('2022'!B:B,B2748,'2022'!C:C)</f>
        <v>696710.91</v>
      </c>
      <c r="O2748" s="219">
        <v>44925</v>
      </c>
      <c r="P2748" s="48" t="s">
        <v>3728</v>
      </c>
    </row>
    <row r="2749" spans="1:16" x14ac:dyDescent="0.3">
      <c r="A2749" s="59">
        <f t="shared" si="218"/>
        <v>2484</v>
      </c>
      <c r="B2749" s="66" t="s">
        <v>3862</v>
      </c>
      <c r="C2749" s="184">
        <v>1913</v>
      </c>
      <c r="D2749" s="48"/>
      <c r="E2749" s="193" t="s">
        <v>3733</v>
      </c>
      <c r="F2749" s="193">
        <v>3</v>
      </c>
      <c r="G2749" s="48"/>
      <c r="H2749" s="192">
        <v>1073</v>
      </c>
      <c r="I2749" s="193">
        <v>24</v>
      </c>
      <c r="J2749" s="19">
        <f t="shared" ref="J2749:J2812" si="219">K2749+L2749+M2749+N2749</f>
        <v>5474406.6800000006</v>
      </c>
      <c r="K2749" s="50"/>
      <c r="L2749" s="50"/>
      <c r="M2749" s="50"/>
      <c r="N2749" s="19">
        <f>SUMIF('2020'!B:B,B2749,'2020'!C:C)+SUMIF('2021'!B:B,B2749,'2021'!C:C)+SUMIF('2022'!B:B,B2749,'2022'!C:C)</f>
        <v>5474406.6800000006</v>
      </c>
      <c r="O2749" s="219">
        <v>44925</v>
      </c>
      <c r="P2749" s="48" t="s">
        <v>3728</v>
      </c>
    </row>
    <row r="2750" spans="1:16" x14ac:dyDescent="0.3">
      <c r="A2750" s="59">
        <f t="shared" si="218"/>
        <v>2485</v>
      </c>
      <c r="B2750" s="66" t="s">
        <v>3863</v>
      </c>
      <c r="C2750" s="184">
        <v>1916</v>
      </c>
      <c r="D2750" s="48"/>
      <c r="E2750" s="193" t="s">
        <v>3733</v>
      </c>
      <c r="F2750" s="193">
        <v>3</v>
      </c>
      <c r="G2750" s="48"/>
      <c r="H2750" s="192">
        <v>1208.3</v>
      </c>
      <c r="I2750" s="193">
        <v>48</v>
      </c>
      <c r="J2750" s="19">
        <f t="shared" si="219"/>
        <v>3871603.49</v>
      </c>
      <c r="K2750" s="50"/>
      <c r="L2750" s="50"/>
      <c r="M2750" s="50"/>
      <c r="N2750" s="19">
        <f>SUMIF('2020'!B:B,B2750,'2020'!C:C)+SUMIF('2021'!B:B,B2750,'2021'!C:C)+SUMIF('2022'!B:B,B2750,'2022'!C:C)</f>
        <v>3871603.49</v>
      </c>
      <c r="O2750" s="219">
        <v>44925</v>
      </c>
      <c r="P2750" s="48" t="s">
        <v>3728</v>
      </c>
    </row>
    <row r="2751" spans="1:16" x14ac:dyDescent="0.3">
      <c r="A2751" s="59">
        <f t="shared" si="218"/>
        <v>2486</v>
      </c>
      <c r="B2751" s="66" t="s">
        <v>4014</v>
      </c>
      <c r="C2751" s="184">
        <v>1916</v>
      </c>
      <c r="D2751" s="48"/>
      <c r="E2751" s="193" t="s">
        <v>3733</v>
      </c>
      <c r="F2751" s="193">
        <v>3</v>
      </c>
      <c r="G2751" s="48"/>
      <c r="H2751" s="192">
        <v>671.4</v>
      </c>
      <c r="I2751" s="193">
        <v>22</v>
      </c>
      <c r="J2751" s="19">
        <f t="shared" si="219"/>
        <v>472657.49</v>
      </c>
      <c r="K2751" s="50"/>
      <c r="L2751" s="50"/>
      <c r="M2751" s="50"/>
      <c r="N2751" s="19">
        <f>SUMIF('2020'!B:B,B2751,'2020'!C:C)+SUMIF('2021'!B:B,B2751,'2021'!C:C)+SUMIF('2022'!B:B,B2751,'2022'!C:C)</f>
        <v>472657.49</v>
      </c>
      <c r="O2751" s="219">
        <v>44925</v>
      </c>
      <c r="P2751" s="48" t="s">
        <v>3728</v>
      </c>
    </row>
    <row r="2752" spans="1:16" x14ac:dyDescent="0.3">
      <c r="A2752" s="59">
        <f t="shared" si="218"/>
        <v>2487</v>
      </c>
      <c r="B2752" s="66" t="s">
        <v>3864</v>
      </c>
      <c r="C2752" s="184">
        <v>1939</v>
      </c>
      <c r="D2752" s="48"/>
      <c r="E2752" s="193" t="s">
        <v>3733</v>
      </c>
      <c r="F2752" s="193">
        <v>4</v>
      </c>
      <c r="G2752" s="48"/>
      <c r="H2752" s="192">
        <v>2339.3000000000002</v>
      </c>
      <c r="I2752" s="193">
        <v>96</v>
      </c>
      <c r="J2752" s="19">
        <f t="shared" si="219"/>
        <v>6876441.3499999996</v>
      </c>
      <c r="K2752" s="50"/>
      <c r="L2752" s="50"/>
      <c r="M2752" s="50"/>
      <c r="N2752" s="19">
        <f>SUMIF('2020'!B:B,B2752,'2020'!C:C)+SUMIF('2021'!B:B,B2752,'2021'!C:C)+SUMIF('2022'!B:B,B2752,'2022'!C:C)</f>
        <v>6876441.3499999996</v>
      </c>
      <c r="O2752" s="219">
        <v>44925</v>
      </c>
      <c r="P2752" s="48" t="s">
        <v>3728</v>
      </c>
    </row>
    <row r="2753" spans="1:16" x14ac:dyDescent="0.3">
      <c r="A2753" s="59">
        <f t="shared" si="218"/>
        <v>2488</v>
      </c>
      <c r="B2753" s="66" t="s">
        <v>3865</v>
      </c>
      <c r="C2753" s="184">
        <v>1960</v>
      </c>
      <c r="D2753" s="48"/>
      <c r="E2753" s="193" t="s">
        <v>3733</v>
      </c>
      <c r="F2753" s="193">
        <v>2</v>
      </c>
      <c r="G2753" s="48"/>
      <c r="H2753" s="192">
        <v>679.8</v>
      </c>
      <c r="I2753" s="193">
        <v>26</v>
      </c>
      <c r="J2753" s="19">
        <f t="shared" si="219"/>
        <v>2921263.2</v>
      </c>
      <c r="K2753" s="50"/>
      <c r="L2753" s="50"/>
      <c r="M2753" s="50"/>
      <c r="N2753" s="19">
        <f>SUMIF('2020'!B:B,B2753,'2020'!C:C)+SUMIF('2021'!B:B,B2753,'2021'!C:C)+SUMIF('2022'!B:B,B2753,'2022'!C:C)</f>
        <v>2921263.2</v>
      </c>
      <c r="O2753" s="219">
        <v>44925</v>
      </c>
      <c r="P2753" s="48" t="s">
        <v>3728</v>
      </c>
    </row>
    <row r="2754" spans="1:16" x14ac:dyDescent="0.3">
      <c r="A2754" s="449" t="s">
        <v>211</v>
      </c>
      <c r="B2754" s="449"/>
      <c r="C2754" s="50"/>
      <c r="D2754" s="50"/>
      <c r="E2754" s="48"/>
      <c r="F2754" s="48"/>
      <c r="G2754" s="50"/>
      <c r="H2754" s="19">
        <f t="shared" ref="H2754" si="220">I2754+J2754+K2754+L2754</f>
        <v>521673655.06000006</v>
      </c>
      <c r="I2754" s="19">
        <f t="shared" ref="I2754" si="221">J2754+K2754+L2754+M2754</f>
        <v>260836827.53000003</v>
      </c>
      <c r="J2754" s="19">
        <f t="shared" si="219"/>
        <v>260836827.53000003</v>
      </c>
      <c r="K2754" s="50">
        <v>0</v>
      </c>
      <c r="L2754" s="50">
        <v>0</v>
      </c>
      <c r="M2754" s="50">
        <f>N2754-'2020'!C606-'2021'!C2138-'2022'!C907</f>
        <v>0</v>
      </c>
      <c r="N2754" s="50">
        <f>SUM(N2688:N2753)</f>
        <v>260836827.53000003</v>
      </c>
      <c r="O2754" s="50"/>
      <c r="P2754" s="50"/>
    </row>
    <row r="2755" spans="1:16" x14ac:dyDescent="0.3">
      <c r="A2755" s="448" t="s">
        <v>3866</v>
      </c>
      <c r="B2755" s="448"/>
      <c r="C2755" s="50"/>
      <c r="D2755" s="50"/>
      <c r="E2755" s="48"/>
      <c r="F2755" s="48"/>
      <c r="G2755" s="50"/>
      <c r="H2755" s="48"/>
      <c r="I2755" s="48"/>
      <c r="J2755" s="19"/>
      <c r="K2755" s="50"/>
      <c r="L2755" s="50"/>
      <c r="M2755" s="50"/>
      <c r="N2755" s="50"/>
      <c r="O2755" s="50"/>
      <c r="P2755" s="50"/>
    </row>
    <row r="2756" spans="1:16" x14ac:dyDescent="0.3">
      <c r="A2756" s="59">
        <f>A2753+1</f>
        <v>2489</v>
      </c>
      <c r="B2756" s="66" t="s">
        <v>4015</v>
      </c>
      <c r="C2756" s="184">
        <v>1969</v>
      </c>
      <c r="D2756" s="48"/>
      <c r="E2756" s="197" t="s">
        <v>3733</v>
      </c>
      <c r="F2756" s="59">
        <v>2</v>
      </c>
      <c r="G2756" s="48"/>
      <c r="H2756" s="192">
        <v>579.1</v>
      </c>
      <c r="I2756" s="198">
        <v>21</v>
      </c>
      <c r="J2756" s="19">
        <f t="shared" si="219"/>
        <v>1696902</v>
      </c>
      <c r="K2756" s="50"/>
      <c r="L2756" s="50"/>
      <c r="M2756" s="50"/>
      <c r="N2756" s="19">
        <f>SUMIF('2020'!B:B,B2756,'2020'!C:C)+SUMIF('2021'!B:B,B2756,'2021'!C:C)+SUMIF('2022'!B:B,B2756,'2022'!C:C)</f>
        <v>1696902</v>
      </c>
      <c r="O2756" s="219">
        <v>44925</v>
      </c>
      <c r="P2756" s="48" t="s">
        <v>3728</v>
      </c>
    </row>
    <row r="2757" spans="1:16" x14ac:dyDescent="0.3">
      <c r="A2757" s="59">
        <f t="shared" ref="A2757:A2765" si="222">A2756+1</f>
        <v>2490</v>
      </c>
      <c r="B2757" s="66" t="s">
        <v>4016</v>
      </c>
      <c r="C2757" s="184">
        <v>1969</v>
      </c>
      <c r="D2757" s="48"/>
      <c r="E2757" s="197" t="s">
        <v>3733</v>
      </c>
      <c r="F2757" s="59">
        <v>2</v>
      </c>
      <c r="G2757" s="48"/>
      <c r="H2757" s="192">
        <v>575.79999999999995</v>
      </c>
      <c r="I2757" s="198">
        <v>25</v>
      </c>
      <c r="J2757" s="19">
        <f t="shared" si="219"/>
        <v>130000</v>
      </c>
      <c r="K2757" s="50"/>
      <c r="L2757" s="50"/>
      <c r="M2757" s="50"/>
      <c r="N2757" s="19">
        <f>SUMIF('2020'!B:B,B2757,'2020'!C:C)+SUMIF('2021'!B:B,B2757,'2021'!C:C)+SUMIF('2022'!B:B,B2757,'2022'!C:C)</f>
        <v>130000</v>
      </c>
      <c r="O2757" s="219">
        <v>44925</v>
      </c>
      <c r="P2757" s="48" t="s">
        <v>3728</v>
      </c>
    </row>
    <row r="2758" spans="1:16" x14ac:dyDescent="0.3">
      <c r="A2758" s="59">
        <f t="shared" si="222"/>
        <v>2491</v>
      </c>
      <c r="B2758" s="66" t="s">
        <v>4017</v>
      </c>
      <c r="C2758" s="184">
        <v>1969</v>
      </c>
      <c r="D2758" s="48"/>
      <c r="E2758" s="197" t="s">
        <v>3733</v>
      </c>
      <c r="F2758" s="59">
        <v>2</v>
      </c>
      <c r="G2758" s="48"/>
      <c r="H2758" s="192">
        <v>798.4</v>
      </c>
      <c r="I2758" s="198">
        <v>62</v>
      </c>
      <c r="J2758" s="19">
        <f t="shared" si="219"/>
        <v>241245.26</v>
      </c>
      <c r="K2758" s="50"/>
      <c r="L2758" s="50"/>
      <c r="M2758" s="50"/>
      <c r="N2758" s="19">
        <f>SUMIF('2020'!B:B,B2758,'2020'!C:C)+SUMIF('2021'!B:B,B2758,'2021'!C:C)+SUMIF('2022'!B:B,B2758,'2022'!C:C)</f>
        <v>241245.26</v>
      </c>
      <c r="O2758" s="219">
        <v>44925</v>
      </c>
      <c r="P2758" s="48" t="s">
        <v>3728</v>
      </c>
    </row>
    <row r="2759" spans="1:16" x14ac:dyDescent="0.3">
      <c r="A2759" s="59">
        <f t="shared" si="222"/>
        <v>2492</v>
      </c>
      <c r="B2759" s="66" t="s">
        <v>4018</v>
      </c>
      <c r="C2759" s="184">
        <v>1965</v>
      </c>
      <c r="D2759" s="48"/>
      <c r="E2759" s="197" t="s">
        <v>3733</v>
      </c>
      <c r="F2759" s="59">
        <v>2</v>
      </c>
      <c r="G2759" s="48"/>
      <c r="H2759" s="192">
        <v>791.1</v>
      </c>
      <c r="I2759" s="198">
        <v>40</v>
      </c>
      <c r="J2759" s="19">
        <f t="shared" si="219"/>
        <v>130000</v>
      </c>
      <c r="K2759" s="50"/>
      <c r="L2759" s="50"/>
      <c r="M2759" s="50"/>
      <c r="N2759" s="19">
        <f>SUMIF('2020'!B:B,B2759,'2020'!C:C)+SUMIF('2021'!B:B,B2759,'2021'!C:C)+SUMIF('2022'!B:B,B2759,'2022'!C:C)</f>
        <v>130000</v>
      </c>
      <c r="O2759" s="219">
        <v>44925</v>
      </c>
      <c r="P2759" s="48" t="s">
        <v>3728</v>
      </c>
    </row>
    <row r="2760" spans="1:16" x14ac:dyDescent="0.3">
      <c r="A2760" s="59">
        <f t="shared" si="222"/>
        <v>2493</v>
      </c>
      <c r="B2760" s="66" t="s">
        <v>4019</v>
      </c>
      <c r="C2760" s="184">
        <v>1979</v>
      </c>
      <c r="D2760" s="48"/>
      <c r="E2760" s="197" t="s">
        <v>3729</v>
      </c>
      <c r="F2760" s="59">
        <v>3</v>
      </c>
      <c r="G2760" s="48"/>
      <c r="H2760" s="192">
        <v>2309</v>
      </c>
      <c r="I2760" s="198">
        <v>57</v>
      </c>
      <c r="J2760" s="19">
        <f t="shared" si="219"/>
        <v>340446.62</v>
      </c>
      <c r="K2760" s="50"/>
      <c r="L2760" s="50"/>
      <c r="M2760" s="50"/>
      <c r="N2760" s="19">
        <f>SUMIF('2020'!B:B,B2760,'2020'!C:C)+SUMIF('2021'!B:B,B2760,'2021'!C:C)+SUMIF('2022'!B:B,B2760,'2022'!C:C)</f>
        <v>340446.62</v>
      </c>
      <c r="O2760" s="219">
        <v>44925</v>
      </c>
      <c r="P2760" s="48" t="s">
        <v>3728</v>
      </c>
    </row>
    <row r="2761" spans="1:16" x14ac:dyDescent="0.3">
      <c r="A2761" s="59">
        <f t="shared" si="222"/>
        <v>2494</v>
      </c>
      <c r="B2761" s="66" t="s">
        <v>4020</v>
      </c>
      <c r="C2761" s="184">
        <v>1978</v>
      </c>
      <c r="D2761" s="48"/>
      <c r="E2761" s="197" t="s">
        <v>3729</v>
      </c>
      <c r="F2761" s="59">
        <v>3</v>
      </c>
      <c r="G2761" s="48"/>
      <c r="H2761" s="192">
        <v>1858.2</v>
      </c>
      <c r="I2761" s="198">
        <v>58</v>
      </c>
      <c r="J2761" s="19">
        <f t="shared" si="219"/>
        <v>259048.93</v>
      </c>
      <c r="K2761" s="50"/>
      <c r="L2761" s="50"/>
      <c r="M2761" s="50"/>
      <c r="N2761" s="19">
        <f>SUMIF('2020'!B:B,B2761,'2020'!C:C)+SUMIF('2021'!B:B,B2761,'2021'!C:C)+SUMIF('2022'!B:B,B2761,'2022'!C:C)</f>
        <v>259048.93</v>
      </c>
      <c r="O2761" s="219">
        <v>44925</v>
      </c>
      <c r="P2761" s="48" t="s">
        <v>3728</v>
      </c>
    </row>
    <row r="2762" spans="1:16" x14ac:dyDescent="0.3">
      <c r="A2762" s="59">
        <f t="shared" si="222"/>
        <v>2495</v>
      </c>
      <c r="B2762" s="66" t="s">
        <v>3867</v>
      </c>
      <c r="C2762" s="184">
        <v>1981</v>
      </c>
      <c r="D2762" s="48"/>
      <c r="E2762" s="197" t="s">
        <v>3736</v>
      </c>
      <c r="F2762" s="199">
        <v>3</v>
      </c>
      <c r="G2762" s="48"/>
      <c r="H2762" s="195">
        <v>2110.1999999999998</v>
      </c>
      <c r="I2762" s="200">
        <v>66</v>
      </c>
      <c r="J2762" s="19">
        <f t="shared" si="219"/>
        <v>5395905.9400000004</v>
      </c>
      <c r="K2762" s="50"/>
      <c r="L2762" s="50"/>
      <c r="M2762" s="50"/>
      <c r="N2762" s="19">
        <f>SUMIF('2020'!B:B,B2762,'2020'!C:C)+SUMIF('2021'!B:B,B2762,'2021'!C:C)+SUMIF('2022'!B:B,B2762,'2022'!C:C)</f>
        <v>5395905.9400000004</v>
      </c>
      <c r="O2762" s="219">
        <v>44925</v>
      </c>
      <c r="P2762" s="48" t="s">
        <v>3728</v>
      </c>
    </row>
    <row r="2763" spans="1:16" x14ac:dyDescent="0.3">
      <c r="A2763" s="59">
        <f t="shared" si="222"/>
        <v>2496</v>
      </c>
      <c r="B2763" s="66" t="s">
        <v>3868</v>
      </c>
      <c r="C2763" s="184">
        <v>1983</v>
      </c>
      <c r="D2763" s="48"/>
      <c r="E2763" s="197" t="s">
        <v>3645</v>
      </c>
      <c r="F2763" s="199">
        <v>4</v>
      </c>
      <c r="G2763" s="48"/>
      <c r="H2763" s="195">
        <v>702.7</v>
      </c>
      <c r="I2763" s="200">
        <v>18</v>
      </c>
      <c r="J2763" s="19">
        <f t="shared" si="219"/>
        <v>1315864.8</v>
      </c>
      <c r="K2763" s="50"/>
      <c r="L2763" s="50"/>
      <c r="M2763" s="50"/>
      <c r="N2763" s="19">
        <f>SUMIF('2020'!B:B,B2763,'2020'!C:C)+SUMIF('2021'!B:B,B2763,'2021'!C:C)+SUMIF('2022'!B:B,B2763,'2022'!C:C)</f>
        <v>1315864.8</v>
      </c>
      <c r="O2763" s="219">
        <v>44925</v>
      </c>
      <c r="P2763" s="48" t="s">
        <v>3728</v>
      </c>
    </row>
    <row r="2764" spans="1:16" x14ac:dyDescent="0.3">
      <c r="A2764" s="59">
        <f t="shared" si="222"/>
        <v>2497</v>
      </c>
      <c r="B2764" s="66" t="s">
        <v>4058</v>
      </c>
      <c r="C2764" s="184">
        <v>1981</v>
      </c>
      <c r="D2764" s="48"/>
      <c r="E2764" s="197" t="s">
        <v>3729</v>
      </c>
      <c r="F2764" s="199">
        <v>3</v>
      </c>
      <c r="G2764" s="48"/>
      <c r="H2764" s="195">
        <v>2102.1</v>
      </c>
      <c r="I2764" s="200">
        <v>69</v>
      </c>
      <c r="J2764" s="19">
        <f t="shared" si="219"/>
        <v>4902662.4000000004</v>
      </c>
      <c r="K2764" s="50"/>
      <c r="L2764" s="50"/>
      <c r="M2764" s="50"/>
      <c r="N2764" s="19">
        <f>SUMIF('2020'!B:B,B2764,'2020'!C:C)+SUMIF('2021'!B:B,B2764,'2021'!C:C)+SUMIF('2022'!B:B,B2764,'2022'!C:C)</f>
        <v>4902662.4000000004</v>
      </c>
      <c r="O2764" s="219">
        <v>44925</v>
      </c>
      <c r="P2764" s="48" t="s">
        <v>3728</v>
      </c>
    </row>
    <row r="2765" spans="1:16" x14ac:dyDescent="0.3">
      <c r="A2765" s="59">
        <f t="shared" si="222"/>
        <v>2498</v>
      </c>
      <c r="B2765" s="66" t="s">
        <v>3869</v>
      </c>
      <c r="C2765" s="184">
        <v>1976</v>
      </c>
      <c r="D2765" s="48"/>
      <c r="E2765" s="197" t="s">
        <v>3729</v>
      </c>
      <c r="F2765" s="199">
        <v>3</v>
      </c>
      <c r="G2765" s="48"/>
      <c r="H2765" s="195">
        <v>1282.7</v>
      </c>
      <c r="I2765" s="200">
        <v>64</v>
      </c>
      <c r="J2765" s="19">
        <f t="shared" si="219"/>
        <v>7747711.2000000002</v>
      </c>
      <c r="K2765" s="50"/>
      <c r="L2765" s="50"/>
      <c r="M2765" s="50"/>
      <c r="N2765" s="19">
        <f>SUMIF('2020'!B:B,B2765,'2020'!C:C)+SUMIF('2021'!B:B,B2765,'2021'!C:C)+SUMIF('2022'!B:B,B2765,'2022'!C:C)</f>
        <v>7747711.2000000002</v>
      </c>
      <c r="O2765" s="219">
        <v>44925</v>
      </c>
      <c r="P2765" s="48" t="s">
        <v>3728</v>
      </c>
    </row>
    <row r="2766" spans="1:16" x14ac:dyDescent="0.3">
      <c r="A2766" s="449" t="s">
        <v>211</v>
      </c>
      <c r="B2766" s="449"/>
      <c r="C2766" s="50"/>
      <c r="D2766" s="50"/>
      <c r="E2766" s="48"/>
      <c r="F2766" s="48"/>
      <c r="G2766" s="50"/>
      <c r="H2766" s="19">
        <f t="shared" ref="H2766" si="223">I2766+J2766+K2766+L2766</f>
        <v>44319574.300000004</v>
      </c>
      <c r="I2766" s="19">
        <f t="shared" ref="I2766" si="224">J2766+K2766+L2766+M2766</f>
        <v>22159787.150000002</v>
      </c>
      <c r="J2766" s="19">
        <f t="shared" si="219"/>
        <v>22159787.150000002</v>
      </c>
      <c r="K2766" s="50">
        <v>0</v>
      </c>
      <c r="L2766" s="50">
        <v>0</v>
      </c>
      <c r="M2766" s="50">
        <f>N2766-'2020'!C611-'2021'!C2146-'2022'!C912</f>
        <v>0</v>
      </c>
      <c r="N2766" s="50">
        <f>SUM(N2756:N2765)</f>
        <v>22159787.150000002</v>
      </c>
      <c r="O2766" s="50"/>
      <c r="P2766" s="50"/>
    </row>
    <row r="2767" spans="1:16" x14ac:dyDescent="0.3">
      <c r="A2767" s="448" t="s">
        <v>3870</v>
      </c>
      <c r="B2767" s="448"/>
      <c r="C2767" s="50"/>
      <c r="D2767" s="50"/>
      <c r="E2767" s="48"/>
      <c r="F2767" s="48"/>
      <c r="G2767" s="50"/>
      <c r="H2767" s="48"/>
      <c r="I2767" s="48"/>
      <c r="J2767" s="19"/>
      <c r="K2767" s="50"/>
      <c r="L2767" s="50"/>
      <c r="M2767" s="50"/>
      <c r="N2767" s="50"/>
      <c r="O2767" s="50"/>
      <c r="P2767" s="50"/>
    </row>
    <row r="2768" spans="1:16" x14ac:dyDescent="0.3">
      <c r="A2768" s="59">
        <f>A2765+1</f>
        <v>2499</v>
      </c>
      <c r="B2768" s="66" t="s">
        <v>3871</v>
      </c>
      <c r="C2768" s="184">
        <v>1966</v>
      </c>
      <c r="D2768" s="48"/>
      <c r="E2768" s="190" t="s">
        <v>4097</v>
      </c>
      <c r="F2768" s="190">
        <v>2</v>
      </c>
      <c r="G2768" s="48"/>
      <c r="H2768" s="190">
        <v>666.4</v>
      </c>
      <c r="I2768" s="190">
        <v>23</v>
      </c>
      <c r="J2768" s="19">
        <f t="shared" si="219"/>
        <v>1854179.33</v>
      </c>
      <c r="K2768" s="50"/>
      <c r="L2768" s="50"/>
      <c r="M2768" s="50"/>
      <c r="N2768" s="19">
        <f>SUMIF('2020'!B:B,B2768,'2020'!C:C)+SUMIF('2021'!B:B,B2768,'2021'!C:C)+SUMIF('2022'!B:B,B2768,'2022'!C:C)</f>
        <v>1854179.33</v>
      </c>
      <c r="O2768" s="219">
        <v>44925</v>
      </c>
      <c r="P2768" s="48" t="s">
        <v>3728</v>
      </c>
    </row>
    <row r="2769" spans="1:16" x14ac:dyDescent="0.3">
      <c r="A2769" s="59">
        <f t="shared" ref="A2769:A2789" si="225">A2768+1</f>
        <v>2500</v>
      </c>
      <c r="B2769" s="66" t="s">
        <v>4059</v>
      </c>
      <c r="C2769" s="184">
        <v>1966</v>
      </c>
      <c r="D2769" s="48"/>
      <c r="E2769" s="190" t="s">
        <v>4097</v>
      </c>
      <c r="F2769" s="190">
        <v>2</v>
      </c>
      <c r="G2769" s="48"/>
      <c r="H2769" s="190">
        <v>664.4</v>
      </c>
      <c r="I2769" s="190">
        <v>11</v>
      </c>
      <c r="J2769" s="19">
        <f t="shared" si="219"/>
        <v>671544.53</v>
      </c>
      <c r="K2769" s="50"/>
      <c r="L2769" s="50"/>
      <c r="M2769" s="50"/>
      <c r="N2769" s="19">
        <f>SUMIF('2020'!B:B,B2769,'2020'!C:C)+SUMIF('2021'!B:B,B2769,'2021'!C:C)+SUMIF('2022'!B:B,B2769,'2022'!C:C)</f>
        <v>671544.53</v>
      </c>
      <c r="O2769" s="219">
        <v>44925</v>
      </c>
      <c r="P2769" s="48" t="s">
        <v>3728</v>
      </c>
    </row>
    <row r="2770" spans="1:16" x14ac:dyDescent="0.3">
      <c r="A2770" s="59">
        <f t="shared" si="225"/>
        <v>2501</v>
      </c>
      <c r="B2770" s="66" t="s">
        <v>3872</v>
      </c>
      <c r="C2770" s="184">
        <v>1971</v>
      </c>
      <c r="D2770" s="48"/>
      <c r="E2770" s="190" t="s">
        <v>4097</v>
      </c>
      <c r="F2770" s="190">
        <v>2</v>
      </c>
      <c r="G2770" s="48"/>
      <c r="H2770" s="190">
        <v>650.6</v>
      </c>
      <c r="I2770" s="190">
        <v>18</v>
      </c>
      <c r="J2770" s="19">
        <f t="shared" si="219"/>
        <v>4512054.62</v>
      </c>
      <c r="K2770" s="50"/>
      <c r="L2770" s="50"/>
      <c r="M2770" s="50"/>
      <c r="N2770" s="19">
        <f>SUMIF('2020'!B:B,B2770,'2020'!C:C)+SUMIF('2021'!B:B,B2770,'2021'!C:C)+SUMIF('2022'!B:B,B2770,'2022'!C:C)</f>
        <v>4512054.62</v>
      </c>
      <c r="O2770" s="219">
        <v>44925</v>
      </c>
      <c r="P2770" s="48" t="s">
        <v>3728</v>
      </c>
    </row>
    <row r="2771" spans="1:16" x14ac:dyDescent="0.3">
      <c r="A2771" s="59">
        <f t="shared" si="225"/>
        <v>2502</v>
      </c>
      <c r="B2771" s="66" t="s">
        <v>3873</v>
      </c>
      <c r="C2771" s="184">
        <v>1953</v>
      </c>
      <c r="D2771" s="48"/>
      <c r="E2771" s="190" t="s">
        <v>4097</v>
      </c>
      <c r="F2771" s="190">
        <v>2</v>
      </c>
      <c r="G2771" s="48"/>
      <c r="H2771" s="190">
        <v>414.7</v>
      </c>
      <c r="I2771" s="190">
        <v>9</v>
      </c>
      <c r="J2771" s="19">
        <f t="shared" si="219"/>
        <v>1519063.23</v>
      </c>
      <c r="K2771" s="50"/>
      <c r="L2771" s="50"/>
      <c r="M2771" s="50"/>
      <c r="N2771" s="19">
        <f>SUMIF('2020'!B:B,B2771,'2020'!C:C)+SUMIF('2021'!B:B,B2771,'2021'!C:C)+SUMIF('2022'!B:B,B2771,'2022'!C:C)</f>
        <v>1519063.23</v>
      </c>
      <c r="O2771" s="219">
        <v>44925</v>
      </c>
      <c r="P2771" s="48" t="s">
        <v>3728</v>
      </c>
    </row>
    <row r="2772" spans="1:16" x14ac:dyDescent="0.3">
      <c r="A2772" s="59">
        <f t="shared" si="225"/>
        <v>2503</v>
      </c>
      <c r="B2772" s="66" t="s">
        <v>3874</v>
      </c>
      <c r="C2772" s="184">
        <v>1953</v>
      </c>
      <c r="D2772" s="48"/>
      <c r="E2772" s="190" t="s">
        <v>4097</v>
      </c>
      <c r="F2772" s="190">
        <v>2</v>
      </c>
      <c r="G2772" s="48"/>
      <c r="H2772" s="190">
        <v>414.6</v>
      </c>
      <c r="I2772" s="190">
        <v>20</v>
      </c>
      <c r="J2772" s="19">
        <f t="shared" si="219"/>
        <v>1694520.1</v>
      </c>
      <c r="K2772" s="50"/>
      <c r="L2772" s="50"/>
      <c r="M2772" s="50"/>
      <c r="N2772" s="19">
        <f>SUMIF('2020'!B:B,B2772,'2020'!C:C)+SUMIF('2021'!B:B,B2772,'2021'!C:C)+SUMIF('2022'!B:B,B2772,'2022'!C:C)</f>
        <v>1694520.1</v>
      </c>
      <c r="O2772" s="219">
        <v>44925</v>
      </c>
      <c r="P2772" s="48" t="s">
        <v>3728</v>
      </c>
    </row>
    <row r="2773" spans="1:16" x14ac:dyDescent="0.3">
      <c r="A2773" s="59">
        <f t="shared" si="225"/>
        <v>2504</v>
      </c>
      <c r="B2773" s="66" t="s">
        <v>3875</v>
      </c>
      <c r="C2773" s="184">
        <v>1953</v>
      </c>
      <c r="D2773" s="48"/>
      <c r="E2773" s="190" t="s">
        <v>4097</v>
      </c>
      <c r="F2773" s="190">
        <v>2</v>
      </c>
      <c r="G2773" s="48"/>
      <c r="H2773" s="190">
        <v>414.6</v>
      </c>
      <c r="I2773" s="190">
        <v>18</v>
      </c>
      <c r="J2773" s="19">
        <f t="shared" si="219"/>
        <v>1511010.09</v>
      </c>
      <c r="K2773" s="50"/>
      <c r="L2773" s="50"/>
      <c r="M2773" s="50"/>
      <c r="N2773" s="19">
        <f>SUMIF('2020'!B:B,B2773,'2020'!C:C)+SUMIF('2021'!B:B,B2773,'2021'!C:C)+SUMIF('2022'!B:B,B2773,'2022'!C:C)</f>
        <v>1511010.09</v>
      </c>
      <c r="O2773" s="219">
        <v>44925</v>
      </c>
      <c r="P2773" s="48" t="s">
        <v>3728</v>
      </c>
    </row>
    <row r="2774" spans="1:16" x14ac:dyDescent="0.3">
      <c r="A2774" s="59">
        <f t="shared" si="225"/>
        <v>2505</v>
      </c>
      <c r="B2774" s="66" t="s">
        <v>4060</v>
      </c>
      <c r="C2774" s="184">
        <v>1985</v>
      </c>
      <c r="D2774" s="48"/>
      <c r="E2774" s="190" t="s">
        <v>4189</v>
      </c>
      <c r="F2774" s="190">
        <v>5</v>
      </c>
      <c r="G2774" s="48"/>
      <c r="H2774" s="201">
        <v>6461.2</v>
      </c>
      <c r="I2774" s="190">
        <v>182</v>
      </c>
      <c r="J2774" s="19">
        <f t="shared" si="219"/>
        <v>130000</v>
      </c>
      <c r="K2774" s="50"/>
      <c r="L2774" s="50"/>
      <c r="M2774" s="50"/>
      <c r="N2774" s="19">
        <f>SUMIF('2020'!B:B,B2774,'2020'!C:C)+SUMIF('2021'!B:B,B2774,'2021'!C:C)+SUMIF('2022'!B:B,B2774,'2022'!C:C)</f>
        <v>130000</v>
      </c>
      <c r="O2774" s="219">
        <v>44925</v>
      </c>
      <c r="P2774" s="48" t="s">
        <v>3728</v>
      </c>
    </row>
    <row r="2775" spans="1:16" x14ac:dyDescent="0.3">
      <c r="A2775" s="59">
        <f t="shared" si="225"/>
        <v>2506</v>
      </c>
      <c r="B2775" s="66" t="s">
        <v>3876</v>
      </c>
      <c r="C2775" s="184">
        <v>1973</v>
      </c>
      <c r="D2775" s="48"/>
      <c r="E2775" s="190" t="s">
        <v>4189</v>
      </c>
      <c r="F2775" s="190">
        <v>5</v>
      </c>
      <c r="G2775" s="48"/>
      <c r="H2775" s="201">
        <v>4256.2</v>
      </c>
      <c r="I2775" s="190">
        <v>124</v>
      </c>
      <c r="J2775" s="19">
        <f t="shared" si="219"/>
        <v>22698718</v>
      </c>
      <c r="K2775" s="50"/>
      <c r="L2775" s="50"/>
      <c r="M2775" s="50"/>
      <c r="N2775" s="19">
        <f>SUMIF('2020'!B:B,B2775,'2020'!C:C)+SUMIF('2021'!B:B,B2775,'2021'!C:C)+SUMIF('2022'!B:B,B2775,'2022'!C:C)</f>
        <v>22698718</v>
      </c>
      <c r="O2775" s="219">
        <v>44925</v>
      </c>
      <c r="P2775" s="48" t="s">
        <v>3728</v>
      </c>
    </row>
    <row r="2776" spans="1:16" x14ac:dyDescent="0.3">
      <c r="A2776" s="59">
        <f t="shared" si="225"/>
        <v>2507</v>
      </c>
      <c r="B2776" s="66" t="s">
        <v>3877</v>
      </c>
      <c r="C2776" s="184">
        <v>1980</v>
      </c>
      <c r="D2776" s="48"/>
      <c r="E2776" s="190" t="s">
        <v>4097</v>
      </c>
      <c r="F2776" s="190">
        <v>2</v>
      </c>
      <c r="G2776" s="48"/>
      <c r="H2776" s="190">
        <v>234.5</v>
      </c>
      <c r="I2776" s="190">
        <v>12</v>
      </c>
      <c r="J2776" s="19">
        <f t="shared" si="219"/>
        <v>2619344.64</v>
      </c>
      <c r="K2776" s="50"/>
      <c r="L2776" s="50"/>
      <c r="M2776" s="50"/>
      <c r="N2776" s="19">
        <f>SUMIF('2020'!B:B,B2776,'2020'!C:C)+SUMIF('2021'!B:B,B2776,'2021'!C:C)+SUMIF('2022'!B:B,B2776,'2022'!C:C)</f>
        <v>2619344.64</v>
      </c>
      <c r="O2776" s="219">
        <v>44925</v>
      </c>
      <c r="P2776" s="48" t="s">
        <v>3728</v>
      </c>
    </row>
    <row r="2777" spans="1:16" x14ac:dyDescent="0.3">
      <c r="A2777" s="59">
        <f t="shared" si="225"/>
        <v>2508</v>
      </c>
      <c r="B2777" s="66" t="s">
        <v>4021</v>
      </c>
      <c r="C2777" s="184">
        <v>1982</v>
      </c>
      <c r="D2777" s="48"/>
      <c r="E2777" s="190" t="s">
        <v>4189</v>
      </c>
      <c r="F2777" s="190">
        <v>5</v>
      </c>
      <c r="G2777" s="48"/>
      <c r="H2777" s="201">
        <v>4336</v>
      </c>
      <c r="I2777" s="190">
        <v>122</v>
      </c>
      <c r="J2777" s="19">
        <f t="shared" si="219"/>
        <v>17339218</v>
      </c>
      <c r="K2777" s="50"/>
      <c r="L2777" s="50"/>
      <c r="M2777" s="50"/>
      <c r="N2777" s="19">
        <f>SUMIF('2020'!B:B,B2777,'2020'!C:C)+SUMIF('2021'!B:B,B2777,'2021'!C:C)+SUMIF('2022'!B:B,B2777,'2022'!C:C)</f>
        <v>17339218</v>
      </c>
      <c r="O2777" s="219">
        <v>44925</v>
      </c>
      <c r="P2777" s="48" t="s">
        <v>3728</v>
      </c>
    </row>
    <row r="2778" spans="1:16" x14ac:dyDescent="0.3">
      <c r="A2778" s="59">
        <f t="shared" si="225"/>
        <v>2509</v>
      </c>
      <c r="B2778" s="66" t="s">
        <v>4061</v>
      </c>
      <c r="C2778" s="184">
        <v>1959</v>
      </c>
      <c r="D2778" s="48"/>
      <c r="E2778" s="190" t="s">
        <v>4177</v>
      </c>
      <c r="F2778" s="190">
        <v>2</v>
      </c>
      <c r="G2778" s="48"/>
      <c r="H2778" s="190">
        <v>282.8</v>
      </c>
      <c r="I2778" s="190">
        <v>13</v>
      </c>
      <c r="J2778" s="19">
        <f t="shared" si="219"/>
        <v>130000</v>
      </c>
      <c r="K2778" s="50"/>
      <c r="L2778" s="50"/>
      <c r="M2778" s="50"/>
      <c r="N2778" s="19">
        <f>SUMIF('2020'!B:B,B2778,'2020'!C:C)+SUMIF('2021'!B:B,B2778,'2021'!C:C)+SUMIF('2022'!B:B,B2778,'2022'!C:C)</f>
        <v>130000</v>
      </c>
      <c r="O2778" s="219">
        <v>44925</v>
      </c>
      <c r="P2778" s="48" t="s">
        <v>3728</v>
      </c>
    </row>
    <row r="2779" spans="1:16" x14ac:dyDescent="0.3">
      <c r="A2779" s="59">
        <f t="shared" si="225"/>
        <v>2510</v>
      </c>
      <c r="B2779" s="66" t="s">
        <v>3878</v>
      </c>
      <c r="C2779" s="184">
        <v>1960</v>
      </c>
      <c r="D2779" s="48"/>
      <c r="E2779" s="190" t="s">
        <v>4097</v>
      </c>
      <c r="F2779" s="190">
        <v>2</v>
      </c>
      <c r="G2779" s="48"/>
      <c r="H2779" s="190">
        <v>509.9</v>
      </c>
      <c r="I2779" s="190">
        <v>21</v>
      </c>
      <c r="J2779" s="19">
        <f t="shared" si="219"/>
        <v>3619621.54</v>
      </c>
      <c r="K2779" s="50"/>
      <c r="L2779" s="50"/>
      <c r="M2779" s="50"/>
      <c r="N2779" s="19">
        <f>SUMIF('2020'!B:B,B2779,'2020'!C:C)+SUMIF('2021'!B:B,B2779,'2021'!C:C)+SUMIF('2022'!B:B,B2779,'2022'!C:C)</f>
        <v>3619621.54</v>
      </c>
      <c r="O2779" s="219">
        <v>44925</v>
      </c>
      <c r="P2779" s="48" t="s">
        <v>3728</v>
      </c>
    </row>
    <row r="2780" spans="1:16" x14ac:dyDescent="0.3">
      <c r="A2780" s="59">
        <f t="shared" si="225"/>
        <v>2511</v>
      </c>
      <c r="B2780" s="66" t="s">
        <v>4022</v>
      </c>
      <c r="C2780" s="184">
        <v>1968</v>
      </c>
      <c r="D2780" s="48"/>
      <c r="E2780" s="190" t="s">
        <v>4189</v>
      </c>
      <c r="F2780" s="190">
        <v>5</v>
      </c>
      <c r="G2780" s="48"/>
      <c r="H2780" s="201">
        <v>2783.8</v>
      </c>
      <c r="I2780" s="190">
        <v>92</v>
      </c>
      <c r="J2780" s="19">
        <f t="shared" si="219"/>
        <v>10753490.800000001</v>
      </c>
      <c r="K2780" s="50"/>
      <c r="L2780" s="50"/>
      <c r="M2780" s="50"/>
      <c r="N2780" s="19">
        <f>SUMIF('2020'!B:B,B2780,'2020'!C:C)+SUMIF('2021'!B:B,B2780,'2021'!C:C)+SUMIF('2022'!B:B,B2780,'2022'!C:C)</f>
        <v>10753490.800000001</v>
      </c>
      <c r="O2780" s="219">
        <v>44925</v>
      </c>
      <c r="P2780" s="48" t="s">
        <v>3728</v>
      </c>
    </row>
    <row r="2781" spans="1:16" x14ac:dyDescent="0.3">
      <c r="A2781" s="59">
        <f t="shared" si="225"/>
        <v>2512</v>
      </c>
      <c r="B2781" s="66" t="s">
        <v>3879</v>
      </c>
      <c r="C2781" s="184">
        <v>1968</v>
      </c>
      <c r="D2781" s="48"/>
      <c r="E2781" s="190" t="s">
        <v>4189</v>
      </c>
      <c r="F2781" s="190">
        <v>5</v>
      </c>
      <c r="G2781" s="48"/>
      <c r="H2781" s="201">
        <v>2774.7</v>
      </c>
      <c r="I2781" s="190">
        <v>77</v>
      </c>
      <c r="J2781" s="19">
        <f t="shared" si="219"/>
        <v>523267</v>
      </c>
      <c r="K2781" s="50"/>
      <c r="L2781" s="50"/>
      <c r="M2781" s="50"/>
      <c r="N2781" s="19">
        <f>SUMIF('2020'!B:B,B2781,'2020'!C:C)+SUMIF('2021'!B:B,B2781,'2021'!C:C)+SUMIF('2022'!B:B,B2781,'2022'!C:C)</f>
        <v>523267</v>
      </c>
      <c r="O2781" s="219">
        <v>44925</v>
      </c>
      <c r="P2781" s="48" t="s">
        <v>3728</v>
      </c>
    </row>
    <row r="2782" spans="1:16" x14ac:dyDescent="0.3">
      <c r="A2782" s="59">
        <f t="shared" si="225"/>
        <v>2513</v>
      </c>
      <c r="B2782" s="66" t="s">
        <v>3880</v>
      </c>
      <c r="C2782" s="184">
        <v>1982</v>
      </c>
      <c r="D2782" s="48"/>
      <c r="E2782" s="190" t="s">
        <v>4177</v>
      </c>
      <c r="F2782" s="190">
        <v>2</v>
      </c>
      <c r="G2782" s="48"/>
      <c r="H2782" s="190">
        <v>282.8</v>
      </c>
      <c r="I2782" s="190">
        <v>13</v>
      </c>
      <c r="J2782" s="19">
        <f t="shared" si="219"/>
        <v>1210112.3999999999</v>
      </c>
      <c r="K2782" s="50"/>
      <c r="L2782" s="50"/>
      <c r="M2782" s="50"/>
      <c r="N2782" s="19">
        <f>SUMIF('2020'!B:B,B2782,'2020'!C:C)+SUMIF('2021'!B:B,B2782,'2021'!C:C)+SUMIF('2022'!B:B,B2782,'2022'!C:C)</f>
        <v>1210112.3999999999</v>
      </c>
      <c r="O2782" s="219">
        <v>44925</v>
      </c>
      <c r="P2782" s="48" t="s">
        <v>3728</v>
      </c>
    </row>
    <row r="2783" spans="1:16" x14ac:dyDescent="0.3">
      <c r="A2783" s="59">
        <f t="shared" si="225"/>
        <v>2514</v>
      </c>
      <c r="B2783" s="66" t="s">
        <v>3881</v>
      </c>
      <c r="C2783" s="184">
        <v>1957</v>
      </c>
      <c r="D2783" s="48"/>
      <c r="E2783" s="190" t="s">
        <v>3733</v>
      </c>
      <c r="F2783" s="190">
        <v>2</v>
      </c>
      <c r="G2783" s="48"/>
      <c r="H2783" s="190">
        <v>378.6</v>
      </c>
      <c r="I2783" s="190">
        <v>17</v>
      </c>
      <c r="J2783" s="19">
        <f t="shared" si="219"/>
        <v>1112032</v>
      </c>
      <c r="K2783" s="50"/>
      <c r="L2783" s="50"/>
      <c r="M2783" s="50"/>
      <c r="N2783" s="19">
        <f>SUMIF('2020'!B:B,B2783,'2020'!C:C)+SUMIF('2021'!B:B,B2783,'2021'!C:C)+SUMIF('2022'!B:B,B2783,'2022'!C:C)</f>
        <v>1112032</v>
      </c>
      <c r="O2783" s="219">
        <v>44925</v>
      </c>
      <c r="P2783" s="48" t="s">
        <v>3728</v>
      </c>
    </row>
    <row r="2784" spans="1:16" x14ac:dyDescent="0.3">
      <c r="A2784" s="59">
        <f t="shared" si="225"/>
        <v>2515</v>
      </c>
      <c r="B2784" s="66" t="s">
        <v>3882</v>
      </c>
      <c r="C2784" s="184">
        <v>1982</v>
      </c>
      <c r="D2784" s="48"/>
      <c r="E2784" s="190" t="s">
        <v>4190</v>
      </c>
      <c r="F2784" s="190">
        <v>2</v>
      </c>
      <c r="G2784" s="48"/>
      <c r="H2784" s="190">
        <v>278</v>
      </c>
      <c r="I2784" s="190">
        <v>18</v>
      </c>
      <c r="J2784" s="19">
        <f t="shared" si="219"/>
        <v>2706173.5999999996</v>
      </c>
      <c r="K2784" s="50"/>
      <c r="L2784" s="50"/>
      <c r="M2784" s="50"/>
      <c r="N2784" s="19">
        <f>SUMIF('2020'!B:B,B2784,'2020'!C:C)+SUMIF('2021'!B:B,B2784,'2021'!C:C)+SUMIF('2022'!B:B,B2784,'2022'!C:C)</f>
        <v>2706173.5999999996</v>
      </c>
      <c r="O2784" s="219">
        <v>44925</v>
      </c>
      <c r="P2784" s="48" t="s">
        <v>3728</v>
      </c>
    </row>
    <row r="2785" spans="1:16" x14ac:dyDescent="0.3">
      <c r="A2785" s="59">
        <f t="shared" si="225"/>
        <v>2516</v>
      </c>
      <c r="B2785" s="66" t="s">
        <v>4062</v>
      </c>
      <c r="C2785" s="184">
        <v>1949</v>
      </c>
      <c r="D2785" s="48"/>
      <c r="E2785" s="190" t="s">
        <v>4190</v>
      </c>
      <c r="F2785" s="190">
        <v>2</v>
      </c>
      <c r="G2785" s="48"/>
      <c r="H2785" s="190">
        <v>299.2</v>
      </c>
      <c r="I2785" s="190">
        <v>9</v>
      </c>
      <c r="J2785" s="19">
        <f t="shared" si="219"/>
        <v>130000</v>
      </c>
      <c r="K2785" s="50"/>
      <c r="L2785" s="50"/>
      <c r="M2785" s="50"/>
      <c r="N2785" s="19">
        <f>SUMIF('2020'!B:B,B2785,'2020'!C:C)+SUMIF('2021'!B:B,B2785,'2021'!C:C)+SUMIF('2022'!B:B,B2785,'2022'!C:C)</f>
        <v>130000</v>
      </c>
      <c r="O2785" s="219">
        <v>44925</v>
      </c>
      <c r="P2785" s="48" t="s">
        <v>3728</v>
      </c>
    </row>
    <row r="2786" spans="1:16" x14ac:dyDescent="0.3">
      <c r="A2786" s="59">
        <f t="shared" si="225"/>
        <v>2517</v>
      </c>
      <c r="B2786" s="66" t="s">
        <v>4063</v>
      </c>
      <c r="C2786" s="184">
        <v>1982</v>
      </c>
      <c r="D2786" s="48"/>
      <c r="E2786" s="190" t="s">
        <v>4189</v>
      </c>
      <c r="F2786" s="190">
        <v>3</v>
      </c>
      <c r="G2786" s="48"/>
      <c r="H2786" s="201">
        <v>2088</v>
      </c>
      <c r="I2786" s="190">
        <v>42</v>
      </c>
      <c r="J2786" s="19">
        <f t="shared" si="219"/>
        <v>130000</v>
      </c>
      <c r="K2786" s="50"/>
      <c r="L2786" s="50"/>
      <c r="M2786" s="50"/>
      <c r="N2786" s="19">
        <f>SUMIF('2020'!B:B,B2786,'2020'!C:C)+SUMIF('2021'!B:B,B2786,'2021'!C:C)+SUMIF('2022'!B:B,B2786,'2022'!C:C)</f>
        <v>130000</v>
      </c>
      <c r="O2786" s="219">
        <v>44925</v>
      </c>
      <c r="P2786" s="48" t="s">
        <v>3728</v>
      </c>
    </row>
    <row r="2787" spans="1:16" x14ac:dyDescent="0.3">
      <c r="A2787" s="59">
        <f t="shared" si="225"/>
        <v>2518</v>
      </c>
      <c r="B2787" s="66" t="s">
        <v>4064</v>
      </c>
      <c r="C2787" s="184">
        <v>1940</v>
      </c>
      <c r="D2787" s="48"/>
      <c r="E2787" s="190" t="s">
        <v>4190</v>
      </c>
      <c r="F2787" s="190">
        <v>2</v>
      </c>
      <c r="G2787" s="48"/>
      <c r="H2787" s="190">
        <v>332.1</v>
      </c>
      <c r="I2787" s="190">
        <v>12</v>
      </c>
      <c r="J2787" s="19">
        <f t="shared" si="219"/>
        <v>130000</v>
      </c>
      <c r="K2787" s="50"/>
      <c r="L2787" s="50"/>
      <c r="M2787" s="50"/>
      <c r="N2787" s="19">
        <f>SUMIF('2020'!B:B,B2787,'2020'!C:C)+SUMIF('2021'!B:B,B2787,'2021'!C:C)+SUMIF('2022'!B:B,B2787,'2022'!C:C)</f>
        <v>130000</v>
      </c>
      <c r="O2787" s="219">
        <v>44925</v>
      </c>
      <c r="P2787" s="48" t="s">
        <v>3728</v>
      </c>
    </row>
    <row r="2788" spans="1:16" x14ac:dyDescent="0.3">
      <c r="A2788" s="59">
        <f t="shared" si="225"/>
        <v>2519</v>
      </c>
      <c r="B2788" s="66" t="s">
        <v>3883</v>
      </c>
      <c r="C2788" s="184">
        <v>1958</v>
      </c>
      <c r="D2788" s="48"/>
      <c r="E2788" s="190" t="s">
        <v>4097</v>
      </c>
      <c r="F2788" s="190">
        <v>2</v>
      </c>
      <c r="G2788" s="48"/>
      <c r="H2788" s="190">
        <v>696</v>
      </c>
      <c r="I2788" s="190">
        <v>29</v>
      </c>
      <c r="J2788" s="19">
        <f t="shared" si="219"/>
        <v>1790358.4</v>
      </c>
      <c r="K2788" s="50"/>
      <c r="L2788" s="50"/>
      <c r="M2788" s="50"/>
      <c r="N2788" s="19">
        <f>SUMIF('2020'!B:B,B2788,'2020'!C:C)+SUMIF('2021'!B:B,B2788,'2021'!C:C)+SUMIF('2022'!B:B,B2788,'2022'!C:C)</f>
        <v>1790358.4</v>
      </c>
      <c r="O2788" s="219">
        <v>44925</v>
      </c>
      <c r="P2788" s="48" t="s">
        <v>3728</v>
      </c>
    </row>
    <row r="2789" spans="1:16" x14ac:dyDescent="0.3">
      <c r="A2789" s="59">
        <f t="shared" si="225"/>
        <v>2520</v>
      </c>
      <c r="B2789" s="66" t="s">
        <v>4065</v>
      </c>
      <c r="C2789" s="184">
        <v>1975</v>
      </c>
      <c r="D2789" s="48"/>
      <c r="E2789" s="190" t="s">
        <v>4097</v>
      </c>
      <c r="F2789" s="190">
        <v>2</v>
      </c>
      <c r="G2789" s="48"/>
      <c r="H2789" s="190">
        <v>802.3</v>
      </c>
      <c r="I2789" s="190">
        <v>30</v>
      </c>
      <c r="J2789" s="19">
        <f t="shared" si="219"/>
        <v>130000</v>
      </c>
      <c r="K2789" s="50"/>
      <c r="L2789" s="50"/>
      <c r="M2789" s="50"/>
      <c r="N2789" s="19">
        <f>SUMIF('2020'!B:B,B2789,'2020'!C:C)+SUMIF('2021'!B:B,B2789,'2021'!C:C)+SUMIF('2022'!B:B,B2789,'2022'!C:C)</f>
        <v>130000</v>
      </c>
      <c r="O2789" s="219">
        <v>44925</v>
      </c>
      <c r="P2789" s="48" t="s">
        <v>3728</v>
      </c>
    </row>
    <row r="2790" spans="1:16" x14ac:dyDescent="0.3">
      <c r="A2790" s="449" t="s">
        <v>211</v>
      </c>
      <c r="B2790" s="449"/>
      <c r="C2790" s="50"/>
      <c r="D2790" s="50"/>
      <c r="E2790" s="48"/>
      <c r="F2790" s="48"/>
      <c r="G2790" s="50"/>
      <c r="H2790" s="19">
        <f t="shared" ref="H2790" si="226">I2790+J2790+K2790+L2790</f>
        <v>153829416.56</v>
      </c>
      <c r="I2790" s="19">
        <f t="shared" ref="I2790" si="227">J2790+K2790+L2790+M2790</f>
        <v>76914708.280000001</v>
      </c>
      <c r="J2790" s="19">
        <f t="shared" si="219"/>
        <v>76914708.280000001</v>
      </c>
      <c r="K2790" s="50">
        <v>0</v>
      </c>
      <c r="L2790" s="50">
        <v>0</v>
      </c>
      <c r="M2790" s="50">
        <f>N2790-'2020'!C626-'2021'!C2151-'2022'!C936</f>
        <v>0</v>
      </c>
      <c r="N2790" s="50">
        <f>SUM(N2768:N2789)</f>
        <v>76914708.280000001</v>
      </c>
      <c r="O2790" s="50"/>
      <c r="P2790" s="50"/>
    </row>
    <row r="2791" spans="1:16" x14ac:dyDescent="0.3">
      <c r="A2791" s="448" t="s">
        <v>3884</v>
      </c>
      <c r="B2791" s="448"/>
      <c r="C2791" s="50"/>
      <c r="D2791" s="50"/>
      <c r="E2791" s="48"/>
      <c r="F2791" s="48"/>
      <c r="G2791" s="50"/>
      <c r="H2791" s="48"/>
      <c r="I2791" s="48"/>
      <c r="J2791" s="19"/>
      <c r="K2791" s="50"/>
      <c r="L2791" s="50"/>
      <c r="M2791" s="50"/>
      <c r="N2791" s="50"/>
      <c r="O2791" s="50"/>
      <c r="P2791" s="50"/>
    </row>
    <row r="2792" spans="1:16" x14ac:dyDescent="0.3">
      <c r="A2792" s="59">
        <f>A2789+1</f>
        <v>2521</v>
      </c>
      <c r="B2792" s="66" t="s">
        <v>4023</v>
      </c>
      <c r="C2792" s="184">
        <v>1978</v>
      </c>
      <c r="D2792" s="48"/>
      <c r="E2792" s="197" t="s">
        <v>4191</v>
      </c>
      <c r="F2792" s="59">
        <v>5</v>
      </c>
      <c r="G2792" s="48"/>
      <c r="H2792" s="192">
        <v>3968.5</v>
      </c>
      <c r="I2792" s="198">
        <v>173</v>
      </c>
      <c r="J2792" s="19">
        <f t="shared" si="219"/>
        <v>376786.94999999995</v>
      </c>
      <c r="K2792" s="50"/>
      <c r="L2792" s="50"/>
      <c r="M2792" s="50"/>
      <c r="N2792" s="19">
        <f>SUMIF('2020'!B:B,B2792,'2020'!C:C)+SUMIF('2021'!B:B,B2792,'2021'!C:C)+SUMIF('2022'!B:B,B2792,'2022'!C:C)</f>
        <v>376786.94999999995</v>
      </c>
      <c r="O2792" s="219">
        <v>44925</v>
      </c>
      <c r="P2792" s="48" t="s">
        <v>3728</v>
      </c>
    </row>
    <row r="2793" spans="1:16" x14ac:dyDescent="0.3">
      <c r="A2793" s="59">
        <f>A2792+1</f>
        <v>2522</v>
      </c>
      <c r="B2793" s="66" t="s">
        <v>3885</v>
      </c>
      <c r="C2793" s="184">
        <v>1978</v>
      </c>
      <c r="D2793" s="48"/>
      <c r="E2793" s="197" t="s">
        <v>4191</v>
      </c>
      <c r="F2793" s="59">
        <v>5</v>
      </c>
      <c r="G2793" s="48"/>
      <c r="H2793" s="192">
        <v>3959.3</v>
      </c>
      <c r="I2793" s="198">
        <v>153</v>
      </c>
      <c r="J2793" s="19">
        <f t="shared" si="219"/>
        <v>814578.78</v>
      </c>
      <c r="K2793" s="50"/>
      <c r="L2793" s="50"/>
      <c r="M2793" s="50"/>
      <c r="N2793" s="19">
        <f>SUMIF('2020'!B:B,B2793,'2020'!C:C)+SUMIF('2021'!B:B,B2793,'2021'!C:C)+SUMIF('2022'!B:B,B2793,'2022'!C:C)</f>
        <v>814578.78</v>
      </c>
      <c r="O2793" s="219">
        <v>44925</v>
      </c>
      <c r="P2793" s="48" t="s">
        <v>3728</v>
      </c>
    </row>
    <row r="2794" spans="1:16" x14ac:dyDescent="0.3">
      <c r="A2794" s="59">
        <f>A2793+1</f>
        <v>2523</v>
      </c>
      <c r="B2794" s="66" t="s">
        <v>3886</v>
      </c>
      <c r="C2794" s="184">
        <v>1980</v>
      </c>
      <c r="D2794" s="48"/>
      <c r="E2794" s="197" t="s">
        <v>4191</v>
      </c>
      <c r="F2794" s="59">
        <v>5</v>
      </c>
      <c r="G2794" s="48"/>
      <c r="H2794" s="192">
        <v>4386.6000000000004</v>
      </c>
      <c r="I2794" s="198">
        <v>149</v>
      </c>
      <c r="J2794" s="19">
        <f t="shared" si="219"/>
        <v>1532422.8</v>
      </c>
      <c r="K2794" s="50"/>
      <c r="L2794" s="50"/>
      <c r="M2794" s="50"/>
      <c r="N2794" s="19">
        <f>SUMIF('2020'!B:B,B2794,'2020'!C:C)+SUMIF('2021'!B:B,B2794,'2021'!C:C)+SUMIF('2022'!B:B,B2794,'2022'!C:C)</f>
        <v>1532422.8</v>
      </c>
      <c r="O2794" s="219">
        <v>44926</v>
      </c>
      <c r="P2794" s="48" t="s">
        <v>3728</v>
      </c>
    </row>
    <row r="2795" spans="1:16" x14ac:dyDescent="0.3">
      <c r="A2795" s="449" t="s">
        <v>211</v>
      </c>
      <c r="B2795" s="449"/>
      <c r="C2795" s="50"/>
      <c r="D2795" s="50"/>
      <c r="E2795" s="48"/>
      <c r="F2795" s="48"/>
      <c r="G2795" s="50"/>
      <c r="H2795" s="19">
        <f t="shared" ref="H2795" si="228">I2795+J2795+K2795+L2795</f>
        <v>5447577.0600000005</v>
      </c>
      <c r="I2795" s="19">
        <f t="shared" ref="I2795" si="229">J2795+K2795+L2795+M2795</f>
        <v>2723788.5300000003</v>
      </c>
      <c r="J2795" s="19">
        <f t="shared" si="219"/>
        <v>2723788.5300000003</v>
      </c>
      <c r="K2795" s="50">
        <v>0</v>
      </c>
      <c r="L2795" s="50">
        <v>0</v>
      </c>
      <c r="M2795" s="50">
        <f>N2795-'2020'!C630-'2021'!C2154</f>
        <v>0</v>
      </c>
      <c r="N2795" s="50">
        <f>SUM(N2792:N2794)</f>
        <v>2723788.5300000003</v>
      </c>
      <c r="O2795" s="50"/>
      <c r="P2795" s="50"/>
    </row>
    <row r="2796" spans="1:16" x14ac:dyDescent="0.3">
      <c r="A2796" s="448" t="s">
        <v>3887</v>
      </c>
      <c r="B2796" s="448"/>
      <c r="C2796" s="50"/>
      <c r="D2796" s="50"/>
      <c r="E2796" s="48"/>
      <c r="F2796" s="48"/>
      <c r="G2796" s="50"/>
      <c r="H2796" s="48"/>
      <c r="I2796" s="48"/>
      <c r="J2796" s="19"/>
      <c r="K2796" s="50"/>
      <c r="L2796" s="50"/>
      <c r="M2796" s="50"/>
      <c r="N2796" s="50"/>
      <c r="O2796" s="50"/>
      <c r="P2796" s="50"/>
    </row>
    <row r="2797" spans="1:16" x14ac:dyDescent="0.3">
      <c r="A2797" s="59">
        <f>A2794+1</f>
        <v>2524</v>
      </c>
      <c r="B2797" s="66" t="s">
        <v>3888</v>
      </c>
      <c r="C2797" s="184">
        <v>1966</v>
      </c>
      <c r="D2797" s="48"/>
      <c r="E2797" s="190" t="s">
        <v>4192</v>
      </c>
      <c r="F2797" s="190">
        <v>2</v>
      </c>
      <c r="G2797" s="48"/>
      <c r="H2797" s="192">
        <v>656</v>
      </c>
      <c r="I2797" s="198">
        <v>17</v>
      </c>
      <c r="J2797" s="19">
        <f t="shared" si="219"/>
        <v>103211.48</v>
      </c>
      <c r="K2797" s="50"/>
      <c r="L2797" s="50"/>
      <c r="M2797" s="50"/>
      <c r="N2797" s="19">
        <f>SUMIF('2020'!B:B,B2797,'2020'!C:C)+SUMIF('2021'!B:B,B2797,'2021'!C:C)+SUMIF('2022'!B:B,B2797,'2022'!C:C)</f>
        <v>103211.48</v>
      </c>
      <c r="O2797" s="219">
        <v>44925</v>
      </c>
      <c r="P2797" s="48" t="s">
        <v>3728</v>
      </c>
    </row>
    <row r="2798" spans="1:16" x14ac:dyDescent="0.3">
      <c r="A2798" s="59">
        <f>A2797+1</f>
        <v>2525</v>
      </c>
      <c r="B2798" s="66" t="s">
        <v>3889</v>
      </c>
      <c r="C2798" s="184">
        <v>1967</v>
      </c>
      <c r="D2798" s="48"/>
      <c r="E2798" s="190" t="s">
        <v>4192</v>
      </c>
      <c r="F2798" s="190">
        <v>2</v>
      </c>
      <c r="G2798" s="48"/>
      <c r="H2798" s="192">
        <v>665.4</v>
      </c>
      <c r="I2798" s="198">
        <v>17</v>
      </c>
      <c r="J2798" s="19">
        <f t="shared" si="219"/>
        <v>105130.6</v>
      </c>
      <c r="K2798" s="50"/>
      <c r="L2798" s="50"/>
      <c r="M2798" s="50"/>
      <c r="N2798" s="19">
        <f>SUMIF('2020'!B:B,B2798,'2020'!C:C)+SUMIF('2021'!B:B,B2798,'2021'!C:C)+SUMIF('2022'!B:B,B2798,'2022'!C:C)</f>
        <v>105130.6</v>
      </c>
      <c r="O2798" s="219">
        <v>44926</v>
      </c>
      <c r="P2798" s="48" t="s">
        <v>3728</v>
      </c>
    </row>
    <row r="2799" spans="1:16" x14ac:dyDescent="0.3">
      <c r="A2799" s="59">
        <f>A2798+1</f>
        <v>2526</v>
      </c>
      <c r="B2799" s="66" t="s">
        <v>3890</v>
      </c>
      <c r="C2799" s="184">
        <v>1974</v>
      </c>
      <c r="D2799" s="48"/>
      <c r="E2799" s="190" t="s">
        <v>4192</v>
      </c>
      <c r="F2799" s="190">
        <v>5</v>
      </c>
      <c r="G2799" s="48"/>
      <c r="H2799" s="192">
        <v>3310.3</v>
      </c>
      <c r="I2799" s="198">
        <v>123</v>
      </c>
      <c r="J2799" s="19">
        <f t="shared" si="219"/>
        <v>248299.62</v>
      </c>
      <c r="K2799" s="50"/>
      <c r="L2799" s="50"/>
      <c r="M2799" s="50"/>
      <c r="N2799" s="19">
        <f>SUMIF('2020'!B:B,B2799,'2020'!C:C)+SUMIF('2021'!B:B,B2799,'2021'!C:C)+SUMIF('2022'!B:B,B2799,'2022'!C:C)</f>
        <v>248299.62</v>
      </c>
      <c r="O2799" s="219">
        <v>44926</v>
      </c>
      <c r="P2799" s="48" t="s">
        <v>3728</v>
      </c>
    </row>
    <row r="2800" spans="1:16" x14ac:dyDescent="0.3">
      <c r="A2800" s="59">
        <f>A2799+1</f>
        <v>2527</v>
      </c>
      <c r="B2800" s="66" t="s">
        <v>3891</v>
      </c>
      <c r="C2800" s="184">
        <v>1975</v>
      </c>
      <c r="D2800" s="48"/>
      <c r="E2800" s="190" t="s">
        <v>4192</v>
      </c>
      <c r="F2800" s="190">
        <v>5</v>
      </c>
      <c r="G2800" s="48"/>
      <c r="H2800" s="192">
        <v>3310.3</v>
      </c>
      <c r="I2800" s="198">
        <v>124</v>
      </c>
      <c r="J2800" s="19">
        <f t="shared" si="219"/>
        <v>304130.2</v>
      </c>
      <c r="K2800" s="50"/>
      <c r="L2800" s="50"/>
      <c r="M2800" s="50"/>
      <c r="N2800" s="19">
        <f>SUMIF('2020'!B:B,B2800,'2020'!C:C)+SUMIF('2021'!B:B,B2800,'2021'!C:C)+SUMIF('2022'!B:B,B2800,'2022'!C:C)</f>
        <v>304130.2</v>
      </c>
      <c r="O2800" s="219">
        <v>44926</v>
      </c>
      <c r="P2800" s="48" t="s">
        <v>3728</v>
      </c>
    </row>
    <row r="2801" spans="1:16" x14ac:dyDescent="0.3">
      <c r="A2801" s="449" t="s">
        <v>211</v>
      </c>
      <c r="B2801" s="449"/>
      <c r="C2801" s="50"/>
      <c r="D2801" s="50"/>
      <c r="E2801" s="48"/>
      <c r="F2801" s="48"/>
      <c r="G2801" s="50"/>
      <c r="H2801" s="19">
        <f t="shared" ref="H2801" si="230">I2801+J2801+K2801+L2801</f>
        <v>1521543.8</v>
      </c>
      <c r="I2801" s="19">
        <f t="shared" ref="I2801" si="231">J2801+K2801+L2801+M2801</f>
        <v>760771.9</v>
      </c>
      <c r="J2801" s="19">
        <f t="shared" si="219"/>
        <v>760771.9</v>
      </c>
      <c r="K2801" s="50">
        <v>0</v>
      </c>
      <c r="L2801" s="50">
        <v>0</v>
      </c>
      <c r="M2801" s="50">
        <v>0</v>
      </c>
      <c r="N2801" s="50">
        <f>SUM(N2797:N2800)</f>
        <v>760771.9</v>
      </c>
      <c r="O2801" s="50"/>
      <c r="P2801" s="50"/>
    </row>
    <row r="2802" spans="1:16" x14ac:dyDescent="0.3">
      <c r="A2802" s="448" t="s">
        <v>3892</v>
      </c>
      <c r="B2802" s="448"/>
      <c r="C2802" s="50"/>
      <c r="D2802" s="50"/>
      <c r="E2802" s="48"/>
      <c r="F2802" s="48"/>
      <c r="G2802" s="50"/>
      <c r="H2802" s="48"/>
      <c r="I2802" s="48"/>
      <c r="J2802" s="19"/>
      <c r="K2802" s="50"/>
      <c r="L2802" s="50"/>
      <c r="M2802" s="50"/>
      <c r="N2802" s="50"/>
      <c r="O2802" s="50"/>
      <c r="P2802" s="50"/>
    </row>
    <row r="2803" spans="1:16" x14ac:dyDescent="0.3">
      <c r="A2803" s="59">
        <f>A2800+1</f>
        <v>2528</v>
      </c>
      <c r="B2803" s="66" t="s">
        <v>3893</v>
      </c>
      <c r="C2803" s="184">
        <v>1971</v>
      </c>
      <c r="D2803" s="48"/>
      <c r="E2803" s="193" t="s">
        <v>3731</v>
      </c>
      <c r="F2803" s="48">
        <v>5</v>
      </c>
      <c r="G2803" s="48"/>
      <c r="H2803" s="193">
        <v>2584.3000000000002</v>
      </c>
      <c r="I2803" s="48">
        <v>114</v>
      </c>
      <c r="J2803" s="19">
        <f t="shared" si="219"/>
        <v>1476730.8</v>
      </c>
      <c r="K2803" s="50"/>
      <c r="L2803" s="50"/>
      <c r="M2803" s="50"/>
      <c r="N2803" s="19">
        <f>SUMIF('2020'!B:B,B2803,'2020'!C:C)+SUMIF('2021'!B:B,B2803,'2021'!C:C)+SUMIF('2022'!B:B,B2803,'2022'!C:C)</f>
        <v>1476730.8</v>
      </c>
      <c r="O2803" s="219">
        <v>44926</v>
      </c>
      <c r="P2803" s="48" t="s">
        <v>3728</v>
      </c>
    </row>
    <row r="2804" spans="1:16" x14ac:dyDescent="0.3">
      <c r="A2804" s="449" t="s">
        <v>211</v>
      </c>
      <c r="B2804" s="449"/>
      <c r="C2804" s="50"/>
      <c r="D2804" s="50"/>
      <c r="E2804" s="48"/>
      <c r="F2804" s="48"/>
      <c r="G2804" s="50"/>
      <c r="H2804" s="19">
        <f t="shared" ref="H2804" si="232">I2804+J2804+K2804+L2804</f>
        <v>2953461.6</v>
      </c>
      <c r="I2804" s="19">
        <f t="shared" ref="I2804" si="233">J2804+K2804+L2804+M2804</f>
        <v>1476730.8</v>
      </c>
      <c r="J2804" s="19">
        <f t="shared" si="219"/>
        <v>1476730.8</v>
      </c>
      <c r="K2804" s="50">
        <v>0</v>
      </c>
      <c r="L2804" s="50">
        <v>0</v>
      </c>
      <c r="M2804" s="50">
        <v>0</v>
      </c>
      <c r="N2804" s="50">
        <f>N2803</f>
        <v>1476730.8</v>
      </c>
      <c r="O2804" s="50"/>
      <c r="P2804" s="50"/>
    </row>
    <row r="2805" spans="1:16" x14ac:dyDescent="0.3">
      <c r="A2805" s="448" t="s">
        <v>3894</v>
      </c>
      <c r="B2805" s="448"/>
      <c r="C2805" s="184"/>
      <c r="D2805" s="48"/>
      <c r="E2805" s="193"/>
      <c r="F2805" s="48"/>
      <c r="G2805" s="48"/>
      <c r="H2805" s="193"/>
      <c r="I2805" s="48"/>
      <c r="J2805" s="19"/>
      <c r="K2805" s="50"/>
      <c r="L2805" s="50"/>
      <c r="M2805" s="50"/>
      <c r="N2805" s="50"/>
      <c r="O2805" s="50"/>
      <c r="P2805" s="50"/>
    </row>
    <row r="2806" spans="1:16" x14ac:dyDescent="0.3">
      <c r="A2806" s="59">
        <f>A2803+1</f>
        <v>2529</v>
      </c>
      <c r="B2806" s="66" t="s">
        <v>4024</v>
      </c>
      <c r="C2806" s="184">
        <v>1965</v>
      </c>
      <c r="D2806" s="48"/>
      <c r="E2806" s="191" t="s">
        <v>3733</v>
      </c>
      <c r="F2806" s="83" t="s">
        <v>3741</v>
      </c>
      <c r="G2806" s="48"/>
      <c r="H2806" s="192">
        <v>110.4</v>
      </c>
      <c r="I2806" s="191">
        <v>6</v>
      </c>
      <c r="J2806" s="19">
        <f t="shared" si="219"/>
        <v>125902.60999999999</v>
      </c>
      <c r="K2806" s="50"/>
      <c r="L2806" s="50"/>
      <c r="M2806" s="50"/>
      <c r="N2806" s="19">
        <f>SUMIF('2020'!B:B,B2806,'2020'!C:C)+SUMIF('2021'!B:B,B2806,'2021'!C:C)+SUMIF('2022'!B:B,B2806,'2022'!C:C)</f>
        <v>125902.60999999999</v>
      </c>
      <c r="O2806" s="219">
        <v>44926</v>
      </c>
      <c r="P2806" s="48" t="s">
        <v>3728</v>
      </c>
    </row>
    <row r="2807" spans="1:16" x14ac:dyDescent="0.3">
      <c r="A2807" s="59">
        <f t="shared" ref="A2807:A2819" si="234">A2806+1</f>
        <v>2530</v>
      </c>
      <c r="B2807" s="66" t="s">
        <v>3895</v>
      </c>
      <c r="C2807" s="184">
        <v>1975</v>
      </c>
      <c r="D2807" s="48"/>
      <c r="E2807" s="191" t="s">
        <v>3733</v>
      </c>
      <c r="F2807" s="83" t="s">
        <v>3742</v>
      </c>
      <c r="G2807" s="48"/>
      <c r="H2807" s="192">
        <v>999.2</v>
      </c>
      <c r="I2807" s="191">
        <v>33</v>
      </c>
      <c r="J2807" s="19">
        <f t="shared" si="219"/>
        <v>1513023.6</v>
      </c>
      <c r="K2807" s="50"/>
      <c r="L2807" s="50"/>
      <c r="M2807" s="50"/>
      <c r="N2807" s="19">
        <f>SUMIF('2020'!B:B,B2807,'2020'!C:C)+SUMIF('2021'!B:B,B2807,'2021'!C:C)+SUMIF('2022'!B:B,B2807,'2022'!C:C)</f>
        <v>1513023.6</v>
      </c>
      <c r="O2807" s="219">
        <v>44926</v>
      </c>
      <c r="P2807" s="48" t="s">
        <v>3728</v>
      </c>
    </row>
    <row r="2808" spans="1:16" x14ac:dyDescent="0.3">
      <c r="A2808" s="59">
        <f t="shared" si="234"/>
        <v>2531</v>
      </c>
      <c r="B2808" s="66" t="s">
        <v>3896</v>
      </c>
      <c r="C2808" s="184">
        <v>1964</v>
      </c>
      <c r="D2808" s="48"/>
      <c r="E2808" s="191" t="s">
        <v>3733</v>
      </c>
      <c r="F2808" s="83" t="s">
        <v>3742</v>
      </c>
      <c r="G2808" s="48"/>
      <c r="H2808" s="192">
        <v>421.5</v>
      </c>
      <c r="I2808" s="191">
        <v>24</v>
      </c>
      <c r="J2808" s="19">
        <f t="shared" si="219"/>
        <v>942014.4</v>
      </c>
      <c r="K2808" s="50"/>
      <c r="L2808" s="50"/>
      <c r="M2808" s="50"/>
      <c r="N2808" s="19">
        <f>SUMIF('2020'!B:B,B2808,'2020'!C:C)+SUMIF('2021'!B:B,B2808,'2021'!C:C)+SUMIF('2022'!B:B,B2808,'2022'!C:C)</f>
        <v>942014.4</v>
      </c>
      <c r="O2808" s="219">
        <v>44926</v>
      </c>
      <c r="P2808" s="48" t="s">
        <v>3728</v>
      </c>
    </row>
    <row r="2809" spans="1:16" x14ac:dyDescent="0.3">
      <c r="A2809" s="59">
        <f t="shared" si="234"/>
        <v>2532</v>
      </c>
      <c r="B2809" s="66" t="s">
        <v>3897</v>
      </c>
      <c r="C2809" s="184">
        <v>1970</v>
      </c>
      <c r="D2809" s="48"/>
      <c r="E2809" s="191" t="s">
        <v>3733</v>
      </c>
      <c r="F2809" s="83" t="s">
        <v>3742</v>
      </c>
      <c r="G2809" s="48"/>
      <c r="H2809" s="192">
        <v>586.9</v>
      </c>
      <c r="I2809" s="191">
        <v>44</v>
      </c>
      <c r="J2809" s="19">
        <f t="shared" si="219"/>
        <v>1084203.6000000001</v>
      </c>
      <c r="K2809" s="50"/>
      <c r="L2809" s="50"/>
      <c r="M2809" s="50"/>
      <c r="N2809" s="19">
        <f>SUMIF('2020'!B:B,B2809,'2020'!C:C)+SUMIF('2021'!B:B,B2809,'2021'!C:C)+SUMIF('2022'!B:B,B2809,'2022'!C:C)</f>
        <v>1084203.6000000001</v>
      </c>
      <c r="O2809" s="219">
        <v>44926</v>
      </c>
      <c r="P2809" s="48" t="s">
        <v>3728</v>
      </c>
    </row>
    <row r="2810" spans="1:16" x14ac:dyDescent="0.3">
      <c r="A2810" s="59">
        <f t="shared" si="234"/>
        <v>2533</v>
      </c>
      <c r="B2810" s="66" t="s">
        <v>3898</v>
      </c>
      <c r="C2810" s="184">
        <v>1968</v>
      </c>
      <c r="D2810" s="48"/>
      <c r="E2810" s="191" t="s">
        <v>3733</v>
      </c>
      <c r="F2810" s="83" t="s">
        <v>3742</v>
      </c>
      <c r="G2810" s="48"/>
      <c r="H2810" s="192">
        <v>517.9</v>
      </c>
      <c r="I2810" s="191">
        <v>33</v>
      </c>
      <c r="J2810" s="19">
        <f t="shared" si="219"/>
        <v>1131913.2</v>
      </c>
      <c r="K2810" s="50"/>
      <c r="L2810" s="50"/>
      <c r="M2810" s="50"/>
      <c r="N2810" s="19">
        <f>SUMIF('2020'!B:B,B2810,'2020'!C:C)+SUMIF('2021'!B:B,B2810,'2021'!C:C)+SUMIF('2022'!B:B,B2810,'2022'!C:C)</f>
        <v>1131913.2</v>
      </c>
      <c r="O2810" s="219">
        <v>44926</v>
      </c>
      <c r="P2810" s="48" t="s">
        <v>3728</v>
      </c>
    </row>
    <row r="2811" spans="1:16" x14ac:dyDescent="0.3">
      <c r="A2811" s="59">
        <f t="shared" si="234"/>
        <v>2534</v>
      </c>
      <c r="B2811" s="66" t="s">
        <v>3899</v>
      </c>
      <c r="C2811" s="184">
        <v>1970</v>
      </c>
      <c r="D2811" s="48"/>
      <c r="E2811" s="191" t="s">
        <v>3733</v>
      </c>
      <c r="F2811" s="83" t="s">
        <v>3742</v>
      </c>
      <c r="G2811" s="48"/>
      <c r="H2811" s="192">
        <v>587.1</v>
      </c>
      <c r="I2811" s="191">
        <v>29</v>
      </c>
      <c r="J2811" s="19">
        <f t="shared" si="219"/>
        <v>1077894</v>
      </c>
      <c r="K2811" s="50"/>
      <c r="L2811" s="50"/>
      <c r="M2811" s="50"/>
      <c r="N2811" s="19">
        <f>SUMIF('2020'!B:B,B2811,'2020'!C:C)+SUMIF('2021'!B:B,B2811,'2021'!C:C)+SUMIF('2022'!B:B,B2811,'2022'!C:C)</f>
        <v>1077894</v>
      </c>
      <c r="O2811" s="219">
        <v>44926</v>
      </c>
      <c r="P2811" s="48" t="s">
        <v>3728</v>
      </c>
    </row>
    <row r="2812" spans="1:16" x14ac:dyDescent="0.3">
      <c r="A2812" s="59">
        <f t="shared" si="234"/>
        <v>2535</v>
      </c>
      <c r="B2812" s="66" t="s">
        <v>3900</v>
      </c>
      <c r="C2812" s="184">
        <v>1971</v>
      </c>
      <c r="D2812" s="48"/>
      <c r="E2812" s="191" t="s">
        <v>3733</v>
      </c>
      <c r="F2812" s="83" t="s">
        <v>3742</v>
      </c>
      <c r="G2812" s="48"/>
      <c r="H2812" s="192">
        <v>607</v>
      </c>
      <c r="I2812" s="191">
        <v>21</v>
      </c>
      <c r="J2812" s="19">
        <f t="shared" si="219"/>
        <v>1077912</v>
      </c>
      <c r="K2812" s="50"/>
      <c r="L2812" s="50"/>
      <c r="M2812" s="50"/>
      <c r="N2812" s="19">
        <f>SUMIF('2020'!B:B,B2812,'2020'!C:C)+SUMIF('2021'!B:B,B2812,'2021'!C:C)+SUMIF('2022'!B:B,B2812,'2022'!C:C)</f>
        <v>1077912</v>
      </c>
      <c r="O2812" s="219">
        <v>44926</v>
      </c>
      <c r="P2812" s="48" t="s">
        <v>3728</v>
      </c>
    </row>
    <row r="2813" spans="1:16" x14ac:dyDescent="0.3">
      <c r="A2813" s="59">
        <f t="shared" si="234"/>
        <v>2536</v>
      </c>
      <c r="B2813" s="66" t="s">
        <v>4025</v>
      </c>
      <c r="C2813" s="184">
        <v>1968</v>
      </c>
      <c r="D2813" s="48"/>
      <c r="E2813" s="191" t="s">
        <v>3733</v>
      </c>
      <c r="F2813" s="83" t="s">
        <v>3742</v>
      </c>
      <c r="G2813" s="48"/>
      <c r="H2813" s="192">
        <v>541.79999999999995</v>
      </c>
      <c r="I2813" s="191">
        <v>27</v>
      </c>
      <c r="J2813" s="19">
        <f t="shared" ref="J2813:J2862" si="235">K2813+L2813+M2813+N2813</f>
        <v>272687.41000000003</v>
      </c>
      <c r="K2813" s="50"/>
      <c r="L2813" s="50"/>
      <c r="M2813" s="50"/>
      <c r="N2813" s="19">
        <f>SUMIF('2020'!B:B,B2813,'2020'!C:C)+SUMIF('2021'!B:B,B2813,'2021'!C:C)+SUMIF('2022'!B:B,B2813,'2022'!C:C)</f>
        <v>272687.41000000003</v>
      </c>
      <c r="O2813" s="219">
        <v>44926</v>
      </c>
      <c r="P2813" s="48" t="s">
        <v>3728</v>
      </c>
    </row>
    <row r="2814" spans="1:16" x14ac:dyDescent="0.3">
      <c r="A2814" s="59">
        <f t="shared" si="234"/>
        <v>2537</v>
      </c>
      <c r="B2814" s="66" t="s">
        <v>4026</v>
      </c>
      <c r="C2814" s="184">
        <v>1987</v>
      </c>
      <c r="D2814" s="48"/>
      <c r="E2814" s="191" t="s">
        <v>3739</v>
      </c>
      <c r="F2814" s="83" t="s">
        <v>3743</v>
      </c>
      <c r="G2814" s="48"/>
      <c r="H2814" s="192">
        <v>3330.3</v>
      </c>
      <c r="I2814" s="191">
        <v>153</v>
      </c>
      <c r="J2814" s="19">
        <f t="shared" si="235"/>
        <v>3038780.4</v>
      </c>
      <c r="K2814" s="50"/>
      <c r="L2814" s="50"/>
      <c r="M2814" s="50"/>
      <c r="N2814" s="19">
        <f>SUMIF('2020'!B:B,B2814,'2020'!C:C)+SUMIF('2021'!B:B,B2814,'2021'!C:C)+SUMIF('2022'!B:B,B2814,'2022'!C:C)</f>
        <v>3038780.4</v>
      </c>
      <c r="O2814" s="219">
        <v>44926</v>
      </c>
      <c r="P2814" s="48" t="s">
        <v>3728</v>
      </c>
    </row>
    <row r="2815" spans="1:16" x14ac:dyDescent="0.3">
      <c r="A2815" s="59">
        <f t="shared" si="234"/>
        <v>2538</v>
      </c>
      <c r="B2815" s="66" t="s">
        <v>3901</v>
      </c>
      <c r="C2815" s="184">
        <v>1989</v>
      </c>
      <c r="D2815" s="48"/>
      <c r="E2815" s="191" t="s">
        <v>3739</v>
      </c>
      <c r="F2815" s="83" t="s">
        <v>3758</v>
      </c>
      <c r="G2815" s="48"/>
      <c r="H2815" s="192">
        <v>5036.7</v>
      </c>
      <c r="I2815" s="191">
        <v>207</v>
      </c>
      <c r="J2815" s="19">
        <f t="shared" si="235"/>
        <v>22430317.379999999</v>
      </c>
      <c r="K2815" s="50"/>
      <c r="L2815" s="50"/>
      <c r="M2815" s="50"/>
      <c r="N2815" s="19">
        <f>SUMIF('2020'!B:B,B2815,'2020'!C:C)+SUMIF('2021'!B:B,B2815,'2021'!C:C)+SUMIF('2022'!B:B,B2815,'2022'!C:C)</f>
        <v>22430317.379999999</v>
      </c>
      <c r="O2815" s="219">
        <v>44926</v>
      </c>
      <c r="P2815" s="48" t="s">
        <v>3728</v>
      </c>
    </row>
    <row r="2816" spans="1:16" x14ac:dyDescent="0.3">
      <c r="A2816" s="59">
        <f t="shared" si="234"/>
        <v>2539</v>
      </c>
      <c r="B2816" s="66" t="s">
        <v>4027</v>
      </c>
      <c r="C2816" s="184">
        <v>1949</v>
      </c>
      <c r="D2816" s="48"/>
      <c r="E2816" s="191" t="s">
        <v>3733</v>
      </c>
      <c r="F2816" s="83" t="s">
        <v>3741</v>
      </c>
      <c r="G2816" s="48"/>
      <c r="H2816" s="192">
        <v>197.5</v>
      </c>
      <c r="I2816" s="191">
        <v>7</v>
      </c>
      <c r="J2816" s="19">
        <f t="shared" si="235"/>
        <v>304246.27999999997</v>
      </c>
      <c r="K2816" s="50"/>
      <c r="L2816" s="50"/>
      <c r="M2816" s="50"/>
      <c r="N2816" s="19">
        <f>SUMIF('2020'!B:B,B2816,'2020'!C:C)+SUMIF('2021'!B:B,B2816,'2021'!C:C)+SUMIF('2022'!B:B,B2816,'2022'!C:C)</f>
        <v>304246.27999999997</v>
      </c>
      <c r="O2816" s="219">
        <v>44926</v>
      </c>
      <c r="P2816" s="48" t="s">
        <v>3728</v>
      </c>
    </row>
    <row r="2817" spans="1:16" x14ac:dyDescent="0.3">
      <c r="A2817" s="59">
        <f t="shared" si="234"/>
        <v>2540</v>
      </c>
      <c r="B2817" s="66" t="s">
        <v>3902</v>
      </c>
      <c r="C2817" s="184">
        <v>1961</v>
      </c>
      <c r="D2817" s="48"/>
      <c r="E2817" s="191" t="s">
        <v>3733</v>
      </c>
      <c r="F2817" s="83" t="s">
        <v>3742</v>
      </c>
      <c r="G2817" s="48"/>
      <c r="H2817" s="192">
        <v>290.2</v>
      </c>
      <c r="I2817" s="191">
        <v>17</v>
      </c>
      <c r="J2817" s="19">
        <f t="shared" si="235"/>
        <v>148816.88</v>
      </c>
      <c r="K2817" s="50"/>
      <c r="L2817" s="50"/>
      <c r="M2817" s="50"/>
      <c r="N2817" s="19">
        <f>SUMIF('2020'!B:B,B2817,'2020'!C:C)+SUMIF('2021'!B:B,B2817,'2021'!C:C)+SUMIF('2022'!B:B,B2817,'2022'!C:C)</f>
        <v>148816.88</v>
      </c>
      <c r="O2817" s="219">
        <v>44926</v>
      </c>
      <c r="P2817" s="48" t="s">
        <v>3728</v>
      </c>
    </row>
    <row r="2818" spans="1:16" x14ac:dyDescent="0.3">
      <c r="A2818" s="59">
        <f t="shared" si="234"/>
        <v>2541</v>
      </c>
      <c r="B2818" s="66" t="s">
        <v>3903</v>
      </c>
      <c r="C2818" s="184">
        <v>1978</v>
      </c>
      <c r="D2818" s="48"/>
      <c r="E2818" s="191" t="s">
        <v>3733</v>
      </c>
      <c r="F2818" s="83" t="s">
        <v>3760</v>
      </c>
      <c r="G2818" s="48"/>
      <c r="H2818" s="192">
        <v>963.6</v>
      </c>
      <c r="I2818" s="191">
        <v>37</v>
      </c>
      <c r="J2818" s="19">
        <f t="shared" si="235"/>
        <v>637102.15999999992</v>
      </c>
      <c r="K2818" s="50"/>
      <c r="L2818" s="50"/>
      <c r="M2818" s="50"/>
      <c r="N2818" s="19">
        <f>SUMIF('2020'!B:B,B2818,'2020'!C:C)+SUMIF('2021'!B:B,B2818,'2021'!C:C)+SUMIF('2022'!B:B,B2818,'2022'!C:C)</f>
        <v>637102.15999999992</v>
      </c>
      <c r="O2818" s="219">
        <v>44926</v>
      </c>
      <c r="P2818" s="48" t="s">
        <v>3728</v>
      </c>
    </row>
    <row r="2819" spans="1:16" x14ac:dyDescent="0.3">
      <c r="A2819" s="59">
        <f t="shared" si="234"/>
        <v>2542</v>
      </c>
      <c r="B2819" s="66" t="s">
        <v>3904</v>
      </c>
      <c r="C2819" s="184">
        <v>1978</v>
      </c>
      <c r="D2819" s="48"/>
      <c r="E2819" s="191" t="s">
        <v>3733</v>
      </c>
      <c r="F2819" s="83" t="s">
        <v>3760</v>
      </c>
      <c r="G2819" s="48"/>
      <c r="H2819" s="192">
        <v>968.7</v>
      </c>
      <c r="I2819" s="191">
        <v>45</v>
      </c>
      <c r="J2819" s="19">
        <f t="shared" si="235"/>
        <v>1789148.92</v>
      </c>
      <c r="K2819" s="50"/>
      <c r="L2819" s="50"/>
      <c r="M2819" s="50"/>
      <c r="N2819" s="19">
        <f>SUMIF('2020'!B:B,B2819,'2020'!C:C)+SUMIF('2021'!B:B,B2819,'2021'!C:C)+SUMIF('2022'!B:B,B2819,'2022'!C:C)</f>
        <v>1789148.92</v>
      </c>
      <c r="O2819" s="219">
        <v>44926</v>
      </c>
      <c r="P2819" s="48" t="s">
        <v>3728</v>
      </c>
    </row>
    <row r="2820" spans="1:16" x14ac:dyDescent="0.3">
      <c r="A2820" s="449" t="s">
        <v>211</v>
      </c>
      <c r="B2820" s="449"/>
      <c r="C2820" s="50"/>
      <c r="D2820" s="50"/>
      <c r="E2820" s="48"/>
      <c r="F2820" s="48"/>
      <c r="G2820" s="50"/>
      <c r="H2820" s="19">
        <f t="shared" ref="H2820" si="236">I2820+J2820+K2820+L2820</f>
        <v>71147925.680000007</v>
      </c>
      <c r="I2820" s="19">
        <f t="shared" ref="I2820" si="237">J2820+K2820+L2820+M2820</f>
        <v>35573962.840000004</v>
      </c>
      <c r="J2820" s="19">
        <f t="shared" si="235"/>
        <v>35573962.840000004</v>
      </c>
      <c r="K2820" s="50">
        <v>0</v>
      </c>
      <c r="L2820" s="50">
        <v>0</v>
      </c>
      <c r="M2820" s="50">
        <v>0</v>
      </c>
      <c r="N2820" s="50">
        <f>SUM(N2806:N2819)</f>
        <v>35573962.840000004</v>
      </c>
      <c r="O2820" s="50"/>
      <c r="P2820" s="50"/>
    </row>
    <row r="2821" spans="1:16" x14ac:dyDescent="0.3">
      <c r="A2821" s="448" t="s">
        <v>3905</v>
      </c>
      <c r="B2821" s="448"/>
      <c r="C2821" s="50"/>
      <c r="D2821" s="50"/>
      <c r="E2821" s="48"/>
      <c r="F2821" s="48"/>
      <c r="G2821" s="50"/>
      <c r="H2821" s="48"/>
      <c r="I2821" s="48"/>
      <c r="J2821" s="19"/>
      <c r="K2821" s="50"/>
      <c r="L2821" s="50"/>
      <c r="M2821" s="50"/>
      <c r="N2821" s="50"/>
      <c r="O2821" s="50"/>
      <c r="P2821" s="50"/>
    </row>
    <row r="2822" spans="1:16" x14ac:dyDescent="0.3">
      <c r="A2822" s="59">
        <f>A2819+1</f>
        <v>2543</v>
      </c>
      <c r="B2822" s="66" t="s">
        <v>3906</v>
      </c>
      <c r="C2822" s="184">
        <v>1965</v>
      </c>
      <c r="D2822" s="48"/>
      <c r="E2822" s="197" t="s">
        <v>3733</v>
      </c>
      <c r="F2822" s="59">
        <v>2</v>
      </c>
      <c r="G2822" s="48"/>
      <c r="H2822" s="192">
        <v>673.8</v>
      </c>
      <c r="I2822" s="198">
        <v>28</v>
      </c>
      <c r="J2822" s="19">
        <f t="shared" si="235"/>
        <v>3158244</v>
      </c>
      <c r="K2822" s="50"/>
      <c r="L2822" s="50"/>
      <c r="M2822" s="50"/>
      <c r="N2822" s="19">
        <f>SUMIF('2020'!B:B,B2822,'2020'!C:C)+SUMIF('2021'!B:B,B2822,'2021'!C:C)+SUMIF('2022'!B:B,B2822,'2022'!C:C)</f>
        <v>3158244</v>
      </c>
      <c r="O2822" s="219">
        <v>44926</v>
      </c>
      <c r="P2822" s="48" t="s">
        <v>3728</v>
      </c>
    </row>
    <row r="2823" spans="1:16" x14ac:dyDescent="0.3">
      <c r="A2823" s="59">
        <f>A2822+1</f>
        <v>2544</v>
      </c>
      <c r="B2823" s="66" t="s">
        <v>3907</v>
      </c>
      <c r="C2823" s="184">
        <v>1965</v>
      </c>
      <c r="D2823" s="48"/>
      <c r="E2823" s="197" t="s">
        <v>3733</v>
      </c>
      <c r="F2823" s="59">
        <v>2</v>
      </c>
      <c r="G2823" s="48"/>
      <c r="H2823" s="192">
        <v>659.8</v>
      </c>
      <c r="I2823" s="198">
        <v>29</v>
      </c>
      <c r="J2823" s="19">
        <f t="shared" si="235"/>
        <v>4078076.4</v>
      </c>
      <c r="K2823" s="50"/>
      <c r="L2823" s="50"/>
      <c r="M2823" s="50"/>
      <c r="N2823" s="19">
        <f>SUMIF('2020'!B:B,B2823,'2020'!C:C)+SUMIF('2021'!B:B,B2823,'2021'!C:C)+SUMIF('2022'!B:B,B2823,'2022'!C:C)</f>
        <v>4078076.4</v>
      </c>
      <c r="O2823" s="219">
        <v>44926</v>
      </c>
      <c r="P2823" s="48" t="s">
        <v>3728</v>
      </c>
    </row>
    <row r="2824" spans="1:16" x14ac:dyDescent="0.3">
      <c r="A2824" s="59">
        <f>A2823+1</f>
        <v>2545</v>
      </c>
      <c r="B2824" s="66" t="s">
        <v>3908</v>
      </c>
      <c r="C2824" s="184">
        <v>1957</v>
      </c>
      <c r="D2824" s="48"/>
      <c r="E2824" s="197" t="s">
        <v>4193</v>
      </c>
      <c r="F2824" s="59">
        <v>2</v>
      </c>
      <c r="G2824" s="48"/>
      <c r="H2824" s="192">
        <v>737.2</v>
      </c>
      <c r="I2824" s="198">
        <v>17</v>
      </c>
      <c r="J2824" s="19">
        <f t="shared" si="235"/>
        <v>3782320.8</v>
      </c>
      <c r="K2824" s="50"/>
      <c r="L2824" s="50"/>
      <c r="M2824" s="50"/>
      <c r="N2824" s="19">
        <f>SUMIF('2020'!B:B,B2824,'2020'!C:C)+SUMIF('2021'!B:B,B2824,'2021'!C:C)+SUMIF('2022'!B:B,B2824,'2022'!C:C)</f>
        <v>3782320.8</v>
      </c>
      <c r="O2824" s="219">
        <v>44926</v>
      </c>
      <c r="P2824" s="48" t="s">
        <v>3728</v>
      </c>
    </row>
    <row r="2825" spans="1:16" x14ac:dyDescent="0.3">
      <c r="A2825" s="449" t="s">
        <v>211</v>
      </c>
      <c r="B2825" s="449"/>
      <c r="C2825" s="50"/>
      <c r="D2825" s="50"/>
      <c r="E2825" s="48"/>
      <c r="F2825" s="48"/>
      <c r="G2825" s="50"/>
      <c r="H2825" s="19">
        <f t="shared" ref="H2825" si="238">I2825+J2825+K2825+L2825</f>
        <v>22037282.399999999</v>
      </c>
      <c r="I2825" s="19">
        <f t="shared" ref="I2825" si="239">J2825+K2825+L2825+M2825</f>
        <v>11018641.199999999</v>
      </c>
      <c r="J2825" s="19">
        <f t="shared" si="235"/>
        <v>11018641.199999999</v>
      </c>
      <c r="K2825" s="50">
        <v>0</v>
      </c>
      <c r="L2825" s="50">
        <v>0</v>
      </c>
      <c r="M2825" s="50">
        <v>0</v>
      </c>
      <c r="N2825" s="50">
        <f>SUM(N2822:N2824)</f>
        <v>11018641.199999999</v>
      </c>
      <c r="O2825" s="50"/>
      <c r="P2825" s="50"/>
    </row>
    <row r="2826" spans="1:16" x14ac:dyDescent="0.3">
      <c r="A2826" s="448" t="s">
        <v>3909</v>
      </c>
      <c r="B2826" s="448"/>
      <c r="C2826" s="50"/>
      <c r="D2826" s="50"/>
      <c r="E2826" s="48"/>
      <c r="F2826" s="48"/>
      <c r="G2826" s="50"/>
      <c r="H2826" s="48"/>
      <c r="I2826" s="48"/>
      <c r="J2826" s="19"/>
      <c r="K2826" s="50"/>
      <c r="L2826" s="50"/>
      <c r="M2826" s="50"/>
      <c r="N2826" s="50"/>
      <c r="O2826" s="50"/>
      <c r="P2826" s="50"/>
    </row>
    <row r="2827" spans="1:16" x14ac:dyDescent="0.3">
      <c r="A2827" s="59">
        <f>A2824+1</f>
        <v>2546</v>
      </c>
      <c r="B2827" s="66" t="s">
        <v>3910</v>
      </c>
      <c r="C2827" s="184">
        <v>1966</v>
      </c>
      <c r="D2827" s="48"/>
      <c r="E2827" s="202" t="s">
        <v>3733</v>
      </c>
      <c r="F2827" s="202">
        <v>2</v>
      </c>
      <c r="G2827" s="48"/>
      <c r="H2827" s="191">
        <v>736.9</v>
      </c>
      <c r="I2827" s="202">
        <v>28</v>
      </c>
      <c r="J2827" s="19">
        <f t="shared" si="235"/>
        <v>8261124</v>
      </c>
      <c r="K2827" s="50"/>
      <c r="L2827" s="50"/>
      <c r="M2827" s="50"/>
      <c r="N2827" s="19">
        <f>SUMIF('2020'!B:B,B2827,'2020'!C:C)+SUMIF('2021'!B:B,B2827,'2021'!C:C)+SUMIF('2022'!B:B,B2827,'2022'!C:C)</f>
        <v>8261124</v>
      </c>
      <c r="O2827" s="219">
        <v>44926</v>
      </c>
      <c r="P2827" s="48" t="s">
        <v>3728</v>
      </c>
    </row>
    <row r="2828" spans="1:16" x14ac:dyDescent="0.3">
      <c r="A2828" s="59">
        <f t="shared" ref="A2828:A2834" si="240">A2827+1</f>
        <v>2547</v>
      </c>
      <c r="B2828" s="66" t="s">
        <v>3911</v>
      </c>
      <c r="C2828" s="184">
        <v>1963</v>
      </c>
      <c r="D2828" s="48"/>
      <c r="E2828" s="202" t="s">
        <v>3733</v>
      </c>
      <c r="F2828" s="202">
        <v>2</v>
      </c>
      <c r="G2828" s="48"/>
      <c r="H2828" s="191">
        <v>421.1</v>
      </c>
      <c r="I2828" s="202">
        <v>17</v>
      </c>
      <c r="J2828" s="19">
        <f t="shared" si="235"/>
        <v>2525403.6</v>
      </c>
      <c r="K2828" s="50"/>
      <c r="L2828" s="50"/>
      <c r="M2828" s="50"/>
      <c r="N2828" s="19">
        <f>SUMIF('2020'!B:B,B2828,'2020'!C:C)+SUMIF('2021'!B:B,B2828,'2021'!C:C)+SUMIF('2022'!B:B,B2828,'2022'!C:C)</f>
        <v>2525403.6</v>
      </c>
      <c r="O2828" s="219">
        <v>44926</v>
      </c>
      <c r="P2828" s="48" t="s">
        <v>3728</v>
      </c>
    </row>
    <row r="2829" spans="1:16" x14ac:dyDescent="0.3">
      <c r="A2829" s="59">
        <f t="shared" si="240"/>
        <v>2548</v>
      </c>
      <c r="B2829" s="66" t="s">
        <v>3912</v>
      </c>
      <c r="C2829" s="184">
        <v>1964</v>
      </c>
      <c r="D2829" s="48"/>
      <c r="E2829" s="202" t="s">
        <v>3733</v>
      </c>
      <c r="F2829" s="202">
        <v>2</v>
      </c>
      <c r="G2829" s="48"/>
      <c r="H2829" s="191">
        <v>508.6</v>
      </c>
      <c r="I2829" s="202">
        <v>12</v>
      </c>
      <c r="J2829" s="19">
        <f t="shared" si="235"/>
        <v>3028677.6</v>
      </c>
      <c r="K2829" s="50"/>
      <c r="L2829" s="50"/>
      <c r="M2829" s="50"/>
      <c r="N2829" s="19">
        <f>SUMIF('2020'!B:B,B2829,'2020'!C:C)+SUMIF('2021'!B:B,B2829,'2021'!C:C)+SUMIF('2022'!B:B,B2829,'2022'!C:C)</f>
        <v>3028677.6</v>
      </c>
      <c r="O2829" s="219">
        <v>44926</v>
      </c>
      <c r="P2829" s="48" t="s">
        <v>3728</v>
      </c>
    </row>
    <row r="2830" spans="1:16" x14ac:dyDescent="0.3">
      <c r="A2830" s="59">
        <f t="shared" si="240"/>
        <v>2549</v>
      </c>
      <c r="B2830" s="66" t="s">
        <v>3913</v>
      </c>
      <c r="C2830" s="184">
        <v>1956</v>
      </c>
      <c r="D2830" s="48"/>
      <c r="E2830" s="202" t="s">
        <v>3733</v>
      </c>
      <c r="F2830" s="202">
        <v>2</v>
      </c>
      <c r="G2830" s="48"/>
      <c r="H2830" s="191">
        <v>509</v>
      </c>
      <c r="I2830" s="202">
        <v>26</v>
      </c>
      <c r="J2830" s="19">
        <f t="shared" si="235"/>
        <v>2820273.6</v>
      </c>
      <c r="K2830" s="50"/>
      <c r="L2830" s="50"/>
      <c r="M2830" s="50"/>
      <c r="N2830" s="19">
        <f>SUMIF('2020'!B:B,B2830,'2020'!C:C)+SUMIF('2021'!B:B,B2830,'2021'!C:C)+SUMIF('2022'!B:B,B2830,'2022'!C:C)</f>
        <v>2820273.6</v>
      </c>
      <c r="O2830" s="219">
        <v>44926</v>
      </c>
      <c r="P2830" s="48" t="s">
        <v>3728</v>
      </c>
    </row>
    <row r="2831" spans="1:16" x14ac:dyDescent="0.3">
      <c r="A2831" s="59">
        <f t="shared" si="240"/>
        <v>2550</v>
      </c>
      <c r="B2831" s="66" t="s">
        <v>4028</v>
      </c>
      <c r="C2831" s="184">
        <v>1950</v>
      </c>
      <c r="D2831" s="48"/>
      <c r="E2831" s="202" t="s">
        <v>3733</v>
      </c>
      <c r="F2831" s="202">
        <v>2</v>
      </c>
      <c r="G2831" s="48"/>
      <c r="H2831" s="191">
        <v>528.6</v>
      </c>
      <c r="I2831" s="202">
        <v>24</v>
      </c>
      <c r="J2831" s="19">
        <f t="shared" si="235"/>
        <v>181959.67</v>
      </c>
      <c r="K2831" s="50"/>
      <c r="L2831" s="50"/>
      <c r="M2831" s="50"/>
      <c r="N2831" s="19">
        <f>SUMIF('2020'!B:B,B2831,'2020'!C:C)+SUMIF('2021'!B:B,B2831,'2021'!C:C)+SUMIF('2022'!B:B,B2831,'2022'!C:C)</f>
        <v>181959.67</v>
      </c>
      <c r="O2831" s="219">
        <v>44926</v>
      </c>
      <c r="P2831" s="48" t="s">
        <v>3728</v>
      </c>
    </row>
    <row r="2832" spans="1:16" x14ac:dyDescent="0.3">
      <c r="A2832" s="59">
        <f t="shared" si="240"/>
        <v>2551</v>
      </c>
      <c r="B2832" s="66" t="s">
        <v>4029</v>
      </c>
      <c r="C2832" s="184">
        <v>1952</v>
      </c>
      <c r="D2832" s="48"/>
      <c r="E2832" s="202" t="s">
        <v>3733</v>
      </c>
      <c r="F2832" s="202">
        <v>2</v>
      </c>
      <c r="G2832" s="48"/>
      <c r="H2832" s="191">
        <v>464.7</v>
      </c>
      <c r="I2832" s="202">
        <v>26</v>
      </c>
      <c r="J2832" s="19">
        <f t="shared" si="235"/>
        <v>169864.26</v>
      </c>
      <c r="K2832" s="50"/>
      <c r="L2832" s="50"/>
      <c r="M2832" s="50"/>
      <c r="N2832" s="19">
        <f>SUMIF('2020'!B:B,B2832,'2020'!C:C)+SUMIF('2021'!B:B,B2832,'2021'!C:C)+SUMIF('2022'!B:B,B2832,'2022'!C:C)</f>
        <v>169864.26</v>
      </c>
      <c r="O2832" s="219">
        <v>44926</v>
      </c>
      <c r="P2832" s="48" t="s">
        <v>3728</v>
      </c>
    </row>
    <row r="2833" spans="1:16" x14ac:dyDescent="0.3">
      <c r="A2833" s="59">
        <f t="shared" si="240"/>
        <v>2552</v>
      </c>
      <c r="B2833" s="66" t="s">
        <v>4066</v>
      </c>
      <c r="C2833" s="184">
        <v>1983</v>
      </c>
      <c r="D2833" s="48"/>
      <c r="E2833" s="202" t="s">
        <v>4194</v>
      </c>
      <c r="F2833" s="202">
        <v>3</v>
      </c>
      <c r="G2833" s="48"/>
      <c r="H2833" s="191">
        <v>2116.9</v>
      </c>
      <c r="I2833" s="202">
        <v>73</v>
      </c>
      <c r="J2833" s="19">
        <f t="shared" si="235"/>
        <v>6448930.7999999998</v>
      </c>
      <c r="K2833" s="50"/>
      <c r="L2833" s="50"/>
      <c r="M2833" s="50"/>
      <c r="N2833" s="19">
        <f>SUMIF('2020'!B:B,B2833,'2020'!C:C)+SUMIF('2021'!B:B,B2833,'2021'!C:C)+SUMIF('2022'!B:B,B2833,'2022'!C:C)</f>
        <v>6448930.7999999998</v>
      </c>
      <c r="O2833" s="219">
        <v>44926</v>
      </c>
      <c r="P2833" s="48" t="s">
        <v>3728</v>
      </c>
    </row>
    <row r="2834" spans="1:16" x14ac:dyDescent="0.3">
      <c r="A2834" s="59">
        <f t="shared" si="240"/>
        <v>2553</v>
      </c>
      <c r="B2834" s="66" t="s">
        <v>4030</v>
      </c>
      <c r="C2834" s="184">
        <v>1944</v>
      </c>
      <c r="D2834" s="48"/>
      <c r="E2834" s="202" t="s">
        <v>3733</v>
      </c>
      <c r="F2834" s="202">
        <v>2</v>
      </c>
      <c r="G2834" s="48"/>
      <c r="H2834" s="191">
        <v>170.9</v>
      </c>
      <c r="I2834" s="202">
        <v>3</v>
      </c>
      <c r="J2834" s="19">
        <f t="shared" si="235"/>
        <v>188959.93</v>
      </c>
      <c r="K2834" s="50"/>
      <c r="L2834" s="50"/>
      <c r="M2834" s="50"/>
      <c r="N2834" s="19">
        <f>SUMIF('2020'!B:B,B2834,'2020'!C:C)+SUMIF('2021'!B:B,B2834,'2021'!C:C)+SUMIF('2022'!B:B,B2834,'2022'!C:C)</f>
        <v>188959.93</v>
      </c>
      <c r="O2834" s="219">
        <v>44926</v>
      </c>
      <c r="P2834" s="48" t="s">
        <v>3728</v>
      </c>
    </row>
    <row r="2835" spans="1:16" x14ac:dyDescent="0.3">
      <c r="A2835" s="449" t="s">
        <v>211</v>
      </c>
      <c r="B2835" s="449"/>
      <c r="C2835" s="50"/>
      <c r="D2835" s="50"/>
      <c r="E2835" s="48"/>
      <c r="F2835" s="48"/>
      <c r="G2835" s="50"/>
      <c r="H2835" s="19">
        <f t="shared" ref="H2835" si="241">I2835+J2835+K2835+L2835</f>
        <v>47250386.920000002</v>
      </c>
      <c r="I2835" s="19">
        <f t="shared" ref="I2835" si="242">J2835+K2835+L2835+M2835</f>
        <v>23625193.460000001</v>
      </c>
      <c r="J2835" s="19">
        <f t="shared" si="235"/>
        <v>23625193.460000001</v>
      </c>
      <c r="K2835" s="50">
        <v>0</v>
      </c>
      <c r="L2835" s="50">
        <v>0</v>
      </c>
      <c r="M2835" s="50">
        <v>0</v>
      </c>
      <c r="N2835" s="50">
        <f>SUM(N2827:N2834)</f>
        <v>23625193.460000001</v>
      </c>
      <c r="O2835" s="50"/>
      <c r="P2835" s="50"/>
    </row>
    <row r="2836" spans="1:16" x14ac:dyDescent="0.3">
      <c r="A2836" s="448" t="s">
        <v>4031</v>
      </c>
      <c r="B2836" s="448"/>
      <c r="C2836" s="50"/>
      <c r="D2836" s="50"/>
      <c r="E2836" s="48"/>
      <c r="F2836" s="48"/>
      <c r="G2836" s="50"/>
      <c r="H2836" s="48"/>
      <c r="I2836" s="48"/>
      <c r="J2836" s="19"/>
      <c r="K2836" s="50"/>
      <c r="L2836" s="50"/>
      <c r="M2836" s="50"/>
      <c r="N2836" s="50"/>
      <c r="O2836" s="50"/>
      <c r="P2836" s="50"/>
    </row>
    <row r="2837" spans="1:16" x14ac:dyDescent="0.3">
      <c r="A2837" s="59">
        <f>A2834+1</f>
        <v>2554</v>
      </c>
      <c r="B2837" s="66" t="s">
        <v>4067</v>
      </c>
      <c r="C2837" s="184">
        <v>1978</v>
      </c>
      <c r="D2837" s="48"/>
      <c r="E2837" s="48" t="s">
        <v>3729</v>
      </c>
      <c r="F2837" s="48">
        <v>5</v>
      </c>
      <c r="G2837" s="48"/>
      <c r="H2837" s="48">
        <v>6496.4</v>
      </c>
      <c r="I2837" s="48">
        <v>198</v>
      </c>
      <c r="J2837" s="19">
        <f t="shared" si="235"/>
        <v>31388754</v>
      </c>
      <c r="K2837" s="50"/>
      <c r="L2837" s="50"/>
      <c r="M2837" s="50"/>
      <c r="N2837" s="19">
        <f>SUMIF('2020'!B:B,B2837,'2020'!C:C)+SUMIF('2021'!B:B,B2837,'2021'!C:C)+SUMIF('2022'!B:B,B2837,'2022'!C:C)</f>
        <v>31388754</v>
      </c>
      <c r="O2837" s="219">
        <v>44926</v>
      </c>
      <c r="P2837" s="48" t="s">
        <v>3728</v>
      </c>
    </row>
    <row r="2838" spans="1:16" x14ac:dyDescent="0.3">
      <c r="A2838" s="59">
        <f>A2837+1</f>
        <v>2555</v>
      </c>
      <c r="B2838" s="66" t="s">
        <v>4032</v>
      </c>
      <c r="C2838" s="184">
        <v>1962</v>
      </c>
      <c r="D2838" s="48"/>
      <c r="E2838" s="202" t="s">
        <v>3733</v>
      </c>
      <c r="F2838" s="48">
        <v>2</v>
      </c>
      <c r="G2838" s="48"/>
      <c r="H2838" s="48">
        <v>343.6</v>
      </c>
      <c r="I2838" s="48">
        <v>17</v>
      </c>
      <c r="J2838" s="19">
        <f t="shared" si="235"/>
        <v>575381.89</v>
      </c>
      <c r="K2838" s="50"/>
      <c r="L2838" s="50"/>
      <c r="M2838" s="50"/>
      <c r="N2838" s="19">
        <f>SUMIF('2020'!B:B,B2838,'2020'!C:C)+SUMIF('2021'!B:B,B2838,'2021'!C:C)+SUMIF('2022'!B:B,B2838,'2022'!C:C)</f>
        <v>575381.89</v>
      </c>
      <c r="O2838" s="219">
        <v>44926</v>
      </c>
      <c r="P2838" s="48" t="s">
        <v>3728</v>
      </c>
    </row>
    <row r="2839" spans="1:16" x14ac:dyDescent="0.3">
      <c r="A2839" s="59">
        <f>A2838+1</f>
        <v>2556</v>
      </c>
      <c r="B2839" s="66" t="s">
        <v>4033</v>
      </c>
      <c r="C2839" s="184">
        <v>1961</v>
      </c>
      <c r="D2839" s="48"/>
      <c r="E2839" s="202" t="s">
        <v>3733</v>
      </c>
      <c r="F2839" s="48">
        <v>2</v>
      </c>
      <c r="G2839" s="48"/>
      <c r="H2839" s="48">
        <v>342</v>
      </c>
      <c r="I2839" s="48">
        <v>12</v>
      </c>
      <c r="J2839" s="19">
        <f t="shared" si="235"/>
        <v>365413.98</v>
      </c>
      <c r="K2839" s="50"/>
      <c r="L2839" s="50"/>
      <c r="M2839" s="50"/>
      <c r="N2839" s="19">
        <f>SUMIF('2020'!B:B,B2839,'2020'!C:C)+SUMIF('2021'!B:B,B2839,'2021'!C:C)+SUMIF('2022'!B:B,B2839,'2022'!C:C)</f>
        <v>365413.98</v>
      </c>
      <c r="O2839" s="219">
        <v>44926</v>
      </c>
      <c r="P2839" s="48" t="s">
        <v>3728</v>
      </c>
    </row>
    <row r="2840" spans="1:16" x14ac:dyDescent="0.3">
      <c r="A2840" s="59">
        <f>A2839+1</f>
        <v>2557</v>
      </c>
      <c r="B2840" s="66" t="s">
        <v>4068</v>
      </c>
      <c r="C2840" s="184">
        <v>1969</v>
      </c>
      <c r="D2840" s="48"/>
      <c r="E2840" s="202" t="s">
        <v>3733</v>
      </c>
      <c r="F2840" s="48">
        <v>2</v>
      </c>
      <c r="G2840" s="48"/>
      <c r="H2840" s="48">
        <v>637.70000000000005</v>
      </c>
      <c r="I2840" s="48">
        <v>22</v>
      </c>
      <c r="J2840" s="19">
        <f t="shared" si="235"/>
        <v>4386566.4000000004</v>
      </c>
      <c r="K2840" s="50"/>
      <c r="L2840" s="50"/>
      <c r="M2840" s="50"/>
      <c r="N2840" s="19">
        <f>SUMIF('2020'!B:B,B2840,'2020'!C:C)+SUMIF('2021'!B:B,B2840,'2021'!C:C)+SUMIF('2022'!B:B,B2840,'2022'!C:C)</f>
        <v>4386566.4000000004</v>
      </c>
      <c r="O2840" s="219">
        <v>44926</v>
      </c>
      <c r="P2840" s="48" t="s">
        <v>3728</v>
      </c>
    </row>
    <row r="2841" spans="1:16" x14ac:dyDescent="0.3">
      <c r="A2841" s="449" t="s">
        <v>211</v>
      </c>
      <c r="B2841" s="449"/>
      <c r="C2841" s="50"/>
      <c r="D2841" s="50"/>
      <c r="E2841" s="48"/>
      <c r="F2841" s="48"/>
      <c r="G2841" s="50"/>
      <c r="H2841" s="19">
        <f t="shared" ref="H2841" si="243">I2841+J2841+K2841+L2841</f>
        <v>73432232.540000007</v>
      </c>
      <c r="I2841" s="19">
        <f t="shared" ref="I2841" si="244">J2841+K2841+L2841+M2841</f>
        <v>36716116.270000003</v>
      </c>
      <c r="J2841" s="19">
        <f t="shared" si="235"/>
        <v>36716116.270000003</v>
      </c>
      <c r="K2841" s="50">
        <v>0</v>
      </c>
      <c r="L2841" s="50">
        <v>0</v>
      </c>
      <c r="M2841" s="50">
        <v>0</v>
      </c>
      <c r="N2841" s="50">
        <f>SUM(N2837:N2840)</f>
        <v>36716116.270000003</v>
      </c>
      <c r="O2841" s="50"/>
      <c r="P2841" s="50"/>
    </row>
    <row r="2842" spans="1:16" x14ac:dyDescent="0.3">
      <c r="A2842" s="448" t="s">
        <v>4034</v>
      </c>
      <c r="B2842" s="448"/>
      <c r="C2842" s="50"/>
      <c r="D2842" s="50"/>
      <c r="E2842" s="48"/>
      <c r="F2842" s="48"/>
      <c r="G2842" s="50"/>
      <c r="H2842" s="48"/>
      <c r="I2842" s="48"/>
      <c r="J2842" s="19"/>
      <c r="K2842" s="50"/>
      <c r="L2842" s="50"/>
      <c r="M2842" s="50"/>
      <c r="N2842" s="50"/>
      <c r="O2842" s="50"/>
      <c r="P2842" s="50"/>
    </row>
    <row r="2843" spans="1:16" x14ac:dyDescent="0.3">
      <c r="A2843" s="59">
        <f>A2840+1</f>
        <v>2558</v>
      </c>
      <c r="B2843" s="66" t="s">
        <v>4035</v>
      </c>
      <c r="C2843" s="184">
        <v>1954</v>
      </c>
      <c r="D2843" s="184"/>
      <c r="E2843" s="48" t="s">
        <v>3645</v>
      </c>
      <c r="F2843" s="48">
        <v>2</v>
      </c>
      <c r="G2843" s="48"/>
      <c r="H2843" s="48">
        <v>645.9</v>
      </c>
      <c r="I2843" s="48">
        <v>10</v>
      </c>
      <c r="J2843" s="19">
        <f t="shared" si="235"/>
        <v>130000</v>
      </c>
      <c r="K2843" s="50"/>
      <c r="L2843" s="50"/>
      <c r="M2843" s="50"/>
      <c r="N2843" s="19">
        <f>SUMIF('2020'!B:B,B2843,'2020'!C:C)+SUMIF('2021'!B:B,B2843,'2021'!C:C)+SUMIF('2022'!B:B,B2843,'2022'!C:C)</f>
        <v>130000</v>
      </c>
      <c r="O2843" s="219">
        <v>44926</v>
      </c>
      <c r="P2843" s="48" t="s">
        <v>3728</v>
      </c>
    </row>
    <row r="2844" spans="1:16" x14ac:dyDescent="0.3">
      <c r="A2844" s="59">
        <f t="shared" ref="A2844:A2860" si="245">A2843+1</f>
        <v>2559</v>
      </c>
      <c r="B2844" s="66" t="s">
        <v>4036</v>
      </c>
      <c r="C2844" s="184">
        <v>1967</v>
      </c>
      <c r="D2844" s="184"/>
      <c r="E2844" s="48" t="s">
        <v>3645</v>
      </c>
      <c r="F2844" s="48">
        <v>2</v>
      </c>
      <c r="G2844" s="48"/>
      <c r="H2844" s="48">
        <v>673.1</v>
      </c>
      <c r="I2844" s="48">
        <v>11</v>
      </c>
      <c r="J2844" s="19">
        <f t="shared" si="235"/>
        <v>582867.61</v>
      </c>
      <c r="K2844" s="50"/>
      <c r="L2844" s="50"/>
      <c r="M2844" s="50"/>
      <c r="N2844" s="19">
        <f>SUMIF('2020'!B:B,B2844,'2020'!C:C)+SUMIF('2021'!B:B,B2844,'2021'!C:C)+SUMIF('2022'!B:B,B2844,'2022'!C:C)</f>
        <v>582867.61</v>
      </c>
      <c r="O2844" s="219">
        <v>44926</v>
      </c>
      <c r="P2844" s="48" t="s">
        <v>3728</v>
      </c>
    </row>
    <row r="2845" spans="1:16" x14ac:dyDescent="0.3">
      <c r="A2845" s="59">
        <f t="shared" si="245"/>
        <v>2560</v>
      </c>
      <c r="B2845" s="66" t="s">
        <v>4037</v>
      </c>
      <c r="C2845" s="184">
        <v>1971</v>
      </c>
      <c r="D2845" s="184"/>
      <c r="E2845" s="48" t="s">
        <v>3645</v>
      </c>
      <c r="F2845" s="48">
        <v>2</v>
      </c>
      <c r="G2845" s="48"/>
      <c r="H2845" s="48">
        <v>818.5</v>
      </c>
      <c r="I2845" s="48">
        <v>28</v>
      </c>
      <c r="J2845" s="19">
        <f t="shared" si="235"/>
        <v>734289.68</v>
      </c>
      <c r="K2845" s="50"/>
      <c r="L2845" s="50"/>
      <c r="M2845" s="50"/>
      <c r="N2845" s="19">
        <f>SUMIF('2020'!B:B,B2845,'2020'!C:C)+SUMIF('2021'!B:B,B2845,'2021'!C:C)+SUMIF('2022'!B:B,B2845,'2022'!C:C)</f>
        <v>734289.68</v>
      </c>
      <c r="O2845" s="219">
        <v>44926</v>
      </c>
      <c r="P2845" s="48" t="s">
        <v>3728</v>
      </c>
    </row>
    <row r="2846" spans="1:16" x14ac:dyDescent="0.3">
      <c r="A2846" s="59">
        <f t="shared" si="245"/>
        <v>2561</v>
      </c>
      <c r="B2846" s="66" t="s">
        <v>4038</v>
      </c>
      <c r="C2846" s="184">
        <v>1965</v>
      </c>
      <c r="D2846" s="184"/>
      <c r="E2846" s="48" t="s">
        <v>3645</v>
      </c>
      <c r="F2846" s="48">
        <v>2</v>
      </c>
      <c r="G2846" s="48"/>
      <c r="H2846" s="48">
        <v>626.29999999999995</v>
      </c>
      <c r="I2846" s="48">
        <v>38</v>
      </c>
      <c r="J2846" s="19">
        <f t="shared" si="235"/>
        <v>611656.67000000004</v>
      </c>
      <c r="K2846" s="50"/>
      <c r="L2846" s="50"/>
      <c r="M2846" s="50"/>
      <c r="N2846" s="19">
        <f>SUMIF('2020'!B:B,B2846,'2020'!C:C)+SUMIF('2021'!B:B,B2846,'2021'!C:C)+SUMIF('2022'!B:B,B2846,'2022'!C:C)</f>
        <v>611656.67000000004</v>
      </c>
      <c r="O2846" s="219">
        <v>44926</v>
      </c>
      <c r="P2846" s="48" t="s">
        <v>3728</v>
      </c>
    </row>
    <row r="2847" spans="1:16" x14ac:dyDescent="0.3">
      <c r="A2847" s="59">
        <f t="shared" si="245"/>
        <v>2562</v>
      </c>
      <c r="B2847" s="66" t="s">
        <v>4039</v>
      </c>
      <c r="C2847" s="184">
        <v>1979</v>
      </c>
      <c r="D2847" s="184"/>
      <c r="E2847" s="48" t="s">
        <v>3816</v>
      </c>
      <c r="F2847" s="48">
        <v>5</v>
      </c>
      <c r="G2847" s="48"/>
      <c r="H2847" s="48">
        <v>4343.7</v>
      </c>
      <c r="I2847" s="48">
        <v>128</v>
      </c>
      <c r="J2847" s="19">
        <f t="shared" si="235"/>
        <v>1985182.3699999999</v>
      </c>
      <c r="K2847" s="50"/>
      <c r="L2847" s="50"/>
      <c r="M2847" s="50"/>
      <c r="N2847" s="19">
        <f>SUMIF('2020'!B:B,B2847,'2020'!C:C)+SUMIF('2021'!B:B,B2847,'2021'!C:C)+SUMIF('2022'!B:B,B2847,'2022'!C:C)</f>
        <v>1985182.3699999999</v>
      </c>
      <c r="O2847" s="219">
        <v>44926</v>
      </c>
      <c r="P2847" s="48" t="s">
        <v>3728</v>
      </c>
    </row>
    <row r="2848" spans="1:16" x14ac:dyDescent="0.3">
      <c r="A2848" s="59">
        <f t="shared" si="245"/>
        <v>2563</v>
      </c>
      <c r="B2848" s="66" t="s">
        <v>4040</v>
      </c>
      <c r="C2848" s="184">
        <v>1965</v>
      </c>
      <c r="D2848" s="184"/>
      <c r="E2848" s="48" t="s">
        <v>3645</v>
      </c>
      <c r="F2848" s="48">
        <v>2</v>
      </c>
      <c r="G2848" s="48"/>
      <c r="H2848" s="48">
        <v>619.9</v>
      </c>
      <c r="I2848" s="48">
        <v>62</v>
      </c>
      <c r="J2848" s="19">
        <f t="shared" si="235"/>
        <v>482793.07</v>
      </c>
      <c r="K2848" s="50"/>
      <c r="L2848" s="50"/>
      <c r="M2848" s="50"/>
      <c r="N2848" s="19">
        <f>SUMIF('2020'!B:B,B2848,'2020'!C:C)+SUMIF('2021'!B:B,B2848,'2021'!C:C)+SUMIF('2022'!B:B,B2848,'2022'!C:C)</f>
        <v>482793.07</v>
      </c>
      <c r="O2848" s="219">
        <v>44926</v>
      </c>
      <c r="P2848" s="48" t="s">
        <v>3728</v>
      </c>
    </row>
    <row r="2849" spans="1:16" x14ac:dyDescent="0.3">
      <c r="A2849" s="59">
        <f t="shared" si="245"/>
        <v>2564</v>
      </c>
      <c r="B2849" s="66" t="s">
        <v>4041</v>
      </c>
      <c r="C2849" s="184">
        <v>1965</v>
      </c>
      <c r="D2849" s="184"/>
      <c r="E2849" s="48" t="s">
        <v>3645</v>
      </c>
      <c r="F2849" s="48">
        <v>2</v>
      </c>
      <c r="G2849" s="48"/>
      <c r="H2849" s="48">
        <v>624.70000000000005</v>
      </c>
      <c r="I2849" s="48">
        <v>34</v>
      </c>
      <c r="J2849" s="19">
        <f t="shared" si="235"/>
        <v>613288.43000000005</v>
      </c>
      <c r="K2849" s="50"/>
      <c r="L2849" s="50"/>
      <c r="M2849" s="50"/>
      <c r="N2849" s="19">
        <f>SUMIF('2020'!B:B,B2849,'2020'!C:C)+SUMIF('2021'!B:B,B2849,'2021'!C:C)+SUMIF('2022'!B:B,B2849,'2022'!C:C)</f>
        <v>613288.43000000005</v>
      </c>
      <c r="O2849" s="219">
        <v>44926</v>
      </c>
      <c r="P2849" s="48" t="s">
        <v>3728</v>
      </c>
    </row>
    <row r="2850" spans="1:16" x14ac:dyDescent="0.3">
      <c r="A2850" s="59">
        <f t="shared" si="245"/>
        <v>2565</v>
      </c>
      <c r="B2850" s="66" t="s">
        <v>4042</v>
      </c>
      <c r="C2850" s="184">
        <v>1970</v>
      </c>
      <c r="D2850" s="184"/>
      <c r="E2850" s="48" t="s">
        <v>3816</v>
      </c>
      <c r="F2850" s="48">
        <v>5</v>
      </c>
      <c r="G2850" s="48"/>
      <c r="H2850" s="48">
        <v>2675.2</v>
      </c>
      <c r="I2850" s="48">
        <v>139</v>
      </c>
      <c r="J2850" s="19">
        <f t="shared" si="235"/>
        <v>172165.25</v>
      </c>
      <c r="K2850" s="50"/>
      <c r="L2850" s="50"/>
      <c r="M2850" s="50"/>
      <c r="N2850" s="19">
        <f>SUMIF('2020'!B:B,B2850,'2020'!C:C)+SUMIF('2021'!B:B,B2850,'2021'!C:C)+SUMIF('2022'!B:B,B2850,'2022'!C:C)</f>
        <v>172165.25</v>
      </c>
      <c r="O2850" s="219">
        <v>44926</v>
      </c>
      <c r="P2850" s="48" t="s">
        <v>3728</v>
      </c>
    </row>
    <row r="2851" spans="1:16" x14ac:dyDescent="0.3">
      <c r="A2851" s="59">
        <f t="shared" si="245"/>
        <v>2566</v>
      </c>
      <c r="B2851" s="66" t="s">
        <v>4043</v>
      </c>
      <c r="C2851" s="184">
        <v>1971</v>
      </c>
      <c r="D2851" s="184"/>
      <c r="E2851" s="48" t="s">
        <v>3816</v>
      </c>
      <c r="F2851" s="48">
        <v>5</v>
      </c>
      <c r="G2851" s="48"/>
      <c r="H2851" s="48">
        <v>4263</v>
      </c>
      <c r="I2851" s="48">
        <v>132</v>
      </c>
      <c r="J2851" s="19">
        <f t="shared" si="235"/>
        <v>1739130.3</v>
      </c>
      <c r="K2851" s="50"/>
      <c r="L2851" s="50"/>
      <c r="M2851" s="50"/>
      <c r="N2851" s="19">
        <f>SUMIF('2020'!B:B,B2851,'2020'!C:C)+SUMIF('2021'!B:B,B2851,'2021'!C:C)+SUMIF('2022'!B:B,B2851,'2022'!C:C)</f>
        <v>1739130.3</v>
      </c>
      <c r="O2851" s="219">
        <v>44926</v>
      </c>
      <c r="P2851" s="48" t="s">
        <v>3728</v>
      </c>
    </row>
    <row r="2852" spans="1:16" x14ac:dyDescent="0.3">
      <c r="A2852" s="59">
        <f t="shared" si="245"/>
        <v>2567</v>
      </c>
      <c r="B2852" s="66" t="s">
        <v>4044</v>
      </c>
      <c r="C2852" s="184">
        <v>1976</v>
      </c>
      <c r="D2852" s="184"/>
      <c r="E2852" s="48" t="s">
        <v>3816</v>
      </c>
      <c r="F2852" s="48">
        <v>5</v>
      </c>
      <c r="G2852" s="48"/>
      <c r="H2852" s="48">
        <v>4017.2</v>
      </c>
      <c r="I2852" s="48">
        <v>122</v>
      </c>
      <c r="J2852" s="19">
        <f t="shared" si="235"/>
        <v>1762533.62</v>
      </c>
      <c r="K2852" s="50"/>
      <c r="L2852" s="50"/>
      <c r="M2852" s="50"/>
      <c r="N2852" s="19">
        <f>SUMIF('2020'!B:B,B2852,'2020'!C:C)+SUMIF('2021'!B:B,B2852,'2021'!C:C)+SUMIF('2022'!B:B,B2852,'2022'!C:C)</f>
        <v>1762533.62</v>
      </c>
      <c r="O2852" s="219">
        <v>44926</v>
      </c>
      <c r="P2852" s="48" t="s">
        <v>3728</v>
      </c>
    </row>
    <row r="2853" spans="1:16" x14ac:dyDescent="0.3">
      <c r="A2853" s="59">
        <f t="shared" si="245"/>
        <v>2568</v>
      </c>
      <c r="B2853" s="66" t="s">
        <v>4045</v>
      </c>
      <c r="C2853" s="184">
        <v>1977</v>
      </c>
      <c r="D2853" s="184"/>
      <c r="E2853" s="48" t="s">
        <v>3816</v>
      </c>
      <c r="F2853" s="48">
        <v>5</v>
      </c>
      <c r="G2853" s="48"/>
      <c r="H2853" s="48">
        <v>3858.4</v>
      </c>
      <c r="I2853" s="48">
        <v>124</v>
      </c>
      <c r="J2853" s="19">
        <f t="shared" si="235"/>
        <v>210666.14</v>
      </c>
      <c r="K2853" s="50"/>
      <c r="L2853" s="50"/>
      <c r="M2853" s="50"/>
      <c r="N2853" s="19">
        <f>SUMIF('2020'!B:B,B2853,'2020'!C:C)+SUMIF('2021'!B:B,B2853,'2021'!C:C)+SUMIF('2022'!B:B,B2853,'2022'!C:C)</f>
        <v>210666.14</v>
      </c>
      <c r="O2853" s="219">
        <v>44926</v>
      </c>
      <c r="P2853" s="48" t="s">
        <v>3728</v>
      </c>
    </row>
    <row r="2854" spans="1:16" x14ac:dyDescent="0.3">
      <c r="A2854" s="59">
        <f t="shared" si="245"/>
        <v>2569</v>
      </c>
      <c r="B2854" s="66" t="s">
        <v>4046</v>
      </c>
      <c r="C2854" s="184">
        <v>1978</v>
      </c>
      <c r="D2854" s="184"/>
      <c r="E2854" s="48" t="s">
        <v>3816</v>
      </c>
      <c r="F2854" s="48">
        <v>5</v>
      </c>
      <c r="G2854" s="48"/>
      <c r="H2854" s="48">
        <v>3969.6</v>
      </c>
      <c r="I2854" s="48">
        <v>121</v>
      </c>
      <c r="J2854" s="19">
        <f t="shared" si="235"/>
        <v>1576538.24</v>
      </c>
      <c r="K2854" s="50"/>
      <c r="L2854" s="50"/>
      <c r="M2854" s="50"/>
      <c r="N2854" s="19">
        <f>SUMIF('2020'!B:B,B2854,'2020'!C:C)+SUMIF('2021'!B:B,B2854,'2021'!C:C)+SUMIF('2022'!B:B,B2854,'2022'!C:C)</f>
        <v>1576538.24</v>
      </c>
      <c r="O2854" s="219">
        <v>44926</v>
      </c>
      <c r="P2854" s="48" t="s">
        <v>3728</v>
      </c>
    </row>
    <row r="2855" spans="1:16" x14ac:dyDescent="0.3">
      <c r="A2855" s="59">
        <f t="shared" si="245"/>
        <v>2570</v>
      </c>
      <c r="B2855" s="66" t="s">
        <v>4047</v>
      </c>
      <c r="C2855" s="184">
        <v>1979</v>
      </c>
      <c r="D2855" s="184"/>
      <c r="E2855" s="48" t="s">
        <v>3816</v>
      </c>
      <c r="F2855" s="48">
        <v>5</v>
      </c>
      <c r="G2855" s="48"/>
      <c r="H2855" s="48">
        <v>4009.2</v>
      </c>
      <c r="I2855" s="48">
        <v>137</v>
      </c>
      <c r="J2855" s="19">
        <f t="shared" si="235"/>
        <v>1576538.24</v>
      </c>
      <c r="K2855" s="50"/>
      <c r="L2855" s="50"/>
      <c r="M2855" s="50"/>
      <c r="N2855" s="19">
        <f>SUMIF('2020'!B:B,B2855,'2020'!C:C)+SUMIF('2021'!B:B,B2855,'2021'!C:C)+SUMIF('2022'!B:B,B2855,'2022'!C:C)</f>
        <v>1576538.24</v>
      </c>
      <c r="O2855" s="219">
        <v>44926</v>
      </c>
      <c r="P2855" s="48" t="s">
        <v>3728</v>
      </c>
    </row>
    <row r="2856" spans="1:16" x14ac:dyDescent="0.3">
      <c r="A2856" s="59">
        <f t="shared" si="245"/>
        <v>2571</v>
      </c>
      <c r="B2856" s="66" t="s">
        <v>4048</v>
      </c>
      <c r="C2856" s="184">
        <v>1966</v>
      </c>
      <c r="D2856" s="184"/>
      <c r="E2856" s="48" t="s">
        <v>3645</v>
      </c>
      <c r="F2856" s="48">
        <v>2</v>
      </c>
      <c r="G2856" s="48"/>
      <c r="H2856" s="48">
        <v>710.7</v>
      </c>
      <c r="I2856" s="48">
        <v>18</v>
      </c>
      <c r="J2856" s="19">
        <f t="shared" si="235"/>
        <v>707715.12</v>
      </c>
      <c r="K2856" s="50"/>
      <c r="L2856" s="50"/>
      <c r="M2856" s="50"/>
      <c r="N2856" s="19">
        <f>SUMIF('2020'!B:B,B2856,'2020'!C:C)+SUMIF('2021'!B:B,B2856,'2021'!C:C)+SUMIF('2022'!B:B,B2856,'2022'!C:C)</f>
        <v>707715.12</v>
      </c>
      <c r="O2856" s="219">
        <v>44926</v>
      </c>
      <c r="P2856" s="48" t="s">
        <v>3728</v>
      </c>
    </row>
    <row r="2857" spans="1:16" x14ac:dyDescent="0.3">
      <c r="A2857" s="59">
        <f t="shared" si="245"/>
        <v>2572</v>
      </c>
      <c r="B2857" s="66" t="s">
        <v>4049</v>
      </c>
      <c r="C2857" s="184">
        <v>1967</v>
      </c>
      <c r="D2857" s="184"/>
      <c r="E2857" s="48" t="s">
        <v>3645</v>
      </c>
      <c r="F2857" s="48">
        <v>2</v>
      </c>
      <c r="G2857" s="48"/>
      <c r="H2857" s="48">
        <v>694.7</v>
      </c>
      <c r="I2857" s="48">
        <v>36</v>
      </c>
      <c r="J2857" s="19">
        <f t="shared" si="235"/>
        <v>710857.14</v>
      </c>
      <c r="K2857" s="50"/>
      <c r="L2857" s="50"/>
      <c r="M2857" s="50"/>
      <c r="N2857" s="19">
        <f>SUMIF('2020'!B:B,B2857,'2020'!C:C)+SUMIF('2021'!B:B,B2857,'2021'!C:C)+SUMIF('2022'!B:B,B2857,'2022'!C:C)</f>
        <v>710857.14</v>
      </c>
      <c r="O2857" s="219">
        <v>44926</v>
      </c>
      <c r="P2857" s="48" t="s">
        <v>3728</v>
      </c>
    </row>
    <row r="2858" spans="1:16" x14ac:dyDescent="0.3">
      <c r="A2858" s="59">
        <f t="shared" si="245"/>
        <v>2573</v>
      </c>
      <c r="B2858" s="66" t="s">
        <v>4050</v>
      </c>
      <c r="C2858" s="184">
        <v>1976</v>
      </c>
      <c r="D2858" s="184"/>
      <c r="E2858" s="48" t="s">
        <v>3816</v>
      </c>
      <c r="F2858" s="48">
        <v>5</v>
      </c>
      <c r="G2858" s="48"/>
      <c r="H2858" s="48">
        <v>3329</v>
      </c>
      <c r="I2858" s="48">
        <v>133</v>
      </c>
      <c r="J2858" s="19">
        <f t="shared" si="235"/>
        <v>1293884.29</v>
      </c>
      <c r="K2858" s="50"/>
      <c r="L2858" s="50"/>
      <c r="M2858" s="50"/>
      <c r="N2858" s="19">
        <f>SUMIF('2020'!B:B,B2858,'2020'!C:C)+SUMIF('2021'!B:B,B2858,'2021'!C:C)+SUMIF('2022'!B:B,B2858,'2022'!C:C)</f>
        <v>1293884.29</v>
      </c>
      <c r="O2858" s="219">
        <v>44926</v>
      </c>
      <c r="P2858" s="48" t="s">
        <v>3728</v>
      </c>
    </row>
    <row r="2859" spans="1:16" x14ac:dyDescent="0.3">
      <c r="A2859" s="59">
        <f t="shared" si="245"/>
        <v>2574</v>
      </c>
      <c r="B2859" s="66" t="s">
        <v>4051</v>
      </c>
      <c r="C2859" s="184">
        <v>1977</v>
      </c>
      <c r="D2859" s="184"/>
      <c r="E2859" s="48" t="s">
        <v>3816</v>
      </c>
      <c r="F2859" s="48">
        <v>5</v>
      </c>
      <c r="G2859" s="48"/>
      <c r="H2859" s="48">
        <v>3362.1</v>
      </c>
      <c r="I2859" s="48">
        <v>111</v>
      </c>
      <c r="J2859" s="19">
        <f t="shared" si="235"/>
        <v>1801586.32</v>
      </c>
      <c r="K2859" s="50"/>
      <c r="L2859" s="50"/>
      <c r="M2859" s="50"/>
      <c r="N2859" s="19">
        <f>SUMIF('2020'!B:B,B2859,'2020'!C:C)+SUMIF('2021'!B:B,B2859,'2021'!C:C)+SUMIF('2022'!B:B,B2859,'2022'!C:C)</f>
        <v>1801586.32</v>
      </c>
      <c r="O2859" s="219">
        <v>44926</v>
      </c>
      <c r="P2859" s="48" t="s">
        <v>3728</v>
      </c>
    </row>
    <row r="2860" spans="1:16" x14ac:dyDescent="0.3">
      <c r="A2860" s="59">
        <f t="shared" si="245"/>
        <v>2575</v>
      </c>
      <c r="B2860" s="66" t="s">
        <v>4052</v>
      </c>
      <c r="C2860" s="184">
        <v>1980</v>
      </c>
      <c r="D2860" s="184"/>
      <c r="E2860" s="48" t="s">
        <v>3816</v>
      </c>
      <c r="F2860" s="48">
        <v>3</v>
      </c>
      <c r="G2860" s="48"/>
      <c r="H2860" s="48">
        <v>2191.9</v>
      </c>
      <c r="I2860" s="48">
        <v>56</v>
      </c>
      <c r="J2860" s="19">
        <f t="shared" si="235"/>
        <v>928863.99</v>
      </c>
      <c r="K2860" s="50"/>
      <c r="L2860" s="50"/>
      <c r="M2860" s="50"/>
      <c r="N2860" s="19">
        <f>SUMIF('2020'!B:B,B2860,'2020'!C:C)+SUMIF('2021'!B:B,B2860,'2021'!C:C)+SUMIF('2022'!B:B,B2860,'2022'!C:C)</f>
        <v>928863.99</v>
      </c>
      <c r="O2860" s="219">
        <v>44926</v>
      </c>
      <c r="P2860" s="48" t="s">
        <v>3728</v>
      </c>
    </row>
    <row r="2861" spans="1:16" x14ac:dyDescent="0.3">
      <c r="A2861" s="449" t="s">
        <v>211</v>
      </c>
      <c r="B2861" s="449"/>
      <c r="C2861" s="50"/>
      <c r="D2861" s="50"/>
      <c r="E2861" s="48"/>
      <c r="F2861" s="48"/>
      <c r="G2861" s="50"/>
      <c r="H2861" s="19">
        <f t="shared" ref="H2861" si="246">I2861+J2861+K2861+L2861</f>
        <v>35241112.960000001</v>
      </c>
      <c r="I2861" s="19">
        <f t="shared" ref="I2861" si="247">J2861+K2861+L2861+M2861</f>
        <v>17620556.48</v>
      </c>
      <c r="J2861" s="19">
        <f t="shared" si="235"/>
        <v>17620556.48</v>
      </c>
      <c r="K2861" s="50">
        <v>0</v>
      </c>
      <c r="L2861" s="50">
        <v>0</v>
      </c>
      <c r="M2861" s="50">
        <v>0</v>
      </c>
      <c r="N2861" s="50">
        <f>SUM(N2843:N2860)</f>
        <v>17620556.48</v>
      </c>
      <c r="O2861" s="50"/>
      <c r="P2861" s="50"/>
    </row>
    <row r="2862" spans="1:16" s="160" customFormat="1" x14ac:dyDescent="0.3">
      <c r="A2862" s="450" t="s">
        <v>3914</v>
      </c>
      <c r="B2862" s="450"/>
      <c r="C2862" s="67"/>
      <c r="D2862" s="67"/>
      <c r="E2862" s="172"/>
      <c r="F2862" s="172"/>
      <c r="G2862" s="67"/>
      <c r="H2862" s="172"/>
      <c r="I2862" s="172"/>
      <c r="J2862" s="162">
        <f t="shared" si="235"/>
        <v>513685069.26999998</v>
      </c>
      <c r="K2862" s="67">
        <v>0</v>
      </c>
      <c r="L2862" s="67">
        <v>0</v>
      </c>
      <c r="M2862" s="67">
        <v>0</v>
      </c>
      <c r="N2862" s="67">
        <f>N2861+N2841+N2835+N2825+N2804+N2795+N2790+N2766+N2754+N2686+N2683+N2661+N2632+N2820+N2801</f>
        <v>513685069.26999998</v>
      </c>
      <c r="O2862" s="67"/>
      <c r="P2862" s="67"/>
    </row>
    <row r="2863" spans="1:16" s="160" customFormat="1" x14ac:dyDescent="0.3">
      <c r="A2863" s="478" t="s">
        <v>2712</v>
      </c>
      <c r="B2863" s="478"/>
      <c r="C2863" s="478"/>
      <c r="D2863" s="478"/>
      <c r="E2863" s="478"/>
      <c r="F2863" s="478"/>
      <c r="G2863" s="478"/>
      <c r="H2863" s="478"/>
      <c r="I2863" s="478"/>
      <c r="J2863" s="478"/>
      <c r="K2863" s="478"/>
      <c r="L2863" s="478"/>
      <c r="M2863" s="478"/>
      <c r="N2863" s="478"/>
      <c r="O2863" s="478"/>
      <c r="P2863" s="478"/>
    </row>
    <row r="2864" spans="1:16" x14ac:dyDescent="0.3">
      <c r="A2864" s="448" t="s">
        <v>2713</v>
      </c>
      <c r="B2864" s="448"/>
      <c r="C2864" s="172"/>
      <c r="D2864" s="172"/>
      <c r="E2864" s="172"/>
      <c r="F2864" s="172"/>
      <c r="G2864" s="172"/>
      <c r="H2864" s="172"/>
      <c r="I2864" s="172"/>
      <c r="J2864" s="172"/>
      <c r="K2864" s="172"/>
      <c r="L2864" s="172"/>
      <c r="M2864" s="172"/>
      <c r="N2864" s="172"/>
      <c r="O2864" s="172"/>
      <c r="P2864" s="172"/>
    </row>
    <row r="2865" spans="1:16" x14ac:dyDescent="0.3">
      <c r="A2865" s="59">
        <f>A2860+1</f>
        <v>2576</v>
      </c>
      <c r="B2865" s="66" t="s">
        <v>2714</v>
      </c>
      <c r="C2865" s="184">
        <v>1988</v>
      </c>
      <c r="D2865" s="51"/>
      <c r="E2865" s="184" t="s">
        <v>3731</v>
      </c>
      <c r="F2865" s="218">
        <v>5</v>
      </c>
      <c r="G2865" s="51"/>
      <c r="H2865" s="192">
        <v>8744.9</v>
      </c>
      <c r="I2865" s="198">
        <v>347</v>
      </c>
      <c r="J2865" s="19">
        <f t="shared" ref="J2865:J2894" si="248">K2865+L2865+M2865+N2865</f>
        <v>31505929.199999999</v>
      </c>
      <c r="K2865" s="51"/>
      <c r="L2865" s="50"/>
      <c r="M2865" s="51"/>
      <c r="N2865" s="48">
        <f>SUMIF('2020'!B:B,B2865,'2020'!C:C)+SUMIF('2021'!B:B,B2865,'2021'!C:C)+SUMIF('2022'!B:B,B2865,'2022'!C:C)</f>
        <v>31505929.199999999</v>
      </c>
      <c r="O2865" s="219">
        <v>44925</v>
      </c>
      <c r="P2865" s="48" t="s">
        <v>3728</v>
      </c>
    </row>
    <row r="2866" spans="1:16" x14ac:dyDescent="0.3">
      <c r="A2866" s="59">
        <f t="shared" ref="A2866:A2869" si="249">A2865+1</f>
        <v>2577</v>
      </c>
      <c r="B2866" s="66" t="s">
        <v>2715</v>
      </c>
      <c r="C2866" s="184">
        <v>1978</v>
      </c>
      <c r="D2866" s="51"/>
      <c r="E2866" s="184" t="s">
        <v>3733</v>
      </c>
      <c r="F2866" s="218">
        <v>4</v>
      </c>
      <c r="G2866" s="50"/>
      <c r="H2866" s="192">
        <v>940.9</v>
      </c>
      <c r="I2866" s="198">
        <v>32</v>
      </c>
      <c r="J2866" s="19">
        <f t="shared" si="248"/>
        <v>3759972</v>
      </c>
      <c r="K2866" s="51"/>
      <c r="L2866" s="50"/>
      <c r="M2866" s="51"/>
      <c r="N2866" s="48">
        <f>SUMIF('2020'!B:B,B2866,'2020'!C:C)+SUMIF('2021'!B:B,B2866,'2021'!C:C)+SUMIF('2022'!B:B,B2866,'2022'!C:C)</f>
        <v>3759972</v>
      </c>
      <c r="O2866" s="219">
        <v>44925</v>
      </c>
      <c r="P2866" s="48" t="s">
        <v>3728</v>
      </c>
    </row>
    <row r="2867" spans="1:16" x14ac:dyDescent="0.3">
      <c r="A2867" s="59">
        <f t="shared" si="249"/>
        <v>2578</v>
      </c>
      <c r="B2867" s="66" t="s">
        <v>2716</v>
      </c>
      <c r="C2867" s="184">
        <v>1969</v>
      </c>
      <c r="D2867" s="51"/>
      <c r="E2867" s="184" t="s">
        <v>3733</v>
      </c>
      <c r="F2867" s="218">
        <v>5</v>
      </c>
      <c r="G2867" s="51"/>
      <c r="H2867" s="192">
        <v>3189.5</v>
      </c>
      <c r="I2867" s="47">
        <v>138</v>
      </c>
      <c r="J2867" s="19">
        <f t="shared" si="248"/>
        <v>13913815.98</v>
      </c>
      <c r="K2867" s="51"/>
      <c r="L2867" s="50"/>
      <c r="M2867" s="51"/>
      <c r="N2867" s="48">
        <f>SUMIF('2020'!B:B,B2867,'2020'!C:C)+SUMIF('2021'!B:B,B2867,'2021'!C:C)+SUMIF('2022'!B:B,B2867,'2022'!C:C)</f>
        <v>13913815.98</v>
      </c>
      <c r="O2867" s="219">
        <v>44925</v>
      </c>
      <c r="P2867" s="48" t="s">
        <v>3728</v>
      </c>
    </row>
    <row r="2868" spans="1:16" x14ac:dyDescent="0.3">
      <c r="A2868" s="59">
        <f t="shared" si="249"/>
        <v>2579</v>
      </c>
      <c r="B2868" s="66" t="s">
        <v>2717</v>
      </c>
      <c r="C2868" s="184">
        <v>1975</v>
      </c>
      <c r="D2868" s="51"/>
      <c r="E2868" s="184" t="s">
        <v>3733</v>
      </c>
      <c r="F2868" s="218">
        <v>5</v>
      </c>
      <c r="G2868" s="51"/>
      <c r="H2868" s="192">
        <v>3707</v>
      </c>
      <c r="I2868" s="47">
        <v>143</v>
      </c>
      <c r="J2868" s="19">
        <f t="shared" si="248"/>
        <v>16091458.420000002</v>
      </c>
      <c r="K2868" s="51"/>
      <c r="L2868" s="50"/>
      <c r="M2868" s="51"/>
      <c r="N2868" s="48">
        <f>SUMIF('2020'!B:B,B2868,'2020'!C:C)+SUMIF('2021'!B:B,B2868,'2021'!C:C)+SUMIF('2022'!B:B,B2868,'2022'!C:C)</f>
        <v>16091458.420000002</v>
      </c>
      <c r="O2868" s="219">
        <v>44925</v>
      </c>
      <c r="P2868" s="48" t="s">
        <v>3728</v>
      </c>
    </row>
    <row r="2869" spans="1:16" x14ac:dyDescent="0.3">
      <c r="A2869" s="59">
        <f t="shared" si="249"/>
        <v>2580</v>
      </c>
      <c r="B2869" s="66" t="s">
        <v>2718</v>
      </c>
      <c r="C2869" s="184">
        <v>1993</v>
      </c>
      <c r="D2869" s="51"/>
      <c r="E2869" s="184" t="s">
        <v>3731</v>
      </c>
      <c r="F2869" s="218">
        <v>5</v>
      </c>
      <c r="G2869" s="51"/>
      <c r="H2869" s="192">
        <v>4048.8</v>
      </c>
      <c r="I2869" s="47">
        <v>156</v>
      </c>
      <c r="J2869" s="19">
        <f t="shared" si="248"/>
        <v>17756714.760000002</v>
      </c>
      <c r="K2869" s="51"/>
      <c r="L2869" s="50"/>
      <c r="M2869" s="51"/>
      <c r="N2869" s="48">
        <f>SUMIF('2020'!B:B,B2869,'2020'!C:C)+SUMIF('2021'!B:B,B2869,'2021'!C:C)+SUMIF('2022'!B:B,B2869,'2022'!C:C)</f>
        <v>17756714.760000002</v>
      </c>
      <c r="O2869" s="219">
        <v>44925</v>
      </c>
      <c r="P2869" s="48" t="s">
        <v>3728</v>
      </c>
    </row>
    <row r="2870" spans="1:16" x14ac:dyDescent="0.3">
      <c r="A2870" s="449" t="s">
        <v>211</v>
      </c>
      <c r="B2870" s="449"/>
      <c r="C2870" s="50"/>
      <c r="D2870" s="50"/>
      <c r="E2870" s="48"/>
      <c r="F2870" s="48"/>
      <c r="G2870" s="50"/>
      <c r="H2870" s="48">
        <f>SUM(H2865:H2869)</f>
        <v>20631.099999999999</v>
      </c>
      <c r="I2870" s="47">
        <f>SUM(I2865:I2869)</f>
        <v>816</v>
      </c>
      <c r="J2870" s="19">
        <f t="shared" si="248"/>
        <v>83027890.360000014</v>
      </c>
      <c r="K2870" s="50">
        <v>0</v>
      </c>
      <c r="L2870" s="50">
        <v>0</v>
      </c>
      <c r="M2870" s="50">
        <v>0</v>
      </c>
      <c r="N2870" s="50">
        <f>SUM(N2865:N2869)</f>
        <v>83027890.360000014</v>
      </c>
      <c r="O2870" s="50"/>
      <c r="P2870" s="50"/>
    </row>
    <row r="2871" spans="1:16" x14ac:dyDescent="0.3">
      <c r="A2871" s="448" t="s">
        <v>2719</v>
      </c>
      <c r="B2871" s="448"/>
      <c r="C2871" s="50"/>
      <c r="D2871" s="51"/>
      <c r="E2871" s="52"/>
      <c r="F2871" s="52"/>
      <c r="G2871" s="51"/>
      <c r="H2871" s="52"/>
      <c r="I2871" s="52"/>
      <c r="J2871" s="19"/>
      <c r="K2871" s="51"/>
      <c r="L2871" s="50"/>
      <c r="M2871" s="51"/>
      <c r="N2871" s="51"/>
      <c r="O2871" s="50"/>
      <c r="P2871" s="50"/>
    </row>
    <row r="2872" spans="1:16" x14ac:dyDescent="0.3">
      <c r="A2872" s="59">
        <f>A2869+1</f>
        <v>2581</v>
      </c>
      <c r="B2872" s="66" t="s">
        <v>2720</v>
      </c>
      <c r="C2872" s="184">
        <v>1975</v>
      </c>
      <c r="D2872" s="51"/>
      <c r="E2872" s="52" t="s">
        <v>4090</v>
      </c>
      <c r="F2872" s="47">
        <v>2</v>
      </c>
      <c r="G2872" s="51"/>
      <c r="H2872" s="52">
        <v>431.44</v>
      </c>
      <c r="I2872" s="47">
        <v>18</v>
      </c>
      <c r="J2872" s="19">
        <f t="shared" si="248"/>
        <v>316563.84000000003</v>
      </c>
      <c r="K2872" s="51"/>
      <c r="L2872" s="50"/>
      <c r="M2872" s="51"/>
      <c r="N2872" s="48">
        <f>SUMIF('2020'!B:B,B2872,'2020'!C:C)+SUMIF('2021'!B:B,B2872,'2021'!C:C)+SUMIF('2022'!B:B,B2872,'2022'!C:C)</f>
        <v>316563.84000000003</v>
      </c>
      <c r="O2872" s="219">
        <v>44925</v>
      </c>
      <c r="P2872" s="48" t="s">
        <v>3728</v>
      </c>
    </row>
    <row r="2873" spans="1:16" x14ac:dyDescent="0.3">
      <c r="A2873" s="59">
        <f t="shared" ref="A2873:A2878" si="250">A2872+1</f>
        <v>2582</v>
      </c>
      <c r="B2873" s="66" t="s">
        <v>2721</v>
      </c>
      <c r="C2873" s="184">
        <v>1977</v>
      </c>
      <c r="D2873" s="51"/>
      <c r="E2873" s="52" t="s">
        <v>4090</v>
      </c>
      <c r="F2873" s="47">
        <v>2</v>
      </c>
      <c r="G2873" s="51"/>
      <c r="H2873" s="52">
        <v>340.27</v>
      </c>
      <c r="I2873" s="47">
        <v>9</v>
      </c>
      <c r="J2873" s="19">
        <f t="shared" si="248"/>
        <v>283585.62</v>
      </c>
      <c r="K2873" s="51"/>
      <c r="L2873" s="50"/>
      <c r="M2873" s="51"/>
      <c r="N2873" s="48">
        <f>SUMIF('2020'!B:B,B2873,'2020'!C:C)+SUMIF('2021'!B:B,B2873,'2021'!C:C)+SUMIF('2022'!B:B,B2873,'2022'!C:C)</f>
        <v>283585.62</v>
      </c>
      <c r="O2873" s="219">
        <v>44925</v>
      </c>
      <c r="P2873" s="48" t="s">
        <v>3728</v>
      </c>
    </row>
    <row r="2874" spans="1:16" x14ac:dyDescent="0.3">
      <c r="A2874" s="59">
        <f t="shared" si="250"/>
        <v>2583</v>
      </c>
      <c r="B2874" s="66" t="s">
        <v>2722</v>
      </c>
      <c r="C2874" s="184">
        <v>1956</v>
      </c>
      <c r="D2874" s="51"/>
      <c r="E2874" s="52" t="s">
        <v>4090</v>
      </c>
      <c r="F2874" s="47">
        <v>2</v>
      </c>
      <c r="G2874" s="51"/>
      <c r="H2874" s="52">
        <v>266.39999999999998</v>
      </c>
      <c r="I2874" s="47">
        <v>11</v>
      </c>
      <c r="J2874" s="19">
        <f t="shared" si="248"/>
        <v>130000</v>
      </c>
      <c r="K2874" s="51"/>
      <c r="L2874" s="50"/>
      <c r="M2874" s="51"/>
      <c r="N2874" s="48">
        <f>SUMIF('2020'!B:B,B2874,'2020'!C:C)+SUMIF('2021'!B:B,B2874,'2021'!C:C)+SUMIF('2022'!B:B,B2874,'2022'!C:C)</f>
        <v>130000</v>
      </c>
      <c r="O2874" s="219">
        <v>44925</v>
      </c>
      <c r="P2874" s="48" t="s">
        <v>3728</v>
      </c>
    </row>
    <row r="2875" spans="1:16" x14ac:dyDescent="0.3">
      <c r="A2875" s="59">
        <f t="shared" si="250"/>
        <v>2584</v>
      </c>
      <c r="B2875" s="66" t="s">
        <v>2723</v>
      </c>
      <c r="C2875" s="184">
        <v>1974</v>
      </c>
      <c r="D2875" s="51"/>
      <c r="E2875" s="52" t="s">
        <v>4090</v>
      </c>
      <c r="F2875" s="47">
        <v>2</v>
      </c>
      <c r="G2875" s="51"/>
      <c r="H2875" s="52">
        <v>546.6</v>
      </c>
      <c r="I2875" s="47">
        <v>19</v>
      </c>
      <c r="J2875" s="19">
        <f t="shared" si="248"/>
        <v>567682.4</v>
      </c>
      <c r="K2875" s="51"/>
      <c r="L2875" s="50"/>
      <c r="M2875" s="51"/>
      <c r="N2875" s="48">
        <f>SUMIF('2020'!B:B,B2875,'2020'!C:C)+SUMIF('2021'!B:B,B2875,'2021'!C:C)+SUMIF('2022'!B:B,B2875,'2022'!C:C)</f>
        <v>567682.4</v>
      </c>
      <c r="O2875" s="219">
        <v>44925</v>
      </c>
      <c r="P2875" s="48" t="s">
        <v>3728</v>
      </c>
    </row>
    <row r="2876" spans="1:16" x14ac:dyDescent="0.3">
      <c r="A2876" s="59">
        <f t="shared" si="250"/>
        <v>2585</v>
      </c>
      <c r="B2876" s="66" t="s">
        <v>2724</v>
      </c>
      <c r="C2876" s="184">
        <v>1975</v>
      </c>
      <c r="D2876" s="51"/>
      <c r="E2876" s="52" t="s">
        <v>4090</v>
      </c>
      <c r="F2876" s="47">
        <v>2</v>
      </c>
      <c r="G2876" s="51"/>
      <c r="H2876" s="52">
        <v>541</v>
      </c>
      <c r="I2876" s="47">
        <v>20</v>
      </c>
      <c r="J2876" s="19">
        <f t="shared" si="248"/>
        <v>355377.7</v>
      </c>
      <c r="K2876" s="51"/>
      <c r="L2876" s="50"/>
      <c r="M2876" s="51"/>
      <c r="N2876" s="48">
        <f>SUMIF('2020'!B:B,B2876,'2020'!C:C)+SUMIF('2021'!B:B,B2876,'2021'!C:C)+SUMIF('2022'!B:B,B2876,'2022'!C:C)</f>
        <v>355377.7</v>
      </c>
      <c r="O2876" s="219">
        <v>44925</v>
      </c>
      <c r="P2876" s="48" t="s">
        <v>3728</v>
      </c>
    </row>
    <row r="2877" spans="1:16" x14ac:dyDescent="0.3">
      <c r="A2877" s="59">
        <f t="shared" si="250"/>
        <v>2586</v>
      </c>
      <c r="B2877" s="66" t="s">
        <v>2725</v>
      </c>
      <c r="C2877" s="184">
        <v>1975</v>
      </c>
      <c r="D2877" s="51"/>
      <c r="E2877" s="52" t="s">
        <v>4090</v>
      </c>
      <c r="F2877" s="47">
        <v>2</v>
      </c>
      <c r="G2877" s="51"/>
      <c r="H2877" s="52">
        <v>328.7</v>
      </c>
      <c r="I2877" s="47">
        <v>22</v>
      </c>
      <c r="J2877" s="19">
        <f t="shared" si="248"/>
        <v>692338.3</v>
      </c>
      <c r="K2877" s="51"/>
      <c r="L2877" s="50"/>
      <c r="M2877" s="51"/>
      <c r="N2877" s="48">
        <f>SUMIF('2020'!B:B,B2877,'2020'!C:C)+SUMIF('2021'!B:B,B2877,'2021'!C:C)+SUMIF('2022'!B:B,B2877,'2022'!C:C)</f>
        <v>692338.3</v>
      </c>
      <c r="O2877" s="219">
        <v>44925</v>
      </c>
      <c r="P2877" s="48" t="s">
        <v>3728</v>
      </c>
    </row>
    <row r="2878" spans="1:16" x14ac:dyDescent="0.3">
      <c r="A2878" s="59">
        <f t="shared" si="250"/>
        <v>2587</v>
      </c>
      <c r="B2878" s="66" t="s">
        <v>2726</v>
      </c>
      <c r="C2878" s="184">
        <v>1988</v>
      </c>
      <c r="D2878" s="51"/>
      <c r="E2878" s="52" t="s">
        <v>3739</v>
      </c>
      <c r="F2878" s="47">
        <v>3</v>
      </c>
      <c r="G2878" s="50"/>
      <c r="H2878" s="52">
        <v>1466.7</v>
      </c>
      <c r="I2878" s="47">
        <v>63</v>
      </c>
      <c r="J2878" s="19">
        <f t="shared" si="248"/>
        <v>1454900</v>
      </c>
      <c r="K2878" s="51"/>
      <c r="L2878" s="50"/>
      <c r="M2878" s="51"/>
      <c r="N2878" s="48">
        <f>SUMIF('2020'!B:B,B2878,'2020'!C:C)+SUMIF('2021'!B:B,B2878,'2021'!C:C)+SUMIF('2022'!B:B,B2878,'2022'!C:C)</f>
        <v>1454900</v>
      </c>
      <c r="O2878" s="219">
        <v>44925</v>
      </c>
      <c r="P2878" s="48" t="s">
        <v>3728</v>
      </c>
    </row>
    <row r="2879" spans="1:16" x14ac:dyDescent="0.3">
      <c r="A2879" s="474" t="s">
        <v>211</v>
      </c>
      <c r="B2879" s="475"/>
      <c r="C2879" s="50"/>
      <c r="D2879" s="50"/>
      <c r="E2879" s="48"/>
      <c r="F2879" s="48"/>
      <c r="G2879" s="50"/>
      <c r="H2879" s="48">
        <f>SUM(H2872:H2878)</f>
        <v>3921.1099999999997</v>
      </c>
      <c r="I2879" s="47">
        <f t="shared" ref="I2879" si="251">SUM(I2872:I2878)</f>
        <v>162</v>
      </c>
      <c r="J2879" s="19">
        <f t="shared" si="248"/>
        <v>3800447.86</v>
      </c>
      <c r="K2879" s="48">
        <v>0</v>
      </c>
      <c r="L2879" s="48">
        <v>0</v>
      </c>
      <c r="M2879" s="48">
        <v>0</v>
      </c>
      <c r="N2879" s="48">
        <f>SUM(N2872:N2878)</f>
        <v>3800447.86</v>
      </c>
      <c r="O2879" s="219"/>
      <c r="P2879" s="48"/>
    </row>
    <row r="2880" spans="1:16" x14ac:dyDescent="0.3">
      <c r="A2880" s="472" t="s">
        <v>2727</v>
      </c>
      <c r="B2880" s="473"/>
      <c r="C2880" s="50"/>
      <c r="D2880" s="51"/>
      <c r="E2880" s="52"/>
      <c r="F2880" s="52"/>
      <c r="G2880" s="51"/>
      <c r="H2880" s="52"/>
      <c r="I2880" s="52"/>
      <c r="J2880" s="19"/>
      <c r="K2880" s="51"/>
      <c r="L2880" s="50"/>
      <c r="M2880" s="51"/>
      <c r="N2880" s="51"/>
      <c r="O2880" s="50"/>
      <c r="P2880" s="50"/>
    </row>
    <row r="2881" spans="1:16" x14ac:dyDescent="0.3">
      <c r="A2881" s="59">
        <f>A2878+1</f>
        <v>2588</v>
      </c>
      <c r="B2881" s="66" t="s">
        <v>2728</v>
      </c>
      <c r="C2881" s="184">
        <v>1967</v>
      </c>
      <c r="D2881" s="51"/>
      <c r="E2881" s="52" t="s">
        <v>3733</v>
      </c>
      <c r="F2881" s="47">
        <v>2</v>
      </c>
      <c r="G2881" s="51"/>
      <c r="H2881" s="52">
        <v>531.4</v>
      </c>
      <c r="I2881" s="47">
        <v>22</v>
      </c>
      <c r="J2881" s="19">
        <f t="shared" si="248"/>
        <v>130000</v>
      </c>
      <c r="K2881" s="51"/>
      <c r="L2881" s="50"/>
      <c r="M2881" s="51"/>
      <c r="N2881" s="19">
        <f>SUMIF('2020'!B:B,B2881,'2020'!C:C)+SUMIF('2021'!B:B,B2881,'2021'!C:C)+SUMIF('2022'!B:B,B2881,'2022'!C:C)</f>
        <v>130000</v>
      </c>
      <c r="O2881" s="265">
        <v>44925</v>
      </c>
      <c r="P2881" s="48" t="s">
        <v>3728</v>
      </c>
    </row>
    <row r="2882" spans="1:16" x14ac:dyDescent="0.3">
      <c r="A2882" s="59">
        <f>A2881+1</f>
        <v>2589</v>
      </c>
      <c r="B2882" s="66" t="s">
        <v>2729</v>
      </c>
      <c r="C2882" s="184">
        <v>1968</v>
      </c>
      <c r="D2882" s="51"/>
      <c r="E2882" s="52" t="s">
        <v>3733</v>
      </c>
      <c r="F2882" s="47">
        <v>2</v>
      </c>
      <c r="G2882" s="51"/>
      <c r="H2882" s="52">
        <v>513.29999999999995</v>
      </c>
      <c r="I2882" s="47">
        <v>26</v>
      </c>
      <c r="J2882" s="19">
        <f t="shared" si="248"/>
        <v>130000</v>
      </c>
      <c r="K2882" s="51"/>
      <c r="L2882" s="50"/>
      <c r="M2882" s="51"/>
      <c r="N2882" s="19">
        <f>SUMIF('2020'!B:B,B2882,'2020'!C:C)+SUMIF('2021'!B:B,B2882,'2021'!C:C)+SUMIF('2022'!B:B,B2882,'2022'!C:C)</f>
        <v>130000</v>
      </c>
      <c r="O2882" s="265">
        <v>44925</v>
      </c>
      <c r="P2882" s="48" t="s">
        <v>3728</v>
      </c>
    </row>
    <row r="2883" spans="1:16" x14ac:dyDescent="0.3">
      <c r="A2883" s="59">
        <f>A2882+1</f>
        <v>2590</v>
      </c>
      <c r="B2883" s="66" t="s">
        <v>2730</v>
      </c>
      <c r="C2883" s="184">
        <v>1975</v>
      </c>
      <c r="D2883" s="51"/>
      <c r="E2883" s="52" t="s">
        <v>3733</v>
      </c>
      <c r="F2883" s="47">
        <v>5</v>
      </c>
      <c r="G2883" s="51"/>
      <c r="H2883" s="52">
        <v>4155</v>
      </c>
      <c r="I2883" s="47">
        <v>130</v>
      </c>
      <c r="J2883" s="19">
        <f t="shared" si="248"/>
        <v>677022.62</v>
      </c>
      <c r="K2883" s="51"/>
      <c r="L2883" s="51"/>
      <c r="M2883" s="51"/>
      <c r="N2883" s="19">
        <f>SUMIF('2020'!B:B,B2883,'2020'!C:C)+SUMIF('2021'!B:B,B2883,'2021'!C:C)+SUMIF('2022'!B:B,B2883,'2022'!C:C)</f>
        <v>677022.62</v>
      </c>
      <c r="O2883" s="265">
        <v>44925</v>
      </c>
      <c r="P2883" s="48" t="s">
        <v>3728</v>
      </c>
    </row>
    <row r="2884" spans="1:16" x14ac:dyDescent="0.3">
      <c r="A2884" s="59">
        <f>A2883+1</f>
        <v>2591</v>
      </c>
      <c r="B2884" s="66" t="s">
        <v>2731</v>
      </c>
      <c r="C2884" s="184">
        <v>1977</v>
      </c>
      <c r="D2884" s="51"/>
      <c r="E2884" s="52" t="s">
        <v>3733</v>
      </c>
      <c r="F2884" s="47">
        <v>5</v>
      </c>
      <c r="G2884" s="51"/>
      <c r="H2884" s="52">
        <v>4011.2</v>
      </c>
      <c r="I2884" s="47">
        <v>135</v>
      </c>
      <c r="J2884" s="19">
        <f t="shared" si="248"/>
        <v>1562473.1800000002</v>
      </c>
      <c r="K2884" s="51"/>
      <c r="L2884" s="50"/>
      <c r="M2884" s="51"/>
      <c r="N2884" s="19">
        <f>SUMIF('2020'!B:B,B2884,'2020'!C:C)+SUMIF('2021'!B:B,B2884,'2021'!C:C)+SUMIF('2022'!B:B,B2884,'2022'!C:C)</f>
        <v>1562473.1800000002</v>
      </c>
      <c r="O2884" s="265">
        <v>44925</v>
      </c>
      <c r="P2884" s="48" t="s">
        <v>3728</v>
      </c>
    </row>
    <row r="2885" spans="1:16" x14ac:dyDescent="0.3">
      <c r="A2885" s="474" t="s">
        <v>211</v>
      </c>
      <c r="B2885" s="475"/>
      <c r="C2885" s="50"/>
      <c r="D2885" s="50"/>
      <c r="E2885" s="48"/>
      <c r="F2885" s="48"/>
      <c r="G2885" s="50"/>
      <c r="H2885" s="48">
        <f>SUM(H2881:H2884)</f>
        <v>9210.9</v>
      </c>
      <c r="I2885" s="47">
        <f>SUM(I2881:I2884)</f>
        <v>313</v>
      </c>
      <c r="J2885" s="19">
        <f t="shared" si="248"/>
        <v>2499495.8000000003</v>
      </c>
      <c r="K2885" s="50">
        <v>0</v>
      </c>
      <c r="L2885" s="50">
        <v>0</v>
      </c>
      <c r="M2885" s="50">
        <v>0</v>
      </c>
      <c r="N2885" s="50">
        <f>SUM(N2881:N2884)</f>
        <v>2499495.8000000003</v>
      </c>
      <c r="O2885" s="50"/>
      <c r="P2885" s="50"/>
    </row>
    <row r="2886" spans="1:16" x14ac:dyDescent="0.3">
      <c r="A2886" s="472" t="s">
        <v>2732</v>
      </c>
      <c r="B2886" s="473"/>
      <c r="C2886" s="50"/>
      <c r="D2886" s="51"/>
      <c r="E2886" s="52"/>
      <c r="F2886" s="52"/>
      <c r="G2886" s="51"/>
      <c r="H2886" s="52"/>
      <c r="I2886" s="52"/>
      <c r="J2886" s="19"/>
      <c r="K2886" s="51"/>
      <c r="L2886" s="50"/>
      <c r="M2886" s="51"/>
      <c r="N2886" s="51"/>
      <c r="O2886" s="50"/>
      <c r="P2886" s="50"/>
    </row>
    <row r="2887" spans="1:16" x14ac:dyDescent="0.3">
      <c r="A2887" s="59">
        <f>A2884+1</f>
        <v>2592</v>
      </c>
      <c r="B2887" s="66" t="s">
        <v>2733</v>
      </c>
      <c r="C2887" s="184">
        <v>1958</v>
      </c>
      <c r="D2887" s="51"/>
      <c r="E2887" s="52" t="s">
        <v>3733</v>
      </c>
      <c r="F2887" s="218">
        <v>2</v>
      </c>
      <c r="G2887" s="50"/>
      <c r="H2887" s="52">
        <v>1089.3</v>
      </c>
      <c r="I2887" s="218">
        <v>60</v>
      </c>
      <c r="J2887" s="19">
        <f t="shared" si="248"/>
        <v>264679.79000000004</v>
      </c>
      <c r="K2887" s="51"/>
      <c r="L2887" s="50"/>
      <c r="M2887" s="51"/>
      <c r="N2887" s="19">
        <f>SUMIF('2020'!B:B,B2887,'2020'!C:C)+SUMIF('2021'!B:B,B2887,'2021'!C:C)+SUMIF('2022'!B:B,B2887,'2022'!C:C)</f>
        <v>264679.79000000004</v>
      </c>
      <c r="O2887" s="265">
        <v>44925</v>
      </c>
      <c r="P2887" s="48" t="s">
        <v>3728</v>
      </c>
    </row>
    <row r="2888" spans="1:16" x14ac:dyDescent="0.3">
      <c r="A2888" s="59">
        <f t="shared" ref="A2888:A2894" si="252">A2887+1</f>
        <v>2593</v>
      </c>
      <c r="B2888" s="66" t="s">
        <v>2734</v>
      </c>
      <c r="C2888" s="184">
        <v>2003</v>
      </c>
      <c r="D2888" s="51"/>
      <c r="E2888" s="52" t="s">
        <v>3739</v>
      </c>
      <c r="F2888" s="218">
        <v>9</v>
      </c>
      <c r="G2888" s="51"/>
      <c r="H2888" s="52">
        <v>6624</v>
      </c>
      <c r="I2888" s="218">
        <v>192</v>
      </c>
      <c r="J2888" s="19">
        <f t="shared" si="248"/>
        <v>23205600.34</v>
      </c>
      <c r="K2888" s="51"/>
      <c r="L2888" s="50"/>
      <c r="M2888" s="51"/>
      <c r="N2888" s="19">
        <f>SUMIF('2020'!B:B,B2888,'2020'!C:C)+SUMIF('2021'!B:B,B2888,'2021'!C:C)+SUMIF('2022'!B:B,B2888,'2022'!C:C)</f>
        <v>23205600.34</v>
      </c>
      <c r="O2888" s="265">
        <v>44925</v>
      </c>
      <c r="P2888" s="48" t="s">
        <v>3728</v>
      </c>
    </row>
    <row r="2889" spans="1:16" x14ac:dyDescent="0.3">
      <c r="A2889" s="59">
        <f t="shared" si="252"/>
        <v>2594</v>
      </c>
      <c r="B2889" s="66" t="s">
        <v>2735</v>
      </c>
      <c r="C2889" s="184">
        <v>1980</v>
      </c>
      <c r="D2889" s="51"/>
      <c r="E2889" s="52" t="s">
        <v>3739</v>
      </c>
      <c r="F2889" s="218">
        <v>5</v>
      </c>
      <c r="G2889" s="51"/>
      <c r="H2889" s="52">
        <v>3289.5</v>
      </c>
      <c r="I2889" s="218">
        <v>126</v>
      </c>
      <c r="J2889" s="19">
        <f t="shared" si="248"/>
        <v>14759862</v>
      </c>
      <c r="K2889" s="51"/>
      <c r="L2889" s="50"/>
      <c r="M2889" s="51"/>
      <c r="N2889" s="19">
        <f>SUMIF('2020'!B:B,B2889,'2020'!C:C)+SUMIF('2021'!B:B,B2889,'2021'!C:C)+SUMIF('2022'!B:B,B2889,'2022'!C:C)</f>
        <v>14759862</v>
      </c>
      <c r="O2889" s="265">
        <v>44925</v>
      </c>
      <c r="P2889" s="48" t="s">
        <v>3728</v>
      </c>
    </row>
    <row r="2890" spans="1:16" x14ac:dyDescent="0.3">
      <c r="A2890" s="59">
        <f t="shared" si="252"/>
        <v>2595</v>
      </c>
      <c r="B2890" s="66" t="s">
        <v>2736</v>
      </c>
      <c r="C2890" s="184">
        <v>1957</v>
      </c>
      <c r="D2890" s="51"/>
      <c r="E2890" s="52" t="s">
        <v>3733</v>
      </c>
      <c r="F2890" s="218">
        <v>2</v>
      </c>
      <c r="G2890" s="51"/>
      <c r="H2890" s="52">
        <v>685.5</v>
      </c>
      <c r="I2890" s="218">
        <v>29</v>
      </c>
      <c r="J2890" s="19">
        <f t="shared" si="248"/>
        <v>105577.22</v>
      </c>
      <c r="K2890" s="51"/>
      <c r="L2890" s="50"/>
      <c r="M2890" s="51"/>
      <c r="N2890" s="19">
        <f>SUMIF('2020'!B:B,B2890,'2020'!C:C)+SUMIF('2021'!B:B,B2890,'2021'!C:C)+SUMIF('2022'!B:B,B2890,'2022'!C:C)</f>
        <v>105577.22</v>
      </c>
      <c r="O2890" s="265">
        <v>44925</v>
      </c>
      <c r="P2890" s="48" t="s">
        <v>3728</v>
      </c>
    </row>
    <row r="2891" spans="1:16" x14ac:dyDescent="0.3">
      <c r="A2891" s="59">
        <f t="shared" si="252"/>
        <v>2596</v>
      </c>
      <c r="B2891" s="66" t="s">
        <v>2737</v>
      </c>
      <c r="C2891" s="184">
        <v>1952</v>
      </c>
      <c r="D2891" s="51"/>
      <c r="E2891" s="52" t="s">
        <v>3733</v>
      </c>
      <c r="F2891" s="218">
        <v>2</v>
      </c>
      <c r="G2891" s="51"/>
      <c r="H2891" s="52">
        <v>307.39999999999998</v>
      </c>
      <c r="I2891" s="218">
        <v>11</v>
      </c>
      <c r="J2891" s="19">
        <f t="shared" si="248"/>
        <v>179085.89</v>
      </c>
      <c r="K2891" s="51"/>
      <c r="L2891" s="50"/>
      <c r="M2891" s="51"/>
      <c r="N2891" s="19">
        <f>SUMIF('2020'!B:B,B2891,'2020'!C:C)+SUMIF('2021'!B:B,B2891,'2021'!C:C)+SUMIF('2022'!B:B,B2891,'2022'!C:C)</f>
        <v>179085.89</v>
      </c>
      <c r="O2891" s="265">
        <v>44925</v>
      </c>
      <c r="P2891" s="48" t="s">
        <v>3728</v>
      </c>
    </row>
    <row r="2892" spans="1:16" x14ac:dyDescent="0.3">
      <c r="A2892" s="59">
        <f t="shared" si="252"/>
        <v>2597</v>
      </c>
      <c r="B2892" s="66" t="s">
        <v>2738</v>
      </c>
      <c r="C2892" s="184">
        <v>1952</v>
      </c>
      <c r="D2892" s="51"/>
      <c r="E2892" s="52" t="s">
        <v>3733</v>
      </c>
      <c r="F2892" s="218">
        <v>2</v>
      </c>
      <c r="G2892" s="51"/>
      <c r="H2892" s="52">
        <v>304.89999999999998</v>
      </c>
      <c r="I2892" s="218">
        <v>17</v>
      </c>
      <c r="J2892" s="19">
        <f t="shared" si="248"/>
        <v>475962.18000000005</v>
      </c>
      <c r="K2892" s="51"/>
      <c r="L2892" s="50"/>
      <c r="M2892" s="51"/>
      <c r="N2892" s="19">
        <f>SUMIF('2020'!B:B,B2892,'2020'!C:C)+SUMIF('2021'!B:B,B2892,'2021'!C:C)+SUMIF('2022'!B:B,B2892,'2022'!C:C)</f>
        <v>475962.18000000005</v>
      </c>
      <c r="O2892" s="265">
        <v>44925</v>
      </c>
      <c r="P2892" s="48" t="s">
        <v>3728</v>
      </c>
    </row>
    <row r="2893" spans="1:16" x14ac:dyDescent="0.3">
      <c r="A2893" s="59">
        <f t="shared" si="252"/>
        <v>2598</v>
      </c>
      <c r="B2893" s="66" t="s">
        <v>2739</v>
      </c>
      <c r="C2893" s="184">
        <v>1995</v>
      </c>
      <c r="D2893" s="51"/>
      <c r="E2893" s="52" t="s">
        <v>3739</v>
      </c>
      <c r="F2893" s="218">
        <v>9</v>
      </c>
      <c r="G2893" s="51"/>
      <c r="H2893" s="52">
        <v>4294.5</v>
      </c>
      <c r="I2893" s="218">
        <v>154</v>
      </c>
      <c r="J2893" s="19">
        <f t="shared" si="248"/>
        <v>18300116.140000001</v>
      </c>
      <c r="K2893" s="51"/>
      <c r="L2893" s="50"/>
      <c r="M2893" s="51"/>
      <c r="N2893" s="19">
        <f>SUMIF('2020'!B:B,B2893,'2020'!C:C)+SUMIF('2021'!B:B,B2893,'2021'!C:C)+SUMIF('2022'!B:B,B2893,'2022'!C:C)</f>
        <v>18300116.140000001</v>
      </c>
      <c r="O2893" s="265">
        <v>44925</v>
      </c>
      <c r="P2893" s="48" t="s">
        <v>3728</v>
      </c>
    </row>
    <row r="2894" spans="1:16" x14ac:dyDescent="0.3">
      <c r="A2894" s="59">
        <f t="shared" si="252"/>
        <v>2599</v>
      </c>
      <c r="B2894" s="66" t="s">
        <v>2740</v>
      </c>
      <c r="C2894" s="184">
        <v>1991</v>
      </c>
      <c r="D2894" s="51"/>
      <c r="E2894" s="52" t="s">
        <v>3739</v>
      </c>
      <c r="F2894" s="218">
        <v>5</v>
      </c>
      <c r="G2894" s="51"/>
      <c r="H2894" s="52">
        <v>4831.7</v>
      </c>
      <c r="I2894" s="218">
        <v>171</v>
      </c>
      <c r="J2894" s="19">
        <f t="shared" si="248"/>
        <v>678887</v>
      </c>
      <c r="K2894" s="51"/>
      <c r="L2894" s="50"/>
      <c r="M2894" s="51"/>
      <c r="N2894" s="19">
        <f>SUMIF('2020'!B:B,B2894,'2020'!C:C)+SUMIF('2021'!B:B,B2894,'2021'!C:C)+SUMIF('2022'!B:B,B2894,'2022'!C:C)</f>
        <v>678887</v>
      </c>
      <c r="O2894" s="265">
        <v>44925</v>
      </c>
      <c r="P2894" s="48" t="s">
        <v>3728</v>
      </c>
    </row>
    <row r="2895" spans="1:16" x14ac:dyDescent="0.3">
      <c r="A2895" s="474" t="s">
        <v>211</v>
      </c>
      <c r="B2895" s="475"/>
      <c r="C2895" s="50"/>
      <c r="D2895" s="50"/>
      <c r="E2895" s="48"/>
      <c r="F2895" s="48"/>
      <c r="G2895" s="50"/>
      <c r="H2895" s="48">
        <f>SUM(H2887:H2894)</f>
        <v>21426.799999999999</v>
      </c>
      <c r="I2895" s="218">
        <f t="shared" ref="I2895:N2895" si="253">SUM(I2887:I2894)</f>
        <v>760</v>
      </c>
      <c r="J2895" s="48">
        <f t="shared" si="253"/>
        <v>57969770.559999995</v>
      </c>
      <c r="K2895" s="48">
        <v>0</v>
      </c>
      <c r="L2895" s="48">
        <v>0</v>
      </c>
      <c r="M2895" s="48">
        <v>0</v>
      </c>
      <c r="N2895" s="48">
        <f t="shared" si="253"/>
        <v>57969770.559999995</v>
      </c>
      <c r="O2895" s="50"/>
      <c r="P2895" s="50"/>
    </row>
    <row r="2896" spans="1:16" s="160" customFormat="1" x14ac:dyDescent="0.3">
      <c r="A2896" s="479" t="s">
        <v>2741</v>
      </c>
      <c r="B2896" s="480"/>
      <c r="C2896" s="67"/>
      <c r="D2896" s="67"/>
      <c r="E2896" s="172"/>
      <c r="F2896" s="172"/>
      <c r="G2896" s="67"/>
      <c r="H2896" s="67">
        <f t="shared" ref="H2896:J2896" si="254">H2895+H2885+H2879+H2870</f>
        <v>55189.909999999996</v>
      </c>
      <c r="I2896" s="67">
        <f t="shared" si="254"/>
        <v>2051</v>
      </c>
      <c r="J2896" s="67">
        <f t="shared" si="254"/>
        <v>147297604.58000001</v>
      </c>
      <c r="K2896" s="67">
        <v>0</v>
      </c>
      <c r="L2896" s="67">
        <v>0</v>
      </c>
      <c r="M2896" s="67">
        <v>0</v>
      </c>
      <c r="N2896" s="67">
        <f>N2895+N2885+N2879+N2870</f>
        <v>147297604.58000001</v>
      </c>
      <c r="O2896" s="67"/>
      <c r="P2896" s="67"/>
    </row>
    <row r="2897" spans="1:16" s="160" customFormat="1" x14ac:dyDescent="0.3">
      <c r="A2897" s="476" t="s">
        <v>2744</v>
      </c>
      <c r="B2897" s="477"/>
      <c r="C2897" s="477"/>
      <c r="D2897" s="477"/>
      <c r="E2897" s="477"/>
      <c r="F2897" s="477"/>
      <c r="G2897" s="477"/>
      <c r="H2897" s="477"/>
      <c r="I2897" s="477"/>
      <c r="J2897" s="477"/>
      <c r="K2897" s="477"/>
      <c r="L2897" s="477"/>
      <c r="M2897" s="477"/>
      <c r="N2897" s="477"/>
      <c r="O2897" s="477"/>
      <c r="P2897" s="477"/>
    </row>
    <row r="2898" spans="1:16" x14ac:dyDescent="0.3">
      <c r="A2898" s="472" t="s">
        <v>2745</v>
      </c>
      <c r="B2898" s="473"/>
      <c r="C2898" s="172"/>
      <c r="D2898" s="172"/>
      <c r="E2898" s="172"/>
      <c r="F2898" s="172"/>
      <c r="G2898" s="172"/>
      <c r="H2898" s="172"/>
      <c r="I2898" s="172"/>
      <c r="J2898" s="172"/>
      <c r="K2898" s="172"/>
      <c r="L2898" s="172"/>
      <c r="M2898" s="172"/>
      <c r="N2898" s="172"/>
      <c r="O2898" s="172"/>
      <c r="P2898" s="172"/>
    </row>
    <row r="2899" spans="1:16" x14ac:dyDescent="0.3">
      <c r="A2899" s="59">
        <f>A2894+1</f>
        <v>2600</v>
      </c>
      <c r="B2899" s="66" t="s">
        <v>2746</v>
      </c>
      <c r="C2899" s="184">
        <v>1974</v>
      </c>
      <c r="D2899" s="51"/>
      <c r="E2899" s="52" t="s">
        <v>3729</v>
      </c>
      <c r="F2899" s="47">
        <v>5</v>
      </c>
      <c r="G2899" s="51"/>
      <c r="H2899" s="52">
        <v>3659.54</v>
      </c>
      <c r="I2899" s="47">
        <v>137</v>
      </c>
      <c r="J2899" s="19">
        <f t="shared" ref="J2899:J2962" si="255">K2899+L2899+M2899+N2899</f>
        <v>24614738.259999998</v>
      </c>
      <c r="K2899" s="51"/>
      <c r="L2899" s="50"/>
      <c r="M2899" s="51"/>
      <c r="N2899" s="19">
        <f>SUMIF('2020'!B:B,B2899,'2020'!C:C)+SUMIF('2021'!B:B,B2899,'2021'!C:C)+SUMIF('2022'!B:B,B2899,'2022'!C:C)</f>
        <v>24614738.259999998</v>
      </c>
      <c r="O2899" s="219">
        <v>44925</v>
      </c>
      <c r="P2899" s="50" t="s">
        <v>3728</v>
      </c>
    </row>
    <row r="2900" spans="1:16" x14ac:dyDescent="0.3">
      <c r="A2900" s="59">
        <f t="shared" ref="A2900:A2901" si="256">A2899+1</f>
        <v>2601</v>
      </c>
      <c r="B2900" s="66" t="s">
        <v>2747</v>
      </c>
      <c r="C2900" s="184">
        <v>1972</v>
      </c>
      <c r="D2900" s="51"/>
      <c r="E2900" s="48" t="s">
        <v>3733</v>
      </c>
      <c r="F2900" s="47">
        <v>2</v>
      </c>
      <c r="G2900" s="50"/>
      <c r="H2900" s="48">
        <v>976.98</v>
      </c>
      <c r="I2900" s="47">
        <v>32</v>
      </c>
      <c r="J2900" s="19">
        <f t="shared" si="255"/>
        <v>965106.95</v>
      </c>
      <c r="K2900" s="50"/>
      <c r="L2900" s="50"/>
      <c r="M2900" s="50"/>
      <c r="N2900" s="19">
        <f>SUMIF('2020'!B:B,B2900,'2020'!C:C)+SUMIF('2021'!B:B,B2900,'2021'!C:C)+SUMIF('2022'!B:B,B2900,'2022'!C:C)</f>
        <v>965106.95</v>
      </c>
      <c r="O2900" s="219">
        <v>44925</v>
      </c>
      <c r="P2900" s="50" t="s">
        <v>3728</v>
      </c>
    </row>
    <row r="2901" spans="1:16" x14ac:dyDescent="0.3">
      <c r="A2901" s="59">
        <f t="shared" si="256"/>
        <v>2602</v>
      </c>
      <c r="B2901" s="66" t="s">
        <v>2748</v>
      </c>
      <c r="C2901" s="184">
        <v>1972</v>
      </c>
      <c r="D2901" s="51"/>
      <c r="E2901" s="48" t="s">
        <v>3733</v>
      </c>
      <c r="F2901" s="47">
        <v>2</v>
      </c>
      <c r="G2901" s="50"/>
      <c r="H2901" s="48">
        <v>987.62</v>
      </c>
      <c r="I2901" s="47">
        <v>41</v>
      </c>
      <c r="J2901" s="19">
        <f t="shared" si="255"/>
        <v>973375.73</v>
      </c>
      <c r="K2901" s="50"/>
      <c r="L2901" s="50"/>
      <c r="M2901" s="50"/>
      <c r="N2901" s="19">
        <f>SUMIF('2020'!B:B,B2901,'2020'!C:C)+SUMIF('2021'!B:B,B2901,'2021'!C:C)+SUMIF('2022'!B:B,B2901,'2022'!C:C)</f>
        <v>973375.73</v>
      </c>
      <c r="O2901" s="219">
        <v>44925</v>
      </c>
      <c r="P2901" s="50" t="s">
        <v>3728</v>
      </c>
    </row>
    <row r="2902" spans="1:16" x14ac:dyDescent="0.3">
      <c r="A2902" s="59">
        <f>A2901+1</f>
        <v>2603</v>
      </c>
      <c r="B2902" s="66" t="s">
        <v>2749</v>
      </c>
      <c r="C2902" s="184">
        <v>1975</v>
      </c>
      <c r="D2902" s="51"/>
      <c r="E2902" s="48" t="s">
        <v>3729</v>
      </c>
      <c r="F2902" s="47">
        <v>5</v>
      </c>
      <c r="G2902" s="50"/>
      <c r="H2902" s="48">
        <v>3447.8</v>
      </c>
      <c r="I2902" s="47">
        <v>105</v>
      </c>
      <c r="J2902" s="19">
        <f t="shared" si="255"/>
        <v>879498.7</v>
      </c>
      <c r="K2902" s="50"/>
      <c r="L2902" s="50"/>
      <c r="M2902" s="50"/>
      <c r="N2902" s="19">
        <f>SUMIF('2020'!B:B,B2902,'2020'!C:C)+SUMIF('2021'!B:B,B2902,'2021'!C:C)+SUMIF('2022'!B:B,B2902,'2022'!C:C)</f>
        <v>879498.7</v>
      </c>
      <c r="O2902" s="219">
        <v>44925</v>
      </c>
      <c r="P2902" s="50" t="s">
        <v>3728</v>
      </c>
    </row>
    <row r="2903" spans="1:16" x14ac:dyDescent="0.3">
      <c r="A2903" s="59">
        <f>A2902+1</f>
        <v>2604</v>
      </c>
      <c r="B2903" s="66" t="s">
        <v>2750</v>
      </c>
      <c r="C2903" s="184">
        <v>1960</v>
      </c>
      <c r="D2903" s="51"/>
      <c r="E2903" s="48" t="s">
        <v>4090</v>
      </c>
      <c r="F2903" s="47">
        <v>2</v>
      </c>
      <c r="G2903" s="50"/>
      <c r="H2903" s="48">
        <v>233.7</v>
      </c>
      <c r="I2903" s="47">
        <v>17</v>
      </c>
      <c r="J2903" s="19">
        <f t="shared" si="255"/>
        <v>485309.81000000006</v>
      </c>
      <c r="K2903" s="50"/>
      <c r="L2903" s="50"/>
      <c r="M2903" s="50"/>
      <c r="N2903" s="19">
        <f>SUMIF('2020'!B:B,B2903,'2020'!C:C)+SUMIF('2021'!B:B,B2903,'2021'!C:C)+SUMIF('2022'!B:B,B2903,'2022'!C:C)</f>
        <v>485309.81000000006</v>
      </c>
      <c r="O2903" s="219">
        <v>44925</v>
      </c>
      <c r="P2903" s="50" t="s">
        <v>3728</v>
      </c>
    </row>
    <row r="2904" spans="1:16" x14ac:dyDescent="0.3">
      <c r="A2904" s="474" t="s">
        <v>211</v>
      </c>
      <c r="B2904" s="475"/>
      <c r="C2904" s="50"/>
      <c r="D2904" s="50"/>
      <c r="E2904" s="48"/>
      <c r="F2904" s="48"/>
      <c r="G2904" s="50"/>
      <c r="H2904" s="48">
        <f>SUM(H2899:H2903)</f>
        <v>9305.6400000000012</v>
      </c>
      <c r="I2904" s="47">
        <f>SUM(I2899:I2903)</f>
        <v>332</v>
      </c>
      <c r="J2904" s="19">
        <f t="shared" si="255"/>
        <v>27918029.449999996</v>
      </c>
      <c r="K2904" s="50">
        <v>0</v>
      </c>
      <c r="L2904" s="50">
        <v>0</v>
      </c>
      <c r="M2904" s="50">
        <v>0</v>
      </c>
      <c r="N2904" s="50">
        <f>SUM(N2899:N2903)</f>
        <v>27918029.449999996</v>
      </c>
      <c r="O2904" s="50"/>
      <c r="P2904" s="50"/>
    </row>
    <row r="2905" spans="1:16" x14ac:dyDescent="0.3">
      <c r="A2905" s="472" t="s">
        <v>2751</v>
      </c>
      <c r="B2905" s="473"/>
      <c r="C2905" s="50"/>
      <c r="D2905" s="51"/>
      <c r="E2905" s="48"/>
      <c r="F2905" s="48"/>
      <c r="G2905" s="50"/>
      <c r="H2905" s="48"/>
      <c r="I2905" s="48"/>
      <c r="J2905" s="19"/>
      <c r="K2905" s="50"/>
      <c r="L2905" s="50"/>
      <c r="M2905" s="50"/>
      <c r="N2905" s="50"/>
      <c r="O2905" s="50"/>
      <c r="P2905" s="50"/>
    </row>
    <row r="2906" spans="1:16" x14ac:dyDescent="0.3">
      <c r="A2906" s="59">
        <f>A2903+1</f>
        <v>2605</v>
      </c>
      <c r="B2906" s="66" t="s">
        <v>2752</v>
      </c>
      <c r="C2906" s="184">
        <v>1969</v>
      </c>
      <c r="D2906" s="51"/>
      <c r="E2906" s="48" t="s">
        <v>3733</v>
      </c>
      <c r="F2906" s="218">
        <v>2</v>
      </c>
      <c r="G2906" s="50"/>
      <c r="H2906" s="48">
        <v>546.1</v>
      </c>
      <c r="I2906" s="218">
        <v>23</v>
      </c>
      <c r="J2906" s="19">
        <f t="shared" si="255"/>
        <v>114612.96</v>
      </c>
      <c r="K2906" s="50"/>
      <c r="L2906" s="50"/>
      <c r="M2906" s="50"/>
      <c r="N2906" s="19">
        <f>SUMIF('2020'!B:B,B2906,'2020'!C:C)+SUMIF('2021'!B:B,B2906,'2021'!C:C)+SUMIF('2022'!B:B,B2906,'2022'!C:C)</f>
        <v>114612.96</v>
      </c>
      <c r="O2906" s="219">
        <v>44925</v>
      </c>
      <c r="P2906" s="48" t="s">
        <v>3728</v>
      </c>
    </row>
    <row r="2907" spans="1:16" x14ac:dyDescent="0.3">
      <c r="A2907" s="59">
        <f>A2906+1</f>
        <v>2606</v>
      </c>
      <c r="B2907" s="66" t="s">
        <v>2753</v>
      </c>
      <c r="C2907" s="184">
        <v>1967</v>
      </c>
      <c r="D2907" s="51"/>
      <c r="E2907" s="48" t="s">
        <v>3733</v>
      </c>
      <c r="F2907" s="218">
        <v>2</v>
      </c>
      <c r="G2907" s="50"/>
      <c r="H2907" s="48">
        <v>596.5</v>
      </c>
      <c r="I2907" s="218">
        <v>41</v>
      </c>
      <c r="J2907" s="19">
        <f t="shared" si="255"/>
        <v>334996.51</v>
      </c>
      <c r="K2907" s="50"/>
      <c r="L2907" s="50"/>
      <c r="M2907" s="50"/>
      <c r="N2907" s="19">
        <f>SUMIF('2020'!B:B,B2907,'2020'!C:C)+SUMIF('2021'!B:B,B2907,'2021'!C:C)+SUMIF('2022'!B:B,B2907,'2022'!C:C)</f>
        <v>334996.51</v>
      </c>
      <c r="O2907" s="219">
        <v>44925</v>
      </c>
      <c r="P2907" s="48" t="s">
        <v>3728</v>
      </c>
    </row>
    <row r="2908" spans="1:16" x14ac:dyDescent="0.3">
      <c r="A2908" s="59">
        <f>A2907+1</f>
        <v>2607</v>
      </c>
      <c r="B2908" s="66" t="s">
        <v>2754</v>
      </c>
      <c r="C2908" s="184">
        <v>1967</v>
      </c>
      <c r="D2908" s="51"/>
      <c r="E2908" s="48" t="s">
        <v>3733</v>
      </c>
      <c r="F2908" s="218">
        <v>2</v>
      </c>
      <c r="G2908" s="50"/>
      <c r="H2908" s="48">
        <v>566.70000000000005</v>
      </c>
      <c r="I2908" s="218">
        <v>26</v>
      </c>
      <c r="J2908" s="19">
        <f t="shared" si="255"/>
        <v>437626.4</v>
      </c>
      <c r="K2908" s="50"/>
      <c r="L2908" s="50"/>
      <c r="M2908" s="50"/>
      <c r="N2908" s="19">
        <f>SUMIF('2020'!B:B,B2908,'2020'!C:C)+SUMIF('2021'!B:B,B2908,'2021'!C:C)+SUMIF('2022'!B:B,B2908,'2022'!C:C)</f>
        <v>437626.4</v>
      </c>
      <c r="O2908" s="219">
        <v>44925</v>
      </c>
      <c r="P2908" s="48" t="s">
        <v>3728</v>
      </c>
    </row>
    <row r="2909" spans="1:16" x14ac:dyDescent="0.3">
      <c r="A2909" s="474" t="s">
        <v>211</v>
      </c>
      <c r="B2909" s="475"/>
      <c r="C2909" s="50"/>
      <c r="D2909" s="50"/>
      <c r="E2909" s="48"/>
      <c r="F2909" s="48"/>
      <c r="G2909" s="50"/>
      <c r="H2909" s="48">
        <f>SUM(H2906:H2908)</f>
        <v>1709.3</v>
      </c>
      <c r="I2909" s="218">
        <f>SUM(I2906:I2908)</f>
        <v>90</v>
      </c>
      <c r="J2909" s="19">
        <f t="shared" si="255"/>
        <v>887235.87000000011</v>
      </c>
      <c r="K2909" s="50">
        <v>0</v>
      </c>
      <c r="L2909" s="50">
        <v>0</v>
      </c>
      <c r="M2909" s="50">
        <v>0</v>
      </c>
      <c r="N2909" s="50">
        <f>SUM(N2906:N2908)</f>
        <v>887235.87000000011</v>
      </c>
      <c r="O2909" s="50"/>
      <c r="P2909" s="50"/>
    </row>
    <row r="2910" spans="1:16" x14ac:dyDescent="0.3">
      <c r="A2910" s="472" t="s">
        <v>2755</v>
      </c>
      <c r="B2910" s="473"/>
      <c r="C2910" s="50"/>
      <c r="D2910" s="51"/>
      <c r="E2910" s="48"/>
      <c r="F2910" s="48"/>
      <c r="G2910" s="50"/>
      <c r="H2910" s="48"/>
      <c r="I2910" s="48"/>
      <c r="J2910" s="19"/>
      <c r="K2910" s="50"/>
      <c r="L2910" s="50"/>
      <c r="M2910" s="50"/>
      <c r="N2910" s="50"/>
      <c r="O2910" s="50"/>
      <c r="P2910" s="50"/>
    </row>
    <row r="2911" spans="1:16" x14ac:dyDescent="0.3">
      <c r="A2911" s="59">
        <f>A2908+1</f>
        <v>2608</v>
      </c>
      <c r="B2911" s="66" t="s">
        <v>2756</v>
      </c>
      <c r="C2911" s="184">
        <v>1975</v>
      </c>
      <c r="D2911" s="51"/>
      <c r="E2911" s="48" t="s">
        <v>3729</v>
      </c>
      <c r="F2911" s="218">
        <v>2</v>
      </c>
      <c r="G2911" s="50"/>
      <c r="H2911" s="48">
        <v>582.61</v>
      </c>
      <c r="I2911" s="218">
        <v>24</v>
      </c>
      <c r="J2911" s="19">
        <f t="shared" si="255"/>
        <v>130000</v>
      </c>
      <c r="K2911" s="50"/>
      <c r="L2911" s="50"/>
      <c r="M2911" s="50"/>
      <c r="N2911" s="19">
        <f>SUMIF('2020'!B:B,B2911,'2020'!C:C)+SUMIF('2021'!B:B,B2911,'2021'!C:C)+SUMIF('2022'!B:B,B2911,'2022'!C:C)</f>
        <v>130000</v>
      </c>
      <c r="O2911" s="219">
        <v>44925</v>
      </c>
      <c r="P2911" s="48" t="s">
        <v>3728</v>
      </c>
    </row>
    <row r="2912" spans="1:16" x14ac:dyDescent="0.3">
      <c r="A2912" s="59">
        <f>A2911+1</f>
        <v>2609</v>
      </c>
      <c r="B2912" s="66" t="s">
        <v>2757</v>
      </c>
      <c r="C2912" s="184">
        <v>1983</v>
      </c>
      <c r="D2912" s="51"/>
      <c r="E2912" s="48" t="s">
        <v>3729</v>
      </c>
      <c r="F2912" s="218">
        <v>4</v>
      </c>
      <c r="G2912" s="50"/>
      <c r="H2912" s="48">
        <v>5140.7</v>
      </c>
      <c r="I2912" s="218">
        <v>112</v>
      </c>
      <c r="J2912" s="19">
        <f t="shared" si="255"/>
        <v>130000</v>
      </c>
      <c r="K2912" s="50"/>
      <c r="L2912" s="50"/>
      <c r="M2912" s="50"/>
      <c r="N2912" s="19">
        <f>SUMIF('2020'!B:B,B2912,'2020'!C:C)+SUMIF('2021'!B:B,B2912,'2021'!C:C)+SUMIF('2022'!B:B,B2912,'2022'!C:C)</f>
        <v>130000</v>
      </c>
      <c r="O2912" s="219">
        <v>44925</v>
      </c>
      <c r="P2912" s="48" t="s">
        <v>3728</v>
      </c>
    </row>
    <row r="2913" spans="1:16" x14ac:dyDescent="0.3">
      <c r="A2913" s="59">
        <f>A2912+1</f>
        <v>2610</v>
      </c>
      <c r="B2913" s="66" t="s">
        <v>2758</v>
      </c>
      <c r="C2913" s="184">
        <v>1971</v>
      </c>
      <c r="D2913" s="51"/>
      <c r="E2913" s="48" t="s">
        <v>3733</v>
      </c>
      <c r="F2913" s="218">
        <v>2</v>
      </c>
      <c r="G2913" s="50"/>
      <c r="H2913" s="48">
        <v>1273</v>
      </c>
      <c r="I2913" s="218">
        <v>25</v>
      </c>
      <c r="J2913" s="19">
        <f t="shared" si="255"/>
        <v>2377029.6</v>
      </c>
      <c r="K2913" s="50"/>
      <c r="L2913" s="50"/>
      <c r="M2913" s="50"/>
      <c r="N2913" s="19">
        <f>SUMIF('2020'!B:B,B2913,'2020'!C:C)+SUMIF('2021'!B:B,B2913,'2021'!C:C)+SUMIF('2022'!B:B,B2913,'2022'!C:C)</f>
        <v>2377029.6</v>
      </c>
      <c r="O2913" s="219">
        <v>44925</v>
      </c>
      <c r="P2913" s="48" t="s">
        <v>3728</v>
      </c>
    </row>
    <row r="2914" spans="1:16" x14ac:dyDescent="0.3">
      <c r="A2914" s="59">
        <f>A2913+1</f>
        <v>2611</v>
      </c>
      <c r="B2914" s="66" t="s">
        <v>2759</v>
      </c>
      <c r="C2914" s="184">
        <v>1989</v>
      </c>
      <c r="D2914" s="51"/>
      <c r="E2914" s="48" t="s">
        <v>4090</v>
      </c>
      <c r="F2914" s="218">
        <v>2</v>
      </c>
      <c r="G2914" s="50"/>
      <c r="H2914" s="48">
        <v>499.7</v>
      </c>
      <c r="I2914" s="218">
        <v>17</v>
      </c>
      <c r="J2914" s="19">
        <f t="shared" si="255"/>
        <v>523267</v>
      </c>
      <c r="K2914" s="50"/>
      <c r="L2914" s="50"/>
      <c r="M2914" s="50"/>
      <c r="N2914" s="19">
        <f>SUMIF('2020'!B:B,B2914,'2020'!C:C)+SUMIF('2021'!B:B,B2914,'2021'!C:C)+SUMIF('2022'!B:B,B2914,'2022'!C:C)</f>
        <v>523267</v>
      </c>
      <c r="O2914" s="219">
        <v>44925</v>
      </c>
      <c r="P2914" s="48" t="s">
        <v>3728</v>
      </c>
    </row>
    <row r="2915" spans="1:16" x14ac:dyDescent="0.3">
      <c r="A2915" s="474" t="s">
        <v>211</v>
      </c>
      <c r="B2915" s="475"/>
      <c r="C2915" s="50"/>
      <c r="D2915" s="50"/>
      <c r="E2915" s="48"/>
      <c r="F2915" s="48"/>
      <c r="G2915" s="50"/>
      <c r="H2915" s="48">
        <f>SUM(H2911:H2914)</f>
        <v>7496.0099999999993</v>
      </c>
      <c r="I2915" s="218">
        <f>SUM(I2911:I2914)</f>
        <v>178</v>
      </c>
      <c r="J2915" s="19">
        <f t="shared" si="255"/>
        <v>3160296.6</v>
      </c>
      <c r="K2915" s="50">
        <v>0</v>
      </c>
      <c r="L2915" s="50">
        <v>0</v>
      </c>
      <c r="M2915" s="50">
        <v>0</v>
      </c>
      <c r="N2915" s="50">
        <f>SUM(N2911:N2914)</f>
        <v>3160296.6</v>
      </c>
      <c r="O2915" s="50"/>
      <c r="P2915" s="50"/>
    </row>
    <row r="2916" spans="1:16" x14ac:dyDescent="0.3">
      <c r="A2916" s="472" t="s">
        <v>2760</v>
      </c>
      <c r="B2916" s="473"/>
      <c r="C2916" s="50"/>
      <c r="D2916" s="51"/>
      <c r="E2916" s="48"/>
      <c r="F2916" s="48"/>
      <c r="G2916" s="50"/>
      <c r="H2916" s="48"/>
      <c r="I2916" s="48"/>
      <c r="J2916" s="19"/>
      <c r="K2916" s="50"/>
      <c r="L2916" s="50"/>
      <c r="M2916" s="50"/>
      <c r="N2916" s="50"/>
      <c r="O2916" s="50"/>
      <c r="P2916" s="50"/>
    </row>
    <row r="2917" spans="1:16" x14ac:dyDescent="0.3">
      <c r="A2917" s="59">
        <f>A2914+1</f>
        <v>2612</v>
      </c>
      <c r="B2917" s="66" t="s">
        <v>2761</v>
      </c>
      <c r="C2917" s="184">
        <v>1968</v>
      </c>
      <c r="D2917" s="51"/>
      <c r="E2917" s="48" t="s">
        <v>3733</v>
      </c>
      <c r="F2917" s="218">
        <v>5</v>
      </c>
      <c r="G2917" s="50"/>
      <c r="H2917" s="48">
        <v>3348.72</v>
      </c>
      <c r="I2917" s="218">
        <v>104</v>
      </c>
      <c r="J2917" s="19">
        <f t="shared" si="255"/>
        <v>305138.77</v>
      </c>
      <c r="K2917" s="50"/>
      <c r="L2917" s="50"/>
      <c r="M2917" s="50"/>
      <c r="N2917" s="19">
        <f>SUMIF('2020'!B:B,B2917,'2020'!C:C)+SUMIF('2021'!B:B,B2917,'2021'!C:C)+SUMIF('2022'!B:B,B2917,'2022'!C:C)</f>
        <v>305138.77</v>
      </c>
      <c r="O2917" s="219">
        <v>44925</v>
      </c>
      <c r="P2917" s="48" t="s">
        <v>2042</v>
      </c>
    </row>
    <row r="2918" spans="1:16" x14ac:dyDescent="0.3">
      <c r="A2918" s="59">
        <f>A2917+1</f>
        <v>2613</v>
      </c>
      <c r="B2918" s="66" t="s">
        <v>2762</v>
      </c>
      <c r="C2918" s="184">
        <v>1950</v>
      </c>
      <c r="D2918" s="51"/>
      <c r="E2918" s="48" t="s">
        <v>4090</v>
      </c>
      <c r="F2918" s="218">
        <v>2</v>
      </c>
      <c r="G2918" s="50"/>
      <c r="H2918" s="48">
        <v>408.2</v>
      </c>
      <c r="I2918" s="218">
        <v>11</v>
      </c>
      <c r="J2918" s="19">
        <f t="shared" si="255"/>
        <v>534602.82000000007</v>
      </c>
      <c r="K2918" s="50"/>
      <c r="L2918" s="50"/>
      <c r="M2918" s="50"/>
      <c r="N2918" s="19">
        <f>SUMIF('2020'!B:B,B2918,'2020'!C:C)+SUMIF('2021'!B:B,B2918,'2021'!C:C)+SUMIF('2022'!B:B,B2918,'2022'!C:C)</f>
        <v>534602.82000000007</v>
      </c>
      <c r="O2918" s="219">
        <v>44925</v>
      </c>
      <c r="P2918" s="48" t="s">
        <v>3728</v>
      </c>
    </row>
    <row r="2919" spans="1:16" x14ac:dyDescent="0.3">
      <c r="A2919" s="59">
        <f>A2918+1</f>
        <v>2614</v>
      </c>
      <c r="B2919" s="66" t="s">
        <v>2763</v>
      </c>
      <c r="C2919" s="184">
        <v>1940</v>
      </c>
      <c r="D2919" s="51"/>
      <c r="E2919" s="48" t="s">
        <v>3733</v>
      </c>
      <c r="F2919" s="218">
        <v>2</v>
      </c>
      <c r="G2919" s="50"/>
      <c r="H2919" s="48">
        <v>265.10000000000002</v>
      </c>
      <c r="I2919" s="218">
        <v>12</v>
      </c>
      <c r="J2919" s="19">
        <f t="shared" si="255"/>
        <v>1449226.79</v>
      </c>
      <c r="K2919" s="50"/>
      <c r="L2919" s="50"/>
      <c r="M2919" s="50"/>
      <c r="N2919" s="19">
        <f>SUMIF('2020'!B:B,B2919,'2020'!C:C)+SUMIF('2021'!B:B,B2919,'2021'!C:C)+SUMIF('2022'!B:B,B2919,'2022'!C:C)</f>
        <v>1449226.79</v>
      </c>
      <c r="O2919" s="219">
        <v>44925</v>
      </c>
      <c r="P2919" s="48" t="s">
        <v>3728</v>
      </c>
    </row>
    <row r="2920" spans="1:16" x14ac:dyDescent="0.3">
      <c r="A2920" s="59">
        <f>A2919+1</f>
        <v>2615</v>
      </c>
      <c r="B2920" s="66" t="s">
        <v>2764</v>
      </c>
      <c r="C2920" s="184">
        <v>1940</v>
      </c>
      <c r="D2920" s="51"/>
      <c r="E2920" s="48" t="s">
        <v>3733</v>
      </c>
      <c r="F2920" s="218">
        <v>2</v>
      </c>
      <c r="G2920" s="50"/>
      <c r="H2920" s="48">
        <v>635</v>
      </c>
      <c r="I2920" s="218">
        <v>14</v>
      </c>
      <c r="J2920" s="19">
        <f t="shared" si="255"/>
        <v>1252659.32</v>
      </c>
      <c r="K2920" s="50"/>
      <c r="L2920" s="50"/>
      <c r="M2920" s="50"/>
      <c r="N2920" s="19">
        <f>SUMIF('2020'!B:B,B2920,'2020'!C:C)+SUMIF('2021'!B:B,B2920,'2021'!C:C)+SUMIF('2022'!B:B,B2920,'2022'!C:C)</f>
        <v>1252659.32</v>
      </c>
      <c r="O2920" s="219">
        <v>44925</v>
      </c>
      <c r="P2920" s="48" t="s">
        <v>3728</v>
      </c>
    </row>
    <row r="2921" spans="1:16" x14ac:dyDescent="0.3">
      <c r="A2921" s="474" t="s">
        <v>211</v>
      </c>
      <c r="B2921" s="475"/>
      <c r="C2921" s="50"/>
      <c r="D2921" s="50"/>
      <c r="E2921" s="48"/>
      <c r="F2921" s="48"/>
      <c r="G2921" s="50"/>
      <c r="H2921" s="48">
        <f>SUM(H2917:H2920)</f>
        <v>4657.0199999999995</v>
      </c>
      <c r="I2921" s="218">
        <f t="shared" ref="I2921:N2921" si="257">SUM(I2917:I2920)</f>
        <v>141</v>
      </c>
      <c r="J2921" s="19">
        <f t="shared" si="255"/>
        <v>3541627.7</v>
      </c>
      <c r="K2921" s="48">
        <v>0</v>
      </c>
      <c r="L2921" s="48">
        <v>0</v>
      </c>
      <c r="M2921" s="48">
        <v>0</v>
      </c>
      <c r="N2921" s="48">
        <f t="shared" si="257"/>
        <v>3541627.7</v>
      </c>
      <c r="O2921" s="50"/>
      <c r="P2921" s="50"/>
    </row>
    <row r="2922" spans="1:16" x14ac:dyDescent="0.3">
      <c r="A2922" s="472" t="s">
        <v>2765</v>
      </c>
      <c r="B2922" s="473"/>
      <c r="C2922" s="50"/>
      <c r="D2922" s="51"/>
      <c r="E2922" s="48"/>
      <c r="F2922" s="48"/>
      <c r="G2922" s="50"/>
      <c r="H2922" s="48"/>
      <c r="I2922" s="48"/>
      <c r="J2922" s="19"/>
      <c r="K2922" s="50"/>
      <c r="L2922" s="50"/>
      <c r="M2922" s="50"/>
      <c r="N2922" s="50"/>
      <c r="O2922" s="50"/>
      <c r="P2922" s="50"/>
    </row>
    <row r="2923" spans="1:16" x14ac:dyDescent="0.3">
      <c r="A2923" s="59">
        <f>A2920+1</f>
        <v>2616</v>
      </c>
      <c r="B2923" s="66" t="s">
        <v>2766</v>
      </c>
      <c r="C2923" s="184">
        <v>1971</v>
      </c>
      <c r="D2923" s="51"/>
      <c r="E2923" s="48" t="s">
        <v>3733</v>
      </c>
      <c r="F2923" s="218">
        <v>2</v>
      </c>
      <c r="G2923" s="50"/>
      <c r="H2923" s="48">
        <v>882</v>
      </c>
      <c r="I2923" s="218">
        <v>45</v>
      </c>
      <c r="J2923" s="19">
        <f t="shared" si="255"/>
        <v>91894.28</v>
      </c>
      <c r="K2923" s="50"/>
      <c r="L2923" s="50"/>
      <c r="M2923" s="50"/>
      <c r="N2923" s="19">
        <f>SUMIF('2020'!B:B,B2923,'2020'!C:C)+SUMIF('2021'!B:B,B2923,'2021'!C:C)+SUMIF('2022'!B:B,B2923,'2022'!C:C)</f>
        <v>91894.28</v>
      </c>
      <c r="O2923" s="219">
        <v>44925</v>
      </c>
      <c r="P2923" s="48" t="s">
        <v>3728</v>
      </c>
    </row>
    <row r="2924" spans="1:16" x14ac:dyDescent="0.3">
      <c r="A2924" s="59">
        <f t="shared" ref="A2924:A2934" si="258">A2923+1</f>
        <v>2617</v>
      </c>
      <c r="B2924" s="66" t="s">
        <v>2767</v>
      </c>
      <c r="C2924" s="184">
        <v>1970</v>
      </c>
      <c r="D2924" s="51"/>
      <c r="E2924" s="48" t="s">
        <v>3733</v>
      </c>
      <c r="F2924" s="218">
        <v>2</v>
      </c>
      <c r="G2924" s="50"/>
      <c r="H2924" s="48">
        <v>862</v>
      </c>
      <c r="I2924" s="218">
        <v>29</v>
      </c>
      <c r="J2924" s="19">
        <f t="shared" si="255"/>
        <v>315941.87</v>
      </c>
      <c r="K2924" s="50"/>
      <c r="L2924" s="50"/>
      <c r="M2924" s="50"/>
      <c r="N2924" s="19">
        <f>SUMIF('2020'!B:B,B2924,'2020'!C:C)+SUMIF('2021'!B:B,B2924,'2021'!C:C)+SUMIF('2022'!B:B,B2924,'2022'!C:C)</f>
        <v>315941.87</v>
      </c>
      <c r="O2924" s="219">
        <v>44925</v>
      </c>
      <c r="P2924" s="48" t="s">
        <v>3728</v>
      </c>
    </row>
    <row r="2925" spans="1:16" x14ac:dyDescent="0.3">
      <c r="A2925" s="59">
        <f t="shared" si="258"/>
        <v>2618</v>
      </c>
      <c r="B2925" s="66" t="s">
        <v>2768</v>
      </c>
      <c r="C2925" s="184">
        <v>1971</v>
      </c>
      <c r="D2925" s="51"/>
      <c r="E2925" s="48" t="s">
        <v>3733</v>
      </c>
      <c r="F2925" s="218">
        <v>2</v>
      </c>
      <c r="G2925" s="50"/>
      <c r="H2925" s="48">
        <v>885</v>
      </c>
      <c r="I2925" s="218">
        <v>30</v>
      </c>
      <c r="J2925" s="19">
        <f t="shared" si="255"/>
        <v>116184.34</v>
      </c>
      <c r="K2925" s="50"/>
      <c r="L2925" s="50"/>
      <c r="M2925" s="50"/>
      <c r="N2925" s="19">
        <f>SUMIF('2020'!B:B,B2925,'2020'!C:C)+SUMIF('2021'!B:B,B2925,'2021'!C:C)+SUMIF('2022'!B:B,B2925,'2022'!C:C)</f>
        <v>116184.34</v>
      </c>
      <c r="O2925" s="219">
        <v>44925</v>
      </c>
      <c r="P2925" s="48" t="s">
        <v>3728</v>
      </c>
    </row>
    <row r="2926" spans="1:16" x14ac:dyDescent="0.3">
      <c r="A2926" s="59">
        <f t="shared" si="258"/>
        <v>2619</v>
      </c>
      <c r="B2926" s="66" t="s">
        <v>2769</v>
      </c>
      <c r="C2926" s="184">
        <v>1971</v>
      </c>
      <c r="D2926" s="51"/>
      <c r="E2926" s="48" t="s">
        <v>3733</v>
      </c>
      <c r="F2926" s="218">
        <v>2</v>
      </c>
      <c r="G2926" s="50"/>
      <c r="H2926" s="48">
        <v>734</v>
      </c>
      <c r="I2926" s="218">
        <v>22</v>
      </c>
      <c r="J2926" s="19">
        <f t="shared" si="255"/>
        <v>307214.63</v>
      </c>
      <c r="K2926" s="50"/>
      <c r="L2926" s="50"/>
      <c r="M2926" s="50"/>
      <c r="N2926" s="19">
        <f>SUMIF('2020'!B:B,B2926,'2020'!C:C)+SUMIF('2021'!B:B,B2926,'2021'!C:C)+SUMIF('2022'!B:B,B2926,'2022'!C:C)</f>
        <v>307214.63</v>
      </c>
      <c r="O2926" s="219">
        <v>44925</v>
      </c>
      <c r="P2926" s="48" t="s">
        <v>3728</v>
      </c>
    </row>
    <row r="2927" spans="1:16" x14ac:dyDescent="0.3">
      <c r="A2927" s="59">
        <f t="shared" si="258"/>
        <v>2620</v>
      </c>
      <c r="B2927" s="66" t="s">
        <v>2770</v>
      </c>
      <c r="C2927" s="184">
        <v>1970</v>
      </c>
      <c r="D2927" s="51"/>
      <c r="E2927" s="48" t="s">
        <v>3733</v>
      </c>
      <c r="F2927" s="218">
        <v>2</v>
      </c>
      <c r="G2927" s="50"/>
      <c r="H2927" s="48">
        <v>736</v>
      </c>
      <c r="I2927" s="218">
        <v>31</v>
      </c>
      <c r="J2927" s="19">
        <f t="shared" si="255"/>
        <v>309273.20999999996</v>
      </c>
      <c r="K2927" s="50"/>
      <c r="L2927" s="50"/>
      <c r="M2927" s="50"/>
      <c r="N2927" s="19">
        <f>SUMIF('2020'!B:B,B2927,'2020'!C:C)+SUMIF('2021'!B:B,B2927,'2021'!C:C)+SUMIF('2022'!B:B,B2927,'2022'!C:C)</f>
        <v>309273.20999999996</v>
      </c>
      <c r="O2927" s="219">
        <v>44925</v>
      </c>
      <c r="P2927" s="48" t="s">
        <v>3728</v>
      </c>
    </row>
    <row r="2928" spans="1:16" x14ac:dyDescent="0.3">
      <c r="A2928" s="59">
        <f t="shared" si="258"/>
        <v>2621</v>
      </c>
      <c r="B2928" s="66" t="s">
        <v>2771</v>
      </c>
      <c r="C2928" s="184">
        <v>1970</v>
      </c>
      <c r="D2928" s="51"/>
      <c r="E2928" s="48" t="s">
        <v>3733</v>
      </c>
      <c r="F2928" s="218">
        <v>2</v>
      </c>
      <c r="G2928" s="50"/>
      <c r="H2928" s="48">
        <v>739</v>
      </c>
      <c r="I2928" s="218">
        <v>29</v>
      </c>
      <c r="J2928" s="19">
        <f t="shared" si="255"/>
        <v>306226</v>
      </c>
      <c r="K2928" s="50"/>
      <c r="L2928" s="50"/>
      <c r="M2928" s="50"/>
      <c r="N2928" s="19">
        <f>SUMIF('2020'!B:B,B2928,'2020'!C:C)+SUMIF('2021'!B:B,B2928,'2021'!C:C)+SUMIF('2022'!B:B,B2928,'2022'!C:C)</f>
        <v>306226</v>
      </c>
      <c r="O2928" s="219">
        <v>44925</v>
      </c>
      <c r="P2928" s="48" t="s">
        <v>3728</v>
      </c>
    </row>
    <row r="2929" spans="1:16" x14ac:dyDescent="0.3">
      <c r="A2929" s="59">
        <f t="shared" si="258"/>
        <v>2622</v>
      </c>
      <c r="B2929" s="66" t="s">
        <v>2772</v>
      </c>
      <c r="C2929" s="184">
        <v>1975</v>
      </c>
      <c r="D2929" s="51"/>
      <c r="E2929" s="48" t="s">
        <v>3729</v>
      </c>
      <c r="F2929" s="218">
        <v>5</v>
      </c>
      <c r="G2929" s="50"/>
      <c r="H2929" s="48">
        <v>4423</v>
      </c>
      <c r="I2929" s="218">
        <v>224</v>
      </c>
      <c r="J2929" s="19">
        <f t="shared" si="255"/>
        <v>1230127.02</v>
      </c>
      <c r="K2929" s="50"/>
      <c r="L2929" s="50"/>
      <c r="M2929" s="50"/>
      <c r="N2929" s="19">
        <f>SUMIF('2020'!B:B,B2929,'2020'!C:C)+SUMIF('2021'!B:B,B2929,'2021'!C:C)+SUMIF('2022'!B:B,B2929,'2022'!C:C)</f>
        <v>1230127.02</v>
      </c>
      <c r="O2929" s="219">
        <v>44925</v>
      </c>
      <c r="P2929" s="48" t="s">
        <v>3728</v>
      </c>
    </row>
    <row r="2930" spans="1:16" x14ac:dyDescent="0.3">
      <c r="A2930" s="59">
        <f t="shared" si="258"/>
        <v>2623</v>
      </c>
      <c r="B2930" s="66" t="s">
        <v>2773</v>
      </c>
      <c r="C2930" s="184">
        <v>1978</v>
      </c>
      <c r="D2930" s="51"/>
      <c r="E2930" s="48" t="s">
        <v>3733</v>
      </c>
      <c r="F2930" s="218">
        <v>3</v>
      </c>
      <c r="G2930" s="50"/>
      <c r="H2930" s="48">
        <v>1330</v>
      </c>
      <c r="I2930" s="218">
        <v>63</v>
      </c>
      <c r="J2930" s="19">
        <f t="shared" si="255"/>
        <v>617906.37</v>
      </c>
      <c r="K2930" s="50"/>
      <c r="L2930" s="50"/>
      <c r="M2930" s="50"/>
      <c r="N2930" s="19">
        <f>SUMIF('2020'!B:B,B2930,'2020'!C:C)+SUMIF('2021'!B:B,B2930,'2021'!C:C)+SUMIF('2022'!B:B,B2930,'2022'!C:C)</f>
        <v>617906.37</v>
      </c>
      <c r="O2930" s="219">
        <v>44925</v>
      </c>
      <c r="P2930" s="48" t="s">
        <v>3728</v>
      </c>
    </row>
    <row r="2931" spans="1:16" x14ac:dyDescent="0.3">
      <c r="A2931" s="59">
        <f t="shared" si="258"/>
        <v>2624</v>
      </c>
      <c r="B2931" s="66" t="s">
        <v>2774</v>
      </c>
      <c r="C2931" s="184">
        <v>1985</v>
      </c>
      <c r="D2931" s="51"/>
      <c r="E2931" s="48" t="s">
        <v>4117</v>
      </c>
      <c r="F2931" s="218">
        <v>2</v>
      </c>
      <c r="G2931" s="50"/>
      <c r="H2931" s="48">
        <v>196.4</v>
      </c>
      <c r="I2931" s="218">
        <v>7</v>
      </c>
      <c r="J2931" s="19">
        <f t="shared" si="255"/>
        <v>2367641.36</v>
      </c>
      <c r="K2931" s="50"/>
      <c r="L2931" s="50"/>
      <c r="M2931" s="50"/>
      <c r="N2931" s="19">
        <f>SUMIF('2020'!B:B,B2931,'2020'!C:C)+SUMIF('2021'!B:B,B2931,'2021'!C:C)+SUMIF('2022'!B:B,B2931,'2022'!C:C)</f>
        <v>2367641.36</v>
      </c>
      <c r="O2931" s="219">
        <v>44925</v>
      </c>
      <c r="P2931" s="48" t="s">
        <v>3728</v>
      </c>
    </row>
    <row r="2932" spans="1:16" x14ac:dyDescent="0.3">
      <c r="A2932" s="59">
        <f t="shared" si="258"/>
        <v>2625</v>
      </c>
      <c r="B2932" s="66" t="s">
        <v>2775</v>
      </c>
      <c r="C2932" s="184">
        <v>1964</v>
      </c>
      <c r="D2932" s="51"/>
      <c r="E2932" s="48" t="s">
        <v>4117</v>
      </c>
      <c r="F2932" s="218">
        <v>2</v>
      </c>
      <c r="G2932" s="50"/>
      <c r="H2932" s="48">
        <v>589.5</v>
      </c>
      <c r="I2932" s="218">
        <v>29</v>
      </c>
      <c r="J2932" s="19">
        <f t="shared" si="255"/>
        <v>737712</v>
      </c>
      <c r="K2932" s="50"/>
      <c r="L2932" s="50"/>
      <c r="M2932" s="50"/>
      <c r="N2932" s="19">
        <f>SUMIF('2020'!B:B,B2932,'2020'!C:C)+SUMIF('2021'!B:B,B2932,'2021'!C:C)+SUMIF('2022'!B:B,B2932,'2022'!C:C)</f>
        <v>737712</v>
      </c>
      <c r="O2932" s="219">
        <v>44925</v>
      </c>
      <c r="P2932" s="48" t="s">
        <v>3728</v>
      </c>
    </row>
    <row r="2933" spans="1:16" x14ac:dyDescent="0.3">
      <c r="A2933" s="59">
        <f t="shared" si="258"/>
        <v>2626</v>
      </c>
      <c r="B2933" s="66" t="s">
        <v>2776</v>
      </c>
      <c r="C2933" s="184">
        <v>1962</v>
      </c>
      <c r="D2933" s="51"/>
      <c r="E2933" s="48" t="s">
        <v>4117</v>
      </c>
      <c r="F2933" s="218">
        <v>2</v>
      </c>
      <c r="G2933" s="50"/>
      <c r="H2933" s="48">
        <v>406.2</v>
      </c>
      <c r="I2933" s="218">
        <v>29</v>
      </c>
      <c r="J2933" s="19">
        <f t="shared" si="255"/>
        <v>364813.2</v>
      </c>
      <c r="K2933" s="50"/>
      <c r="L2933" s="50"/>
      <c r="M2933" s="50"/>
      <c r="N2933" s="19">
        <f>SUMIF('2020'!B:B,B2933,'2020'!C:C)+SUMIF('2021'!B:B,B2933,'2021'!C:C)+SUMIF('2022'!B:B,B2933,'2022'!C:C)</f>
        <v>364813.2</v>
      </c>
      <c r="O2933" s="219">
        <v>44925</v>
      </c>
      <c r="P2933" s="48" t="s">
        <v>3728</v>
      </c>
    </row>
    <row r="2934" spans="1:16" x14ac:dyDescent="0.3">
      <c r="A2934" s="59">
        <f t="shared" si="258"/>
        <v>2627</v>
      </c>
      <c r="B2934" s="66" t="s">
        <v>2777</v>
      </c>
      <c r="C2934" s="184">
        <v>1940</v>
      </c>
      <c r="D2934" s="51"/>
      <c r="E2934" s="48" t="s">
        <v>4117</v>
      </c>
      <c r="F2934" s="218">
        <v>2</v>
      </c>
      <c r="G2934" s="50"/>
      <c r="H2934" s="48">
        <v>324</v>
      </c>
      <c r="I2934" s="218">
        <v>14</v>
      </c>
      <c r="J2934" s="19">
        <f t="shared" si="255"/>
        <v>204020.46</v>
      </c>
      <c r="K2934" s="50"/>
      <c r="L2934" s="50"/>
      <c r="M2934" s="50"/>
      <c r="N2934" s="19">
        <f>SUMIF('2020'!B:B,B2934,'2020'!C:C)+SUMIF('2021'!B:B,B2934,'2021'!C:C)+SUMIF('2022'!B:B,B2934,'2022'!C:C)</f>
        <v>204020.46</v>
      </c>
      <c r="O2934" s="219">
        <v>44925</v>
      </c>
      <c r="P2934" s="48" t="s">
        <v>3728</v>
      </c>
    </row>
    <row r="2935" spans="1:16" x14ac:dyDescent="0.3">
      <c r="A2935" s="474" t="s">
        <v>211</v>
      </c>
      <c r="B2935" s="475"/>
      <c r="C2935" s="50"/>
      <c r="D2935" s="50"/>
      <c r="E2935" s="48"/>
      <c r="F2935" s="48"/>
      <c r="G2935" s="50"/>
      <c r="H2935" s="48">
        <f>SUM(H2923:H2934)</f>
        <v>12107.1</v>
      </c>
      <c r="I2935" s="218">
        <f t="shared" ref="I2935:N2935" si="259">SUM(I2923:I2934)</f>
        <v>552</v>
      </c>
      <c r="J2935" s="19">
        <f t="shared" si="255"/>
        <v>6968954.7400000002</v>
      </c>
      <c r="K2935" s="48">
        <v>0</v>
      </c>
      <c r="L2935" s="48">
        <v>0</v>
      </c>
      <c r="M2935" s="48">
        <v>0</v>
      </c>
      <c r="N2935" s="48">
        <f t="shared" si="259"/>
        <v>6968954.7400000002</v>
      </c>
      <c r="O2935" s="50"/>
      <c r="P2935" s="50"/>
    </row>
    <row r="2936" spans="1:16" x14ac:dyDescent="0.3">
      <c r="A2936" s="472" t="s">
        <v>2778</v>
      </c>
      <c r="B2936" s="473"/>
      <c r="C2936" s="50"/>
      <c r="D2936" s="51"/>
      <c r="E2936" s="48"/>
      <c r="F2936" s="48"/>
      <c r="G2936" s="50"/>
      <c r="H2936" s="48"/>
      <c r="I2936" s="48"/>
      <c r="J2936" s="19"/>
      <c r="K2936" s="50"/>
      <c r="L2936" s="50"/>
      <c r="M2936" s="50"/>
      <c r="N2936" s="50"/>
      <c r="O2936" s="50"/>
      <c r="P2936" s="50"/>
    </row>
    <row r="2937" spans="1:16" x14ac:dyDescent="0.3">
      <c r="A2937" s="59">
        <f>A2934+1</f>
        <v>2628</v>
      </c>
      <c r="B2937" s="66" t="s">
        <v>2779</v>
      </c>
      <c r="C2937" s="184">
        <v>1949</v>
      </c>
      <c r="D2937" s="51"/>
      <c r="E2937" s="48" t="s">
        <v>3646</v>
      </c>
      <c r="F2937" s="218">
        <v>2</v>
      </c>
      <c r="G2937" s="50"/>
      <c r="H2937" s="48">
        <v>234.76</v>
      </c>
      <c r="I2937" s="218">
        <v>10</v>
      </c>
      <c r="J2937" s="19">
        <f t="shared" si="255"/>
        <v>143568.54</v>
      </c>
      <c r="K2937" s="50"/>
      <c r="L2937" s="50"/>
      <c r="M2937" s="50"/>
      <c r="N2937" s="19">
        <f>SUMIF('2020'!B:B,B2937,'2020'!C:C)+SUMIF('2021'!B:B,B2937,'2021'!C:C)+SUMIF('2022'!B:B,B2937,'2022'!C:C)</f>
        <v>143568.54</v>
      </c>
      <c r="O2937" s="219">
        <v>44925</v>
      </c>
      <c r="P2937" s="48" t="s">
        <v>3728</v>
      </c>
    </row>
    <row r="2938" spans="1:16" x14ac:dyDescent="0.3">
      <c r="A2938" s="59">
        <f t="shared" ref="A2938:A2973" si="260">A2937+1</f>
        <v>2629</v>
      </c>
      <c r="B2938" s="66" t="s">
        <v>2780</v>
      </c>
      <c r="C2938" s="184">
        <v>1949</v>
      </c>
      <c r="D2938" s="51"/>
      <c r="E2938" s="48" t="s">
        <v>3646</v>
      </c>
      <c r="F2938" s="218">
        <v>2</v>
      </c>
      <c r="G2938" s="50"/>
      <c r="H2938" s="48">
        <v>234.76</v>
      </c>
      <c r="I2938" s="218">
        <v>16</v>
      </c>
      <c r="J2938" s="19">
        <f t="shared" si="255"/>
        <v>143876.62</v>
      </c>
      <c r="K2938" s="50"/>
      <c r="L2938" s="50"/>
      <c r="M2938" s="50"/>
      <c r="N2938" s="19">
        <f>SUMIF('2020'!B:B,B2938,'2020'!C:C)+SUMIF('2021'!B:B,B2938,'2021'!C:C)+SUMIF('2022'!B:B,B2938,'2022'!C:C)</f>
        <v>143876.62</v>
      </c>
      <c r="O2938" s="219">
        <v>44925</v>
      </c>
      <c r="P2938" s="48" t="s">
        <v>3728</v>
      </c>
    </row>
    <row r="2939" spans="1:16" x14ac:dyDescent="0.3">
      <c r="A2939" s="59">
        <f t="shared" si="260"/>
        <v>2630</v>
      </c>
      <c r="B2939" s="66" t="s">
        <v>2781</v>
      </c>
      <c r="C2939" s="184">
        <v>1950</v>
      </c>
      <c r="D2939" s="51"/>
      <c r="E2939" s="48" t="s">
        <v>3646</v>
      </c>
      <c r="F2939" s="218">
        <v>2</v>
      </c>
      <c r="G2939" s="50"/>
      <c r="H2939" s="48">
        <v>215.62</v>
      </c>
      <c r="I2939" s="218">
        <v>9</v>
      </c>
      <c r="J2939" s="19">
        <f t="shared" si="255"/>
        <v>143106.43</v>
      </c>
      <c r="K2939" s="50"/>
      <c r="L2939" s="50"/>
      <c r="M2939" s="50"/>
      <c r="N2939" s="19">
        <f>SUMIF('2020'!B:B,B2939,'2020'!C:C)+SUMIF('2021'!B:B,B2939,'2021'!C:C)+SUMIF('2022'!B:B,B2939,'2022'!C:C)</f>
        <v>143106.43</v>
      </c>
      <c r="O2939" s="219">
        <v>44925</v>
      </c>
      <c r="P2939" s="48" t="s">
        <v>3728</v>
      </c>
    </row>
    <row r="2940" spans="1:16" x14ac:dyDescent="0.3">
      <c r="A2940" s="59">
        <f t="shared" si="260"/>
        <v>2631</v>
      </c>
      <c r="B2940" s="66" t="s">
        <v>2782</v>
      </c>
      <c r="C2940" s="184">
        <v>1950</v>
      </c>
      <c r="D2940" s="51"/>
      <c r="E2940" s="48" t="s">
        <v>3646</v>
      </c>
      <c r="F2940" s="218">
        <v>2</v>
      </c>
      <c r="G2940" s="50"/>
      <c r="H2940" s="48">
        <v>218.3</v>
      </c>
      <c r="I2940" s="218">
        <v>11</v>
      </c>
      <c r="J2940" s="19">
        <f t="shared" si="255"/>
        <v>144107.69</v>
      </c>
      <c r="K2940" s="50"/>
      <c r="L2940" s="50"/>
      <c r="M2940" s="50"/>
      <c r="N2940" s="19">
        <f>SUMIF('2020'!B:B,B2940,'2020'!C:C)+SUMIF('2021'!B:B,B2940,'2021'!C:C)+SUMIF('2022'!B:B,B2940,'2022'!C:C)</f>
        <v>144107.69</v>
      </c>
      <c r="O2940" s="219">
        <v>44925</v>
      </c>
      <c r="P2940" s="48" t="s">
        <v>3728</v>
      </c>
    </row>
    <row r="2941" spans="1:16" x14ac:dyDescent="0.3">
      <c r="A2941" s="59">
        <f t="shared" si="260"/>
        <v>2632</v>
      </c>
      <c r="B2941" s="66" t="s">
        <v>2783</v>
      </c>
      <c r="C2941" s="184">
        <v>1950</v>
      </c>
      <c r="D2941" s="51"/>
      <c r="E2941" s="48" t="s">
        <v>3733</v>
      </c>
      <c r="F2941" s="218">
        <v>2</v>
      </c>
      <c r="G2941" s="50"/>
      <c r="H2941" s="48">
        <v>222</v>
      </c>
      <c r="I2941" s="218">
        <v>13</v>
      </c>
      <c r="J2941" s="19">
        <f t="shared" si="255"/>
        <v>130000</v>
      </c>
      <c r="K2941" s="50"/>
      <c r="L2941" s="50"/>
      <c r="M2941" s="50"/>
      <c r="N2941" s="19">
        <f>SUMIF('2020'!B:B,B2941,'2020'!C:C)+SUMIF('2021'!B:B,B2941,'2021'!C:C)+SUMIF('2022'!B:B,B2941,'2022'!C:C)</f>
        <v>130000</v>
      </c>
      <c r="O2941" s="219">
        <v>44925</v>
      </c>
      <c r="P2941" s="48" t="s">
        <v>3728</v>
      </c>
    </row>
    <row r="2942" spans="1:16" x14ac:dyDescent="0.3">
      <c r="A2942" s="59">
        <f t="shared" si="260"/>
        <v>2633</v>
      </c>
      <c r="B2942" s="66" t="s">
        <v>2784</v>
      </c>
      <c r="C2942" s="184">
        <v>1950</v>
      </c>
      <c r="D2942" s="51"/>
      <c r="E2942" s="48" t="s">
        <v>3733</v>
      </c>
      <c r="F2942" s="218">
        <v>2</v>
      </c>
      <c r="G2942" s="50"/>
      <c r="H2942" s="48">
        <v>238</v>
      </c>
      <c r="I2942" s="218">
        <v>9</v>
      </c>
      <c r="J2942" s="19">
        <f t="shared" si="255"/>
        <v>130000</v>
      </c>
      <c r="K2942" s="50"/>
      <c r="L2942" s="50"/>
      <c r="M2942" s="50"/>
      <c r="N2942" s="19">
        <f>SUMIF('2020'!B:B,B2942,'2020'!C:C)+SUMIF('2021'!B:B,B2942,'2021'!C:C)+SUMIF('2022'!B:B,B2942,'2022'!C:C)</f>
        <v>130000</v>
      </c>
      <c r="O2942" s="219">
        <v>44925</v>
      </c>
      <c r="P2942" s="48" t="s">
        <v>3728</v>
      </c>
    </row>
    <row r="2943" spans="1:16" x14ac:dyDescent="0.3">
      <c r="A2943" s="59">
        <f t="shared" si="260"/>
        <v>2634</v>
      </c>
      <c r="B2943" s="66" t="s">
        <v>2785</v>
      </c>
      <c r="C2943" s="184">
        <v>1950</v>
      </c>
      <c r="D2943" s="51"/>
      <c r="E2943" s="48" t="s">
        <v>3733</v>
      </c>
      <c r="F2943" s="218">
        <v>2</v>
      </c>
      <c r="G2943" s="50"/>
      <c r="H2943" s="48">
        <v>226.98</v>
      </c>
      <c r="I2943" s="218">
        <v>10</v>
      </c>
      <c r="J2943" s="19">
        <f t="shared" si="255"/>
        <v>148189.72</v>
      </c>
      <c r="K2943" s="50"/>
      <c r="L2943" s="50"/>
      <c r="M2943" s="50"/>
      <c r="N2943" s="19">
        <f>SUMIF('2020'!B:B,B2943,'2020'!C:C)+SUMIF('2021'!B:B,B2943,'2021'!C:C)+SUMIF('2022'!B:B,B2943,'2022'!C:C)</f>
        <v>148189.72</v>
      </c>
      <c r="O2943" s="219">
        <v>44925</v>
      </c>
      <c r="P2943" s="48" t="s">
        <v>3728</v>
      </c>
    </row>
    <row r="2944" spans="1:16" x14ac:dyDescent="0.3">
      <c r="A2944" s="59">
        <f t="shared" si="260"/>
        <v>2635</v>
      </c>
      <c r="B2944" s="66" t="s">
        <v>2786</v>
      </c>
      <c r="C2944" s="184">
        <v>1950</v>
      </c>
      <c r="D2944" s="51"/>
      <c r="E2944" s="48" t="s">
        <v>3733</v>
      </c>
      <c r="F2944" s="218">
        <v>2</v>
      </c>
      <c r="G2944" s="50"/>
      <c r="H2944" s="48">
        <v>238</v>
      </c>
      <c r="I2944" s="218">
        <v>13</v>
      </c>
      <c r="J2944" s="19">
        <f t="shared" si="255"/>
        <v>76153.09</v>
      </c>
      <c r="K2944" s="50"/>
      <c r="L2944" s="50"/>
      <c r="M2944" s="50"/>
      <c r="N2944" s="19">
        <f>SUMIF('2020'!B:B,B2944,'2020'!C:C)+SUMIF('2021'!B:B,B2944,'2021'!C:C)+SUMIF('2022'!B:B,B2944,'2022'!C:C)</f>
        <v>76153.09</v>
      </c>
      <c r="O2944" s="219">
        <v>44925</v>
      </c>
      <c r="P2944" s="48" t="s">
        <v>3728</v>
      </c>
    </row>
    <row r="2945" spans="1:16" x14ac:dyDescent="0.3">
      <c r="A2945" s="59">
        <f t="shared" si="260"/>
        <v>2636</v>
      </c>
      <c r="B2945" s="66" t="s">
        <v>2787</v>
      </c>
      <c r="C2945" s="184">
        <v>1950</v>
      </c>
      <c r="D2945" s="51"/>
      <c r="E2945" s="48" t="s">
        <v>3733</v>
      </c>
      <c r="F2945" s="218">
        <v>2</v>
      </c>
      <c r="G2945" s="50"/>
      <c r="H2945" s="48">
        <v>231.09</v>
      </c>
      <c r="I2945" s="218">
        <v>19</v>
      </c>
      <c r="J2945" s="19">
        <f t="shared" si="255"/>
        <v>147573.56</v>
      </c>
      <c r="K2945" s="50"/>
      <c r="L2945" s="50"/>
      <c r="M2945" s="50"/>
      <c r="N2945" s="19">
        <f>SUMIF('2020'!B:B,B2945,'2020'!C:C)+SUMIF('2021'!B:B,B2945,'2021'!C:C)+SUMIF('2022'!B:B,B2945,'2022'!C:C)</f>
        <v>147573.56</v>
      </c>
      <c r="O2945" s="219">
        <v>44925</v>
      </c>
      <c r="P2945" s="48" t="s">
        <v>3728</v>
      </c>
    </row>
    <row r="2946" spans="1:16" x14ac:dyDescent="0.3">
      <c r="A2946" s="59">
        <f t="shared" si="260"/>
        <v>2637</v>
      </c>
      <c r="B2946" s="66" t="s">
        <v>2788</v>
      </c>
      <c r="C2946" s="184">
        <v>1952</v>
      </c>
      <c r="D2946" s="51"/>
      <c r="E2946" s="48" t="s">
        <v>3733</v>
      </c>
      <c r="F2946" s="218">
        <v>3</v>
      </c>
      <c r="G2946" s="50"/>
      <c r="H2946" s="48">
        <v>1478.71</v>
      </c>
      <c r="I2946" s="218">
        <v>52</v>
      </c>
      <c r="J2946" s="19">
        <f t="shared" si="255"/>
        <v>401448.62</v>
      </c>
      <c r="K2946" s="50"/>
      <c r="L2946" s="50"/>
      <c r="M2946" s="50"/>
      <c r="N2946" s="19">
        <f>SUMIF('2020'!B:B,B2946,'2020'!C:C)+SUMIF('2021'!B:B,B2946,'2021'!C:C)+SUMIF('2022'!B:B,B2946,'2022'!C:C)</f>
        <v>401448.62</v>
      </c>
      <c r="O2946" s="219">
        <v>44925</v>
      </c>
      <c r="P2946" s="48" t="s">
        <v>3728</v>
      </c>
    </row>
    <row r="2947" spans="1:16" x14ac:dyDescent="0.3">
      <c r="A2947" s="59">
        <f t="shared" si="260"/>
        <v>2638</v>
      </c>
      <c r="B2947" s="66" t="s">
        <v>2789</v>
      </c>
      <c r="C2947" s="184">
        <v>1940</v>
      </c>
      <c r="D2947" s="51"/>
      <c r="E2947" s="48" t="s">
        <v>4090</v>
      </c>
      <c r="F2947" s="218">
        <v>2</v>
      </c>
      <c r="G2947" s="50"/>
      <c r="H2947" s="48">
        <v>116.8</v>
      </c>
      <c r="I2947" s="218">
        <v>9</v>
      </c>
      <c r="J2947" s="19">
        <f t="shared" si="255"/>
        <v>134674.22</v>
      </c>
      <c r="K2947" s="50"/>
      <c r="L2947" s="50"/>
      <c r="M2947" s="50"/>
      <c r="N2947" s="19">
        <f>SUMIF('2020'!B:B,B2947,'2020'!C:C)+SUMIF('2021'!B:B,B2947,'2021'!C:C)+SUMIF('2022'!B:B,B2947,'2022'!C:C)</f>
        <v>134674.22</v>
      </c>
      <c r="O2947" s="219">
        <v>44925</v>
      </c>
      <c r="P2947" s="48" t="s">
        <v>3728</v>
      </c>
    </row>
    <row r="2948" spans="1:16" x14ac:dyDescent="0.3">
      <c r="A2948" s="59">
        <f t="shared" si="260"/>
        <v>2639</v>
      </c>
      <c r="B2948" s="66" t="s">
        <v>2790</v>
      </c>
      <c r="C2948" s="184">
        <v>1940</v>
      </c>
      <c r="D2948" s="51"/>
      <c r="E2948" s="48" t="s">
        <v>4090</v>
      </c>
      <c r="F2948" s="218">
        <v>2</v>
      </c>
      <c r="G2948" s="50"/>
      <c r="H2948" s="48">
        <v>116.79</v>
      </c>
      <c r="I2948" s="218">
        <v>12</v>
      </c>
      <c r="J2948" s="19">
        <f t="shared" si="255"/>
        <v>134674.22</v>
      </c>
      <c r="K2948" s="50"/>
      <c r="L2948" s="50"/>
      <c r="M2948" s="50"/>
      <c r="N2948" s="19">
        <f>SUMIF('2020'!B:B,B2948,'2020'!C:C)+SUMIF('2021'!B:B,B2948,'2021'!C:C)+SUMIF('2022'!B:B,B2948,'2022'!C:C)</f>
        <v>134674.22</v>
      </c>
      <c r="O2948" s="219">
        <v>44925</v>
      </c>
      <c r="P2948" s="48" t="s">
        <v>3728</v>
      </c>
    </row>
    <row r="2949" spans="1:16" x14ac:dyDescent="0.3">
      <c r="A2949" s="59">
        <f t="shared" si="260"/>
        <v>2640</v>
      </c>
      <c r="B2949" s="66" t="s">
        <v>2791</v>
      </c>
      <c r="C2949" s="184">
        <v>1940</v>
      </c>
      <c r="D2949" s="51"/>
      <c r="E2949" s="48" t="s">
        <v>4090</v>
      </c>
      <c r="F2949" s="218">
        <v>2</v>
      </c>
      <c r="G2949" s="50"/>
      <c r="H2949" s="48">
        <v>115.28</v>
      </c>
      <c r="I2949" s="218">
        <v>12</v>
      </c>
      <c r="J2949" s="19">
        <f t="shared" si="255"/>
        <v>138531.21</v>
      </c>
      <c r="K2949" s="50"/>
      <c r="L2949" s="50"/>
      <c r="M2949" s="50"/>
      <c r="N2949" s="19">
        <f>SUMIF('2020'!B:B,B2949,'2020'!C:C)+SUMIF('2021'!B:B,B2949,'2021'!C:C)+SUMIF('2022'!B:B,B2949,'2022'!C:C)</f>
        <v>138531.21</v>
      </c>
      <c r="O2949" s="219">
        <v>44925</v>
      </c>
      <c r="P2949" s="48" t="s">
        <v>3728</v>
      </c>
    </row>
    <row r="2950" spans="1:16" x14ac:dyDescent="0.3">
      <c r="A2950" s="59">
        <f t="shared" si="260"/>
        <v>2641</v>
      </c>
      <c r="B2950" s="66" t="s">
        <v>2792</v>
      </c>
      <c r="C2950" s="184">
        <v>1952</v>
      </c>
      <c r="D2950" s="51"/>
      <c r="E2950" s="48" t="s">
        <v>3733</v>
      </c>
      <c r="F2950" s="218">
        <v>2</v>
      </c>
      <c r="G2950" s="50"/>
      <c r="H2950" s="48">
        <v>378.1</v>
      </c>
      <c r="I2950" s="218">
        <v>22</v>
      </c>
      <c r="J2950" s="19">
        <f t="shared" si="255"/>
        <v>189626.27</v>
      </c>
      <c r="K2950" s="50"/>
      <c r="L2950" s="50"/>
      <c r="M2950" s="50"/>
      <c r="N2950" s="19">
        <f>SUMIF('2020'!B:B,B2950,'2020'!C:C)+SUMIF('2021'!B:B,B2950,'2021'!C:C)+SUMIF('2022'!B:B,B2950,'2022'!C:C)</f>
        <v>189626.27</v>
      </c>
      <c r="O2950" s="219">
        <v>44925</v>
      </c>
      <c r="P2950" s="48" t="s">
        <v>3728</v>
      </c>
    </row>
    <row r="2951" spans="1:16" x14ac:dyDescent="0.3">
      <c r="A2951" s="59">
        <f t="shared" si="260"/>
        <v>2642</v>
      </c>
      <c r="B2951" s="66" t="s">
        <v>2793</v>
      </c>
      <c r="C2951" s="184">
        <v>1952</v>
      </c>
      <c r="D2951" s="51"/>
      <c r="E2951" s="48" t="s">
        <v>3733</v>
      </c>
      <c r="F2951" s="218">
        <v>2</v>
      </c>
      <c r="G2951" s="50"/>
      <c r="H2951" s="48">
        <v>519.49</v>
      </c>
      <c r="I2951" s="218">
        <v>16</v>
      </c>
      <c r="J2951" s="19">
        <f t="shared" si="255"/>
        <v>368356.44</v>
      </c>
      <c r="K2951" s="50"/>
      <c r="L2951" s="50"/>
      <c r="M2951" s="50"/>
      <c r="N2951" s="19">
        <f>SUMIF('2020'!B:B,B2951,'2020'!C:C)+SUMIF('2021'!B:B,B2951,'2021'!C:C)+SUMIF('2022'!B:B,B2951,'2022'!C:C)</f>
        <v>368356.44</v>
      </c>
      <c r="O2951" s="219">
        <v>44925</v>
      </c>
      <c r="P2951" s="48" t="s">
        <v>3728</v>
      </c>
    </row>
    <row r="2952" spans="1:16" x14ac:dyDescent="0.3">
      <c r="A2952" s="59">
        <f t="shared" si="260"/>
        <v>2643</v>
      </c>
      <c r="B2952" s="66" t="s">
        <v>2794</v>
      </c>
      <c r="C2952" s="184">
        <v>1952</v>
      </c>
      <c r="D2952" s="51"/>
      <c r="E2952" s="48" t="s">
        <v>3733</v>
      </c>
      <c r="F2952" s="218">
        <v>2</v>
      </c>
      <c r="G2952" s="50"/>
      <c r="H2952" s="48">
        <v>510.35</v>
      </c>
      <c r="I2952" s="218">
        <v>23</v>
      </c>
      <c r="J2952" s="19">
        <f t="shared" si="255"/>
        <v>190550.5</v>
      </c>
      <c r="K2952" s="50"/>
      <c r="L2952" s="50"/>
      <c r="M2952" s="50"/>
      <c r="N2952" s="19">
        <f>SUMIF('2020'!B:B,B2952,'2020'!C:C)+SUMIF('2021'!B:B,B2952,'2021'!C:C)+SUMIF('2022'!B:B,B2952,'2022'!C:C)</f>
        <v>190550.5</v>
      </c>
      <c r="O2952" s="219">
        <v>44925</v>
      </c>
      <c r="P2952" s="48" t="s">
        <v>3728</v>
      </c>
    </row>
    <row r="2953" spans="1:16" x14ac:dyDescent="0.3">
      <c r="A2953" s="59">
        <f t="shared" si="260"/>
        <v>2644</v>
      </c>
      <c r="B2953" s="66" t="s">
        <v>2795</v>
      </c>
      <c r="C2953" s="184">
        <v>1952</v>
      </c>
      <c r="D2953" s="51"/>
      <c r="E2953" s="48" t="s">
        <v>3733</v>
      </c>
      <c r="F2953" s="218">
        <v>2</v>
      </c>
      <c r="G2953" s="50"/>
      <c r="H2953" s="48">
        <v>375.2</v>
      </c>
      <c r="I2953" s="218">
        <v>18</v>
      </c>
      <c r="J2953" s="19">
        <f t="shared" si="255"/>
        <v>374534.99</v>
      </c>
      <c r="K2953" s="50"/>
      <c r="L2953" s="50"/>
      <c r="M2953" s="50"/>
      <c r="N2953" s="19">
        <f>SUMIF('2020'!B:B,B2953,'2020'!C:C)+SUMIF('2021'!B:B,B2953,'2021'!C:C)+SUMIF('2022'!B:B,B2953,'2022'!C:C)</f>
        <v>374534.99</v>
      </c>
      <c r="O2953" s="219">
        <v>44925</v>
      </c>
      <c r="P2953" s="48" t="s">
        <v>3728</v>
      </c>
    </row>
    <row r="2954" spans="1:16" x14ac:dyDescent="0.3">
      <c r="A2954" s="59">
        <f t="shared" si="260"/>
        <v>2645</v>
      </c>
      <c r="B2954" s="66" t="s">
        <v>2796</v>
      </c>
      <c r="C2954" s="184">
        <v>1952</v>
      </c>
      <c r="D2954" s="51"/>
      <c r="E2954" s="48" t="s">
        <v>3733</v>
      </c>
      <c r="F2954" s="218">
        <v>2</v>
      </c>
      <c r="G2954" s="50"/>
      <c r="H2954" s="48">
        <v>559.5</v>
      </c>
      <c r="I2954" s="218">
        <v>31</v>
      </c>
      <c r="J2954" s="19">
        <f t="shared" si="255"/>
        <v>187750.85</v>
      </c>
      <c r="K2954" s="50"/>
      <c r="L2954" s="50"/>
      <c r="M2954" s="50"/>
      <c r="N2954" s="19">
        <f>SUMIF('2020'!B:B,B2954,'2020'!C:C)+SUMIF('2021'!B:B,B2954,'2021'!C:C)+SUMIF('2022'!B:B,B2954,'2022'!C:C)</f>
        <v>187750.85</v>
      </c>
      <c r="O2954" s="219">
        <v>44925</v>
      </c>
      <c r="P2954" s="48" t="s">
        <v>3728</v>
      </c>
    </row>
    <row r="2955" spans="1:16" x14ac:dyDescent="0.3">
      <c r="A2955" s="59">
        <f t="shared" si="260"/>
        <v>2646</v>
      </c>
      <c r="B2955" s="66" t="s">
        <v>2797</v>
      </c>
      <c r="C2955" s="184">
        <v>1940</v>
      </c>
      <c r="D2955" s="51"/>
      <c r="E2955" s="48" t="s">
        <v>3646</v>
      </c>
      <c r="F2955" s="218">
        <v>2</v>
      </c>
      <c r="G2955" s="50"/>
      <c r="H2955" s="48">
        <v>297.88</v>
      </c>
      <c r="I2955" s="218">
        <v>15</v>
      </c>
      <c r="J2955" s="19">
        <f t="shared" si="255"/>
        <v>234469.56</v>
      </c>
      <c r="K2955" s="50"/>
      <c r="L2955" s="50"/>
      <c r="M2955" s="50"/>
      <c r="N2955" s="19">
        <f>SUMIF('2020'!B:B,B2955,'2020'!C:C)+SUMIF('2021'!B:B,B2955,'2021'!C:C)+SUMIF('2022'!B:B,B2955,'2022'!C:C)</f>
        <v>234469.56</v>
      </c>
      <c r="O2955" s="219">
        <v>44925</v>
      </c>
      <c r="P2955" s="48" t="s">
        <v>3728</v>
      </c>
    </row>
    <row r="2956" spans="1:16" x14ac:dyDescent="0.3">
      <c r="A2956" s="59">
        <f t="shared" si="260"/>
        <v>2647</v>
      </c>
      <c r="B2956" s="66" t="s">
        <v>2798</v>
      </c>
      <c r="C2956" s="184">
        <v>1952</v>
      </c>
      <c r="D2956" s="51"/>
      <c r="E2956" s="48" t="s">
        <v>3733</v>
      </c>
      <c r="F2956" s="218">
        <v>2</v>
      </c>
      <c r="G2956" s="50"/>
      <c r="H2956" s="48">
        <v>372.57</v>
      </c>
      <c r="I2956" s="218">
        <v>28</v>
      </c>
      <c r="J2956" s="19">
        <f t="shared" si="255"/>
        <v>199253.71</v>
      </c>
      <c r="K2956" s="50"/>
      <c r="L2956" s="50"/>
      <c r="M2956" s="50"/>
      <c r="N2956" s="19">
        <f>SUMIF('2020'!B:B,B2956,'2020'!C:C)+SUMIF('2021'!B:B,B2956,'2021'!C:C)+SUMIF('2022'!B:B,B2956,'2022'!C:C)</f>
        <v>199253.71</v>
      </c>
      <c r="O2956" s="219">
        <v>44925</v>
      </c>
      <c r="P2956" s="48" t="s">
        <v>3728</v>
      </c>
    </row>
    <row r="2957" spans="1:16" x14ac:dyDescent="0.3">
      <c r="A2957" s="59">
        <f t="shared" si="260"/>
        <v>2648</v>
      </c>
      <c r="B2957" s="66" t="s">
        <v>2799</v>
      </c>
      <c r="C2957" s="184">
        <v>1952</v>
      </c>
      <c r="D2957" s="51"/>
      <c r="E2957" s="48" t="s">
        <v>3733</v>
      </c>
      <c r="F2957" s="218">
        <v>2</v>
      </c>
      <c r="G2957" s="50"/>
      <c r="H2957" s="48">
        <v>509.29</v>
      </c>
      <c r="I2957" s="218">
        <v>23</v>
      </c>
      <c r="J2957" s="19">
        <f t="shared" si="255"/>
        <v>186680.46</v>
      </c>
      <c r="K2957" s="50"/>
      <c r="L2957" s="50"/>
      <c r="M2957" s="50"/>
      <c r="N2957" s="19">
        <f>SUMIF('2020'!B:B,B2957,'2020'!C:C)+SUMIF('2021'!B:B,B2957,'2021'!C:C)+SUMIF('2022'!B:B,B2957,'2022'!C:C)</f>
        <v>186680.46</v>
      </c>
      <c r="O2957" s="219">
        <v>44925</v>
      </c>
      <c r="P2957" s="48" t="s">
        <v>3728</v>
      </c>
    </row>
    <row r="2958" spans="1:16" x14ac:dyDescent="0.3">
      <c r="A2958" s="59">
        <f t="shared" si="260"/>
        <v>2649</v>
      </c>
      <c r="B2958" s="66" t="s">
        <v>2800</v>
      </c>
      <c r="C2958" s="184">
        <v>1952</v>
      </c>
      <c r="D2958" s="51"/>
      <c r="E2958" s="48" t="s">
        <v>3733</v>
      </c>
      <c r="F2958" s="218">
        <v>2</v>
      </c>
      <c r="G2958" s="50"/>
      <c r="H2958" s="48">
        <v>503.44</v>
      </c>
      <c r="I2958" s="218">
        <v>26</v>
      </c>
      <c r="J2958" s="19">
        <f t="shared" si="255"/>
        <v>183520.24</v>
      </c>
      <c r="K2958" s="50"/>
      <c r="L2958" s="50"/>
      <c r="M2958" s="50"/>
      <c r="N2958" s="19">
        <f>SUMIF('2020'!B:B,B2958,'2020'!C:C)+SUMIF('2021'!B:B,B2958,'2021'!C:C)+SUMIF('2022'!B:B,B2958,'2022'!C:C)</f>
        <v>183520.24</v>
      </c>
      <c r="O2958" s="219">
        <v>44925</v>
      </c>
      <c r="P2958" s="48" t="s">
        <v>2042</v>
      </c>
    </row>
    <row r="2959" spans="1:16" x14ac:dyDescent="0.3">
      <c r="A2959" s="59">
        <f t="shared" si="260"/>
        <v>2650</v>
      </c>
      <c r="B2959" s="66" t="s">
        <v>2801</v>
      </c>
      <c r="C2959" s="184">
        <v>1952</v>
      </c>
      <c r="D2959" s="51"/>
      <c r="E2959" s="48" t="s">
        <v>3733</v>
      </c>
      <c r="F2959" s="218">
        <v>2</v>
      </c>
      <c r="G2959" s="50"/>
      <c r="H2959" s="48">
        <v>575.79999999999995</v>
      </c>
      <c r="I2959" s="218">
        <v>28</v>
      </c>
      <c r="J2959" s="19">
        <f t="shared" si="255"/>
        <v>196212.08</v>
      </c>
      <c r="K2959" s="50"/>
      <c r="L2959" s="50"/>
      <c r="M2959" s="50"/>
      <c r="N2959" s="19">
        <f>SUMIF('2020'!B:B,B2959,'2020'!C:C)+SUMIF('2021'!B:B,B2959,'2021'!C:C)+SUMIF('2022'!B:B,B2959,'2022'!C:C)</f>
        <v>196212.08</v>
      </c>
      <c r="O2959" s="219">
        <v>44925</v>
      </c>
      <c r="P2959" s="48" t="s">
        <v>3728</v>
      </c>
    </row>
    <row r="2960" spans="1:16" x14ac:dyDescent="0.3">
      <c r="A2960" s="59">
        <f t="shared" si="260"/>
        <v>2651</v>
      </c>
      <c r="B2960" s="66" t="s">
        <v>2802</v>
      </c>
      <c r="C2960" s="184">
        <v>1952</v>
      </c>
      <c r="D2960" s="51"/>
      <c r="E2960" s="48" t="s">
        <v>3646</v>
      </c>
      <c r="F2960" s="218">
        <v>2</v>
      </c>
      <c r="G2960" s="50"/>
      <c r="H2960" s="48">
        <v>595.84</v>
      </c>
      <c r="I2960" s="218">
        <v>20</v>
      </c>
      <c r="J2960" s="19">
        <f t="shared" si="255"/>
        <v>195294.59</v>
      </c>
      <c r="K2960" s="50"/>
      <c r="L2960" s="50"/>
      <c r="M2960" s="50"/>
      <c r="N2960" s="19">
        <f>SUMIF('2020'!B:B,B2960,'2020'!C:C)+SUMIF('2021'!B:B,B2960,'2021'!C:C)+SUMIF('2022'!B:B,B2960,'2022'!C:C)</f>
        <v>195294.59</v>
      </c>
      <c r="O2960" s="219">
        <v>44925</v>
      </c>
      <c r="P2960" s="48" t="s">
        <v>2042</v>
      </c>
    </row>
    <row r="2961" spans="1:16" x14ac:dyDescent="0.3">
      <c r="A2961" s="59">
        <f t="shared" si="260"/>
        <v>2652</v>
      </c>
      <c r="B2961" s="66" t="s">
        <v>2803</v>
      </c>
      <c r="C2961" s="184">
        <v>1948</v>
      </c>
      <c r="D2961" s="51"/>
      <c r="E2961" s="48" t="s">
        <v>3646</v>
      </c>
      <c r="F2961" s="218">
        <v>2</v>
      </c>
      <c r="G2961" s="50"/>
      <c r="H2961" s="48">
        <v>428.55</v>
      </c>
      <c r="I2961" s="218">
        <v>14</v>
      </c>
      <c r="J2961" s="19">
        <f t="shared" si="255"/>
        <v>190781.56</v>
      </c>
      <c r="K2961" s="50"/>
      <c r="L2961" s="50"/>
      <c r="M2961" s="50"/>
      <c r="N2961" s="19">
        <f>SUMIF('2020'!B:B,B2961,'2020'!C:C)+SUMIF('2021'!B:B,B2961,'2021'!C:C)+SUMIF('2022'!B:B,B2961,'2022'!C:C)</f>
        <v>190781.56</v>
      </c>
      <c r="O2961" s="219">
        <v>44925</v>
      </c>
      <c r="P2961" s="48" t="s">
        <v>3728</v>
      </c>
    </row>
    <row r="2962" spans="1:16" x14ac:dyDescent="0.3">
      <c r="A2962" s="59">
        <f t="shared" si="260"/>
        <v>2653</v>
      </c>
      <c r="B2962" s="66" t="s">
        <v>2804</v>
      </c>
      <c r="C2962" s="184">
        <v>1950</v>
      </c>
      <c r="D2962" s="51"/>
      <c r="E2962" s="48" t="s">
        <v>3646</v>
      </c>
      <c r="F2962" s="218">
        <v>2</v>
      </c>
      <c r="G2962" s="50"/>
      <c r="H2962" s="48">
        <v>402.93</v>
      </c>
      <c r="I2962" s="218">
        <v>20</v>
      </c>
      <c r="J2962" s="19">
        <f t="shared" si="255"/>
        <v>192475.99</v>
      </c>
      <c r="K2962" s="50"/>
      <c r="L2962" s="50"/>
      <c r="M2962" s="50"/>
      <c r="N2962" s="19">
        <f>SUMIF('2020'!B:B,B2962,'2020'!C:C)+SUMIF('2021'!B:B,B2962,'2021'!C:C)+SUMIF('2022'!B:B,B2962,'2022'!C:C)</f>
        <v>192475.99</v>
      </c>
      <c r="O2962" s="219">
        <v>44925</v>
      </c>
      <c r="P2962" s="48" t="s">
        <v>3728</v>
      </c>
    </row>
    <row r="2963" spans="1:16" x14ac:dyDescent="0.3">
      <c r="A2963" s="59">
        <f t="shared" si="260"/>
        <v>2654</v>
      </c>
      <c r="B2963" s="66" t="s">
        <v>2805</v>
      </c>
      <c r="C2963" s="184">
        <v>1949</v>
      </c>
      <c r="D2963" s="51"/>
      <c r="E2963" s="48" t="s">
        <v>3646</v>
      </c>
      <c r="F2963" s="218">
        <v>2</v>
      </c>
      <c r="G2963" s="50"/>
      <c r="H2963" s="48">
        <v>373.4</v>
      </c>
      <c r="I2963" s="218">
        <v>25</v>
      </c>
      <c r="J2963" s="19">
        <f t="shared" ref="J2963:J3026" si="261">K2963+L2963+M2963+N2963</f>
        <v>192475.99</v>
      </c>
      <c r="K2963" s="50"/>
      <c r="L2963" s="50"/>
      <c r="M2963" s="50"/>
      <c r="N2963" s="19">
        <f>SUMIF('2020'!B:B,B2963,'2020'!C:C)+SUMIF('2021'!B:B,B2963,'2021'!C:C)+SUMIF('2022'!B:B,B2963,'2022'!C:C)</f>
        <v>192475.99</v>
      </c>
      <c r="O2963" s="219">
        <v>44925</v>
      </c>
      <c r="P2963" s="48" t="s">
        <v>3728</v>
      </c>
    </row>
    <row r="2964" spans="1:16" x14ac:dyDescent="0.3">
      <c r="A2964" s="59">
        <f t="shared" si="260"/>
        <v>2655</v>
      </c>
      <c r="B2964" s="66" t="s">
        <v>2806</v>
      </c>
      <c r="C2964" s="184">
        <v>1949</v>
      </c>
      <c r="D2964" s="51"/>
      <c r="E2964" s="48" t="s">
        <v>3646</v>
      </c>
      <c r="F2964" s="218">
        <v>2</v>
      </c>
      <c r="G2964" s="50"/>
      <c r="H2964" s="48">
        <v>418.63</v>
      </c>
      <c r="I2964" s="218">
        <v>21</v>
      </c>
      <c r="J2964" s="19">
        <f t="shared" si="261"/>
        <v>190550.5</v>
      </c>
      <c r="K2964" s="50"/>
      <c r="L2964" s="50"/>
      <c r="M2964" s="50"/>
      <c r="N2964" s="19">
        <f>SUMIF('2020'!B:B,B2964,'2020'!C:C)+SUMIF('2021'!B:B,B2964,'2021'!C:C)+SUMIF('2022'!B:B,B2964,'2022'!C:C)</f>
        <v>190550.5</v>
      </c>
      <c r="O2964" s="219">
        <v>44925</v>
      </c>
      <c r="P2964" s="48" t="s">
        <v>3728</v>
      </c>
    </row>
    <row r="2965" spans="1:16" x14ac:dyDescent="0.3">
      <c r="A2965" s="59">
        <f t="shared" si="260"/>
        <v>2656</v>
      </c>
      <c r="B2965" s="66" t="s">
        <v>2807</v>
      </c>
      <c r="C2965" s="184">
        <v>1949</v>
      </c>
      <c r="D2965" s="51"/>
      <c r="E2965" s="48" t="s">
        <v>3646</v>
      </c>
      <c r="F2965" s="218">
        <v>2</v>
      </c>
      <c r="G2965" s="50"/>
      <c r="H2965" s="48">
        <v>404.21</v>
      </c>
      <c r="I2965" s="218">
        <v>21</v>
      </c>
      <c r="J2965" s="19">
        <f t="shared" si="261"/>
        <v>191397.72</v>
      </c>
      <c r="K2965" s="50"/>
      <c r="L2965" s="50"/>
      <c r="M2965" s="50"/>
      <c r="N2965" s="19">
        <f>SUMIF('2020'!B:B,B2965,'2020'!C:C)+SUMIF('2021'!B:B,B2965,'2021'!C:C)+SUMIF('2022'!B:B,B2965,'2022'!C:C)</f>
        <v>191397.72</v>
      </c>
      <c r="O2965" s="219">
        <v>44925</v>
      </c>
      <c r="P2965" s="48" t="s">
        <v>3728</v>
      </c>
    </row>
    <row r="2966" spans="1:16" x14ac:dyDescent="0.3">
      <c r="A2966" s="59">
        <f t="shared" si="260"/>
        <v>2657</v>
      </c>
      <c r="B2966" s="66" t="s">
        <v>2808</v>
      </c>
      <c r="C2966" s="184">
        <v>1949</v>
      </c>
      <c r="D2966" s="51"/>
      <c r="E2966" s="48" t="s">
        <v>3733</v>
      </c>
      <c r="F2966" s="218">
        <v>2</v>
      </c>
      <c r="G2966" s="50"/>
      <c r="H2966" s="48">
        <v>419.38</v>
      </c>
      <c r="I2966" s="218">
        <v>19</v>
      </c>
      <c r="J2966" s="19">
        <f t="shared" si="261"/>
        <v>344149.42</v>
      </c>
      <c r="K2966" s="50"/>
      <c r="L2966" s="50"/>
      <c r="M2966" s="50"/>
      <c r="N2966" s="19">
        <f>SUMIF('2020'!B:B,B2966,'2020'!C:C)+SUMIF('2021'!B:B,B2966,'2021'!C:C)+SUMIF('2022'!B:B,B2966,'2022'!C:C)</f>
        <v>344149.42</v>
      </c>
      <c r="O2966" s="219">
        <v>44925</v>
      </c>
      <c r="P2966" s="48" t="s">
        <v>3728</v>
      </c>
    </row>
    <row r="2967" spans="1:16" x14ac:dyDescent="0.3">
      <c r="A2967" s="59">
        <f t="shared" si="260"/>
        <v>2658</v>
      </c>
      <c r="B2967" s="66" t="s">
        <v>2809</v>
      </c>
      <c r="C2967" s="184">
        <v>1949</v>
      </c>
      <c r="D2967" s="51"/>
      <c r="E2967" s="48" t="s">
        <v>3733</v>
      </c>
      <c r="F2967" s="218">
        <v>2</v>
      </c>
      <c r="G2967" s="50"/>
      <c r="H2967" s="48">
        <v>235.61</v>
      </c>
      <c r="I2967" s="218">
        <v>14</v>
      </c>
      <c r="J2967" s="19">
        <f t="shared" si="261"/>
        <v>140872.87</v>
      </c>
      <c r="K2967" s="50"/>
      <c r="L2967" s="50"/>
      <c r="M2967" s="50"/>
      <c r="N2967" s="19">
        <f>SUMIF('2020'!B:B,B2967,'2020'!C:C)+SUMIF('2021'!B:B,B2967,'2021'!C:C)+SUMIF('2022'!B:B,B2967,'2022'!C:C)</f>
        <v>140872.87</v>
      </c>
      <c r="O2967" s="219">
        <v>44925</v>
      </c>
      <c r="P2967" s="48" t="s">
        <v>3728</v>
      </c>
    </row>
    <row r="2968" spans="1:16" x14ac:dyDescent="0.3">
      <c r="A2968" s="59">
        <f t="shared" si="260"/>
        <v>2659</v>
      </c>
      <c r="B2968" s="66" t="s">
        <v>2810</v>
      </c>
      <c r="C2968" s="184">
        <v>1949</v>
      </c>
      <c r="D2968" s="51"/>
      <c r="E2968" s="48" t="s">
        <v>3733</v>
      </c>
      <c r="F2968" s="218">
        <v>2</v>
      </c>
      <c r="G2968" s="50"/>
      <c r="H2968" s="48">
        <v>225.55</v>
      </c>
      <c r="I2968" s="218">
        <v>10</v>
      </c>
      <c r="J2968" s="19">
        <f t="shared" si="261"/>
        <v>144338.74</v>
      </c>
      <c r="K2968" s="50"/>
      <c r="L2968" s="50"/>
      <c r="M2968" s="50"/>
      <c r="N2968" s="19">
        <f>SUMIF('2020'!B:B,B2968,'2020'!C:C)+SUMIF('2021'!B:B,B2968,'2021'!C:C)+SUMIF('2022'!B:B,B2968,'2022'!C:C)</f>
        <v>144338.74</v>
      </c>
      <c r="O2968" s="219">
        <v>44925</v>
      </c>
      <c r="P2968" s="48" t="s">
        <v>3728</v>
      </c>
    </row>
    <row r="2969" spans="1:16" x14ac:dyDescent="0.3">
      <c r="A2969" s="59">
        <f t="shared" si="260"/>
        <v>2660</v>
      </c>
      <c r="B2969" s="66" t="s">
        <v>2811</v>
      </c>
      <c r="C2969" s="184">
        <v>1940</v>
      </c>
      <c r="D2969" s="51"/>
      <c r="E2969" s="48" t="s">
        <v>4090</v>
      </c>
      <c r="F2969" s="218">
        <v>2</v>
      </c>
      <c r="G2969" s="50"/>
      <c r="H2969" s="48">
        <v>114.37</v>
      </c>
      <c r="I2969" s="218">
        <v>9</v>
      </c>
      <c r="J2969" s="19">
        <f t="shared" si="261"/>
        <v>150267.91999999998</v>
      </c>
      <c r="K2969" s="50"/>
      <c r="L2969" s="50"/>
      <c r="M2969" s="50"/>
      <c r="N2969" s="19">
        <f>SUMIF('2020'!B:B,B2969,'2020'!C:C)+SUMIF('2021'!B:B,B2969,'2021'!C:C)+SUMIF('2022'!B:B,B2969,'2022'!C:C)</f>
        <v>150267.91999999998</v>
      </c>
      <c r="O2969" s="219">
        <v>44925</v>
      </c>
      <c r="P2969" s="48" t="s">
        <v>3728</v>
      </c>
    </row>
    <row r="2970" spans="1:16" x14ac:dyDescent="0.3">
      <c r="A2970" s="59">
        <f t="shared" si="260"/>
        <v>2661</v>
      </c>
      <c r="B2970" s="66" t="s">
        <v>2812</v>
      </c>
      <c r="C2970" s="184">
        <v>1950</v>
      </c>
      <c r="D2970" s="51"/>
      <c r="E2970" s="48" t="s">
        <v>3646</v>
      </c>
      <c r="F2970" s="218">
        <v>2</v>
      </c>
      <c r="G2970" s="50"/>
      <c r="H2970" s="48">
        <v>237.47</v>
      </c>
      <c r="I2970" s="218">
        <v>9</v>
      </c>
      <c r="J2970" s="19">
        <f t="shared" si="261"/>
        <v>141643.04</v>
      </c>
      <c r="K2970" s="50"/>
      <c r="L2970" s="50"/>
      <c r="M2970" s="50"/>
      <c r="N2970" s="19">
        <f>SUMIF('2020'!B:B,B2970,'2020'!C:C)+SUMIF('2021'!B:B,B2970,'2021'!C:C)+SUMIF('2022'!B:B,B2970,'2022'!C:C)</f>
        <v>141643.04</v>
      </c>
      <c r="O2970" s="219">
        <v>44925</v>
      </c>
      <c r="P2970" s="48" t="s">
        <v>3728</v>
      </c>
    </row>
    <row r="2971" spans="1:16" x14ac:dyDescent="0.3">
      <c r="A2971" s="59">
        <f t="shared" si="260"/>
        <v>2662</v>
      </c>
      <c r="B2971" s="66" t="s">
        <v>2813</v>
      </c>
      <c r="C2971" s="184">
        <v>1950</v>
      </c>
      <c r="D2971" s="51"/>
      <c r="E2971" s="48" t="s">
        <v>3646</v>
      </c>
      <c r="F2971" s="218">
        <v>2</v>
      </c>
      <c r="G2971" s="50"/>
      <c r="H2971" s="48">
        <v>237.47</v>
      </c>
      <c r="I2971" s="218">
        <v>12</v>
      </c>
      <c r="J2971" s="19">
        <f t="shared" si="261"/>
        <v>141643.04</v>
      </c>
      <c r="K2971" s="50"/>
      <c r="L2971" s="50"/>
      <c r="M2971" s="50"/>
      <c r="N2971" s="19">
        <f>SUMIF('2020'!B:B,B2971,'2020'!C:C)+SUMIF('2021'!B:B,B2971,'2021'!C:C)+SUMIF('2022'!B:B,B2971,'2022'!C:C)</f>
        <v>141643.04</v>
      </c>
      <c r="O2971" s="219">
        <v>44925</v>
      </c>
      <c r="P2971" s="48" t="s">
        <v>3728</v>
      </c>
    </row>
    <row r="2972" spans="1:16" x14ac:dyDescent="0.3">
      <c r="A2972" s="59">
        <f t="shared" si="260"/>
        <v>2663</v>
      </c>
      <c r="B2972" s="66" t="s">
        <v>2814</v>
      </c>
      <c r="C2972" s="184">
        <v>1949</v>
      </c>
      <c r="D2972" s="51"/>
      <c r="E2972" s="48" t="s">
        <v>4090</v>
      </c>
      <c r="F2972" s="218">
        <v>2</v>
      </c>
      <c r="G2972" s="50"/>
      <c r="H2972" s="48">
        <v>469.32</v>
      </c>
      <c r="I2972" s="218">
        <v>12</v>
      </c>
      <c r="J2972" s="19">
        <f t="shared" si="261"/>
        <v>390676.58</v>
      </c>
      <c r="K2972" s="50"/>
      <c r="L2972" s="50"/>
      <c r="M2972" s="50"/>
      <c r="N2972" s="19">
        <f>SUMIF('2020'!B:B,B2972,'2020'!C:C)+SUMIF('2021'!B:B,B2972,'2021'!C:C)+SUMIF('2022'!B:B,B2972,'2022'!C:C)</f>
        <v>390676.58</v>
      </c>
      <c r="O2972" s="219">
        <v>44925</v>
      </c>
      <c r="P2972" s="48" t="s">
        <v>3728</v>
      </c>
    </row>
    <row r="2973" spans="1:16" x14ac:dyDescent="0.3">
      <c r="A2973" s="59">
        <f t="shared" si="260"/>
        <v>2664</v>
      </c>
      <c r="B2973" s="66" t="s">
        <v>2815</v>
      </c>
      <c r="C2973" s="184">
        <v>1940</v>
      </c>
      <c r="D2973" s="51"/>
      <c r="E2973" s="48" t="s">
        <v>4090</v>
      </c>
      <c r="F2973" s="218">
        <v>2</v>
      </c>
      <c r="G2973" s="50"/>
      <c r="H2973" s="48">
        <v>200.3</v>
      </c>
      <c r="I2973" s="218">
        <v>13</v>
      </c>
      <c r="J2973" s="19">
        <f t="shared" si="261"/>
        <v>213889.63</v>
      </c>
      <c r="K2973" s="50"/>
      <c r="L2973" s="50"/>
      <c r="M2973" s="50"/>
      <c r="N2973" s="19">
        <f>SUMIF('2020'!B:B,B2973,'2020'!C:C)+SUMIF('2021'!B:B,B2973,'2021'!C:C)+SUMIF('2022'!B:B,B2973,'2022'!C:C)</f>
        <v>213889.63</v>
      </c>
      <c r="O2973" s="219">
        <v>44925</v>
      </c>
      <c r="P2973" s="48" t="s">
        <v>3728</v>
      </c>
    </row>
    <row r="2974" spans="1:16" x14ac:dyDescent="0.3">
      <c r="A2974" s="474" t="s">
        <v>211</v>
      </c>
      <c r="B2974" s="475"/>
      <c r="C2974" s="50"/>
      <c r="D2974" s="50"/>
      <c r="E2974" s="48"/>
      <c r="F2974" s="48"/>
      <c r="G2974" s="50"/>
      <c r="H2974" s="48">
        <f>SUM(H2937:H2973)</f>
        <v>13251.739999999994</v>
      </c>
      <c r="I2974" s="218">
        <f>SUM(I2937:I2973)</f>
        <v>644</v>
      </c>
      <c r="J2974" s="19">
        <f t="shared" si="261"/>
        <v>7147316.6100000003</v>
      </c>
      <c r="K2974" s="48">
        <v>0</v>
      </c>
      <c r="L2974" s="48">
        <v>0</v>
      </c>
      <c r="M2974" s="48">
        <v>0</v>
      </c>
      <c r="N2974" s="48">
        <f>SUM(N2937:N2973)</f>
        <v>7147316.6100000003</v>
      </c>
      <c r="O2974" s="50"/>
      <c r="P2974" s="50"/>
    </row>
    <row r="2975" spans="1:16" x14ac:dyDescent="0.3">
      <c r="A2975" s="472" t="s">
        <v>2816</v>
      </c>
      <c r="B2975" s="473"/>
      <c r="C2975" s="50"/>
      <c r="D2975" s="51"/>
      <c r="E2975" s="48"/>
      <c r="F2975" s="48"/>
      <c r="G2975" s="50"/>
      <c r="H2975" s="48"/>
      <c r="I2975" s="48"/>
      <c r="J2975" s="19"/>
      <c r="K2975" s="50"/>
      <c r="L2975" s="50"/>
      <c r="M2975" s="50"/>
      <c r="N2975" s="50"/>
      <c r="O2975" s="50"/>
      <c r="P2975" s="50"/>
    </row>
    <row r="2976" spans="1:16" x14ac:dyDescent="0.3">
      <c r="A2976" s="59">
        <f>A2973+1</f>
        <v>2665</v>
      </c>
      <c r="B2976" s="66" t="s">
        <v>2817</v>
      </c>
      <c r="C2976" s="184">
        <v>1962</v>
      </c>
      <c r="D2976" s="51"/>
      <c r="E2976" s="48" t="s">
        <v>3733</v>
      </c>
      <c r="F2976" s="218">
        <v>2</v>
      </c>
      <c r="G2976" s="50"/>
      <c r="H2976" s="48">
        <v>449</v>
      </c>
      <c r="I2976" s="218">
        <v>21</v>
      </c>
      <c r="J2976" s="19">
        <f t="shared" si="261"/>
        <v>264084.49</v>
      </c>
      <c r="K2976" s="50"/>
      <c r="L2976" s="50"/>
      <c r="M2976" s="50"/>
      <c r="N2976" s="19">
        <f>SUMIF('2020'!B:B,B2976,'2020'!C:C)+SUMIF('2021'!B:B,B2976,'2021'!C:C)+SUMIF('2022'!B:B,B2976,'2022'!C:C)</f>
        <v>264084.49</v>
      </c>
      <c r="O2976" s="219">
        <v>44925</v>
      </c>
      <c r="P2976" s="48" t="s">
        <v>3728</v>
      </c>
    </row>
    <row r="2977" spans="1:16" x14ac:dyDescent="0.3">
      <c r="A2977" s="59">
        <f t="shared" ref="A2977:A2985" si="262">A2976+1</f>
        <v>2666</v>
      </c>
      <c r="B2977" s="66" t="s">
        <v>2818</v>
      </c>
      <c r="C2977" s="184">
        <v>1978</v>
      </c>
      <c r="D2977" s="51"/>
      <c r="E2977" s="48" t="s">
        <v>3731</v>
      </c>
      <c r="F2977" s="218">
        <v>5</v>
      </c>
      <c r="G2977" s="50"/>
      <c r="H2977" s="48">
        <v>3165.8</v>
      </c>
      <c r="I2977" s="218">
        <v>132</v>
      </c>
      <c r="J2977" s="19">
        <f t="shared" si="261"/>
        <v>431312.18</v>
      </c>
      <c r="K2977" s="50"/>
      <c r="L2977" s="50"/>
      <c r="M2977" s="50"/>
      <c r="N2977" s="19">
        <f>SUMIF('2020'!B:B,B2977,'2020'!C:C)+SUMIF('2021'!B:B,B2977,'2021'!C:C)+SUMIF('2022'!B:B,B2977,'2022'!C:C)</f>
        <v>431312.18</v>
      </c>
      <c r="O2977" s="219">
        <v>44925</v>
      </c>
      <c r="P2977" s="48" t="s">
        <v>2042</v>
      </c>
    </row>
    <row r="2978" spans="1:16" x14ac:dyDescent="0.3">
      <c r="A2978" s="59">
        <f t="shared" si="262"/>
        <v>2667</v>
      </c>
      <c r="B2978" s="66" t="s">
        <v>2819</v>
      </c>
      <c r="C2978" s="184">
        <v>1970</v>
      </c>
      <c r="D2978" s="51"/>
      <c r="E2978" s="48" t="s">
        <v>3733</v>
      </c>
      <c r="F2978" s="218">
        <v>2</v>
      </c>
      <c r="G2978" s="50"/>
      <c r="H2978" s="48">
        <v>630.4</v>
      </c>
      <c r="I2978" s="218">
        <v>36</v>
      </c>
      <c r="J2978" s="19">
        <f t="shared" si="261"/>
        <v>104973.91</v>
      </c>
      <c r="K2978" s="50"/>
      <c r="L2978" s="50"/>
      <c r="M2978" s="50"/>
      <c r="N2978" s="19">
        <f>SUMIF('2020'!B:B,B2978,'2020'!C:C)+SUMIF('2021'!B:B,B2978,'2021'!C:C)+SUMIF('2022'!B:B,B2978,'2022'!C:C)</f>
        <v>104973.91</v>
      </c>
      <c r="O2978" s="219">
        <v>44925</v>
      </c>
      <c r="P2978" s="48" t="s">
        <v>3728</v>
      </c>
    </row>
    <row r="2979" spans="1:16" x14ac:dyDescent="0.3">
      <c r="A2979" s="59">
        <f t="shared" si="262"/>
        <v>2668</v>
      </c>
      <c r="B2979" s="66" t="s">
        <v>2820</v>
      </c>
      <c r="C2979" s="184">
        <v>1973</v>
      </c>
      <c r="D2979" s="51"/>
      <c r="E2979" s="48" t="s">
        <v>3733</v>
      </c>
      <c r="F2979" s="218">
        <v>2</v>
      </c>
      <c r="G2979" s="50"/>
      <c r="H2979" s="48">
        <v>737.3</v>
      </c>
      <c r="I2979" s="218">
        <v>39</v>
      </c>
      <c r="J2979" s="19">
        <f t="shared" si="261"/>
        <v>401324.60000000003</v>
      </c>
      <c r="K2979" s="50"/>
      <c r="L2979" s="50"/>
      <c r="M2979" s="50"/>
      <c r="N2979" s="19">
        <f>SUMIF('2020'!B:B,B2979,'2020'!C:C)+SUMIF('2021'!B:B,B2979,'2021'!C:C)+SUMIF('2022'!B:B,B2979,'2022'!C:C)</f>
        <v>401324.60000000003</v>
      </c>
      <c r="O2979" s="219">
        <v>44925</v>
      </c>
      <c r="P2979" s="48" t="s">
        <v>3728</v>
      </c>
    </row>
    <row r="2980" spans="1:16" x14ac:dyDescent="0.3">
      <c r="A2980" s="59">
        <f t="shared" si="262"/>
        <v>2669</v>
      </c>
      <c r="B2980" s="66" t="s">
        <v>2821</v>
      </c>
      <c r="C2980" s="184">
        <v>1964</v>
      </c>
      <c r="D2980" s="51"/>
      <c r="E2980" s="48" t="s">
        <v>3733</v>
      </c>
      <c r="F2980" s="218">
        <v>2</v>
      </c>
      <c r="G2980" s="50"/>
      <c r="H2980" s="48">
        <v>611.20000000000005</v>
      </c>
      <c r="I2980" s="218">
        <v>30</v>
      </c>
      <c r="J2980" s="19">
        <f t="shared" si="261"/>
        <v>229182.69</v>
      </c>
      <c r="K2980" s="50"/>
      <c r="L2980" s="50"/>
      <c r="M2980" s="50"/>
      <c r="N2980" s="19">
        <f>SUMIF('2020'!B:B,B2980,'2020'!C:C)+SUMIF('2021'!B:B,B2980,'2021'!C:C)+SUMIF('2022'!B:B,B2980,'2022'!C:C)</f>
        <v>229182.69</v>
      </c>
      <c r="O2980" s="219">
        <v>44925</v>
      </c>
      <c r="P2980" s="48" t="s">
        <v>3728</v>
      </c>
    </row>
    <row r="2981" spans="1:16" x14ac:dyDescent="0.3">
      <c r="A2981" s="59">
        <f t="shared" si="262"/>
        <v>2670</v>
      </c>
      <c r="B2981" s="66" t="s">
        <v>2822</v>
      </c>
      <c r="C2981" s="184">
        <v>1967</v>
      </c>
      <c r="D2981" s="51"/>
      <c r="E2981" s="48" t="s">
        <v>3733</v>
      </c>
      <c r="F2981" s="218">
        <v>2</v>
      </c>
      <c r="G2981" s="50"/>
      <c r="H2981" s="48">
        <v>622.20000000000005</v>
      </c>
      <c r="I2981" s="218">
        <v>32</v>
      </c>
      <c r="J2981" s="19">
        <f t="shared" si="261"/>
        <v>710360.68</v>
      </c>
      <c r="K2981" s="50"/>
      <c r="L2981" s="50"/>
      <c r="M2981" s="50"/>
      <c r="N2981" s="19">
        <f>SUMIF('2020'!B:B,B2981,'2020'!C:C)+SUMIF('2021'!B:B,B2981,'2021'!C:C)+SUMIF('2022'!B:B,B2981,'2022'!C:C)</f>
        <v>710360.68</v>
      </c>
      <c r="O2981" s="219">
        <v>44925</v>
      </c>
      <c r="P2981" s="48" t="s">
        <v>3728</v>
      </c>
    </row>
    <row r="2982" spans="1:16" x14ac:dyDescent="0.3">
      <c r="A2982" s="59">
        <f t="shared" si="262"/>
        <v>2671</v>
      </c>
      <c r="B2982" s="66" t="s">
        <v>2823</v>
      </c>
      <c r="C2982" s="184">
        <v>1968</v>
      </c>
      <c r="D2982" s="51"/>
      <c r="E2982" s="48" t="s">
        <v>3733</v>
      </c>
      <c r="F2982" s="218">
        <v>2</v>
      </c>
      <c r="G2982" s="50"/>
      <c r="H2982" s="48">
        <v>629.6</v>
      </c>
      <c r="I2982" s="218">
        <v>32</v>
      </c>
      <c r="J2982" s="19">
        <f t="shared" si="261"/>
        <v>720335.39</v>
      </c>
      <c r="K2982" s="50"/>
      <c r="L2982" s="50"/>
      <c r="M2982" s="50"/>
      <c r="N2982" s="19">
        <f>SUMIF('2020'!B:B,B2982,'2020'!C:C)+SUMIF('2021'!B:B,B2982,'2021'!C:C)+SUMIF('2022'!B:B,B2982,'2022'!C:C)</f>
        <v>720335.39</v>
      </c>
      <c r="O2982" s="219">
        <v>44925</v>
      </c>
      <c r="P2982" s="48" t="s">
        <v>3728</v>
      </c>
    </row>
    <row r="2983" spans="1:16" x14ac:dyDescent="0.3">
      <c r="A2983" s="59">
        <f t="shared" si="262"/>
        <v>2672</v>
      </c>
      <c r="B2983" s="66" t="s">
        <v>2824</v>
      </c>
      <c r="C2983" s="184">
        <v>1970</v>
      </c>
      <c r="D2983" s="51"/>
      <c r="E2983" s="48" t="s">
        <v>3733</v>
      </c>
      <c r="F2983" s="218">
        <v>2</v>
      </c>
      <c r="G2983" s="50"/>
      <c r="H2983" s="48">
        <v>629.29999999999995</v>
      </c>
      <c r="I2983" s="218">
        <v>28</v>
      </c>
      <c r="J2983" s="19">
        <f t="shared" si="261"/>
        <v>397259.01999999996</v>
      </c>
      <c r="K2983" s="50"/>
      <c r="L2983" s="50"/>
      <c r="M2983" s="50"/>
      <c r="N2983" s="19">
        <f>SUMIF('2020'!B:B,B2983,'2020'!C:C)+SUMIF('2021'!B:B,B2983,'2021'!C:C)+SUMIF('2022'!B:B,B2983,'2022'!C:C)</f>
        <v>397259.01999999996</v>
      </c>
      <c r="O2983" s="219">
        <v>44925</v>
      </c>
      <c r="P2983" s="48" t="s">
        <v>3728</v>
      </c>
    </row>
    <row r="2984" spans="1:16" x14ac:dyDescent="0.3">
      <c r="A2984" s="59">
        <f t="shared" si="262"/>
        <v>2673</v>
      </c>
      <c r="B2984" s="66" t="s">
        <v>2825</v>
      </c>
      <c r="C2984" s="184">
        <v>1969</v>
      </c>
      <c r="D2984" s="51"/>
      <c r="E2984" s="48" t="s">
        <v>3733</v>
      </c>
      <c r="F2984" s="218">
        <v>2</v>
      </c>
      <c r="G2984" s="50"/>
      <c r="H2984" s="48">
        <v>608.4</v>
      </c>
      <c r="I2984" s="218">
        <v>32</v>
      </c>
      <c r="J2984" s="19">
        <f t="shared" si="261"/>
        <v>102963.85</v>
      </c>
      <c r="K2984" s="50"/>
      <c r="L2984" s="50"/>
      <c r="M2984" s="50"/>
      <c r="N2984" s="19">
        <f>SUMIF('2020'!B:B,B2984,'2020'!C:C)+SUMIF('2021'!B:B,B2984,'2021'!C:C)+SUMIF('2022'!B:B,B2984,'2022'!C:C)</f>
        <v>102963.85</v>
      </c>
      <c r="O2984" s="219">
        <v>44925</v>
      </c>
      <c r="P2984" s="48" t="s">
        <v>3728</v>
      </c>
    </row>
    <row r="2985" spans="1:16" x14ac:dyDescent="0.3">
      <c r="A2985" s="59">
        <f t="shared" si="262"/>
        <v>2674</v>
      </c>
      <c r="B2985" s="66" t="s">
        <v>2826</v>
      </c>
      <c r="C2985" s="184">
        <v>1973</v>
      </c>
      <c r="D2985" s="51"/>
      <c r="E2985" s="48" t="s">
        <v>3731</v>
      </c>
      <c r="F2985" s="218">
        <v>5</v>
      </c>
      <c r="G2985" s="50"/>
      <c r="H2985" s="48">
        <v>2734.7</v>
      </c>
      <c r="I2985" s="218">
        <v>144</v>
      </c>
      <c r="J2985" s="19">
        <f t="shared" si="261"/>
        <v>534736.31999999995</v>
      </c>
      <c r="K2985" s="50"/>
      <c r="L2985" s="50"/>
      <c r="M2985" s="50"/>
      <c r="N2985" s="19">
        <f>SUMIF('2020'!B:B,B2985,'2020'!C:C)+SUMIF('2021'!B:B,B2985,'2021'!C:C)+SUMIF('2022'!B:B,B2985,'2022'!C:C)</f>
        <v>534736.31999999995</v>
      </c>
      <c r="O2985" s="219">
        <v>44925</v>
      </c>
      <c r="P2985" s="48" t="s">
        <v>3728</v>
      </c>
    </row>
    <row r="2986" spans="1:16" x14ac:dyDescent="0.3">
      <c r="A2986" s="474" t="s">
        <v>211</v>
      </c>
      <c r="B2986" s="475"/>
      <c r="C2986" s="50"/>
      <c r="D2986" s="50"/>
      <c r="E2986" s="48"/>
      <c r="F2986" s="48"/>
      <c r="G2986" s="50"/>
      <c r="H2986" s="48">
        <f>SUM(H2976:H2985)</f>
        <v>10817.9</v>
      </c>
      <c r="I2986" s="218">
        <f>SUM(I2976:I2985)</f>
        <v>526</v>
      </c>
      <c r="J2986" s="19">
        <f t="shared" si="261"/>
        <v>3896533.13</v>
      </c>
      <c r="K2986" s="50">
        <v>0</v>
      </c>
      <c r="L2986" s="50">
        <v>0</v>
      </c>
      <c r="M2986" s="50">
        <v>0</v>
      </c>
      <c r="N2986" s="50">
        <f>SUM(N2976:N2985)</f>
        <v>3896533.13</v>
      </c>
      <c r="O2986" s="50"/>
      <c r="P2986" s="50"/>
    </row>
    <row r="2987" spans="1:16" x14ac:dyDescent="0.3">
      <c r="A2987" s="472" t="s">
        <v>2827</v>
      </c>
      <c r="B2987" s="473"/>
      <c r="C2987" s="50"/>
      <c r="D2987" s="51"/>
      <c r="E2987" s="48"/>
      <c r="F2987" s="48"/>
      <c r="G2987" s="50"/>
      <c r="H2987" s="48"/>
      <c r="I2987" s="48"/>
      <c r="J2987" s="19"/>
      <c r="K2987" s="50"/>
      <c r="L2987" s="50"/>
      <c r="M2987" s="50"/>
      <c r="N2987" s="50"/>
      <c r="O2987" s="50"/>
      <c r="P2987" s="50"/>
    </row>
    <row r="2988" spans="1:16" x14ac:dyDescent="0.3">
      <c r="A2988" s="59">
        <f>A2985+1</f>
        <v>2675</v>
      </c>
      <c r="B2988" s="66" t="s">
        <v>2828</v>
      </c>
      <c r="C2988" s="184">
        <v>1965</v>
      </c>
      <c r="D2988" s="51"/>
      <c r="E2988" s="48" t="s">
        <v>3733</v>
      </c>
      <c r="F2988" s="218">
        <v>2</v>
      </c>
      <c r="G2988" s="50"/>
      <c r="H2988" s="48">
        <v>632.20000000000005</v>
      </c>
      <c r="I2988" s="218">
        <v>41</v>
      </c>
      <c r="J2988" s="19">
        <f t="shared" si="261"/>
        <v>2096895.6</v>
      </c>
      <c r="K2988" s="50"/>
      <c r="L2988" s="50"/>
      <c r="M2988" s="50"/>
      <c r="N2988" s="19">
        <f>SUMIF('2020'!B:B,B2988,'2020'!C:C)+SUMIF('2021'!B:B,B2988,'2021'!C:C)+SUMIF('2022'!B:B,B2988,'2022'!C:C)</f>
        <v>2096895.6</v>
      </c>
      <c r="O2988" s="219">
        <v>44925</v>
      </c>
      <c r="P2988" s="48" t="s">
        <v>3728</v>
      </c>
    </row>
    <row r="2989" spans="1:16" x14ac:dyDescent="0.3">
      <c r="A2989" s="59">
        <f t="shared" ref="A2989:A3013" si="263">A2988+1</f>
        <v>2676</v>
      </c>
      <c r="B2989" s="66" t="s">
        <v>2829</v>
      </c>
      <c r="C2989" s="184">
        <v>1967</v>
      </c>
      <c r="D2989" s="51"/>
      <c r="E2989" s="48" t="s">
        <v>3733</v>
      </c>
      <c r="F2989" s="218">
        <v>2</v>
      </c>
      <c r="G2989" s="50"/>
      <c r="H2989" s="48">
        <v>731.3</v>
      </c>
      <c r="I2989" s="218">
        <v>40</v>
      </c>
      <c r="J2989" s="19">
        <f t="shared" si="261"/>
        <v>2096895.6</v>
      </c>
      <c r="K2989" s="50"/>
      <c r="L2989" s="50"/>
      <c r="M2989" s="50"/>
      <c r="N2989" s="19">
        <f>SUMIF('2020'!B:B,B2989,'2020'!C:C)+SUMIF('2021'!B:B,B2989,'2021'!C:C)+SUMIF('2022'!B:B,B2989,'2022'!C:C)</f>
        <v>2096895.6</v>
      </c>
      <c r="O2989" s="219">
        <v>44925</v>
      </c>
      <c r="P2989" s="48" t="s">
        <v>3728</v>
      </c>
    </row>
    <row r="2990" spans="1:16" x14ac:dyDescent="0.3">
      <c r="A2990" s="59">
        <f t="shared" si="263"/>
        <v>2677</v>
      </c>
      <c r="B2990" s="66" t="s">
        <v>2830</v>
      </c>
      <c r="C2990" s="184">
        <v>1974</v>
      </c>
      <c r="D2990" s="51"/>
      <c r="E2990" s="48" t="s">
        <v>3733</v>
      </c>
      <c r="F2990" s="218">
        <v>2</v>
      </c>
      <c r="G2990" s="50"/>
      <c r="H2990" s="48">
        <v>866.6</v>
      </c>
      <c r="I2990" s="218">
        <v>44</v>
      </c>
      <c r="J2990" s="19">
        <f t="shared" si="261"/>
        <v>203212.37</v>
      </c>
      <c r="K2990" s="50"/>
      <c r="L2990" s="50"/>
      <c r="M2990" s="50"/>
      <c r="N2990" s="19">
        <f>SUMIF('2020'!B:B,B2990,'2020'!C:C)+SUMIF('2021'!B:B,B2990,'2021'!C:C)+SUMIF('2022'!B:B,B2990,'2022'!C:C)</f>
        <v>203212.37</v>
      </c>
      <c r="O2990" s="219">
        <v>44925</v>
      </c>
      <c r="P2990" s="48" t="s">
        <v>3728</v>
      </c>
    </row>
    <row r="2991" spans="1:16" x14ac:dyDescent="0.3">
      <c r="A2991" s="59">
        <f t="shared" si="263"/>
        <v>2678</v>
      </c>
      <c r="B2991" s="66" t="s">
        <v>2831</v>
      </c>
      <c r="C2991" s="184">
        <v>1976</v>
      </c>
      <c r="D2991" s="51"/>
      <c r="E2991" s="48" t="s">
        <v>3733</v>
      </c>
      <c r="F2991" s="218">
        <v>2</v>
      </c>
      <c r="G2991" s="50"/>
      <c r="H2991" s="48">
        <v>865.3</v>
      </c>
      <c r="I2991" s="218">
        <v>23</v>
      </c>
      <c r="J2991" s="19">
        <f t="shared" si="261"/>
        <v>194213.21</v>
      </c>
      <c r="K2991" s="50"/>
      <c r="L2991" s="50"/>
      <c r="M2991" s="50"/>
      <c r="N2991" s="19">
        <f>SUMIF('2020'!B:B,B2991,'2020'!C:C)+SUMIF('2021'!B:B,B2991,'2021'!C:C)+SUMIF('2022'!B:B,B2991,'2022'!C:C)</f>
        <v>194213.21</v>
      </c>
      <c r="O2991" s="219">
        <v>44925</v>
      </c>
      <c r="P2991" s="48" t="s">
        <v>3728</v>
      </c>
    </row>
    <row r="2992" spans="1:16" x14ac:dyDescent="0.3">
      <c r="A2992" s="59">
        <f t="shared" si="263"/>
        <v>2679</v>
      </c>
      <c r="B2992" s="66" t="s">
        <v>2832</v>
      </c>
      <c r="C2992" s="184">
        <v>1970</v>
      </c>
      <c r="D2992" s="51"/>
      <c r="E2992" s="48" t="s">
        <v>3733</v>
      </c>
      <c r="F2992" s="218">
        <v>2</v>
      </c>
      <c r="G2992" s="50"/>
      <c r="H2992" s="48">
        <v>749.6</v>
      </c>
      <c r="I2992" s="218">
        <v>23</v>
      </c>
      <c r="J2992" s="19">
        <f t="shared" si="261"/>
        <v>2540087.7400000002</v>
      </c>
      <c r="K2992" s="50"/>
      <c r="L2992" s="50"/>
      <c r="M2992" s="50"/>
      <c r="N2992" s="19">
        <f>SUMIF('2020'!B:B,B2992,'2020'!C:C)+SUMIF('2021'!B:B,B2992,'2021'!C:C)+SUMIF('2022'!B:B,B2992,'2022'!C:C)</f>
        <v>2540087.7400000002</v>
      </c>
      <c r="O2992" s="219">
        <v>44925</v>
      </c>
      <c r="P2992" s="48" t="s">
        <v>3728</v>
      </c>
    </row>
    <row r="2993" spans="1:16" x14ac:dyDescent="0.3">
      <c r="A2993" s="59">
        <f t="shared" si="263"/>
        <v>2680</v>
      </c>
      <c r="B2993" s="66" t="s">
        <v>2833</v>
      </c>
      <c r="C2993" s="184">
        <v>1973</v>
      </c>
      <c r="D2993" s="51"/>
      <c r="E2993" s="48" t="s">
        <v>3731</v>
      </c>
      <c r="F2993" s="218">
        <v>2</v>
      </c>
      <c r="G2993" s="50"/>
      <c r="H2993" s="48">
        <v>773.7</v>
      </c>
      <c r="I2993" s="218">
        <v>44</v>
      </c>
      <c r="J2993" s="19">
        <f t="shared" si="261"/>
        <v>91100.87</v>
      </c>
      <c r="K2993" s="50"/>
      <c r="L2993" s="50"/>
      <c r="M2993" s="50"/>
      <c r="N2993" s="19">
        <f>SUMIF('2020'!B:B,B2993,'2020'!C:C)+SUMIF('2021'!B:B,B2993,'2021'!C:C)+SUMIF('2022'!B:B,B2993,'2022'!C:C)</f>
        <v>91100.87</v>
      </c>
      <c r="O2993" s="219">
        <v>44925</v>
      </c>
      <c r="P2993" s="48" t="s">
        <v>3728</v>
      </c>
    </row>
    <row r="2994" spans="1:16" x14ac:dyDescent="0.3">
      <c r="A2994" s="59">
        <f t="shared" si="263"/>
        <v>2681</v>
      </c>
      <c r="B2994" s="66" t="s">
        <v>2834</v>
      </c>
      <c r="C2994" s="184">
        <v>1974</v>
      </c>
      <c r="D2994" s="51"/>
      <c r="E2994" s="48" t="s">
        <v>3731</v>
      </c>
      <c r="F2994" s="218">
        <v>2</v>
      </c>
      <c r="G2994" s="50"/>
      <c r="H2994" s="48">
        <v>778.9</v>
      </c>
      <c r="I2994" s="218">
        <v>16</v>
      </c>
      <c r="J2994" s="19">
        <f t="shared" si="261"/>
        <v>91100.87</v>
      </c>
      <c r="K2994" s="50"/>
      <c r="L2994" s="50"/>
      <c r="M2994" s="50"/>
      <c r="N2994" s="19">
        <f>SUMIF('2020'!B:B,B2994,'2020'!C:C)+SUMIF('2021'!B:B,B2994,'2021'!C:C)+SUMIF('2022'!B:B,B2994,'2022'!C:C)</f>
        <v>91100.87</v>
      </c>
      <c r="O2994" s="219">
        <v>44925</v>
      </c>
      <c r="P2994" s="48" t="s">
        <v>3728</v>
      </c>
    </row>
    <row r="2995" spans="1:16" x14ac:dyDescent="0.3">
      <c r="A2995" s="59">
        <f t="shared" si="263"/>
        <v>2682</v>
      </c>
      <c r="B2995" s="66" t="s">
        <v>2835</v>
      </c>
      <c r="C2995" s="184">
        <v>1973</v>
      </c>
      <c r="D2995" s="51"/>
      <c r="E2995" s="48" t="s">
        <v>3731</v>
      </c>
      <c r="F2995" s="218">
        <v>2</v>
      </c>
      <c r="G2995" s="50"/>
      <c r="H2995" s="48">
        <v>776.9</v>
      </c>
      <c r="I2995" s="218">
        <v>20</v>
      </c>
      <c r="J2995" s="19">
        <f t="shared" si="261"/>
        <v>407315.01</v>
      </c>
      <c r="K2995" s="50"/>
      <c r="L2995" s="50"/>
      <c r="M2995" s="50"/>
      <c r="N2995" s="19">
        <f>SUMIF('2020'!B:B,B2995,'2020'!C:C)+SUMIF('2021'!B:B,B2995,'2021'!C:C)+SUMIF('2022'!B:B,B2995,'2022'!C:C)</f>
        <v>407315.01</v>
      </c>
      <c r="O2995" s="219">
        <v>44925</v>
      </c>
      <c r="P2995" s="48" t="s">
        <v>3728</v>
      </c>
    </row>
    <row r="2996" spans="1:16" x14ac:dyDescent="0.3">
      <c r="A2996" s="59">
        <f t="shared" si="263"/>
        <v>2683</v>
      </c>
      <c r="B2996" s="66" t="s">
        <v>2836</v>
      </c>
      <c r="C2996" s="184">
        <v>1978</v>
      </c>
      <c r="D2996" s="51"/>
      <c r="E2996" s="48" t="s">
        <v>3731</v>
      </c>
      <c r="F2996" s="218">
        <v>2</v>
      </c>
      <c r="G2996" s="50"/>
      <c r="H2996" s="48">
        <v>1444.2</v>
      </c>
      <c r="I2996" s="218">
        <v>34</v>
      </c>
      <c r="J2996" s="19">
        <f t="shared" si="261"/>
        <v>184464.44</v>
      </c>
      <c r="K2996" s="50"/>
      <c r="L2996" s="50"/>
      <c r="M2996" s="50"/>
      <c r="N2996" s="19">
        <f>SUMIF('2020'!B:B,B2996,'2020'!C:C)+SUMIF('2021'!B:B,B2996,'2021'!C:C)+SUMIF('2022'!B:B,B2996,'2022'!C:C)</f>
        <v>184464.44</v>
      </c>
      <c r="O2996" s="219">
        <v>44925</v>
      </c>
      <c r="P2996" s="48" t="s">
        <v>3728</v>
      </c>
    </row>
    <row r="2997" spans="1:16" x14ac:dyDescent="0.3">
      <c r="A2997" s="59">
        <f t="shared" si="263"/>
        <v>2684</v>
      </c>
      <c r="B2997" s="66" t="s">
        <v>2837</v>
      </c>
      <c r="C2997" s="184">
        <v>1960</v>
      </c>
      <c r="D2997" s="51"/>
      <c r="E2997" s="48" t="s">
        <v>3733</v>
      </c>
      <c r="F2997" s="218">
        <v>2</v>
      </c>
      <c r="G2997" s="50"/>
      <c r="H2997" s="48">
        <v>636.4</v>
      </c>
      <c r="I2997" s="218">
        <v>29</v>
      </c>
      <c r="J2997" s="19">
        <f t="shared" si="261"/>
        <v>346673.63</v>
      </c>
      <c r="K2997" s="50"/>
      <c r="L2997" s="50"/>
      <c r="M2997" s="50"/>
      <c r="N2997" s="19">
        <f>SUMIF('2020'!B:B,B2997,'2020'!C:C)+SUMIF('2021'!B:B,B2997,'2021'!C:C)+SUMIF('2022'!B:B,B2997,'2022'!C:C)</f>
        <v>346673.63</v>
      </c>
      <c r="O2997" s="219">
        <v>44925</v>
      </c>
      <c r="P2997" s="48" t="s">
        <v>3728</v>
      </c>
    </row>
    <row r="2998" spans="1:16" x14ac:dyDescent="0.3">
      <c r="A2998" s="59">
        <f t="shared" si="263"/>
        <v>2685</v>
      </c>
      <c r="B2998" s="66" t="s">
        <v>2838</v>
      </c>
      <c r="C2998" s="184">
        <v>1966</v>
      </c>
      <c r="D2998" s="51"/>
      <c r="E2998" s="48" t="s">
        <v>3733</v>
      </c>
      <c r="F2998" s="218">
        <v>3</v>
      </c>
      <c r="G2998" s="50"/>
      <c r="H2998" s="48">
        <v>1490.6</v>
      </c>
      <c r="I2998" s="218">
        <v>51</v>
      </c>
      <c r="J2998" s="19">
        <f t="shared" si="261"/>
        <v>3997680.6199999996</v>
      </c>
      <c r="K2998" s="50"/>
      <c r="L2998" s="50"/>
      <c r="M2998" s="50"/>
      <c r="N2998" s="19">
        <f>SUMIF('2020'!B:B,B2998,'2020'!C:C)+SUMIF('2021'!B:B,B2998,'2021'!C:C)+SUMIF('2022'!B:B,B2998,'2022'!C:C)</f>
        <v>3997680.6199999996</v>
      </c>
      <c r="O2998" s="219">
        <v>44925</v>
      </c>
      <c r="P2998" s="48" t="s">
        <v>3728</v>
      </c>
    </row>
    <row r="2999" spans="1:16" x14ac:dyDescent="0.3">
      <c r="A2999" s="59">
        <f t="shared" si="263"/>
        <v>2686</v>
      </c>
      <c r="B2999" s="66" t="s">
        <v>2839</v>
      </c>
      <c r="C2999" s="184">
        <v>1966</v>
      </c>
      <c r="D2999" s="51"/>
      <c r="E2999" s="48" t="s">
        <v>3733</v>
      </c>
      <c r="F2999" s="218">
        <v>3</v>
      </c>
      <c r="G2999" s="50"/>
      <c r="H2999" s="48">
        <v>1490.6</v>
      </c>
      <c r="I2999" s="218">
        <v>53</v>
      </c>
      <c r="J2999" s="19">
        <f t="shared" si="261"/>
        <v>3797158.8</v>
      </c>
      <c r="K2999" s="50"/>
      <c r="L2999" s="50"/>
      <c r="M2999" s="50"/>
      <c r="N2999" s="19">
        <f>SUMIF('2020'!B:B,B2999,'2020'!C:C)+SUMIF('2021'!B:B,B2999,'2021'!C:C)+SUMIF('2022'!B:B,B2999,'2022'!C:C)</f>
        <v>3797158.8</v>
      </c>
      <c r="O2999" s="219">
        <v>44925</v>
      </c>
      <c r="P2999" s="48" t="s">
        <v>3728</v>
      </c>
    </row>
    <row r="3000" spans="1:16" x14ac:dyDescent="0.3">
      <c r="A3000" s="59">
        <f t="shared" si="263"/>
        <v>2687</v>
      </c>
      <c r="B3000" s="66" t="s">
        <v>2840</v>
      </c>
      <c r="C3000" s="184">
        <v>1960</v>
      </c>
      <c r="D3000" s="51"/>
      <c r="E3000" s="48" t="s">
        <v>3733</v>
      </c>
      <c r="F3000" s="218">
        <v>2</v>
      </c>
      <c r="G3000" s="50"/>
      <c r="H3000" s="48">
        <v>647.29999999999995</v>
      </c>
      <c r="I3000" s="218">
        <v>33</v>
      </c>
      <c r="J3000" s="19">
        <f t="shared" si="261"/>
        <v>239492.8</v>
      </c>
      <c r="K3000" s="50"/>
      <c r="L3000" s="50"/>
      <c r="M3000" s="50"/>
      <c r="N3000" s="19">
        <f>SUMIF('2020'!B:B,B3000,'2020'!C:C)+SUMIF('2021'!B:B,B3000,'2021'!C:C)+SUMIF('2022'!B:B,B3000,'2022'!C:C)</f>
        <v>239492.8</v>
      </c>
      <c r="O3000" s="219">
        <v>44925</v>
      </c>
      <c r="P3000" s="48" t="s">
        <v>3728</v>
      </c>
    </row>
    <row r="3001" spans="1:16" x14ac:dyDescent="0.3">
      <c r="A3001" s="59">
        <f t="shared" si="263"/>
        <v>2688</v>
      </c>
      <c r="B3001" s="66" t="s">
        <v>2841</v>
      </c>
      <c r="C3001" s="184">
        <v>1960</v>
      </c>
      <c r="D3001" s="51"/>
      <c r="E3001" s="48" t="s">
        <v>3733</v>
      </c>
      <c r="F3001" s="218">
        <v>2</v>
      </c>
      <c r="G3001" s="50"/>
      <c r="H3001" s="48">
        <v>640.79999999999995</v>
      </c>
      <c r="I3001" s="218">
        <v>39</v>
      </c>
      <c r="J3001" s="19">
        <f t="shared" si="261"/>
        <v>239492.8</v>
      </c>
      <c r="K3001" s="50"/>
      <c r="L3001" s="50"/>
      <c r="M3001" s="50"/>
      <c r="N3001" s="19">
        <f>SUMIF('2020'!B:B,B3001,'2020'!C:C)+SUMIF('2021'!B:B,B3001,'2021'!C:C)+SUMIF('2022'!B:B,B3001,'2022'!C:C)</f>
        <v>239492.8</v>
      </c>
      <c r="O3001" s="219">
        <v>44925</v>
      </c>
      <c r="P3001" s="48" t="s">
        <v>3728</v>
      </c>
    </row>
    <row r="3002" spans="1:16" x14ac:dyDescent="0.3">
      <c r="A3002" s="59">
        <f t="shared" si="263"/>
        <v>2689</v>
      </c>
      <c r="B3002" s="66" t="s">
        <v>2842</v>
      </c>
      <c r="C3002" s="184">
        <v>1960</v>
      </c>
      <c r="D3002" s="51"/>
      <c r="E3002" s="48" t="s">
        <v>3733</v>
      </c>
      <c r="F3002" s="218">
        <v>2</v>
      </c>
      <c r="G3002" s="50"/>
      <c r="H3002" s="48">
        <v>634.79999999999995</v>
      </c>
      <c r="I3002" s="218">
        <v>39</v>
      </c>
      <c r="J3002" s="19">
        <f t="shared" si="261"/>
        <v>239492.8</v>
      </c>
      <c r="K3002" s="50"/>
      <c r="L3002" s="50"/>
      <c r="M3002" s="50"/>
      <c r="N3002" s="19">
        <f>SUMIF('2020'!B:B,B3002,'2020'!C:C)+SUMIF('2021'!B:B,B3002,'2021'!C:C)+SUMIF('2022'!B:B,B3002,'2022'!C:C)</f>
        <v>239492.8</v>
      </c>
      <c r="O3002" s="219">
        <v>44925</v>
      </c>
      <c r="P3002" s="48" t="s">
        <v>3728</v>
      </c>
    </row>
    <row r="3003" spans="1:16" x14ac:dyDescent="0.3">
      <c r="A3003" s="59">
        <f t="shared" si="263"/>
        <v>2690</v>
      </c>
      <c r="B3003" s="66" t="s">
        <v>2843</v>
      </c>
      <c r="C3003" s="184">
        <v>1960</v>
      </c>
      <c r="D3003" s="51"/>
      <c r="E3003" s="48" t="s">
        <v>3733</v>
      </c>
      <c r="F3003" s="218">
        <v>2</v>
      </c>
      <c r="G3003" s="50"/>
      <c r="H3003" s="48">
        <v>634.1</v>
      </c>
      <c r="I3003" s="218">
        <v>32</v>
      </c>
      <c r="J3003" s="19">
        <f t="shared" si="261"/>
        <v>239492.8</v>
      </c>
      <c r="K3003" s="50"/>
      <c r="L3003" s="50"/>
      <c r="M3003" s="50"/>
      <c r="N3003" s="19">
        <f>SUMIF('2020'!B:B,B3003,'2020'!C:C)+SUMIF('2021'!B:B,B3003,'2021'!C:C)+SUMIF('2022'!B:B,B3003,'2022'!C:C)</f>
        <v>239492.8</v>
      </c>
      <c r="O3003" s="219">
        <v>44925</v>
      </c>
      <c r="P3003" s="48" t="s">
        <v>3728</v>
      </c>
    </row>
    <row r="3004" spans="1:16" x14ac:dyDescent="0.3">
      <c r="A3004" s="59">
        <f t="shared" si="263"/>
        <v>2691</v>
      </c>
      <c r="B3004" s="66" t="s">
        <v>2844</v>
      </c>
      <c r="C3004" s="184">
        <v>1955</v>
      </c>
      <c r="D3004" s="51"/>
      <c r="E3004" s="48" t="s">
        <v>3733</v>
      </c>
      <c r="F3004" s="218">
        <v>2</v>
      </c>
      <c r="G3004" s="50"/>
      <c r="H3004" s="48">
        <v>634.1</v>
      </c>
      <c r="I3004" s="218">
        <v>33</v>
      </c>
      <c r="J3004" s="19">
        <f t="shared" si="261"/>
        <v>385036.01</v>
      </c>
      <c r="K3004" s="50"/>
      <c r="L3004" s="50"/>
      <c r="M3004" s="50"/>
      <c r="N3004" s="19">
        <f>SUMIF('2020'!B:B,B3004,'2020'!C:C)+SUMIF('2021'!B:B,B3004,'2021'!C:C)+SUMIF('2022'!B:B,B3004,'2022'!C:C)</f>
        <v>385036.01</v>
      </c>
      <c r="O3004" s="219">
        <v>44925</v>
      </c>
      <c r="P3004" s="48" t="s">
        <v>3728</v>
      </c>
    </row>
    <row r="3005" spans="1:16" x14ac:dyDescent="0.3">
      <c r="A3005" s="59">
        <f t="shared" si="263"/>
        <v>2692</v>
      </c>
      <c r="B3005" s="66" t="s">
        <v>2845</v>
      </c>
      <c r="C3005" s="184">
        <v>1955</v>
      </c>
      <c r="D3005" s="51"/>
      <c r="E3005" s="48" t="s">
        <v>3733</v>
      </c>
      <c r="F3005" s="218">
        <v>2</v>
      </c>
      <c r="G3005" s="50"/>
      <c r="H3005" s="48">
        <v>634.1</v>
      </c>
      <c r="I3005" s="218">
        <v>33</v>
      </c>
      <c r="J3005" s="19">
        <f t="shared" si="261"/>
        <v>385036.01</v>
      </c>
      <c r="K3005" s="50"/>
      <c r="L3005" s="50"/>
      <c r="M3005" s="50"/>
      <c r="N3005" s="19">
        <f>SUMIF('2020'!B:B,B3005,'2020'!C:C)+SUMIF('2021'!B:B,B3005,'2021'!C:C)+SUMIF('2022'!B:B,B3005,'2022'!C:C)</f>
        <v>385036.01</v>
      </c>
      <c r="O3005" s="219">
        <v>44925</v>
      </c>
      <c r="P3005" s="48" t="s">
        <v>3728</v>
      </c>
    </row>
    <row r="3006" spans="1:16" x14ac:dyDescent="0.3">
      <c r="A3006" s="59">
        <f t="shared" si="263"/>
        <v>2693</v>
      </c>
      <c r="B3006" s="66" t="s">
        <v>2846</v>
      </c>
      <c r="C3006" s="184">
        <v>1955</v>
      </c>
      <c r="D3006" s="51"/>
      <c r="E3006" s="48" t="s">
        <v>3733</v>
      </c>
      <c r="F3006" s="218">
        <v>2</v>
      </c>
      <c r="G3006" s="50"/>
      <c r="H3006" s="48">
        <v>385.7</v>
      </c>
      <c r="I3006" s="218">
        <v>9</v>
      </c>
      <c r="J3006" s="19">
        <f t="shared" si="261"/>
        <v>385036.01</v>
      </c>
      <c r="K3006" s="50"/>
      <c r="L3006" s="50"/>
      <c r="M3006" s="50"/>
      <c r="N3006" s="19">
        <f>SUMIF('2020'!B:B,B3006,'2020'!C:C)+SUMIF('2021'!B:B,B3006,'2021'!C:C)+SUMIF('2022'!B:B,B3006,'2022'!C:C)</f>
        <v>385036.01</v>
      </c>
      <c r="O3006" s="219">
        <v>44925</v>
      </c>
      <c r="P3006" s="48" t="s">
        <v>3728</v>
      </c>
    </row>
    <row r="3007" spans="1:16" x14ac:dyDescent="0.3">
      <c r="A3007" s="59">
        <f t="shared" si="263"/>
        <v>2694</v>
      </c>
      <c r="B3007" s="66" t="s">
        <v>2847</v>
      </c>
      <c r="C3007" s="184">
        <v>1979</v>
      </c>
      <c r="D3007" s="51"/>
      <c r="E3007" s="48" t="s">
        <v>3733</v>
      </c>
      <c r="F3007" s="218">
        <v>5</v>
      </c>
      <c r="G3007" s="50"/>
      <c r="H3007" s="48">
        <v>3924.6</v>
      </c>
      <c r="I3007" s="218">
        <v>81</v>
      </c>
      <c r="J3007" s="19">
        <f t="shared" si="261"/>
        <v>596302.76</v>
      </c>
      <c r="K3007" s="50"/>
      <c r="L3007" s="50"/>
      <c r="M3007" s="50"/>
      <c r="N3007" s="19">
        <f>SUMIF('2020'!B:B,B3007,'2020'!C:C)+SUMIF('2021'!B:B,B3007,'2021'!C:C)+SUMIF('2022'!B:B,B3007,'2022'!C:C)</f>
        <v>596302.76</v>
      </c>
      <c r="O3007" s="219">
        <v>44925</v>
      </c>
      <c r="P3007" s="48" t="s">
        <v>3728</v>
      </c>
    </row>
    <row r="3008" spans="1:16" x14ac:dyDescent="0.3">
      <c r="A3008" s="59">
        <f t="shared" si="263"/>
        <v>2695</v>
      </c>
      <c r="B3008" s="66" t="s">
        <v>2848</v>
      </c>
      <c r="C3008" s="184">
        <v>1955</v>
      </c>
      <c r="D3008" s="51"/>
      <c r="E3008" s="48" t="s">
        <v>3733</v>
      </c>
      <c r="F3008" s="218">
        <v>2</v>
      </c>
      <c r="G3008" s="50"/>
      <c r="H3008" s="48">
        <v>796.8</v>
      </c>
      <c r="I3008" s="218">
        <v>34</v>
      </c>
      <c r="J3008" s="19">
        <f t="shared" si="261"/>
        <v>503178.27</v>
      </c>
      <c r="K3008" s="50"/>
      <c r="L3008" s="50"/>
      <c r="M3008" s="50"/>
      <c r="N3008" s="19">
        <f>SUMIF('2020'!B:B,B3008,'2020'!C:C)+SUMIF('2021'!B:B,B3008,'2021'!C:C)+SUMIF('2022'!B:B,B3008,'2022'!C:C)</f>
        <v>503178.27</v>
      </c>
      <c r="O3008" s="219">
        <v>44925</v>
      </c>
      <c r="P3008" s="48" t="s">
        <v>3728</v>
      </c>
    </row>
    <row r="3009" spans="1:16" x14ac:dyDescent="0.3">
      <c r="A3009" s="59">
        <f t="shared" si="263"/>
        <v>2696</v>
      </c>
      <c r="B3009" s="66" t="s">
        <v>2849</v>
      </c>
      <c r="C3009" s="184">
        <v>1955</v>
      </c>
      <c r="D3009" s="51"/>
      <c r="E3009" s="48" t="s">
        <v>3733</v>
      </c>
      <c r="F3009" s="266">
        <v>2</v>
      </c>
      <c r="G3009" s="228"/>
      <c r="H3009" s="48">
        <v>842</v>
      </c>
      <c r="I3009" s="218">
        <v>28</v>
      </c>
      <c r="J3009" s="19">
        <f t="shared" si="261"/>
        <v>8619627.4299999997</v>
      </c>
      <c r="K3009" s="50"/>
      <c r="L3009" s="228"/>
      <c r="M3009" s="50"/>
      <c r="N3009" s="19">
        <f>SUMIF('2020'!B:B,B3009,'2020'!C:C)+SUMIF('2021'!B:B,B3009,'2021'!C:C)+SUMIF('2022'!B:B,B3009,'2022'!C:C)</f>
        <v>8619627.4299999997</v>
      </c>
      <c r="O3009" s="219">
        <v>44925</v>
      </c>
      <c r="P3009" s="48" t="s">
        <v>3728</v>
      </c>
    </row>
    <row r="3010" spans="1:16" x14ac:dyDescent="0.3">
      <c r="A3010" s="59">
        <f t="shared" si="263"/>
        <v>2697</v>
      </c>
      <c r="B3010" s="66" t="s">
        <v>2850</v>
      </c>
      <c r="C3010" s="184">
        <v>1955</v>
      </c>
      <c r="D3010" s="51"/>
      <c r="E3010" s="48" t="s">
        <v>3733</v>
      </c>
      <c r="F3010" s="266">
        <v>2</v>
      </c>
      <c r="G3010" s="50"/>
      <c r="H3010" s="48">
        <v>803.4</v>
      </c>
      <c r="I3010" s="218">
        <v>30</v>
      </c>
      <c r="J3010" s="19">
        <f t="shared" si="261"/>
        <v>385036.01</v>
      </c>
      <c r="K3010" s="50"/>
      <c r="L3010" s="50"/>
      <c r="M3010" s="50"/>
      <c r="N3010" s="19">
        <f>SUMIF('2020'!B:B,B3010,'2020'!C:C)+SUMIF('2021'!B:B,B3010,'2021'!C:C)+SUMIF('2022'!B:B,B3010,'2022'!C:C)</f>
        <v>385036.01</v>
      </c>
      <c r="O3010" s="219">
        <v>44925</v>
      </c>
      <c r="P3010" s="48" t="s">
        <v>3728</v>
      </c>
    </row>
    <row r="3011" spans="1:16" x14ac:dyDescent="0.3">
      <c r="A3011" s="59">
        <f t="shared" si="263"/>
        <v>2698</v>
      </c>
      <c r="B3011" s="66" t="s">
        <v>2851</v>
      </c>
      <c r="C3011" s="184">
        <v>1955</v>
      </c>
      <c r="D3011" s="51"/>
      <c r="E3011" s="48" t="s">
        <v>3733</v>
      </c>
      <c r="F3011" s="266">
        <v>2</v>
      </c>
      <c r="G3011" s="50"/>
      <c r="H3011" s="48">
        <v>836.4</v>
      </c>
      <c r="I3011" s="218">
        <v>32</v>
      </c>
      <c r="J3011" s="19">
        <f t="shared" si="261"/>
        <v>7906458.8300000001</v>
      </c>
      <c r="K3011" s="50"/>
      <c r="L3011" s="228"/>
      <c r="M3011" s="50"/>
      <c r="N3011" s="19">
        <f>SUMIF('2020'!B:B,B3011,'2020'!C:C)+SUMIF('2021'!B:B,B3011,'2021'!C:C)+SUMIF('2022'!B:B,B3011,'2022'!C:C)</f>
        <v>7906458.8300000001</v>
      </c>
      <c r="O3011" s="219">
        <v>44925</v>
      </c>
      <c r="P3011" s="48" t="s">
        <v>3728</v>
      </c>
    </row>
    <row r="3012" spans="1:16" x14ac:dyDescent="0.3">
      <c r="A3012" s="59">
        <f t="shared" si="263"/>
        <v>2699</v>
      </c>
      <c r="B3012" s="66" t="s">
        <v>2852</v>
      </c>
      <c r="C3012" s="184">
        <v>1955</v>
      </c>
      <c r="D3012" s="51"/>
      <c r="E3012" s="48" t="s">
        <v>3733</v>
      </c>
      <c r="F3012" s="266">
        <v>2</v>
      </c>
      <c r="G3012" s="228"/>
      <c r="H3012" s="48">
        <v>752.9</v>
      </c>
      <c r="I3012" s="218">
        <v>28</v>
      </c>
      <c r="J3012" s="19">
        <f t="shared" si="261"/>
        <v>8443099.2100000009</v>
      </c>
      <c r="K3012" s="50"/>
      <c r="L3012" s="228"/>
      <c r="M3012" s="50"/>
      <c r="N3012" s="19">
        <f>SUMIF('2020'!B:B,B3012,'2020'!C:C)+SUMIF('2021'!B:B,B3012,'2021'!C:C)+SUMIF('2022'!B:B,B3012,'2022'!C:C)</f>
        <v>8443099.2100000009</v>
      </c>
      <c r="O3012" s="219">
        <v>44925</v>
      </c>
      <c r="P3012" s="48" t="s">
        <v>3728</v>
      </c>
    </row>
    <row r="3013" spans="1:16" x14ac:dyDescent="0.3">
      <c r="A3013" s="59">
        <f t="shared" si="263"/>
        <v>2700</v>
      </c>
      <c r="B3013" s="66" t="s">
        <v>2853</v>
      </c>
      <c r="C3013" s="184">
        <v>1955</v>
      </c>
      <c r="D3013" s="51"/>
      <c r="E3013" s="48" t="s">
        <v>3733</v>
      </c>
      <c r="F3013" s="266">
        <v>2</v>
      </c>
      <c r="G3013" s="228"/>
      <c r="H3013" s="254">
        <v>538</v>
      </c>
      <c r="I3013" s="218">
        <v>19</v>
      </c>
      <c r="J3013" s="19">
        <f t="shared" si="261"/>
        <v>6204189.0200000005</v>
      </c>
      <c r="K3013" s="50"/>
      <c r="L3013" s="50"/>
      <c r="M3013" s="50"/>
      <c r="N3013" s="19">
        <f>SUMIF('2020'!B:B,B3013,'2020'!C:C)+SUMIF('2021'!B:B,B3013,'2021'!C:C)+SUMIF('2022'!B:B,B3013,'2022'!C:C)</f>
        <v>6204189.0200000005</v>
      </c>
      <c r="O3013" s="219">
        <v>44925</v>
      </c>
      <c r="P3013" s="48" t="s">
        <v>3728</v>
      </c>
    </row>
    <row r="3014" spans="1:16" x14ac:dyDescent="0.3">
      <c r="A3014" s="474" t="s">
        <v>211</v>
      </c>
      <c r="B3014" s="475"/>
      <c r="C3014" s="50"/>
      <c r="D3014" s="50"/>
      <c r="E3014" s="48"/>
      <c r="F3014" s="48"/>
      <c r="G3014" s="50"/>
      <c r="H3014" s="48">
        <f>SUM(H2988:H3013)</f>
        <v>23941.300000000003</v>
      </c>
      <c r="I3014" s="218">
        <f>SUM(I2988:I3013)</f>
        <v>888</v>
      </c>
      <c r="J3014" s="19">
        <f t="shared" si="261"/>
        <v>50817769.520000018</v>
      </c>
      <c r="K3014" s="50">
        <v>0</v>
      </c>
      <c r="L3014" s="50">
        <v>0</v>
      </c>
      <c r="M3014" s="50">
        <v>0</v>
      </c>
      <c r="N3014" s="50">
        <f>SUM(N2988:N3013)</f>
        <v>50817769.520000018</v>
      </c>
      <c r="O3014" s="50"/>
      <c r="P3014" s="50"/>
    </row>
    <row r="3015" spans="1:16" x14ac:dyDescent="0.3">
      <c r="A3015" s="472" t="s">
        <v>2854</v>
      </c>
      <c r="B3015" s="473"/>
      <c r="C3015" s="50"/>
      <c r="D3015" s="51"/>
      <c r="E3015" s="48"/>
      <c r="F3015" s="48"/>
      <c r="G3015" s="50"/>
      <c r="H3015" s="48"/>
      <c r="I3015" s="48"/>
      <c r="J3015" s="19"/>
      <c r="K3015" s="50"/>
      <c r="L3015" s="50"/>
      <c r="M3015" s="50"/>
      <c r="N3015" s="50"/>
      <c r="O3015" s="50"/>
      <c r="P3015" s="50"/>
    </row>
    <row r="3016" spans="1:16" x14ac:dyDescent="0.3">
      <c r="A3016" s="59">
        <f>A3013+1</f>
        <v>2701</v>
      </c>
      <c r="B3016" s="66" t="s">
        <v>2855</v>
      </c>
      <c r="C3016" s="184">
        <v>1976</v>
      </c>
      <c r="D3016" s="51"/>
      <c r="E3016" s="48" t="s">
        <v>3729</v>
      </c>
      <c r="F3016" s="218">
        <v>5</v>
      </c>
      <c r="G3016" s="50"/>
      <c r="H3016" s="48">
        <v>4426.6000000000004</v>
      </c>
      <c r="I3016" s="218">
        <v>225</v>
      </c>
      <c r="J3016" s="19">
        <f t="shared" si="261"/>
        <v>212527.87</v>
      </c>
      <c r="K3016" s="50"/>
      <c r="L3016" s="50"/>
      <c r="M3016" s="50"/>
      <c r="N3016" s="19">
        <f>SUMIF('2020'!B:B,B3016,'2020'!C:C)+SUMIF('2021'!B:B,B3016,'2021'!C:C)+SUMIF('2022'!B:B,B3016,'2022'!C:C)</f>
        <v>212527.87</v>
      </c>
      <c r="O3016" s="219">
        <v>44925</v>
      </c>
      <c r="P3016" s="48" t="s">
        <v>2042</v>
      </c>
    </row>
    <row r="3017" spans="1:16" x14ac:dyDescent="0.3">
      <c r="A3017" s="59">
        <f>A3016+1</f>
        <v>2702</v>
      </c>
      <c r="B3017" s="66" t="s">
        <v>2856</v>
      </c>
      <c r="C3017" s="184">
        <v>1977</v>
      </c>
      <c r="D3017" s="51"/>
      <c r="E3017" s="48" t="s">
        <v>3729</v>
      </c>
      <c r="F3017" s="218">
        <v>5</v>
      </c>
      <c r="G3017" s="50"/>
      <c r="H3017" s="48">
        <v>5904.9</v>
      </c>
      <c r="I3017" s="218">
        <v>227</v>
      </c>
      <c r="J3017" s="19">
        <f t="shared" si="261"/>
        <v>212105.15</v>
      </c>
      <c r="K3017" s="50"/>
      <c r="L3017" s="50"/>
      <c r="M3017" s="50"/>
      <c r="N3017" s="19">
        <f>SUMIF('2020'!B:B,B3017,'2020'!C:C)+SUMIF('2021'!B:B,B3017,'2021'!C:C)+SUMIF('2022'!B:B,B3017,'2022'!C:C)</f>
        <v>212105.15</v>
      </c>
      <c r="O3017" s="219">
        <v>44925</v>
      </c>
      <c r="P3017" s="48" t="s">
        <v>2042</v>
      </c>
    </row>
    <row r="3018" spans="1:16" x14ac:dyDescent="0.3">
      <c r="A3018" s="474" t="s">
        <v>211</v>
      </c>
      <c r="B3018" s="475"/>
      <c r="C3018" s="50"/>
      <c r="D3018" s="50"/>
      <c r="E3018" s="48"/>
      <c r="F3018" s="48"/>
      <c r="G3018" s="50"/>
      <c r="H3018" s="48">
        <f>SUM(H3016:H3017)</f>
        <v>10331.5</v>
      </c>
      <c r="I3018" s="218">
        <f>SUM(I3016:I3017)</f>
        <v>452</v>
      </c>
      <c r="J3018" s="19">
        <f t="shared" si="261"/>
        <v>424633.02</v>
      </c>
      <c r="K3018" s="50">
        <v>0</v>
      </c>
      <c r="L3018" s="50">
        <v>0</v>
      </c>
      <c r="M3018" s="50">
        <v>0</v>
      </c>
      <c r="N3018" s="50">
        <f>SUM(N3016:N3017)</f>
        <v>424633.02</v>
      </c>
      <c r="O3018" s="50"/>
      <c r="P3018" s="50"/>
    </row>
    <row r="3019" spans="1:16" x14ac:dyDescent="0.3">
      <c r="A3019" s="472" t="s">
        <v>2857</v>
      </c>
      <c r="B3019" s="473"/>
      <c r="C3019" s="50"/>
      <c r="D3019" s="51"/>
      <c r="E3019" s="48"/>
      <c r="F3019" s="48"/>
      <c r="G3019" s="50"/>
      <c r="H3019" s="48"/>
      <c r="I3019" s="48"/>
      <c r="J3019" s="19"/>
      <c r="K3019" s="50"/>
      <c r="L3019" s="50"/>
      <c r="M3019" s="50"/>
      <c r="N3019" s="50"/>
      <c r="O3019" s="50"/>
      <c r="P3019" s="50"/>
    </row>
    <row r="3020" spans="1:16" x14ac:dyDescent="0.3">
      <c r="A3020" s="59">
        <f>A3017+1</f>
        <v>2703</v>
      </c>
      <c r="B3020" s="66" t="s">
        <v>2858</v>
      </c>
      <c r="C3020" s="184">
        <v>1976</v>
      </c>
      <c r="D3020" s="51"/>
      <c r="E3020" s="48" t="s">
        <v>3729</v>
      </c>
      <c r="F3020" s="218">
        <v>3</v>
      </c>
      <c r="G3020" s="50"/>
      <c r="H3020" s="48">
        <v>1461.2</v>
      </c>
      <c r="I3020" s="218">
        <v>94</v>
      </c>
      <c r="J3020" s="19">
        <f t="shared" si="261"/>
        <v>111665.21</v>
      </c>
      <c r="K3020" s="50"/>
      <c r="L3020" s="50"/>
      <c r="M3020" s="50"/>
      <c r="N3020" s="19">
        <f>SUMIF('2020'!B:B,B3020,'2020'!C:C)+SUMIF('2021'!B:B,B3020,'2021'!C:C)+SUMIF('2022'!B:B,B3020,'2022'!C:C)</f>
        <v>111665.21</v>
      </c>
      <c r="O3020" s="219">
        <v>44925</v>
      </c>
      <c r="P3020" s="48" t="s">
        <v>3728</v>
      </c>
    </row>
    <row r="3021" spans="1:16" x14ac:dyDescent="0.3">
      <c r="A3021" s="59">
        <f t="shared" ref="A3021:A3049" si="264">A3020+1</f>
        <v>2704</v>
      </c>
      <c r="B3021" s="66" t="s">
        <v>2859</v>
      </c>
      <c r="C3021" s="184">
        <v>1977</v>
      </c>
      <c r="D3021" s="51"/>
      <c r="E3021" s="48" t="s">
        <v>3729</v>
      </c>
      <c r="F3021" s="218">
        <v>3</v>
      </c>
      <c r="G3021" s="50"/>
      <c r="H3021" s="48">
        <v>1456.7</v>
      </c>
      <c r="I3021" s="218">
        <v>64</v>
      </c>
      <c r="J3021" s="19">
        <f t="shared" si="261"/>
        <v>224789.64</v>
      </c>
      <c r="K3021" s="50"/>
      <c r="L3021" s="50"/>
      <c r="M3021" s="50"/>
      <c r="N3021" s="19">
        <f>SUMIF('2020'!B:B,B3021,'2020'!C:C)+SUMIF('2021'!B:B,B3021,'2021'!C:C)+SUMIF('2022'!B:B,B3021,'2022'!C:C)</f>
        <v>224789.64</v>
      </c>
      <c r="O3021" s="219">
        <v>44925</v>
      </c>
      <c r="P3021" s="48" t="s">
        <v>3728</v>
      </c>
    </row>
    <row r="3022" spans="1:16" x14ac:dyDescent="0.3">
      <c r="A3022" s="59">
        <f t="shared" si="264"/>
        <v>2705</v>
      </c>
      <c r="B3022" s="66" t="s">
        <v>2860</v>
      </c>
      <c r="C3022" s="184">
        <v>1972</v>
      </c>
      <c r="D3022" s="51"/>
      <c r="E3022" s="48" t="s">
        <v>3729</v>
      </c>
      <c r="F3022" s="218">
        <v>2</v>
      </c>
      <c r="G3022" s="50"/>
      <c r="H3022" s="48">
        <v>776.8</v>
      </c>
      <c r="I3022" s="218">
        <v>60</v>
      </c>
      <c r="J3022" s="19">
        <f t="shared" si="261"/>
        <v>296832.27</v>
      </c>
      <c r="K3022" s="50"/>
      <c r="L3022" s="50"/>
      <c r="M3022" s="50"/>
      <c r="N3022" s="19">
        <f>SUMIF('2020'!B:B,B3022,'2020'!C:C)+SUMIF('2021'!B:B,B3022,'2021'!C:C)+SUMIF('2022'!B:B,B3022,'2022'!C:C)</f>
        <v>296832.27</v>
      </c>
      <c r="O3022" s="219">
        <v>44925</v>
      </c>
      <c r="P3022" s="48" t="s">
        <v>3728</v>
      </c>
    </row>
    <row r="3023" spans="1:16" x14ac:dyDescent="0.3">
      <c r="A3023" s="59">
        <f t="shared" si="264"/>
        <v>2706</v>
      </c>
      <c r="B3023" s="66" t="s">
        <v>2861</v>
      </c>
      <c r="C3023" s="184">
        <v>1973</v>
      </c>
      <c r="D3023" s="51"/>
      <c r="E3023" s="48" t="s">
        <v>3729</v>
      </c>
      <c r="F3023" s="218">
        <v>2</v>
      </c>
      <c r="G3023" s="50"/>
      <c r="H3023" s="48">
        <v>773.51</v>
      </c>
      <c r="I3023" s="218">
        <v>42</v>
      </c>
      <c r="J3023" s="19">
        <f t="shared" si="261"/>
        <v>296832.27</v>
      </c>
      <c r="K3023" s="50"/>
      <c r="L3023" s="50"/>
      <c r="M3023" s="50"/>
      <c r="N3023" s="19">
        <f>SUMIF('2020'!B:B,B3023,'2020'!C:C)+SUMIF('2021'!B:B,B3023,'2021'!C:C)+SUMIF('2022'!B:B,B3023,'2022'!C:C)</f>
        <v>296832.27</v>
      </c>
      <c r="O3023" s="219">
        <v>44925</v>
      </c>
      <c r="P3023" s="48" t="s">
        <v>3728</v>
      </c>
    </row>
    <row r="3024" spans="1:16" x14ac:dyDescent="0.3">
      <c r="A3024" s="59">
        <f t="shared" si="264"/>
        <v>2707</v>
      </c>
      <c r="B3024" s="66" t="s">
        <v>2862</v>
      </c>
      <c r="C3024" s="184">
        <v>1968</v>
      </c>
      <c r="D3024" s="51"/>
      <c r="E3024" s="48" t="s">
        <v>3733</v>
      </c>
      <c r="F3024" s="218">
        <v>2</v>
      </c>
      <c r="G3024" s="50"/>
      <c r="H3024" s="48">
        <v>722.8</v>
      </c>
      <c r="I3024" s="218">
        <v>36</v>
      </c>
      <c r="J3024" s="19">
        <f t="shared" si="261"/>
        <v>210280.14</v>
      </c>
      <c r="K3024" s="50"/>
      <c r="L3024" s="50"/>
      <c r="M3024" s="50"/>
      <c r="N3024" s="19">
        <f>SUMIF('2020'!B:B,B3024,'2020'!C:C)+SUMIF('2021'!B:B,B3024,'2021'!C:C)+SUMIF('2022'!B:B,B3024,'2022'!C:C)</f>
        <v>210280.14</v>
      </c>
      <c r="O3024" s="219">
        <v>44925</v>
      </c>
      <c r="P3024" s="48" t="s">
        <v>3728</v>
      </c>
    </row>
    <row r="3025" spans="1:16" x14ac:dyDescent="0.3">
      <c r="A3025" s="59">
        <f t="shared" si="264"/>
        <v>2708</v>
      </c>
      <c r="B3025" s="66" t="s">
        <v>2863</v>
      </c>
      <c r="C3025" s="184">
        <v>1969</v>
      </c>
      <c r="D3025" s="51"/>
      <c r="E3025" s="48" t="s">
        <v>3733</v>
      </c>
      <c r="F3025" s="218">
        <v>2</v>
      </c>
      <c r="G3025" s="50"/>
      <c r="H3025" s="48">
        <v>649.16</v>
      </c>
      <c r="I3025" s="218">
        <v>44</v>
      </c>
      <c r="J3025" s="19">
        <f t="shared" si="261"/>
        <v>441655.56</v>
      </c>
      <c r="K3025" s="50"/>
      <c r="L3025" s="50"/>
      <c r="M3025" s="50"/>
      <c r="N3025" s="19">
        <f>SUMIF('2020'!B:B,B3025,'2020'!C:C)+SUMIF('2021'!B:B,B3025,'2021'!C:C)+SUMIF('2022'!B:B,B3025,'2022'!C:C)</f>
        <v>441655.56</v>
      </c>
      <c r="O3025" s="219">
        <v>44925</v>
      </c>
      <c r="P3025" s="48" t="s">
        <v>3728</v>
      </c>
    </row>
    <row r="3026" spans="1:16" x14ac:dyDescent="0.3">
      <c r="A3026" s="59">
        <f t="shared" si="264"/>
        <v>2709</v>
      </c>
      <c r="B3026" s="66" t="s">
        <v>2864</v>
      </c>
      <c r="C3026" s="184">
        <v>1971</v>
      </c>
      <c r="D3026" s="51"/>
      <c r="E3026" s="48" t="s">
        <v>3733</v>
      </c>
      <c r="F3026" s="218">
        <v>2</v>
      </c>
      <c r="G3026" s="50"/>
      <c r="H3026" s="48">
        <v>727.4</v>
      </c>
      <c r="I3026" s="218">
        <v>53</v>
      </c>
      <c r="J3026" s="19">
        <f t="shared" si="261"/>
        <v>186689.28</v>
      </c>
      <c r="K3026" s="50"/>
      <c r="L3026" s="50"/>
      <c r="M3026" s="50"/>
      <c r="N3026" s="19">
        <f>SUMIF('2020'!B:B,B3026,'2020'!C:C)+SUMIF('2021'!B:B,B3026,'2021'!C:C)+SUMIF('2022'!B:B,B3026,'2022'!C:C)</f>
        <v>186689.28</v>
      </c>
      <c r="O3026" s="219">
        <v>44925</v>
      </c>
      <c r="P3026" s="48" t="s">
        <v>3728</v>
      </c>
    </row>
    <row r="3027" spans="1:16" x14ac:dyDescent="0.3">
      <c r="A3027" s="59">
        <f t="shared" si="264"/>
        <v>2710</v>
      </c>
      <c r="B3027" s="66" t="s">
        <v>2865</v>
      </c>
      <c r="C3027" s="184">
        <v>1960</v>
      </c>
      <c r="D3027" s="51"/>
      <c r="E3027" s="48" t="s">
        <v>3733</v>
      </c>
      <c r="F3027" s="218">
        <v>2</v>
      </c>
      <c r="G3027" s="50"/>
      <c r="H3027" s="48">
        <v>724.7</v>
      </c>
      <c r="I3027" s="218">
        <v>43</v>
      </c>
      <c r="J3027" s="19">
        <f t="shared" ref="J3027:J3051" si="265">K3027+L3027+M3027+N3027</f>
        <v>487263.13</v>
      </c>
      <c r="K3027" s="50"/>
      <c r="L3027" s="50"/>
      <c r="M3027" s="50"/>
      <c r="N3027" s="19">
        <f>SUMIF('2020'!B:B,B3027,'2020'!C:C)+SUMIF('2021'!B:B,B3027,'2021'!C:C)+SUMIF('2022'!B:B,B3027,'2022'!C:C)</f>
        <v>487263.13</v>
      </c>
      <c r="O3027" s="219">
        <v>44925</v>
      </c>
      <c r="P3027" s="48" t="s">
        <v>3728</v>
      </c>
    </row>
    <row r="3028" spans="1:16" x14ac:dyDescent="0.3">
      <c r="A3028" s="59">
        <f t="shared" si="264"/>
        <v>2711</v>
      </c>
      <c r="B3028" s="66" t="s">
        <v>2866</v>
      </c>
      <c r="C3028" s="184">
        <v>1978</v>
      </c>
      <c r="D3028" s="51"/>
      <c r="E3028" s="48" t="s">
        <v>3729</v>
      </c>
      <c r="F3028" s="218">
        <v>3</v>
      </c>
      <c r="G3028" s="50"/>
      <c r="H3028" s="48">
        <v>1449.9</v>
      </c>
      <c r="I3028" s="218">
        <v>73</v>
      </c>
      <c r="J3028" s="19">
        <f t="shared" si="265"/>
        <v>117614.3</v>
      </c>
      <c r="K3028" s="50"/>
      <c r="L3028" s="50"/>
      <c r="M3028" s="50"/>
      <c r="N3028" s="19">
        <f>SUMIF('2020'!B:B,B3028,'2020'!C:C)+SUMIF('2021'!B:B,B3028,'2021'!C:C)+SUMIF('2022'!B:B,B3028,'2022'!C:C)</f>
        <v>117614.3</v>
      </c>
      <c r="O3028" s="219">
        <v>44925</v>
      </c>
      <c r="P3028" s="48" t="s">
        <v>3728</v>
      </c>
    </row>
    <row r="3029" spans="1:16" x14ac:dyDescent="0.3">
      <c r="A3029" s="59">
        <f t="shared" si="264"/>
        <v>2712</v>
      </c>
      <c r="B3029" s="66" t="s">
        <v>2867</v>
      </c>
      <c r="C3029" s="184">
        <v>1975</v>
      </c>
      <c r="D3029" s="51"/>
      <c r="E3029" s="48" t="s">
        <v>3729</v>
      </c>
      <c r="F3029" s="218">
        <v>2</v>
      </c>
      <c r="G3029" s="50"/>
      <c r="H3029" s="48">
        <v>778.78</v>
      </c>
      <c r="I3029" s="218">
        <v>44</v>
      </c>
      <c r="J3029" s="19">
        <f t="shared" si="265"/>
        <v>185841.98</v>
      </c>
      <c r="K3029" s="50"/>
      <c r="L3029" s="50"/>
      <c r="M3029" s="50"/>
      <c r="N3029" s="19">
        <f>SUMIF('2020'!B:B,B3029,'2020'!C:C)+SUMIF('2021'!B:B,B3029,'2021'!C:C)+SUMIF('2022'!B:B,B3029,'2022'!C:C)</f>
        <v>185841.98</v>
      </c>
      <c r="O3029" s="219">
        <v>44925</v>
      </c>
      <c r="P3029" s="48" t="s">
        <v>3728</v>
      </c>
    </row>
    <row r="3030" spans="1:16" x14ac:dyDescent="0.3">
      <c r="A3030" s="59">
        <f t="shared" si="264"/>
        <v>2713</v>
      </c>
      <c r="B3030" s="66" t="s">
        <v>2868</v>
      </c>
      <c r="C3030" s="184">
        <v>1976</v>
      </c>
      <c r="D3030" s="51"/>
      <c r="E3030" s="48" t="s">
        <v>3729</v>
      </c>
      <c r="F3030" s="218">
        <v>2</v>
      </c>
      <c r="G3030" s="50"/>
      <c r="H3030" s="48">
        <v>766.9</v>
      </c>
      <c r="I3030" s="218">
        <v>40</v>
      </c>
      <c r="J3030" s="19">
        <f t="shared" si="265"/>
        <v>186155.8</v>
      </c>
      <c r="K3030" s="50"/>
      <c r="L3030" s="50"/>
      <c r="M3030" s="50"/>
      <c r="N3030" s="19">
        <f>SUMIF('2020'!B:B,B3030,'2020'!C:C)+SUMIF('2021'!B:B,B3030,'2021'!C:C)+SUMIF('2022'!B:B,B3030,'2022'!C:C)</f>
        <v>186155.8</v>
      </c>
      <c r="O3030" s="219">
        <v>44925</v>
      </c>
      <c r="P3030" s="48" t="s">
        <v>3728</v>
      </c>
    </row>
    <row r="3031" spans="1:16" x14ac:dyDescent="0.3">
      <c r="A3031" s="59">
        <f t="shared" si="264"/>
        <v>2714</v>
      </c>
      <c r="B3031" s="66" t="s">
        <v>2869</v>
      </c>
      <c r="C3031" s="184">
        <v>1970</v>
      </c>
      <c r="D3031" s="51"/>
      <c r="E3031" s="48" t="s">
        <v>3733</v>
      </c>
      <c r="F3031" s="218">
        <v>1</v>
      </c>
      <c r="G3031" s="50"/>
      <c r="H3031" s="48">
        <v>259.72000000000003</v>
      </c>
      <c r="I3031" s="218">
        <v>15</v>
      </c>
      <c r="J3031" s="19">
        <f t="shared" si="265"/>
        <v>49593.8</v>
      </c>
      <c r="K3031" s="50"/>
      <c r="L3031" s="50"/>
      <c r="M3031" s="50"/>
      <c r="N3031" s="19">
        <f>SUMIF('2020'!B:B,B3031,'2020'!C:C)+SUMIF('2021'!B:B,B3031,'2021'!C:C)+SUMIF('2022'!B:B,B3031,'2022'!C:C)</f>
        <v>49593.8</v>
      </c>
      <c r="O3031" s="219">
        <v>44925</v>
      </c>
      <c r="P3031" s="48" t="s">
        <v>3728</v>
      </c>
    </row>
    <row r="3032" spans="1:16" x14ac:dyDescent="0.3">
      <c r="A3032" s="59">
        <f t="shared" si="264"/>
        <v>2715</v>
      </c>
      <c r="B3032" s="66" t="s">
        <v>2870</v>
      </c>
      <c r="C3032" s="184">
        <v>1973</v>
      </c>
      <c r="D3032" s="51"/>
      <c r="E3032" s="48" t="s">
        <v>3733</v>
      </c>
      <c r="F3032" s="218">
        <v>2</v>
      </c>
      <c r="G3032" s="50"/>
      <c r="H3032" s="48">
        <v>722.2</v>
      </c>
      <c r="I3032" s="218">
        <v>32</v>
      </c>
      <c r="J3032" s="19">
        <f t="shared" si="265"/>
        <v>496170.18999999994</v>
      </c>
      <c r="K3032" s="50"/>
      <c r="L3032" s="50"/>
      <c r="M3032" s="50"/>
      <c r="N3032" s="19">
        <f>SUMIF('2020'!B:B,B3032,'2020'!C:C)+SUMIF('2021'!B:B,B3032,'2021'!C:C)+SUMIF('2022'!B:B,B3032,'2022'!C:C)</f>
        <v>496170.18999999994</v>
      </c>
      <c r="O3032" s="219">
        <v>44925</v>
      </c>
      <c r="P3032" s="48" t="s">
        <v>3728</v>
      </c>
    </row>
    <row r="3033" spans="1:16" x14ac:dyDescent="0.3">
      <c r="A3033" s="59">
        <f t="shared" si="264"/>
        <v>2716</v>
      </c>
      <c r="B3033" s="66" t="s">
        <v>2871</v>
      </c>
      <c r="C3033" s="184">
        <v>1973</v>
      </c>
      <c r="D3033" s="51"/>
      <c r="E3033" s="48" t="s">
        <v>3733</v>
      </c>
      <c r="F3033" s="218">
        <v>2</v>
      </c>
      <c r="G3033" s="50"/>
      <c r="H3033" s="48">
        <v>714.04</v>
      </c>
      <c r="I3033" s="218">
        <v>41</v>
      </c>
      <c r="J3033" s="19">
        <f t="shared" si="265"/>
        <v>495629.97</v>
      </c>
      <c r="K3033" s="50"/>
      <c r="L3033" s="50"/>
      <c r="M3033" s="50"/>
      <c r="N3033" s="19">
        <f>SUMIF('2020'!B:B,B3033,'2020'!C:C)+SUMIF('2021'!B:B,B3033,'2021'!C:C)+SUMIF('2022'!B:B,B3033,'2022'!C:C)</f>
        <v>495629.97</v>
      </c>
      <c r="O3033" s="219">
        <v>44925</v>
      </c>
      <c r="P3033" s="48" t="s">
        <v>3728</v>
      </c>
    </row>
    <row r="3034" spans="1:16" x14ac:dyDescent="0.3">
      <c r="A3034" s="59">
        <f t="shared" si="264"/>
        <v>2717</v>
      </c>
      <c r="B3034" s="66" t="s">
        <v>2872</v>
      </c>
      <c r="C3034" s="184">
        <v>1969</v>
      </c>
      <c r="D3034" s="51"/>
      <c r="E3034" s="48" t="s">
        <v>3733</v>
      </c>
      <c r="F3034" s="218">
        <v>2</v>
      </c>
      <c r="G3034" s="50"/>
      <c r="H3034" s="48">
        <v>716.27</v>
      </c>
      <c r="I3034" s="218">
        <v>42</v>
      </c>
      <c r="J3034" s="19">
        <f t="shared" si="265"/>
        <v>477706.72</v>
      </c>
      <c r="K3034" s="50"/>
      <c r="L3034" s="50"/>
      <c r="M3034" s="50"/>
      <c r="N3034" s="19">
        <f>SUMIF('2020'!B:B,B3034,'2020'!C:C)+SUMIF('2021'!B:B,B3034,'2021'!C:C)+SUMIF('2022'!B:B,B3034,'2022'!C:C)</f>
        <v>477706.72</v>
      </c>
      <c r="O3034" s="219">
        <v>44925</v>
      </c>
      <c r="P3034" s="48" t="s">
        <v>3728</v>
      </c>
    </row>
    <row r="3035" spans="1:16" x14ac:dyDescent="0.3">
      <c r="A3035" s="59">
        <f t="shared" si="264"/>
        <v>2718</v>
      </c>
      <c r="B3035" s="66" t="s">
        <v>2873</v>
      </c>
      <c r="C3035" s="184">
        <v>1968</v>
      </c>
      <c r="D3035" s="51"/>
      <c r="E3035" s="48" t="s">
        <v>3733</v>
      </c>
      <c r="F3035" s="218">
        <v>2</v>
      </c>
      <c r="G3035" s="50"/>
      <c r="H3035" s="48">
        <v>714.5</v>
      </c>
      <c r="I3035" s="218">
        <v>53</v>
      </c>
      <c r="J3035" s="19">
        <f t="shared" si="265"/>
        <v>476944.32</v>
      </c>
      <c r="K3035" s="50"/>
      <c r="L3035" s="50"/>
      <c r="M3035" s="50"/>
      <c r="N3035" s="19">
        <f>SUMIF('2020'!B:B,B3035,'2020'!C:C)+SUMIF('2021'!B:B,B3035,'2021'!C:C)+SUMIF('2022'!B:B,B3035,'2022'!C:C)</f>
        <v>476944.32</v>
      </c>
      <c r="O3035" s="219">
        <v>44925</v>
      </c>
      <c r="P3035" s="48" t="s">
        <v>3728</v>
      </c>
    </row>
    <row r="3036" spans="1:16" x14ac:dyDescent="0.3">
      <c r="A3036" s="59">
        <f t="shared" si="264"/>
        <v>2719</v>
      </c>
      <c r="B3036" s="66" t="s">
        <v>2874</v>
      </c>
      <c r="C3036" s="184">
        <v>1970</v>
      </c>
      <c r="D3036" s="51"/>
      <c r="E3036" s="48" t="s">
        <v>3733</v>
      </c>
      <c r="F3036" s="218">
        <v>2</v>
      </c>
      <c r="G3036" s="50"/>
      <c r="H3036" s="48">
        <v>714.01</v>
      </c>
      <c r="I3036" s="218">
        <v>41</v>
      </c>
      <c r="J3036" s="19">
        <f t="shared" si="265"/>
        <v>304574.46999999997</v>
      </c>
      <c r="K3036" s="50"/>
      <c r="L3036" s="50"/>
      <c r="M3036" s="50"/>
      <c r="N3036" s="19">
        <f>SUMIF('2020'!B:B,B3036,'2020'!C:C)+SUMIF('2021'!B:B,B3036,'2021'!C:C)+SUMIF('2022'!B:B,B3036,'2022'!C:C)</f>
        <v>304574.46999999997</v>
      </c>
      <c r="O3036" s="219">
        <v>44925</v>
      </c>
      <c r="P3036" s="48" t="s">
        <v>3728</v>
      </c>
    </row>
    <row r="3037" spans="1:16" x14ac:dyDescent="0.3">
      <c r="A3037" s="59">
        <f t="shared" si="264"/>
        <v>2720</v>
      </c>
      <c r="B3037" s="66" t="s">
        <v>2875</v>
      </c>
      <c r="C3037" s="184">
        <v>1969</v>
      </c>
      <c r="D3037" s="51"/>
      <c r="E3037" s="48" t="s">
        <v>4090</v>
      </c>
      <c r="F3037" s="218">
        <v>2</v>
      </c>
      <c r="G3037" s="50"/>
      <c r="H3037" s="48">
        <v>141.4</v>
      </c>
      <c r="I3037" s="218">
        <v>6</v>
      </c>
      <c r="J3037" s="19">
        <f t="shared" si="265"/>
        <v>452657.43</v>
      </c>
      <c r="K3037" s="50"/>
      <c r="L3037" s="50"/>
      <c r="M3037" s="50"/>
      <c r="N3037" s="19">
        <f>SUMIF('2020'!B:B,B3037,'2020'!C:C)+SUMIF('2021'!B:B,B3037,'2021'!C:C)+SUMIF('2022'!B:B,B3037,'2022'!C:C)</f>
        <v>452657.43</v>
      </c>
      <c r="O3037" s="219">
        <v>44925</v>
      </c>
      <c r="P3037" s="48" t="s">
        <v>3728</v>
      </c>
    </row>
    <row r="3038" spans="1:16" x14ac:dyDescent="0.3">
      <c r="A3038" s="59">
        <f t="shared" si="264"/>
        <v>2721</v>
      </c>
      <c r="B3038" s="66" t="s">
        <v>2876</v>
      </c>
      <c r="C3038" s="184">
        <v>1940</v>
      </c>
      <c r="D3038" s="51"/>
      <c r="E3038" s="48" t="s">
        <v>4090</v>
      </c>
      <c r="F3038" s="218">
        <v>1</v>
      </c>
      <c r="G3038" s="50"/>
      <c r="H3038" s="48">
        <v>130.19999999999999</v>
      </c>
      <c r="I3038" s="218">
        <v>10</v>
      </c>
      <c r="J3038" s="19">
        <f t="shared" si="265"/>
        <v>219996.02000000002</v>
      </c>
      <c r="K3038" s="50"/>
      <c r="L3038" s="50"/>
      <c r="M3038" s="50"/>
      <c r="N3038" s="19">
        <f>SUMIF('2020'!B:B,B3038,'2020'!C:C)+SUMIF('2021'!B:B,B3038,'2021'!C:C)+SUMIF('2022'!B:B,B3038,'2022'!C:C)</f>
        <v>219996.02000000002</v>
      </c>
      <c r="O3038" s="219">
        <v>44925</v>
      </c>
      <c r="P3038" s="48" t="s">
        <v>3728</v>
      </c>
    </row>
    <row r="3039" spans="1:16" x14ac:dyDescent="0.3">
      <c r="A3039" s="59">
        <f t="shared" si="264"/>
        <v>2722</v>
      </c>
      <c r="B3039" s="66" t="s">
        <v>2877</v>
      </c>
      <c r="C3039" s="184">
        <v>1970</v>
      </c>
      <c r="D3039" s="51"/>
      <c r="E3039" s="48" t="s">
        <v>3733</v>
      </c>
      <c r="F3039" s="218">
        <v>2</v>
      </c>
      <c r="G3039" s="50"/>
      <c r="H3039" s="48">
        <v>531.6</v>
      </c>
      <c r="I3039" s="218">
        <v>18</v>
      </c>
      <c r="J3039" s="19">
        <f t="shared" si="265"/>
        <v>493967.67</v>
      </c>
      <c r="K3039" s="50"/>
      <c r="L3039" s="50"/>
      <c r="M3039" s="50"/>
      <c r="N3039" s="19">
        <f>SUMIF('2020'!B:B,B3039,'2020'!C:C)+SUMIF('2021'!B:B,B3039,'2021'!C:C)+SUMIF('2022'!B:B,B3039,'2022'!C:C)</f>
        <v>493967.67</v>
      </c>
      <c r="O3039" s="219">
        <v>44925</v>
      </c>
      <c r="P3039" s="48" t="s">
        <v>3728</v>
      </c>
    </row>
    <row r="3040" spans="1:16" x14ac:dyDescent="0.3">
      <c r="A3040" s="59">
        <f t="shared" si="264"/>
        <v>2723</v>
      </c>
      <c r="B3040" s="66" t="s">
        <v>2878</v>
      </c>
      <c r="C3040" s="184">
        <v>1951</v>
      </c>
      <c r="D3040" s="51"/>
      <c r="E3040" s="48" t="s">
        <v>3733</v>
      </c>
      <c r="F3040" s="218">
        <v>2</v>
      </c>
      <c r="G3040" s="50"/>
      <c r="H3040" s="48">
        <v>408.4</v>
      </c>
      <c r="I3040" s="218">
        <v>19</v>
      </c>
      <c r="J3040" s="19">
        <f t="shared" si="265"/>
        <v>126133.95999999999</v>
      </c>
      <c r="K3040" s="50"/>
      <c r="L3040" s="50"/>
      <c r="M3040" s="50"/>
      <c r="N3040" s="19">
        <f>SUMIF('2020'!B:B,B3040,'2020'!C:C)+SUMIF('2021'!B:B,B3040,'2021'!C:C)+SUMIF('2022'!B:B,B3040,'2022'!C:C)</f>
        <v>126133.95999999999</v>
      </c>
      <c r="O3040" s="219">
        <v>44925</v>
      </c>
      <c r="P3040" s="48" t="s">
        <v>3728</v>
      </c>
    </row>
    <row r="3041" spans="1:16" x14ac:dyDescent="0.3">
      <c r="A3041" s="59">
        <f t="shared" si="264"/>
        <v>2724</v>
      </c>
      <c r="B3041" s="66" t="s">
        <v>2879</v>
      </c>
      <c r="C3041" s="184">
        <v>1977</v>
      </c>
      <c r="D3041" s="51"/>
      <c r="E3041" s="48" t="s">
        <v>4118</v>
      </c>
      <c r="F3041" s="218">
        <v>5</v>
      </c>
      <c r="G3041" s="50"/>
      <c r="H3041" s="48">
        <v>2366.8000000000002</v>
      </c>
      <c r="I3041" s="218">
        <v>130</v>
      </c>
      <c r="J3041" s="19">
        <f t="shared" si="265"/>
        <v>28166512.32</v>
      </c>
      <c r="K3041" s="50"/>
      <c r="L3041" s="50"/>
      <c r="M3041" s="50"/>
      <c r="N3041" s="19">
        <f>SUMIF('2020'!B:B,B3041,'2020'!C:C)+SUMIF('2021'!B:B,B3041,'2021'!C:C)+SUMIF('2022'!B:B,B3041,'2022'!C:C)</f>
        <v>28166512.32</v>
      </c>
      <c r="O3041" s="219">
        <v>44925</v>
      </c>
      <c r="P3041" s="48" t="s">
        <v>3728</v>
      </c>
    </row>
    <row r="3042" spans="1:16" x14ac:dyDescent="0.3">
      <c r="A3042" s="59">
        <f t="shared" si="264"/>
        <v>2725</v>
      </c>
      <c r="B3042" s="66" t="s">
        <v>2880</v>
      </c>
      <c r="C3042" s="184">
        <v>1977</v>
      </c>
      <c r="D3042" s="51"/>
      <c r="E3042" s="48" t="s">
        <v>4118</v>
      </c>
      <c r="F3042" s="218">
        <v>5</v>
      </c>
      <c r="G3042" s="50"/>
      <c r="H3042" s="48">
        <v>2363.9</v>
      </c>
      <c r="I3042" s="218">
        <v>115</v>
      </c>
      <c r="J3042" s="19">
        <f t="shared" si="265"/>
        <v>28264617.32</v>
      </c>
      <c r="K3042" s="50"/>
      <c r="L3042" s="50"/>
      <c r="M3042" s="50"/>
      <c r="N3042" s="19">
        <f>SUMIF('2020'!B:B,B3042,'2020'!C:C)+SUMIF('2021'!B:B,B3042,'2021'!C:C)+SUMIF('2022'!B:B,B3042,'2022'!C:C)</f>
        <v>28264617.32</v>
      </c>
      <c r="O3042" s="219">
        <v>44925</v>
      </c>
      <c r="P3042" s="48" t="s">
        <v>3728</v>
      </c>
    </row>
    <row r="3043" spans="1:16" x14ac:dyDescent="0.3">
      <c r="A3043" s="59">
        <f t="shared" si="264"/>
        <v>2726</v>
      </c>
      <c r="B3043" s="66" t="s">
        <v>2881</v>
      </c>
      <c r="C3043" s="184">
        <v>1977</v>
      </c>
      <c r="D3043" s="51"/>
      <c r="E3043" s="48" t="s">
        <v>3733</v>
      </c>
      <c r="F3043" s="218">
        <v>3</v>
      </c>
      <c r="G3043" s="50"/>
      <c r="H3043" s="48">
        <v>1827.5</v>
      </c>
      <c r="I3043" s="218">
        <v>84</v>
      </c>
      <c r="J3043" s="19">
        <f t="shared" si="265"/>
        <v>448949.51</v>
      </c>
      <c r="K3043" s="50"/>
      <c r="L3043" s="50"/>
      <c r="M3043" s="50"/>
      <c r="N3043" s="19">
        <f>SUMIF('2020'!B:B,B3043,'2020'!C:C)+SUMIF('2021'!B:B,B3043,'2021'!C:C)+SUMIF('2022'!B:B,B3043,'2022'!C:C)</f>
        <v>448949.51</v>
      </c>
      <c r="O3043" s="219">
        <v>44925</v>
      </c>
      <c r="P3043" s="48" t="s">
        <v>3728</v>
      </c>
    </row>
    <row r="3044" spans="1:16" x14ac:dyDescent="0.3">
      <c r="A3044" s="59">
        <f t="shared" si="264"/>
        <v>2727</v>
      </c>
      <c r="B3044" s="66" t="s">
        <v>2882</v>
      </c>
      <c r="C3044" s="184">
        <v>1976</v>
      </c>
      <c r="D3044" s="51"/>
      <c r="E3044" s="48" t="s">
        <v>3733</v>
      </c>
      <c r="F3044" s="218">
        <v>2</v>
      </c>
      <c r="G3044" s="50"/>
      <c r="H3044" s="48">
        <v>1827.5</v>
      </c>
      <c r="I3044" s="218">
        <v>90</v>
      </c>
      <c r="J3044" s="19">
        <f t="shared" si="265"/>
        <v>453115.64</v>
      </c>
      <c r="K3044" s="50"/>
      <c r="L3044" s="50"/>
      <c r="M3044" s="50"/>
      <c r="N3044" s="19">
        <f>SUMIF('2020'!B:B,B3044,'2020'!C:C)+SUMIF('2021'!B:B,B3044,'2021'!C:C)+SUMIF('2022'!B:B,B3044,'2022'!C:C)</f>
        <v>453115.64</v>
      </c>
      <c r="O3044" s="219">
        <v>44925</v>
      </c>
      <c r="P3044" s="48" t="s">
        <v>3728</v>
      </c>
    </row>
    <row r="3045" spans="1:16" x14ac:dyDescent="0.3">
      <c r="A3045" s="59">
        <f t="shared" si="264"/>
        <v>2728</v>
      </c>
      <c r="B3045" s="66" t="s">
        <v>2883</v>
      </c>
      <c r="C3045" s="184">
        <v>1958</v>
      </c>
      <c r="D3045" s="51"/>
      <c r="E3045" s="48" t="s">
        <v>3733</v>
      </c>
      <c r="F3045" s="218">
        <v>5</v>
      </c>
      <c r="G3045" s="50"/>
      <c r="H3045" s="48">
        <v>357.9</v>
      </c>
      <c r="I3045" s="218">
        <v>21</v>
      </c>
      <c r="J3045" s="19">
        <f t="shared" si="265"/>
        <v>191397.72</v>
      </c>
      <c r="K3045" s="50"/>
      <c r="L3045" s="50"/>
      <c r="M3045" s="50"/>
      <c r="N3045" s="19">
        <f>SUMIF('2020'!B:B,B3045,'2020'!C:C)+SUMIF('2021'!B:B,B3045,'2021'!C:C)+SUMIF('2022'!B:B,B3045,'2022'!C:C)</f>
        <v>191397.72</v>
      </c>
      <c r="O3045" s="219">
        <v>44925</v>
      </c>
      <c r="P3045" s="48" t="s">
        <v>3728</v>
      </c>
    </row>
    <row r="3046" spans="1:16" x14ac:dyDescent="0.3">
      <c r="A3046" s="59">
        <f t="shared" si="264"/>
        <v>2729</v>
      </c>
      <c r="B3046" s="66" t="s">
        <v>2884</v>
      </c>
      <c r="C3046" s="184">
        <v>1971</v>
      </c>
      <c r="D3046" s="51"/>
      <c r="E3046" s="48" t="s">
        <v>3731</v>
      </c>
      <c r="F3046" s="218">
        <v>5</v>
      </c>
      <c r="G3046" s="50"/>
      <c r="H3046" s="48">
        <v>4425.7</v>
      </c>
      <c r="I3046" s="218">
        <v>189</v>
      </c>
      <c r="J3046" s="19">
        <f t="shared" si="265"/>
        <v>7322080.4899999993</v>
      </c>
      <c r="K3046" s="50"/>
      <c r="L3046" s="50"/>
      <c r="M3046" s="50"/>
      <c r="N3046" s="19">
        <f>SUMIF('2020'!B:B,B3046,'2020'!C:C)+SUMIF('2021'!B:B,B3046,'2021'!C:C)+SUMIF('2022'!B:B,B3046,'2022'!C:C)</f>
        <v>7322080.4899999993</v>
      </c>
      <c r="O3046" s="219">
        <v>44925</v>
      </c>
      <c r="P3046" s="48" t="s">
        <v>3728</v>
      </c>
    </row>
    <row r="3047" spans="1:16" x14ac:dyDescent="0.3">
      <c r="A3047" s="59">
        <f t="shared" si="264"/>
        <v>2730</v>
      </c>
      <c r="B3047" s="66" t="s">
        <v>2885</v>
      </c>
      <c r="C3047" s="184">
        <v>1961</v>
      </c>
      <c r="D3047" s="51"/>
      <c r="E3047" s="48" t="s">
        <v>3733</v>
      </c>
      <c r="F3047" s="218">
        <v>2</v>
      </c>
      <c r="G3047" s="50"/>
      <c r="H3047" s="48">
        <v>264.3</v>
      </c>
      <c r="I3047" s="218">
        <v>13</v>
      </c>
      <c r="J3047" s="19">
        <f t="shared" si="265"/>
        <v>385732.06999999995</v>
      </c>
      <c r="K3047" s="50"/>
      <c r="L3047" s="50"/>
      <c r="M3047" s="50"/>
      <c r="N3047" s="19">
        <f>SUMIF('2020'!B:B,B3047,'2020'!C:C)+SUMIF('2021'!B:B,B3047,'2021'!C:C)+SUMIF('2022'!B:B,B3047,'2022'!C:C)</f>
        <v>385732.06999999995</v>
      </c>
      <c r="O3047" s="219">
        <v>44925</v>
      </c>
      <c r="P3047" s="48" t="s">
        <v>3728</v>
      </c>
    </row>
    <row r="3048" spans="1:16" x14ac:dyDescent="0.3">
      <c r="A3048" s="59">
        <f t="shared" si="264"/>
        <v>2731</v>
      </c>
      <c r="B3048" s="66" t="s">
        <v>2886</v>
      </c>
      <c r="C3048" s="184">
        <v>1977</v>
      </c>
      <c r="D3048" s="51"/>
      <c r="E3048" s="48" t="s">
        <v>4090</v>
      </c>
      <c r="F3048" s="218">
        <v>2</v>
      </c>
      <c r="G3048" s="50"/>
      <c r="H3048" s="48">
        <v>438.4</v>
      </c>
      <c r="I3048" s="218">
        <v>23</v>
      </c>
      <c r="J3048" s="19">
        <f t="shared" si="265"/>
        <v>320305.99000000005</v>
      </c>
      <c r="K3048" s="50"/>
      <c r="L3048" s="50"/>
      <c r="M3048" s="50"/>
      <c r="N3048" s="19">
        <f>SUMIF('2020'!B:B,B3048,'2020'!C:C)+SUMIF('2021'!B:B,B3048,'2021'!C:C)+SUMIF('2022'!B:B,B3048,'2022'!C:C)</f>
        <v>320305.99000000005</v>
      </c>
      <c r="O3048" s="219">
        <v>44925</v>
      </c>
      <c r="P3048" s="48" t="s">
        <v>3728</v>
      </c>
    </row>
    <row r="3049" spans="1:16" x14ac:dyDescent="0.3">
      <c r="A3049" s="59">
        <f t="shared" si="264"/>
        <v>2732</v>
      </c>
      <c r="B3049" s="66" t="s">
        <v>2887</v>
      </c>
      <c r="C3049" s="184">
        <v>1940</v>
      </c>
      <c r="D3049" s="51"/>
      <c r="E3049" s="48" t="s">
        <v>4090</v>
      </c>
      <c r="F3049" s="218">
        <v>2</v>
      </c>
      <c r="G3049" s="50"/>
      <c r="H3049" s="48">
        <v>213.6</v>
      </c>
      <c r="I3049" s="218">
        <v>7</v>
      </c>
      <c r="J3049" s="19">
        <f t="shared" si="265"/>
        <v>581890.53</v>
      </c>
      <c r="K3049" s="50"/>
      <c r="L3049" s="50"/>
      <c r="M3049" s="50"/>
      <c r="N3049" s="19">
        <f>SUMIF('2020'!B:B,B3049,'2020'!C:C)+SUMIF('2021'!B:B,B3049,'2021'!C:C)+SUMIF('2022'!B:B,B3049,'2022'!C:C)</f>
        <v>581890.53</v>
      </c>
      <c r="O3049" s="219">
        <v>44925</v>
      </c>
      <c r="P3049" s="48" t="s">
        <v>3728</v>
      </c>
    </row>
    <row r="3050" spans="1:16" x14ac:dyDescent="0.3">
      <c r="A3050" s="474" t="s">
        <v>211</v>
      </c>
      <c r="B3050" s="475"/>
      <c r="C3050" s="50"/>
      <c r="D3050" s="50"/>
      <c r="E3050" s="48"/>
      <c r="F3050" s="48"/>
      <c r="G3050" s="50"/>
      <c r="H3050" s="48">
        <f>SUM(H3020:H3049)</f>
        <v>29425.790000000005</v>
      </c>
      <c r="I3050" s="218">
        <f>SUM(I3020:I3049)</f>
        <v>1542</v>
      </c>
      <c r="J3050" s="19">
        <f t="shared" si="265"/>
        <v>72473595.719999984</v>
      </c>
      <c r="K3050" s="50">
        <v>0</v>
      </c>
      <c r="L3050" s="50">
        <v>0</v>
      </c>
      <c r="M3050" s="50">
        <v>0</v>
      </c>
      <c r="N3050" s="50">
        <f>SUM(N3020:N3049)</f>
        <v>72473595.719999984</v>
      </c>
      <c r="O3050" s="50"/>
      <c r="P3050" s="50"/>
    </row>
    <row r="3051" spans="1:16" s="160" customFormat="1" x14ac:dyDescent="0.3">
      <c r="A3051" s="479" t="s">
        <v>2888</v>
      </c>
      <c r="B3051" s="480"/>
      <c r="C3051" s="67"/>
      <c r="D3051" s="67"/>
      <c r="E3051" s="172"/>
      <c r="F3051" s="172"/>
      <c r="G3051" s="67"/>
      <c r="H3051" s="172"/>
      <c r="I3051" s="172"/>
      <c r="J3051" s="162">
        <f t="shared" si="265"/>
        <v>177235992.35999998</v>
      </c>
      <c r="K3051" s="67">
        <v>0</v>
      </c>
      <c r="L3051" s="67">
        <v>0</v>
      </c>
      <c r="M3051" s="67">
        <v>0</v>
      </c>
      <c r="N3051" s="67">
        <f>N3050+N3018+N3014+N2986+N2974+N2935+N2921+N2915+N2909+N2904</f>
        <v>177235992.35999998</v>
      </c>
      <c r="O3051" s="67"/>
      <c r="P3051" s="67"/>
    </row>
    <row r="3052" spans="1:16" s="160" customFormat="1" x14ac:dyDescent="0.3">
      <c r="A3052" s="476" t="s">
        <v>2889</v>
      </c>
      <c r="B3052" s="477"/>
      <c r="C3052" s="477"/>
      <c r="D3052" s="477"/>
      <c r="E3052" s="477"/>
      <c r="F3052" s="477"/>
      <c r="G3052" s="477"/>
      <c r="H3052" s="477"/>
      <c r="I3052" s="477"/>
      <c r="J3052" s="477"/>
      <c r="K3052" s="477"/>
      <c r="L3052" s="477"/>
      <c r="M3052" s="477"/>
      <c r="N3052" s="477"/>
      <c r="O3052" s="477"/>
      <c r="P3052" s="477"/>
    </row>
    <row r="3053" spans="1:16" x14ac:dyDescent="0.3">
      <c r="A3053" s="472" t="s">
        <v>2895</v>
      </c>
      <c r="B3053" s="473"/>
      <c r="C3053" s="50"/>
      <c r="D3053" s="51"/>
      <c r="E3053" s="52"/>
      <c r="F3053" s="52"/>
      <c r="G3053" s="51"/>
      <c r="H3053" s="52"/>
      <c r="I3053" s="52"/>
      <c r="J3053" s="51"/>
      <c r="K3053" s="51"/>
      <c r="L3053" s="50"/>
      <c r="M3053" s="51"/>
      <c r="N3053" s="51"/>
      <c r="O3053" s="50"/>
      <c r="P3053" s="50"/>
    </row>
    <row r="3054" spans="1:16" x14ac:dyDescent="0.3">
      <c r="A3054" s="59">
        <f>A3049+1</f>
        <v>2733</v>
      </c>
      <c r="B3054" s="66" t="s">
        <v>2896</v>
      </c>
      <c r="C3054" s="218">
        <v>1986</v>
      </c>
      <c r="D3054" s="51"/>
      <c r="E3054" s="52"/>
      <c r="F3054" s="52"/>
      <c r="G3054" s="51"/>
      <c r="H3054" s="52">
        <v>3243.2</v>
      </c>
      <c r="I3054" s="47">
        <v>68</v>
      </c>
      <c r="J3054" s="19">
        <f t="shared" ref="J3054:J3117" si="266">K3054+L3054+M3054+N3054</f>
        <v>1578138.48</v>
      </c>
      <c r="K3054" s="51"/>
      <c r="L3054" s="51"/>
      <c r="M3054" s="51"/>
      <c r="N3054" s="19">
        <f>SUMIF('2020'!B:B,B3054,'2020'!C:C)+SUMIF('2021'!B:B,B3054,'2021'!C:C)+SUMIF('2022'!B:B,B3054,'2022'!C:C)</f>
        <v>1578138.48</v>
      </c>
      <c r="O3054" s="219">
        <v>44925</v>
      </c>
      <c r="P3054" s="48" t="s">
        <v>3728</v>
      </c>
    </row>
    <row r="3055" spans="1:16" x14ac:dyDescent="0.3">
      <c r="A3055" s="474" t="s">
        <v>211</v>
      </c>
      <c r="B3055" s="475"/>
      <c r="C3055" s="50"/>
      <c r="D3055" s="50"/>
      <c r="E3055" s="48"/>
      <c r="F3055" s="48"/>
      <c r="G3055" s="50"/>
      <c r="H3055" s="48">
        <f>SUM(H3054)</f>
        <v>3243.2</v>
      </c>
      <c r="I3055" s="47">
        <f>SUM(I3054)</f>
        <v>68</v>
      </c>
      <c r="J3055" s="19">
        <f t="shared" si="266"/>
        <v>1578138.48</v>
      </c>
      <c r="K3055" s="50">
        <v>0</v>
      </c>
      <c r="L3055" s="50">
        <v>0</v>
      </c>
      <c r="M3055" s="50">
        <v>0</v>
      </c>
      <c r="N3055" s="50">
        <f>SUM(N3054)</f>
        <v>1578138.48</v>
      </c>
      <c r="O3055" s="50"/>
      <c r="P3055" s="50"/>
    </row>
    <row r="3056" spans="1:16" x14ac:dyDescent="0.3">
      <c r="A3056" s="472" t="s">
        <v>2897</v>
      </c>
      <c r="B3056" s="473"/>
      <c r="C3056" s="50"/>
      <c r="D3056" s="51"/>
      <c r="E3056" s="52"/>
      <c r="F3056" s="52"/>
      <c r="G3056" s="51"/>
      <c r="H3056" s="52"/>
      <c r="I3056" s="52"/>
      <c r="J3056" s="19"/>
      <c r="K3056" s="51"/>
      <c r="L3056" s="50"/>
      <c r="M3056" s="51"/>
      <c r="N3056" s="51"/>
      <c r="O3056" s="50"/>
      <c r="P3056" s="50"/>
    </row>
    <row r="3057" spans="1:16" x14ac:dyDescent="0.3">
      <c r="A3057" s="59">
        <f>A3054+1</f>
        <v>2734</v>
      </c>
      <c r="B3057" s="66" t="s">
        <v>2898</v>
      </c>
      <c r="C3057" s="184">
        <v>1964</v>
      </c>
      <c r="D3057" s="51"/>
      <c r="E3057" s="52" t="s">
        <v>3733</v>
      </c>
      <c r="F3057" s="47">
        <v>2</v>
      </c>
      <c r="G3057" s="51"/>
      <c r="H3057" s="52">
        <v>929.7</v>
      </c>
      <c r="I3057" s="47">
        <v>46</v>
      </c>
      <c r="J3057" s="19">
        <f t="shared" si="266"/>
        <v>253806.88</v>
      </c>
      <c r="K3057" s="51"/>
      <c r="L3057" s="50"/>
      <c r="M3057" s="51"/>
      <c r="N3057" s="19">
        <f>SUMIF('2020'!B:B,B3057,'2020'!C:C)+SUMIF('2021'!B:B,B3057,'2021'!C:C)+SUMIF('2022'!B:B,B3057,'2022'!C:C)</f>
        <v>253806.88</v>
      </c>
      <c r="O3057" s="219">
        <v>44925</v>
      </c>
      <c r="P3057" s="48" t="s">
        <v>3728</v>
      </c>
    </row>
    <row r="3058" spans="1:16" x14ac:dyDescent="0.3">
      <c r="A3058" s="59">
        <f t="shared" ref="A3058:A3122" si="267">A3057+1</f>
        <v>2735</v>
      </c>
      <c r="B3058" s="66" t="s">
        <v>2899</v>
      </c>
      <c r="C3058" s="184">
        <v>1967</v>
      </c>
      <c r="D3058" s="51"/>
      <c r="E3058" s="52" t="s">
        <v>3733</v>
      </c>
      <c r="F3058" s="47">
        <v>4</v>
      </c>
      <c r="G3058" s="51"/>
      <c r="H3058" s="52">
        <v>2013.6</v>
      </c>
      <c r="I3058" s="47">
        <v>78</v>
      </c>
      <c r="J3058" s="19">
        <f t="shared" si="266"/>
        <v>172766.83</v>
      </c>
      <c r="K3058" s="51"/>
      <c r="L3058" s="50"/>
      <c r="M3058" s="51"/>
      <c r="N3058" s="19">
        <f>SUMIF('2020'!B:B,B3058,'2020'!C:C)+SUMIF('2021'!B:B,B3058,'2021'!C:C)+SUMIF('2022'!B:B,B3058,'2022'!C:C)</f>
        <v>172766.83</v>
      </c>
      <c r="O3058" s="219">
        <v>44925</v>
      </c>
      <c r="P3058" s="48" t="s">
        <v>3728</v>
      </c>
    </row>
    <row r="3059" spans="1:16" x14ac:dyDescent="0.3">
      <c r="A3059" s="59">
        <f t="shared" si="267"/>
        <v>2736</v>
      </c>
      <c r="B3059" s="66" t="s">
        <v>2900</v>
      </c>
      <c r="C3059" s="184">
        <v>1967</v>
      </c>
      <c r="D3059" s="51"/>
      <c r="E3059" s="52" t="s">
        <v>3733</v>
      </c>
      <c r="F3059" s="47">
        <v>4</v>
      </c>
      <c r="G3059" s="51"/>
      <c r="H3059" s="52">
        <v>1991.8</v>
      </c>
      <c r="I3059" s="47">
        <v>96</v>
      </c>
      <c r="J3059" s="19">
        <f t="shared" si="266"/>
        <v>172766.83</v>
      </c>
      <c r="K3059" s="51"/>
      <c r="L3059" s="50"/>
      <c r="M3059" s="51"/>
      <c r="N3059" s="19">
        <f>SUMIF('2020'!B:B,B3059,'2020'!C:C)+SUMIF('2021'!B:B,B3059,'2021'!C:C)+SUMIF('2022'!B:B,B3059,'2022'!C:C)</f>
        <v>172766.83</v>
      </c>
      <c r="O3059" s="219">
        <v>44925</v>
      </c>
      <c r="P3059" s="48" t="s">
        <v>3728</v>
      </c>
    </row>
    <row r="3060" spans="1:16" x14ac:dyDescent="0.3">
      <c r="A3060" s="59">
        <f t="shared" si="267"/>
        <v>2737</v>
      </c>
      <c r="B3060" s="66" t="s">
        <v>2901</v>
      </c>
      <c r="C3060" s="184">
        <v>1971</v>
      </c>
      <c r="D3060" s="51"/>
      <c r="E3060" s="52" t="s">
        <v>3733</v>
      </c>
      <c r="F3060" s="47">
        <v>5</v>
      </c>
      <c r="G3060" s="51"/>
      <c r="H3060" s="52">
        <v>3307</v>
      </c>
      <c r="I3060" s="47">
        <v>164</v>
      </c>
      <c r="J3060" s="19">
        <f t="shared" si="266"/>
        <v>1390107.96</v>
      </c>
      <c r="K3060" s="51"/>
      <c r="L3060" s="51"/>
      <c r="M3060" s="51"/>
      <c r="N3060" s="19">
        <f>SUMIF('2020'!B:B,B3060,'2020'!C:C)+SUMIF('2021'!B:B,B3060,'2021'!C:C)+SUMIF('2022'!B:B,B3060,'2022'!C:C)</f>
        <v>1390107.96</v>
      </c>
      <c r="O3060" s="219">
        <v>44925</v>
      </c>
      <c r="P3060" s="48" t="s">
        <v>3728</v>
      </c>
    </row>
    <row r="3061" spans="1:16" x14ac:dyDescent="0.3">
      <c r="A3061" s="59">
        <f t="shared" si="267"/>
        <v>2738</v>
      </c>
      <c r="B3061" s="66" t="s">
        <v>2902</v>
      </c>
      <c r="C3061" s="184">
        <v>1963</v>
      </c>
      <c r="D3061" s="51"/>
      <c r="E3061" s="52" t="s">
        <v>3733</v>
      </c>
      <c r="F3061" s="47">
        <v>2</v>
      </c>
      <c r="G3061" s="51"/>
      <c r="H3061" s="52">
        <v>309.37</v>
      </c>
      <c r="I3061" s="47">
        <v>25</v>
      </c>
      <c r="J3061" s="19">
        <f t="shared" si="266"/>
        <v>83492.44</v>
      </c>
      <c r="K3061" s="51"/>
      <c r="L3061" s="50"/>
      <c r="M3061" s="51"/>
      <c r="N3061" s="19">
        <f>SUMIF('2020'!B:B,B3061,'2020'!C:C)+SUMIF('2021'!B:B,B3061,'2021'!C:C)+SUMIF('2022'!B:B,B3061,'2022'!C:C)</f>
        <v>83492.44</v>
      </c>
      <c r="O3061" s="219">
        <v>44925</v>
      </c>
      <c r="P3061" s="48" t="s">
        <v>3728</v>
      </c>
    </row>
    <row r="3062" spans="1:16" x14ac:dyDescent="0.3">
      <c r="A3062" s="59">
        <f t="shared" si="267"/>
        <v>2739</v>
      </c>
      <c r="B3062" s="66" t="s">
        <v>2903</v>
      </c>
      <c r="C3062" s="184">
        <v>1954</v>
      </c>
      <c r="D3062" s="51"/>
      <c r="E3062" s="52" t="s">
        <v>3733</v>
      </c>
      <c r="F3062" s="47">
        <v>2</v>
      </c>
      <c r="G3062" s="51"/>
      <c r="H3062" s="52">
        <v>1077.5999999999999</v>
      </c>
      <c r="I3062" s="47">
        <v>36</v>
      </c>
      <c r="J3062" s="19">
        <f t="shared" si="266"/>
        <v>704232.71000000008</v>
      </c>
      <c r="K3062" s="51"/>
      <c r="L3062" s="50"/>
      <c r="M3062" s="51"/>
      <c r="N3062" s="19">
        <f>SUMIF('2020'!B:B,B3062,'2020'!C:C)+SUMIF('2021'!B:B,B3062,'2021'!C:C)+SUMIF('2022'!B:B,B3062,'2022'!C:C)</f>
        <v>704232.71000000008</v>
      </c>
      <c r="O3062" s="219">
        <v>44925</v>
      </c>
      <c r="P3062" s="48" t="s">
        <v>3728</v>
      </c>
    </row>
    <row r="3063" spans="1:16" x14ac:dyDescent="0.3">
      <c r="A3063" s="59">
        <f t="shared" si="267"/>
        <v>2740</v>
      </c>
      <c r="B3063" s="66" t="s">
        <v>2904</v>
      </c>
      <c r="C3063" s="184">
        <v>1954</v>
      </c>
      <c r="D3063" s="51"/>
      <c r="E3063" s="52" t="s">
        <v>3733</v>
      </c>
      <c r="F3063" s="47">
        <v>2</v>
      </c>
      <c r="G3063" s="51"/>
      <c r="H3063" s="52">
        <v>678.3</v>
      </c>
      <c r="I3063" s="47">
        <v>39</v>
      </c>
      <c r="J3063" s="19">
        <f t="shared" si="266"/>
        <v>973554.19</v>
      </c>
      <c r="K3063" s="51"/>
      <c r="L3063" s="50"/>
      <c r="M3063" s="51"/>
      <c r="N3063" s="19">
        <f>SUMIF('2020'!B:B,B3063,'2020'!C:C)+SUMIF('2021'!B:B,B3063,'2021'!C:C)+SUMIF('2022'!B:B,B3063,'2022'!C:C)</f>
        <v>973554.19</v>
      </c>
      <c r="O3063" s="219">
        <v>44925</v>
      </c>
      <c r="P3063" s="48" t="s">
        <v>3728</v>
      </c>
    </row>
    <row r="3064" spans="1:16" x14ac:dyDescent="0.3">
      <c r="A3064" s="59">
        <f t="shared" si="267"/>
        <v>2741</v>
      </c>
      <c r="B3064" s="66" t="s">
        <v>2905</v>
      </c>
      <c r="C3064" s="184">
        <v>1969</v>
      </c>
      <c r="D3064" s="51"/>
      <c r="E3064" s="52" t="s">
        <v>3733</v>
      </c>
      <c r="F3064" s="47">
        <v>2</v>
      </c>
      <c r="G3064" s="51"/>
      <c r="H3064" s="52">
        <v>732.2</v>
      </c>
      <c r="I3064" s="47">
        <v>25</v>
      </c>
      <c r="J3064" s="19">
        <f t="shared" si="266"/>
        <v>765472.2</v>
      </c>
      <c r="K3064" s="51"/>
      <c r="L3064" s="50"/>
      <c r="M3064" s="51"/>
      <c r="N3064" s="19">
        <f>SUMIF('2020'!B:B,B3064,'2020'!C:C)+SUMIF('2021'!B:B,B3064,'2021'!C:C)+SUMIF('2022'!B:B,B3064,'2022'!C:C)</f>
        <v>765472.2</v>
      </c>
      <c r="O3064" s="219">
        <v>44925</v>
      </c>
      <c r="P3064" s="48" t="s">
        <v>3728</v>
      </c>
    </row>
    <row r="3065" spans="1:16" x14ac:dyDescent="0.3">
      <c r="A3065" s="59">
        <f t="shared" si="267"/>
        <v>2742</v>
      </c>
      <c r="B3065" s="66" t="s">
        <v>2906</v>
      </c>
      <c r="C3065" s="184">
        <v>1971</v>
      </c>
      <c r="D3065" s="51"/>
      <c r="E3065" s="52" t="s">
        <v>3733</v>
      </c>
      <c r="F3065" s="47">
        <v>2</v>
      </c>
      <c r="G3065" s="51"/>
      <c r="H3065" s="52">
        <v>730.9</v>
      </c>
      <c r="I3065" s="47">
        <v>29</v>
      </c>
      <c r="J3065" s="19">
        <f t="shared" si="266"/>
        <v>105277.86</v>
      </c>
      <c r="K3065" s="51"/>
      <c r="L3065" s="50"/>
      <c r="M3065" s="51"/>
      <c r="N3065" s="19">
        <f>SUMIF('2020'!B:B,B3065,'2020'!C:C)+SUMIF('2021'!B:B,B3065,'2021'!C:C)+SUMIF('2022'!B:B,B3065,'2022'!C:C)</f>
        <v>105277.86</v>
      </c>
      <c r="O3065" s="219">
        <v>44925</v>
      </c>
      <c r="P3065" s="48" t="s">
        <v>3728</v>
      </c>
    </row>
    <row r="3066" spans="1:16" x14ac:dyDescent="0.3">
      <c r="A3066" s="59">
        <f t="shared" si="267"/>
        <v>2743</v>
      </c>
      <c r="B3066" s="66" t="s">
        <v>2907</v>
      </c>
      <c r="C3066" s="184">
        <v>1972</v>
      </c>
      <c r="D3066" s="51"/>
      <c r="E3066" s="52" t="s">
        <v>3733</v>
      </c>
      <c r="F3066" s="47">
        <v>3</v>
      </c>
      <c r="G3066" s="51"/>
      <c r="H3066" s="52">
        <v>1099.3</v>
      </c>
      <c r="I3066" s="47">
        <v>60</v>
      </c>
      <c r="J3066" s="19">
        <f t="shared" si="266"/>
        <v>1080946.6399999999</v>
      </c>
      <c r="K3066" s="51"/>
      <c r="L3066" s="50"/>
      <c r="M3066" s="51"/>
      <c r="N3066" s="19">
        <f>SUMIF('2020'!B:B,B3066,'2020'!C:C)+SUMIF('2021'!B:B,B3066,'2021'!C:C)+SUMIF('2022'!B:B,B3066,'2022'!C:C)</f>
        <v>1080946.6399999999</v>
      </c>
      <c r="O3066" s="219">
        <v>44925</v>
      </c>
      <c r="P3066" s="48" t="s">
        <v>3728</v>
      </c>
    </row>
    <row r="3067" spans="1:16" x14ac:dyDescent="0.3">
      <c r="A3067" s="474" t="s">
        <v>211</v>
      </c>
      <c r="B3067" s="475"/>
      <c r="C3067" s="50"/>
      <c r="D3067" s="50"/>
      <c r="E3067" s="48"/>
      <c r="F3067" s="48"/>
      <c r="G3067" s="50"/>
      <c r="H3067" s="48">
        <f>SUM(H3057:H3066)</f>
        <v>12869.77</v>
      </c>
      <c r="I3067" s="47">
        <f t="shared" ref="I3067:N3067" si="268">SUM(I3057:I3066)</f>
        <v>598</v>
      </c>
      <c r="J3067" s="19">
        <f t="shared" si="266"/>
        <v>5702424.54</v>
      </c>
      <c r="K3067" s="48">
        <f t="shared" si="268"/>
        <v>0</v>
      </c>
      <c r="L3067" s="48">
        <f t="shared" si="268"/>
        <v>0</v>
      </c>
      <c r="M3067" s="48">
        <f>N3067-'2021'!C2358</f>
        <v>0</v>
      </c>
      <c r="N3067" s="48">
        <f t="shared" si="268"/>
        <v>5702424.54</v>
      </c>
      <c r="O3067" s="50"/>
      <c r="P3067" s="50"/>
    </row>
    <row r="3068" spans="1:16" x14ac:dyDescent="0.3">
      <c r="A3068" s="472" t="s">
        <v>2908</v>
      </c>
      <c r="B3068" s="473"/>
      <c r="C3068" s="50"/>
      <c r="D3068" s="51"/>
      <c r="E3068" s="52"/>
      <c r="F3068" s="52"/>
      <c r="G3068" s="51"/>
      <c r="H3068" s="52"/>
      <c r="I3068" s="52"/>
      <c r="J3068" s="19"/>
      <c r="K3068" s="51"/>
      <c r="L3068" s="50"/>
      <c r="M3068" s="51"/>
      <c r="N3068" s="51"/>
      <c r="O3068" s="50"/>
      <c r="P3068" s="50"/>
    </row>
    <row r="3069" spans="1:16" x14ac:dyDescent="0.3">
      <c r="A3069" s="59">
        <f>A3066+1</f>
        <v>2744</v>
      </c>
      <c r="B3069" s="66" t="s">
        <v>2909</v>
      </c>
      <c r="C3069" s="184">
        <v>1947</v>
      </c>
      <c r="D3069" s="51"/>
      <c r="E3069" s="52" t="s">
        <v>3733</v>
      </c>
      <c r="F3069" s="47">
        <v>2</v>
      </c>
      <c r="G3069" s="51"/>
      <c r="H3069" s="52">
        <v>279.89999999999998</v>
      </c>
      <c r="I3069" s="218">
        <v>9</v>
      </c>
      <c r="J3069" s="19">
        <f t="shared" si="266"/>
        <v>242223.89</v>
      </c>
      <c r="K3069" s="51"/>
      <c r="L3069" s="51"/>
      <c r="M3069" s="51"/>
      <c r="N3069" s="19">
        <f>SUMIF('2020'!B:B,B3069,'2020'!C:C)+SUMIF('2021'!B:B,B3069,'2021'!C:C)+SUMIF('2022'!B:B,B3069,'2022'!C:C)</f>
        <v>242223.89</v>
      </c>
      <c r="O3069" s="219">
        <v>44925</v>
      </c>
      <c r="P3069" s="48" t="s">
        <v>3728</v>
      </c>
    </row>
    <row r="3070" spans="1:16" x14ac:dyDescent="0.3">
      <c r="A3070" s="59">
        <f t="shared" si="267"/>
        <v>2745</v>
      </c>
      <c r="B3070" s="66" t="s">
        <v>2910</v>
      </c>
      <c r="C3070" s="184">
        <v>1947</v>
      </c>
      <c r="D3070" s="51"/>
      <c r="E3070" s="52" t="s">
        <v>3733</v>
      </c>
      <c r="F3070" s="47">
        <v>2</v>
      </c>
      <c r="G3070" s="51"/>
      <c r="H3070" s="52">
        <v>280.5</v>
      </c>
      <c r="I3070" s="218">
        <v>20</v>
      </c>
      <c r="J3070" s="19">
        <f t="shared" si="266"/>
        <v>711464.3899999999</v>
      </c>
      <c r="K3070" s="51"/>
      <c r="L3070" s="51"/>
      <c r="M3070" s="51"/>
      <c r="N3070" s="19">
        <f>SUMIF('2020'!B:B,B3070,'2020'!C:C)+SUMIF('2021'!B:B,B3070,'2021'!C:C)+SUMIF('2022'!B:B,B3070,'2022'!C:C)</f>
        <v>711464.3899999999</v>
      </c>
      <c r="O3070" s="219">
        <v>44925</v>
      </c>
      <c r="P3070" s="48" t="s">
        <v>3728</v>
      </c>
    </row>
    <row r="3071" spans="1:16" x14ac:dyDescent="0.3">
      <c r="A3071" s="59">
        <f t="shared" si="267"/>
        <v>2746</v>
      </c>
      <c r="B3071" s="66" t="s">
        <v>2911</v>
      </c>
      <c r="C3071" s="184">
        <v>1947</v>
      </c>
      <c r="D3071" s="51"/>
      <c r="E3071" s="52" t="s">
        <v>3733</v>
      </c>
      <c r="F3071" s="47">
        <v>2</v>
      </c>
      <c r="G3071" s="51"/>
      <c r="H3071" s="52">
        <v>274.60000000000002</v>
      </c>
      <c r="I3071" s="218">
        <v>11</v>
      </c>
      <c r="J3071" s="19">
        <f t="shared" si="266"/>
        <v>748552.12</v>
      </c>
      <c r="K3071" s="51"/>
      <c r="L3071" s="51"/>
      <c r="M3071" s="51"/>
      <c r="N3071" s="19">
        <f>SUMIF('2020'!B:B,B3071,'2020'!C:C)+SUMIF('2021'!B:B,B3071,'2021'!C:C)+SUMIF('2022'!B:B,B3071,'2022'!C:C)</f>
        <v>748552.12</v>
      </c>
      <c r="O3071" s="219">
        <v>44925</v>
      </c>
      <c r="P3071" s="48" t="s">
        <v>3728</v>
      </c>
    </row>
    <row r="3072" spans="1:16" x14ac:dyDescent="0.3">
      <c r="A3072" s="59">
        <f t="shared" si="267"/>
        <v>2747</v>
      </c>
      <c r="B3072" s="66" t="s">
        <v>2912</v>
      </c>
      <c r="C3072" s="184">
        <v>1947</v>
      </c>
      <c r="D3072" s="51"/>
      <c r="E3072" s="52" t="s">
        <v>3733</v>
      </c>
      <c r="F3072" s="47">
        <v>2</v>
      </c>
      <c r="G3072" s="51"/>
      <c r="H3072" s="52">
        <v>276.89999999999998</v>
      </c>
      <c r="I3072" s="218">
        <v>9</v>
      </c>
      <c r="J3072" s="19">
        <f t="shared" si="266"/>
        <v>278789.32</v>
      </c>
      <c r="K3072" s="51"/>
      <c r="L3072" s="51"/>
      <c r="M3072" s="51"/>
      <c r="N3072" s="19">
        <f>SUMIF('2020'!B:B,B3072,'2020'!C:C)+SUMIF('2021'!B:B,B3072,'2021'!C:C)+SUMIF('2022'!B:B,B3072,'2022'!C:C)</f>
        <v>278789.32</v>
      </c>
      <c r="O3072" s="219">
        <v>44925</v>
      </c>
      <c r="P3072" s="48" t="s">
        <v>3728</v>
      </c>
    </row>
    <row r="3073" spans="1:16" x14ac:dyDescent="0.3">
      <c r="A3073" s="59">
        <f t="shared" si="267"/>
        <v>2748</v>
      </c>
      <c r="B3073" s="66" t="s">
        <v>2913</v>
      </c>
      <c r="C3073" s="184">
        <v>1947</v>
      </c>
      <c r="D3073" s="51"/>
      <c r="E3073" s="52" t="s">
        <v>3733</v>
      </c>
      <c r="F3073" s="47">
        <v>2</v>
      </c>
      <c r="G3073" s="51"/>
      <c r="H3073" s="52">
        <v>220.1</v>
      </c>
      <c r="I3073" s="218">
        <v>14</v>
      </c>
      <c r="J3073" s="19">
        <f t="shared" si="266"/>
        <v>609238.25</v>
      </c>
      <c r="K3073" s="51"/>
      <c r="L3073" s="51"/>
      <c r="M3073" s="51"/>
      <c r="N3073" s="19">
        <f>SUMIF('2020'!B:B,B3073,'2020'!C:C)+SUMIF('2021'!B:B,B3073,'2021'!C:C)+SUMIF('2022'!B:B,B3073,'2022'!C:C)</f>
        <v>609238.25</v>
      </c>
      <c r="O3073" s="219">
        <v>44925</v>
      </c>
      <c r="P3073" s="48" t="s">
        <v>3728</v>
      </c>
    </row>
    <row r="3074" spans="1:16" x14ac:dyDescent="0.3">
      <c r="A3074" s="59">
        <f t="shared" si="267"/>
        <v>2749</v>
      </c>
      <c r="B3074" s="66" t="s">
        <v>2914</v>
      </c>
      <c r="C3074" s="184">
        <v>1945</v>
      </c>
      <c r="D3074" s="51"/>
      <c r="E3074" s="52" t="s">
        <v>3733</v>
      </c>
      <c r="F3074" s="47">
        <v>2</v>
      </c>
      <c r="G3074" s="51"/>
      <c r="H3074" s="52">
        <v>1021.6</v>
      </c>
      <c r="I3074" s="218">
        <v>36</v>
      </c>
      <c r="J3074" s="19">
        <f t="shared" si="266"/>
        <v>3796979.04</v>
      </c>
      <c r="K3074" s="51"/>
      <c r="L3074" s="50"/>
      <c r="M3074" s="51"/>
      <c r="N3074" s="19">
        <f>SUMIF('2020'!B:B,B3074,'2020'!C:C)+SUMIF('2021'!B:B,B3074,'2021'!C:C)+SUMIF('2022'!B:B,B3074,'2022'!C:C)</f>
        <v>3796979.04</v>
      </c>
      <c r="O3074" s="219">
        <v>44925</v>
      </c>
      <c r="P3074" s="48" t="s">
        <v>3728</v>
      </c>
    </row>
    <row r="3075" spans="1:16" x14ac:dyDescent="0.3">
      <c r="A3075" s="59">
        <f t="shared" si="267"/>
        <v>2750</v>
      </c>
      <c r="B3075" s="66" t="s">
        <v>2915</v>
      </c>
      <c r="C3075" s="184">
        <v>1947</v>
      </c>
      <c r="D3075" s="51"/>
      <c r="E3075" s="52" t="s">
        <v>3733</v>
      </c>
      <c r="F3075" s="47">
        <v>2</v>
      </c>
      <c r="G3075" s="51"/>
      <c r="H3075" s="52">
        <v>1000.5</v>
      </c>
      <c r="I3075" s="218">
        <v>75</v>
      </c>
      <c r="J3075" s="19">
        <f t="shared" si="266"/>
        <v>673673.48</v>
      </c>
      <c r="K3075" s="51"/>
      <c r="L3075" s="50"/>
      <c r="M3075" s="51"/>
      <c r="N3075" s="19">
        <f>SUMIF('2020'!B:B,B3075,'2020'!C:C)+SUMIF('2021'!B:B,B3075,'2021'!C:C)+SUMIF('2022'!B:B,B3075,'2022'!C:C)</f>
        <v>673673.48</v>
      </c>
      <c r="O3075" s="219">
        <v>44925</v>
      </c>
      <c r="P3075" s="48" t="s">
        <v>3728</v>
      </c>
    </row>
    <row r="3076" spans="1:16" x14ac:dyDescent="0.3">
      <c r="A3076" s="59"/>
      <c r="B3076" s="66" t="s">
        <v>3917</v>
      </c>
      <c r="C3076" s="184"/>
      <c r="D3076" s="51"/>
      <c r="E3076" s="52"/>
      <c r="F3076" s="47"/>
      <c r="G3076" s="51"/>
      <c r="H3076" s="52"/>
      <c r="I3076" s="218"/>
      <c r="J3076" s="19">
        <f t="shared" si="266"/>
        <v>235222</v>
      </c>
      <c r="K3076" s="51"/>
      <c r="L3076" s="50"/>
      <c r="M3076" s="51"/>
      <c r="N3076" s="19">
        <f>SUMIF('2020'!B:B,B3076,'2020'!C:C)+SUMIF('2021'!B:B,B3076,'2021'!C:C)+SUMIF('2022'!B:B,B3076,'2022'!C:C)</f>
        <v>235222</v>
      </c>
      <c r="O3076" s="219">
        <v>44925</v>
      </c>
      <c r="P3076" s="48" t="s">
        <v>3728</v>
      </c>
    </row>
    <row r="3077" spans="1:16" x14ac:dyDescent="0.3">
      <c r="A3077" s="59">
        <f>A3075+1</f>
        <v>2751</v>
      </c>
      <c r="B3077" s="66" t="s">
        <v>2916</v>
      </c>
      <c r="C3077" s="184">
        <v>1948</v>
      </c>
      <c r="D3077" s="51"/>
      <c r="E3077" s="52" t="s">
        <v>3733</v>
      </c>
      <c r="F3077" s="47">
        <v>2</v>
      </c>
      <c r="G3077" s="51"/>
      <c r="H3077" s="52">
        <v>225.6</v>
      </c>
      <c r="I3077" s="218">
        <v>9</v>
      </c>
      <c r="J3077" s="19">
        <f t="shared" si="266"/>
        <v>549169.19000000006</v>
      </c>
      <c r="K3077" s="51"/>
      <c r="L3077" s="51"/>
      <c r="M3077" s="51"/>
      <c r="N3077" s="19">
        <f>SUMIF('2020'!B:B,B3077,'2020'!C:C)+SUMIF('2021'!B:B,B3077,'2021'!C:C)+SUMIF('2022'!B:B,B3077,'2022'!C:C)</f>
        <v>549169.19000000006</v>
      </c>
      <c r="O3077" s="219">
        <v>44925</v>
      </c>
      <c r="P3077" s="48" t="s">
        <v>3728</v>
      </c>
    </row>
    <row r="3078" spans="1:16" x14ac:dyDescent="0.3">
      <c r="A3078" s="59">
        <f t="shared" si="267"/>
        <v>2752</v>
      </c>
      <c r="B3078" s="66" t="s">
        <v>2917</v>
      </c>
      <c r="C3078" s="184">
        <v>1948</v>
      </c>
      <c r="D3078" s="51"/>
      <c r="E3078" s="52" t="s">
        <v>3733</v>
      </c>
      <c r="F3078" s="47">
        <v>2</v>
      </c>
      <c r="G3078" s="51"/>
      <c r="H3078" s="52">
        <v>225.6</v>
      </c>
      <c r="I3078" s="218">
        <v>9</v>
      </c>
      <c r="J3078" s="19">
        <f t="shared" si="266"/>
        <v>549169.19000000006</v>
      </c>
      <c r="K3078" s="51"/>
      <c r="L3078" s="51"/>
      <c r="M3078" s="51"/>
      <c r="N3078" s="19">
        <f>SUMIF('2020'!B:B,B3078,'2020'!C:C)+SUMIF('2021'!B:B,B3078,'2021'!C:C)+SUMIF('2022'!B:B,B3078,'2022'!C:C)</f>
        <v>549169.19000000006</v>
      </c>
      <c r="O3078" s="219">
        <v>44925</v>
      </c>
      <c r="P3078" s="48" t="s">
        <v>3728</v>
      </c>
    </row>
    <row r="3079" spans="1:16" x14ac:dyDescent="0.3">
      <c r="A3079" s="59">
        <f t="shared" si="267"/>
        <v>2753</v>
      </c>
      <c r="B3079" s="66" t="s">
        <v>2918</v>
      </c>
      <c r="C3079" s="184">
        <v>1948</v>
      </c>
      <c r="D3079" s="51"/>
      <c r="E3079" s="52" t="s">
        <v>3733</v>
      </c>
      <c r="F3079" s="47">
        <v>2</v>
      </c>
      <c r="G3079" s="51"/>
      <c r="H3079" s="52">
        <v>225.6</v>
      </c>
      <c r="I3079" s="218">
        <v>4</v>
      </c>
      <c r="J3079" s="19">
        <f t="shared" si="266"/>
        <v>548318.76</v>
      </c>
      <c r="K3079" s="51"/>
      <c r="L3079" s="51"/>
      <c r="M3079" s="51"/>
      <c r="N3079" s="19">
        <f>SUMIF('2020'!B:B,B3079,'2020'!C:C)+SUMIF('2021'!B:B,B3079,'2021'!C:C)+SUMIF('2022'!B:B,B3079,'2022'!C:C)</f>
        <v>548318.76</v>
      </c>
      <c r="O3079" s="219">
        <v>44925</v>
      </c>
      <c r="P3079" s="48" t="s">
        <v>3728</v>
      </c>
    </row>
    <row r="3080" spans="1:16" x14ac:dyDescent="0.3">
      <c r="A3080" s="59">
        <f t="shared" si="267"/>
        <v>2754</v>
      </c>
      <c r="B3080" s="66" t="s">
        <v>2919</v>
      </c>
      <c r="C3080" s="184">
        <v>1948</v>
      </c>
      <c r="D3080" s="51"/>
      <c r="E3080" s="52" t="s">
        <v>3733</v>
      </c>
      <c r="F3080" s="47">
        <v>2</v>
      </c>
      <c r="G3080" s="51"/>
      <c r="H3080" s="52">
        <v>225.6</v>
      </c>
      <c r="I3080" s="218">
        <v>7</v>
      </c>
      <c r="J3080" s="19">
        <f t="shared" si="266"/>
        <v>549169.19000000006</v>
      </c>
      <c r="K3080" s="51"/>
      <c r="L3080" s="51"/>
      <c r="M3080" s="51"/>
      <c r="N3080" s="19">
        <f>SUMIF('2020'!B:B,B3080,'2020'!C:C)+SUMIF('2021'!B:B,B3080,'2021'!C:C)+SUMIF('2022'!B:B,B3080,'2022'!C:C)</f>
        <v>549169.19000000006</v>
      </c>
      <c r="O3080" s="219">
        <v>44925</v>
      </c>
      <c r="P3080" s="48" t="s">
        <v>3728</v>
      </c>
    </row>
    <row r="3081" spans="1:16" x14ac:dyDescent="0.3">
      <c r="A3081" s="59">
        <f t="shared" si="267"/>
        <v>2755</v>
      </c>
      <c r="B3081" s="66" t="s">
        <v>2920</v>
      </c>
      <c r="C3081" s="184">
        <v>1947</v>
      </c>
      <c r="D3081" s="51"/>
      <c r="E3081" s="52"/>
      <c r="F3081" s="47"/>
      <c r="G3081" s="51"/>
      <c r="H3081" s="52"/>
      <c r="I3081" s="218"/>
      <c r="J3081" s="19">
        <f t="shared" si="266"/>
        <v>130000</v>
      </c>
      <c r="K3081" s="51"/>
      <c r="L3081" s="51"/>
      <c r="M3081" s="51"/>
      <c r="N3081" s="19">
        <f>SUMIF('2020'!B:B,B3081,'2020'!C:C)+SUMIF('2021'!B:B,B3081,'2021'!C:C)+SUMIF('2022'!B:B,B3081,'2022'!C:C)</f>
        <v>130000</v>
      </c>
      <c r="O3081" s="219">
        <v>44925</v>
      </c>
      <c r="P3081" s="48" t="s">
        <v>3728</v>
      </c>
    </row>
    <row r="3082" spans="1:16" x14ac:dyDescent="0.3">
      <c r="A3082" s="59">
        <f t="shared" si="267"/>
        <v>2756</v>
      </c>
      <c r="B3082" s="66" t="s">
        <v>2921</v>
      </c>
      <c r="C3082" s="184">
        <v>1948</v>
      </c>
      <c r="D3082" s="51"/>
      <c r="E3082" s="52" t="s">
        <v>3733</v>
      </c>
      <c r="F3082" s="47">
        <v>2</v>
      </c>
      <c r="G3082" s="51"/>
      <c r="H3082" s="52">
        <v>1093.9000000000001</v>
      </c>
      <c r="I3082" s="218">
        <v>53</v>
      </c>
      <c r="J3082" s="19">
        <f t="shared" si="266"/>
        <v>105271.66</v>
      </c>
      <c r="K3082" s="51"/>
      <c r="L3082" s="50"/>
      <c r="M3082" s="51"/>
      <c r="N3082" s="19">
        <f>SUMIF('2020'!B:B,B3082,'2020'!C:C)+SUMIF('2021'!B:B,B3082,'2021'!C:C)+SUMIF('2022'!B:B,B3082,'2022'!C:C)</f>
        <v>105271.66</v>
      </c>
      <c r="O3082" s="219">
        <v>44925</v>
      </c>
      <c r="P3082" s="48" t="s">
        <v>3728</v>
      </c>
    </row>
    <row r="3083" spans="1:16" x14ac:dyDescent="0.3">
      <c r="A3083" s="59">
        <f t="shared" si="267"/>
        <v>2757</v>
      </c>
      <c r="B3083" s="66" t="s">
        <v>2922</v>
      </c>
      <c r="C3083" s="184">
        <v>1990</v>
      </c>
      <c r="D3083" s="51"/>
      <c r="E3083" s="52" t="s">
        <v>3729</v>
      </c>
      <c r="F3083" s="47">
        <v>5</v>
      </c>
      <c r="G3083" s="51"/>
      <c r="H3083" s="52">
        <v>6058.2</v>
      </c>
      <c r="I3083" s="218">
        <v>243</v>
      </c>
      <c r="J3083" s="19">
        <f t="shared" si="266"/>
        <v>601157.56000000006</v>
      </c>
      <c r="K3083" s="51"/>
      <c r="L3083" s="50"/>
      <c r="M3083" s="51"/>
      <c r="N3083" s="19">
        <f>SUMIF('2020'!B:B,B3083,'2020'!C:C)+SUMIF('2021'!B:B,B3083,'2021'!C:C)+SUMIF('2022'!B:B,B3083,'2022'!C:C)</f>
        <v>601157.56000000006</v>
      </c>
      <c r="O3083" s="219">
        <v>44925</v>
      </c>
      <c r="P3083" s="48" t="s">
        <v>3728</v>
      </c>
    </row>
    <row r="3084" spans="1:16" x14ac:dyDescent="0.3">
      <c r="A3084" s="59">
        <f t="shared" si="267"/>
        <v>2758</v>
      </c>
      <c r="B3084" s="66" t="s">
        <v>2923</v>
      </c>
      <c r="C3084" s="184">
        <v>1950</v>
      </c>
      <c r="D3084" s="51"/>
      <c r="E3084" s="52" t="s">
        <v>3733</v>
      </c>
      <c r="F3084" s="47">
        <v>2</v>
      </c>
      <c r="G3084" s="51"/>
      <c r="H3084" s="52">
        <v>390.3</v>
      </c>
      <c r="I3084" s="218">
        <v>12</v>
      </c>
      <c r="J3084" s="19">
        <f t="shared" si="266"/>
        <v>756961.27</v>
      </c>
      <c r="K3084" s="51"/>
      <c r="L3084" s="51"/>
      <c r="M3084" s="51"/>
      <c r="N3084" s="19">
        <f>SUMIF('2020'!B:B,B3084,'2020'!C:C)+SUMIF('2021'!B:B,B3084,'2021'!C:C)+SUMIF('2022'!B:B,B3084,'2022'!C:C)</f>
        <v>756961.27</v>
      </c>
      <c r="O3084" s="219">
        <v>44925</v>
      </c>
      <c r="P3084" s="48" t="s">
        <v>3728</v>
      </c>
    </row>
    <row r="3085" spans="1:16" x14ac:dyDescent="0.3">
      <c r="A3085" s="59">
        <f t="shared" si="267"/>
        <v>2759</v>
      </c>
      <c r="B3085" s="66" t="s">
        <v>2924</v>
      </c>
      <c r="C3085" s="184">
        <v>1950</v>
      </c>
      <c r="D3085" s="51"/>
      <c r="E3085" s="52" t="s">
        <v>3733</v>
      </c>
      <c r="F3085" s="47">
        <v>2</v>
      </c>
      <c r="G3085" s="51"/>
      <c r="H3085" s="52">
        <v>392.3</v>
      </c>
      <c r="I3085" s="218">
        <v>9</v>
      </c>
      <c r="J3085" s="19">
        <f t="shared" si="266"/>
        <v>783892.03</v>
      </c>
      <c r="K3085" s="51"/>
      <c r="L3085" s="51"/>
      <c r="M3085" s="51"/>
      <c r="N3085" s="19">
        <f>SUMIF('2020'!B:B,B3085,'2020'!C:C)+SUMIF('2021'!B:B,B3085,'2021'!C:C)+SUMIF('2022'!B:B,B3085,'2022'!C:C)</f>
        <v>783892.03</v>
      </c>
      <c r="O3085" s="219">
        <v>44925</v>
      </c>
      <c r="P3085" s="48" t="s">
        <v>3728</v>
      </c>
    </row>
    <row r="3086" spans="1:16" x14ac:dyDescent="0.3">
      <c r="A3086" s="59">
        <f t="shared" si="267"/>
        <v>2760</v>
      </c>
      <c r="B3086" s="66" t="s">
        <v>2925</v>
      </c>
      <c r="C3086" s="184">
        <v>1947</v>
      </c>
      <c r="D3086" s="51"/>
      <c r="E3086" s="52" t="s">
        <v>3733</v>
      </c>
      <c r="F3086" s="47">
        <v>2</v>
      </c>
      <c r="G3086" s="51"/>
      <c r="H3086" s="52">
        <v>1089.9000000000001</v>
      </c>
      <c r="I3086" s="218">
        <v>56</v>
      </c>
      <c r="J3086" s="19">
        <f t="shared" si="266"/>
        <v>219816.46000000002</v>
      </c>
      <c r="K3086" s="51"/>
      <c r="L3086" s="50"/>
      <c r="M3086" s="51"/>
      <c r="N3086" s="19">
        <f>SUMIF('2020'!B:B,B3086,'2020'!C:C)+SUMIF('2021'!B:B,B3086,'2021'!C:C)+SUMIF('2022'!B:B,B3086,'2022'!C:C)</f>
        <v>219816.46000000002</v>
      </c>
      <c r="O3086" s="219">
        <v>44925</v>
      </c>
      <c r="P3086" s="48" t="s">
        <v>3728</v>
      </c>
    </row>
    <row r="3087" spans="1:16" x14ac:dyDescent="0.3">
      <c r="A3087" s="59">
        <f t="shared" si="267"/>
        <v>2761</v>
      </c>
      <c r="B3087" s="66" t="s">
        <v>2926</v>
      </c>
      <c r="C3087" s="184">
        <v>1965</v>
      </c>
      <c r="D3087" s="51"/>
      <c r="E3087" s="52" t="s">
        <v>3733</v>
      </c>
      <c r="F3087" s="47">
        <v>5</v>
      </c>
      <c r="G3087" s="51"/>
      <c r="H3087" s="52">
        <v>3364.2</v>
      </c>
      <c r="I3087" s="218">
        <v>162</v>
      </c>
      <c r="J3087" s="19">
        <f t="shared" si="266"/>
        <v>3046949.52</v>
      </c>
      <c r="K3087" s="51"/>
      <c r="L3087" s="50"/>
      <c r="M3087" s="51"/>
      <c r="N3087" s="19">
        <f>SUMIF('2020'!B:B,B3087,'2020'!C:C)+SUMIF('2021'!B:B,B3087,'2021'!C:C)+SUMIF('2022'!B:B,B3087,'2022'!C:C)</f>
        <v>3046949.52</v>
      </c>
      <c r="O3087" s="219">
        <v>44925</v>
      </c>
      <c r="P3087" s="48" t="s">
        <v>3728</v>
      </c>
    </row>
    <row r="3088" spans="1:16" x14ac:dyDescent="0.3">
      <c r="A3088" s="59">
        <f t="shared" si="267"/>
        <v>2762</v>
      </c>
      <c r="B3088" s="66" t="s">
        <v>2927</v>
      </c>
      <c r="C3088" s="184">
        <v>1965</v>
      </c>
      <c r="D3088" s="51"/>
      <c r="E3088" s="52" t="s">
        <v>3733</v>
      </c>
      <c r="F3088" s="47">
        <v>5</v>
      </c>
      <c r="G3088" s="51"/>
      <c r="H3088" s="52">
        <v>3308.7</v>
      </c>
      <c r="I3088" s="218">
        <v>149</v>
      </c>
      <c r="J3088" s="19">
        <f t="shared" si="266"/>
        <v>130000</v>
      </c>
      <c r="K3088" s="51"/>
      <c r="L3088" s="50"/>
      <c r="M3088" s="51"/>
      <c r="N3088" s="19">
        <f>SUMIF('2020'!B:B,B3088,'2020'!C:C)+SUMIF('2021'!B:B,B3088,'2021'!C:C)+SUMIF('2022'!B:B,B3088,'2022'!C:C)</f>
        <v>130000</v>
      </c>
      <c r="O3088" s="219">
        <v>44925</v>
      </c>
      <c r="P3088" s="48" t="s">
        <v>3728</v>
      </c>
    </row>
    <row r="3089" spans="1:16" x14ac:dyDescent="0.3">
      <c r="A3089" s="59">
        <f t="shared" si="267"/>
        <v>2763</v>
      </c>
      <c r="B3089" s="66" t="s">
        <v>2928</v>
      </c>
      <c r="C3089" s="184">
        <v>1968</v>
      </c>
      <c r="D3089" s="51"/>
      <c r="E3089" s="52" t="s">
        <v>3733</v>
      </c>
      <c r="F3089" s="47">
        <v>5</v>
      </c>
      <c r="G3089" s="51"/>
      <c r="H3089" s="52">
        <v>3356.5</v>
      </c>
      <c r="I3089" s="218">
        <v>152</v>
      </c>
      <c r="J3089" s="19">
        <f t="shared" si="266"/>
        <v>199232.96</v>
      </c>
      <c r="K3089" s="51"/>
      <c r="L3089" s="50"/>
      <c r="M3089" s="51"/>
      <c r="N3089" s="19">
        <f>SUMIF('2020'!B:B,B3089,'2020'!C:C)+SUMIF('2021'!B:B,B3089,'2021'!C:C)+SUMIF('2022'!B:B,B3089,'2022'!C:C)</f>
        <v>199232.96</v>
      </c>
      <c r="O3089" s="219">
        <v>44925</v>
      </c>
      <c r="P3089" s="48" t="s">
        <v>3728</v>
      </c>
    </row>
    <row r="3090" spans="1:16" x14ac:dyDescent="0.3">
      <c r="A3090" s="59">
        <f t="shared" si="267"/>
        <v>2764</v>
      </c>
      <c r="B3090" s="66" t="s">
        <v>2929</v>
      </c>
      <c r="C3090" s="184">
        <v>1965</v>
      </c>
      <c r="D3090" s="51"/>
      <c r="E3090" s="52" t="s">
        <v>3733</v>
      </c>
      <c r="F3090" s="47">
        <v>5</v>
      </c>
      <c r="G3090" s="51"/>
      <c r="H3090" s="52">
        <v>3689.5</v>
      </c>
      <c r="I3090" s="218">
        <v>143</v>
      </c>
      <c r="J3090" s="19">
        <f t="shared" si="266"/>
        <v>1753898.83</v>
      </c>
      <c r="K3090" s="51"/>
      <c r="L3090" s="50"/>
      <c r="M3090" s="51"/>
      <c r="N3090" s="19">
        <f>SUMIF('2020'!B:B,B3090,'2020'!C:C)+SUMIF('2021'!B:B,B3090,'2021'!C:C)+SUMIF('2022'!B:B,B3090,'2022'!C:C)</f>
        <v>1753898.83</v>
      </c>
      <c r="O3090" s="219">
        <v>44925</v>
      </c>
      <c r="P3090" s="48" t="s">
        <v>3728</v>
      </c>
    </row>
    <row r="3091" spans="1:16" x14ac:dyDescent="0.3">
      <c r="A3091" s="59">
        <f t="shared" si="267"/>
        <v>2765</v>
      </c>
      <c r="B3091" s="66" t="s">
        <v>2930</v>
      </c>
      <c r="C3091" s="184">
        <v>1963</v>
      </c>
      <c r="D3091" s="51"/>
      <c r="E3091" s="52" t="s">
        <v>3733</v>
      </c>
      <c r="F3091" s="47">
        <v>4</v>
      </c>
      <c r="G3091" s="51"/>
      <c r="H3091" s="52">
        <v>1289.8</v>
      </c>
      <c r="I3091" s="218">
        <v>48</v>
      </c>
      <c r="J3091" s="19">
        <f t="shared" si="266"/>
        <v>287261</v>
      </c>
      <c r="K3091" s="51"/>
      <c r="L3091" s="50"/>
      <c r="M3091" s="51"/>
      <c r="N3091" s="19">
        <f>SUMIF('2020'!B:B,B3091,'2020'!C:C)+SUMIF('2021'!B:B,B3091,'2021'!C:C)+SUMIF('2022'!B:B,B3091,'2022'!C:C)</f>
        <v>287261</v>
      </c>
      <c r="O3091" s="219">
        <v>44925</v>
      </c>
      <c r="P3091" s="48" t="s">
        <v>3728</v>
      </c>
    </row>
    <row r="3092" spans="1:16" x14ac:dyDescent="0.3">
      <c r="A3092" s="59">
        <f t="shared" si="267"/>
        <v>2766</v>
      </c>
      <c r="B3092" s="66" t="s">
        <v>2931</v>
      </c>
      <c r="C3092" s="184">
        <v>1958</v>
      </c>
      <c r="D3092" s="51"/>
      <c r="E3092" s="52" t="s">
        <v>3733</v>
      </c>
      <c r="F3092" s="47">
        <v>2</v>
      </c>
      <c r="G3092" s="51"/>
      <c r="H3092" s="52">
        <v>638.53</v>
      </c>
      <c r="I3092" s="218">
        <v>17</v>
      </c>
      <c r="J3092" s="19">
        <f t="shared" si="266"/>
        <v>287261</v>
      </c>
      <c r="K3092" s="51"/>
      <c r="L3092" s="50"/>
      <c r="M3092" s="51"/>
      <c r="N3092" s="19">
        <f>SUMIF('2020'!B:B,B3092,'2020'!C:C)+SUMIF('2021'!B:B,B3092,'2021'!C:C)+SUMIF('2022'!B:B,B3092,'2022'!C:C)</f>
        <v>287261</v>
      </c>
      <c r="O3092" s="219">
        <v>44925</v>
      </c>
      <c r="P3092" s="48" t="s">
        <v>3728</v>
      </c>
    </row>
    <row r="3093" spans="1:16" x14ac:dyDescent="0.3">
      <c r="A3093" s="59">
        <f t="shared" si="267"/>
        <v>2767</v>
      </c>
      <c r="B3093" s="66" t="s">
        <v>2932</v>
      </c>
      <c r="C3093" s="184">
        <v>1956</v>
      </c>
      <c r="D3093" s="51"/>
      <c r="E3093" s="52" t="s">
        <v>3733</v>
      </c>
      <c r="F3093" s="47">
        <v>2</v>
      </c>
      <c r="G3093" s="51"/>
      <c r="H3093" s="52">
        <v>776.1</v>
      </c>
      <c r="I3093" s="218">
        <v>37</v>
      </c>
      <c r="J3093" s="19">
        <f t="shared" si="266"/>
        <v>130000</v>
      </c>
      <c r="K3093" s="51"/>
      <c r="L3093" s="50"/>
      <c r="M3093" s="51"/>
      <c r="N3093" s="19">
        <f>SUMIF('2020'!B:B,B3093,'2020'!C:C)+SUMIF('2021'!B:B,B3093,'2021'!C:C)+SUMIF('2022'!B:B,B3093,'2022'!C:C)</f>
        <v>130000</v>
      </c>
      <c r="O3093" s="219">
        <v>44925</v>
      </c>
      <c r="P3093" s="48" t="s">
        <v>3728</v>
      </c>
    </row>
    <row r="3094" spans="1:16" x14ac:dyDescent="0.3">
      <c r="A3094" s="59">
        <f t="shared" si="267"/>
        <v>2768</v>
      </c>
      <c r="B3094" s="66" t="s">
        <v>2933</v>
      </c>
      <c r="C3094" s="184">
        <v>1951</v>
      </c>
      <c r="D3094" s="51"/>
      <c r="E3094" s="52" t="s">
        <v>3733</v>
      </c>
      <c r="F3094" s="47">
        <v>2</v>
      </c>
      <c r="G3094" s="51"/>
      <c r="H3094" s="52">
        <v>390.9</v>
      </c>
      <c r="I3094" s="218">
        <v>20</v>
      </c>
      <c r="J3094" s="19">
        <f t="shared" si="266"/>
        <v>773686.67999999993</v>
      </c>
      <c r="K3094" s="51"/>
      <c r="L3094" s="51"/>
      <c r="M3094" s="51"/>
      <c r="N3094" s="19">
        <f>SUMIF('2020'!B:B,B3094,'2020'!C:C)+SUMIF('2021'!B:B,B3094,'2021'!C:C)+SUMIF('2022'!B:B,B3094,'2022'!C:C)</f>
        <v>773686.67999999993</v>
      </c>
      <c r="O3094" s="219">
        <v>44925</v>
      </c>
      <c r="P3094" s="48" t="s">
        <v>3728</v>
      </c>
    </row>
    <row r="3095" spans="1:16" x14ac:dyDescent="0.3">
      <c r="A3095" s="59">
        <f t="shared" si="267"/>
        <v>2769</v>
      </c>
      <c r="B3095" s="66" t="s">
        <v>2934</v>
      </c>
      <c r="C3095" s="184">
        <v>1951</v>
      </c>
      <c r="D3095" s="51"/>
      <c r="E3095" s="52" t="s">
        <v>3733</v>
      </c>
      <c r="F3095" s="47">
        <v>2</v>
      </c>
      <c r="G3095" s="51"/>
      <c r="H3095" s="52">
        <v>374</v>
      </c>
      <c r="I3095" s="218">
        <v>16</v>
      </c>
      <c r="J3095" s="19">
        <f t="shared" si="266"/>
        <v>747021.96</v>
      </c>
      <c r="K3095" s="51"/>
      <c r="L3095" s="51"/>
      <c r="M3095" s="51"/>
      <c r="N3095" s="19">
        <f>SUMIF('2020'!B:B,B3095,'2020'!C:C)+SUMIF('2021'!B:B,B3095,'2021'!C:C)+SUMIF('2022'!B:B,B3095,'2022'!C:C)</f>
        <v>747021.96</v>
      </c>
      <c r="O3095" s="219">
        <v>44925</v>
      </c>
      <c r="P3095" s="48" t="s">
        <v>3728</v>
      </c>
    </row>
    <row r="3096" spans="1:16" x14ac:dyDescent="0.3">
      <c r="A3096" s="59">
        <f t="shared" si="267"/>
        <v>2770</v>
      </c>
      <c r="B3096" s="66" t="s">
        <v>2935</v>
      </c>
      <c r="C3096" s="184">
        <v>1952</v>
      </c>
      <c r="D3096" s="51"/>
      <c r="E3096" s="52" t="s">
        <v>3733</v>
      </c>
      <c r="F3096" s="47">
        <v>2</v>
      </c>
      <c r="G3096" s="51"/>
      <c r="H3096" s="52">
        <v>387</v>
      </c>
      <c r="I3096" s="218">
        <v>21</v>
      </c>
      <c r="J3096" s="19">
        <f t="shared" si="266"/>
        <v>172146.61</v>
      </c>
      <c r="K3096" s="51"/>
      <c r="L3096" s="51"/>
      <c r="M3096" s="51"/>
      <c r="N3096" s="19">
        <f>SUMIF('2020'!B:B,B3096,'2020'!C:C)+SUMIF('2021'!B:B,B3096,'2021'!C:C)+SUMIF('2022'!B:B,B3096,'2022'!C:C)</f>
        <v>172146.61</v>
      </c>
      <c r="O3096" s="219">
        <v>44925</v>
      </c>
      <c r="P3096" s="48" t="s">
        <v>3728</v>
      </c>
    </row>
    <row r="3097" spans="1:16" x14ac:dyDescent="0.3">
      <c r="A3097" s="59">
        <f t="shared" si="267"/>
        <v>2771</v>
      </c>
      <c r="B3097" s="66" t="s">
        <v>2936</v>
      </c>
      <c r="C3097" s="184">
        <v>1952</v>
      </c>
      <c r="D3097" s="51"/>
      <c r="E3097" s="52" t="s">
        <v>3733</v>
      </c>
      <c r="F3097" s="47">
        <v>2</v>
      </c>
      <c r="G3097" s="51"/>
      <c r="H3097" s="52">
        <v>620.5</v>
      </c>
      <c r="I3097" s="218">
        <v>37</v>
      </c>
      <c r="J3097" s="19">
        <f t="shared" si="266"/>
        <v>778834.57</v>
      </c>
      <c r="K3097" s="51"/>
      <c r="L3097" s="51"/>
      <c r="M3097" s="51"/>
      <c r="N3097" s="19">
        <f>SUMIF('2020'!B:B,B3097,'2020'!C:C)+SUMIF('2021'!B:B,B3097,'2021'!C:C)+SUMIF('2022'!B:B,B3097,'2022'!C:C)</f>
        <v>778834.57</v>
      </c>
      <c r="O3097" s="219">
        <v>44925</v>
      </c>
      <c r="P3097" s="48" t="s">
        <v>3728</v>
      </c>
    </row>
    <row r="3098" spans="1:16" x14ac:dyDescent="0.3">
      <c r="A3098" s="59">
        <f t="shared" si="267"/>
        <v>2772</v>
      </c>
      <c r="B3098" s="66" t="s">
        <v>2937</v>
      </c>
      <c r="C3098" s="184">
        <v>1952</v>
      </c>
      <c r="D3098" s="51"/>
      <c r="E3098" s="52" t="s">
        <v>3733</v>
      </c>
      <c r="F3098" s="47">
        <v>2</v>
      </c>
      <c r="G3098" s="51"/>
      <c r="H3098" s="52">
        <v>610.4</v>
      </c>
      <c r="I3098" s="218">
        <v>30</v>
      </c>
      <c r="J3098" s="19">
        <f t="shared" si="266"/>
        <v>196712.69</v>
      </c>
      <c r="K3098" s="51"/>
      <c r="L3098" s="51"/>
      <c r="M3098" s="51"/>
      <c r="N3098" s="19">
        <f>SUMIF('2020'!B:B,B3098,'2020'!C:C)+SUMIF('2021'!B:B,B3098,'2021'!C:C)+SUMIF('2022'!B:B,B3098,'2022'!C:C)</f>
        <v>196712.69</v>
      </c>
      <c r="O3098" s="219">
        <v>44925</v>
      </c>
      <c r="P3098" s="48" t="s">
        <v>3728</v>
      </c>
    </row>
    <row r="3099" spans="1:16" x14ac:dyDescent="0.3">
      <c r="A3099" s="59">
        <f t="shared" si="267"/>
        <v>2773</v>
      </c>
      <c r="B3099" s="66" t="s">
        <v>2938</v>
      </c>
      <c r="C3099" s="184">
        <v>1960</v>
      </c>
      <c r="D3099" s="51"/>
      <c r="E3099" s="52" t="s">
        <v>3733</v>
      </c>
      <c r="F3099" s="47">
        <v>3</v>
      </c>
      <c r="G3099" s="51"/>
      <c r="H3099" s="52">
        <v>1484.5</v>
      </c>
      <c r="I3099" s="218">
        <v>59</v>
      </c>
      <c r="J3099" s="19">
        <f t="shared" si="266"/>
        <v>182039</v>
      </c>
      <c r="K3099" s="51"/>
      <c r="L3099" s="50"/>
      <c r="M3099" s="51"/>
      <c r="N3099" s="19">
        <f>SUMIF('2020'!B:B,B3099,'2020'!C:C)+SUMIF('2021'!B:B,B3099,'2021'!C:C)+SUMIF('2022'!B:B,B3099,'2022'!C:C)</f>
        <v>182039</v>
      </c>
      <c r="O3099" s="219">
        <v>44925</v>
      </c>
      <c r="P3099" s="48" t="s">
        <v>3728</v>
      </c>
    </row>
    <row r="3100" spans="1:16" x14ac:dyDescent="0.3">
      <c r="A3100" s="59">
        <f t="shared" si="267"/>
        <v>2774</v>
      </c>
      <c r="B3100" s="66" t="s">
        <v>2939</v>
      </c>
      <c r="C3100" s="184">
        <v>1966</v>
      </c>
      <c r="D3100" s="51"/>
      <c r="E3100" s="52" t="s">
        <v>3733</v>
      </c>
      <c r="F3100" s="47">
        <v>5</v>
      </c>
      <c r="G3100" s="51"/>
      <c r="H3100" s="52">
        <v>2674.8</v>
      </c>
      <c r="I3100" s="218">
        <v>150</v>
      </c>
      <c r="J3100" s="19">
        <f t="shared" si="266"/>
        <v>130000</v>
      </c>
      <c r="K3100" s="51"/>
      <c r="L3100" s="50"/>
      <c r="M3100" s="51"/>
      <c r="N3100" s="19">
        <f>SUMIF('2020'!B:B,B3100,'2020'!C:C)+SUMIF('2021'!B:B,B3100,'2021'!C:C)+SUMIF('2022'!B:B,B3100,'2022'!C:C)</f>
        <v>130000</v>
      </c>
      <c r="O3100" s="219">
        <v>44925</v>
      </c>
      <c r="P3100" s="48" t="s">
        <v>3728</v>
      </c>
    </row>
    <row r="3101" spans="1:16" x14ac:dyDescent="0.3">
      <c r="A3101" s="59">
        <f t="shared" si="267"/>
        <v>2775</v>
      </c>
      <c r="B3101" s="66" t="s">
        <v>2940</v>
      </c>
      <c r="C3101" s="184">
        <v>1977</v>
      </c>
      <c r="D3101" s="51"/>
      <c r="E3101" s="52" t="s">
        <v>3733</v>
      </c>
      <c r="F3101" s="47">
        <v>5</v>
      </c>
      <c r="G3101" s="51"/>
      <c r="H3101" s="52">
        <v>4217.8</v>
      </c>
      <c r="I3101" s="218">
        <v>157</v>
      </c>
      <c r="J3101" s="19">
        <f t="shared" si="266"/>
        <v>2100604.2600000002</v>
      </c>
      <c r="K3101" s="51"/>
      <c r="L3101" s="51"/>
      <c r="M3101" s="51"/>
      <c r="N3101" s="19">
        <f>SUMIF('2020'!B:B,B3101,'2020'!C:C)+SUMIF('2021'!B:B,B3101,'2021'!C:C)+SUMIF('2022'!B:B,B3101,'2022'!C:C)</f>
        <v>2100604.2600000002</v>
      </c>
      <c r="O3101" s="219">
        <v>44925</v>
      </c>
      <c r="P3101" s="48" t="s">
        <v>3728</v>
      </c>
    </row>
    <row r="3102" spans="1:16" x14ac:dyDescent="0.3">
      <c r="A3102" s="59">
        <f t="shared" si="267"/>
        <v>2776</v>
      </c>
      <c r="B3102" s="66" t="s">
        <v>2941</v>
      </c>
      <c r="C3102" s="184">
        <v>1972</v>
      </c>
      <c r="D3102" s="51"/>
      <c r="E3102" s="52" t="s">
        <v>3733</v>
      </c>
      <c r="F3102" s="47">
        <v>5</v>
      </c>
      <c r="G3102" s="51"/>
      <c r="H3102" s="52">
        <v>3332.3</v>
      </c>
      <c r="I3102" s="218">
        <v>237</v>
      </c>
      <c r="J3102" s="19">
        <f t="shared" si="266"/>
        <v>274862.40999999997</v>
      </c>
      <c r="K3102" s="51"/>
      <c r="L3102" s="50"/>
      <c r="M3102" s="51"/>
      <c r="N3102" s="19">
        <f>SUMIF('2020'!B:B,B3102,'2020'!C:C)+SUMIF('2021'!B:B,B3102,'2021'!C:C)+SUMIF('2022'!B:B,B3102,'2022'!C:C)</f>
        <v>274862.40999999997</v>
      </c>
      <c r="O3102" s="219">
        <v>44925</v>
      </c>
      <c r="P3102" s="48" t="s">
        <v>3728</v>
      </c>
    </row>
    <row r="3103" spans="1:16" x14ac:dyDescent="0.3">
      <c r="A3103" s="59">
        <f t="shared" si="267"/>
        <v>2777</v>
      </c>
      <c r="B3103" s="66" t="s">
        <v>2942</v>
      </c>
      <c r="C3103" s="184">
        <v>1961</v>
      </c>
      <c r="D3103" s="51"/>
      <c r="E3103" s="52" t="s">
        <v>3733</v>
      </c>
      <c r="F3103" s="47">
        <v>3</v>
      </c>
      <c r="G3103" s="51"/>
      <c r="H3103" s="52">
        <v>973</v>
      </c>
      <c r="I3103" s="218">
        <v>37</v>
      </c>
      <c r="J3103" s="19">
        <f t="shared" si="266"/>
        <v>608969.06000000006</v>
      </c>
      <c r="K3103" s="51"/>
      <c r="L3103" s="50"/>
      <c r="M3103" s="51"/>
      <c r="N3103" s="19">
        <f>SUMIF('2020'!B:B,B3103,'2020'!C:C)+SUMIF('2021'!B:B,B3103,'2021'!C:C)+SUMIF('2022'!B:B,B3103,'2022'!C:C)</f>
        <v>608969.06000000006</v>
      </c>
      <c r="O3103" s="219">
        <v>44925</v>
      </c>
      <c r="P3103" s="48" t="s">
        <v>3728</v>
      </c>
    </row>
    <row r="3104" spans="1:16" x14ac:dyDescent="0.3">
      <c r="A3104" s="59">
        <f t="shared" si="267"/>
        <v>2778</v>
      </c>
      <c r="B3104" s="66" t="s">
        <v>2943</v>
      </c>
      <c r="C3104" s="184">
        <v>1951</v>
      </c>
      <c r="D3104" s="51"/>
      <c r="E3104" s="52" t="s">
        <v>3733</v>
      </c>
      <c r="F3104" s="47">
        <v>2</v>
      </c>
      <c r="G3104" s="51"/>
      <c r="H3104" s="52">
        <v>1019.3</v>
      </c>
      <c r="I3104" s="218">
        <v>29</v>
      </c>
      <c r="J3104" s="19">
        <f t="shared" si="266"/>
        <v>229908.31</v>
      </c>
      <c r="K3104" s="51"/>
      <c r="L3104" s="50"/>
      <c r="M3104" s="51"/>
      <c r="N3104" s="19">
        <f>SUMIF('2020'!B:B,B3104,'2020'!C:C)+SUMIF('2021'!B:B,B3104,'2021'!C:C)+SUMIF('2022'!B:B,B3104,'2022'!C:C)</f>
        <v>229908.31</v>
      </c>
      <c r="O3104" s="219">
        <v>44925</v>
      </c>
      <c r="P3104" s="48" t="s">
        <v>3728</v>
      </c>
    </row>
    <row r="3105" spans="1:16" x14ac:dyDescent="0.3">
      <c r="A3105" s="59">
        <f t="shared" si="267"/>
        <v>2779</v>
      </c>
      <c r="B3105" s="66" t="s">
        <v>2944</v>
      </c>
      <c r="C3105" s="184">
        <v>1937</v>
      </c>
      <c r="D3105" s="51"/>
      <c r="E3105" s="52" t="s">
        <v>3733</v>
      </c>
      <c r="F3105" s="47">
        <v>4</v>
      </c>
      <c r="G3105" s="51"/>
      <c r="H3105" s="52">
        <v>2494.83</v>
      </c>
      <c r="I3105" s="218">
        <v>86</v>
      </c>
      <c r="J3105" s="19">
        <f t="shared" si="266"/>
        <v>1299062.03</v>
      </c>
      <c r="K3105" s="51"/>
      <c r="L3105" s="51"/>
      <c r="M3105" s="51"/>
      <c r="N3105" s="19">
        <f>SUMIF('2020'!B:B,B3105,'2020'!C:C)+SUMIF('2021'!B:B,B3105,'2021'!C:C)+SUMIF('2022'!B:B,B3105,'2022'!C:C)</f>
        <v>1299062.03</v>
      </c>
      <c r="O3105" s="219">
        <v>44925</v>
      </c>
      <c r="P3105" s="48" t="s">
        <v>3728</v>
      </c>
    </row>
    <row r="3106" spans="1:16" x14ac:dyDescent="0.3">
      <c r="A3106" s="59">
        <f t="shared" si="267"/>
        <v>2780</v>
      </c>
      <c r="B3106" s="66" t="s">
        <v>2945</v>
      </c>
      <c r="C3106" s="184">
        <v>1957</v>
      </c>
      <c r="D3106" s="51"/>
      <c r="E3106" s="52" t="s">
        <v>3733</v>
      </c>
      <c r="F3106" s="47">
        <v>2</v>
      </c>
      <c r="G3106" s="51"/>
      <c r="H3106" s="52">
        <v>1069</v>
      </c>
      <c r="I3106" s="218">
        <v>27</v>
      </c>
      <c r="J3106" s="19">
        <f t="shared" si="266"/>
        <v>271927.03000000003</v>
      </c>
      <c r="K3106" s="51"/>
      <c r="L3106" s="50"/>
      <c r="M3106" s="51"/>
      <c r="N3106" s="19">
        <f>SUMIF('2020'!B:B,B3106,'2020'!C:C)+SUMIF('2021'!B:B,B3106,'2021'!C:C)+SUMIF('2022'!B:B,B3106,'2022'!C:C)</f>
        <v>271927.03000000003</v>
      </c>
      <c r="O3106" s="219">
        <v>44925</v>
      </c>
      <c r="P3106" s="48" t="s">
        <v>3728</v>
      </c>
    </row>
    <row r="3107" spans="1:16" x14ac:dyDescent="0.3">
      <c r="A3107" s="59">
        <f t="shared" si="267"/>
        <v>2781</v>
      </c>
      <c r="B3107" s="66" t="s">
        <v>2946</v>
      </c>
      <c r="C3107" s="184">
        <v>1961</v>
      </c>
      <c r="D3107" s="51"/>
      <c r="E3107" s="52" t="s">
        <v>3733</v>
      </c>
      <c r="F3107" s="47">
        <v>3</v>
      </c>
      <c r="G3107" s="51"/>
      <c r="H3107" s="52">
        <v>1219.2</v>
      </c>
      <c r="I3107" s="218">
        <v>55</v>
      </c>
      <c r="J3107" s="19">
        <f t="shared" si="266"/>
        <v>1673292.1300000001</v>
      </c>
      <c r="K3107" s="51"/>
      <c r="L3107" s="50"/>
      <c r="M3107" s="51"/>
      <c r="N3107" s="19">
        <f>SUMIF('2020'!B:B,B3107,'2020'!C:C)+SUMIF('2021'!B:B,B3107,'2021'!C:C)+SUMIF('2022'!B:B,B3107,'2022'!C:C)</f>
        <v>1673292.1300000001</v>
      </c>
      <c r="O3107" s="219">
        <v>44925</v>
      </c>
      <c r="P3107" s="48" t="s">
        <v>3728</v>
      </c>
    </row>
    <row r="3108" spans="1:16" x14ac:dyDescent="0.3">
      <c r="A3108" s="59">
        <f t="shared" si="267"/>
        <v>2782</v>
      </c>
      <c r="B3108" s="66" t="s">
        <v>2947</v>
      </c>
      <c r="C3108" s="184">
        <v>1978</v>
      </c>
      <c r="D3108" s="51"/>
      <c r="E3108" s="52" t="s">
        <v>3733</v>
      </c>
      <c r="F3108" s="47">
        <v>9</v>
      </c>
      <c r="G3108" s="51"/>
      <c r="H3108" s="52">
        <v>4579.6000000000004</v>
      </c>
      <c r="I3108" s="218">
        <v>110</v>
      </c>
      <c r="J3108" s="19">
        <f t="shared" si="266"/>
        <v>644724.34</v>
      </c>
      <c r="K3108" s="51"/>
      <c r="L3108" s="50"/>
      <c r="M3108" s="51"/>
      <c r="N3108" s="19">
        <f>SUMIF('2020'!B:B,B3108,'2020'!C:C)+SUMIF('2021'!B:B,B3108,'2021'!C:C)+SUMIF('2022'!B:B,B3108,'2022'!C:C)</f>
        <v>644724.34</v>
      </c>
      <c r="O3108" s="219">
        <v>44925</v>
      </c>
      <c r="P3108" s="48" t="s">
        <v>3728</v>
      </c>
    </row>
    <row r="3109" spans="1:16" x14ac:dyDescent="0.3">
      <c r="A3109" s="59">
        <f t="shared" si="267"/>
        <v>2783</v>
      </c>
      <c r="B3109" s="66" t="s">
        <v>2948</v>
      </c>
      <c r="C3109" s="184">
        <v>1952</v>
      </c>
      <c r="D3109" s="51"/>
      <c r="E3109" s="52" t="s">
        <v>3733</v>
      </c>
      <c r="F3109" s="47">
        <v>2</v>
      </c>
      <c r="G3109" s="51"/>
      <c r="H3109" s="52">
        <v>494.3</v>
      </c>
      <c r="I3109" s="218">
        <v>8</v>
      </c>
      <c r="J3109" s="19">
        <f t="shared" si="266"/>
        <v>130000</v>
      </c>
      <c r="K3109" s="51"/>
      <c r="L3109" s="50"/>
      <c r="M3109" s="51"/>
      <c r="N3109" s="19">
        <f>SUMIF('2020'!B:B,B3109,'2020'!C:C)+SUMIF('2021'!B:B,B3109,'2021'!C:C)+SUMIF('2022'!B:B,B3109,'2022'!C:C)</f>
        <v>130000</v>
      </c>
      <c r="O3109" s="219">
        <v>44925</v>
      </c>
      <c r="P3109" s="48" t="s">
        <v>3728</v>
      </c>
    </row>
    <row r="3110" spans="1:16" x14ac:dyDescent="0.3">
      <c r="A3110" s="59">
        <f t="shared" si="267"/>
        <v>2784</v>
      </c>
      <c r="B3110" s="66" t="s">
        <v>2949</v>
      </c>
      <c r="C3110" s="184">
        <v>1950</v>
      </c>
      <c r="D3110" s="51"/>
      <c r="E3110" s="52" t="s">
        <v>3733</v>
      </c>
      <c r="F3110" s="47">
        <v>2</v>
      </c>
      <c r="G3110" s="51"/>
      <c r="H3110" s="52">
        <v>485.3</v>
      </c>
      <c r="I3110" s="218">
        <v>18</v>
      </c>
      <c r="J3110" s="19">
        <f t="shared" si="266"/>
        <v>92890.79</v>
      </c>
      <c r="K3110" s="51"/>
      <c r="L3110" s="50"/>
      <c r="M3110" s="51"/>
      <c r="N3110" s="19">
        <f>SUMIF('2020'!B:B,B3110,'2020'!C:C)+SUMIF('2021'!B:B,B3110,'2021'!C:C)+SUMIF('2022'!B:B,B3110,'2022'!C:C)</f>
        <v>92890.79</v>
      </c>
      <c r="O3110" s="219">
        <v>44925</v>
      </c>
      <c r="P3110" s="48" t="s">
        <v>3728</v>
      </c>
    </row>
    <row r="3111" spans="1:16" x14ac:dyDescent="0.3">
      <c r="A3111" s="59">
        <f t="shared" si="267"/>
        <v>2785</v>
      </c>
      <c r="B3111" s="66" t="s">
        <v>2950</v>
      </c>
      <c r="C3111" s="184">
        <v>1951</v>
      </c>
      <c r="D3111" s="51"/>
      <c r="E3111" s="52" t="s">
        <v>3733</v>
      </c>
      <c r="F3111" s="47">
        <v>2</v>
      </c>
      <c r="G3111" s="51"/>
      <c r="H3111" s="52">
        <v>822.7</v>
      </c>
      <c r="I3111" s="218">
        <v>23</v>
      </c>
      <c r="J3111" s="19">
        <f t="shared" si="266"/>
        <v>100214.81</v>
      </c>
      <c r="K3111" s="51"/>
      <c r="L3111" s="50"/>
      <c r="M3111" s="51"/>
      <c r="N3111" s="19">
        <f>SUMIF('2020'!B:B,B3111,'2020'!C:C)+SUMIF('2021'!B:B,B3111,'2021'!C:C)+SUMIF('2022'!B:B,B3111,'2022'!C:C)</f>
        <v>100214.81</v>
      </c>
      <c r="O3111" s="219">
        <v>44925</v>
      </c>
      <c r="P3111" s="48" t="s">
        <v>3728</v>
      </c>
    </row>
    <row r="3112" spans="1:16" x14ac:dyDescent="0.3">
      <c r="A3112" s="59">
        <f t="shared" si="267"/>
        <v>2786</v>
      </c>
      <c r="B3112" s="66" t="s">
        <v>2951</v>
      </c>
      <c r="C3112" s="184">
        <v>1948</v>
      </c>
      <c r="D3112" s="51"/>
      <c r="E3112" s="52" t="s">
        <v>3733</v>
      </c>
      <c r="F3112" s="47"/>
      <c r="G3112" s="51"/>
      <c r="H3112" s="52"/>
      <c r="I3112" s="218"/>
      <c r="J3112" s="19">
        <f t="shared" si="266"/>
        <v>130000</v>
      </c>
      <c r="K3112" s="51"/>
      <c r="L3112" s="50"/>
      <c r="M3112" s="51"/>
      <c r="N3112" s="19">
        <f>SUMIF('2020'!B:B,B3112,'2020'!C:C)+SUMIF('2021'!B:B,B3112,'2021'!C:C)+SUMIF('2022'!B:B,B3112,'2022'!C:C)</f>
        <v>130000</v>
      </c>
      <c r="O3112" s="219">
        <v>44925</v>
      </c>
      <c r="P3112" s="48" t="s">
        <v>3728</v>
      </c>
    </row>
    <row r="3113" spans="1:16" x14ac:dyDescent="0.3">
      <c r="A3113" s="59">
        <f t="shared" si="267"/>
        <v>2787</v>
      </c>
      <c r="B3113" s="66" t="s">
        <v>2952</v>
      </c>
      <c r="C3113" s="184">
        <v>1951</v>
      </c>
      <c r="D3113" s="51"/>
      <c r="E3113" s="52" t="s">
        <v>3733</v>
      </c>
      <c r="F3113" s="47">
        <v>2</v>
      </c>
      <c r="G3113" s="51"/>
      <c r="H3113" s="52">
        <v>505.5</v>
      </c>
      <c r="I3113" s="218">
        <v>10</v>
      </c>
      <c r="J3113" s="19">
        <f t="shared" si="266"/>
        <v>99092.76</v>
      </c>
      <c r="K3113" s="51"/>
      <c r="L3113" s="50"/>
      <c r="M3113" s="51"/>
      <c r="N3113" s="19">
        <f>SUMIF('2020'!B:B,B3113,'2020'!C:C)+SUMIF('2021'!B:B,B3113,'2021'!C:C)+SUMIF('2022'!B:B,B3113,'2022'!C:C)</f>
        <v>99092.76</v>
      </c>
      <c r="O3113" s="219">
        <v>44925</v>
      </c>
      <c r="P3113" s="48" t="s">
        <v>3728</v>
      </c>
    </row>
    <row r="3114" spans="1:16" x14ac:dyDescent="0.3">
      <c r="A3114" s="59">
        <f t="shared" si="267"/>
        <v>2788</v>
      </c>
      <c r="B3114" s="66" t="s">
        <v>2953</v>
      </c>
      <c r="C3114" s="184">
        <v>1951</v>
      </c>
      <c r="D3114" s="51"/>
      <c r="E3114" s="52" t="s">
        <v>3733</v>
      </c>
      <c r="F3114" s="47">
        <v>2</v>
      </c>
      <c r="G3114" s="51"/>
      <c r="H3114" s="52">
        <v>863.9</v>
      </c>
      <c r="I3114" s="218">
        <v>14</v>
      </c>
      <c r="J3114" s="19">
        <f t="shared" si="266"/>
        <v>100162.7</v>
      </c>
      <c r="K3114" s="51"/>
      <c r="L3114" s="50"/>
      <c r="M3114" s="51"/>
      <c r="N3114" s="19">
        <f>SUMIF('2020'!B:B,B3114,'2020'!C:C)+SUMIF('2021'!B:B,B3114,'2021'!C:C)+SUMIF('2022'!B:B,B3114,'2022'!C:C)</f>
        <v>100162.7</v>
      </c>
      <c r="O3114" s="219">
        <v>44925</v>
      </c>
      <c r="P3114" s="48" t="s">
        <v>3728</v>
      </c>
    </row>
    <row r="3115" spans="1:16" x14ac:dyDescent="0.3">
      <c r="A3115" s="59">
        <f t="shared" si="267"/>
        <v>2789</v>
      </c>
      <c r="B3115" s="66" t="s">
        <v>2954</v>
      </c>
      <c r="C3115" s="184">
        <v>1952</v>
      </c>
      <c r="D3115" s="51"/>
      <c r="E3115" s="52" t="s">
        <v>3733</v>
      </c>
      <c r="F3115" s="47">
        <v>2</v>
      </c>
      <c r="G3115" s="51"/>
      <c r="H3115" s="52">
        <v>548.5</v>
      </c>
      <c r="I3115" s="218">
        <v>16</v>
      </c>
      <c r="J3115" s="19">
        <f t="shared" si="266"/>
        <v>207245.77000000002</v>
      </c>
      <c r="K3115" s="51"/>
      <c r="L3115" s="50"/>
      <c r="M3115" s="51"/>
      <c r="N3115" s="19">
        <f>SUMIF('2020'!B:B,B3115,'2020'!C:C)+SUMIF('2021'!B:B,B3115,'2021'!C:C)+SUMIF('2022'!B:B,B3115,'2022'!C:C)</f>
        <v>207245.77000000002</v>
      </c>
      <c r="O3115" s="219">
        <v>44925</v>
      </c>
      <c r="P3115" s="48" t="s">
        <v>3728</v>
      </c>
    </row>
    <row r="3116" spans="1:16" x14ac:dyDescent="0.3">
      <c r="A3116" s="59">
        <f t="shared" si="267"/>
        <v>2790</v>
      </c>
      <c r="B3116" s="66" t="s">
        <v>2955</v>
      </c>
      <c r="C3116" s="184">
        <v>1952</v>
      </c>
      <c r="D3116" s="51"/>
      <c r="E3116" s="52" t="s">
        <v>3733</v>
      </c>
      <c r="F3116" s="47">
        <v>2</v>
      </c>
      <c r="G3116" s="51"/>
      <c r="H3116" s="52">
        <v>512.20000000000005</v>
      </c>
      <c r="I3116" s="218">
        <v>16</v>
      </c>
      <c r="J3116" s="19">
        <f t="shared" si="266"/>
        <v>233384.37</v>
      </c>
      <c r="K3116" s="51"/>
      <c r="L3116" s="50"/>
      <c r="M3116" s="51"/>
      <c r="N3116" s="19">
        <f>SUMIF('2020'!B:B,B3116,'2020'!C:C)+SUMIF('2021'!B:B,B3116,'2021'!C:C)+SUMIF('2022'!B:B,B3116,'2022'!C:C)</f>
        <v>233384.37</v>
      </c>
      <c r="O3116" s="219">
        <v>44925</v>
      </c>
      <c r="P3116" s="48" t="s">
        <v>3728</v>
      </c>
    </row>
    <row r="3117" spans="1:16" x14ac:dyDescent="0.3">
      <c r="A3117" s="59">
        <f t="shared" si="267"/>
        <v>2791</v>
      </c>
      <c r="B3117" s="66" t="s">
        <v>2956</v>
      </c>
      <c r="C3117" s="184">
        <v>1974</v>
      </c>
      <c r="D3117" s="51"/>
      <c r="E3117" s="52" t="s">
        <v>3733</v>
      </c>
      <c r="F3117" s="47">
        <v>5</v>
      </c>
      <c r="G3117" s="51"/>
      <c r="H3117" s="52">
        <v>4963.2</v>
      </c>
      <c r="I3117" s="218">
        <v>184</v>
      </c>
      <c r="J3117" s="19">
        <f t="shared" si="266"/>
        <v>130000</v>
      </c>
      <c r="K3117" s="51"/>
      <c r="L3117" s="50"/>
      <c r="M3117" s="51"/>
      <c r="N3117" s="19">
        <f>SUMIF('2020'!B:B,B3117,'2020'!C:C)+SUMIF('2021'!B:B,B3117,'2021'!C:C)+SUMIF('2022'!B:B,B3117,'2022'!C:C)</f>
        <v>130000</v>
      </c>
      <c r="O3117" s="219">
        <v>44925</v>
      </c>
      <c r="P3117" s="48" t="s">
        <v>3728</v>
      </c>
    </row>
    <row r="3118" spans="1:16" x14ac:dyDescent="0.3">
      <c r="A3118" s="59">
        <f t="shared" si="267"/>
        <v>2792</v>
      </c>
      <c r="B3118" s="66" t="s">
        <v>2957</v>
      </c>
      <c r="C3118" s="184">
        <v>1948</v>
      </c>
      <c r="D3118" s="51"/>
      <c r="E3118" s="52" t="s">
        <v>3733</v>
      </c>
      <c r="F3118" s="47">
        <v>2</v>
      </c>
      <c r="G3118" s="51"/>
      <c r="H3118" s="52">
        <v>553.5</v>
      </c>
      <c r="I3118" s="218">
        <v>14</v>
      </c>
      <c r="J3118" s="19">
        <f t="shared" ref="J3118:J3181" si="269">K3118+L3118+M3118+N3118</f>
        <v>99028.38</v>
      </c>
      <c r="K3118" s="51"/>
      <c r="L3118" s="50"/>
      <c r="M3118" s="51"/>
      <c r="N3118" s="19">
        <f>SUMIF('2020'!B:B,B3118,'2020'!C:C)+SUMIF('2021'!B:B,B3118,'2021'!C:C)+SUMIF('2022'!B:B,B3118,'2022'!C:C)</f>
        <v>99028.38</v>
      </c>
      <c r="O3118" s="219">
        <v>44925</v>
      </c>
      <c r="P3118" s="48" t="s">
        <v>3728</v>
      </c>
    </row>
    <row r="3119" spans="1:16" x14ac:dyDescent="0.3">
      <c r="A3119" s="59">
        <f t="shared" si="267"/>
        <v>2793</v>
      </c>
      <c r="B3119" s="66" t="s">
        <v>2958</v>
      </c>
      <c r="C3119" s="184">
        <v>1950</v>
      </c>
      <c r="D3119" s="51"/>
      <c r="E3119" s="52" t="s">
        <v>3733</v>
      </c>
      <c r="F3119" s="47">
        <v>2</v>
      </c>
      <c r="G3119" s="51"/>
      <c r="H3119" s="52">
        <v>511.4</v>
      </c>
      <c r="I3119" s="218">
        <v>5</v>
      </c>
      <c r="J3119" s="19">
        <f t="shared" si="269"/>
        <v>106963.26</v>
      </c>
      <c r="K3119" s="51"/>
      <c r="L3119" s="50"/>
      <c r="M3119" s="51"/>
      <c r="N3119" s="19">
        <f>SUMIF('2020'!B:B,B3119,'2020'!C:C)+SUMIF('2021'!B:B,B3119,'2021'!C:C)+SUMIF('2022'!B:B,B3119,'2022'!C:C)</f>
        <v>106963.26</v>
      </c>
      <c r="O3119" s="219">
        <v>44925</v>
      </c>
      <c r="P3119" s="48" t="s">
        <v>3728</v>
      </c>
    </row>
    <row r="3120" spans="1:16" x14ac:dyDescent="0.3">
      <c r="A3120" s="59">
        <f t="shared" si="267"/>
        <v>2794</v>
      </c>
      <c r="B3120" s="66" t="s">
        <v>2959</v>
      </c>
      <c r="C3120" s="184">
        <v>1950</v>
      </c>
      <c r="D3120" s="51"/>
      <c r="E3120" s="52" t="s">
        <v>3733</v>
      </c>
      <c r="F3120" s="47">
        <v>2</v>
      </c>
      <c r="G3120" s="51"/>
      <c r="H3120" s="52">
        <v>1181.7</v>
      </c>
      <c r="I3120" s="218">
        <v>42</v>
      </c>
      <c r="J3120" s="19">
        <f t="shared" si="269"/>
        <v>136376.46</v>
      </c>
      <c r="K3120" s="51"/>
      <c r="L3120" s="50"/>
      <c r="M3120" s="51"/>
      <c r="N3120" s="19">
        <f>SUMIF('2020'!B:B,B3120,'2020'!C:C)+SUMIF('2021'!B:B,B3120,'2021'!C:C)+SUMIF('2022'!B:B,B3120,'2022'!C:C)</f>
        <v>136376.46</v>
      </c>
      <c r="O3120" s="219">
        <v>44925</v>
      </c>
      <c r="P3120" s="48" t="s">
        <v>3728</v>
      </c>
    </row>
    <row r="3121" spans="1:16" x14ac:dyDescent="0.3">
      <c r="A3121" s="59">
        <f t="shared" si="267"/>
        <v>2795</v>
      </c>
      <c r="B3121" s="66" t="s">
        <v>2960</v>
      </c>
      <c r="C3121" s="184">
        <v>1951</v>
      </c>
      <c r="D3121" s="51"/>
      <c r="E3121" s="52" t="s">
        <v>3733</v>
      </c>
      <c r="F3121" s="47">
        <v>2</v>
      </c>
      <c r="G3121" s="51"/>
      <c r="H3121" s="52">
        <v>598.29999999999995</v>
      </c>
      <c r="I3121" s="218">
        <v>13</v>
      </c>
      <c r="J3121" s="19">
        <f t="shared" si="269"/>
        <v>99560.09</v>
      </c>
      <c r="K3121" s="51"/>
      <c r="L3121" s="50"/>
      <c r="M3121" s="51"/>
      <c r="N3121" s="19">
        <f>SUMIF('2020'!B:B,B3121,'2020'!C:C)+SUMIF('2021'!B:B,B3121,'2021'!C:C)+SUMIF('2022'!B:B,B3121,'2022'!C:C)</f>
        <v>99560.09</v>
      </c>
      <c r="O3121" s="219">
        <v>44925</v>
      </c>
      <c r="P3121" s="48" t="s">
        <v>3728</v>
      </c>
    </row>
    <row r="3122" spans="1:16" x14ac:dyDescent="0.3">
      <c r="A3122" s="59">
        <f t="shared" si="267"/>
        <v>2796</v>
      </c>
      <c r="B3122" s="66" t="s">
        <v>2961</v>
      </c>
      <c r="C3122" s="184">
        <v>1951</v>
      </c>
      <c r="D3122" s="51"/>
      <c r="E3122" s="52" t="s">
        <v>3733</v>
      </c>
      <c r="F3122" s="47">
        <v>2</v>
      </c>
      <c r="G3122" s="51"/>
      <c r="H3122" s="52">
        <v>581.20000000000005</v>
      </c>
      <c r="I3122" s="218">
        <v>29</v>
      </c>
      <c r="J3122" s="19">
        <f t="shared" si="269"/>
        <v>110929.98</v>
      </c>
      <c r="K3122" s="51"/>
      <c r="L3122" s="50"/>
      <c r="M3122" s="51"/>
      <c r="N3122" s="19">
        <f>SUMIF('2020'!B:B,B3122,'2020'!C:C)+SUMIF('2021'!B:B,B3122,'2021'!C:C)+SUMIF('2022'!B:B,B3122,'2022'!C:C)</f>
        <v>110929.98</v>
      </c>
      <c r="O3122" s="219">
        <v>44925</v>
      </c>
      <c r="P3122" s="48" t="s">
        <v>3728</v>
      </c>
    </row>
    <row r="3123" spans="1:16" x14ac:dyDescent="0.3">
      <c r="A3123" s="59">
        <f t="shared" ref="A3123:A3181" si="270">A3122+1</f>
        <v>2797</v>
      </c>
      <c r="B3123" s="66" t="s">
        <v>2962</v>
      </c>
      <c r="C3123" s="184">
        <v>1950</v>
      </c>
      <c r="D3123" s="51"/>
      <c r="E3123" s="52" t="s">
        <v>3733</v>
      </c>
      <c r="F3123" s="47"/>
      <c r="G3123" s="51"/>
      <c r="H3123" s="52"/>
      <c r="I3123" s="218"/>
      <c r="J3123" s="19">
        <f t="shared" si="269"/>
        <v>130000</v>
      </c>
      <c r="K3123" s="51"/>
      <c r="L3123" s="50"/>
      <c r="M3123" s="51"/>
      <c r="N3123" s="19">
        <f>SUMIF('2020'!B:B,B3123,'2020'!C:C)+SUMIF('2021'!B:B,B3123,'2021'!C:C)+SUMIF('2022'!B:B,B3123,'2022'!C:C)</f>
        <v>130000</v>
      </c>
      <c r="O3123" s="219">
        <v>44925</v>
      </c>
      <c r="P3123" s="48" t="s">
        <v>3728</v>
      </c>
    </row>
    <row r="3124" spans="1:16" x14ac:dyDescent="0.3">
      <c r="A3124" s="59">
        <f t="shared" si="270"/>
        <v>2798</v>
      </c>
      <c r="B3124" s="66" t="s">
        <v>2963</v>
      </c>
      <c r="C3124" s="184">
        <v>1950</v>
      </c>
      <c r="D3124" s="51"/>
      <c r="E3124" s="52" t="s">
        <v>3733</v>
      </c>
      <c r="F3124" s="47">
        <v>2</v>
      </c>
      <c r="G3124" s="51"/>
      <c r="H3124" s="52">
        <v>537.29999999999995</v>
      </c>
      <c r="I3124" s="218">
        <v>16</v>
      </c>
      <c r="J3124" s="19">
        <f t="shared" si="269"/>
        <v>101674.27</v>
      </c>
      <c r="K3124" s="51"/>
      <c r="L3124" s="50"/>
      <c r="M3124" s="51"/>
      <c r="N3124" s="19">
        <f>SUMIF('2020'!B:B,B3124,'2020'!C:C)+SUMIF('2021'!B:B,B3124,'2021'!C:C)+SUMIF('2022'!B:B,B3124,'2022'!C:C)</f>
        <v>101674.27</v>
      </c>
      <c r="O3124" s="219">
        <v>44925</v>
      </c>
      <c r="P3124" s="48" t="s">
        <v>3728</v>
      </c>
    </row>
    <row r="3125" spans="1:16" x14ac:dyDescent="0.3">
      <c r="A3125" s="59">
        <f t="shared" si="270"/>
        <v>2799</v>
      </c>
      <c r="B3125" s="66" t="s">
        <v>2964</v>
      </c>
      <c r="C3125" s="184">
        <v>1951</v>
      </c>
      <c r="D3125" s="51"/>
      <c r="E3125" s="52" t="s">
        <v>3733</v>
      </c>
      <c r="F3125" s="47">
        <v>2</v>
      </c>
      <c r="G3125" s="51"/>
      <c r="H3125" s="52">
        <v>536.70000000000005</v>
      </c>
      <c r="I3125" s="218">
        <v>12</v>
      </c>
      <c r="J3125" s="19">
        <f t="shared" si="269"/>
        <v>1943162.57</v>
      </c>
      <c r="K3125" s="51"/>
      <c r="L3125" s="50"/>
      <c r="M3125" s="51"/>
      <c r="N3125" s="19">
        <f>SUMIF('2020'!B:B,B3125,'2020'!C:C)+SUMIF('2021'!B:B,B3125,'2021'!C:C)+SUMIF('2022'!B:B,B3125,'2022'!C:C)</f>
        <v>1943162.57</v>
      </c>
      <c r="O3125" s="219">
        <v>44925</v>
      </c>
      <c r="P3125" s="48" t="s">
        <v>3728</v>
      </c>
    </row>
    <row r="3126" spans="1:16" x14ac:dyDescent="0.3">
      <c r="A3126" s="59">
        <f t="shared" si="270"/>
        <v>2800</v>
      </c>
      <c r="B3126" s="66" t="s">
        <v>2965</v>
      </c>
      <c r="C3126" s="184">
        <v>1950</v>
      </c>
      <c r="D3126" s="51"/>
      <c r="E3126" s="52"/>
      <c r="F3126" s="47"/>
      <c r="G3126" s="51"/>
      <c r="H3126" s="52"/>
      <c r="I3126" s="218"/>
      <c r="J3126" s="19">
        <f t="shared" si="269"/>
        <v>130000</v>
      </c>
      <c r="K3126" s="51"/>
      <c r="L3126" s="50"/>
      <c r="M3126" s="51"/>
      <c r="N3126" s="19">
        <f>SUMIF('2020'!B:B,B3126,'2020'!C:C)+SUMIF('2021'!B:B,B3126,'2021'!C:C)+SUMIF('2022'!B:B,B3126,'2022'!C:C)</f>
        <v>130000</v>
      </c>
      <c r="O3126" s="219">
        <v>44925</v>
      </c>
      <c r="P3126" s="48" t="s">
        <v>3728</v>
      </c>
    </row>
    <row r="3127" spans="1:16" x14ac:dyDescent="0.3">
      <c r="A3127" s="59">
        <f t="shared" si="270"/>
        <v>2801</v>
      </c>
      <c r="B3127" s="66" t="s">
        <v>2966</v>
      </c>
      <c r="C3127" s="184">
        <v>1949</v>
      </c>
      <c r="D3127" s="51"/>
      <c r="E3127" s="52" t="s">
        <v>3733</v>
      </c>
      <c r="F3127" s="47">
        <v>2</v>
      </c>
      <c r="G3127" s="51"/>
      <c r="H3127" s="52">
        <v>763.2</v>
      </c>
      <c r="I3127" s="218">
        <v>46</v>
      </c>
      <c r="J3127" s="19">
        <f t="shared" si="269"/>
        <v>776457.27</v>
      </c>
      <c r="K3127" s="51"/>
      <c r="L3127" s="51"/>
      <c r="M3127" s="51"/>
      <c r="N3127" s="19">
        <f>SUMIF('2020'!B:B,B3127,'2020'!C:C)+SUMIF('2021'!B:B,B3127,'2021'!C:C)+SUMIF('2022'!B:B,B3127,'2022'!C:C)</f>
        <v>776457.27</v>
      </c>
      <c r="O3127" s="219">
        <v>44925</v>
      </c>
      <c r="P3127" s="48" t="s">
        <v>3728</v>
      </c>
    </row>
    <row r="3128" spans="1:16" x14ac:dyDescent="0.3">
      <c r="A3128" s="59">
        <f t="shared" si="270"/>
        <v>2802</v>
      </c>
      <c r="B3128" s="66" t="s">
        <v>2967</v>
      </c>
      <c r="C3128" s="184">
        <v>1951</v>
      </c>
      <c r="D3128" s="51"/>
      <c r="E3128" s="52" t="s">
        <v>3733</v>
      </c>
      <c r="F3128" s="47">
        <v>2</v>
      </c>
      <c r="G3128" s="51"/>
      <c r="H3128" s="52">
        <v>399.3</v>
      </c>
      <c r="I3128" s="218">
        <v>16</v>
      </c>
      <c r="J3128" s="19">
        <f t="shared" si="269"/>
        <v>219940.9</v>
      </c>
      <c r="K3128" s="51"/>
      <c r="L3128" s="51"/>
      <c r="M3128" s="51"/>
      <c r="N3128" s="19">
        <f>SUMIF('2020'!B:B,B3128,'2020'!C:C)+SUMIF('2021'!B:B,B3128,'2021'!C:C)+SUMIF('2022'!B:B,B3128,'2022'!C:C)</f>
        <v>219940.9</v>
      </c>
      <c r="O3128" s="219">
        <v>44925</v>
      </c>
      <c r="P3128" s="48" t="s">
        <v>3728</v>
      </c>
    </row>
    <row r="3129" spans="1:16" x14ac:dyDescent="0.3">
      <c r="A3129" s="59">
        <f t="shared" si="270"/>
        <v>2803</v>
      </c>
      <c r="B3129" s="66" t="s">
        <v>2968</v>
      </c>
      <c r="C3129" s="184">
        <v>1947</v>
      </c>
      <c r="D3129" s="51"/>
      <c r="E3129" s="52" t="s">
        <v>3733</v>
      </c>
      <c r="F3129" s="47">
        <v>2</v>
      </c>
      <c r="G3129" s="51"/>
      <c r="H3129" s="52">
        <v>746.2</v>
      </c>
      <c r="I3129" s="218">
        <v>38</v>
      </c>
      <c r="J3129" s="19">
        <f t="shared" si="269"/>
        <v>918215.59000000008</v>
      </c>
      <c r="K3129" s="51"/>
      <c r="L3129" s="51"/>
      <c r="M3129" s="51"/>
      <c r="N3129" s="19">
        <f>SUMIF('2020'!B:B,B3129,'2020'!C:C)+SUMIF('2021'!B:B,B3129,'2021'!C:C)+SUMIF('2022'!B:B,B3129,'2022'!C:C)</f>
        <v>918215.59000000008</v>
      </c>
      <c r="O3129" s="219">
        <v>44925</v>
      </c>
      <c r="P3129" s="48" t="s">
        <v>3728</v>
      </c>
    </row>
    <row r="3130" spans="1:16" x14ac:dyDescent="0.3">
      <c r="A3130" s="59">
        <f t="shared" si="270"/>
        <v>2804</v>
      </c>
      <c r="B3130" s="66" t="s">
        <v>2969</v>
      </c>
      <c r="C3130" s="184">
        <v>1951</v>
      </c>
      <c r="D3130" s="51"/>
      <c r="E3130" s="52" t="s">
        <v>3733</v>
      </c>
      <c r="F3130" s="47">
        <v>2</v>
      </c>
      <c r="G3130" s="51"/>
      <c r="H3130" s="52">
        <v>239.4</v>
      </c>
      <c r="I3130" s="218">
        <v>22</v>
      </c>
      <c r="J3130" s="19">
        <f t="shared" si="269"/>
        <v>493401.95</v>
      </c>
      <c r="K3130" s="51"/>
      <c r="L3130" s="51"/>
      <c r="M3130" s="51"/>
      <c r="N3130" s="19">
        <f>SUMIF('2020'!B:B,B3130,'2020'!C:C)+SUMIF('2021'!B:B,B3130,'2021'!C:C)+SUMIF('2022'!B:B,B3130,'2022'!C:C)</f>
        <v>493401.95</v>
      </c>
      <c r="O3130" s="219">
        <v>44925</v>
      </c>
      <c r="P3130" s="48" t="s">
        <v>3728</v>
      </c>
    </row>
    <row r="3131" spans="1:16" x14ac:dyDescent="0.3">
      <c r="A3131" s="59">
        <f t="shared" si="270"/>
        <v>2805</v>
      </c>
      <c r="B3131" s="66" t="s">
        <v>2970</v>
      </c>
      <c r="C3131" s="184">
        <v>1947</v>
      </c>
      <c r="D3131" s="51"/>
      <c r="E3131" s="52" t="s">
        <v>3733</v>
      </c>
      <c r="F3131" s="47">
        <v>2</v>
      </c>
      <c r="G3131" s="51"/>
      <c r="H3131" s="52">
        <v>777.6</v>
      </c>
      <c r="I3131" s="218">
        <v>41</v>
      </c>
      <c r="J3131" s="19">
        <f t="shared" si="269"/>
        <v>963403.03</v>
      </c>
      <c r="K3131" s="51"/>
      <c r="L3131" s="51"/>
      <c r="M3131" s="51"/>
      <c r="N3131" s="19">
        <f>SUMIF('2020'!B:B,B3131,'2020'!C:C)+SUMIF('2021'!B:B,B3131,'2021'!C:C)+SUMIF('2022'!B:B,B3131,'2022'!C:C)</f>
        <v>963403.03</v>
      </c>
      <c r="O3131" s="219">
        <v>44925</v>
      </c>
      <c r="P3131" s="48" t="s">
        <v>3728</v>
      </c>
    </row>
    <row r="3132" spans="1:16" x14ac:dyDescent="0.3">
      <c r="A3132" s="59">
        <f t="shared" si="270"/>
        <v>2806</v>
      </c>
      <c r="B3132" s="66" t="s">
        <v>2971</v>
      </c>
      <c r="C3132" s="184">
        <v>1949</v>
      </c>
      <c r="D3132" s="51"/>
      <c r="E3132" s="52" t="s">
        <v>3733</v>
      </c>
      <c r="F3132" s="47">
        <v>2</v>
      </c>
      <c r="G3132" s="51"/>
      <c r="H3132" s="52">
        <v>783.4</v>
      </c>
      <c r="I3132" s="218">
        <v>36</v>
      </c>
      <c r="J3132" s="19">
        <f t="shared" si="269"/>
        <v>870606.5</v>
      </c>
      <c r="K3132" s="51"/>
      <c r="L3132" s="51"/>
      <c r="M3132" s="51"/>
      <c r="N3132" s="19">
        <f>SUMIF('2020'!B:B,B3132,'2020'!C:C)+SUMIF('2021'!B:B,B3132,'2021'!C:C)+SUMIF('2022'!B:B,B3132,'2022'!C:C)</f>
        <v>870606.5</v>
      </c>
      <c r="O3132" s="219">
        <v>44925</v>
      </c>
      <c r="P3132" s="48" t="s">
        <v>3728</v>
      </c>
    </row>
    <row r="3133" spans="1:16" x14ac:dyDescent="0.3">
      <c r="A3133" s="59">
        <f t="shared" si="270"/>
        <v>2807</v>
      </c>
      <c r="B3133" s="66" t="s">
        <v>2972</v>
      </c>
      <c r="C3133" s="184">
        <v>1951</v>
      </c>
      <c r="D3133" s="51"/>
      <c r="E3133" s="52" t="s">
        <v>3733</v>
      </c>
      <c r="F3133" s="47">
        <v>2</v>
      </c>
      <c r="G3133" s="51"/>
      <c r="H3133" s="52">
        <v>604.70000000000005</v>
      </c>
      <c r="I3133" s="218">
        <v>28</v>
      </c>
      <c r="J3133" s="19">
        <f t="shared" si="269"/>
        <v>746259.65</v>
      </c>
      <c r="K3133" s="51"/>
      <c r="L3133" s="51"/>
      <c r="M3133" s="51"/>
      <c r="N3133" s="19">
        <f>SUMIF('2020'!B:B,B3133,'2020'!C:C)+SUMIF('2021'!B:B,B3133,'2021'!C:C)+SUMIF('2022'!B:B,B3133,'2022'!C:C)</f>
        <v>746259.65</v>
      </c>
      <c r="O3133" s="219">
        <v>44925</v>
      </c>
      <c r="P3133" s="48" t="s">
        <v>3728</v>
      </c>
    </row>
    <row r="3134" spans="1:16" x14ac:dyDescent="0.3">
      <c r="A3134" s="59">
        <f t="shared" si="270"/>
        <v>2808</v>
      </c>
      <c r="B3134" s="66" t="s">
        <v>2973</v>
      </c>
      <c r="C3134" s="184">
        <v>1949</v>
      </c>
      <c r="D3134" s="51"/>
      <c r="E3134" s="52" t="s">
        <v>3733</v>
      </c>
      <c r="F3134" s="47">
        <v>2</v>
      </c>
      <c r="G3134" s="51"/>
      <c r="H3134" s="52">
        <v>283</v>
      </c>
      <c r="I3134" s="218">
        <v>13</v>
      </c>
      <c r="J3134" s="19">
        <f t="shared" si="269"/>
        <v>463689.76</v>
      </c>
      <c r="K3134" s="51"/>
      <c r="L3134" s="51"/>
      <c r="M3134" s="51"/>
      <c r="N3134" s="19">
        <f>SUMIF('2020'!B:B,B3134,'2020'!C:C)+SUMIF('2021'!B:B,B3134,'2021'!C:C)+SUMIF('2022'!B:B,B3134,'2022'!C:C)</f>
        <v>463689.76</v>
      </c>
      <c r="O3134" s="219">
        <v>44925</v>
      </c>
      <c r="P3134" s="48" t="s">
        <v>3728</v>
      </c>
    </row>
    <row r="3135" spans="1:16" x14ac:dyDescent="0.3">
      <c r="A3135" s="59">
        <f t="shared" si="270"/>
        <v>2809</v>
      </c>
      <c r="B3135" s="66" t="s">
        <v>2974</v>
      </c>
      <c r="C3135" s="184">
        <v>1951</v>
      </c>
      <c r="D3135" s="51"/>
      <c r="E3135" s="52" t="s">
        <v>3733</v>
      </c>
      <c r="F3135" s="47">
        <v>2</v>
      </c>
      <c r="G3135" s="51"/>
      <c r="H3135" s="52">
        <v>619.79999999999995</v>
      </c>
      <c r="I3135" s="218">
        <v>39</v>
      </c>
      <c r="J3135" s="19">
        <f t="shared" si="269"/>
        <v>724381.45</v>
      </c>
      <c r="K3135" s="51"/>
      <c r="L3135" s="51"/>
      <c r="M3135" s="51"/>
      <c r="N3135" s="19">
        <f>SUMIF('2020'!B:B,B3135,'2020'!C:C)+SUMIF('2021'!B:B,B3135,'2021'!C:C)+SUMIF('2022'!B:B,B3135,'2022'!C:C)</f>
        <v>724381.45</v>
      </c>
      <c r="O3135" s="219">
        <v>44925</v>
      </c>
      <c r="P3135" s="48" t="s">
        <v>3728</v>
      </c>
    </row>
    <row r="3136" spans="1:16" x14ac:dyDescent="0.3">
      <c r="A3136" s="59">
        <f t="shared" si="270"/>
        <v>2810</v>
      </c>
      <c r="B3136" s="66" t="s">
        <v>2975</v>
      </c>
      <c r="C3136" s="184">
        <v>1950</v>
      </c>
      <c r="D3136" s="51"/>
      <c r="E3136" s="52" t="s">
        <v>3733</v>
      </c>
      <c r="F3136" s="47">
        <v>2</v>
      </c>
      <c r="G3136" s="51"/>
      <c r="H3136" s="52">
        <v>601.9</v>
      </c>
      <c r="I3136" s="218">
        <v>35</v>
      </c>
      <c r="J3136" s="19">
        <f t="shared" si="269"/>
        <v>751689.49</v>
      </c>
      <c r="K3136" s="51"/>
      <c r="L3136" s="51"/>
      <c r="M3136" s="51"/>
      <c r="N3136" s="19">
        <f>SUMIF('2020'!B:B,B3136,'2020'!C:C)+SUMIF('2021'!B:B,B3136,'2021'!C:C)+SUMIF('2022'!B:B,B3136,'2022'!C:C)</f>
        <v>751689.49</v>
      </c>
      <c r="O3136" s="219">
        <v>44925</v>
      </c>
      <c r="P3136" s="48" t="s">
        <v>3728</v>
      </c>
    </row>
    <row r="3137" spans="1:16" x14ac:dyDescent="0.3">
      <c r="A3137" s="59">
        <f t="shared" si="270"/>
        <v>2811</v>
      </c>
      <c r="B3137" s="66" t="s">
        <v>2976</v>
      </c>
      <c r="C3137" s="184">
        <v>1947</v>
      </c>
      <c r="D3137" s="51"/>
      <c r="E3137" s="52" t="s">
        <v>3733</v>
      </c>
      <c r="F3137" s="47">
        <v>2</v>
      </c>
      <c r="G3137" s="51"/>
      <c r="H3137" s="52">
        <v>268.8</v>
      </c>
      <c r="I3137" s="218">
        <v>10</v>
      </c>
      <c r="J3137" s="19">
        <f t="shared" si="269"/>
        <v>709962.84</v>
      </c>
      <c r="K3137" s="51"/>
      <c r="L3137" s="51"/>
      <c r="M3137" s="51"/>
      <c r="N3137" s="19">
        <f>SUMIF('2020'!B:B,B3137,'2020'!C:C)+SUMIF('2021'!B:B,B3137,'2021'!C:C)+SUMIF('2022'!B:B,B3137,'2022'!C:C)</f>
        <v>709962.84</v>
      </c>
      <c r="O3137" s="219">
        <v>44925</v>
      </c>
      <c r="P3137" s="48" t="s">
        <v>3728</v>
      </c>
    </row>
    <row r="3138" spans="1:16" x14ac:dyDescent="0.3">
      <c r="A3138" s="59">
        <f t="shared" si="270"/>
        <v>2812</v>
      </c>
      <c r="B3138" s="66" t="s">
        <v>2977</v>
      </c>
      <c r="C3138" s="184">
        <v>1948</v>
      </c>
      <c r="D3138" s="51"/>
      <c r="E3138" s="52" t="s">
        <v>3733</v>
      </c>
      <c r="F3138" s="47">
        <v>2</v>
      </c>
      <c r="G3138" s="51"/>
      <c r="H3138" s="52">
        <v>285.8</v>
      </c>
      <c r="I3138" s="218">
        <v>12</v>
      </c>
      <c r="J3138" s="19">
        <f t="shared" si="269"/>
        <v>631095.40999999992</v>
      </c>
      <c r="K3138" s="51"/>
      <c r="L3138" s="51"/>
      <c r="M3138" s="51"/>
      <c r="N3138" s="19">
        <f>SUMIF('2020'!B:B,B3138,'2020'!C:C)+SUMIF('2021'!B:B,B3138,'2021'!C:C)+SUMIF('2022'!B:B,B3138,'2022'!C:C)</f>
        <v>631095.40999999992</v>
      </c>
      <c r="O3138" s="219">
        <v>44925</v>
      </c>
      <c r="P3138" s="48" t="s">
        <v>3728</v>
      </c>
    </row>
    <row r="3139" spans="1:16" x14ac:dyDescent="0.3">
      <c r="A3139" s="59">
        <f t="shared" si="270"/>
        <v>2813</v>
      </c>
      <c r="B3139" s="66" t="s">
        <v>2978</v>
      </c>
      <c r="C3139" s="184">
        <v>1949</v>
      </c>
      <c r="D3139" s="51"/>
      <c r="E3139" s="52" t="s">
        <v>3733</v>
      </c>
      <c r="F3139" s="47">
        <v>2</v>
      </c>
      <c r="G3139" s="51"/>
      <c r="H3139" s="52">
        <v>623.6</v>
      </c>
      <c r="I3139" s="218">
        <v>27</v>
      </c>
      <c r="J3139" s="19">
        <f t="shared" si="269"/>
        <v>751636.16999999993</v>
      </c>
      <c r="K3139" s="51"/>
      <c r="L3139" s="51"/>
      <c r="M3139" s="51"/>
      <c r="N3139" s="19">
        <f>SUMIF('2020'!B:B,B3139,'2020'!C:C)+SUMIF('2021'!B:B,B3139,'2021'!C:C)+SUMIF('2022'!B:B,B3139,'2022'!C:C)</f>
        <v>751636.16999999993</v>
      </c>
      <c r="O3139" s="219">
        <v>44925</v>
      </c>
      <c r="P3139" s="48" t="s">
        <v>3728</v>
      </c>
    </row>
    <row r="3140" spans="1:16" x14ac:dyDescent="0.3">
      <c r="A3140" s="59">
        <f t="shared" si="270"/>
        <v>2814</v>
      </c>
      <c r="B3140" s="66" t="s">
        <v>2979</v>
      </c>
      <c r="C3140" s="184">
        <v>1949</v>
      </c>
      <c r="D3140" s="51"/>
      <c r="E3140" s="52" t="s">
        <v>3733</v>
      </c>
      <c r="F3140" s="47">
        <v>2</v>
      </c>
      <c r="G3140" s="51"/>
      <c r="H3140" s="52">
        <v>287.8</v>
      </c>
      <c r="I3140" s="218">
        <v>6</v>
      </c>
      <c r="J3140" s="19">
        <f t="shared" si="269"/>
        <v>175822.57</v>
      </c>
      <c r="K3140" s="51"/>
      <c r="L3140" s="51"/>
      <c r="M3140" s="51"/>
      <c r="N3140" s="19">
        <f>SUMIF('2020'!B:B,B3140,'2020'!C:C)+SUMIF('2021'!B:B,B3140,'2021'!C:C)+SUMIF('2022'!B:B,B3140,'2022'!C:C)</f>
        <v>175822.57</v>
      </c>
      <c r="O3140" s="219">
        <v>44925</v>
      </c>
      <c r="P3140" s="48" t="s">
        <v>3728</v>
      </c>
    </row>
    <row r="3141" spans="1:16" x14ac:dyDescent="0.3">
      <c r="A3141" s="59">
        <f t="shared" si="270"/>
        <v>2815</v>
      </c>
      <c r="B3141" s="66" t="s">
        <v>2980</v>
      </c>
      <c r="C3141" s="184">
        <v>1950</v>
      </c>
      <c r="D3141" s="51"/>
      <c r="E3141" s="52" t="s">
        <v>3733</v>
      </c>
      <c r="F3141" s="47">
        <v>2</v>
      </c>
      <c r="G3141" s="51"/>
      <c r="H3141" s="52">
        <v>289.10000000000002</v>
      </c>
      <c r="I3141" s="218">
        <v>8</v>
      </c>
      <c r="J3141" s="19">
        <f t="shared" si="269"/>
        <v>648104.31000000006</v>
      </c>
      <c r="K3141" s="51"/>
      <c r="L3141" s="51"/>
      <c r="M3141" s="51"/>
      <c r="N3141" s="19">
        <f>SUMIF('2020'!B:B,B3141,'2020'!C:C)+SUMIF('2021'!B:B,B3141,'2021'!C:C)+SUMIF('2022'!B:B,B3141,'2022'!C:C)</f>
        <v>648104.31000000006</v>
      </c>
      <c r="O3141" s="219">
        <v>44925</v>
      </c>
      <c r="P3141" s="48" t="s">
        <v>3728</v>
      </c>
    </row>
    <row r="3142" spans="1:16" x14ac:dyDescent="0.3">
      <c r="A3142" s="59">
        <f t="shared" si="270"/>
        <v>2816</v>
      </c>
      <c r="B3142" s="66" t="s">
        <v>2981</v>
      </c>
      <c r="C3142" s="184">
        <v>1948</v>
      </c>
      <c r="D3142" s="51"/>
      <c r="E3142" s="52" t="s">
        <v>3733</v>
      </c>
      <c r="F3142" s="47">
        <v>3</v>
      </c>
      <c r="G3142" s="51"/>
      <c r="H3142" s="52">
        <v>753.7</v>
      </c>
      <c r="I3142" s="218">
        <v>8</v>
      </c>
      <c r="J3142" s="19">
        <f t="shared" si="269"/>
        <v>815990.4</v>
      </c>
      <c r="K3142" s="51"/>
      <c r="L3142" s="51"/>
      <c r="M3142" s="51"/>
      <c r="N3142" s="19">
        <f>SUMIF('2020'!B:B,B3142,'2020'!C:C)+SUMIF('2021'!B:B,B3142,'2021'!C:C)+SUMIF('2022'!B:B,B3142,'2022'!C:C)</f>
        <v>815990.4</v>
      </c>
      <c r="O3142" s="219">
        <v>44925</v>
      </c>
      <c r="P3142" s="48" t="s">
        <v>3728</v>
      </c>
    </row>
    <row r="3143" spans="1:16" x14ac:dyDescent="0.3">
      <c r="A3143" s="59">
        <f t="shared" si="270"/>
        <v>2817</v>
      </c>
      <c r="B3143" s="66" t="s">
        <v>2982</v>
      </c>
      <c r="C3143" s="184">
        <v>1949</v>
      </c>
      <c r="D3143" s="51"/>
      <c r="E3143" s="52" t="s">
        <v>3733</v>
      </c>
      <c r="F3143" s="47">
        <v>4</v>
      </c>
      <c r="G3143" s="51"/>
      <c r="H3143" s="52">
        <v>692.3</v>
      </c>
      <c r="I3143" s="218">
        <v>26</v>
      </c>
      <c r="J3143" s="19">
        <f t="shared" si="269"/>
        <v>780267.66999999993</v>
      </c>
      <c r="K3143" s="51"/>
      <c r="L3143" s="51"/>
      <c r="M3143" s="51"/>
      <c r="N3143" s="19">
        <f>SUMIF('2020'!B:B,B3143,'2020'!C:C)+SUMIF('2021'!B:B,B3143,'2021'!C:C)+SUMIF('2022'!B:B,B3143,'2022'!C:C)</f>
        <v>780267.66999999993</v>
      </c>
      <c r="O3143" s="219">
        <v>44925</v>
      </c>
      <c r="P3143" s="48" t="s">
        <v>3728</v>
      </c>
    </row>
    <row r="3144" spans="1:16" x14ac:dyDescent="0.3">
      <c r="A3144" s="59">
        <f t="shared" si="270"/>
        <v>2818</v>
      </c>
      <c r="B3144" s="66" t="s">
        <v>2983</v>
      </c>
      <c r="C3144" s="184">
        <v>1949</v>
      </c>
      <c r="D3144" s="51"/>
      <c r="E3144" s="52" t="s">
        <v>3733</v>
      </c>
      <c r="F3144" s="47">
        <v>5</v>
      </c>
      <c r="G3144" s="51"/>
      <c r="H3144" s="52">
        <v>692.3</v>
      </c>
      <c r="I3144" s="218">
        <v>34</v>
      </c>
      <c r="J3144" s="19">
        <f t="shared" si="269"/>
        <v>812021.20000000007</v>
      </c>
      <c r="K3144" s="51"/>
      <c r="L3144" s="51"/>
      <c r="M3144" s="51"/>
      <c r="N3144" s="19">
        <f>SUMIF('2020'!B:B,B3144,'2020'!C:C)+SUMIF('2021'!B:B,B3144,'2021'!C:C)+SUMIF('2022'!B:B,B3144,'2022'!C:C)</f>
        <v>812021.20000000007</v>
      </c>
      <c r="O3144" s="219">
        <v>44925</v>
      </c>
      <c r="P3144" s="48" t="s">
        <v>3728</v>
      </c>
    </row>
    <row r="3145" spans="1:16" x14ac:dyDescent="0.3">
      <c r="A3145" s="59">
        <f t="shared" si="270"/>
        <v>2819</v>
      </c>
      <c r="B3145" s="66" t="s">
        <v>2984</v>
      </c>
      <c r="C3145" s="184">
        <v>1947</v>
      </c>
      <c r="D3145" s="51"/>
      <c r="E3145" s="52" t="s">
        <v>3733</v>
      </c>
      <c r="F3145" s="47">
        <v>6</v>
      </c>
      <c r="G3145" s="51"/>
      <c r="H3145" s="52">
        <v>794.9</v>
      </c>
      <c r="I3145" s="218">
        <v>54</v>
      </c>
      <c r="J3145" s="19">
        <f t="shared" si="269"/>
        <v>854175.57</v>
      </c>
      <c r="K3145" s="51"/>
      <c r="L3145" s="51"/>
      <c r="M3145" s="51"/>
      <c r="N3145" s="19">
        <f>SUMIF('2020'!B:B,B3145,'2020'!C:C)+SUMIF('2021'!B:B,B3145,'2021'!C:C)+SUMIF('2022'!B:B,B3145,'2022'!C:C)</f>
        <v>854175.57</v>
      </c>
      <c r="O3145" s="219">
        <v>44925</v>
      </c>
      <c r="P3145" s="48" t="s">
        <v>3728</v>
      </c>
    </row>
    <row r="3146" spans="1:16" x14ac:dyDescent="0.3">
      <c r="A3146" s="59">
        <f t="shared" si="270"/>
        <v>2820</v>
      </c>
      <c r="B3146" s="66" t="s">
        <v>2985</v>
      </c>
      <c r="C3146" s="184">
        <v>1946</v>
      </c>
      <c r="D3146" s="51"/>
      <c r="E3146" s="52" t="s">
        <v>3733</v>
      </c>
      <c r="F3146" s="47">
        <v>3</v>
      </c>
      <c r="G3146" s="51"/>
      <c r="H3146" s="52">
        <v>2750.3</v>
      </c>
      <c r="I3146" s="218">
        <v>76</v>
      </c>
      <c r="J3146" s="19">
        <f t="shared" si="269"/>
        <v>160500.28</v>
      </c>
      <c r="K3146" s="51"/>
      <c r="L3146" s="51"/>
      <c r="M3146" s="51"/>
      <c r="N3146" s="19">
        <f>SUMIF('2020'!B:B,B3146,'2020'!C:C)+SUMIF('2021'!B:B,B3146,'2021'!C:C)+SUMIF('2022'!B:B,B3146,'2022'!C:C)</f>
        <v>160500.28</v>
      </c>
      <c r="O3146" s="219">
        <v>44925</v>
      </c>
      <c r="P3146" s="48" t="s">
        <v>3728</v>
      </c>
    </row>
    <row r="3147" spans="1:16" x14ac:dyDescent="0.3">
      <c r="A3147" s="59">
        <f t="shared" si="270"/>
        <v>2821</v>
      </c>
      <c r="B3147" s="66" t="s">
        <v>2986</v>
      </c>
      <c r="C3147" s="184">
        <v>1946</v>
      </c>
      <c r="D3147" s="51"/>
      <c r="E3147" s="52" t="s">
        <v>3733</v>
      </c>
      <c r="F3147" s="47">
        <v>2</v>
      </c>
      <c r="G3147" s="51"/>
      <c r="H3147" s="52">
        <v>2084.1</v>
      </c>
      <c r="I3147" s="218">
        <v>43</v>
      </c>
      <c r="J3147" s="19">
        <f t="shared" si="269"/>
        <v>105625.08</v>
      </c>
      <c r="K3147" s="51"/>
      <c r="L3147" s="51"/>
      <c r="M3147" s="51"/>
      <c r="N3147" s="19">
        <f>SUMIF('2020'!B:B,B3147,'2020'!C:C)+SUMIF('2021'!B:B,B3147,'2021'!C:C)+SUMIF('2022'!B:B,B3147,'2022'!C:C)</f>
        <v>105625.08</v>
      </c>
      <c r="O3147" s="219">
        <v>44925</v>
      </c>
      <c r="P3147" s="48" t="s">
        <v>3728</v>
      </c>
    </row>
    <row r="3148" spans="1:16" x14ac:dyDescent="0.3">
      <c r="A3148" s="59">
        <f t="shared" si="270"/>
        <v>2822</v>
      </c>
      <c r="B3148" s="66" t="s">
        <v>2987</v>
      </c>
      <c r="C3148" s="184">
        <v>1952</v>
      </c>
      <c r="D3148" s="51"/>
      <c r="E3148" s="52"/>
      <c r="F3148" s="47"/>
      <c r="G3148" s="51"/>
      <c r="H3148" s="52"/>
      <c r="I3148" s="218"/>
      <c r="J3148" s="19">
        <f t="shared" si="269"/>
        <v>130000</v>
      </c>
      <c r="K3148" s="51"/>
      <c r="L3148" s="50"/>
      <c r="M3148" s="51"/>
      <c r="N3148" s="19">
        <f>SUMIF('2020'!B:B,B3148,'2020'!C:C)+SUMIF('2021'!B:B,B3148,'2021'!C:C)+SUMIF('2022'!B:B,B3148,'2022'!C:C)</f>
        <v>130000</v>
      </c>
      <c r="O3148" s="219">
        <v>44925</v>
      </c>
      <c r="P3148" s="48" t="s">
        <v>3728</v>
      </c>
    </row>
    <row r="3149" spans="1:16" x14ac:dyDescent="0.3">
      <c r="A3149" s="59">
        <f t="shared" si="270"/>
        <v>2823</v>
      </c>
      <c r="B3149" s="66" t="s">
        <v>2988</v>
      </c>
      <c r="C3149" s="184">
        <v>1950</v>
      </c>
      <c r="D3149" s="51"/>
      <c r="E3149" s="52" t="s">
        <v>3733</v>
      </c>
      <c r="F3149" s="47">
        <v>2</v>
      </c>
      <c r="G3149" s="51"/>
      <c r="H3149" s="52">
        <v>618.6</v>
      </c>
      <c r="I3149" s="218">
        <v>34</v>
      </c>
      <c r="J3149" s="19">
        <f t="shared" si="269"/>
        <v>216878.59</v>
      </c>
      <c r="K3149" s="51"/>
      <c r="L3149" s="51"/>
      <c r="M3149" s="51"/>
      <c r="N3149" s="19">
        <f>SUMIF('2020'!B:B,B3149,'2020'!C:C)+SUMIF('2021'!B:B,B3149,'2021'!C:C)+SUMIF('2022'!B:B,B3149,'2022'!C:C)</f>
        <v>216878.59</v>
      </c>
      <c r="O3149" s="219">
        <v>44925</v>
      </c>
      <c r="P3149" s="48" t="s">
        <v>3728</v>
      </c>
    </row>
    <row r="3150" spans="1:16" x14ac:dyDescent="0.3">
      <c r="A3150" s="59">
        <f t="shared" si="270"/>
        <v>2824</v>
      </c>
      <c r="B3150" s="66" t="s">
        <v>2989</v>
      </c>
      <c r="C3150" s="184">
        <v>1966</v>
      </c>
      <c r="D3150" s="51"/>
      <c r="E3150" s="52" t="s">
        <v>3733</v>
      </c>
      <c r="F3150" s="47">
        <v>2</v>
      </c>
      <c r="G3150" s="51"/>
      <c r="H3150" s="52">
        <v>3474.4</v>
      </c>
      <c r="I3150" s="218">
        <v>90</v>
      </c>
      <c r="J3150" s="19">
        <f t="shared" si="269"/>
        <v>1258107.4100000001</v>
      </c>
      <c r="K3150" s="51"/>
      <c r="L3150" s="51"/>
      <c r="M3150" s="51"/>
      <c r="N3150" s="19">
        <f>SUMIF('2020'!B:B,B3150,'2020'!C:C)+SUMIF('2021'!B:B,B3150,'2021'!C:C)+SUMIF('2022'!B:B,B3150,'2022'!C:C)</f>
        <v>1258107.4100000001</v>
      </c>
      <c r="O3150" s="219">
        <v>44925</v>
      </c>
      <c r="P3150" s="48" t="s">
        <v>3787</v>
      </c>
    </row>
    <row r="3151" spans="1:16" x14ac:dyDescent="0.3">
      <c r="A3151" s="59">
        <f t="shared" si="270"/>
        <v>2825</v>
      </c>
      <c r="B3151" s="66" t="s">
        <v>2990</v>
      </c>
      <c r="C3151" s="184">
        <v>1965</v>
      </c>
      <c r="D3151" s="51"/>
      <c r="E3151" s="52" t="s">
        <v>3733</v>
      </c>
      <c r="F3151" s="47">
        <v>5</v>
      </c>
      <c r="G3151" s="51"/>
      <c r="H3151" s="52">
        <v>6307.7</v>
      </c>
      <c r="I3151" s="218">
        <v>242</v>
      </c>
      <c r="J3151" s="19">
        <f t="shared" si="269"/>
        <v>323053.63</v>
      </c>
      <c r="K3151" s="51"/>
      <c r="L3151" s="50"/>
      <c r="M3151" s="51"/>
      <c r="N3151" s="19">
        <f>SUMIF('2020'!B:B,B3151,'2020'!C:C)+SUMIF('2021'!B:B,B3151,'2021'!C:C)+SUMIF('2022'!B:B,B3151,'2022'!C:C)</f>
        <v>323053.63</v>
      </c>
      <c r="O3151" s="219">
        <v>44925</v>
      </c>
      <c r="P3151" s="48" t="s">
        <v>3728</v>
      </c>
    </row>
    <row r="3152" spans="1:16" x14ac:dyDescent="0.3">
      <c r="A3152" s="59">
        <f t="shared" si="270"/>
        <v>2826</v>
      </c>
      <c r="B3152" s="66" t="s">
        <v>2991</v>
      </c>
      <c r="C3152" s="184">
        <v>1951</v>
      </c>
      <c r="D3152" s="51"/>
      <c r="E3152" s="52" t="s">
        <v>3733</v>
      </c>
      <c r="F3152" s="47">
        <v>2</v>
      </c>
      <c r="G3152" s="51"/>
      <c r="H3152" s="52">
        <v>280.10000000000002</v>
      </c>
      <c r="I3152" s="218">
        <v>7</v>
      </c>
      <c r="J3152" s="19">
        <f t="shared" si="269"/>
        <v>183723.71</v>
      </c>
      <c r="K3152" s="51"/>
      <c r="L3152" s="50"/>
      <c r="M3152" s="51"/>
      <c r="N3152" s="19">
        <f>SUMIF('2020'!B:B,B3152,'2020'!C:C)+SUMIF('2021'!B:B,B3152,'2021'!C:C)+SUMIF('2022'!B:B,B3152,'2022'!C:C)</f>
        <v>183723.71</v>
      </c>
      <c r="O3152" s="219">
        <v>44925</v>
      </c>
      <c r="P3152" s="48" t="s">
        <v>3728</v>
      </c>
    </row>
    <row r="3153" spans="1:16" x14ac:dyDescent="0.3">
      <c r="A3153" s="59">
        <f t="shared" si="270"/>
        <v>2827</v>
      </c>
      <c r="B3153" s="66" t="s">
        <v>2992</v>
      </c>
      <c r="C3153" s="184">
        <v>1950</v>
      </c>
      <c r="D3153" s="51"/>
      <c r="E3153" s="52" t="s">
        <v>3733</v>
      </c>
      <c r="F3153" s="47">
        <v>2</v>
      </c>
      <c r="G3153" s="51"/>
      <c r="H3153" s="52">
        <v>556.1</v>
      </c>
      <c r="I3153" s="218">
        <v>17</v>
      </c>
      <c r="J3153" s="19">
        <f t="shared" si="269"/>
        <v>110048.5</v>
      </c>
      <c r="K3153" s="51"/>
      <c r="L3153" s="50"/>
      <c r="M3153" s="51"/>
      <c r="N3153" s="19">
        <f>SUMIF('2020'!B:B,B3153,'2020'!C:C)+SUMIF('2021'!B:B,B3153,'2021'!C:C)+SUMIF('2022'!B:B,B3153,'2022'!C:C)</f>
        <v>110048.5</v>
      </c>
      <c r="O3153" s="219">
        <v>44925</v>
      </c>
      <c r="P3153" s="48" t="s">
        <v>3728</v>
      </c>
    </row>
    <row r="3154" spans="1:16" x14ac:dyDescent="0.3">
      <c r="A3154" s="59">
        <f t="shared" si="270"/>
        <v>2828</v>
      </c>
      <c r="B3154" s="66" t="s">
        <v>2993</v>
      </c>
      <c r="C3154" s="184">
        <v>1947</v>
      </c>
      <c r="D3154" s="51"/>
      <c r="E3154" s="52" t="s">
        <v>3733</v>
      </c>
      <c r="F3154" s="47">
        <v>2</v>
      </c>
      <c r="G3154" s="51"/>
      <c r="H3154" s="52">
        <v>229.5</v>
      </c>
      <c r="I3154" s="218">
        <v>15</v>
      </c>
      <c r="J3154" s="19">
        <f t="shared" si="269"/>
        <v>632369.80999999994</v>
      </c>
      <c r="K3154" s="51"/>
      <c r="L3154" s="51"/>
      <c r="M3154" s="51"/>
      <c r="N3154" s="19">
        <f>SUMIF('2020'!B:B,B3154,'2020'!C:C)+SUMIF('2021'!B:B,B3154,'2021'!C:C)+SUMIF('2022'!B:B,B3154,'2022'!C:C)</f>
        <v>632369.80999999994</v>
      </c>
      <c r="O3154" s="219">
        <v>44925</v>
      </c>
      <c r="P3154" s="48" t="s">
        <v>3728</v>
      </c>
    </row>
    <row r="3155" spans="1:16" x14ac:dyDescent="0.3">
      <c r="A3155" s="59">
        <f t="shared" si="270"/>
        <v>2829</v>
      </c>
      <c r="B3155" s="66" t="s">
        <v>2994</v>
      </c>
      <c r="C3155" s="184">
        <v>1952</v>
      </c>
      <c r="D3155" s="51"/>
      <c r="E3155" s="52" t="s">
        <v>3733</v>
      </c>
      <c r="F3155" s="47">
        <v>2</v>
      </c>
      <c r="G3155" s="51"/>
      <c r="H3155" s="52">
        <v>602</v>
      </c>
      <c r="I3155" s="218">
        <v>37</v>
      </c>
      <c r="J3155" s="19">
        <f t="shared" si="269"/>
        <v>196261.02</v>
      </c>
      <c r="K3155" s="51"/>
      <c r="L3155" s="51"/>
      <c r="M3155" s="51"/>
      <c r="N3155" s="19">
        <f>SUMIF('2020'!B:B,B3155,'2020'!C:C)+SUMIF('2021'!B:B,B3155,'2021'!C:C)+SUMIF('2022'!B:B,B3155,'2022'!C:C)</f>
        <v>196261.02</v>
      </c>
      <c r="O3155" s="219">
        <v>44925</v>
      </c>
      <c r="P3155" s="48" t="s">
        <v>3728</v>
      </c>
    </row>
    <row r="3156" spans="1:16" x14ac:dyDescent="0.3">
      <c r="A3156" s="59">
        <f t="shared" si="270"/>
        <v>2830</v>
      </c>
      <c r="B3156" s="66" t="s">
        <v>2995</v>
      </c>
      <c r="C3156" s="184">
        <v>1950</v>
      </c>
      <c r="D3156" s="51"/>
      <c r="E3156" s="52" t="s">
        <v>3733</v>
      </c>
      <c r="F3156" s="47">
        <v>2</v>
      </c>
      <c r="G3156" s="51"/>
      <c r="H3156" s="52">
        <v>617</v>
      </c>
      <c r="I3156" s="218">
        <v>43</v>
      </c>
      <c r="J3156" s="19">
        <f t="shared" si="269"/>
        <v>200520.74</v>
      </c>
      <c r="K3156" s="51"/>
      <c r="L3156" s="51"/>
      <c r="M3156" s="51"/>
      <c r="N3156" s="19">
        <f>SUMIF('2020'!B:B,B3156,'2020'!C:C)+SUMIF('2021'!B:B,B3156,'2021'!C:C)+SUMIF('2022'!B:B,B3156,'2022'!C:C)</f>
        <v>200520.74</v>
      </c>
      <c r="O3156" s="219">
        <v>44925</v>
      </c>
      <c r="P3156" s="48" t="s">
        <v>3728</v>
      </c>
    </row>
    <row r="3157" spans="1:16" x14ac:dyDescent="0.3">
      <c r="A3157" s="59">
        <f t="shared" si="270"/>
        <v>2831</v>
      </c>
      <c r="B3157" s="66" t="s">
        <v>2996</v>
      </c>
      <c r="C3157" s="184">
        <v>1952</v>
      </c>
      <c r="D3157" s="51"/>
      <c r="E3157" s="52" t="s">
        <v>3733</v>
      </c>
      <c r="F3157" s="47">
        <v>2</v>
      </c>
      <c r="G3157" s="51"/>
      <c r="H3157" s="52">
        <v>387.1</v>
      </c>
      <c r="I3157" s="218">
        <v>17</v>
      </c>
      <c r="J3157" s="19">
        <f t="shared" si="269"/>
        <v>214743.47</v>
      </c>
      <c r="K3157" s="51"/>
      <c r="L3157" s="51"/>
      <c r="M3157" s="51"/>
      <c r="N3157" s="19">
        <f>SUMIF('2020'!B:B,B3157,'2020'!C:C)+SUMIF('2021'!B:B,B3157,'2021'!C:C)+SUMIF('2022'!B:B,B3157,'2022'!C:C)</f>
        <v>214743.47</v>
      </c>
      <c r="O3157" s="219">
        <v>44925</v>
      </c>
      <c r="P3157" s="48" t="s">
        <v>3728</v>
      </c>
    </row>
    <row r="3158" spans="1:16" x14ac:dyDescent="0.3">
      <c r="A3158" s="59">
        <f t="shared" si="270"/>
        <v>2832</v>
      </c>
      <c r="B3158" s="66" t="s">
        <v>2997</v>
      </c>
      <c r="C3158" s="184">
        <v>1952</v>
      </c>
      <c r="D3158" s="51"/>
      <c r="E3158" s="52" t="s">
        <v>3733</v>
      </c>
      <c r="F3158" s="47">
        <v>2</v>
      </c>
      <c r="G3158" s="51"/>
      <c r="H3158" s="52">
        <v>400.8</v>
      </c>
      <c r="I3158" s="218">
        <v>14</v>
      </c>
      <c r="J3158" s="19">
        <f t="shared" si="269"/>
        <v>208535.23</v>
      </c>
      <c r="K3158" s="51"/>
      <c r="L3158" s="51"/>
      <c r="M3158" s="51"/>
      <c r="N3158" s="19">
        <f>SUMIF('2020'!B:B,B3158,'2020'!C:C)+SUMIF('2021'!B:B,B3158,'2021'!C:C)+SUMIF('2022'!B:B,B3158,'2022'!C:C)</f>
        <v>208535.23</v>
      </c>
      <c r="O3158" s="219">
        <v>44925</v>
      </c>
      <c r="P3158" s="48" t="s">
        <v>3728</v>
      </c>
    </row>
    <row r="3159" spans="1:16" x14ac:dyDescent="0.3">
      <c r="A3159" s="59">
        <f t="shared" si="270"/>
        <v>2833</v>
      </c>
      <c r="B3159" s="66" t="s">
        <v>2998</v>
      </c>
      <c r="C3159" s="184">
        <v>1952</v>
      </c>
      <c r="D3159" s="51"/>
      <c r="E3159" s="52" t="s">
        <v>3733</v>
      </c>
      <c r="F3159" s="47">
        <v>2</v>
      </c>
      <c r="G3159" s="51"/>
      <c r="H3159" s="52">
        <v>381.1</v>
      </c>
      <c r="I3159" s="218">
        <v>21</v>
      </c>
      <c r="J3159" s="19">
        <f t="shared" si="269"/>
        <v>159975.29999999999</v>
      </c>
      <c r="K3159" s="51"/>
      <c r="L3159" s="51"/>
      <c r="M3159" s="51"/>
      <c r="N3159" s="19">
        <f>SUMIF('2020'!B:B,B3159,'2020'!C:C)+SUMIF('2021'!B:B,B3159,'2021'!C:C)+SUMIF('2022'!B:B,B3159,'2022'!C:C)</f>
        <v>159975.29999999999</v>
      </c>
      <c r="O3159" s="219">
        <v>44925</v>
      </c>
      <c r="P3159" s="48" t="s">
        <v>3728</v>
      </c>
    </row>
    <row r="3160" spans="1:16" x14ac:dyDescent="0.3">
      <c r="A3160" s="59">
        <f t="shared" si="270"/>
        <v>2834</v>
      </c>
      <c r="B3160" s="66" t="s">
        <v>2999</v>
      </c>
      <c r="C3160" s="184">
        <v>1952</v>
      </c>
      <c r="D3160" s="51"/>
      <c r="E3160" s="52" t="s">
        <v>3733</v>
      </c>
      <c r="F3160" s="47">
        <v>2</v>
      </c>
      <c r="G3160" s="51"/>
      <c r="H3160" s="52">
        <v>302.10000000000002</v>
      </c>
      <c r="I3160" s="218">
        <v>22</v>
      </c>
      <c r="J3160" s="19">
        <f t="shared" si="269"/>
        <v>214663.9</v>
      </c>
      <c r="K3160" s="51"/>
      <c r="L3160" s="51"/>
      <c r="M3160" s="51"/>
      <c r="N3160" s="19">
        <f>SUMIF('2020'!B:B,B3160,'2020'!C:C)+SUMIF('2021'!B:B,B3160,'2021'!C:C)+SUMIF('2022'!B:B,B3160,'2022'!C:C)</f>
        <v>214663.9</v>
      </c>
      <c r="O3160" s="219">
        <v>44925</v>
      </c>
      <c r="P3160" s="48" t="s">
        <v>3728</v>
      </c>
    </row>
    <row r="3161" spans="1:16" x14ac:dyDescent="0.3">
      <c r="A3161" s="59">
        <f t="shared" si="270"/>
        <v>2835</v>
      </c>
      <c r="B3161" s="66" t="s">
        <v>3000</v>
      </c>
      <c r="C3161" s="184">
        <v>1952</v>
      </c>
      <c r="D3161" s="51"/>
      <c r="E3161" s="52" t="s">
        <v>3733</v>
      </c>
      <c r="F3161" s="47">
        <v>2</v>
      </c>
      <c r="G3161" s="51"/>
      <c r="H3161" s="52">
        <v>388.1</v>
      </c>
      <c r="I3161" s="218">
        <v>14</v>
      </c>
      <c r="J3161" s="19">
        <f t="shared" si="269"/>
        <v>218667.41</v>
      </c>
      <c r="K3161" s="51"/>
      <c r="L3161" s="51"/>
      <c r="M3161" s="51"/>
      <c r="N3161" s="19">
        <f>SUMIF('2020'!B:B,B3161,'2020'!C:C)+SUMIF('2021'!B:B,B3161,'2021'!C:C)+SUMIF('2022'!B:B,B3161,'2022'!C:C)</f>
        <v>218667.41</v>
      </c>
      <c r="O3161" s="219">
        <v>44925</v>
      </c>
      <c r="P3161" s="48" t="s">
        <v>3728</v>
      </c>
    </row>
    <row r="3162" spans="1:16" x14ac:dyDescent="0.3">
      <c r="A3162" s="59">
        <f t="shared" si="270"/>
        <v>2836</v>
      </c>
      <c r="B3162" s="66" t="s">
        <v>3001</v>
      </c>
      <c r="C3162" s="184">
        <v>1952</v>
      </c>
      <c r="D3162" s="51"/>
      <c r="E3162" s="52" t="s">
        <v>3733</v>
      </c>
      <c r="F3162" s="47">
        <v>2</v>
      </c>
      <c r="G3162" s="51"/>
      <c r="H3162" s="52">
        <v>403.3</v>
      </c>
      <c r="I3162" s="218">
        <v>15</v>
      </c>
      <c r="J3162" s="19">
        <f t="shared" si="269"/>
        <v>214982.27</v>
      </c>
      <c r="K3162" s="51"/>
      <c r="L3162" s="51"/>
      <c r="M3162" s="51"/>
      <c r="N3162" s="19">
        <f>SUMIF('2020'!B:B,B3162,'2020'!C:C)+SUMIF('2021'!B:B,B3162,'2021'!C:C)+SUMIF('2022'!B:B,B3162,'2022'!C:C)</f>
        <v>214982.27</v>
      </c>
      <c r="O3162" s="219">
        <v>44925</v>
      </c>
      <c r="P3162" s="48" t="s">
        <v>3728</v>
      </c>
    </row>
    <row r="3163" spans="1:16" x14ac:dyDescent="0.3">
      <c r="A3163" s="59">
        <f t="shared" si="270"/>
        <v>2837</v>
      </c>
      <c r="B3163" s="66" t="s">
        <v>3002</v>
      </c>
      <c r="C3163" s="184">
        <v>1951</v>
      </c>
      <c r="D3163" s="51"/>
      <c r="E3163" s="52" t="s">
        <v>3733</v>
      </c>
      <c r="F3163" s="47">
        <v>2</v>
      </c>
      <c r="G3163" s="51"/>
      <c r="H3163" s="52">
        <v>613.4</v>
      </c>
      <c r="I3163" s="218">
        <v>24</v>
      </c>
      <c r="J3163" s="19">
        <f t="shared" si="269"/>
        <v>208446.82</v>
      </c>
      <c r="K3163" s="51"/>
      <c r="L3163" s="51"/>
      <c r="M3163" s="51"/>
      <c r="N3163" s="19">
        <f>SUMIF('2020'!B:B,B3163,'2020'!C:C)+SUMIF('2021'!B:B,B3163,'2021'!C:C)+SUMIF('2022'!B:B,B3163,'2022'!C:C)</f>
        <v>208446.82</v>
      </c>
      <c r="O3163" s="219">
        <v>44925</v>
      </c>
      <c r="P3163" s="48" t="s">
        <v>3728</v>
      </c>
    </row>
    <row r="3164" spans="1:16" x14ac:dyDescent="0.3">
      <c r="A3164" s="59">
        <f t="shared" si="270"/>
        <v>2838</v>
      </c>
      <c r="B3164" s="66" t="s">
        <v>3003</v>
      </c>
      <c r="C3164" s="184">
        <v>1952</v>
      </c>
      <c r="D3164" s="51"/>
      <c r="E3164" s="52" t="s">
        <v>3733</v>
      </c>
      <c r="F3164" s="47">
        <v>2</v>
      </c>
      <c r="G3164" s="51"/>
      <c r="H3164" s="52">
        <v>386.5</v>
      </c>
      <c r="I3164" s="218">
        <v>13</v>
      </c>
      <c r="J3164" s="19">
        <f t="shared" si="269"/>
        <v>216160.24</v>
      </c>
      <c r="K3164" s="51"/>
      <c r="L3164" s="51"/>
      <c r="M3164" s="51"/>
      <c r="N3164" s="19">
        <f>SUMIF('2020'!B:B,B3164,'2020'!C:C)+SUMIF('2021'!B:B,B3164,'2021'!C:C)+SUMIF('2022'!B:B,B3164,'2022'!C:C)</f>
        <v>216160.24</v>
      </c>
      <c r="O3164" s="219">
        <v>44925</v>
      </c>
      <c r="P3164" s="48" t="s">
        <v>3728</v>
      </c>
    </row>
    <row r="3165" spans="1:16" x14ac:dyDescent="0.3">
      <c r="A3165" s="59">
        <f t="shared" si="270"/>
        <v>2839</v>
      </c>
      <c r="B3165" s="66" t="s">
        <v>3004</v>
      </c>
      <c r="C3165" s="184">
        <v>1952</v>
      </c>
      <c r="D3165" s="51"/>
      <c r="E3165" s="52" t="s">
        <v>3733</v>
      </c>
      <c r="F3165" s="47">
        <v>2</v>
      </c>
      <c r="G3165" s="51"/>
      <c r="H3165" s="52">
        <v>611.70000000000005</v>
      </c>
      <c r="I3165" s="218">
        <v>21</v>
      </c>
      <c r="J3165" s="19">
        <f t="shared" si="269"/>
        <v>196216.74</v>
      </c>
      <c r="K3165" s="51"/>
      <c r="L3165" s="51"/>
      <c r="M3165" s="51"/>
      <c r="N3165" s="19">
        <f>SUMIF('2020'!B:B,B3165,'2020'!C:C)+SUMIF('2021'!B:B,B3165,'2021'!C:C)+SUMIF('2022'!B:B,B3165,'2022'!C:C)</f>
        <v>196216.74</v>
      </c>
      <c r="O3165" s="219">
        <v>44925</v>
      </c>
      <c r="P3165" s="48" t="s">
        <v>3728</v>
      </c>
    </row>
    <row r="3166" spans="1:16" x14ac:dyDescent="0.3">
      <c r="A3166" s="59">
        <f t="shared" si="270"/>
        <v>2840</v>
      </c>
      <c r="B3166" s="66" t="s">
        <v>3005</v>
      </c>
      <c r="C3166" s="184">
        <v>1948</v>
      </c>
      <c r="D3166" s="51"/>
      <c r="E3166" s="52" t="s">
        <v>3733</v>
      </c>
      <c r="F3166" s="47">
        <v>2</v>
      </c>
      <c r="G3166" s="51"/>
      <c r="H3166" s="52">
        <v>765.8</v>
      </c>
      <c r="I3166" s="218">
        <v>28</v>
      </c>
      <c r="J3166" s="19">
        <f t="shared" si="269"/>
        <v>575359.43999999994</v>
      </c>
      <c r="K3166" s="51"/>
      <c r="L3166" s="51"/>
      <c r="M3166" s="51"/>
      <c r="N3166" s="19">
        <f>SUMIF('2020'!B:B,B3166,'2020'!C:C)+SUMIF('2021'!B:B,B3166,'2021'!C:C)+SUMIF('2022'!B:B,B3166,'2022'!C:C)</f>
        <v>575359.43999999994</v>
      </c>
      <c r="O3166" s="219">
        <v>44925</v>
      </c>
      <c r="P3166" s="48" t="s">
        <v>3728</v>
      </c>
    </row>
    <row r="3167" spans="1:16" x14ac:dyDescent="0.3">
      <c r="A3167" s="59">
        <f t="shared" si="270"/>
        <v>2841</v>
      </c>
      <c r="B3167" s="66" t="s">
        <v>3006</v>
      </c>
      <c r="C3167" s="184">
        <v>1949</v>
      </c>
      <c r="D3167" s="51"/>
      <c r="E3167" s="52" t="s">
        <v>3733</v>
      </c>
      <c r="F3167" s="47">
        <v>2</v>
      </c>
      <c r="G3167" s="51"/>
      <c r="H3167" s="52">
        <v>787.7</v>
      </c>
      <c r="I3167" s="218">
        <v>46</v>
      </c>
      <c r="J3167" s="19">
        <f t="shared" si="269"/>
        <v>227566.81</v>
      </c>
      <c r="K3167" s="51"/>
      <c r="L3167" s="51"/>
      <c r="M3167" s="51"/>
      <c r="N3167" s="19">
        <f>SUMIF('2020'!B:B,B3167,'2020'!C:C)+SUMIF('2021'!B:B,B3167,'2021'!C:C)+SUMIF('2022'!B:B,B3167,'2022'!C:C)</f>
        <v>227566.81</v>
      </c>
      <c r="O3167" s="219">
        <v>44925</v>
      </c>
      <c r="P3167" s="48" t="s">
        <v>3728</v>
      </c>
    </row>
    <row r="3168" spans="1:16" x14ac:dyDescent="0.3">
      <c r="A3168" s="59">
        <f t="shared" si="270"/>
        <v>2842</v>
      </c>
      <c r="B3168" s="66" t="s">
        <v>3007</v>
      </c>
      <c r="C3168" s="184">
        <v>1946</v>
      </c>
      <c r="D3168" s="51"/>
      <c r="E3168" s="52" t="s">
        <v>3733</v>
      </c>
      <c r="F3168" s="47">
        <v>2</v>
      </c>
      <c r="G3168" s="51"/>
      <c r="H3168" s="52">
        <v>2097</v>
      </c>
      <c r="I3168" s="218">
        <v>46</v>
      </c>
      <c r="J3168" s="19">
        <f t="shared" si="269"/>
        <v>227201.26</v>
      </c>
      <c r="K3168" s="51"/>
      <c r="L3168" s="51"/>
      <c r="M3168" s="51"/>
      <c r="N3168" s="19">
        <f>SUMIF('2020'!B:B,B3168,'2020'!C:C)+SUMIF('2021'!B:B,B3168,'2021'!C:C)+SUMIF('2022'!B:B,B3168,'2022'!C:C)</f>
        <v>227201.26</v>
      </c>
      <c r="O3168" s="219">
        <v>44925</v>
      </c>
      <c r="P3168" s="48" t="s">
        <v>3728</v>
      </c>
    </row>
    <row r="3169" spans="1:16" x14ac:dyDescent="0.3">
      <c r="A3169" s="59">
        <f t="shared" si="270"/>
        <v>2843</v>
      </c>
      <c r="B3169" s="66" t="s">
        <v>3008</v>
      </c>
      <c r="C3169" s="184">
        <v>1952</v>
      </c>
      <c r="D3169" s="51"/>
      <c r="E3169" s="52" t="s">
        <v>3733</v>
      </c>
      <c r="F3169" s="47">
        <v>2</v>
      </c>
      <c r="G3169" s="51"/>
      <c r="H3169" s="52">
        <v>284.8</v>
      </c>
      <c r="I3169" s="218">
        <v>17</v>
      </c>
      <c r="J3169" s="19">
        <f t="shared" si="269"/>
        <v>86977.93</v>
      </c>
      <c r="K3169" s="51"/>
      <c r="L3169" s="50"/>
      <c r="M3169" s="51"/>
      <c r="N3169" s="19">
        <f>SUMIF('2020'!B:B,B3169,'2020'!C:C)+SUMIF('2021'!B:B,B3169,'2021'!C:C)+SUMIF('2022'!B:B,B3169,'2022'!C:C)</f>
        <v>86977.93</v>
      </c>
      <c r="O3169" s="219">
        <v>44925</v>
      </c>
      <c r="P3169" s="48" t="s">
        <v>3728</v>
      </c>
    </row>
    <row r="3170" spans="1:16" x14ac:dyDescent="0.3">
      <c r="A3170" s="59">
        <f t="shared" si="270"/>
        <v>2844</v>
      </c>
      <c r="B3170" s="66" t="s">
        <v>3009</v>
      </c>
      <c r="C3170" s="184">
        <v>1952</v>
      </c>
      <c r="D3170" s="51"/>
      <c r="E3170" s="52" t="s">
        <v>3733</v>
      </c>
      <c r="F3170" s="47">
        <v>2</v>
      </c>
      <c r="G3170" s="51"/>
      <c r="H3170" s="52">
        <v>1689.9</v>
      </c>
      <c r="I3170" s="218">
        <v>73</v>
      </c>
      <c r="J3170" s="19">
        <f t="shared" si="269"/>
        <v>141800.18</v>
      </c>
      <c r="K3170" s="51"/>
      <c r="L3170" s="50"/>
      <c r="M3170" s="51"/>
      <c r="N3170" s="19">
        <f>SUMIF('2020'!B:B,B3170,'2020'!C:C)+SUMIF('2021'!B:B,B3170,'2021'!C:C)+SUMIF('2022'!B:B,B3170,'2022'!C:C)</f>
        <v>141800.18</v>
      </c>
      <c r="O3170" s="219">
        <v>44925</v>
      </c>
      <c r="P3170" s="48" t="s">
        <v>3728</v>
      </c>
    </row>
    <row r="3171" spans="1:16" x14ac:dyDescent="0.3">
      <c r="A3171" s="59">
        <f t="shared" si="270"/>
        <v>2845</v>
      </c>
      <c r="B3171" s="66" t="s">
        <v>3010</v>
      </c>
      <c r="C3171" s="184">
        <v>1946</v>
      </c>
      <c r="D3171" s="51"/>
      <c r="E3171" s="52" t="s">
        <v>3733</v>
      </c>
      <c r="F3171" s="47">
        <v>2</v>
      </c>
      <c r="G3171" s="51"/>
      <c r="H3171" s="52">
        <v>1103.9000000000001</v>
      </c>
      <c r="I3171" s="218">
        <v>55</v>
      </c>
      <c r="J3171" s="19">
        <f t="shared" si="269"/>
        <v>124792.12</v>
      </c>
      <c r="K3171" s="51"/>
      <c r="L3171" s="50"/>
      <c r="M3171" s="51"/>
      <c r="N3171" s="19">
        <f>SUMIF('2020'!B:B,B3171,'2020'!C:C)+SUMIF('2021'!B:B,B3171,'2021'!C:C)+SUMIF('2022'!B:B,B3171,'2022'!C:C)</f>
        <v>124792.12</v>
      </c>
      <c r="O3171" s="219">
        <v>44925</v>
      </c>
      <c r="P3171" s="48" t="s">
        <v>3728</v>
      </c>
    </row>
    <row r="3172" spans="1:16" x14ac:dyDescent="0.3">
      <c r="A3172" s="59">
        <f t="shared" si="270"/>
        <v>2846</v>
      </c>
      <c r="B3172" s="66" t="s">
        <v>3011</v>
      </c>
      <c r="C3172" s="184">
        <v>1988</v>
      </c>
      <c r="D3172" s="51"/>
      <c r="E3172" s="52" t="s">
        <v>3733</v>
      </c>
      <c r="F3172" s="47">
        <v>9</v>
      </c>
      <c r="G3172" s="51"/>
      <c r="H3172" s="52">
        <v>3394</v>
      </c>
      <c r="I3172" s="218">
        <v>180</v>
      </c>
      <c r="J3172" s="19">
        <f t="shared" si="269"/>
        <v>1926139.9000000001</v>
      </c>
      <c r="K3172" s="51"/>
      <c r="L3172" s="50"/>
      <c r="M3172" s="51"/>
      <c r="N3172" s="19">
        <f>SUMIF('2020'!B:B,B3172,'2020'!C:C)+SUMIF('2021'!B:B,B3172,'2021'!C:C)+SUMIF('2022'!B:B,B3172,'2022'!C:C)</f>
        <v>1926139.9000000001</v>
      </c>
      <c r="O3172" s="219">
        <v>44925</v>
      </c>
      <c r="P3172" s="48" t="s">
        <v>3728</v>
      </c>
    </row>
    <row r="3173" spans="1:16" x14ac:dyDescent="0.3">
      <c r="A3173" s="59">
        <f t="shared" si="270"/>
        <v>2847</v>
      </c>
      <c r="B3173" s="66" t="s">
        <v>3012</v>
      </c>
      <c r="C3173" s="184">
        <v>1951</v>
      </c>
      <c r="D3173" s="51"/>
      <c r="E3173" s="52" t="s">
        <v>3733</v>
      </c>
      <c r="F3173" s="47">
        <v>2</v>
      </c>
      <c r="G3173" s="51"/>
      <c r="H3173" s="52">
        <v>375.8</v>
      </c>
      <c r="I3173" s="218">
        <v>20</v>
      </c>
      <c r="J3173" s="19">
        <f t="shared" si="269"/>
        <v>1183924.3699999999</v>
      </c>
      <c r="K3173" s="51"/>
      <c r="L3173" s="51"/>
      <c r="M3173" s="51"/>
      <c r="N3173" s="19">
        <f>SUMIF('2020'!B:B,B3173,'2020'!C:C)+SUMIF('2021'!B:B,B3173,'2021'!C:C)+SUMIF('2022'!B:B,B3173,'2022'!C:C)</f>
        <v>1183924.3699999999</v>
      </c>
      <c r="O3173" s="219">
        <v>44925</v>
      </c>
      <c r="P3173" s="48" t="s">
        <v>3728</v>
      </c>
    </row>
    <row r="3174" spans="1:16" x14ac:dyDescent="0.3">
      <c r="A3174" s="59">
        <f t="shared" si="270"/>
        <v>2848</v>
      </c>
      <c r="B3174" s="66" t="s">
        <v>3013</v>
      </c>
      <c r="C3174" s="184">
        <v>1952</v>
      </c>
      <c r="D3174" s="51"/>
      <c r="E3174" s="52" t="s">
        <v>3733</v>
      </c>
      <c r="F3174" s="47">
        <v>2</v>
      </c>
      <c r="G3174" s="51"/>
      <c r="H3174" s="52">
        <v>370.3</v>
      </c>
      <c r="I3174" s="218">
        <v>20</v>
      </c>
      <c r="J3174" s="19">
        <f t="shared" si="269"/>
        <v>708959.35000000009</v>
      </c>
      <c r="K3174" s="51"/>
      <c r="L3174" s="51"/>
      <c r="M3174" s="51"/>
      <c r="N3174" s="19">
        <f>SUMIF('2020'!B:B,B3174,'2020'!C:C)+SUMIF('2021'!B:B,B3174,'2021'!C:C)+SUMIF('2022'!B:B,B3174,'2022'!C:C)</f>
        <v>708959.35000000009</v>
      </c>
      <c r="O3174" s="219">
        <v>44925</v>
      </c>
      <c r="P3174" s="48" t="s">
        <v>3728</v>
      </c>
    </row>
    <row r="3175" spans="1:16" x14ac:dyDescent="0.3">
      <c r="A3175" s="59">
        <f t="shared" si="270"/>
        <v>2849</v>
      </c>
      <c r="B3175" s="66" t="s">
        <v>3014</v>
      </c>
      <c r="C3175" s="184">
        <v>1962</v>
      </c>
      <c r="D3175" s="51"/>
      <c r="E3175" s="52" t="s">
        <v>3733</v>
      </c>
      <c r="F3175" s="47">
        <v>3</v>
      </c>
      <c r="G3175" s="51"/>
      <c r="H3175" s="52">
        <v>960.4</v>
      </c>
      <c r="I3175" s="218">
        <v>46</v>
      </c>
      <c r="J3175" s="19">
        <f t="shared" si="269"/>
        <v>272456.07999999996</v>
      </c>
      <c r="K3175" s="51"/>
      <c r="L3175" s="50"/>
      <c r="M3175" s="51"/>
      <c r="N3175" s="19">
        <f>SUMIF('2020'!B:B,B3175,'2020'!C:C)+SUMIF('2021'!B:B,B3175,'2021'!C:C)+SUMIF('2022'!B:B,B3175,'2022'!C:C)</f>
        <v>272456.07999999996</v>
      </c>
      <c r="O3175" s="219">
        <v>44925</v>
      </c>
      <c r="P3175" s="48" t="s">
        <v>3728</v>
      </c>
    </row>
    <row r="3176" spans="1:16" x14ac:dyDescent="0.3">
      <c r="A3176" s="59">
        <f t="shared" si="270"/>
        <v>2850</v>
      </c>
      <c r="B3176" s="66" t="s">
        <v>3015</v>
      </c>
      <c r="C3176" s="184">
        <v>1951</v>
      </c>
      <c r="D3176" s="51"/>
      <c r="E3176" s="52" t="s">
        <v>3733</v>
      </c>
      <c r="F3176" s="47">
        <v>2</v>
      </c>
      <c r="G3176" s="51"/>
      <c r="H3176" s="52">
        <v>55.9</v>
      </c>
      <c r="I3176" s="218">
        <v>14</v>
      </c>
      <c r="J3176" s="19">
        <f t="shared" si="269"/>
        <v>1083815.33</v>
      </c>
      <c r="K3176" s="51"/>
      <c r="L3176" s="50"/>
      <c r="M3176" s="51"/>
      <c r="N3176" s="19">
        <f>SUMIF('2020'!B:B,B3176,'2020'!C:C)+SUMIF('2021'!B:B,B3176,'2021'!C:C)+SUMIF('2022'!B:B,B3176,'2022'!C:C)</f>
        <v>1083815.33</v>
      </c>
      <c r="O3176" s="219">
        <v>44925</v>
      </c>
      <c r="P3176" s="48" t="s">
        <v>3728</v>
      </c>
    </row>
    <row r="3177" spans="1:16" x14ac:dyDescent="0.3">
      <c r="A3177" s="59">
        <f t="shared" si="270"/>
        <v>2851</v>
      </c>
      <c r="B3177" s="66" t="s">
        <v>3016</v>
      </c>
      <c r="C3177" s="184">
        <v>1961</v>
      </c>
      <c r="D3177" s="51"/>
      <c r="E3177" s="52" t="s">
        <v>3733</v>
      </c>
      <c r="F3177" s="47">
        <v>3</v>
      </c>
      <c r="G3177" s="51"/>
      <c r="H3177" s="52">
        <v>941.6</v>
      </c>
      <c r="I3177" s="218">
        <v>44</v>
      </c>
      <c r="J3177" s="19">
        <f t="shared" si="269"/>
        <v>122509.01</v>
      </c>
      <c r="K3177" s="51"/>
      <c r="L3177" s="50"/>
      <c r="M3177" s="51"/>
      <c r="N3177" s="19">
        <f>SUMIF('2020'!B:B,B3177,'2020'!C:C)+SUMIF('2021'!B:B,B3177,'2021'!C:C)+SUMIF('2022'!B:B,B3177,'2022'!C:C)</f>
        <v>122509.01</v>
      </c>
      <c r="O3177" s="219">
        <v>44925</v>
      </c>
      <c r="P3177" s="48" t="s">
        <v>3728</v>
      </c>
    </row>
    <row r="3178" spans="1:16" x14ac:dyDescent="0.3">
      <c r="A3178" s="59">
        <f t="shared" si="270"/>
        <v>2852</v>
      </c>
      <c r="B3178" s="66" t="s">
        <v>3017</v>
      </c>
      <c r="C3178" s="184">
        <v>1951</v>
      </c>
      <c r="D3178" s="51"/>
      <c r="E3178" s="52" t="s">
        <v>3733</v>
      </c>
      <c r="F3178" s="47">
        <v>2</v>
      </c>
      <c r="G3178" s="51"/>
      <c r="H3178" s="52">
        <v>732.5</v>
      </c>
      <c r="I3178" s="218">
        <v>34</v>
      </c>
      <c r="J3178" s="19">
        <f t="shared" si="269"/>
        <v>735325.3600000001</v>
      </c>
      <c r="K3178" s="51"/>
      <c r="L3178" s="51"/>
      <c r="M3178" s="51"/>
      <c r="N3178" s="19">
        <f>SUMIF('2020'!B:B,B3178,'2020'!C:C)+SUMIF('2021'!B:B,B3178,'2021'!C:C)+SUMIF('2022'!B:B,B3178,'2022'!C:C)</f>
        <v>735325.3600000001</v>
      </c>
      <c r="O3178" s="219">
        <v>44925</v>
      </c>
      <c r="P3178" s="48" t="s">
        <v>3728</v>
      </c>
    </row>
    <row r="3179" spans="1:16" x14ac:dyDescent="0.3">
      <c r="A3179" s="59">
        <f t="shared" si="270"/>
        <v>2853</v>
      </c>
      <c r="B3179" s="66" t="s">
        <v>3018</v>
      </c>
      <c r="C3179" s="184">
        <v>1961</v>
      </c>
      <c r="D3179" s="51"/>
      <c r="E3179" s="52" t="s">
        <v>3733</v>
      </c>
      <c r="F3179" s="47">
        <v>2</v>
      </c>
      <c r="G3179" s="51"/>
      <c r="H3179" s="52">
        <v>636.79999999999995</v>
      </c>
      <c r="I3179" s="218">
        <v>32</v>
      </c>
      <c r="J3179" s="19">
        <f t="shared" si="269"/>
        <v>228521.69</v>
      </c>
      <c r="K3179" s="51"/>
      <c r="L3179" s="50"/>
      <c r="M3179" s="51"/>
      <c r="N3179" s="19">
        <f>SUMIF('2020'!B:B,B3179,'2020'!C:C)+SUMIF('2021'!B:B,B3179,'2021'!C:C)+SUMIF('2022'!B:B,B3179,'2022'!C:C)</f>
        <v>228521.69</v>
      </c>
      <c r="O3179" s="219">
        <v>44925</v>
      </c>
      <c r="P3179" s="48" t="s">
        <v>3728</v>
      </c>
    </row>
    <row r="3180" spans="1:16" x14ac:dyDescent="0.3">
      <c r="A3180" s="59">
        <f t="shared" si="270"/>
        <v>2854</v>
      </c>
      <c r="B3180" s="66" t="s">
        <v>3019</v>
      </c>
      <c r="C3180" s="184">
        <v>1951</v>
      </c>
      <c r="D3180" s="51"/>
      <c r="E3180" s="52" t="s">
        <v>3733</v>
      </c>
      <c r="F3180" s="47">
        <v>2</v>
      </c>
      <c r="G3180" s="51"/>
      <c r="H3180" s="52">
        <v>735.2</v>
      </c>
      <c r="I3180" s="218">
        <v>43</v>
      </c>
      <c r="J3180" s="19">
        <f t="shared" si="269"/>
        <v>242289.1</v>
      </c>
      <c r="K3180" s="51"/>
      <c r="L3180" s="50"/>
      <c r="M3180" s="51"/>
      <c r="N3180" s="19">
        <f>SUMIF('2020'!B:B,B3180,'2020'!C:C)+SUMIF('2021'!B:B,B3180,'2021'!C:C)+SUMIF('2022'!B:B,B3180,'2022'!C:C)</f>
        <v>242289.1</v>
      </c>
      <c r="O3180" s="219">
        <v>44925</v>
      </c>
      <c r="P3180" s="48" t="s">
        <v>3728</v>
      </c>
    </row>
    <row r="3181" spans="1:16" x14ac:dyDescent="0.3">
      <c r="A3181" s="59">
        <f t="shared" si="270"/>
        <v>2855</v>
      </c>
      <c r="B3181" s="66" t="s">
        <v>3020</v>
      </c>
      <c r="C3181" s="184">
        <v>1951</v>
      </c>
      <c r="D3181" s="51"/>
      <c r="E3181" s="52" t="s">
        <v>3733</v>
      </c>
      <c r="F3181" s="47">
        <v>2</v>
      </c>
      <c r="G3181" s="51"/>
      <c r="H3181" s="52">
        <v>650.1</v>
      </c>
      <c r="I3181" s="218">
        <v>50</v>
      </c>
      <c r="J3181" s="19">
        <f t="shared" si="269"/>
        <v>498946.79</v>
      </c>
      <c r="K3181" s="51"/>
      <c r="L3181" s="50"/>
      <c r="M3181" s="51"/>
      <c r="N3181" s="19">
        <f>SUMIF('2020'!B:B,B3181,'2020'!C:C)+SUMIF('2021'!B:B,B3181,'2021'!C:C)+SUMIF('2022'!B:B,B3181,'2022'!C:C)</f>
        <v>498946.79</v>
      </c>
      <c r="O3181" s="219">
        <v>44925</v>
      </c>
      <c r="P3181" s="48" t="s">
        <v>3728</v>
      </c>
    </row>
    <row r="3182" spans="1:16" x14ac:dyDescent="0.3">
      <c r="A3182" s="474" t="s">
        <v>211</v>
      </c>
      <c r="B3182" s="475"/>
      <c r="C3182" s="50"/>
      <c r="D3182" s="50"/>
      <c r="E3182" s="48"/>
      <c r="F3182" s="48"/>
      <c r="G3182" s="50"/>
      <c r="H3182" s="48">
        <f>SUM(H3069:H3181)</f>
        <v>116329.66000000005</v>
      </c>
      <c r="I3182" s="19">
        <f>SUM(I3069:I3181)</f>
        <v>4787</v>
      </c>
      <c r="J3182" s="19">
        <f t="shared" ref="J3182" si="271">K3182+L3182+M3182+N3182</f>
        <v>58951335.000000045</v>
      </c>
      <c r="K3182" s="50">
        <v>0</v>
      </c>
      <c r="L3182" s="50">
        <v>0</v>
      </c>
      <c r="M3182" s="50">
        <f>N3182-'2020'!C706-'2021'!C2474-'2022'!C1048</f>
        <v>2.9802322387695313E-8</v>
      </c>
      <c r="N3182" s="50">
        <f>SUM(N3069:N3181)</f>
        <v>58951335.000000015</v>
      </c>
      <c r="O3182" s="50"/>
      <c r="P3182" s="50"/>
    </row>
    <row r="3183" spans="1:16" s="160" customFormat="1" x14ac:dyDescent="0.3">
      <c r="A3183" s="479" t="s">
        <v>3021</v>
      </c>
      <c r="B3183" s="480"/>
      <c r="C3183" s="67"/>
      <c r="D3183" s="67"/>
      <c r="E3183" s="172"/>
      <c r="F3183" s="172"/>
      <c r="G3183" s="67"/>
      <c r="H3183" s="67">
        <f t="shared" ref="H3183:M3183" si="272">H3182+H3067+H3055</f>
        <v>132442.63000000006</v>
      </c>
      <c r="I3183" s="67">
        <f t="shared" si="272"/>
        <v>5453</v>
      </c>
      <c r="J3183" s="67">
        <f t="shared" si="272"/>
        <v>66231898.020000041</v>
      </c>
      <c r="K3183" s="67">
        <f t="shared" si="272"/>
        <v>0</v>
      </c>
      <c r="L3183" s="67">
        <f t="shared" si="272"/>
        <v>0</v>
      </c>
      <c r="M3183" s="67">
        <f t="shared" si="272"/>
        <v>2.9802322387695313E-8</v>
      </c>
      <c r="N3183" s="67">
        <f>N3182+N3067+N3055</f>
        <v>66231898.020000011</v>
      </c>
      <c r="O3183" s="67"/>
      <c r="P3183" s="67"/>
    </row>
    <row r="3184" spans="1:16" s="160" customFormat="1" x14ac:dyDescent="0.3">
      <c r="A3184" s="476" t="s">
        <v>3022</v>
      </c>
      <c r="B3184" s="477"/>
      <c r="C3184" s="477"/>
      <c r="D3184" s="477"/>
      <c r="E3184" s="477"/>
      <c r="F3184" s="477"/>
      <c r="G3184" s="477"/>
      <c r="H3184" s="477"/>
      <c r="I3184" s="477"/>
      <c r="J3184" s="477"/>
      <c r="K3184" s="477"/>
      <c r="L3184" s="477"/>
      <c r="M3184" s="477"/>
      <c r="N3184" s="477"/>
      <c r="O3184" s="477"/>
      <c r="P3184" s="477"/>
    </row>
    <row r="3185" spans="1:16" x14ac:dyDescent="0.3">
      <c r="A3185" s="59">
        <f>A3181+1</f>
        <v>2856</v>
      </c>
      <c r="B3185" s="66" t="s">
        <v>3023</v>
      </c>
      <c r="C3185" s="184">
        <v>1984</v>
      </c>
      <c r="D3185" s="48"/>
      <c r="E3185" s="48" t="s">
        <v>3733</v>
      </c>
      <c r="F3185" s="218">
        <v>10</v>
      </c>
      <c r="G3185" s="48"/>
      <c r="H3185" s="48">
        <v>2046.8</v>
      </c>
      <c r="I3185" s="218">
        <v>87</v>
      </c>
      <c r="J3185" s="19">
        <f t="shared" ref="J3185:J3248" si="273">K3185+L3185+M3185+N3185</f>
        <v>17564414.460000001</v>
      </c>
      <c r="K3185" s="48"/>
      <c r="L3185" s="48"/>
      <c r="M3185" s="48"/>
      <c r="N3185" s="19">
        <f>SUMIF('2020'!B:B,B3185,'2020'!C:C)+SUMIF('2021'!B:B,B3185,'2021'!C:C)+SUMIF('2022'!B:B,B3185,'2022'!C:C)</f>
        <v>17564414.460000001</v>
      </c>
      <c r="O3185" s="219">
        <v>44925</v>
      </c>
      <c r="P3185" s="48" t="s">
        <v>3728</v>
      </c>
    </row>
    <row r="3186" spans="1:16" x14ac:dyDescent="0.3">
      <c r="A3186" s="59">
        <f>A3185+1</f>
        <v>2857</v>
      </c>
      <c r="B3186" s="66" t="s">
        <v>3024</v>
      </c>
      <c r="C3186" s="184">
        <v>1974</v>
      </c>
      <c r="D3186" s="48"/>
      <c r="E3186" s="48" t="s">
        <v>3733</v>
      </c>
      <c r="F3186" s="218">
        <v>5</v>
      </c>
      <c r="G3186" s="48"/>
      <c r="H3186" s="48">
        <v>1367.7</v>
      </c>
      <c r="I3186" s="218">
        <v>58</v>
      </c>
      <c r="J3186" s="19">
        <f t="shared" si="273"/>
        <v>901385.73</v>
      </c>
      <c r="K3186" s="48"/>
      <c r="L3186" s="48"/>
      <c r="M3186" s="48"/>
      <c r="N3186" s="19">
        <f>SUMIF('2020'!B:B,B3186,'2020'!C:C)+SUMIF('2021'!B:B,B3186,'2021'!C:C)+SUMIF('2022'!B:B,B3186,'2022'!C:C)</f>
        <v>901385.73</v>
      </c>
      <c r="O3186" s="219">
        <v>44925</v>
      </c>
      <c r="P3186" s="48" t="s">
        <v>3728</v>
      </c>
    </row>
    <row r="3187" spans="1:16" x14ac:dyDescent="0.3">
      <c r="A3187" s="59">
        <f t="shared" ref="A3187:A3250" si="274">A3186+1</f>
        <v>2858</v>
      </c>
      <c r="B3187" s="66" t="s">
        <v>3025</v>
      </c>
      <c r="C3187" s="184">
        <v>1974</v>
      </c>
      <c r="D3187" s="48"/>
      <c r="E3187" s="48" t="s">
        <v>3733</v>
      </c>
      <c r="F3187" s="218">
        <v>5</v>
      </c>
      <c r="G3187" s="48"/>
      <c r="H3187" s="48">
        <v>11019.5</v>
      </c>
      <c r="I3187" s="218">
        <v>496</v>
      </c>
      <c r="J3187" s="19">
        <f t="shared" si="273"/>
        <v>3381338.5999999996</v>
      </c>
      <c r="K3187" s="48"/>
      <c r="L3187" s="48"/>
      <c r="M3187" s="83"/>
      <c r="N3187" s="19">
        <f>SUMIF('2020'!B:B,B3187,'2020'!C:C)+SUMIF('2021'!B:B,B3187,'2021'!C:C)+SUMIF('2022'!B:B,B3187,'2022'!C:C)</f>
        <v>3381338.5999999996</v>
      </c>
      <c r="O3187" s="219">
        <v>44925</v>
      </c>
      <c r="P3187" s="48" t="s">
        <v>3728</v>
      </c>
    </row>
    <row r="3188" spans="1:16" x14ac:dyDescent="0.3">
      <c r="A3188" s="59">
        <f t="shared" si="274"/>
        <v>2859</v>
      </c>
      <c r="B3188" s="66" t="s">
        <v>3026</v>
      </c>
      <c r="C3188" s="184">
        <v>1975</v>
      </c>
      <c r="D3188" s="48"/>
      <c r="E3188" s="48" t="s">
        <v>3733</v>
      </c>
      <c r="F3188" s="218">
        <v>5</v>
      </c>
      <c r="G3188" s="48"/>
      <c r="H3188" s="48">
        <v>6677.5</v>
      </c>
      <c r="I3188" s="218">
        <v>304</v>
      </c>
      <c r="J3188" s="19">
        <f t="shared" si="273"/>
        <v>2316776.5999999996</v>
      </c>
      <c r="K3188" s="48"/>
      <c r="L3188" s="48"/>
      <c r="M3188" s="83"/>
      <c r="N3188" s="19">
        <f>SUMIF('2020'!B:B,B3188,'2020'!C:C)+SUMIF('2021'!B:B,B3188,'2021'!C:C)+SUMIF('2022'!B:B,B3188,'2022'!C:C)</f>
        <v>2316776.5999999996</v>
      </c>
      <c r="O3188" s="219">
        <v>44925</v>
      </c>
      <c r="P3188" s="48" t="s">
        <v>3728</v>
      </c>
    </row>
    <row r="3189" spans="1:16" x14ac:dyDescent="0.3">
      <c r="A3189" s="59">
        <f t="shared" si="274"/>
        <v>2860</v>
      </c>
      <c r="B3189" s="66" t="s">
        <v>3027</v>
      </c>
      <c r="C3189" s="184">
        <v>1984</v>
      </c>
      <c r="D3189" s="48"/>
      <c r="E3189" s="48" t="s">
        <v>3733</v>
      </c>
      <c r="F3189" s="218">
        <v>10</v>
      </c>
      <c r="G3189" s="48"/>
      <c r="H3189" s="48">
        <v>2006.5</v>
      </c>
      <c r="I3189" s="218">
        <v>88</v>
      </c>
      <c r="J3189" s="19">
        <f t="shared" si="273"/>
        <v>16907324.379999999</v>
      </c>
      <c r="K3189" s="48"/>
      <c r="L3189" s="48"/>
      <c r="M3189" s="48"/>
      <c r="N3189" s="19">
        <f>SUMIF('2020'!B:B,B3189,'2020'!C:C)+SUMIF('2021'!B:B,B3189,'2021'!C:C)+SUMIF('2022'!B:B,B3189,'2022'!C:C)</f>
        <v>16907324.379999999</v>
      </c>
      <c r="O3189" s="219">
        <v>44925</v>
      </c>
      <c r="P3189" s="48" t="s">
        <v>3728</v>
      </c>
    </row>
    <row r="3190" spans="1:16" x14ac:dyDescent="0.3">
      <c r="A3190" s="59">
        <f t="shared" si="274"/>
        <v>2861</v>
      </c>
      <c r="B3190" s="66" t="s">
        <v>3028</v>
      </c>
      <c r="C3190" s="184">
        <v>1975</v>
      </c>
      <c r="D3190" s="48"/>
      <c r="E3190" s="48" t="s">
        <v>3733</v>
      </c>
      <c r="F3190" s="218">
        <v>5</v>
      </c>
      <c r="G3190" s="48"/>
      <c r="H3190" s="48">
        <v>1389.1</v>
      </c>
      <c r="I3190" s="218">
        <v>68</v>
      </c>
      <c r="J3190" s="19">
        <f t="shared" si="273"/>
        <v>905908.87999999989</v>
      </c>
      <c r="K3190" s="48"/>
      <c r="L3190" s="48"/>
      <c r="M3190" s="83"/>
      <c r="N3190" s="19">
        <f>SUMIF('2020'!B:B,B3190,'2020'!C:C)+SUMIF('2021'!B:B,B3190,'2021'!C:C)+SUMIF('2022'!B:B,B3190,'2022'!C:C)</f>
        <v>905908.87999999989</v>
      </c>
      <c r="O3190" s="219">
        <v>44925</v>
      </c>
      <c r="P3190" s="48" t="s">
        <v>3728</v>
      </c>
    </row>
    <row r="3191" spans="1:16" x14ac:dyDescent="0.3">
      <c r="A3191" s="59">
        <f t="shared" si="274"/>
        <v>2862</v>
      </c>
      <c r="B3191" s="66" t="s">
        <v>3029</v>
      </c>
      <c r="C3191" s="184">
        <v>1975</v>
      </c>
      <c r="D3191" s="48"/>
      <c r="E3191" s="48" t="s">
        <v>3733</v>
      </c>
      <c r="F3191" s="218">
        <v>5</v>
      </c>
      <c r="G3191" s="48"/>
      <c r="H3191" s="48">
        <v>1379.02</v>
      </c>
      <c r="I3191" s="218">
        <v>65</v>
      </c>
      <c r="J3191" s="19">
        <f t="shared" si="273"/>
        <v>903826.94</v>
      </c>
      <c r="K3191" s="48"/>
      <c r="L3191" s="48"/>
      <c r="M3191" s="48"/>
      <c r="N3191" s="19">
        <f>SUMIF('2020'!B:B,B3191,'2020'!C:C)+SUMIF('2021'!B:B,B3191,'2021'!C:C)+SUMIF('2022'!B:B,B3191,'2022'!C:C)</f>
        <v>903826.94</v>
      </c>
      <c r="O3191" s="219">
        <v>44925</v>
      </c>
      <c r="P3191" s="48" t="s">
        <v>3728</v>
      </c>
    </row>
    <row r="3192" spans="1:16" x14ac:dyDescent="0.3">
      <c r="A3192" s="59">
        <f t="shared" si="274"/>
        <v>2863</v>
      </c>
      <c r="B3192" s="66" t="s">
        <v>3030</v>
      </c>
      <c r="C3192" s="184">
        <v>1976</v>
      </c>
      <c r="D3192" s="48"/>
      <c r="E3192" s="48" t="s">
        <v>3733</v>
      </c>
      <c r="F3192" s="267">
        <v>9</v>
      </c>
      <c r="G3192" s="48"/>
      <c r="H3192" s="192">
        <v>1928.7</v>
      </c>
      <c r="I3192" s="267" t="s">
        <v>3693</v>
      </c>
      <c r="J3192" s="19">
        <f t="shared" si="273"/>
        <v>1196288.3699999999</v>
      </c>
      <c r="K3192" s="48"/>
      <c r="L3192" s="48"/>
      <c r="M3192" s="48"/>
      <c r="N3192" s="19">
        <f>SUMIF('2020'!B:B,B3192,'2020'!C:C)+SUMIF('2021'!B:B,B3192,'2021'!C:C)+SUMIF('2022'!B:B,B3192,'2022'!C:C)</f>
        <v>1196288.3699999999</v>
      </c>
      <c r="O3192" s="219">
        <v>44925</v>
      </c>
      <c r="P3192" s="48" t="s">
        <v>3728</v>
      </c>
    </row>
    <row r="3193" spans="1:16" x14ac:dyDescent="0.3">
      <c r="A3193" s="59">
        <f t="shared" si="274"/>
        <v>2864</v>
      </c>
      <c r="B3193" s="66" t="s">
        <v>3031</v>
      </c>
      <c r="C3193" s="184">
        <v>1975</v>
      </c>
      <c r="D3193" s="48"/>
      <c r="E3193" s="48" t="s">
        <v>3733</v>
      </c>
      <c r="F3193" s="267">
        <v>9</v>
      </c>
      <c r="G3193" s="48"/>
      <c r="H3193" s="192">
        <v>1924.5</v>
      </c>
      <c r="I3193" s="267" t="s">
        <v>3695</v>
      </c>
      <c r="J3193" s="19">
        <f t="shared" si="273"/>
        <v>1177687.2</v>
      </c>
      <c r="K3193" s="48"/>
      <c r="L3193" s="48"/>
      <c r="M3193" s="48"/>
      <c r="N3193" s="19">
        <f>SUMIF('2020'!B:B,B3193,'2020'!C:C)+SUMIF('2021'!B:B,B3193,'2021'!C:C)+SUMIF('2022'!B:B,B3193,'2022'!C:C)</f>
        <v>1177687.2</v>
      </c>
      <c r="O3193" s="219">
        <v>44925</v>
      </c>
      <c r="P3193" s="48" t="s">
        <v>3728</v>
      </c>
    </row>
    <row r="3194" spans="1:16" x14ac:dyDescent="0.3">
      <c r="A3194" s="59">
        <f t="shared" si="274"/>
        <v>2865</v>
      </c>
      <c r="B3194" s="66" t="s">
        <v>3032</v>
      </c>
      <c r="C3194" s="184">
        <v>1975</v>
      </c>
      <c r="D3194" s="48"/>
      <c r="E3194" s="48" t="s">
        <v>3733</v>
      </c>
      <c r="F3194" s="267">
        <v>9</v>
      </c>
      <c r="G3194" s="48"/>
      <c r="H3194" s="192">
        <v>1949.2</v>
      </c>
      <c r="I3194" s="267" t="s">
        <v>3673</v>
      </c>
      <c r="J3194" s="19">
        <f t="shared" si="273"/>
        <v>1187867.1399999999</v>
      </c>
      <c r="K3194" s="48"/>
      <c r="L3194" s="48"/>
      <c r="M3194" s="48"/>
      <c r="N3194" s="19">
        <f>SUMIF('2020'!B:B,B3194,'2020'!C:C)+SUMIF('2021'!B:B,B3194,'2021'!C:C)+SUMIF('2022'!B:B,B3194,'2022'!C:C)</f>
        <v>1187867.1399999999</v>
      </c>
      <c r="O3194" s="219">
        <v>44925</v>
      </c>
      <c r="P3194" s="48" t="s">
        <v>3728</v>
      </c>
    </row>
    <row r="3195" spans="1:16" x14ac:dyDescent="0.3">
      <c r="A3195" s="59">
        <f t="shared" si="274"/>
        <v>2866</v>
      </c>
      <c r="B3195" s="66" t="s">
        <v>3033</v>
      </c>
      <c r="C3195" s="184">
        <v>1976</v>
      </c>
      <c r="D3195" s="48"/>
      <c r="E3195" s="48" t="s">
        <v>3733</v>
      </c>
      <c r="F3195" s="267">
        <v>9</v>
      </c>
      <c r="G3195" s="48"/>
      <c r="H3195" s="192">
        <v>1889.5</v>
      </c>
      <c r="I3195" s="267" t="s">
        <v>4119</v>
      </c>
      <c r="J3195" s="19">
        <f t="shared" si="273"/>
        <v>1180617.81</v>
      </c>
      <c r="K3195" s="48"/>
      <c r="L3195" s="48"/>
      <c r="M3195" s="48"/>
      <c r="N3195" s="19">
        <f>SUMIF('2020'!B:B,B3195,'2020'!C:C)+SUMIF('2021'!B:B,B3195,'2021'!C:C)+SUMIF('2022'!B:B,B3195,'2022'!C:C)</f>
        <v>1180617.81</v>
      </c>
      <c r="O3195" s="219">
        <v>44925</v>
      </c>
      <c r="P3195" s="48" t="s">
        <v>3728</v>
      </c>
    </row>
    <row r="3196" spans="1:16" x14ac:dyDescent="0.3">
      <c r="A3196" s="59">
        <f t="shared" si="274"/>
        <v>2867</v>
      </c>
      <c r="B3196" s="66" t="s">
        <v>3034</v>
      </c>
      <c r="C3196" s="184">
        <v>1976</v>
      </c>
      <c r="D3196" s="48"/>
      <c r="E3196" s="48" t="s">
        <v>3733</v>
      </c>
      <c r="F3196" s="267">
        <v>5</v>
      </c>
      <c r="G3196" s="48"/>
      <c r="H3196" s="192">
        <v>1356.7</v>
      </c>
      <c r="I3196" s="267" t="s">
        <v>3707</v>
      </c>
      <c r="J3196" s="19">
        <f t="shared" si="273"/>
        <v>889712.6</v>
      </c>
      <c r="K3196" s="48"/>
      <c r="L3196" s="48"/>
      <c r="M3196" s="48"/>
      <c r="N3196" s="19">
        <f>SUMIF('2020'!B:B,B3196,'2020'!C:C)+SUMIF('2021'!B:B,B3196,'2021'!C:C)+SUMIF('2022'!B:B,B3196,'2022'!C:C)</f>
        <v>889712.6</v>
      </c>
      <c r="O3196" s="219">
        <v>44925</v>
      </c>
      <c r="P3196" s="48" t="s">
        <v>3728</v>
      </c>
    </row>
    <row r="3197" spans="1:16" x14ac:dyDescent="0.3">
      <c r="A3197" s="59">
        <f t="shared" si="274"/>
        <v>2868</v>
      </c>
      <c r="B3197" s="66" t="s">
        <v>3035</v>
      </c>
      <c r="C3197" s="184">
        <v>1976</v>
      </c>
      <c r="D3197" s="48"/>
      <c r="E3197" s="48" t="s">
        <v>3733</v>
      </c>
      <c r="F3197" s="218">
        <v>12</v>
      </c>
      <c r="G3197" s="48"/>
      <c r="H3197" s="48">
        <v>3931.2</v>
      </c>
      <c r="I3197" s="218">
        <v>165</v>
      </c>
      <c r="J3197" s="19">
        <f t="shared" si="273"/>
        <v>1588492.22</v>
      </c>
      <c r="K3197" s="48"/>
      <c r="L3197" s="48"/>
      <c r="M3197" s="48"/>
      <c r="N3197" s="19">
        <f>SUMIF('2020'!B:B,B3197,'2020'!C:C)+SUMIF('2021'!B:B,B3197,'2021'!C:C)+SUMIF('2022'!B:B,B3197,'2022'!C:C)</f>
        <v>1588492.22</v>
      </c>
      <c r="O3197" s="219">
        <v>44925</v>
      </c>
      <c r="P3197" s="48" t="s">
        <v>3728</v>
      </c>
    </row>
    <row r="3198" spans="1:16" x14ac:dyDescent="0.3">
      <c r="A3198" s="59">
        <f t="shared" si="274"/>
        <v>2869</v>
      </c>
      <c r="B3198" s="66" t="s">
        <v>3036</v>
      </c>
      <c r="C3198" s="184">
        <v>1976</v>
      </c>
      <c r="D3198" s="48"/>
      <c r="E3198" s="48" t="s">
        <v>3733</v>
      </c>
      <c r="F3198" s="267">
        <v>5</v>
      </c>
      <c r="G3198" s="48"/>
      <c r="H3198" s="192">
        <v>2749.9</v>
      </c>
      <c r="I3198" s="267" t="s">
        <v>3778</v>
      </c>
      <c r="J3198" s="19">
        <f t="shared" si="273"/>
        <v>1201493.19</v>
      </c>
      <c r="K3198" s="48"/>
      <c r="L3198" s="48"/>
      <c r="M3198" s="48"/>
      <c r="N3198" s="19">
        <f>SUMIF('2020'!B:B,B3198,'2020'!C:C)+SUMIF('2021'!B:B,B3198,'2021'!C:C)+SUMIF('2022'!B:B,B3198,'2022'!C:C)</f>
        <v>1201493.19</v>
      </c>
      <c r="O3198" s="219">
        <v>44925</v>
      </c>
      <c r="P3198" s="48" t="s">
        <v>3728</v>
      </c>
    </row>
    <row r="3199" spans="1:16" x14ac:dyDescent="0.3">
      <c r="A3199" s="59">
        <f t="shared" si="274"/>
        <v>2870</v>
      </c>
      <c r="B3199" s="66" t="s">
        <v>3038</v>
      </c>
      <c r="C3199" s="184">
        <v>1977</v>
      </c>
      <c r="D3199" s="48"/>
      <c r="E3199" s="48" t="s">
        <v>3733</v>
      </c>
      <c r="F3199" s="267">
        <v>5</v>
      </c>
      <c r="G3199" s="48"/>
      <c r="H3199" s="192">
        <v>1596.2</v>
      </c>
      <c r="I3199" s="267" t="s">
        <v>4120</v>
      </c>
      <c r="J3199" s="19">
        <f t="shared" si="273"/>
        <v>913407.8</v>
      </c>
      <c r="K3199" s="48"/>
      <c r="L3199" s="48"/>
      <c r="M3199" s="48"/>
      <c r="N3199" s="19">
        <f>SUMIF('2020'!B:B,B3199,'2020'!C:C)+SUMIF('2021'!B:B,B3199,'2021'!C:C)+SUMIF('2022'!B:B,B3199,'2022'!C:C)</f>
        <v>913407.8</v>
      </c>
      <c r="O3199" s="219">
        <v>44925</v>
      </c>
      <c r="P3199" s="48" t="s">
        <v>3728</v>
      </c>
    </row>
    <row r="3200" spans="1:16" x14ac:dyDescent="0.3">
      <c r="A3200" s="59">
        <f t="shared" si="274"/>
        <v>2871</v>
      </c>
      <c r="B3200" s="66" t="s">
        <v>3039</v>
      </c>
      <c r="C3200" s="184">
        <v>1977</v>
      </c>
      <c r="D3200" s="48"/>
      <c r="E3200" s="48" t="s">
        <v>3733</v>
      </c>
      <c r="F3200" s="267">
        <v>5</v>
      </c>
      <c r="G3200" s="48"/>
      <c r="H3200" s="192">
        <v>1356.9</v>
      </c>
      <c r="I3200" s="267" t="s">
        <v>3671</v>
      </c>
      <c r="J3200" s="19">
        <f t="shared" si="273"/>
        <v>922811.19</v>
      </c>
      <c r="K3200" s="48"/>
      <c r="L3200" s="48"/>
      <c r="M3200" s="48"/>
      <c r="N3200" s="19">
        <f>SUMIF('2020'!B:B,B3200,'2020'!C:C)+SUMIF('2021'!B:B,B3200,'2021'!C:C)+SUMIF('2022'!B:B,B3200,'2022'!C:C)</f>
        <v>922811.19</v>
      </c>
      <c r="O3200" s="219">
        <v>44925</v>
      </c>
      <c r="P3200" s="48" t="s">
        <v>3728</v>
      </c>
    </row>
    <row r="3201" spans="1:16" x14ac:dyDescent="0.3">
      <c r="A3201" s="59">
        <f t="shared" si="274"/>
        <v>2872</v>
      </c>
      <c r="B3201" s="66" t="s">
        <v>3040</v>
      </c>
      <c r="C3201" s="184">
        <v>1977</v>
      </c>
      <c r="D3201" s="48"/>
      <c r="E3201" s="48" t="s">
        <v>3733</v>
      </c>
      <c r="F3201" s="267">
        <v>12</v>
      </c>
      <c r="G3201" s="48"/>
      <c r="H3201" s="192">
        <v>4489</v>
      </c>
      <c r="I3201" s="267" t="s">
        <v>4121</v>
      </c>
      <c r="J3201" s="19">
        <f t="shared" si="273"/>
        <v>1872472.83</v>
      </c>
      <c r="K3201" s="48"/>
      <c r="L3201" s="48"/>
      <c r="M3201" s="48"/>
      <c r="N3201" s="19">
        <f>SUMIF('2020'!B:B,B3201,'2020'!C:C)+SUMIF('2021'!B:B,B3201,'2021'!C:C)+SUMIF('2022'!B:B,B3201,'2022'!C:C)</f>
        <v>1872472.83</v>
      </c>
      <c r="O3201" s="219">
        <v>44925</v>
      </c>
      <c r="P3201" s="48" t="s">
        <v>3728</v>
      </c>
    </row>
    <row r="3202" spans="1:16" x14ac:dyDescent="0.3">
      <c r="A3202" s="59">
        <f t="shared" si="274"/>
        <v>2873</v>
      </c>
      <c r="B3202" s="66" t="s">
        <v>3041</v>
      </c>
      <c r="C3202" s="184">
        <v>1977</v>
      </c>
      <c r="D3202" s="48"/>
      <c r="E3202" s="48" t="s">
        <v>3733</v>
      </c>
      <c r="F3202" s="267">
        <v>5</v>
      </c>
      <c r="G3202" s="48"/>
      <c r="H3202" s="192">
        <v>2724.9</v>
      </c>
      <c r="I3202" s="267" t="s">
        <v>4122</v>
      </c>
      <c r="J3202" s="19">
        <f t="shared" si="273"/>
        <v>1034567.9299999999</v>
      </c>
      <c r="K3202" s="48"/>
      <c r="L3202" s="48"/>
      <c r="M3202" s="48"/>
      <c r="N3202" s="19">
        <f>SUMIF('2020'!B:B,B3202,'2020'!C:C)+SUMIF('2021'!B:B,B3202,'2021'!C:C)+SUMIF('2022'!B:B,B3202,'2022'!C:C)</f>
        <v>1034567.9299999999</v>
      </c>
      <c r="O3202" s="219">
        <v>44925</v>
      </c>
      <c r="P3202" s="48" t="s">
        <v>3728</v>
      </c>
    </row>
    <row r="3203" spans="1:16" x14ac:dyDescent="0.3">
      <c r="A3203" s="59">
        <f t="shared" si="274"/>
        <v>2874</v>
      </c>
      <c r="B3203" s="66" t="s">
        <v>3042</v>
      </c>
      <c r="C3203" s="184">
        <v>1977</v>
      </c>
      <c r="D3203" s="48"/>
      <c r="E3203" s="48" t="s">
        <v>3733</v>
      </c>
      <c r="F3203" s="267">
        <v>9</v>
      </c>
      <c r="G3203" s="48"/>
      <c r="H3203" s="192">
        <v>1954.4</v>
      </c>
      <c r="I3203" s="267" t="s">
        <v>4123</v>
      </c>
      <c r="J3203" s="19">
        <f t="shared" si="273"/>
        <v>1190259.1100000001</v>
      </c>
      <c r="K3203" s="48"/>
      <c r="L3203" s="48"/>
      <c r="M3203" s="48"/>
      <c r="N3203" s="19">
        <f>SUMIF('2020'!B:B,B3203,'2020'!C:C)+SUMIF('2021'!B:B,B3203,'2021'!C:C)+SUMIF('2022'!B:B,B3203,'2022'!C:C)</f>
        <v>1190259.1100000001</v>
      </c>
      <c r="O3203" s="219">
        <v>44925</v>
      </c>
      <c r="P3203" s="48" t="s">
        <v>3728</v>
      </c>
    </row>
    <row r="3204" spans="1:16" x14ac:dyDescent="0.3">
      <c r="A3204" s="59">
        <f t="shared" si="274"/>
        <v>2875</v>
      </c>
      <c r="B3204" s="66" t="s">
        <v>3043</v>
      </c>
      <c r="C3204" s="184">
        <v>1973</v>
      </c>
      <c r="D3204" s="48"/>
      <c r="E3204" s="48" t="s">
        <v>3731</v>
      </c>
      <c r="F3204" s="267">
        <v>5</v>
      </c>
      <c r="G3204" s="48"/>
      <c r="H3204" s="192">
        <v>4437.1000000000004</v>
      </c>
      <c r="I3204" s="267" t="s">
        <v>4124</v>
      </c>
      <c r="J3204" s="19">
        <f t="shared" si="273"/>
        <v>1639743.93</v>
      </c>
      <c r="K3204" s="48"/>
      <c r="L3204" s="48"/>
      <c r="M3204" s="48"/>
      <c r="N3204" s="19">
        <f>SUMIF('2020'!B:B,B3204,'2020'!C:C)+SUMIF('2021'!B:B,B3204,'2021'!C:C)+SUMIF('2022'!B:B,B3204,'2022'!C:C)</f>
        <v>1639743.93</v>
      </c>
      <c r="O3204" s="219">
        <v>44925</v>
      </c>
      <c r="P3204" s="48" t="s">
        <v>3728</v>
      </c>
    </row>
    <row r="3205" spans="1:16" x14ac:dyDescent="0.3">
      <c r="A3205" s="59">
        <f t="shared" si="274"/>
        <v>2876</v>
      </c>
      <c r="B3205" s="66" t="s">
        <v>3044</v>
      </c>
      <c r="C3205" s="184">
        <v>1977</v>
      </c>
      <c r="D3205" s="48"/>
      <c r="E3205" s="48" t="s">
        <v>3733</v>
      </c>
      <c r="F3205" s="267">
        <v>9</v>
      </c>
      <c r="G3205" s="48"/>
      <c r="H3205" s="192">
        <v>1913</v>
      </c>
      <c r="I3205" s="267" t="s">
        <v>4123</v>
      </c>
      <c r="J3205" s="19">
        <f t="shared" si="273"/>
        <v>1183426.3</v>
      </c>
      <c r="K3205" s="48"/>
      <c r="L3205" s="48"/>
      <c r="M3205" s="48"/>
      <c r="N3205" s="19">
        <f>SUMIF('2020'!B:B,B3205,'2020'!C:C)+SUMIF('2021'!B:B,B3205,'2021'!C:C)+SUMIF('2022'!B:B,B3205,'2022'!C:C)</f>
        <v>1183426.3</v>
      </c>
      <c r="O3205" s="219">
        <v>44925</v>
      </c>
      <c r="P3205" s="48" t="s">
        <v>3728</v>
      </c>
    </row>
    <row r="3206" spans="1:16" x14ac:dyDescent="0.3">
      <c r="A3206" s="59">
        <f t="shared" si="274"/>
        <v>2877</v>
      </c>
      <c r="B3206" s="66" t="s">
        <v>3045</v>
      </c>
      <c r="C3206" s="184">
        <v>1976</v>
      </c>
      <c r="D3206" s="48"/>
      <c r="E3206" s="48" t="s">
        <v>3733</v>
      </c>
      <c r="F3206" s="218">
        <v>12</v>
      </c>
      <c r="G3206" s="48"/>
      <c r="H3206" s="48">
        <v>4001.3</v>
      </c>
      <c r="I3206" s="218">
        <v>157</v>
      </c>
      <c r="J3206" s="19">
        <f t="shared" si="273"/>
        <v>1684243.2100000002</v>
      </c>
      <c r="K3206" s="48"/>
      <c r="L3206" s="48"/>
      <c r="M3206" s="48"/>
      <c r="N3206" s="19">
        <f>SUMIF('2020'!B:B,B3206,'2020'!C:C)+SUMIF('2021'!B:B,B3206,'2021'!C:C)+SUMIF('2022'!B:B,B3206,'2022'!C:C)</f>
        <v>1684243.2100000002</v>
      </c>
      <c r="O3206" s="219">
        <v>44925</v>
      </c>
      <c r="P3206" s="48" t="s">
        <v>3728</v>
      </c>
    </row>
    <row r="3207" spans="1:16" x14ac:dyDescent="0.3">
      <c r="A3207" s="59">
        <f t="shared" si="274"/>
        <v>2878</v>
      </c>
      <c r="B3207" s="66" t="s">
        <v>3046</v>
      </c>
      <c r="C3207" s="184">
        <v>1973</v>
      </c>
      <c r="D3207" s="48"/>
      <c r="E3207" s="48" t="s">
        <v>3731</v>
      </c>
      <c r="F3207" s="267">
        <v>5</v>
      </c>
      <c r="G3207" s="48"/>
      <c r="H3207" s="192">
        <v>4341.3</v>
      </c>
      <c r="I3207" s="267" t="s">
        <v>4125</v>
      </c>
      <c r="J3207" s="19">
        <f t="shared" si="273"/>
        <v>1619657.19</v>
      </c>
      <c r="K3207" s="48"/>
      <c r="L3207" s="48"/>
      <c r="M3207" s="48"/>
      <c r="N3207" s="19">
        <f>SUMIF('2020'!B:B,B3207,'2020'!C:C)+SUMIF('2021'!B:B,B3207,'2021'!C:C)+SUMIF('2022'!B:B,B3207,'2022'!C:C)</f>
        <v>1619657.19</v>
      </c>
      <c r="O3207" s="219">
        <v>44925</v>
      </c>
      <c r="P3207" s="48" t="s">
        <v>3728</v>
      </c>
    </row>
    <row r="3208" spans="1:16" x14ac:dyDescent="0.3">
      <c r="A3208" s="59">
        <f t="shared" si="274"/>
        <v>2879</v>
      </c>
      <c r="B3208" s="66" t="s">
        <v>3047</v>
      </c>
      <c r="C3208" s="184">
        <v>1987</v>
      </c>
      <c r="D3208" s="48"/>
      <c r="E3208" s="48" t="s">
        <v>3733</v>
      </c>
      <c r="F3208" s="267">
        <v>9</v>
      </c>
      <c r="G3208" s="48"/>
      <c r="H3208" s="192">
        <v>4732.6000000000004</v>
      </c>
      <c r="I3208" s="267" t="s">
        <v>4126</v>
      </c>
      <c r="J3208" s="19">
        <f t="shared" si="273"/>
        <v>1927621.57</v>
      </c>
      <c r="K3208" s="48"/>
      <c r="L3208" s="48"/>
      <c r="M3208" s="48"/>
      <c r="N3208" s="19">
        <f>SUMIF('2020'!B:B,B3208,'2020'!C:C)+SUMIF('2021'!B:B,B3208,'2021'!C:C)+SUMIF('2022'!B:B,B3208,'2022'!C:C)</f>
        <v>1927621.57</v>
      </c>
      <c r="O3208" s="219">
        <v>44925</v>
      </c>
      <c r="P3208" s="48" t="s">
        <v>3728</v>
      </c>
    </row>
    <row r="3209" spans="1:16" x14ac:dyDescent="0.3">
      <c r="A3209" s="59">
        <f t="shared" si="274"/>
        <v>2880</v>
      </c>
      <c r="B3209" s="66" t="s">
        <v>3048</v>
      </c>
      <c r="C3209" s="184">
        <v>1977</v>
      </c>
      <c r="D3209" s="48"/>
      <c r="E3209" s="48" t="s">
        <v>3733</v>
      </c>
      <c r="F3209" s="267">
        <v>9</v>
      </c>
      <c r="G3209" s="48"/>
      <c r="H3209" s="192">
        <v>1953.7</v>
      </c>
      <c r="I3209" s="267" t="s">
        <v>3695</v>
      </c>
      <c r="J3209" s="19">
        <f t="shared" si="273"/>
        <v>1237561.02</v>
      </c>
      <c r="K3209" s="48"/>
      <c r="L3209" s="48"/>
      <c r="M3209" s="48"/>
      <c r="N3209" s="19">
        <f>SUMIF('2020'!B:B,B3209,'2020'!C:C)+SUMIF('2021'!B:B,B3209,'2021'!C:C)+SUMIF('2022'!B:B,B3209,'2022'!C:C)</f>
        <v>1237561.02</v>
      </c>
      <c r="O3209" s="219">
        <v>44925</v>
      </c>
      <c r="P3209" s="48" t="s">
        <v>3728</v>
      </c>
    </row>
    <row r="3210" spans="1:16" x14ac:dyDescent="0.3">
      <c r="A3210" s="59">
        <f t="shared" si="274"/>
        <v>2881</v>
      </c>
      <c r="B3210" s="66" t="s">
        <v>3049</v>
      </c>
      <c r="C3210" s="184">
        <v>1986</v>
      </c>
      <c r="D3210" s="48"/>
      <c r="E3210" s="48" t="s">
        <v>3733</v>
      </c>
      <c r="F3210" s="267">
        <v>9</v>
      </c>
      <c r="G3210" s="48"/>
      <c r="H3210" s="192">
        <v>4732.3999999999996</v>
      </c>
      <c r="I3210" s="267" t="s">
        <v>3779</v>
      </c>
      <c r="J3210" s="19">
        <f t="shared" si="273"/>
        <v>2159680.41</v>
      </c>
      <c r="K3210" s="48"/>
      <c r="L3210" s="48"/>
      <c r="M3210" s="48"/>
      <c r="N3210" s="19">
        <f>SUMIF('2020'!B:B,B3210,'2020'!C:C)+SUMIF('2021'!B:B,B3210,'2021'!C:C)+SUMIF('2022'!B:B,B3210,'2022'!C:C)</f>
        <v>2159680.41</v>
      </c>
      <c r="O3210" s="219">
        <v>44925</v>
      </c>
      <c r="P3210" s="48" t="s">
        <v>3728</v>
      </c>
    </row>
    <row r="3211" spans="1:16" x14ac:dyDescent="0.3">
      <c r="A3211" s="59">
        <f t="shared" si="274"/>
        <v>2882</v>
      </c>
      <c r="B3211" s="66" t="s">
        <v>3050</v>
      </c>
      <c r="C3211" s="184">
        <v>1974</v>
      </c>
      <c r="D3211" s="48"/>
      <c r="E3211" s="48" t="s">
        <v>3733</v>
      </c>
      <c r="F3211" s="218">
        <v>12</v>
      </c>
      <c r="G3211" s="48"/>
      <c r="H3211" s="48">
        <v>3983.3</v>
      </c>
      <c r="I3211" s="218">
        <v>169</v>
      </c>
      <c r="J3211" s="19">
        <f t="shared" si="273"/>
        <v>1674074.6</v>
      </c>
      <c r="K3211" s="48"/>
      <c r="L3211" s="48"/>
      <c r="M3211" s="48"/>
      <c r="N3211" s="19">
        <f>SUMIF('2020'!B:B,B3211,'2020'!C:C)+SUMIF('2021'!B:B,B3211,'2021'!C:C)+SUMIF('2022'!B:B,B3211,'2022'!C:C)</f>
        <v>1674074.6</v>
      </c>
      <c r="O3211" s="219">
        <v>44925</v>
      </c>
      <c r="P3211" s="48" t="s">
        <v>2042</v>
      </c>
    </row>
    <row r="3212" spans="1:16" x14ac:dyDescent="0.3">
      <c r="A3212" s="59">
        <f t="shared" si="274"/>
        <v>2883</v>
      </c>
      <c r="B3212" s="66" t="s">
        <v>3051</v>
      </c>
      <c r="C3212" s="184">
        <v>1968</v>
      </c>
      <c r="D3212" s="48"/>
      <c r="E3212" s="48" t="s">
        <v>3733</v>
      </c>
      <c r="F3212" s="268">
        <v>5</v>
      </c>
      <c r="G3212" s="48"/>
      <c r="H3212" s="269">
        <v>2491</v>
      </c>
      <c r="I3212" s="268" t="s">
        <v>3693</v>
      </c>
      <c r="J3212" s="19">
        <f t="shared" si="273"/>
        <v>13943911.83</v>
      </c>
      <c r="K3212" s="48"/>
      <c r="L3212" s="48"/>
      <c r="M3212" s="48"/>
      <c r="N3212" s="19">
        <f>SUMIF('2020'!B:B,B3212,'2020'!C:C)+SUMIF('2021'!B:B,B3212,'2021'!C:C)+SUMIF('2022'!B:B,B3212,'2022'!C:C)</f>
        <v>13943911.83</v>
      </c>
      <c r="O3212" s="219">
        <v>44925</v>
      </c>
      <c r="P3212" s="48" t="s">
        <v>3728</v>
      </c>
    </row>
    <row r="3213" spans="1:16" x14ac:dyDescent="0.3">
      <c r="A3213" s="59">
        <f t="shared" si="274"/>
        <v>2884</v>
      </c>
      <c r="B3213" s="66" t="s">
        <v>3052</v>
      </c>
      <c r="C3213" s="184">
        <v>1968</v>
      </c>
      <c r="D3213" s="48"/>
      <c r="E3213" s="48" t="s">
        <v>3733</v>
      </c>
      <c r="F3213" s="267">
        <v>5</v>
      </c>
      <c r="G3213" s="48"/>
      <c r="H3213" s="192">
        <v>2853</v>
      </c>
      <c r="I3213" s="267" t="s">
        <v>3664</v>
      </c>
      <c r="J3213" s="19">
        <f t="shared" si="273"/>
        <v>15855339.74</v>
      </c>
      <c r="K3213" s="48"/>
      <c r="L3213" s="48"/>
      <c r="M3213" s="48"/>
      <c r="N3213" s="19">
        <f>SUMIF('2020'!B:B,B3213,'2020'!C:C)+SUMIF('2021'!B:B,B3213,'2021'!C:C)+SUMIF('2022'!B:B,B3213,'2022'!C:C)</f>
        <v>15855339.74</v>
      </c>
      <c r="O3213" s="219">
        <v>44925</v>
      </c>
      <c r="P3213" s="48" t="s">
        <v>3728</v>
      </c>
    </row>
    <row r="3214" spans="1:16" x14ac:dyDescent="0.3">
      <c r="A3214" s="59">
        <f t="shared" si="274"/>
        <v>2885</v>
      </c>
      <c r="B3214" s="66" t="s">
        <v>3053</v>
      </c>
      <c r="C3214" s="184">
        <v>1969</v>
      </c>
      <c r="D3214" s="48"/>
      <c r="E3214" s="48" t="s">
        <v>3733</v>
      </c>
      <c r="F3214" s="267">
        <v>5</v>
      </c>
      <c r="G3214" s="48"/>
      <c r="H3214" s="184">
        <v>3185.7</v>
      </c>
      <c r="I3214" s="267" t="s">
        <v>3778</v>
      </c>
      <c r="J3214" s="19">
        <f t="shared" si="273"/>
        <v>26797715.999999996</v>
      </c>
      <c r="K3214" s="48"/>
      <c r="L3214" s="48"/>
      <c r="M3214" s="48"/>
      <c r="N3214" s="19">
        <f>SUMIF('2020'!B:B,B3214,'2020'!C:C)+SUMIF('2021'!B:B,B3214,'2021'!C:C)+SUMIF('2022'!B:B,B3214,'2022'!C:C)</f>
        <v>26797715.999999996</v>
      </c>
      <c r="O3214" s="219">
        <v>44925</v>
      </c>
      <c r="P3214" s="48" t="s">
        <v>3728</v>
      </c>
    </row>
    <row r="3215" spans="1:16" x14ac:dyDescent="0.3">
      <c r="A3215" s="59">
        <f t="shared" si="274"/>
        <v>2886</v>
      </c>
      <c r="B3215" s="66" t="s">
        <v>3055</v>
      </c>
      <c r="C3215" s="184">
        <v>1970</v>
      </c>
      <c r="D3215" s="48"/>
      <c r="E3215" s="48" t="s">
        <v>3733</v>
      </c>
      <c r="F3215" s="267">
        <v>9</v>
      </c>
      <c r="G3215" s="48"/>
      <c r="H3215" s="184">
        <v>5682</v>
      </c>
      <c r="I3215" s="267" t="s">
        <v>4127</v>
      </c>
      <c r="J3215" s="19">
        <f t="shared" si="273"/>
        <v>41489014.939999998</v>
      </c>
      <c r="K3215" s="48"/>
      <c r="L3215" s="48"/>
      <c r="M3215" s="48"/>
      <c r="N3215" s="19">
        <f>SUMIF('2020'!B:B,B3215,'2020'!C:C)+SUMIF('2021'!B:B,B3215,'2021'!C:C)+SUMIF('2022'!B:B,B3215,'2022'!C:C)</f>
        <v>41489014.939999998</v>
      </c>
      <c r="O3215" s="219">
        <v>44925</v>
      </c>
      <c r="P3215" s="48" t="s">
        <v>3728</v>
      </c>
    </row>
    <row r="3216" spans="1:16" x14ac:dyDescent="0.3">
      <c r="A3216" s="59">
        <f t="shared" si="274"/>
        <v>2887</v>
      </c>
      <c r="B3216" s="66" t="s">
        <v>3057</v>
      </c>
      <c r="C3216" s="184">
        <v>1971</v>
      </c>
      <c r="D3216" s="48"/>
      <c r="E3216" s="48" t="s">
        <v>3733</v>
      </c>
      <c r="F3216" s="267">
        <v>9</v>
      </c>
      <c r="G3216" s="48"/>
      <c r="H3216" s="184">
        <v>5546.8</v>
      </c>
      <c r="I3216" s="267" t="s">
        <v>4128</v>
      </c>
      <c r="J3216" s="19">
        <f t="shared" si="273"/>
        <v>2167214.58</v>
      </c>
      <c r="K3216" s="48"/>
      <c r="L3216" s="48"/>
      <c r="M3216" s="48"/>
      <c r="N3216" s="19">
        <f>SUMIF('2020'!B:B,B3216,'2020'!C:C)+SUMIF('2021'!B:B,B3216,'2021'!C:C)+SUMIF('2022'!B:B,B3216,'2022'!C:C)</f>
        <v>2167214.58</v>
      </c>
      <c r="O3216" s="219">
        <v>44925</v>
      </c>
      <c r="P3216" s="48" t="s">
        <v>3728</v>
      </c>
    </row>
    <row r="3217" spans="1:16" x14ac:dyDescent="0.3">
      <c r="A3217" s="59">
        <f t="shared" si="274"/>
        <v>2888</v>
      </c>
      <c r="B3217" s="66" t="s">
        <v>3058</v>
      </c>
      <c r="C3217" s="184">
        <v>1971</v>
      </c>
      <c r="D3217" s="48"/>
      <c r="E3217" s="48" t="s">
        <v>3733</v>
      </c>
      <c r="F3217" s="267">
        <v>9</v>
      </c>
      <c r="G3217" s="48"/>
      <c r="H3217" s="184">
        <v>5596.2</v>
      </c>
      <c r="I3217" s="267" t="s">
        <v>4129</v>
      </c>
      <c r="J3217" s="19">
        <f t="shared" si="273"/>
        <v>1595796.85</v>
      </c>
      <c r="K3217" s="48"/>
      <c r="L3217" s="48"/>
      <c r="M3217" s="48"/>
      <c r="N3217" s="19">
        <f>SUMIF('2020'!B:B,B3217,'2020'!C:C)+SUMIF('2021'!B:B,B3217,'2021'!C:C)+SUMIF('2022'!B:B,B3217,'2022'!C:C)</f>
        <v>1595796.85</v>
      </c>
      <c r="O3217" s="219">
        <v>44925</v>
      </c>
      <c r="P3217" s="48" t="s">
        <v>3728</v>
      </c>
    </row>
    <row r="3218" spans="1:16" x14ac:dyDescent="0.3">
      <c r="A3218" s="59">
        <f t="shared" si="274"/>
        <v>2889</v>
      </c>
      <c r="B3218" s="66" t="s">
        <v>3059</v>
      </c>
      <c r="C3218" s="184">
        <v>1969</v>
      </c>
      <c r="D3218" s="48"/>
      <c r="E3218" s="48" t="s">
        <v>3733</v>
      </c>
      <c r="F3218" s="218">
        <v>5</v>
      </c>
      <c r="G3218" s="48"/>
      <c r="H3218" s="192">
        <v>2646.3</v>
      </c>
      <c r="I3218" s="267" t="s">
        <v>4130</v>
      </c>
      <c r="J3218" s="19">
        <f t="shared" si="273"/>
        <v>1029533.58</v>
      </c>
      <c r="K3218" s="48"/>
      <c r="L3218" s="48"/>
      <c r="M3218" s="48"/>
      <c r="N3218" s="19">
        <f>SUMIF('2020'!B:B,B3218,'2020'!C:C)+SUMIF('2021'!B:B,B3218,'2021'!C:C)+SUMIF('2022'!B:B,B3218,'2022'!C:C)</f>
        <v>1029533.58</v>
      </c>
      <c r="O3218" s="219">
        <v>44925</v>
      </c>
      <c r="P3218" s="48" t="s">
        <v>3728</v>
      </c>
    </row>
    <row r="3219" spans="1:16" x14ac:dyDescent="0.3">
      <c r="A3219" s="59">
        <f t="shared" si="274"/>
        <v>2890</v>
      </c>
      <c r="B3219" s="66" t="s">
        <v>3060</v>
      </c>
      <c r="C3219" s="184">
        <v>1968</v>
      </c>
      <c r="D3219" s="48"/>
      <c r="E3219" s="48" t="s">
        <v>3733</v>
      </c>
      <c r="F3219" s="218">
        <v>5</v>
      </c>
      <c r="G3219" s="48"/>
      <c r="H3219" s="270">
        <v>3185.7</v>
      </c>
      <c r="I3219" s="271" t="s">
        <v>3778</v>
      </c>
      <c r="J3219" s="19">
        <f t="shared" si="273"/>
        <v>19034341.619999997</v>
      </c>
      <c r="K3219" s="48"/>
      <c r="L3219" s="48"/>
      <c r="M3219" s="48"/>
      <c r="N3219" s="19">
        <f>SUMIF('2020'!B:B,B3219,'2020'!C:C)+SUMIF('2021'!B:B,B3219,'2021'!C:C)+SUMIF('2022'!B:B,B3219,'2022'!C:C)</f>
        <v>19034341.619999997</v>
      </c>
      <c r="O3219" s="219">
        <v>44925</v>
      </c>
      <c r="P3219" s="48" t="s">
        <v>3728</v>
      </c>
    </row>
    <row r="3220" spans="1:16" x14ac:dyDescent="0.3">
      <c r="A3220" s="59">
        <f t="shared" si="274"/>
        <v>2891</v>
      </c>
      <c r="B3220" s="66" t="s">
        <v>3061</v>
      </c>
      <c r="C3220" s="184">
        <v>1967</v>
      </c>
      <c r="D3220" s="48"/>
      <c r="E3220" s="48" t="s">
        <v>3733</v>
      </c>
      <c r="F3220" s="267">
        <v>9</v>
      </c>
      <c r="G3220" s="48"/>
      <c r="H3220" s="192">
        <v>2050.1999999999998</v>
      </c>
      <c r="I3220" s="267" t="s">
        <v>3746</v>
      </c>
      <c r="J3220" s="19">
        <f t="shared" si="273"/>
        <v>1407050.49</v>
      </c>
      <c r="K3220" s="48"/>
      <c r="L3220" s="48"/>
      <c r="M3220" s="48"/>
      <c r="N3220" s="19">
        <f>SUMIF('2020'!B:B,B3220,'2020'!C:C)+SUMIF('2021'!B:B,B3220,'2021'!C:C)+SUMIF('2022'!B:B,B3220,'2022'!C:C)</f>
        <v>1407050.49</v>
      </c>
      <c r="O3220" s="219">
        <v>44925</v>
      </c>
      <c r="P3220" s="48" t="s">
        <v>3728</v>
      </c>
    </row>
    <row r="3221" spans="1:16" x14ac:dyDescent="0.3">
      <c r="A3221" s="59">
        <f t="shared" si="274"/>
        <v>2892</v>
      </c>
      <c r="B3221" s="66" t="s">
        <v>3062</v>
      </c>
      <c r="C3221" s="184">
        <v>1969</v>
      </c>
      <c r="D3221" s="48"/>
      <c r="E3221" s="48" t="s">
        <v>3733</v>
      </c>
      <c r="F3221" s="267">
        <v>5</v>
      </c>
      <c r="G3221" s="48"/>
      <c r="H3221" s="192">
        <v>2575.6</v>
      </c>
      <c r="I3221" s="267" t="s">
        <v>3656</v>
      </c>
      <c r="J3221" s="19">
        <f t="shared" si="273"/>
        <v>880415.53</v>
      </c>
      <c r="K3221" s="48"/>
      <c r="L3221" s="48"/>
      <c r="M3221" s="48"/>
      <c r="N3221" s="19">
        <f>SUMIF('2020'!B:B,B3221,'2020'!C:C)+SUMIF('2021'!B:B,B3221,'2021'!C:C)+SUMIF('2022'!B:B,B3221,'2022'!C:C)</f>
        <v>880415.53</v>
      </c>
      <c r="O3221" s="219">
        <v>44925</v>
      </c>
      <c r="P3221" s="48" t="s">
        <v>3728</v>
      </c>
    </row>
    <row r="3222" spans="1:16" x14ac:dyDescent="0.3">
      <c r="A3222" s="59">
        <f t="shared" si="274"/>
        <v>2893</v>
      </c>
      <c r="B3222" s="66" t="s">
        <v>3064</v>
      </c>
      <c r="C3222" s="184">
        <v>1968</v>
      </c>
      <c r="D3222" s="48"/>
      <c r="E3222" s="48" t="s">
        <v>3733</v>
      </c>
      <c r="F3222" s="272">
        <v>9</v>
      </c>
      <c r="G3222" s="48"/>
      <c r="H3222" s="273">
        <v>1951.7</v>
      </c>
      <c r="I3222" s="272" t="s">
        <v>4131</v>
      </c>
      <c r="J3222" s="19">
        <f t="shared" si="273"/>
        <v>16816539.93</v>
      </c>
      <c r="K3222" s="48"/>
      <c r="L3222" s="48"/>
      <c r="M3222" s="48"/>
      <c r="N3222" s="19">
        <f>SUMIF('2020'!B:B,B3222,'2020'!C:C)+SUMIF('2021'!B:B,B3222,'2021'!C:C)+SUMIF('2022'!B:B,B3222,'2022'!C:C)</f>
        <v>16816539.93</v>
      </c>
      <c r="O3222" s="219">
        <v>44925</v>
      </c>
      <c r="P3222" s="48" t="s">
        <v>3728</v>
      </c>
    </row>
    <row r="3223" spans="1:16" x14ac:dyDescent="0.3">
      <c r="A3223" s="59">
        <f t="shared" si="274"/>
        <v>2894</v>
      </c>
      <c r="B3223" s="66" t="s">
        <v>3065</v>
      </c>
      <c r="C3223" s="184">
        <v>1968</v>
      </c>
      <c r="D3223" s="48"/>
      <c r="E3223" s="48" t="s">
        <v>3733</v>
      </c>
      <c r="F3223" s="267">
        <v>5</v>
      </c>
      <c r="G3223" s="48"/>
      <c r="H3223" s="192">
        <v>2787.6</v>
      </c>
      <c r="I3223" s="267" t="s">
        <v>3778</v>
      </c>
      <c r="J3223" s="19">
        <f t="shared" si="273"/>
        <v>1048086.6599999999</v>
      </c>
      <c r="K3223" s="48"/>
      <c r="L3223" s="48"/>
      <c r="M3223" s="48"/>
      <c r="N3223" s="19">
        <f>SUMIF('2020'!B:B,B3223,'2020'!C:C)+SUMIF('2021'!B:B,B3223,'2021'!C:C)+SUMIF('2022'!B:B,B3223,'2022'!C:C)</f>
        <v>1048086.6599999999</v>
      </c>
      <c r="O3223" s="219">
        <v>44925</v>
      </c>
      <c r="P3223" s="48" t="s">
        <v>3728</v>
      </c>
    </row>
    <row r="3224" spans="1:16" x14ac:dyDescent="0.3">
      <c r="A3224" s="59">
        <f t="shared" si="274"/>
        <v>2895</v>
      </c>
      <c r="B3224" s="66" t="s">
        <v>3066</v>
      </c>
      <c r="C3224" s="184">
        <v>1968</v>
      </c>
      <c r="D3224" s="48"/>
      <c r="E3224" s="48" t="s">
        <v>3733</v>
      </c>
      <c r="F3224" s="267">
        <v>9</v>
      </c>
      <c r="G3224" s="48"/>
      <c r="H3224" s="192">
        <v>1954.6</v>
      </c>
      <c r="I3224" s="267" t="s">
        <v>3693</v>
      </c>
      <c r="J3224" s="19">
        <f t="shared" si="273"/>
        <v>1334474.57</v>
      </c>
      <c r="K3224" s="48"/>
      <c r="L3224" s="48"/>
      <c r="M3224" s="48"/>
      <c r="N3224" s="19">
        <f>SUMIF('2020'!B:B,B3224,'2020'!C:C)+SUMIF('2021'!B:B,B3224,'2021'!C:C)+SUMIF('2022'!B:B,B3224,'2022'!C:C)</f>
        <v>1334474.57</v>
      </c>
      <c r="O3224" s="219">
        <v>44925</v>
      </c>
      <c r="P3224" s="48" t="s">
        <v>3728</v>
      </c>
    </row>
    <row r="3225" spans="1:16" x14ac:dyDescent="0.3">
      <c r="A3225" s="59">
        <f t="shared" si="274"/>
        <v>2896</v>
      </c>
      <c r="B3225" s="66" t="s">
        <v>3067</v>
      </c>
      <c r="C3225" s="184">
        <v>1968</v>
      </c>
      <c r="D3225" s="48"/>
      <c r="E3225" s="48" t="s">
        <v>3733</v>
      </c>
      <c r="F3225" s="267">
        <v>9</v>
      </c>
      <c r="G3225" s="48"/>
      <c r="H3225" s="192">
        <v>1981.3</v>
      </c>
      <c r="I3225" s="267" t="s">
        <v>4132</v>
      </c>
      <c r="J3225" s="19">
        <f t="shared" si="273"/>
        <v>1406154.11</v>
      </c>
      <c r="K3225" s="48"/>
      <c r="L3225" s="48"/>
      <c r="M3225" s="48"/>
      <c r="N3225" s="19">
        <f>SUMIF('2020'!B:B,B3225,'2020'!C:C)+SUMIF('2021'!B:B,B3225,'2021'!C:C)+SUMIF('2022'!B:B,B3225,'2022'!C:C)</f>
        <v>1406154.11</v>
      </c>
      <c r="O3225" s="219">
        <v>44925</v>
      </c>
      <c r="P3225" s="48" t="s">
        <v>3728</v>
      </c>
    </row>
    <row r="3226" spans="1:16" x14ac:dyDescent="0.3">
      <c r="A3226" s="59">
        <f t="shared" si="274"/>
        <v>2897</v>
      </c>
      <c r="B3226" s="66" t="s">
        <v>3068</v>
      </c>
      <c r="C3226" s="184">
        <v>1969</v>
      </c>
      <c r="D3226" s="48"/>
      <c r="E3226" s="48" t="s">
        <v>3733</v>
      </c>
      <c r="F3226" s="267">
        <v>9</v>
      </c>
      <c r="G3226" s="48"/>
      <c r="H3226" s="192">
        <v>1978.3</v>
      </c>
      <c r="I3226" s="267" t="s">
        <v>3684</v>
      </c>
      <c r="J3226" s="19">
        <f t="shared" si="273"/>
        <v>1044666.96</v>
      </c>
      <c r="K3226" s="48"/>
      <c r="L3226" s="48"/>
      <c r="M3226" s="48"/>
      <c r="N3226" s="19">
        <f>SUMIF('2020'!B:B,B3226,'2020'!C:C)+SUMIF('2021'!B:B,B3226,'2021'!C:C)+SUMIF('2022'!B:B,B3226,'2022'!C:C)</f>
        <v>1044666.96</v>
      </c>
      <c r="O3226" s="219">
        <v>44925</v>
      </c>
      <c r="P3226" s="48" t="s">
        <v>3728</v>
      </c>
    </row>
    <row r="3227" spans="1:16" x14ac:dyDescent="0.3">
      <c r="A3227" s="59">
        <f t="shared" si="274"/>
        <v>2898</v>
      </c>
      <c r="B3227" s="66" t="s">
        <v>3069</v>
      </c>
      <c r="C3227" s="184">
        <v>1966</v>
      </c>
      <c r="D3227" s="48"/>
      <c r="E3227" s="48" t="s">
        <v>3733</v>
      </c>
      <c r="F3227" s="218">
        <v>5</v>
      </c>
      <c r="G3227" s="48"/>
      <c r="H3227" s="192">
        <v>3069.9</v>
      </c>
      <c r="I3227" s="267" t="s">
        <v>3781</v>
      </c>
      <c r="J3227" s="19">
        <f t="shared" si="273"/>
        <v>18549884.940000001</v>
      </c>
      <c r="K3227" s="48"/>
      <c r="L3227" s="48"/>
      <c r="M3227" s="48"/>
      <c r="N3227" s="19">
        <f>SUMIF('2020'!B:B,B3227,'2020'!C:C)+SUMIF('2021'!B:B,B3227,'2021'!C:C)+SUMIF('2022'!B:B,B3227,'2022'!C:C)</f>
        <v>18549884.940000001</v>
      </c>
      <c r="O3227" s="219">
        <v>44925</v>
      </c>
      <c r="P3227" s="48" t="s">
        <v>3728</v>
      </c>
    </row>
    <row r="3228" spans="1:16" x14ac:dyDescent="0.3">
      <c r="A3228" s="59">
        <f t="shared" si="274"/>
        <v>2899</v>
      </c>
      <c r="B3228" s="66" t="s">
        <v>3070</v>
      </c>
      <c r="C3228" s="184">
        <v>1967</v>
      </c>
      <c r="D3228" s="48"/>
      <c r="E3228" s="48" t="s">
        <v>3733</v>
      </c>
      <c r="F3228" s="218">
        <v>5</v>
      </c>
      <c r="G3228" s="48"/>
      <c r="H3228" s="192">
        <v>3089.6</v>
      </c>
      <c r="I3228" s="267" t="s">
        <v>4133</v>
      </c>
      <c r="J3228" s="19">
        <f t="shared" si="273"/>
        <v>187483.24</v>
      </c>
      <c r="K3228" s="48"/>
      <c r="L3228" s="48"/>
      <c r="M3228" s="48"/>
      <c r="N3228" s="19">
        <f>SUMIF('2020'!B:B,B3228,'2020'!C:C)+SUMIF('2021'!B:B,B3228,'2021'!C:C)+SUMIF('2022'!B:B,B3228,'2022'!C:C)</f>
        <v>187483.24</v>
      </c>
      <c r="O3228" s="219">
        <v>44925</v>
      </c>
      <c r="P3228" s="48" t="s">
        <v>3728</v>
      </c>
    </row>
    <row r="3229" spans="1:16" x14ac:dyDescent="0.3">
      <c r="A3229" s="59">
        <f t="shared" si="274"/>
        <v>2900</v>
      </c>
      <c r="B3229" s="66" t="s">
        <v>3071</v>
      </c>
      <c r="C3229" s="184">
        <v>1967</v>
      </c>
      <c r="D3229" s="48"/>
      <c r="E3229" s="48" t="s">
        <v>3733</v>
      </c>
      <c r="F3229" s="218">
        <v>5</v>
      </c>
      <c r="G3229" s="48"/>
      <c r="H3229" s="192">
        <v>3226.9</v>
      </c>
      <c r="I3229" s="267" t="s">
        <v>3799</v>
      </c>
      <c r="J3229" s="19">
        <f t="shared" si="273"/>
        <v>1120387.1400000001</v>
      </c>
      <c r="K3229" s="48"/>
      <c r="L3229" s="48"/>
      <c r="M3229" s="48"/>
      <c r="N3229" s="19">
        <f>SUMIF('2020'!B:B,B3229,'2020'!C:C)+SUMIF('2021'!B:B,B3229,'2021'!C:C)+SUMIF('2022'!B:B,B3229,'2022'!C:C)</f>
        <v>1120387.1400000001</v>
      </c>
      <c r="O3229" s="219">
        <v>44925</v>
      </c>
      <c r="P3229" s="48" t="s">
        <v>3728</v>
      </c>
    </row>
    <row r="3230" spans="1:16" x14ac:dyDescent="0.3">
      <c r="A3230" s="59">
        <f t="shared" si="274"/>
        <v>2901</v>
      </c>
      <c r="B3230" s="66" t="s">
        <v>3072</v>
      </c>
      <c r="C3230" s="184">
        <v>1962</v>
      </c>
      <c r="D3230" s="48"/>
      <c r="E3230" s="48" t="s">
        <v>3733</v>
      </c>
      <c r="F3230" s="218">
        <v>3</v>
      </c>
      <c r="G3230" s="48"/>
      <c r="H3230" s="48">
        <v>1499.5</v>
      </c>
      <c r="I3230" s="218">
        <v>87</v>
      </c>
      <c r="J3230" s="19">
        <f t="shared" si="273"/>
        <v>1945403.65</v>
      </c>
      <c r="K3230" s="48"/>
      <c r="L3230" s="48"/>
      <c r="M3230" s="48"/>
      <c r="N3230" s="19">
        <f>SUMIF('2020'!B:B,B3230,'2020'!C:C)+SUMIF('2021'!B:B,B3230,'2021'!C:C)+SUMIF('2022'!B:B,B3230,'2022'!C:C)</f>
        <v>1945403.65</v>
      </c>
      <c r="O3230" s="219">
        <v>44925</v>
      </c>
      <c r="P3230" s="48" t="s">
        <v>3728</v>
      </c>
    </row>
    <row r="3231" spans="1:16" x14ac:dyDescent="0.3">
      <c r="A3231" s="59">
        <f t="shared" si="274"/>
        <v>2902</v>
      </c>
      <c r="B3231" s="66" t="s">
        <v>3073</v>
      </c>
      <c r="C3231" s="184">
        <v>1973</v>
      </c>
      <c r="D3231" s="48"/>
      <c r="E3231" s="48" t="s">
        <v>3733</v>
      </c>
      <c r="F3231" s="267">
        <v>12</v>
      </c>
      <c r="G3231" s="48"/>
      <c r="H3231" s="192">
        <v>3826.9</v>
      </c>
      <c r="I3231" s="267" t="s">
        <v>4134</v>
      </c>
      <c r="J3231" s="19">
        <f t="shared" si="273"/>
        <v>1588492.22</v>
      </c>
      <c r="K3231" s="48"/>
      <c r="L3231" s="48"/>
      <c r="M3231" s="48"/>
      <c r="N3231" s="19">
        <f>SUMIF('2020'!B:B,B3231,'2020'!C:C)+SUMIF('2021'!B:B,B3231,'2021'!C:C)+SUMIF('2022'!B:B,B3231,'2022'!C:C)</f>
        <v>1588492.22</v>
      </c>
      <c r="O3231" s="219">
        <v>44925</v>
      </c>
      <c r="P3231" s="48" t="s">
        <v>2042</v>
      </c>
    </row>
    <row r="3232" spans="1:16" x14ac:dyDescent="0.3">
      <c r="A3232" s="59">
        <f t="shared" si="274"/>
        <v>2903</v>
      </c>
      <c r="B3232" s="66" t="s">
        <v>3074</v>
      </c>
      <c r="C3232" s="184">
        <v>1964</v>
      </c>
      <c r="D3232" s="48"/>
      <c r="E3232" s="48" t="s">
        <v>3733</v>
      </c>
      <c r="F3232" s="267">
        <v>5</v>
      </c>
      <c r="G3232" s="48"/>
      <c r="H3232" s="192">
        <v>3716.1</v>
      </c>
      <c r="I3232" s="267" t="s">
        <v>3691</v>
      </c>
      <c r="J3232" s="19">
        <f t="shared" si="273"/>
        <v>2444229.4000000004</v>
      </c>
      <c r="K3232" s="48"/>
      <c r="L3232" s="48"/>
      <c r="M3232" s="48"/>
      <c r="N3232" s="19">
        <f>SUMIF('2020'!B:B,B3232,'2020'!C:C)+SUMIF('2021'!B:B,B3232,'2021'!C:C)+SUMIF('2022'!B:B,B3232,'2022'!C:C)</f>
        <v>2444229.4000000004</v>
      </c>
      <c r="O3232" s="219">
        <v>44925</v>
      </c>
      <c r="P3232" s="48" t="s">
        <v>3728</v>
      </c>
    </row>
    <row r="3233" spans="1:16" x14ac:dyDescent="0.3">
      <c r="A3233" s="59">
        <f t="shared" si="274"/>
        <v>2904</v>
      </c>
      <c r="B3233" s="66" t="s">
        <v>3075</v>
      </c>
      <c r="C3233" s="184">
        <v>1964</v>
      </c>
      <c r="D3233" s="48"/>
      <c r="E3233" s="48" t="s">
        <v>3733</v>
      </c>
      <c r="F3233" s="267">
        <v>5</v>
      </c>
      <c r="G3233" s="48"/>
      <c r="H3233" s="184">
        <v>3716.1</v>
      </c>
      <c r="I3233" s="267" t="s">
        <v>4135</v>
      </c>
      <c r="J3233" s="19">
        <f t="shared" si="273"/>
        <v>20191020.740000002</v>
      </c>
      <c r="K3233" s="48"/>
      <c r="L3233" s="48"/>
      <c r="M3233" s="48"/>
      <c r="N3233" s="19">
        <f>SUMIF('2020'!B:B,B3233,'2020'!C:C)+SUMIF('2021'!B:B,B3233,'2021'!C:C)+SUMIF('2022'!B:B,B3233,'2022'!C:C)</f>
        <v>20191020.740000002</v>
      </c>
      <c r="O3233" s="219">
        <v>44925</v>
      </c>
      <c r="P3233" s="48" t="s">
        <v>3728</v>
      </c>
    </row>
    <row r="3234" spans="1:16" x14ac:dyDescent="0.3">
      <c r="A3234" s="59">
        <f t="shared" si="274"/>
        <v>2905</v>
      </c>
      <c r="B3234" s="66" t="s">
        <v>3076</v>
      </c>
      <c r="C3234" s="184">
        <v>1961</v>
      </c>
      <c r="D3234" s="48"/>
      <c r="E3234" s="48" t="s">
        <v>3733</v>
      </c>
      <c r="F3234" s="267">
        <v>3</v>
      </c>
      <c r="G3234" s="48"/>
      <c r="H3234" s="192">
        <v>1522.6</v>
      </c>
      <c r="I3234" s="267" t="s">
        <v>3806</v>
      </c>
      <c r="J3234" s="19">
        <f t="shared" si="273"/>
        <v>418546.72</v>
      </c>
      <c r="K3234" s="48"/>
      <c r="L3234" s="48"/>
      <c r="M3234" s="48"/>
      <c r="N3234" s="19">
        <f>SUMIF('2020'!B:B,B3234,'2020'!C:C)+SUMIF('2021'!B:B,B3234,'2021'!C:C)+SUMIF('2022'!B:B,B3234,'2022'!C:C)</f>
        <v>418546.72</v>
      </c>
      <c r="O3234" s="219">
        <v>44925</v>
      </c>
      <c r="P3234" s="48" t="s">
        <v>3728</v>
      </c>
    </row>
    <row r="3235" spans="1:16" x14ac:dyDescent="0.3">
      <c r="A3235" s="59">
        <f t="shared" si="274"/>
        <v>2906</v>
      </c>
      <c r="B3235" s="66" t="s">
        <v>3077</v>
      </c>
      <c r="C3235" s="184">
        <v>1961</v>
      </c>
      <c r="D3235" s="48"/>
      <c r="E3235" s="48" t="s">
        <v>3733</v>
      </c>
      <c r="F3235" s="267">
        <v>3</v>
      </c>
      <c r="G3235" s="48"/>
      <c r="H3235" s="192">
        <v>949.7</v>
      </c>
      <c r="I3235" s="267" t="s">
        <v>3806</v>
      </c>
      <c r="J3235" s="19">
        <f t="shared" si="273"/>
        <v>6743740.4499999993</v>
      </c>
      <c r="K3235" s="48"/>
      <c r="L3235" s="48"/>
      <c r="M3235" s="48"/>
      <c r="N3235" s="19">
        <f>SUMIF('2020'!B:B,B3235,'2020'!C:C)+SUMIF('2021'!B:B,B3235,'2021'!C:C)+SUMIF('2022'!B:B,B3235,'2022'!C:C)</f>
        <v>6743740.4499999993</v>
      </c>
      <c r="O3235" s="219">
        <v>44925</v>
      </c>
      <c r="P3235" s="48" t="s">
        <v>3728</v>
      </c>
    </row>
    <row r="3236" spans="1:16" x14ac:dyDescent="0.3">
      <c r="A3236" s="59">
        <f t="shared" si="274"/>
        <v>2907</v>
      </c>
      <c r="B3236" s="66" t="s">
        <v>3079</v>
      </c>
      <c r="C3236" s="184">
        <v>1961</v>
      </c>
      <c r="D3236" s="48"/>
      <c r="E3236" s="48" t="s">
        <v>3733</v>
      </c>
      <c r="F3236" s="267">
        <v>3</v>
      </c>
      <c r="G3236" s="48"/>
      <c r="H3236" s="192">
        <v>1517</v>
      </c>
      <c r="I3236" s="267" t="s">
        <v>4120</v>
      </c>
      <c r="J3236" s="19">
        <f t="shared" si="273"/>
        <v>1498859.15</v>
      </c>
      <c r="K3236" s="48"/>
      <c r="L3236" s="48"/>
      <c r="M3236" s="48"/>
      <c r="N3236" s="19">
        <f>SUMIF('2020'!B:B,B3236,'2020'!C:C)+SUMIF('2021'!B:B,B3236,'2021'!C:C)+SUMIF('2022'!B:B,B3236,'2022'!C:C)</f>
        <v>1498859.15</v>
      </c>
      <c r="O3236" s="219">
        <v>44925</v>
      </c>
      <c r="P3236" s="48" t="s">
        <v>3728</v>
      </c>
    </row>
    <row r="3237" spans="1:16" x14ac:dyDescent="0.3">
      <c r="A3237" s="59">
        <f t="shared" si="274"/>
        <v>2908</v>
      </c>
      <c r="B3237" s="66" t="s">
        <v>3080</v>
      </c>
      <c r="C3237" s="184">
        <v>1962</v>
      </c>
      <c r="D3237" s="48"/>
      <c r="E3237" s="48" t="s">
        <v>3733</v>
      </c>
      <c r="F3237" s="267">
        <v>3</v>
      </c>
      <c r="G3237" s="48"/>
      <c r="H3237" s="192">
        <v>1484.6</v>
      </c>
      <c r="I3237" s="267" t="s">
        <v>4136</v>
      </c>
      <c r="J3237" s="19">
        <f t="shared" si="273"/>
        <v>6032708.6099999994</v>
      </c>
      <c r="K3237" s="48"/>
      <c r="L3237" s="48"/>
      <c r="M3237" s="48"/>
      <c r="N3237" s="19">
        <f>SUMIF('2020'!B:B,B3237,'2020'!C:C)+SUMIF('2021'!B:B,B3237,'2021'!C:C)+SUMIF('2022'!B:B,B3237,'2022'!C:C)</f>
        <v>6032708.6099999994</v>
      </c>
      <c r="O3237" s="219">
        <v>44925</v>
      </c>
      <c r="P3237" s="48" t="s">
        <v>3728</v>
      </c>
    </row>
    <row r="3238" spans="1:16" x14ac:dyDescent="0.3">
      <c r="A3238" s="59">
        <f t="shared" si="274"/>
        <v>2909</v>
      </c>
      <c r="B3238" s="66" t="s">
        <v>3081</v>
      </c>
      <c r="C3238" s="184">
        <v>1961</v>
      </c>
      <c r="D3238" s="48"/>
      <c r="E3238" s="48" t="s">
        <v>3733</v>
      </c>
      <c r="F3238" s="271">
        <v>4</v>
      </c>
      <c r="G3238" s="48"/>
      <c r="H3238" s="270">
        <v>2043.8</v>
      </c>
      <c r="I3238" s="271" t="s">
        <v>3715</v>
      </c>
      <c r="J3238" s="19">
        <f t="shared" si="273"/>
        <v>1583795.03</v>
      </c>
      <c r="K3238" s="48"/>
      <c r="L3238" s="48"/>
      <c r="M3238" s="48"/>
      <c r="N3238" s="19">
        <f>SUMIF('2020'!B:B,B3238,'2020'!C:C)+SUMIF('2021'!B:B,B3238,'2021'!C:C)+SUMIF('2022'!B:B,B3238,'2022'!C:C)</f>
        <v>1583795.03</v>
      </c>
      <c r="O3238" s="219">
        <v>44925</v>
      </c>
      <c r="P3238" s="48" t="s">
        <v>3728</v>
      </c>
    </row>
    <row r="3239" spans="1:16" x14ac:dyDescent="0.3">
      <c r="A3239" s="59">
        <f t="shared" si="274"/>
        <v>2910</v>
      </c>
      <c r="B3239" s="66" t="s">
        <v>3082</v>
      </c>
      <c r="C3239" s="184">
        <v>1963</v>
      </c>
      <c r="D3239" s="48"/>
      <c r="E3239" s="48" t="s">
        <v>3733</v>
      </c>
      <c r="F3239" s="267">
        <v>4</v>
      </c>
      <c r="G3239" s="48"/>
      <c r="H3239" s="192">
        <v>1518.8</v>
      </c>
      <c r="I3239" s="267" t="s">
        <v>3711</v>
      </c>
      <c r="J3239" s="19">
        <f t="shared" si="273"/>
        <v>1889571.31</v>
      </c>
      <c r="K3239" s="48"/>
      <c r="L3239" s="48"/>
      <c r="M3239" s="48"/>
      <c r="N3239" s="19">
        <f>SUMIF('2020'!B:B,B3239,'2020'!C:C)+SUMIF('2021'!B:B,B3239,'2021'!C:C)+SUMIF('2022'!B:B,B3239,'2022'!C:C)</f>
        <v>1889571.31</v>
      </c>
      <c r="O3239" s="219">
        <v>44925</v>
      </c>
      <c r="P3239" s="48" t="s">
        <v>3728</v>
      </c>
    </row>
    <row r="3240" spans="1:16" x14ac:dyDescent="0.3">
      <c r="A3240" s="59">
        <f t="shared" si="274"/>
        <v>2911</v>
      </c>
      <c r="B3240" s="66" t="s">
        <v>3083</v>
      </c>
      <c r="C3240" s="184">
        <v>1966</v>
      </c>
      <c r="D3240" s="48"/>
      <c r="E3240" s="48" t="s">
        <v>3733</v>
      </c>
      <c r="F3240" s="267">
        <v>5</v>
      </c>
      <c r="G3240" s="48"/>
      <c r="H3240" s="192">
        <v>3299.9</v>
      </c>
      <c r="I3240" s="267" t="s">
        <v>4137</v>
      </c>
      <c r="J3240" s="19">
        <f t="shared" si="273"/>
        <v>1376653.51</v>
      </c>
      <c r="K3240" s="48"/>
      <c r="L3240" s="48"/>
      <c r="M3240" s="48"/>
      <c r="N3240" s="19">
        <f>SUMIF('2020'!B:B,B3240,'2020'!C:C)+SUMIF('2021'!B:B,B3240,'2021'!C:C)+SUMIF('2022'!B:B,B3240,'2022'!C:C)</f>
        <v>1376653.51</v>
      </c>
      <c r="O3240" s="219">
        <v>44925</v>
      </c>
      <c r="P3240" s="48" t="s">
        <v>3728</v>
      </c>
    </row>
    <row r="3241" spans="1:16" x14ac:dyDescent="0.3">
      <c r="A3241" s="59">
        <f t="shared" si="274"/>
        <v>2912</v>
      </c>
      <c r="B3241" s="66" t="s">
        <v>3084</v>
      </c>
      <c r="C3241" s="184">
        <v>1972</v>
      </c>
      <c r="D3241" s="48"/>
      <c r="E3241" s="48" t="s">
        <v>3733</v>
      </c>
      <c r="F3241" s="267">
        <v>9</v>
      </c>
      <c r="G3241" s="48"/>
      <c r="H3241" s="192">
        <v>2001.9</v>
      </c>
      <c r="I3241" s="267" t="s">
        <v>4123</v>
      </c>
      <c r="J3241" s="19">
        <f t="shared" si="273"/>
        <v>1369006.2200000002</v>
      </c>
      <c r="K3241" s="48"/>
      <c r="L3241" s="48"/>
      <c r="M3241" s="48"/>
      <c r="N3241" s="19">
        <f>SUMIF('2020'!B:B,B3241,'2020'!C:C)+SUMIF('2021'!B:B,B3241,'2021'!C:C)+SUMIF('2022'!B:B,B3241,'2022'!C:C)</f>
        <v>1369006.2200000002</v>
      </c>
      <c r="O3241" s="219">
        <v>44925</v>
      </c>
      <c r="P3241" s="48" t="s">
        <v>3728</v>
      </c>
    </row>
    <row r="3242" spans="1:16" x14ac:dyDescent="0.3">
      <c r="A3242" s="59">
        <f t="shared" si="274"/>
        <v>2913</v>
      </c>
      <c r="B3242" s="66" t="s">
        <v>3085</v>
      </c>
      <c r="C3242" s="184">
        <v>1971</v>
      </c>
      <c r="D3242" s="48"/>
      <c r="E3242" s="48" t="s">
        <v>3733</v>
      </c>
      <c r="F3242" s="267">
        <v>9</v>
      </c>
      <c r="G3242" s="48"/>
      <c r="H3242" s="184">
        <v>2005</v>
      </c>
      <c r="I3242" s="267" t="s">
        <v>3658</v>
      </c>
      <c r="J3242" s="19">
        <f t="shared" si="273"/>
        <v>1443772.35</v>
      </c>
      <c r="K3242" s="48"/>
      <c r="L3242" s="48"/>
      <c r="M3242" s="48"/>
      <c r="N3242" s="19">
        <f>SUMIF('2020'!B:B,B3242,'2020'!C:C)+SUMIF('2021'!B:B,B3242,'2021'!C:C)+SUMIF('2022'!B:B,B3242,'2022'!C:C)</f>
        <v>1443772.35</v>
      </c>
      <c r="O3242" s="219">
        <v>44925</v>
      </c>
      <c r="P3242" s="48" t="s">
        <v>3728</v>
      </c>
    </row>
    <row r="3243" spans="1:16" x14ac:dyDescent="0.3">
      <c r="A3243" s="59">
        <f t="shared" si="274"/>
        <v>2914</v>
      </c>
      <c r="B3243" s="66" t="s">
        <v>3086</v>
      </c>
      <c r="C3243" s="184">
        <v>1971</v>
      </c>
      <c r="D3243" s="48"/>
      <c r="E3243" s="48" t="s">
        <v>3733</v>
      </c>
      <c r="F3243" s="267">
        <v>9</v>
      </c>
      <c r="G3243" s="48"/>
      <c r="H3243" s="184">
        <v>2015.5</v>
      </c>
      <c r="I3243" s="267" t="s">
        <v>4138</v>
      </c>
      <c r="J3243" s="19">
        <f t="shared" si="273"/>
        <v>1460585.74</v>
      </c>
      <c r="K3243" s="48"/>
      <c r="L3243" s="48"/>
      <c r="M3243" s="48"/>
      <c r="N3243" s="19">
        <f>SUMIF('2020'!B:B,B3243,'2020'!C:C)+SUMIF('2021'!B:B,B3243,'2021'!C:C)+SUMIF('2022'!B:B,B3243,'2022'!C:C)</f>
        <v>1460585.74</v>
      </c>
      <c r="O3243" s="219">
        <v>44925</v>
      </c>
      <c r="P3243" s="48" t="s">
        <v>3728</v>
      </c>
    </row>
    <row r="3244" spans="1:16" x14ac:dyDescent="0.3">
      <c r="A3244" s="59">
        <f t="shared" si="274"/>
        <v>2915</v>
      </c>
      <c r="B3244" s="66" t="s">
        <v>3087</v>
      </c>
      <c r="C3244" s="184">
        <v>1970</v>
      </c>
      <c r="D3244" s="48"/>
      <c r="E3244" s="48" t="s">
        <v>3733</v>
      </c>
      <c r="F3244" s="267">
        <v>9</v>
      </c>
      <c r="G3244" s="48"/>
      <c r="H3244" s="184">
        <v>2011.7</v>
      </c>
      <c r="I3244" s="267" t="s">
        <v>3800</v>
      </c>
      <c r="J3244" s="19">
        <f t="shared" si="273"/>
        <v>1348049.16</v>
      </c>
      <c r="K3244" s="48"/>
      <c r="L3244" s="48"/>
      <c r="M3244" s="48"/>
      <c r="N3244" s="19">
        <f>SUMIF('2020'!B:B,B3244,'2020'!C:C)+SUMIF('2021'!B:B,B3244,'2021'!C:C)+SUMIF('2022'!B:B,B3244,'2022'!C:C)</f>
        <v>1348049.16</v>
      </c>
      <c r="O3244" s="219">
        <v>44925</v>
      </c>
      <c r="P3244" s="48" t="s">
        <v>3728</v>
      </c>
    </row>
    <row r="3245" spans="1:16" x14ac:dyDescent="0.3">
      <c r="A3245" s="59">
        <f t="shared" si="274"/>
        <v>2916</v>
      </c>
      <c r="B3245" s="66" t="s">
        <v>3088</v>
      </c>
      <c r="C3245" s="184">
        <v>1971</v>
      </c>
      <c r="D3245" s="48"/>
      <c r="E3245" s="48" t="s">
        <v>3733</v>
      </c>
      <c r="F3245" s="267">
        <v>9</v>
      </c>
      <c r="G3245" s="48"/>
      <c r="H3245" s="184">
        <v>1991.6</v>
      </c>
      <c r="I3245" s="267" t="s">
        <v>4139</v>
      </c>
      <c r="J3245" s="19">
        <f t="shared" si="273"/>
        <v>1422241.51</v>
      </c>
      <c r="K3245" s="48"/>
      <c r="L3245" s="48"/>
      <c r="M3245" s="48"/>
      <c r="N3245" s="19">
        <f>SUMIF('2020'!B:B,B3245,'2020'!C:C)+SUMIF('2021'!B:B,B3245,'2021'!C:C)+SUMIF('2022'!B:B,B3245,'2022'!C:C)</f>
        <v>1422241.51</v>
      </c>
      <c r="O3245" s="219">
        <v>44925</v>
      </c>
      <c r="P3245" s="48" t="s">
        <v>3728</v>
      </c>
    </row>
    <row r="3246" spans="1:16" x14ac:dyDescent="0.3">
      <c r="A3246" s="59">
        <f t="shared" si="274"/>
        <v>2917</v>
      </c>
      <c r="B3246" s="66" t="s">
        <v>3089</v>
      </c>
      <c r="C3246" s="184">
        <v>1980</v>
      </c>
      <c r="D3246" s="48"/>
      <c r="E3246" s="48" t="s">
        <v>3733</v>
      </c>
      <c r="F3246" s="267">
        <v>9</v>
      </c>
      <c r="G3246" s="48"/>
      <c r="H3246" s="184">
        <v>6080.6</v>
      </c>
      <c r="I3246" s="267" t="s">
        <v>4140</v>
      </c>
      <c r="J3246" s="19">
        <f t="shared" si="273"/>
        <v>130000</v>
      </c>
      <c r="K3246" s="48"/>
      <c r="L3246" s="48"/>
      <c r="M3246" s="48"/>
      <c r="N3246" s="19">
        <f>SUMIF('2020'!B:B,B3246,'2020'!C:C)+SUMIF('2021'!B:B,B3246,'2021'!C:C)+SUMIF('2022'!B:B,B3246,'2022'!C:C)</f>
        <v>130000</v>
      </c>
      <c r="O3246" s="219">
        <v>44925</v>
      </c>
      <c r="P3246" s="48" t="s">
        <v>3728</v>
      </c>
    </row>
    <row r="3247" spans="1:16" x14ac:dyDescent="0.3">
      <c r="A3247" s="59">
        <f t="shared" si="274"/>
        <v>2918</v>
      </c>
      <c r="B3247" s="66" t="s">
        <v>3090</v>
      </c>
      <c r="C3247" s="184">
        <v>1982</v>
      </c>
      <c r="D3247" s="48"/>
      <c r="E3247" s="48" t="s">
        <v>3733</v>
      </c>
      <c r="F3247" s="267">
        <v>9</v>
      </c>
      <c r="G3247" s="48"/>
      <c r="H3247" s="184">
        <v>6148.4</v>
      </c>
      <c r="I3247" s="267" t="s">
        <v>4141</v>
      </c>
      <c r="J3247" s="19">
        <f t="shared" si="273"/>
        <v>2069205.5599999998</v>
      </c>
      <c r="K3247" s="48"/>
      <c r="L3247" s="48"/>
      <c r="M3247" s="48"/>
      <c r="N3247" s="19">
        <f>SUMIF('2020'!B:B,B3247,'2020'!C:C)+SUMIF('2021'!B:B,B3247,'2021'!C:C)+SUMIF('2022'!B:B,B3247,'2022'!C:C)</f>
        <v>2069205.5599999998</v>
      </c>
      <c r="O3247" s="219">
        <v>44925</v>
      </c>
      <c r="P3247" s="48" t="s">
        <v>3728</v>
      </c>
    </row>
    <row r="3248" spans="1:16" x14ac:dyDescent="0.3">
      <c r="A3248" s="59">
        <f t="shared" si="274"/>
        <v>2919</v>
      </c>
      <c r="B3248" s="66" t="s">
        <v>3091</v>
      </c>
      <c r="C3248" s="184">
        <v>1967</v>
      </c>
      <c r="D3248" s="48"/>
      <c r="E3248" s="48" t="s">
        <v>3733</v>
      </c>
      <c r="F3248" s="267">
        <v>5</v>
      </c>
      <c r="G3248" s="48"/>
      <c r="H3248" s="184">
        <v>3331.7</v>
      </c>
      <c r="I3248" s="267" t="s">
        <v>4142</v>
      </c>
      <c r="J3248" s="19">
        <f t="shared" si="273"/>
        <v>925483.04</v>
      </c>
      <c r="K3248" s="48"/>
      <c r="L3248" s="48"/>
      <c r="M3248" s="48"/>
      <c r="N3248" s="19">
        <f>SUMIF('2020'!B:B,B3248,'2020'!C:C)+SUMIF('2021'!B:B,B3248,'2021'!C:C)+SUMIF('2022'!B:B,B3248,'2022'!C:C)</f>
        <v>925483.04</v>
      </c>
      <c r="O3248" s="219">
        <v>44925</v>
      </c>
      <c r="P3248" s="48" t="s">
        <v>3728</v>
      </c>
    </row>
    <row r="3249" spans="1:16" x14ac:dyDescent="0.3">
      <c r="A3249" s="59">
        <f t="shared" si="274"/>
        <v>2920</v>
      </c>
      <c r="B3249" s="66" t="s">
        <v>3092</v>
      </c>
      <c r="C3249" s="184">
        <v>1971</v>
      </c>
      <c r="D3249" s="48"/>
      <c r="E3249" s="48" t="s">
        <v>3733</v>
      </c>
      <c r="F3249" s="267">
        <v>9</v>
      </c>
      <c r="G3249" s="48"/>
      <c r="H3249" s="184">
        <v>1930</v>
      </c>
      <c r="I3249" s="267" t="s">
        <v>4131</v>
      </c>
      <c r="J3249" s="19">
        <f t="shared" ref="J3249:J3312" si="275">K3249+L3249+M3249+N3249</f>
        <v>1345534.4100000001</v>
      </c>
      <c r="K3249" s="48"/>
      <c r="L3249" s="48"/>
      <c r="M3249" s="48"/>
      <c r="N3249" s="19">
        <f>SUMIF('2020'!B:B,B3249,'2020'!C:C)+SUMIF('2021'!B:B,B3249,'2021'!C:C)+SUMIF('2022'!B:B,B3249,'2022'!C:C)</f>
        <v>1345534.4100000001</v>
      </c>
      <c r="O3249" s="219">
        <v>44925</v>
      </c>
      <c r="P3249" s="48" t="s">
        <v>3728</v>
      </c>
    </row>
    <row r="3250" spans="1:16" x14ac:dyDescent="0.3">
      <c r="A3250" s="59">
        <f t="shared" si="274"/>
        <v>2921</v>
      </c>
      <c r="B3250" s="66" t="s">
        <v>3093</v>
      </c>
      <c r="C3250" s="184">
        <v>1974</v>
      </c>
      <c r="D3250" s="48"/>
      <c r="E3250" s="48" t="s">
        <v>3733</v>
      </c>
      <c r="F3250" s="218">
        <v>5</v>
      </c>
      <c r="G3250" s="48"/>
      <c r="H3250" s="48">
        <v>5544.4</v>
      </c>
      <c r="I3250" s="218">
        <v>226</v>
      </c>
      <c r="J3250" s="19">
        <f t="shared" si="275"/>
        <v>2052735.5</v>
      </c>
      <c r="K3250" s="48"/>
      <c r="L3250" s="48"/>
      <c r="M3250" s="48"/>
      <c r="N3250" s="19">
        <f>SUMIF('2020'!B:B,B3250,'2020'!C:C)+SUMIF('2021'!B:B,B3250,'2021'!C:C)+SUMIF('2022'!B:B,B3250,'2022'!C:C)</f>
        <v>2052735.5</v>
      </c>
      <c r="O3250" s="219">
        <v>44925</v>
      </c>
      <c r="P3250" s="48" t="s">
        <v>3728</v>
      </c>
    </row>
    <row r="3251" spans="1:16" x14ac:dyDescent="0.3">
      <c r="A3251" s="59">
        <f t="shared" ref="A3251:A3314" si="276">A3250+1</f>
        <v>2922</v>
      </c>
      <c r="B3251" s="66" t="s">
        <v>3094</v>
      </c>
      <c r="C3251" s="184">
        <v>1974</v>
      </c>
      <c r="D3251" s="48"/>
      <c r="E3251" s="48" t="s">
        <v>3733</v>
      </c>
      <c r="F3251" s="267">
        <v>9</v>
      </c>
      <c r="G3251" s="48"/>
      <c r="H3251" s="184">
        <v>6040.8</v>
      </c>
      <c r="I3251" s="267" t="s">
        <v>3745</v>
      </c>
      <c r="J3251" s="19">
        <f t="shared" si="275"/>
        <v>15331241.609999999</v>
      </c>
      <c r="K3251" s="48"/>
      <c r="L3251" s="48"/>
      <c r="M3251" s="48"/>
      <c r="N3251" s="19">
        <f>SUMIF('2020'!B:B,B3251,'2020'!C:C)+SUMIF('2021'!B:B,B3251,'2021'!C:C)+SUMIF('2022'!B:B,B3251,'2022'!C:C)</f>
        <v>15331241.609999999</v>
      </c>
      <c r="O3251" s="219">
        <v>44925</v>
      </c>
      <c r="P3251" s="48" t="s">
        <v>3728</v>
      </c>
    </row>
    <row r="3252" spans="1:16" x14ac:dyDescent="0.3">
      <c r="A3252" s="59">
        <f t="shared" si="276"/>
        <v>2923</v>
      </c>
      <c r="B3252" s="66" t="s">
        <v>3096</v>
      </c>
      <c r="C3252" s="184">
        <v>1975</v>
      </c>
      <c r="D3252" s="48"/>
      <c r="E3252" s="48" t="s">
        <v>3733</v>
      </c>
      <c r="F3252" s="267">
        <v>9</v>
      </c>
      <c r="G3252" s="48"/>
      <c r="H3252" s="192">
        <v>6556.4</v>
      </c>
      <c r="I3252" s="267" t="s">
        <v>4143</v>
      </c>
      <c r="J3252" s="19">
        <f t="shared" si="275"/>
        <v>2510866.65</v>
      </c>
      <c r="K3252" s="48"/>
      <c r="L3252" s="48"/>
      <c r="M3252" s="48"/>
      <c r="N3252" s="19">
        <f>SUMIF('2020'!B:B,B3252,'2020'!C:C)+SUMIF('2021'!B:B,B3252,'2021'!C:C)+SUMIF('2022'!B:B,B3252,'2022'!C:C)</f>
        <v>2510866.65</v>
      </c>
      <c r="O3252" s="219">
        <v>44925</v>
      </c>
      <c r="P3252" s="48" t="s">
        <v>3728</v>
      </c>
    </row>
    <row r="3253" spans="1:16" x14ac:dyDescent="0.3">
      <c r="A3253" s="59">
        <f t="shared" si="276"/>
        <v>2924</v>
      </c>
      <c r="B3253" s="66" t="s">
        <v>3097</v>
      </c>
      <c r="C3253" s="184">
        <v>1976</v>
      </c>
      <c r="D3253" s="48"/>
      <c r="E3253" s="48" t="s">
        <v>3733</v>
      </c>
      <c r="F3253" s="267">
        <v>5</v>
      </c>
      <c r="G3253" s="48"/>
      <c r="H3253" s="192">
        <v>8181.3</v>
      </c>
      <c r="I3253" s="267" t="s">
        <v>4144</v>
      </c>
      <c r="J3253" s="19">
        <f t="shared" si="275"/>
        <v>2578165.0599999996</v>
      </c>
      <c r="K3253" s="48"/>
      <c r="L3253" s="48"/>
      <c r="M3253" s="48"/>
      <c r="N3253" s="19">
        <f>SUMIF('2020'!B:B,B3253,'2020'!C:C)+SUMIF('2021'!B:B,B3253,'2021'!C:C)+SUMIF('2022'!B:B,B3253,'2022'!C:C)</f>
        <v>2578165.0599999996</v>
      </c>
      <c r="O3253" s="219">
        <v>44925</v>
      </c>
      <c r="P3253" s="48" t="s">
        <v>3728</v>
      </c>
    </row>
    <row r="3254" spans="1:16" x14ac:dyDescent="0.3">
      <c r="A3254" s="59">
        <f t="shared" si="276"/>
        <v>2925</v>
      </c>
      <c r="B3254" s="66" t="s">
        <v>3098</v>
      </c>
      <c r="C3254" s="184">
        <v>1976</v>
      </c>
      <c r="D3254" s="48"/>
      <c r="E3254" s="48" t="s">
        <v>3733</v>
      </c>
      <c r="F3254" s="267">
        <v>5</v>
      </c>
      <c r="G3254" s="48"/>
      <c r="H3254" s="192">
        <v>4122.3</v>
      </c>
      <c r="I3254" s="267" t="s">
        <v>3672</v>
      </c>
      <c r="J3254" s="19">
        <f t="shared" si="275"/>
        <v>1677795.8900000001</v>
      </c>
      <c r="K3254" s="48"/>
      <c r="L3254" s="48"/>
      <c r="M3254" s="48"/>
      <c r="N3254" s="19">
        <f>SUMIF('2020'!B:B,B3254,'2020'!C:C)+SUMIF('2021'!B:B,B3254,'2021'!C:C)+SUMIF('2022'!B:B,B3254,'2022'!C:C)</f>
        <v>1677795.8900000001</v>
      </c>
      <c r="O3254" s="219">
        <v>44925</v>
      </c>
      <c r="P3254" s="48" t="s">
        <v>3728</v>
      </c>
    </row>
    <row r="3255" spans="1:16" x14ac:dyDescent="0.3">
      <c r="A3255" s="59">
        <f t="shared" si="276"/>
        <v>2926</v>
      </c>
      <c r="B3255" s="66" t="s">
        <v>3099</v>
      </c>
      <c r="C3255" s="184">
        <v>1976</v>
      </c>
      <c r="D3255" s="48"/>
      <c r="E3255" s="48" t="s">
        <v>3733</v>
      </c>
      <c r="F3255" s="267">
        <v>5</v>
      </c>
      <c r="G3255" s="48"/>
      <c r="H3255" s="192">
        <v>4091.3</v>
      </c>
      <c r="I3255" s="267" t="s">
        <v>4145</v>
      </c>
      <c r="J3255" s="19">
        <f t="shared" si="275"/>
        <v>1599914.85</v>
      </c>
      <c r="K3255" s="48"/>
      <c r="L3255" s="48"/>
      <c r="M3255" s="48"/>
      <c r="N3255" s="19">
        <f>SUMIF('2020'!B:B,B3255,'2020'!C:C)+SUMIF('2021'!B:B,B3255,'2021'!C:C)+SUMIF('2022'!B:B,B3255,'2022'!C:C)</f>
        <v>1599914.85</v>
      </c>
      <c r="O3255" s="219">
        <v>44925</v>
      </c>
      <c r="P3255" s="48" t="s">
        <v>3728</v>
      </c>
    </row>
    <row r="3256" spans="1:16" x14ac:dyDescent="0.3">
      <c r="A3256" s="59">
        <f t="shared" si="276"/>
        <v>2927</v>
      </c>
      <c r="B3256" s="66" t="s">
        <v>3100</v>
      </c>
      <c r="C3256" s="184">
        <v>1972</v>
      </c>
      <c r="D3256" s="48"/>
      <c r="E3256" s="48" t="s">
        <v>3733</v>
      </c>
      <c r="F3256" s="218">
        <v>5</v>
      </c>
      <c r="G3256" s="48"/>
      <c r="H3256" s="48">
        <v>4657.5</v>
      </c>
      <c r="I3256" s="218">
        <v>196</v>
      </c>
      <c r="J3256" s="19">
        <f t="shared" si="275"/>
        <v>2112462.35</v>
      </c>
      <c r="K3256" s="48"/>
      <c r="L3256" s="48"/>
      <c r="M3256" s="48"/>
      <c r="N3256" s="19">
        <f>SUMIF('2020'!B:B,B3256,'2020'!C:C)+SUMIF('2021'!B:B,B3256,'2021'!C:C)+SUMIF('2022'!B:B,B3256,'2022'!C:C)</f>
        <v>2112462.35</v>
      </c>
      <c r="O3256" s="219">
        <v>44925</v>
      </c>
      <c r="P3256" s="48" t="s">
        <v>3728</v>
      </c>
    </row>
    <row r="3257" spans="1:16" x14ac:dyDescent="0.3">
      <c r="A3257" s="59">
        <f t="shared" si="276"/>
        <v>2928</v>
      </c>
      <c r="B3257" s="66" t="s">
        <v>3101</v>
      </c>
      <c r="C3257" s="184">
        <v>1976</v>
      </c>
      <c r="D3257" s="48"/>
      <c r="E3257" s="48" t="s">
        <v>3733</v>
      </c>
      <c r="F3257" s="218">
        <v>5</v>
      </c>
      <c r="G3257" s="48"/>
      <c r="H3257" s="48">
        <v>2725.9</v>
      </c>
      <c r="I3257" s="218">
        <v>110</v>
      </c>
      <c r="J3257" s="19">
        <f t="shared" si="275"/>
        <v>20718368.379999999</v>
      </c>
      <c r="K3257" s="48"/>
      <c r="L3257" s="48"/>
      <c r="M3257" s="48"/>
      <c r="N3257" s="19">
        <f>SUMIF('2020'!B:B,B3257,'2020'!C:C)+SUMIF('2021'!B:B,B3257,'2021'!C:C)+SUMIF('2022'!B:B,B3257,'2022'!C:C)</f>
        <v>20718368.379999999</v>
      </c>
      <c r="O3257" s="219">
        <v>44925</v>
      </c>
      <c r="P3257" s="48" t="s">
        <v>3728</v>
      </c>
    </row>
    <row r="3258" spans="1:16" x14ac:dyDescent="0.3">
      <c r="A3258" s="59">
        <f t="shared" si="276"/>
        <v>2929</v>
      </c>
      <c r="B3258" s="66" t="s">
        <v>3103</v>
      </c>
      <c r="C3258" s="184">
        <v>1972</v>
      </c>
      <c r="D3258" s="48"/>
      <c r="E3258" s="48" t="s">
        <v>3733</v>
      </c>
      <c r="F3258" s="267">
        <v>5</v>
      </c>
      <c r="G3258" s="48"/>
      <c r="H3258" s="192">
        <v>3093.2</v>
      </c>
      <c r="I3258" s="267" t="s">
        <v>4146</v>
      </c>
      <c r="J3258" s="19">
        <f t="shared" si="275"/>
        <v>13719909.380000001</v>
      </c>
      <c r="K3258" s="48"/>
      <c r="L3258" s="48"/>
      <c r="M3258" s="48"/>
      <c r="N3258" s="19">
        <f>SUMIF('2020'!B:B,B3258,'2020'!C:C)+SUMIF('2021'!B:B,B3258,'2021'!C:C)+SUMIF('2022'!B:B,B3258,'2022'!C:C)</f>
        <v>13719909.380000001</v>
      </c>
      <c r="O3258" s="219">
        <v>44925</v>
      </c>
      <c r="P3258" s="48" t="s">
        <v>3728</v>
      </c>
    </row>
    <row r="3259" spans="1:16" x14ac:dyDescent="0.3">
      <c r="A3259" s="59">
        <f t="shared" si="276"/>
        <v>2930</v>
      </c>
      <c r="B3259" s="66" t="s">
        <v>3104</v>
      </c>
      <c r="C3259" s="184">
        <v>1972</v>
      </c>
      <c r="D3259" s="48"/>
      <c r="E3259" s="48" t="s">
        <v>3729</v>
      </c>
      <c r="F3259" s="267">
        <v>5</v>
      </c>
      <c r="G3259" s="48"/>
      <c r="H3259" s="192">
        <v>4314.1000000000004</v>
      </c>
      <c r="I3259" s="267" t="s">
        <v>4147</v>
      </c>
      <c r="J3259" s="19">
        <f t="shared" si="275"/>
        <v>33895558.420000002</v>
      </c>
      <c r="K3259" s="48"/>
      <c r="L3259" s="48"/>
      <c r="M3259" s="48"/>
      <c r="N3259" s="19">
        <f>SUMIF('2020'!B:B,B3259,'2020'!C:C)+SUMIF('2021'!B:B,B3259,'2021'!C:C)+SUMIF('2022'!B:B,B3259,'2022'!C:C)</f>
        <v>33895558.420000002</v>
      </c>
      <c r="O3259" s="219">
        <v>44925</v>
      </c>
      <c r="P3259" s="48" t="s">
        <v>3728</v>
      </c>
    </row>
    <row r="3260" spans="1:16" x14ac:dyDescent="0.3">
      <c r="A3260" s="59">
        <f t="shared" si="276"/>
        <v>2931</v>
      </c>
      <c r="B3260" s="66" t="s">
        <v>3106</v>
      </c>
      <c r="C3260" s="184">
        <v>1972</v>
      </c>
      <c r="D3260" s="48"/>
      <c r="E3260" s="48" t="s">
        <v>3733</v>
      </c>
      <c r="F3260" s="267">
        <v>5</v>
      </c>
      <c r="G3260" s="48"/>
      <c r="H3260" s="192">
        <v>1333.8</v>
      </c>
      <c r="I3260" s="267" t="s">
        <v>3679</v>
      </c>
      <c r="J3260" s="19">
        <f t="shared" si="275"/>
        <v>1063308.03</v>
      </c>
      <c r="K3260" s="48"/>
      <c r="L3260" s="48"/>
      <c r="M3260" s="48"/>
      <c r="N3260" s="19">
        <f>SUMIF('2020'!B:B,B3260,'2020'!C:C)+SUMIF('2021'!B:B,B3260,'2021'!C:C)+SUMIF('2022'!B:B,B3260,'2022'!C:C)</f>
        <v>1063308.03</v>
      </c>
      <c r="O3260" s="219">
        <v>44925</v>
      </c>
      <c r="P3260" s="48" t="s">
        <v>3728</v>
      </c>
    </row>
    <row r="3261" spans="1:16" x14ac:dyDescent="0.3">
      <c r="A3261" s="59">
        <f t="shared" si="276"/>
        <v>2932</v>
      </c>
      <c r="B3261" s="66" t="s">
        <v>3107</v>
      </c>
      <c r="C3261" s="184">
        <v>1972</v>
      </c>
      <c r="D3261" s="48"/>
      <c r="E3261" s="48" t="s">
        <v>3729</v>
      </c>
      <c r="F3261" s="267">
        <v>5</v>
      </c>
      <c r="G3261" s="48"/>
      <c r="H3261" s="192">
        <v>4387.6000000000004</v>
      </c>
      <c r="I3261" s="267" t="s">
        <v>4148</v>
      </c>
      <c r="J3261" s="19">
        <f t="shared" si="275"/>
        <v>1736704.34</v>
      </c>
      <c r="K3261" s="48"/>
      <c r="L3261" s="48"/>
      <c r="M3261" s="48"/>
      <c r="N3261" s="19">
        <f>SUMIF('2020'!B:B,B3261,'2020'!C:C)+SUMIF('2021'!B:B,B3261,'2021'!C:C)+SUMIF('2022'!B:B,B3261,'2022'!C:C)</f>
        <v>1736704.34</v>
      </c>
      <c r="O3261" s="219">
        <v>44925</v>
      </c>
      <c r="P3261" s="48" t="s">
        <v>3728</v>
      </c>
    </row>
    <row r="3262" spans="1:16" x14ac:dyDescent="0.3">
      <c r="A3262" s="59">
        <f t="shared" si="276"/>
        <v>2933</v>
      </c>
      <c r="B3262" s="66" t="s">
        <v>3108</v>
      </c>
      <c r="C3262" s="184">
        <v>1973</v>
      </c>
      <c r="D3262" s="48"/>
      <c r="E3262" s="48" t="s">
        <v>3733</v>
      </c>
      <c r="F3262" s="267">
        <v>5</v>
      </c>
      <c r="G3262" s="48"/>
      <c r="H3262" s="192">
        <v>1359.9</v>
      </c>
      <c r="I3262" s="267" t="s">
        <v>4149</v>
      </c>
      <c r="J3262" s="19">
        <f t="shared" si="275"/>
        <v>1072187.2</v>
      </c>
      <c r="K3262" s="48"/>
      <c r="L3262" s="48"/>
      <c r="M3262" s="48"/>
      <c r="N3262" s="19">
        <f>SUMIF('2020'!B:B,B3262,'2020'!C:C)+SUMIF('2021'!B:B,B3262,'2021'!C:C)+SUMIF('2022'!B:B,B3262,'2022'!C:C)</f>
        <v>1072187.2</v>
      </c>
      <c r="O3262" s="219">
        <v>44925</v>
      </c>
      <c r="P3262" s="48" t="s">
        <v>3728</v>
      </c>
    </row>
    <row r="3263" spans="1:16" x14ac:dyDescent="0.3">
      <c r="A3263" s="59">
        <f t="shared" si="276"/>
        <v>2934</v>
      </c>
      <c r="B3263" s="66" t="s">
        <v>3109</v>
      </c>
      <c r="C3263" s="184">
        <v>1972</v>
      </c>
      <c r="D3263" s="48"/>
      <c r="E3263" s="48" t="s">
        <v>3729</v>
      </c>
      <c r="F3263" s="267">
        <v>5</v>
      </c>
      <c r="G3263" s="48"/>
      <c r="H3263" s="184">
        <v>4452.8</v>
      </c>
      <c r="I3263" s="267" t="s">
        <v>4150</v>
      </c>
      <c r="J3263" s="19">
        <f t="shared" si="275"/>
        <v>1736952.35</v>
      </c>
      <c r="K3263" s="48"/>
      <c r="L3263" s="48"/>
      <c r="M3263" s="48"/>
      <c r="N3263" s="19">
        <f>SUMIF('2020'!B:B,B3263,'2020'!C:C)+SUMIF('2021'!B:B,B3263,'2021'!C:C)+SUMIF('2022'!B:B,B3263,'2022'!C:C)</f>
        <v>1736952.35</v>
      </c>
      <c r="O3263" s="219">
        <v>44925</v>
      </c>
      <c r="P3263" s="48" t="s">
        <v>3728</v>
      </c>
    </row>
    <row r="3264" spans="1:16" x14ac:dyDescent="0.3">
      <c r="A3264" s="59">
        <f t="shared" si="276"/>
        <v>2935</v>
      </c>
      <c r="B3264" s="66" t="s">
        <v>3110</v>
      </c>
      <c r="C3264" s="184">
        <v>1961</v>
      </c>
      <c r="D3264" s="48"/>
      <c r="E3264" s="48" t="s">
        <v>3733</v>
      </c>
      <c r="F3264" s="218">
        <v>4</v>
      </c>
      <c r="G3264" s="48"/>
      <c r="H3264" s="48">
        <v>2157.4</v>
      </c>
      <c r="I3264" s="218">
        <v>14</v>
      </c>
      <c r="J3264" s="19">
        <f t="shared" si="275"/>
        <v>1342765.49</v>
      </c>
      <c r="K3264" s="48"/>
      <c r="L3264" s="48"/>
      <c r="M3264" s="48"/>
      <c r="N3264" s="19">
        <f>SUMIF('2020'!B:B,B3264,'2020'!C:C)+SUMIF('2021'!B:B,B3264,'2021'!C:C)+SUMIF('2022'!B:B,B3264,'2022'!C:C)</f>
        <v>1342765.49</v>
      </c>
      <c r="O3264" s="219">
        <v>44925</v>
      </c>
      <c r="P3264" s="48" t="s">
        <v>3728</v>
      </c>
    </row>
    <row r="3265" spans="1:16" x14ac:dyDescent="0.3">
      <c r="A3265" s="59">
        <f t="shared" si="276"/>
        <v>2936</v>
      </c>
      <c r="B3265" s="66" t="s">
        <v>3111</v>
      </c>
      <c r="C3265" s="184">
        <v>1969</v>
      </c>
      <c r="D3265" s="48"/>
      <c r="E3265" s="48" t="s">
        <v>3733</v>
      </c>
      <c r="F3265" s="267">
        <v>5</v>
      </c>
      <c r="G3265" s="48"/>
      <c r="H3265" s="192">
        <v>2258.1</v>
      </c>
      <c r="I3265" s="267" t="s">
        <v>3712</v>
      </c>
      <c r="J3265" s="19">
        <f t="shared" si="275"/>
        <v>14420546.260000002</v>
      </c>
      <c r="K3265" s="48"/>
      <c r="L3265" s="48"/>
      <c r="M3265" s="48"/>
      <c r="N3265" s="19">
        <f>SUMIF('2020'!B:B,B3265,'2020'!C:C)+SUMIF('2021'!B:B,B3265,'2021'!C:C)+SUMIF('2022'!B:B,B3265,'2022'!C:C)</f>
        <v>14420546.260000002</v>
      </c>
      <c r="O3265" s="219">
        <v>44925</v>
      </c>
      <c r="P3265" s="48" t="s">
        <v>3728</v>
      </c>
    </row>
    <row r="3266" spans="1:16" x14ac:dyDescent="0.3">
      <c r="A3266" s="59">
        <f t="shared" si="276"/>
        <v>2937</v>
      </c>
      <c r="B3266" s="66" t="s">
        <v>3112</v>
      </c>
      <c r="C3266" s="184">
        <v>1969</v>
      </c>
      <c r="D3266" s="48"/>
      <c r="E3266" s="48" t="s">
        <v>3733</v>
      </c>
      <c r="F3266" s="267">
        <v>5</v>
      </c>
      <c r="G3266" s="48"/>
      <c r="H3266" s="184">
        <v>3708.3</v>
      </c>
      <c r="I3266" s="267" t="s">
        <v>4151</v>
      </c>
      <c r="J3266" s="19">
        <f t="shared" si="275"/>
        <v>26264385.41</v>
      </c>
      <c r="K3266" s="48"/>
      <c r="L3266" s="48"/>
      <c r="M3266" s="48"/>
      <c r="N3266" s="19">
        <f>SUMIF('2020'!B:B,B3266,'2020'!C:C)+SUMIF('2021'!B:B,B3266,'2021'!C:C)+SUMIF('2022'!B:B,B3266,'2022'!C:C)</f>
        <v>26264385.41</v>
      </c>
      <c r="O3266" s="219">
        <v>44925</v>
      </c>
      <c r="P3266" s="48" t="s">
        <v>3728</v>
      </c>
    </row>
    <row r="3267" spans="1:16" x14ac:dyDescent="0.3">
      <c r="A3267" s="59">
        <f t="shared" si="276"/>
        <v>2938</v>
      </c>
      <c r="B3267" s="66" t="s">
        <v>3113</v>
      </c>
      <c r="C3267" s="184">
        <v>1969</v>
      </c>
      <c r="D3267" s="48"/>
      <c r="E3267" s="48" t="s">
        <v>3733</v>
      </c>
      <c r="F3267" s="267">
        <v>5</v>
      </c>
      <c r="G3267" s="48"/>
      <c r="H3267" s="184">
        <v>2575.6</v>
      </c>
      <c r="I3267" s="267" t="s">
        <v>3717</v>
      </c>
      <c r="J3267" s="19">
        <f t="shared" si="275"/>
        <v>8126714.6499999994</v>
      </c>
      <c r="K3267" s="48"/>
      <c r="L3267" s="48"/>
      <c r="M3267" s="48"/>
      <c r="N3267" s="19">
        <f>SUMIF('2020'!B:B,B3267,'2020'!C:C)+SUMIF('2021'!B:B,B3267,'2021'!C:C)+SUMIF('2022'!B:B,B3267,'2022'!C:C)</f>
        <v>8126714.6499999994</v>
      </c>
      <c r="O3267" s="219">
        <v>44925</v>
      </c>
      <c r="P3267" s="48" t="s">
        <v>3728</v>
      </c>
    </row>
    <row r="3268" spans="1:16" x14ac:dyDescent="0.3">
      <c r="A3268" s="59">
        <f t="shared" si="276"/>
        <v>2939</v>
      </c>
      <c r="B3268" s="66" t="s">
        <v>3115</v>
      </c>
      <c r="C3268" s="184">
        <v>1970</v>
      </c>
      <c r="D3268" s="48"/>
      <c r="E3268" s="48" t="s">
        <v>3733</v>
      </c>
      <c r="F3268" s="267">
        <v>9</v>
      </c>
      <c r="G3268" s="48"/>
      <c r="H3268" s="184">
        <v>1971.1</v>
      </c>
      <c r="I3268" s="267" t="s">
        <v>3698</v>
      </c>
      <c r="J3268" s="19">
        <f t="shared" si="275"/>
        <v>20399779.059999999</v>
      </c>
      <c r="K3268" s="48"/>
      <c r="L3268" s="48"/>
      <c r="M3268" s="48"/>
      <c r="N3268" s="19">
        <f>SUMIF('2020'!B:B,B3268,'2020'!C:C)+SUMIF('2021'!B:B,B3268,'2021'!C:C)+SUMIF('2022'!B:B,B3268,'2022'!C:C)</f>
        <v>20399779.059999999</v>
      </c>
      <c r="O3268" s="219">
        <v>44925</v>
      </c>
      <c r="P3268" s="48" t="s">
        <v>3728</v>
      </c>
    </row>
    <row r="3269" spans="1:16" x14ac:dyDescent="0.3">
      <c r="A3269" s="59">
        <f t="shared" si="276"/>
        <v>2940</v>
      </c>
      <c r="B3269" s="66" t="s">
        <v>3117</v>
      </c>
      <c r="C3269" s="184">
        <v>1969</v>
      </c>
      <c r="D3269" s="48"/>
      <c r="E3269" s="48" t="s">
        <v>3733</v>
      </c>
      <c r="F3269" s="267">
        <v>9</v>
      </c>
      <c r="G3269" s="48"/>
      <c r="H3269" s="184">
        <v>1971.2</v>
      </c>
      <c r="I3269" s="267" t="s">
        <v>4152</v>
      </c>
      <c r="J3269" s="19">
        <f t="shared" si="275"/>
        <v>18665623.640000001</v>
      </c>
      <c r="K3269" s="48"/>
      <c r="L3269" s="48"/>
      <c r="M3269" s="48"/>
      <c r="N3269" s="19">
        <f>SUMIF('2020'!B:B,B3269,'2020'!C:C)+SUMIF('2021'!B:B,B3269,'2021'!C:C)+SUMIF('2022'!B:B,B3269,'2022'!C:C)</f>
        <v>18665623.640000001</v>
      </c>
      <c r="O3269" s="219">
        <v>44925</v>
      </c>
      <c r="P3269" s="48" t="s">
        <v>3728</v>
      </c>
    </row>
    <row r="3270" spans="1:16" x14ac:dyDescent="0.3">
      <c r="A3270" s="59">
        <f t="shared" si="276"/>
        <v>2941</v>
      </c>
      <c r="B3270" s="66" t="s">
        <v>3119</v>
      </c>
      <c r="C3270" s="184">
        <v>1969</v>
      </c>
      <c r="D3270" s="48"/>
      <c r="E3270" s="48" t="s">
        <v>3733</v>
      </c>
      <c r="F3270" s="218">
        <v>9</v>
      </c>
      <c r="G3270" s="48"/>
      <c r="H3270" s="48">
        <v>1968.7</v>
      </c>
      <c r="I3270" s="218">
        <v>64</v>
      </c>
      <c r="J3270" s="19">
        <f t="shared" si="275"/>
        <v>1360077.8399999999</v>
      </c>
      <c r="K3270" s="48"/>
      <c r="L3270" s="48"/>
      <c r="M3270" s="48"/>
      <c r="N3270" s="19">
        <f>SUMIF('2020'!B:B,B3270,'2020'!C:C)+SUMIF('2021'!B:B,B3270,'2021'!C:C)+SUMIF('2022'!B:B,B3270,'2022'!C:C)</f>
        <v>1360077.8399999999</v>
      </c>
      <c r="O3270" s="219">
        <v>44925</v>
      </c>
      <c r="P3270" s="48" t="s">
        <v>3728</v>
      </c>
    </row>
    <row r="3271" spans="1:16" x14ac:dyDescent="0.3">
      <c r="A3271" s="59">
        <f t="shared" si="276"/>
        <v>2942</v>
      </c>
      <c r="B3271" s="66" t="s">
        <v>3120</v>
      </c>
      <c r="C3271" s="184">
        <v>1969</v>
      </c>
      <c r="D3271" s="48"/>
      <c r="E3271" s="48" t="s">
        <v>3733</v>
      </c>
      <c r="F3271" s="267">
        <v>5</v>
      </c>
      <c r="G3271" s="48"/>
      <c r="H3271" s="184">
        <v>2570.6</v>
      </c>
      <c r="I3271" s="267" t="s">
        <v>4138</v>
      </c>
      <c r="J3271" s="19">
        <f t="shared" si="275"/>
        <v>18029469.650000002</v>
      </c>
      <c r="K3271" s="48"/>
      <c r="L3271" s="48"/>
      <c r="M3271" s="48"/>
      <c r="N3271" s="19">
        <f>SUMIF('2020'!B:B,B3271,'2020'!C:C)+SUMIF('2021'!B:B,B3271,'2021'!C:C)+SUMIF('2022'!B:B,B3271,'2022'!C:C)</f>
        <v>18029469.650000002</v>
      </c>
      <c r="O3271" s="219">
        <v>44925</v>
      </c>
      <c r="P3271" s="48" t="s">
        <v>3728</v>
      </c>
    </row>
    <row r="3272" spans="1:16" x14ac:dyDescent="0.3">
      <c r="A3272" s="59">
        <f t="shared" si="276"/>
        <v>2943</v>
      </c>
      <c r="B3272" s="66" t="s">
        <v>3121</v>
      </c>
      <c r="C3272" s="184">
        <v>1969</v>
      </c>
      <c r="D3272" s="48"/>
      <c r="E3272" s="48" t="s">
        <v>3733</v>
      </c>
      <c r="F3272" s="267">
        <v>5</v>
      </c>
      <c r="G3272" s="48"/>
      <c r="H3272" s="184">
        <v>2554.9</v>
      </c>
      <c r="I3272" s="267" t="s">
        <v>3661</v>
      </c>
      <c r="J3272" s="19">
        <f t="shared" si="275"/>
        <v>15063883.059999999</v>
      </c>
      <c r="K3272" s="48"/>
      <c r="L3272" s="48"/>
      <c r="M3272" s="48"/>
      <c r="N3272" s="19">
        <f>SUMIF('2020'!B:B,B3272,'2020'!C:C)+SUMIF('2021'!B:B,B3272,'2021'!C:C)+SUMIF('2022'!B:B,B3272,'2022'!C:C)</f>
        <v>15063883.059999999</v>
      </c>
      <c r="O3272" s="219">
        <v>44925</v>
      </c>
      <c r="P3272" s="48" t="s">
        <v>3728</v>
      </c>
    </row>
    <row r="3273" spans="1:16" x14ac:dyDescent="0.3">
      <c r="A3273" s="59">
        <f t="shared" si="276"/>
        <v>2944</v>
      </c>
      <c r="B3273" s="66" t="s">
        <v>3122</v>
      </c>
      <c r="C3273" s="184">
        <v>1970</v>
      </c>
      <c r="D3273" s="48"/>
      <c r="E3273" s="48" t="s">
        <v>3733</v>
      </c>
      <c r="F3273" s="267">
        <v>5</v>
      </c>
      <c r="G3273" s="48"/>
      <c r="H3273" s="184">
        <v>2208.3000000000002</v>
      </c>
      <c r="I3273" s="267" t="s">
        <v>3698</v>
      </c>
      <c r="J3273" s="19">
        <f t="shared" si="275"/>
        <v>13181693.619999999</v>
      </c>
      <c r="K3273" s="48"/>
      <c r="L3273" s="48"/>
      <c r="M3273" s="48"/>
      <c r="N3273" s="19">
        <f>SUMIF('2020'!B:B,B3273,'2020'!C:C)+SUMIF('2021'!B:B,B3273,'2021'!C:C)+SUMIF('2022'!B:B,B3273,'2022'!C:C)</f>
        <v>13181693.619999999</v>
      </c>
      <c r="O3273" s="219">
        <v>44925</v>
      </c>
      <c r="P3273" s="48" t="s">
        <v>3728</v>
      </c>
    </row>
    <row r="3274" spans="1:16" x14ac:dyDescent="0.3">
      <c r="A3274" s="59">
        <f t="shared" si="276"/>
        <v>2945</v>
      </c>
      <c r="B3274" s="66" t="s">
        <v>3123</v>
      </c>
      <c r="C3274" s="184">
        <v>1988</v>
      </c>
      <c r="D3274" s="48"/>
      <c r="E3274" s="48" t="s">
        <v>3733</v>
      </c>
      <c r="F3274" s="267">
        <v>9</v>
      </c>
      <c r="G3274" s="48"/>
      <c r="H3274" s="184">
        <v>5343.7</v>
      </c>
      <c r="I3274" s="267" t="s">
        <v>3676</v>
      </c>
      <c r="J3274" s="19">
        <f t="shared" si="275"/>
        <v>1841139.17</v>
      </c>
      <c r="K3274" s="48"/>
      <c r="L3274" s="48"/>
      <c r="M3274" s="48"/>
      <c r="N3274" s="19">
        <f>SUMIF('2020'!B:B,B3274,'2020'!C:C)+SUMIF('2021'!B:B,B3274,'2021'!C:C)+SUMIF('2022'!B:B,B3274,'2022'!C:C)</f>
        <v>1841139.17</v>
      </c>
      <c r="O3274" s="219">
        <v>44925</v>
      </c>
      <c r="P3274" s="48" t="s">
        <v>3728</v>
      </c>
    </row>
    <row r="3275" spans="1:16" x14ac:dyDescent="0.3">
      <c r="A3275" s="59">
        <f t="shared" si="276"/>
        <v>2946</v>
      </c>
      <c r="B3275" s="66" t="s">
        <v>3124</v>
      </c>
      <c r="C3275" s="184">
        <v>1989</v>
      </c>
      <c r="D3275" s="48"/>
      <c r="E3275" s="48" t="s">
        <v>3733</v>
      </c>
      <c r="F3275" s="267">
        <v>9</v>
      </c>
      <c r="G3275" s="48"/>
      <c r="H3275" s="192">
        <v>1988.5</v>
      </c>
      <c r="I3275" s="267" t="s">
        <v>4152</v>
      </c>
      <c r="J3275" s="19">
        <f t="shared" si="275"/>
        <v>1062909.8</v>
      </c>
      <c r="K3275" s="48"/>
      <c r="L3275" s="48"/>
      <c r="M3275" s="48"/>
      <c r="N3275" s="19">
        <f>SUMIF('2020'!B:B,B3275,'2020'!C:C)+SUMIF('2021'!B:B,B3275,'2021'!C:C)+SUMIF('2022'!B:B,B3275,'2022'!C:C)</f>
        <v>1062909.8</v>
      </c>
      <c r="O3275" s="219">
        <v>44925</v>
      </c>
      <c r="P3275" s="48" t="s">
        <v>3728</v>
      </c>
    </row>
    <row r="3276" spans="1:16" x14ac:dyDescent="0.3">
      <c r="A3276" s="59">
        <f t="shared" si="276"/>
        <v>2947</v>
      </c>
      <c r="B3276" s="66" t="s">
        <v>3125</v>
      </c>
      <c r="C3276" s="184">
        <v>1969</v>
      </c>
      <c r="D3276" s="48"/>
      <c r="E3276" s="48" t="s">
        <v>3733</v>
      </c>
      <c r="F3276" s="267">
        <v>5</v>
      </c>
      <c r="G3276" s="48"/>
      <c r="H3276" s="192">
        <v>2019.2</v>
      </c>
      <c r="I3276" s="267" t="s">
        <v>3684</v>
      </c>
      <c r="J3276" s="19">
        <f t="shared" si="275"/>
        <v>12632112.440000001</v>
      </c>
      <c r="K3276" s="48"/>
      <c r="L3276" s="48"/>
      <c r="M3276" s="48"/>
      <c r="N3276" s="19">
        <f>SUMIF('2020'!B:B,B3276,'2020'!C:C)+SUMIF('2021'!B:B,B3276,'2021'!C:C)+SUMIF('2022'!B:B,B3276,'2022'!C:C)</f>
        <v>12632112.440000001</v>
      </c>
      <c r="O3276" s="219">
        <v>44925</v>
      </c>
      <c r="P3276" s="48" t="s">
        <v>3728</v>
      </c>
    </row>
    <row r="3277" spans="1:16" x14ac:dyDescent="0.3">
      <c r="A3277" s="59">
        <f t="shared" si="276"/>
        <v>2948</v>
      </c>
      <c r="B3277" s="66" t="s">
        <v>3127</v>
      </c>
      <c r="C3277" s="184">
        <v>1969</v>
      </c>
      <c r="D3277" s="48"/>
      <c r="E3277" s="48" t="s">
        <v>3733</v>
      </c>
      <c r="F3277" s="267">
        <v>5</v>
      </c>
      <c r="G3277" s="48"/>
      <c r="H3277" s="192">
        <v>2760</v>
      </c>
      <c r="I3277" s="267" t="s">
        <v>3675</v>
      </c>
      <c r="J3277" s="19">
        <f t="shared" si="275"/>
        <v>1929456.39</v>
      </c>
      <c r="K3277" s="48"/>
      <c r="L3277" s="48"/>
      <c r="M3277" s="48"/>
      <c r="N3277" s="19">
        <f>SUMIF('2020'!B:B,B3277,'2020'!C:C)+SUMIF('2021'!B:B,B3277,'2021'!C:C)+SUMIF('2022'!B:B,B3277,'2022'!C:C)</f>
        <v>1929456.39</v>
      </c>
      <c r="O3277" s="219">
        <v>44925</v>
      </c>
      <c r="P3277" s="48" t="s">
        <v>3728</v>
      </c>
    </row>
    <row r="3278" spans="1:16" x14ac:dyDescent="0.3">
      <c r="A3278" s="59">
        <f t="shared" si="276"/>
        <v>2949</v>
      </c>
      <c r="B3278" s="66" t="s">
        <v>3128</v>
      </c>
      <c r="C3278" s="184">
        <v>1968</v>
      </c>
      <c r="D3278" s="48"/>
      <c r="E3278" s="48" t="s">
        <v>3733</v>
      </c>
      <c r="F3278" s="218">
        <v>3</v>
      </c>
      <c r="G3278" s="48"/>
      <c r="H3278" s="184">
        <v>957.2</v>
      </c>
      <c r="I3278" s="218">
        <v>58</v>
      </c>
      <c r="J3278" s="19">
        <f t="shared" si="275"/>
        <v>1578024.2</v>
      </c>
      <c r="K3278" s="48"/>
      <c r="L3278" s="48"/>
      <c r="M3278" s="48"/>
      <c r="N3278" s="19">
        <f>SUMIF('2020'!B:B,B3278,'2020'!C:C)+SUMIF('2021'!B:B,B3278,'2021'!C:C)+SUMIF('2022'!B:B,B3278,'2022'!C:C)</f>
        <v>1578024.2</v>
      </c>
      <c r="O3278" s="219">
        <v>44925</v>
      </c>
      <c r="P3278" s="48" t="s">
        <v>3728</v>
      </c>
    </row>
    <row r="3279" spans="1:16" x14ac:dyDescent="0.3">
      <c r="A3279" s="59">
        <f t="shared" si="276"/>
        <v>2950</v>
      </c>
      <c r="B3279" s="66" t="s">
        <v>3129</v>
      </c>
      <c r="C3279" s="184">
        <v>1960</v>
      </c>
      <c r="D3279" s="48"/>
      <c r="E3279" s="48" t="s">
        <v>3733</v>
      </c>
      <c r="F3279" s="218">
        <v>2</v>
      </c>
      <c r="G3279" s="48"/>
      <c r="H3279" s="48">
        <v>639.4</v>
      </c>
      <c r="I3279" s="218">
        <v>42</v>
      </c>
      <c r="J3279" s="19">
        <f t="shared" si="275"/>
        <v>1112817.0900000001</v>
      </c>
      <c r="K3279" s="48"/>
      <c r="L3279" s="48"/>
      <c r="M3279" s="48"/>
      <c r="N3279" s="19">
        <f>SUMIF('2020'!B:B,B3279,'2020'!C:C)+SUMIF('2021'!B:B,B3279,'2021'!C:C)+SUMIF('2022'!B:B,B3279,'2022'!C:C)</f>
        <v>1112817.0900000001</v>
      </c>
      <c r="O3279" s="219">
        <v>44925</v>
      </c>
      <c r="P3279" s="48" t="s">
        <v>3728</v>
      </c>
    </row>
    <row r="3280" spans="1:16" x14ac:dyDescent="0.3">
      <c r="A3280" s="59">
        <f t="shared" si="276"/>
        <v>2951</v>
      </c>
      <c r="B3280" s="66" t="s">
        <v>3130</v>
      </c>
      <c r="C3280" s="184">
        <v>1960</v>
      </c>
      <c r="D3280" s="48"/>
      <c r="E3280" s="48" t="s">
        <v>3733</v>
      </c>
      <c r="F3280" s="267">
        <v>2</v>
      </c>
      <c r="G3280" s="48"/>
      <c r="H3280" s="184">
        <v>636</v>
      </c>
      <c r="I3280" s="267" t="s">
        <v>3651</v>
      </c>
      <c r="J3280" s="19">
        <f t="shared" si="275"/>
        <v>643979.41999999993</v>
      </c>
      <c r="K3280" s="48"/>
      <c r="L3280" s="48"/>
      <c r="M3280" s="48"/>
      <c r="N3280" s="19">
        <f>SUMIF('2020'!B:B,B3280,'2020'!C:C)+SUMIF('2021'!B:B,B3280,'2021'!C:C)+SUMIF('2022'!B:B,B3280,'2022'!C:C)</f>
        <v>643979.41999999993</v>
      </c>
      <c r="O3280" s="219">
        <v>44925</v>
      </c>
      <c r="P3280" s="48" t="s">
        <v>3728</v>
      </c>
    </row>
    <row r="3281" spans="1:16" x14ac:dyDescent="0.3">
      <c r="A3281" s="59">
        <f t="shared" si="276"/>
        <v>2952</v>
      </c>
      <c r="B3281" s="66" t="s">
        <v>3131</v>
      </c>
      <c r="C3281" s="184">
        <v>1960</v>
      </c>
      <c r="D3281" s="48"/>
      <c r="E3281" s="48" t="s">
        <v>3733</v>
      </c>
      <c r="F3281" s="267">
        <v>2</v>
      </c>
      <c r="G3281" s="48"/>
      <c r="H3281" s="184">
        <v>638.9</v>
      </c>
      <c r="I3281" s="267" t="s">
        <v>3680</v>
      </c>
      <c r="J3281" s="19">
        <f t="shared" si="275"/>
        <v>1039860.37</v>
      </c>
      <c r="K3281" s="48"/>
      <c r="L3281" s="48"/>
      <c r="M3281" s="48"/>
      <c r="N3281" s="19">
        <f>SUMIF('2020'!B:B,B3281,'2020'!C:C)+SUMIF('2021'!B:B,B3281,'2021'!C:C)+SUMIF('2022'!B:B,B3281,'2022'!C:C)</f>
        <v>1039860.37</v>
      </c>
      <c r="O3281" s="219">
        <v>44925</v>
      </c>
      <c r="P3281" s="48" t="s">
        <v>3728</v>
      </c>
    </row>
    <row r="3282" spans="1:16" x14ac:dyDescent="0.3">
      <c r="A3282" s="59">
        <f t="shared" si="276"/>
        <v>2953</v>
      </c>
      <c r="B3282" s="66" t="s">
        <v>3132</v>
      </c>
      <c r="C3282" s="184">
        <v>1960</v>
      </c>
      <c r="D3282" s="48"/>
      <c r="E3282" s="48" t="s">
        <v>3733</v>
      </c>
      <c r="F3282" s="267">
        <v>2</v>
      </c>
      <c r="G3282" s="48"/>
      <c r="H3282" s="184">
        <v>640.79999999999995</v>
      </c>
      <c r="I3282" s="267" t="s">
        <v>3721</v>
      </c>
      <c r="J3282" s="19">
        <f t="shared" si="275"/>
        <v>1024799.51</v>
      </c>
      <c r="K3282" s="48"/>
      <c r="L3282" s="48"/>
      <c r="M3282" s="48"/>
      <c r="N3282" s="19">
        <f>SUMIF('2020'!B:B,B3282,'2020'!C:C)+SUMIF('2021'!B:B,B3282,'2021'!C:C)+SUMIF('2022'!B:B,B3282,'2022'!C:C)</f>
        <v>1024799.51</v>
      </c>
      <c r="O3282" s="219">
        <v>44925</v>
      </c>
      <c r="P3282" s="48" t="s">
        <v>3728</v>
      </c>
    </row>
    <row r="3283" spans="1:16" x14ac:dyDescent="0.3">
      <c r="A3283" s="59">
        <f t="shared" si="276"/>
        <v>2954</v>
      </c>
      <c r="B3283" s="66" t="s">
        <v>3133</v>
      </c>
      <c r="C3283" s="184">
        <v>1960</v>
      </c>
      <c r="D3283" s="48"/>
      <c r="E3283" s="48" t="s">
        <v>3733</v>
      </c>
      <c r="F3283" s="267">
        <v>3</v>
      </c>
      <c r="G3283" s="48"/>
      <c r="H3283" s="184">
        <v>644</v>
      </c>
      <c r="I3283" s="267" t="s">
        <v>3685</v>
      </c>
      <c r="J3283" s="19">
        <f t="shared" si="275"/>
        <v>87651828</v>
      </c>
      <c r="K3283" s="48"/>
      <c r="L3283" s="48"/>
      <c r="M3283" s="48"/>
      <c r="N3283" s="19">
        <f>SUMIF('2020'!B:B,B3283,'2020'!C:C)+SUMIF('2021'!B:B,B3283,'2021'!C:C)+SUMIF('2022'!B:B,B3283,'2022'!C:C)</f>
        <v>87651828</v>
      </c>
      <c r="O3283" s="219">
        <v>44925</v>
      </c>
      <c r="P3283" s="48" t="s">
        <v>3728</v>
      </c>
    </row>
    <row r="3284" spans="1:16" x14ac:dyDescent="0.3">
      <c r="A3284" s="59">
        <f t="shared" si="276"/>
        <v>2955</v>
      </c>
      <c r="B3284" s="66" t="s">
        <v>3134</v>
      </c>
      <c r="C3284" s="184">
        <v>1960</v>
      </c>
      <c r="D3284" s="48"/>
      <c r="E3284" s="48" t="s">
        <v>3733</v>
      </c>
      <c r="F3284" s="267">
        <v>2</v>
      </c>
      <c r="G3284" s="48"/>
      <c r="H3284" s="184">
        <v>640.5</v>
      </c>
      <c r="I3284" s="267" t="s">
        <v>3674</v>
      </c>
      <c r="J3284" s="19">
        <f t="shared" si="275"/>
        <v>1083024.54</v>
      </c>
      <c r="K3284" s="48"/>
      <c r="L3284" s="48"/>
      <c r="M3284" s="48"/>
      <c r="N3284" s="19">
        <f>SUMIF('2020'!B:B,B3284,'2020'!C:C)+SUMIF('2021'!B:B,B3284,'2021'!C:C)+SUMIF('2022'!B:B,B3284,'2022'!C:C)</f>
        <v>1083024.54</v>
      </c>
      <c r="O3284" s="219">
        <v>44925</v>
      </c>
      <c r="P3284" s="48" t="s">
        <v>3728</v>
      </c>
    </row>
    <row r="3285" spans="1:16" x14ac:dyDescent="0.3">
      <c r="A3285" s="59">
        <f t="shared" si="276"/>
        <v>2956</v>
      </c>
      <c r="B3285" s="66" t="s">
        <v>3135</v>
      </c>
      <c r="C3285" s="184">
        <v>1960</v>
      </c>
      <c r="D3285" s="48"/>
      <c r="E3285" s="48" t="s">
        <v>3733</v>
      </c>
      <c r="F3285" s="267">
        <v>2</v>
      </c>
      <c r="G3285" s="48"/>
      <c r="H3285" s="184">
        <v>639.6</v>
      </c>
      <c r="I3285" s="267" t="s">
        <v>3714</v>
      </c>
      <c r="J3285" s="19">
        <f t="shared" si="275"/>
        <v>836203.5</v>
      </c>
      <c r="K3285" s="48"/>
      <c r="L3285" s="48"/>
      <c r="M3285" s="48"/>
      <c r="N3285" s="19">
        <f>SUMIF('2020'!B:B,B3285,'2020'!C:C)+SUMIF('2021'!B:B,B3285,'2021'!C:C)+SUMIF('2022'!B:B,B3285,'2022'!C:C)</f>
        <v>836203.5</v>
      </c>
      <c r="O3285" s="219">
        <v>44925</v>
      </c>
      <c r="P3285" s="48" t="s">
        <v>3728</v>
      </c>
    </row>
    <row r="3286" spans="1:16" x14ac:dyDescent="0.3">
      <c r="A3286" s="59">
        <f t="shared" si="276"/>
        <v>2957</v>
      </c>
      <c r="B3286" s="66" t="s">
        <v>3136</v>
      </c>
      <c r="C3286" s="184">
        <v>1972</v>
      </c>
      <c r="D3286" s="48"/>
      <c r="E3286" s="48" t="s">
        <v>3731</v>
      </c>
      <c r="F3286" s="218">
        <v>5</v>
      </c>
      <c r="G3286" s="48"/>
      <c r="H3286" s="184">
        <v>4370.5</v>
      </c>
      <c r="I3286" s="267" t="s">
        <v>4153</v>
      </c>
      <c r="J3286" s="19">
        <f t="shared" si="275"/>
        <v>434169.69</v>
      </c>
      <c r="K3286" s="48"/>
      <c r="L3286" s="48"/>
      <c r="M3286" s="48"/>
      <c r="N3286" s="19">
        <f>SUMIF('2020'!B:B,B3286,'2020'!C:C)+SUMIF('2021'!B:B,B3286,'2021'!C:C)+SUMIF('2022'!B:B,B3286,'2022'!C:C)</f>
        <v>434169.69</v>
      </c>
      <c r="O3286" s="219">
        <v>44925</v>
      </c>
      <c r="P3286" s="48" t="s">
        <v>3728</v>
      </c>
    </row>
    <row r="3287" spans="1:16" x14ac:dyDescent="0.3">
      <c r="A3287" s="59">
        <f t="shared" si="276"/>
        <v>2958</v>
      </c>
      <c r="B3287" s="66" t="s">
        <v>3137</v>
      </c>
      <c r="C3287" s="184">
        <v>1972</v>
      </c>
      <c r="D3287" s="48"/>
      <c r="E3287" s="48" t="s">
        <v>3731</v>
      </c>
      <c r="F3287" s="218">
        <v>5</v>
      </c>
      <c r="G3287" s="48"/>
      <c r="H3287" s="184">
        <v>4374.2</v>
      </c>
      <c r="I3287" s="267" t="s">
        <v>4154</v>
      </c>
      <c r="J3287" s="19">
        <f t="shared" si="275"/>
        <v>1793591.1800000002</v>
      </c>
      <c r="K3287" s="48"/>
      <c r="L3287" s="48"/>
      <c r="M3287" s="48"/>
      <c r="N3287" s="19">
        <f>SUMIF('2020'!B:B,B3287,'2020'!C:C)+SUMIF('2021'!B:B,B3287,'2021'!C:C)+SUMIF('2022'!B:B,B3287,'2022'!C:C)</f>
        <v>1793591.1800000002</v>
      </c>
      <c r="O3287" s="219">
        <v>44925</v>
      </c>
      <c r="P3287" s="48" t="s">
        <v>3728</v>
      </c>
    </row>
    <row r="3288" spans="1:16" x14ac:dyDescent="0.3">
      <c r="A3288" s="59">
        <f t="shared" si="276"/>
        <v>2959</v>
      </c>
      <c r="B3288" s="66" t="s">
        <v>3138</v>
      </c>
      <c r="C3288" s="184">
        <v>1972</v>
      </c>
      <c r="D3288" s="48"/>
      <c r="E3288" s="48" t="s">
        <v>3731</v>
      </c>
      <c r="F3288" s="218">
        <v>5</v>
      </c>
      <c r="G3288" s="48"/>
      <c r="H3288" s="184">
        <v>4344</v>
      </c>
      <c r="I3288" s="267" t="s">
        <v>3726</v>
      </c>
      <c r="J3288" s="19">
        <f t="shared" si="275"/>
        <v>1869690.08</v>
      </c>
      <c r="K3288" s="48"/>
      <c r="L3288" s="48"/>
      <c r="M3288" s="48"/>
      <c r="N3288" s="19">
        <f>SUMIF('2020'!B:B,B3288,'2020'!C:C)+SUMIF('2021'!B:B,B3288,'2021'!C:C)+SUMIF('2022'!B:B,B3288,'2022'!C:C)</f>
        <v>1869690.08</v>
      </c>
      <c r="O3288" s="219">
        <v>44925</v>
      </c>
      <c r="P3288" s="48" t="s">
        <v>3728</v>
      </c>
    </row>
    <row r="3289" spans="1:16" x14ac:dyDescent="0.3">
      <c r="A3289" s="59">
        <f t="shared" si="276"/>
        <v>2960</v>
      </c>
      <c r="B3289" s="66" t="s">
        <v>3139</v>
      </c>
      <c r="C3289" s="184">
        <v>1973</v>
      </c>
      <c r="D3289" s="48"/>
      <c r="E3289" s="48" t="s">
        <v>3729</v>
      </c>
      <c r="F3289" s="218">
        <v>5</v>
      </c>
      <c r="G3289" s="48"/>
      <c r="H3289" s="184">
        <v>5484.7</v>
      </c>
      <c r="I3289" s="267" t="s">
        <v>4155</v>
      </c>
      <c r="J3289" s="19">
        <f t="shared" si="275"/>
        <v>685167.78</v>
      </c>
      <c r="K3289" s="48"/>
      <c r="L3289" s="48"/>
      <c r="M3289" s="48"/>
      <c r="N3289" s="19">
        <f>SUMIF('2020'!B:B,B3289,'2020'!C:C)+SUMIF('2021'!B:B,B3289,'2021'!C:C)+SUMIF('2022'!B:B,B3289,'2022'!C:C)</f>
        <v>685167.78</v>
      </c>
      <c r="O3289" s="219">
        <v>44925</v>
      </c>
      <c r="P3289" s="48" t="s">
        <v>3728</v>
      </c>
    </row>
    <row r="3290" spans="1:16" x14ac:dyDescent="0.3">
      <c r="A3290" s="59">
        <f t="shared" si="276"/>
        <v>2961</v>
      </c>
      <c r="B3290" s="66" t="s">
        <v>3140</v>
      </c>
      <c r="C3290" s="184">
        <v>1972</v>
      </c>
      <c r="D3290" s="48"/>
      <c r="E3290" s="48" t="s">
        <v>3729</v>
      </c>
      <c r="F3290" s="218">
        <v>5</v>
      </c>
      <c r="G3290" s="48"/>
      <c r="H3290" s="184">
        <v>4323.6000000000004</v>
      </c>
      <c r="I3290" s="267" t="s">
        <v>3726</v>
      </c>
      <c r="J3290" s="19">
        <f t="shared" si="275"/>
        <v>1695769.59</v>
      </c>
      <c r="K3290" s="48"/>
      <c r="L3290" s="48"/>
      <c r="M3290" s="48"/>
      <c r="N3290" s="19">
        <f>SUMIF('2020'!B:B,B3290,'2020'!C:C)+SUMIF('2021'!B:B,B3290,'2021'!C:C)+SUMIF('2022'!B:B,B3290,'2022'!C:C)</f>
        <v>1695769.59</v>
      </c>
      <c r="O3290" s="219">
        <v>44925</v>
      </c>
      <c r="P3290" s="48" t="s">
        <v>3728</v>
      </c>
    </row>
    <row r="3291" spans="1:16" x14ac:dyDescent="0.3">
      <c r="A3291" s="59">
        <f t="shared" si="276"/>
        <v>2962</v>
      </c>
      <c r="B3291" s="66" t="s">
        <v>3141</v>
      </c>
      <c r="C3291" s="184">
        <v>1972</v>
      </c>
      <c r="D3291" s="48"/>
      <c r="E3291" s="48" t="s">
        <v>3731</v>
      </c>
      <c r="F3291" s="218">
        <v>5</v>
      </c>
      <c r="G3291" s="48"/>
      <c r="H3291" s="184">
        <v>5492.3</v>
      </c>
      <c r="I3291" s="267" t="s">
        <v>4156</v>
      </c>
      <c r="J3291" s="19">
        <f t="shared" si="275"/>
        <v>2179835.2000000002</v>
      </c>
      <c r="K3291" s="48"/>
      <c r="L3291" s="48"/>
      <c r="M3291" s="48"/>
      <c r="N3291" s="19">
        <f>SUMIF('2020'!B:B,B3291,'2020'!C:C)+SUMIF('2021'!B:B,B3291,'2021'!C:C)+SUMIF('2022'!B:B,B3291,'2022'!C:C)</f>
        <v>2179835.2000000002</v>
      </c>
      <c r="O3291" s="219">
        <v>44925</v>
      </c>
      <c r="P3291" s="48" t="s">
        <v>3728</v>
      </c>
    </row>
    <row r="3292" spans="1:16" x14ac:dyDescent="0.3">
      <c r="A3292" s="59">
        <f t="shared" si="276"/>
        <v>2963</v>
      </c>
      <c r="B3292" s="66" t="s">
        <v>3142</v>
      </c>
      <c r="C3292" s="184">
        <v>1972</v>
      </c>
      <c r="D3292" s="48"/>
      <c r="E3292" s="48" t="s">
        <v>3731</v>
      </c>
      <c r="F3292" s="218">
        <v>5</v>
      </c>
      <c r="G3292" s="48"/>
      <c r="H3292" s="184">
        <v>4363.5</v>
      </c>
      <c r="I3292" s="267" t="s">
        <v>3745</v>
      </c>
      <c r="J3292" s="19">
        <f t="shared" si="275"/>
        <v>435896.32000000001</v>
      </c>
      <c r="K3292" s="48"/>
      <c r="L3292" s="84"/>
      <c r="M3292" s="48"/>
      <c r="N3292" s="19">
        <f>SUMIF('2020'!B:B,B3292,'2020'!C:C)+SUMIF('2021'!B:B,B3292,'2021'!C:C)+SUMIF('2022'!B:B,B3292,'2022'!C:C)</f>
        <v>435896.32000000001</v>
      </c>
      <c r="O3292" s="219">
        <v>44925</v>
      </c>
      <c r="P3292" s="48" t="s">
        <v>3728</v>
      </c>
    </row>
    <row r="3293" spans="1:16" x14ac:dyDescent="0.3">
      <c r="A3293" s="59">
        <f t="shared" si="276"/>
        <v>2964</v>
      </c>
      <c r="B3293" s="66" t="s">
        <v>3143</v>
      </c>
      <c r="C3293" s="184">
        <v>1980</v>
      </c>
      <c r="D3293" s="48"/>
      <c r="E3293" s="48" t="s">
        <v>3733</v>
      </c>
      <c r="F3293" s="218">
        <v>9</v>
      </c>
      <c r="G3293" s="48"/>
      <c r="H3293" s="184">
        <v>6661.8</v>
      </c>
      <c r="I3293" s="267" t="s">
        <v>4157</v>
      </c>
      <c r="J3293" s="19">
        <f t="shared" si="275"/>
        <v>1939509.9200000002</v>
      </c>
      <c r="K3293" s="48"/>
      <c r="L3293" s="48"/>
      <c r="M3293" s="48"/>
      <c r="N3293" s="19">
        <f>SUMIF('2020'!B:B,B3293,'2020'!C:C)+SUMIF('2021'!B:B,B3293,'2021'!C:C)+SUMIF('2022'!B:B,B3293,'2022'!C:C)</f>
        <v>1939509.9200000002</v>
      </c>
      <c r="O3293" s="219">
        <v>44925</v>
      </c>
      <c r="P3293" s="48" t="s">
        <v>3728</v>
      </c>
    </row>
    <row r="3294" spans="1:16" x14ac:dyDescent="0.3">
      <c r="A3294" s="59">
        <f t="shared" si="276"/>
        <v>2965</v>
      </c>
      <c r="B3294" s="66" t="s">
        <v>3144</v>
      </c>
      <c r="C3294" s="184">
        <v>1982</v>
      </c>
      <c r="D3294" s="48"/>
      <c r="E3294" s="48" t="s">
        <v>3733</v>
      </c>
      <c r="F3294" s="218">
        <v>9</v>
      </c>
      <c r="G3294" s="48"/>
      <c r="H3294" s="184">
        <v>5797.4</v>
      </c>
      <c r="I3294" s="267" t="s">
        <v>4158</v>
      </c>
      <c r="J3294" s="19">
        <f t="shared" si="275"/>
        <v>1939214.69</v>
      </c>
      <c r="K3294" s="48"/>
      <c r="L3294" s="48"/>
      <c r="M3294" s="48"/>
      <c r="N3294" s="19">
        <f>SUMIF('2020'!B:B,B3294,'2020'!C:C)+SUMIF('2021'!B:B,B3294,'2021'!C:C)+SUMIF('2022'!B:B,B3294,'2022'!C:C)</f>
        <v>1939214.69</v>
      </c>
      <c r="O3294" s="219">
        <v>44925</v>
      </c>
      <c r="P3294" s="48" t="s">
        <v>3728</v>
      </c>
    </row>
    <row r="3295" spans="1:16" x14ac:dyDescent="0.3">
      <c r="A3295" s="59">
        <f t="shared" si="276"/>
        <v>2966</v>
      </c>
      <c r="B3295" s="66" t="s">
        <v>3145</v>
      </c>
      <c r="C3295" s="184">
        <v>1973</v>
      </c>
      <c r="D3295" s="48"/>
      <c r="E3295" s="48" t="s">
        <v>3729</v>
      </c>
      <c r="F3295" s="218">
        <v>9</v>
      </c>
      <c r="G3295" s="48"/>
      <c r="H3295" s="48">
        <v>9647.9</v>
      </c>
      <c r="I3295" s="218">
        <v>399</v>
      </c>
      <c r="J3295" s="19">
        <f t="shared" si="275"/>
        <v>2403761.7400000002</v>
      </c>
      <c r="K3295" s="48"/>
      <c r="L3295" s="48"/>
      <c r="M3295" s="48"/>
      <c r="N3295" s="19">
        <f>SUMIF('2020'!B:B,B3295,'2020'!C:C)+SUMIF('2021'!B:B,B3295,'2021'!C:C)+SUMIF('2022'!B:B,B3295,'2022'!C:C)</f>
        <v>2403761.7400000002</v>
      </c>
      <c r="O3295" s="219">
        <v>44925</v>
      </c>
      <c r="P3295" s="48" t="s">
        <v>3728</v>
      </c>
    </row>
    <row r="3296" spans="1:16" x14ac:dyDescent="0.3">
      <c r="A3296" s="59">
        <f t="shared" si="276"/>
        <v>2967</v>
      </c>
      <c r="B3296" s="66" t="s">
        <v>3146</v>
      </c>
      <c r="C3296" s="184">
        <v>1976</v>
      </c>
      <c r="D3296" s="48"/>
      <c r="E3296" s="48" t="s">
        <v>3733</v>
      </c>
      <c r="F3296" s="218">
        <v>5</v>
      </c>
      <c r="G3296" s="48"/>
      <c r="H3296" s="184">
        <v>5502</v>
      </c>
      <c r="I3296" s="218">
        <v>227</v>
      </c>
      <c r="J3296" s="19">
        <f t="shared" si="275"/>
        <v>1055802.4100000001</v>
      </c>
      <c r="K3296" s="48"/>
      <c r="L3296" s="48"/>
      <c r="M3296" s="48"/>
      <c r="N3296" s="19">
        <f>SUMIF('2020'!B:B,B3296,'2020'!C:C)+SUMIF('2021'!B:B,B3296,'2021'!C:C)+SUMIF('2022'!B:B,B3296,'2022'!C:C)</f>
        <v>1055802.4100000001</v>
      </c>
      <c r="O3296" s="219">
        <v>44925</v>
      </c>
      <c r="P3296" s="48" t="s">
        <v>3728</v>
      </c>
    </row>
    <row r="3297" spans="1:16" x14ac:dyDescent="0.3">
      <c r="A3297" s="59">
        <f t="shared" si="276"/>
        <v>2968</v>
      </c>
      <c r="B3297" s="66" t="s">
        <v>3147</v>
      </c>
      <c r="C3297" s="184">
        <v>1973</v>
      </c>
      <c r="D3297" s="48"/>
      <c r="E3297" s="48" t="s">
        <v>3729</v>
      </c>
      <c r="F3297" s="218">
        <v>5</v>
      </c>
      <c r="G3297" s="48"/>
      <c r="H3297" s="184">
        <v>4328.8</v>
      </c>
      <c r="I3297" s="218">
        <v>227</v>
      </c>
      <c r="J3297" s="19">
        <f t="shared" si="275"/>
        <v>1518319.6</v>
      </c>
      <c r="K3297" s="48"/>
      <c r="L3297" s="48"/>
      <c r="M3297" s="48"/>
      <c r="N3297" s="19">
        <f>SUMIF('2020'!B:B,B3297,'2020'!C:C)+SUMIF('2021'!B:B,B3297,'2021'!C:C)+SUMIF('2022'!B:B,B3297,'2022'!C:C)</f>
        <v>1518319.6</v>
      </c>
      <c r="O3297" s="219">
        <v>44925</v>
      </c>
      <c r="P3297" s="48" t="s">
        <v>3728</v>
      </c>
    </row>
    <row r="3298" spans="1:16" x14ac:dyDescent="0.3">
      <c r="A3298" s="59">
        <f t="shared" si="276"/>
        <v>2969</v>
      </c>
      <c r="B3298" s="66" t="s">
        <v>3148</v>
      </c>
      <c r="C3298" s="184">
        <v>1989</v>
      </c>
      <c r="D3298" s="48"/>
      <c r="E3298" s="48" t="s">
        <v>3733</v>
      </c>
      <c r="F3298" s="218">
        <v>9</v>
      </c>
      <c r="G3298" s="48"/>
      <c r="H3298" s="184">
        <v>4714.7</v>
      </c>
      <c r="I3298" s="218">
        <v>265</v>
      </c>
      <c r="J3298" s="19">
        <f t="shared" si="275"/>
        <v>1943257.2</v>
      </c>
      <c r="K3298" s="48"/>
      <c r="L3298" s="48"/>
      <c r="M3298" s="48"/>
      <c r="N3298" s="19">
        <f>SUMIF('2020'!B:B,B3298,'2020'!C:C)+SUMIF('2021'!B:B,B3298,'2021'!C:C)+SUMIF('2022'!B:B,B3298,'2022'!C:C)</f>
        <v>1943257.2</v>
      </c>
      <c r="O3298" s="219">
        <v>44925</v>
      </c>
      <c r="P3298" s="48" t="s">
        <v>3728</v>
      </c>
    </row>
    <row r="3299" spans="1:16" x14ac:dyDescent="0.3">
      <c r="A3299" s="59">
        <f t="shared" si="276"/>
        <v>2970</v>
      </c>
      <c r="B3299" s="66" t="s">
        <v>3149</v>
      </c>
      <c r="C3299" s="184">
        <v>1991</v>
      </c>
      <c r="D3299" s="48"/>
      <c r="E3299" s="48" t="s">
        <v>3733</v>
      </c>
      <c r="F3299" s="218">
        <v>9</v>
      </c>
      <c r="G3299" s="48"/>
      <c r="H3299" s="184">
        <v>3207.7</v>
      </c>
      <c r="I3299" s="218">
        <v>158</v>
      </c>
      <c r="J3299" s="19">
        <f t="shared" si="275"/>
        <v>1586471.8900000001</v>
      </c>
      <c r="K3299" s="48"/>
      <c r="L3299" s="48"/>
      <c r="M3299" s="48"/>
      <c r="N3299" s="19">
        <f>SUMIF('2020'!B:B,B3299,'2020'!C:C)+SUMIF('2021'!B:B,B3299,'2021'!C:C)+SUMIF('2022'!B:B,B3299,'2022'!C:C)</f>
        <v>1586471.8900000001</v>
      </c>
      <c r="O3299" s="219">
        <v>44925</v>
      </c>
      <c r="P3299" s="48" t="s">
        <v>3728</v>
      </c>
    </row>
    <row r="3300" spans="1:16" x14ac:dyDescent="0.3">
      <c r="A3300" s="59">
        <f t="shared" si="276"/>
        <v>2971</v>
      </c>
      <c r="B3300" s="66" t="s">
        <v>3150</v>
      </c>
      <c r="C3300" s="184">
        <v>1990</v>
      </c>
      <c r="D3300" s="48"/>
      <c r="E3300" s="48" t="s">
        <v>3733</v>
      </c>
      <c r="F3300" s="218">
        <v>9</v>
      </c>
      <c r="G3300" s="48"/>
      <c r="H3300" s="184">
        <v>3264.5</v>
      </c>
      <c r="I3300" s="218">
        <v>136</v>
      </c>
      <c r="J3300" s="19">
        <f t="shared" si="275"/>
        <v>1565945.7</v>
      </c>
      <c r="K3300" s="48"/>
      <c r="L3300" s="48"/>
      <c r="M3300" s="48"/>
      <c r="N3300" s="19">
        <f>SUMIF('2020'!B:B,B3300,'2020'!C:C)+SUMIF('2021'!B:B,B3300,'2021'!C:C)+SUMIF('2022'!B:B,B3300,'2022'!C:C)</f>
        <v>1565945.7</v>
      </c>
      <c r="O3300" s="219">
        <v>44925</v>
      </c>
      <c r="P3300" s="48" t="s">
        <v>3728</v>
      </c>
    </row>
    <row r="3301" spans="1:16" x14ac:dyDescent="0.3">
      <c r="A3301" s="59">
        <f t="shared" si="276"/>
        <v>2972</v>
      </c>
      <c r="B3301" s="66" t="s">
        <v>3151</v>
      </c>
      <c r="C3301" s="184">
        <v>1974</v>
      </c>
      <c r="D3301" s="48"/>
      <c r="E3301" s="48" t="s">
        <v>3731</v>
      </c>
      <c r="F3301" s="218">
        <v>5</v>
      </c>
      <c r="G3301" s="48"/>
      <c r="H3301" s="184">
        <v>5400.9</v>
      </c>
      <c r="I3301" s="218">
        <v>271</v>
      </c>
      <c r="J3301" s="19">
        <f t="shared" si="275"/>
        <v>1869054.33</v>
      </c>
      <c r="K3301" s="48"/>
      <c r="L3301" s="48"/>
      <c r="M3301" s="48"/>
      <c r="N3301" s="19">
        <f>SUMIF('2020'!B:B,B3301,'2020'!C:C)+SUMIF('2021'!B:B,B3301,'2021'!C:C)+SUMIF('2022'!B:B,B3301,'2022'!C:C)</f>
        <v>1869054.33</v>
      </c>
      <c r="O3301" s="219">
        <v>44925</v>
      </c>
      <c r="P3301" s="48" t="s">
        <v>3728</v>
      </c>
    </row>
    <row r="3302" spans="1:16" x14ac:dyDescent="0.3">
      <c r="A3302" s="59">
        <f t="shared" si="276"/>
        <v>2973</v>
      </c>
      <c r="B3302" s="66" t="s">
        <v>3152</v>
      </c>
      <c r="C3302" s="184">
        <v>1977</v>
      </c>
      <c r="D3302" s="48"/>
      <c r="E3302" s="48" t="s">
        <v>3733</v>
      </c>
      <c r="F3302" s="218">
        <v>12</v>
      </c>
      <c r="G3302" s="48"/>
      <c r="H3302" s="184">
        <v>3943.3</v>
      </c>
      <c r="I3302" s="218">
        <v>182</v>
      </c>
      <c r="J3302" s="19">
        <f t="shared" si="275"/>
        <v>1761015.6800000002</v>
      </c>
      <c r="K3302" s="48"/>
      <c r="L3302" s="48"/>
      <c r="M3302" s="48"/>
      <c r="N3302" s="19">
        <f>SUMIF('2020'!B:B,B3302,'2020'!C:C)+SUMIF('2021'!B:B,B3302,'2021'!C:C)+SUMIF('2022'!B:B,B3302,'2022'!C:C)</f>
        <v>1761015.6800000002</v>
      </c>
      <c r="O3302" s="219">
        <v>44925</v>
      </c>
      <c r="P3302" s="48" t="s">
        <v>3728</v>
      </c>
    </row>
    <row r="3303" spans="1:16" x14ac:dyDescent="0.3">
      <c r="A3303" s="59">
        <f t="shared" si="276"/>
        <v>2974</v>
      </c>
      <c r="B3303" s="66" t="s">
        <v>3153</v>
      </c>
      <c r="C3303" s="184">
        <v>1925</v>
      </c>
      <c r="D3303" s="48"/>
      <c r="E3303" s="48" t="s">
        <v>4090</v>
      </c>
      <c r="F3303" s="218">
        <v>1</v>
      </c>
      <c r="G3303" s="48"/>
      <c r="H3303" s="48">
        <v>204.4</v>
      </c>
      <c r="I3303" s="218">
        <v>5</v>
      </c>
      <c r="J3303" s="19">
        <f t="shared" si="275"/>
        <v>213560.18</v>
      </c>
      <c r="K3303" s="48"/>
      <c r="L3303" s="48"/>
      <c r="M3303" s="48"/>
      <c r="N3303" s="19">
        <f>SUMIF('2020'!B:B,B3303,'2020'!C:C)+SUMIF('2021'!B:B,B3303,'2021'!C:C)+SUMIF('2022'!B:B,B3303,'2022'!C:C)</f>
        <v>213560.18</v>
      </c>
      <c r="O3303" s="219">
        <v>44925</v>
      </c>
      <c r="P3303" s="48" t="s">
        <v>3728</v>
      </c>
    </row>
    <row r="3304" spans="1:16" x14ac:dyDescent="0.3">
      <c r="A3304" s="59">
        <f t="shared" si="276"/>
        <v>2975</v>
      </c>
      <c r="B3304" s="66" t="s">
        <v>3154</v>
      </c>
      <c r="C3304" s="184">
        <v>1970</v>
      </c>
      <c r="D3304" s="48"/>
      <c r="E3304" s="48" t="s">
        <v>3733</v>
      </c>
      <c r="F3304" s="218">
        <v>5</v>
      </c>
      <c r="G3304" s="48"/>
      <c r="H3304" s="48">
        <v>3535.1</v>
      </c>
      <c r="I3304" s="218">
        <v>142</v>
      </c>
      <c r="J3304" s="19">
        <f t="shared" si="275"/>
        <v>1391536.75</v>
      </c>
      <c r="K3304" s="48"/>
      <c r="L3304" s="48"/>
      <c r="M3304" s="48"/>
      <c r="N3304" s="19">
        <f>SUMIF('2020'!B:B,B3304,'2020'!C:C)+SUMIF('2021'!B:B,B3304,'2021'!C:C)+SUMIF('2022'!B:B,B3304,'2022'!C:C)</f>
        <v>1391536.75</v>
      </c>
      <c r="O3304" s="219">
        <v>44925</v>
      </c>
      <c r="P3304" s="48" t="s">
        <v>3728</v>
      </c>
    </row>
    <row r="3305" spans="1:16" x14ac:dyDescent="0.3">
      <c r="A3305" s="59">
        <f t="shared" si="276"/>
        <v>2976</v>
      </c>
      <c r="B3305" s="66" t="s">
        <v>3155</v>
      </c>
      <c r="C3305" s="184">
        <v>1969</v>
      </c>
      <c r="D3305" s="48"/>
      <c r="E3305" s="48" t="s">
        <v>3729</v>
      </c>
      <c r="F3305" s="218">
        <v>5</v>
      </c>
      <c r="G3305" s="48"/>
      <c r="H3305" s="184">
        <v>2777.7</v>
      </c>
      <c r="I3305" s="267" t="s">
        <v>4159</v>
      </c>
      <c r="J3305" s="19">
        <f t="shared" si="275"/>
        <v>14079118.640000001</v>
      </c>
      <c r="K3305" s="48"/>
      <c r="L3305" s="48"/>
      <c r="M3305" s="48"/>
      <c r="N3305" s="19">
        <f>SUMIF('2020'!B:B,B3305,'2020'!C:C)+SUMIF('2021'!B:B,B3305,'2021'!C:C)+SUMIF('2022'!B:B,B3305,'2022'!C:C)</f>
        <v>14079118.640000001</v>
      </c>
      <c r="O3305" s="219">
        <v>44925</v>
      </c>
      <c r="P3305" s="48" t="s">
        <v>3728</v>
      </c>
    </row>
    <row r="3306" spans="1:16" x14ac:dyDescent="0.3">
      <c r="A3306" s="59">
        <f t="shared" si="276"/>
        <v>2977</v>
      </c>
      <c r="B3306" s="66" t="s">
        <v>3156</v>
      </c>
      <c r="C3306" s="184">
        <v>1969</v>
      </c>
      <c r="D3306" s="48"/>
      <c r="E3306" s="48" t="s">
        <v>3729</v>
      </c>
      <c r="F3306" s="218">
        <v>5</v>
      </c>
      <c r="G3306" s="48"/>
      <c r="H3306" s="184">
        <v>2746.8</v>
      </c>
      <c r="I3306" s="267" t="s">
        <v>3799</v>
      </c>
      <c r="J3306" s="19">
        <f t="shared" si="275"/>
        <v>1554104.21</v>
      </c>
      <c r="K3306" s="48"/>
      <c r="L3306" s="48"/>
      <c r="M3306" s="48"/>
      <c r="N3306" s="19">
        <f>SUMIF('2020'!B:B,B3306,'2020'!C:C)+SUMIF('2021'!B:B,B3306,'2021'!C:C)+SUMIF('2022'!B:B,B3306,'2022'!C:C)</f>
        <v>1554104.21</v>
      </c>
      <c r="O3306" s="219">
        <v>44925</v>
      </c>
      <c r="P3306" s="48" t="s">
        <v>3728</v>
      </c>
    </row>
    <row r="3307" spans="1:16" x14ac:dyDescent="0.3">
      <c r="A3307" s="59">
        <f t="shared" si="276"/>
        <v>2978</v>
      </c>
      <c r="B3307" s="66" t="s">
        <v>3157</v>
      </c>
      <c r="C3307" s="184">
        <v>1970</v>
      </c>
      <c r="D3307" s="48"/>
      <c r="E3307" s="48" t="s">
        <v>3729</v>
      </c>
      <c r="F3307" s="218">
        <v>5</v>
      </c>
      <c r="G3307" s="48"/>
      <c r="H3307" s="184">
        <v>4480.8</v>
      </c>
      <c r="I3307" s="267" t="s">
        <v>4150</v>
      </c>
      <c r="J3307" s="19">
        <f t="shared" si="275"/>
        <v>2305297</v>
      </c>
      <c r="K3307" s="48"/>
      <c r="L3307" s="48"/>
      <c r="M3307" s="48"/>
      <c r="N3307" s="19">
        <f>SUMIF('2020'!B:B,B3307,'2020'!C:C)+SUMIF('2021'!B:B,B3307,'2021'!C:C)+SUMIF('2022'!B:B,B3307,'2022'!C:C)</f>
        <v>2305297</v>
      </c>
      <c r="O3307" s="219">
        <v>44925</v>
      </c>
      <c r="P3307" s="48" t="s">
        <v>3728</v>
      </c>
    </row>
    <row r="3308" spans="1:16" x14ac:dyDescent="0.3">
      <c r="A3308" s="59">
        <f t="shared" si="276"/>
        <v>2979</v>
      </c>
      <c r="B3308" s="66" t="s">
        <v>3158</v>
      </c>
      <c r="C3308" s="184">
        <v>1970</v>
      </c>
      <c r="D3308" s="48"/>
      <c r="E3308" s="48" t="s">
        <v>3729</v>
      </c>
      <c r="F3308" s="218">
        <v>5</v>
      </c>
      <c r="G3308" s="48"/>
      <c r="H3308" s="184">
        <v>4443.8999999999996</v>
      </c>
      <c r="I3308" s="267" t="s">
        <v>4160</v>
      </c>
      <c r="J3308" s="19">
        <f t="shared" si="275"/>
        <v>2245600.1500000004</v>
      </c>
      <c r="K3308" s="48"/>
      <c r="L3308" s="48"/>
      <c r="M3308" s="48"/>
      <c r="N3308" s="19">
        <f>SUMIF('2020'!B:B,B3308,'2020'!C:C)+SUMIF('2021'!B:B,B3308,'2021'!C:C)+SUMIF('2022'!B:B,B3308,'2022'!C:C)</f>
        <v>2245600.1500000004</v>
      </c>
      <c r="O3308" s="219">
        <v>44925</v>
      </c>
      <c r="P3308" s="48" t="s">
        <v>3728</v>
      </c>
    </row>
    <row r="3309" spans="1:16" x14ac:dyDescent="0.3">
      <c r="A3309" s="59">
        <f t="shared" si="276"/>
        <v>2980</v>
      </c>
      <c r="B3309" s="66" t="s">
        <v>3159</v>
      </c>
      <c r="C3309" s="184">
        <v>1969</v>
      </c>
      <c r="D3309" s="48"/>
      <c r="E3309" s="48" t="s">
        <v>3733</v>
      </c>
      <c r="F3309" s="267">
        <v>5</v>
      </c>
      <c r="G3309" s="48"/>
      <c r="H3309" s="184">
        <v>3047</v>
      </c>
      <c r="I3309" s="267" t="s">
        <v>4147</v>
      </c>
      <c r="J3309" s="19">
        <f t="shared" si="275"/>
        <v>1370974.97</v>
      </c>
      <c r="K3309" s="48"/>
      <c r="L3309" s="48"/>
      <c r="M3309" s="48"/>
      <c r="N3309" s="19">
        <f>SUMIF('2020'!B:B,B3309,'2020'!C:C)+SUMIF('2021'!B:B,B3309,'2021'!C:C)+SUMIF('2022'!B:B,B3309,'2022'!C:C)</f>
        <v>1370974.97</v>
      </c>
      <c r="O3309" s="219">
        <v>44925</v>
      </c>
      <c r="P3309" s="48" t="s">
        <v>3728</v>
      </c>
    </row>
    <row r="3310" spans="1:16" x14ac:dyDescent="0.3">
      <c r="A3310" s="59">
        <f t="shared" si="276"/>
        <v>2981</v>
      </c>
      <c r="B3310" s="66" t="s">
        <v>3160</v>
      </c>
      <c r="C3310" s="184">
        <v>1969</v>
      </c>
      <c r="D3310" s="48"/>
      <c r="E3310" s="48" t="s">
        <v>3733</v>
      </c>
      <c r="F3310" s="267">
        <v>5</v>
      </c>
      <c r="G3310" s="48"/>
      <c r="H3310" s="184">
        <v>2520.9</v>
      </c>
      <c r="I3310" s="267" t="s">
        <v>4161</v>
      </c>
      <c r="J3310" s="19">
        <f t="shared" si="275"/>
        <v>983149.72</v>
      </c>
      <c r="K3310" s="48"/>
      <c r="L3310" s="48"/>
      <c r="M3310" s="48"/>
      <c r="N3310" s="19">
        <f>SUMIF('2020'!B:B,B3310,'2020'!C:C)+SUMIF('2021'!B:B,B3310,'2021'!C:C)+SUMIF('2022'!B:B,B3310,'2022'!C:C)</f>
        <v>983149.72</v>
      </c>
      <c r="O3310" s="219">
        <v>44925</v>
      </c>
      <c r="P3310" s="48" t="s">
        <v>3728</v>
      </c>
    </row>
    <row r="3311" spans="1:16" x14ac:dyDescent="0.3">
      <c r="A3311" s="59">
        <f t="shared" si="276"/>
        <v>2982</v>
      </c>
      <c r="B3311" s="66" t="s">
        <v>3161</v>
      </c>
      <c r="C3311" s="184">
        <v>1969</v>
      </c>
      <c r="D3311" s="48"/>
      <c r="E3311" s="48" t="s">
        <v>3733</v>
      </c>
      <c r="F3311" s="267">
        <v>5</v>
      </c>
      <c r="G3311" s="48"/>
      <c r="H3311" s="184">
        <v>4222.8999999999996</v>
      </c>
      <c r="I3311" s="267" t="s">
        <v>3699</v>
      </c>
      <c r="J3311" s="19">
        <f t="shared" si="275"/>
        <v>1370130.9</v>
      </c>
      <c r="K3311" s="48"/>
      <c r="L3311" s="48"/>
      <c r="M3311" s="48"/>
      <c r="N3311" s="19">
        <f>SUMIF('2020'!B:B,B3311,'2020'!C:C)+SUMIF('2021'!B:B,B3311,'2021'!C:C)+SUMIF('2022'!B:B,B3311,'2022'!C:C)</f>
        <v>1370130.9</v>
      </c>
      <c r="O3311" s="219">
        <v>44925</v>
      </c>
      <c r="P3311" s="48" t="s">
        <v>3728</v>
      </c>
    </row>
    <row r="3312" spans="1:16" x14ac:dyDescent="0.3">
      <c r="A3312" s="59">
        <f t="shared" si="276"/>
        <v>2983</v>
      </c>
      <c r="B3312" s="66" t="s">
        <v>3162</v>
      </c>
      <c r="C3312" s="184">
        <v>1968</v>
      </c>
      <c r="D3312" s="48"/>
      <c r="E3312" s="48" t="s">
        <v>3729</v>
      </c>
      <c r="F3312" s="267">
        <v>5</v>
      </c>
      <c r="G3312" s="48"/>
      <c r="H3312" s="184">
        <v>4425</v>
      </c>
      <c r="I3312" s="267" t="s">
        <v>4162</v>
      </c>
      <c r="J3312" s="19">
        <f t="shared" si="275"/>
        <v>1455337.43</v>
      </c>
      <c r="K3312" s="48"/>
      <c r="L3312" s="48"/>
      <c r="M3312" s="48"/>
      <c r="N3312" s="19">
        <f>SUMIF('2020'!B:B,B3312,'2020'!C:C)+SUMIF('2021'!B:B,B3312,'2021'!C:C)+SUMIF('2022'!B:B,B3312,'2022'!C:C)</f>
        <v>1455337.43</v>
      </c>
      <c r="O3312" s="219">
        <v>44925</v>
      </c>
      <c r="P3312" s="48" t="s">
        <v>3728</v>
      </c>
    </row>
    <row r="3313" spans="1:16" x14ac:dyDescent="0.3">
      <c r="A3313" s="59">
        <f t="shared" si="276"/>
        <v>2984</v>
      </c>
      <c r="B3313" s="66" t="s">
        <v>3163</v>
      </c>
      <c r="C3313" s="184">
        <v>1969</v>
      </c>
      <c r="D3313" s="48"/>
      <c r="E3313" s="48" t="s">
        <v>3729</v>
      </c>
      <c r="F3313" s="267">
        <v>5</v>
      </c>
      <c r="G3313" s="48"/>
      <c r="H3313" s="184">
        <v>4452.3999999999996</v>
      </c>
      <c r="I3313" s="267" t="s">
        <v>4163</v>
      </c>
      <c r="J3313" s="19">
        <f t="shared" ref="J3313:J3342" si="277">K3313+L3313+M3313+N3313</f>
        <v>1838591.9000000001</v>
      </c>
      <c r="K3313" s="48"/>
      <c r="L3313" s="48"/>
      <c r="M3313" s="48"/>
      <c r="N3313" s="19">
        <f>SUMIF('2020'!B:B,B3313,'2020'!C:C)+SUMIF('2021'!B:B,B3313,'2021'!C:C)+SUMIF('2022'!B:B,B3313,'2022'!C:C)</f>
        <v>1838591.9000000001</v>
      </c>
      <c r="O3313" s="219">
        <v>44925</v>
      </c>
      <c r="P3313" s="48" t="s">
        <v>3728</v>
      </c>
    </row>
    <row r="3314" spans="1:16" x14ac:dyDescent="0.3">
      <c r="A3314" s="59">
        <f t="shared" si="276"/>
        <v>2985</v>
      </c>
      <c r="B3314" s="66" t="s">
        <v>3164</v>
      </c>
      <c r="C3314" s="184">
        <v>1969</v>
      </c>
      <c r="D3314" s="48"/>
      <c r="E3314" s="48" t="s">
        <v>3733</v>
      </c>
      <c r="F3314" s="218">
        <v>2</v>
      </c>
      <c r="G3314" s="48"/>
      <c r="H3314" s="184">
        <v>443.9</v>
      </c>
      <c r="I3314" s="218">
        <v>21</v>
      </c>
      <c r="J3314" s="19">
        <f t="shared" si="277"/>
        <v>1011601.18</v>
      </c>
      <c r="K3314" s="48"/>
      <c r="L3314" s="48"/>
      <c r="M3314" s="48"/>
      <c r="N3314" s="19">
        <f>SUMIF('2020'!B:B,B3314,'2020'!C:C)+SUMIF('2021'!B:B,B3314,'2021'!C:C)+SUMIF('2022'!B:B,B3314,'2022'!C:C)</f>
        <v>1011601.18</v>
      </c>
      <c r="O3314" s="219">
        <v>44925</v>
      </c>
      <c r="P3314" s="48" t="s">
        <v>3728</v>
      </c>
    </row>
    <row r="3315" spans="1:16" x14ac:dyDescent="0.3">
      <c r="A3315" s="59">
        <f t="shared" ref="A3315:A3322" si="278">A3314+1</f>
        <v>2986</v>
      </c>
      <c r="B3315" s="66" t="s">
        <v>3165</v>
      </c>
      <c r="C3315" s="184">
        <v>1969</v>
      </c>
      <c r="D3315" s="48"/>
      <c r="E3315" s="48" t="s">
        <v>3733</v>
      </c>
      <c r="F3315" s="267">
        <v>5</v>
      </c>
      <c r="G3315" s="48"/>
      <c r="H3315" s="184">
        <v>3019.4</v>
      </c>
      <c r="I3315" s="267" t="s">
        <v>3778</v>
      </c>
      <c r="J3315" s="19">
        <f t="shared" si="277"/>
        <v>2005337.98</v>
      </c>
      <c r="K3315" s="48"/>
      <c r="L3315" s="48"/>
      <c r="M3315" s="48"/>
      <c r="N3315" s="19">
        <f>SUMIF('2020'!B:B,B3315,'2020'!C:C)+SUMIF('2021'!B:B,B3315,'2021'!C:C)+SUMIF('2022'!B:B,B3315,'2022'!C:C)</f>
        <v>2005337.98</v>
      </c>
      <c r="O3315" s="219">
        <v>44925</v>
      </c>
      <c r="P3315" s="48" t="s">
        <v>3728</v>
      </c>
    </row>
    <row r="3316" spans="1:16" x14ac:dyDescent="0.3">
      <c r="A3316" s="59">
        <f t="shared" si="278"/>
        <v>2987</v>
      </c>
      <c r="B3316" s="66" t="s">
        <v>3166</v>
      </c>
      <c r="C3316" s="184">
        <v>1969</v>
      </c>
      <c r="D3316" s="48"/>
      <c r="E3316" s="48" t="s">
        <v>3733</v>
      </c>
      <c r="F3316" s="267">
        <v>5</v>
      </c>
      <c r="G3316" s="48"/>
      <c r="H3316" s="184">
        <v>2065.1</v>
      </c>
      <c r="I3316" s="267" t="s">
        <v>4132</v>
      </c>
      <c r="J3316" s="19">
        <f t="shared" si="277"/>
        <v>1920877.1100000003</v>
      </c>
      <c r="K3316" s="48"/>
      <c r="L3316" s="48"/>
      <c r="M3316" s="48"/>
      <c r="N3316" s="19">
        <f>SUMIF('2020'!B:B,B3316,'2020'!C:C)+SUMIF('2021'!B:B,B3316,'2021'!C:C)+SUMIF('2022'!B:B,B3316,'2022'!C:C)</f>
        <v>1920877.1100000003</v>
      </c>
      <c r="O3316" s="219">
        <v>44925</v>
      </c>
      <c r="P3316" s="48" t="s">
        <v>3728</v>
      </c>
    </row>
    <row r="3317" spans="1:16" x14ac:dyDescent="0.3">
      <c r="A3317" s="59">
        <f t="shared" si="278"/>
        <v>2988</v>
      </c>
      <c r="B3317" s="66" t="s">
        <v>3167</v>
      </c>
      <c r="C3317" s="184">
        <v>1969</v>
      </c>
      <c r="D3317" s="48"/>
      <c r="E3317" s="48" t="s">
        <v>3733</v>
      </c>
      <c r="F3317" s="267">
        <v>5</v>
      </c>
      <c r="G3317" s="48"/>
      <c r="H3317" s="184">
        <v>8396.1</v>
      </c>
      <c r="I3317" s="267" t="s">
        <v>4164</v>
      </c>
      <c r="J3317" s="19">
        <f t="shared" si="277"/>
        <v>3697080.99</v>
      </c>
      <c r="K3317" s="48"/>
      <c r="L3317" s="48"/>
      <c r="M3317" s="48"/>
      <c r="N3317" s="19">
        <f>SUMIF('2020'!B:B,B3317,'2020'!C:C)+SUMIF('2021'!B:B,B3317,'2021'!C:C)+SUMIF('2022'!B:B,B3317,'2022'!C:C)</f>
        <v>3697080.99</v>
      </c>
      <c r="O3317" s="219">
        <v>44925</v>
      </c>
      <c r="P3317" s="48" t="s">
        <v>3728</v>
      </c>
    </row>
    <row r="3318" spans="1:16" x14ac:dyDescent="0.3">
      <c r="A3318" s="59">
        <f t="shared" si="278"/>
        <v>2989</v>
      </c>
      <c r="B3318" s="66" t="s">
        <v>3168</v>
      </c>
      <c r="C3318" s="184">
        <v>1969</v>
      </c>
      <c r="D3318" s="48"/>
      <c r="E3318" s="48" t="s">
        <v>3729</v>
      </c>
      <c r="F3318" s="267">
        <v>5</v>
      </c>
      <c r="G3318" s="48"/>
      <c r="H3318" s="184">
        <v>4335.2</v>
      </c>
      <c r="I3318" s="267" t="s">
        <v>4165</v>
      </c>
      <c r="J3318" s="19">
        <f t="shared" si="277"/>
        <v>20112824</v>
      </c>
      <c r="K3318" s="48"/>
      <c r="L3318" s="48"/>
      <c r="M3318" s="48"/>
      <c r="N3318" s="19">
        <f>SUMIF('2020'!B:B,B3318,'2020'!C:C)+SUMIF('2021'!B:B,B3318,'2021'!C:C)+SUMIF('2022'!B:B,B3318,'2022'!C:C)</f>
        <v>20112824</v>
      </c>
      <c r="O3318" s="219">
        <v>44925</v>
      </c>
      <c r="P3318" s="48" t="s">
        <v>3728</v>
      </c>
    </row>
    <row r="3319" spans="1:16" x14ac:dyDescent="0.3">
      <c r="A3319" s="59">
        <f t="shared" si="278"/>
        <v>2990</v>
      </c>
      <c r="B3319" s="66" t="s">
        <v>3169</v>
      </c>
      <c r="C3319" s="184">
        <v>1970</v>
      </c>
      <c r="D3319" s="48"/>
      <c r="E3319" s="48" t="s">
        <v>3729</v>
      </c>
      <c r="F3319" s="267">
        <v>5</v>
      </c>
      <c r="G3319" s="48"/>
      <c r="H3319" s="184">
        <v>4475.1000000000004</v>
      </c>
      <c r="I3319" s="267" t="s">
        <v>4166</v>
      </c>
      <c r="J3319" s="19">
        <f t="shared" si="277"/>
        <v>20992522.400000002</v>
      </c>
      <c r="K3319" s="48"/>
      <c r="L3319" s="48"/>
      <c r="M3319" s="48"/>
      <c r="N3319" s="19">
        <f>SUMIF('2020'!B:B,B3319,'2020'!C:C)+SUMIF('2021'!B:B,B3319,'2021'!C:C)+SUMIF('2022'!B:B,B3319,'2022'!C:C)</f>
        <v>20992522.400000002</v>
      </c>
      <c r="O3319" s="219">
        <v>44925</v>
      </c>
      <c r="P3319" s="48" t="s">
        <v>3728</v>
      </c>
    </row>
    <row r="3320" spans="1:16" x14ac:dyDescent="0.3">
      <c r="A3320" s="59">
        <f t="shared" si="278"/>
        <v>2991</v>
      </c>
      <c r="B3320" s="66" t="s">
        <v>3170</v>
      </c>
      <c r="C3320" s="184">
        <v>1974</v>
      </c>
      <c r="D3320" s="48"/>
      <c r="E3320" s="48" t="s">
        <v>3733</v>
      </c>
      <c r="F3320" s="267">
        <v>5</v>
      </c>
      <c r="G3320" s="48"/>
      <c r="H3320" s="184">
        <v>2699</v>
      </c>
      <c r="I3320" s="267" t="s">
        <v>3798</v>
      </c>
      <c r="J3320" s="19">
        <f t="shared" si="277"/>
        <v>1747276.2200000002</v>
      </c>
      <c r="K3320" s="48"/>
      <c r="L3320" s="48"/>
      <c r="M3320" s="48"/>
      <c r="N3320" s="19">
        <f>SUMIF('2020'!B:B,B3320,'2020'!C:C)+SUMIF('2021'!B:B,B3320,'2021'!C:C)+SUMIF('2022'!B:B,B3320,'2022'!C:C)</f>
        <v>1747276.2200000002</v>
      </c>
      <c r="O3320" s="219">
        <v>44925</v>
      </c>
      <c r="P3320" s="48" t="s">
        <v>3728</v>
      </c>
    </row>
    <row r="3321" spans="1:16" x14ac:dyDescent="0.3">
      <c r="A3321" s="59">
        <f t="shared" si="278"/>
        <v>2992</v>
      </c>
      <c r="B3321" s="66" t="s">
        <v>3171</v>
      </c>
      <c r="C3321" s="184">
        <v>1973</v>
      </c>
      <c r="D3321" s="48"/>
      <c r="E3321" s="48" t="s">
        <v>3733</v>
      </c>
      <c r="F3321" s="267">
        <v>5</v>
      </c>
      <c r="G3321" s="48"/>
      <c r="H3321" s="184">
        <v>4135.8</v>
      </c>
      <c r="I3321" s="267" t="s">
        <v>4145</v>
      </c>
      <c r="J3321" s="19">
        <f t="shared" si="277"/>
        <v>1852399.63</v>
      </c>
      <c r="K3321" s="48"/>
      <c r="L3321" s="48"/>
      <c r="M3321" s="48"/>
      <c r="N3321" s="19">
        <f>SUMIF('2020'!B:B,B3321,'2020'!C:C)+SUMIF('2021'!B:B,B3321,'2021'!C:C)+SUMIF('2022'!B:B,B3321,'2022'!C:C)</f>
        <v>1852399.63</v>
      </c>
      <c r="O3321" s="219">
        <v>44925</v>
      </c>
      <c r="P3321" s="48" t="s">
        <v>2042</v>
      </c>
    </row>
    <row r="3322" spans="1:16" x14ac:dyDescent="0.3">
      <c r="A3322" s="59">
        <f t="shared" si="278"/>
        <v>2993</v>
      </c>
      <c r="B3322" s="66" t="s">
        <v>3172</v>
      </c>
      <c r="C3322" s="184">
        <v>1972</v>
      </c>
      <c r="D3322" s="48"/>
      <c r="E3322" s="48" t="s">
        <v>3733</v>
      </c>
      <c r="F3322" s="267">
        <v>5</v>
      </c>
      <c r="G3322" s="48"/>
      <c r="H3322" s="184">
        <v>3288.1</v>
      </c>
      <c r="I3322" s="267" t="s">
        <v>4167</v>
      </c>
      <c r="J3322" s="19">
        <f t="shared" si="277"/>
        <v>1982440.9</v>
      </c>
      <c r="K3322" s="48"/>
      <c r="L3322" s="48"/>
      <c r="M3322" s="48"/>
      <c r="N3322" s="19">
        <f>SUMIF('2020'!B:B,B3322,'2020'!C:C)+SUMIF('2021'!B:B,B3322,'2021'!C:C)+SUMIF('2022'!B:B,B3322,'2022'!C:C)</f>
        <v>1982440.9</v>
      </c>
      <c r="O3322" s="219">
        <v>44925</v>
      </c>
      <c r="P3322" s="48" t="s">
        <v>3728</v>
      </c>
    </row>
    <row r="3323" spans="1:16" x14ac:dyDescent="0.3">
      <c r="A3323" s="59">
        <f t="shared" ref="A3323:A3341" si="279">A3322+1</f>
        <v>2994</v>
      </c>
      <c r="B3323" s="66" t="s">
        <v>3173</v>
      </c>
      <c r="C3323" s="184">
        <v>1971</v>
      </c>
      <c r="D3323" s="48"/>
      <c r="E3323" s="48" t="s">
        <v>3733</v>
      </c>
      <c r="F3323" s="267">
        <v>5</v>
      </c>
      <c r="G3323" s="48"/>
      <c r="H3323" s="184">
        <v>2972.2</v>
      </c>
      <c r="I3323" s="267" t="s">
        <v>4162</v>
      </c>
      <c r="J3323" s="19">
        <f t="shared" si="277"/>
        <v>16590135.42</v>
      </c>
      <c r="K3323" s="48"/>
      <c r="L3323" s="48"/>
      <c r="M3323" s="48"/>
      <c r="N3323" s="19">
        <f>SUMIF('2020'!B:B,B3323,'2020'!C:C)+SUMIF('2021'!B:B,B3323,'2021'!C:C)+SUMIF('2022'!B:B,B3323,'2022'!C:C)</f>
        <v>16590135.42</v>
      </c>
      <c r="O3323" s="219">
        <v>44925</v>
      </c>
      <c r="P3323" s="48" t="s">
        <v>3728</v>
      </c>
    </row>
    <row r="3324" spans="1:16" x14ac:dyDescent="0.3">
      <c r="A3324" s="59">
        <f t="shared" si="279"/>
        <v>2995</v>
      </c>
      <c r="B3324" s="66" t="s">
        <v>3174</v>
      </c>
      <c r="C3324" s="184">
        <v>1985</v>
      </c>
      <c r="D3324" s="48"/>
      <c r="E3324" s="48" t="s">
        <v>3733</v>
      </c>
      <c r="F3324" s="267">
        <v>9</v>
      </c>
      <c r="G3324" s="48"/>
      <c r="H3324" s="184">
        <v>4610.8</v>
      </c>
      <c r="I3324" s="267" t="s">
        <v>4168</v>
      </c>
      <c r="J3324" s="19">
        <f t="shared" si="277"/>
        <v>6637795.6999999993</v>
      </c>
      <c r="K3324" s="48"/>
      <c r="L3324" s="48"/>
      <c r="M3324" s="48"/>
      <c r="N3324" s="19">
        <f>SUMIF('2020'!B:B,B3324,'2020'!C:C)+SUMIF('2021'!B:B,B3324,'2021'!C:C)+SUMIF('2022'!B:B,B3324,'2022'!C:C)</f>
        <v>6637795.6999999993</v>
      </c>
      <c r="O3324" s="219">
        <v>44925</v>
      </c>
      <c r="P3324" s="48" t="s">
        <v>3728</v>
      </c>
    </row>
    <row r="3325" spans="1:16" x14ac:dyDescent="0.3">
      <c r="A3325" s="59">
        <f t="shared" si="279"/>
        <v>2996</v>
      </c>
      <c r="B3325" s="66" t="s">
        <v>3175</v>
      </c>
      <c r="C3325" s="184">
        <v>1971</v>
      </c>
      <c r="D3325" s="48"/>
      <c r="E3325" s="48" t="s">
        <v>3731</v>
      </c>
      <c r="F3325" s="267">
        <v>5</v>
      </c>
      <c r="G3325" s="48"/>
      <c r="H3325" s="184">
        <v>5186.8999999999996</v>
      </c>
      <c r="I3325" s="267" t="s">
        <v>4147</v>
      </c>
      <c r="J3325" s="19">
        <f t="shared" si="277"/>
        <v>4857608.29</v>
      </c>
      <c r="K3325" s="48"/>
      <c r="L3325" s="48"/>
      <c r="M3325" s="48"/>
      <c r="N3325" s="19">
        <f>SUMIF('2020'!B:B,B3325,'2020'!C:C)+SUMIF('2021'!B:B,B3325,'2021'!C:C)+SUMIF('2022'!B:B,B3325,'2022'!C:C)</f>
        <v>4857608.29</v>
      </c>
      <c r="O3325" s="219">
        <v>44925</v>
      </c>
      <c r="P3325" s="48" t="s">
        <v>3728</v>
      </c>
    </row>
    <row r="3326" spans="1:16" x14ac:dyDescent="0.3">
      <c r="A3326" s="59">
        <f t="shared" si="279"/>
        <v>2997</v>
      </c>
      <c r="B3326" s="66" t="s">
        <v>3176</v>
      </c>
      <c r="C3326" s="184">
        <v>1971</v>
      </c>
      <c r="D3326" s="48"/>
      <c r="E3326" s="48" t="s">
        <v>3733</v>
      </c>
      <c r="F3326" s="218">
        <v>9</v>
      </c>
      <c r="G3326" s="48"/>
      <c r="H3326" s="184">
        <v>1946.2</v>
      </c>
      <c r="I3326" s="218">
        <v>73</v>
      </c>
      <c r="J3326" s="19">
        <f t="shared" si="277"/>
        <v>1345581.6600000001</v>
      </c>
      <c r="K3326" s="48"/>
      <c r="L3326" s="48"/>
      <c r="M3326" s="48"/>
      <c r="N3326" s="19">
        <f>SUMIF('2020'!B:B,B3326,'2020'!C:C)+SUMIF('2021'!B:B,B3326,'2021'!C:C)+SUMIF('2022'!B:B,B3326,'2022'!C:C)</f>
        <v>1345581.6600000001</v>
      </c>
      <c r="O3326" s="219">
        <v>44925</v>
      </c>
      <c r="P3326" s="48" t="s">
        <v>3728</v>
      </c>
    </row>
    <row r="3327" spans="1:16" x14ac:dyDescent="0.3">
      <c r="A3327" s="59">
        <f t="shared" si="279"/>
        <v>2998</v>
      </c>
      <c r="B3327" s="66" t="s">
        <v>3177</v>
      </c>
      <c r="C3327" s="184">
        <v>1977</v>
      </c>
      <c r="D3327" s="48"/>
      <c r="E3327" s="48" t="s">
        <v>3733</v>
      </c>
      <c r="F3327" s="267">
        <v>12</v>
      </c>
      <c r="G3327" s="48"/>
      <c r="H3327" s="184">
        <v>3979.8</v>
      </c>
      <c r="I3327" s="267" t="s">
        <v>4121</v>
      </c>
      <c r="J3327" s="19">
        <f t="shared" si="277"/>
        <v>1900544.42</v>
      </c>
      <c r="K3327" s="48"/>
      <c r="L3327" s="48"/>
      <c r="M3327" s="48"/>
      <c r="N3327" s="19">
        <f>SUMIF('2020'!B:B,B3327,'2020'!C:C)+SUMIF('2021'!B:B,B3327,'2021'!C:C)+SUMIF('2022'!B:B,B3327,'2022'!C:C)</f>
        <v>1900544.42</v>
      </c>
      <c r="O3327" s="219">
        <v>44925</v>
      </c>
      <c r="P3327" s="48" t="s">
        <v>3728</v>
      </c>
    </row>
    <row r="3328" spans="1:16" x14ac:dyDescent="0.3">
      <c r="A3328" s="59">
        <f t="shared" si="279"/>
        <v>2999</v>
      </c>
      <c r="B3328" s="66" t="s">
        <v>3178</v>
      </c>
      <c r="C3328" s="184">
        <v>1977</v>
      </c>
      <c r="D3328" s="48"/>
      <c r="E3328" s="48" t="s">
        <v>3733</v>
      </c>
      <c r="F3328" s="267">
        <v>12</v>
      </c>
      <c r="G3328" s="48"/>
      <c r="H3328" s="184">
        <v>3902.4</v>
      </c>
      <c r="I3328" s="267" t="s">
        <v>3678</v>
      </c>
      <c r="J3328" s="19">
        <f t="shared" si="277"/>
        <v>1746930.7000000002</v>
      </c>
      <c r="K3328" s="48"/>
      <c r="L3328" s="48"/>
      <c r="M3328" s="48"/>
      <c r="N3328" s="19">
        <f>SUMIF('2020'!B:B,B3328,'2020'!C:C)+SUMIF('2021'!B:B,B3328,'2021'!C:C)+SUMIF('2022'!B:B,B3328,'2022'!C:C)</f>
        <v>1746930.7000000002</v>
      </c>
      <c r="O3328" s="219">
        <v>44925</v>
      </c>
      <c r="P3328" s="48" t="s">
        <v>3728</v>
      </c>
    </row>
    <row r="3329" spans="1:16" x14ac:dyDescent="0.3">
      <c r="A3329" s="59">
        <f t="shared" si="279"/>
        <v>3000</v>
      </c>
      <c r="B3329" s="66" t="s">
        <v>3179</v>
      </c>
      <c r="C3329" s="184">
        <v>1974</v>
      </c>
      <c r="D3329" s="48"/>
      <c r="E3329" s="48" t="s">
        <v>3729</v>
      </c>
      <c r="F3329" s="267">
        <v>9</v>
      </c>
      <c r="G3329" s="48"/>
      <c r="H3329" s="184">
        <v>7834.4</v>
      </c>
      <c r="I3329" s="267" t="s">
        <v>4169</v>
      </c>
      <c r="J3329" s="19">
        <f t="shared" si="277"/>
        <v>2148653.7999999998</v>
      </c>
      <c r="K3329" s="48"/>
      <c r="L3329" s="48"/>
      <c r="M3329" s="48"/>
      <c r="N3329" s="19">
        <f>SUMIF('2020'!B:B,B3329,'2020'!C:C)+SUMIF('2021'!B:B,B3329,'2021'!C:C)+SUMIF('2022'!B:B,B3329,'2022'!C:C)</f>
        <v>2148653.7999999998</v>
      </c>
      <c r="O3329" s="219">
        <v>44925</v>
      </c>
      <c r="P3329" s="48" t="s">
        <v>3728</v>
      </c>
    </row>
    <row r="3330" spans="1:16" x14ac:dyDescent="0.3">
      <c r="A3330" s="59">
        <f t="shared" si="279"/>
        <v>3001</v>
      </c>
      <c r="B3330" s="66" t="s">
        <v>3180</v>
      </c>
      <c r="C3330" s="184">
        <v>1973</v>
      </c>
      <c r="D3330" s="48"/>
      <c r="E3330" s="48" t="s">
        <v>3729</v>
      </c>
      <c r="F3330" s="267">
        <v>5</v>
      </c>
      <c r="G3330" s="48"/>
      <c r="H3330" s="184">
        <v>4340.8999999999996</v>
      </c>
      <c r="I3330" s="267" t="s">
        <v>4170</v>
      </c>
      <c r="J3330" s="19">
        <f t="shared" si="277"/>
        <v>1537970.48</v>
      </c>
      <c r="K3330" s="48"/>
      <c r="L3330" s="48"/>
      <c r="M3330" s="48"/>
      <c r="N3330" s="19">
        <f>SUMIF('2020'!B:B,B3330,'2020'!C:C)+SUMIF('2021'!B:B,B3330,'2021'!C:C)+SUMIF('2022'!B:B,B3330,'2022'!C:C)</f>
        <v>1537970.48</v>
      </c>
      <c r="O3330" s="219">
        <v>44925</v>
      </c>
      <c r="P3330" s="48" t="s">
        <v>3728</v>
      </c>
    </row>
    <row r="3331" spans="1:16" x14ac:dyDescent="0.3">
      <c r="A3331" s="59">
        <f t="shared" si="279"/>
        <v>3002</v>
      </c>
      <c r="B3331" s="66" t="s">
        <v>3181</v>
      </c>
      <c r="C3331" s="184">
        <v>1974</v>
      </c>
      <c r="D3331" s="48"/>
      <c r="E3331" s="48" t="s">
        <v>3729</v>
      </c>
      <c r="F3331" s="267">
        <v>9</v>
      </c>
      <c r="G3331" s="48"/>
      <c r="H3331" s="184">
        <v>7927.2</v>
      </c>
      <c r="I3331" s="267" t="s">
        <v>4171</v>
      </c>
      <c r="J3331" s="19">
        <f t="shared" si="277"/>
        <v>2152378.94</v>
      </c>
      <c r="K3331" s="48"/>
      <c r="L3331" s="48"/>
      <c r="M3331" s="48"/>
      <c r="N3331" s="19">
        <f>SUMIF('2020'!B:B,B3331,'2020'!C:C)+SUMIF('2021'!B:B,B3331,'2021'!C:C)+SUMIF('2022'!B:B,B3331,'2022'!C:C)</f>
        <v>2152378.94</v>
      </c>
      <c r="O3331" s="219">
        <v>44925</v>
      </c>
      <c r="P3331" s="48" t="s">
        <v>3728</v>
      </c>
    </row>
    <row r="3332" spans="1:16" x14ac:dyDescent="0.3">
      <c r="A3332" s="59">
        <f t="shared" si="279"/>
        <v>3003</v>
      </c>
      <c r="B3332" s="66" t="s">
        <v>3182</v>
      </c>
      <c r="C3332" s="184">
        <v>1975</v>
      </c>
      <c r="D3332" s="48"/>
      <c r="E3332" s="48" t="s">
        <v>3729</v>
      </c>
      <c r="F3332" s="267">
        <v>9</v>
      </c>
      <c r="G3332" s="48"/>
      <c r="H3332" s="184">
        <v>7861.3</v>
      </c>
      <c r="I3332" s="267" t="s">
        <v>4172</v>
      </c>
      <c r="J3332" s="19">
        <f t="shared" si="277"/>
        <v>2128576.54</v>
      </c>
      <c r="K3332" s="48"/>
      <c r="L3332" s="48"/>
      <c r="M3332" s="48"/>
      <c r="N3332" s="19">
        <f>SUMIF('2020'!B:B,B3332,'2020'!C:C)+SUMIF('2021'!B:B,B3332,'2021'!C:C)+SUMIF('2022'!B:B,B3332,'2022'!C:C)</f>
        <v>2128576.54</v>
      </c>
      <c r="O3332" s="219">
        <v>44925</v>
      </c>
      <c r="P3332" s="48" t="s">
        <v>3728</v>
      </c>
    </row>
    <row r="3333" spans="1:16" x14ac:dyDescent="0.3">
      <c r="A3333" s="59">
        <f t="shared" si="279"/>
        <v>3004</v>
      </c>
      <c r="B3333" s="66" t="s">
        <v>3183</v>
      </c>
      <c r="C3333" s="184">
        <v>1975</v>
      </c>
      <c r="D3333" s="48"/>
      <c r="E3333" s="48" t="s">
        <v>3729</v>
      </c>
      <c r="F3333" s="267">
        <v>9</v>
      </c>
      <c r="G3333" s="48"/>
      <c r="H3333" s="184">
        <v>7856.6</v>
      </c>
      <c r="I3333" s="267" t="s">
        <v>4173</v>
      </c>
      <c r="J3333" s="19">
        <f t="shared" si="277"/>
        <v>2152849.94</v>
      </c>
      <c r="K3333" s="48"/>
      <c r="L3333" s="48"/>
      <c r="M3333" s="48"/>
      <c r="N3333" s="19">
        <f>SUMIF('2020'!B:B,B3333,'2020'!C:C)+SUMIF('2021'!B:B,B3333,'2021'!C:C)+SUMIF('2022'!B:B,B3333,'2022'!C:C)</f>
        <v>2152849.94</v>
      </c>
      <c r="O3333" s="219">
        <v>44925</v>
      </c>
      <c r="P3333" s="48" t="s">
        <v>3728</v>
      </c>
    </row>
    <row r="3334" spans="1:16" x14ac:dyDescent="0.3">
      <c r="A3334" s="59">
        <f t="shared" si="279"/>
        <v>3005</v>
      </c>
      <c r="B3334" s="66" t="s">
        <v>3184</v>
      </c>
      <c r="C3334" s="184">
        <v>1977</v>
      </c>
      <c r="D3334" s="48"/>
      <c r="E3334" s="48" t="s">
        <v>3733</v>
      </c>
      <c r="F3334" s="267">
        <v>5</v>
      </c>
      <c r="G3334" s="48"/>
      <c r="H3334" s="184">
        <v>4150.1000000000004</v>
      </c>
      <c r="I3334" s="267" t="s">
        <v>4174</v>
      </c>
      <c r="J3334" s="19">
        <f t="shared" si="277"/>
        <v>1609576.82</v>
      </c>
      <c r="K3334" s="48"/>
      <c r="L3334" s="48"/>
      <c r="M3334" s="48"/>
      <c r="N3334" s="19">
        <f>SUMIF('2020'!B:B,B3334,'2020'!C:C)+SUMIF('2021'!B:B,B3334,'2021'!C:C)+SUMIF('2022'!B:B,B3334,'2022'!C:C)</f>
        <v>1609576.82</v>
      </c>
      <c r="O3334" s="219">
        <v>44925</v>
      </c>
      <c r="P3334" s="48" t="s">
        <v>2042</v>
      </c>
    </row>
    <row r="3335" spans="1:16" x14ac:dyDescent="0.3">
      <c r="A3335" s="59">
        <f t="shared" si="279"/>
        <v>3006</v>
      </c>
      <c r="B3335" s="66" t="s">
        <v>3185</v>
      </c>
      <c r="C3335" s="184">
        <v>1976</v>
      </c>
      <c r="D3335" s="48"/>
      <c r="E3335" s="48" t="s">
        <v>3731</v>
      </c>
      <c r="F3335" s="267">
        <v>9</v>
      </c>
      <c r="G3335" s="48"/>
      <c r="H3335" s="184">
        <v>7833.7</v>
      </c>
      <c r="I3335" s="267" t="s">
        <v>4144</v>
      </c>
      <c r="J3335" s="19">
        <f t="shared" si="277"/>
        <v>2256725.7000000002</v>
      </c>
      <c r="K3335" s="48"/>
      <c r="L3335" s="48"/>
      <c r="M3335" s="48"/>
      <c r="N3335" s="19">
        <f>SUMIF('2020'!B:B,B3335,'2020'!C:C)+SUMIF('2021'!B:B,B3335,'2021'!C:C)+SUMIF('2022'!B:B,B3335,'2022'!C:C)</f>
        <v>2256725.7000000002</v>
      </c>
      <c r="O3335" s="219">
        <v>44925</v>
      </c>
      <c r="P3335" s="48" t="s">
        <v>3728</v>
      </c>
    </row>
    <row r="3336" spans="1:16" x14ac:dyDescent="0.3">
      <c r="A3336" s="59">
        <f t="shared" si="279"/>
        <v>3007</v>
      </c>
      <c r="B3336" s="66" t="s">
        <v>3186</v>
      </c>
      <c r="C3336" s="184">
        <v>1977</v>
      </c>
      <c r="D3336" s="48"/>
      <c r="E3336" s="48" t="s">
        <v>3733</v>
      </c>
      <c r="F3336" s="267">
        <v>5</v>
      </c>
      <c r="G3336" s="48"/>
      <c r="H3336" s="184">
        <v>4134.1000000000004</v>
      </c>
      <c r="I3336" s="267" t="s">
        <v>4121</v>
      </c>
      <c r="J3336" s="19">
        <f t="shared" si="277"/>
        <v>2131684.46</v>
      </c>
      <c r="K3336" s="48"/>
      <c r="L3336" s="48"/>
      <c r="M3336" s="48"/>
      <c r="N3336" s="19">
        <f>SUMIF('2020'!B:B,B3336,'2020'!C:C)+SUMIF('2021'!B:B,B3336,'2021'!C:C)+SUMIF('2022'!B:B,B3336,'2022'!C:C)</f>
        <v>2131684.46</v>
      </c>
      <c r="O3336" s="219">
        <v>44925</v>
      </c>
      <c r="P3336" s="48" t="s">
        <v>3728</v>
      </c>
    </row>
    <row r="3337" spans="1:16" x14ac:dyDescent="0.3">
      <c r="A3337" s="59">
        <f t="shared" si="279"/>
        <v>3008</v>
      </c>
      <c r="B3337" s="66" t="s">
        <v>3187</v>
      </c>
      <c r="C3337" s="184">
        <v>1978</v>
      </c>
      <c r="D3337" s="48"/>
      <c r="E3337" s="48" t="s">
        <v>3733</v>
      </c>
      <c r="F3337" s="218">
        <v>12</v>
      </c>
      <c r="G3337" s="48"/>
      <c r="H3337" s="48">
        <v>3887.9</v>
      </c>
      <c r="I3337" s="218">
        <v>178</v>
      </c>
      <c r="J3337" s="19">
        <f t="shared" si="277"/>
        <v>1784504.78</v>
      </c>
      <c r="K3337" s="48"/>
      <c r="L3337" s="48"/>
      <c r="M3337" s="48"/>
      <c r="N3337" s="19">
        <f>SUMIF('2020'!B:B,B3337,'2020'!C:C)+SUMIF('2021'!B:B,B3337,'2021'!C:C)+SUMIF('2022'!B:B,B3337,'2022'!C:C)</f>
        <v>1784504.78</v>
      </c>
      <c r="O3337" s="219">
        <v>44925</v>
      </c>
      <c r="P3337" s="48" t="s">
        <v>3728</v>
      </c>
    </row>
    <row r="3338" spans="1:16" x14ac:dyDescent="0.3">
      <c r="A3338" s="59">
        <f t="shared" si="279"/>
        <v>3009</v>
      </c>
      <c r="B3338" s="66" t="s">
        <v>3188</v>
      </c>
      <c r="C3338" s="184">
        <v>1971</v>
      </c>
      <c r="D3338" s="48"/>
      <c r="E3338" s="48" t="s">
        <v>3733</v>
      </c>
      <c r="F3338" s="267">
        <v>9</v>
      </c>
      <c r="G3338" s="48"/>
      <c r="H3338" s="184">
        <v>1965.8</v>
      </c>
      <c r="I3338" s="267" t="s">
        <v>3664</v>
      </c>
      <c r="J3338" s="19">
        <f t="shared" si="277"/>
        <v>1377704.77</v>
      </c>
      <c r="K3338" s="48"/>
      <c r="L3338" s="48"/>
      <c r="M3338" s="48"/>
      <c r="N3338" s="19">
        <f>SUMIF('2020'!B:B,B3338,'2020'!C:C)+SUMIF('2021'!B:B,B3338,'2021'!C:C)+SUMIF('2022'!B:B,B3338,'2022'!C:C)</f>
        <v>1377704.77</v>
      </c>
      <c r="O3338" s="219">
        <v>44925</v>
      </c>
      <c r="P3338" s="48" t="s">
        <v>3728</v>
      </c>
    </row>
    <row r="3339" spans="1:16" x14ac:dyDescent="0.3">
      <c r="A3339" s="59">
        <f t="shared" si="279"/>
        <v>3010</v>
      </c>
      <c r="B3339" s="66" t="s">
        <v>3189</v>
      </c>
      <c r="C3339" s="184">
        <v>1971</v>
      </c>
      <c r="D3339" s="48"/>
      <c r="E3339" s="48" t="s">
        <v>3733</v>
      </c>
      <c r="F3339" s="267">
        <v>9</v>
      </c>
      <c r="G3339" s="48"/>
      <c r="H3339" s="184">
        <v>1966.5</v>
      </c>
      <c r="I3339" s="267" t="s">
        <v>3684</v>
      </c>
      <c r="J3339" s="19">
        <f t="shared" si="277"/>
        <v>1423049.74</v>
      </c>
      <c r="K3339" s="48"/>
      <c r="L3339" s="48"/>
      <c r="M3339" s="48"/>
      <c r="N3339" s="19">
        <f>SUMIF('2020'!B:B,B3339,'2020'!C:C)+SUMIF('2021'!B:B,B3339,'2021'!C:C)+SUMIF('2022'!B:B,B3339,'2022'!C:C)</f>
        <v>1423049.74</v>
      </c>
      <c r="O3339" s="219">
        <v>44925</v>
      </c>
      <c r="P3339" s="48" t="s">
        <v>3728</v>
      </c>
    </row>
    <row r="3340" spans="1:16" x14ac:dyDescent="0.3">
      <c r="A3340" s="59">
        <f t="shared" si="279"/>
        <v>3011</v>
      </c>
      <c r="B3340" s="66" t="s">
        <v>3190</v>
      </c>
      <c r="C3340" s="184">
        <v>1970</v>
      </c>
      <c r="D3340" s="48"/>
      <c r="E3340" s="48" t="s">
        <v>3733</v>
      </c>
      <c r="F3340" s="267">
        <v>5</v>
      </c>
      <c r="G3340" s="48"/>
      <c r="H3340" s="184">
        <v>2065.5</v>
      </c>
      <c r="I3340" s="267" t="s">
        <v>4175</v>
      </c>
      <c r="J3340" s="19">
        <f t="shared" si="277"/>
        <v>1931632.53</v>
      </c>
      <c r="K3340" s="48"/>
      <c r="L3340" s="48"/>
      <c r="M3340" s="48"/>
      <c r="N3340" s="19">
        <f>SUMIF('2020'!B:B,B3340,'2020'!C:C)+SUMIF('2021'!B:B,B3340,'2021'!C:C)+SUMIF('2022'!B:B,B3340,'2022'!C:C)</f>
        <v>1931632.53</v>
      </c>
      <c r="O3340" s="219">
        <v>44925</v>
      </c>
      <c r="P3340" s="48" t="s">
        <v>3728</v>
      </c>
    </row>
    <row r="3341" spans="1:16" x14ac:dyDescent="0.3">
      <c r="A3341" s="59">
        <f t="shared" si="279"/>
        <v>3012</v>
      </c>
      <c r="B3341" s="66" t="s">
        <v>3191</v>
      </c>
      <c r="C3341" s="184">
        <v>1976</v>
      </c>
      <c r="D3341" s="48"/>
      <c r="E3341" s="48" t="s">
        <v>3733</v>
      </c>
      <c r="F3341" s="218">
        <v>5</v>
      </c>
      <c r="G3341" s="48"/>
      <c r="H3341" s="184">
        <v>4036.2</v>
      </c>
      <c r="I3341" s="218">
        <v>171</v>
      </c>
      <c r="J3341" s="19">
        <f t="shared" si="277"/>
        <v>16338425.4</v>
      </c>
      <c r="K3341" s="48"/>
      <c r="L3341" s="48"/>
      <c r="M3341" s="48"/>
      <c r="N3341" s="19">
        <f>SUMIF('2020'!B:B,B3341,'2020'!C:C)+SUMIF('2021'!B:B,B3341,'2021'!C:C)+SUMIF('2022'!B:B,B3341,'2022'!C:C)</f>
        <v>16338425.4</v>
      </c>
      <c r="O3341" s="219">
        <v>44925</v>
      </c>
      <c r="P3341" s="48" t="s">
        <v>3728</v>
      </c>
    </row>
    <row r="3342" spans="1:16" s="160" customFormat="1" x14ac:dyDescent="0.3">
      <c r="A3342" s="479" t="s">
        <v>3192</v>
      </c>
      <c r="B3342" s="480"/>
      <c r="C3342" s="172"/>
      <c r="D3342" s="172"/>
      <c r="E3342" s="172"/>
      <c r="F3342" s="172"/>
      <c r="G3342" s="172"/>
      <c r="H3342" s="172">
        <f>SUM(H3185:H3341)</f>
        <v>538043.92000000004</v>
      </c>
      <c r="I3342" s="255">
        <f>SUM(I3185:I3341)</f>
        <v>4909</v>
      </c>
      <c r="J3342" s="162">
        <f t="shared" si="277"/>
        <v>827253401.1700002</v>
      </c>
      <c r="K3342" s="172">
        <v>0</v>
      </c>
      <c r="L3342" s="172">
        <v>0</v>
      </c>
      <c r="M3342" s="172">
        <v>0</v>
      </c>
      <c r="N3342" s="172">
        <f>SUM(N3185:N3341)</f>
        <v>827253401.1700002</v>
      </c>
      <c r="O3342" s="172"/>
      <c r="P3342" s="172"/>
    </row>
    <row r="3343" spans="1:16" s="160" customFormat="1" x14ac:dyDescent="0.3">
      <c r="A3343" s="476" t="s">
        <v>3193</v>
      </c>
      <c r="B3343" s="477"/>
      <c r="C3343" s="477"/>
      <c r="D3343" s="477"/>
      <c r="E3343" s="477"/>
      <c r="F3343" s="477"/>
      <c r="G3343" s="477"/>
      <c r="H3343" s="477"/>
      <c r="I3343" s="477"/>
      <c r="J3343" s="477"/>
      <c r="K3343" s="477"/>
      <c r="L3343" s="477"/>
      <c r="M3343" s="477"/>
      <c r="N3343" s="477"/>
      <c r="O3343" s="477"/>
      <c r="P3343" s="477"/>
    </row>
    <row r="3344" spans="1:16" x14ac:dyDescent="0.3">
      <c r="A3344" s="472" t="s">
        <v>145</v>
      </c>
      <c r="B3344" s="473"/>
      <c r="C3344" s="172"/>
      <c r="D3344" s="172"/>
      <c r="E3344" s="172"/>
      <c r="F3344" s="172"/>
      <c r="G3344" s="172"/>
      <c r="H3344" s="172"/>
      <c r="I3344" s="172"/>
      <c r="J3344" s="172"/>
      <c r="K3344" s="172"/>
      <c r="L3344" s="172"/>
      <c r="M3344" s="172"/>
      <c r="N3344" s="172"/>
      <c r="O3344" s="172"/>
      <c r="P3344" s="172"/>
    </row>
    <row r="3345" spans="1:16" x14ac:dyDescent="0.3">
      <c r="A3345" s="59">
        <f>A3341+1</f>
        <v>3013</v>
      </c>
      <c r="B3345" s="66" t="s">
        <v>3194</v>
      </c>
      <c r="C3345" s="184">
        <v>1963</v>
      </c>
      <c r="D3345" s="51"/>
      <c r="E3345" s="48" t="s">
        <v>3733</v>
      </c>
      <c r="F3345" s="218">
        <v>2</v>
      </c>
      <c r="G3345" s="48"/>
      <c r="H3345" s="48">
        <v>318.7</v>
      </c>
      <c r="I3345" s="47">
        <v>14</v>
      </c>
      <c r="J3345" s="19">
        <f t="shared" ref="J3345:J3408" si="280">K3345+L3345+M3345+N3345</f>
        <v>467222.32999999996</v>
      </c>
      <c r="K3345" s="51"/>
      <c r="L3345" s="48"/>
      <c r="M3345" s="51"/>
      <c r="N3345" s="19">
        <f>SUMIF('2020'!B:B,B3345,'2020'!C:C)+SUMIF('2021'!B:B,B3345,'2021'!C:C)+SUMIF('2022'!B:B,B3345,'2022'!C:C)</f>
        <v>467222.32999999996</v>
      </c>
      <c r="O3345" s="219">
        <v>44925</v>
      </c>
      <c r="P3345" s="48" t="s">
        <v>3728</v>
      </c>
    </row>
    <row r="3346" spans="1:16" x14ac:dyDescent="0.3">
      <c r="A3346" s="59">
        <f>A3345+1</f>
        <v>3014</v>
      </c>
      <c r="B3346" s="66" t="s">
        <v>3195</v>
      </c>
      <c r="C3346" s="184">
        <v>1963</v>
      </c>
      <c r="D3346" s="51"/>
      <c r="E3346" s="48" t="s">
        <v>3733</v>
      </c>
      <c r="F3346" s="218">
        <v>2</v>
      </c>
      <c r="G3346" s="48"/>
      <c r="H3346" s="48">
        <v>629.20000000000005</v>
      </c>
      <c r="I3346" s="47">
        <v>33</v>
      </c>
      <c r="J3346" s="19">
        <f t="shared" si="280"/>
        <v>516129.01</v>
      </c>
      <c r="K3346" s="51"/>
      <c r="L3346" s="48"/>
      <c r="M3346" s="51"/>
      <c r="N3346" s="19">
        <f>SUMIF('2020'!B:B,B3346,'2020'!C:C)+SUMIF('2021'!B:B,B3346,'2021'!C:C)+SUMIF('2022'!B:B,B3346,'2022'!C:C)</f>
        <v>516129.01</v>
      </c>
      <c r="O3346" s="219">
        <v>44925</v>
      </c>
      <c r="P3346" s="48" t="s">
        <v>3728</v>
      </c>
    </row>
    <row r="3347" spans="1:16" x14ac:dyDescent="0.3">
      <c r="A3347" s="59">
        <f t="shared" ref="A3347:A3410" si="281">A3346+1</f>
        <v>3015</v>
      </c>
      <c r="B3347" s="66" t="s">
        <v>3196</v>
      </c>
      <c r="C3347" s="184">
        <v>1971</v>
      </c>
      <c r="D3347" s="51"/>
      <c r="E3347" s="48" t="s">
        <v>3733</v>
      </c>
      <c r="F3347" s="218">
        <v>2</v>
      </c>
      <c r="G3347" s="51"/>
      <c r="H3347" s="52">
        <v>882.6</v>
      </c>
      <c r="I3347" s="47">
        <v>49</v>
      </c>
      <c r="J3347" s="19">
        <f t="shared" si="280"/>
        <v>1316618.3999999999</v>
      </c>
      <c r="K3347" s="51"/>
      <c r="L3347" s="50"/>
      <c r="M3347" s="51"/>
      <c r="N3347" s="19">
        <f>SUMIF('2020'!B:B,B3347,'2020'!C:C)+SUMIF('2021'!B:B,B3347,'2021'!C:C)+SUMIF('2022'!B:B,B3347,'2022'!C:C)</f>
        <v>1316618.3999999999</v>
      </c>
      <c r="O3347" s="219">
        <v>44925</v>
      </c>
      <c r="P3347" s="48" t="s">
        <v>3728</v>
      </c>
    </row>
    <row r="3348" spans="1:16" x14ac:dyDescent="0.3">
      <c r="A3348" s="59">
        <f t="shared" si="281"/>
        <v>3016</v>
      </c>
      <c r="B3348" s="66" t="s">
        <v>3197</v>
      </c>
      <c r="C3348" s="184">
        <v>1972</v>
      </c>
      <c r="D3348" s="51"/>
      <c r="E3348" s="48" t="s">
        <v>3733</v>
      </c>
      <c r="F3348" s="218">
        <v>2</v>
      </c>
      <c r="G3348" s="51"/>
      <c r="H3348" s="52">
        <v>877.6</v>
      </c>
      <c r="I3348" s="47">
        <v>30</v>
      </c>
      <c r="J3348" s="19">
        <f t="shared" si="280"/>
        <v>1206667.2</v>
      </c>
      <c r="K3348" s="51"/>
      <c r="L3348" s="50"/>
      <c r="M3348" s="51"/>
      <c r="N3348" s="19">
        <f>SUMIF('2020'!B:B,B3348,'2020'!C:C)+SUMIF('2021'!B:B,B3348,'2021'!C:C)+SUMIF('2022'!B:B,B3348,'2022'!C:C)</f>
        <v>1206667.2</v>
      </c>
      <c r="O3348" s="219">
        <v>44925</v>
      </c>
      <c r="P3348" s="48" t="s">
        <v>3728</v>
      </c>
    </row>
    <row r="3349" spans="1:16" x14ac:dyDescent="0.3">
      <c r="A3349" s="59">
        <f t="shared" si="281"/>
        <v>3017</v>
      </c>
      <c r="B3349" s="66" t="s">
        <v>3198</v>
      </c>
      <c r="C3349" s="184">
        <v>1973</v>
      </c>
      <c r="D3349" s="51"/>
      <c r="E3349" s="48" t="s">
        <v>3733</v>
      </c>
      <c r="F3349" s="218">
        <v>2</v>
      </c>
      <c r="G3349" s="51"/>
      <c r="H3349" s="52">
        <v>888.9</v>
      </c>
      <c r="I3349" s="47">
        <v>35</v>
      </c>
      <c r="J3349" s="19">
        <f t="shared" si="280"/>
        <v>1180126.8</v>
      </c>
      <c r="K3349" s="51"/>
      <c r="L3349" s="50"/>
      <c r="M3349" s="51"/>
      <c r="N3349" s="19">
        <f>SUMIF('2020'!B:B,B3349,'2020'!C:C)+SUMIF('2021'!B:B,B3349,'2021'!C:C)+SUMIF('2022'!B:B,B3349,'2022'!C:C)</f>
        <v>1180126.8</v>
      </c>
      <c r="O3349" s="219">
        <v>44925</v>
      </c>
      <c r="P3349" s="48" t="s">
        <v>3728</v>
      </c>
    </row>
    <row r="3350" spans="1:16" x14ac:dyDescent="0.3">
      <c r="A3350" s="474" t="s">
        <v>211</v>
      </c>
      <c r="B3350" s="475"/>
      <c r="C3350" s="50"/>
      <c r="D3350" s="50"/>
      <c r="E3350" s="48"/>
      <c r="F3350" s="48"/>
      <c r="G3350" s="50"/>
      <c r="H3350" s="48">
        <f>SUM(H3345:H3349)</f>
        <v>3597</v>
      </c>
      <c r="I3350" s="218">
        <f>SUM(I3345:I3349)</f>
        <v>161</v>
      </c>
      <c r="J3350" s="19">
        <f t="shared" si="280"/>
        <v>4686763.7399999993</v>
      </c>
      <c r="K3350" s="50">
        <v>0</v>
      </c>
      <c r="L3350" s="50">
        <v>0</v>
      </c>
      <c r="M3350" s="50">
        <v>0</v>
      </c>
      <c r="N3350" s="50">
        <f>SUM(N3345:N3349)</f>
        <v>4686763.7399999993</v>
      </c>
      <c r="O3350" s="50"/>
      <c r="P3350" s="50"/>
    </row>
    <row r="3351" spans="1:16" x14ac:dyDescent="0.3">
      <c r="A3351" s="472" t="s">
        <v>3199</v>
      </c>
      <c r="B3351" s="473"/>
      <c r="C3351" s="50"/>
      <c r="D3351" s="51"/>
      <c r="E3351" s="52"/>
      <c r="F3351" s="52"/>
      <c r="G3351" s="51"/>
      <c r="H3351" s="52"/>
      <c r="I3351" s="52"/>
      <c r="J3351" s="19"/>
      <c r="K3351" s="51"/>
      <c r="L3351" s="50"/>
      <c r="M3351" s="51"/>
      <c r="N3351" s="51"/>
      <c r="O3351" s="50"/>
      <c r="P3351" s="50"/>
    </row>
    <row r="3352" spans="1:16" x14ac:dyDescent="0.3">
      <c r="A3352" s="59">
        <f>A3349+1</f>
        <v>3018</v>
      </c>
      <c r="B3352" s="66" t="s">
        <v>3200</v>
      </c>
      <c r="C3352" s="184">
        <v>1967</v>
      </c>
      <c r="D3352" s="51"/>
      <c r="E3352" s="52" t="s">
        <v>3733</v>
      </c>
      <c r="F3352" s="47">
        <v>2</v>
      </c>
      <c r="G3352" s="51"/>
      <c r="H3352" s="52">
        <v>497</v>
      </c>
      <c r="I3352" s="47">
        <v>32</v>
      </c>
      <c r="J3352" s="19">
        <f t="shared" si="280"/>
        <v>130000</v>
      </c>
      <c r="K3352" s="51"/>
      <c r="L3352" s="50"/>
      <c r="M3352" s="51"/>
      <c r="N3352" s="19">
        <f>SUMIF('2020'!B:B,B3352,'2020'!C:C)+SUMIF('2021'!B:B,B3352,'2021'!C:C)+SUMIF('2022'!B:B,B3352,'2022'!C:C)</f>
        <v>130000</v>
      </c>
      <c r="O3352" s="219">
        <v>44925</v>
      </c>
      <c r="P3352" s="48" t="s">
        <v>3728</v>
      </c>
    </row>
    <row r="3353" spans="1:16" x14ac:dyDescent="0.3">
      <c r="A3353" s="59">
        <f t="shared" si="281"/>
        <v>3019</v>
      </c>
      <c r="B3353" s="66" t="s">
        <v>3201</v>
      </c>
      <c r="C3353" s="184">
        <v>1967</v>
      </c>
      <c r="D3353" s="51"/>
      <c r="E3353" s="52" t="s">
        <v>3733</v>
      </c>
      <c r="F3353" s="47">
        <v>2</v>
      </c>
      <c r="G3353" s="51"/>
      <c r="H3353" s="52">
        <v>533</v>
      </c>
      <c r="I3353" s="47">
        <v>30</v>
      </c>
      <c r="J3353" s="19">
        <f t="shared" si="280"/>
        <v>130000</v>
      </c>
      <c r="K3353" s="51"/>
      <c r="L3353" s="50"/>
      <c r="M3353" s="51"/>
      <c r="N3353" s="19">
        <f>SUMIF('2020'!B:B,B3353,'2020'!C:C)+SUMIF('2021'!B:B,B3353,'2021'!C:C)+SUMIF('2022'!B:B,B3353,'2022'!C:C)</f>
        <v>130000</v>
      </c>
      <c r="O3353" s="219">
        <v>44925</v>
      </c>
      <c r="P3353" s="48" t="s">
        <v>3728</v>
      </c>
    </row>
    <row r="3354" spans="1:16" x14ac:dyDescent="0.3">
      <c r="A3354" s="59">
        <f t="shared" si="281"/>
        <v>3020</v>
      </c>
      <c r="B3354" s="66" t="s">
        <v>3202</v>
      </c>
      <c r="C3354" s="184">
        <v>1968</v>
      </c>
      <c r="D3354" s="51"/>
      <c r="E3354" s="52" t="s">
        <v>3733</v>
      </c>
      <c r="F3354" s="47">
        <v>2</v>
      </c>
      <c r="G3354" s="51"/>
      <c r="H3354" s="52">
        <v>498.6</v>
      </c>
      <c r="I3354" s="47">
        <v>23</v>
      </c>
      <c r="J3354" s="19">
        <f t="shared" si="280"/>
        <v>1390188.5</v>
      </c>
      <c r="K3354" s="51"/>
      <c r="L3354" s="50"/>
      <c r="M3354" s="51"/>
      <c r="N3354" s="19">
        <f>SUMIF('2020'!B:B,B3354,'2020'!C:C)+SUMIF('2021'!B:B,B3354,'2021'!C:C)+SUMIF('2022'!B:B,B3354,'2022'!C:C)</f>
        <v>1390188.5</v>
      </c>
      <c r="O3354" s="219">
        <v>44925</v>
      </c>
      <c r="P3354" s="48" t="s">
        <v>3728</v>
      </c>
    </row>
    <row r="3355" spans="1:16" x14ac:dyDescent="0.3">
      <c r="A3355" s="59">
        <f t="shared" si="281"/>
        <v>3021</v>
      </c>
      <c r="B3355" s="66" t="s">
        <v>3203</v>
      </c>
      <c r="C3355" s="184">
        <v>1969</v>
      </c>
      <c r="D3355" s="51"/>
      <c r="E3355" s="52" t="s">
        <v>3733</v>
      </c>
      <c r="F3355" s="47">
        <v>2</v>
      </c>
      <c r="G3355" s="51"/>
      <c r="H3355" s="52">
        <v>526</v>
      </c>
      <c r="I3355" s="47">
        <v>30</v>
      </c>
      <c r="J3355" s="19">
        <f t="shared" si="280"/>
        <v>169070.9</v>
      </c>
      <c r="K3355" s="51"/>
      <c r="L3355" s="50"/>
      <c r="M3355" s="51"/>
      <c r="N3355" s="19">
        <f>SUMIF('2020'!B:B,B3355,'2020'!C:C)+SUMIF('2021'!B:B,B3355,'2021'!C:C)+SUMIF('2022'!B:B,B3355,'2022'!C:C)</f>
        <v>169070.9</v>
      </c>
      <c r="O3355" s="219">
        <v>44925</v>
      </c>
      <c r="P3355" s="48" t="s">
        <v>3728</v>
      </c>
    </row>
    <row r="3356" spans="1:16" x14ac:dyDescent="0.3">
      <c r="A3356" s="59">
        <f t="shared" si="281"/>
        <v>3022</v>
      </c>
      <c r="B3356" s="66" t="s">
        <v>3204</v>
      </c>
      <c r="C3356" s="184">
        <v>1973</v>
      </c>
      <c r="D3356" s="51"/>
      <c r="E3356" s="48" t="s">
        <v>3729</v>
      </c>
      <c r="F3356" s="47">
        <v>3</v>
      </c>
      <c r="G3356" s="51"/>
      <c r="H3356" s="52">
        <v>1232.8</v>
      </c>
      <c r="I3356" s="47">
        <v>64</v>
      </c>
      <c r="J3356" s="19">
        <f t="shared" si="280"/>
        <v>216178.5</v>
      </c>
      <c r="K3356" s="51"/>
      <c r="L3356" s="50"/>
      <c r="M3356" s="51"/>
      <c r="N3356" s="19">
        <f>SUMIF('2020'!B:B,B3356,'2020'!C:C)+SUMIF('2021'!B:B,B3356,'2021'!C:C)+SUMIF('2022'!B:B,B3356,'2022'!C:C)</f>
        <v>216178.5</v>
      </c>
      <c r="O3356" s="219">
        <v>44925</v>
      </c>
      <c r="P3356" s="48" t="s">
        <v>3728</v>
      </c>
    </row>
    <row r="3357" spans="1:16" x14ac:dyDescent="0.3">
      <c r="A3357" s="59">
        <f t="shared" si="281"/>
        <v>3023</v>
      </c>
      <c r="B3357" s="66" t="s">
        <v>3205</v>
      </c>
      <c r="C3357" s="184">
        <v>1973</v>
      </c>
      <c r="D3357" s="51"/>
      <c r="E3357" s="48" t="s">
        <v>3729</v>
      </c>
      <c r="F3357" s="47">
        <v>3</v>
      </c>
      <c r="G3357" s="51"/>
      <c r="H3357" s="52">
        <v>1232.8</v>
      </c>
      <c r="I3357" s="47">
        <v>47</v>
      </c>
      <c r="J3357" s="19">
        <f t="shared" si="280"/>
        <v>216178.5</v>
      </c>
      <c r="K3357" s="51"/>
      <c r="L3357" s="50"/>
      <c r="M3357" s="51"/>
      <c r="N3357" s="19">
        <f>SUMIF('2020'!B:B,B3357,'2020'!C:C)+SUMIF('2021'!B:B,B3357,'2021'!C:C)+SUMIF('2022'!B:B,B3357,'2022'!C:C)</f>
        <v>216178.5</v>
      </c>
      <c r="O3357" s="219">
        <v>44925</v>
      </c>
      <c r="P3357" s="48" t="s">
        <v>3728</v>
      </c>
    </row>
    <row r="3358" spans="1:16" x14ac:dyDescent="0.3">
      <c r="A3358" s="59">
        <f t="shared" si="281"/>
        <v>3024</v>
      </c>
      <c r="B3358" s="66" t="s">
        <v>3206</v>
      </c>
      <c r="C3358" s="184">
        <v>1974</v>
      </c>
      <c r="D3358" s="51"/>
      <c r="E3358" s="48" t="s">
        <v>3729</v>
      </c>
      <c r="F3358" s="47">
        <v>3</v>
      </c>
      <c r="G3358" s="51"/>
      <c r="H3358" s="52">
        <v>1239.4000000000001</v>
      </c>
      <c r="I3358" s="47">
        <v>73</v>
      </c>
      <c r="J3358" s="19">
        <f t="shared" si="280"/>
        <v>99507.53</v>
      </c>
      <c r="K3358" s="51"/>
      <c r="L3358" s="50"/>
      <c r="M3358" s="51"/>
      <c r="N3358" s="19">
        <f>SUMIF('2020'!B:B,B3358,'2020'!C:C)+SUMIF('2021'!B:B,B3358,'2021'!C:C)+SUMIF('2022'!B:B,B3358,'2022'!C:C)</f>
        <v>99507.53</v>
      </c>
      <c r="O3358" s="219">
        <v>44925</v>
      </c>
      <c r="P3358" s="48" t="s">
        <v>3728</v>
      </c>
    </row>
    <row r="3359" spans="1:16" x14ac:dyDescent="0.3">
      <c r="A3359" s="59">
        <f t="shared" si="281"/>
        <v>3025</v>
      </c>
      <c r="B3359" s="66" t="s">
        <v>3207</v>
      </c>
      <c r="C3359" s="184">
        <v>1974</v>
      </c>
      <c r="D3359" s="51"/>
      <c r="E3359" s="48" t="s">
        <v>3729</v>
      </c>
      <c r="F3359" s="47">
        <v>3</v>
      </c>
      <c r="G3359" s="51"/>
      <c r="H3359" s="52">
        <v>1233.0999999999999</v>
      </c>
      <c r="I3359" s="47">
        <v>53</v>
      </c>
      <c r="J3359" s="19">
        <f t="shared" si="280"/>
        <v>117119.54</v>
      </c>
      <c r="K3359" s="51"/>
      <c r="L3359" s="50"/>
      <c r="M3359" s="51"/>
      <c r="N3359" s="19">
        <f>SUMIF('2020'!B:B,B3359,'2020'!C:C)+SUMIF('2021'!B:B,B3359,'2021'!C:C)+SUMIF('2022'!B:B,B3359,'2022'!C:C)</f>
        <v>117119.54</v>
      </c>
      <c r="O3359" s="219">
        <v>44925</v>
      </c>
      <c r="P3359" s="48" t="s">
        <v>3728</v>
      </c>
    </row>
    <row r="3360" spans="1:16" x14ac:dyDescent="0.3">
      <c r="A3360" s="474" t="s">
        <v>211</v>
      </c>
      <c r="B3360" s="475"/>
      <c r="C3360" s="50"/>
      <c r="D3360" s="50"/>
      <c r="E3360" s="48"/>
      <c r="F3360" s="48"/>
      <c r="G3360" s="50"/>
      <c r="H3360" s="48">
        <f>SUM(H3352:H3359)</f>
        <v>6992.7000000000007</v>
      </c>
      <c r="I3360" s="218">
        <f>SUM(I3352:I3359)</f>
        <v>352</v>
      </c>
      <c r="J3360" s="19">
        <f t="shared" si="280"/>
        <v>2468243.4699999997</v>
      </c>
      <c r="K3360" s="50">
        <v>0</v>
      </c>
      <c r="L3360" s="50">
        <v>0</v>
      </c>
      <c r="M3360" s="50">
        <v>0</v>
      </c>
      <c r="N3360" s="50">
        <f>SUM(N3352:N3359)</f>
        <v>2468243.4699999997</v>
      </c>
      <c r="O3360" s="50"/>
      <c r="P3360" s="50"/>
    </row>
    <row r="3361" spans="1:16" x14ac:dyDescent="0.3">
      <c r="A3361" s="472" t="s">
        <v>3208</v>
      </c>
      <c r="B3361" s="473"/>
      <c r="C3361" s="50"/>
      <c r="D3361" s="51"/>
      <c r="E3361" s="52"/>
      <c r="F3361" s="52"/>
      <c r="G3361" s="51"/>
      <c r="H3361" s="52"/>
      <c r="I3361" s="52"/>
      <c r="J3361" s="19"/>
      <c r="K3361" s="51"/>
      <c r="L3361" s="50"/>
      <c r="M3361" s="51"/>
      <c r="N3361" s="51"/>
      <c r="O3361" s="50"/>
      <c r="P3361" s="50"/>
    </row>
    <row r="3362" spans="1:16" x14ac:dyDescent="0.3">
      <c r="A3362" s="59">
        <f>A3359+1</f>
        <v>3026</v>
      </c>
      <c r="B3362" s="66" t="s">
        <v>3209</v>
      </c>
      <c r="C3362" s="184">
        <v>1964</v>
      </c>
      <c r="D3362" s="51"/>
      <c r="E3362" s="48" t="s">
        <v>3733</v>
      </c>
      <c r="F3362" s="218">
        <v>5</v>
      </c>
      <c r="G3362" s="51"/>
      <c r="H3362" s="52">
        <v>2563.8000000000002</v>
      </c>
      <c r="I3362" s="47">
        <v>134</v>
      </c>
      <c r="J3362" s="19">
        <f t="shared" si="280"/>
        <v>2369692</v>
      </c>
      <c r="K3362" s="51"/>
      <c r="L3362" s="50"/>
      <c r="M3362" s="51"/>
      <c r="N3362" s="19">
        <f>SUMIF('2020'!B:B,B3362,'2020'!C:C)+SUMIF('2021'!B:B,B3362,'2021'!C:C)+SUMIF('2022'!B:B,B3362,'2022'!C:C)</f>
        <v>2369692</v>
      </c>
      <c r="O3362" s="219">
        <v>44925</v>
      </c>
      <c r="P3362" s="48" t="s">
        <v>3728</v>
      </c>
    </row>
    <row r="3363" spans="1:16" x14ac:dyDescent="0.3">
      <c r="A3363" s="59">
        <f t="shared" si="281"/>
        <v>3027</v>
      </c>
      <c r="B3363" s="66" t="s">
        <v>3210</v>
      </c>
      <c r="C3363" s="184">
        <v>1965</v>
      </c>
      <c r="D3363" s="51"/>
      <c r="E3363" s="52" t="s">
        <v>3733</v>
      </c>
      <c r="F3363" s="218">
        <v>5</v>
      </c>
      <c r="G3363" s="51"/>
      <c r="H3363" s="52">
        <v>6235.9</v>
      </c>
      <c r="I3363" s="47">
        <v>248</v>
      </c>
      <c r="J3363" s="19">
        <f t="shared" si="280"/>
        <v>24424092</v>
      </c>
      <c r="K3363" s="51"/>
      <c r="L3363" s="50"/>
      <c r="M3363" s="51"/>
      <c r="N3363" s="19">
        <f>SUMIF('2020'!B:B,B3363,'2020'!C:C)+SUMIF('2021'!B:B,B3363,'2021'!C:C)+SUMIF('2022'!B:B,B3363,'2022'!C:C)</f>
        <v>24424092</v>
      </c>
      <c r="O3363" s="219">
        <v>44925</v>
      </c>
      <c r="P3363" s="48" t="s">
        <v>3728</v>
      </c>
    </row>
    <row r="3364" spans="1:16" x14ac:dyDescent="0.3">
      <c r="A3364" s="59">
        <f t="shared" si="281"/>
        <v>3028</v>
      </c>
      <c r="B3364" s="66" t="s">
        <v>3211</v>
      </c>
      <c r="C3364" s="184">
        <v>1965</v>
      </c>
      <c r="D3364" s="51"/>
      <c r="E3364" s="52" t="s">
        <v>3733</v>
      </c>
      <c r="F3364" s="218">
        <v>5</v>
      </c>
      <c r="G3364" s="51"/>
      <c r="H3364" s="52">
        <v>6458.1</v>
      </c>
      <c r="I3364" s="47">
        <v>201</v>
      </c>
      <c r="J3364" s="19">
        <f t="shared" si="280"/>
        <v>34283601</v>
      </c>
      <c r="K3364" s="51"/>
      <c r="L3364" s="50"/>
      <c r="M3364" s="51"/>
      <c r="N3364" s="19">
        <f>SUMIF('2020'!B:B,B3364,'2020'!C:C)+SUMIF('2021'!B:B,B3364,'2021'!C:C)+SUMIF('2022'!B:B,B3364,'2022'!C:C)</f>
        <v>34283601</v>
      </c>
      <c r="O3364" s="219">
        <v>44925</v>
      </c>
      <c r="P3364" s="48" t="s">
        <v>3728</v>
      </c>
    </row>
    <row r="3365" spans="1:16" x14ac:dyDescent="0.3">
      <c r="A3365" s="59">
        <f t="shared" si="281"/>
        <v>3029</v>
      </c>
      <c r="B3365" s="66" t="s">
        <v>3212</v>
      </c>
      <c r="C3365" s="184">
        <v>1969</v>
      </c>
      <c r="D3365" s="51"/>
      <c r="E3365" s="52" t="s">
        <v>3733</v>
      </c>
      <c r="F3365" s="218">
        <v>9</v>
      </c>
      <c r="G3365" s="51"/>
      <c r="H3365" s="52">
        <v>3974.1</v>
      </c>
      <c r="I3365" s="47">
        <v>93</v>
      </c>
      <c r="J3365" s="19">
        <f t="shared" si="280"/>
        <v>130000</v>
      </c>
      <c r="K3365" s="51"/>
      <c r="L3365" s="50"/>
      <c r="M3365" s="51"/>
      <c r="N3365" s="19">
        <f>SUMIF('2020'!B:B,B3365,'2020'!C:C)+SUMIF('2021'!B:B,B3365,'2021'!C:C)+SUMIF('2022'!B:B,B3365,'2022'!C:C)</f>
        <v>130000</v>
      </c>
      <c r="O3365" s="219">
        <v>44925</v>
      </c>
      <c r="P3365" s="48" t="s">
        <v>3728</v>
      </c>
    </row>
    <row r="3366" spans="1:16" x14ac:dyDescent="0.3">
      <c r="A3366" s="59">
        <f t="shared" si="281"/>
        <v>3030</v>
      </c>
      <c r="B3366" s="66" t="s">
        <v>3213</v>
      </c>
      <c r="C3366" s="184">
        <v>1969</v>
      </c>
      <c r="D3366" s="51"/>
      <c r="E3366" s="52" t="s">
        <v>3733</v>
      </c>
      <c r="F3366" s="218">
        <v>5</v>
      </c>
      <c r="G3366" s="51"/>
      <c r="H3366" s="52">
        <v>2767.6</v>
      </c>
      <c r="I3366" s="47">
        <v>131</v>
      </c>
      <c r="J3366" s="19">
        <f t="shared" si="280"/>
        <v>130000</v>
      </c>
      <c r="K3366" s="51"/>
      <c r="L3366" s="50"/>
      <c r="M3366" s="51"/>
      <c r="N3366" s="19">
        <f>SUMIF('2020'!B:B,B3366,'2020'!C:C)+SUMIF('2021'!B:B,B3366,'2021'!C:C)+SUMIF('2022'!B:B,B3366,'2022'!C:C)</f>
        <v>130000</v>
      </c>
      <c r="O3366" s="219">
        <v>44925</v>
      </c>
      <c r="P3366" s="48" t="s">
        <v>3728</v>
      </c>
    </row>
    <row r="3367" spans="1:16" x14ac:dyDescent="0.3">
      <c r="A3367" s="59">
        <f t="shared" si="281"/>
        <v>3031</v>
      </c>
      <c r="B3367" s="66" t="s">
        <v>3214</v>
      </c>
      <c r="C3367" s="184">
        <v>1970</v>
      </c>
      <c r="D3367" s="51"/>
      <c r="E3367" s="52" t="s">
        <v>3733</v>
      </c>
      <c r="F3367" s="218">
        <v>5</v>
      </c>
      <c r="G3367" s="51"/>
      <c r="H3367" s="52">
        <v>4019.9</v>
      </c>
      <c r="I3367" s="47">
        <v>135</v>
      </c>
      <c r="J3367" s="19">
        <f t="shared" si="280"/>
        <v>130000</v>
      </c>
      <c r="K3367" s="51"/>
      <c r="L3367" s="50"/>
      <c r="M3367" s="51"/>
      <c r="N3367" s="19">
        <f>SUMIF('2020'!B:B,B3367,'2020'!C:C)+SUMIF('2021'!B:B,B3367,'2021'!C:C)+SUMIF('2022'!B:B,B3367,'2022'!C:C)</f>
        <v>130000</v>
      </c>
      <c r="O3367" s="219">
        <v>44925</v>
      </c>
      <c r="P3367" s="48" t="s">
        <v>3728</v>
      </c>
    </row>
    <row r="3368" spans="1:16" x14ac:dyDescent="0.3">
      <c r="A3368" s="59">
        <f t="shared" si="281"/>
        <v>3032</v>
      </c>
      <c r="B3368" s="66" t="s">
        <v>3215</v>
      </c>
      <c r="C3368" s="184">
        <v>1966</v>
      </c>
      <c r="D3368" s="51"/>
      <c r="E3368" s="48" t="s">
        <v>3729</v>
      </c>
      <c r="F3368" s="218">
        <v>5</v>
      </c>
      <c r="G3368" s="51"/>
      <c r="H3368" s="52">
        <v>6266</v>
      </c>
      <c r="I3368" s="47">
        <v>270</v>
      </c>
      <c r="J3368" s="19">
        <f t="shared" si="280"/>
        <v>130000</v>
      </c>
      <c r="K3368" s="51"/>
      <c r="L3368" s="50"/>
      <c r="M3368" s="51"/>
      <c r="N3368" s="19">
        <f>SUMIF('2020'!B:B,B3368,'2020'!C:C)+SUMIF('2021'!B:B,B3368,'2021'!C:C)+SUMIF('2022'!B:B,B3368,'2022'!C:C)</f>
        <v>130000</v>
      </c>
      <c r="O3368" s="219">
        <v>44925</v>
      </c>
      <c r="P3368" s="48" t="s">
        <v>3728</v>
      </c>
    </row>
    <row r="3369" spans="1:16" x14ac:dyDescent="0.3">
      <c r="A3369" s="59">
        <f t="shared" si="281"/>
        <v>3033</v>
      </c>
      <c r="B3369" s="66" t="s">
        <v>3216</v>
      </c>
      <c r="C3369" s="184">
        <v>1969</v>
      </c>
      <c r="D3369" s="51"/>
      <c r="E3369" s="48" t="s">
        <v>3733</v>
      </c>
      <c r="F3369" s="218">
        <v>5</v>
      </c>
      <c r="G3369" s="51"/>
      <c r="H3369" s="52">
        <v>4484.3</v>
      </c>
      <c r="I3369" s="47">
        <v>233</v>
      </c>
      <c r="J3369" s="19">
        <f t="shared" si="280"/>
        <v>130000</v>
      </c>
      <c r="K3369" s="51"/>
      <c r="L3369" s="50"/>
      <c r="M3369" s="51"/>
      <c r="N3369" s="19">
        <f>SUMIF('2020'!B:B,B3369,'2020'!C:C)+SUMIF('2021'!B:B,B3369,'2021'!C:C)+SUMIF('2022'!B:B,B3369,'2022'!C:C)</f>
        <v>130000</v>
      </c>
      <c r="O3369" s="219">
        <v>44925</v>
      </c>
      <c r="P3369" s="48" t="s">
        <v>3728</v>
      </c>
    </row>
    <row r="3370" spans="1:16" x14ac:dyDescent="0.3">
      <c r="A3370" s="59">
        <f t="shared" si="281"/>
        <v>3034</v>
      </c>
      <c r="B3370" s="66" t="s">
        <v>3217</v>
      </c>
      <c r="C3370" s="184">
        <v>1967</v>
      </c>
      <c r="D3370" s="51"/>
      <c r="E3370" s="48" t="s">
        <v>3733</v>
      </c>
      <c r="F3370" s="218">
        <v>5</v>
      </c>
      <c r="G3370" s="51"/>
      <c r="H3370" s="52">
        <v>4446</v>
      </c>
      <c r="I3370" s="47">
        <v>207</v>
      </c>
      <c r="J3370" s="19">
        <f t="shared" si="280"/>
        <v>130000</v>
      </c>
      <c r="K3370" s="51"/>
      <c r="L3370" s="50"/>
      <c r="M3370" s="51"/>
      <c r="N3370" s="19">
        <f>SUMIF('2020'!B:B,B3370,'2020'!C:C)+SUMIF('2021'!B:B,B3370,'2021'!C:C)+SUMIF('2022'!B:B,B3370,'2022'!C:C)</f>
        <v>130000</v>
      </c>
      <c r="O3370" s="219">
        <v>44925</v>
      </c>
      <c r="P3370" s="48" t="s">
        <v>3728</v>
      </c>
    </row>
    <row r="3371" spans="1:16" x14ac:dyDescent="0.3">
      <c r="A3371" s="59">
        <f t="shared" si="281"/>
        <v>3035</v>
      </c>
      <c r="B3371" s="66" t="s">
        <v>3218</v>
      </c>
      <c r="C3371" s="184">
        <v>1967</v>
      </c>
      <c r="D3371" s="51"/>
      <c r="E3371" s="48" t="s">
        <v>3733</v>
      </c>
      <c r="F3371" s="218">
        <v>5</v>
      </c>
      <c r="G3371" s="51"/>
      <c r="H3371" s="52">
        <v>4423.3</v>
      </c>
      <c r="I3371" s="47">
        <v>175</v>
      </c>
      <c r="J3371" s="19">
        <f t="shared" si="280"/>
        <v>130000</v>
      </c>
      <c r="K3371" s="51"/>
      <c r="L3371" s="50"/>
      <c r="M3371" s="51"/>
      <c r="N3371" s="19">
        <f>SUMIF('2020'!B:B,B3371,'2020'!C:C)+SUMIF('2021'!B:B,B3371,'2021'!C:C)+SUMIF('2022'!B:B,B3371,'2022'!C:C)</f>
        <v>130000</v>
      </c>
      <c r="O3371" s="219">
        <v>44925</v>
      </c>
      <c r="P3371" s="48" t="s">
        <v>3728</v>
      </c>
    </row>
    <row r="3372" spans="1:16" x14ac:dyDescent="0.3">
      <c r="A3372" s="59">
        <f t="shared" si="281"/>
        <v>3036</v>
      </c>
      <c r="B3372" s="66" t="s">
        <v>3219</v>
      </c>
      <c r="C3372" s="184">
        <v>1967</v>
      </c>
      <c r="D3372" s="51"/>
      <c r="E3372" s="48" t="s">
        <v>3733</v>
      </c>
      <c r="F3372" s="218">
        <v>5</v>
      </c>
      <c r="G3372" s="51"/>
      <c r="H3372" s="52">
        <v>6013.3</v>
      </c>
      <c r="I3372" s="47">
        <v>265</v>
      </c>
      <c r="J3372" s="19">
        <f t="shared" si="280"/>
        <v>130000</v>
      </c>
      <c r="K3372" s="51"/>
      <c r="L3372" s="50"/>
      <c r="M3372" s="51"/>
      <c r="N3372" s="19">
        <f>SUMIF('2020'!B:B,B3372,'2020'!C:C)+SUMIF('2021'!B:B,B3372,'2021'!C:C)+SUMIF('2022'!B:B,B3372,'2022'!C:C)</f>
        <v>130000</v>
      </c>
      <c r="O3372" s="219">
        <v>44925</v>
      </c>
      <c r="P3372" s="48" t="s">
        <v>3728</v>
      </c>
    </row>
    <row r="3373" spans="1:16" x14ac:dyDescent="0.3">
      <c r="A3373" s="59">
        <f t="shared" si="281"/>
        <v>3037</v>
      </c>
      <c r="B3373" s="66" t="s">
        <v>3220</v>
      </c>
      <c r="C3373" s="184">
        <v>1968</v>
      </c>
      <c r="D3373" s="51"/>
      <c r="E3373" s="48" t="s">
        <v>3733</v>
      </c>
      <c r="F3373" s="218">
        <v>5</v>
      </c>
      <c r="G3373" s="51"/>
      <c r="H3373" s="52">
        <v>4282.8</v>
      </c>
      <c r="I3373" s="47">
        <v>223</v>
      </c>
      <c r="J3373" s="19">
        <f t="shared" si="280"/>
        <v>130000</v>
      </c>
      <c r="K3373" s="51"/>
      <c r="L3373" s="50"/>
      <c r="M3373" s="51"/>
      <c r="N3373" s="19">
        <f>SUMIF('2020'!B:B,B3373,'2020'!C:C)+SUMIF('2021'!B:B,B3373,'2021'!C:C)+SUMIF('2022'!B:B,B3373,'2022'!C:C)</f>
        <v>130000</v>
      </c>
      <c r="O3373" s="219">
        <v>44925</v>
      </c>
      <c r="P3373" s="48" t="s">
        <v>3728</v>
      </c>
    </row>
    <row r="3374" spans="1:16" x14ac:dyDescent="0.3">
      <c r="A3374" s="59">
        <f t="shared" si="281"/>
        <v>3038</v>
      </c>
      <c r="B3374" s="66" t="s">
        <v>3221</v>
      </c>
      <c r="C3374" s="184">
        <v>1967</v>
      </c>
      <c r="D3374" s="51"/>
      <c r="E3374" s="48" t="s">
        <v>3733</v>
      </c>
      <c r="F3374" s="218">
        <v>5</v>
      </c>
      <c r="G3374" s="51"/>
      <c r="H3374" s="52">
        <v>7940.4</v>
      </c>
      <c r="I3374" s="47">
        <v>282</v>
      </c>
      <c r="J3374" s="19">
        <f t="shared" si="280"/>
        <v>130000</v>
      </c>
      <c r="K3374" s="51"/>
      <c r="L3374" s="50"/>
      <c r="M3374" s="51"/>
      <c r="N3374" s="19">
        <f>SUMIF('2020'!B:B,B3374,'2020'!C:C)+SUMIF('2021'!B:B,B3374,'2021'!C:C)+SUMIF('2022'!B:B,B3374,'2022'!C:C)</f>
        <v>130000</v>
      </c>
      <c r="O3374" s="219">
        <v>44925</v>
      </c>
      <c r="P3374" s="48" t="s">
        <v>3728</v>
      </c>
    </row>
    <row r="3375" spans="1:16" x14ac:dyDescent="0.3">
      <c r="A3375" s="59">
        <f t="shared" si="281"/>
        <v>3039</v>
      </c>
      <c r="B3375" s="66" t="s">
        <v>3222</v>
      </c>
      <c r="C3375" s="184">
        <v>1969</v>
      </c>
      <c r="D3375" s="51"/>
      <c r="E3375" s="48" t="s">
        <v>3733</v>
      </c>
      <c r="F3375" s="218">
        <v>5</v>
      </c>
      <c r="G3375" s="51"/>
      <c r="H3375" s="52">
        <v>2768.7</v>
      </c>
      <c r="I3375" s="47">
        <v>129</v>
      </c>
      <c r="J3375" s="19">
        <f t="shared" si="280"/>
        <v>6747985.5999999996</v>
      </c>
      <c r="K3375" s="51"/>
      <c r="L3375" s="50"/>
      <c r="M3375" s="51"/>
      <c r="N3375" s="19">
        <f>SUMIF('2020'!B:B,B3375,'2020'!C:C)+SUMIF('2021'!B:B,B3375,'2021'!C:C)+SUMIF('2022'!B:B,B3375,'2022'!C:C)</f>
        <v>6747985.5999999996</v>
      </c>
      <c r="O3375" s="219">
        <v>44925</v>
      </c>
      <c r="P3375" s="48" t="s">
        <v>3728</v>
      </c>
    </row>
    <row r="3376" spans="1:16" x14ac:dyDescent="0.3">
      <c r="A3376" s="59">
        <f t="shared" si="281"/>
        <v>3040</v>
      </c>
      <c r="B3376" s="66" t="s">
        <v>3223</v>
      </c>
      <c r="C3376" s="184">
        <v>1970</v>
      </c>
      <c r="D3376" s="51"/>
      <c r="E3376" s="48" t="s">
        <v>3733</v>
      </c>
      <c r="F3376" s="218">
        <v>5</v>
      </c>
      <c r="G3376" s="51"/>
      <c r="H3376" s="52">
        <v>2732.4</v>
      </c>
      <c r="I3376" s="47">
        <v>123</v>
      </c>
      <c r="J3376" s="19">
        <f t="shared" si="280"/>
        <v>11270004.4</v>
      </c>
      <c r="K3376" s="51"/>
      <c r="L3376" s="50"/>
      <c r="M3376" s="51"/>
      <c r="N3376" s="19">
        <f>SUMIF('2020'!B:B,B3376,'2020'!C:C)+SUMIF('2021'!B:B,B3376,'2021'!C:C)+SUMIF('2022'!B:B,B3376,'2022'!C:C)</f>
        <v>11270004.4</v>
      </c>
      <c r="O3376" s="219">
        <v>44925</v>
      </c>
      <c r="P3376" s="48" t="s">
        <v>3728</v>
      </c>
    </row>
    <row r="3377" spans="1:16" x14ac:dyDescent="0.3">
      <c r="A3377" s="59">
        <f t="shared" si="281"/>
        <v>3041</v>
      </c>
      <c r="B3377" s="66" t="s">
        <v>3224</v>
      </c>
      <c r="C3377" s="184">
        <v>1969</v>
      </c>
      <c r="D3377" s="51"/>
      <c r="E3377" s="48" t="s">
        <v>3733</v>
      </c>
      <c r="F3377" s="218">
        <v>5</v>
      </c>
      <c r="G3377" s="51"/>
      <c r="H3377" s="52">
        <v>3341.9</v>
      </c>
      <c r="I3377" s="47">
        <v>169</v>
      </c>
      <c r="J3377" s="19">
        <f t="shared" si="280"/>
        <v>11936312.800000001</v>
      </c>
      <c r="K3377" s="51"/>
      <c r="L3377" s="50"/>
      <c r="M3377" s="51"/>
      <c r="N3377" s="19">
        <f>SUMIF('2020'!B:B,B3377,'2020'!C:C)+SUMIF('2021'!B:B,B3377,'2021'!C:C)+SUMIF('2022'!B:B,B3377,'2022'!C:C)</f>
        <v>11936312.800000001</v>
      </c>
      <c r="O3377" s="219">
        <v>44925</v>
      </c>
      <c r="P3377" s="48" t="s">
        <v>3728</v>
      </c>
    </row>
    <row r="3378" spans="1:16" x14ac:dyDescent="0.3">
      <c r="A3378" s="59">
        <f t="shared" si="281"/>
        <v>3042</v>
      </c>
      <c r="B3378" s="66" t="s">
        <v>3225</v>
      </c>
      <c r="C3378" s="184">
        <v>1968</v>
      </c>
      <c r="D3378" s="51"/>
      <c r="E3378" s="48" t="s">
        <v>3733</v>
      </c>
      <c r="F3378" s="218">
        <v>5</v>
      </c>
      <c r="G3378" s="51"/>
      <c r="H3378" s="52">
        <v>5969.2</v>
      </c>
      <c r="I3378" s="47">
        <v>309</v>
      </c>
      <c r="J3378" s="19">
        <f t="shared" si="280"/>
        <v>17926384</v>
      </c>
      <c r="K3378" s="51"/>
      <c r="L3378" s="50"/>
      <c r="M3378" s="51"/>
      <c r="N3378" s="19">
        <f>SUMIF('2020'!B:B,B3378,'2020'!C:C)+SUMIF('2021'!B:B,B3378,'2021'!C:C)+SUMIF('2022'!B:B,B3378,'2022'!C:C)</f>
        <v>17926384</v>
      </c>
      <c r="O3378" s="219">
        <v>44925</v>
      </c>
      <c r="P3378" s="48" t="s">
        <v>3728</v>
      </c>
    </row>
    <row r="3379" spans="1:16" x14ac:dyDescent="0.3">
      <c r="A3379" s="59">
        <f t="shared" si="281"/>
        <v>3043</v>
      </c>
      <c r="B3379" s="66" t="s">
        <v>3226</v>
      </c>
      <c r="C3379" s="184">
        <v>1964</v>
      </c>
      <c r="D3379" s="51"/>
      <c r="E3379" s="48" t="s">
        <v>3729</v>
      </c>
      <c r="F3379" s="218">
        <v>5</v>
      </c>
      <c r="G3379" s="51"/>
      <c r="H3379" s="52">
        <v>3803.9</v>
      </c>
      <c r="I3379" s="47">
        <v>172</v>
      </c>
      <c r="J3379" s="19">
        <f t="shared" si="280"/>
        <v>2239692</v>
      </c>
      <c r="K3379" s="51"/>
      <c r="L3379" s="50"/>
      <c r="M3379" s="51"/>
      <c r="N3379" s="19">
        <f>SUMIF('2020'!B:B,B3379,'2020'!C:C)+SUMIF('2021'!B:B,B3379,'2021'!C:C)+SUMIF('2022'!B:B,B3379,'2022'!C:C)</f>
        <v>2239692</v>
      </c>
      <c r="O3379" s="219">
        <v>44925</v>
      </c>
      <c r="P3379" s="48" t="s">
        <v>3728</v>
      </c>
    </row>
    <row r="3380" spans="1:16" x14ac:dyDescent="0.3">
      <c r="A3380" s="59">
        <f t="shared" si="281"/>
        <v>3044</v>
      </c>
      <c r="B3380" s="66" t="s">
        <v>3227</v>
      </c>
      <c r="C3380" s="184">
        <v>1971</v>
      </c>
      <c r="D3380" s="51"/>
      <c r="E3380" s="48" t="s">
        <v>3733</v>
      </c>
      <c r="F3380" s="218">
        <v>9</v>
      </c>
      <c r="G3380" s="51"/>
      <c r="H3380" s="52">
        <v>3136.6</v>
      </c>
      <c r="I3380" s="47">
        <v>87</v>
      </c>
      <c r="J3380" s="19">
        <f t="shared" si="280"/>
        <v>5791967.2000000002</v>
      </c>
      <c r="K3380" s="51"/>
      <c r="L3380" s="50"/>
      <c r="M3380" s="51"/>
      <c r="N3380" s="19">
        <f>SUMIF('2020'!B:B,B3380,'2020'!C:C)+SUMIF('2021'!B:B,B3380,'2021'!C:C)+SUMIF('2022'!B:B,B3380,'2022'!C:C)</f>
        <v>5791967.2000000002</v>
      </c>
      <c r="O3380" s="219">
        <v>44925</v>
      </c>
      <c r="P3380" s="48" t="s">
        <v>3728</v>
      </c>
    </row>
    <row r="3381" spans="1:16" x14ac:dyDescent="0.3">
      <c r="A3381" s="59">
        <f t="shared" si="281"/>
        <v>3045</v>
      </c>
      <c r="B3381" s="66" t="s">
        <v>3228</v>
      </c>
      <c r="C3381" s="184">
        <v>1970</v>
      </c>
      <c r="D3381" s="51"/>
      <c r="E3381" s="48" t="s">
        <v>3733</v>
      </c>
      <c r="F3381" s="218">
        <v>5</v>
      </c>
      <c r="G3381" s="51"/>
      <c r="H3381" s="52">
        <v>5881.8</v>
      </c>
      <c r="I3381" s="47">
        <v>310</v>
      </c>
      <c r="J3381" s="19">
        <f t="shared" si="280"/>
        <v>19486933.600000001</v>
      </c>
      <c r="K3381" s="51"/>
      <c r="L3381" s="50"/>
      <c r="M3381" s="51"/>
      <c r="N3381" s="19">
        <f>SUMIF('2020'!B:B,B3381,'2020'!C:C)+SUMIF('2021'!B:B,B3381,'2021'!C:C)+SUMIF('2022'!B:B,B3381,'2022'!C:C)</f>
        <v>19486933.600000001</v>
      </c>
      <c r="O3381" s="219">
        <v>44925</v>
      </c>
      <c r="P3381" s="48" t="s">
        <v>3728</v>
      </c>
    </row>
    <row r="3382" spans="1:16" x14ac:dyDescent="0.3">
      <c r="A3382" s="59">
        <f t="shared" si="281"/>
        <v>3046</v>
      </c>
      <c r="B3382" s="66" t="s">
        <v>3229</v>
      </c>
      <c r="C3382" s="184">
        <v>1969</v>
      </c>
      <c r="D3382" s="51"/>
      <c r="E3382" s="48" t="s">
        <v>3733</v>
      </c>
      <c r="F3382" s="218">
        <v>5</v>
      </c>
      <c r="G3382" s="51"/>
      <c r="H3382" s="52">
        <v>6087.1</v>
      </c>
      <c r="I3382" s="47">
        <v>289</v>
      </c>
      <c r="J3382" s="19">
        <f t="shared" si="280"/>
        <v>13338974.800000001</v>
      </c>
      <c r="K3382" s="51"/>
      <c r="L3382" s="50"/>
      <c r="M3382" s="51"/>
      <c r="N3382" s="19">
        <f>SUMIF('2020'!B:B,B3382,'2020'!C:C)+SUMIF('2021'!B:B,B3382,'2021'!C:C)+SUMIF('2022'!B:B,B3382,'2022'!C:C)</f>
        <v>13338974.800000001</v>
      </c>
      <c r="O3382" s="219">
        <v>44925</v>
      </c>
      <c r="P3382" s="48" t="s">
        <v>3728</v>
      </c>
    </row>
    <row r="3383" spans="1:16" x14ac:dyDescent="0.3">
      <c r="A3383" s="59">
        <f t="shared" si="281"/>
        <v>3047</v>
      </c>
      <c r="B3383" s="66" t="s">
        <v>3230</v>
      </c>
      <c r="C3383" s="184">
        <v>1969</v>
      </c>
      <c r="D3383" s="51"/>
      <c r="E3383" s="48" t="s">
        <v>3733</v>
      </c>
      <c r="F3383" s="218">
        <v>5</v>
      </c>
      <c r="G3383" s="51"/>
      <c r="H3383" s="52">
        <v>4613.8999999999996</v>
      </c>
      <c r="I3383" s="47">
        <v>205</v>
      </c>
      <c r="J3383" s="19">
        <f t="shared" si="280"/>
        <v>14435430.4</v>
      </c>
      <c r="K3383" s="51"/>
      <c r="L3383" s="50"/>
      <c r="M3383" s="51"/>
      <c r="N3383" s="19">
        <f>SUMIF('2020'!B:B,B3383,'2020'!C:C)+SUMIF('2021'!B:B,B3383,'2021'!C:C)+SUMIF('2022'!B:B,B3383,'2022'!C:C)</f>
        <v>14435430.4</v>
      </c>
      <c r="O3383" s="219">
        <v>44925</v>
      </c>
      <c r="P3383" s="48" t="s">
        <v>3728</v>
      </c>
    </row>
    <row r="3384" spans="1:16" x14ac:dyDescent="0.3">
      <c r="A3384" s="59">
        <f t="shared" si="281"/>
        <v>3048</v>
      </c>
      <c r="B3384" s="66" t="s">
        <v>3231</v>
      </c>
      <c r="C3384" s="184">
        <v>1968</v>
      </c>
      <c r="D3384" s="51"/>
      <c r="E3384" s="48" t="s">
        <v>3733</v>
      </c>
      <c r="F3384" s="218">
        <v>5</v>
      </c>
      <c r="G3384" s="51"/>
      <c r="H3384" s="52">
        <v>4670.3999999999996</v>
      </c>
      <c r="I3384" s="47">
        <v>208</v>
      </c>
      <c r="J3384" s="19">
        <f t="shared" si="280"/>
        <v>14399515.6</v>
      </c>
      <c r="K3384" s="51"/>
      <c r="L3384" s="50"/>
      <c r="M3384" s="51"/>
      <c r="N3384" s="19">
        <f>SUMIF('2020'!B:B,B3384,'2020'!C:C)+SUMIF('2021'!B:B,B3384,'2021'!C:C)+SUMIF('2022'!B:B,B3384,'2022'!C:C)</f>
        <v>14399515.6</v>
      </c>
      <c r="O3384" s="219">
        <v>44925</v>
      </c>
      <c r="P3384" s="48" t="s">
        <v>3728</v>
      </c>
    </row>
    <row r="3385" spans="1:16" x14ac:dyDescent="0.3">
      <c r="A3385" s="59">
        <f t="shared" si="281"/>
        <v>3049</v>
      </c>
      <c r="B3385" s="66" t="s">
        <v>3232</v>
      </c>
      <c r="C3385" s="184">
        <v>1968</v>
      </c>
      <c r="D3385" s="51"/>
      <c r="E3385" s="48" t="s">
        <v>3733</v>
      </c>
      <c r="F3385" s="218">
        <v>5</v>
      </c>
      <c r="G3385" s="51"/>
      <c r="H3385" s="52">
        <v>3132.6</v>
      </c>
      <c r="I3385" s="47">
        <v>192</v>
      </c>
      <c r="J3385" s="19">
        <f t="shared" si="280"/>
        <v>11950526.800000001</v>
      </c>
      <c r="K3385" s="51"/>
      <c r="L3385" s="50"/>
      <c r="M3385" s="51"/>
      <c r="N3385" s="19">
        <f>SUMIF('2020'!B:B,B3385,'2020'!C:C)+SUMIF('2021'!B:B,B3385,'2021'!C:C)+SUMIF('2022'!B:B,B3385,'2022'!C:C)</f>
        <v>11950526.800000001</v>
      </c>
      <c r="O3385" s="219">
        <v>44925</v>
      </c>
      <c r="P3385" s="48" t="s">
        <v>3728</v>
      </c>
    </row>
    <row r="3386" spans="1:16" x14ac:dyDescent="0.3">
      <c r="A3386" s="59">
        <f t="shared" si="281"/>
        <v>3050</v>
      </c>
      <c r="B3386" s="66" t="s">
        <v>3233</v>
      </c>
      <c r="C3386" s="184">
        <v>1972</v>
      </c>
      <c r="D3386" s="51"/>
      <c r="E3386" s="48" t="s">
        <v>3733</v>
      </c>
      <c r="F3386" s="218">
        <v>9</v>
      </c>
      <c r="G3386" s="51"/>
      <c r="H3386" s="52">
        <v>2157.4</v>
      </c>
      <c r="I3386" s="47">
        <v>105</v>
      </c>
      <c r="J3386" s="19">
        <f t="shared" si="280"/>
        <v>676009.53</v>
      </c>
      <c r="K3386" s="51"/>
      <c r="L3386" s="48"/>
      <c r="M3386" s="51"/>
      <c r="N3386" s="19">
        <f>SUMIF('2020'!B:B,B3386,'2020'!C:C)+SUMIF('2021'!B:B,B3386,'2021'!C:C)+SUMIF('2022'!B:B,B3386,'2022'!C:C)</f>
        <v>676009.53</v>
      </c>
      <c r="O3386" s="219">
        <v>44925</v>
      </c>
      <c r="P3386" s="48" t="s">
        <v>3728</v>
      </c>
    </row>
    <row r="3387" spans="1:16" x14ac:dyDescent="0.3">
      <c r="A3387" s="59">
        <f t="shared" si="281"/>
        <v>3051</v>
      </c>
      <c r="B3387" s="66" t="s">
        <v>3234</v>
      </c>
      <c r="C3387" s="184">
        <v>1971</v>
      </c>
      <c r="D3387" s="51"/>
      <c r="E3387" s="48" t="s">
        <v>3733</v>
      </c>
      <c r="F3387" s="218">
        <v>9</v>
      </c>
      <c r="G3387" s="51"/>
      <c r="H3387" s="52">
        <v>2770.8</v>
      </c>
      <c r="I3387" s="47">
        <v>83</v>
      </c>
      <c r="J3387" s="19">
        <f t="shared" si="280"/>
        <v>286235.25</v>
      </c>
      <c r="K3387" s="51"/>
      <c r="L3387" s="50"/>
      <c r="M3387" s="51"/>
      <c r="N3387" s="19">
        <f>SUMIF('2020'!B:B,B3387,'2020'!C:C)+SUMIF('2021'!B:B,B3387,'2021'!C:C)+SUMIF('2022'!B:B,B3387,'2022'!C:C)</f>
        <v>286235.25</v>
      </c>
      <c r="O3387" s="219">
        <v>44925</v>
      </c>
      <c r="P3387" s="48" t="s">
        <v>3728</v>
      </c>
    </row>
    <row r="3388" spans="1:16" x14ac:dyDescent="0.3">
      <c r="A3388" s="59">
        <f t="shared" si="281"/>
        <v>3052</v>
      </c>
      <c r="B3388" s="66" t="s">
        <v>3235</v>
      </c>
      <c r="C3388" s="184">
        <v>1972</v>
      </c>
      <c r="D3388" s="51"/>
      <c r="E3388" s="48" t="s">
        <v>3733</v>
      </c>
      <c r="F3388" s="218">
        <v>9</v>
      </c>
      <c r="G3388" s="51"/>
      <c r="H3388" s="52">
        <v>2091.1</v>
      </c>
      <c r="I3388" s="47">
        <v>86</v>
      </c>
      <c r="J3388" s="19">
        <f t="shared" si="280"/>
        <v>669482.02999999991</v>
      </c>
      <c r="K3388" s="51"/>
      <c r="L3388" s="48"/>
      <c r="M3388" s="51"/>
      <c r="N3388" s="19">
        <f>SUMIF('2020'!B:B,B3388,'2020'!C:C)+SUMIF('2021'!B:B,B3388,'2021'!C:C)+SUMIF('2022'!B:B,B3388,'2022'!C:C)</f>
        <v>669482.02999999991</v>
      </c>
      <c r="O3388" s="219">
        <v>44925</v>
      </c>
      <c r="P3388" s="48" t="s">
        <v>3728</v>
      </c>
    </row>
    <row r="3389" spans="1:16" x14ac:dyDescent="0.3">
      <c r="A3389" s="59">
        <f t="shared" si="281"/>
        <v>3053</v>
      </c>
      <c r="B3389" s="66" t="s">
        <v>3236</v>
      </c>
      <c r="C3389" s="184">
        <v>1974</v>
      </c>
      <c r="D3389" s="51"/>
      <c r="E3389" s="48" t="s">
        <v>3729</v>
      </c>
      <c r="F3389" s="218">
        <v>9</v>
      </c>
      <c r="G3389" s="51"/>
      <c r="H3389" s="52">
        <v>14157.7</v>
      </c>
      <c r="I3389" s="47">
        <v>503</v>
      </c>
      <c r="J3389" s="19">
        <f t="shared" si="280"/>
        <v>970321.6</v>
      </c>
      <c r="K3389" s="51"/>
      <c r="L3389" s="50"/>
      <c r="M3389" s="51"/>
      <c r="N3389" s="19">
        <f>SUMIF('2020'!B:B,B3389,'2020'!C:C)+SUMIF('2021'!B:B,B3389,'2021'!C:C)+SUMIF('2022'!B:B,B3389,'2022'!C:C)</f>
        <v>970321.6</v>
      </c>
      <c r="O3389" s="219">
        <v>44925</v>
      </c>
      <c r="P3389" s="48" t="s">
        <v>3728</v>
      </c>
    </row>
    <row r="3390" spans="1:16" x14ac:dyDescent="0.3">
      <c r="A3390" s="59">
        <f t="shared" si="281"/>
        <v>3054</v>
      </c>
      <c r="B3390" s="66" t="s">
        <v>3237</v>
      </c>
      <c r="C3390" s="184">
        <v>1966</v>
      </c>
      <c r="D3390" s="51"/>
      <c r="E3390" s="48" t="s">
        <v>3733</v>
      </c>
      <c r="F3390" s="218">
        <v>5</v>
      </c>
      <c r="G3390" s="51"/>
      <c r="H3390" s="52">
        <v>5406.5</v>
      </c>
      <c r="I3390" s="47">
        <v>165</v>
      </c>
      <c r="J3390" s="19">
        <f t="shared" si="280"/>
        <v>3147271.45</v>
      </c>
      <c r="K3390" s="51"/>
      <c r="L3390" s="50"/>
      <c r="M3390" s="51"/>
      <c r="N3390" s="19">
        <f>SUMIF('2020'!B:B,B3390,'2020'!C:C)+SUMIF('2021'!B:B,B3390,'2021'!C:C)+SUMIF('2022'!B:B,B3390,'2022'!C:C)</f>
        <v>3147271.45</v>
      </c>
      <c r="O3390" s="219">
        <v>44925</v>
      </c>
      <c r="P3390" s="48" t="s">
        <v>3728</v>
      </c>
    </row>
    <row r="3391" spans="1:16" x14ac:dyDescent="0.3">
      <c r="A3391" s="59">
        <f t="shared" si="281"/>
        <v>3055</v>
      </c>
      <c r="B3391" s="66" t="s">
        <v>3238</v>
      </c>
      <c r="C3391" s="184">
        <v>1967</v>
      </c>
      <c r="D3391" s="51"/>
      <c r="E3391" s="48" t="s">
        <v>3733</v>
      </c>
      <c r="F3391" s="218">
        <v>5</v>
      </c>
      <c r="G3391" s="51"/>
      <c r="H3391" s="52">
        <v>5500.2</v>
      </c>
      <c r="I3391" s="47">
        <v>157</v>
      </c>
      <c r="J3391" s="19">
        <f t="shared" si="280"/>
        <v>4474522.5599999996</v>
      </c>
      <c r="K3391" s="51"/>
      <c r="L3391" s="50"/>
      <c r="M3391" s="51"/>
      <c r="N3391" s="19">
        <f>SUMIF('2020'!B:B,B3391,'2020'!C:C)+SUMIF('2021'!B:B,B3391,'2021'!C:C)+SUMIF('2022'!B:B,B3391,'2022'!C:C)</f>
        <v>4474522.5599999996</v>
      </c>
      <c r="O3391" s="219">
        <v>44925</v>
      </c>
      <c r="P3391" s="48" t="s">
        <v>3728</v>
      </c>
    </row>
    <row r="3392" spans="1:16" x14ac:dyDescent="0.3">
      <c r="A3392" s="59">
        <f t="shared" si="281"/>
        <v>3056</v>
      </c>
      <c r="B3392" s="66" t="s">
        <v>3239</v>
      </c>
      <c r="C3392" s="184">
        <v>1975</v>
      </c>
      <c r="D3392" s="51"/>
      <c r="E3392" s="52" t="s">
        <v>3729</v>
      </c>
      <c r="F3392" s="218">
        <v>5</v>
      </c>
      <c r="G3392" s="51"/>
      <c r="H3392" s="52">
        <v>3869.81</v>
      </c>
      <c r="I3392" s="47">
        <v>178</v>
      </c>
      <c r="J3392" s="19">
        <f t="shared" si="280"/>
        <v>604203.58000000007</v>
      </c>
      <c r="K3392" s="51"/>
      <c r="L3392" s="48"/>
      <c r="M3392" s="51"/>
      <c r="N3392" s="19">
        <f>SUMIF('2020'!B:B,B3392,'2020'!C:C)+SUMIF('2021'!B:B,B3392,'2021'!C:C)+SUMIF('2022'!B:B,B3392,'2022'!C:C)</f>
        <v>604203.58000000007</v>
      </c>
      <c r="O3392" s="219">
        <v>44925</v>
      </c>
      <c r="P3392" s="48" t="s">
        <v>3728</v>
      </c>
    </row>
    <row r="3393" spans="1:16" x14ac:dyDescent="0.3">
      <c r="A3393" s="59">
        <f t="shared" si="281"/>
        <v>3057</v>
      </c>
      <c r="B3393" s="66" t="s">
        <v>3240</v>
      </c>
      <c r="C3393" s="184">
        <v>1974</v>
      </c>
      <c r="D3393" s="51"/>
      <c r="E3393" s="52" t="s">
        <v>3729</v>
      </c>
      <c r="F3393" s="218">
        <v>5</v>
      </c>
      <c r="G3393" s="51"/>
      <c r="H3393" s="52">
        <v>2069.96</v>
      </c>
      <c r="I3393" s="47">
        <v>105</v>
      </c>
      <c r="J3393" s="19">
        <f t="shared" si="280"/>
        <v>141164.03</v>
      </c>
      <c r="K3393" s="51"/>
      <c r="L3393" s="50"/>
      <c r="M3393" s="51"/>
      <c r="N3393" s="19">
        <f>SUMIF('2020'!B:B,B3393,'2020'!C:C)+SUMIF('2021'!B:B,B3393,'2021'!C:C)+SUMIF('2022'!B:B,B3393,'2022'!C:C)</f>
        <v>141164.03</v>
      </c>
      <c r="O3393" s="219">
        <v>44925</v>
      </c>
      <c r="P3393" s="48" t="s">
        <v>3728</v>
      </c>
    </row>
    <row r="3394" spans="1:16" x14ac:dyDescent="0.3">
      <c r="A3394" s="59">
        <f t="shared" si="281"/>
        <v>3058</v>
      </c>
      <c r="B3394" s="66" t="s">
        <v>3241</v>
      </c>
      <c r="C3394" s="184">
        <v>1976</v>
      </c>
      <c r="D3394" s="51"/>
      <c r="E3394" s="52" t="s">
        <v>3729</v>
      </c>
      <c r="F3394" s="218">
        <v>5</v>
      </c>
      <c r="G3394" s="51"/>
      <c r="H3394" s="52">
        <v>2088.89</v>
      </c>
      <c r="I3394" s="47">
        <v>96</v>
      </c>
      <c r="J3394" s="19">
        <f t="shared" si="280"/>
        <v>420055.6</v>
      </c>
      <c r="K3394" s="51"/>
      <c r="L3394" s="48"/>
      <c r="M3394" s="51"/>
      <c r="N3394" s="19">
        <f>SUMIF('2020'!B:B,B3394,'2020'!C:C)+SUMIF('2021'!B:B,B3394,'2021'!C:C)+SUMIF('2022'!B:B,B3394,'2022'!C:C)</f>
        <v>420055.6</v>
      </c>
      <c r="O3394" s="219">
        <v>44925</v>
      </c>
      <c r="P3394" s="48" t="s">
        <v>3728</v>
      </c>
    </row>
    <row r="3395" spans="1:16" x14ac:dyDescent="0.3">
      <c r="A3395" s="59">
        <f t="shared" si="281"/>
        <v>3059</v>
      </c>
      <c r="B3395" s="66" t="s">
        <v>3242</v>
      </c>
      <c r="C3395" s="184">
        <v>1975</v>
      </c>
      <c r="D3395" s="51"/>
      <c r="E3395" s="52" t="s">
        <v>3729</v>
      </c>
      <c r="F3395" s="218">
        <v>5</v>
      </c>
      <c r="G3395" s="51"/>
      <c r="H3395" s="52">
        <v>3855.23</v>
      </c>
      <c r="I3395" s="47">
        <v>186</v>
      </c>
      <c r="J3395" s="19">
        <f t="shared" si="280"/>
        <v>592207.39</v>
      </c>
      <c r="K3395" s="51"/>
      <c r="L3395" s="48"/>
      <c r="M3395" s="51"/>
      <c r="N3395" s="19">
        <f>SUMIF('2020'!B:B,B3395,'2020'!C:C)+SUMIF('2021'!B:B,B3395,'2021'!C:C)+SUMIF('2022'!B:B,B3395,'2022'!C:C)</f>
        <v>592207.39</v>
      </c>
      <c r="O3395" s="219">
        <v>44925</v>
      </c>
      <c r="P3395" s="48" t="s">
        <v>3728</v>
      </c>
    </row>
    <row r="3396" spans="1:16" x14ac:dyDescent="0.3">
      <c r="A3396" s="59">
        <f t="shared" si="281"/>
        <v>3060</v>
      </c>
      <c r="B3396" s="66" t="s">
        <v>3243</v>
      </c>
      <c r="C3396" s="184">
        <v>1975</v>
      </c>
      <c r="D3396" s="51"/>
      <c r="E3396" s="52" t="s">
        <v>3729</v>
      </c>
      <c r="F3396" s="218">
        <v>5</v>
      </c>
      <c r="G3396" s="51"/>
      <c r="H3396" s="52">
        <v>2074.1799999999998</v>
      </c>
      <c r="I3396" s="47">
        <v>98</v>
      </c>
      <c r="J3396" s="19">
        <f t="shared" si="280"/>
        <v>412728.87</v>
      </c>
      <c r="K3396" s="51"/>
      <c r="L3396" s="48"/>
      <c r="M3396" s="51"/>
      <c r="N3396" s="19">
        <f>SUMIF('2020'!B:B,B3396,'2020'!C:C)+SUMIF('2021'!B:B,B3396,'2021'!C:C)+SUMIF('2022'!B:B,B3396,'2022'!C:C)</f>
        <v>412728.87</v>
      </c>
      <c r="O3396" s="219">
        <v>44925</v>
      </c>
      <c r="P3396" s="48" t="s">
        <v>3728</v>
      </c>
    </row>
    <row r="3397" spans="1:16" x14ac:dyDescent="0.3">
      <c r="A3397" s="59">
        <f t="shared" si="281"/>
        <v>3061</v>
      </c>
      <c r="B3397" s="66" t="s">
        <v>3244</v>
      </c>
      <c r="C3397" s="184">
        <v>1977</v>
      </c>
      <c r="D3397" s="51"/>
      <c r="E3397" s="52" t="s">
        <v>3729</v>
      </c>
      <c r="F3397" s="218">
        <v>9</v>
      </c>
      <c r="G3397" s="51"/>
      <c r="H3397" s="52">
        <v>2229.4</v>
      </c>
      <c r="I3397" s="47">
        <v>122</v>
      </c>
      <c r="J3397" s="19">
        <f t="shared" si="280"/>
        <v>445595.94</v>
      </c>
      <c r="K3397" s="51"/>
      <c r="L3397" s="48"/>
      <c r="M3397" s="51"/>
      <c r="N3397" s="19">
        <f>SUMIF('2020'!B:B,B3397,'2020'!C:C)+SUMIF('2021'!B:B,B3397,'2021'!C:C)+SUMIF('2022'!B:B,B3397,'2022'!C:C)</f>
        <v>445595.94</v>
      </c>
      <c r="O3397" s="219">
        <v>44925</v>
      </c>
      <c r="P3397" s="48" t="s">
        <v>3728</v>
      </c>
    </row>
    <row r="3398" spans="1:16" x14ac:dyDescent="0.3">
      <c r="A3398" s="59">
        <f t="shared" si="281"/>
        <v>3062</v>
      </c>
      <c r="B3398" s="66" t="s">
        <v>3245</v>
      </c>
      <c r="C3398" s="184">
        <v>1977</v>
      </c>
      <c r="D3398" s="51"/>
      <c r="E3398" s="52" t="s">
        <v>3729</v>
      </c>
      <c r="F3398" s="218">
        <v>9</v>
      </c>
      <c r="G3398" s="51"/>
      <c r="H3398" s="52">
        <v>2226.3000000000002</v>
      </c>
      <c r="I3398" s="47">
        <v>89</v>
      </c>
      <c r="J3398" s="19">
        <f t="shared" si="280"/>
        <v>445595.94</v>
      </c>
      <c r="K3398" s="51"/>
      <c r="L3398" s="48"/>
      <c r="M3398" s="51"/>
      <c r="N3398" s="19">
        <f>SUMIF('2020'!B:B,B3398,'2020'!C:C)+SUMIF('2021'!B:B,B3398,'2021'!C:C)+SUMIF('2022'!B:B,B3398,'2022'!C:C)</f>
        <v>445595.94</v>
      </c>
      <c r="O3398" s="219">
        <v>44925</v>
      </c>
      <c r="P3398" s="48" t="s">
        <v>3728</v>
      </c>
    </row>
    <row r="3399" spans="1:16" x14ac:dyDescent="0.3">
      <c r="A3399" s="59">
        <f t="shared" si="281"/>
        <v>3063</v>
      </c>
      <c r="B3399" s="66" t="s">
        <v>3246</v>
      </c>
      <c r="C3399" s="184">
        <v>1974</v>
      </c>
      <c r="D3399" s="51"/>
      <c r="E3399" s="52" t="s">
        <v>3729</v>
      </c>
      <c r="F3399" s="218">
        <v>5</v>
      </c>
      <c r="G3399" s="51"/>
      <c r="H3399" s="52">
        <v>3909.92</v>
      </c>
      <c r="I3399" s="47">
        <v>176</v>
      </c>
      <c r="J3399" s="19">
        <f t="shared" si="280"/>
        <v>198793.44</v>
      </c>
      <c r="K3399" s="51"/>
      <c r="L3399" s="50"/>
      <c r="M3399" s="51"/>
      <c r="N3399" s="19">
        <f>SUMIF('2020'!B:B,B3399,'2020'!C:C)+SUMIF('2021'!B:B,B3399,'2021'!C:C)+SUMIF('2022'!B:B,B3399,'2022'!C:C)</f>
        <v>198793.44</v>
      </c>
      <c r="O3399" s="219">
        <v>44925</v>
      </c>
      <c r="P3399" s="48" t="s">
        <v>3728</v>
      </c>
    </row>
    <row r="3400" spans="1:16" x14ac:dyDescent="0.3">
      <c r="A3400" s="59">
        <f t="shared" si="281"/>
        <v>3064</v>
      </c>
      <c r="B3400" s="66" t="s">
        <v>3247</v>
      </c>
      <c r="C3400" s="184">
        <v>1973</v>
      </c>
      <c r="D3400" s="51"/>
      <c r="E3400" s="52" t="s">
        <v>3729</v>
      </c>
      <c r="F3400" s="218">
        <v>5</v>
      </c>
      <c r="G3400" s="51"/>
      <c r="H3400" s="52">
        <v>3878.21</v>
      </c>
      <c r="I3400" s="47">
        <v>179</v>
      </c>
      <c r="J3400" s="19">
        <f t="shared" si="280"/>
        <v>639356.88</v>
      </c>
      <c r="K3400" s="51"/>
      <c r="L3400" s="48"/>
      <c r="M3400" s="51"/>
      <c r="N3400" s="19">
        <f>SUMIF('2020'!B:B,B3400,'2020'!C:C)+SUMIF('2021'!B:B,B3400,'2021'!C:C)+SUMIF('2022'!B:B,B3400,'2022'!C:C)</f>
        <v>639356.88</v>
      </c>
      <c r="O3400" s="219">
        <v>44925</v>
      </c>
      <c r="P3400" s="48" t="s">
        <v>3728</v>
      </c>
    </row>
    <row r="3401" spans="1:16" x14ac:dyDescent="0.3">
      <c r="A3401" s="59">
        <f t="shared" si="281"/>
        <v>3065</v>
      </c>
      <c r="B3401" s="66" t="s">
        <v>3248</v>
      </c>
      <c r="C3401" s="184">
        <v>1973</v>
      </c>
      <c r="D3401" s="51"/>
      <c r="E3401" s="52" t="s">
        <v>3729</v>
      </c>
      <c r="F3401" s="218">
        <v>5</v>
      </c>
      <c r="G3401" s="51"/>
      <c r="H3401" s="52">
        <v>2072.5300000000002</v>
      </c>
      <c r="I3401" s="47">
        <v>85</v>
      </c>
      <c r="J3401" s="19">
        <f t="shared" si="280"/>
        <v>140491.1</v>
      </c>
      <c r="K3401" s="51"/>
      <c r="L3401" s="50"/>
      <c r="M3401" s="51"/>
      <c r="N3401" s="19">
        <f>SUMIF('2020'!B:B,B3401,'2020'!C:C)+SUMIF('2021'!B:B,B3401,'2021'!C:C)+SUMIF('2022'!B:B,B3401,'2022'!C:C)</f>
        <v>140491.1</v>
      </c>
      <c r="O3401" s="219">
        <v>44925</v>
      </c>
      <c r="P3401" s="48" t="s">
        <v>3728</v>
      </c>
    </row>
    <row r="3402" spans="1:16" x14ac:dyDescent="0.3">
      <c r="A3402" s="59">
        <f t="shared" si="281"/>
        <v>3066</v>
      </c>
      <c r="B3402" s="66" t="s">
        <v>3249</v>
      </c>
      <c r="C3402" s="184">
        <v>1973</v>
      </c>
      <c r="D3402" s="51"/>
      <c r="E3402" s="52" t="s">
        <v>3729</v>
      </c>
      <c r="F3402" s="218">
        <v>5</v>
      </c>
      <c r="G3402" s="51"/>
      <c r="H3402" s="52">
        <v>2078.34</v>
      </c>
      <c r="I3402" s="47">
        <v>84</v>
      </c>
      <c r="J3402" s="19">
        <f t="shared" si="280"/>
        <v>140491.1</v>
      </c>
      <c r="K3402" s="51"/>
      <c r="L3402" s="50"/>
      <c r="M3402" s="51"/>
      <c r="N3402" s="19">
        <f>SUMIF('2020'!B:B,B3402,'2020'!C:C)+SUMIF('2021'!B:B,B3402,'2021'!C:C)+SUMIF('2022'!B:B,B3402,'2022'!C:C)</f>
        <v>140491.1</v>
      </c>
      <c r="O3402" s="219">
        <v>44925</v>
      </c>
      <c r="P3402" s="48" t="s">
        <v>3728</v>
      </c>
    </row>
    <row r="3403" spans="1:16" x14ac:dyDescent="0.3">
      <c r="A3403" s="59">
        <f t="shared" si="281"/>
        <v>3067</v>
      </c>
      <c r="B3403" s="66" t="s">
        <v>3250</v>
      </c>
      <c r="C3403" s="184">
        <v>1973</v>
      </c>
      <c r="D3403" s="51"/>
      <c r="E3403" s="52" t="s">
        <v>3729</v>
      </c>
      <c r="F3403" s="218">
        <v>5</v>
      </c>
      <c r="G3403" s="51"/>
      <c r="H3403" s="52">
        <v>3016.31</v>
      </c>
      <c r="I3403" s="47">
        <v>138</v>
      </c>
      <c r="J3403" s="19">
        <f t="shared" si="280"/>
        <v>506789.33999999997</v>
      </c>
      <c r="K3403" s="51"/>
      <c r="L3403" s="48"/>
      <c r="M3403" s="51"/>
      <c r="N3403" s="19">
        <f>SUMIF('2020'!B:B,B3403,'2020'!C:C)+SUMIF('2021'!B:B,B3403,'2021'!C:C)+SUMIF('2022'!B:B,B3403,'2022'!C:C)</f>
        <v>506789.33999999997</v>
      </c>
      <c r="O3403" s="219">
        <v>44925</v>
      </c>
      <c r="P3403" s="48" t="s">
        <v>3728</v>
      </c>
    </row>
    <row r="3404" spans="1:16" x14ac:dyDescent="0.3">
      <c r="A3404" s="59">
        <f t="shared" si="281"/>
        <v>3068</v>
      </c>
      <c r="B3404" s="66" t="s">
        <v>3251</v>
      </c>
      <c r="C3404" s="184">
        <v>1974</v>
      </c>
      <c r="D3404" s="51"/>
      <c r="E3404" s="52" t="s">
        <v>3729</v>
      </c>
      <c r="F3404" s="218">
        <v>5</v>
      </c>
      <c r="G3404" s="51"/>
      <c r="H3404" s="52">
        <v>2065.73</v>
      </c>
      <c r="I3404" s="47">
        <v>98</v>
      </c>
      <c r="J3404" s="19">
        <f t="shared" si="280"/>
        <v>141164.03</v>
      </c>
      <c r="K3404" s="51"/>
      <c r="L3404" s="48"/>
      <c r="M3404" s="51"/>
      <c r="N3404" s="19">
        <f>SUMIF('2020'!B:B,B3404,'2020'!C:C)+SUMIF('2021'!B:B,B3404,'2021'!C:C)+SUMIF('2022'!B:B,B3404,'2022'!C:C)</f>
        <v>141164.03</v>
      </c>
      <c r="O3404" s="219">
        <v>44925</v>
      </c>
      <c r="P3404" s="48" t="s">
        <v>3728</v>
      </c>
    </row>
    <row r="3405" spans="1:16" x14ac:dyDescent="0.3">
      <c r="A3405" s="59">
        <f t="shared" si="281"/>
        <v>3069</v>
      </c>
      <c r="B3405" s="66" t="s">
        <v>3252</v>
      </c>
      <c r="C3405" s="184">
        <v>1974</v>
      </c>
      <c r="D3405" s="51"/>
      <c r="E3405" s="52" t="s">
        <v>3729</v>
      </c>
      <c r="F3405" s="218">
        <v>5</v>
      </c>
      <c r="G3405" s="51"/>
      <c r="H3405" s="52">
        <v>2065.67</v>
      </c>
      <c r="I3405" s="47">
        <v>112</v>
      </c>
      <c r="J3405" s="19">
        <f t="shared" si="280"/>
        <v>415463.49</v>
      </c>
      <c r="K3405" s="51"/>
      <c r="L3405" s="48"/>
      <c r="M3405" s="51"/>
      <c r="N3405" s="19">
        <f>SUMIF('2020'!B:B,B3405,'2020'!C:C)+SUMIF('2021'!B:B,B3405,'2021'!C:C)+SUMIF('2022'!B:B,B3405,'2022'!C:C)</f>
        <v>415463.49</v>
      </c>
      <c r="O3405" s="219">
        <v>44925</v>
      </c>
      <c r="P3405" s="48" t="s">
        <v>3728</v>
      </c>
    </row>
    <row r="3406" spans="1:16" x14ac:dyDescent="0.3">
      <c r="A3406" s="59">
        <f t="shared" si="281"/>
        <v>3070</v>
      </c>
      <c r="B3406" s="66" t="s">
        <v>3253</v>
      </c>
      <c r="C3406" s="184">
        <v>1973</v>
      </c>
      <c r="D3406" s="51"/>
      <c r="E3406" s="52" t="s">
        <v>3729</v>
      </c>
      <c r="F3406" s="218">
        <v>5</v>
      </c>
      <c r="G3406" s="51"/>
      <c r="H3406" s="52">
        <v>3032.3</v>
      </c>
      <c r="I3406" s="47">
        <v>130</v>
      </c>
      <c r="J3406" s="19">
        <f t="shared" si="280"/>
        <v>507511.69000000006</v>
      </c>
      <c r="K3406" s="51"/>
      <c r="L3406" s="48"/>
      <c r="M3406" s="51"/>
      <c r="N3406" s="19">
        <f>SUMIF('2020'!B:B,B3406,'2020'!C:C)+SUMIF('2021'!B:B,B3406,'2021'!C:C)+SUMIF('2022'!B:B,B3406,'2022'!C:C)</f>
        <v>507511.69000000006</v>
      </c>
      <c r="O3406" s="219">
        <v>44925</v>
      </c>
      <c r="P3406" s="48" t="s">
        <v>3728</v>
      </c>
    </row>
    <row r="3407" spans="1:16" x14ac:dyDescent="0.3">
      <c r="A3407" s="59">
        <f t="shared" si="281"/>
        <v>3071</v>
      </c>
      <c r="B3407" s="66" t="s">
        <v>3254</v>
      </c>
      <c r="C3407" s="184">
        <v>1975</v>
      </c>
      <c r="D3407" s="51"/>
      <c r="E3407" s="52" t="s">
        <v>3729</v>
      </c>
      <c r="F3407" s="218">
        <v>5</v>
      </c>
      <c r="G3407" s="51"/>
      <c r="H3407" s="52">
        <v>2062.16</v>
      </c>
      <c r="I3407" s="47">
        <v>117</v>
      </c>
      <c r="J3407" s="19">
        <f t="shared" si="280"/>
        <v>416830.8</v>
      </c>
      <c r="K3407" s="51"/>
      <c r="L3407" s="48"/>
      <c r="M3407" s="51"/>
      <c r="N3407" s="19">
        <f>SUMIF('2020'!B:B,B3407,'2020'!C:C)+SUMIF('2021'!B:B,B3407,'2021'!C:C)+SUMIF('2022'!B:B,B3407,'2022'!C:C)</f>
        <v>416830.8</v>
      </c>
      <c r="O3407" s="219">
        <v>44925</v>
      </c>
      <c r="P3407" s="48" t="s">
        <v>3728</v>
      </c>
    </row>
    <row r="3408" spans="1:16" x14ac:dyDescent="0.3">
      <c r="A3408" s="59">
        <f t="shared" si="281"/>
        <v>3072</v>
      </c>
      <c r="B3408" s="66" t="s">
        <v>3255</v>
      </c>
      <c r="C3408" s="184">
        <v>1970</v>
      </c>
      <c r="D3408" s="51"/>
      <c r="E3408" s="52" t="s">
        <v>3729</v>
      </c>
      <c r="F3408" s="218">
        <v>9</v>
      </c>
      <c r="G3408" s="51"/>
      <c r="H3408" s="52">
        <v>12027</v>
      </c>
      <c r="I3408" s="47">
        <v>521</v>
      </c>
      <c r="J3408" s="19">
        <f t="shared" si="280"/>
        <v>25225223.170000002</v>
      </c>
      <c r="K3408" s="51"/>
      <c r="L3408" s="50"/>
      <c r="M3408" s="51"/>
      <c r="N3408" s="19">
        <f>SUMIF('2020'!B:B,B3408,'2020'!C:C)+SUMIF('2021'!B:B,B3408,'2021'!C:C)+SUMIF('2022'!B:B,B3408,'2022'!C:C)</f>
        <v>25225223.170000002</v>
      </c>
      <c r="O3408" s="219">
        <v>44925</v>
      </c>
      <c r="P3408" s="48" t="s">
        <v>3728</v>
      </c>
    </row>
    <row r="3409" spans="1:16" x14ac:dyDescent="0.3">
      <c r="A3409" s="59">
        <f t="shared" si="281"/>
        <v>3073</v>
      </c>
      <c r="B3409" s="66" t="s">
        <v>3256</v>
      </c>
      <c r="C3409" s="184">
        <v>1972</v>
      </c>
      <c r="D3409" s="51"/>
      <c r="E3409" s="52" t="s">
        <v>3729</v>
      </c>
      <c r="F3409" s="218">
        <v>5</v>
      </c>
      <c r="G3409" s="51"/>
      <c r="H3409" s="52">
        <v>2096</v>
      </c>
      <c r="I3409" s="47">
        <v>95</v>
      </c>
      <c r="J3409" s="19">
        <f t="shared" ref="J3409:J3472" si="282">K3409+L3409+M3409+N3409</f>
        <v>555543.46</v>
      </c>
      <c r="K3409" s="51"/>
      <c r="L3409" s="50"/>
      <c r="M3409" s="51"/>
      <c r="N3409" s="19">
        <f>SUMIF('2020'!B:B,B3409,'2020'!C:C)+SUMIF('2021'!B:B,B3409,'2021'!C:C)+SUMIF('2022'!B:B,B3409,'2022'!C:C)</f>
        <v>555543.46</v>
      </c>
      <c r="O3409" s="219">
        <v>44925</v>
      </c>
      <c r="P3409" s="48" t="s">
        <v>3728</v>
      </c>
    </row>
    <row r="3410" spans="1:16" x14ac:dyDescent="0.3">
      <c r="A3410" s="59">
        <f t="shared" si="281"/>
        <v>3074</v>
      </c>
      <c r="B3410" s="66" t="s">
        <v>3257</v>
      </c>
      <c r="C3410" s="184">
        <v>1972</v>
      </c>
      <c r="D3410" s="51"/>
      <c r="E3410" s="52" t="s">
        <v>3729</v>
      </c>
      <c r="F3410" s="218">
        <v>9</v>
      </c>
      <c r="G3410" s="51"/>
      <c r="H3410" s="52">
        <v>13377.9</v>
      </c>
      <c r="I3410" s="47"/>
      <c r="J3410" s="19">
        <f t="shared" si="282"/>
        <v>130000</v>
      </c>
      <c r="K3410" s="51"/>
      <c r="L3410" s="50"/>
      <c r="M3410" s="51"/>
      <c r="N3410" s="19">
        <f>SUMIF('2020'!B:B,B3410,'2020'!C:C)+SUMIF('2021'!B:B,B3410,'2021'!C:C)+SUMIF('2022'!B:B,B3410,'2022'!C:C)</f>
        <v>130000</v>
      </c>
      <c r="O3410" s="219">
        <v>44925</v>
      </c>
      <c r="P3410" s="48" t="s">
        <v>3787</v>
      </c>
    </row>
    <row r="3411" spans="1:16" x14ac:dyDescent="0.3">
      <c r="A3411" s="59">
        <f t="shared" ref="A3411:A3474" si="283">A3410+1</f>
        <v>3075</v>
      </c>
      <c r="B3411" s="66" t="s">
        <v>3258</v>
      </c>
      <c r="C3411" s="184">
        <v>1972</v>
      </c>
      <c r="D3411" s="51"/>
      <c r="E3411" s="52" t="s">
        <v>3729</v>
      </c>
      <c r="F3411" s="218">
        <v>5</v>
      </c>
      <c r="G3411" s="51"/>
      <c r="H3411" s="52">
        <v>3859.4</v>
      </c>
      <c r="I3411" s="47">
        <v>157</v>
      </c>
      <c r="J3411" s="19">
        <f t="shared" si="282"/>
        <v>6603032.8799999999</v>
      </c>
      <c r="K3411" s="51"/>
      <c r="L3411" s="50"/>
      <c r="M3411" s="51"/>
      <c r="N3411" s="19">
        <f>SUMIF('2020'!B:B,B3411,'2020'!C:C)+SUMIF('2021'!B:B,B3411,'2021'!C:C)+SUMIF('2022'!B:B,B3411,'2022'!C:C)</f>
        <v>6603032.8799999999</v>
      </c>
      <c r="O3411" s="219">
        <v>44925</v>
      </c>
      <c r="P3411" s="48" t="s">
        <v>3728</v>
      </c>
    </row>
    <row r="3412" spans="1:16" x14ac:dyDescent="0.3">
      <c r="A3412" s="59">
        <f t="shared" si="283"/>
        <v>3076</v>
      </c>
      <c r="B3412" s="66" t="s">
        <v>3259</v>
      </c>
      <c r="C3412" s="184">
        <v>1972</v>
      </c>
      <c r="D3412" s="51"/>
      <c r="E3412" s="52" t="s">
        <v>3729</v>
      </c>
      <c r="F3412" s="218">
        <v>5</v>
      </c>
      <c r="G3412" s="51"/>
      <c r="H3412" s="52">
        <v>3916</v>
      </c>
      <c r="I3412" s="47">
        <v>183</v>
      </c>
      <c r="J3412" s="19">
        <f t="shared" si="282"/>
        <v>6915182.8799999999</v>
      </c>
      <c r="K3412" s="51"/>
      <c r="L3412" s="50"/>
      <c r="M3412" s="51"/>
      <c r="N3412" s="19">
        <f>SUMIF('2020'!B:B,B3412,'2020'!C:C)+SUMIF('2021'!B:B,B3412,'2021'!C:C)+SUMIF('2022'!B:B,B3412,'2022'!C:C)</f>
        <v>6915182.8799999999</v>
      </c>
      <c r="O3412" s="219">
        <v>44925</v>
      </c>
      <c r="P3412" s="48" t="s">
        <v>3728</v>
      </c>
    </row>
    <row r="3413" spans="1:16" x14ac:dyDescent="0.3">
      <c r="A3413" s="59">
        <f t="shared" si="283"/>
        <v>3077</v>
      </c>
      <c r="B3413" s="66" t="s">
        <v>3260</v>
      </c>
      <c r="C3413" s="184">
        <v>1972</v>
      </c>
      <c r="D3413" s="51"/>
      <c r="E3413" s="52" t="s">
        <v>3729</v>
      </c>
      <c r="F3413" s="218">
        <v>5</v>
      </c>
      <c r="G3413" s="51"/>
      <c r="H3413" s="52">
        <v>3021.7</v>
      </c>
      <c r="I3413" s="47">
        <v>128</v>
      </c>
      <c r="J3413" s="19">
        <f t="shared" si="282"/>
        <v>349862.57999999996</v>
      </c>
      <c r="K3413" s="51"/>
      <c r="L3413" s="50"/>
      <c r="M3413" s="51"/>
      <c r="N3413" s="19">
        <f>SUMIF('2020'!B:B,B3413,'2020'!C:C)+SUMIF('2021'!B:B,B3413,'2021'!C:C)+SUMIF('2022'!B:B,B3413,'2022'!C:C)</f>
        <v>349862.57999999996</v>
      </c>
      <c r="O3413" s="219">
        <v>44925</v>
      </c>
      <c r="P3413" s="48" t="s">
        <v>3728</v>
      </c>
    </row>
    <row r="3414" spans="1:16" x14ac:dyDescent="0.3">
      <c r="A3414" s="59">
        <f t="shared" si="283"/>
        <v>3078</v>
      </c>
      <c r="B3414" s="66" t="s">
        <v>3261</v>
      </c>
      <c r="C3414" s="184">
        <v>1973</v>
      </c>
      <c r="D3414" s="51"/>
      <c r="E3414" s="52" t="s">
        <v>3733</v>
      </c>
      <c r="F3414" s="218">
        <v>5</v>
      </c>
      <c r="G3414" s="51"/>
      <c r="H3414" s="52">
        <v>4078.3</v>
      </c>
      <c r="I3414" s="47">
        <v>196</v>
      </c>
      <c r="J3414" s="19">
        <f t="shared" si="282"/>
        <v>215414.95</v>
      </c>
      <c r="K3414" s="51"/>
      <c r="L3414" s="50"/>
      <c r="M3414" s="51"/>
      <c r="N3414" s="19">
        <f>SUMIF('2020'!B:B,B3414,'2020'!C:C)+SUMIF('2021'!B:B,B3414,'2021'!C:C)+SUMIF('2022'!B:B,B3414,'2022'!C:C)</f>
        <v>215414.95</v>
      </c>
      <c r="O3414" s="219">
        <v>44925</v>
      </c>
      <c r="P3414" s="48" t="s">
        <v>3728</v>
      </c>
    </row>
    <row r="3415" spans="1:16" x14ac:dyDescent="0.3">
      <c r="A3415" s="59">
        <f t="shared" si="283"/>
        <v>3079</v>
      </c>
      <c r="B3415" s="66" t="s">
        <v>3262</v>
      </c>
      <c r="C3415" s="184">
        <v>1973</v>
      </c>
      <c r="D3415" s="51"/>
      <c r="E3415" s="52" t="s">
        <v>3729</v>
      </c>
      <c r="F3415" s="218">
        <v>9</v>
      </c>
      <c r="G3415" s="51"/>
      <c r="H3415" s="52">
        <v>7937</v>
      </c>
      <c r="I3415" s="47">
        <v>358</v>
      </c>
      <c r="J3415" s="19">
        <f t="shared" si="282"/>
        <v>157176.64000000001</v>
      </c>
      <c r="K3415" s="51"/>
      <c r="L3415" s="50"/>
      <c r="M3415" s="51"/>
      <c r="N3415" s="19">
        <f>SUMIF('2020'!B:B,B3415,'2020'!C:C)+SUMIF('2021'!B:B,B3415,'2021'!C:C)+SUMIF('2022'!B:B,B3415,'2022'!C:C)</f>
        <v>157176.64000000001</v>
      </c>
      <c r="O3415" s="219">
        <v>44925</v>
      </c>
      <c r="P3415" s="48" t="s">
        <v>3728</v>
      </c>
    </row>
    <row r="3416" spans="1:16" x14ac:dyDescent="0.3">
      <c r="A3416" s="59">
        <f t="shared" si="283"/>
        <v>3080</v>
      </c>
      <c r="B3416" s="66" t="s">
        <v>3263</v>
      </c>
      <c r="C3416" s="184">
        <v>1973</v>
      </c>
      <c r="D3416" s="51"/>
      <c r="E3416" s="52" t="s">
        <v>3733</v>
      </c>
      <c r="F3416" s="218">
        <v>5</v>
      </c>
      <c r="G3416" s="51"/>
      <c r="H3416" s="52">
        <v>3062</v>
      </c>
      <c r="I3416" s="47">
        <v>135</v>
      </c>
      <c r="J3416" s="19">
        <f t="shared" si="282"/>
        <v>187330.75</v>
      </c>
      <c r="K3416" s="51"/>
      <c r="L3416" s="50"/>
      <c r="M3416" s="51"/>
      <c r="N3416" s="19">
        <f>SUMIF('2020'!B:B,B3416,'2020'!C:C)+SUMIF('2021'!B:B,B3416,'2021'!C:C)+SUMIF('2022'!B:B,B3416,'2022'!C:C)</f>
        <v>187330.75</v>
      </c>
      <c r="O3416" s="219">
        <v>44925</v>
      </c>
      <c r="P3416" s="48" t="s">
        <v>3728</v>
      </c>
    </row>
    <row r="3417" spans="1:16" x14ac:dyDescent="0.3">
      <c r="A3417" s="59">
        <f t="shared" si="283"/>
        <v>3081</v>
      </c>
      <c r="B3417" s="66" t="s">
        <v>3264</v>
      </c>
      <c r="C3417" s="184">
        <v>1972</v>
      </c>
      <c r="D3417" s="51"/>
      <c r="E3417" s="52" t="s">
        <v>3729</v>
      </c>
      <c r="F3417" s="218">
        <v>5</v>
      </c>
      <c r="G3417" s="51"/>
      <c r="H3417" s="52">
        <v>3877</v>
      </c>
      <c r="I3417" s="47">
        <v>170</v>
      </c>
      <c r="J3417" s="19">
        <f t="shared" si="282"/>
        <v>1218720.26</v>
      </c>
      <c r="K3417" s="51"/>
      <c r="L3417" s="50"/>
      <c r="M3417" s="51"/>
      <c r="N3417" s="19">
        <f>SUMIF('2020'!B:B,B3417,'2020'!C:C)+SUMIF('2021'!B:B,B3417,'2021'!C:C)+SUMIF('2022'!B:B,B3417,'2022'!C:C)</f>
        <v>1218720.26</v>
      </c>
      <c r="O3417" s="219">
        <v>44925</v>
      </c>
      <c r="P3417" s="48" t="s">
        <v>3728</v>
      </c>
    </row>
    <row r="3418" spans="1:16" x14ac:dyDescent="0.3">
      <c r="A3418" s="59">
        <f t="shared" si="283"/>
        <v>3082</v>
      </c>
      <c r="B3418" s="66" t="s">
        <v>3265</v>
      </c>
      <c r="C3418" s="184">
        <v>1971</v>
      </c>
      <c r="D3418" s="51"/>
      <c r="E3418" s="52" t="s">
        <v>3729</v>
      </c>
      <c r="F3418" s="218">
        <v>5</v>
      </c>
      <c r="G3418" s="51"/>
      <c r="H3418" s="52">
        <v>3859</v>
      </c>
      <c r="I3418" s="47">
        <v>188</v>
      </c>
      <c r="J3418" s="19">
        <f t="shared" si="282"/>
        <v>19207915.73</v>
      </c>
      <c r="K3418" s="51"/>
      <c r="L3418" s="50"/>
      <c r="M3418" s="51"/>
      <c r="N3418" s="19">
        <f>SUMIF('2020'!B:B,B3418,'2020'!C:C)+SUMIF('2021'!B:B,B3418,'2021'!C:C)+SUMIF('2022'!B:B,B3418,'2022'!C:C)</f>
        <v>19207915.73</v>
      </c>
      <c r="O3418" s="219">
        <v>44925</v>
      </c>
      <c r="P3418" s="48" t="s">
        <v>3728</v>
      </c>
    </row>
    <row r="3419" spans="1:16" x14ac:dyDescent="0.3">
      <c r="A3419" s="59">
        <f t="shared" si="283"/>
        <v>3083</v>
      </c>
      <c r="B3419" s="66" t="s">
        <v>3266</v>
      </c>
      <c r="C3419" s="184">
        <v>1971</v>
      </c>
      <c r="D3419" s="51"/>
      <c r="E3419" s="52" t="s">
        <v>3729</v>
      </c>
      <c r="F3419" s="218">
        <v>5</v>
      </c>
      <c r="G3419" s="51"/>
      <c r="H3419" s="52">
        <v>4395.3</v>
      </c>
      <c r="I3419" s="47">
        <v>186</v>
      </c>
      <c r="J3419" s="19">
        <f t="shared" si="282"/>
        <v>710477.51</v>
      </c>
      <c r="K3419" s="51"/>
      <c r="L3419" s="50"/>
      <c r="M3419" s="51"/>
      <c r="N3419" s="19">
        <f>SUMIF('2020'!B:B,B3419,'2020'!C:C)+SUMIF('2021'!B:B,B3419,'2021'!C:C)+SUMIF('2022'!B:B,B3419,'2022'!C:C)</f>
        <v>710477.51</v>
      </c>
      <c r="O3419" s="219">
        <v>44925</v>
      </c>
      <c r="P3419" s="48" t="s">
        <v>3728</v>
      </c>
    </row>
    <row r="3420" spans="1:16" x14ac:dyDescent="0.3">
      <c r="A3420" s="59">
        <f t="shared" si="283"/>
        <v>3084</v>
      </c>
      <c r="B3420" s="66" t="s">
        <v>3267</v>
      </c>
      <c r="C3420" s="184">
        <v>1974</v>
      </c>
      <c r="D3420" s="51"/>
      <c r="E3420" s="52" t="s">
        <v>3729</v>
      </c>
      <c r="F3420" s="218">
        <v>9</v>
      </c>
      <c r="G3420" s="51"/>
      <c r="H3420" s="52">
        <v>8648.6</v>
      </c>
      <c r="I3420" s="47">
        <v>356</v>
      </c>
      <c r="J3420" s="19">
        <f t="shared" si="282"/>
        <v>155825.68</v>
      </c>
      <c r="K3420" s="51"/>
      <c r="L3420" s="50"/>
      <c r="M3420" s="51"/>
      <c r="N3420" s="19">
        <f>SUMIF('2020'!B:B,B3420,'2020'!C:C)+SUMIF('2021'!B:B,B3420,'2021'!C:C)+SUMIF('2022'!B:B,B3420,'2022'!C:C)</f>
        <v>155825.68</v>
      </c>
      <c r="O3420" s="219">
        <v>44925</v>
      </c>
      <c r="P3420" s="48" t="s">
        <v>3728</v>
      </c>
    </row>
    <row r="3421" spans="1:16" x14ac:dyDescent="0.3">
      <c r="A3421" s="59">
        <f t="shared" si="283"/>
        <v>3085</v>
      </c>
      <c r="B3421" s="66" t="s">
        <v>3268</v>
      </c>
      <c r="C3421" s="184">
        <v>1974</v>
      </c>
      <c r="D3421" s="51"/>
      <c r="E3421" s="52" t="s">
        <v>3733</v>
      </c>
      <c r="F3421" s="218">
        <v>7</v>
      </c>
      <c r="G3421" s="51"/>
      <c r="H3421" s="52">
        <v>1895</v>
      </c>
      <c r="I3421" s="47">
        <v>70</v>
      </c>
      <c r="J3421" s="19">
        <f t="shared" si="282"/>
        <v>123743.54</v>
      </c>
      <c r="K3421" s="51"/>
      <c r="L3421" s="50"/>
      <c r="M3421" s="51"/>
      <c r="N3421" s="19">
        <f>SUMIF('2020'!B:B,B3421,'2020'!C:C)+SUMIF('2021'!B:B,B3421,'2021'!C:C)+SUMIF('2022'!B:B,B3421,'2022'!C:C)</f>
        <v>123743.54</v>
      </c>
      <c r="O3421" s="219">
        <v>44925</v>
      </c>
      <c r="P3421" s="48" t="s">
        <v>3728</v>
      </c>
    </row>
    <row r="3422" spans="1:16" x14ac:dyDescent="0.3">
      <c r="A3422" s="59">
        <f t="shared" si="283"/>
        <v>3086</v>
      </c>
      <c r="B3422" s="66" t="s">
        <v>3269</v>
      </c>
      <c r="C3422" s="184">
        <v>1973</v>
      </c>
      <c r="D3422" s="51"/>
      <c r="E3422" s="52" t="s">
        <v>3729</v>
      </c>
      <c r="F3422" s="218">
        <v>5</v>
      </c>
      <c r="G3422" s="51"/>
      <c r="H3422" s="52">
        <v>5088.8999999999996</v>
      </c>
      <c r="I3422" s="47">
        <v>200</v>
      </c>
      <c r="J3422" s="19">
        <f t="shared" si="282"/>
        <v>682656.11</v>
      </c>
      <c r="K3422" s="51"/>
      <c r="L3422" s="48"/>
      <c r="M3422" s="51"/>
      <c r="N3422" s="19">
        <f>SUMIF('2020'!B:B,B3422,'2020'!C:C)+SUMIF('2021'!B:B,B3422,'2021'!C:C)+SUMIF('2022'!B:B,B3422,'2022'!C:C)</f>
        <v>682656.11</v>
      </c>
      <c r="O3422" s="219">
        <v>44925</v>
      </c>
      <c r="P3422" s="48" t="s">
        <v>3728</v>
      </c>
    </row>
    <row r="3423" spans="1:16" x14ac:dyDescent="0.3">
      <c r="A3423" s="59">
        <f t="shared" si="283"/>
        <v>3087</v>
      </c>
      <c r="B3423" s="66" t="s">
        <v>3270</v>
      </c>
      <c r="C3423" s="184">
        <v>1975</v>
      </c>
      <c r="D3423" s="51"/>
      <c r="E3423" s="52" t="s">
        <v>3729</v>
      </c>
      <c r="F3423" s="218">
        <v>7</v>
      </c>
      <c r="G3423" s="51"/>
      <c r="H3423" s="52">
        <v>1988.9</v>
      </c>
      <c r="I3423" s="47">
        <v>61</v>
      </c>
      <c r="J3423" s="19">
        <f t="shared" si="282"/>
        <v>79675.03</v>
      </c>
      <c r="K3423" s="51"/>
      <c r="L3423" s="50"/>
      <c r="M3423" s="51"/>
      <c r="N3423" s="19">
        <f>SUMIF('2020'!B:B,B3423,'2020'!C:C)+SUMIF('2021'!B:B,B3423,'2021'!C:C)+SUMIF('2022'!B:B,B3423,'2022'!C:C)</f>
        <v>79675.03</v>
      </c>
      <c r="O3423" s="219">
        <v>44925</v>
      </c>
      <c r="P3423" s="48" t="s">
        <v>3728</v>
      </c>
    </row>
    <row r="3424" spans="1:16" x14ac:dyDescent="0.3">
      <c r="A3424" s="59">
        <f t="shared" si="283"/>
        <v>3088</v>
      </c>
      <c r="B3424" s="66" t="s">
        <v>3271</v>
      </c>
      <c r="C3424" s="184">
        <v>1975</v>
      </c>
      <c r="D3424" s="51"/>
      <c r="E3424" s="52" t="s">
        <v>3733</v>
      </c>
      <c r="F3424" s="218">
        <v>5</v>
      </c>
      <c r="G3424" s="51"/>
      <c r="H3424" s="52">
        <v>3596.7</v>
      </c>
      <c r="I3424" s="47">
        <v>141</v>
      </c>
      <c r="J3424" s="19">
        <f t="shared" si="282"/>
        <v>193444.61</v>
      </c>
      <c r="K3424" s="51"/>
      <c r="L3424" s="50"/>
      <c r="M3424" s="51"/>
      <c r="N3424" s="19">
        <f>SUMIF('2020'!B:B,B3424,'2020'!C:C)+SUMIF('2021'!B:B,B3424,'2021'!C:C)+SUMIF('2022'!B:B,B3424,'2022'!C:C)</f>
        <v>193444.61</v>
      </c>
      <c r="O3424" s="219">
        <v>44925</v>
      </c>
      <c r="P3424" s="48" t="s">
        <v>3728</v>
      </c>
    </row>
    <row r="3425" spans="1:16" x14ac:dyDescent="0.3">
      <c r="A3425" s="59">
        <f t="shared" si="283"/>
        <v>3089</v>
      </c>
      <c r="B3425" s="66" t="s">
        <v>3272</v>
      </c>
      <c r="C3425" s="184">
        <v>1977</v>
      </c>
      <c r="D3425" s="51"/>
      <c r="E3425" s="52" t="s">
        <v>3733</v>
      </c>
      <c r="F3425" s="218">
        <v>7</v>
      </c>
      <c r="G3425" s="51"/>
      <c r="H3425" s="52">
        <v>1511.5</v>
      </c>
      <c r="I3425" s="47">
        <v>56</v>
      </c>
      <c r="J3425" s="19">
        <f t="shared" si="282"/>
        <v>423229.87</v>
      </c>
      <c r="K3425" s="51"/>
      <c r="L3425" s="48"/>
      <c r="M3425" s="51"/>
      <c r="N3425" s="19">
        <f>SUMIF('2020'!B:B,B3425,'2020'!C:C)+SUMIF('2021'!B:B,B3425,'2021'!C:C)+SUMIF('2022'!B:B,B3425,'2022'!C:C)</f>
        <v>423229.87</v>
      </c>
      <c r="O3425" s="219">
        <v>44925</v>
      </c>
      <c r="P3425" s="48" t="s">
        <v>3728</v>
      </c>
    </row>
    <row r="3426" spans="1:16" x14ac:dyDescent="0.3">
      <c r="A3426" s="59">
        <f t="shared" si="283"/>
        <v>3090</v>
      </c>
      <c r="B3426" s="66" t="s">
        <v>3273</v>
      </c>
      <c r="C3426" s="184">
        <v>1979</v>
      </c>
      <c r="D3426" s="51"/>
      <c r="E3426" s="52" t="s">
        <v>3733</v>
      </c>
      <c r="F3426" s="218">
        <v>7</v>
      </c>
      <c r="G3426" s="51"/>
      <c r="H3426" s="52">
        <v>1260.4000000000001</v>
      </c>
      <c r="I3426" s="47">
        <v>54</v>
      </c>
      <c r="J3426" s="19">
        <f t="shared" si="282"/>
        <v>657648.04</v>
      </c>
      <c r="K3426" s="51"/>
      <c r="L3426" s="50"/>
      <c r="M3426" s="51"/>
      <c r="N3426" s="19">
        <f>SUMIF('2020'!B:B,B3426,'2020'!C:C)+SUMIF('2021'!B:B,B3426,'2021'!C:C)+SUMIF('2022'!B:B,B3426,'2022'!C:C)</f>
        <v>657648.04</v>
      </c>
      <c r="O3426" s="219">
        <v>44925</v>
      </c>
      <c r="P3426" s="48" t="s">
        <v>3728</v>
      </c>
    </row>
    <row r="3427" spans="1:16" x14ac:dyDescent="0.3">
      <c r="A3427" s="59">
        <f t="shared" si="283"/>
        <v>3091</v>
      </c>
      <c r="B3427" s="66" t="s">
        <v>3274</v>
      </c>
      <c r="C3427" s="184">
        <v>1972</v>
      </c>
      <c r="D3427" s="51"/>
      <c r="E3427" s="52" t="s">
        <v>3733</v>
      </c>
      <c r="F3427" s="218">
        <v>5</v>
      </c>
      <c r="G3427" s="51"/>
      <c r="H3427" s="52">
        <v>3298.4</v>
      </c>
      <c r="I3427" s="47">
        <v>163</v>
      </c>
      <c r="J3427" s="19">
        <f t="shared" si="282"/>
        <v>11973793.98</v>
      </c>
      <c r="K3427" s="51"/>
      <c r="L3427" s="50"/>
      <c r="M3427" s="51"/>
      <c r="N3427" s="19">
        <f>SUMIF('2020'!B:B,B3427,'2020'!C:C)+SUMIF('2021'!B:B,B3427,'2021'!C:C)+SUMIF('2022'!B:B,B3427,'2022'!C:C)</f>
        <v>11973793.98</v>
      </c>
      <c r="O3427" s="219">
        <v>44925</v>
      </c>
      <c r="P3427" s="48" t="s">
        <v>3728</v>
      </c>
    </row>
    <row r="3428" spans="1:16" x14ac:dyDescent="0.3">
      <c r="A3428" s="59">
        <f t="shared" si="283"/>
        <v>3092</v>
      </c>
      <c r="B3428" s="66" t="s">
        <v>3275</v>
      </c>
      <c r="C3428" s="184">
        <v>1972</v>
      </c>
      <c r="D3428" s="51"/>
      <c r="E3428" s="52" t="s">
        <v>3733</v>
      </c>
      <c r="F3428" s="218">
        <v>5</v>
      </c>
      <c r="G3428" s="51"/>
      <c r="H3428" s="52">
        <v>3159.2</v>
      </c>
      <c r="I3428" s="47">
        <v>189</v>
      </c>
      <c r="J3428" s="19">
        <f t="shared" si="282"/>
        <v>130000</v>
      </c>
      <c r="K3428" s="51"/>
      <c r="L3428" s="50"/>
      <c r="M3428" s="51"/>
      <c r="N3428" s="19">
        <f>SUMIF('2020'!B:B,B3428,'2020'!C:C)+SUMIF('2021'!B:B,B3428,'2021'!C:C)+SUMIF('2022'!B:B,B3428,'2022'!C:C)</f>
        <v>130000</v>
      </c>
      <c r="O3428" s="219">
        <v>44925</v>
      </c>
      <c r="P3428" s="48" t="s">
        <v>3728</v>
      </c>
    </row>
    <row r="3429" spans="1:16" x14ac:dyDescent="0.3">
      <c r="A3429" s="59">
        <f t="shared" si="283"/>
        <v>3093</v>
      </c>
      <c r="B3429" s="66" t="s">
        <v>3276</v>
      </c>
      <c r="C3429" s="184">
        <v>1972</v>
      </c>
      <c r="D3429" s="51"/>
      <c r="E3429" s="52" t="s">
        <v>3733</v>
      </c>
      <c r="F3429" s="218">
        <v>2</v>
      </c>
      <c r="G3429" s="50"/>
      <c r="H3429" s="48">
        <v>692.5</v>
      </c>
      <c r="I3429" s="47">
        <v>19</v>
      </c>
      <c r="J3429" s="19">
        <f t="shared" si="282"/>
        <v>10425354.48</v>
      </c>
      <c r="K3429" s="51"/>
      <c r="L3429" s="50"/>
      <c r="M3429" s="51"/>
      <c r="N3429" s="19">
        <f>SUMIF('2020'!B:B,B3429,'2020'!C:C)+SUMIF('2021'!B:B,B3429,'2021'!C:C)+SUMIF('2022'!B:B,B3429,'2022'!C:C)</f>
        <v>10425354.48</v>
      </c>
      <c r="O3429" s="219">
        <v>44925</v>
      </c>
      <c r="P3429" s="48" t="s">
        <v>3728</v>
      </c>
    </row>
    <row r="3430" spans="1:16" x14ac:dyDescent="0.3">
      <c r="A3430" s="59">
        <f t="shared" si="283"/>
        <v>3094</v>
      </c>
      <c r="B3430" s="66" t="s">
        <v>3277</v>
      </c>
      <c r="C3430" s="184">
        <v>1972</v>
      </c>
      <c r="D3430" s="51"/>
      <c r="E3430" s="52" t="s">
        <v>3729</v>
      </c>
      <c r="F3430" s="218">
        <v>5</v>
      </c>
      <c r="G3430" s="51"/>
      <c r="H3430" s="52">
        <v>2385.6</v>
      </c>
      <c r="I3430" s="47">
        <v>89</v>
      </c>
      <c r="J3430" s="19">
        <f t="shared" si="282"/>
        <v>559526.77</v>
      </c>
      <c r="K3430" s="51"/>
      <c r="L3430" s="48"/>
      <c r="M3430" s="51"/>
      <c r="N3430" s="19">
        <f>SUMIF('2020'!B:B,B3430,'2020'!C:C)+SUMIF('2021'!B:B,B3430,'2021'!C:C)+SUMIF('2022'!B:B,B3430,'2022'!C:C)</f>
        <v>559526.77</v>
      </c>
      <c r="O3430" s="219">
        <v>44925</v>
      </c>
      <c r="P3430" s="48" t="s">
        <v>3728</v>
      </c>
    </row>
    <row r="3431" spans="1:16" x14ac:dyDescent="0.3">
      <c r="A3431" s="59">
        <f t="shared" si="283"/>
        <v>3095</v>
      </c>
      <c r="B3431" s="66" t="s">
        <v>3278</v>
      </c>
      <c r="C3431" s="184">
        <v>1973</v>
      </c>
      <c r="D3431" s="51"/>
      <c r="E3431" s="52" t="s">
        <v>3729</v>
      </c>
      <c r="F3431" s="218">
        <v>5</v>
      </c>
      <c r="G3431" s="51"/>
      <c r="H3431" s="52">
        <v>3454.9</v>
      </c>
      <c r="I3431" s="47">
        <v>139</v>
      </c>
      <c r="J3431" s="19">
        <f t="shared" si="282"/>
        <v>523738.8</v>
      </c>
      <c r="K3431" s="51"/>
      <c r="L3431" s="48"/>
      <c r="M3431" s="51"/>
      <c r="N3431" s="19">
        <f>SUMIF('2020'!B:B,B3431,'2020'!C:C)+SUMIF('2021'!B:B,B3431,'2021'!C:C)+SUMIF('2022'!B:B,B3431,'2022'!C:C)</f>
        <v>523738.8</v>
      </c>
      <c r="O3431" s="219">
        <v>44925</v>
      </c>
      <c r="P3431" s="48" t="s">
        <v>3728</v>
      </c>
    </row>
    <row r="3432" spans="1:16" x14ac:dyDescent="0.3">
      <c r="A3432" s="59">
        <f t="shared" si="283"/>
        <v>3096</v>
      </c>
      <c r="B3432" s="66" t="s">
        <v>3279</v>
      </c>
      <c r="C3432" s="184">
        <v>1973</v>
      </c>
      <c r="D3432" s="51"/>
      <c r="E3432" s="52" t="s">
        <v>3729</v>
      </c>
      <c r="F3432" s="218">
        <v>5</v>
      </c>
      <c r="G3432" s="51"/>
      <c r="H3432" s="52">
        <v>3038</v>
      </c>
      <c r="I3432" s="47">
        <v>138</v>
      </c>
      <c r="J3432" s="19">
        <f t="shared" si="282"/>
        <v>177001.25</v>
      </c>
      <c r="K3432" s="51"/>
      <c r="L3432" s="50"/>
      <c r="M3432" s="51"/>
      <c r="N3432" s="19">
        <f>SUMIF('2020'!B:B,B3432,'2020'!C:C)+SUMIF('2021'!B:B,B3432,'2021'!C:C)+SUMIF('2022'!B:B,B3432,'2022'!C:C)</f>
        <v>177001.25</v>
      </c>
      <c r="O3432" s="219">
        <v>44925</v>
      </c>
      <c r="P3432" s="48" t="s">
        <v>3728</v>
      </c>
    </row>
    <row r="3433" spans="1:16" x14ac:dyDescent="0.3">
      <c r="A3433" s="59">
        <f t="shared" si="283"/>
        <v>3097</v>
      </c>
      <c r="B3433" s="66" t="s">
        <v>3280</v>
      </c>
      <c r="C3433" s="184">
        <v>1971</v>
      </c>
      <c r="D3433" s="51"/>
      <c r="E3433" s="48" t="s">
        <v>3733</v>
      </c>
      <c r="F3433" s="218">
        <v>5</v>
      </c>
      <c r="G3433" s="51"/>
      <c r="H3433" s="52">
        <v>3617.76</v>
      </c>
      <c r="I3433" s="47">
        <v>112</v>
      </c>
      <c r="J3433" s="19">
        <f t="shared" si="282"/>
        <v>13472768.050000001</v>
      </c>
      <c r="K3433" s="51"/>
      <c r="L3433" s="50"/>
      <c r="M3433" s="51"/>
      <c r="N3433" s="19">
        <f>SUMIF('2020'!B:B,B3433,'2020'!C:C)+SUMIF('2021'!B:B,B3433,'2021'!C:C)+SUMIF('2022'!B:B,B3433,'2022'!C:C)</f>
        <v>13472768.050000001</v>
      </c>
      <c r="O3433" s="219">
        <v>44925</v>
      </c>
      <c r="P3433" s="48" t="s">
        <v>3728</v>
      </c>
    </row>
    <row r="3434" spans="1:16" x14ac:dyDescent="0.3">
      <c r="A3434" s="59">
        <f t="shared" si="283"/>
        <v>3098</v>
      </c>
      <c r="B3434" s="66" t="s">
        <v>3281</v>
      </c>
      <c r="C3434" s="184">
        <v>1970</v>
      </c>
      <c r="D3434" s="51"/>
      <c r="E3434" s="48" t="s">
        <v>3733</v>
      </c>
      <c r="F3434" s="218">
        <v>5</v>
      </c>
      <c r="G3434" s="51"/>
      <c r="H3434" s="52">
        <v>3499.55</v>
      </c>
      <c r="I3434" s="47">
        <v>127</v>
      </c>
      <c r="J3434" s="19">
        <f t="shared" si="282"/>
        <v>12457490.17</v>
      </c>
      <c r="K3434" s="51"/>
      <c r="L3434" s="50"/>
      <c r="M3434" s="51"/>
      <c r="N3434" s="19">
        <f>SUMIF('2020'!B:B,B3434,'2020'!C:C)+SUMIF('2021'!B:B,B3434,'2021'!C:C)+SUMIF('2022'!B:B,B3434,'2022'!C:C)</f>
        <v>12457490.17</v>
      </c>
      <c r="O3434" s="219">
        <v>44925</v>
      </c>
      <c r="P3434" s="48" t="s">
        <v>3728</v>
      </c>
    </row>
    <row r="3435" spans="1:16" x14ac:dyDescent="0.3">
      <c r="A3435" s="59">
        <f t="shared" si="283"/>
        <v>3099</v>
      </c>
      <c r="B3435" s="66" t="s">
        <v>3282</v>
      </c>
      <c r="C3435" s="184">
        <v>1971</v>
      </c>
      <c r="D3435" s="51"/>
      <c r="E3435" s="48" t="s">
        <v>3733</v>
      </c>
      <c r="F3435" s="218">
        <v>5</v>
      </c>
      <c r="G3435" s="51"/>
      <c r="H3435" s="52">
        <v>5030.8999999999996</v>
      </c>
      <c r="I3435" s="47">
        <v>173</v>
      </c>
      <c r="J3435" s="19">
        <f t="shared" si="282"/>
        <v>21850234.699999999</v>
      </c>
      <c r="K3435" s="51"/>
      <c r="L3435" s="50"/>
      <c r="M3435" s="51"/>
      <c r="N3435" s="19">
        <f>SUMIF('2020'!B:B,B3435,'2020'!C:C)+SUMIF('2021'!B:B,B3435,'2021'!C:C)+SUMIF('2022'!B:B,B3435,'2022'!C:C)</f>
        <v>21850234.699999999</v>
      </c>
      <c r="O3435" s="219">
        <v>44925</v>
      </c>
      <c r="P3435" s="48" t="s">
        <v>3728</v>
      </c>
    </row>
    <row r="3436" spans="1:16" x14ac:dyDescent="0.3">
      <c r="A3436" s="59">
        <f t="shared" si="283"/>
        <v>3100</v>
      </c>
      <c r="B3436" s="66" t="s">
        <v>3283</v>
      </c>
      <c r="C3436" s="184">
        <v>1971</v>
      </c>
      <c r="D3436" s="51"/>
      <c r="E3436" s="48" t="s">
        <v>3733</v>
      </c>
      <c r="F3436" s="218">
        <v>5</v>
      </c>
      <c r="G3436" s="51"/>
      <c r="H3436" s="52">
        <v>5814.8</v>
      </c>
      <c r="I3436" s="47">
        <v>169</v>
      </c>
      <c r="J3436" s="19">
        <f t="shared" si="282"/>
        <v>21929601.739999998</v>
      </c>
      <c r="K3436" s="51"/>
      <c r="L3436" s="228"/>
      <c r="M3436" s="51"/>
      <c r="N3436" s="19">
        <f>SUMIF('2020'!B:B,B3436,'2020'!C:C)+SUMIF('2021'!B:B,B3436,'2021'!C:C)+SUMIF('2022'!B:B,B3436,'2022'!C:C)</f>
        <v>21929601.739999998</v>
      </c>
      <c r="O3436" s="219">
        <v>44925</v>
      </c>
      <c r="P3436" s="48" t="s">
        <v>3728</v>
      </c>
    </row>
    <row r="3437" spans="1:16" x14ac:dyDescent="0.3">
      <c r="A3437" s="59">
        <f t="shared" si="283"/>
        <v>3101</v>
      </c>
      <c r="B3437" s="66" t="s">
        <v>3284</v>
      </c>
      <c r="C3437" s="184">
        <v>1970</v>
      </c>
      <c r="D3437" s="51"/>
      <c r="E3437" s="48" t="s">
        <v>3733</v>
      </c>
      <c r="F3437" s="218">
        <v>5</v>
      </c>
      <c r="G3437" s="51"/>
      <c r="H3437" s="52">
        <v>3021.38</v>
      </c>
      <c r="I3437" s="47">
        <v>202</v>
      </c>
      <c r="J3437" s="19">
        <f t="shared" si="282"/>
        <v>1746969</v>
      </c>
      <c r="K3437" s="51"/>
      <c r="L3437" s="50"/>
      <c r="M3437" s="51"/>
      <c r="N3437" s="19">
        <f>SUMIF('2020'!B:B,B3437,'2020'!C:C)+SUMIF('2021'!B:B,B3437,'2021'!C:C)+SUMIF('2022'!B:B,B3437,'2022'!C:C)</f>
        <v>1746969</v>
      </c>
      <c r="O3437" s="219">
        <v>44925</v>
      </c>
      <c r="P3437" s="48" t="s">
        <v>3728</v>
      </c>
    </row>
    <row r="3438" spans="1:16" x14ac:dyDescent="0.3">
      <c r="A3438" s="59">
        <f t="shared" si="283"/>
        <v>3102</v>
      </c>
      <c r="B3438" s="66" t="s">
        <v>3285</v>
      </c>
      <c r="C3438" s="184">
        <v>1971</v>
      </c>
      <c r="D3438" s="51"/>
      <c r="E3438" s="48" t="s">
        <v>3729</v>
      </c>
      <c r="F3438" s="218">
        <v>5</v>
      </c>
      <c r="G3438" s="51"/>
      <c r="H3438" s="52">
        <v>2892.7</v>
      </c>
      <c r="I3438" s="47"/>
      <c r="J3438" s="19">
        <f t="shared" si="282"/>
        <v>9022122.8600000013</v>
      </c>
      <c r="K3438" s="51"/>
      <c r="L3438" s="50"/>
      <c r="M3438" s="51"/>
      <c r="N3438" s="19">
        <f>SUMIF('2020'!B:B,B3438,'2020'!C:C)+SUMIF('2021'!B:B,B3438,'2021'!C:C)+SUMIF('2022'!B:B,B3438,'2022'!C:C)</f>
        <v>9022122.8600000013</v>
      </c>
      <c r="O3438" s="219">
        <v>44925</v>
      </c>
      <c r="P3438" s="48" t="s">
        <v>3728</v>
      </c>
    </row>
    <row r="3439" spans="1:16" x14ac:dyDescent="0.3">
      <c r="A3439" s="59">
        <f t="shared" si="283"/>
        <v>3103</v>
      </c>
      <c r="B3439" s="66" t="s">
        <v>3286</v>
      </c>
      <c r="C3439" s="184">
        <v>1971</v>
      </c>
      <c r="D3439" s="51"/>
      <c r="E3439" s="48" t="s">
        <v>3729</v>
      </c>
      <c r="F3439" s="218">
        <v>5</v>
      </c>
      <c r="G3439" s="51"/>
      <c r="H3439" s="52">
        <v>2749.48</v>
      </c>
      <c r="I3439" s="47">
        <v>129</v>
      </c>
      <c r="J3439" s="19">
        <f t="shared" si="282"/>
        <v>175872.95</v>
      </c>
      <c r="K3439" s="51"/>
      <c r="L3439" s="50"/>
      <c r="M3439" s="51"/>
      <c r="N3439" s="19">
        <f>SUMIF('2020'!B:B,B3439,'2020'!C:C)+SUMIF('2021'!B:B,B3439,'2021'!C:C)+SUMIF('2022'!B:B,B3439,'2022'!C:C)</f>
        <v>175872.95</v>
      </c>
      <c r="O3439" s="219">
        <v>44925</v>
      </c>
      <c r="P3439" s="48" t="s">
        <v>3728</v>
      </c>
    </row>
    <row r="3440" spans="1:16" x14ac:dyDescent="0.3">
      <c r="A3440" s="59">
        <f t="shared" si="283"/>
        <v>3104</v>
      </c>
      <c r="B3440" s="66" t="s">
        <v>3287</v>
      </c>
      <c r="C3440" s="184">
        <v>1976</v>
      </c>
      <c r="D3440" s="51"/>
      <c r="E3440" s="48" t="s">
        <v>3729</v>
      </c>
      <c r="F3440" s="218">
        <v>9</v>
      </c>
      <c r="G3440" s="48"/>
      <c r="H3440" s="48">
        <v>2210.98</v>
      </c>
      <c r="I3440" s="47">
        <v>84</v>
      </c>
      <c r="J3440" s="19">
        <f t="shared" si="282"/>
        <v>2422651.4000000004</v>
      </c>
      <c r="K3440" s="51"/>
      <c r="L3440" s="50"/>
      <c r="M3440" s="51"/>
      <c r="N3440" s="19">
        <f>SUMIF('2020'!B:B,B3440,'2020'!C:C)+SUMIF('2021'!B:B,B3440,'2021'!C:C)+SUMIF('2022'!B:B,B3440,'2022'!C:C)</f>
        <v>2422651.4000000004</v>
      </c>
      <c r="O3440" s="219">
        <v>44925</v>
      </c>
      <c r="P3440" s="48" t="s">
        <v>3728</v>
      </c>
    </row>
    <row r="3441" spans="1:16" x14ac:dyDescent="0.3">
      <c r="A3441" s="59">
        <f t="shared" si="283"/>
        <v>3105</v>
      </c>
      <c r="B3441" s="66" t="s">
        <v>3288</v>
      </c>
      <c r="C3441" s="184">
        <v>1976</v>
      </c>
      <c r="D3441" s="51"/>
      <c r="E3441" s="48" t="s">
        <v>3729</v>
      </c>
      <c r="F3441" s="218">
        <v>9</v>
      </c>
      <c r="G3441" s="51"/>
      <c r="H3441" s="52">
        <v>2229.64</v>
      </c>
      <c r="I3441" s="47">
        <v>87</v>
      </c>
      <c r="J3441" s="19">
        <f t="shared" si="282"/>
        <v>75745.440000000002</v>
      </c>
      <c r="K3441" s="51"/>
      <c r="L3441" s="50"/>
      <c r="M3441" s="51"/>
      <c r="N3441" s="19">
        <f>SUMIF('2020'!B:B,B3441,'2020'!C:C)+SUMIF('2021'!B:B,B3441,'2021'!C:C)+SUMIF('2022'!B:B,B3441,'2022'!C:C)</f>
        <v>75745.440000000002</v>
      </c>
      <c r="O3441" s="219">
        <v>44925</v>
      </c>
      <c r="P3441" s="48" t="s">
        <v>3728</v>
      </c>
    </row>
    <row r="3442" spans="1:16" x14ac:dyDescent="0.3">
      <c r="A3442" s="59">
        <f t="shared" si="283"/>
        <v>3106</v>
      </c>
      <c r="B3442" s="66" t="s">
        <v>3289</v>
      </c>
      <c r="C3442" s="184">
        <v>1976</v>
      </c>
      <c r="D3442" s="51"/>
      <c r="E3442" s="48" t="s">
        <v>3729</v>
      </c>
      <c r="F3442" s="218">
        <v>9</v>
      </c>
      <c r="G3442" s="51"/>
      <c r="H3442" s="52">
        <v>2236.5</v>
      </c>
      <c r="I3442" s="47">
        <v>91</v>
      </c>
      <c r="J3442" s="19">
        <f t="shared" si="282"/>
        <v>76271.759999999995</v>
      </c>
      <c r="K3442" s="51"/>
      <c r="L3442" s="50"/>
      <c r="M3442" s="51"/>
      <c r="N3442" s="19">
        <f>SUMIF('2020'!B:B,B3442,'2020'!C:C)+SUMIF('2021'!B:B,B3442,'2021'!C:C)+SUMIF('2022'!B:B,B3442,'2022'!C:C)</f>
        <v>76271.759999999995</v>
      </c>
      <c r="O3442" s="219">
        <v>44925</v>
      </c>
      <c r="P3442" s="48" t="s">
        <v>3728</v>
      </c>
    </row>
    <row r="3443" spans="1:16" x14ac:dyDescent="0.3">
      <c r="A3443" s="59">
        <f t="shared" si="283"/>
        <v>3107</v>
      </c>
      <c r="B3443" s="66" t="s">
        <v>3290</v>
      </c>
      <c r="C3443" s="184">
        <v>1971</v>
      </c>
      <c r="D3443" s="51"/>
      <c r="E3443" s="48" t="s">
        <v>3733</v>
      </c>
      <c r="F3443" s="218">
        <v>5</v>
      </c>
      <c r="G3443" s="51"/>
      <c r="H3443" s="52">
        <v>3784.72</v>
      </c>
      <c r="I3443" s="47">
        <v>126</v>
      </c>
      <c r="J3443" s="19">
        <f t="shared" si="282"/>
        <v>15499280.510000002</v>
      </c>
      <c r="K3443" s="51"/>
      <c r="L3443" s="50"/>
      <c r="M3443" s="51"/>
      <c r="N3443" s="19">
        <f>SUMIF('2020'!B:B,B3443,'2020'!C:C)+SUMIF('2021'!B:B,B3443,'2021'!C:C)+SUMIF('2022'!B:B,B3443,'2022'!C:C)</f>
        <v>15499280.510000002</v>
      </c>
      <c r="O3443" s="219">
        <v>44925</v>
      </c>
      <c r="P3443" s="48" t="s">
        <v>3728</v>
      </c>
    </row>
    <row r="3444" spans="1:16" x14ac:dyDescent="0.3">
      <c r="A3444" s="59">
        <f t="shared" si="283"/>
        <v>3108</v>
      </c>
      <c r="B3444" s="66" t="s">
        <v>3291</v>
      </c>
      <c r="C3444" s="184">
        <v>1977</v>
      </c>
      <c r="D3444" s="51"/>
      <c r="E3444" s="52" t="s">
        <v>3729</v>
      </c>
      <c r="F3444" s="218">
        <v>5</v>
      </c>
      <c r="G3444" s="51"/>
      <c r="H3444" s="52">
        <v>4954.3999999999996</v>
      </c>
      <c r="I3444" s="47">
        <v>248</v>
      </c>
      <c r="J3444" s="19">
        <f t="shared" si="282"/>
        <v>287086.57</v>
      </c>
      <c r="K3444" s="51"/>
      <c r="L3444" s="50"/>
      <c r="M3444" s="51"/>
      <c r="N3444" s="19">
        <f>SUMIF('2020'!B:B,B3444,'2020'!C:C)+SUMIF('2021'!B:B,B3444,'2021'!C:C)+SUMIF('2022'!B:B,B3444,'2022'!C:C)</f>
        <v>287086.57</v>
      </c>
      <c r="O3444" s="219">
        <v>44925</v>
      </c>
      <c r="P3444" s="48" t="s">
        <v>3728</v>
      </c>
    </row>
    <row r="3445" spans="1:16" x14ac:dyDescent="0.3">
      <c r="A3445" s="59">
        <f t="shared" si="283"/>
        <v>3109</v>
      </c>
      <c r="B3445" s="66" t="s">
        <v>3292</v>
      </c>
      <c r="C3445" s="184">
        <v>1976</v>
      </c>
      <c r="D3445" s="51"/>
      <c r="E3445" s="52" t="s">
        <v>3733</v>
      </c>
      <c r="F3445" s="218">
        <v>5</v>
      </c>
      <c r="G3445" s="51"/>
      <c r="H3445" s="52">
        <v>1166.98</v>
      </c>
      <c r="I3445" s="47">
        <v>35</v>
      </c>
      <c r="J3445" s="19">
        <f t="shared" si="282"/>
        <v>319284.74</v>
      </c>
      <c r="K3445" s="51"/>
      <c r="L3445" s="50"/>
      <c r="M3445" s="51"/>
      <c r="N3445" s="19">
        <f>SUMIF('2020'!B:B,B3445,'2020'!C:C)+SUMIF('2021'!B:B,B3445,'2021'!C:C)+SUMIF('2022'!B:B,B3445,'2022'!C:C)</f>
        <v>319284.74</v>
      </c>
      <c r="O3445" s="219">
        <v>44925</v>
      </c>
      <c r="P3445" s="48" t="s">
        <v>3728</v>
      </c>
    </row>
    <row r="3446" spans="1:16" x14ac:dyDescent="0.3">
      <c r="A3446" s="59">
        <f t="shared" si="283"/>
        <v>3110</v>
      </c>
      <c r="B3446" s="66" t="s">
        <v>3293</v>
      </c>
      <c r="C3446" s="184">
        <v>1974</v>
      </c>
      <c r="D3446" s="51"/>
      <c r="E3446" s="52" t="s">
        <v>3733</v>
      </c>
      <c r="F3446" s="218">
        <v>5</v>
      </c>
      <c r="G3446" s="51"/>
      <c r="H3446" s="52">
        <v>4432.21</v>
      </c>
      <c r="I3446" s="47">
        <v>173</v>
      </c>
      <c r="J3446" s="19">
        <f t="shared" si="282"/>
        <v>199027.1</v>
      </c>
      <c r="K3446" s="51"/>
      <c r="L3446" s="50"/>
      <c r="M3446" s="51"/>
      <c r="N3446" s="19">
        <f>SUMIF('2020'!B:B,B3446,'2020'!C:C)+SUMIF('2021'!B:B,B3446,'2021'!C:C)+SUMIF('2022'!B:B,B3446,'2022'!C:C)</f>
        <v>199027.1</v>
      </c>
      <c r="O3446" s="219">
        <v>44925</v>
      </c>
      <c r="P3446" s="48" t="s">
        <v>3728</v>
      </c>
    </row>
    <row r="3447" spans="1:16" x14ac:dyDescent="0.3">
      <c r="A3447" s="59">
        <f t="shared" si="283"/>
        <v>3111</v>
      </c>
      <c r="B3447" s="66" t="s">
        <v>3294</v>
      </c>
      <c r="C3447" s="184">
        <v>1975</v>
      </c>
      <c r="D3447" s="51"/>
      <c r="E3447" s="52" t="s">
        <v>3733</v>
      </c>
      <c r="F3447" s="218">
        <v>5</v>
      </c>
      <c r="G3447" s="51"/>
      <c r="H3447" s="52">
        <v>4528.29</v>
      </c>
      <c r="I3447" s="47">
        <v>198</v>
      </c>
      <c r="J3447" s="19">
        <f t="shared" si="282"/>
        <v>182650.8</v>
      </c>
      <c r="K3447" s="51"/>
      <c r="L3447" s="50"/>
      <c r="M3447" s="51"/>
      <c r="N3447" s="19">
        <f>SUMIF('2020'!B:B,B3447,'2020'!C:C)+SUMIF('2021'!B:B,B3447,'2021'!C:C)+SUMIF('2022'!B:B,B3447,'2022'!C:C)</f>
        <v>182650.8</v>
      </c>
      <c r="O3447" s="219">
        <v>44925</v>
      </c>
      <c r="P3447" s="48" t="s">
        <v>3728</v>
      </c>
    </row>
    <row r="3448" spans="1:16" x14ac:dyDescent="0.3">
      <c r="A3448" s="59">
        <f t="shared" si="283"/>
        <v>3112</v>
      </c>
      <c r="B3448" s="66" t="s">
        <v>3295</v>
      </c>
      <c r="C3448" s="184">
        <v>1972</v>
      </c>
      <c r="D3448" s="51"/>
      <c r="E3448" s="48" t="s">
        <v>3729</v>
      </c>
      <c r="F3448" s="218">
        <v>5</v>
      </c>
      <c r="G3448" s="51"/>
      <c r="H3448" s="52">
        <v>3874.96</v>
      </c>
      <c r="I3448" s="47">
        <v>167</v>
      </c>
      <c r="J3448" s="19">
        <f t="shared" si="282"/>
        <v>406412.27</v>
      </c>
      <c r="K3448" s="51"/>
      <c r="L3448" s="50"/>
      <c r="M3448" s="51"/>
      <c r="N3448" s="19">
        <f>SUMIF('2020'!B:B,B3448,'2020'!C:C)+SUMIF('2021'!B:B,B3448,'2021'!C:C)+SUMIF('2022'!B:B,B3448,'2022'!C:C)</f>
        <v>406412.27</v>
      </c>
      <c r="O3448" s="219">
        <v>44925</v>
      </c>
      <c r="P3448" s="48" t="s">
        <v>3728</v>
      </c>
    </row>
    <row r="3449" spans="1:16" x14ac:dyDescent="0.3">
      <c r="A3449" s="59">
        <f t="shared" si="283"/>
        <v>3113</v>
      </c>
      <c r="B3449" s="66" t="s">
        <v>3296</v>
      </c>
      <c r="C3449" s="184">
        <v>1974</v>
      </c>
      <c r="D3449" s="51"/>
      <c r="E3449" s="52" t="s">
        <v>3733</v>
      </c>
      <c r="F3449" s="218">
        <v>5</v>
      </c>
      <c r="G3449" s="51"/>
      <c r="H3449" s="52">
        <v>5945.5</v>
      </c>
      <c r="I3449" s="47">
        <v>257</v>
      </c>
      <c r="J3449" s="19">
        <f t="shared" si="282"/>
        <v>259199.51</v>
      </c>
      <c r="K3449" s="51"/>
      <c r="L3449" s="50"/>
      <c r="M3449" s="51"/>
      <c r="N3449" s="19">
        <f>SUMIF('2020'!B:B,B3449,'2020'!C:C)+SUMIF('2021'!B:B,B3449,'2021'!C:C)+SUMIF('2022'!B:B,B3449,'2022'!C:C)</f>
        <v>259199.51</v>
      </c>
      <c r="O3449" s="219">
        <v>44925</v>
      </c>
      <c r="P3449" s="48" t="s">
        <v>3728</v>
      </c>
    </row>
    <row r="3450" spans="1:16" x14ac:dyDescent="0.3">
      <c r="A3450" s="59">
        <f t="shared" si="283"/>
        <v>3114</v>
      </c>
      <c r="B3450" s="66" t="s">
        <v>3297</v>
      </c>
      <c r="C3450" s="184">
        <v>1975</v>
      </c>
      <c r="D3450" s="51"/>
      <c r="E3450" s="52" t="s">
        <v>3729</v>
      </c>
      <c r="F3450" s="218">
        <v>5</v>
      </c>
      <c r="G3450" s="51"/>
      <c r="H3450" s="52">
        <v>4928.08</v>
      </c>
      <c r="I3450" s="47">
        <v>236</v>
      </c>
      <c r="J3450" s="19">
        <f t="shared" si="282"/>
        <v>681314.6</v>
      </c>
      <c r="K3450" s="51"/>
      <c r="L3450" s="48"/>
      <c r="M3450" s="51"/>
      <c r="N3450" s="19">
        <f>SUMIF('2020'!B:B,B3450,'2020'!C:C)+SUMIF('2021'!B:B,B3450,'2021'!C:C)+SUMIF('2022'!B:B,B3450,'2022'!C:C)</f>
        <v>681314.6</v>
      </c>
      <c r="O3450" s="219">
        <v>44925</v>
      </c>
      <c r="P3450" s="48" t="s">
        <v>3728</v>
      </c>
    </row>
    <row r="3451" spans="1:16" x14ac:dyDescent="0.3">
      <c r="A3451" s="59">
        <f t="shared" si="283"/>
        <v>3115</v>
      </c>
      <c r="B3451" s="66" t="s">
        <v>3298</v>
      </c>
      <c r="C3451" s="184">
        <v>1969</v>
      </c>
      <c r="D3451" s="51"/>
      <c r="E3451" s="48" t="s">
        <v>3729</v>
      </c>
      <c r="F3451" s="218">
        <v>9</v>
      </c>
      <c r="G3451" s="51"/>
      <c r="H3451" s="52">
        <v>11582.57</v>
      </c>
      <c r="I3451" s="47">
        <v>493</v>
      </c>
      <c r="J3451" s="19">
        <f t="shared" si="282"/>
        <v>11328733.32</v>
      </c>
      <c r="K3451" s="51"/>
      <c r="L3451" s="50"/>
      <c r="M3451" s="51"/>
      <c r="N3451" s="19">
        <f>SUMIF('2020'!B:B,B3451,'2020'!C:C)+SUMIF('2021'!B:B,B3451,'2021'!C:C)+SUMIF('2022'!B:B,B3451,'2022'!C:C)</f>
        <v>11328733.32</v>
      </c>
      <c r="O3451" s="219">
        <v>44925</v>
      </c>
      <c r="P3451" s="48" t="s">
        <v>3728</v>
      </c>
    </row>
    <row r="3452" spans="1:16" x14ac:dyDescent="0.3">
      <c r="A3452" s="59">
        <f t="shared" si="283"/>
        <v>3116</v>
      </c>
      <c r="B3452" s="66" t="s">
        <v>3299</v>
      </c>
      <c r="C3452" s="184">
        <v>1969</v>
      </c>
      <c r="D3452" s="51"/>
      <c r="E3452" s="48" t="s">
        <v>3729</v>
      </c>
      <c r="F3452" s="218">
        <v>9</v>
      </c>
      <c r="G3452" s="51"/>
      <c r="H3452" s="52">
        <v>11440.31</v>
      </c>
      <c r="I3452" s="47">
        <v>487</v>
      </c>
      <c r="J3452" s="19">
        <f t="shared" si="282"/>
        <v>397614.37</v>
      </c>
      <c r="K3452" s="51"/>
      <c r="L3452" s="50"/>
      <c r="M3452" s="51"/>
      <c r="N3452" s="19">
        <f>SUMIF('2020'!B:B,B3452,'2020'!C:C)+SUMIF('2021'!B:B,B3452,'2021'!C:C)+SUMIF('2022'!B:B,B3452,'2022'!C:C)</f>
        <v>397614.37</v>
      </c>
      <c r="O3452" s="219">
        <v>44925</v>
      </c>
      <c r="P3452" s="48" t="s">
        <v>3728</v>
      </c>
    </row>
    <row r="3453" spans="1:16" x14ac:dyDescent="0.3">
      <c r="A3453" s="59">
        <f t="shared" si="283"/>
        <v>3117</v>
      </c>
      <c r="B3453" s="66" t="s">
        <v>3300</v>
      </c>
      <c r="C3453" s="184">
        <v>1971</v>
      </c>
      <c r="D3453" s="51"/>
      <c r="E3453" s="48" t="s">
        <v>3733</v>
      </c>
      <c r="F3453" s="218">
        <v>5</v>
      </c>
      <c r="G3453" s="51"/>
      <c r="H3453" s="52">
        <v>6051.7</v>
      </c>
      <c r="I3453" s="47">
        <v>254</v>
      </c>
      <c r="J3453" s="19">
        <f t="shared" si="282"/>
        <v>554133.29</v>
      </c>
      <c r="K3453" s="51"/>
      <c r="L3453" s="50"/>
      <c r="M3453" s="51"/>
      <c r="N3453" s="19">
        <f>SUMIF('2020'!B:B,B3453,'2020'!C:C)+SUMIF('2021'!B:B,B3453,'2021'!C:C)+SUMIF('2022'!B:B,B3453,'2022'!C:C)</f>
        <v>554133.29</v>
      </c>
      <c r="O3453" s="219">
        <v>44925</v>
      </c>
      <c r="P3453" s="48" t="s">
        <v>3728</v>
      </c>
    </row>
    <row r="3454" spans="1:16" x14ac:dyDescent="0.3">
      <c r="A3454" s="59">
        <f t="shared" si="283"/>
        <v>3118</v>
      </c>
      <c r="B3454" s="66" t="s">
        <v>3301</v>
      </c>
      <c r="C3454" s="184">
        <v>1971</v>
      </c>
      <c r="D3454" s="51"/>
      <c r="E3454" s="48" t="s">
        <v>3733</v>
      </c>
      <c r="F3454" s="218">
        <v>5</v>
      </c>
      <c r="G3454" s="51"/>
      <c r="H3454" s="52">
        <v>3539.28</v>
      </c>
      <c r="I3454" s="47">
        <v>112</v>
      </c>
      <c r="J3454" s="19">
        <f t="shared" si="282"/>
        <v>31886869.850000001</v>
      </c>
      <c r="K3454" s="51"/>
      <c r="L3454" s="50"/>
      <c r="M3454" s="51"/>
      <c r="N3454" s="19">
        <f>SUMIF('2020'!B:B,B3454,'2020'!C:C)+SUMIF('2021'!B:B,B3454,'2021'!C:C)+SUMIF('2022'!B:B,B3454,'2022'!C:C)</f>
        <v>31886869.850000001</v>
      </c>
      <c r="O3454" s="219">
        <v>44925</v>
      </c>
      <c r="P3454" s="48" t="s">
        <v>2042</v>
      </c>
    </row>
    <row r="3455" spans="1:16" x14ac:dyDescent="0.3">
      <c r="A3455" s="59">
        <f t="shared" si="283"/>
        <v>3119</v>
      </c>
      <c r="B3455" s="66" t="s">
        <v>3302</v>
      </c>
      <c r="C3455" s="184">
        <v>1972</v>
      </c>
      <c r="D3455" s="51"/>
      <c r="E3455" s="48" t="s">
        <v>3733</v>
      </c>
      <c r="F3455" s="218">
        <v>5</v>
      </c>
      <c r="G3455" s="51"/>
      <c r="H3455" s="52">
        <v>3576.77</v>
      </c>
      <c r="I3455" s="47">
        <v>105</v>
      </c>
      <c r="J3455" s="19">
        <f t="shared" si="282"/>
        <v>516359.28</v>
      </c>
      <c r="K3455" s="51"/>
      <c r="L3455" s="48"/>
      <c r="M3455" s="51"/>
      <c r="N3455" s="19">
        <f>SUMIF('2020'!B:B,B3455,'2020'!C:C)+SUMIF('2021'!B:B,B3455,'2021'!C:C)+SUMIF('2022'!B:B,B3455,'2022'!C:C)</f>
        <v>516359.28</v>
      </c>
      <c r="O3455" s="219">
        <v>44925</v>
      </c>
      <c r="P3455" s="48" t="s">
        <v>3728</v>
      </c>
    </row>
    <row r="3456" spans="1:16" x14ac:dyDescent="0.3">
      <c r="A3456" s="59">
        <f t="shared" si="283"/>
        <v>3120</v>
      </c>
      <c r="B3456" s="66" t="s">
        <v>3303</v>
      </c>
      <c r="C3456" s="184">
        <v>1971</v>
      </c>
      <c r="D3456" s="51"/>
      <c r="E3456" s="48" t="s">
        <v>3733</v>
      </c>
      <c r="F3456" s="218">
        <v>5</v>
      </c>
      <c r="G3456" s="51"/>
      <c r="H3456" s="52">
        <v>3329.52</v>
      </c>
      <c r="I3456" s="47">
        <v>146</v>
      </c>
      <c r="J3456" s="19">
        <f t="shared" si="282"/>
        <v>12417199.52</v>
      </c>
      <c r="K3456" s="51"/>
      <c r="L3456" s="50"/>
      <c r="M3456" s="51"/>
      <c r="N3456" s="19">
        <f>SUMIF('2020'!B:B,B3456,'2020'!C:C)+SUMIF('2021'!B:B,B3456,'2021'!C:C)+SUMIF('2022'!B:B,B3456,'2022'!C:C)</f>
        <v>12417199.52</v>
      </c>
      <c r="O3456" s="219">
        <v>44925</v>
      </c>
      <c r="P3456" s="48" t="s">
        <v>3728</v>
      </c>
    </row>
    <row r="3457" spans="1:16" x14ac:dyDescent="0.3">
      <c r="A3457" s="59">
        <f t="shared" si="283"/>
        <v>3121</v>
      </c>
      <c r="B3457" s="66" t="s">
        <v>3304</v>
      </c>
      <c r="C3457" s="184">
        <v>1971</v>
      </c>
      <c r="D3457" s="51"/>
      <c r="E3457" s="48" t="s">
        <v>3729</v>
      </c>
      <c r="F3457" s="218">
        <v>5</v>
      </c>
      <c r="G3457" s="51"/>
      <c r="H3457" s="52">
        <v>3750.7</v>
      </c>
      <c r="I3457" s="47">
        <v>173</v>
      </c>
      <c r="J3457" s="19">
        <f t="shared" si="282"/>
        <v>11551785.66</v>
      </c>
      <c r="K3457" s="51"/>
      <c r="L3457" s="50"/>
      <c r="M3457" s="51"/>
      <c r="N3457" s="19">
        <f>SUMIF('2020'!B:B,B3457,'2020'!C:C)+SUMIF('2021'!B:B,B3457,'2021'!C:C)+SUMIF('2022'!B:B,B3457,'2022'!C:C)</f>
        <v>11551785.66</v>
      </c>
      <c r="O3457" s="219">
        <v>44925</v>
      </c>
      <c r="P3457" s="48" t="s">
        <v>3728</v>
      </c>
    </row>
    <row r="3458" spans="1:16" x14ac:dyDescent="0.3">
      <c r="A3458" s="59">
        <f t="shared" si="283"/>
        <v>3122</v>
      </c>
      <c r="B3458" s="66" t="s">
        <v>3305</v>
      </c>
      <c r="C3458" s="184">
        <v>1972</v>
      </c>
      <c r="D3458" s="51"/>
      <c r="E3458" s="254" t="s">
        <v>3733</v>
      </c>
      <c r="F3458" s="218">
        <v>9</v>
      </c>
      <c r="G3458" s="48"/>
      <c r="H3458" s="52">
        <v>2986.7</v>
      </c>
      <c r="I3458" s="47">
        <v>199</v>
      </c>
      <c r="J3458" s="19">
        <f t="shared" si="282"/>
        <v>2806907.97</v>
      </c>
      <c r="K3458" s="51"/>
      <c r="L3458" s="50"/>
      <c r="M3458" s="51"/>
      <c r="N3458" s="19">
        <f>SUMIF('2020'!B:B,B3458,'2020'!C:C)+SUMIF('2021'!B:B,B3458,'2021'!C:C)+SUMIF('2022'!B:B,B3458,'2022'!C:C)</f>
        <v>2806907.97</v>
      </c>
      <c r="O3458" s="219">
        <v>44925</v>
      </c>
      <c r="P3458" s="48" t="s">
        <v>3728</v>
      </c>
    </row>
    <row r="3459" spans="1:16" x14ac:dyDescent="0.3">
      <c r="A3459" s="59">
        <f t="shared" si="283"/>
        <v>3123</v>
      </c>
      <c r="B3459" s="66" t="s">
        <v>3306</v>
      </c>
      <c r="C3459" s="184">
        <v>1977</v>
      </c>
      <c r="D3459" s="51"/>
      <c r="E3459" s="52" t="s">
        <v>3733</v>
      </c>
      <c r="F3459" s="218">
        <v>9</v>
      </c>
      <c r="G3459" s="51"/>
      <c r="H3459" s="52">
        <v>7554.1</v>
      </c>
      <c r="I3459" s="47">
        <v>262</v>
      </c>
      <c r="J3459" s="19">
        <f t="shared" si="282"/>
        <v>123739.86</v>
      </c>
      <c r="K3459" s="51"/>
      <c r="L3459" s="50"/>
      <c r="M3459" s="51"/>
      <c r="N3459" s="19">
        <f>SUMIF('2020'!B:B,B3459,'2020'!C:C)+SUMIF('2021'!B:B,B3459,'2021'!C:C)+SUMIF('2022'!B:B,B3459,'2022'!C:C)</f>
        <v>123739.86</v>
      </c>
      <c r="O3459" s="219">
        <v>44925</v>
      </c>
      <c r="P3459" s="48" t="s">
        <v>3728</v>
      </c>
    </row>
    <row r="3460" spans="1:16" x14ac:dyDescent="0.3">
      <c r="A3460" s="59">
        <f t="shared" si="283"/>
        <v>3124</v>
      </c>
      <c r="B3460" s="66" t="s">
        <v>3307</v>
      </c>
      <c r="C3460" s="184">
        <v>1972</v>
      </c>
      <c r="D3460" s="51"/>
      <c r="E3460" s="52" t="s">
        <v>3733</v>
      </c>
      <c r="F3460" s="218">
        <v>5</v>
      </c>
      <c r="G3460" s="51"/>
      <c r="H3460" s="52">
        <v>3364.25</v>
      </c>
      <c r="I3460" s="47">
        <v>128</v>
      </c>
      <c r="J3460" s="19">
        <f t="shared" si="282"/>
        <v>522257.24</v>
      </c>
      <c r="K3460" s="51"/>
      <c r="L3460" s="50"/>
      <c r="M3460" s="51"/>
      <c r="N3460" s="19">
        <f>SUMIF('2020'!B:B,B3460,'2020'!C:C)+SUMIF('2021'!B:B,B3460,'2021'!C:C)+SUMIF('2022'!B:B,B3460,'2022'!C:C)</f>
        <v>522257.24</v>
      </c>
      <c r="O3460" s="219">
        <v>44925</v>
      </c>
      <c r="P3460" s="48" t="s">
        <v>3728</v>
      </c>
    </row>
    <row r="3461" spans="1:16" x14ac:dyDescent="0.3">
      <c r="A3461" s="59">
        <f t="shared" si="283"/>
        <v>3125</v>
      </c>
      <c r="B3461" s="66" t="s">
        <v>3308</v>
      </c>
      <c r="C3461" s="184">
        <v>1973</v>
      </c>
      <c r="D3461" s="51"/>
      <c r="E3461" s="52" t="s">
        <v>3733</v>
      </c>
      <c r="F3461" s="218">
        <v>5</v>
      </c>
      <c r="G3461" s="51"/>
      <c r="H3461" s="52">
        <v>3571.49</v>
      </c>
      <c r="I3461" s="47">
        <v>119</v>
      </c>
      <c r="J3461" s="19">
        <f t="shared" si="282"/>
        <v>250335.31</v>
      </c>
      <c r="K3461" s="51"/>
      <c r="L3461" s="50"/>
      <c r="M3461" s="51"/>
      <c r="N3461" s="19">
        <f>SUMIF('2020'!B:B,B3461,'2020'!C:C)+SUMIF('2021'!B:B,B3461,'2021'!C:C)+SUMIF('2022'!B:B,B3461,'2022'!C:C)</f>
        <v>250335.31</v>
      </c>
      <c r="O3461" s="219">
        <v>44925</v>
      </c>
      <c r="P3461" s="48" t="s">
        <v>3728</v>
      </c>
    </row>
    <row r="3462" spans="1:16" x14ac:dyDescent="0.3">
      <c r="A3462" s="59">
        <f t="shared" si="283"/>
        <v>3126</v>
      </c>
      <c r="B3462" s="66" t="s">
        <v>3309</v>
      </c>
      <c r="C3462" s="184">
        <v>1973</v>
      </c>
      <c r="D3462" s="51"/>
      <c r="E3462" s="52" t="s">
        <v>3733</v>
      </c>
      <c r="F3462" s="218">
        <v>5</v>
      </c>
      <c r="G3462" s="51"/>
      <c r="H3462" s="52">
        <v>4283.3500000000004</v>
      </c>
      <c r="I3462" s="47">
        <v>116</v>
      </c>
      <c r="J3462" s="19">
        <f t="shared" si="282"/>
        <v>320781.64</v>
      </c>
      <c r="K3462" s="51"/>
      <c r="L3462" s="48"/>
      <c r="M3462" s="51"/>
      <c r="N3462" s="19">
        <f>SUMIF('2020'!B:B,B3462,'2020'!C:C)+SUMIF('2021'!B:B,B3462,'2021'!C:C)+SUMIF('2022'!B:B,B3462,'2022'!C:C)</f>
        <v>320781.64</v>
      </c>
      <c r="O3462" s="219">
        <v>44925</v>
      </c>
      <c r="P3462" s="48" t="s">
        <v>3728</v>
      </c>
    </row>
    <row r="3463" spans="1:16" x14ac:dyDescent="0.3">
      <c r="A3463" s="59">
        <f t="shared" si="283"/>
        <v>3127</v>
      </c>
      <c r="B3463" s="66" t="s">
        <v>3310</v>
      </c>
      <c r="C3463" s="184">
        <v>1973</v>
      </c>
      <c r="D3463" s="51"/>
      <c r="E3463" s="52" t="s">
        <v>3733</v>
      </c>
      <c r="F3463" s="218">
        <v>5</v>
      </c>
      <c r="G3463" s="51"/>
      <c r="H3463" s="52">
        <v>3672.53</v>
      </c>
      <c r="I3463" s="47">
        <v>114</v>
      </c>
      <c r="J3463" s="19">
        <f t="shared" si="282"/>
        <v>217024.57</v>
      </c>
      <c r="K3463" s="51"/>
      <c r="L3463" s="50"/>
      <c r="M3463" s="51"/>
      <c r="N3463" s="19">
        <f>SUMIF('2020'!B:B,B3463,'2020'!C:C)+SUMIF('2021'!B:B,B3463,'2021'!C:C)+SUMIF('2022'!B:B,B3463,'2022'!C:C)</f>
        <v>217024.57</v>
      </c>
      <c r="O3463" s="219">
        <v>44925</v>
      </c>
      <c r="P3463" s="48" t="s">
        <v>3728</v>
      </c>
    </row>
    <row r="3464" spans="1:16" x14ac:dyDescent="0.3">
      <c r="A3464" s="59">
        <f t="shared" si="283"/>
        <v>3128</v>
      </c>
      <c r="B3464" s="66" t="s">
        <v>3311</v>
      </c>
      <c r="C3464" s="184">
        <v>1974</v>
      </c>
      <c r="D3464" s="51"/>
      <c r="E3464" s="52" t="s">
        <v>3729</v>
      </c>
      <c r="F3464" s="218">
        <v>9</v>
      </c>
      <c r="G3464" s="51"/>
      <c r="H3464" s="52">
        <v>9854.1</v>
      </c>
      <c r="I3464" s="47">
        <v>425</v>
      </c>
      <c r="J3464" s="19">
        <f t="shared" si="282"/>
        <v>173502.96</v>
      </c>
      <c r="K3464" s="51"/>
      <c r="L3464" s="50"/>
      <c r="M3464" s="51"/>
      <c r="N3464" s="19">
        <f>SUMIF('2020'!B:B,B3464,'2020'!C:C)+SUMIF('2021'!B:B,B3464,'2021'!C:C)+SUMIF('2022'!B:B,B3464,'2022'!C:C)</f>
        <v>173502.96</v>
      </c>
      <c r="O3464" s="219">
        <v>44925</v>
      </c>
      <c r="P3464" s="48" t="s">
        <v>3728</v>
      </c>
    </row>
    <row r="3465" spans="1:16" x14ac:dyDescent="0.3">
      <c r="A3465" s="59">
        <f t="shared" si="283"/>
        <v>3129</v>
      </c>
      <c r="B3465" s="66" t="s">
        <v>3312</v>
      </c>
      <c r="C3465" s="184">
        <v>1976</v>
      </c>
      <c r="D3465" s="51"/>
      <c r="E3465" s="52" t="s">
        <v>3729</v>
      </c>
      <c r="F3465" s="218">
        <v>5</v>
      </c>
      <c r="G3465" s="51"/>
      <c r="H3465" s="52">
        <v>2103.8000000000002</v>
      </c>
      <c r="I3465" s="47">
        <v>96</v>
      </c>
      <c r="J3465" s="19">
        <f t="shared" si="282"/>
        <v>146564.63</v>
      </c>
      <c r="K3465" s="51"/>
      <c r="L3465" s="50"/>
      <c r="M3465" s="51"/>
      <c r="N3465" s="19">
        <f>SUMIF('2020'!B:B,B3465,'2020'!C:C)+SUMIF('2021'!B:B,B3465,'2021'!C:C)+SUMIF('2022'!B:B,B3465,'2022'!C:C)</f>
        <v>146564.63</v>
      </c>
      <c r="O3465" s="219">
        <v>44925</v>
      </c>
      <c r="P3465" s="48" t="s">
        <v>3728</v>
      </c>
    </row>
    <row r="3466" spans="1:16" x14ac:dyDescent="0.3">
      <c r="A3466" s="59">
        <f t="shared" si="283"/>
        <v>3130</v>
      </c>
      <c r="B3466" s="66" t="s">
        <v>3313</v>
      </c>
      <c r="C3466" s="184">
        <v>1976</v>
      </c>
      <c r="D3466" s="51"/>
      <c r="E3466" s="52" t="s">
        <v>3729</v>
      </c>
      <c r="F3466" s="218">
        <v>5</v>
      </c>
      <c r="G3466" s="51"/>
      <c r="H3466" s="52">
        <v>2111</v>
      </c>
      <c r="I3466" s="47">
        <v>75</v>
      </c>
      <c r="J3466" s="19">
        <f t="shared" si="282"/>
        <v>146012.48000000001</v>
      </c>
      <c r="K3466" s="51"/>
      <c r="L3466" s="50"/>
      <c r="M3466" s="51"/>
      <c r="N3466" s="19">
        <f>SUMIF('2020'!B:B,B3466,'2020'!C:C)+SUMIF('2021'!B:B,B3466,'2021'!C:C)+SUMIF('2022'!B:B,B3466,'2022'!C:C)</f>
        <v>146012.48000000001</v>
      </c>
      <c r="O3466" s="219">
        <v>44925</v>
      </c>
      <c r="P3466" s="48" t="s">
        <v>3728</v>
      </c>
    </row>
    <row r="3467" spans="1:16" x14ac:dyDescent="0.3">
      <c r="A3467" s="59">
        <f t="shared" si="283"/>
        <v>3131</v>
      </c>
      <c r="B3467" s="66" t="s">
        <v>3314</v>
      </c>
      <c r="C3467" s="184">
        <v>1975</v>
      </c>
      <c r="D3467" s="51"/>
      <c r="E3467" s="52" t="s">
        <v>3729</v>
      </c>
      <c r="F3467" s="218">
        <v>5</v>
      </c>
      <c r="G3467" s="51"/>
      <c r="H3467" s="52">
        <v>3012.3</v>
      </c>
      <c r="I3467" s="47">
        <v>138</v>
      </c>
      <c r="J3467" s="19">
        <f t="shared" si="282"/>
        <v>173084.51</v>
      </c>
      <c r="K3467" s="51"/>
      <c r="L3467" s="50"/>
      <c r="M3467" s="51"/>
      <c r="N3467" s="19">
        <f>SUMIF('2020'!B:B,B3467,'2020'!C:C)+SUMIF('2021'!B:B,B3467,'2021'!C:C)+SUMIF('2022'!B:B,B3467,'2022'!C:C)</f>
        <v>173084.51</v>
      </c>
      <c r="O3467" s="219">
        <v>44925</v>
      </c>
      <c r="P3467" s="48" t="s">
        <v>3728</v>
      </c>
    </row>
    <row r="3468" spans="1:16" x14ac:dyDescent="0.3">
      <c r="A3468" s="59">
        <f t="shared" si="283"/>
        <v>3132</v>
      </c>
      <c r="B3468" s="66" t="s">
        <v>3315</v>
      </c>
      <c r="C3468" s="184">
        <v>1975</v>
      </c>
      <c r="D3468" s="51"/>
      <c r="E3468" s="52" t="s">
        <v>3729</v>
      </c>
      <c r="F3468" s="218">
        <v>5</v>
      </c>
      <c r="G3468" s="51"/>
      <c r="H3468" s="52">
        <v>3054.7</v>
      </c>
      <c r="I3468" s="47">
        <v>150</v>
      </c>
      <c r="J3468" s="19">
        <f t="shared" si="282"/>
        <v>173084.51</v>
      </c>
      <c r="K3468" s="51"/>
      <c r="L3468" s="50"/>
      <c r="M3468" s="51"/>
      <c r="N3468" s="19">
        <f>SUMIF('2020'!B:B,B3468,'2020'!C:C)+SUMIF('2021'!B:B,B3468,'2021'!C:C)+SUMIF('2022'!B:B,B3468,'2022'!C:C)</f>
        <v>173084.51</v>
      </c>
      <c r="O3468" s="219">
        <v>44925</v>
      </c>
      <c r="P3468" s="48" t="s">
        <v>3728</v>
      </c>
    </row>
    <row r="3469" spans="1:16" x14ac:dyDescent="0.3">
      <c r="A3469" s="59">
        <f t="shared" si="283"/>
        <v>3133</v>
      </c>
      <c r="B3469" s="66" t="s">
        <v>3316</v>
      </c>
      <c r="C3469" s="184">
        <v>1976</v>
      </c>
      <c r="D3469" s="51"/>
      <c r="E3469" s="52" t="s">
        <v>3733</v>
      </c>
      <c r="F3469" s="218">
        <v>5</v>
      </c>
      <c r="G3469" s="51"/>
      <c r="H3469" s="52">
        <v>5401.5</v>
      </c>
      <c r="I3469" s="47">
        <v>202</v>
      </c>
      <c r="J3469" s="19">
        <f t="shared" si="282"/>
        <v>468985.46</v>
      </c>
      <c r="K3469" s="51"/>
      <c r="L3469" s="48"/>
      <c r="M3469" s="51"/>
      <c r="N3469" s="19">
        <f>SUMIF('2020'!B:B,B3469,'2020'!C:C)+SUMIF('2021'!B:B,B3469,'2021'!C:C)+SUMIF('2022'!B:B,B3469,'2022'!C:C)</f>
        <v>468985.46</v>
      </c>
      <c r="O3469" s="219">
        <v>44925</v>
      </c>
      <c r="P3469" s="48" t="s">
        <v>3728</v>
      </c>
    </row>
    <row r="3470" spans="1:16" x14ac:dyDescent="0.3">
      <c r="A3470" s="59">
        <f t="shared" si="283"/>
        <v>3134</v>
      </c>
      <c r="B3470" s="66" t="s">
        <v>3317</v>
      </c>
      <c r="C3470" s="184">
        <v>1974</v>
      </c>
      <c r="D3470" s="51"/>
      <c r="E3470" s="52" t="s">
        <v>3729</v>
      </c>
      <c r="F3470" s="218">
        <v>9</v>
      </c>
      <c r="G3470" s="51"/>
      <c r="H3470" s="52">
        <v>11699.5</v>
      </c>
      <c r="I3470" s="47">
        <v>504</v>
      </c>
      <c r="J3470" s="19">
        <f t="shared" si="282"/>
        <v>196162.45</v>
      </c>
      <c r="K3470" s="51"/>
      <c r="L3470" s="50"/>
      <c r="M3470" s="51"/>
      <c r="N3470" s="19">
        <f>SUMIF('2020'!B:B,B3470,'2020'!C:C)+SUMIF('2021'!B:B,B3470,'2021'!C:C)+SUMIF('2022'!B:B,B3470,'2022'!C:C)</f>
        <v>196162.45</v>
      </c>
      <c r="O3470" s="219">
        <v>44925</v>
      </c>
      <c r="P3470" s="48" t="s">
        <v>3728</v>
      </c>
    </row>
    <row r="3471" spans="1:16" x14ac:dyDescent="0.3">
      <c r="A3471" s="59">
        <f t="shared" si="283"/>
        <v>3135</v>
      </c>
      <c r="B3471" s="66" t="s">
        <v>3318</v>
      </c>
      <c r="C3471" s="184">
        <v>1975</v>
      </c>
      <c r="D3471" s="51"/>
      <c r="E3471" s="52" t="s">
        <v>3729</v>
      </c>
      <c r="F3471" s="218">
        <v>5</v>
      </c>
      <c r="G3471" s="51"/>
      <c r="H3471" s="52">
        <v>2881</v>
      </c>
      <c r="I3471" s="47">
        <v>124</v>
      </c>
      <c r="J3471" s="19">
        <f t="shared" si="282"/>
        <v>161956.56</v>
      </c>
      <c r="K3471" s="51"/>
      <c r="L3471" s="50"/>
      <c r="M3471" s="51"/>
      <c r="N3471" s="19">
        <f>SUMIF('2020'!B:B,B3471,'2020'!C:C)+SUMIF('2021'!B:B,B3471,'2021'!C:C)+SUMIF('2022'!B:B,B3471,'2022'!C:C)</f>
        <v>161956.56</v>
      </c>
      <c r="O3471" s="219">
        <v>44925</v>
      </c>
      <c r="P3471" s="48" t="s">
        <v>3728</v>
      </c>
    </row>
    <row r="3472" spans="1:16" x14ac:dyDescent="0.3">
      <c r="A3472" s="59">
        <f t="shared" si="283"/>
        <v>3136</v>
      </c>
      <c r="B3472" s="66" t="s">
        <v>3319</v>
      </c>
      <c r="C3472" s="184">
        <v>1975</v>
      </c>
      <c r="D3472" s="51"/>
      <c r="E3472" s="52" t="s">
        <v>3729</v>
      </c>
      <c r="F3472" s="218">
        <v>9</v>
      </c>
      <c r="G3472" s="51"/>
      <c r="H3472" s="52">
        <v>9828</v>
      </c>
      <c r="I3472" s="47">
        <v>352</v>
      </c>
      <c r="J3472" s="19">
        <f t="shared" si="282"/>
        <v>155097.51999999999</v>
      </c>
      <c r="K3472" s="51"/>
      <c r="L3472" s="50"/>
      <c r="M3472" s="51"/>
      <c r="N3472" s="19">
        <f>SUMIF('2020'!B:B,B3472,'2020'!C:C)+SUMIF('2021'!B:B,B3472,'2021'!C:C)+SUMIF('2022'!B:B,B3472,'2022'!C:C)</f>
        <v>155097.51999999999</v>
      </c>
      <c r="O3472" s="219">
        <v>44925</v>
      </c>
      <c r="P3472" s="48" t="s">
        <v>3728</v>
      </c>
    </row>
    <row r="3473" spans="1:16" x14ac:dyDescent="0.3">
      <c r="A3473" s="59">
        <f t="shared" si="283"/>
        <v>3137</v>
      </c>
      <c r="B3473" s="66" t="s">
        <v>3320</v>
      </c>
      <c r="C3473" s="184">
        <v>1976</v>
      </c>
      <c r="D3473" s="51"/>
      <c r="E3473" s="52" t="s">
        <v>3729</v>
      </c>
      <c r="F3473" s="218">
        <v>5</v>
      </c>
      <c r="G3473" s="51"/>
      <c r="H3473" s="52">
        <v>2336.1</v>
      </c>
      <c r="I3473" s="47">
        <v>78</v>
      </c>
      <c r="J3473" s="19">
        <f t="shared" ref="J3473:J3537" si="284">K3473+L3473+M3473+N3473</f>
        <v>275810.52</v>
      </c>
      <c r="K3473" s="51"/>
      <c r="L3473" s="48"/>
      <c r="M3473" s="51"/>
      <c r="N3473" s="19">
        <f>SUMIF('2020'!B:B,B3473,'2020'!C:C)+SUMIF('2021'!B:B,B3473,'2021'!C:C)+SUMIF('2022'!B:B,B3473,'2022'!C:C)</f>
        <v>275810.52</v>
      </c>
      <c r="O3473" s="219">
        <v>44925</v>
      </c>
      <c r="P3473" s="48" t="s">
        <v>3728</v>
      </c>
    </row>
    <row r="3474" spans="1:16" x14ac:dyDescent="0.3">
      <c r="A3474" s="59">
        <f t="shared" si="283"/>
        <v>3138</v>
      </c>
      <c r="B3474" s="66" t="s">
        <v>3321</v>
      </c>
      <c r="C3474" s="184">
        <v>1976</v>
      </c>
      <c r="D3474" s="51"/>
      <c r="E3474" s="52" t="s">
        <v>3729</v>
      </c>
      <c r="F3474" s="218">
        <v>5</v>
      </c>
      <c r="G3474" s="51"/>
      <c r="H3474" s="52">
        <v>2336.1</v>
      </c>
      <c r="I3474" s="47">
        <v>86</v>
      </c>
      <c r="J3474" s="19">
        <f t="shared" si="284"/>
        <v>275810.52</v>
      </c>
      <c r="K3474" s="51"/>
      <c r="L3474" s="48"/>
      <c r="M3474" s="51"/>
      <c r="N3474" s="19">
        <f>SUMIF('2020'!B:B,B3474,'2020'!C:C)+SUMIF('2021'!B:B,B3474,'2021'!C:C)+SUMIF('2022'!B:B,B3474,'2022'!C:C)</f>
        <v>275810.52</v>
      </c>
      <c r="O3474" s="219">
        <v>44925</v>
      </c>
      <c r="P3474" s="48" t="s">
        <v>3728</v>
      </c>
    </row>
    <row r="3475" spans="1:16" x14ac:dyDescent="0.3">
      <c r="A3475" s="59">
        <f t="shared" ref="A3475:A3535" si="285">A3474+1</f>
        <v>3139</v>
      </c>
      <c r="B3475" s="66" t="s">
        <v>3322</v>
      </c>
      <c r="C3475" s="184">
        <v>1970</v>
      </c>
      <c r="D3475" s="51"/>
      <c r="E3475" s="52" t="s">
        <v>3729</v>
      </c>
      <c r="F3475" s="218">
        <v>5</v>
      </c>
      <c r="G3475" s="51"/>
      <c r="H3475" s="52">
        <v>14316.8</v>
      </c>
      <c r="I3475" s="47">
        <v>527</v>
      </c>
      <c r="J3475" s="19">
        <f t="shared" si="284"/>
        <v>44139773.5</v>
      </c>
      <c r="K3475" s="51"/>
      <c r="L3475" s="50"/>
      <c r="M3475" s="51"/>
      <c r="N3475" s="19">
        <f>SUMIF('2020'!B:B,B3475,'2020'!C:C)+SUMIF('2021'!B:B,B3475,'2021'!C:C)+SUMIF('2022'!B:B,B3475,'2022'!C:C)</f>
        <v>44139773.5</v>
      </c>
      <c r="O3475" s="219">
        <v>44925</v>
      </c>
      <c r="P3475" s="48" t="s">
        <v>3728</v>
      </c>
    </row>
    <row r="3476" spans="1:16" x14ac:dyDescent="0.3">
      <c r="A3476" s="59">
        <f t="shared" si="285"/>
        <v>3140</v>
      </c>
      <c r="B3476" s="66" t="s">
        <v>3323</v>
      </c>
      <c r="C3476" s="184">
        <v>1976</v>
      </c>
      <c r="D3476" s="51"/>
      <c r="E3476" s="52" t="s">
        <v>3733</v>
      </c>
      <c r="F3476" s="218">
        <v>9</v>
      </c>
      <c r="G3476" s="51"/>
      <c r="H3476" s="52">
        <v>3171.1</v>
      </c>
      <c r="I3476" s="47">
        <v>145</v>
      </c>
      <c r="J3476" s="19">
        <f t="shared" si="284"/>
        <v>7132693.5999999996</v>
      </c>
      <c r="K3476" s="51"/>
      <c r="L3476" s="50"/>
      <c r="M3476" s="51"/>
      <c r="N3476" s="19">
        <f>SUMIF('2020'!B:B,B3476,'2020'!C:C)+SUMIF('2021'!B:B,B3476,'2021'!C:C)+SUMIF('2022'!B:B,B3476,'2022'!C:C)</f>
        <v>7132693.5999999996</v>
      </c>
      <c r="O3476" s="219">
        <v>44925</v>
      </c>
      <c r="P3476" s="48" t="s">
        <v>3728</v>
      </c>
    </row>
    <row r="3477" spans="1:16" x14ac:dyDescent="0.3">
      <c r="A3477" s="59">
        <f t="shared" si="285"/>
        <v>3141</v>
      </c>
      <c r="B3477" s="66" t="s">
        <v>3324</v>
      </c>
      <c r="C3477" s="184">
        <v>1976</v>
      </c>
      <c r="D3477" s="51"/>
      <c r="E3477" s="52" t="s">
        <v>3733</v>
      </c>
      <c r="F3477" s="218">
        <v>9</v>
      </c>
      <c r="G3477" s="51"/>
      <c r="H3477" s="52">
        <v>3171.1</v>
      </c>
      <c r="I3477" s="47">
        <v>183</v>
      </c>
      <c r="J3477" s="19">
        <f t="shared" si="284"/>
        <v>11578570</v>
      </c>
      <c r="K3477" s="51"/>
      <c r="L3477" s="50"/>
      <c r="M3477" s="51"/>
      <c r="N3477" s="19">
        <f>SUMIF('2020'!B:B,B3477,'2020'!C:C)+SUMIF('2021'!B:B,B3477,'2021'!C:C)+SUMIF('2022'!B:B,B3477,'2022'!C:C)</f>
        <v>11578570</v>
      </c>
      <c r="O3477" s="219">
        <v>44925</v>
      </c>
      <c r="P3477" s="48" t="s">
        <v>3728</v>
      </c>
    </row>
    <row r="3478" spans="1:16" x14ac:dyDescent="0.3">
      <c r="A3478" s="59">
        <f t="shared" si="285"/>
        <v>3142</v>
      </c>
      <c r="B3478" s="66" t="s">
        <v>3325</v>
      </c>
      <c r="C3478" s="184">
        <v>1974</v>
      </c>
      <c r="D3478" s="51"/>
      <c r="E3478" s="52" t="s">
        <v>3729</v>
      </c>
      <c r="F3478" s="218">
        <v>5</v>
      </c>
      <c r="G3478" s="51"/>
      <c r="H3478" s="52">
        <v>3529.2</v>
      </c>
      <c r="I3478" s="47">
        <v>114</v>
      </c>
      <c r="J3478" s="19">
        <f t="shared" si="284"/>
        <v>351792.66</v>
      </c>
      <c r="K3478" s="51"/>
      <c r="L3478" s="48"/>
      <c r="M3478" s="51"/>
      <c r="N3478" s="19">
        <f>SUMIF('2020'!B:B,B3478,'2020'!C:C)+SUMIF('2021'!B:B,B3478,'2021'!C:C)+SUMIF('2022'!B:B,B3478,'2022'!C:C)</f>
        <v>351792.66</v>
      </c>
      <c r="O3478" s="219">
        <v>44925</v>
      </c>
      <c r="P3478" s="48" t="s">
        <v>3728</v>
      </c>
    </row>
    <row r="3479" spans="1:16" x14ac:dyDescent="0.3">
      <c r="A3479" s="59">
        <f t="shared" si="285"/>
        <v>3143</v>
      </c>
      <c r="B3479" s="66" t="s">
        <v>3326</v>
      </c>
      <c r="C3479" s="184">
        <v>1974</v>
      </c>
      <c r="D3479" s="51"/>
      <c r="E3479" s="52" t="s">
        <v>3729</v>
      </c>
      <c r="F3479" s="218">
        <v>5</v>
      </c>
      <c r="G3479" s="51"/>
      <c r="H3479" s="52">
        <v>4488.3</v>
      </c>
      <c r="I3479" s="47">
        <v>196</v>
      </c>
      <c r="J3479" s="19">
        <f t="shared" si="284"/>
        <v>7730056.5499999998</v>
      </c>
      <c r="K3479" s="51"/>
      <c r="L3479" s="48"/>
      <c r="M3479" s="51"/>
      <c r="N3479" s="19">
        <f>SUMIF('2020'!B:B,B3479,'2020'!C:C)+SUMIF('2021'!B:B,B3479,'2021'!C:C)+SUMIF('2022'!B:B,B3479,'2022'!C:C)</f>
        <v>7730056.5499999998</v>
      </c>
      <c r="O3479" s="219">
        <v>44925</v>
      </c>
      <c r="P3479" s="48" t="s">
        <v>3728</v>
      </c>
    </row>
    <row r="3480" spans="1:16" x14ac:dyDescent="0.3">
      <c r="A3480" s="59">
        <f t="shared" si="285"/>
        <v>3144</v>
      </c>
      <c r="B3480" s="66" t="s">
        <v>3327</v>
      </c>
      <c r="C3480" s="184">
        <v>1976</v>
      </c>
      <c r="D3480" s="51"/>
      <c r="E3480" s="52" t="s">
        <v>3733</v>
      </c>
      <c r="F3480" s="218">
        <v>5</v>
      </c>
      <c r="G3480" s="51"/>
      <c r="H3480" s="52">
        <v>880.2</v>
      </c>
      <c r="I3480" s="47">
        <v>45</v>
      </c>
      <c r="J3480" s="19">
        <f t="shared" si="284"/>
        <v>130000</v>
      </c>
      <c r="K3480" s="51"/>
      <c r="L3480" s="50"/>
      <c r="M3480" s="51"/>
      <c r="N3480" s="19">
        <f>SUMIF('2020'!B:B,B3480,'2020'!C:C)+SUMIF('2021'!B:B,B3480,'2021'!C:C)+SUMIF('2022'!B:B,B3480,'2022'!C:C)</f>
        <v>130000</v>
      </c>
      <c r="O3480" s="219">
        <v>44925</v>
      </c>
      <c r="P3480" s="48" t="s">
        <v>3728</v>
      </c>
    </row>
    <row r="3481" spans="1:16" x14ac:dyDescent="0.3">
      <c r="A3481" s="59">
        <f t="shared" si="285"/>
        <v>3145</v>
      </c>
      <c r="B3481" s="66" t="s">
        <v>3328</v>
      </c>
      <c r="C3481" s="184">
        <v>1974</v>
      </c>
      <c r="D3481" s="51"/>
      <c r="E3481" s="52" t="s">
        <v>3729</v>
      </c>
      <c r="F3481" s="218">
        <v>5</v>
      </c>
      <c r="G3481" s="51"/>
      <c r="H3481" s="52">
        <v>3139.3</v>
      </c>
      <c r="I3481" s="47">
        <v>136</v>
      </c>
      <c r="J3481" s="19">
        <f t="shared" si="284"/>
        <v>341146.58</v>
      </c>
      <c r="K3481" s="51"/>
      <c r="L3481" s="48"/>
      <c r="M3481" s="51"/>
      <c r="N3481" s="19">
        <f>SUMIF('2020'!B:B,B3481,'2020'!C:C)+SUMIF('2021'!B:B,B3481,'2021'!C:C)+SUMIF('2022'!B:B,B3481,'2022'!C:C)</f>
        <v>341146.58</v>
      </c>
      <c r="O3481" s="219">
        <v>44925</v>
      </c>
      <c r="P3481" s="48" t="s">
        <v>3728</v>
      </c>
    </row>
    <row r="3482" spans="1:16" x14ac:dyDescent="0.3">
      <c r="A3482" s="59">
        <f t="shared" si="285"/>
        <v>3146</v>
      </c>
      <c r="B3482" s="66" t="s">
        <v>3329</v>
      </c>
      <c r="C3482" s="184">
        <v>1973</v>
      </c>
      <c r="D3482" s="51"/>
      <c r="E3482" s="52" t="s">
        <v>3729</v>
      </c>
      <c r="F3482" s="218">
        <v>9</v>
      </c>
      <c r="G3482" s="51"/>
      <c r="H3482" s="52">
        <v>12929.8</v>
      </c>
      <c r="I3482" s="47">
        <v>217</v>
      </c>
      <c r="J3482" s="19">
        <f t="shared" si="284"/>
        <v>722052.31</v>
      </c>
      <c r="K3482" s="51"/>
      <c r="L3482" s="48"/>
      <c r="M3482" s="51"/>
      <c r="N3482" s="19">
        <f>SUMIF('2020'!B:B,B3482,'2020'!C:C)+SUMIF('2021'!B:B,B3482,'2021'!C:C)+SUMIF('2022'!B:B,B3482,'2022'!C:C)</f>
        <v>722052.31</v>
      </c>
      <c r="O3482" s="219">
        <v>44925</v>
      </c>
      <c r="P3482" s="48" t="s">
        <v>3728</v>
      </c>
    </row>
    <row r="3483" spans="1:16" x14ac:dyDescent="0.3">
      <c r="A3483" s="59">
        <f t="shared" si="285"/>
        <v>3147</v>
      </c>
      <c r="B3483" s="66" t="s">
        <v>3330</v>
      </c>
      <c r="C3483" s="184">
        <v>1977</v>
      </c>
      <c r="D3483" s="51"/>
      <c r="E3483" s="52" t="s">
        <v>3729</v>
      </c>
      <c r="F3483" s="218">
        <v>9</v>
      </c>
      <c r="G3483" s="51"/>
      <c r="H3483" s="52">
        <v>6126.7</v>
      </c>
      <c r="I3483" s="47">
        <v>252</v>
      </c>
      <c r="J3483" s="19">
        <f t="shared" si="284"/>
        <v>469071.7</v>
      </c>
      <c r="K3483" s="51"/>
      <c r="L3483" s="48"/>
      <c r="M3483" s="51"/>
      <c r="N3483" s="19">
        <f>SUMIF('2020'!B:B,B3483,'2020'!C:C)+SUMIF('2021'!B:B,B3483,'2021'!C:C)+SUMIF('2022'!B:B,B3483,'2022'!C:C)</f>
        <v>469071.7</v>
      </c>
      <c r="O3483" s="219">
        <v>44925</v>
      </c>
      <c r="P3483" s="48" t="s">
        <v>3728</v>
      </c>
    </row>
    <row r="3484" spans="1:16" x14ac:dyDescent="0.3">
      <c r="A3484" s="59">
        <f t="shared" si="285"/>
        <v>3148</v>
      </c>
      <c r="B3484" s="66" t="s">
        <v>3331</v>
      </c>
      <c r="C3484" s="184">
        <v>1977</v>
      </c>
      <c r="D3484" s="51"/>
      <c r="E3484" s="52" t="s">
        <v>3729</v>
      </c>
      <c r="F3484" s="218">
        <v>9</v>
      </c>
      <c r="G3484" s="51"/>
      <c r="H3484" s="52">
        <v>13631.5</v>
      </c>
      <c r="I3484" s="47">
        <v>513</v>
      </c>
      <c r="J3484" s="19">
        <f t="shared" si="284"/>
        <v>779188.84</v>
      </c>
      <c r="K3484" s="51"/>
      <c r="L3484" s="48"/>
      <c r="M3484" s="51"/>
      <c r="N3484" s="19">
        <f>SUMIF('2020'!B:B,B3484,'2020'!C:C)+SUMIF('2021'!B:B,B3484,'2021'!C:C)+SUMIF('2022'!B:B,B3484,'2022'!C:C)</f>
        <v>779188.84</v>
      </c>
      <c r="O3484" s="219">
        <v>44925</v>
      </c>
      <c r="P3484" s="48" t="s">
        <v>3728</v>
      </c>
    </row>
    <row r="3485" spans="1:16" x14ac:dyDescent="0.3">
      <c r="A3485" s="59">
        <f t="shared" si="285"/>
        <v>3149</v>
      </c>
      <c r="B3485" s="66" t="s">
        <v>3332</v>
      </c>
      <c r="C3485" s="184">
        <v>1976</v>
      </c>
      <c r="D3485" s="51"/>
      <c r="E3485" s="52" t="s">
        <v>3729</v>
      </c>
      <c r="F3485" s="218">
        <v>9</v>
      </c>
      <c r="G3485" s="51"/>
      <c r="H3485" s="52">
        <v>4549.3</v>
      </c>
      <c r="I3485" s="47">
        <v>193</v>
      </c>
      <c r="J3485" s="19">
        <f t="shared" si="284"/>
        <v>404747.15</v>
      </c>
      <c r="K3485" s="51"/>
      <c r="L3485" s="48"/>
      <c r="M3485" s="51"/>
      <c r="N3485" s="19">
        <f>SUMIF('2020'!B:B,B3485,'2020'!C:C)+SUMIF('2021'!B:B,B3485,'2021'!C:C)+SUMIF('2022'!B:B,B3485,'2022'!C:C)</f>
        <v>404747.15</v>
      </c>
      <c r="O3485" s="219">
        <v>44925</v>
      </c>
      <c r="P3485" s="48" t="s">
        <v>3728</v>
      </c>
    </row>
    <row r="3486" spans="1:16" x14ac:dyDescent="0.3">
      <c r="A3486" s="59">
        <f t="shared" si="285"/>
        <v>3150</v>
      </c>
      <c r="B3486" s="66" t="s">
        <v>3333</v>
      </c>
      <c r="C3486" s="184">
        <v>1977</v>
      </c>
      <c r="D3486" s="51"/>
      <c r="E3486" s="52" t="s">
        <v>3729</v>
      </c>
      <c r="F3486" s="218">
        <v>5</v>
      </c>
      <c r="G3486" s="51"/>
      <c r="H3486" s="52">
        <v>3494.2</v>
      </c>
      <c r="I3486" s="47">
        <v>147</v>
      </c>
      <c r="J3486" s="19">
        <f t="shared" si="284"/>
        <v>338399.21</v>
      </c>
      <c r="K3486" s="51"/>
      <c r="L3486" s="48"/>
      <c r="M3486" s="51"/>
      <c r="N3486" s="19">
        <f>SUMIF('2020'!B:B,B3486,'2020'!C:C)+SUMIF('2021'!B:B,B3486,'2021'!C:C)+SUMIF('2022'!B:B,B3486,'2022'!C:C)</f>
        <v>338399.21</v>
      </c>
      <c r="O3486" s="219">
        <v>44925</v>
      </c>
      <c r="P3486" s="48" t="s">
        <v>3728</v>
      </c>
    </row>
    <row r="3487" spans="1:16" x14ac:dyDescent="0.3">
      <c r="A3487" s="59">
        <f t="shared" si="285"/>
        <v>3151</v>
      </c>
      <c r="B3487" s="66" t="s">
        <v>3334</v>
      </c>
      <c r="C3487" s="184">
        <v>1976</v>
      </c>
      <c r="D3487" s="51"/>
      <c r="E3487" s="52" t="s">
        <v>3729</v>
      </c>
      <c r="F3487" s="218">
        <v>5</v>
      </c>
      <c r="G3487" s="51"/>
      <c r="H3487" s="52">
        <v>2357.6999999999998</v>
      </c>
      <c r="I3487" s="47">
        <v>93</v>
      </c>
      <c r="J3487" s="19">
        <f t="shared" si="284"/>
        <v>277596.31</v>
      </c>
      <c r="K3487" s="51"/>
      <c r="L3487" s="48"/>
      <c r="M3487" s="51"/>
      <c r="N3487" s="19">
        <f>SUMIF('2020'!B:B,B3487,'2020'!C:C)+SUMIF('2021'!B:B,B3487,'2021'!C:C)+SUMIF('2022'!B:B,B3487,'2022'!C:C)</f>
        <v>277596.31</v>
      </c>
      <c r="O3487" s="219">
        <v>44925</v>
      </c>
      <c r="P3487" s="48" t="s">
        <v>3728</v>
      </c>
    </row>
    <row r="3488" spans="1:16" x14ac:dyDescent="0.3">
      <c r="A3488" s="59">
        <f t="shared" si="285"/>
        <v>3152</v>
      </c>
      <c r="B3488" s="66" t="s">
        <v>3335</v>
      </c>
      <c r="C3488" s="184">
        <v>1977</v>
      </c>
      <c r="D3488" s="51"/>
      <c r="E3488" s="52" t="s">
        <v>3729</v>
      </c>
      <c r="F3488" s="218">
        <v>5</v>
      </c>
      <c r="G3488" s="51"/>
      <c r="H3488" s="52">
        <v>2064.9</v>
      </c>
      <c r="I3488" s="47">
        <v>90</v>
      </c>
      <c r="J3488" s="19">
        <f t="shared" si="284"/>
        <v>279965.94</v>
      </c>
      <c r="K3488" s="51"/>
      <c r="L3488" s="48"/>
      <c r="M3488" s="51"/>
      <c r="N3488" s="19">
        <f>SUMIF('2020'!B:B,B3488,'2020'!C:C)+SUMIF('2021'!B:B,B3488,'2021'!C:C)+SUMIF('2022'!B:B,B3488,'2022'!C:C)</f>
        <v>279965.94</v>
      </c>
      <c r="O3488" s="219">
        <v>44925</v>
      </c>
      <c r="P3488" s="48" t="s">
        <v>3728</v>
      </c>
    </row>
    <row r="3489" spans="1:16" x14ac:dyDescent="0.3">
      <c r="A3489" s="59">
        <f t="shared" si="285"/>
        <v>3153</v>
      </c>
      <c r="B3489" s="66" t="s">
        <v>3336</v>
      </c>
      <c r="C3489" s="184">
        <v>1977</v>
      </c>
      <c r="D3489" s="51"/>
      <c r="E3489" s="52" t="s">
        <v>3733</v>
      </c>
      <c r="F3489" s="218">
        <v>9</v>
      </c>
      <c r="G3489" s="51"/>
      <c r="H3489" s="52">
        <v>4624</v>
      </c>
      <c r="I3489" s="47">
        <v>247</v>
      </c>
      <c r="J3489" s="19">
        <f t="shared" si="284"/>
        <v>404747.15</v>
      </c>
      <c r="K3489" s="51"/>
      <c r="L3489" s="50"/>
      <c r="M3489" s="51"/>
      <c r="N3489" s="19">
        <f>SUMIF('2020'!B:B,B3489,'2020'!C:C)+SUMIF('2021'!B:B,B3489,'2021'!C:C)+SUMIF('2022'!B:B,B3489,'2022'!C:C)</f>
        <v>404747.15</v>
      </c>
      <c r="O3489" s="219">
        <v>44925</v>
      </c>
      <c r="P3489" s="48" t="s">
        <v>3728</v>
      </c>
    </row>
    <row r="3490" spans="1:16" x14ac:dyDescent="0.3">
      <c r="A3490" s="59">
        <f t="shared" si="285"/>
        <v>3154</v>
      </c>
      <c r="B3490" s="66" t="s">
        <v>3337</v>
      </c>
      <c r="C3490" s="184">
        <v>1977</v>
      </c>
      <c r="D3490" s="51"/>
      <c r="E3490" s="48" t="s">
        <v>3733</v>
      </c>
      <c r="F3490" s="218">
        <v>9</v>
      </c>
      <c r="G3490" s="51"/>
      <c r="H3490" s="52">
        <v>4384.6000000000004</v>
      </c>
      <c r="I3490" s="47">
        <v>286</v>
      </c>
      <c r="J3490" s="19">
        <f t="shared" si="284"/>
        <v>18025192.140000001</v>
      </c>
      <c r="K3490" s="51"/>
      <c r="L3490" s="50"/>
      <c r="M3490" s="51"/>
      <c r="N3490" s="19">
        <f>SUMIF('2020'!B:B,B3490,'2020'!C:C)+SUMIF('2021'!B:B,B3490,'2021'!C:C)+SUMIF('2022'!B:B,B3490,'2022'!C:C)</f>
        <v>18025192.140000001</v>
      </c>
      <c r="O3490" s="219">
        <v>44925</v>
      </c>
      <c r="P3490" s="48" t="s">
        <v>3728</v>
      </c>
    </row>
    <row r="3491" spans="1:16" x14ac:dyDescent="0.3">
      <c r="A3491" s="59">
        <f t="shared" si="285"/>
        <v>3155</v>
      </c>
      <c r="B3491" s="66" t="s">
        <v>3338</v>
      </c>
      <c r="C3491" s="184">
        <v>1975</v>
      </c>
      <c r="D3491" s="51"/>
      <c r="E3491" s="52" t="s">
        <v>3729</v>
      </c>
      <c r="F3491" s="218">
        <v>9</v>
      </c>
      <c r="G3491" s="51"/>
      <c r="H3491" s="52">
        <v>10663.2</v>
      </c>
      <c r="I3491" s="47">
        <v>471</v>
      </c>
      <c r="J3491" s="19">
        <f t="shared" si="284"/>
        <v>808711.79999999993</v>
      </c>
      <c r="K3491" s="51"/>
      <c r="L3491" s="48"/>
      <c r="M3491" s="51"/>
      <c r="N3491" s="19">
        <f>SUMIF('2020'!B:B,B3491,'2020'!C:C)+SUMIF('2021'!B:B,B3491,'2021'!C:C)+SUMIF('2022'!B:B,B3491,'2022'!C:C)</f>
        <v>808711.79999999993</v>
      </c>
      <c r="O3491" s="219">
        <v>44925</v>
      </c>
      <c r="P3491" s="48" t="s">
        <v>3728</v>
      </c>
    </row>
    <row r="3492" spans="1:16" x14ac:dyDescent="0.3">
      <c r="A3492" s="59">
        <f t="shared" si="285"/>
        <v>3156</v>
      </c>
      <c r="B3492" s="66" t="s">
        <v>3339</v>
      </c>
      <c r="C3492" s="184">
        <v>1975</v>
      </c>
      <c r="D3492" s="51"/>
      <c r="E3492" s="52" t="s">
        <v>3729</v>
      </c>
      <c r="F3492" s="218">
        <v>9</v>
      </c>
      <c r="G3492" s="51"/>
      <c r="H3492" s="52">
        <v>8596.2999999999993</v>
      </c>
      <c r="I3492" s="47">
        <v>394</v>
      </c>
      <c r="J3492" s="19">
        <f t="shared" si="284"/>
        <v>713021.23</v>
      </c>
      <c r="K3492" s="51"/>
      <c r="L3492" s="48"/>
      <c r="M3492" s="51"/>
      <c r="N3492" s="19">
        <f>SUMIF('2020'!B:B,B3492,'2020'!C:C)+SUMIF('2021'!B:B,B3492,'2021'!C:C)+SUMIF('2022'!B:B,B3492,'2022'!C:C)</f>
        <v>713021.23</v>
      </c>
      <c r="O3492" s="219">
        <v>44925</v>
      </c>
      <c r="P3492" s="48" t="s">
        <v>3728</v>
      </c>
    </row>
    <row r="3493" spans="1:16" x14ac:dyDescent="0.3">
      <c r="A3493" s="59">
        <f t="shared" si="285"/>
        <v>3157</v>
      </c>
      <c r="B3493" s="66" t="s">
        <v>3340</v>
      </c>
      <c r="C3493" s="184">
        <v>1976</v>
      </c>
      <c r="D3493" s="51"/>
      <c r="E3493" s="52" t="s">
        <v>3729</v>
      </c>
      <c r="F3493" s="218">
        <v>9</v>
      </c>
      <c r="G3493" s="51"/>
      <c r="H3493" s="52">
        <v>9685.9</v>
      </c>
      <c r="I3493" s="47">
        <v>379</v>
      </c>
      <c r="J3493" s="19">
        <f t="shared" si="284"/>
        <v>724282.48</v>
      </c>
      <c r="K3493" s="51"/>
      <c r="L3493" s="48"/>
      <c r="M3493" s="51"/>
      <c r="N3493" s="19">
        <f>SUMIF('2020'!B:B,B3493,'2020'!C:C)+SUMIF('2021'!B:B,B3493,'2021'!C:C)+SUMIF('2022'!B:B,B3493,'2022'!C:C)</f>
        <v>724282.48</v>
      </c>
      <c r="O3493" s="219">
        <v>44925</v>
      </c>
      <c r="P3493" s="48" t="s">
        <v>3728</v>
      </c>
    </row>
    <row r="3494" spans="1:16" x14ac:dyDescent="0.3">
      <c r="A3494" s="59">
        <f t="shared" si="285"/>
        <v>3158</v>
      </c>
      <c r="B3494" s="66" t="s">
        <v>3341</v>
      </c>
      <c r="C3494" s="184">
        <v>1976</v>
      </c>
      <c r="D3494" s="51"/>
      <c r="E3494" s="52" t="s">
        <v>3729</v>
      </c>
      <c r="F3494" s="218">
        <v>9</v>
      </c>
      <c r="G3494" s="51"/>
      <c r="H3494" s="52">
        <v>4520.7</v>
      </c>
      <c r="I3494" s="47">
        <v>150</v>
      </c>
      <c r="J3494" s="19">
        <f t="shared" si="284"/>
        <v>112023.73</v>
      </c>
      <c r="K3494" s="51"/>
      <c r="L3494" s="50"/>
      <c r="M3494" s="51"/>
      <c r="N3494" s="19">
        <f>SUMIF('2020'!B:B,B3494,'2020'!C:C)+SUMIF('2021'!B:B,B3494,'2021'!C:C)+SUMIF('2022'!B:B,B3494,'2022'!C:C)</f>
        <v>112023.73</v>
      </c>
      <c r="O3494" s="219">
        <v>44925</v>
      </c>
      <c r="P3494" s="48" t="s">
        <v>3728</v>
      </c>
    </row>
    <row r="3495" spans="1:16" x14ac:dyDescent="0.3">
      <c r="A3495" s="59">
        <f t="shared" si="285"/>
        <v>3159</v>
      </c>
      <c r="B3495" s="66" t="s">
        <v>3342</v>
      </c>
      <c r="C3495" s="184">
        <v>1976</v>
      </c>
      <c r="D3495" s="51"/>
      <c r="E3495" s="52" t="s">
        <v>3729</v>
      </c>
      <c r="F3495" s="218">
        <v>9</v>
      </c>
      <c r="G3495" s="51"/>
      <c r="H3495" s="52">
        <v>4497.8</v>
      </c>
      <c r="I3495" s="47">
        <v>150</v>
      </c>
      <c r="J3495" s="19">
        <f t="shared" si="284"/>
        <v>524511.93999999994</v>
      </c>
      <c r="K3495" s="51"/>
      <c r="L3495" s="48"/>
      <c r="M3495" s="51"/>
      <c r="N3495" s="19">
        <f>SUMIF('2020'!B:B,B3495,'2020'!C:C)+SUMIF('2021'!B:B,B3495,'2021'!C:C)+SUMIF('2022'!B:B,B3495,'2022'!C:C)</f>
        <v>524511.93999999994</v>
      </c>
      <c r="O3495" s="219">
        <v>44925</v>
      </c>
      <c r="P3495" s="48" t="s">
        <v>3728</v>
      </c>
    </row>
    <row r="3496" spans="1:16" x14ac:dyDescent="0.3">
      <c r="A3496" s="59">
        <f t="shared" si="285"/>
        <v>3160</v>
      </c>
      <c r="B3496" s="66" t="s">
        <v>3343</v>
      </c>
      <c r="C3496" s="184">
        <v>1957</v>
      </c>
      <c r="D3496" s="51"/>
      <c r="E3496" s="52" t="s">
        <v>3733</v>
      </c>
      <c r="F3496" s="218">
        <v>2</v>
      </c>
      <c r="G3496" s="48"/>
      <c r="H3496" s="48">
        <v>341.3</v>
      </c>
      <c r="I3496" s="47">
        <v>21</v>
      </c>
      <c r="J3496" s="19">
        <f t="shared" si="284"/>
        <v>303603.31</v>
      </c>
      <c r="K3496" s="51"/>
      <c r="L3496" s="50"/>
      <c r="M3496" s="51"/>
      <c r="N3496" s="19">
        <f>SUMIF('2020'!B:B,B3496,'2020'!C:C)+SUMIF('2021'!B:B,B3496,'2021'!C:C)+SUMIF('2022'!B:B,B3496,'2022'!C:C)</f>
        <v>303603.31</v>
      </c>
      <c r="O3496" s="219">
        <v>44925</v>
      </c>
      <c r="P3496" s="48" t="s">
        <v>3728</v>
      </c>
    </row>
    <row r="3497" spans="1:16" x14ac:dyDescent="0.3">
      <c r="A3497" s="59">
        <f t="shared" si="285"/>
        <v>3161</v>
      </c>
      <c r="B3497" s="66" t="s">
        <v>3344</v>
      </c>
      <c r="C3497" s="184">
        <v>1974</v>
      </c>
      <c r="D3497" s="51"/>
      <c r="E3497" s="52" t="s">
        <v>3733</v>
      </c>
      <c r="F3497" s="218">
        <v>6</v>
      </c>
      <c r="G3497" s="48"/>
      <c r="H3497" s="48">
        <v>4664.3999999999996</v>
      </c>
      <c r="I3497" s="47">
        <v>165</v>
      </c>
      <c r="J3497" s="19">
        <f t="shared" si="284"/>
        <v>32903413.619999997</v>
      </c>
      <c r="K3497" s="51"/>
      <c r="L3497" s="50"/>
      <c r="M3497" s="51"/>
      <c r="N3497" s="19">
        <f>SUMIF('2020'!B:B,B3497,'2020'!C:C)+SUMIF('2021'!B:B,B3497,'2021'!C:C)+SUMIF('2022'!B:B,B3497,'2022'!C:C)</f>
        <v>32903413.619999997</v>
      </c>
      <c r="O3497" s="219">
        <v>44925</v>
      </c>
      <c r="P3497" s="48" t="s">
        <v>3728</v>
      </c>
    </row>
    <row r="3498" spans="1:16" x14ac:dyDescent="0.3">
      <c r="A3498" s="59">
        <f t="shared" si="285"/>
        <v>3162</v>
      </c>
      <c r="B3498" s="66" t="s">
        <v>3345</v>
      </c>
      <c r="C3498" s="184">
        <v>1961</v>
      </c>
      <c r="D3498" s="51"/>
      <c r="E3498" s="48" t="s">
        <v>3733</v>
      </c>
      <c r="F3498" s="218">
        <v>5</v>
      </c>
      <c r="G3498" s="48"/>
      <c r="H3498" s="48">
        <v>4174.1400000000003</v>
      </c>
      <c r="I3498" s="47">
        <v>90</v>
      </c>
      <c r="J3498" s="19">
        <f t="shared" si="284"/>
        <v>18139774.329999998</v>
      </c>
      <c r="K3498" s="51"/>
      <c r="L3498" s="50"/>
      <c r="M3498" s="51"/>
      <c r="N3498" s="19">
        <f>SUMIF('2020'!B:B,B3498,'2020'!C:C)+SUMIF('2021'!B:B,B3498,'2021'!C:C)+SUMIF('2022'!B:B,B3498,'2022'!C:C)</f>
        <v>18139774.329999998</v>
      </c>
      <c r="O3498" s="219">
        <v>44925</v>
      </c>
      <c r="P3498" s="48" t="s">
        <v>3728</v>
      </c>
    </row>
    <row r="3499" spans="1:16" x14ac:dyDescent="0.3">
      <c r="A3499" s="59">
        <f t="shared" si="285"/>
        <v>3163</v>
      </c>
      <c r="B3499" s="66" t="s">
        <v>3346</v>
      </c>
      <c r="C3499" s="184">
        <v>1953</v>
      </c>
      <c r="D3499" s="51"/>
      <c r="E3499" s="52" t="s">
        <v>3733</v>
      </c>
      <c r="F3499" s="218">
        <v>2</v>
      </c>
      <c r="G3499" s="48"/>
      <c r="H3499" s="48">
        <v>232.6</v>
      </c>
      <c r="I3499" s="47">
        <v>9</v>
      </c>
      <c r="J3499" s="19">
        <f t="shared" si="284"/>
        <v>238013.36</v>
      </c>
      <c r="K3499" s="51"/>
      <c r="L3499" s="50"/>
      <c r="M3499" s="51"/>
      <c r="N3499" s="19">
        <f>SUMIF('2020'!B:B,B3499,'2020'!C:C)+SUMIF('2021'!B:B,B3499,'2021'!C:C)+SUMIF('2022'!B:B,B3499,'2022'!C:C)</f>
        <v>238013.36</v>
      </c>
      <c r="O3499" s="219">
        <v>44925</v>
      </c>
      <c r="P3499" s="48" t="s">
        <v>3728</v>
      </c>
    </row>
    <row r="3500" spans="1:16" x14ac:dyDescent="0.3">
      <c r="A3500" s="59">
        <f t="shared" si="285"/>
        <v>3164</v>
      </c>
      <c r="B3500" s="66" t="s">
        <v>3348</v>
      </c>
      <c r="C3500" s="184">
        <v>1916</v>
      </c>
      <c r="D3500" s="51"/>
      <c r="E3500" s="48" t="s">
        <v>3733</v>
      </c>
      <c r="F3500" s="218">
        <v>2</v>
      </c>
      <c r="G3500" s="48"/>
      <c r="H3500" s="48">
        <v>174.4</v>
      </c>
      <c r="I3500" s="47">
        <v>11</v>
      </c>
      <c r="J3500" s="19">
        <f t="shared" si="284"/>
        <v>118976.06</v>
      </c>
      <c r="K3500" s="51"/>
      <c r="L3500" s="50"/>
      <c r="M3500" s="51"/>
      <c r="N3500" s="19">
        <f>SUMIF('2020'!B:B,B3500,'2020'!C:C)+SUMIF('2021'!B:B,B3500,'2021'!C:C)+SUMIF('2022'!B:B,B3500,'2022'!C:C)</f>
        <v>118976.06</v>
      </c>
      <c r="O3500" s="219">
        <v>44925</v>
      </c>
      <c r="P3500" s="48" t="s">
        <v>3728</v>
      </c>
    </row>
    <row r="3501" spans="1:16" x14ac:dyDescent="0.3">
      <c r="A3501" s="59">
        <f t="shared" si="285"/>
        <v>3165</v>
      </c>
      <c r="B3501" s="66" t="s">
        <v>3347</v>
      </c>
      <c r="C3501" s="184">
        <v>1917</v>
      </c>
      <c r="D3501" s="51"/>
      <c r="E3501" s="48" t="s">
        <v>3733</v>
      </c>
      <c r="F3501" s="218">
        <v>2</v>
      </c>
      <c r="G3501" s="48"/>
      <c r="H3501" s="48">
        <v>174.4</v>
      </c>
      <c r="I3501" s="47">
        <v>11</v>
      </c>
      <c r="J3501" s="19">
        <f t="shared" si="284"/>
        <v>130000</v>
      </c>
      <c r="K3501" s="51"/>
      <c r="L3501" s="50"/>
      <c r="M3501" s="51"/>
      <c r="N3501" s="19">
        <f>SUMIF('2020'!B:B,B3501,'2020'!C:C)+SUMIF('2021'!B:B,B3501,'2021'!C:C)+SUMIF('2022'!B:B,B3501,'2022'!C:C)</f>
        <v>130000</v>
      </c>
      <c r="O3501" s="219">
        <v>44926</v>
      </c>
      <c r="P3501" s="48" t="s">
        <v>3728</v>
      </c>
    </row>
    <row r="3502" spans="1:16" x14ac:dyDescent="0.3">
      <c r="A3502" s="59">
        <f t="shared" si="285"/>
        <v>3166</v>
      </c>
      <c r="B3502" s="66" t="s">
        <v>3349</v>
      </c>
      <c r="C3502" s="184">
        <v>1960</v>
      </c>
      <c r="D3502" s="51"/>
      <c r="E3502" s="52" t="s">
        <v>3733</v>
      </c>
      <c r="F3502" s="218">
        <v>2</v>
      </c>
      <c r="G3502" s="48"/>
      <c r="H3502" s="48">
        <v>819.81</v>
      </c>
      <c r="I3502" s="47">
        <v>27</v>
      </c>
      <c r="J3502" s="19">
        <f t="shared" si="284"/>
        <v>270475.06</v>
      </c>
      <c r="K3502" s="51"/>
      <c r="L3502" s="50"/>
      <c r="M3502" s="51"/>
      <c r="N3502" s="19">
        <f>SUMIF('2020'!B:B,B3502,'2020'!C:C)+SUMIF('2021'!B:B,B3502,'2021'!C:C)+SUMIF('2022'!B:B,B3502,'2022'!C:C)</f>
        <v>270475.06</v>
      </c>
      <c r="O3502" s="219">
        <v>44927</v>
      </c>
      <c r="P3502" s="48" t="s">
        <v>3728</v>
      </c>
    </row>
    <row r="3503" spans="1:16" x14ac:dyDescent="0.3">
      <c r="A3503" s="59">
        <f t="shared" si="285"/>
        <v>3167</v>
      </c>
      <c r="B3503" s="66" t="s">
        <v>3350</v>
      </c>
      <c r="C3503" s="184">
        <v>1972</v>
      </c>
      <c r="D3503" s="51"/>
      <c r="E3503" s="48" t="s">
        <v>3733</v>
      </c>
      <c r="F3503" s="218">
        <v>2</v>
      </c>
      <c r="G3503" s="51"/>
      <c r="H3503" s="52">
        <v>1508.04</v>
      </c>
      <c r="I3503" s="47">
        <v>40</v>
      </c>
      <c r="J3503" s="19">
        <f t="shared" si="284"/>
        <v>1413280.6400000001</v>
      </c>
      <c r="K3503" s="51"/>
      <c r="L3503" s="50"/>
      <c r="M3503" s="51"/>
      <c r="N3503" s="19">
        <f>SUMIF('2020'!B:B,B3503,'2020'!C:C)+SUMIF('2021'!B:B,B3503,'2021'!C:C)+SUMIF('2022'!B:B,B3503,'2022'!C:C)</f>
        <v>1413280.6400000001</v>
      </c>
      <c r="O3503" s="219">
        <v>44925</v>
      </c>
      <c r="P3503" s="48" t="s">
        <v>3728</v>
      </c>
    </row>
    <row r="3504" spans="1:16" x14ac:dyDescent="0.3">
      <c r="A3504" s="59">
        <f t="shared" si="285"/>
        <v>3168</v>
      </c>
      <c r="B3504" s="66" t="s">
        <v>3351</v>
      </c>
      <c r="C3504" s="184">
        <v>1964</v>
      </c>
      <c r="D3504" s="51"/>
      <c r="E3504" s="52" t="s">
        <v>3733</v>
      </c>
      <c r="F3504" s="218">
        <v>2</v>
      </c>
      <c r="G3504" s="51"/>
      <c r="H3504" s="52">
        <v>677.9</v>
      </c>
      <c r="I3504" s="47">
        <v>25</v>
      </c>
      <c r="J3504" s="19">
        <f t="shared" si="284"/>
        <v>516650.71</v>
      </c>
      <c r="K3504" s="51"/>
      <c r="L3504" s="50"/>
      <c r="M3504" s="51"/>
      <c r="N3504" s="19">
        <f>SUMIF('2020'!B:B,B3504,'2020'!C:C)+SUMIF('2021'!B:B,B3504,'2021'!C:C)+SUMIF('2022'!B:B,B3504,'2022'!C:C)</f>
        <v>516650.71</v>
      </c>
      <c r="O3504" s="219">
        <v>44925</v>
      </c>
      <c r="P3504" s="48" t="s">
        <v>3728</v>
      </c>
    </row>
    <row r="3505" spans="1:16" x14ac:dyDescent="0.3">
      <c r="A3505" s="59">
        <f t="shared" si="285"/>
        <v>3169</v>
      </c>
      <c r="B3505" s="66" t="s">
        <v>3352</v>
      </c>
      <c r="C3505" s="184">
        <v>1965</v>
      </c>
      <c r="D3505" s="51"/>
      <c r="E3505" s="52" t="s">
        <v>3733</v>
      </c>
      <c r="F3505" s="218">
        <v>2</v>
      </c>
      <c r="G3505" s="51"/>
      <c r="H3505" s="52">
        <v>689.1</v>
      </c>
      <c r="I3505" s="47">
        <v>28</v>
      </c>
      <c r="J3505" s="19">
        <f t="shared" si="284"/>
        <v>185015.23</v>
      </c>
      <c r="K3505" s="51"/>
      <c r="L3505" s="50"/>
      <c r="M3505" s="51"/>
      <c r="N3505" s="19">
        <f>SUMIF('2020'!B:B,B3505,'2020'!C:C)+SUMIF('2021'!B:B,B3505,'2021'!C:C)+SUMIF('2022'!B:B,B3505,'2022'!C:C)</f>
        <v>185015.23</v>
      </c>
      <c r="O3505" s="219">
        <v>44925</v>
      </c>
      <c r="P3505" s="48" t="s">
        <v>3728</v>
      </c>
    </row>
    <row r="3506" spans="1:16" x14ac:dyDescent="0.3">
      <c r="A3506" s="59">
        <f t="shared" si="285"/>
        <v>3170</v>
      </c>
      <c r="B3506" s="66" t="s">
        <v>3353</v>
      </c>
      <c r="C3506" s="184">
        <v>1965</v>
      </c>
      <c r="D3506" s="51"/>
      <c r="E3506" s="52" t="s">
        <v>4090</v>
      </c>
      <c r="F3506" s="218">
        <v>2</v>
      </c>
      <c r="G3506" s="51"/>
      <c r="H3506" s="52">
        <v>278.95</v>
      </c>
      <c r="I3506" s="47">
        <v>25</v>
      </c>
      <c r="J3506" s="19">
        <f t="shared" si="284"/>
        <v>395286.14</v>
      </c>
      <c r="K3506" s="51"/>
      <c r="L3506" s="50"/>
      <c r="M3506" s="51"/>
      <c r="N3506" s="19">
        <f>SUMIF('2020'!B:B,B3506,'2020'!C:C)+SUMIF('2021'!B:B,B3506,'2021'!C:C)+SUMIF('2022'!B:B,B3506,'2022'!C:C)</f>
        <v>395286.14</v>
      </c>
      <c r="O3506" s="219">
        <v>44925</v>
      </c>
      <c r="P3506" s="48" t="s">
        <v>3728</v>
      </c>
    </row>
    <row r="3507" spans="1:16" x14ac:dyDescent="0.3">
      <c r="A3507" s="59">
        <f t="shared" si="285"/>
        <v>3171</v>
      </c>
      <c r="B3507" s="66" t="s">
        <v>3354</v>
      </c>
      <c r="C3507" s="184">
        <v>1960</v>
      </c>
      <c r="D3507" s="51"/>
      <c r="E3507" s="52" t="s">
        <v>4090</v>
      </c>
      <c r="F3507" s="218">
        <v>2</v>
      </c>
      <c r="G3507" s="48"/>
      <c r="H3507" s="48">
        <v>320.39999999999998</v>
      </c>
      <c r="I3507" s="47">
        <v>28</v>
      </c>
      <c r="J3507" s="19">
        <f t="shared" si="284"/>
        <v>324826.14</v>
      </c>
      <c r="K3507" s="51"/>
      <c r="L3507" s="50"/>
      <c r="M3507" s="51"/>
      <c r="N3507" s="19">
        <f>SUMIF('2020'!B:B,B3507,'2020'!C:C)+SUMIF('2021'!B:B,B3507,'2021'!C:C)+SUMIF('2022'!B:B,B3507,'2022'!C:C)</f>
        <v>324826.14</v>
      </c>
      <c r="O3507" s="219">
        <v>44925</v>
      </c>
      <c r="P3507" s="48" t="s">
        <v>3728</v>
      </c>
    </row>
    <row r="3508" spans="1:16" x14ac:dyDescent="0.3">
      <c r="A3508" s="59">
        <f t="shared" si="285"/>
        <v>3172</v>
      </c>
      <c r="B3508" s="66" t="s">
        <v>3355</v>
      </c>
      <c r="C3508" s="184">
        <v>1963</v>
      </c>
      <c r="D3508" s="51"/>
      <c r="E3508" s="52" t="s">
        <v>4090</v>
      </c>
      <c r="F3508" s="218">
        <v>2</v>
      </c>
      <c r="G3508" s="48"/>
      <c r="H3508" s="48">
        <v>342.5</v>
      </c>
      <c r="I3508" s="47">
        <v>23</v>
      </c>
      <c r="J3508" s="19">
        <f t="shared" si="284"/>
        <v>455412.54</v>
      </c>
      <c r="K3508" s="51"/>
      <c r="L3508" s="50"/>
      <c r="M3508" s="51"/>
      <c r="N3508" s="19">
        <f>SUMIF('2020'!B:B,B3508,'2020'!C:C)+SUMIF('2021'!B:B,B3508,'2021'!C:C)+SUMIF('2022'!B:B,B3508,'2022'!C:C)</f>
        <v>455412.54</v>
      </c>
      <c r="O3508" s="219">
        <v>44925</v>
      </c>
      <c r="P3508" s="48" t="s">
        <v>3728</v>
      </c>
    </row>
    <row r="3509" spans="1:16" x14ac:dyDescent="0.3">
      <c r="A3509" s="59">
        <f t="shared" si="285"/>
        <v>3173</v>
      </c>
      <c r="B3509" s="66" t="s">
        <v>3356</v>
      </c>
      <c r="C3509" s="184">
        <v>1977</v>
      </c>
      <c r="D3509" s="51"/>
      <c r="E3509" s="52" t="s">
        <v>3733</v>
      </c>
      <c r="F3509" s="218">
        <v>2</v>
      </c>
      <c r="G3509" s="51"/>
      <c r="H3509" s="52">
        <v>1588</v>
      </c>
      <c r="I3509" s="47">
        <v>41</v>
      </c>
      <c r="J3509" s="19">
        <f t="shared" si="284"/>
        <v>4652408.8899999997</v>
      </c>
      <c r="K3509" s="51"/>
      <c r="L3509" s="50"/>
      <c r="M3509" s="51"/>
      <c r="N3509" s="19">
        <f>SUMIF('2020'!B:B,B3509,'2020'!C:C)+SUMIF('2021'!B:B,B3509,'2021'!C:C)+SUMIF('2022'!B:B,B3509,'2022'!C:C)</f>
        <v>4652408.8899999997</v>
      </c>
      <c r="O3509" s="219">
        <v>44925</v>
      </c>
      <c r="P3509" s="48" t="s">
        <v>3728</v>
      </c>
    </row>
    <row r="3510" spans="1:16" x14ac:dyDescent="0.3">
      <c r="A3510" s="59">
        <f t="shared" si="285"/>
        <v>3174</v>
      </c>
      <c r="B3510" s="66" t="s">
        <v>3357</v>
      </c>
      <c r="C3510" s="184">
        <v>1976</v>
      </c>
      <c r="D3510" s="51"/>
      <c r="E3510" s="52" t="s">
        <v>3733</v>
      </c>
      <c r="F3510" s="218">
        <v>2</v>
      </c>
      <c r="G3510" s="51"/>
      <c r="H3510" s="52">
        <v>1126</v>
      </c>
      <c r="I3510" s="47">
        <v>32</v>
      </c>
      <c r="J3510" s="19">
        <f t="shared" si="284"/>
        <v>179791.82</v>
      </c>
      <c r="K3510" s="51"/>
      <c r="L3510" s="48"/>
      <c r="M3510" s="51"/>
      <c r="N3510" s="19">
        <f>SUMIF('2020'!B:B,B3510,'2020'!C:C)+SUMIF('2021'!B:B,B3510,'2021'!C:C)+SUMIF('2022'!B:B,B3510,'2022'!C:C)</f>
        <v>179791.82</v>
      </c>
      <c r="O3510" s="219">
        <v>44925</v>
      </c>
      <c r="P3510" s="48" t="s">
        <v>3728</v>
      </c>
    </row>
    <row r="3511" spans="1:16" x14ac:dyDescent="0.3">
      <c r="A3511" s="59">
        <f t="shared" si="285"/>
        <v>3175</v>
      </c>
      <c r="B3511" s="66" t="s">
        <v>3358</v>
      </c>
      <c r="C3511" s="184">
        <v>1960</v>
      </c>
      <c r="D3511" s="51"/>
      <c r="E3511" s="52" t="s">
        <v>4090</v>
      </c>
      <c r="F3511" s="218">
        <v>2</v>
      </c>
      <c r="G3511" s="48"/>
      <c r="H3511" s="48">
        <v>410.5</v>
      </c>
      <c r="I3511" s="47">
        <v>13</v>
      </c>
      <c r="J3511" s="19">
        <f t="shared" si="284"/>
        <v>183274.37</v>
      </c>
      <c r="K3511" s="51"/>
      <c r="L3511" s="50"/>
      <c r="M3511" s="51"/>
      <c r="N3511" s="19">
        <f>SUMIF('2020'!B:B,B3511,'2020'!C:C)+SUMIF('2021'!B:B,B3511,'2021'!C:C)+SUMIF('2022'!B:B,B3511,'2022'!C:C)</f>
        <v>183274.37</v>
      </c>
      <c r="O3511" s="219">
        <v>44925</v>
      </c>
      <c r="P3511" s="48" t="s">
        <v>3728</v>
      </c>
    </row>
    <row r="3512" spans="1:16" x14ac:dyDescent="0.3">
      <c r="A3512" s="59">
        <f t="shared" si="285"/>
        <v>3176</v>
      </c>
      <c r="B3512" s="66" t="s">
        <v>3359</v>
      </c>
      <c r="C3512" s="184">
        <v>1956</v>
      </c>
      <c r="D3512" s="51"/>
      <c r="E3512" s="48" t="s">
        <v>3733</v>
      </c>
      <c r="F3512" s="218">
        <v>2</v>
      </c>
      <c r="G3512" s="48"/>
      <c r="H3512" s="48">
        <v>666.11</v>
      </c>
      <c r="I3512" s="47">
        <v>27</v>
      </c>
      <c r="J3512" s="19">
        <f t="shared" si="284"/>
        <v>2621451.8199999998</v>
      </c>
      <c r="K3512" s="51"/>
      <c r="L3512" s="50"/>
      <c r="M3512" s="51"/>
      <c r="N3512" s="19">
        <f>SUMIF('2020'!B:B,B3512,'2020'!C:C)+SUMIF('2021'!B:B,B3512,'2021'!C:C)+SUMIF('2022'!B:B,B3512,'2022'!C:C)</f>
        <v>2621451.8199999998</v>
      </c>
      <c r="O3512" s="219">
        <v>44925</v>
      </c>
      <c r="P3512" s="48" t="s">
        <v>3728</v>
      </c>
    </row>
    <row r="3513" spans="1:16" x14ac:dyDescent="0.3">
      <c r="A3513" s="59">
        <f t="shared" si="285"/>
        <v>3177</v>
      </c>
      <c r="B3513" s="66" t="s">
        <v>3360</v>
      </c>
      <c r="C3513" s="184">
        <v>1945</v>
      </c>
      <c r="D3513" s="51"/>
      <c r="E3513" s="48" t="s">
        <v>4090</v>
      </c>
      <c r="F3513" s="218">
        <v>2</v>
      </c>
      <c r="G3513" s="48"/>
      <c r="H3513" s="48">
        <v>236.3</v>
      </c>
      <c r="I3513" s="47">
        <v>10</v>
      </c>
      <c r="J3513" s="19">
        <f t="shared" si="284"/>
        <v>498002.33</v>
      </c>
      <c r="K3513" s="51"/>
      <c r="L3513" s="48"/>
      <c r="M3513" s="51"/>
      <c r="N3513" s="19">
        <f>SUMIF('2020'!B:B,B3513,'2020'!C:C)+SUMIF('2021'!B:B,B3513,'2021'!C:C)+SUMIF('2022'!B:B,B3513,'2022'!C:C)</f>
        <v>498002.33</v>
      </c>
      <c r="O3513" s="219">
        <v>44925</v>
      </c>
      <c r="P3513" s="48" t="s">
        <v>3728</v>
      </c>
    </row>
    <row r="3514" spans="1:16" x14ac:dyDescent="0.3">
      <c r="A3514" s="59">
        <f t="shared" si="285"/>
        <v>3178</v>
      </c>
      <c r="B3514" s="66" t="s">
        <v>3361</v>
      </c>
      <c r="C3514" s="184">
        <v>1916</v>
      </c>
      <c r="D3514" s="51"/>
      <c r="E3514" s="48" t="s">
        <v>4090</v>
      </c>
      <c r="F3514" s="218">
        <v>2</v>
      </c>
      <c r="G3514" s="48"/>
      <c r="H3514" s="48">
        <v>266.8</v>
      </c>
      <c r="I3514" s="47">
        <v>15</v>
      </c>
      <c r="J3514" s="19">
        <f t="shared" si="284"/>
        <v>363691.3</v>
      </c>
      <c r="K3514" s="51"/>
      <c r="L3514" s="48"/>
      <c r="M3514" s="51"/>
      <c r="N3514" s="19">
        <f>SUMIF('2020'!B:B,B3514,'2020'!C:C)+SUMIF('2021'!B:B,B3514,'2021'!C:C)+SUMIF('2022'!B:B,B3514,'2022'!C:C)</f>
        <v>363691.3</v>
      </c>
      <c r="O3514" s="219">
        <v>44925</v>
      </c>
      <c r="P3514" s="48" t="s">
        <v>3728</v>
      </c>
    </row>
    <row r="3515" spans="1:16" x14ac:dyDescent="0.3">
      <c r="A3515" s="59">
        <f t="shared" si="285"/>
        <v>3179</v>
      </c>
      <c r="B3515" s="66" t="s">
        <v>3362</v>
      </c>
      <c r="C3515" s="184">
        <v>1917</v>
      </c>
      <c r="D3515" s="51"/>
      <c r="E3515" s="48" t="s">
        <v>4090</v>
      </c>
      <c r="F3515" s="218">
        <v>2</v>
      </c>
      <c r="G3515" s="48"/>
      <c r="H3515" s="48">
        <v>606.08000000000004</v>
      </c>
      <c r="I3515" s="47">
        <v>32</v>
      </c>
      <c r="J3515" s="19">
        <f t="shared" si="284"/>
        <v>891350.76</v>
      </c>
      <c r="K3515" s="51"/>
      <c r="L3515" s="50"/>
      <c r="M3515" s="51"/>
      <c r="N3515" s="19">
        <f>SUMIF('2020'!B:B,B3515,'2020'!C:C)+SUMIF('2021'!B:B,B3515,'2021'!C:C)+SUMIF('2022'!B:B,B3515,'2022'!C:C)</f>
        <v>891350.76</v>
      </c>
      <c r="O3515" s="219">
        <v>44925</v>
      </c>
      <c r="P3515" s="48" t="s">
        <v>3728</v>
      </c>
    </row>
    <row r="3516" spans="1:16" x14ac:dyDescent="0.3">
      <c r="A3516" s="59">
        <f t="shared" si="285"/>
        <v>3180</v>
      </c>
      <c r="B3516" s="66" t="s">
        <v>3363</v>
      </c>
      <c r="C3516" s="184">
        <v>1959</v>
      </c>
      <c r="D3516" s="51"/>
      <c r="E3516" s="52" t="s">
        <v>3733</v>
      </c>
      <c r="F3516" s="218">
        <v>2</v>
      </c>
      <c r="G3516" s="48"/>
      <c r="H3516" s="48">
        <v>703.9</v>
      </c>
      <c r="I3516" s="47">
        <v>29</v>
      </c>
      <c r="J3516" s="19">
        <f t="shared" si="284"/>
        <v>4673490.47</v>
      </c>
      <c r="K3516" s="51"/>
      <c r="L3516" s="50"/>
      <c r="M3516" s="51"/>
      <c r="N3516" s="19">
        <f>SUMIF('2020'!B:B,B3516,'2020'!C:C)+SUMIF('2021'!B:B,B3516,'2021'!C:C)+SUMIF('2022'!B:B,B3516,'2022'!C:C)</f>
        <v>4673490.47</v>
      </c>
      <c r="O3516" s="219">
        <v>44925</v>
      </c>
      <c r="P3516" s="48" t="s">
        <v>3728</v>
      </c>
    </row>
    <row r="3517" spans="1:16" x14ac:dyDescent="0.3">
      <c r="A3517" s="59">
        <f t="shared" si="285"/>
        <v>3181</v>
      </c>
      <c r="B3517" s="66" t="s">
        <v>3364</v>
      </c>
      <c r="C3517" s="184">
        <v>1960</v>
      </c>
      <c r="D3517" s="51"/>
      <c r="E3517" s="52" t="s">
        <v>3733</v>
      </c>
      <c r="F3517" s="218">
        <v>2</v>
      </c>
      <c r="G3517" s="48"/>
      <c r="H3517" s="48">
        <v>750.5</v>
      </c>
      <c r="I3517" s="47">
        <v>27</v>
      </c>
      <c r="J3517" s="19">
        <f t="shared" si="284"/>
        <v>496094.31000000006</v>
      </c>
      <c r="K3517" s="51"/>
      <c r="L3517" s="48"/>
      <c r="M3517" s="51"/>
      <c r="N3517" s="19">
        <f>SUMIF('2020'!B:B,B3517,'2020'!C:C)+SUMIF('2021'!B:B,B3517,'2021'!C:C)+SUMIF('2022'!B:B,B3517,'2022'!C:C)</f>
        <v>496094.31000000006</v>
      </c>
      <c r="O3517" s="219">
        <v>44925</v>
      </c>
      <c r="P3517" s="48" t="s">
        <v>3728</v>
      </c>
    </row>
    <row r="3518" spans="1:16" x14ac:dyDescent="0.3">
      <c r="A3518" s="59">
        <f t="shared" si="285"/>
        <v>3182</v>
      </c>
      <c r="B3518" s="66" t="s">
        <v>3365</v>
      </c>
      <c r="C3518" s="184">
        <v>1917</v>
      </c>
      <c r="D3518" s="51"/>
      <c r="E3518" s="48" t="s">
        <v>4090</v>
      </c>
      <c r="F3518" s="218">
        <v>2</v>
      </c>
      <c r="G3518" s="48"/>
      <c r="H3518" s="48">
        <v>478.71</v>
      </c>
      <c r="I3518" s="47">
        <v>26</v>
      </c>
      <c r="J3518" s="19">
        <f t="shared" si="284"/>
        <v>499235.93999999994</v>
      </c>
      <c r="K3518" s="51"/>
      <c r="L3518" s="50"/>
      <c r="M3518" s="51"/>
      <c r="N3518" s="19">
        <f>SUMIF('2020'!B:B,B3518,'2020'!C:C)+SUMIF('2021'!B:B,B3518,'2021'!C:C)+SUMIF('2022'!B:B,B3518,'2022'!C:C)</f>
        <v>499235.93999999994</v>
      </c>
      <c r="O3518" s="219">
        <v>44925</v>
      </c>
      <c r="P3518" s="48" t="s">
        <v>3728</v>
      </c>
    </row>
    <row r="3519" spans="1:16" x14ac:dyDescent="0.3">
      <c r="A3519" s="59">
        <f t="shared" si="285"/>
        <v>3183</v>
      </c>
      <c r="B3519" s="66" t="s">
        <v>3366</v>
      </c>
      <c r="C3519" s="184">
        <v>1961</v>
      </c>
      <c r="D3519" s="51"/>
      <c r="E3519" s="48" t="s">
        <v>3733</v>
      </c>
      <c r="F3519" s="218">
        <v>2</v>
      </c>
      <c r="G3519" s="48"/>
      <c r="H3519" s="48">
        <v>729.6</v>
      </c>
      <c r="I3519" s="47">
        <v>32</v>
      </c>
      <c r="J3519" s="19">
        <f t="shared" si="284"/>
        <v>548274.92000000004</v>
      </c>
      <c r="K3519" s="51"/>
      <c r="L3519" s="50"/>
      <c r="M3519" s="51"/>
      <c r="N3519" s="19">
        <f>SUMIF('2020'!B:B,B3519,'2020'!C:C)+SUMIF('2021'!B:B,B3519,'2021'!C:C)+SUMIF('2022'!B:B,B3519,'2022'!C:C)</f>
        <v>548274.92000000004</v>
      </c>
      <c r="O3519" s="219">
        <v>44925</v>
      </c>
      <c r="P3519" s="48" t="s">
        <v>3728</v>
      </c>
    </row>
    <row r="3520" spans="1:16" x14ac:dyDescent="0.3">
      <c r="A3520" s="59">
        <f t="shared" si="285"/>
        <v>3184</v>
      </c>
      <c r="B3520" s="66" t="s">
        <v>3367</v>
      </c>
      <c r="C3520" s="184">
        <v>1958</v>
      </c>
      <c r="D3520" s="51"/>
      <c r="E3520" s="48" t="s">
        <v>3733</v>
      </c>
      <c r="F3520" s="218">
        <v>2</v>
      </c>
      <c r="G3520" s="48"/>
      <c r="H3520" s="48">
        <v>400.95</v>
      </c>
      <c r="I3520" s="47">
        <v>13</v>
      </c>
      <c r="J3520" s="19">
        <f t="shared" si="284"/>
        <v>755847.34</v>
      </c>
      <c r="K3520" s="51"/>
      <c r="L3520" s="50"/>
      <c r="M3520" s="51"/>
      <c r="N3520" s="19">
        <f>SUMIF('2020'!B:B,B3520,'2020'!C:C)+SUMIF('2021'!B:B,B3520,'2021'!C:C)+SUMIF('2022'!B:B,B3520,'2022'!C:C)</f>
        <v>755847.34</v>
      </c>
      <c r="O3520" s="219">
        <v>44925</v>
      </c>
      <c r="P3520" s="48" t="s">
        <v>3728</v>
      </c>
    </row>
    <row r="3521" spans="1:16" x14ac:dyDescent="0.3">
      <c r="A3521" s="59">
        <f t="shared" si="285"/>
        <v>3185</v>
      </c>
      <c r="B3521" s="66" t="s">
        <v>3368</v>
      </c>
      <c r="C3521" s="184">
        <v>1950</v>
      </c>
      <c r="D3521" s="51"/>
      <c r="E3521" s="52" t="s">
        <v>4090</v>
      </c>
      <c r="F3521" s="218">
        <v>2</v>
      </c>
      <c r="G3521" s="48"/>
      <c r="H3521" s="48">
        <v>327.2</v>
      </c>
      <c r="I3521" s="47">
        <v>19</v>
      </c>
      <c r="J3521" s="19">
        <f t="shared" si="284"/>
        <v>2275673.94</v>
      </c>
      <c r="K3521" s="51"/>
      <c r="L3521" s="50"/>
      <c r="M3521" s="51"/>
      <c r="N3521" s="19">
        <f>SUMIF('2020'!B:B,B3521,'2020'!C:C)+SUMIF('2021'!B:B,B3521,'2021'!C:C)+SUMIF('2022'!B:B,B3521,'2022'!C:C)</f>
        <v>2275673.94</v>
      </c>
      <c r="O3521" s="219">
        <v>44925</v>
      </c>
      <c r="P3521" s="48" t="s">
        <v>3728</v>
      </c>
    </row>
    <row r="3522" spans="1:16" x14ac:dyDescent="0.3">
      <c r="A3522" s="59">
        <f t="shared" si="285"/>
        <v>3186</v>
      </c>
      <c r="B3522" s="66" t="s">
        <v>3369</v>
      </c>
      <c r="C3522" s="184">
        <v>1979</v>
      </c>
      <c r="D3522" s="51"/>
      <c r="E3522" s="48" t="s">
        <v>3733</v>
      </c>
      <c r="F3522" s="218">
        <v>2</v>
      </c>
      <c r="G3522" s="48"/>
      <c r="H3522" s="48">
        <v>568.1</v>
      </c>
      <c r="I3522" s="47">
        <v>26</v>
      </c>
      <c r="J3522" s="19">
        <f t="shared" si="284"/>
        <v>4580698.6399999997</v>
      </c>
      <c r="K3522" s="51"/>
      <c r="L3522" s="50"/>
      <c r="M3522" s="51"/>
      <c r="N3522" s="19">
        <f>SUMIF('2020'!B:B,B3522,'2020'!C:C)+SUMIF('2021'!B:B,B3522,'2021'!C:C)+SUMIF('2022'!B:B,B3522,'2022'!C:C)</f>
        <v>4580698.6399999997</v>
      </c>
      <c r="O3522" s="219">
        <v>44925</v>
      </c>
      <c r="P3522" s="48" t="s">
        <v>3728</v>
      </c>
    </row>
    <row r="3523" spans="1:16" x14ac:dyDescent="0.3">
      <c r="A3523" s="59">
        <f t="shared" si="285"/>
        <v>3187</v>
      </c>
      <c r="B3523" s="66" t="s">
        <v>3370</v>
      </c>
      <c r="C3523" s="184">
        <v>1976</v>
      </c>
      <c r="D3523" s="51"/>
      <c r="E3523" s="52" t="s">
        <v>3733</v>
      </c>
      <c r="F3523" s="218">
        <v>2</v>
      </c>
      <c r="G3523" s="48"/>
      <c r="H3523" s="48">
        <v>399.77</v>
      </c>
      <c r="I3523" s="47">
        <v>20</v>
      </c>
      <c r="J3523" s="19">
        <f t="shared" si="284"/>
        <v>4190722.8</v>
      </c>
      <c r="K3523" s="51"/>
      <c r="L3523" s="50"/>
      <c r="M3523" s="51"/>
      <c r="N3523" s="19">
        <f>SUMIF('2020'!B:B,B3523,'2020'!C:C)+SUMIF('2021'!B:B,B3523,'2021'!C:C)+SUMIF('2022'!B:B,B3523,'2022'!C:C)</f>
        <v>4190722.8</v>
      </c>
      <c r="O3523" s="219">
        <v>44925</v>
      </c>
      <c r="P3523" s="48" t="s">
        <v>3728</v>
      </c>
    </row>
    <row r="3524" spans="1:16" x14ac:dyDescent="0.3">
      <c r="A3524" s="59">
        <f t="shared" si="285"/>
        <v>3188</v>
      </c>
      <c r="B3524" s="274" t="s">
        <v>3371</v>
      </c>
      <c r="C3524" s="184">
        <v>1917</v>
      </c>
      <c r="D3524" s="51"/>
      <c r="E3524" s="48"/>
      <c r="F3524" s="218"/>
      <c r="G3524" s="51"/>
      <c r="H3524" s="52"/>
      <c r="I3524" s="47"/>
      <c r="J3524" s="19">
        <f t="shared" si="284"/>
        <v>130000</v>
      </c>
      <c r="K3524" s="51"/>
      <c r="L3524" s="48"/>
      <c r="M3524" s="51"/>
      <c r="N3524" s="19">
        <f>SUMIF('2020'!B:B,B3524,'2020'!C:C)+SUMIF('2021'!B:B,B3524,'2021'!C:C)+SUMIF('2022'!B:B,B3524,'2022'!C:C)</f>
        <v>130000</v>
      </c>
      <c r="O3524" s="219">
        <v>44925</v>
      </c>
      <c r="P3524" s="48" t="s">
        <v>3728</v>
      </c>
    </row>
    <row r="3525" spans="1:16" x14ac:dyDescent="0.3">
      <c r="A3525" s="59">
        <f t="shared" si="285"/>
        <v>3189</v>
      </c>
      <c r="B3525" s="66" t="s">
        <v>3372</v>
      </c>
      <c r="C3525" s="184">
        <v>1962</v>
      </c>
      <c r="D3525" s="51"/>
      <c r="E3525" s="48" t="s">
        <v>3733</v>
      </c>
      <c r="F3525" s="218">
        <v>2</v>
      </c>
      <c r="G3525" s="51"/>
      <c r="H3525" s="52">
        <v>844.27</v>
      </c>
      <c r="I3525" s="47">
        <v>33</v>
      </c>
      <c r="J3525" s="19">
        <f t="shared" si="284"/>
        <v>552864.92000000004</v>
      </c>
      <c r="K3525" s="51"/>
      <c r="L3525" s="50"/>
      <c r="M3525" s="51"/>
      <c r="N3525" s="19">
        <f>SUMIF('2020'!B:B,B3525,'2020'!C:C)+SUMIF('2021'!B:B,B3525,'2021'!C:C)+SUMIF('2022'!B:B,B3525,'2022'!C:C)</f>
        <v>552864.92000000004</v>
      </c>
      <c r="O3525" s="219">
        <v>44925</v>
      </c>
      <c r="P3525" s="48" t="s">
        <v>3728</v>
      </c>
    </row>
    <row r="3526" spans="1:16" x14ac:dyDescent="0.3">
      <c r="A3526" s="59">
        <f t="shared" si="285"/>
        <v>3190</v>
      </c>
      <c r="B3526" s="66" t="s">
        <v>3373</v>
      </c>
      <c r="C3526" s="184">
        <v>1917</v>
      </c>
      <c r="D3526" s="51"/>
      <c r="E3526" s="52" t="s">
        <v>4090</v>
      </c>
      <c r="F3526" s="218">
        <v>2</v>
      </c>
      <c r="G3526" s="48"/>
      <c r="H3526" s="48">
        <v>240.4</v>
      </c>
      <c r="I3526" s="47">
        <v>21</v>
      </c>
      <c r="J3526" s="19">
        <f t="shared" si="284"/>
        <v>223960.59000000003</v>
      </c>
      <c r="K3526" s="51"/>
      <c r="L3526" s="48"/>
      <c r="M3526" s="51"/>
      <c r="N3526" s="19">
        <f>SUMIF('2020'!B:B,B3526,'2020'!C:C)+SUMIF('2021'!B:B,B3526,'2021'!C:C)+SUMIF('2022'!B:B,B3526,'2022'!C:C)</f>
        <v>223960.59000000003</v>
      </c>
      <c r="O3526" s="219">
        <v>44925</v>
      </c>
      <c r="P3526" s="48" t="s">
        <v>3728</v>
      </c>
    </row>
    <row r="3527" spans="1:16" x14ac:dyDescent="0.3">
      <c r="A3527" s="59">
        <f t="shared" si="285"/>
        <v>3191</v>
      </c>
      <c r="B3527" s="66" t="s">
        <v>3374</v>
      </c>
      <c r="C3527" s="184">
        <v>1916</v>
      </c>
      <c r="D3527" s="51"/>
      <c r="E3527" s="48" t="s">
        <v>4090</v>
      </c>
      <c r="F3527" s="218">
        <v>2</v>
      </c>
      <c r="G3527" s="48"/>
      <c r="H3527" s="48">
        <v>132.1</v>
      </c>
      <c r="I3527" s="47">
        <v>8</v>
      </c>
      <c r="J3527" s="19">
        <f t="shared" si="284"/>
        <v>784174.02</v>
      </c>
      <c r="K3527" s="51"/>
      <c r="L3527" s="48"/>
      <c r="M3527" s="51"/>
      <c r="N3527" s="19">
        <f>SUMIF('2020'!B:B,B3527,'2020'!C:C)+SUMIF('2021'!B:B,B3527,'2021'!C:C)+SUMIF('2022'!B:B,B3527,'2022'!C:C)</f>
        <v>784174.02</v>
      </c>
      <c r="O3527" s="219">
        <v>44925</v>
      </c>
      <c r="P3527" s="48" t="s">
        <v>3728</v>
      </c>
    </row>
    <row r="3528" spans="1:16" x14ac:dyDescent="0.3">
      <c r="A3528" s="59">
        <f t="shared" si="285"/>
        <v>3192</v>
      </c>
      <c r="B3528" s="66" t="s">
        <v>3375</v>
      </c>
      <c r="C3528" s="184">
        <v>1955</v>
      </c>
      <c r="D3528" s="51"/>
      <c r="E3528" s="48" t="s">
        <v>4090</v>
      </c>
      <c r="F3528" s="218">
        <v>2</v>
      </c>
      <c r="G3528" s="48"/>
      <c r="H3528" s="48">
        <v>124.9</v>
      </c>
      <c r="I3528" s="47">
        <v>8</v>
      </c>
      <c r="J3528" s="19">
        <f t="shared" si="284"/>
        <v>653279.73</v>
      </c>
      <c r="K3528" s="51"/>
      <c r="L3528" s="48"/>
      <c r="M3528" s="51"/>
      <c r="N3528" s="19">
        <f>SUMIF('2020'!B:B,B3528,'2020'!C:C)+SUMIF('2021'!B:B,B3528,'2021'!C:C)+SUMIF('2022'!B:B,B3528,'2022'!C:C)</f>
        <v>653279.73</v>
      </c>
      <c r="O3528" s="219">
        <v>44925</v>
      </c>
      <c r="P3528" s="48" t="s">
        <v>3728</v>
      </c>
    </row>
    <row r="3529" spans="1:16" x14ac:dyDescent="0.3">
      <c r="A3529" s="59">
        <f t="shared" si="285"/>
        <v>3193</v>
      </c>
      <c r="B3529" s="66" t="s">
        <v>3376</v>
      </c>
      <c r="C3529" s="184">
        <v>1917</v>
      </c>
      <c r="D3529" s="51"/>
      <c r="E3529" s="52" t="s">
        <v>4090</v>
      </c>
      <c r="F3529" s="218">
        <v>2</v>
      </c>
      <c r="G3529" s="48"/>
      <c r="H3529" s="48">
        <v>553.79999999999995</v>
      </c>
      <c r="I3529" s="47">
        <v>18</v>
      </c>
      <c r="J3529" s="19">
        <f t="shared" si="284"/>
        <v>77794.03</v>
      </c>
      <c r="K3529" s="51"/>
      <c r="L3529" s="48"/>
      <c r="M3529" s="51"/>
      <c r="N3529" s="19">
        <f>SUMIF('2020'!B:B,B3529,'2020'!C:C)+SUMIF('2021'!B:B,B3529,'2021'!C:C)+SUMIF('2022'!B:B,B3529,'2022'!C:C)</f>
        <v>77794.03</v>
      </c>
      <c r="O3529" s="219">
        <v>44925</v>
      </c>
      <c r="P3529" s="48" t="s">
        <v>3728</v>
      </c>
    </row>
    <row r="3530" spans="1:16" x14ac:dyDescent="0.3">
      <c r="A3530" s="59">
        <f t="shared" si="285"/>
        <v>3194</v>
      </c>
      <c r="B3530" s="66" t="s">
        <v>3377</v>
      </c>
      <c r="C3530" s="184">
        <v>1961</v>
      </c>
      <c r="D3530" s="51"/>
      <c r="E3530" s="48" t="s">
        <v>3733</v>
      </c>
      <c r="F3530" s="218">
        <v>2</v>
      </c>
      <c r="G3530" s="48"/>
      <c r="H3530" s="48">
        <v>440.29</v>
      </c>
      <c r="I3530" s="47">
        <v>8</v>
      </c>
      <c r="J3530" s="19">
        <f t="shared" si="284"/>
        <v>547363.24</v>
      </c>
      <c r="K3530" s="51"/>
      <c r="L3530" s="50"/>
      <c r="M3530" s="51"/>
      <c r="N3530" s="19">
        <f>SUMIF('2020'!B:B,B3530,'2020'!C:C)+SUMIF('2021'!B:B,B3530,'2021'!C:C)+SUMIF('2022'!B:B,B3530,'2022'!C:C)</f>
        <v>547363.24</v>
      </c>
      <c r="O3530" s="219">
        <v>44925</v>
      </c>
      <c r="P3530" s="48" t="s">
        <v>3728</v>
      </c>
    </row>
    <row r="3531" spans="1:16" x14ac:dyDescent="0.3">
      <c r="A3531" s="59">
        <f t="shared" si="285"/>
        <v>3195</v>
      </c>
      <c r="B3531" s="66" t="s">
        <v>3378</v>
      </c>
      <c r="C3531" s="184">
        <v>1958</v>
      </c>
      <c r="D3531" s="51"/>
      <c r="E3531" s="52" t="s">
        <v>4090</v>
      </c>
      <c r="F3531" s="218">
        <v>2</v>
      </c>
      <c r="G3531" s="48"/>
      <c r="H3531" s="48">
        <v>215.4</v>
      </c>
      <c r="I3531" s="47">
        <v>17</v>
      </c>
      <c r="J3531" s="19">
        <f t="shared" si="284"/>
        <v>1760771.3</v>
      </c>
      <c r="K3531" s="51"/>
      <c r="L3531" s="50"/>
      <c r="M3531" s="51"/>
      <c r="N3531" s="19">
        <f>SUMIF('2020'!B:B,B3531,'2020'!C:C)+SUMIF('2021'!B:B,B3531,'2021'!C:C)+SUMIF('2022'!B:B,B3531,'2022'!C:C)</f>
        <v>1760771.3</v>
      </c>
      <c r="O3531" s="219">
        <v>44925</v>
      </c>
      <c r="P3531" s="48" t="s">
        <v>3728</v>
      </c>
    </row>
    <row r="3532" spans="1:16" x14ac:dyDescent="0.3">
      <c r="A3532" s="59">
        <f t="shared" si="285"/>
        <v>3196</v>
      </c>
      <c r="B3532" s="66" t="s">
        <v>3379</v>
      </c>
      <c r="C3532" s="184">
        <v>1958</v>
      </c>
      <c r="D3532" s="51"/>
      <c r="E3532" s="48" t="s">
        <v>4090</v>
      </c>
      <c r="F3532" s="218">
        <v>2</v>
      </c>
      <c r="G3532" s="48"/>
      <c r="H3532" s="48">
        <v>211.9</v>
      </c>
      <c r="I3532" s="47">
        <v>10</v>
      </c>
      <c r="J3532" s="19">
        <f t="shared" si="284"/>
        <v>2157531.65</v>
      </c>
      <c r="K3532" s="51"/>
      <c r="L3532" s="50"/>
      <c r="M3532" s="51"/>
      <c r="N3532" s="19">
        <f>SUMIF('2020'!B:B,B3532,'2020'!C:C)+SUMIF('2021'!B:B,B3532,'2021'!C:C)+SUMIF('2022'!B:B,B3532,'2022'!C:C)</f>
        <v>2157531.65</v>
      </c>
      <c r="O3532" s="219">
        <v>44925</v>
      </c>
      <c r="P3532" s="48" t="s">
        <v>3728</v>
      </c>
    </row>
    <row r="3533" spans="1:16" x14ac:dyDescent="0.3">
      <c r="A3533" s="59">
        <f t="shared" si="285"/>
        <v>3197</v>
      </c>
      <c r="B3533" s="66" t="s">
        <v>3380</v>
      </c>
      <c r="C3533" s="184">
        <v>1916</v>
      </c>
      <c r="D3533" s="51"/>
      <c r="E3533" s="48" t="s">
        <v>4090</v>
      </c>
      <c r="F3533" s="218">
        <v>2</v>
      </c>
      <c r="G3533" s="48"/>
      <c r="H3533" s="48">
        <v>211.7</v>
      </c>
      <c r="I3533" s="47">
        <v>14</v>
      </c>
      <c r="J3533" s="19">
        <f t="shared" si="284"/>
        <v>485575.09</v>
      </c>
      <c r="K3533" s="51"/>
      <c r="L3533" s="50"/>
      <c r="M3533" s="51"/>
      <c r="N3533" s="19">
        <f>SUMIF('2020'!B:B,B3533,'2020'!C:C)+SUMIF('2021'!B:B,B3533,'2021'!C:C)+SUMIF('2022'!B:B,B3533,'2022'!C:C)</f>
        <v>485575.09</v>
      </c>
      <c r="O3533" s="219">
        <v>44925</v>
      </c>
      <c r="P3533" s="48" t="s">
        <v>3728</v>
      </c>
    </row>
    <row r="3534" spans="1:16" x14ac:dyDescent="0.3">
      <c r="A3534" s="59">
        <f t="shared" si="285"/>
        <v>3198</v>
      </c>
      <c r="B3534" s="66" t="s">
        <v>3381</v>
      </c>
      <c r="C3534" s="184">
        <v>1917</v>
      </c>
      <c r="D3534" s="51"/>
      <c r="E3534" s="48" t="s">
        <v>4090</v>
      </c>
      <c r="F3534" s="218">
        <v>2</v>
      </c>
      <c r="G3534" s="48"/>
      <c r="H3534" s="48">
        <v>337.6</v>
      </c>
      <c r="I3534" s="47">
        <v>23</v>
      </c>
      <c r="J3534" s="19">
        <f t="shared" si="284"/>
        <v>610724.61</v>
      </c>
      <c r="K3534" s="51"/>
      <c r="L3534" s="50"/>
      <c r="M3534" s="51"/>
      <c r="N3534" s="19">
        <f>SUMIF('2020'!B:B,B3534,'2020'!C:C)+SUMIF('2021'!B:B,B3534,'2021'!C:C)+SUMIF('2022'!B:B,B3534,'2022'!C:C)</f>
        <v>610724.61</v>
      </c>
      <c r="O3534" s="219">
        <v>44925</v>
      </c>
      <c r="P3534" s="48" t="s">
        <v>3728</v>
      </c>
    </row>
    <row r="3535" spans="1:16" x14ac:dyDescent="0.3">
      <c r="A3535" s="59">
        <f t="shared" si="285"/>
        <v>3199</v>
      </c>
      <c r="B3535" s="66" t="s">
        <v>3382</v>
      </c>
      <c r="C3535" s="184">
        <v>1960</v>
      </c>
      <c r="D3535" s="51"/>
      <c r="E3535" s="48" t="s">
        <v>4090</v>
      </c>
      <c r="F3535" s="218">
        <v>2</v>
      </c>
      <c r="G3535" s="48"/>
      <c r="H3535" s="48">
        <v>628.75</v>
      </c>
      <c r="I3535" s="47">
        <v>29</v>
      </c>
      <c r="J3535" s="19">
        <f t="shared" si="284"/>
        <v>649157.32000000007</v>
      </c>
      <c r="K3535" s="51"/>
      <c r="L3535" s="50"/>
      <c r="M3535" s="51"/>
      <c r="N3535" s="19">
        <f>SUMIF('2020'!B:B,B3535,'2020'!C:C)+SUMIF('2021'!B:B,B3535,'2021'!C:C)+SUMIF('2022'!B:B,B3535,'2022'!C:C)</f>
        <v>649157.32000000007</v>
      </c>
      <c r="O3535" s="219">
        <v>44925</v>
      </c>
      <c r="P3535" s="48" t="s">
        <v>3728</v>
      </c>
    </row>
    <row r="3536" spans="1:16" x14ac:dyDescent="0.3">
      <c r="A3536" s="59">
        <f t="shared" ref="A3536:A3599" si="286">A3535+1</f>
        <v>3200</v>
      </c>
      <c r="B3536" s="66" t="s">
        <v>3383</v>
      </c>
      <c r="C3536" s="184">
        <v>1960</v>
      </c>
      <c r="D3536" s="51"/>
      <c r="E3536" s="48" t="s">
        <v>3733</v>
      </c>
      <c r="F3536" s="218">
        <v>2</v>
      </c>
      <c r="G3536" s="48"/>
      <c r="H3536" s="48">
        <v>792.35</v>
      </c>
      <c r="I3536" s="47">
        <v>22</v>
      </c>
      <c r="J3536" s="19">
        <f t="shared" si="284"/>
        <v>872983.57000000007</v>
      </c>
      <c r="K3536" s="51"/>
      <c r="L3536" s="50"/>
      <c r="M3536" s="51"/>
      <c r="N3536" s="19">
        <f>SUMIF('2020'!B:B,B3536,'2020'!C:C)+SUMIF('2021'!B:B,B3536,'2021'!C:C)+SUMIF('2022'!B:B,B3536,'2022'!C:C)</f>
        <v>872983.57000000007</v>
      </c>
      <c r="O3536" s="219">
        <v>44925</v>
      </c>
      <c r="P3536" s="48" t="s">
        <v>3728</v>
      </c>
    </row>
    <row r="3537" spans="1:16" x14ac:dyDescent="0.3">
      <c r="A3537" s="59">
        <f t="shared" si="286"/>
        <v>3201</v>
      </c>
      <c r="B3537" s="66" t="s">
        <v>3384</v>
      </c>
      <c r="C3537" s="184">
        <v>1916</v>
      </c>
      <c r="D3537" s="51"/>
      <c r="E3537" s="48" t="s">
        <v>3733</v>
      </c>
      <c r="F3537" s="218">
        <v>2</v>
      </c>
      <c r="G3537" s="48"/>
      <c r="H3537" s="48">
        <v>336.1</v>
      </c>
      <c r="I3537" s="47">
        <v>9</v>
      </c>
      <c r="J3537" s="19">
        <f t="shared" si="284"/>
        <v>290247.20999999996</v>
      </c>
      <c r="K3537" s="51"/>
      <c r="L3537" s="50"/>
      <c r="M3537" s="51"/>
      <c r="N3537" s="19">
        <f>SUMIF('2020'!B:B,B3537,'2020'!C:C)+SUMIF('2021'!B:B,B3537,'2021'!C:C)+SUMIF('2022'!B:B,B3537,'2022'!C:C)</f>
        <v>290247.20999999996</v>
      </c>
      <c r="O3537" s="219">
        <v>44925</v>
      </c>
      <c r="P3537" s="48" t="s">
        <v>3728</v>
      </c>
    </row>
    <row r="3538" spans="1:16" x14ac:dyDescent="0.3">
      <c r="A3538" s="59">
        <f t="shared" si="286"/>
        <v>3202</v>
      </c>
      <c r="B3538" s="66" t="s">
        <v>3385</v>
      </c>
      <c r="C3538" s="184">
        <v>1953</v>
      </c>
      <c r="D3538" s="51"/>
      <c r="E3538" s="48" t="s">
        <v>3733</v>
      </c>
      <c r="F3538" s="218">
        <v>2</v>
      </c>
      <c r="G3538" s="48"/>
      <c r="H3538" s="48">
        <v>685.1</v>
      </c>
      <c r="I3538" s="47">
        <v>21</v>
      </c>
      <c r="J3538" s="19">
        <f t="shared" ref="J3538:J3601" si="287">K3538+L3538+M3538+N3538</f>
        <v>1020698.12</v>
      </c>
      <c r="K3538" s="51"/>
      <c r="L3538" s="50"/>
      <c r="M3538" s="51"/>
      <c r="N3538" s="19">
        <f>SUMIF('2020'!B:B,B3538,'2020'!C:C)+SUMIF('2021'!B:B,B3538,'2021'!C:C)+SUMIF('2022'!B:B,B3538,'2022'!C:C)</f>
        <v>1020698.12</v>
      </c>
      <c r="O3538" s="219">
        <v>44925</v>
      </c>
      <c r="P3538" s="48" t="s">
        <v>3728</v>
      </c>
    </row>
    <row r="3539" spans="1:16" x14ac:dyDescent="0.3">
      <c r="A3539" s="59">
        <f t="shared" si="286"/>
        <v>3203</v>
      </c>
      <c r="B3539" s="66" t="s">
        <v>3386</v>
      </c>
      <c r="C3539" s="184">
        <v>1957</v>
      </c>
      <c r="D3539" s="51"/>
      <c r="E3539" s="48" t="s">
        <v>4090</v>
      </c>
      <c r="F3539" s="218">
        <v>2</v>
      </c>
      <c r="G3539" s="48"/>
      <c r="H3539" s="48">
        <v>333.8</v>
      </c>
      <c r="I3539" s="47">
        <v>17</v>
      </c>
      <c r="J3539" s="19">
        <f t="shared" si="287"/>
        <v>705475.33000000007</v>
      </c>
      <c r="K3539" s="51"/>
      <c r="L3539" s="50"/>
      <c r="M3539" s="51"/>
      <c r="N3539" s="19">
        <f>SUMIF('2020'!B:B,B3539,'2020'!C:C)+SUMIF('2021'!B:B,B3539,'2021'!C:C)+SUMIF('2022'!B:B,B3539,'2022'!C:C)</f>
        <v>705475.33000000007</v>
      </c>
      <c r="O3539" s="219">
        <v>44925</v>
      </c>
      <c r="P3539" s="48" t="s">
        <v>3728</v>
      </c>
    </row>
    <row r="3540" spans="1:16" x14ac:dyDescent="0.3">
      <c r="A3540" s="59">
        <f t="shared" si="286"/>
        <v>3204</v>
      </c>
      <c r="B3540" s="66" t="s">
        <v>3387</v>
      </c>
      <c r="C3540" s="184">
        <v>1952</v>
      </c>
      <c r="D3540" s="51"/>
      <c r="E3540" s="48" t="s">
        <v>3733</v>
      </c>
      <c r="F3540" s="218">
        <v>2</v>
      </c>
      <c r="G3540" s="48"/>
      <c r="H3540" s="48">
        <v>644.5</v>
      </c>
      <c r="I3540" s="47">
        <v>56</v>
      </c>
      <c r="J3540" s="19">
        <f t="shared" si="287"/>
        <v>612285.96</v>
      </c>
      <c r="K3540" s="51"/>
      <c r="L3540" s="50"/>
      <c r="M3540" s="51"/>
      <c r="N3540" s="19">
        <f>SUMIF('2020'!B:B,B3540,'2020'!C:C)+SUMIF('2021'!B:B,B3540,'2021'!C:C)+SUMIF('2022'!B:B,B3540,'2022'!C:C)</f>
        <v>612285.96</v>
      </c>
      <c r="O3540" s="219">
        <v>44925</v>
      </c>
      <c r="P3540" s="48" t="s">
        <v>3728</v>
      </c>
    </row>
    <row r="3541" spans="1:16" x14ac:dyDescent="0.3">
      <c r="A3541" s="59">
        <f t="shared" si="286"/>
        <v>3205</v>
      </c>
      <c r="B3541" s="66" t="s">
        <v>3388</v>
      </c>
      <c r="C3541" s="184">
        <v>1959</v>
      </c>
      <c r="D3541" s="51"/>
      <c r="E3541" s="48" t="s">
        <v>3733</v>
      </c>
      <c r="F3541" s="218">
        <v>2</v>
      </c>
      <c r="G3541" s="48"/>
      <c r="H3541" s="48">
        <v>1040.55</v>
      </c>
      <c r="I3541" s="47">
        <v>25</v>
      </c>
      <c r="J3541" s="19">
        <f t="shared" si="287"/>
        <v>893567.84000000008</v>
      </c>
      <c r="K3541" s="51"/>
      <c r="L3541" s="50"/>
      <c r="M3541" s="51"/>
      <c r="N3541" s="19">
        <f>SUMIF('2020'!B:B,B3541,'2020'!C:C)+SUMIF('2021'!B:B,B3541,'2021'!C:C)+SUMIF('2022'!B:B,B3541,'2022'!C:C)</f>
        <v>893567.84000000008</v>
      </c>
      <c r="O3541" s="219">
        <v>44925</v>
      </c>
      <c r="P3541" s="48" t="s">
        <v>3728</v>
      </c>
    </row>
    <row r="3542" spans="1:16" x14ac:dyDescent="0.3">
      <c r="A3542" s="59">
        <f t="shared" si="286"/>
        <v>3206</v>
      </c>
      <c r="B3542" s="66" t="s">
        <v>3389</v>
      </c>
      <c r="C3542" s="184">
        <v>1960</v>
      </c>
      <c r="D3542" s="51"/>
      <c r="E3542" s="48" t="s">
        <v>3733</v>
      </c>
      <c r="F3542" s="218">
        <v>2</v>
      </c>
      <c r="G3542" s="48"/>
      <c r="H3542" s="48">
        <v>270.2</v>
      </c>
      <c r="I3542" s="47">
        <v>71</v>
      </c>
      <c r="J3542" s="19">
        <f t="shared" si="287"/>
        <v>641588.69999999995</v>
      </c>
      <c r="K3542" s="51"/>
      <c r="L3542" s="50"/>
      <c r="M3542" s="51"/>
      <c r="N3542" s="19">
        <f>SUMIF('2020'!B:B,B3542,'2020'!C:C)+SUMIF('2021'!B:B,B3542,'2021'!C:C)+SUMIF('2022'!B:B,B3542,'2022'!C:C)</f>
        <v>641588.69999999995</v>
      </c>
      <c r="O3542" s="219">
        <v>44925</v>
      </c>
      <c r="P3542" s="48" t="s">
        <v>3728</v>
      </c>
    </row>
    <row r="3543" spans="1:16" x14ac:dyDescent="0.3">
      <c r="A3543" s="59">
        <f t="shared" si="286"/>
        <v>3207</v>
      </c>
      <c r="B3543" s="66" t="s">
        <v>3390</v>
      </c>
      <c r="C3543" s="184">
        <v>1961</v>
      </c>
      <c r="D3543" s="51"/>
      <c r="E3543" s="48" t="s">
        <v>3733</v>
      </c>
      <c r="F3543" s="218">
        <v>2</v>
      </c>
      <c r="G3543" s="48"/>
      <c r="H3543" s="48">
        <v>631.70000000000005</v>
      </c>
      <c r="I3543" s="47">
        <v>21</v>
      </c>
      <c r="J3543" s="19">
        <f t="shared" si="287"/>
        <v>869330.05999999994</v>
      </c>
      <c r="K3543" s="51"/>
      <c r="L3543" s="50"/>
      <c r="M3543" s="51"/>
      <c r="N3543" s="19">
        <f>SUMIF('2020'!B:B,B3543,'2020'!C:C)+SUMIF('2021'!B:B,B3543,'2021'!C:C)+SUMIF('2022'!B:B,B3543,'2022'!C:C)</f>
        <v>869330.05999999994</v>
      </c>
      <c r="O3543" s="219">
        <v>44925</v>
      </c>
      <c r="P3543" s="48" t="s">
        <v>3728</v>
      </c>
    </row>
    <row r="3544" spans="1:16" x14ac:dyDescent="0.3">
      <c r="A3544" s="59">
        <f t="shared" si="286"/>
        <v>3208</v>
      </c>
      <c r="B3544" s="66" t="s">
        <v>3391</v>
      </c>
      <c r="C3544" s="184">
        <v>1958</v>
      </c>
      <c r="D3544" s="51"/>
      <c r="E3544" s="48" t="s">
        <v>4090</v>
      </c>
      <c r="F3544" s="218">
        <v>2</v>
      </c>
      <c r="G3544" s="48"/>
      <c r="H3544" s="48">
        <v>355.52</v>
      </c>
      <c r="I3544" s="47">
        <v>16</v>
      </c>
      <c r="J3544" s="19">
        <f t="shared" si="287"/>
        <v>262982.40000000002</v>
      </c>
      <c r="K3544" s="51"/>
      <c r="L3544" s="50"/>
      <c r="M3544" s="51"/>
      <c r="N3544" s="19">
        <f>SUMIF('2020'!B:B,B3544,'2020'!C:C)+SUMIF('2021'!B:B,B3544,'2021'!C:C)+SUMIF('2022'!B:B,B3544,'2022'!C:C)</f>
        <v>262982.40000000002</v>
      </c>
      <c r="O3544" s="219">
        <v>44925</v>
      </c>
      <c r="P3544" s="48" t="s">
        <v>3728</v>
      </c>
    </row>
    <row r="3545" spans="1:16" x14ac:dyDescent="0.3">
      <c r="A3545" s="59">
        <f t="shared" si="286"/>
        <v>3209</v>
      </c>
      <c r="B3545" s="66" t="s">
        <v>3392</v>
      </c>
      <c r="C3545" s="184">
        <v>1961</v>
      </c>
      <c r="D3545" s="51"/>
      <c r="E3545" s="48" t="s">
        <v>4090</v>
      </c>
      <c r="F3545" s="218">
        <v>2</v>
      </c>
      <c r="G3545" s="48"/>
      <c r="H3545" s="48">
        <v>318.39999999999998</v>
      </c>
      <c r="I3545" s="47">
        <v>25</v>
      </c>
      <c r="J3545" s="19">
        <f t="shared" si="287"/>
        <v>854352.99</v>
      </c>
      <c r="K3545" s="51"/>
      <c r="L3545" s="48"/>
      <c r="M3545" s="51"/>
      <c r="N3545" s="19">
        <f>SUMIF('2020'!B:B,B3545,'2020'!C:C)+SUMIF('2021'!B:B,B3545,'2021'!C:C)+SUMIF('2022'!B:B,B3545,'2022'!C:C)</f>
        <v>854352.99</v>
      </c>
      <c r="O3545" s="219">
        <v>44925</v>
      </c>
      <c r="P3545" s="48" t="s">
        <v>3728</v>
      </c>
    </row>
    <row r="3546" spans="1:16" x14ac:dyDescent="0.3">
      <c r="A3546" s="59">
        <f t="shared" si="286"/>
        <v>3210</v>
      </c>
      <c r="B3546" s="66" t="s">
        <v>3393</v>
      </c>
      <c r="C3546" s="184">
        <v>1964</v>
      </c>
      <c r="D3546" s="51"/>
      <c r="E3546" s="48" t="s">
        <v>4090</v>
      </c>
      <c r="F3546" s="218">
        <v>2</v>
      </c>
      <c r="G3546" s="51"/>
      <c r="H3546" s="52">
        <v>274.2</v>
      </c>
      <c r="I3546" s="47">
        <v>8</v>
      </c>
      <c r="J3546" s="19">
        <f t="shared" si="287"/>
        <v>2071645.03</v>
      </c>
      <c r="K3546" s="51"/>
      <c r="L3546" s="50"/>
      <c r="M3546" s="51"/>
      <c r="N3546" s="19">
        <f>SUMIF('2020'!B:B,B3546,'2020'!C:C)+SUMIF('2021'!B:B,B3546,'2021'!C:C)+SUMIF('2022'!B:B,B3546,'2022'!C:C)</f>
        <v>2071645.03</v>
      </c>
      <c r="O3546" s="219">
        <v>44925</v>
      </c>
      <c r="P3546" s="48" t="s">
        <v>3728</v>
      </c>
    </row>
    <row r="3547" spans="1:16" x14ac:dyDescent="0.3">
      <c r="A3547" s="59">
        <f t="shared" si="286"/>
        <v>3211</v>
      </c>
      <c r="B3547" s="66" t="s">
        <v>3394</v>
      </c>
      <c r="C3547" s="184">
        <v>1954</v>
      </c>
      <c r="D3547" s="51"/>
      <c r="E3547" s="52" t="s">
        <v>3733</v>
      </c>
      <c r="F3547" s="218">
        <v>2</v>
      </c>
      <c r="G3547" s="48"/>
      <c r="H3547" s="48">
        <v>431.73</v>
      </c>
      <c r="I3547" s="47">
        <v>27</v>
      </c>
      <c r="J3547" s="19">
        <f t="shared" si="287"/>
        <v>443920</v>
      </c>
      <c r="K3547" s="51"/>
      <c r="L3547" s="50"/>
      <c r="M3547" s="51"/>
      <c r="N3547" s="19">
        <f>SUMIF('2020'!B:B,B3547,'2020'!C:C)+SUMIF('2021'!B:B,B3547,'2021'!C:C)+SUMIF('2022'!B:B,B3547,'2022'!C:C)</f>
        <v>443920</v>
      </c>
      <c r="O3547" s="219">
        <v>44925</v>
      </c>
      <c r="P3547" s="48" t="s">
        <v>3728</v>
      </c>
    </row>
    <row r="3548" spans="1:16" x14ac:dyDescent="0.3">
      <c r="A3548" s="59">
        <f t="shared" si="286"/>
        <v>3212</v>
      </c>
      <c r="B3548" s="66" t="s">
        <v>3395</v>
      </c>
      <c r="C3548" s="184">
        <v>1963</v>
      </c>
      <c r="D3548" s="51"/>
      <c r="E3548" s="52" t="s">
        <v>3733</v>
      </c>
      <c r="F3548" s="218">
        <v>2</v>
      </c>
      <c r="G3548" s="51"/>
      <c r="H3548" s="52">
        <v>520.72</v>
      </c>
      <c r="I3548" s="47">
        <v>19</v>
      </c>
      <c r="J3548" s="19">
        <f t="shared" si="287"/>
        <v>211653.86</v>
      </c>
      <c r="K3548" s="51"/>
      <c r="L3548" s="48"/>
      <c r="M3548" s="51"/>
      <c r="N3548" s="19">
        <f>SUMIF('2020'!B:B,B3548,'2020'!C:C)+SUMIF('2021'!B:B,B3548,'2021'!C:C)+SUMIF('2022'!B:B,B3548,'2022'!C:C)</f>
        <v>211653.86</v>
      </c>
      <c r="O3548" s="219">
        <v>44925</v>
      </c>
      <c r="P3548" s="48" t="s">
        <v>3728</v>
      </c>
    </row>
    <row r="3549" spans="1:16" x14ac:dyDescent="0.3">
      <c r="A3549" s="59">
        <f t="shared" si="286"/>
        <v>3213</v>
      </c>
      <c r="B3549" s="66" t="s">
        <v>3396</v>
      </c>
      <c r="C3549" s="184">
        <v>1956</v>
      </c>
      <c r="D3549" s="51"/>
      <c r="E3549" s="52" t="s">
        <v>4090</v>
      </c>
      <c r="F3549" s="218">
        <v>2</v>
      </c>
      <c r="G3549" s="48"/>
      <c r="H3549" s="48">
        <v>245.7</v>
      </c>
      <c r="I3549" s="47">
        <v>18</v>
      </c>
      <c r="J3549" s="19">
        <f t="shared" si="287"/>
        <v>374198.01</v>
      </c>
      <c r="K3549" s="51"/>
      <c r="L3549" s="48"/>
      <c r="M3549" s="51"/>
      <c r="N3549" s="19">
        <f>SUMIF('2020'!B:B,B3549,'2020'!C:C)+SUMIF('2021'!B:B,B3549,'2021'!C:C)+SUMIF('2022'!B:B,B3549,'2022'!C:C)</f>
        <v>374198.01</v>
      </c>
      <c r="O3549" s="219">
        <v>44925</v>
      </c>
      <c r="P3549" s="48" t="s">
        <v>3728</v>
      </c>
    </row>
    <row r="3550" spans="1:16" x14ac:dyDescent="0.3">
      <c r="A3550" s="59">
        <f t="shared" si="286"/>
        <v>3214</v>
      </c>
      <c r="B3550" s="66" t="s">
        <v>3397</v>
      </c>
      <c r="C3550" s="184">
        <v>1974</v>
      </c>
      <c r="D3550" s="51"/>
      <c r="E3550" s="52" t="s">
        <v>3733</v>
      </c>
      <c r="F3550" s="218">
        <v>2</v>
      </c>
      <c r="G3550" s="51"/>
      <c r="H3550" s="52">
        <v>1225.2</v>
      </c>
      <c r="I3550" s="47">
        <v>31</v>
      </c>
      <c r="J3550" s="19">
        <f t="shared" si="287"/>
        <v>92764.08</v>
      </c>
      <c r="K3550" s="51"/>
      <c r="L3550" s="50"/>
      <c r="M3550" s="51"/>
      <c r="N3550" s="19">
        <f>SUMIF('2020'!B:B,B3550,'2020'!C:C)+SUMIF('2021'!B:B,B3550,'2021'!C:C)+SUMIF('2022'!B:B,B3550,'2022'!C:C)</f>
        <v>92764.08</v>
      </c>
      <c r="O3550" s="219">
        <v>44925</v>
      </c>
      <c r="P3550" s="48" t="s">
        <v>3728</v>
      </c>
    </row>
    <row r="3551" spans="1:16" x14ac:dyDescent="0.3">
      <c r="A3551" s="59">
        <f t="shared" si="286"/>
        <v>3215</v>
      </c>
      <c r="B3551" s="66" t="s">
        <v>3398</v>
      </c>
      <c r="C3551" s="184">
        <v>1961</v>
      </c>
      <c r="D3551" s="51"/>
      <c r="E3551" s="52" t="s">
        <v>3733</v>
      </c>
      <c r="F3551" s="218">
        <v>2</v>
      </c>
      <c r="G3551" s="48"/>
      <c r="H3551" s="48">
        <v>506.49</v>
      </c>
      <c r="I3551" s="47">
        <v>26</v>
      </c>
      <c r="J3551" s="19">
        <f t="shared" si="287"/>
        <v>195601.95</v>
      </c>
      <c r="K3551" s="51"/>
      <c r="L3551" s="50"/>
      <c r="M3551" s="51"/>
      <c r="N3551" s="19">
        <f>SUMIF('2020'!B:B,B3551,'2020'!C:C)+SUMIF('2021'!B:B,B3551,'2021'!C:C)+SUMIF('2022'!B:B,B3551,'2022'!C:C)</f>
        <v>195601.95</v>
      </c>
      <c r="O3551" s="219">
        <v>44925</v>
      </c>
      <c r="P3551" s="48" t="s">
        <v>3728</v>
      </c>
    </row>
    <row r="3552" spans="1:16" x14ac:dyDescent="0.3">
      <c r="A3552" s="59">
        <f t="shared" si="286"/>
        <v>3216</v>
      </c>
      <c r="B3552" s="66" t="s">
        <v>3399</v>
      </c>
      <c r="C3552" s="184">
        <v>1927</v>
      </c>
      <c r="D3552" s="51"/>
      <c r="E3552" s="52" t="s">
        <v>3733</v>
      </c>
      <c r="F3552" s="218">
        <v>2</v>
      </c>
      <c r="G3552" s="48"/>
      <c r="H3552" s="48">
        <v>311</v>
      </c>
      <c r="I3552" s="47">
        <v>22</v>
      </c>
      <c r="J3552" s="19">
        <f t="shared" si="287"/>
        <v>180113.3</v>
      </c>
      <c r="K3552" s="51"/>
      <c r="L3552" s="50"/>
      <c r="M3552" s="51"/>
      <c r="N3552" s="19">
        <f>SUMIF('2020'!B:B,B3552,'2020'!C:C)+SUMIF('2021'!B:B,B3552,'2021'!C:C)+SUMIF('2022'!B:B,B3552,'2022'!C:C)</f>
        <v>180113.3</v>
      </c>
      <c r="O3552" s="219">
        <v>44925</v>
      </c>
      <c r="P3552" s="48" t="s">
        <v>3728</v>
      </c>
    </row>
    <row r="3553" spans="1:16" x14ac:dyDescent="0.3">
      <c r="A3553" s="59">
        <f t="shared" si="286"/>
        <v>3217</v>
      </c>
      <c r="B3553" s="66" t="s">
        <v>3400</v>
      </c>
      <c r="C3553" s="184">
        <v>1961</v>
      </c>
      <c r="D3553" s="51"/>
      <c r="E3553" s="52" t="s">
        <v>3733</v>
      </c>
      <c r="F3553" s="218">
        <v>2</v>
      </c>
      <c r="G3553" s="48"/>
      <c r="H3553" s="48">
        <v>311.7</v>
      </c>
      <c r="I3553" s="47">
        <v>8</v>
      </c>
      <c r="J3553" s="19">
        <f t="shared" si="287"/>
        <v>2534034.31</v>
      </c>
      <c r="K3553" s="51"/>
      <c r="L3553" s="48"/>
      <c r="M3553" s="51"/>
      <c r="N3553" s="19">
        <f>SUMIF('2020'!B:B,B3553,'2020'!C:C)+SUMIF('2021'!B:B,B3553,'2021'!C:C)+SUMIF('2022'!B:B,B3553,'2022'!C:C)</f>
        <v>2534034.31</v>
      </c>
      <c r="O3553" s="219">
        <v>44925</v>
      </c>
      <c r="P3553" s="48" t="s">
        <v>3728</v>
      </c>
    </row>
    <row r="3554" spans="1:16" x14ac:dyDescent="0.3">
      <c r="A3554" s="59">
        <f t="shared" si="286"/>
        <v>3218</v>
      </c>
      <c r="B3554" s="66" t="s">
        <v>3401</v>
      </c>
      <c r="C3554" s="184">
        <v>1916</v>
      </c>
      <c r="D3554" s="51"/>
      <c r="E3554" s="48" t="s">
        <v>4090</v>
      </c>
      <c r="F3554" s="218">
        <v>2</v>
      </c>
      <c r="G3554" s="48"/>
      <c r="H3554" s="48">
        <v>129.80000000000001</v>
      </c>
      <c r="I3554" s="47">
        <v>13</v>
      </c>
      <c r="J3554" s="19">
        <f t="shared" si="287"/>
        <v>475760.41000000003</v>
      </c>
      <c r="K3554" s="51"/>
      <c r="L3554" s="48"/>
      <c r="M3554" s="51"/>
      <c r="N3554" s="19">
        <f>SUMIF('2020'!B:B,B3554,'2020'!C:C)+SUMIF('2021'!B:B,B3554,'2021'!C:C)+SUMIF('2022'!B:B,B3554,'2022'!C:C)</f>
        <v>475760.41000000003</v>
      </c>
      <c r="O3554" s="219">
        <v>44925</v>
      </c>
      <c r="P3554" s="48" t="s">
        <v>3728</v>
      </c>
    </row>
    <row r="3555" spans="1:16" x14ac:dyDescent="0.3">
      <c r="A3555" s="59">
        <f t="shared" si="286"/>
        <v>3219</v>
      </c>
      <c r="B3555" s="66" t="s">
        <v>3402</v>
      </c>
      <c r="C3555" s="184">
        <v>1968</v>
      </c>
      <c r="D3555" s="51"/>
      <c r="E3555" s="52" t="s">
        <v>4090</v>
      </c>
      <c r="F3555" s="218">
        <v>2</v>
      </c>
      <c r="G3555" s="51"/>
      <c r="H3555" s="52">
        <v>628.75</v>
      </c>
      <c r="I3555" s="47">
        <v>35</v>
      </c>
      <c r="J3555" s="19">
        <f t="shared" si="287"/>
        <v>558712.06999999995</v>
      </c>
      <c r="K3555" s="51"/>
      <c r="L3555" s="50"/>
      <c r="M3555" s="51"/>
      <c r="N3555" s="19">
        <f>SUMIF('2020'!B:B,B3555,'2020'!C:C)+SUMIF('2021'!B:B,B3555,'2021'!C:C)+SUMIF('2022'!B:B,B3555,'2022'!C:C)</f>
        <v>558712.06999999995</v>
      </c>
      <c r="O3555" s="219">
        <v>44925</v>
      </c>
      <c r="P3555" s="48" t="s">
        <v>3728</v>
      </c>
    </row>
    <row r="3556" spans="1:16" x14ac:dyDescent="0.3">
      <c r="A3556" s="59">
        <f t="shared" si="286"/>
        <v>3220</v>
      </c>
      <c r="B3556" s="66" t="s">
        <v>3403</v>
      </c>
      <c r="C3556" s="184">
        <v>1977</v>
      </c>
      <c r="D3556" s="51"/>
      <c r="E3556" s="48" t="s">
        <v>4090</v>
      </c>
      <c r="F3556" s="218">
        <v>2</v>
      </c>
      <c r="G3556" s="51"/>
      <c r="H3556" s="52">
        <v>360.3</v>
      </c>
      <c r="I3556" s="47">
        <v>21</v>
      </c>
      <c r="J3556" s="19">
        <f t="shared" si="287"/>
        <v>175531.67</v>
      </c>
      <c r="K3556" s="51"/>
      <c r="L3556" s="48"/>
      <c r="M3556" s="51"/>
      <c r="N3556" s="19">
        <f>SUMIF('2020'!B:B,B3556,'2020'!C:C)+SUMIF('2021'!B:B,B3556,'2021'!C:C)+SUMIF('2022'!B:B,B3556,'2022'!C:C)</f>
        <v>175531.67</v>
      </c>
      <c r="O3556" s="219">
        <v>44925</v>
      </c>
      <c r="P3556" s="48" t="s">
        <v>3728</v>
      </c>
    </row>
    <row r="3557" spans="1:16" x14ac:dyDescent="0.3">
      <c r="A3557" s="59">
        <f t="shared" si="286"/>
        <v>3221</v>
      </c>
      <c r="B3557" s="66" t="s">
        <v>3404</v>
      </c>
      <c r="C3557" s="184">
        <v>1917</v>
      </c>
      <c r="D3557" s="51"/>
      <c r="E3557" s="48" t="s">
        <v>4090</v>
      </c>
      <c r="F3557" s="218">
        <v>2</v>
      </c>
      <c r="G3557" s="48"/>
      <c r="H3557" s="48">
        <v>235.4</v>
      </c>
      <c r="I3557" s="47">
        <v>20</v>
      </c>
      <c r="J3557" s="19">
        <f t="shared" si="287"/>
        <v>682202.36999999988</v>
      </c>
      <c r="K3557" s="51"/>
      <c r="L3557" s="48"/>
      <c r="M3557" s="51"/>
      <c r="N3557" s="19">
        <f>SUMIF('2020'!B:B,B3557,'2020'!C:C)+SUMIF('2021'!B:B,B3557,'2021'!C:C)+SUMIF('2022'!B:B,B3557,'2022'!C:C)</f>
        <v>682202.36999999988</v>
      </c>
      <c r="O3557" s="219">
        <v>44925</v>
      </c>
      <c r="P3557" s="48" t="s">
        <v>3728</v>
      </c>
    </row>
    <row r="3558" spans="1:16" x14ac:dyDescent="0.3">
      <c r="A3558" s="59">
        <f t="shared" si="286"/>
        <v>3222</v>
      </c>
      <c r="B3558" s="66" t="s">
        <v>3405</v>
      </c>
      <c r="C3558" s="184">
        <v>1912</v>
      </c>
      <c r="D3558" s="51"/>
      <c r="E3558" s="48" t="s">
        <v>4176</v>
      </c>
      <c r="F3558" s="218">
        <v>3</v>
      </c>
      <c r="G3558" s="48"/>
      <c r="H3558" s="48">
        <v>3526.2</v>
      </c>
      <c r="I3558" s="47">
        <v>195</v>
      </c>
      <c r="J3558" s="19">
        <f t="shared" si="287"/>
        <v>290770.44</v>
      </c>
      <c r="K3558" s="51"/>
      <c r="L3558" s="48"/>
      <c r="M3558" s="51"/>
      <c r="N3558" s="19">
        <f>SUMIF('2020'!B:B,B3558,'2020'!C:C)+SUMIF('2021'!B:B,B3558,'2021'!C:C)+SUMIF('2022'!B:B,B3558,'2022'!C:C)</f>
        <v>290770.44</v>
      </c>
      <c r="O3558" s="219">
        <v>44925</v>
      </c>
      <c r="P3558" s="48" t="s">
        <v>3728</v>
      </c>
    </row>
    <row r="3559" spans="1:16" x14ac:dyDescent="0.3">
      <c r="A3559" s="59">
        <f t="shared" si="286"/>
        <v>3223</v>
      </c>
      <c r="B3559" s="66" t="s">
        <v>3406</v>
      </c>
      <c r="C3559" s="184">
        <v>1981</v>
      </c>
      <c r="D3559" s="51"/>
      <c r="E3559" s="48"/>
      <c r="F3559" s="218">
        <v>9</v>
      </c>
      <c r="G3559" s="51"/>
      <c r="H3559" s="52">
        <v>2226.9</v>
      </c>
      <c r="I3559" s="47">
        <v>9</v>
      </c>
      <c r="J3559" s="19">
        <f t="shared" si="287"/>
        <v>4300743.4000000004</v>
      </c>
      <c r="K3559" s="51"/>
      <c r="L3559" s="50"/>
      <c r="M3559" s="51"/>
      <c r="N3559" s="19">
        <f>SUMIF('2020'!B:B,B3559,'2020'!C:C)+SUMIF('2021'!B:B,B3559,'2021'!C:C)+SUMIF('2022'!B:B,B3559,'2022'!C:C)</f>
        <v>4300743.4000000004</v>
      </c>
      <c r="O3559" s="219">
        <v>44925</v>
      </c>
      <c r="P3559" s="48" t="s">
        <v>3728</v>
      </c>
    </row>
    <row r="3560" spans="1:16" x14ac:dyDescent="0.3">
      <c r="A3560" s="59">
        <f t="shared" si="286"/>
        <v>3224</v>
      </c>
      <c r="B3560" s="66" t="s">
        <v>3407</v>
      </c>
      <c r="C3560" s="184">
        <v>1981</v>
      </c>
      <c r="D3560" s="51"/>
      <c r="E3560" s="48"/>
      <c r="F3560" s="218">
        <v>9</v>
      </c>
      <c r="G3560" s="51"/>
      <c r="H3560" s="52">
        <v>2236.5</v>
      </c>
      <c r="I3560" s="47">
        <v>9</v>
      </c>
      <c r="J3560" s="19">
        <f t="shared" si="287"/>
        <v>2865167.3</v>
      </c>
      <c r="K3560" s="51"/>
      <c r="L3560" s="50"/>
      <c r="M3560" s="51"/>
      <c r="N3560" s="19">
        <f>SUMIF('2020'!B:B,B3560,'2020'!C:C)+SUMIF('2021'!B:B,B3560,'2021'!C:C)+SUMIF('2022'!B:B,B3560,'2022'!C:C)</f>
        <v>2865167.3</v>
      </c>
      <c r="O3560" s="219">
        <v>44925</v>
      </c>
      <c r="P3560" s="48" t="s">
        <v>3728</v>
      </c>
    </row>
    <row r="3561" spans="1:16" x14ac:dyDescent="0.3">
      <c r="A3561" s="59">
        <f t="shared" si="286"/>
        <v>3225</v>
      </c>
      <c r="B3561" s="66" t="s">
        <v>3408</v>
      </c>
      <c r="C3561" s="184">
        <v>1982</v>
      </c>
      <c r="D3561" s="51"/>
      <c r="E3561" s="48"/>
      <c r="F3561" s="218">
        <v>9</v>
      </c>
      <c r="G3561" s="51"/>
      <c r="H3561" s="52">
        <v>2221.9</v>
      </c>
      <c r="I3561" s="47">
        <v>9</v>
      </c>
      <c r="J3561" s="19">
        <f t="shared" si="287"/>
        <v>4279436.4000000004</v>
      </c>
      <c r="K3561" s="51"/>
      <c r="L3561" s="50"/>
      <c r="M3561" s="51"/>
      <c r="N3561" s="19">
        <f>SUMIF('2020'!B:B,B3561,'2020'!C:C)+SUMIF('2021'!B:B,B3561,'2021'!C:C)+SUMIF('2022'!B:B,B3561,'2022'!C:C)</f>
        <v>4279436.4000000004</v>
      </c>
      <c r="O3561" s="219">
        <v>44925</v>
      </c>
      <c r="P3561" s="48" t="s">
        <v>3728</v>
      </c>
    </row>
    <row r="3562" spans="1:16" x14ac:dyDescent="0.3">
      <c r="A3562" s="59">
        <f t="shared" si="286"/>
        <v>3226</v>
      </c>
      <c r="B3562" s="66" t="s">
        <v>3409</v>
      </c>
      <c r="C3562" s="184">
        <v>1974</v>
      </c>
      <c r="D3562" s="51"/>
      <c r="E3562" s="52"/>
      <c r="F3562" s="218"/>
      <c r="G3562" s="51"/>
      <c r="H3562" s="52"/>
      <c r="I3562" s="47"/>
      <c r="J3562" s="19">
        <f t="shared" si="287"/>
        <v>130000</v>
      </c>
      <c r="K3562" s="51"/>
      <c r="L3562" s="48"/>
      <c r="M3562" s="51"/>
      <c r="N3562" s="19">
        <f>SUMIF('2020'!B:B,B3562,'2020'!C:C)+SUMIF('2021'!B:B,B3562,'2021'!C:C)+SUMIF('2022'!B:B,B3562,'2022'!C:C)</f>
        <v>130000</v>
      </c>
      <c r="O3562" s="219">
        <v>44925</v>
      </c>
      <c r="P3562" s="48" t="s">
        <v>3728</v>
      </c>
    </row>
    <row r="3563" spans="1:16" x14ac:dyDescent="0.3">
      <c r="A3563" s="59">
        <f t="shared" si="286"/>
        <v>3227</v>
      </c>
      <c r="B3563" s="66" t="s">
        <v>3410</v>
      </c>
      <c r="C3563" s="184">
        <v>1969</v>
      </c>
      <c r="D3563" s="51"/>
      <c r="E3563" s="48" t="s">
        <v>3739</v>
      </c>
      <c r="F3563" s="218">
        <v>5</v>
      </c>
      <c r="G3563" s="48"/>
      <c r="H3563" s="48">
        <v>3490.1</v>
      </c>
      <c r="I3563" s="47">
        <v>140</v>
      </c>
      <c r="J3563" s="19">
        <f t="shared" si="287"/>
        <v>970305.45</v>
      </c>
      <c r="K3563" s="51"/>
      <c r="L3563" s="48"/>
      <c r="M3563" s="51"/>
      <c r="N3563" s="19">
        <f>SUMIF('2020'!B:B,B3563,'2020'!C:C)+SUMIF('2021'!B:B,B3563,'2021'!C:C)+SUMIF('2022'!B:B,B3563,'2022'!C:C)</f>
        <v>970305.45</v>
      </c>
      <c r="O3563" s="219">
        <v>44925</v>
      </c>
      <c r="P3563" s="48" t="s">
        <v>3728</v>
      </c>
    </row>
    <row r="3564" spans="1:16" x14ac:dyDescent="0.3">
      <c r="A3564" s="59">
        <f t="shared" si="286"/>
        <v>3228</v>
      </c>
      <c r="B3564" s="66" t="s">
        <v>3411</v>
      </c>
      <c r="C3564" s="184">
        <v>1931</v>
      </c>
      <c r="D3564" s="51"/>
      <c r="E3564" s="48" t="s">
        <v>4090</v>
      </c>
      <c r="F3564" s="218">
        <v>2</v>
      </c>
      <c r="G3564" s="48"/>
      <c r="H3564" s="48">
        <v>740</v>
      </c>
      <c r="I3564" s="47">
        <v>42</v>
      </c>
      <c r="J3564" s="19">
        <f t="shared" si="287"/>
        <v>450823.42000000004</v>
      </c>
      <c r="K3564" s="51"/>
      <c r="L3564" s="48"/>
      <c r="M3564" s="51"/>
      <c r="N3564" s="19">
        <f>SUMIF('2020'!B:B,B3564,'2020'!C:C)+SUMIF('2021'!B:B,B3564,'2021'!C:C)+SUMIF('2022'!B:B,B3564,'2022'!C:C)</f>
        <v>450823.42000000004</v>
      </c>
      <c r="O3564" s="219">
        <v>44925</v>
      </c>
      <c r="P3564" s="48" t="s">
        <v>3728</v>
      </c>
    </row>
    <row r="3565" spans="1:16" x14ac:dyDescent="0.3">
      <c r="A3565" s="59">
        <f t="shared" si="286"/>
        <v>3229</v>
      </c>
      <c r="B3565" s="66" t="s">
        <v>3412</v>
      </c>
      <c r="C3565" s="184">
        <v>1931</v>
      </c>
      <c r="D3565" s="51"/>
      <c r="E3565" s="48" t="s">
        <v>4090</v>
      </c>
      <c r="F3565" s="218">
        <v>2</v>
      </c>
      <c r="G3565" s="48"/>
      <c r="H3565" s="48">
        <v>716</v>
      </c>
      <c r="I3565" s="47">
        <v>32</v>
      </c>
      <c r="J3565" s="19">
        <f t="shared" si="287"/>
        <v>472813.79000000004</v>
      </c>
      <c r="K3565" s="51"/>
      <c r="L3565" s="48"/>
      <c r="M3565" s="51"/>
      <c r="N3565" s="19">
        <f>SUMIF('2020'!B:B,B3565,'2020'!C:C)+SUMIF('2021'!B:B,B3565,'2021'!C:C)+SUMIF('2022'!B:B,B3565,'2022'!C:C)</f>
        <v>472813.79000000004</v>
      </c>
      <c r="O3565" s="219">
        <v>44925</v>
      </c>
      <c r="P3565" s="48" t="s">
        <v>3728</v>
      </c>
    </row>
    <row r="3566" spans="1:16" x14ac:dyDescent="0.3">
      <c r="A3566" s="59">
        <f t="shared" si="286"/>
        <v>3230</v>
      </c>
      <c r="B3566" s="66" t="s">
        <v>3413</v>
      </c>
      <c r="C3566" s="184">
        <v>1924</v>
      </c>
      <c r="D3566" s="51"/>
      <c r="E3566" s="48" t="s">
        <v>3733</v>
      </c>
      <c r="F3566" s="218">
        <v>2</v>
      </c>
      <c r="G3566" s="48"/>
      <c r="H3566" s="48">
        <v>340.19</v>
      </c>
      <c r="I3566" s="47">
        <v>23</v>
      </c>
      <c r="J3566" s="19">
        <f t="shared" si="287"/>
        <v>237261.64</v>
      </c>
      <c r="K3566" s="51"/>
      <c r="L3566" s="48"/>
      <c r="M3566" s="51"/>
      <c r="N3566" s="19">
        <f>SUMIF('2020'!B:B,B3566,'2020'!C:C)+SUMIF('2021'!B:B,B3566,'2021'!C:C)+SUMIF('2022'!B:B,B3566,'2022'!C:C)</f>
        <v>237261.64</v>
      </c>
      <c r="O3566" s="219">
        <v>44925</v>
      </c>
      <c r="P3566" s="48" t="s">
        <v>3728</v>
      </c>
    </row>
    <row r="3567" spans="1:16" x14ac:dyDescent="0.3">
      <c r="A3567" s="59">
        <f t="shared" si="286"/>
        <v>3231</v>
      </c>
      <c r="B3567" s="66" t="s">
        <v>3414</v>
      </c>
      <c r="C3567" s="184">
        <v>1936</v>
      </c>
      <c r="D3567" s="51"/>
      <c r="E3567" s="48" t="s">
        <v>4090</v>
      </c>
      <c r="F3567" s="218">
        <v>2</v>
      </c>
      <c r="G3567" s="48"/>
      <c r="H3567" s="48">
        <v>418.5</v>
      </c>
      <c r="I3567" s="47"/>
      <c r="J3567" s="19">
        <f t="shared" si="287"/>
        <v>427745.77</v>
      </c>
      <c r="K3567" s="51"/>
      <c r="L3567" s="48"/>
      <c r="M3567" s="51"/>
      <c r="N3567" s="19">
        <f>SUMIF('2020'!B:B,B3567,'2020'!C:C)+SUMIF('2021'!B:B,B3567,'2021'!C:C)+SUMIF('2022'!B:B,B3567,'2022'!C:C)</f>
        <v>427745.77</v>
      </c>
      <c r="O3567" s="219">
        <v>44925</v>
      </c>
      <c r="P3567" s="48" t="s">
        <v>3728</v>
      </c>
    </row>
    <row r="3568" spans="1:16" x14ac:dyDescent="0.3">
      <c r="A3568" s="59">
        <f t="shared" si="286"/>
        <v>3232</v>
      </c>
      <c r="B3568" s="66" t="s">
        <v>3415</v>
      </c>
      <c r="C3568" s="184">
        <v>1967</v>
      </c>
      <c r="D3568" s="51"/>
      <c r="E3568" s="48" t="s">
        <v>4090</v>
      </c>
      <c r="F3568" s="218">
        <v>2</v>
      </c>
      <c r="G3568" s="51"/>
      <c r="H3568" s="52">
        <v>365</v>
      </c>
      <c r="I3568" s="47">
        <v>22</v>
      </c>
      <c r="J3568" s="19">
        <f t="shared" si="287"/>
        <v>228471.91999999998</v>
      </c>
      <c r="K3568" s="51"/>
      <c r="L3568" s="48"/>
      <c r="M3568" s="51"/>
      <c r="N3568" s="19">
        <f>SUMIF('2020'!B:B,B3568,'2020'!C:C)+SUMIF('2021'!B:B,B3568,'2021'!C:C)+SUMIF('2022'!B:B,B3568,'2022'!C:C)</f>
        <v>228471.91999999998</v>
      </c>
      <c r="O3568" s="219">
        <v>44925</v>
      </c>
      <c r="P3568" s="48" t="s">
        <v>3728</v>
      </c>
    </row>
    <row r="3569" spans="1:16" x14ac:dyDescent="0.3">
      <c r="A3569" s="59">
        <f>A3568+1</f>
        <v>3233</v>
      </c>
      <c r="B3569" s="66" t="s">
        <v>3416</v>
      </c>
      <c r="C3569" s="184">
        <v>1955</v>
      </c>
      <c r="D3569" s="51"/>
      <c r="E3569" s="52" t="s">
        <v>3733</v>
      </c>
      <c r="F3569" s="218">
        <v>2</v>
      </c>
      <c r="G3569" s="51"/>
      <c r="H3569" s="48">
        <v>428.7</v>
      </c>
      <c r="I3569" s="47">
        <v>27</v>
      </c>
      <c r="J3569" s="19">
        <f t="shared" si="287"/>
        <v>298649.61</v>
      </c>
      <c r="K3569" s="51"/>
      <c r="L3569" s="48"/>
      <c r="M3569" s="51"/>
      <c r="N3569" s="19">
        <f>SUMIF('2020'!B:B,B3569,'2020'!C:C)+SUMIF('2021'!B:B,B3569,'2021'!C:C)+SUMIF('2022'!B:B,B3569,'2022'!C:C)</f>
        <v>298649.61</v>
      </c>
      <c r="O3569" s="219">
        <v>44925</v>
      </c>
      <c r="P3569" s="48" t="s">
        <v>3728</v>
      </c>
    </row>
    <row r="3570" spans="1:16" x14ac:dyDescent="0.3">
      <c r="A3570" s="59">
        <f t="shared" si="286"/>
        <v>3234</v>
      </c>
      <c r="B3570" s="66" t="s">
        <v>3417</v>
      </c>
      <c r="C3570" s="184">
        <v>1954</v>
      </c>
      <c r="D3570" s="51"/>
      <c r="E3570" s="52" t="s">
        <v>3733</v>
      </c>
      <c r="F3570" s="218">
        <v>2</v>
      </c>
      <c r="G3570" s="51"/>
      <c r="H3570" s="48">
        <v>394.3</v>
      </c>
      <c r="I3570" s="47">
        <v>20</v>
      </c>
      <c r="J3570" s="19">
        <f t="shared" si="287"/>
        <v>456984.91000000003</v>
      </c>
      <c r="K3570" s="51"/>
      <c r="L3570" s="48"/>
      <c r="M3570" s="51"/>
      <c r="N3570" s="19">
        <f>SUMIF('2020'!B:B,B3570,'2020'!C:C)+SUMIF('2021'!B:B,B3570,'2021'!C:C)+SUMIF('2022'!B:B,B3570,'2022'!C:C)</f>
        <v>456984.91000000003</v>
      </c>
      <c r="O3570" s="219">
        <v>44925</v>
      </c>
      <c r="P3570" s="48" t="s">
        <v>3728</v>
      </c>
    </row>
    <row r="3571" spans="1:16" x14ac:dyDescent="0.3">
      <c r="A3571" s="59">
        <f t="shared" si="286"/>
        <v>3235</v>
      </c>
      <c r="B3571" s="66" t="s">
        <v>3418</v>
      </c>
      <c r="C3571" s="184">
        <v>1958</v>
      </c>
      <c r="D3571" s="51"/>
      <c r="E3571" s="52" t="s">
        <v>3733</v>
      </c>
      <c r="F3571" s="218">
        <v>2</v>
      </c>
      <c r="G3571" s="48"/>
      <c r="H3571" s="48">
        <v>637.79999999999995</v>
      </c>
      <c r="I3571" s="47">
        <v>30</v>
      </c>
      <c r="J3571" s="19">
        <f t="shared" si="287"/>
        <v>7156089.8600000003</v>
      </c>
      <c r="K3571" s="51"/>
      <c r="L3571" s="48"/>
      <c r="M3571" s="51"/>
      <c r="N3571" s="19">
        <f>SUMIF('2020'!B:B,B3571,'2020'!C:C)+SUMIF('2021'!B:B,B3571,'2021'!C:C)+SUMIF('2022'!B:B,B3571,'2022'!C:C)</f>
        <v>7156089.8600000003</v>
      </c>
      <c r="O3571" s="219">
        <v>44925</v>
      </c>
      <c r="P3571" s="48" t="s">
        <v>3728</v>
      </c>
    </row>
    <row r="3572" spans="1:16" x14ac:dyDescent="0.3">
      <c r="A3572" s="59">
        <f t="shared" si="286"/>
        <v>3236</v>
      </c>
      <c r="B3572" s="66" t="s">
        <v>3419</v>
      </c>
      <c r="C3572" s="184">
        <v>1968</v>
      </c>
      <c r="D3572" s="51"/>
      <c r="E3572" s="48" t="s">
        <v>3733</v>
      </c>
      <c r="F3572" s="218">
        <v>2</v>
      </c>
      <c r="G3572" s="51"/>
      <c r="H3572" s="52">
        <v>697.7</v>
      </c>
      <c r="I3572" s="47">
        <v>29</v>
      </c>
      <c r="J3572" s="19">
        <f t="shared" si="287"/>
        <v>5367254.3000000007</v>
      </c>
      <c r="K3572" s="51"/>
      <c r="L3572" s="50"/>
      <c r="M3572" s="51"/>
      <c r="N3572" s="19">
        <f>SUMIF('2020'!B:B,B3572,'2020'!C:C)+SUMIF('2021'!B:B,B3572,'2021'!C:C)+SUMIF('2022'!B:B,B3572,'2022'!C:C)</f>
        <v>5367254.3000000007</v>
      </c>
      <c r="O3572" s="219">
        <v>44925</v>
      </c>
      <c r="P3572" s="48" t="s">
        <v>3728</v>
      </c>
    </row>
    <row r="3573" spans="1:16" x14ac:dyDescent="0.3">
      <c r="A3573" s="59">
        <f t="shared" si="286"/>
        <v>3237</v>
      </c>
      <c r="B3573" s="66" t="s">
        <v>3420</v>
      </c>
      <c r="C3573" s="184"/>
      <c r="D3573" s="51"/>
      <c r="E3573" s="48" t="s">
        <v>3729</v>
      </c>
      <c r="F3573" s="218">
        <v>3</v>
      </c>
      <c r="G3573" s="51"/>
      <c r="H3573" s="52">
        <v>1235.5999999999999</v>
      </c>
      <c r="I3573" s="47">
        <v>67</v>
      </c>
      <c r="J3573" s="19">
        <f t="shared" si="287"/>
        <v>383448.32999999996</v>
      </c>
      <c r="K3573" s="51"/>
      <c r="L3573" s="50"/>
      <c r="M3573" s="51"/>
      <c r="N3573" s="19">
        <f>SUMIF('2020'!B:B,B3573,'2020'!C:C)+SUMIF('2021'!B:B,B3573,'2021'!C:C)+SUMIF('2022'!B:B,B3573,'2022'!C:C)</f>
        <v>383448.32999999996</v>
      </c>
      <c r="O3573" s="219">
        <v>44925</v>
      </c>
      <c r="P3573" s="48" t="s">
        <v>3728</v>
      </c>
    </row>
    <row r="3574" spans="1:16" x14ac:dyDescent="0.3">
      <c r="A3574" s="59">
        <f t="shared" si="286"/>
        <v>3238</v>
      </c>
      <c r="B3574" s="66" t="s">
        <v>3421</v>
      </c>
      <c r="C3574" s="184">
        <v>1975</v>
      </c>
      <c r="D3574" s="51"/>
      <c r="E3574" s="52" t="s">
        <v>3729</v>
      </c>
      <c r="F3574" s="218">
        <v>3</v>
      </c>
      <c r="G3574" s="51"/>
      <c r="H3574" s="52">
        <v>1221.5999999999999</v>
      </c>
      <c r="I3574" s="47">
        <v>51</v>
      </c>
      <c r="J3574" s="19">
        <f t="shared" si="287"/>
        <v>3473605.1999999997</v>
      </c>
      <c r="K3574" s="51"/>
      <c r="L3574" s="50"/>
      <c r="M3574" s="51"/>
      <c r="N3574" s="19">
        <f>SUMIF('2020'!B:B,B3574,'2020'!C:C)+SUMIF('2021'!B:B,B3574,'2021'!C:C)+SUMIF('2022'!B:B,B3574,'2022'!C:C)</f>
        <v>3473605.1999999997</v>
      </c>
      <c r="O3574" s="219">
        <v>44925</v>
      </c>
      <c r="P3574" s="48" t="s">
        <v>3728</v>
      </c>
    </row>
    <row r="3575" spans="1:16" x14ac:dyDescent="0.3">
      <c r="A3575" s="59">
        <f t="shared" si="286"/>
        <v>3239</v>
      </c>
      <c r="B3575" s="66" t="s">
        <v>3422</v>
      </c>
      <c r="C3575" s="184">
        <v>1954</v>
      </c>
      <c r="D3575" s="51"/>
      <c r="E3575" s="52" t="s">
        <v>3733</v>
      </c>
      <c r="F3575" s="218">
        <v>2</v>
      </c>
      <c r="G3575" s="51"/>
      <c r="H3575" s="48">
        <v>421.7</v>
      </c>
      <c r="I3575" s="47">
        <v>25</v>
      </c>
      <c r="J3575" s="19">
        <f t="shared" si="287"/>
        <v>5387580.5600000005</v>
      </c>
      <c r="K3575" s="51"/>
      <c r="L3575" s="50"/>
      <c r="M3575" s="51"/>
      <c r="N3575" s="19">
        <f>SUMIF('2020'!B:B,B3575,'2020'!C:C)+SUMIF('2021'!B:B,B3575,'2021'!C:C)+SUMIF('2022'!B:B,B3575,'2022'!C:C)</f>
        <v>5387580.5600000005</v>
      </c>
      <c r="O3575" s="219">
        <v>44925</v>
      </c>
      <c r="P3575" s="48" t="s">
        <v>3728</v>
      </c>
    </row>
    <row r="3576" spans="1:16" x14ac:dyDescent="0.3">
      <c r="A3576" s="59">
        <f t="shared" si="286"/>
        <v>3240</v>
      </c>
      <c r="B3576" s="66" t="s">
        <v>3423</v>
      </c>
      <c r="C3576" s="184">
        <v>1953</v>
      </c>
      <c r="D3576" s="51"/>
      <c r="E3576" s="52" t="s">
        <v>3733</v>
      </c>
      <c r="F3576" s="218">
        <v>2</v>
      </c>
      <c r="G3576" s="51"/>
      <c r="H3576" s="48">
        <v>409.4</v>
      </c>
      <c r="I3576" s="47">
        <v>33</v>
      </c>
      <c r="J3576" s="19">
        <f t="shared" si="287"/>
        <v>5398565.8600000003</v>
      </c>
      <c r="K3576" s="51"/>
      <c r="L3576" s="50"/>
      <c r="M3576" s="51"/>
      <c r="N3576" s="19">
        <f>SUMIF('2020'!B:B,B3576,'2020'!C:C)+SUMIF('2021'!B:B,B3576,'2021'!C:C)+SUMIF('2022'!B:B,B3576,'2022'!C:C)</f>
        <v>5398565.8600000003</v>
      </c>
      <c r="O3576" s="219">
        <v>44925</v>
      </c>
      <c r="P3576" s="48" t="s">
        <v>3728</v>
      </c>
    </row>
    <row r="3577" spans="1:16" x14ac:dyDescent="0.3">
      <c r="A3577" s="59">
        <f t="shared" si="286"/>
        <v>3241</v>
      </c>
      <c r="B3577" s="66" t="s">
        <v>3424</v>
      </c>
      <c r="C3577" s="184">
        <v>1955</v>
      </c>
      <c r="D3577" s="51"/>
      <c r="E3577" s="52" t="s">
        <v>3733</v>
      </c>
      <c r="F3577" s="218">
        <v>2</v>
      </c>
      <c r="G3577" s="51"/>
      <c r="H3577" s="48">
        <v>816.5</v>
      </c>
      <c r="I3577" s="47">
        <v>43</v>
      </c>
      <c r="J3577" s="19">
        <f t="shared" si="287"/>
        <v>215570.58000000002</v>
      </c>
      <c r="K3577" s="51"/>
      <c r="L3577" s="50"/>
      <c r="M3577" s="51"/>
      <c r="N3577" s="19">
        <f>SUMIF('2020'!B:B,B3577,'2020'!C:C)+SUMIF('2021'!B:B,B3577,'2021'!C:C)+SUMIF('2022'!B:B,B3577,'2022'!C:C)</f>
        <v>215570.58000000002</v>
      </c>
      <c r="O3577" s="219">
        <v>44925</v>
      </c>
      <c r="P3577" s="48" t="s">
        <v>3728</v>
      </c>
    </row>
    <row r="3578" spans="1:16" x14ac:dyDescent="0.3">
      <c r="A3578" s="59">
        <f t="shared" si="286"/>
        <v>3242</v>
      </c>
      <c r="B3578" s="66" t="s">
        <v>3425</v>
      </c>
      <c r="C3578" s="184">
        <v>1956</v>
      </c>
      <c r="D3578" s="51"/>
      <c r="E3578" s="52" t="s">
        <v>3733</v>
      </c>
      <c r="F3578" s="218">
        <v>2</v>
      </c>
      <c r="G3578" s="51"/>
      <c r="H3578" s="48">
        <v>874.4</v>
      </c>
      <c r="I3578" s="47">
        <v>37</v>
      </c>
      <c r="J3578" s="19">
        <f t="shared" si="287"/>
        <v>8539628.8099999987</v>
      </c>
      <c r="K3578" s="51"/>
      <c r="L3578" s="50"/>
      <c r="M3578" s="51"/>
      <c r="N3578" s="19">
        <f>SUMIF('2020'!B:B,B3578,'2020'!C:C)+SUMIF('2021'!B:B,B3578,'2021'!C:C)+SUMIF('2022'!B:B,B3578,'2022'!C:C)</f>
        <v>8539628.8099999987</v>
      </c>
      <c r="O3578" s="219">
        <v>44925</v>
      </c>
      <c r="P3578" s="48" t="s">
        <v>3728</v>
      </c>
    </row>
    <row r="3579" spans="1:16" x14ac:dyDescent="0.3">
      <c r="A3579" s="59">
        <f t="shared" si="286"/>
        <v>3243</v>
      </c>
      <c r="B3579" s="66" t="s">
        <v>3426</v>
      </c>
      <c r="C3579" s="184">
        <v>1953</v>
      </c>
      <c r="D3579" s="51"/>
      <c r="E3579" s="52" t="s">
        <v>3733</v>
      </c>
      <c r="F3579" s="218">
        <v>2</v>
      </c>
      <c r="G3579" s="51"/>
      <c r="H3579" s="48">
        <v>379.3</v>
      </c>
      <c r="I3579" s="47">
        <v>23</v>
      </c>
      <c r="J3579" s="19">
        <f t="shared" si="287"/>
        <v>13896458.41</v>
      </c>
      <c r="K3579" s="51"/>
      <c r="L3579" s="50"/>
      <c r="M3579" s="51"/>
      <c r="N3579" s="19">
        <f>SUMIF('2020'!B:B,B3579,'2020'!C:C)+SUMIF('2021'!B:B,B3579,'2021'!C:C)+SUMIF('2022'!B:B,B3579,'2022'!C:C)</f>
        <v>13896458.41</v>
      </c>
      <c r="O3579" s="219">
        <v>44925</v>
      </c>
      <c r="P3579" s="48" t="s">
        <v>3728</v>
      </c>
    </row>
    <row r="3580" spans="1:16" x14ac:dyDescent="0.3">
      <c r="A3580" s="59">
        <f t="shared" si="286"/>
        <v>3244</v>
      </c>
      <c r="B3580" s="66" t="s">
        <v>3427</v>
      </c>
      <c r="C3580" s="184">
        <v>1963</v>
      </c>
      <c r="D3580" s="51"/>
      <c r="E3580" s="52" t="s">
        <v>3733</v>
      </c>
      <c r="F3580" s="218">
        <v>2</v>
      </c>
      <c r="G3580" s="48"/>
      <c r="H3580" s="48">
        <v>218.9</v>
      </c>
      <c r="I3580" s="47">
        <v>10</v>
      </c>
      <c r="J3580" s="19">
        <f t="shared" si="287"/>
        <v>190453.95</v>
      </c>
      <c r="K3580" s="51"/>
      <c r="L3580" s="50"/>
      <c r="M3580" s="51"/>
      <c r="N3580" s="19">
        <f>SUMIF('2020'!B:B,B3580,'2020'!C:C)+SUMIF('2021'!B:B,B3580,'2021'!C:C)+SUMIF('2022'!B:B,B3580,'2022'!C:C)</f>
        <v>190453.95</v>
      </c>
      <c r="O3580" s="219">
        <v>44925</v>
      </c>
      <c r="P3580" s="48" t="s">
        <v>3728</v>
      </c>
    </row>
    <row r="3581" spans="1:16" x14ac:dyDescent="0.3">
      <c r="A3581" s="59">
        <f t="shared" si="286"/>
        <v>3245</v>
      </c>
      <c r="B3581" s="66" t="s">
        <v>3428</v>
      </c>
      <c r="C3581" s="184">
        <v>1950</v>
      </c>
      <c r="D3581" s="51"/>
      <c r="E3581" s="48" t="s">
        <v>4090</v>
      </c>
      <c r="F3581" s="218">
        <v>2</v>
      </c>
      <c r="G3581" s="48"/>
      <c r="H3581" s="48">
        <v>97.7</v>
      </c>
      <c r="I3581" s="47">
        <v>9</v>
      </c>
      <c r="J3581" s="19">
        <f t="shared" si="287"/>
        <v>311398.25</v>
      </c>
      <c r="K3581" s="51"/>
      <c r="L3581" s="48"/>
      <c r="M3581" s="51"/>
      <c r="N3581" s="19">
        <f>SUMIF('2020'!B:B,B3581,'2020'!C:C)+SUMIF('2021'!B:B,B3581,'2021'!C:C)+SUMIF('2022'!B:B,B3581,'2022'!C:C)</f>
        <v>311398.25</v>
      </c>
      <c r="O3581" s="219">
        <v>44925</v>
      </c>
      <c r="P3581" s="48" t="s">
        <v>3728</v>
      </c>
    </row>
    <row r="3582" spans="1:16" x14ac:dyDescent="0.3">
      <c r="A3582" s="59">
        <f t="shared" si="286"/>
        <v>3246</v>
      </c>
      <c r="B3582" s="66" t="s">
        <v>3429</v>
      </c>
      <c r="C3582" s="184">
        <v>1986</v>
      </c>
      <c r="D3582" s="51"/>
      <c r="E3582" s="48"/>
      <c r="F3582" s="218">
        <v>2</v>
      </c>
      <c r="G3582" s="51"/>
      <c r="H3582" s="52">
        <v>263.10000000000002</v>
      </c>
      <c r="I3582" s="47"/>
      <c r="J3582" s="19">
        <f t="shared" si="287"/>
        <v>130000</v>
      </c>
      <c r="K3582" s="51"/>
      <c r="L3582" s="48"/>
      <c r="M3582" s="51"/>
      <c r="N3582" s="19">
        <f>SUMIF('2020'!B:B,B3582,'2020'!C:C)+SUMIF('2021'!B:B,B3582,'2021'!C:C)+SUMIF('2022'!B:B,B3582,'2022'!C:C)</f>
        <v>130000</v>
      </c>
      <c r="O3582" s="219">
        <v>44925</v>
      </c>
      <c r="P3582" s="48" t="s">
        <v>3728</v>
      </c>
    </row>
    <row r="3583" spans="1:16" x14ac:dyDescent="0.3">
      <c r="A3583" s="59">
        <f t="shared" si="286"/>
        <v>3247</v>
      </c>
      <c r="B3583" s="66" t="s">
        <v>3430</v>
      </c>
      <c r="C3583" s="184">
        <v>1979</v>
      </c>
      <c r="D3583" s="51"/>
      <c r="E3583" s="48"/>
      <c r="F3583" s="218">
        <v>2</v>
      </c>
      <c r="G3583" s="51"/>
      <c r="H3583" s="52">
        <v>359.4</v>
      </c>
      <c r="I3583" s="47"/>
      <c r="J3583" s="19">
        <f t="shared" si="287"/>
        <v>130000</v>
      </c>
      <c r="K3583" s="51"/>
      <c r="L3583" s="48"/>
      <c r="M3583" s="51"/>
      <c r="N3583" s="19">
        <f>SUMIF('2020'!B:B,B3583,'2020'!C:C)+SUMIF('2021'!B:B,B3583,'2021'!C:C)+SUMIF('2022'!B:B,B3583,'2022'!C:C)</f>
        <v>130000</v>
      </c>
      <c r="O3583" s="219">
        <v>44925</v>
      </c>
      <c r="P3583" s="48" t="s">
        <v>3728</v>
      </c>
    </row>
    <row r="3584" spans="1:16" x14ac:dyDescent="0.3">
      <c r="A3584" s="59">
        <f t="shared" si="286"/>
        <v>3248</v>
      </c>
      <c r="B3584" s="66" t="s">
        <v>3431</v>
      </c>
      <c r="C3584" s="184">
        <v>1961</v>
      </c>
      <c r="D3584" s="51"/>
      <c r="E3584" s="48" t="s">
        <v>3733</v>
      </c>
      <c r="F3584" s="218">
        <v>4</v>
      </c>
      <c r="G3584" s="48"/>
      <c r="H3584" s="48">
        <v>1239.2</v>
      </c>
      <c r="I3584" s="47">
        <v>77</v>
      </c>
      <c r="J3584" s="19">
        <f t="shared" si="287"/>
        <v>2010760.94</v>
      </c>
      <c r="K3584" s="51"/>
      <c r="L3584" s="48"/>
      <c r="M3584" s="51"/>
      <c r="N3584" s="19">
        <f>SUMIF('2020'!B:B,B3584,'2020'!C:C)+SUMIF('2021'!B:B,B3584,'2021'!C:C)+SUMIF('2022'!B:B,B3584,'2022'!C:C)</f>
        <v>2010760.94</v>
      </c>
      <c r="O3584" s="219">
        <v>44925</v>
      </c>
      <c r="P3584" s="48" t="s">
        <v>3728</v>
      </c>
    </row>
    <row r="3585" spans="1:16" x14ac:dyDescent="0.3">
      <c r="A3585" s="59">
        <f t="shared" si="286"/>
        <v>3249</v>
      </c>
      <c r="B3585" s="66" t="s">
        <v>3432</v>
      </c>
      <c r="C3585" s="184">
        <v>1963</v>
      </c>
      <c r="D3585" s="51"/>
      <c r="E3585" s="48" t="s">
        <v>3733</v>
      </c>
      <c r="F3585" s="218">
        <v>4</v>
      </c>
      <c r="G3585" s="48"/>
      <c r="H3585" s="48">
        <v>1247.8</v>
      </c>
      <c r="I3585" s="47">
        <v>66</v>
      </c>
      <c r="J3585" s="19">
        <f t="shared" si="287"/>
        <v>2322118.2999999998</v>
      </c>
      <c r="K3585" s="51"/>
      <c r="L3585" s="48"/>
      <c r="M3585" s="51"/>
      <c r="N3585" s="19">
        <f>SUMIF('2020'!B:B,B3585,'2020'!C:C)+SUMIF('2021'!B:B,B3585,'2021'!C:C)+SUMIF('2022'!B:B,B3585,'2022'!C:C)</f>
        <v>2322118.2999999998</v>
      </c>
      <c r="O3585" s="219">
        <v>44925</v>
      </c>
      <c r="P3585" s="48" t="s">
        <v>3728</v>
      </c>
    </row>
    <row r="3586" spans="1:16" x14ac:dyDescent="0.3">
      <c r="A3586" s="474" t="s">
        <v>211</v>
      </c>
      <c r="B3586" s="475"/>
      <c r="C3586" s="50"/>
      <c r="D3586" s="50"/>
      <c r="E3586" s="48"/>
      <c r="F3586" s="48"/>
      <c r="G3586" s="50"/>
      <c r="H3586" s="48">
        <f>SUM(H3362:H3585)</f>
        <v>670691.80999999994</v>
      </c>
      <c r="I3586" s="218">
        <f>SUM(I3362:I3585)</f>
        <v>26967</v>
      </c>
      <c r="J3586" s="19">
        <f t="shared" si="287"/>
        <v>744945949.73000014</v>
      </c>
      <c r="K3586" s="50">
        <v>0</v>
      </c>
      <c r="L3586" s="50">
        <v>0</v>
      </c>
      <c r="M3586" s="50">
        <v>0</v>
      </c>
      <c r="N3586" s="50">
        <f>SUM(N3362:N3585)</f>
        <v>744945949.73000014</v>
      </c>
      <c r="O3586" s="50"/>
      <c r="P3586" s="50"/>
    </row>
    <row r="3587" spans="1:16" x14ac:dyDescent="0.3">
      <c r="A3587" s="472" t="s">
        <v>3433</v>
      </c>
      <c r="B3587" s="473"/>
      <c r="C3587" s="50"/>
      <c r="D3587" s="51"/>
      <c r="E3587" s="52"/>
      <c r="F3587" s="52"/>
      <c r="G3587" s="51"/>
      <c r="H3587" s="52"/>
      <c r="I3587" s="52"/>
      <c r="J3587" s="19"/>
      <c r="K3587" s="51"/>
      <c r="L3587" s="50"/>
      <c r="M3587" s="51"/>
      <c r="N3587" s="51"/>
      <c r="O3587" s="50"/>
      <c r="P3587" s="172"/>
    </row>
    <row r="3588" spans="1:16" x14ac:dyDescent="0.3">
      <c r="A3588" s="59">
        <f>A3585+1</f>
        <v>3250</v>
      </c>
      <c r="B3588" s="66" t="s">
        <v>3434</v>
      </c>
      <c r="C3588" s="184">
        <v>1982</v>
      </c>
      <c r="D3588" s="51"/>
      <c r="E3588" s="52" t="s">
        <v>3729</v>
      </c>
      <c r="F3588" s="83">
        <v>2</v>
      </c>
      <c r="G3588" s="51"/>
      <c r="H3588" s="192">
        <v>814.4</v>
      </c>
      <c r="I3588" s="218">
        <v>42</v>
      </c>
      <c r="J3588" s="19">
        <f t="shared" si="287"/>
        <v>130000</v>
      </c>
      <c r="K3588" s="51"/>
      <c r="L3588" s="48"/>
      <c r="M3588" s="51"/>
      <c r="N3588" s="19">
        <f>SUMIF('2020'!B:B,B3588,'2020'!C:C)+SUMIF('2021'!B:B,B3588,'2021'!C:C)+SUMIF('2022'!B:B,B3588,'2022'!C:C)</f>
        <v>130000</v>
      </c>
      <c r="O3588" s="219">
        <v>44925</v>
      </c>
      <c r="P3588" s="48" t="s">
        <v>3728</v>
      </c>
    </row>
    <row r="3589" spans="1:16" x14ac:dyDescent="0.3">
      <c r="A3589" s="59">
        <f t="shared" si="286"/>
        <v>3251</v>
      </c>
      <c r="B3589" s="66" t="s">
        <v>3435</v>
      </c>
      <c r="C3589" s="184">
        <v>1967</v>
      </c>
      <c r="D3589" s="51"/>
      <c r="E3589" s="52" t="s">
        <v>3733</v>
      </c>
      <c r="F3589" s="83">
        <v>2</v>
      </c>
      <c r="G3589" s="51"/>
      <c r="H3589" s="192">
        <v>505.18</v>
      </c>
      <c r="I3589" s="218">
        <v>21</v>
      </c>
      <c r="J3589" s="19">
        <f t="shared" si="287"/>
        <v>130000</v>
      </c>
      <c r="K3589" s="51"/>
      <c r="L3589" s="50"/>
      <c r="M3589" s="51"/>
      <c r="N3589" s="19">
        <f>SUMIF('2020'!B:B,B3589,'2020'!C:C)+SUMIF('2021'!B:B,B3589,'2021'!C:C)+SUMIF('2022'!B:B,B3589,'2022'!C:C)</f>
        <v>130000</v>
      </c>
      <c r="O3589" s="219">
        <v>44925</v>
      </c>
      <c r="P3589" s="48" t="s">
        <v>3728</v>
      </c>
    </row>
    <row r="3590" spans="1:16" x14ac:dyDescent="0.3">
      <c r="A3590" s="59">
        <f t="shared" si="286"/>
        <v>3252</v>
      </c>
      <c r="B3590" s="66" t="s">
        <v>3436</v>
      </c>
      <c r="C3590" s="184">
        <v>1972</v>
      </c>
      <c r="D3590" s="51"/>
      <c r="E3590" s="52"/>
      <c r="F3590" s="83">
        <v>2</v>
      </c>
      <c r="G3590" s="51"/>
      <c r="H3590" s="192">
        <v>190.1</v>
      </c>
      <c r="I3590" s="218"/>
      <c r="J3590" s="19">
        <f t="shared" si="287"/>
        <v>130000</v>
      </c>
      <c r="K3590" s="51"/>
      <c r="L3590" s="48"/>
      <c r="M3590" s="51"/>
      <c r="N3590" s="19">
        <f>SUMIF('2020'!B:B,B3590,'2020'!C:C)+SUMIF('2021'!B:B,B3590,'2021'!C:C)+SUMIF('2022'!B:B,B3590,'2022'!C:C)</f>
        <v>130000</v>
      </c>
      <c r="O3590" s="219">
        <v>44925</v>
      </c>
      <c r="P3590" s="48" t="s">
        <v>3728</v>
      </c>
    </row>
    <row r="3591" spans="1:16" x14ac:dyDescent="0.3">
      <c r="A3591" s="59">
        <f t="shared" si="286"/>
        <v>3253</v>
      </c>
      <c r="B3591" s="66" t="s">
        <v>3437</v>
      </c>
      <c r="C3591" s="184">
        <v>1968</v>
      </c>
      <c r="D3591" s="51"/>
      <c r="E3591" s="52" t="s">
        <v>3733</v>
      </c>
      <c r="F3591" s="83">
        <v>2</v>
      </c>
      <c r="G3591" s="51"/>
      <c r="H3591" s="192">
        <v>524.29999999999995</v>
      </c>
      <c r="I3591" s="218">
        <v>17</v>
      </c>
      <c r="J3591" s="19">
        <f t="shared" si="287"/>
        <v>130000</v>
      </c>
      <c r="K3591" s="51"/>
      <c r="L3591" s="50"/>
      <c r="M3591" s="51"/>
      <c r="N3591" s="19">
        <f>SUMIF('2020'!B:B,B3591,'2020'!C:C)+SUMIF('2021'!B:B,B3591,'2021'!C:C)+SUMIF('2022'!B:B,B3591,'2022'!C:C)</f>
        <v>130000</v>
      </c>
      <c r="O3591" s="219">
        <v>44925</v>
      </c>
      <c r="P3591" s="48" t="s">
        <v>3728</v>
      </c>
    </row>
    <row r="3592" spans="1:16" x14ac:dyDescent="0.3">
      <c r="A3592" s="59">
        <f t="shared" si="286"/>
        <v>3254</v>
      </c>
      <c r="B3592" s="66" t="s">
        <v>3438</v>
      </c>
      <c r="C3592" s="184">
        <v>1969</v>
      </c>
      <c r="D3592" s="51"/>
      <c r="E3592" s="52" t="s">
        <v>3733</v>
      </c>
      <c r="F3592" s="83">
        <v>2</v>
      </c>
      <c r="G3592" s="51"/>
      <c r="H3592" s="192">
        <v>506.3</v>
      </c>
      <c r="I3592" s="218">
        <v>26</v>
      </c>
      <c r="J3592" s="19">
        <f t="shared" si="287"/>
        <v>130000</v>
      </c>
      <c r="K3592" s="51"/>
      <c r="L3592" s="50"/>
      <c r="M3592" s="51"/>
      <c r="N3592" s="19">
        <f>SUMIF('2020'!B:B,B3592,'2020'!C:C)+SUMIF('2021'!B:B,B3592,'2021'!C:C)+SUMIF('2022'!B:B,B3592,'2022'!C:C)</f>
        <v>130000</v>
      </c>
      <c r="O3592" s="219">
        <v>44925</v>
      </c>
      <c r="P3592" s="48" t="s">
        <v>3728</v>
      </c>
    </row>
    <row r="3593" spans="1:16" x14ac:dyDescent="0.3">
      <c r="A3593" s="59">
        <f t="shared" si="286"/>
        <v>3255</v>
      </c>
      <c r="B3593" s="66" t="s">
        <v>3439</v>
      </c>
      <c r="C3593" s="184">
        <v>1937</v>
      </c>
      <c r="D3593" s="51"/>
      <c r="E3593" s="48" t="s">
        <v>4090</v>
      </c>
      <c r="F3593" s="83">
        <v>2</v>
      </c>
      <c r="G3593" s="48"/>
      <c r="H3593" s="192">
        <v>169.5</v>
      </c>
      <c r="I3593" s="218">
        <v>6</v>
      </c>
      <c r="J3593" s="19">
        <f t="shared" si="287"/>
        <v>850409</v>
      </c>
      <c r="K3593" s="51"/>
      <c r="L3593" s="48"/>
      <c r="M3593" s="51"/>
      <c r="N3593" s="19">
        <f>SUMIF('2020'!B:B,B3593,'2020'!C:C)+SUMIF('2021'!B:B,B3593,'2021'!C:C)+SUMIF('2022'!B:B,B3593,'2022'!C:C)</f>
        <v>850409</v>
      </c>
      <c r="O3593" s="219">
        <v>44925</v>
      </c>
      <c r="P3593" s="48" t="s">
        <v>3728</v>
      </c>
    </row>
    <row r="3594" spans="1:16" x14ac:dyDescent="0.3">
      <c r="A3594" s="59">
        <f t="shared" si="286"/>
        <v>3256</v>
      </c>
      <c r="B3594" s="66" t="s">
        <v>3440</v>
      </c>
      <c r="C3594" s="184">
        <v>1960</v>
      </c>
      <c r="D3594" s="51"/>
      <c r="E3594" s="48" t="s">
        <v>4090</v>
      </c>
      <c r="F3594" s="83">
        <v>2</v>
      </c>
      <c r="G3594" s="48"/>
      <c r="H3594" s="192">
        <v>395.08</v>
      </c>
      <c r="I3594" s="218">
        <v>10</v>
      </c>
      <c r="J3594" s="19">
        <f t="shared" si="287"/>
        <v>130000</v>
      </c>
      <c r="K3594" s="51"/>
      <c r="L3594" s="50"/>
      <c r="M3594" s="51"/>
      <c r="N3594" s="19">
        <f>SUMIF('2020'!B:B,B3594,'2020'!C:C)+SUMIF('2021'!B:B,B3594,'2021'!C:C)+SUMIF('2022'!B:B,B3594,'2022'!C:C)</f>
        <v>130000</v>
      </c>
      <c r="O3594" s="219">
        <v>44925</v>
      </c>
      <c r="P3594" s="48" t="s">
        <v>3728</v>
      </c>
    </row>
    <row r="3595" spans="1:16" x14ac:dyDescent="0.3">
      <c r="A3595" s="59">
        <f t="shared" si="286"/>
        <v>3257</v>
      </c>
      <c r="B3595" s="66" t="s">
        <v>3441</v>
      </c>
      <c r="C3595" s="184">
        <v>1963</v>
      </c>
      <c r="D3595" s="51"/>
      <c r="E3595" s="48" t="s">
        <v>4090</v>
      </c>
      <c r="F3595" s="83">
        <v>2</v>
      </c>
      <c r="G3595" s="48"/>
      <c r="H3595" s="192">
        <v>327.97</v>
      </c>
      <c r="I3595" s="218">
        <v>8</v>
      </c>
      <c r="J3595" s="19">
        <f t="shared" si="287"/>
        <v>130000</v>
      </c>
      <c r="K3595" s="51"/>
      <c r="L3595" s="48"/>
      <c r="M3595" s="51"/>
      <c r="N3595" s="19">
        <f>SUMIF('2020'!B:B,B3595,'2020'!C:C)+SUMIF('2021'!B:B,B3595,'2021'!C:C)+SUMIF('2022'!B:B,B3595,'2022'!C:C)</f>
        <v>130000</v>
      </c>
      <c r="O3595" s="219">
        <v>44925</v>
      </c>
      <c r="P3595" s="48" t="s">
        <v>3728</v>
      </c>
    </row>
    <row r="3596" spans="1:16" x14ac:dyDescent="0.3">
      <c r="A3596" s="59">
        <f t="shared" si="286"/>
        <v>3258</v>
      </c>
      <c r="B3596" s="66" t="s">
        <v>3442</v>
      </c>
      <c r="C3596" s="184">
        <v>1968</v>
      </c>
      <c r="D3596" s="51"/>
      <c r="E3596" s="48" t="s">
        <v>4090</v>
      </c>
      <c r="F3596" s="83">
        <v>2</v>
      </c>
      <c r="G3596" s="48"/>
      <c r="H3596" s="192">
        <v>263.5</v>
      </c>
      <c r="I3596" s="218">
        <v>6</v>
      </c>
      <c r="J3596" s="19">
        <f t="shared" si="287"/>
        <v>130000</v>
      </c>
      <c r="K3596" s="51"/>
      <c r="L3596" s="48"/>
      <c r="M3596" s="51"/>
      <c r="N3596" s="19">
        <f>SUMIF('2020'!B:B,B3596,'2020'!C:C)+SUMIF('2021'!B:B,B3596,'2021'!C:C)+SUMIF('2022'!B:B,B3596,'2022'!C:C)</f>
        <v>130000</v>
      </c>
      <c r="O3596" s="219">
        <v>44925</v>
      </c>
      <c r="P3596" s="48" t="s">
        <v>3728</v>
      </c>
    </row>
    <row r="3597" spans="1:16" x14ac:dyDescent="0.3">
      <c r="A3597" s="59">
        <f t="shared" si="286"/>
        <v>3259</v>
      </c>
      <c r="B3597" s="66" t="s">
        <v>3443</v>
      </c>
      <c r="C3597" s="184">
        <v>1968</v>
      </c>
      <c r="D3597" s="51"/>
      <c r="E3597" s="52" t="s">
        <v>3733</v>
      </c>
      <c r="F3597" s="83">
        <v>2</v>
      </c>
      <c r="G3597" s="48"/>
      <c r="H3597" s="192">
        <v>486.5</v>
      </c>
      <c r="I3597" s="218">
        <v>15</v>
      </c>
      <c r="J3597" s="19">
        <f t="shared" si="287"/>
        <v>130000</v>
      </c>
      <c r="K3597" s="51"/>
      <c r="L3597" s="50"/>
      <c r="M3597" s="51"/>
      <c r="N3597" s="19">
        <f>SUMIF('2020'!B:B,B3597,'2020'!C:C)+SUMIF('2021'!B:B,B3597,'2021'!C:C)+SUMIF('2022'!B:B,B3597,'2022'!C:C)</f>
        <v>130000</v>
      </c>
      <c r="O3597" s="219">
        <v>44925</v>
      </c>
      <c r="P3597" s="48" t="s">
        <v>3728</v>
      </c>
    </row>
    <row r="3598" spans="1:16" x14ac:dyDescent="0.3">
      <c r="A3598" s="59">
        <f t="shared" si="286"/>
        <v>3260</v>
      </c>
      <c r="B3598" s="66" t="s">
        <v>3444</v>
      </c>
      <c r="C3598" s="184">
        <v>1962</v>
      </c>
      <c r="D3598" s="51"/>
      <c r="E3598" s="52"/>
      <c r="F3598" s="83">
        <v>2</v>
      </c>
      <c r="G3598" s="48"/>
      <c r="H3598" s="192">
        <v>328.2</v>
      </c>
      <c r="I3598" s="218"/>
      <c r="J3598" s="19">
        <f t="shared" si="287"/>
        <v>130000</v>
      </c>
      <c r="K3598" s="51"/>
      <c r="L3598" s="50"/>
      <c r="M3598" s="51"/>
      <c r="N3598" s="19">
        <f>SUMIF('2020'!B:B,B3598,'2020'!C:C)+SUMIF('2021'!B:B,B3598,'2021'!C:C)+SUMIF('2022'!B:B,B3598,'2022'!C:C)</f>
        <v>130000</v>
      </c>
      <c r="O3598" s="219">
        <v>44925</v>
      </c>
      <c r="P3598" s="48" t="s">
        <v>3728</v>
      </c>
    </row>
    <row r="3599" spans="1:16" x14ac:dyDescent="0.3">
      <c r="A3599" s="59">
        <f t="shared" si="286"/>
        <v>3261</v>
      </c>
      <c r="B3599" s="66" t="s">
        <v>3445</v>
      </c>
      <c r="C3599" s="184">
        <v>1973</v>
      </c>
      <c r="D3599" s="51"/>
      <c r="E3599" s="52" t="s">
        <v>3733</v>
      </c>
      <c r="F3599" s="83">
        <v>2</v>
      </c>
      <c r="G3599" s="51"/>
      <c r="H3599" s="192">
        <v>724.1</v>
      </c>
      <c r="I3599" s="218">
        <v>27</v>
      </c>
      <c r="J3599" s="19">
        <f t="shared" si="287"/>
        <v>130000</v>
      </c>
      <c r="K3599" s="51"/>
      <c r="L3599" s="50"/>
      <c r="M3599" s="51"/>
      <c r="N3599" s="19">
        <f>SUMIF('2020'!B:B,B3599,'2020'!C:C)+SUMIF('2021'!B:B,B3599,'2021'!C:C)+SUMIF('2022'!B:B,B3599,'2022'!C:C)</f>
        <v>130000</v>
      </c>
      <c r="O3599" s="219">
        <v>44925</v>
      </c>
      <c r="P3599" s="48" t="s">
        <v>3728</v>
      </c>
    </row>
    <row r="3600" spans="1:16" x14ac:dyDescent="0.3">
      <c r="A3600" s="59">
        <f t="shared" ref="A3600:A3612" si="288">A3599+1</f>
        <v>3262</v>
      </c>
      <c r="B3600" s="66" t="s">
        <v>3446</v>
      </c>
      <c r="C3600" s="184">
        <v>1962</v>
      </c>
      <c r="D3600" s="51"/>
      <c r="E3600" s="52" t="s">
        <v>3733</v>
      </c>
      <c r="F3600" s="83">
        <v>2</v>
      </c>
      <c r="G3600" s="48"/>
      <c r="H3600" s="192">
        <v>308.14999999999998</v>
      </c>
      <c r="I3600" s="218">
        <v>19</v>
      </c>
      <c r="J3600" s="19">
        <f t="shared" si="287"/>
        <v>130000</v>
      </c>
      <c r="K3600" s="51"/>
      <c r="L3600" s="50"/>
      <c r="M3600" s="51"/>
      <c r="N3600" s="19">
        <f>SUMIF('2020'!B:B,B3600,'2020'!C:C)+SUMIF('2021'!B:B,B3600,'2021'!C:C)+SUMIF('2022'!B:B,B3600,'2022'!C:C)</f>
        <v>130000</v>
      </c>
      <c r="O3600" s="219">
        <v>44925</v>
      </c>
      <c r="P3600" s="48" t="s">
        <v>3728</v>
      </c>
    </row>
    <row r="3601" spans="1:16" x14ac:dyDescent="0.3">
      <c r="A3601" s="59">
        <f t="shared" si="288"/>
        <v>3263</v>
      </c>
      <c r="B3601" s="66" t="s">
        <v>3447</v>
      </c>
      <c r="C3601" s="184">
        <v>1974</v>
      </c>
      <c r="D3601" s="51"/>
      <c r="E3601" s="52" t="s">
        <v>3733</v>
      </c>
      <c r="F3601" s="83">
        <v>2</v>
      </c>
      <c r="G3601" s="51"/>
      <c r="H3601" s="192">
        <v>750.2</v>
      </c>
      <c r="I3601" s="218">
        <v>31</v>
      </c>
      <c r="J3601" s="19">
        <f t="shared" si="287"/>
        <v>130000</v>
      </c>
      <c r="K3601" s="51"/>
      <c r="L3601" s="48"/>
      <c r="M3601" s="51"/>
      <c r="N3601" s="19">
        <f>SUMIF('2020'!B:B,B3601,'2020'!C:C)+SUMIF('2021'!B:B,B3601,'2021'!C:C)+SUMIF('2022'!B:B,B3601,'2022'!C:C)</f>
        <v>130000</v>
      </c>
      <c r="O3601" s="219">
        <v>44925</v>
      </c>
      <c r="P3601" s="48" t="s">
        <v>3728</v>
      </c>
    </row>
    <row r="3602" spans="1:16" x14ac:dyDescent="0.3">
      <c r="A3602" s="59">
        <f t="shared" si="288"/>
        <v>3264</v>
      </c>
      <c r="B3602" s="66" t="s">
        <v>3448</v>
      </c>
      <c r="C3602" s="184">
        <v>1935</v>
      </c>
      <c r="D3602" s="51"/>
      <c r="E3602" s="52" t="s">
        <v>4090</v>
      </c>
      <c r="F3602" s="83">
        <v>2</v>
      </c>
      <c r="G3602" s="48"/>
      <c r="H3602" s="192">
        <v>230.7</v>
      </c>
      <c r="I3602" s="218">
        <v>15</v>
      </c>
      <c r="J3602" s="19">
        <f t="shared" ref="J3602:J3613" si="289">K3602+L3602+M3602+N3602</f>
        <v>171522</v>
      </c>
      <c r="K3602" s="51"/>
      <c r="L3602" s="50"/>
      <c r="M3602" s="51"/>
      <c r="N3602" s="19">
        <f>SUMIF('2020'!B:B,B3602,'2020'!C:C)+SUMIF('2021'!B:B,B3602,'2021'!C:C)+SUMIF('2022'!B:B,B3602,'2022'!C:C)</f>
        <v>171522</v>
      </c>
      <c r="O3602" s="219">
        <v>44925</v>
      </c>
      <c r="P3602" s="48" t="s">
        <v>3728</v>
      </c>
    </row>
    <row r="3603" spans="1:16" x14ac:dyDescent="0.3">
      <c r="A3603" s="59">
        <f t="shared" si="288"/>
        <v>3265</v>
      </c>
      <c r="B3603" s="66" t="s">
        <v>3449</v>
      </c>
      <c r="C3603" s="184">
        <v>1975</v>
      </c>
      <c r="D3603" s="51"/>
      <c r="E3603" s="52" t="s">
        <v>3733</v>
      </c>
      <c r="F3603" s="83">
        <v>2</v>
      </c>
      <c r="G3603" s="51"/>
      <c r="H3603" s="192">
        <v>745.9</v>
      </c>
      <c r="I3603" s="218">
        <v>19</v>
      </c>
      <c r="J3603" s="19">
        <f t="shared" si="289"/>
        <v>130000</v>
      </c>
      <c r="K3603" s="51"/>
      <c r="L3603" s="48"/>
      <c r="M3603" s="51"/>
      <c r="N3603" s="19">
        <f>SUMIF('2020'!B:B,B3603,'2020'!C:C)+SUMIF('2021'!B:B,B3603,'2021'!C:C)+SUMIF('2022'!B:B,B3603,'2022'!C:C)</f>
        <v>130000</v>
      </c>
      <c r="O3603" s="219">
        <v>44925</v>
      </c>
      <c r="P3603" s="48" t="s">
        <v>3728</v>
      </c>
    </row>
    <row r="3604" spans="1:16" x14ac:dyDescent="0.3">
      <c r="A3604" s="59">
        <f t="shared" si="288"/>
        <v>3266</v>
      </c>
      <c r="B3604" s="66" t="s">
        <v>3450</v>
      </c>
      <c r="C3604" s="184">
        <v>1975</v>
      </c>
      <c r="D3604" s="51"/>
      <c r="E3604" s="52" t="s">
        <v>3733</v>
      </c>
      <c r="F3604" s="83">
        <v>2</v>
      </c>
      <c r="G3604" s="51"/>
      <c r="H3604" s="192">
        <v>779.98</v>
      </c>
      <c r="I3604" s="218">
        <v>29</v>
      </c>
      <c r="J3604" s="19">
        <f t="shared" si="289"/>
        <v>130000</v>
      </c>
      <c r="K3604" s="51"/>
      <c r="L3604" s="48"/>
      <c r="M3604" s="51"/>
      <c r="N3604" s="19">
        <f>SUMIF('2020'!B:B,B3604,'2020'!C:C)+SUMIF('2021'!B:B,B3604,'2021'!C:C)+SUMIF('2022'!B:B,B3604,'2022'!C:C)</f>
        <v>130000</v>
      </c>
      <c r="O3604" s="219">
        <v>44925</v>
      </c>
      <c r="P3604" s="48" t="s">
        <v>3728</v>
      </c>
    </row>
    <row r="3605" spans="1:16" x14ac:dyDescent="0.3">
      <c r="A3605" s="59">
        <f t="shared" si="288"/>
        <v>3267</v>
      </c>
      <c r="B3605" s="66" t="s">
        <v>3451</v>
      </c>
      <c r="C3605" s="184">
        <v>1939</v>
      </c>
      <c r="D3605" s="51"/>
      <c r="E3605" s="52" t="s">
        <v>4090</v>
      </c>
      <c r="F3605" s="83">
        <v>2</v>
      </c>
      <c r="G3605" s="48"/>
      <c r="H3605" s="192">
        <v>114.31</v>
      </c>
      <c r="I3605" s="218">
        <v>9</v>
      </c>
      <c r="J3605" s="19">
        <f t="shared" si="289"/>
        <v>171522</v>
      </c>
      <c r="K3605" s="51"/>
      <c r="L3605" s="50"/>
      <c r="M3605" s="51"/>
      <c r="N3605" s="19">
        <f>SUMIF('2020'!B:B,B3605,'2020'!C:C)+SUMIF('2021'!B:B,B3605,'2021'!C:C)+SUMIF('2022'!B:B,B3605,'2022'!C:C)</f>
        <v>171522</v>
      </c>
      <c r="O3605" s="219">
        <v>44925</v>
      </c>
      <c r="P3605" s="48" t="s">
        <v>3728</v>
      </c>
    </row>
    <row r="3606" spans="1:16" x14ac:dyDescent="0.3">
      <c r="A3606" s="59">
        <f t="shared" si="288"/>
        <v>3268</v>
      </c>
      <c r="B3606" s="66" t="s">
        <v>3452</v>
      </c>
      <c r="C3606" s="184">
        <v>1975</v>
      </c>
      <c r="D3606" s="51"/>
      <c r="E3606" s="52" t="s">
        <v>3733</v>
      </c>
      <c r="F3606" s="83">
        <v>2</v>
      </c>
      <c r="G3606" s="51"/>
      <c r="H3606" s="192">
        <v>774.88</v>
      </c>
      <c r="I3606" s="218">
        <v>35</v>
      </c>
      <c r="J3606" s="19">
        <f t="shared" si="289"/>
        <v>130000</v>
      </c>
      <c r="K3606" s="51"/>
      <c r="L3606" s="50"/>
      <c r="M3606" s="51"/>
      <c r="N3606" s="19">
        <f>SUMIF('2020'!B:B,B3606,'2020'!C:C)+SUMIF('2021'!B:B,B3606,'2021'!C:C)+SUMIF('2022'!B:B,B3606,'2022'!C:C)</f>
        <v>130000</v>
      </c>
      <c r="O3606" s="219">
        <v>44925</v>
      </c>
      <c r="P3606" s="48" t="s">
        <v>3728</v>
      </c>
    </row>
    <row r="3607" spans="1:16" x14ac:dyDescent="0.3">
      <c r="A3607" s="59">
        <f t="shared" si="288"/>
        <v>3269</v>
      </c>
      <c r="B3607" s="66" t="s">
        <v>3453</v>
      </c>
      <c r="C3607" s="184">
        <v>1980</v>
      </c>
      <c r="D3607" s="51"/>
      <c r="E3607" s="52" t="s">
        <v>4090</v>
      </c>
      <c r="F3607" s="83">
        <v>2</v>
      </c>
      <c r="G3607" s="51"/>
      <c r="H3607" s="192">
        <v>322.39999999999998</v>
      </c>
      <c r="I3607" s="218">
        <v>12</v>
      </c>
      <c r="J3607" s="19">
        <f t="shared" si="289"/>
        <v>130000</v>
      </c>
      <c r="K3607" s="51"/>
      <c r="L3607" s="48"/>
      <c r="M3607" s="51"/>
      <c r="N3607" s="19">
        <f>SUMIF('2020'!B:B,B3607,'2020'!C:C)+SUMIF('2021'!B:B,B3607,'2021'!C:C)+SUMIF('2022'!B:B,B3607,'2022'!C:C)</f>
        <v>130000</v>
      </c>
      <c r="O3607" s="219">
        <v>44925</v>
      </c>
      <c r="P3607" s="48" t="s">
        <v>3728</v>
      </c>
    </row>
    <row r="3608" spans="1:16" x14ac:dyDescent="0.3">
      <c r="A3608" s="59">
        <f t="shared" si="288"/>
        <v>3270</v>
      </c>
      <c r="B3608" s="66" t="s">
        <v>3454</v>
      </c>
      <c r="C3608" s="184">
        <v>1948</v>
      </c>
      <c r="D3608" s="51"/>
      <c r="E3608" s="52" t="s">
        <v>4090</v>
      </c>
      <c r="F3608" s="83">
        <v>2</v>
      </c>
      <c r="G3608" s="48"/>
      <c r="H3608" s="192">
        <v>292.2</v>
      </c>
      <c r="I3608" s="218">
        <v>14</v>
      </c>
      <c r="J3608" s="19">
        <f t="shared" si="289"/>
        <v>171522</v>
      </c>
      <c r="K3608" s="51"/>
      <c r="L3608" s="48"/>
      <c r="M3608" s="51"/>
      <c r="N3608" s="19">
        <f>SUMIF('2020'!B:B,B3608,'2020'!C:C)+SUMIF('2021'!B:B,B3608,'2021'!C:C)+SUMIF('2022'!B:B,B3608,'2022'!C:C)</f>
        <v>171522</v>
      </c>
      <c r="O3608" s="219">
        <v>44925</v>
      </c>
      <c r="P3608" s="48" t="s">
        <v>3728</v>
      </c>
    </row>
    <row r="3609" spans="1:16" x14ac:dyDescent="0.3">
      <c r="A3609" s="59">
        <f t="shared" si="288"/>
        <v>3271</v>
      </c>
      <c r="B3609" s="66" t="s">
        <v>3455</v>
      </c>
      <c r="C3609" s="184">
        <v>1940</v>
      </c>
      <c r="D3609" s="51"/>
      <c r="E3609" s="48" t="s">
        <v>4090</v>
      </c>
      <c r="F3609" s="83">
        <v>2</v>
      </c>
      <c r="G3609" s="48"/>
      <c r="H3609" s="192">
        <v>250.9</v>
      </c>
      <c r="I3609" s="218">
        <v>8</v>
      </c>
      <c r="J3609" s="19">
        <f t="shared" si="289"/>
        <v>130000</v>
      </c>
      <c r="K3609" s="51"/>
      <c r="L3609" s="50"/>
      <c r="M3609" s="51"/>
      <c r="N3609" s="19">
        <f>SUMIF('2020'!B:B,B3609,'2020'!C:C)+SUMIF('2021'!B:B,B3609,'2021'!C:C)+SUMIF('2022'!B:B,B3609,'2022'!C:C)</f>
        <v>130000</v>
      </c>
      <c r="O3609" s="219">
        <v>44925</v>
      </c>
      <c r="P3609" s="48" t="s">
        <v>3728</v>
      </c>
    </row>
    <row r="3610" spans="1:16" x14ac:dyDescent="0.3">
      <c r="A3610" s="59">
        <f t="shared" si="288"/>
        <v>3272</v>
      </c>
      <c r="B3610" s="66" t="s">
        <v>3456</v>
      </c>
      <c r="C3610" s="184">
        <v>1964</v>
      </c>
      <c r="D3610" s="51"/>
      <c r="E3610" s="254" t="s">
        <v>4090</v>
      </c>
      <c r="F3610" s="83">
        <v>2</v>
      </c>
      <c r="G3610" s="48"/>
      <c r="H3610" s="192">
        <v>351.9</v>
      </c>
      <c r="I3610" s="218">
        <v>10</v>
      </c>
      <c r="J3610" s="19">
        <f t="shared" si="289"/>
        <v>130000</v>
      </c>
      <c r="K3610" s="51"/>
      <c r="L3610" s="50"/>
      <c r="M3610" s="51"/>
      <c r="N3610" s="19">
        <f>SUMIF('2020'!B:B,B3610,'2020'!C:C)+SUMIF('2021'!B:B,B3610,'2021'!C:C)+SUMIF('2022'!B:B,B3610,'2022'!C:C)</f>
        <v>130000</v>
      </c>
      <c r="O3610" s="219">
        <v>44925</v>
      </c>
      <c r="P3610" s="48" t="s">
        <v>3728</v>
      </c>
    </row>
    <row r="3611" spans="1:16" x14ac:dyDescent="0.3">
      <c r="A3611" s="59">
        <f t="shared" si="288"/>
        <v>3273</v>
      </c>
      <c r="B3611" s="66" t="s">
        <v>3457</v>
      </c>
      <c r="C3611" s="184">
        <v>1940</v>
      </c>
      <c r="D3611" s="51"/>
      <c r="E3611" s="275" t="s">
        <v>4090</v>
      </c>
      <c r="F3611" s="83">
        <v>2</v>
      </c>
      <c r="G3611" s="48"/>
      <c r="H3611" s="192">
        <v>256</v>
      </c>
      <c r="I3611" s="218">
        <v>7</v>
      </c>
      <c r="J3611" s="19">
        <f t="shared" si="289"/>
        <v>171522</v>
      </c>
      <c r="K3611" s="51"/>
      <c r="L3611" s="50"/>
      <c r="M3611" s="51"/>
      <c r="N3611" s="19">
        <f>SUMIF('2020'!B:B,B3611,'2020'!C:C)+SUMIF('2021'!B:B,B3611,'2021'!C:C)+SUMIF('2022'!B:B,B3611,'2022'!C:C)</f>
        <v>171522</v>
      </c>
      <c r="O3611" s="219">
        <v>44925</v>
      </c>
      <c r="P3611" s="48" t="s">
        <v>3728</v>
      </c>
    </row>
    <row r="3612" spans="1:16" x14ac:dyDescent="0.3">
      <c r="A3612" s="59">
        <f t="shared" si="288"/>
        <v>3274</v>
      </c>
      <c r="B3612" s="66" t="s">
        <v>3458</v>
      </c>
      <c r="C3612" s="184">
        <v>1980</v>
      </c>
      <c r="D3612" s="51"/>
      <c r="E3612" s="254" t="s">
        <v>4090</v>
      </c>
      <c r="F3612" s="83">
        <v>2</v>
      </c>
      <c r="G3612" s="51"/>
      <c r="H3612" s="192">
        <v>213.4</v>
      </c>
      <c r="I3612" s="218">
        <v>12</v>
      </c>
      <c r="J3612" s="19">
        <f t="shared" si="289"/>
        <v>546342.40000000002</v>
      </c>
      <c r="K3612" s="51"/>
      <c r="L3612" s="50"/>
      <c r="M3612" s="51"/>
      <c r="N3612" s="19">
        <f>SUMIF('2020'!B:B,B3612,'2020'!C:C)+SUMIF('2021'!B:B,B3612,'2021'!C:C)+SUMIF('2022'!B:B,B3612,'2022'!C:C)</f>
        <v>546342.40000000002</v>
      </c>
      <c r="O3612" s="219">
        <v>44925</v>
      </c>
      <c r="P3612" s="48" t="s">
        <v>3728</v>
      </c>
    </row>
    <row r="3613" spans="1:16" x14ac:dyDescent="0.3">
      <c r="A3613" s="474" t="s">
        <v>211</v>
      </c>
      <c r="B3613" s="475"/>
      <c r="C3613" s="50"/>
      <c r="D3613" s="50"/>
      <c r="E3613" s="48"/>
      <c r="F3613" s="48"/>
      <c r="G3613" s="50"/>
      <c r="H3613" s="48">
        <f>SUM(H3588:H3612)</f>
        <v>10626.05</v>
      </c>
      <c r="I3613" s="218">
        <f>SUM(I3588:I3612)</f>
        <v>398</v>
      </c>
      <c r="J3613" s="19">
        <f t="shared" si="289"/>
        <v>4552839.4000000004</v>
      </c>
      <c r="K3613" s="50">
        <v>0</v>
      </c>
      <c r="L3613" s="50">
        <v>0</v>
      </c>
      <c r="M3613" s="50">
        <v>0</v>
      </c>
      <c r="N3613" s="50">
        <f>SUM(N3588:N3612)</f>
        <v>4552839.4000000004</v>
      </c>
      <c r="O3613" s="50"/>
      <c r="P3613" s="50"/>
    </row>
    <row r="3614" spans="1:16" s="160" customFormat="1" x14ac:dyDescent="0.3">
      <c r="A3614" s="479" t="s">
        <v>3459</v>
      </c>
      <c r="B3614" s="480"/>
      <c r="C3614" s="67"/>
      <c r="D3614" s="67"/>
      <c r="E3614" s="172"/>
      <c r="F3614" s="172"/>
      <c r="G3614" s="67"/>
      <c r="H3614" s="67">
        <f t="shared" ref="H3614:M3614" si="290">H3613+H3586+H3360+H3350</f>
        <v>691907.55999999994</v>
      </c>
      <c r="I3614" s="67">
        <f t="shared" si="290"/>
        <v>27878</v>
      </c>
      <c r="J3614" s="67">
        <f t="shared" si="290"/>
        <v>756653796.34000015</v>
      </c>
      <c r="K3614" s="67">
        <f t="shared" si="290"/>
        <v>0</v>
      </c>
      <c r="L3614" s="67">
        <f t="shared" si="290"/>
        <v>0</v>
      </c>
      <c r="M3614" s="67">
        <f t="shared" si="290"/>
        <v>0</v>
      </c>
      <c r="N3614" s="67">
        <f>N3613+N3586+N3360+N3350</f>
        <v>756653796.34000015</v>
      </c>
      <c r="O3614" s="67"/>
      <c r="P3614" s="67"/>
    </row>
    <row r="3615" spans="1:16" s="160" customFormat="1" x14ac:dyDescent="0.3">
      <c r="A3615" s="464" t="s">
        <v>3460</v>
      </c>
      <c r="B3615" s="465"/>
      <c r="C3615" s="465"/>
      <c r="D3615" s="465"/>
      <c r="E3615" s="465"/>
      <c r="F3615" s="465"/>
      <c r="G3615" s="465"/>
      <c r="H3615" s="465"/>
      <c r="I3615" s="465"/>
      <c r="J3615" s="465"/>
      <c r="K3615" s="465"/>
      <c r="L3615" s="465"/>
      <c r="M3615" s="465"/>
      <c r="N3615" s="465"/>
      <c r="O3615" s="465"/>
      <c r="P3615" s="466"/>
    </row>
    <row r="3616" spans="1:16" x14ac:dyDescent="0.3">
      <c r="A3616" s="461" t="s">
        <v>3461</v>
      </c>
      <c r="B3616" s="462"/>
      <c r="C3616" s="50"/>
      <c r="D3616" s="51"/>
      <c r="E3616" s="52"/>
      <c r="F3616" s="52"/>
      <c r="G3616" s="51"/>
      <c r="H3616" s="52"/>
      <c r="I3616" s="47"/>
      <c r="J3616" s="51"/>
      <c r="K3616" s="51"/>
      <c r="L3616" s="50"/>
      <c r="M3616" s="51"/>
      <c r="N3616" s="51"/>
      <c r="O3616" s="50"/>
      <c r="P3616" s="50"/>
    </row>
    <row r="3617" spans="1:16" x14ac:dyDescent="0.3">
      <c r="A3617" s="59">
        <f>A3612+1</f>
        <v>3275</v>
      </c>
      <c r="B3617" s="66" t="s">
        <v>3462</v>
      </c>
      <c r="C3617" s="184">
        <v>1972</v>
      </c>
      <c r="D3617" s="51"/>
      <c r="E3617" s="184" t="s">
        <v>3733</v>
      </c>
      <c r="F3617" s="47">
        <v>2</v>
      </c>
      <c r="G3617" s="192"/>
      <c r="H3617" s="192">
        <v>492.9</v>
      </c>
      <c r="I3617" s="47">
        <v>25</v>
      </c>
      <c r="J3617" s="19">
        <f t="shared" ref="J3617:J3680" si="291">K3617+L3617+M3617+N3617</f>
        <v>423890.66000000003</v>
      </c>
      <c r="K3617" s="51"/>
      <c r="L3617" s="50"/>
      <c r="M3617" s="51"/>
      <c r="N3617" s="19">
        <f>SUMIF('2020'!B:B,B3617,'2020'!C:C)+SUMIF('2021'!B:B,B3617,'2021'!C:C)+SUMIF('2022'!B:B,B3617,'2022'!C:C)</f>
        <v>423890.66000000003</v>
      </c>
      <c r="O3617" s="219">
        <v>44925</v>
      </c>
      <c r="P3617" s="48" t="s">
        <v>3728</v>
      </c>
    </row>
    <row r="3618" spans="1:16" x14ac:dyDescent="0.3">
      <c r="A3618" s="59">
        <f>A3617+1</f>
        <v>3276</v>
      </c>
      <c r="B3618" s="66" t="s">
        <v>3463</v>
      </c>
      <c r="C3618" s="184">
        <v>1956</v>
      </c>
      <c r="D3618" s="51"/>
      <c r="E3618" s="184" t="s">
        <v>3733</v>
      </c>
      <c r="F3618" s="47">
        <v>2</v>
      </c>
      <c r="G3618" s="58"/>
      <c r="H3618" s="192">
        <v>388.8</v>
      </c>
      <c r="I3618" s="47">
        <v>15</v>
      </c>
      <c r="J3618" s="19">
        <f t="shared" si="291"/>
        <v>365877.01</v>
      </c>
      <c r="K3618" s="51"/>
      <c r="L3618" s="50"/>
      <c r="M3618" s="51"/>
      <c r="N3618" s="19">
        <f>SUMIF('2020'!B:B,B3618,'2020'!C:C)+SUMIF('2021'!B:B,B3618,'2021'!C:C)+SUMIF('2022'!B:B,B3618,'2022'!C:C)</f>
        <v>365877.01</v>
      </c>
      <c r="O3618" s="219">
        <v>44925</v>
      </c>
      <c r="P3618" s="48" t="s">
        <v>3728</v>
      </c>
    </row>
    <row r="3619" spans="1:16" x14ac:dyDescent="0.3">
      <c r="A3619" s="59">
        <f t="shared" ref="A3619:A3664" si="292">A3618+1</f>
        <v>3277</v>
      </c>
      <c r="B3619" s="66" t="s">
        <v>3464</v>
      </c>
      <c r="C3619" s="184">
        <v>1972</v>
      </c>
      <c r="D3619" s="51"/>
      <c r="E3619" s="184" t="s">
        <v>3733</v>
      </c>
      <c r="F3619" s="47">
        <v>2</v>
      </c>
      <c r="G3619" s="58"/>
      <c r="H3619" s="59">
        <v>389.8</v>
      </c>
      <c r="I3619" s="47">
        <v>20</v>
      </c>
      <c r="J3619" s="19">
        <f t="shared" si="291"/>
        <v>252954.28999999998</v>
      </c>
      <c r="K3619" s="51"/>
      <c r="L3619" s="50"/>
      <c r="M3619" s="51"/>
      <c r="N3619" s="19">
        <f>SUMIF('2020'!B:B,B3619,'2020'!C:C)+SUMIF('2021'!B:B,B3619,'2021'!C:C)+SUMIF('2022'!B:B,B3619,'2022'!C:C)</f>
        <v>252954.28999999998</v>
      </c>
      <c r="O3619" s="219">
        <v>44925</v>
      </c>
      <c r="P3619" s="48" t="s">
        <v>3728</v>
      </c>
    </row>
    <row r="3620" spans="1:16" x14ac:dyDescent="0.3">
      <c r="A3620" s="59">
        <f t="shared" si="292"/>
        <v>3278</v>
      </c>
      <c r="B3620" s="66" t="s">
        <v>3465</v>
      </c>
      <c r="C3620" s="184">
        <v>1966</v>
      </c>
      <c r="D3620" s="51"/>
      <c r="E3620" s="184" t="s">
        <v>3733</v>
      </c>
      <c r="F3620" s="47">
        <v>2</v>
      </c>
      <c r="G3620" s="58"/>
      <c r="H3620" s="59">
        <v>532.29999999999995</v>
      </c>
      <c r="I3620" s="47">
        <v>33</v>
      </c>
      <c r="J3620" s="19">
        <f t="shared" si="291"/>
        <v>330129.74</v>
      </c>
      <c r="K3620" s="51"/>
      <c r="L3620" s="50"/>
      <c r="M3620" s="51"/>
      <c r="N3620" s="19">
        <f>SUMIF('2020'!B:B,B3620,'2020'!C:C)+SUMIF('2021'!B:B,B3620,'2021'!C:C)+SUMIF('2022'!B:B,B3620,'2022'!C:C)</f>
        <v>330129.74</v>
      </c>
      <c r="O3620" s="219">
        <v>44925</v>
      </c>
      <c r="P3620" s="48" t="s">
        <v>3728</v>
      </c>
    </row>
    <row r="3621" spans="1:16" x14ac:dyDescent="0.3">
      <c r="A3621" s="59">
        <f t="shared" si="292"/>
        <v>3279</v>
      </c>
      <c r="B3621" s="66" t="s">
        <v>3466</v>
      </c>
      <c r="C3621" s="184">
        <v>1960</v>
      </c>
      <c r="D3621" s="51"/>
      <c r="E3621" s="184" t="s">
        <v>3733</v>
      </c>
      <c r="F3621" s="47">
        <v>2</v>
      </c>
      <c r="G3621" s="58"/>
      <c r="H3621" s="59">
        <v>430.9</v>
      </c>
      <c r="I3621" s="47">
        <v>16</v>
      </c>
      <c r="J3621" s="19">
        <f t="shared" si="291"/>
        <v>459468.6</v>
      </c>
      <c r="K3621" s="51"/>
      <c r="L3621" s="50"/>
      <c r="M3621" s="51"/>
      <c r="N3621" s="19">
        <f>SUMIF('2020'!B:B,B3621,'2020'!C:C)+SUMIF('2021'!B:B,B3621,'2021'!C:C)+SUMIF('2022'!B:B,B3621,'2022'!C:C)</f>
        <v>459468.6</v>
      </c>
      <c r="O3621" s="219">
        <v>44925</v>
      </c>
      <c r="P3621" s="48" t="s">
        <v>3728</v>
      </c>
    </row>
    <row r="3622" spans="1:16" x14ac:dyDescent="0.3">
      <c r="A3622" s="59">
        <f t="shared" si="292"/>
        <v>3280</v>
      </c>
      <c r="B3622" s="66" t="s">
        <v>3467</v>
      </c>
      <c r="C3622" s="184">
        <v>1958</v>
      </c>
      <c r="D3622" s="51"/>
      <c r="E3622" s="184" t="s">
        <v>3733</v>
      </c>
      <c r="F3622" s="47">
        <v>2</v>
      </c>
      <c r="G3622" s="58"/>
      <c r="H3622" s="59">
        <v>476.5</v>
      </c>
      <c r="I3622" s="47">
        <v>16</v>
      </c>
      <c r="J3622" s="19">
        <f t="shared" si="291"/>
        <v>5795243.4400000004</v>
      </c>
      <c r="K3622" s="51"/>
      <c r="L3622" s="50"/>
      <c r="M3622" s="51"/>
      <c r="N3622" s="19">
        <f>SUMIF('2020'!B:B,B3622,'2020'!C:C)+SUMIF('2021'!B:B,B3622,'2021'!C:C)+SUMIF('2022'!B:B,B3622,'2022'!C:C)</f>
        <v>5795243.4400000004</v>
      </c>
      <c r="O3622" s="219">
        <v>44925</v>
      </c>
      <c r="P3622" s="48" t="s">
        <v>3728</v>
      </c>
    </row>
    <row r="3623" spans="1:16" x14ac:dyDescent="0.3">
      <c r="A3623" s="59">
        <f t="shared" si="292"/>
        <v>3281</v>
      </c>
      <c r="B3623" s="66" t="s">
        <v>3468</v>
      </c>
      <c r="C3623" s="184">
        <v>1960</v>
      </c>
      <c r="D3623" s="51"/>
      <c r="E3623" s="184" t="s">
        <v>3733</v>
      </c>
      <c r="F3623" s="47">
        <v>2</v>
      </c>
      <c r="G3623" s="58"/>
      <c r="H3623" s="59">
        <v>465.5</v>
      </c>
      <c r="I3623" s="47">
        <v>27</v>
      </c>
      <c r="J3623" s="19">
        <f t="shared" si="291"/>
        <v>457179.39</v>
      </c>
      <c r="K3623" s="51"/>
      <c r="L3623" s="50"/>
      <c r="M3623" s="51"/>
      <c r="N3623" s="19">
        <f>SUMIF('2020'!B:B,B3623,'2020'!C:C)+SUMIF('2021'!B:B,B3623,'2021'!C:C)+SUMIF('2022'!B:B,B3623,'2022'!C:C)</f>
        <v>457179.39</v>
      </c>
      <c r="O3623" s="219">
        <v>44925</v>
      </c>
      <c r="P3623" s="48" t="s">
        <v>3728</v>
      </c>
    </row>
    <row r="3624" spans="1:16" x14ac:dyDescent="0.3">
      <c r="A3624" s="59">
        <f t="shared" si="292"/>
        <v>3282</v>
      </c>
      <c r="B3624" s="66" t="s">
        <v>3469</v>
      </c>
      <c r="C3624" s="184">
        <v>1957</v>
      </c>
      <c r="D3624" s="51"/>
      <c r="E3624" s="184" t="s">
        <v>3733</v>
      </c>
      <c r="F3624" s="47">
        <v>2</v>
      </c>
      <c r="G3624" s="58"/>
      <c r="H3624" s="59">
        <v>477.9</v>
      </c>
      <c r="I3624" s="47">
        <v>13</v>
      </c>
      <c r="J3624" s="19">
        <f t="shared" si="291"/>
        <v>456724.02</v>
      </c>
      <c r="K3624" s="51"/>
      <c r="L3624" s="50"/>
      <c r="M3624" s="51"/>
      <c r="N3624" s="19">
        <f>SUMIF('2020'!B:B,B3624,'2020'!C:C)+SUMIF('2021'!B:B,B3624,'2021'!C:C)+SUMIF('2022'!B:B,B3624,'2022'!C:C)</f>
        <v>456724.02</v>
      </c>
      <c r="O3624" s="219">
        <v>44925</v>
      </c>
      <c r="P3624" s="48" t="s">
        <v>3728</v>
      </c>
    </row>
    <row r="3625" spans="1:16" x14ac:dyDescent="0.3">
      <c r="A3625" s="59">
        <f t="shared" si="292"/>
        <v>3283</v>
      </c>
      <c r="B3625" s="66" t="s">
        <v>3470</v>
      </c>
      <c r="C3625" s="184">
        <v>1957</v>
      </c>
      <c r="D3625" s="51"/>
      <c r="E3625" s="184" t="s">
        <v>3733</v>
      </c>
      <c r="F3625" s="47">
        <v>2</v>
      </c>
      <c r="G3625" s="58"/>
      <c r="H3625" s="59">
        <v>463.5</v>
      </c>
      <c r="I3625" s="47">
        <v>17</v>
      </c>
      <c r="J3625" s="19">
        <f t="shared" si="291"/>
        <v>5617226.9800000004</v>
      </c>
      <c r="K3625" s="51"/>
      <c r="L3625" s="50"/>
      <c r="M3625" s="51"/>
      <c r="N3625" s="19">
        <f>SUMIF('2020'!B:B,B3625,'2020'!C:C)+SUMIF('2021'!B:B,B3625,'2021'!C:C)+SUMIF('2022'!B:B,B3625,'2022'!C:C)</f>
        <v>5617226.9800000004</v>
      </c>
      <c r="O3625" s="219">
        <v>44925</v>
      </c>
      <c r="P3625" s="48" t="s">
        <v>3728</v>
      </c>
    </row>
    <row r="3626" spans="1:16" x14ac:dyDescent="0.3">
      <c r="A3626" s="59">
        <f t="shared" si="292"/>
        <v>3284</v>
      </c>
      <c r="B3626" s="66" t="s">
        <v>3471</v>
      </c>
      <c r="C3626" s="184">
        <v>1953</v>
      </c>
      <c r="D3626" s="51"/>
      <c r="E3626" s="52" t="s">
        <v>4177</v>
      </c>
      <c r="F3626" s="47">
        <v>2</v>
      </c>
      <c r="G3626" s="58"/>
      <c r="H3626" s="59">
        <v>440.8</v>
      </c>
      <c r="I3626" s="47">
        <v>20</v>
      </c>
      <c r="J3626" s="19">
        <f t="shared" si="291"/>
        <v>644089.44999999995</v>
      </c>
      <c r="K3626" s="51"/>
      <c r="L3626" s="50"/>
      <c r="M3626" s="51"/>
      <c r="N3626" s="19">
        <f>SUMIF('2020'!B:B,B3626,'2020'!C:C)+SUMIF('2021'!B:B,B3626,'2021'!C:C)+SUMIF('2022'!B:B,B3626,'2022'!C:C)</f>
        <v>644089.44999999995</v>
      </c>
      <c r="O3626" s="219">
        <v>44925</v>
      </c>
      <c r="P3626" s="48" t="s">
        <v>3728</v>
      </c>
    </row>
    <row r="3627" spans="1:16" x14ac:dyDescent="0.3">
      <c r="A3627" s="59">
        <f t="shared" si="292"/>
        <v>3285</v>
      </c>
      <c r="B3627" s="66" t="s">
        <v>3472</v>
      </c>
      <c r="C3627" s="184">
        <v>1981</v>
      </c>
      <c r="D3627" s="51"/>
      <c r="E3627" s="52" t="s">
        <v>3733</v>
      </c>
      <c r="F3627" s="47">
        <v>2</v>
      </c>
      <c r="G3627" s="51"/>
      <c r="H3627" s="52">
        <v>545</v>
      </c>
      <c r="I3627" s="47">
        <v>24</v>
      </c>
      <c r="J3627" s="19">
        <f t="shared" si="291"/>
        <v>319122.94</v>
      </c>
      <c r="K3627" s="51"/>
      <c r="L3627" s="50"/>
      <c r="M3627" s="51"/>
      <c r="N3627" s="19">
        <f>SUMIF('2020'!B:B,B3627,'2020'!C:C)+SUMIF('2021'!B:B,B3627,'2021'!C:C)+SUMIF('2022'!B:B,B3627,'2022'!C:C)</f>
        <v>319122.94</v>
      </c>
      <c r="O3627" s="219">
        <v>44925</v>
      </c>
      <c r="P3627" s="48" t="s">
        <v>3728</v>
      </c>
    </row>
    <row r="3628" spans="1:16" x14ac:dyDescent="0.3">
      <c r="A3628" s="59">
        <f t="shared" si="292"/>
        <v>3286</v>
      </c>
      <c r="B3628" s="66" t="s">
        <v>3473</v>
      </c>
      <c r="C3628" s="184">
        <v>1974</v>
      </c>
      <c r="D3628" s="51"/>
      <c r="E3628" s="52" t="s">
        <v>3739</v>
      </c>
      <c r="F3628" s="47">
        <v>5</v>
      </c>
      <c r="G3628" s="51"/>
      <c r="H3628" s="52">
        <v>3103.6</v>
      </c>
      <c r="I3628" s="47">
        <v>159</v>
      </c>
      <c r="J3628" s="19">
        <f t="shared" si="291"/>
        <v>952260.14999999991</v>
      </c>
      <c r="K3628" s="51"/>
      <c r="L3628" s="50"/>
      <c r="M3628" s="51"/>
      <c r="N3628" s="19">
        <f>SUMIF('2020'!B:B,B3628,'2020'!C:C)+SUMIF('2021'!B:B,B3628,'2021'!C:C)+SUMIF('2022'!B:B,B3628,'2022'!C:C)</f>
        <v>952260.14999999991</v>
      </c>
      <c r="O3628" s="219">
        <v>44925</v>
      </c>
      <c r="P3628" s="48" t="s">
        <v>3728</v>
      </c>
    </row>
    <row r="3629" spans="1:16" x14ac:dyDescent="0.3">
      <c r="A3629" s="59">
        <f t="shared" si="292"/>
        <v>3287</v>
      </c>
      <c r="B3629" s="66" t="s">
        <v>3474</v>
      </c>
      <c r="C3629" s="184">
        <v>1961</v>
      </c>
      <c r="D3629" s="51"/>
      <c r="E3629" s="52" t="s">
        <v>3733</v>
      </c>
      <c r="F3629" s="47">
        <v>2</v>
      </c>
      <c r="G3629" s="51"/>
      <c r="H3629" s="52">
        <v>366.3</v>
      </c>
      <c r="I3629" s="47">
        <v>25</v>
      </c>
      <c r="J3629" s="19">
        <f t="shared" si="291"/>
        <v>607447.84</v>
      </c>
      <c r="K3629" s="51"/>
      <c r="L3629" s="50"/>
      <c r="M3629" s="51"/>
      <c r="N3629" s="19">
        <f>SUMIF('2020'!B:B,B3629,'2020'!C:C)+SUMIF('2021'!B:B,B3629,'2021'!C:C)+SUMIF('2022'!B:B,B3629,'2022'!C:C)</f>
        <v>607447.84</v>
      </c>
      <c r="O3629" s="219">
        <v>44925</v>
      </c>
      <c r="P3629" s="48" t="s">
        <v>3728</v>
      </c>
    </row>
    <row r="3630" spans="1:16" x14ac:dyDescent="0.3">
      <c r="A3630" s="59">
        <f t="shared" si="292"/>
        <v>3288</v>
      </c>
      <c r="B3630" s="66" t="s">
        <v>3475</v>
      </c>
      <c r="C3630" s="184">
        <v>1978</v>
      </c>
      <c r="D3630" s="51"/>
      <c r="E3630" s="52" t="s">
        <v>3731</v>
      </c>
      <c r="F3630" s="47">
        <v>5</v>
      </c>
      <c r="G3630" s="51"/>
      <c r="H3630" s="52">
        <v>3245.6</v>
      </c>
      <c r="I3630" s="47">
        <v>158</v>
      </c>
      <c r="J3630" s="19">
        <f t="shared" si="291"/>
        <v>452862.1</v>
      </c>
      <c r="K3630" s="51"/>
      <c r="L3630" s="50"/>
      <c r="M3630" s="51"/>
      <c r="N3630" s="19">
        <f>SUMIF('2020'!B:B,B3630,'2020'!C:C)+SUMIF('2021'!B:B,B3630,'2021'!C:C)+SUMIF('2022'!B:B,B3630,'2022'!C:C)</f>
        <v>452862.1</v>
      </c>
      <c r="O3630" s="219">
        <v>44925</v>
      </c>
      <c r="P3630" s="48" t="s">
        <v>3728</v>
      </c>
    </row>
    <row r="3631" spans="1:16" x14ac:dyDescent="0.3">
      <c r="A3631" s="59">
        <f t="shared" si="292"/>
        <v>3289</v>
      </c>
      <c r="B3631" s="66" t="s">
        <v>3476</v>
      </c>
      <c r="C3631" s="184">
        <v>1978</v>
      </c>
      <c r="D3631" s="51"/>
      <c r="E3631" s="52" t="s">
        <v>3733</v>
      </c>
      <c r="F3631" s="47">
        <v>5</v>
      </c>
      <c r="G3631" s="51"/>
      <c r="H3631" s="52">
        <v>2819.1</v>
      </c>
      <c r="I3631" s="47">
        <v>126</v>
      </c>
      <c r="J3631" s="19">
        <f t="shared" si="291"/>
        <v>784112.98</v>
      </c>
      <c r="K3631" s="51"/>
      <c r="L3631" s="50"/>
      <c r="M3631" s="51"/>
      <c r="N3631" s="19">
        <f>SUMIF('2020'!B:B,B3631,'2020'!C:C)+SUMIF('2021'!B:B,B3631,'2021'!C:C)+SUMIF('2022'!B:B,B3631,'2022'!C:C)</f>
        <v>784112.98</v>
      </c>
      <c r="O3631" s="219">
        <v>44925</v>
      </c>
      <c r="P3631" s="48" t="s">
        <v>3728</v>
      </c>
    </row>
    <row r="3632" spans="1:16" x14ac:dyDescent="0.3">
      <c r="A3632" s="59">
        <f t="shared" si="292"/>
        <v>3290</v>
      </c>
      <c r="B3632" s="66" t="s">
        <v>3477</v>
      </c>
      <c r="C3632" s="184">
        <v>1963</v>
      </c>
      <c r="D3632" s="51"/>
      <c r="E3632" s="52" t="s">
        <v>3733</v>
      </c>
      <c r="F3632" s="47">
        <v>2</v>
      </c>
      <c r="G3632" s="51"/>
      <c r="H3632" s="52">
        <v>351.3</v>
      </c>
      <c r="I3632" s="47">
        <v>16</v>
      </c>
      <c r="J3632" s="19">
        <f t="shared" si="291"/>
        <v>620842.62</v>
      </c>
      <c r="K3632" s="51"/>
      <c r="L3632" s="50"/>
      <c r="M3632" s="51"/>
      <c r="N3632" s="19">
        <f>SUMIF('2020'!B:B,B3632,'2020'!C:C)+SUMIF('2021'!B:B,B3632,'2021'!C:C)+SUMIF('2022'!B:B,B3632,'2022'!C:C)</f>
        <v>620842.62</v>
      </c>
      <c r="O3632" s="219">
        <v>44925</v>
      </c>
      <c r="P3632" s="48" t="s">
        <v>3728</v>
      </c>
    </row>
    <row r="3633" spans="1:16" x14ac:dyDescent="0.3">
      <c r="A3633" s="59">
        <f t="shared" si="292"/>
        <v>3291</v>
      </c>
      <c r="B3633" s="66" t="s">
        <v>3478</v>
      </c>
      <c r="C3633" s="184">
        <v>1983</v>
      </c>
      <c r="D3633" s="51"/>
      <c r="E3633" s="52" t="s">
        <v>3731</v>
      </c>
      <c r="F3633" s="47">
        <v>5</v>
      </c>
      <c r="G3633" s="51"/>
      <c r="H3633" s="52">
        <v>3723</v>
      </c>
      <c r="I3633" s="47">
        <v>193</v>
      </c>
      <c r="J3633" s="19">
        <f t="shared" si="291"/>
        <v>910331.09000000008</v>
      </c>
      <c r="K3633" s="51"/>
      <c r="L3633" s="50"/>
      <c r="M3633" s="51"/>
      <c r="N3633" s="19">
        <f>SUMIF('2020'!B:B,B3633,'2020'!C:C)+SUMIF('2021'!B:B,B3633,'2021'!C:C)+SUMIF('2022'!B:B,B3633,'2022'!C:C)</f>
        <v>910331.09000000008</v>
      </c>
      <c r="O3633" s="219">
        <v>44925</v>
      </c>
      <c r="P3633" s="48" t="s">
        <v>3728</v>
      </c>
    </row>
    <row r="3634" spans="1:16" x14ac:dyDescent="0.3">
      <c r="A3634" s="59">
        <f t="shared" si="292"/>
        <v>3292</v>
      </c>
      <c r="B3634" s="66" t="s">
        <v>3479</v>
      </c>
      <c r="C3634" s="184">
        <v>1963</v>
      </c>
      <c r="D3634" s="51"/>
      <c r="E3634" s="52" t="s">
        <v>3733</v>
      </c>
      <c r="F3634" s="47">
        <v>2</v>
      </c>
      <c r="G3634" s="51"/>
      <c r="H3634" s="52">
        <v>365.5</v>
      </c>
      <c r="I3634" s="47">
        <v>19</v>
      </c>
      <c r="J3634" s="19">
        <f t="shared" si="291"/>
        <v>633959.47</v>
      </c>
      <c r="K3634" s="51"/>
      <c r="L3634" s="50"/>
      <c r="M3634" s="51"/>
      <c r="N3634" s="19">
        <f>SUMIF('2020'!B:B,B3634,'2020'!C:C)+SUMIF('2021'!B:B,B3634,'2021'!C:C)+SUMIF('2022'!B:B,B3634,'2022'!C:C)</f>
        <v>633959.47</v>
      </c>
      <c r="O3634" s="219">
        <v>44925</v>
      </c>
      <c r="P3634" s="48" t="s">
        <v>3728</v>
      </c>
    </row>
    <row r="3635" spans="1:16" x14ac:dyDescent="0.3">
      <c r="A3635" s="59">
        <f t="shared" si="292"/>
        <v>3293</v>
      </c>
      <c r="B3635" s="66" t="s">
        <v>3480</v>
      </c>
      <c r="C3635" s="184">
        <v>1963</v>
      </c>
      <c r="D3635" s="51"/>
      <c r="E3635" s="52" t="s">
        <v>3733</v>
      </c>
      <c r="F3635" s="47">
        <v>2</v>
      </c>
      <c r="G3635" s="51"/>
      <c r="H3635" s="52">
        <v>357.6</v>
      </c>
      <c r="I3635" s="47">
        <v>20</v>
      </c>
      <c r="J3635" s="19">
        <f t="shared" si="291"/>
        <v>604970.11</v>
      </c>
      <c r="K3635" s="51"/>
      <c r="L3635" s="50"/>
      <c r="M3635" s="51"/>
      <c r="N3635" s="19">
        <f>SUMIF('2020'!B:B,B3635,'2020'!C:C)+SUMIF('2021'!B:B,B3635,'2021'!C:C)+SUMIF('2022'!B:B,B3635,'2022'!C:C)</f>
        <v>604970.11</v>
      </c>
      <c r="O3635" s="219">
        <v>44925</v>
      </c>
      <c r="P3635" s="48" t="s">
        <v>3728</v>
      </c>
    </row>
    <row r="3636" spans="1:16" x14ac:dyDescent="0.3">
      <c r="A3636" s="59">
        <f t="shared" si="292"/>
        <v>3294</v>
      </c>
      <c r="B3636" s="66" t="s">
        <v>3481</v>
      </c>
      <c r="C3636" s="184">
        <v>1963</v>
      </c>
      <c r="D3636" s="51"/>
      <c r="E3636" s="52" t="s">
        <v>3733</v>
      </c>
      <c r="F3636" s="47">
        <v>2</v>
      </c>
      <c r="G3636" s="51"/>
      <c r="H3636" s="52">
        <v>366.2</v>
      </c>
      <c r="I3636" s="47">
        <v>16</v>
      </c>
      <c r="J3636" s="19">
        <f t="shared" si="291"/>
        <v>615198.11</v>
      </c>
      <c r="K3636" s="51"/>
      <c r="L3636" s="50"/>
      <c r="M3636" s="51"/>
      <c r="N3636" s="19">
        <f>SUMIF('2020'!B:B,B3636,'2020'!C:C)+SUMIF('2021'!B:B,B3636,'2021'!C:C)+SUMIF('2022'!B:B,B3636,'2022'!C:C)</f>
        <v>615198.11</v>
      </c>
      <c r="O3636" s="219">
        <v>44925</v>
      </c>
      <c r="P3636" s="48" t="s">
        <v>3728</v>
      </c>
    </row>
    <row r="3637" spans="1:16" x14ac:dyDescent="0.3">
      <c r="A3637" s="59">
        <f t="shared" si="292"/>
        <v>3295</v>
      </c>
      <c r="B3637" s="66" t="s">
        <v>3482</v>
      </c>
      <c r="C3637" s="184">
        <v>1989</v>
      </c>
      <c r="D3637" s="51"/>
      <c r="E3637" s="52" t="s">
        <v>3733</v>
      </c>
      <c r="F3637" s="47">
        <v>2</v>
      </c>
      <c r="G3637" s="51"/>
      <c r="H3637" s="52">
        <v>648.70000000000005</v>
      </c>
      <c r="I3637" s="47">
        <v>27</v>
      </c>
      <c r="J3637" s="19">
        <f t="shared" si="291"/>
        <v>204362.47</v>
      </c>
      <c r="K3637" s="51"/>
      <c r="L3637" s="50"/>
      <c r="M3637" s="51"/>
      <c r="N3637" s="19">
        <f>SUMIF('2020'!B:B,B3637,'2020'!C:C)+SUMIF('2021'!B:B,B3637,'2021'!C:C)+SUMIF('2022'!B:B,B3637,'2022'!C:C)</f>
        <v>204362.47</v>
      </c>
      <c r="O3637" s="219">
        <v>44925</v>
      </c>
      <c r="P3637" s="48" t="s">
        <v>3728</v>
      </c>
    </row>
    <row r="3638" spans="1:16" x14ac:dyDescent="0.3">
      <c r="A3638" s="59">
        <f t="shared" si="292"/>
        <v>3296</v>
      </c>
      <c r="B3638" s="66" t="s">
        <v>3483</v>
      </c>
      <c r="C3638" s="184">
        <v>1991</v>
      </c>
      <c r="D3638" s="51"/>
      <c r="E3638" s="52" t="s">
        <v>3731</v>
      </c>
      <c r="F3638" s="47">
        <v>5</v>
      </c>
      <c r="G3638" s="51"/>
      <c r="H3638" s="52">
        <v>3371</v>
      </c>
      <c r="I3638" s="47">
        <v>150</v>
      </c>
      <c r="J3638" s="19">
        <f t="shared" si="291"/>
        <v>534745.69999999995</v>
      </c>
      <c r="K3638" s="51"/>
      <c r="L3638" s="50"/>
      <c r="M3638" s="51"/>
      <c r="N3638" s="19">
        <f>SUMIF('2020'!B:B,B3638,'2020'!C:C)+SUMIF('2021'!B:B,B3638,'2021'!C:C)+SUMIF('2022'!B:B,B3638,'2022'!C:C)</f>
        <v>534745.69999999995</v>
      </c>
      <c r="O3638" s="219">
        <v>44925</v>
      </c>
      <c r="P3638" s="48" t="s">
        <v>3728</v>
      </c>
    </row>
    <row r="3639" spans="1:16" x14ac:dyDescent="0.3">
      <c r="A3639" s="59">
        <f t="shared" si="292"/>
        <v>3297</v>
      </c>
      <c r="B3639" s="66" t="s">
        <v>3484</v>
      </c>
      <c r="C3639" s="184">
        <v>1990</v>
      </c>
      <c r="D3639" s="51"/>
      <c r="E3639" s="52" t="s">
        <v>3733</v>
      </c>
      <c r="F3639" s="47">
        <v>3</v>
      </c>
      <c r="G3639" s="51"/>
      <c r="H3639" s="52">
        <v>1016.3</v>
      </c>
      <c r="I3639" s="47">
        <v>47</v>
      </c>
      <c r="J3639" s="19">
        <f t="shared" si="291"/>
        <v>578808.31999999995</v>
      </c>
      <c r="K3639" s="51"/>
      <c r="L3639" s="50"/>
      <c r="M3639" s="51"/>
      <c r="N3639" s="19">
        <f>SUMIF('2020'!B:B,B3639,'2020'!C:C)+SUMIF('2021'!B:B,B3639,'2021'!C:C)+SUMIF('2022'!B:B,B3639,'2022'!C:C)</f>
        <v>578808.31999999995</v>
      </c>
      <c r="O3639" s="219">
        <v>44925</v>
      </c>
      <c r="P3639" s="48" t="s">
        <v>3728</v>
      </c>
    </row>
    <row r="3640" spans="1:16" x14ac:dyDescent="0.3">
      <c r="A3640" s="59">
        <f t="shared" si="292"/>
        <v>3298</v>
      </c>
      <c r="B3640" s="66" t="s">
        <v>3485</v>
      </c>
      <c r="C3640" s="184">
        <v>1959</v>
      </c>
      <c r="D3640" s="51"/>
      <c r="E3640" s="52" t="s">
        <v>4090</v>
      </c>
      <c r="F3640" s="47">
        <v>2</v>
      </c>
      <c r="G3640" s="51"/>
      <c r="H3640" s="52">
        <v>471.5</v>
      </c>
      <c r="I3640" s="47">
        <v>26</v>
      </c>
      <c r="J3640" s="19">
        <f t="shared" si="291"/>
        <v>411637.30000000005</v>
      </c>
      <c r="K3640" s="51"/>
      <c r="L3640" s="50"/>
      <c r="M3640" s="51"/>
      <c r="N3640" s="19">
        <f>SUMIF('2020'!B:B,B3640,'2020'!C:C)+SUMIF('2021'!B:B,B3640,'2021'!C:C)+SUMIF('2022'!B:B,B3640,'2022'!C:C)</f>
        <v>411637.30000000005</v>
      </c>
      <c r="O3640" s="219">
        <v>44925</v>
      </c>
      <c r="P3640" s="48" t="s">
        <v>3728</v>
      </c>
    </row>
    <row r="3641" spans="1:16" x14ac:dyDescent="0.3">
      <c r="A3641" s="59">
        <f t="shared" si="292"/>
        <v>3299</v>
      </c>
      <c r="B3641" s="66" t="s">
        <v>3486</v>
      </c>
      <c r="C3641" s="184">
        <v>1964</v>
      </c>
      <c r="D3641" s="51"/>
      <c r="E3641" s="52" t="s">
        <v>3733</v>
      </c>
      <c r="F3641" s="47">
        <v>2</v>
      </c>
      <c r="G3641" s="51"/>
      <c r="H3641" s="52">
        <v>359.2</v>
      </c>
      <c r="I3641" s="47">
        <v>10</v>
      </c>
      <c r="J3641" s="19">
        <f t="shared" si="291"/>
        <v>611241.73</v>
      </c>
      <c r="K3641" s="51"/>
      <c r="L3641" s="50"/>
      <c r="M3641" s="51"/>
      <c r="N3641" s="19">
        <f>SUMIF('2020'!B:B,B3641,'2020'!C:C)+SUMIF('2021'!B:B,B3641,'2021'!C:C)+SUMIF('2022'!B:B,B3641,'2022'!C:C)</f>
        <v>611241.73</v>
      </c>
      <c r="O3641" s="219">
        <v>44925</v>
      </c>
      <c r="P3641" s="48" t="s">
        <v>3728</v>
      </c>
    </row>
    <row r="3642" spans="1:16" x14ac:dyDescent="0.3">
      <c r="A3642" s="59">
        <f t="shared" si="292"/>
        <v>3300</v>
      </c>
      <c r="B3642" s="66" t="s">
        <v>3487</v>
      </c>
      <c r="C3642" s="184">
        <v>1966</v>
      </c>
      <c r="D3642" s="51"/>
      <c r="E3642" s="52" t="s">
        <v>3733</v>
      </c>
      <c r="F3642" s="47">
        <v>4</v>
      </c>
      <c r="G3642" s="51"/>
      <c r="H3642" s="52">
        <v>1929.1</v>
      </c>
      <c r="I3642" s="47">
        <v>104</v>
      </c>
      <c r="J3642" s="19">
        <f t="shared" si="291"/>
        <v>777961.62000000011</v>
      </c>
      <c r="K3642" s="51"/>
      <c r="L3642" s="50"/>
      <c r="M3642" s="51"/>
      <c r="N3642" s="19">
        <f>SUMIF('2020'!B:B,B3642,'2020'!C:C)+SUMIF('2021'!B:B,B3642,'2021'!C:C)+SUMIF('2022'!B:B,B3642,'2022'!C:C)</f>
        <v>777961.62000000011</v>
      </c>
      <c r="O3642" s="219">
        <v>44925</v>
      </c>
      <c r="P3642" s="48" t="s">
        <v>3728</v>
      </c>
    </row>
    <row r="3643" spans="1:16" x14ac:dyDescent="0.3">
      <c r="A3643" s="59">
        <f t="shared" si="292"/>
        <v>3301</v>
      </c>
      <c r="B3643" s="66" t="s">
        <v>3488</v>
      </c>
      <c r="C3643" s="184">
        <v>1959</v>
      </c>
      <c r="D3643" s="51"/>
      <c r="E3643" s="52" t="s">
        <v>4090</v>
      </c>
      <c r="F3643" s="47">
        <v>2</v>
      </c>
      <c r="G3643" s="51"/>
      <c r="H3643" s="52">
        <v>462.5</v>
      </c>
      <c r="I3643" s="47">
        <v>20</v>
      </c>
      <c r="J3643" s="19">
        <f t="shared" si="291"/>
        <v>219584.47999999998</v>
      </c>
      <c r="K3643" s="51"/>
      <c r="L3643" s="50"/>
      <c r="M3643" s="51"/>
      <c r="N3643" s="19">
        <f>SUMIF('2020'!B:B,B3643,'2020'!C:C)+SUMIF('2021'!B:B,B3643,'2021'!C:C)+SUMIF('2022'!B:B,B3643,'2022'!C:C)</f>
        <v>219584.47999999998</v>
      </c>
      <c r="O3643" s="219">
        <v>44925</v>
      </c>
      <c r="P3643" s="48" t="s">
        <v>3728</v>
      </c>
    </row>
    <row r="3644" spans="1:16" x14ac:dyDescent="0.3">
      <c r="A3644" s="59">
        <f t="shared" si="292"/>
        <v>3302</v>
      </c>
      <c r="B3644" s="66" t="s">
        <v>3489</v>
      </c>
      <c r="C3644" s="184">
        <v>1989</v>
      </c>
      <c r="D3644" s="51"/>
      <c r="E3644" s="52" t="s">
        <v>3733</v>
      </c>
      <c r="F3644" s="47">
        <v>2</v>
      </c>
      <c r="G3644" s="51"/>
      <c r="H3644" s="52">
        <v>645.29999999999995</v>
      </c>
      <c r="I3644" s="47">
        <v>27</v>
      </c>
      <c r="J3644" s="19">
        <f t="shared" si="291"/>
        <v>525153.81999999995</v>
      </c>
      <c r="K3644" s="51"/>
      <c r="L3644" s="50"/>
      <c r="M3644" s="51"/>
      <c r="N3644" s="19">
        <f>SUMIF('2020'!B:B,B3644,'2020'!C:C)+SUMIF('2021'!B:B,B3644,'2021'!C:C)+SUMIF('2022'!B:B,B3644,'2022'!C:C)</f>
        <v>525153.81999999995</v>
      </c>
      <c r="O3644" s="219">
        <v>44925</v>
      </c>
      <c r="P3644" s="48" t="s">
        <v>3728</v>
      </c>
    </row>
    <row r="3645" spans="1:16" x14ac:dyDescent="0.3">
      <c r="A3645" s="59">
        <f>A3644+1</f>
        <v>3303</v>
      </c>
      <c r="B3645" s="66" t="s">
        <v>3490</v>
      </c>
      <c r="C3645" s="184">
        <v>1963</v>
      </c>
      <c r="D3645" s="51"/>
      <c r="E3645" s="52" t="s">
        <v>3733</v>
      </c>
      <c r="F3645" s="47">
        <v>2</v>
      </c>
      <c r="G3645" s="51"/>
      <c r="H3645" s="52">
        <v>359.7</v>
      </c>
      <c r="I3645" s="47">
        <v>17</v>
      </c>
      <c r="J3645" s="19">
        <f t="shared" si="291"/>
        <v>417468.3</v>
      </c>
      <c r="K3645" s="51"/>
      <c r="L3645" s="50"/>
      <c r="M3645" s="51"/>
      <c r="N3645" s="19">
        <f>SUMIF('2020'!B:B,B3645,'2020'!C:C)+SUMIF('2021'!B:B,B3645,'2021'!C:C)+SUMIF('2022'!B:B,B3645,'2022'!C:C)</f>
        <v>417468.3</v>
      </c>
      <c r="O3645" s="219">
        <v>44925</v>
      </c>
      <c r="P3645" s="48" t="s">
        <v>3728</v>
      </c>
    </row>
    <row r="3646" spans="1:16" x14ac:dyDescent="0.3">
      <c r="A3646" s="59">
        <f t="shared" si="292"/>
        <v>3304</v>
      </c>
      <c r="B3646" s="66" t="s">
        <v>3491</v>
      </c>
      <c r="C3646" s="184">
        <v>1961</v>
      </c>
      <c r="D3646" s="51"/>
      <c r="E3646" s="52" t="s">
        <v>3733</v>
      </c>
      <c r="F3646" s="47">
        <v>2</v>
      </c>
      <c r="G3646" s="51"/>
      <c r="H3646" s="52">
        <v>363.2</v>
      </c>
      <c r="I3646" s="47">
        <v>14</v>
      </c>
      <c r="J3646" s="19">
        <f t="shared" si="291"/>
        <v>619989.99</v>
      </c>
      <c r="K3646" s="51"/>
      <c r="L3646" s="50"/>
      <c r="M3646" s="51"/>
      <c r="N3646" s="19">
        <f>SUMIF('2020'!B:B,B3646,'2020'!C:C)+SUMIF('2021'!B:B,B3646,'2021'!C:C)+SUMIF('2022'!B:B,B3646,'2022'!C:C)</f>
        <v>619989.99</v>
      </c>
      <c r="O3646" s="219">
        <v>44925</v>
      </c>
      <c r="P3646" s="48" t="s">
        <v>3728</v>
      </c>
    </row>
    <row r="3647" spans="1:16" x14ac:dyDescent="0.3">
      <c r="A3647" s="59">
        <f t="shared" si="292"/>
        <v>3305</v>
      </c>
      <c r="B3647" s="66" t="s">
        <v>3492</v>
      </c>
      <c r="C3647" s="184">
        <v>1962</v>
      </c>
      <c r="D3647" s="51"/>
      <c r="E3647" s="52" t="s">
        <v>3733</v>
      </c>
      <c r="F3647" s="47">
        <v>2</v>
      </c>
      <c r="G3647" s="51"/>
      <c r="H3647" s="52">
        <v>362.7</v>
      </c>
      <c r="I3647" s="47">
        <v>16</v>
      </c>
      <c r="J3647" s="19">
        <f t="shared" si="291"/>
        <v>617425.98</v>
      </c>
      <c r="K3647" s="51"/>
      <c r="L3647" s="50"/>
      <c r="M3647" s="51"/>
      <c r="N3647" s="19">
        <f>SUMIF('2020'!B:B,B3647,'2020'!C:C)+SUMIF('2021'!B:B,B3647,'2021'!C:C)+SUMIF('2022'!B:B,B3647,'2022'!C:C)</f>
        <v>617425.98</v>
      </c>
      <c r="O3647" s="219">
        <v>44925</v>
      </c>
      <c r="P3647" s="48" t="s">
        <v>3728</v>
      </c>
    </row>
    <row r="3648" spans="1:16" x14ac:dyDescent="0.3">
      <c r="A3648" s="59">
        <f t="shared" si="292"/>
        <v>3306</v>
      </c>
      <c r="B3648" s="66" t="s">
        <v>3493</v>
      </c>
      <c r="C3648" s="184">
        <v>1961</v>
      </c>
      <c r="D3648" s="51"/>
      <c r="E3648" s="52" t="s">
        <v>3733</v>
      </c>
      <c r="F3648" s="47">
        <v>2</v>
      </c>
      <c r="G3648" s="51"/>
      <c r="H3648" s="52">
        <v>364.5</v>
      </c>
      <c r="I3648" s="47">
        <v>11</v>
      </c>
      <c r="J3648" s="19">
        <f t="shared" si="291"/>
        <v>613718.92999999993</v>
      </c>
      <c r="K3648" s="51"/>
      <c r="L3648" s="50"/>
      <c r="M3648" s="51"/>
      <c r="N3648" s="19">
        <f>SUMIF('2020'!B:B,B3648,'2020'!C:C)+SUMIF('2021'!B:B,B3648,'2021'!C:C)+SUMIF('2022'!B:B,B3648,'2022'!C:C)</f>
        <v>613718.92999999993</v>
      </c>
      <c r="O3648" s="219">
        <v>44925</v>
      </c>
      <c r="P3648" s="48" t="s">
        <v>3728</v>
      </c>
    </row>
    <row r="3649" spans="1:16" x14ac:dyDescent="0.3">
      <c r="A3649" s="59">
        <f t="shared" si="292"/>
        <v>3307</v>
      </c>
      <c r="B3649" s="66" t="s">
        <v>3494</v>
      </c>
      <c r="C3649" s="184">
        <v>1988</v>
      </c>
      <c r="D3649" s="51"/>
      <c r="E3649" s="52" t="s">
        <v>3733</v>
      </c>
      <c r="F3649" s="47">
        <v>2</v>
      </c>
      <c r="G3649" s="51"/>
      <c r="H3649" s="52">
        <v>594.29999999999995</v>
      </c>
      <c r="I3649" s="47">
        <v>26</v>
      </c>
      <c r="J3649" s="19">
        <f t="shared" si="291"/>
        <v>200786.44</v>
      </c>
      <c r="K3649" s="51"/>
      <c r="L3649" s="50"/>
      <c r="M3649" s="51"/>
      <c r="N3649" s="19">
        <f>SUMIF('2020'!B:B,B3649,'2020'!C:C)+SUMIF('2021'!B:B,B3649,'2021'!C:C)+SUMIF('2022'!B:B,B3649,'2022'!C:C)</f>
        <v>200786.44</v>
      </c>
      <c r="O3649" s="219">
        <v>44925</v>
      </c>
      <c r="P3649" s="48" t="s">
        <v>3728</v>
      </c>
    </row>
    <row r="3650" spans="1:16" x14ac:dyDescent="0.3">
      <c r="A3650" s="59">
        <f t="shared" si="292"/>
        <v>3308</v>
      </c>
      <c r="B3650" s="66" t="s">
        <v>3495</v>
      </c>
      <c r="C3650" s="184">
        <v>1964</v>
      </c>
      <c r="D3650" s="51"/>
      <c r="E3650" s="52" t="s">
        <v>3731</v>
      </c>
      <c r="F3650" s="47">
        <v>3</v>
      </c>
      <c r="G3650" s="58"/>
      <c r="H3650" s="59">
        <v>488.2</v>
      </c>
      <c r="I3650" s="47">
        <v>36</v>
      </c>
      <c r="J3650" s="19">
        <f t="shared" si="291"/>
        <v>451684.05000000005</v>
      </c>
      <c r="K3650" s="51"/>
      <c r="L3650" s="50"/>
      <c r="M3650" s="51"/>
      <c r="N3650" s="19">
        <f>SUMIF('2020'!B:B,B3650,'2020'!C:C)+SUMIF('2021'!B:B,B3650,'2021'!C:C)+SUMIF('2022'!B:B,B3650,'2022'!C:C)</f>
        <v>451684.05000000005</v>
      </c>
      <c r="O3650" s="219">
        <v>44925</v>
      </c>
      <c r="P3650" s="48" t="s">
        <v>3728</v>
      </c>
    </row>
    <row r="3651" spans="1:16" x14ac:dyDescent="0.3">
      <c r="A3651" s="59">
        <f t="shared" si="292"/>
        <v>3309</v>
      </c>
      <c r="B3651" s="66" t="s">
        <v>3496</v>
      </c>
      <c r="C3651" s="184">
        <v>1964</v>
      </c>
      <c r="D3651" s="51"/>
      <c r="E3651" s="52" t="s">
        <v>4178</v>
      </c>
      <c r="F3651" s="47">
        <v>3</v>
      </c>
      <c r="G3651" s="58"/>
      <c r="H3651" s="59">
        <v>481.9</v>
      </c>
      <c r="I3651" s="47">
        <v>26</v>
      </c>
      <c r="J3651" s="19">
        <f t="shared" si="291"/>
        <v>280547.44</v>
      </c>
      <c r="K3651" s="51"/>
      <c r="L3651" s="50"/>
      <c r="M3651" s="51"/>
      <c r="N3651" s="19">
        <f>SUMIF('2020'!B:B,B3651,'2020'!C:C)+SUMIF('2021'!B:B,B3651,'2021'!C:C)+SUMIF('2022'!B:B,B3651,'2022'!C:C)</f>
        <v>280547.44</v>
      </c>
      <c r="O3651" s="219">
        <v>44925</v>
      </c>
      <c r="P3651" s="48" t="s">
        <v>3728</v>
      </c>
    </row>
    <row r="3652" spans="1:16" x14ac:dyDescent="0.3">
      <c r="A3652" s="59">
        <f t="shared" si="292"/>
        <v>3310</v>
      </c>
      <c r="B3652" s="66" t="s">
        <v>3497</v>
      </c>
      <c r="C3652" s="184">
        <v>1957</v>
      </c>
      <c r="D3652" s="51"/>
      <c r="E3652" s="52" t="s">
        <v>3733</v>
      </c>
      <c r="F3652" s="47">
        <v>2</v>
      </c>
      <c r="G3652" s="58"/>
      <c r="H3652" s="59">
        <v>391.8</v>
      </c>
      <c r="I3652" s="47">
        <v>27</v>
      </c>
      <c r="J3652" s="19">
        <f t="shared" si="291"/>
        <v>552213.59</v>
      </c>
      <c r="K3652" s="51"/>
      <c r="L3652" s="50"/>
      <c r="M3652" s="51"/>
      <c r="N3652" s="19">
        <f>SUMIF('2020'!B:B,B3652,'2020'!C:C)+SUMIF('2021'!B:B,B3652,'2021'!C:C)+SUMIF('2022'!B:B,B3652,'2022'!C:C)</f>
        <v>552213.59</v>
      </c>
      <c r="O3652" s="219">
        <v>44925</v>
      </c>
      <c r="P3652" s="48" t="s">
        <v>3728</v>
      </c>
    </row>
    <row r="3653" spans="1:16" x14ac:dyDescent="0.3">
      <c r="A3653" s="59">
        <f t="shared" si="292"/>
        <v>3311</v>
      </c>
      <c r="B3653" s="66" t="s">
        <v>3498</v>
      </c>
      <c r="C3653" s="184">
        <v>1952</v>
      </c>
      <c r="D3653" s="51"/>
      <c r="E3653" s="52" t="s">
        <v>4090</v>
      </c>
      <c r="F3653" s="47">
        <v>2</v>
      </c>
      <c r="G3653" s="58"/>
      <c r="H3653" s="59">
        <v>430.1</v>
      </c>
      <c r="I3653" s="47">
        <v>27</v>
      </c>
      <c r="J3653" s="19">
        <f t="shared" si="291"/>
        <v>5795703.79</v>
      </c>
      <c r="K3653" s="51"/>
      <c r="L3653" s="50"/>
      <c r="M3653" s="51"/>
      <c r="N3653" s="19">
        <f>SUMIF('2020'!B:B,B3653,'2020'!C:C)+SUMIF('2021'!B:B,B3653,'2021'!C:C)+SUMIF('2022'!B:B,B3653,'2022'!C:C)</f>
        <v>5795703.79</v>
      </c>
      <c r="O3653" s="219">
        <v>44925</v>
      </c>
      <c r="P3653" s="48" t="s">
        <v>3728</v>
      </c>
    </row>
    <row r="3654" spans="1:16" x14ac:dyDescent="0.3">
      <c r="A3654" s="59">
        <f t="shared" si="292"/>
        <v>3312</v>
      </c>
      <c r="B3654" s="66" t="s">
        <v>3499</v>
      </c>
      <c r="C3654" s="184">
        <v>1952</v>
      </c>
      <c r="D3654" s="51"/>
      <c r="E3654" s="52" t="s">
        <v>4090</v>
      </c>
      <c r="F3654" s="47">
        <v>2</v>
      </c>
      <c r="G3654" s="58"/>
      <c r="H3654" s="59">
        <v>410.6</v>
      </c>
      <c r="I3654" s="47">
        <v>18</v>
      </c>
      <c r="J3654" s="19">
        <f t="shared" si="291"/>
        <v>512902.43</v>
      </c>
      <c r="K3654" s="51"/>
      <c r="L3654" s="50"/>
      <c r="M3654" s="51"/>
      <c r="N3654" s="19">
        <f>SUMIF('2020'!B:B,B3654,'2020'!C:C)+SUMIF('2021'!B:B,B3654,'2021'!C:C)+SUMIF('2022'!B:B,B3654,'2022'!C:C)</f>
        <v>512902.43</v>
      </c>
      <c r="O3654" s="219">
        <v>44925</v>
      </c>
      <c r="P3654" s="48" t="s">
        <v>3728</v>
      </c>
    </row>
    <row r="3655" spans="1:16" x14ac:dyDescent="0.3">
      <c r="A3655" s="59">
        <f t="shared" si="292"/>
        <v>3313</v>
      </c>
      <c r="B3655" s="66" t="s">
        <v>3500</v>
      </c>
      <c r="C3655" s="184">
        <v>1952</v>
      </c>
      <c r="D3655" s="51"/>
      <c r="E3655" s="52" t="s">
        <v>4090</v>
      </c>
      <c r="F3655" s="47">
        <v>2</v>
      </c>
      <c r="G3655" s="58"/>
      <c r="H3655" s="59">
        <v>438.1</v>
      </c>
      <c r="I3655" s="47">
        <v>23</v>
      </c>
      <c r="J3655" s="19">
        <f t="shared" si="291"/>
        <v>511969.97</v>
      </c>
      <c r="K3655" s="51"/>
      <c r="L3655" s="50"/>
      <c r="M3655" s="51"/>
      <c r="N3655" s="19">
        <f>SUMIF('2020'!B:B,B3655,'2020'!C:C)+SUMIF('2021'!B:B,B3655,'2021'!C:C)+SUMIF('2022'!B:B,B3655,'2022'!C:C)</f>
        <v>511969.97</v>
      </c>
      <c r="O3655" s="219">
        <v>44925</v>
      </c>
      <c r="P3655" s="48" t="s">
        <v>3728</v>
      </c>
    </row>
    <row r="3656" spans="1:16" x14ac:dyDescent="0.3">
      <c r="A3656" s="59">
        <f t="shared" si="292"/>
        <v>3314</v>
      </c>
      <c r="B3656" s="66" t="s">
        <v>3501</v>
      </c>
      <c r="C3656" s="184">
        <v>1964</v>
      </c>
      <c r="D3656" s="51"/>
      <c r="E3656" s="52" t="s">
        <v>4178</v>
      </c>
      <c r="F3656" s="47">
        <v>3</v>
      </c>
      <c r="G3656" s="58"/>
      <c r="H3656" s="59">
        <v>483.9</v>
      </c>
      <c r="I3656" s="47">
        <v>23</v>
      </c>
      <c r="J3656" s="19">
        <f t="shared" si="291"/>
        <v>451684.05000000005</v>
      </c>
      <c r="K3656" s="51"/>
      <c r="L3656" s="50"/>
      <c r="M3656" s="51"/>
      <c r="N3656" s="19">
        <f>SUMIF('2020'!B:B,B3656,'2020'!C:C)+SUMIF('2021'!B:B,B3656,'2021'!C:C)+SUMIF('2022'!B:B,B3656,'2022'!C:C)</f>
        <v>451684.05000000005</v>
      </c>
      <c r="O3656" s="219">
        <v>44925</v>
      </c>
      <c r="P3656" s="48" t="s">
        <v>3728</v>
      </c>
    </row>
    <row r="3657" spans="1:16" x14ac:dyDescent="0.3">
      <c r="A3657" s="59">
        <f t="shared" si="292"/>
        <v>3315</v>
      </c>
      <c r="B3657" s="66" t="s">
        <v>3502</v>
      </c>
      <c r="C3657" s="184">
        <v>1951</v>
      </c>
      <c r="D3657" s="51"/>
      <c r="E3657" s="52" t="s">
        <v>4090</v>
      </c>
      <c r="F3657" s="47">
        <v>2</v>
      </c>
      <c r="G3657" s="58"/>
      <c r="H3657" s="59">
        <v>433.2</v>
      </c>
      <c r="I3657" s="47">
        <v>18</v>
      </c>
      <c r="J3657" s="19">
        <f t="shared" si="291"/>
        <v>497461.4</v>
      </c>
      <c r="K3657" s="51"/>
      <c r="L3657" s="50"/>
      <c r="M3657" s="51"/>
      <c r="N3657" s="19">
        <f>SUMIF('2020'!B:B,B3657,'2020'!C:C)+SUMIF('2021'!B:B,B3657,'2021'!C:C)+SUMIF('2022'!B:B,B3657,'2022'!C:C)</f>
        <v>497461.4</v>
      </c>
      <c r="O3657" s="219">
        <v>44925</v>
      </c>
      <c r="P3657" s="48" t="s">
        <v>3728</v>
      </c>
    </row>
    <row r="3658" spans="1:16" x14ac:dyDescent="0.3">
      <c r="A3658" s="59">
        <f t="shared" si="292"/>
        <v>3316</v>
      </c>
      <c r="B3658" s="66" t="s">
        <v>3503</v>
      </c>
      <c r="C3658" s="184">
        <v>1957</v>
      </c>
      <c r="D3658" s="51"/>
      <c r="E3658" s="52" t="s">
        <v>3733</v>
      </c>
      <c r="F3658" s="47">
        <v>2</v>
      </c>
      <c r="G3658" s="58"/>
      <c r="H3658" s="59">
        <v>461.1</v>
      </c>
      <c r="I3658" s="47">
        <v>20</v>
      </c>
      <c r="J3658" s="19">
        <f t="shared" si="291"/>
        <v>455503.51</v>
      </c>
      <c r="K3658" s="51"/>
      <c r="L3658" s="50"/>
      <c r="M3658" s="51"/>
      <c r="N3658" s="19">
        <f>SUMIF('2020'!B:B,B3658,'2020'!C:C)+SUMIF('2021'!B:B,B3658,'2021'!C:C)+SUMIF('2022'!B:B,B3658,'2022'!C:C)</f>
        <v>455503.51</v>
      </c>
      <c r="O3658" s="219">
        <v>44925</v>
      </c>
      <c r="P3658" s="48" t="s">
        <v>3728</v>
      </c>
    </row>
    <row r="3659" spans="1:16" x14ac:dyDescent="0.3">
      <c r="A3659" s="59">
        <f t="shared" si="292"/>
        <v>3317</v>
      </c>
      <c r="B3659" s="66" t="s">
        <v>3504</v>
      </c>
      <c r="C3659" s="184">
        <v>1957</v>
      </c>
      <c r="D3659" s="51"/>
      <c r="E3659" s="52" t="s">
        <v>3733</v>
      </c>
      <c r="F3659" s="47">
        <v>2</v>
      </c>
      <c r="G3659" s="58"/>
      <c r="H3659" s="59">
        <v>461.2</v>
      </c>
      <c r="I3659" s="47">
        <v>21</v>
      </c>
      <c r="J3659" s="19">
        <f t="shared" si="291"/>
        <v>457792.75</v>
      </c>
      <c r="K3659" s="51"/>
      <c r="L3659" s="50"/>
      <c r="M3659" s="51"/>
      <c r="N3659" s="19">
        <f>SUMIF('2020'!B:B,B3659,'2020'!C:C)+SUMIF('2021'!B:B,B3659,'2021'!C:C)+SUMIF('2022'!B:B,B3659,'2022'!C:C)</f>
        <v>457792.75</v>
      </c>
      <c r="O3659" s="219">
        <v>44925</v>
      </c>
      <c r="P3659" s="48" t="s">
        <v>3728</v>
      </c>
    </row>
    <row r="3660" spans="1:16" x14ac:dyDescent="0.3">
      <c r="A3660" s="59">
        <f t="shared" si="292"/>
        <v>3318</v>
      </c>
      <c r="B3660" s="66" t="s">
        <v>3505</v>
      </c>
      <c r="C3660" s="184">
        <v>1957</v>
      </c>
      <c r="D3660" s="51"/>
      <c r="E3660" s="52" t="s">
        <v>3733</v>
      </c>
      <c r="F3660" s="47">
        <v>2</v>
      </c>
      <c r="G3660" s="58"/>
      <c r="H3660" s="59">
        <v>386.8</v>
      </c>
      <c r="I3660" s="47">
        <v>26</v>
      </c>
      <c r="J3660" s="19">
        <f t="shared" si="291"/>
        <v>350125.37</v>
      </c>
      <c r="K3660" s="51"/>
      <c r="L3660" s="50"/>
      <c r="M3660" s="51"/>
      <c r="N3660" s="19">
        <f>SUMIF('2020'!B:B,B3660,'2020'!C:C)+SUMIF('2021'!B:B,B3660,'2021'!C:C)+SUMIF('2022'!B:B,B3660,'2022'!C:C)</f>
        <v>350125.37</v>
      </c>
      <c r="O3660" s="219">
        <v>44925</v>
      </c>
      <c r="P3660" s="48" t="s">
        <v>3728</v>
      </c>
    </row>
    <row r="3661" spans="1:16" x14ac:dyDescent="0.3">
      <c r="A3661" s="59">
        <f t="shared" si="292"/>
        <v>3319</v>
      </c>
      <c r="B3661" s="66" t="s">
        <v>3506</v>
      </c>
      <c r="C3661" s="184">
        <v>1951</v>
      </c>
      <c r="D3661" s="51"/>
      <c r="E3661" s="52" t="s">
        <v>4177</v>
      </c>
      <c r="F3661" s="47">
        <v>2</v>
      </c>
      <c r="G3661" s="58"/>
      <c r="H3661" s="59">
        <v>529</v>
      </c>
      <c r="I3661" s="47">
        <v>28</v>
      </c>
      <c r="J3661" s="19">
        <f t="shared" si="291"/>
        <v>529197.59</v>
      </c>
      <c r="K3661" s="51"/>
      <c r="L3661" s="50"/>
      <c r="M3661" s="51"/>
      <c r="N3661" s="19">
        <f>SUMIF('2020'!B:B,B3661,'2020'!C:C)+SUMIF('2021'!B:B,B3661,'2021'!C:C)+SUMIF('2022'!B:B,B3661,'2022'!C:C)</f>
        <v>529197.59</v>
      </c>
      <c r="O3661" s="219">
        <v>44925</v>
      </c>
      <c r="P3661" s="48" t="s">
        <v>3728</v>
      </c>
    </row>
    <row r="3662" spans="1:16" x14ac:dyDescent="0.3">
      <c r="A3662" s="59">
        <f t="shared" si="292"/>
        <v>3320</v>
      </c>
      <c r="B3662" s="66" t="s">
        <v>3507</v>
      </c>
      <c r="C3662" s="184">
        <v>1950</v>
      </c>
      <c r="D3662" s="51"/>
      <c r="E3662" s="52" t="s">
        <v>4177</v>
      </c>
      <c r="F3662" s="47">
        <v>2</v>
      </c>
      <c r="G3662" s="58"/>
      <c r="H3662" s="59">
        <v>475.8</v>
      </c>
      <c r="I3662" s="47">
        <v>25</v>
      </c>
      <c r="J3662" s="19">
        <f t="shared" si="291"/>
        <v>364949.73</v>
      </c>
      <c r="K3662" s="51"/>
      <c r="L3662" s="50"/>
      <c r="M3662" s="51"/>
      <c r="N3662" s="19">
        <f>SUMIF('2020'!B:B,B3662,'2020'!C:C)+SUMIF('2021'!B:B,B3662,'2021'!C:C)+SUMIF('2022'!B:B,B3662,'2022'!C:C)</f>
        <v>364949.73</v>
      </c>
      <c r="O3662" s="219">
        <v>44925</v>
      </c>
      <c r="P3662" s="48" t="s">
        <v>3728</v>
      </c>
    </row>
    <row r="3663" spans="1:16" x14ac:dyDescent="0.3">
      <c r="A3663" s="59">
        <f t="shared" si="292"/>
        <v>3321</v>
      </c>
      <c r="B3663" s="66" t="s">
        <v>3508</v>
      </c>
      <c r="C3663" s="184">
        <v>1951</v>
      </c>
      <c r="D3663" s="51"/>
      <c r="E3663" s="52" t="s">
        <v>4177</v>
      </c>
      <c r="F3663" s="47">
        <v>2</v>
      </c>
      <c r="G3663" s="58"/>
      <c r="H3663" s="59">
        <v>363.8</v>
      </c>
      <c r="I3663" s="47">
        <v>16</v>
      </c>
      <c r="J3663" s="19">
        <f t="shared" si="291"/>
        <v>551655.33000000007</v>
      </c>
      <c r="K3663" s="51"/>
      <c r="L3663" s="50"/>
      <c r="M3663" s="51"/>
      <c r="N3663" s="19">
        <f>SUMIF('2020'!B:B,B3663,'2020'!C:C)+SUMIF('2021'!B:B,B3663,'2021'!C:C)+SUMIF('2022'!B:B,B3663,'2022'!C:C)</f>
        <v>551655.33000000007</v>
      </c>
      <c r="O3663" s="219">
        <v>44925</v>
      </c>
      <c r="P3663" s="48" t="s">
        <v>3728</v>
      </c>
    </row>
    <row r="3664" spans="1:16" x14ac:dyDescent="0.3">
      <c r="A3664" s="59">
        <f t="shared" si="292"/>
        <v>3322</v>
      </c>
      <c r="B3664" s="66" t="s">
        <v>3509</v>
      </c>
      <c r="C3664" s="184">
        <v>1951</v>
      </c>
      <c r="D3664" s="51"/>
      <c r="E3664" s="52" t="s">
        <v>4177</v>
      </c>
      <c r="F3664" s="47">
        <v>2</v>
      </c>
      <c r="G3664" s="58"/>
      <c r="H3664" s="59">
        <v>507.8</v>
      </c>
      <c r="I3664" s="47">
        <v>26</v>
      </c>
      <c r="J3664" s="19">
        <f t="shared" si="291"/>
        <v>446576.33999999997</v>
      </c>
      <c r="K3664" s="51"/>
      <c r="L3664" s="50"/>
      <c r="M3664" s="51"/>
      <c r="N3664" s="19">
        <f>SUMIF('2020'!B:B,B3664,'2020'!C:C)+SUMIF('2021'!B:B,B3664,'2021'!C:C)+SUMIF('2022'!B:B,B3664,'2022'!C:C)</f>
        <v>446576.33999999997</v>
      </c>
      <c r="O3664" s="219">
        <v>44925</v>
      </c>
      <c r="P3664" s="48" t="s">
        <v>3728</v>
      </c>
    </row>
    <row r="3665" spans="1:16" x14ac:dyDescent="0.3">
      <c r="A3665" s="220"/>
      <c r="B3665" s="242" t="s">
        <v>211</v>
      </c>
      <c r="C3665" s="50"/>
      <c r="D3665" s="50"/>
      <c r="E3665" s="48"/>
      <c r="F3665" s="47"/>
      <c r="G3665" s="50"/>
      <c r="H3665" s="48">
        <f>SUM(H3617:H3664)</f>
        <v>37493.4</v>
      </c>
      <c r="I3665" s="218">
        <f>SUM(I3617:I3664)</f>
        <v>1813</v>
      </c>
      <c r="J3665" s="19">
        <f t="shared" si="291"/>
        <v>39846743.409999996</v>
      </c>
      <c r="K3665" s="50">
        <v>0</v>
      </c>
      <c r="L3665" s="50">
        <v>0</v>
      </c>
      <c r="M3665" s="50">
        <v>0</v>
      </c>
      <c r="N3665" s="50">
        <f>SUM(N3617:N3664)</f>
        <v>39846743.409999996</v>
      </c>
      <c r="O3665" s="219"/>
      <c r="P3665" s="48"/>
    </row>
    <row r="3666" spans="1:16" x14ac:dyDescent="0.3">
      <c r="A3666" s="461" t="s">
        <v>3510</v>
      </c>
      <c r="B3666" s="462"/>
      <c r="C3666" s="50"/>
      <c r="D3666" s="51"/>
      <c r="E3666" s="52"/>
      <c r="F3666" s="47"/>
      <c r="G3666" s="51"/>
      <c r="H3666" s="52"/>
      <c r="I3666" s="47"/>
      <c r="J3666" s="19"/>
      <c r="K3666" s="51"/>
      <c r="L3666" s="50"/>
      <c r="M3666" s="51"/>
      <c r="N3666" s="51"/>
      <c r="O3666" s="219"/>
      <c r="P3666" s="48"/>
    </row>
    <row r="3667" spans="1:16" x14ac:dyDescent="0.3">
      <c r="A3667" s="59">
        <f>A3664+1</f>
        <v>3323</v>
      </c>
      <c r="B3667" s="66" t="s">
        <v>3511</v>
      </c>
      <c r="C3667" s="184">
        <v>1978</v>
      </c>
      <c r="D3667" s="51"/>
      <c r="E3667" s="52" t="s">
        <v>3733</v>
      </c>
      <c r="F3667" s="47">
        <v>2</v>
      </c>
      <c r="G3667" s="51"/>
      <c r="H3667" s="52">
        <v>627.29999999999995</v>
      </c>
      <c r="I3667" s="47">
        <v>25</v>
      </c>
      <c r="J3667" s="19">
        <f t="shared" si="291"/>
        <v>5753944.8000000007</v>
      </c>
      <c r="K3667" s="51"/>
      <c r="L3667" s="50"/>
      <c r="M3667" s="51"/>
      <c r="N3667" s="19">
        <f>SUMIF('2020'!B:B,B3667,'2020'!C:C)+SUMIF('2021'!B:B,B3667,'2021'!C:C)+SUMIF('2022'!B:B,B3667,'2022'!C:C)</f>
        <v>5753944.8000000007</v>
      </c>
      <c r="O3667" s="219">
        <v>44925</v>
      </c>
      <c r="P3667" s="48" t="s">
        <v>3728</v>
      </c>
    </row>
    <row r="3668" spans="1:16" x14ac:dyDescent="0.3">
      <c r="A3668" s="59">
        <f>A3667+1</f>
        <v>3324</v>
      </c>
      <c r="B3668" s="66" t="s">
        <v>3512</v>
      </c>
      <c r="C3668" s="184">
        <v>1967</v>
      </c>
      <c r="D3668" s="51"/>
      <c r="E3668" s="52" t="s">
        <v>4090</v>
      </c>
      <c r="F3668" s="47">
        <v>2</v>
      </c>
      <c r="G3668" s="51"/>
      <c r="H3668" s="52">
        <v>517.79999999999995</v>
      </c>
      <c r="I3668" s="47">
        <v>28</v>
      </c>
      <c r="J3668" s="19">
        <f t="shared" si="291"/>
        <v>867911.41999999993</v>
      </c>
      <c r="K3668" s="51"/>
      <c r="L3668" s="50"/>
      <c r="M3668" s="51"/>
      <c r="N3668" s="19">
        <f>SUMIF('2020'!B:B,B3668,'2020'!C:C)+SUMIF('2021'!B:B,B3668,'2021'!C:C)+SUMIF('2022'!B:B,B3668,'2022'!C:C)</f>
        <v>867911.41999999993</v>
      </c>
      <c r="O3668" s="219">
        <v>44925</v>
      </c>
      <c r="P3668" s="48" t="s">
        <v>3728</v>
      </c>
    </row>
    <row r="3669" spans="1:16" x14ac:dyDescent="0.3">
      <c r="A3669" s="59">
        <f>A3668+1</f>
        <v>3325</v>
      </c>
      <c r="B3669" s="66" t="s">
        <v>3513</v>
      </c>
      <c r="C3669" s="184">
        <v>1965</v>
      </c>
      <c r="D3669" s="51"/>
      <c r="E3669" s="52" t="s">
        <v>3733</v>
      </c>
      <c r="F3669" s="47">
        <v>2</v>
      </c>
      <c r="G3669" s="51"/>
      <c r="H3669" s="52">
        <v>312.39999999999998</v>
      </c>
      <c r="I3669" s="47">
        <v>14</v>
      </c>
      <c r="J3669" s="19">
        <f t="shared" si="291"/>
        <v>654455.22</v>
      </c>
      <c r="K3669" s="51"/>
      <c r="L3669" s="50"/>
      <c r="M3669" s="51"/>
      <c r="N3669" s="19">
        <f>SUMIF('2020'!B:B,B3669,'2020'!C:C)+SUMIF('2021'!B:B,B3669,'2021'!C:C)+SUMIF('2022'!B:B,B3669,'2022'!C:C)</f>
        <v>654455.22</v>
      </c>
      <c r="O3669" s="219">
        <v>44925</v>
      </c>
      <c r="P3669" s="48" t="s">
        <v>3728</v>
      </c>
    </row>
    <row r="3670" spans="1:16" x14ac:dyDescent="0.3">
      <c r="A3670" s="220"/>
      <c r="B3670" s="242" t="s">
        <v>211</v>
      </c>
      <c r="C3670" s="50"/>
      <c r="D3670" s="50"/>
      <c r="E3670" s="48"/>
      <c r="F3670" s="47"/>
      <c r="G3670" s="50"/>
      <c r="H3670" s="48">
        <f>SUM(H3667:H3669)</f>
        <v>1457.5</v>
      </c>
      <c r="I3670" s="47">
        <f>SUM(I3667:I3669)</f>
        <v>67</v>
      </c>
      <c r="J3670" s="19">
        <f t="shared" si="291"/>
        <v>7276311.4400000004</v>
      </c>
      <c r="K3670" s="50">
        <v>0</v>
      </c>
      <c r="L3670" s="50">
        <v>0</v>
      </c>
      <c r="M3670" s="50">
        <v>0</v>
      </c>
      <c r="N3670" s="50">
        <f>SUM(N3667:N3669)</f>
        <v>7276311.4400000004</v>
      </c>
      <c r="O3670" s="219"/>
      <c r="P3670" s="48"/>
    </row>
    <row r="3671" spans="1:16" x14ac:dyDescent="0.3">
      <c r="A3671" s="461" t="s">
        <v>3514</v>
      </c>
      <c r="B3671" s="462"/>
      <c r="C3671" s="50"/>
      <c r="D3671" s="51"/>
      <c r="E3671" s="52"/>
      <c r="F3671" s="47"/>
      <c r="G3671" s="51"/>
      <c r="H3671" s="52"/>
      <c r="I3671" s="47"/>
      <c r="J3671" s="19"/>
      <c r="K3671" s="51"/>
      <c r="L3671" s="50"/>
      <c r="M3671" s="51"/>
      <c r="N3671" s="51"/>
      <c r="O3671" s="219"/>
      <c r="P3671" s="48"/>
    </row>
    <row r="3672" spans="1:16" x14ac:dyDescent="0.3">
      <c r="A3672" s="59">
        <f>A3669+1</f>
        <v>3326</v>
      </c>
      <c r="B3672" s="66" t="s">
        <v>3919</v>
      </c>
      <c r="C3672" s="50"/>
      <c r="D3672" s="51"/>
      <c r="E3672" s="52"/>
      <c r="F3672" s="47"/>
      <c r="G3672" s="51"/>
      <c r="H3672" s="52"/>
      <c r="I3672" s="47"/>
      <c r="J3672" s="19">
        <f t="shared" si="291"/>
        <v>235222</v>
      </c>
      <c r="K3672" s="51"/>
      <c r="L3672" s="50"/>
      <c r="M3672" s="51"/>
      <c r="N3672" s="19">
        <f>SUMIF('2020'!B:B,B3672,'2020'!C:C)+SUMIF('2021'!B:B,B3672,'2021'!C:C)+SUMIF('2022'!B:B,B3672,'2022'!C:C)</f>
        <v>235222</v>
      </c>
      <c r="O3672" s="219"/>
      <c r="P3672" s="48"/>
    </row>
    <row r="3673" spans="1:16" x14ac:dyDescent="0.3">
      <c r="A3673" s="59">
        <f>A3672+1</f>
        <v>3327</v>
      </c>
      <c r="B3673" s="66" t="s">
        <v>3515</v>
      </c>
      <c r="C3673" s="47">
        <v>1948</v>
      </c>
      <c r="D3673" s="51"/>
      <c r="E3673" s="52" t="s">
        <v>3733</v>
      </c>
      <c r="F3673" s="47">
        <v>2</v>
      </c>
      <c r="G3673" s="51"/>
      <c r="H3673" s="52">
        <v>515.20000000000005</v>
      </c>
      <c r="I3673" s="47">
        <v>28</v>
      </c>
      <c r="J3673" s="19">
        <f t="shared" si="291"/>
        <v>130000</v>
      </c>
      <c r="K3673" s="51"/>
      <c r="L3673" s="50"/>
      <c r="M3673" s="51"/>
      <c r="N3673" s="19">
        <f>SUMIF('2020'!B:B,B3673,'2020'!C:C)+SUMIF('2021'!B:B,B3673,'2021'!C:C)+SUMIF('2022'!B:B,B3673,'2022'!C:C)</f>
        <v>130000</v>
      </c>
      <c r="O3673" s="219">
        <v>44925</v>
      </c>
      <c r="P3673" s="48" t="s">
        <v>3728</v>
      </c>
    </row>
    <row r="3674" spans="1:16" x14ac:dyDescent="0.3">
      <c r="A3674" s="59">
        <f>A3673+1</f>
        <v>3328</v>
      </c>
      <c r="B3674" s="66" t="s">
        <v>3516</v>
      </c>
      <c r="C3674" s="47">
        <v>1904</v>
      </c>
      <c r="D3674" s="51"/>
      <c r="E3674" s="52" t="s">
        <v>4090</v>
      </c>
      <c r="F3674" s="47">
        <v>2</v>
      </c>
      <c r="G3674" s="51"/>
      <c r="H3674" s="52">
        <v>141.30000000000001</v>
      </c>
      <c r="I3674" s="47">
        <v>7</v>
      </c>
      <c r="J3674" s="19">
        <f t="shared" si="291"/>
        <v>130000</v>
      </c>
      <c r="K3674" s="51"/>
      <c r="L3674" s="50"/>
      <c r="M3674" s="51"/>
      <c r="N3674" s="19">
        <f>SUMIF('2020'!B:B,B3674,'2020'!C:C)+SUMIF('2021'!B:B,B3674,'2021'!C:C)+SUMIF('2022'!B:B,B3674,'2022'!C:C)</f>
        <v>130000</v>
      </c>
      <c r="O3674" s="219">
        <v>44925</v>
      </c>
      <c r="P3674" s="48" t="s">
        <v>3728</v>
      </c>
    </row>
    <row r="3675" spans="1:16" x14ac:dyDescent="0.3">
      <c r="A3675" s="59">
        <f t="shared" ref="A3675:A3677" si="293">A3674+1</f>
        <v>3329</v>
      </c>
      <c r="B3675" s="66" t="s">
        <v>3918</v>
      </c>
      <c r="C3675" s="47"/>
      <c r="D3675" s="51"/>
      <c r="E3675" s="52"/>
      <c r="F3675" s="47"/>
      <c r="G3675" s="51"/>
      <c r="H3675" s="52"/>
      <c r="I3675" s="47"/>
      <c r="J3675" s="19">
        <f t="shared" si="291"/>
        <v>235222</v>
      </c>
      <c r="K3675" s="51"/>
      <c r="L3675" s="50"/>
      <c r="M3675" s="51"/>
      <c r="N3675" s="19">
        <f>SUMIF('2020'!B:B,B3675,'2020'!C:C)+SUMIF('2021'!B:B,B3675,'2021'!C:C)+SUMIF('2022'!B:B,B3675,'2022'!C:C)</f>
        <v>235222</v>
      </c>
      <c r="O3675" s="219"/>
      <c r="P3675" s="48"/>
    </row>
    <row r="3676" spans="1:16" x14ac:dyDescent="0.3">
      <c r="A3676" s="59">
        <f t="shared" si="293"/>
        <v>3330</v>
      </c>
      <c r="B3676" s="66" t="s">
        <v>3517</v>
      </c>
      <c r="C3676" s="47">
        <v>1945</v>
      </c>
      <c r="D3676" s="51"/>
      <c r="E3676" s="52" t="s">
        <v>3733</v>
      </c>
      <c r="F3676" s="47">
        <v>2</v>
      </c>
      <c r="G3676" s="51"/>
      <c r="H3676" s="52">
        <v>666.3</v>
      </c>
      <c r="I3676" s="47">
        <v>25</v>
      </c>
      <c r="J3676" s="19">
        <f t="shared" si="291"/>
        <v>130000</v>
      </c>
      <c r="K3676" s="51"/>
      <c r="L3676" s="50"/>
      <c r="M3676" s="51"/>
      <c r="N3676" s="19">
        <f>SUMIF('2020'!B:B,B3676,'2020'!C:C)+SUMIF('2021'!B:B,B3676,'2021'!C:C)+SUMIF('2022'!B:B,B3676,'2022'!C:C)</f>
        <v>130000</v>
      </c>
      <c r="O3676" s="219">
        <v>44925</v>
      </c>
      <c r="P3676" s="48" t="s">
        <v>3728</v>
      </c>
    </row>
    <row r="3677" spans="1:16" x14ac:dyDescent="0.3">
      <c r="A3677" s="59">
        <f t="shared" si="293"/>
        <v>3331</v>
      </c>
      <c r="B3677" s="66" t="s">
        <v>270</v>
      </c>
      <c r="C3677" s="47"/>
      <c r="D3677" s="51"/>
      <c r="E3677" s="52"/>
      <c r="F3677" s="47"/>
      <c r="G3677" s="51"/>
      <c r="H3677" s="52"/>
      <c r="I3677" s="47"/>
      <c r="J3677" s="19">
        <f t="shared" si="291"/>
        <v>235222</v>
      </c>
      <c r="K3677" s="51"/>
      <c r="L3677" s="50"/>
      <c r="M3677" s="51"/>
      <c r="N3677" s="19">
        <f>235222</f>
        <v>235222</v>
      </c>
      <c r="O3677" s="219"/>
      <c r="P3677" s="48"/>
    </row>
    <row r="3678" spans="1:16" x14ac:dyDescent="0.3">
      <c r="A3678" s="220"/>
      <c r="B3678" s="242" t="s">
        <v>211</v>
      </c>
      <c r="C3678" s="50"/>
      <c r="D3678" s="50"/>
      <c r="E3678" s="48"/>
      <c r="F3678" s="47"/>
      <c r="G3678" s="50"/>
      <c r="H3678" s="48">
        <f>SUM(H3673:H3676)</f>
        <v>1322.8</v>
      </c>
      <c r="I3678" s="47">
        <f>SUM(I3673:I3676)</f>
        <v>60</v>
      </c>
      <c r="J3678" s="19">
        <f t="shared" si="291"/>
        <v>1095666</v>
      </c>
      <c r="K3678" s="50">
        <v>0</v>
      </c>
      <c r="L3678" s="50">
        <v>0</v>
      </c>
      <c r="M3678" s="50">
        <v>0</v>
      </c>
      <c r="N3678" s="50">
        <f>SUM(N3672:N3677)</f>
        <v>1095666</v>
      </c>
      <c r="O3678" s="219"/>
      <c r="P3678" s="48"/>
    </row>
    <row r="3679" spans="1:16" x14ac:dyDescent="0.3">
      <c r="A3679" s="461" t="s">
        <v>2727</v>
      </c>
      <c r="B3679" s="462"/>
      <c r="C3679" s="50"/>
      <c r="D3679" s="51"/>
      <c r="E3679" s="52"/>
      <c r="F3679" s="47"/>
      <c r="G3679" s="51"/>
      <c r="H3679" s="52"/>
      <c r="I3679" s="47"/>
      <c r="J3679" s="19"/>
      <c r="K3679" s="51"/>
      <c r="L3679" s="50"/>
      <c r="M3679" s="51"/>
      <c r="N3679" s="51"/>
      <c r="O3679" s="219"/>
      <c r="P3679" s="48"/>
    </row>
    <row r="3680" spans="1:16" x14ac:dyDescent="0.3">
      <c r="A3680" s="59">
        <f>A3677+1</f>
        <v>3332</v>
      </c>
      <c r="B3680" s="66" t="s">
        <v>3518</v>
      </c>
      <c r="C3680" s="276">
        <v>1952</v>
      </c>
      <c r="D3680" s="51"/>
      <c r="E3680" s="52"/>
      <c r="F3680" s="47">
        <v>2</v>
      </c>
      <c r="G3680" s="51"/>
      <c r="H3680" s="52">
        <v>553.5</v>
      </c>
      <c r="I3680" s="47">
        <v>23</v>
      </c>
      <c r="J3680" s="19">
        <f t="shared" si="291"/>
        <v>307470.3</v>
      </c>
      <c r="K3680" s="51"/>
      <c r="L3680" s="50"/>
      <c r="M3680" s="51"/>
      <c r="N3680" s="19">
        <f>SUMIF('2020'!B:B,B3680,'2020'!C:C)+SUMIF('2021'!B:B,B3680,'2021'!C:C)+SUMIF('2022'!B:B,B3680,'2022'!C:C)</f>
        <v>307470.3</v>
      </c>
      <c r="O3680" s="219">
        <v>44925</v>
      </c>
      <c r="P3680" s="48" t="s">
        <v>3728</v>
      </c>
    </row>
    <row r="3681" spans="1:16" x14ac:dyDescent="0.3">
      <c r="A3681" s="59">
        <f t="shared" ref="A3681:A3693" si="294">A3680+1</f>
        <v>3333</v>
      </c>
      <c r="B3681" s="66" t="s">
        <v>3519</v>
      </c>
      <c r="C3681" s="276">
        <v>1951</v>
      </c>
      <c r="D3681" s="51"/>
      <c r="E3681" s="52"/>
      <c r="F3681" s="47">
        <v>2</v>
      </c>
      <c r="G3681" s="51"/>
      <c r="H3681" s="52">
        <v>248.2</v>
      </c>
      <c r="I3681" s="47">
        <v>14</v>
      </c>
      <c r="J3681" s="19">
        <f t="shared" ref="J3681:J3744" si="295">K3681+L3681+M3681+N3681</f>
        <v>243139.82</v>
      </c>
      <c r="K3681" s="51"/>
      <c r="L3681" s="50"/>
      <c r="M3681" s="51"/>
      <c r="N3681" s="19">
        <f>SUMIF('2020'!B:B,B3681,'2020'!C:C)+SUMIF('2021'!B:B,B3681,'2021'!C:C)+SUMIF('2022'!B:B,B3681,'2022'!C:C)</f>
        <v>243139.82</v>
      </c>
      <c r="O3681" s="219">
        <v>44925</v>
      </c>
      <c r="P3681" s="48" t="s">
        <v>3728</v>
      </c>
    </row>
    <row r="3682" spans="1:16" x14ac:dyDescent="0.3">
      <c r="A3682" s="59">
        <f t="shared" si="294"/>
        <v>3334</v>
      </c>
      <c r="B3682" s="66" t="s">
        <v>3520</v>
      </c>
      <c r="C3682" s="276">
        <v>1952</v>
      </c>
      <c r="D3682" s="51"/>
      <c r="E3682" s="52"/>
      <c r="F3682" s="47">
        <v>2</v>
      </c>
      <c r="G3682" s="51"/>
      <c r="H3682" s="52">
        <v>557.5</v>
      </c>
      <c r="I3682" s="47">
        <v>30</v>
      </c>
      <c r="J3682" s="19">
        <f t="shared" si="295"/>
        <v>308805.28999999998</v>
      </c>
      <c r="K3682" s="51"/>
      <c r="L3682" s="50"/>
      <c r="M3682" s="51"/>
      <c r="N3682" s="19">
        <f>SUMIF('2020'!B:B,B3682,'2020'!C:C)+SUMIF('2021'!B:B,B3682,'2021'!C:C)+SUMIF('2022'!B:B,B3682,'2022'!C:C)</f>
        <v>308805.28999999998</v>
      </c>
      <c r="O3682" s="219">
        <v>44925</v>
      </c>
      <c r="P3682" s="48" t="s">
        <v>3728</v>
      </c>
    </row>
    <row r="3683" spans="1:16" x14ac:dyDescent="0.3">
      <c r="A3683" s="59">
        <f t="shared" si="294"/>
        <v>3335</v>
      </c>
      <c r="B3683" s="66" t="s">
        <v>3521</v>
      </c>
      <c r="C3683" s="276">
        <v>1952</v>
      </c>
      <c r="D3683" s="51"/>
      <c r="E3683" s="52"/>
      <c r="F3683" s="47">
        <v>2</v>
      </c>
      <c r="G3683" s="51"/>
      <c r="H3683" s="52">
        <v>560.9</v>
      </c>
      <c r="I3683" s="47">
        <v>27</v>
      </c>
      <c r="J3683" s="19">
        <f t="shared" si="295"/>
        <v>328919.01</v>
      </c>
      <c r="K3683" s="51"/>
      <c r="L3683" s="50"/>
      <c r="M3683" s="51"/>
      <c r="N3683" s="19">
        <f>SUMIF('2020'!B:B,B3683,'2020'!C:C)+SUMIF('2021'!B:B,B3683,'2021'!C:C)+SUMIF('2022'!B:B,B3683,'2022'!C:C)</f>
        <v>328919.01</v>
      </c>
      <c r="O3683" s="219">
        <v>44925</v>
      </c>
      <c r="P3683" s="48" t="s">
        <v>3728</v>
      </c>
    </row>
    <row r="3684" spans="1:16" x14ac:dyDescent="0.3">
      <c r="A3684" s="59">
        <f t="shared" si="294"/>
        <v>3336</v>
      </c>
      <c r="B3684" s="66" t="s">
        <v>3522</v>
      </c>
      <c r="C3684" s="276">
        <v>1952</v>
      </c>
      <c r="D3684" s="51"/>
      <c r="E3684" s="52"/>
      <c r="F3684" s="47">
        <v>2</v>
      </c>
      <c r="G3684" s="51"/>
      <c r="H3684" s="52">
        <v>618.85</v>
      </c>
      <c r="I3684" s="47">
        <v>28</v>
      </c>
      <c r="J3684" s="19">
        <f t="shared" si="295"/>
        <v>327762.02</v>
      </c>
      <c r="K3684" s="51"/>
      <c r="L3684" s="50"/>
      <c r="M3684" s="51"/>
      <c r="N3684" s="19">
        <f>SUMIF('2020'!B:B,B3684,'2020'!C:C)+SUMIF('2021'!B:B,B3684,'2021'!C:C)+SUMIF('2022'!B:B,B3684,'2022'!C:C)</f>
        <v>327762.02</v>
      </c>
      <c r="O3684" s="219">
        <v>44925</v>
      </c>
      <c r="P3684" s="48" t="s">
        <v>3728</v>
      </c>
    </row>
    <row r="3685" spans="1:16" x14ac:dyDescent="0.3">
      <c r="A3685" s="59">
        <f t="shared" si="294"/>
        <v>3337</v>
      </c>
      <c r="B3685" s="66" t="s">
        <v>3523</v>
      </c>
      <c r="C3685" s="276">
        <v>1958</v>
      </c>
      <c r="D3685" s="51"/>
      <c r="E3685" s="52"/>
      <c r="F3685" s="47">
        <v>3</v>
      </c>
      <c r="G3685" s="51"/>
      <c r="H3685" s="52">
        <v>1724.57</v>
      </c>
      <c r="I3685" s="47">
        <v>106</v>
      </c>
      <c r="J3685" s="19">
        <f t="shared" si="295"/>
        <v>29339434.600000001</v>
      </c>
      <c r="K3685" s="51"/>
      <c r="L3685" s="50"/>
      <c r="M3685" s="51"/>
      <c r="N3685" s="19">
        <f>SUMIF('2020'!B:B,B3685,'2020'!C:C)+SUMIF('2021'!B:B,B3685,'2021'!C:C)+SUMIF('2022'!B:B,B3685,'2022'!C:C)</f>
        <v>29339434.600000001</v>
      </c>
      <c r="O3685" s="219">
        <v>44925</v>
      </c>
      <c r="P3685" s="48" t="s">
        <v>3728</v>
      </c>
    </row>
    <row r="3686" spans="1:16" x14ac:dyDescent="0.3">
      <c r="A3686" s="59">
        <f t="shared" si="294"/>
        <v>3338</v>
      </c>
      <c r="B3686" s="66" t="s">
        <v>3525</v>
      </c>
      <c r="C3686" s="276">
        <v>1980</v>
      </c>
      <c r="D3686" s="51"/>
      <c r="E3686" s="52"/>
      <c r="F3686" s="47">
        <v>4</v>
      </c>
      <c r="G3686" s="51"/>
      <c r="H3686" s="52">
        <v>3016.54</v>
      </c>
      <c r="I3686" s="47">
        <v>151</v>
      </c>
      <c r="J3686" s="19">
        <f t="shared" si="295"/>
        <v>2395460.2400000002</v>
      </c>
      <c r="K3686" s="51"/>
      <c r="L3686" s="50"/>
      <c r="M3686" s="51"/>
      <c r="N3686" s="19">
        <f>SUMIF('2020'!B:B,B3686,'2020'!C:C)+SUMIF('2021'!B:B,B3686,'2021'!C:C)+SUMIF('2022'!B:B,B3686,'2022'!C:C)</f>
        <v>2395460.2400000002</v>
      </c>
      <c r="O3686" s="219">
        <v>44925</v>
      </c>
      <c r="P3686" s="48" t="s">
        <v>3728</v>
      </c>
    </row>
    <row r="3687" spans="1:16" x14ac:dyDescent="0.3">
      <c r="A3687" s="59">
        <f t="shared" si="294"/>
        <v>3339</v>
      </c>
      <c r="B3687" s="66" t="s">
        <v>3526</v>
      </c>
      <c r="C3687" s="276">
        <v>1950</v>
      </c>
      <c r="D3687" s="51"/>
      <c r="E3687" s="52"/>
      <c r="F3687" s="47">
        <v>2</v>
      </c>
      <c r="G3687" s="51"/>
      <c r="H3687" s="52">
        <v>241.49</v>
      </c>
      <c r="I3687" s="47">
        <v>17</v>
      </c>
      <c r="J3687" s="19">
        <f t="shared" si="295"/>
        <v>1928443.2</v>
      </c>
      <c r="K3687" s="51"/>
      <c r="L3687" s="50"/>
      <c r="M3687" s="51"/>
      <c r="N3687" s="19">
        <f>SUMIF('2020'!B:B,B3687,'2020'!C:C)+SUMIF('2021'!B:B,B3687,'2021'!C:C)+SUMIF('2022'!B:B,B3687,'2022'!C:C)</f>
        <v>1928443.2</v>
      </c>
      <c r="O3687" s="219">
        <v>44925</v>
      </c>
      <c r="P3687" s="48" t="s">
        <v>3728</v>
      </c>
    </row>
    <row r="3688" spans="1:16" x14ac:dyDescent="0.3">
      <c r="A3688" s="59">
        <f t="shared" si="294"/>
        <v>3340</v>
      </c>
      <c r="B3688" s="66" t="s">
        <v>3528</v>
      </c>
      <c r="C3688" s="276">
        <v>1970</v>
      </c>
      <c r="D3688" s="51"/>
      <c r="E3688" s="52"/>
      <c r="F3688" s="47">
        <v>5</v>
      </c>
      <c r="G3688" s="51"/>
      <c r="H3688" s="52">
        <v>4678.8999999999996</v>
      </c>
      <c r="I3688" s="47">
        <v>330</v>
      </c>
      <c r="J3688" s="19">
        <f t="shared" si="295"/>
        <v>18932373.600000001</v>
      </c>
      <c r="K3688" s="51"/>
      <c r="L3688" s="50"/>
      <c r="M3688" s="51"/>
      <c r="N3688" s="19">
        <f>SUMIF('2020'!B:B,B3688,'2020'!C:C)+SUMIF('2021'!B:B,B3688,'2021'!C:C)+SUMIF('2022'!B:B,B3688,'2022'!C:C)</f>
        <v>18932373.600000001</v>
      </c>
      <c r="O3688" s="219">
        <v>44925</v>
      </c>
      <c r="P3688" s="48" t="s">
        <v>3728</v>
      </c>
    </row>
    <row r="3689" spans="1:16" x14ac:dyDescent="0.3">
      <c r="A3689" s="59">
        <f t="shared" si="294"/>
        <v>3341</v>
      </c>
      <c r="B3689" s="66" t="s">
        <v>3529</v>
      </c>
      <c r="C3689" s="276">
        <v>1971</v>
      </c>
      <c r="D3689" s="51"/>
      <c r="E3689" s="52"/>
      <c r="F3689" s="47">
        <v>5</v>
      </c>
      <c r="G3689" s="51"/>
      <c r="H3689" s="59">
        <v>4828.4399999999996</v>
      </c>
      <c r="I3689" s="47">
        <v>321</v>
      </c>
      <c r="J3689" s="19">
        <f t="shared" si="295"/>
        <v>1112449.2</v>
      </c>
      <c r="K3689" s="51"/>
      <c r="L3689" s="50"/>
      <c r="M3689" s="51"/>
      <c r="N3689" s="19">
        <f>SUMIF('2020'!B:B,B3689,'2020'!C:C)+SUMIF('2021'!B:B,B3689,'2021'!C:C)+SUMIF('2022'!B:B,B3689,'2022'!C:C)</f>
        <v>1112449.2</v>
      </c>
      <c r="O3689" s="219">
        <v>44925</v>
      </c>
      <c r="P3689" s="48" t="s">
        <v>3728</v>
      </c>
    </row>
    <row r="3690" spans="1:16" x14ac:dyDescent="0.3">
      <c r="A3690" s="59">
        <f t="shared" si="294"/>
        <v>3342</v>
      </c>
      <c r="B3690" s="66" t="s">
        <v>3530</v>
      </c>
      <c r="C3690" s="276">
        <v>1983</v>
      </c>
      <c r="D3690" s="51"/>
      <c r="E3690" s="52"/>
      <c r="F3690" s="47">
        <v>9</v>
      </c>
      <c r="G3690" s="51"/>
      <c r="H3690" s="52">
        <v>6919</v>
      </c>
      <c r="I3690" s="47">
        <v>412</v>
      </c>
      <c r="J3690" s="19">
        <f t="shared" si="295"/>
        <v>5283571.2</v>
      </c>
      <c r="K3690" s="51"/>
      <c r="L3690" s="50"/>
      <c r="M3690" s="51"/>
      <c r="N3690" s="19">
        <f>SUMIF('2020'!B:B,B3690,'2020'!C:C)+SUMIF('2021'!B:B,B3690,'2021'!C:C)+SUMIF('2022'!B:B,B3690,'2022'!C:C)</f>
        <v>5283571.2</v>
      </c>
      <c r="O3690" s="219">
        <v>44925</v>
      </c>
      <c r="P3690" s="48" t="s">
        <v>3728</v>
      </c>
    </row>
    <row r="3691" spans="1:16" x14ac:dyDescent="0.3">
      <c r="A3691" s="59">
        <f t="shared" si="294"/>
        <v>3343</v>
      </c>
      <c r="B3691" s="66" t="s">
        <v>3531</v>
      </c>
      <c r="C3691" s="276">
        <v>1974</v>
      </c>
      <c r="D3691" s="51"/>
      <c r="E3691" s="52"/>
      <c r="F3691" s="47">
        <v>7</v>
      </c>
      <c r="G3691" s="51"/>
      <c r="H3691" s="52">
        <v>7981</v>
      </c>
      <c r="I3691" s="47">
        <v>294</v>
      </c>
      <c r="J3691" s="19">
        <f t="shared" si="295"/>
        <v>677924.61</v>
      </c>
      <c r="K3691" s="51"/>
      <c r="L3691" s="50"/>
      <c r="M3691" s="51"/>
      <c r="N3691" s="19">
        <f>SUMIF('2020'!B:B,B3691,'2020'!C:C)+SUMIF('2021'!B:B,B3691,'2021'!C:C)+SUMIF('2022'!B:B,B3691,'2022'!C:C)</f>
        <v>677924.61</v>
      </c>
      <c r="O3691" s="219">
        <v>44925</v>
      </c>
      <c r="P3691" s="48" t="s">
        <v>3728</v>
      </c>
    </row>
    <row r="3692" spans="1:16" x14ac:dyDescent="0.3">
      <c r="A3692" s="59">
        <f t="shared" si="294"/>
        <v>3344</v>
      </c>
      <c r="B3692" s="66" t="s">
        <v>3532</v>
      </c>
      <c r="C3692" s="276">
        <v>1973</v>
      </c>
      <c r="D3692" s="51"/>
      <c r="E3692" s="52"/>
      <c r="F3692" s="47">
        <v>5</v>
      </c>
      <c r="G3692" s="51"/>
      <c r="H3692" s="52">
        <v>6433.9</v>
      </c>
      <c r="I3692" s="47">
        <v>350</v>
      </c>
      <c r="J3692" s="19">
        <f t="shared" si="295"/>
        <v>804311.62999999989</v>
      </c>
      <c r="K3692" s="51"/>
      <c r="L3692" s="50"/>
      <c r="M3692" s="51"/>
      <c r="N3692" s="19">
        <f>SUMIF('2020'!B:B,B3692,'2020'!C:C)+SUMIF('2021'!B:B,B3692,'2021'!C:C)+SUMIF('2022'!B:B,B3692,'2022'!C:C)</f>
        <v>804311.62999999989</v>
      </c>
      <c r="O3692" s="219">
        <v>44925</v>
      </c>
      <c r="P3692" s="48" t="s">
        <v>3728</v>
      </c>
    </row>
    <row r="3693" spans="1:16" x14ac:dyDescent="0.3">
      <c r="A3693" s="59">
        <f t="shared" si="294"/>
        <v>3345</v>
      </c>
      <c r="B3693" s="66" t="s">
        <v>3533</v>
      </c>
      <c r="C3693" s="276">
        <v>1969</v>
      </c>
      <c r="D3693" s="51"/>
      <c r="E3693" s="52"/>
      <c r="F3693" s="47">
        <v>5</v>
      </c>
      <c r="G3693" s="51"/>
      <c r="H3693" s="52">
        <v>3777.08</v>
      </c>
      <c r="I3693" s="47">
        <v>178</v>
      </c>
      <c r="J3693" s="19">
        <f t="shared" si="295"/>
        <v>4217338.03</v>
      </c>
      <c r="K3693" s="51"/>
      <c r="L3693" s="50"/>
      <c r="M3693" s="51"/>
      <c r="N3693" s="19">
        <f>SUMIF('2020'!B:B,B3693,'2020'!C:C)+SUMIF('2021'!B:B,B3693,'2021'!C:C)+SUMIF('2022'!B:B,B3693,'2022'!C:C)</f>
        <v>4217338.03</v>
      </c>
      <c r="O3693" s="219">
        <v>44925</v>
      </c>
      <c r="P3693" s="48" t="s">
        <v>3728</v>
      </c>
    </row>
    <row r="3694" spans="1:16" x14ac:dyDescent="0.3">
      <c r="A3694" s="220"/>
      <c r="B3694" s="242" t="s">
        <v>211</v>
      </c>
      <c r="C3694" s="50"/>
      <c r="D3694" s="50"/>
      <c r="E3694" s="48"/>
      <c r="F3694" s="47"/>
      <c r="G3694" s="50"/>
      <c r="H3694" s="48">
        <f>SUM(H3680:H3693)</f>
        <v>42139.87</v>
      </c>
      <c r="I3694" s="47">
        <f>SUM(I3680:I3693)</f>
        <v>2281</v>
      </c>
      <c r="J3694" s="19">
        <f t="shared" si="295"/>
        <v>66207402.750000015</v>
      </c>
      <c r="K3694" s="50">
        <v>0</v>
      </c>
      <c r="L3694" s="50">
        <v>0</v>
      </c>
      <c r="M3694" s="50">
        <v>0</v>
      </c>
      <c r="N3694" s="50">
        <f>SUM(N3680:N3693)</f>
        <v>66207402.750000015</v>
      </c>
      <c r="O3694" s="219"/>
      <c r="P3694" s="48"/>
    </row>
    <row r="3695" spans="1:16" x14ac:dyDescent="0.3">
      <c r="A3695" s="461" t="s">
        <v>3534</v>
      </c>
      <c r="B3695" s="462"/>
      <c r="C3695" s="50"/>
      <c r="D3695" s="51"/>
      <c r="E3695" s="52"/>
      <c r="F3695" s="47"/>
      <c r="G3695" s="51"/>
      <c r="H3695" s="52"/>
      <c r="I3695" s="47"/>
      <c r="J3695" s="19"/>
      <c r="K3695" s="51"/>
      <c r="L3695" s="50"/>
      <c r="M3695" s="51"/>
      <c r="N3695" s="51"/>
      <c r="O3695" s="219"/>
      <c r="P3695" s="48"/>
    </row>
    <row r="3696" spans="1:16" x14ac:dyDescent="0.3">
      <c r="A3696" s="59">
        <f>A3693+1</f>
        <v>3346</v>
      </c>
      <c r="B3696" s="66" t="s">
        <v>3535</v>
      </c>
      <c r="C3696" s="184">
        <v>1950</v>
      </c>
      <c r="D3696" s="51"/>
      <c r="E3696" s="52"/>
      <c r="F3696" s="83">
        <v>2</v>
      </c>
      <c r="G3696" s="51"/>
      <c r="H3696" s="52">
        <v>573</v>
      </c>
      <c r="I3696" s="47">
        <v>19</v>
      </c>
      <c r="J3696" s="19">
        <f t="shared" si="295"/>
        <v>211094.75</v>
      </c>
      <c r="K3696" s="51"/>
      <c r="L3696" s="50"/>
      <c r="M3696" s="51"/>
      <c r="N3696" s="19">
        <f>SUMIF('2020'!B:B,B3696,'2020'!C:C)+SUMIF('2021'!B:B,B3696,'2021'!C:C)+SUMIF('2022'!B:B,B3696,'2022'!C:C)</f>
        <v>211094.75</v>
      </c>
      <c r="O3696" s="219">
        <v>44925</v>
      </c>
      <c r="P3696" s="48" t="s">
        <v>3728</v>
      </c>
    </row>
    <row r="3697" spans="1:16" x14ac:dyDescent="0.3">
      <c r="A3697" s="59">
        <f t="shared" ref="A3697:A3703" si="296">A3696+1</f>
        <v>3347</v>
      </c>
      <c r="B3697" s="66" t="s">
        <v>3536</v>
      </c>
      <c r="C3697" s="184">
        <v>1950</v>
      </c>
      <c r="D3697" s="51"/>
      <c r="E3697" s="52"/>
      <c r="F3697" s="83">
        <v>2</v>
      </c>
      <c r="G3697" s="51"/>
      <c r="H3697" s="52">
        <v>575.20000000000005</v>
      </c>
      <c r="I3697" s="47">
        <v>22</v>
      </c>
      <c r="J3697" s="19">
        <f t="shared" si="295"/>
        <v>195331.16</v>
      </c>
      <c r="K3697" s="51"/>
      <c r="L3697" s="50"/>
      <c r="M3697" s="51"/>
      <c r="N3697" s="19">
        <f>SUMIF('2020'!B:B,B3697,'2020'!C:C)+SUMIF('2021'!B:B,B3697,'2021'!C:C)+SUMIF('2022'!B:B,B3697,'2022'!C:C)</f>
        <v>195331.16</v>
      </c>
      <c r="O3697" s="219">
        <v>44925</v>
      </c>
      <c r="P3697" s="48" t="s">
        <v>3728</v>
      </c>
    </row>
    <row r="3698" spans="1:16" x14ac:dyDescent="0.3">
      <c r="A3698" s="59">
        <f t="shared" si="296"/>
        <v>3348</v>
      </c>
      <c r="B3698" s="66" t="s">
        <v>3537</v>
      </c>
      <c r="C3698" s="184">
        <v>1953</v>
      </c>
      <c r="D3698" s="51"/>
      <c r="E3698" s="52"/>
      <c r="F3698" s="83">
        <v>2</v>
      </c>
      <c r="G3698" s="51"/>
      <c r="H3698" s="52">
        <v>598.4</v>
      </c>
      <c r="I3698" s="47">
        <v>19</v>
      </c>
      <c r="J3698" s="19">
        <f t="shared" si="295"/>
        <v>220969.14</v>
      </c>
      <c r="K3698" s="51"/>
      <c r="L3698" s="50"/>
      <c r="M3698" s="51"/>
      <c r="N3698" s="19">
        <f>SUMIF('2020'!B:B,B3698,'2020'!C:C)+SUMIF('2021'!B:B,B3698,'2021'!C:C)+SUMIF('2022'!B:B,B3698,'2022'!C:C)</f>
        <v>220969.14</v>
      </c>
      <c r="O3698" s="219">
        <v>44925</v>
      </c>
      <c r="P3698" s="48" t="s">
        <v>3728</v>
      </c>
    </row>
    <row r="3699" spans="1:16" x14ac:dyDescent="0.3">
      <c r="A3699" s="59">
        <f t="shared" si="296"/>
        <v>3349</v>
      </c>
      <c r="B3699" s="66" t="s">
        <v>3538</v>
      </c>
      <c r="C3699" s="184">
        <v>1956</v>
      </c>
      <c r="D3699" s="51"/>
      <c r="E3699" s="52"/>
      <c r="F3699" s="83">
        <v>2</v>
      </c>
      <c r="G3699" s="51"/>
      <c r="H3699" s="52">
        <v>786.3</v>
      </c>
      <c r="I3699" s="47">
        <v>25</v>
      </c>
      <c r="J3699" s="19">
        <f t="shared" si="295"/>
        <v>7450964.3999999994</v>
      </c>
      <c r="K3699" s="51"/>
      <c r="L3699" s="50"/>
      <c r="M3699" s="51"/>
      <c r="N3699" s="19">
        <f>SUMIF('2020'!B:B,B3699,'2020'!C:C)+SUMIF('2021'!B:B,B3699,'2021'!C:C)+SUMIF('2022'!B:B,B3699,'2022'!C:C)</f>
        <v>7450964.3999999994</v>
      </c>
      <c r="O3699" s="219">
        <v>44925</v>
      </c>
      <c r="P3699" s="48" t="s">
        <v>3728</v>
      </c>
    </row>
    <row r="3700" spans="1:16" x14ac:dyDescent="0.3">
      <c r="A3700" s="59">
        <f t="shared" si="296"/>
        <v>3350</v>
      </c>
      <c r="B3700" s="66" t="s">
        <v>3540</v>
      </c>
      <c r="C3700" s="184">
        <v>1951</v>
      </c>
      <c r="D3700" s="51"/>
      <c r="E3700" s="52"/>
      <c r="F3700" s="83">
        <v>2</v>
      </c>
      <c r="G3700" s="51"/>
      <c r="H3700" s="52">
        <v>524.4</v>
      </c>
      <c r="I3700" s="47">
        <v>29</v>
      </c>
      <c r="J3700" s="19">
        <f t="shared" si="295"/>
        <v>171967.8</v>
      </c>
      <c r="K3700" s="51"/>
      <c r="L3700" s="50"/>
      <c r="M3700" s="51"/>
      <c r="N3700" s="19">
        <f>SUMIF('2020'!B:B,B3700,'2020'!C:C)+SUMIF('2021'!B:B,B3700,'2021'!C:C)+SUMIF('2022'!B:B,B3700,'2022'!C:C)</f>
        <v>171967.8</v>
      </c>
      <c r="O3700" s="219">
        <v>44925</v>
      </c>
      <c r="P3700" s="48" t="s">
        <v>3728</v>
      </c>
    </row>
    <row r="3701" spans="1:16" x14ac:dyDescent="0.3">
      <c r="A3701" s="59">
        <f t="shared" si="296"/>
        <v>3351</v>
      </c>
      <c r="B3701" s="66" t="s">
        <v>3541</v>
      </c>
      <c r="C3701" s="184">
        <v>1951</v>
      </c>
      <c r="D3701" s="51"/>
      <c r="E3701" s="52"/>
      <c r="F3701" s="83">
        <v>2</v>
      </c>
      <c r="G3701" s="51"/>
      <c r="H3701" s="52">
        <v>474.6</v>
      </c>
      <c r="I3701" s="47">
        <v>19</v>
      </c>
      <c r="J3701" s="19">
        <f t="shared" si="295"/>
        <v>171967.8</v>
      </c>
      <c r="K3701" s="51"/>
      <c r="L3701" s="50"/>
      <c r="M3701" s="51"/>
      <c r="N3701" s="19">
        <f>SUMIF('2020'!B:B,B3701,'2020'!C:C)+SUMIF('2021'!B:B,B3701,'2021'!C:C)+SUMIF('2022'!B:B,B3701,'2022'!C:C)</f>
        <v>171967.8</v>
      </c>
      <c r="O3701" s="219">
        <v>44925</v>
      </c>
      <c r="P3701" s="48" t="s">
        <v>3728</v>
      </c>
    </row>
    <row r="3702" spans="1:16" x14ac:dyDescent="0.3">
      <c r="A3702" s="59">
        <f t="shared" si="296"/>
        <v>3352</v>
      </c>
      <c r="B3702" s="66" t="s">
        <v>3542</v>
      </c>
      <c r="C3702" s="184">
        <v>1951</v>
      </c>
      <c r="D3702" s="51"/>
      <c r="E3702" s="52"/>
      <c r="F3702" s="83">
        <v>2</v>
      </c>
      <c r="G3702" s="51"/>
      <c r="H3702" s="52">
        <v>470.9</v>
      </c>
      <c r="I3702" s="47">
        <v>27</v>
      </c>
      <c r="J3702" s="19">
        <f t="shared" si="295"/>
        <v>171967.8</v>
      </c>
      <c r="K3702" s="51"/>
      <c r="L3702" s="50"/>
      <c r="M3702" s="51"/>
      <c r="N3702" s="19">
        <f>SUMIF('2020'!B:B,B3702,'2020'!C:C)+SUMIF('2021'!B:B,B3702,'2021'!C:C)+SUMIF('2022'!B:B,B3702,'2022'!C:C)</f>
        <v>171967.8</v>
      </c>
      <c r="O3702" s="219">
        <v>44925</v>
      </c>
      <c r="P3702" s="48" t="s">
        <v>3728</v>
      </c>
    </row>
    <row r="3703" spans="1:16" x14ac:dyDescent="0.3">
      <c r="A3703" s="59">
        <f t="shared" si="296"/>
        <v>3353</v>
      </c>
      <c r="B3703" s="66" t="s">
        <v>3543</v>
      </c>
      <c r="C3703" s="184">
        <v>1952</v>
      </c>
      <c r="D3703" s="51"/>
      <c r="E3703" s="52"/>
      <c r="F3703" s="83">
        <v>2</v>
      </c>
      <c r="G3703" s="51"/>
      <c r="H3703" s="52">
        <v>522.70000000000005</v>
      </c>
      <c r="I3703" s="47">
        <v>29</v>
      </c>
      <c r="J3703" s="19">
        <f t="shared" si="295"/>
        <v>171967.8</v>
      </c>
      <c r="K3703" s="51"/>
      <c r="L3703" s="50"/>
      <c r="M3703" s="51"/>
      <c r="N3703" s="19">
        <f>SUMIF('2020'!B:B,B3703,'2020'!C:C)+SUMIF('2021'!B:B,B3703,'2021'!C:C)+SUMIF('2022'!B:B,B3703,'2022'!C:C)</f>
        <v>171967.8</v>
      </c>
      <c r="O3703" s="219">
        <v>44925</v>
      </c>
      <c r="P3703" s="48" t="s">
        <v>3728</v>
      </c>
    </row>
    <row r="3704" spans="1:16" x14ac:dyDescent="0.3">
      <c r="A3704" s="220"/>
      <c r="B3704" s="242" t="s">
        <v>211</v>
      </c>
      <c r="C3704" s="50"/>
      <c r="D3704" s="50"/>
      <c r="E3704" s="48"/>
      <c r="F3704" s="47"/>
      <c r="G3704" s="50"/>
      <c r="H3704" s="48">
        <f>SUM(H3696:H3703)</f>
        <v>4525.5</v>
      </c>
      <c r="I3704" s="47">
        <f>SUM(I3696:I3703)</f>
        <v>189</v>
      </c>
      <c r="J3704" s="19">
        <f t="shared" si="295"/>
        <v>8766230.6500000004</v>
      </c>
      <c r="K3704" s="50">
        <v>0</v>
      </c>
      <c r="L3704" s="50">
        <v>0</v>
      </c>
      <c r="M3704" s="50">
        <v>0</v>
      </c>
      <c r="N3704" s="50">
        <f>SUM(N3696:N3703)</f>
        <v>8766230.6500000004</v>
      </c>
      <c r="O3704" s="219"/>
      <c r="P3704" s="48"/>
    </row>
    <row r="3705" spans="1:16" x14ac:dyDescent="0.3">
      <c r="A3705" s="461" t="s">
        <v>3544</v>
      </c>
      <c r="B3705" s="462"/>
      <c r="C3705" s="50"/>
      <c r="D3705" s="51"/>
      <c r="E3705" s="52"/>
      <c r="F3705" s="47"/>
      <c r="G3705" s="51"/>
      <c r="H3705" s="52"/>
      <c r="I3705" s="47"/>
      <c r="J3705" s="19"/>
      <c r="K3705" s="51"/>
      <c r="L3705" s="50"/>
      <c r="M3705" s="51"/>
      <c r="N3705" s="51"/>
      <c r="O3705" s="219"/>
      <c r="P3705" s="48"/>
    </row>
    <row r="3706" spans="1:16" x14ac:dyDescent="0.3">
      <c r="A3706" s="59">
        <f>A3703+1</f>
        <v>3354</v>
      </c>
      <c r="B3706" s="66" t="s">
        <v>3545</v>
      </c>
      <c r="C3706" s="184">
        <v>1964</v>
      </c>
      <c r="D3706" s="51"/>
      <c r="E3706" s="52"/>
      <c r="F3706" s="47">
        <v>2</v>
      </c>
      <c r="G3706" s="51"/>
      <c r="H3706" s="52">
        <v>907.68</v>
      </c>
      <c r="I3706" s="47">
        <v>50</v>
      </c>
      <c r="J3706" s="19">
        <f t="shared" si="295"/>
        <v>6427127.2400000002</v>
      </c>
      <c r="K3706" s="51"/>
      <c r="L3706" s="50"/>
      <c r="M3706" s="51"/>
      <c r="N3706" s="19">
        <f>SUMIF('2020'!B:B,B3706,'2020'!C:C)+SUMIF('2021'!B:B,B3706,'2021'!C:C)+SUMIF('2022'!B:B,B3706,'2022'!C:C)</f>
        <v>6427127.2400000002</v>
      </c>
      <c r="O3706" s="219">
        <v>44925</v>
      </c>
      <c r="P3706" s="48" t="s">
        <v>3728</v>
      </c>
    </row>
    <row r="3707" spans="1:16" x14ac:dyDescent="0.3">
      <c r="A3707" s="59">
        <f t="shared" ref="A3707:A3724" si="297">A3706+1</f>
        <v>3355</v>
      </c>
      <c r="B3707" s="66" t="s">
        <v>3546</v>
      </c>
      <c r="C3707" s="184">
        <v>1964</v>
      </c>
      <c r="D3707" s="51"/>
      <c r="E3707" s="52"/>
      <c r="F3707" s="47">
        <v>2</v>
      </c>
      <c r="G3707" s="51"/>
      <c r="H3707" s="52">
        <v>852.4</v>
      </c>
      <c r="I3707" s="47">
        <v>60</v>
      </c>
      <c r="J3707" s="19">
        <f t="shared" si="295"/>
        <v>6628881.2800000003</v>
      </c>
      <c r="K3707" s="51"/>
      <c r="L3707" s="50"/>
      <c r="M3707" s="51"/>
      <c r="N3707" s="19">
        <f>SUMIF('2020'!B:B,B3707,'2020'!C:C)+SUMIF('2021'!B:B,B3707,'2021'!C:C)+SUMIF('2022'!B:B,B3707,'2022'!C:C)</f>
        <v>6628881.2800000003</v>
      </c>
      <c r="O3707" s="219">
        <v>44925</v>
      </c>
      <c r="P3707" s="48" t="s">
        <v>3728</v>
      </c>
    </row>
    <row r="3708" spans="1:16" x14ac:dyDescent="0.3">
      <c r="A3708" s="59">
        <f t="shared" si="297"/>
        <v>3356</v>
      </c>
      <c r="B3708" s="66" t="s">
        <v>3547</v>
      </c>
      <c r="C3708" s="184">
        <v>1968</v>
      </c>
      <c r="D3708" s="51"/>
      <c r="E3708" s="52"/>
      <c r="F3708" s="47">
        <v>2</v>
      </c>
      <c r="G3708" s="51"/>
      <c r="H3708" s="52">
        <v>308.5</v>
      </c>
      <c r="I3708" s="47">
        <v>13</v>
      </c>
      <c r="J3708" s="19">
        <f t="shared" si="295"/>
        <v>560831.64</v>
      </c>
      <c r="K3708" s="51"/>
      <c r="L3708" s="50"/>
      <c r="M3708" s="51"/>
      <c r="N3708" s="19">
        <f>SUMIF('2020'!B:B,B3708,'2020'!C:C)+SUMIF('2021'!B:B,B3708,'2021'!C:C)+SUMIF('2022'!B:B,B3708,'2022'!C:C)</f>
        <v>560831.64</v>
      </c>
      <c r="O3708" s="219">
        <v>44925</v>
      </c>
      <c r="P3708" s="48" t="s">
        <v>3728</v>
      </c>
    </row>
    <row r="3709" spans="1:16" x14ac:dyDescent="0.3">
      <c r="A3709" s="59">
        <f t="shared" si="297"/>
        <v>3357</v>
      </c>
      <c r="B3709" s="66" t="s">
        <v>3548</v>
      </c>
      <c r="C3709" s="184">
        <v>1980</v>
      </c>
      <c r="D3709" s="51"/>
      <c r="E3709" s="52"/>
      <c r="F3709" s="47">
        <v>2</v>
      </c>
      <c r="G3709" s="51"/>
      <c r="H3709" s="52">
        <v>405.9</v>
      </c>
      <c r="I3709" s="47">
        <v>31</v>
      </c>
      <c r="J3709" s="19">
        <f t="shared" si="295"/>
        <v>304033.07</v>
      </c>
      <c r="K3709" s="50"/>
      <c r="L3709" s="58"/>
      <c r="M3709" s="51"/>
      <c r="N3709" s="19">
        <f>SUMIF('2020'!B:B,B3709,'2020'!C:C)+SUMIF('2021'!B:B,B3709,'2021'!C:C)+SUMIF('2022'!B:B,B3709,'2022'!C:C)</f>
        <v>304033.07</v>
      </c>
      <c r="O3709" s="219">
        <v>44925</v>
      </c>
      <c r="P3709" s="48" t="s">
        <v>3728</v>
      </c>
    </row>
    <row r="3710" spans="1:16" x14ac:dyDescent="0.3">
      <c r="A3710" s="59">
        <f t="shared" si="297"/>
        <v>3358</v>
      </c>
      <c r="B3710" s="66" t="s">
        <v>3549</v>
      </c>
      <c r="C3710" s="184">
        <v>1990</v>
      </c>
      <c r="D3710" s="51"/>
      <c r="E3710" s="52"/>
      <c r="F3710" s="47">
        <v>5</v>
      </c>
      <c r="G3710" s="51"/>
      <c r="H3710" s="52">
        <v>7373.95</v>
      </c>
      <c r="I3710" s="47">
        <v>324</v>
      </c>
      <c r="J3710" s="19">
        <f t="shared" si="295"/>
        <v>1493606.71</v>
      </c>
      <c r="K3710" s="51"/>
      <c r="L3710" s="50"/>
      <c r="M3710" s="51"/>
      <c r="N3710" s="19">
        <f>SUMIF('2020'!B:B,B3710,'2020'!C:C)+SUMIF('2021'!B:B,B3710,'2021'!C:C)+SUMIF('2022'!B:B,B3710,'2022'!C:C)</f>
        <v>1493606.71</v>
      </c>
      <c r="O3710" s="219">
        <v>44925</v>
      </c>
      <c r="P3710" s="48" t="s">
        <v>2042</v>
      </c>
    </row>
    <row r="3711" spans="1:16" x14ac:dyDescent="0.3">
      <c r="A3711" s="59">
        <f t="shared" si="297"/>
        <v>3359</v>
      </c>
      <c r="B3711" s="66" t="s">
        <v>3551</v>
      </c>
      <c r="C3711" s="184">
        <v>1956</v>
      </c>
      <c r="D3711" s="51"/>
      <c r="E3711" s="52"/>
      <c r="F3711" s="47">
        <v>2</v>
      </c>
      <c r="G3711" s="51"/>
      <c r="H3711" s="52">
        <v>733.09</v>
      </c>
      <c r="I3711" s="47">
        <v>34</v>
      </c>
      <c r="J3711" s="19">
        <f t="shared" si="295"/>
        <v>447727.2</v>
      </c>
      <c r="K3711" s="51"/>
      <c r="L3711" s="50"/>
      <c r="M3711" s="51"/>
      <c r="N3711" s="19">
        <f>SUMIF('2020'!B:B,B3711,'2020'!C:C)+SUMIF('2021'!B:B,B3711,'2021'!C:C)+SUMIF('2022'!B:B,B3711,'2022'!C:C)</f>
        <v>447727.2</v>
      </c>
      <c r="O3711" s="219">
        <v>44925</v>
      </c>
      <c r="P3711" s="48" t="s">
        <v>3728</v>
      </c>
    </row>
    <row r="3712" spans="1:16" x14ac:dyDescent="0.3">
      <c r="A3712" s="59">
        <f t="shared" si="297"/>
        <v>3360</v>
      </c>
      <c r="B3712" s="66" t="s">
        <v>3552</v>
      </c>
      <c r="C3712" s="184">
        <v>1959</v>
      </c>
      <c r="D3712" s="51"/>
      <c r="E3712" s="52"/>
      <c r="F3712" s="47">
        <v>2</v>
      </c>
      <c r="G3712" s="51"/>
      <c r="H3712" s="52">
        <v>656.51</v>
      </c>
      <c r="I3712" s="47">
        <v>25</v>
      </c>
      <c r="J3712" s="19">
        <f t="shared" si="295"/>
        <v>2507983.2000000002</v>
      </c>
      <c r="K3712" s="51"/>
      <c r="L3712" s="50"/>
      <c r="M3712" s="51"/>
      <c r="N3712" s="19">
        <f>SUMIF('2020'!B:B,B3712,'2020'!C:C)+SUMIF('2021'!B:B,B3712,'2021'!C:C)+SUMIF('2022'!B:B,B3712,'2022'!C:C)</f>
        <v>2507983.2000000002</v>
      </c>
      <c r="O3712" s="219">
        <v>44925</v>
      </c>
      <c r="P3712" s="48" t="s">
        <v>3728</v>
      </c>
    </row>
    <row r="3713" spans="1:16" x14ac:dyDescent="0.3">
      <c r="A3713" s="59">
        <f t="shared" si="297"/>
        <v>3361</v>
      </c>
      <c r="B3713" s="66" t="s">
        <v>3553</v>
      </c>
      <c r="C3713" s="184">
        <v>1961</v>
      </c>
      <c r="D3713" s="51"/>
      <c r="E3713" s="52"/>
      <c r="F3713" s="47">
        <v>2</v>
      </c>
      <c r="G3713" s="51"/>
      <c r="H3713" s="52">
        <v>519.21</v>
      </c>
      <c r="I3713" s="47">
        <v>30</v>
      </c>
      <c r="J3713" s="19">
        <f t="shared" si="295"/>
        <v>3002381</v>
      </c>
      <c r="K3713" s="51"/>
      <c r="L3713" s="50"/>
      <c r="M3713" s="51"/>
      <c r="N3713" s="19">
        <f>SUMIF('2020'!B:B,B3713,'2020'!C:C)+SUMIF('2021'!B:B,B3713,'2021'!C:C)+SUMIF('2022'!B:B,B3713,'2022'!C:C)</f>
        <v>3002381</v>
      </c>
      <c r="O3713" s="219">
        <v>44925</v>
      </c>
      <c r="P3713" s="48" t="s">
        <v>3728</v>
      </c>
    </row>
    <row r="3714" spans="1:16" x14ac:dyDescent="0.3">
      <c r="A3714" s="59">
        <f t="shared" si="297"/>
        <v>3362</v>
      </c>
      <c r="B3714" s="66" t="s">
        <v>3554</v>
      </c>
      <c r="C3714" s="184">
        <v>1961</v>
      </c>
      <c r="D3714" s="51"/>
      <c r="E3714" s="52"/>
      <c r="F3714" s="47">
        <v>2</v>
      </c>
      <c r="G3714" s="51"/>
      <c r="H3714" s="52">
        <v>512.1</v>
      </c>
      <c r="I3714" s="47">
        <v>17</v>
      </c>
      <c r="J3714" s="19">
        <f t="shared" si="295"/>
        <v>1393196</v>
      </c>
      <c r="K3714" s="51"/>
      <c r="L3714" s="50"/>
      <c r="M3714" s="51"/>
      <c r="N3714" s="19">
        <f>SUMIF('2020'!B:B,B3714,'2020'!C:C)+SUMIF('2021'!B:B,B3714,'2021'!C:C)+SUMIF('2022'!B:B,B3714,'2022'!C:C)</f>
        <v>1393196</v>
      </c>
      <c r="O3714" s="219">
        <v>44925</v>
      </c>
      <c r="P3714" s="48" t="s">
        <v>3728</v>
      </c>
    </row>
    <row r="3715" spans="1:16" x14ac:dyDescent="0.3">
      <c r="A3715" s="59">
        <f t="shared" si="297"/>
        <v>3363</v>
      </c>
      <c r="B3715" s="66" t="s">
        <v>3555</v>
      </c>
      <c r="C3715" s="184">
        <v>1970</v>
      </c>
      <c r="D3715" s="51"/>
      <c r="E3715" s="52"/>
      <c r="F3715" s="47">
        <v>2</v>
      </c>
      <c r="G3715" s="51"/>
      <c r="H3715" s="52">
        <v>537</v>
      </c>
      <c r="I3715" s="47">
        <v>42</v>
      </c>
      <c r="J3715" s="19">
        <f t="shared" si="295"/>
        <v>1429036</v>
      </c>
      <c r="K3715" s="51"/>
      <c r="L3715" s="50"/>
      <c r="M3715" s="51"/>
      <c r="N3715" s="19">
        <f>SUMIF('2020'!B:B,B3715,'2020'!C:C)+SUMIF('2021'!B:B,B3715,'2021'!C:C)+SUMIF('2022'!B:B,B3715,'2022'!C:C)</f>
        <v>1429036</v>
      </c>
      <c r="O3715" s="219">
        <v>44925</v>
      </c>
      <c r="P3715" s="48" t="s">
        <v>3728</v>
      </c>
    </row>
    <row r="3716" spans="1:16" x14ac:dyDescent="0.3">
      <c r="A3716" s="59">
        <f t="shared" si="297"/>
        <v>3364</v>
      </c>
      <c r="B3716" s="66" t="s">
        <v>3556</v>
      </c>
      <c r="C3716" s="184">
        <v>1970</v>
      </c>
      <c r="D3716" s="51"/>
      <c r="E3716" s="52"/>
      <c r="F3716" s="47">
        <v>2</v>
      </c>
      <c r="G3716" s="51"/>
      <c r="H3716" s="52">
        <v>560.9</v>
      </c>
      <c r="I3716" s="47">
        <v>36</v>
      </c>
      <c r="J3716" s="19">
        <f t="shared" si="295"/>
        <v>1429036</v>
      </c>
      <c r="K3716" s="51"/>
      <c r="L3716" s="50"/>
      <c r="M3716" s="51"/>
      <c r="N3716" s="19">
        <f>SUMIF('2020'!B:B,B3716,'2020'!C:C)+SUMIF('2021'!B:B,B3716,'2021'!C:C)+SUMIF('2022'!B:B,B3716,'2022'!C:C)</f>
        <v>1429036</v>
      </c>
      <c r="O3716" s="219">
        <v>44925</v>
      </c>
      <c r="P3716" s="48" t="s">
        <v>3728</v>
      </c>
    </row>
    <row r="3717" spans="1:16" x14ac:dyDescent="0.3">
      <c r="A3717" s="59">
        <f t="shared" si="297"/>
        <v>3365</v>
      </c>
      <c r="B3717" s="66" t="s">
        <v>3557</v>
      </c>
      <c r="C3717" s="184">
        <v>1970</v>
      </c>
      <c r="D3717" s="51"/>
      <c r="E3717" s="52"/>
      <c r="F3717" s="47">
        <v>2</v>
      </c>
      <c r="G3717" s="51"/>
      <c r="H3717" s="52">
        <v>575.5</v>
      </c>
      <c r="I3717" s="47">
        <v>28</v>
      </c>
      <c r="J3717" s="19">
        <f t="shared" si="295"/>
        <v>1429036</v>
      </c>
      <c r="K3717" s="51"/>
      <c r="L3717" s="50"/>
      <c r="M3717" s="51"/>
      <c r="N3717" s="19">
        <f>SUMIF('2020'!B:B,B3717,'2020'!C:C)+SUMIF('2021'!B:B,B3717,'2021'!C:C)+SUMIF('2022'!B:B,B3717,'2022'!C:C)</f>
        <v>1429036</v>
      </c>
      <c r="O3717" s="219">
        <v>44925</v>
      </c>
      <c r="P3717" s="48" t="s">
        <v>3728</v>
      </c>
    </row>
    <row r="3718" spans="1:16" x14ac:dyDescent="0.3">
      <c r="A3718" s="59">
        <f t="shared" si="297"/>
        <v>3366</v>
      </c>
      <c r="B3718" s="66" t="s">
        <v>3558</v>
      </c>
      <c r="C3718" s="184">
        <v>1970</v>
      </c>
      <c r="D3718" s="51"/>
      <c r="E3718" s="52"/>
      <c r="F3718" s="47">
        <v>2</v>
      </c>
      <c r="G3718" s="51"/>
      <c r="H3718" s="52">
        <v>578.12</v>
      </c>
      <c r="I3718" s="47">
        <v>30</v>
      </c>
      <c r="J3718" s="19">
        <f t="shared" si="295"/>
        <v>1429036</v>
      </c>
      <c r="K3718" s="51"/>
      <c r="L3718" s="50"/>
      <c r="M3718" s="51"/>
      <c r="N3718" s="19">
        <f>SUMIF('2020'!B:B,B3718,'2020'!C:C)+SUMIF('2021'!B:B,B3718,'2021'!C:C)+SUMIF('2022'!B:B,B3718,'2022'!C:C)</f>
        <v>1429036</v>
      </c>
      <c r="O3718" s="219">
        <v>44925</v>
      </c>
      <c r="P3718" s="48" t="s">
        <v>3728</v>
      </c>
    </row>
    <row r="3719" spans="1:16" x14ac:dyDescent="0.3">
      <c r="A3719" s="59">
        <f t="shared" si="297"/>
        <v>3367</v>
      </c>
      <c r="B3719" s="66" t="s">
        <v>3559</v>
      </c>
      <c r="C3719" s="184">
        <v>1987</v>
      </c>
      <c r="D3719" s="51"/>
      <c r="E3719" s="52"/>
      <c r="F3719" s="47">
        <v>2</v>
      </c>
      <c r="G3719" s="51"/>
      <c r="H3719" s="52">
        <v>567.79999999999995</v>
      </c>
      <c r="I3719" s="47">
        <v>22</v>
      </c>
      <c r="J3719" s="19">
        <f t="shared" si="295"/>
        <v>8893426.8000000007</v>
      </c>
      <c r="K3719" s="51"/>
      <c r="L3719" s="50"/>
      <c r="M3719" s="51"/>
      <c r="N3719" s="19">
        <f>SUMIF('2020'!B:B,B3719,'2020'!C:C)+SUMIF('2021'!B:B,B3719,'2021'!C:C)+SUMIF('2022'!B:B,B3719,'2022'!C:C)</f>
        <v>8893426.8000000007</v>
      </c>
      <c r="O3719" s="219">
        <v>44925</v>
      </c>
      <c r="P3719" s="48" t="s">
        <v>3728</v>
      </c>
    </row>
    <row r="3720" spans="1:16" x14ac:dyDescent="0.3">
      <c r="A3720" s="59">
        <f t="shared" si="297"/>
        <v>3368</v>
      </c>
      <c r="B3720" s="66" t="s">
        <v>3560</v>
      </c>
      <c r="C3720" s="184">
        <v>1968</v>
      </c>
      <c r="D3720" s="51"/>
      <c r="E3720" s="52"/>
      <c r="F3720" s="47">
        <v>2</v>
      </c>
      <c r="G3720" s="51"/>
      <c r="H3720" s="52">
        <v>798.2</v>
      </c>
      <c r="I3720" s="47">
        <v>41</v>
      </c>
      <c r="J3720" s="19">
        <f t="shared" si="295"/>
        <v>2208085.2000000002</v>
      </c>
      <c r="K3720" s="51"/>
      <c r="L3720" s="50"/>
      <c r="M3720" s="51"/>
      <c r="N3720" s="19">
        <f>SUMIF('2020'!B:B,B3720,'2020'!C:C)+SUMIF('2021'!B:B,B3720,'2021'!C:C)+SUMIF('2022'!B:B,B3720,'2022'!C:C)</f>
        <v>2208085.2000000002</v>
      </c>
      <c r="O3720" s="219">
        <v>44925</v>
      </c>
      <c r="P3720" s="48" t="s">
        <v>3728</v>
      </c>
    </row>
    <row r="3721" spans="1:16" x14ac:dyDescent="0.3">
      <c r="A3721" s="59">
        <f t="shared" si="297"/>
        <v>3369</v>
      </c>
      <c r="B3721" s="66" t="s">
        <v>3561</v>
      </c>
      <c r="C3721" s="184">
        <v>1960</v>
      </c>
      <c r="D3721" s="51"/>
      <c r="E3721" s="52"/>
      <c r="F3721" s="47">
        <v>2</v>
      </c>
      <c r="G3721" s="51"/>
      <c r="H3721" s="52">
        <v>666.66</v>
      </c>
      <c r="I3721" s="47">
        <v>44</v>
      </c>
      <c r="J3721" s="19">
        <f t="shared" si="295"/>
        <v>1214722</v>
      </c>
      <c r="K3721" s="51"/>
      <c r="L3721" s="50"/>
      <c r="M3721" s="51"/>
      <c r="N3721" s="19">
        <f>SUMIF('2020'!B:B,B3721,'2020'!C:C)+SUMIF('2021'!B:B,B3721,'2021'!C:C)+SUMIF('2022'!B:B,B3721,'2022'!C:C)</f>
        <v>1214722</v>
      </c>
      <c r="O3721" s="219">
        <v>44925</v>
      </c>
      <c r="P3721" s="48" t="s">
        <v>3728</v>
      </c>
    </row>
    <row r="3722" spans="1:16" x14ac:dyDescent="0.3">
      <c r="A3722" s="59">
        <f t="shared" si="297"/>
        <v>3370</v>
      </c>
      <c r="B3722" s="66" t="s">
        <v>3562</v>
      </c>
      <c r="C3722" s="184">
        <v>1962</v>
      </c>
      <c r="D3722" s="51"/>
      <c r="E3722" s="52"/>
      <c r="F3722" s="47">
        <v>2</v>
      </c>
      <c r="G3722" s="51"/>
      <c r="H3722" s="52">
        <v>670.31</v>
      </c>
      <c r="I3722" s="47">
        <v>43</v>
      </c>
      <c r="J3722" s="19">
        <f t="shared" si="295"/>
        <v>1214722</v>
      </c>
      <c r="K3722" s="51"/>
      <c r="L3722" s="50"/>
      <c r="M3722" s="51"/>
      <c r="N3722" s="19">
        <f>SUMIF('2020'!B:B,B3722,'2020'!C:C)+SUMIF('2021'!B:B,B3722,'2021'!C:C)+SUMIF('2022'!B:B,B3722,'2022'!C:C)</f>
        <v>1214722</v>
      </c>
      <c r="O3722" s="219">
        <v>44925</v>
      </c>
      <c r="P3722" s="48" t="s">
        <v>3728</v>
      </c>
    </row>
    <row r="3723" spans="1:16" x14ac:dyDescent="0.3">
      <c r="A3723" s="59">
        <f t="shared" si="297"/>
        <v>3371</v>
      </c>
      <c r="B3723" s="66" t="s">
        <v>3563</v>
      </c>
      <c r="C3723" s="184">
        <v>1964</v>
      </c>
      <c r="D3723" s="51"/>
      <c r="E3723" s="52"/>
      <c r="F3723" s="47">
        <v>2</v>
      </c>
      <c r="G3723" s="51"/>
      <c r="H3723" s="52">
        <v>643.94000000000005</v>
      </c>
      <c r="I3723" s="47">
        <v>29</v>
      </c>
      <c r="J3723" s="19">
        <f t="shared" si="295"/>
        <v>1214722</v>
      </c>
      <c r="K3723" s="51"/>
      <c r="L3723" s="50"/>
      <c r="M3723" s="51"/>
      <c r="N3723" s="19">
        <f>SUMIF('2020'!B:B,B3723,'2020'!C:C)+SUMIF('2021'!B:B,B3723,'2021'!C:C)+SUMIF('2022'!B:B,B3723,'2022'!C:C)</f>
        <v>1214722</v>
      </c>
      <c r="O3723" s="219">
        <v>44925</v>
      </c>
      <c r="P3723" s="48" t="s">
        <v>3728</v>
      </c>
    </row>
    <row r="3724" spans="1:16" x14ac:dyDescent="0.3">
      <c r="A3724" s="59">
        <f t="shared" si="297"/>
        <v>3372</v>
      </c>
      <c r="B3724" s="66" t="s">
        <v>3564</v>
      </c>
      <c r="C3724" s="184">
        <v>1970</v>
      </c>
      <c r="D3724" s="51"/>
      <c r="E3724" s="52"/>
      <c r="F3724" s="47">
        <v>2</v>
      </c>
      <c r="G3724" s="51"/>
      <c r="H3724" s="52">
        <v>4814.37</v>
      </c>
      <c r="I3724" s="47">
        <v>230</v>
      </c>
      <c r="J3724" s="19">
        <f t="shared" si="295"/>
        <v>1214722</v>
      </c>
      <c r="K3724" s="51"/>
      <c r="L3724" s="50"/>
      <c r="M3724" s="51"/>
      <c r="N3724" s="19">
        <f>SUMIF('2020'!B:B,B3724,'2020'!C:C)+SUMIF('2021'!B:B,B3724,'2021'!C:C)+SUMIF('2022'!B:B,B3724,'2022'!C:C)</f>
        <v>1214722</v>
      </c>
      <c r="O3724" s="219">
        <v>44925</v>
      </c>
      <c r="P3724" s="48" t="s">
        <v>3728</v>
      </c>
    </row>
    <row r="3725" spans="1:16" x14ac:dyDescent="0.3">
      <c r="A3725" s="220"/>
      <c r="B3725" s="242" t="s">
        <v>211</v>
      </c>
      <c r="C3725" s="50"/>
      <c r="D3725" s="50"/>
      <c r="E3725" s="48"/>
      <c r="F3725" s="47"/>
      <c r="G3725" s="50"/>
      <c r="H3725" s="48">
        <f>SUM(H3706:H3724)</f>
        <v>22682.140000000003</v>
      </c>
      <c r="I3725" s="47">
        <f>SUM(I3706:N3724)</f>
        <v>88885751.680000007</v>
      </c>
      <c r="J3725" s="19">
        <f t="shared" si="295"/>
        <v>44442311.340000004</v>
      </c>
      <c r="K3725" s="50">
        <v>0</v>
      </c>
      <c r="L3725" s="50">
        <v>0</v>
      </c>
      <c r="M3725" s="50">
        <v>0</v>
      </c>
      <c r="N3725" s="50">
        <f>SUM(N3706:N3724)</f>
        <v>44442311.340000004</v>
      </c>
      <c r="O3725" s="219"/>
      <c r="P3725" s="48"/>
    </row>
    <row r="3726" spans="1:16" x14ac:dyDescent="0.3">
      <c r="A3726" s="461" t="s">
        <v>3565</v>
      </c>
      <c r="B3726" s="462"/>
      <c r="C3726" s="50"/>
      <c r="D3726" s="51"/>
      <c r="E3726" s="52"/>
      <c r="F3726" s="47"/>
      <c r="G3726" s="51"/>
      <c r="H3726" s="52"/>
      <c r="I3726" s="47"/>
      <c r="J3726" s="19"/>
      <c r="K3726" s="51"/>
      <c r="L3726" s="50"/>
      <c r="M3726" s="51"/>
      <c r="N3726" s="51"/>
      <c r="O3726" s="219"/>
      <c r="P3726" s="48"/>
    </row>
    <row r="3727" spans="1:16" x14ac:dyDescent="0.3">
      <c r="A3727" s="59">
        <f>A3724+1</f>
        <v>3373</v>
      </c>
      <c r="B3727" s="66" t="s">
        <v>3566</v>
      </c>
      <c r="C3727" s="184">
        <v>1938</v>
      </c>
      <c r="D3727" s="51"/>
      <c r="E3727" s="52" t="s">
        <v>3733</v>
      </c>
      <c r="F3727" s="47">
        <v>2</v>
      </c>
      <c r="G3727" s="51"/>
      <c r="H3727" s="52">
        <v>1058.7</v>
      </c>
      <c r="I3727" s="47">
        <v>53</v>
      </c>
      <c r="J3727" s="19">
        <f t="shared" si="295"/>
        <v>880777.43</v>
      </c>
      <c r="K3727" s="51"/>
      <c r="L3727" s="50"/>
      <c r="M3727" s="51"/>
      <c r="N3727" s="19">
        <f>SUMIF('2020'!B:B,B3727,'2020'!C:C)+SUMIF('2021'!B:B,B3727,'2021'!C:C)+SUMIF('2022'!B:B,B3727,'2022'!C:C)</f>
        <v>880777.43</v>
      </c>
      <c r="O3727" s="219">
        <v>44925</v>
      </c>
      <c r="P3727" s="48" t="s">
        <v>3728</v>
      </c>
    </row>
    <row r="3728" spans="1:16" x14ac:dyDescent="0.3">
      <c r="A3728" s="59">
        <f t="shared" ref="A3728:A3732" si="298">A3727+1</f>
        <v>3374</v>
      </c>
      <c r="B3728" s="66" t="s">
        <v>3567</v>
      </c>
      <c r="C3728" s="184">
        <v>1930</v>
      </c>
      <c r="D3728" s="51"/>
      <c r="E3728" s="52" t="s">
        <v>3733</v>
      </c>
      <c r="F3728" s="47">
        <v>2</v>
      </c>
      <c r="G3728" s="51"/>
      <c r="H3728" s="52">
        <v>1064.7</v>
      </c>
      <c r="I3728" s="47">
        <v>61</v>
      </c>
      <c r="J3728" s="19">
        <f t="shared" si="295"/>
        <v>1152796.2000000002</v>
      </c>
      <c r="K3728" s="51"/>
      <c r="L3728" s="50"/>
      <c r="M3728" s="51"/>
      <c r="N3728" s="19">
        <f>SUMIF('2020'!B:B,B3728,'2020'!C:C)+SUMIF('2021'!B:B,B3728,'2021'!C:C)+SUMIF('2022'!B:B,B3728,'2022'!C:C)</f>
        <v>1152796.2000000002</v>
      </c>
      <c r="O3728" s="219">
        <v>44925</v>
      </c>
      <c r="P3728" s="48" t="s">
        <v>3728</v>
      </c>
    </row>
    <row r="3729" spans="1:16" x14ac:dyDescent="0.3">
      <c r="A3729" s="59">
        <f t="shared" si="298"/>
        <v>3375</v>
      </c>
      <c r="B3729" s="66" t="s">
        <v>3568</v>
      </c>
      <c r="C3729" s="184">
        <v>1938</v>
      </c>
      <c r="D3729" s="51"/>
      <c r="E3729" s="52" t="s">
        <v>3733</v>
      </c>
      <c r="F3729" s="47">
        <v>3</v>
      </c>
      <c r="G3729" s="51"/>
      <c r="H3729" s="52">
        <v>1342.4</v>
      </c>
      <c r="I3729" s="47">
        <v>66</v>
      </c>
      <c r="J3729" s="19">
        <f t="shared" si="295"/>
        <v>1748526.4700000002</v>
      </c>
      <c r="K3729" s="51"/>
      <c r="L3729" s="50"/>
      <c r="M3729" s="51"/>
      <c r="N3729" s="19">
        <f>SUMIF('2020'!B:B,B3729,'2020'!C:C)+SUMIF('2021'!B:B,B3729,'2021'!C:C)+SUMIF('2022'!B:B,B3729,'2022'!C:C)</f>
        <v>1748526.4700000002</v>
      </c>
      <c r="O3729" s="219">
        <v>44925</v>
      </c>
      <c r="P3729" s="48" t="s">
        <v>3728</v>
      </c>
    </row>
    <row r="3730" spans="1:16" x14ac:dyDescent="0.3">
      <c r="A3730" s="59">
        <f t="shared" si="298"/>
        <v>3376</v>
      </c>
      <c r="B3730" s="66" t="s">
        <v>3569</v>
      </c>
      <c r="C3730" s="184">
        <v>1952</v>
      </c>
      <c r="D3730" s="51"/>
      <c r="E3730" s="52" t="s">
        <v>3733</v>
      </c>
      <c r="F3730" s="47">
        <v>2</v>
      </c>
      <c r="G3730" s="51"/>
      <c r="H3730" s="52">
        <v>421.4</v>
      </c>
      <c r="I3730" s="47">
        <v>11</v>
      </c>
      <c r="J3730" s="19">
        <f t="shared" si="295"/>
        <v>734756.88</v>
      </c>
      <c r="K3730" s="51"/>
      <c r="L3730" s="50"/>
      <c r="M3730" s="51"/>
      <c r="N3730" s="19">
        <f>SUMIF('2020'!B:B,B3730,'2020'!C:C)+SUMIF('2021'!B:B,B3730,'2021'!C:C)+SUMIF('2022'!B:B,B3730,'2022'!C:C)</f>
        <v>734756.88</v>
      </c>
      <c r="O3730" s="219">
        <v>44925</v>
      </c>
      <c r="P3730" s="48" t="s">
        <v>3728</v>
      </c>
    </row>
    <row r="3731" spans="1:16" x14ac:dyDescent="0.3">
      <c r="A3731" s="59">
        <f t="shared" si="298"/>
        <v>3377</v>
      </c>
      <c r="B3731" s="66" t="s">
        <v>3570</v>
      </c>
      <c r="C3731" s="184">
        <v>1950</v>
      </c>
      <c r="D3731" s="51"/>
      <c r="E3731" s="52" t="s">
        <v>3733</v>
      </c>
      <c r="F3731" s="47">
        <v>2</v>
      </c>
      <c r="G3731" s="51"/>
      <c r="H3731" s="52">
        <v>801</v>
      </c>
      <c r="I3731" s="47">
        <v>43</v>
      </c>
      <c r="J3731" s="19">
        <f t="shared" si="295"/>
        <v>753116</v>
      </c>
      <c r="K3731" s="51"/>
      <c r="L3731" s="50"/>
      <c r="M3731" s="51"/>
      <c r="N3731" s="19">
        <f>SUMIF('2020'!B:B,B3731,'2020'!C:C)+SUMIF('2021'!B:B,B3731,'2021'!C:C)+SUMIF('2022'!B:B,B3731,'2022'!C:C)</f>
        <v>753116</v>
      </c>
      <c r="O3731" s="219">
        <v>44925</v>
      </c>
      <c r="P3731" s="48" t="s">
        <v>3728</v>
      </c>
    </row>
    <row r="3732" spans="1:16" x14ac:dyDescent="0.3">
      <c r="A3732" s="59">
        <f t="shared" si="298"/>
        <v>3378</v>
      </c>
      <c r="B3732" s="66" t="s">
        <v>3571</v>
      </c>
      <c r="C3732" s="184">
        <v>1940</v>
      </c>
      <c r="D3732" s="51"/>
      <c r="E3732" s="52" t="s">
        <v>3733</v>
      </c>
      <c r="F3732" s="47">
        <v>1</v>
      </c>
      <c r="G3732" s="51"/>
      <c r="H3732" s="52">
        <v>616.20000000000005</v>
      </c>
      <c r="I3732" s="47">
        <v>36</v>
      </c>
      <c r="J3732" s="19">
        <f t="shared" si="295"/>
        <v>1087028.8800000001</v>
      </c>
      <c r="K3732" s="51"/>
      <c r="L3732" s="50"/>
      <c r="M3732" s="51"/>
      <c r="N3732" s="19">
        <f>SUMIF('2020'!B:B,B3732,'2020'!C:C)+SUMIF('2021'!B:B,B3732,'2021'!C:C)+SUMIF('2022'!B:B,B3732,'2022'!C:C)</f>
        <v>1087028.8800000001</v>
      </c>
      <c r="O3732" s="219">
        <v>44925</v>
      </c>
      <c r="P3732" s="48" t="s">
        <v>3728</v>
      </c>
    </row>
    <row r="3733" spans="1:16" x14ac:dyDescent="0.3">
      <c r="A3733" s="220"/>
      <c r="B3733" s="242" t="s">
        <v>211</v>
      </c>
      <c r="C3733" s="50"/>
      <c r="D3733" s="50"/>
      <c r="E3733" s="48"/>
      <c r="F3733" s="47"/>
      <c r="G3733" s="50"/>
      <c r="H3733" s="48">
        <f>SUM(H3727:H3732)</f>
        <v>5304.4000000000005</v>
      </c>
      <c r="I3733" s="47">
        <f>SUM(I3727:N3732)</f>
        <v>12714273.720000003</v>
      </c>
      <c r="J3733" s="19">
        <f t="shared" si="295"/>
        <v>6357001.8600000003</v>
      </c>
      <c r="K3733" s="50">
        <v>0</v>
      </c>
      <c r="L3733" s="50">
        <v>0</v>
      </c>
      <c r="M3733" s="50">
        <v>0</v>
      </c>
      <c r="N3733" s="50">
        <f>SUM(N3727:N3732)</f>
        <v>6357001.8600000003</v>
      </c>
      <c r="O3733" s="219"/>
      <c r="P3733" s="48"/>
    </row>
    <row r="3734" spans="1:16" x14ac:dyDescent="0.3">
      <c r="A3734" s="461" t="s">
        <v>3572</v>
      </c>
      <c r="B3734" s="462"/>
      <c r="C3734" s="50"/>
      <c r="D3734" s="51"/>
      <c r="E3734" s="52"/>
      <c r="F3734" s="47"/>
      <c r="G3734" s="51"/>
      <c r="H3734" s="52"/>
      <c r="I3734" s="47"/>
      <c r="J3734" s="19"/>
      <c r="K3734" s="51"/>
      <c r="L3734" s="50"/>
      <c r="M3734" s="51"/>
      <c r="N3734" s="51"/>
      <c r="O3734" s="219"/>
      <c r="P3734" s="48"/>
    </row>
    <row r="3735" spans="1:16" x14ac:dyDescent="0.3">
      <c r="A3735" s="59">
        <f>A3732+1</f>
        <v>3379</v>
      </c>
      <c r="B3735" s="66" t="s">
        <v>3573</v>
      </c>
      <c r="C3735" s="184">
        <v>1973</v>
      </c>
      <c r="D3735" s="51"/>
      <c r="E3735" s="52" t="s">
        <v>3733</v>
      </c>
      <c r="F3735" s="47">
        <v>5</v>
      </c>
      <c r="G3735" s="51"/>
      <c r="H3735" s="52">
        <v>3736.4</v>
      </c>
      <c r="I3735" s="47">
        <v>147</v>
      </c>
      <c r="J3735" s="19">
        <f t="shared" si="295"/>
        <v>130000</v>
      </c>
      <c r="K3735" s="51"/>
      <c r="L3735" s="50"/>
      <c r="M3735" s="51"/>
      <c r="N3735" s="19">
        <f>SUMIF('2020'!B:B,B3735,'2020'!C:C)+SUMIF('2021'!B:B,B3735,'2021'!C:C)+SUMIF('2022'!B:B,B3735,'2022'!C:C)</f>
        <v>130000</v>
      </c>
      <c r="O3735" s="219">
        <v>44925</v>
      </c>
      <c r="P3735" s="48" t="s">
        <v>3728</v>
      </c>
    </row>
    <row r="3736" spans="1:16" x14ac:dyDescent="0.3">
      <c r="A3736" s="59">
        <f t="shared" ref="A3736:A3748" si="299">A3735+1</f>
        <v>3380</v>
      </c>
      <c r="B3736" s="66" t="s">
        <v>3574</v>
      </c>
      <c r="C3736" s="184">
        <v>1967</v>
      </c>
      <c r="D3736" s="51"/>
      <c r="E3736" s="52" t="s">
        <v>3733</v>
      </c>
      <c r="F3736" s="47">
        <v>5</v>
      </c>
      <c r="G3736" s="51"/>
      <c r="H3736" s="52">
        <v>2784.8</v>
      </c>
      <c r="I3736" s="47">
        <v>121</v>
      </c>
      <c r="J3736" s="19">
        <f t="shared" si="295"/>
        <v>130000</v>
      </c>
      <c r="K3736" s="51"/>
      <c r="L3736" s="50"/>
      <c r="M3736" s="51"/>
      <c r="N3736" s="19">
        <f>SUMIF('2020'!B:B,B3736,'2020'!C:C)+SUMIF('2021'!B:B,B3736,'2021'!C:C)+SUMIF('2022'!B:B,B3736,'2022'!C:C)</f>
        <v>130000</v>
      </c>
      <c r="O3736" s="219">
        <v>44925</v>
      </c>
      <c r="P3736" s="48" t="s">
        <v>3728</v>
      </c>
    </row>
    <row r="3737" spans="1:16" x14ac:dyDescent="0.3">
      <c r="A3737" s="59">
        <f t="shared" si="299"/>
        <v>3381</v>
      </c>
      <c r="B3737" s="66" t="s">
        <v>3575</v>
      </c>
      <c r="C3737" s="184">
        <v>1966</v>
      </c>
      <c r="D3737" s="51"/>
      <c r="E3737" s="52" t="s">
        <v>3733</v>
      </c>
      <c r="F3737" s="47">
        <v>4</v>
      </c>
      <c r="G3737" s="51"/>
      <c r="H3737" s="52">
        <v>2232.1999999999998</v>
      </c>
      <c r="I3737" s="47">
        <v>96</v>
      </c>
      <c r="J3737" s="19">
        <f t="shared" si="295"/>
        <v>681107.57000000007</v>
      </c>
      <c r="K3737" s="51"/>
      <c r="L3737" s="50"/>
      <c r="M3737" s="51"/>
      <c r="N3737" s="19">
        <f>SUMIF('2020'!B:B,B3737,'2020'!C:C)+SUMIF('2021'!B:B,B3737,'2021'!C:C)+SUMIF('2022'!B:B,B3737,'2022'!C:C)</f>
        <v>681107.57000000007</v>
      </c>
      <c r="O3737" s="219">
        <v>44925</v>
      </c>
      <c r="P3737" s="48" t="s">
        <v>3728</v>
      </c>
    </row>
    <row r="3738" spans="1:16" x14ac:dyDescent="0.3">
      <c r="A3738" s="59">
        <f t="shared" si="299"/>
        <v>3382</v>
      </c>
      <c r="B3738" s="66" t="s">
        <v>3576</v>
      </c>
      <c r="C3738" s="184">
        <v>1966</v>
      </c>
      <c r="D3738" s="51"/>
      <c r="E3738" s="52" t="s">
        <v>3733</v>
      </c>
      <c r="F3738" s="47">
        <v>4</v>
      </c>
      <c r="G3738" s="51"/>
      <c r="H3738" s="52">
        <v>2232.1999999999998</v>
      </c>
      <c r="I3738" s="47">
        <v>93</v>
      </c>
      <c r="J3738" s="19">
        <f t="shared" si="295"/>
        <v>683686.35</v>
      </c>
      <c r="K3738" s="51"/>
      <c r="L3738" s="50"/>
      <c r="M3738" s="51"/>
      <c r="N3738" s="19">
        <f>SUMIF('2020'!B:B,B3738,'2020'!C:C)+SUMIF('2021'!B:B,B3738,'2021'!C:C)+SUMIF('2022'!B:B,B3738,'2022'!C:C)</f>
        <v>683686.35</v>
      </c>
      <c r="O3738" s="219">
        <v>44925</v>
      </c>
      <c r="P3738" s="48" t="s">
        <v>3728</v>
      </c>
    </row>
    <row r="3739" spans="1:16" x14ac:dyDescent="0.3">
      <c r="A3739" s="59">
        <f t="shared" si="299"/>
        <v>3383</v>
      </c>
      <c r="B3739" s="66" t="s">
        <v>3577</v>
      </c>
      <c r="C3739" s="184">
        <v>1969</v>
      </c>
      <c r="D3739" s="51"/>
      <c r="E3739" s="52" t="s">
        <v>3733</v>
      </c>
      <c r="F3739" s="47">
        <v>5</v>
      </c>
      <c r="G3739" s="51"/>
      <c r="H3739" s="52">
        <v>3768.8</v>
      </c>
      <c r="I3739" s="47">
        <v>156</v>
      </c>
      <c r="J3739" s="19">
        <f t="shared" si="295"/>
        <v>130000</v>
      </c>
      <c r="K3739" s="51"/>
      <c r="L3739" s="50"/>
      <c r="M3739" s="51"/>
      <c r="N3739" s="19">
        <f>SUMIF('2020'!B:B,B3739,'2020'!C:C)+SUMIF('2021'!B:B,B3739,'2021'!C:C)+SUMIF('2022'!B:B,B3739,'2022'!C:C)</f>
        <v>130000</v>
      </c>
      <c r="O3739" s="219">
        <v>44925</v>
      </c>
      <c r="P3739" s="48" t="s">
        <v>3728</v>
      </c>
    </row>
    <row r="3740" spans="1:16" x14ac:dyDescent="0.3">
      <c r="A3740" s="59">
        <f t="shared" si="299"/>
        <v>3384</v>
      </c>
      <c r="B3740" s="66" t="s">
        <v>3578</v>
      </c>
      <c r="C3740" s="184">
        <v>1972</v>
      </c>
      <c r="D3740" s="51"/>
      <c r="E3740" s="52" t="s">
        <v>3733</v>
      </c>
      <c r="F3740" s="47">
        <v>5</v>
      </c>
      <c r="G3740" s="51"/>
      <c r="H3740" s="52">
        <v>3719.19</v>
      </c>
      <c r="I3740" s="47">
        <v>177</v>
      </c>
      <c r="J3740" s="19">
        <f t="shared" si="295"/>
        <v>130000</v>
      </c>
      <c r="K3740" s="51"/>
      <c r="L3740" s="50"/>
      <c r="M3740" s="51"/>
      <c r="N3740" s="19">
        <f>SUMIF('2020'!B:B,B3740,'2020'!C:C)+SUMIF('2021'!B:B,B3740,'2021'!C:C)+SUMIF('2022'!B:B,B3740,'2022'!C:C)</f>
        <v>130000</v>
      </c>
      <c r="O3740" s="219">
        <v>44925</v>
      </c>
      <c r="P3740" s="48" t="s">
        <v>3728</v>
      </c>
    </row>
    <row r="3741" spans="1:16" x14ac:dyDescent="0.3">
      <c r="A3741" s="59">
        <f t="shared" si="299"/>
        <v>3385</v>
      </c>
      <c r="B3741" s="66" t="s">
        <v>3579</v>
      </c>
      <c r="C3741" s="184">
        <v>1978</v>
      </c>
      <c r="D3741" s="51"/>
      <c r="E3741" s="52" t="s">
        <v>3733</v>
      </c>
      <c r="F3741" s="47">
        <v>5</v>
      </c>
      <c r="G3741" s="51"/>
      <c r="H3741" s="52">
        <v>3580.6</v>
      </c>
      <c r="I3741" s="47">
        <v>105</v>
      </c>
      <c r="J3741" s="19">
        <f t="shared" si="295"/>
        <v>130000</v>
      </c>
      <c r="K3741" s="51"/>
      <c r="L3741" s="50"/>
      <c r="M3741" s="51"/>
      <c r="N3741" s="19">
        <f>SUMIF('2020'!B:B,B3741,'2020'!C:C)+SUMIF('2021'!B:B,B3741,'2021'!C:C)+SUMIF('2022'!B:B,B3741,'2022'!C:C)</f>
        <v>130000</v>
      </c>
      <c r="O3741" s="219">
        <v>44925</v>
      </c>
      <c r="P3741" s="48" t="s">
        <v>3728</v>
      </c>
    </row>
    <row r="3742" spans="1:16" x14ac:dyDescent="0.3">
      <c r="A3742" s="59">
        <f t="shared" si="299"/>
        <v>3386</v>
      </c>
      <c r="B3742" s="66" t="s">
        <v>3580</v>
      </c>
      <c r="C3742" s="184">
        <v>1975</v>
      </c>
      <c r="D3742" s="51"/>
      <c r="E3742" s="52" t="s">
        <v>3733</v>
      </c>
      <c r="F3742" s="47">
        <v>5</v>
      </c>
      <c r="G3742" s="51"/>
      <c r="H3742" s="52">
        <v>3784.9</v>
      </c>
      <c r="I3742" s="47">
        <v>172</v>
      </c>
      <c r="J3742" s="19">
        <f t="shared" si="295"/>
        <v>130000</v>
      </c>
      <c r="K3742" s="51"/>
      <c r="L3742" s="50"/>
      <c r="M3742" s="51"/>
      <c r="N3742" s="19">
        <f>SUMIF('2020'!B:B,B3742,'2020'!C:C)+SUMIF('2021'!B:B,B3742,'2021'!C:C)+SUMIF('2022'!B:B,B3742,'2022'!C:C)</f>
        <v>130000</v>
      </c>
      <c r="O3742" s="219">
        <v>44925</v>
      </c>
      <c r="P3742" s="48" t="s">
        <v>3728</v>
      </c>
    </row>
    <row r="3743" spans="1:16" x14ac:dyDescent="0.3">
      <c r="A3743" s="59">
        <f t="shared" si="299"/>
        <v>3387</v>
      </c>
      <c r="B3743" s="66" t="s">
        <v>3581</v>
      </c>
      <c r="C3743" s="184">
        <v>1954</v>
      </c>
      <c r="D3743" s="51"/>
      <c r="E3743" s="52" t="s">
        <v>3733</v>
      </c>
      <c r="F3743" s="47">
        <v>2</v>
      </c>
      <c r="G3743" s="51"/>
      <c r="H3743" s="52">
        <v>435.7</v>
      </c>
      <c r="I3743" s="47">
        <v>22</v>
      </c>
      <c r="J3743" s="19">
        <f t="shared" si="295"/>
        <v>276861.3</v>
      </c>
      <c r="K3743" s="51"/>
      <c r="L3743" s="50"/>
      <c r="M3743" s="51"/>
      <c r="N3743" s="19">
        <f>SUMIF('2020'!B:B,B3743,'2020'!C:C)+SUMIF('2021'!B:B,B3743,'2021'!C:C)+SUMIF('2022'!B:B,B3743,'2022'!C:C)</f>
        <v>276861.3</v>
      </c>
      <c r="O3743" s="219">
        <v>44925</v>
      </c>
      <c r="P3743" s="48" t="s">
        <v>3728</v>
      </c>
    </row>
    <row r="3744" spans="1:16" x14ac:dyDescent="0.3">
      <c r="A3744" s="59">
        <f t="shared" si="299"/>
        <v>3388</v>
      </c>
      <c r="B3744" s="66" t="s">
        <v>3582</v>
      </c>
      <c r="C3744" s="184">
        <v>1961</v>
      </c>
      <c r="D3744" s="51"/>
      <c r="E3744" s="52" t="s">
        <v>3733</v>
      </c>
      <c r="F3744" s="47">
        <v>2</v>
      </c>
      <c r="G3744" s="51"/>
      <c r="H3744" s="52">
        <v>515.20000000000005</v>
      </c>
      <c r="I3744" s="47">
        <v>25</v>
      </c>
      <c r="J3744" s="19">
        <f t="shared" si="295"/>
        <v>276861.3</v>
      </c>
      <c r="K3744" s="51"/>
      <c r="L3744" s="50"/>
      <c r="M3744" s="51"/>
      <c r="N3744" s="19">
        <f>SUMIF('2020'!B:B,B3744,'2020'!C:C)+SUMIF('2021'!B:B,B3744,'2021'!C:C)+SUMIF('2022'!B:B,B3744,'2022'!C:C)</f>
        <v>276861.3</v>
      </c>
      <c r="O3744" s="219">
        <v>44925</v>
      </c>
      <c r="P3744" s="48" t="s">
        <v>3728</v>
      </c>
    </row>
    <row r="3745" spans="1:16" x14ac:dyDescent="0.3">
      <c r="A3745" s="59">
        <f t="shared" si="299"/>
        <v>3389</v>
      </c>
      <c r="B3745" s="66" t="s">
        <v>3583</v>
      </c>
      <c r="C3745" s="184">
        <v>1960</v>
      </c>
      <c r="D3745" s="51"/>
      <c r="E3745" s="52" t="s">
        <v>3733</v>
      </c>
      <c r="F3745" s="47">
        <v>2</v>
      </c>
      <c r="G3745" s="51"/>
      <c r="H3745" s="52">
        <v>514.5</v>
      </c>
      <c r="I3745" s="47">
        <v>28</v>
      </c>
      <c r="J3745" s="19">
        <f t="shared" ref="J3745:J3790" si="300">K3745+L3745+M3745+N3745</f>
        <v>276861.3</v>
      </c>
      <c r="K3745" s="51"/>
      <c r="L3745" s="50"/>
      <c r="M3745" s="51"/>
      <c r="N3745" s="19">
        <f>SUMIF('2020'!B:B,B3745,'2020'!C:C)+SUMIF('2021'!B:B,B3745,'2021'!C:C)+SUMIF('2022'!B:B,B3745,'2022'!C:C)</f>
        <v>276861.3</v>
      </c>
      <c r="O3745" s="219">
        <v>44925</v>
      </c>
      <c r="P3745" s="48" t="s">
        <v>3728</v>
      </c>
    </row>
    <row r="3746" spans="1:16" x14ac:dyDescent="0.3">
      <c r="A3746" s="59">
        <f t="shared" si="299"/>
        <v>3390</v>
      </c>
      <c r="B3746" s="66" t="s">
        <v>3584</v>
      </c>
      <c r="C3746" s="184">
        <v>1959</v>
      </c>
      <c r="D3746" s="51"/>
      <c r="E3746" s="52" t="s">
        <v>3733</v>
      </c>
      <c r="F3746" s="47">
        <v>2</v>
      </c>
      <c r="G3746" s="51"/>
      <c r="H3746" s="52">
        <v>515.70000000000005</v>
      </c>
      <c r="I3746" s="47">
        <v>27</v>
      </c>
      <c r="J3746" s="19">
        <f t="shared" si="300"/>
        <v>276861.3</v>
      </c>
      <c r="K3746" s="51"/>
      <c r="L3746" s="50"/>
      <c r="M3746" s="51"/>
      <c r="N3746" s="19">
        <f>SUMIF('2020'!B:B,B3746,'2020'!C:C)+SUMIF('2021'!B:B,B3746,'2021'!C:C)+SUMIF('2022'!B:B,B3746,'2022'!C:C)</f>
        <v>276861.3</v>
      </c>
      <c r="O3746" s="219">
        <v>44925</v>
      </c>
      <c r="P3746" s="48" t="s">
        <v>3728</v>
      </c>
    </row>
    <row r="3747" spans="1:16" x14ac:dyDescent="0.3">
      <c r="A3747" s="59">
        <f t="shared" si="299"/>
        <v>3391</v>
      </c>
      <c r="B3747" s="66" t="s">
        <v>3585</v>
      </c>
      <c r="C3747" s="184">
        <v>1970</v>
      </c>
      <c r="D3747" s="51"/>
      <c r="E3747" s="52" t="s">
        <v>3733</v>
      </c>
      <c r="F3747" s="47">
        <v>5</v>
      </c>
      <c r="G3747" s="51"/>
      <c r="H3747" s="52">
        <v>4558.6000000000004</v>
      </c>
      <c r="I3747" s="47">
        <v>182</v>
      </c>
      <c r="J3747" s="19">
        <f t="shared" si="300"/>
        <v>130000</v>
      </c>
      <c r="K3747" s="51"/>
      <c r="L3747" s="50"/>
      <c r="M3747" s="51"/>
      <c r="N3747" s="19">
        <f>SUMIF('2020'!B:B,B3747,'2020'!C:C)+SUMIF('2021'!B:B,B3747,'2021'!C:C)+SUMIF('2022'!B:B,B3747,'2022'!C:C)</f>
        <v>130000</v>
      </c>
      <c r="O3747" s="219">
        <v>44925</v>
      </c>
      <c r="P3747" s="48" t="s">
        <v>3728</v>
      </c>
    </row>
    <row r="3748" spans="1:16" x14ac:dyDescent="0.3">
      <c r="A3748" s="59">
        <f t="shared" si="299"/>
        <v>3392</v>
      </c>
      <c r="B3748" s="66" t="s">
        <v>3586</v>
      </c>
      <c r="C3748" s="184">
        <v>1955</v>
      </c>
      <c r="D3748" s="51"/>
      <c r="E3748" s="52" t="s">
        <v>3733</v>
      </c>
      <c r="F3748" s="47">
        <v>2</v>
      </c>
      <c r="G3748" s="51"/>
      <c r="H3748" s="52">
        <v>429.4</v>
      </c>
      <c r="I3748" s="47">
        <v>27</v>
      </c>
      <c r="J3748" s="19">
        <f t="shared" si="300"/>
        <v>276861.3</v>
      </c>
      <c r="K3748" s="51"/>
      <c r="L3748" s="50"/>
      <c r="M3748" s="51"/>
      <c r="N3748" s="19">
        <f>SUMIF('2020'!B:B,B3748,'2020'!C:C)+SUMIF('2021'!B:B,B3748,'2021'!C:C)+SUMIF('2022'!B:B,B3748,'2022'!C:C)</f>
        <v>276861.3</v>
      </c>
      <c r="O3748" s="219">
        <v>44925</v>
      </c>
      <c r="P3748" s="48" t="s">
        <v>3728</v>
      </c>
    </row>
    <row r="3749" spans="1:16" x14ac:dyDescent="0.3">
      <c r="A3749" s="7"/>
      <c r="B3749" s="242" t="s">
        <v>211</v>
      </c>
      <c r="C3749" s="50"/>
      <c r="D3749" s="50"/>
      <c r="E3749" s="48"/>
      <c r="F3749" s="47"/>
      <c r="G3749" s="50"/>
      <c r="H3749" s="48">
        <f>SUM(H3735:H3748)</f>
        <v>32808.19</v>
      </c>
      <c r="I3749" s="47">
        <f>SUM(I3735:I3748)</f>
        <v>1378</v>
      </c>
      <c r="J3749" s="19">
        <f>K3749+L3749+M3749+N3749</f>
        <v>3659100.419999999</v>
      </c>
      <c r="K3749" s="50">
        <v>0</v>
      </c>
      <c r="L3749" s="50">
        <v>0</v>
      </c>
      <c r="M3749" s="50">
        <v>0</v>
      </c>
      <c r="N3749" s="50">
        <f>SUM(N3735:N3748)</f>
        <v>3659100.419999999</v>
      </c>
      <c r="O3749" s="219"/>
      <c r="P3749" s="48"/>
    </row>
    <row r="3750" spans="1:16" x14ac:dyDescent="0.3">
      <c r="A3750" s="461" t="s">
        <v>3587</v>
      </c>
      <c r="B3750" s="462"/>
      <c r="C3750" s="50"/>
      <c r="D3750" s="51"/>
      <c r="E3750" s="52"/>
      <c r="F3750" s="47"/>
      <c r="G3750" s="51"/>
      <c r="H3750" s="52"/>
      <c r="I3750" s="47"/>
      <c r="J3750" s="19"/>
      <c r="K3750" s="51"/>
      <c r="L3750" s="50"/>
      <c r="M3750" s="51"/>
      <c r="N3750" s="51"/>
      <c r="O3750" s="219"/>
      <c r="P3750" s="48"/>
    </row>
    <row r="3751" spans="1:16" x14ac:dyDescent="0.3">
      <c r="A3751" s="59">
        <f>A3748+1</f>
        <v>3393</v>
      </c>
      <c r="B3751" s="66" t="s">
        <v>3588</v>
      </c>
      <c r="C3751" s="184">
        <v>1976</v>
      </c>
      <c r="D3751" s="51"/>
      <c r="E3751" s="52" t="s">
        <v>3733</v>
      </c>
      <c r="F3751" s="47">
        <v>3</v>
      </c>
      <c r="G3751" s="51"/>
      <c r="H3751" s="52">
        <v>1511.6</v>
      </c>
      <c r="I3751" s="47">
        <v>40</v>
      </c>
      <c r="J3751" s="19">
        <f t="shared" si="300"/>
        <v>568108.97</v>
      </c>
      <c r="K3751" s="51"/>
      <c r="L3751" s="50"/>
      <c r="M3751" s="51"/>
      <c r="N3751" s="19">
        <f>SUMIF('2020'!B:B,B3751,'2020'!C:C)+SUMIF('2021'!B:B,B3751,'2021'!C:C)+SUMIF('2022'!B:B,B3751,'2022'!C:C)</f>
        <v>568108.97</v>
      </c>
      <c r="O3751" s="219">
        <v>44925</v>
      </c>
      <c r="P3751" s="48" t="s">
        <v>3728</v>
      </c>
    </row>
    <row r="3752" spans="1:16" x14ac:dyDescent="0.3">
      <c r="A3752" s="59">
        <f t="shared" ref="A3752:A3787" si="301">A3751+1</f>
        <v>3394</v>
      </c>
      <c r="B3752" s="66" t="s">
        <v>3589</v>
      </c>
      <c r="C3752" s="184">
        <v>1976</v>
      </c>
      <c r="D3752" s="51"/>
      <c r="E3752" s="52" t="s">
        <v>3733</v>
      </c>
      <c r="F3752" s="47">
        <v>3</v>
      </c>
      <c r="G3752" s="51"/>
      <c r="H3752" s="52">
        <v>1491.8</v>
      </c>
      <c r="I3752" s="47">
        <v>40</v>
      </c>
      <c r="J3752" s="19">
        <f t="shared" si="300"/>
        <v>1309579.3699999999</v>
      </c>
      <c r="K3752" s="51"/>
      <c r="L3752" s="50"/>
      <c r="M3752" s="51"/>
      <c r="N3752" s="19">
        <f>SUMIF('2020'!B:B,B3752,'2020'!C:C)+SUMIF('2021'!B:B,B3752,'2021'!C:C)+SUMIF('2022'!B:B,B3752,'2022'!C:C)</f>
        <v>1309579.3699999999</v>
      </c>
      <c r="O3752" s="219">
        <v>44925</v>
      </c>
      <c r="P3752" s="48" t="s">
        <v>3728</v>
      </c>
    </row>
    <row r="3753" spans="1:16" x14ac:dyDescent="0.3">
      <c r="A3753" s="59">
        <f t="shared" si="301"/>
        <v>3395</v>
      </c>
      <c r="B3753" s="66" t="s">
        <v>3590</v>
      </c>
      <c r="C3753" s="184">
        <v>1976</v>
      </c>
      <c r="D3753" s="51"/>
      <c r="E3753" s="52" t="s">
        <v>3733</v>
      </c>
      <c r="F3753" s="47">
        <v>3</v>
      </c>
      <c r="G3753" s="51"/>
      <c r="H3753" s="52">
        <v>1511.6</v>
      </c>
      <c r="I3753" s="47">
        <v>40</v>
      </c>
      <c r="J3753" s="19">
        <f t="shared" si="300"/>
        <v>1272971.49</v>
      </c>
      <c r="K3753" s="51"/>
      <c r="L3753" s="50"/>
      <c r="M3753" s="51"/>
      <c r="N3753" s="19">
        <f>SUMIF('2020'!B:B,B3753,'2020'!C:C)+SUMIF('2021'!B:B,B3753,'2021'!C:C)+SUMIF('2022'!B:B,B3753,'2022'!C:C)</f>
        <v>1272971.49</v>
      </c>
      <c r="O3753" s="219">
        <v>44925</v>
      </c>
      <c r="P3753" s="48" t="s">
        <v>3728</v>
      </c>
    </row>
    <row r="3754" spans="1:16" x14ac:dyDescent="0.3">
      <c r="A3754" s="59">
        <f t="shared" si="301"/>
        <v>3396</v>
      </c>
      <c r="B3754" s="66" t="s">
        <v>3591</v>
      </c>
      <c r="C3754" s="184">
        <v>1966</v>
      </c>
      <c r="D3754" s="51"/>
      <c r="E3754" s="52" t="s">
        <v>3733</v>
      </c>
      <c r="F3754" s="47">
        <v>3</v>
      </c>
      <c r="G3754" s="51"/>
      <c r="H3754" s="52">
        <v>455.6</v>
      </c>
      <c r="I3754" s="47">
        <v>24</v>
      </c>
      <c r="J3754" s="19">
        <f t="shared" si="300"/>
        <v>944609.16999999993</v>
      </c>
      <c r="K3754" s="51"/>
      <c r="L3754" s="50"/>
      <c r="M3754" s="51"/>
      <c r="N3754" s="19">
        <f>SUMIF('2020'!B:B,B3754,'2020'!C:C)+SUMIF('2021'!B:B,B3754,'2021'!C:C)+SUMIF('2022'!B:B,B3754,'2022'!C:C)</f>
        <v>944609.16999999993</v>
      </c>
      <c r="O3754" s="219">
        <v>44925</v>
      </c>
      <c r="P3754" s="48" t="s">
        <v>3728</v>
      </c>
    </row>
    <row r="3755" spans="1:16" x14ac:dyDescent="0.3">
      <c r="A3755" s="59">
        <f t="shared" si="301"/>
        <v>3397</v>
      </c>
      <c r="B3755" s="66" t="s">
        <v>3592</v>
      </c>
      <c r="C3755" s="184">
        <v>1950</v>
      </c>
      <c r="D3755" s="51"/>
      <c r="E3755" s="52" t="s">
        <v>3731</v>
      </c>
      <c r="F3755" s="47">
        <v>3</v>
      </c>
      <c r="G3755" s="51"/>
      <c r="H3755" s="52">
        <v>523</v>
      </c>
      <c r="I3755" s="47">
        <v>24</v>
      </c>
      <c r="J3755" s="19">
        <f t="shared" si="300"/>
        <v>1204169.49</v>
      </c>
      <c r="K3755" s="51"/>
      <c r="L3755" s="50"/>
      <c r="M3755" s="51"/>
      <c r="N3755" s="19">
        <f>SUMIF('2020'!B:B,B3755,'2020'!C:C)+SUMIF('2021'!B:B,B3755,'2021'!C:C)+SUMIF('2022'!B:B,B3755,'2022'!C:C)</f>
        <v>1204169.49</v>
      </c>
      <c r="O3755" s="219">
        <v>44925</v>
      </c>
      <c r="P3755" s="48" t="s">
        <v>3728</v>
      </c>
    </row>
    <row r="3756" spans="1:16" x14ac:dyDescent="0.3">
      <c r="A3756" s="59">
        <f t="shared" si="301"/>
        <v>3398</v>
      </c>
      <c r="B3756" s="66" t="s">
        <v>3593</v>
      </c>
      <c r="C3756" s="184">
        <v>1950</v>
      </c>
      <c r="D3756" s="51"/>
      <c r="E3756" s="52" t="s">
        <v>3733</v>
      </c>
      <c r="F3756" s="47">
        <v>1</v>
      </c>
      <c r="G3756" s="51"/>
      <c r="H3756" s="59">
        <v>298.2</v>
      </c>
      <c r="I3756" s="47">
        <v>8</v>
      </c>
      <c r="J3756" s="19">
        <f t="shared" si="300"/>
        <v>1716410.1400000001</v>
      </c>
      <c r="K3756" s="51"/>
      <c r="L3756" s="50"/>
      <c r="M3756" s="51"/>
      <c r="N3756" s="19">
        <f>SUMIF('2020'!B:B,B3756,'2020'!C:C)+SUMIF('2021'!B:B,B3756,'2021'!C:C)+SUMIF('2022'!B:B,B3756,'2022'!C:C)</f>
        <v>1716410.1400000001</v>
      </c>
      <c r="O3756" s="219">
        <v>44925</v>
      </c>
      <c r="P3756" s="48" t="s">
        <v>3728</v>
      </c>
    </row>
    <row r="3757" spans="1:16" x14ac:dyDescent="0.3">
      <c r="A3757" s="59">
        <f t="shared" si="301"/>
        <v>3399</v>
      </c>
      <c r="B3757" s="66" t="s">
        <v>3594</v>
      </c>
      <c r="C3757" s="184">
        <v>1986</v>
      </c>
      <c r="D3757" s="51"/>
      <c r="E3757" s="52" t="s">
        <v>3733</v>
      </c>
      <c r="F3757" s="47">
        <v>1</v>
      </c>
      <c r="G3757" s="51"/>
      <c r="H3757" s="52">
        <v>726.8</v>
      </c>
      <c r="I3757" s="47">
        <v>50</v>
      </c>
      <c r="J3757" s="19">
        <f t="shared" si="300"/>
        <v>235961.84</v>
      </c>
      <c r="K3757" s="51"/>
      <c r="L3757" s="50"/>
      <c r="M3757" s="51"/>
      <c r="N3757" s="19">
        <f>SUMIF('2020'!B:B,B3757,'2020'!C:C)+SUMIF('2021'!B:B,B3757,'2021'!C:C)+SUMIF('2022'!B:B,B3757,'2022'!C:C)</f>
        <v>235961.84</v>
      </c>
      <c r="O3757" s="219">
        <v>44925</v>
      </c>
      <c r="P3757" s="48" t="s">
        <v>3728</v>
      </c>
    </row>
    <row r="3758" spans="1:16" x14ac:dyDescent="0.3">
      <c r="A3758" s="59">
        <f t="shared" si="301"/>
        <v>3400</v>
      </c>
      <c r="B3758" s="66" t="s">
        <v>3595</v>
      </c>
      <c r="C3758" s="184">
        <v>1971</v>
      </c>
      <c r="D3758" s="51"/>
      <c r="E3758" s="52" t="s">
        <v>3733</v>
      </c>
      <c r="F3758" s="47">
        <v>2</v>
      </c>
      <c r="G3758" s="51"/>
      <c r="H3758" s="59">
        <v>506</v>
      </c>
      <c r="I3758" s="47">
        <v>40</v>
      </c>
      <c r="J3758" s="19">
        <f t="shared" si="300"/>
        <v>1870961.13</v>
      </c>
      <c r="K3758" s="51"/>
      <c r="L3758" s="50"/>
      <c r="M3758" s="51"/>
      <c r="N3758" s="19">
        <f>SUMIF('2020'!B:B,B3758,'2020'!C:C)+SUMIF('2021'!B:B,B3758,'2021'!C:C)+SUMIF('2022'!B:B,B3758,'2022'!C:C)</f>
        <v>1870961.13</v>
      </c>
      <c r="O3758" s="219">
        <v>44925</v>
      </c>
      <c r="P3758" s="48" t="s">
        <v>3728</v>
      </c>
    </row>
    <row r="3759" spans="1:16" x14ac:dyDescent="0.3">
      <c r="A3759" s="59">
        <f t="shared" si="301"/>
        <v>3401</v>
      </c>
      <c r="B3759" s="66" t="s">
        <v>3596</v>
      </c>
      <c r="C3759" s="184">
        <v>1972</v>
      </c>
      <c r="D3759" s="51"/>
      <c r="E3759" s="52" t="s">
        <v>3733</v>
      </c>
      <c r="F3759" s="47">
        <v>4</v>
      </c>
      <c r="G3759" s="51"/>
      <c r="H3759" s="59">
        <v>534.70000000000005</v>
      </c>
      <c r="I3759" s="47">
        <v>40</v>
      </c>
      <c r="J3759" s="19">
        <f t="shared" si="300"/>
        <v>128687.8</v>
      </c>
      <c r="K3759" s="51"/>
      <c r="L3759" s="50"/>
      <c r="M3759" s="51"/>
      <c r="N3759" s="19">
        <f>SUMIF('2020'!B:B,B3759,'2020'!C:C)+SUMIF('2021'!B:B,B3759,'2021'!C:C)+SUMIF('2022'!B:B,B3759,'2022'!C:C)</f>
        <v>128687.8</v>
      </c>
      <c r="O3759" s="219">
        <v>44925</v>
      </c>
      <c r="P3759" s="48" t="s">
        <v>3728</v>
      </c>
    </row>
    <row r="3760" spans="1:16" x14ac:dyDescent="0.3">
      <c r="A3760" s="59">
        <f t="shared" si="301"/>
        <v>3402</v>
      </c>
      <c r="B3760" s="66" t="s">
        <v>3597</v>
      </c>
      <c r="C3760" s="184">
        <v>1973</v>
      </c>
      <c r="D3760" s="51"/>
      <c r="E3760" s="52" t="s">
        <v>3733</v>
      </c>
      <c r="F3760" s="47">
        <v>2</v>
      </c>
      <c r="G3760" s="51"/>
      <c r="H3760" s="52">
        <v>740.3</v>
      </c>
      <c r="I3760" s="47">
        <v>40</v>
      </c>
      <c r="J3760" s="19">
        <f t="shared" si="300"/>
        <v>2115624.31</v>
      </c>
      <c r="K3760" s="51"/>
      <c r="L3760" s="50"/>
      <c r="M3760" s="51"/>
      <c r="N3760" s="19">
        <f>SUMIF('2020'!B:B,B3760,'2020'!C:C)+SUMIF('2021'!B:B,B3760,'2021'!C:C)+SUMIF('2022'!B:B,B3760,'2022'!C:C)</f>
        <v>2115624.31</v>
      </c>
      <c r="O3760" s="219">
        <v>44925</v>
      </c>
      <c r="P3760" s="48" t="s">
        <v>3728</v>
      </c>
    </row>
    <row r="3761" spans="1:16" x14ac:dyDescent="0.3">
      <c r="A3761" s="59">
        <f t="shared" si="301"/>
        <v>3403</v>
      </c>
      <c r="B3761" s="66" t="s">
        <v>3598</v>
      </c>
      <c r="C3761" s="184">
        <v>1974</v>
      </c>
      <c r="D3761" s="51"/>
      <c r="E3761" s="52" t="s">
        <v>3733</v>
      </c>
      <c r="F3761" s="47">
        <v>2</v>
      </c>
      <c r="G3761" s="51"/>
      <c r="H3761" s="52">
        <v>858.2</v>
      </c>
      <c r="I3761" s="47">
        <v>50</v>
      </c>
      <c r="J3761" s="19">
        <f t="shared" si="300"/>
        <v>495912.92999999993</v>
      </c>
      <c r="K3761" s="51"/>
      <c r="L3761" s="50"/>
      <c r="M3761" s="51"/>
      <c r="N3761" s="19">
        <f>SUMIF('2020'!B:B,B3761,'2020'!C:C)+SUMIF('2021'!B:B,B3761,'2021'!C:C)+SUMIF('2022'!B:B,B3761,'2022'!C:C)</f>
        <v>495912.92999999993</v>
      </c>
      <c r="O3761" s="219">
        <v>44925</v>
      </c>
      <c r="P3761" s="48" t="s">
        <v>3728</v>
      </c>
    </row>
    <row r="3762" spans="1:16" x14ac:dyDescent="0.3">
      <c r="A3762" s="59">
        <f t="shared" si="301"/>
        <v>3404</v>
      </c>
      <c r="B3762" s="66" t="s">
        <v>3599</v>
      </c>
      <c r="C3762" s="184">
        <v>1966</v>
      </c>
      <c r="D3762" s="51"/>
      <c r="E3762" s="52" t="s">
        <v>3733</v>
      </c>
      <c r="F3762" s="47">
        <v>2</v>
      </c>
      <c r="G3762" s="51"/>
      <c r="H3762" s="52">
        <v>337</v>
      </c>
      <c r="I3762" s="47">
        <v>20</v>
      </c>
      <c r="J3762" s="19">
        <f t="shared" si="300"/>
        <v>1362835.3299999998</v>
      </c>
      <c r="K3762" s="51"/>
      <c r="L3762" s="50"/>
      <c r="M3762" s="51"/>
      <c r="N3762" s="19">
        <f>SUMIF('2020'!B:B,B3762,'2020'!C:C)+SUMIF('2021'!B:B,B3762,'2021'!C:C)+SUMIF('2022'!B:B,B3762,'2022'!C:C)</f>
        <v>1362835.3299999998</v>
      </c>
      <c r="O3762" s="219">
        <v>44925</v>
      </c>
      <c r="P3762" s="48" t="s">
        <v>3728</v>
      </c>
    </row>
    <row r="3763" spans="1:16" x14ac:dyDescent="0.3">
      <c r="A3763" s="59">
        <f t="shared" si="301"/>
        <v>3405</v>
      </c>
      <c r="B3763" s="66" t="s">
        <v>3600</v>
      </c>
      <c r="C3763" s="184">
        <v>1966</v>
      </c>
      <c r="D3763" s="51"/>
      <c r="E3763" s="52" t="s">
        <v>3733</v>
      </c>
      <c r="F3763" s="47">
        <v>2</v>
      </c>
      <c r="G3763" s="51"/>
      <c r="H3763" s="52">
        <v>320.89999999999998</v>
      </c>
      <c r="I3763" s="47">
        <v>20</v>
      </c>
      <c r="J3763" s="19">
        <f t="shared" si="300"/>
        <v>968069.86999999988</v>
      </c>
      <c r="K3763" s="51"/>
      <c r="L3763" s="50"/>
      <c r="M3763" s="51"/>
      <c r="N3763" s="19">
        <f>SUMIF('2020'!B:B,B3763,'2020'!C:C)+SUMIF('2021'!B:B,B3763,'2021'!C:C)+SUMIF('2022'!B:B,B3763,'2022'!C:C)</f>
        <v>968069.86999999988</v>
      </c>
      <c r="O3763" s="219">
        <v>44925</v>
      </c>
      <c r="P3763" s="48" t="s">
        <v>3728</v>
      </c>
    </row>
    <row r="3764" spans="1:16" x14ac:dyDescent="0.3">
      <c r="A3764" s="59">
        <f t="shared" si="301"/>
        <v>3406</v>
      </c>
      <c r="B3764" s="66" t="s">
        <v>3601</v>
      </c>
      <c r="C3764" s="184">
        <v>1947</v>
      </c>
      <c r="D3764" s="51"/>
      <c r="E3764" s="52" t="s">
        <v>4090</v>
      </c>
      <c r="F3764" s="47">
        <v>2</v>
      </c>
      <c r="G3764" s="51"/>
      <c r="H3764" s="52">
        <v>488.3</v>
      </c>
      <c r="I3764" s="47">
        <v>25</v>
      </c>
      <c r="J3764" s="19">
        <f t="shared" si="300"/>
        <v>1814933.45</v>
      </c>
      <c r="K3764" s="51"/>
      <c r="L3764" s="50"/>
      <c r="M3764" s="51"/>
      <c r="N3764" s="19">
        <f>SUMIF('2020'!B:B,B3764,'2020'!C:C)+SUMIF('2021'!B:B,B3764,'2021'!C:C)+SUMIF('2022'!B:B,B3764,'2022'!C:C)</f>
        <v>1814933.45</v>
      </c>
      <c r="O3764" s="219">
        <v>44925</v>
      </c>
      <c r="P3764" s="48" t="s">
        <v>3728</v>
      </c>
    </row>
    <row r="3765" spans="1:16" x14ac:dyDescent="0.3">
      <c r="A3765" s="59">
        <f t="shared" si="301"/>
        <v>3407</v>
      </c>
      <c r="B3765" s="66" t="s">
        <v>3602</v>
      </c>
      <c r="C3765" s="184">
        <v>1947</v>
      </c>
      <c r="D3765" s="51"/>
      <c r="E3765" s="52" t="s">
        <v>4090</v>
      </c>
      <c r="F3765" s="47">
        <v>2</v>
      </c>
      <c r="G3765" s="51"/>
      <c r="H3765" s="52">
        <v>476.6</v>
      </c>
      <c r="I3765" s="47">
        <v>25</v>
      </c>
      <c r="J3765" s="19">
        <f t="shared" si="300"/>
        <v>2147697.84</v>
      </c>
      <c r="K3765" s="51"/>
      <c r="L3765" s="50"/>
      <c r="M3765" s="51"/>
      <c r="N3765" s="19">
        <f>SUMIF('2020'!B:B,B3765,'2020'!C:C)+SUMIF('2021'!B:B,B3765,'2021'!C:C)+SUMIF('2022'!B:B,B3765,'2022'!C:C)</f>
        <v>2147697.84</v>
      </c>
      <c r="O3765" s="219">
        <v>44925</v>
      </c>
      <c r="P3765" s="48" t="s">
        <v>3728</v>
      </c>
    </row>
    <row r="3766" spans="1:16" x14ac:dyDescent="0.3">
      <c r="A3766" s="59">
        <f t="shared" si="301"/>
        <v>3408</v>
      </c>
      <c r="B3766" s="66" t="s">
        <v>3603</v>
      </c>
      <c r="C3766" s="184">
        <v>1947</v>
      </c>
      <c r="D3766" s="51"/>
      <c r="E3766" s="52" t="s">
        <v>4090</v>
      </c>
      <c r="F3766" s="47">
        <v>2</v>
      </c>
      <c r="G3766" s="51"/>
      <c r="H3766" s="52">
        <v>466.5</v>
      </c>
      <c r="I3766" s="47">
        <v>30</v>
      </c>
      <c r="J3766" s="19">
        <f t="shared" si="300"/>
        <v>5210115.8899999997</v>
      </c>
      <c r="K3766" s="51"/>
      <c r="L3766" s="50"/>
      <c r="M3766" s="51"/>
      <c r="N3766" s="19">
        <f>SUMIF('2020'!B:B,B3766,'2020'!C:C)+SUMIF('2021'!B:B,B3766,'2021'!C:C)+SUMIF('2022'!B:B,B3766,'2022'!C:C)</f>
        <v>5210115.8899999997</v>
      </c>
      <c r="O3766" s="219">
        <v>44925</v>
      </c>
      <c r="P3766" s="48" t="s">
        <v>3728</v>
      </c>
    </row>
    <row r="3767" spans="1:16" x14ac:dyDescent="0.3">
      <c r="A3767" s="59">
        <f t="shared" si="301"/>
        <v>3409</v>
      </c>
      <c r="B3767" s="66" t="s">
        <v>3604</v>
      </c>
      <c r="C3767" s="184">
        <v>1967</v>
      </c>
      <c r="D3767" s="51"/>
      <c r="E3767" s="52" t="s">
        <v>3733</v>
      </c>
      <c r="F3767" s="47">
        <v>2</v>
      </c>
      <c r="G3767" s="51"/>
      <c r="H3767" s="52">
        <v>498.5</v>
      </c>
      <c r="I3767" s="47">
        <v>25</v>
      </c>
      <c r="J3767" s="19">
        <f t="shared" si="300"/>
        <v>1443390.33</v>
      </c>
      <c r="K3767" s="51"/>
      <c r="L3767" s="50"/>
      <c r="M3767" s="51"/>
      <c r="N3767" s="19">
        <f>SUMIF('2020'!B:B,B3767,'2020'!C:C)+SUMIF('2021'!B:B,B3767,'2021'!C:C)+SUMIF('2022'!B:B,B3767,'2022'!C:C)</f>
        <v>1443390.33</v>
      </c>
      <c r="O3767" s="219">
        <v>44925</v>
      </c>
      <c r="P3767" s="48" t="s">
        <v>3728</v>
      </c>
    </row>
    <row r="3768" spans="1:16" x14ac:dyDescent="0.3">
      <c r="A3768" s="59">
        <f t="shared" si="301"/>
        <v>3410</v>
      </c>
      <c r="B3768" s="66" t="s">
        <v>3605</v>
      </c>
      <c r="C3768" s="184">
        <v>1984</v>
      </c>
      <c r="D3768" s="51"/>
      <c r="E3768" s="52" t="s">
        <v>3733</v>
      </c>
      <c r="F3768" s="47">
        <v>2</v>
      </c>
      <c r="G3768" s="51"/>
      <c r="H3768" s="52">
        <v>5670.9</v>
      </c>
      <c r="I3768" s="47">
        <v>300</v>
      </c>
      <c r="J3768" s="19">
        <f t="shared" si="300"/>
        <v>2441972.83</v>
      </c>
      <c r="K3768" s="51"/>
      <c r="L3768" s="50"/>
      <c r="M3768" s="51"/>
      <c r="N3768" s="19">
        <f>SUMIF('2020'!B:B,B3768,'2020'!C:C)+SUMIF('2021'!B:B,B3768,'2021'!C:C)+SUMIF('2022'!B:B,B3768,'2022'!C:C)</f>
        <v>2441972.83</v>
      </c>
      <c r="O3768" s="219">
        <v>44925</v>
      </c>
      <c r="P3768" s="48" t="s">
        <v>3728</v>
      </c>
    </row>
    <row r="3769" spans="1:16" x14ac:dyDescent="0.3">
      <c r="A3769" s="59">
        <f t="shared" si="301"/>
        <v>3411</v>
      </c>
      <c r="B3769" s="66" t="s">
        <v>3606</v>
      </c>
      <c r="C3769" s="184">
        <v>1981</v>
      </c>
      <c r="D3769" s="51"/>
      <c r="E3769" s="52" t="s">
        <v>3733</v>
      </c>
      <c r="F3769" s="47">
        <v>5</v>
      </c>
      <c r="G3769" s="51"/>
      <c r="H3769" s="52">
        <v>4282.3</v>
      </c>
      <c r="I3769" s="47">
        <v>250</v>
      </c>
      <c r="J3769" s="19">
        <f t="shared" si="300"/>
        <v>256448.05</v>
      </c>
      <c r="K3769" s="51"/>
      <c r="L3769" s="50"/>
      <c r="M3769" s="51"/>
      <c r="N3769" s="19">
        <f>SUMIF('2020'!B:B,B3769,'2020'!C:C)+SUMIF('2021'!B:B,B3769,'2021'!C:C)+SUMIF('2022'!B:B,B3769,'2022'!C:C)</f>
        <v>256448.05</v>
      </c>
      <c r="O3769" s="219">
        <v>44925</v>
      </c>
      <c r="P3769" s="48" t="s">
        <v>3728</v>
      </c>
    </row>
    <row r="3770" spans="1:16" x14ac:dyDescent="0.3">
      <c r="A3770" s="59">
        <f t="shared" si="301"/>
        <v>3412</v>
      </c>
      <c r="B3770" s="66" t="s">
        <v>3607</v>
      </c>
      <c r="C3770" s="184">
        <v>1991</v>
      </c>
      <c r="D3770" s="51"/>
      <c r="E3770" s="52" t="s">
        <v>3733</v>
      </c>
      <c r="F3770" s="47">
        <v>3</v>
      </c>
      <c r="G3770" s="51"/>
      <c r="H3770" s="52">
        <v>1607.3</v>
      </c>
      <c r="I3770" s="47">
        <v>50</v>
      </c>
      <c r="J3770" s="19">
        <f t="shared" si="300"/>
        <v>1276818.94</v>
      </c>
      <c r="K3770" s="51"/>
      <c r="L3770" s="50"/>
      <c r="M3770" s="51"/>
      <c r="N3770" s="19">
        <f>SUMIF('2020'!B:B,B3770,'2020'!C:C)+SUMIF('2021'!B:B,B3770,'2021'!C:C)+SUMIF('2022'!B:B,B3770,'2022'!C:C)</f>
        <v>1276818.94</v>
      </c>
      <c r="O3770" s="219">
        <v>44925</v>
      </c>
      <c r="P3770" s="48" t="s">
        <v>3728</v>
      </c>
    </row>
    <row r="3771" spans="1:16" x14ac:dyDescent="0.3">
      <c r="A3771" s="59">
        <f t="shared" si="301"/>
        <v>3413</v>
      </c>
      <c r="B3771" s="66" t="s">
        <v>3608</v>
      </c>
      <c r="C3771" s="184">
        <v>1987</v>
      </c>
      <c r="D3771" s="51"/>
      <c r="E3771" s="52" t="s">
        <v>3733</v>
      </c>
      <c r="F3771" s="47">
        <v>5</v>
      </c>
      <c r="G3771" s="51"/>
      <c r="H3771" s="52">
        <v>1369.5</v>
      </c>
      <c r="I3771" s="47">
        <v>50</v>
      </c>
      <c r="J3771" s="19">
        <f t="shared" si="300"/>
        <v>1202010.6200000001</v>
      </c>
      <c r="K3771" s="51"/>
      <c r="L3771" s="50"/>
      <c r="M3771" s="51"/>
      <c r="N3771" s="19">
        <f>SUMIF('2020'!B:B,B3771,'2020'!C:C)+SUMIF('2021'!B:B,B3771,'2021'!C:C)+SUMIF('2022'!B:B,B3771,'2022'!C:C)</f>
        <v>1202010.6200000001</v>
      </c>
      <c r="O3771" s="219">
        <v>44925</v>
      </c>
      <c r="P3771" s="48" t="s">
        <v>3728</v>
      </c>
    </row>
    <row r="3772" spans="1:16" x14ac:dyDescent="0.3">
      <c r="A3772" s="59">
        <f t="shared" si="301"/>
        <v>3414</v>
      </c>
      <c r="B3772" s="66" t="s">
        <v>3609</v>
      </c>
      <c r="C3772" s="184">
        <v>1987</v>
      </c>
      <c r="D3772" s="51"/>
      <c r="E3772" s="52" t="s">
        <v>3733</v>
      </c>
      <c r="F3772" s="47">
        <v>3</v>
      </c>
      <c r="G3772" s="51"/>
      <c r="H3772" s="52">
        <v>1709.2</v>
      </c>
      <c r="I3772" s="47">
        <v>60</v>
      </c>
      <c r="J3772" s="19">
        <f t="shared" si="300"/>
        <v>1211362.6499999999</v>
      </c>
      <c r="K3772" s="51"/>
      <c r="L3772" s="50"/>
      <c r="M3772" s="51"/>
      <c r="N3772" s="19">
        <f>SUMIF('2020'!B:B,B3772,'2020'!C:C)+SUMIF('2021'!B:B,B3772,'2021'!C:C)+SUMIF('2022'!B:B,B3772,'2022'!C:C)</f>
        <v>1211362.6499999999</v>
      </c>
      <c r="O3772" s="219">
        <v>44925</v>
      </c>
      <c r="P3772" s="48" t="s">
        <v>3728</v>
      </c>
    </row>
    <row r="3773" spans="1:16" x14ac:dyDescent="0.3">
      <c r="A3773" s="59">
        <f t="shared" si="301"/>
        <v>3415</v>
      </c>
      <c r="B3773" s="66" t="s">
        <v>3610</v>
      </c>
      <c r="C3773" s="184">
        <v>1986</v>
      </c>
      <c r="D3773" s="51"/>
      <c r="E3773" s="52" t="s">
        <v>3733</v>
      </c>
      <c r="F3773" s="47">
        <v>3</v>
      </c>
      <c r="G3773" s="51"/>
      <c r="H3773" s="52">
        <v>1310.3</v>
      </c>
      <c r="I3773" s="47">
        <v>48</v>
      </c>
      <c r="J3773" s="19">
        <f t="shared" si="300"/>
        <v>658518.69999999995</v>
      </c>
      <c r="K3773" s="51"/>
      <c r="L3773" s="50"/>
      <c r="M3773" s="51"/>
      <c r="N3773" s="19">
        <f>SUMIF('2020'!B:B,B3773,'2020'!C:C)+SUMIF('2021'!B:B,B3773,'2021'!C:C)+SUMIF('2022'!B:B,B3773,'2022'!C:C)</f>
        <v>658518.69999999995</v>
      </c>
      <c r="O3773" s="219">
        <v>44925</v>
      </c>
      <c r="P3773" s="48" t="s">
        <v>3728</v>
      </c>
    </row>
    <row r="3774" spans="1:16" x14ac:dyDescent="0.3">
      <c r="A3774" s="59">
        <f t="shared" si="301"/>
        <v>3416</v>
      </c>
      <c r="B3774" s="66" t="s">
        <v>3611</v>
      </c>
      <c r="C3774" s="184">
        <v>1983</v>
      </c>
      <c r="D3774" s="51"/>
      <c r="E3774" s="52" t="s">
        <v>3733</v>
      </c>
      <c r="F3774" s="47">
        <v>3</v>
      </c>
      <c r="G3774" s="51"/>
      <c r="H3774" s="52">
        <v>1349.1</v>
      </c>
      <c r="I3774" s="47">
        <v>48</v>
      </c>
      <c r="J3774" s="19">
        <f t="shared" si="300"/>
        <v>679579.17</v>
      </c>
      <c r="K3774" s="51"/>
      <c r="L3774" s="50"/>
      <c r="M3774" s="51"/>
      <c r="N3774" s="19">
        <f>SUMIF('2020'!B:B,B3774,'2020'!C:C)+SUMIF('2021'!B:B,B3774,'2021'!C:C)+SUMIF('2022'!B:B,B3774,'2022'!C:C)</f>
        <v>679579.17</v>
      </c>
      <c r="O3774" s="219">
        <v>44925</v>
      </c>
      <c r="P3774" s="48" t="s">
        <v>3728</v>
      </c>
    </row>
    <row r="3775" spans="1:16" x14ac:dyDescent="0.3">
      <c r="A3775" s="59">
        <f t="shared" si="301"/>
        <v>3417</v>
      </c>
      <c r="B3775" s="66" t="s">
        <v>3612</v>
      </c>
      <c r="C3775" s="184">
        <v>1980</v>
      </c>
      <c r="D3775" s="51"/>
      <c r="E3775" s="52" t="s">
        <v>3733</v>
      </c>
      <c r="F3775" s="47">
        <v>3</v>
      </c>
      <c r="G3775" s="51"/>
      <c r="H3775" s="52">
        <v>1369.3</v>
      </c>
      <c r="I3775" s="47">
        <v>45</v>
      </c>
      <c r="J3775" s="19">
        <f t="shared" si="300"/>
        <v>2053773.56</v>
      </c>
      <c r="K3775" s="51"/>
      <c r="L3775" s="50"/>
      <c r="M3775" s="51"/>
      <c r="N3775" s="19">
        <f>SUMIF('2020'!B:B,B3775,'2020'!C:C)+SUMIF('2021'!B:B,B3775,'2021'!C:C)+SUMIF('2022'!B:B,B3775,'2022'!C:C)</f>
        <v>2053773.56</v>
      </c>
      <c r="O3775" s="219">
        <v>44925</v>
      </c>
      <c r="P3775" s="48" t="s">
        <v>3728</v>
      </c>
    </row>
    <row r="3776" spans="1:16" x14ac:dyDescent="0.3">
      <c r="A3776" s="59">
        <f t="shared" si="301"/>
        <v>3418</v>
      </c>
      <c r="B3776" s="66" t="s">
        <v>3613</v>
      </c>
      <c r="C3776" s="184">
        <v>1967</v>
      </c>
      <c r="D3776" s="51"/>
      <c r="E3776" s="52" t="s">
        <v>3733</v>
      </c>
      <c r="F3776" s="47">
        <v>3</v>
      </c>
      <c r="G3776" s="51"/>
      <c r="H3776" s="52">
        <v>530.70000000000005</v>
      </c>
      <c r="I3776" s="47">
        <v>20</v>
      </c>
      <c r="J3776" s="19">
        <f t="shared" si="300"/>
        <v>2249122.98</v>
      </c>
      <c r="K3776" s="51"/>
      <c r="L3776" s="50"/>
      <c r="M3776" s="51"/>
      <c r="N3776" s="19">
        <f>SUMIF('2020'!B:B,B3776,'2020'!C:C)+SUMIF('2021'!B:B,B3776,'2021'!C:C)+SUMIF('2022'!B:B,B3776,'2022'!C:C)</f>
        <v>2249122.98</v>
      </c>
      <c r="O3776" s="219">
        <v>44925</v>
      </c>
      <c r="P3776" s="48" t="s">
        <v>3728</v>
      </c>
    </row>
    <row r="3777" spans="1:16" x14ac:dyDescent="0.3">
      <c r="A3777" s="59">
        <f t="shared" si="301"/>
        <v>3419</v>
      </c>
      <c r="B3777" s="66" t="s">
        <v>3614</v>
      </c>
      <c r="C3777" s="184">
        <v>1968</v>
      </c>
      <c r="D3777" s="51"/>
      <c r="E3777" s="52" t="s">
        <v>3733</v>
      </c>
      <c r="F3777" s="47">
        <v>3</v>
      </c>
      <c r="G3777" s="51"/>
      <c r="H3777" s="52">
        <v>545.4</v>
      </c>
      <c r="I3777" s="47">
        <v>24</v>
      </c>
      <c r="J3777" s="19">
        <f t="shared" si="300"/>
        <v>2143677.4</v>
      </c>
      <c r="K3777" s="51"/>
      <c r="L3777" s="50"/>
      <c r="M3777" s="51"/>
      <c r="N3777" s="19">
        <f>SUMIF('2020'!B:B,B3777,'2020'!C:C)+SUMIF('2021'!B:B,B3777,'2021'!C:C)+SUMIF('2022'!B:B,B3777,'2022'!C:C)</f>
        <v>2143677.4</v>
      </c>
      <c r="O3777" s="219">
        <v>44925</v>
      </c>
      <c r="P3777" s="48" t="s">
        <v>3728</v>
      </c>
    </row>
    <row r="3778" spans="1:16" x14ac:dyDescent="0.3">
      <c r="A3778" s="59">
        <f t="shared" si="301"/>
        <v>3420</v>
      </c>
      <c r="B3778" s="66" t="s">
        <v>3615</v>
      </c>
      <c r="C3778" s="184">
        <v>1970</v>
      </c>
      <c r="D3778" s="51"/>
      <c r="E3778" s="52" t="s">
        <v>3733</v>
      </c>
      <c r="F3778" s="47">
        <v>2</v>
      </c>
      <c r="G3778" s="51"/>
      <c r="H3778" s="52">
        <v>513.20000000000005</v>
      </c>
      <c r="I3778" s="47">
        <v>20</v>
      </c>
      <c r="J3778" s="19">
        <f t="shared" si="300"/>
        <v>923481.97</v>
      </c>
      <c r="K3778" s="51"/>
      <c r="L3778" s="50"/>
      <c r="M3778" s="51"/>
      <c r="N3778" s="19">
        <f>SUMIF('2020'!B:B,B3778,'2020'!C:C)+SUMIF('2021'!B:B,B3778,'2021'!C:C)+SUMIF('2022'!B:B,B3778,'2022'!C:C)</f>
        <v>923481.97</v>
      </c>
      <c r="O3778" s="219">
        <v>44925</v>
      </c>
      <c r="P3778" s="48" t="s">
        <v>3728</v>
      </c>
    </row>
    <row r="3779" spans="1:16" x14ac:dyDescent="0.3">
      <c r="A3779" s="59">
        <f t="shared" si="301"/>
        <v>3421</v>
      </c>
      <c r="B3779" s="66" t="s">
        <v>3616</v>
      </c>
      <c r="C3779" s="184">
        <v>1947</v>
      </c>
      <c r="D3779" s="51"/>
      <c r="E3779" s="52" t="s">
        <v>4090</v>
      </c>
      <c r="F3779" s="47">
        <v>2</v>
      </c>
      <c r="G3779" s="51"/>
      <c r="H3779" s="59">
        <v>504.8</v>
      </c>
      <c r="I3779" s="47">
        <v>25</v>
      </c>
      <c r="J3779" s="19">
        <f t="shared" si="300"/>
        <v>1039339.72</v>
      </c>
      <c r="K3779" s="51"/>
      <c r="L3779" s="50"/>
      <c r="M3779" s="51"/>
      <c r="N3779" s="19">
        <f>SUMIF('2020'!B:B,B3779,'2020'!C:C)+SUMIF('2021'!B:B,B3779,'2021'!C:C)+SUMIF('2022'!B:B,B3779,'2022'!C:C)</f>
        <v>1039339.72</v>
      </c>
      <c r="O3779" s="219">
        <v>44925</v>
      </c>
      <c r="P3779" s="48" t="s">
        <v>3728</v>
      </c>
    </row>
    <row r="3780" spans="1:16" x14ac:dyDescent="0.3">
      <c r="A3780" s="59">
        <f t="shared" si="301"/>
        <v>3422</v>
      </c>
      <c r="B3780" s="66" t="s">
        <v>3617</v>
      </c>
      <c r="C3780" s="184">
        <v>1947</v>
      </c>
      <c r="D3780" s="51"/>
      <c r="E3780" s="52" t="s">
        <v>4090</v>
      </c>
      <c r="F3780" s="47">
        <v>2</v>
      </c>
      <c r="G3780" s="51"/>
      <c r="H3780" s="59">
        <v>483</v>
      </c>
      <c r="I3780" s="47">
        <v>25</v>
      </c>
      <c r="J3780" s="19">
        <f t="shared" si="300"/>
        <v>96750.64</v>
      </c>
      <c r="K3780" s="51"/>
      <c r="L3780" s="50"/>
      <c r="M3780" s="51"/>
      <c r="N3780" s="19">
        <f>SUMIF('2020'!B:B,B3780,'2020'!C:C)+SUMIF('2021'!B:B,B3780,'2021'!C:C)+SUMIF('2022'!B:B,B3780,'2022'!C:C)</f>
        <v>96750.64</v>
      </c>
      <c r="O3780" s="219">
        <v>44925</v>
      </c>
      <c r="P3780" s="48" t="s">
        <v>3728</v>
      </c>
    </row>
    <row r="3781" spans="1:16" x14ac:dyDescent="0.3">
      <c r="A3781" s="59">
        <f t="shared" si="301"/>
        <v>3423</v>
      </c>
      <c r="B3781" s="66" t="s">
        <v>3618</v>
      </c>
      <c r="C3781" s="184">
        <v>1947</v>
      </c>
      <c r="D3781" s="51"/>
      <c r="E3781" s="52" t="s">
        <v>4090</v>
      </c>
      <c r="F3781" s="47">
        <v>2</v>
      </c>
      <c r="G3781" s="51"/>
      <c r="H3781" s="59">
        <v>478.7</v>
      </c>
      <c r="I3781" s="47">
        <v>2</v>
      </c>
      <c r="J3781" s="19">
        <f t="shared" si="300"/>
        <v>119487</v>
      </c>
      <c r="K3781" s="51"/>
      <c r="L3781" s="50"/>
      <c r="M3781" s="51"/>
      <c r="N3781" s="19">
        <f>SUMIF('2020'!B:B,B3781,'2020'!C:C)+SUMIF('2021'!B:B,B3781,'2021'!C:C)+SUMIF('2022'!B:B,B3781,'2022'!C:C)</f>
        <v>119487</v>
      </c>
      <c r="O3781" s="219">
        <v>44925</v>
      </c>
      <c r="P3781" s="48" t="s">
        <v>3728</v>
      </c>
    </row>
    <row r="3782" spans="1:16" x14ac:dyDescent="0.3">
      <c r="A3782" s="59">
        <f t="shared" si="301"/>
        <v>3424</v>
      </c>
      <c r="B3782" s="66" t="s">
        <v>3619</v>
      </c>
      <c r="C3782" s="184">
        <v>1953</v>
      </c>
      <c r="D3782" s="51"/>
      <c r="E3782" s="52" t="s">
        <v>3733</v>
      </c>
      <c r="F3782" s="47">
        <v>1</v>
      </c>
      <c r="G3782" s="51"/>
      <c r="H3782" s="52">
        <v>206.9</v>
      </c>
      <c r="I3782" s="47">
        <v>10</v>
      </c>
      <c r="J3782" s="19">
        <f t="shared" si="300"/>
        <v>204599</v>
      </c>
      <c r="K3782" s="51"/>
      <c r="L3782" s="50"/>
      <c r="M3782" s="51"/>
      <c r="N3782" s="19">
        <f>SUMIF('2020'!B:B,B3782,'2020'!C:C)+SUMIF('2021'!B:B,B3782,'2021'!C:C)+SUMIF('2022'!B:B,B3782,'2022'!C:C)</f>
        <v>204599</v>
      </c>
      <c r="O3782" s="219">
        <v>44925</v>
      </c>
      <c r="P3782" s="48" t="s">
        <v>3728</v>
      </c>
    </row>
    <row r="3783" spans="1:16" x14ac:dyDescent="0.3">
      <c r="A3783" s="59">
        <f t="shared" si="301"/>
        <v>3425</v>
      </c>
      <c r="B3783" s="66" t="s">
        <v>3620</v>
      </c>
      <c r="C3783" s="184">
        <v>1954</v>
      </c>
      <c r="D3783" s="51"/>
      <c r="E3783" s="52" t="s">
        <v>4090</v>
      </c>
      <c r="F3783" s="47">
        <v>2</v>
      </c>
      <c r="G3783" s="51"/>
      <c r="H3783" s="52">
        <v>428.9</v>
      </c>
      <c r="I3783" s="47">
        <v>15</v>
      </c>
      <c r="J3783" s="19">
        <f t="shared" si="300"/>
        <v>130000</v>
      </c>
      <c r="K3783" s="51"/>
      <c r="L3783" s="50"/>
      <c r="M3783" s="51"/>
      <c r="N3783" s="19">
        <f>SUMIF('2020'!B:B,B3783,'2020'!C:C)+SUMIF('2021'!B:B,B3783,'2021'!C:C)+SUMIF('2022'!B:B,B3783,'2022'!C:C)</f>
        <v>130000</v>
      </c>
      <c r="O3783" s="219">
        <v>44925</v>
      </c>
      <c r="P3783" s="48" t="s">
        <v>3728</v>
      </c>
    </row>
    <row r="3784" spans="1:16" x14ac:dyDescent="0.3">
      <c r="A3784" s="59">
        <f t="shared" si="301"/>
        <v>3426</v>
      </c>
      <c r="B3784" s="66" t="s">
        <v>3622</v>
      </c>
      <c r="C3784" s="184">
        <v>1965</v>
      </c>
      <c r="D3784" s="51"/>
      <c r="E3784" s="52" t="s">
        <v>3733</v>
      </c>
      <c r="F3784" s="47">
        <v>1</v>
      </c>
      <c r="G3784" s="51"/>
      <c r="H3784" s="52">
        <v>628.29999999999995</v>
      </c>
      <c r="I3784" s="47">
        <v>24</v>
      </c>
      <c r="J3784" s="19">
        <f t="shared" si="300"/>
        <v>316265.01</v>
      </c>
      <c r="K3784" s="51"/>
      <c r="L3784" s="50"/>
      <c r="M3784" s="51"/>
      <c r="N3784" s="19">
        <f>SUMIF('2020'!B:B,B3784,'2020'!C:C)+SUMIF('2021'!B:B,B3784,'2021'!C:C)+SUMIF('2022'!B:B,B3784,'2022'!C:C)</f>
        <v>316265.01</v>
      </c>
      <c r="O3784" s="219">
        <v>44925</v>
      </c>
      <c r="P3784" s="48" t="s">
        <v>3728</v>
      </c>
    </row>
    <row r="3785" spans="1:16" x14ac:dyDescent="0.3">
      <c r="A3785" s="59">
        <f t="shared" si="301"/>
        <v>3427</v>
      </c>
      <c r="B3785" s="66" t="s">
        <v>3623</v>
      </c>
      <c r="C3785" s="184">
        <v>1966</v>
      </c>
      <c r="D3785" s="51"/>
      <c r="E3785" s="52" t="s">
        <v>3733</v>
      </c>
      <c r="F3785" s="47">
        <v>2</v>
      </c>
      <c r="G3785" s="51"/>
      <c r="H3785" s="52">
        <v>651.1</v>
      </c>
      <c r="I3785" s="47">
        <v>20</v>
      </c>
      <c r="J3785" s="19">
        <f t="shared" si="300"/>
        <v>298242.92000000004</v>
      </c>
      <c r="K3785" s="51"/>
      <c r="L3785" s="50"/>
      <c r="M3785" s="51"/>
      <c r="N3785" s="19">
        <f>SUMIF('2020'!B:B,B3785,'2020'!C:C)+SUMIF('2021'!B:B,B3785,'2021'!C:C)+SUMIF('2022'!B:B,B3785,'2022'!C:C)</f>
        <v>298242.92000000004</v>
      </c>
      <c r="O3785" s="219">
        <v>44925</v>
      </c>
      <c r="P3785" s="48" t="s">
        <v>3728</v>
      </c>
    </row>
    <row r="3786" spans="1:16" x14ac:dyDescent="0.3">
      <c r="A3786" s="59">
        <f t="shared" si="301"/>
        <v>3428</v>
      </c>
      <c r="B3786" s="66" t="s">
        <v>3624</v>
      </c>
      <c r="C3786" s="184">
        <v>1970</v>
      </c>
      <c r="D3786" s="51"/>
      <c r="E3786" s="52" t="s">
        <v>3733</v>
      </c>
      <c r="F3786" s="47">
        <v>2</v>
      </c>
      <c r="G3786" s="51"/>
      <c r="H3786" s="52">
        <v>527.9</v>
      </c>
      <c r="I3786" s="47">
        <v>25</v>
      </c>
      <c r="J3786" s="19">
        <f t="shared" si="300"/>
        <v>298242.92000000004</v>
      </c>
      <c r="K3786" s="51"/>
      <c r="L3786" s="50"/>
      <c r="M3786" s="51"/>
      <c r="N3786" s="19">
        <f>SUMIF('2020'!B:B,B3786,'2020'!C:C)+SUMIF('2021'!B:B,B3786,'2021'!C:C)+SUMIF('2022'!B:B,B3786,'2022'!C:C)</f>
        <v>298242.92000000004</v>
      </c>
      <c r="O3786" s="219">
        <v>44925</v>
      </c>
      <c r="P3786" s="48" t="s">
        <v>3728</v>
      </c>
    </row>
    <row r="3787" spans="1:16" x14ac:dyDescent="0.3">
      <c r="A3787" s="59">
        <f t="shared" si="301"/>
        <v>3429</v>
      </c>
      <c r="B3787" s="66" t="s">
        <v>3625</v>
      </c>
      <c r="C3787" s="184">
        <v>1965</v>
      </c>
      <c r="D3787" s="51"/>
      <c r="E3787" s="52" t="s">
        <v>3733</v>
      </c>
      <c r="F3787" s="47">
        <v>2</v>
      </c>
      <c r="G3787" s="51"/>
      <c r="H3787" s="52">
        <v>648.1</v>
      </c>
      <c r="I3787" s="47">
        <v>20</v>
      </c>
      <c r="J3787" s="19">
        <f t="shared" si="300"/>
        <v>78485.86</v>
      </c>
      <c r="K3787" s="51"/>
      <c r="L3787" s="50"/>
      <c r="M3787" s="51"/>
      <c r="N3787" s="19">
        <f>SUMIF('2020'!B:B,B3787,'2020'!C:C)+SUMIF('2021'!B:B,B3787,'2021'!C:C)+SUMIF('2022'!B:B,B3787,'2022'!C:C)</f>
        <v>78485.86</v>
      </c>
      <c r="O3787" s="219">
        <v>44925</v>
      </c>
      <c r="P3787" s="48" t="s">
        <v>3728</v>
      </c>
    </row>
    <row r="3788" spans="1:16" x14ac:dyDescent="0.3">
      <c r="A3788" s="277"/>
      <c r="B3788" s="242" t="s">
        <v>211</v>
      </c>
      <c r="C3788" s="50"/>
      <c r="D3788" s="50"/>
      <c r="E3788" s="48"/>
      <c r="F3788" s="47"/>
      <c r="G3788" s="50"/>
      <c r="H3788" s="48"/>
      <c r="I3788" s="47"/>
      <c r="J3788" s="19">
        <f>K3788+L3788+M3788+N3788</f>
        <v>42488219.289999999</v>
      </c>
      <c r="K3788" s="50">
        <v>0</v>
      </c>
      <c r="L3788" s="50">
        <v>0</v>
      </c>
      <c r="M3788" s="50">
        <v>0</v>
      </c>
      <c r="N3788" s="50">
        <f>SUM(N3751:N3787)</f>
        <v>42488219.289999999</v>
      </c>
      <c r="O3788" s="50"/>
      <c r="P3788" s="50"/>
    </row>
    <row r="3789" spans="1:16" x14ac:dyDescent="0.3">
      <c r="B3789" s="279" t="s">
        <v>3920</v>
      </c>
      <c r="H3789" s="19"/>
      <c r="I3789" s="19"/>
      <c r="J3789" s="19">
        <f t="shared" si="300"/>
        <v>220138987.16</v>
      </c>
      <c r="K3789" s="137">
        <v>0</v>
      </c>
      <c r="L3789" s="137">
        <v>0</v>
      </c>
      <c r="M3789" s="137">
        <v>0</v>
      </c>
      <c r="N3789" s="137">
        <f>N3788+N3749+N3733+N3725+N3704+N3694+N3678+N3670+N3665</f>
        <v>220138987.16</v>
      </c>
    </row>
    <row r="3790" spans="1:16" x14ac:dyDescent="0.3">
      <c r="B3790" s="279" t="s">
        <v>3626</v>
      </c>
      <c r="H3790" s="19"/>
      <c r="I3790" s="19"/>
      <c r="J3790" s="19">
        <f t="shared" si="300"/>
        <v>8635017570.7023335</v>
      </c>
      <c r="N3790" s="137">
        <f>N3789+N3614+N3342+N3183+N3051+N2896+N2622+N2490+N2320+N2058+N1978+N1910+N1352+N813+N512+N257+N176+N2862</f>
        <v>8635017570.7023335</v>
      </c>
    </row>
    <row r="3791" spans="1:16" x14ac:dyDescent="0.3">
      <c r="B3791" s="150" t="s">
        <v>4183</v>
      </c>
      <c r="J3791" s="137">
        <f>'2020'!C825+'2021'!C2871+'2022'!C1354</f>
        <v>150228864.36366209</v>
      </c>
    </row>
    <row r="3792" spans="1:16" x14ac:dyDescent="0.3">
      <c r="B3792" s="151" t="s">
        <v>4184</v>
      </c>
      <c r="H3792" s="137"/>
      <c r="I3792" s="137"/>
      <c r="J3792" s="137">
        <f>'2020'!C826+'2021'!C2872+'2022'!C1355</f>
        <v>8785246435.0659943</v>
      </c>
    </row>
  </sheetData>
  <protectedRanges>
    <protectedRange password="CC6F" sqref="K1633" name="Диапазон1_1_1_1"/>
    <protectedRange password="CC6F" sqref="I2070" name="Диапазон2_2"/>
    <protectedRange password="CC6F" sqref="I2071" name="Диапазон2_1_1"/>
    <protectedRange password="CC6F" sqref="I2075" name="Диапазон2_3_1"/>
    <protectedRange password="CC6F" sqref="I1495:I1512 I1514:I1842" name="Диапазон2_9_1"/>
    <protectedRange password="CC6F" sqref="I1411" name="Диапазон2_9_10_1"/>
    <protectedRange password="CC6F" sqref="I1412" name="Диапазон2_9_11_1"/>
    <protectedRange password="CC6F" sqref="I1413" name="Диапазон2_9_12_1"/>
    <protectedRange password="CC6F" sqref="I1414" name="Диапазон2_9_13_1"/>
    <protectedRange password="CC6F" sqref="I1415" name="Диапазон2_9_14_1"/>
    <protectedRange password="CC6F" sqref="I1416" name="Диапазон2_9_15_1"/>
    <protectedRange password="CC6F" sqref="I1417" name="Диапазон2_9_16_1"/>
    <protectedRange password="CC6F" sqref="I1418" name="Диапазон2_9_17_1"/>
    <protectedRange password="CC6F" sqref="I1419" name="Диапазон2_9_18_1"/>
    <protectedRange password="CC6F" sqref="I1420" name="Диапазон2_9_19_1"/>
    <protectedRange password="CC6F" sqref="I1421" name="Диапазон2_9_20_1"/>
    <protectedRange password="CC6F" sqref="I1422" name="Диапазон2_9_21_1"/>
    <protectedRange password="CC6F" sqref="I1423" name="Диапазон2_9_22_1"/>
    <protectedRange password="CC6F" sqref="I1424" name="Диапазон2_9_8_1_1"/>
    <protectedRange password="CC6F" sqref="I1425" name="Диапазон2_9_23_1"/>
    <protectedRange password="CC6F" sqref="I1426" name="Диапазон2_9_24_1"/>
    <protectedRange password="CC6F" sqref="I1427" name="Диапазон2_9_25_1"/>
    <protectedRange password="CC6F" sqref="I1428" name="Диапазон2_9_26_1"/>
    <protectedRange password="CC6F" sqref="I1429" name="Диапазон2_9_27_1"/>
    <protectedRange password="CC6F" sqref="I1430" name="Диапазон2_9_28_1"/>
    <protectedRange password="CC6F" sqref="I1431" name="Диапазон2_9_29_1"/>
    <protectedRange password="CC6F" sqref="I1432" name="Диапазон2_9_30_1"/>
    <protectedRange password="CC6F" sqref="I1433" name="Диапазон2_9_31_1"/>
    <protectedRange password="CC6F" sqref="I1434" name="Диапазон2_9_32_1"/>
    <protectedRange password="CC6F" sqref="I1435" name="Диапазон2_9_33_1"/>
    <protectedRange password="CC6F" sqref="I1436" name="Диапазон2_9_34_1"/>
    <protectedRange password="CC6F" sqref="I1437" name="Диапазон2_9_35_1"/>
    <protectedRange password="CC6F" sqref="I1438" name="Диапазон2_9_36_1"/>
    <protectedRange password="CC6F" sqref="I1439" name="Диапазон2_9_37_1"/>
    <protectedRange password="CC6F" sqref="I1440" name="Диапазон2_9_38_1"/>
    <protectedRange password="CC6F" sqref="I1441" name="Диапазон2_9_39_1"/>
    <protectedRange password="CC6F" sqref="I1442" name="Диапазон2_9_40_1"/>
    <protectedRange password="CC6F" sqref="I1443" name="Диапазон2_9_41_1"/>
    <protectedRange password="CC6F" sqref="I1444" name="Диапазон2_9_42_1"/>
    <protectedRange password="CC6F" sqref="I1445" name="Диапазон2_9_43_1"/>
    <protectedRange password="CC6F" sqref="I1446" name="Диапазон2_9_44_1"/>
    <protectedRange password="CC6F" sqref="I1447" name="Диапазон2_9_45_1"/>
    <protectedRange password="CC6F" sqref="I1448" name="Диапазон2_9_46_1"/>
    <protectedRange password="CC6F" sqref="I1449" name="Диапазон2_9_47_1"/>
    <protectedRange password="CC6F" sqref="I1450" name="Диапазон2_9_48_1"/>
    <protectedRange password="CC6F" sqref="I1451" name="Диапазон2_9_49_1"/>
    <protectedRange password="CC6F" sqref="I1452" name="Диапазон2_9_50_1"/>
    <protectedRange password="CC6F" sqref="I1453" name="Диапазон2_9_51_1"/>
    <protectedRange password="CC6F" sqref="I1454" name="Диапазон2_9_52_1"/>
    <protectedRange password="CC6F" sqref="I1455" name="Диапазон2_9_53_1"/>
    <protectedRange password="CC6F" sqref="I1456" name="Диапазон2_9_54_1"/>
    <protectedRange password="CC6F" sqref="I1457" name="Диапазон2_9_55_1"/>
    <protectedRange password="CC6F" sqref="I1458" name="Диапазон2_9_56_1"/>
    <protectedRange password="CC6F" sqref="I1459" name="Диапазон2_9_57_1"/>
    <protectedRange password="CC6F" sqref="I1460" name="Диапазон2_9_58_1"/>
    <protectedRange password="CC6F" sqref="I1461" name="Диапазон2_9_59_1"/>
    <protectedRange password="CC6F" sqref="I1462" name="Диапазон2_9_60_1"/>
    <protectedRange password="CC6F" sqref="I1463" name="Диапазон2_9_73_1"/>
    <protectedRange password="CC6F" sqref="I1464" name="Диапазон2_9_74_1"/>
    <protectedRange password="CC6F" sqref="I1465" name="Диапазон2_9_75_1"/>
    <protectedRange password="CC6F" sqref="I1466" name="Диапазон2_9_76_1"/>
    <protectedRange password="CC6F" sqref="I1467" name="Диапазон2_9_77_1"/>
    <protectedRange password="CC6F" sqref="I1468" name="Диапазон2_9_78_1"/>
    <protectedRange password="CC6F" sqref="I1469" name="Диапазон2_9_79_1"/>
    <protectedRange password="CC6F" sqref="I1470" name="Диапазон2_9_80_1"/>
    <protectedRange password="CC6F" sqref="I1471" name="Диапазон2_9_81_1"/>
    <protectedRange password="CC6F" sqref="I1472" name="Диапазон2_9_82_1"/>
    <protectedRange password="CC6F" sqref="I1473" name="Диапазон2_9_83_1"/>
    <protectedRange password="CC6F" sqref="I1474" name="Диапазон2_9_84_1"/>
    <protectedRange password="CC6F" sqref="I1475" name="Диапазон2_9_85_1"/>
    <protectedRange password="CC6F" sqref="I1481" name="Диапазон2_9_86_1"/>
    <protectedRange password="CC6F" sqref="I1482" name="Диапазон2_9_87_1"/>
    <protectedRange password="CC6F" sqref="I1483" name="Диапазон2_9_88_1"/>
    <protectedRange password="CC6F" sqref="I1484" name="Диапазон2_9_89_1"/>
    <protectedRange password="CC6F" sqref="I1485" name="Диапазон2_9_90_1"/>
    <protectedRange password="CC6F" sqref="I1486" name="Диапазон2_9_91_1"/>
    <protectedRange password="CC6F" sqref="I1487" name="Диапазон2_9_92_1"/>
    <protectedRange password="CC6F" sqref="I1488" name="Диапазон2_9_93_1"/>
    <protectedRange password="CC6F" sqref="I1489" name="Диапазон2_9_94_1"/>
    <protectedRange password="CC6F" sqref="I1490" name="Диапазон2_9_95_1"/>
    <protectedRange password="CC6F" sqref="I1491" name="Диапазон2_9_96_1"/>
    <protectedRange password="CC6F" sqref="I1492" name="Диапазон2_9_97_1"/>
    <protectedRange password="CC6F" sqref="I1493" name="Диапазон2_9_98_1"/>
    <protectedRange password="CC6F" sqref="I1494" name="Диапазон2_9_99_1"/>
  </protectedRanges>
  <autoFilter ref="A10:XFB3792"/>
  <mergeCells count="1207">
    <mergeCell ref="XBM11:XCB11"/>
    <mergeCell ref="XCC11:XCR11"/>
    <mergeCell ref="XCS11:XDH11"/>
    <mergeCell ref="XDI11:XDX11"/>
    <mergeCell ref="XDY11:XEN11"/>
    <mergeCell ref="XEO11:XFD11"/>
    <mergeCell ref="WVY11:WWN11"/>
    <mergeCell ref="WWO11:WXD11"/>
    <mergeCell ref="WXE11:WXT11"/>
    <mergeCell ref="WXU11:WYJ11"/>
    <mergeCell ref="WYK11:WYZ11"/>
    <mergeCell ref="WZA11:WZP11"/>
    <mergeCell ref="WZQ11:XAF11"/>
    <mergeCell ref="XAG11:XAV11"/>
    <mergeCell ref="XAW11:XBL11"/>
    <mergeCell ref="WQK11:WQZ11"/>
    <mergeCell ref="WRA11:WRP11"/>
    <mergeCell ref="WRQ11:WSF11"/>
    <mergeCell ref="WSG11:WSV11"/>
    <mergeCell ref="WSW11:WTL11"/>
    <mergeCell ref="WTM11:WUB11"/>
    <mergeCell ref="WUC11:WUR11"/>
    <mergeCell ref="WUS11:WVH11"/>
    <mergeCell ref="WVI11:WVX11"/>
    <mergeCell ref="WKW11:WLL11"/>
    <mergeCell ref="WLM11:WMB11"/>
    <mergeCell ref="WMC11:WMR11"/>
    <mergeCell ref="WMS11:WNH11"/>
    <mergeCell ref="WNI11:WNX11"/>
    <mergeCell ref="WNY11:WON11"/>
    <mergeCell ref="WOO11:WPD11"/>
    <mergeCell ref="WPE11:WPT11"/>
    <mergeCell ref="WPU11:WQJ11"/>
    <mergeCell ref="WFI11:WFX11"/>
    <mergeCell ref="WFY11:WGN11"/>
    <mergeCell ref="WGO11:WHD11"/>
    <mergeCell ref="WHE11:WHT11"/>
    <mergeCell ref="WHU11:WIJ11"/>
    <mergeCell ref="WIK11:WIZ11"/>
    <mergeCell ref="WJA11:WJP11"/>
    <mergeCell ref="WJQ11:WKF11"/>
    <mergeCell ref="WKG11:WKV11"/>
    <mergeCell ref="VZU11:WAJ11"/>
    <mergeCell ref="WAK11:WAZ11"/>
    <mergeCell ref="WBA11:WBP11"/>
    <mergeCell ref="WBQ11:WCF11"/>
    <mergeCell ref="WCG11:WCV11"/>
    <mergeCell ref="WCW11:WDL11"/>
    <mergeCell ref="WDM11:WEB11"/>
    <mergeCell ref="WEC11:WER11"/>
    <mergeCell ref="WES11:WFH11"/>
    <mergeCell ref="VUG11:VUV11"/>
    <mergeCell ref="VUW11:VVL11"/>
    <mergeCell ref="VVM11:VWB11"/>
    <mergeCell ref="VWC11:VWR11"/>
    <mergeCell ref="VWS11:VXH11"/>
    <mergeCell ref="VXI11:VXX11"/>
    <mergeCell ref="VXY11:VYN11"/>
    <mergeCell ref="VYO11:VZD11"/>
    <mergeCell ref="VZE11:VZT11"/>
    <mergeCell ref="VOS11:VPH11"/>
    <mergeCell ref="VPI11:VPX11"/>
    <mergeCell ref="VPY11:VQN11"/>
    <mergeCell ref="VQO11:VRD11"/>
    <mergeCell ref="VRE11:VRT11"/>
    <mergeCell ref="VRU11:VSJ11"/>
    <mergeCell ref="VSK11:VSZ11"/>
    <mergeCell ref="VTA11:VTP11"/>
    <mergeCell ref="VTQ11:VUF11"/>
    <mergeCell ref="VJE11:VJT11"/>
    <mergeCell ref="VJU11:VKJ11"/>
    <mergeCell ref="VKK11:VKZ11"/>
    <mergeCell ref="VLA11:VLP11"/>
    <mergeCell ref="VLQ11:VMF11"/>
    <mergeCell ref="VMG11:VMV11"/>
    <mergeCell ref="VMW11:VNL11"/>
    <mergeCell ref="VNM11:VOB11"/>
    <mergeCell ref="VOC11:VOR11"/>
    <mergeCell ref="VDQ11:VEF11"/>
    <mergeCell ref="VEG11:VEV11"/>
    <mergeCell ref="VEW11:VFL11"/>
    <mergeCell ref="VFM11:VGB11"/>
    <mergeCell ref="VGC11:VGR11"/>
    <mergeCell ref="VGS11:VHH11"/>
    <mergeCell ref="VHI11:VHX11"/>
    <mergeCell ref="VHY11:VIN11"/>
    <mergeCell ref="VIO11:VJD11"/>
    <mergeCell ref="UYC11:UYR11"/>
    <mergeCell ref="UYS11:UZH11"/>
    <mergeCell ref="UZI11:UZX11"/>
    <mergeCell ref="UZY11:VAN11"/>
    <mergeCell ref="VAO11:VBD11"/>
    <mergeCell ref="VBE11:VBT11"/>
    <mergeCell ref="VBU11:VCJ11"/>
    <mergeCell ref="VCK11:VCZ11"/>
    <mergeCell ref="VDA11:VDP11"/>
    <mergeCell ref="USO11:UTD11"/>
    <mergeCell ref="UTE11:UTT11"/>
    <mergeCell ref="UTU11:UUJ11"/>
    <mergeCell ref="UUK11:UUZ11"/>
    <mergeCell ref="UVA11:UVP11"/>
    <mergeCell ref="UVQ11:UWF11"/>
    <mergeCell ref="UWG11:UWV11"/>
    <mergeCell ref="UWW11:UXL11"/>
    <mergeCell ref="UXM11:UYB11"/>
    <mergeCell ref="UNA11:UNP11"/>
    <mergeCell ref="UNQ11:UOF11"/>
    <mergeCell ref="UOG11:UOV11"/>
    <mergeCell ref="UOW11:UPL11"/>
    <mergeCell ref="UPM11:UQB11"/>
    <mergeCell ref="UQC11:UQR11"/>
    <mergeCell ref="UQS11:URH11"/>
    <mergeCell ref="URI11:URX11"/>
    <mergeCell ref="URY11:USN11"/>
    <mergeCell ref="UHM11:UIB11"/>
    <mergeCell ref="UIC11:UIR11"/>
    <mergeCell ref="UIS11:UJH11"/>
    <mergeCell ref="UJI11:UJX11"/>
    <mergeCell ref="UJY11:UKN11"/>
    <mergeCell ref="UKO11:ULD11"/>
    <mergeCell ref="ULE11:ULT11"/>
    <mergeCell ref="ULU11:UMJ11"/>
    <mergeCell ref="UMK11:UMZ11"/>
    <mergeCell ref="UBY11:UCN11"/>
    <mergeCell ref="UCO11:UDD11"/>
    <mergeCell ref="UDE11:UDT11"/>
    <mergeCell ref="UDU11:UEJ11"/>
    <mergeCell ref="UEK11:UEZ11"/>
    <mergeCell ref="UFA11:UFP11"/>
    <mergeCell ref="UFQ11:UGF11"/>
    <mergeCell ref="UGG11:UGV11"/>
    <mergeCell ref="UGW11:UHL11"/>
    <mergeCell ref="TWK11:TWZ11"/>
    <mergeCell ref="TXA11:TXP11"/>
    <mergeCell ref="TXQ11:TYF11"/>
    <mergeCell ref="TYG11:TYV11"/>
    <mergeCell ref="TYW11:TZL11"/>
    <mergeCell ref="TZM11:UAB11"/>
    <mergeCell ref="UAC11:UAR11"/>
    <mergeCell ref="UAS11:UBH11"/>
    <mergeCell ref="UBI11:UBX11"/>
    <mergeCell ref="TQW11:TRL11"/>
    <mergeCell ref="TRM11:TSB11"/>
    <mergeCell ref="TSC11:TSR11"/>
    <mergeCell ref="TSS11:TTH11"/>
    <mergeCell ref="TTI11:TTX11"/>
    <mergeCell ref="TTY11:TUN11"/>
    <mergeCell ref="TUO11:TVD11"/>
    <mergeCell ref="TVE11:TVT11"/>
    <mergeCell ref="TVU11:TWJ11"/>
    <mergeCell ref="TLI11:TLX11"/>
    <mergeCell ref="TLY11:TMN11"/>
    <mergeCell ref="TMO11:TND11"/>
    <mergeCell ref="TNE11:TNT11"/>
    <mergeCell ref="TNU11:TOJ11"/>
    <mergeCell ref="TOK11:TOZ11"/>
    <mergeCell ref="TPA11:TPP11"/>
    <mergeCell ref="TPQ11:TQF11"/>
    <mergeCell ref="TQG11:TQV11"/>
    <mergeCell ref="TFU11:TGJ11"/>
    <mergeCell ref="TGK11:TGZ11"/>
    <mergeCell ref="THA11:THP11"/>
    <mergeCell ref="THQ11:TIF11"/>
    <mergeCell ref="TIG11:TIV11"/>
    <mergeCell ref="TIW11:TJL11"/>
    <mergeCell ref="TJM11:TKB11"/>
    <mergeCell ref="TKC11:TKR11"/>
    <mergeCell ref="TKS11:TLH11"/>
    <mergeCell ref="TAG11:TAV11"/>
    <mergeCell ref="TAW11:TBL11"/>
    <mergeCell ref="TBM11:TCB11"/>
    <mergeCell ref="TCC11:TCR11"/>
    <mergeCell ref="TCS11:TDH11"/>
    <mergeCell ref="TDI11:TDX11"/>
    <mergeCell ref="TDY11:TEN11"/>
    <mergeCell ref="TEO11:TFD11"/>
    <mergeCell ref="TFE11:TFT11"/>
    <mergeCell ref="SUS11:SVH11"/>
    <mergeCell ref="SVI11:SVX11"/>
    <mergeCell ref="SVY11:SWN11"/>
    <mergeCell ref="SWO11:SXD11"/>
    <mergeCell ref="SXE11:SXT11"/>
    <mergeCell ref="SXU11:SYJ11"/>
    <mergeCell ref="SYK11:SYZ11"/>
    <mergeCell ref="SZA11:SZP11"/>
    <mergeCell ref="SZQ11:TAF11"/>
    <mergeCell ref="SPE11:SPT11"/>
    <mergeCell ref="SPU11:SQJ11"/>
    <mergeCell ref="SQK11:SQZ11"/>
    <mergeCell ref="SRA11:SRP11"/>
    <mergeCell ref="SRQ11:SSF11"/>
    <mergeCell ref="SSG11:SSV11"/>
    <mergeCell ref="SSW11:STL11"/>
    <mergeCell ref="STM11:SUB11"/>
    <mergeCell ref="SUC11:SUR11"/>
    <mergeCell ref="SJQ11:SKF11"/>
    <mergeCell ref="SKG11:SKV11"/>
    <mergeCell ref="SKW11:SLL11"/>
    <mergeCell ref="SLM11:SMB11"/>
    <mergeCell ref="SMC11:SMR11"/>
    <mergeCell ref="SMS11:SNH11"/>
    <mergeCell ref="SNI11:SNX11"/>
    <mergeCell ref="SNY11:SON11"/>
    <mergeCell ref="SOO11:SPD11"/>
    <mergeCell ref="SEC11:SER11"/>
    <mergeCell ref="SES11:SFH11"/>
    <mergeCell ref="SFI11:SFX11"/>
    <mergeCell ref="SFY11:SGN11"/>
    <mergeCell ref="SGO11:SHD11"/>
    <mergeCell ref="SHE11:SHT11"/>
    <mergeCell ref="SHU11:SIJ11"/>
    <mergeCell ref="SIK11:SIZ11"/>
    <mergeCell ref="SJA11:SJP11"/>
    <mergeCell ref="RYO11:RZD11"/>
    <mergeCell ref="RZE11:RZT11"/>
    <mergeCell ref="RZU11:SAJ11"/>
    <mergeCell ref="SAK11:SAZ11"/>
    <mergeCell ref="SBA11:SBP11"/>
    <mergeCell ref="SBQ11:SCF11"/>
    <mergeCell ref="SCG11:SCV11"/>
    <mergeCell ref="SCW11:SDL11"/>
    <mergeCell ref="SDM11:SEB11"/>
    <mergeCell ref="RTA11:RTP11"/>
    <mergeCell ref="RTQ11:RUF11"/>
    <mergeCell ref="RUG11:RUV11"/>
    <mergeCell ref="RUW11:RVL11"/>
    <mergeCell ref="RVM11:RWB11"/>
    <mergeCell ref="RWC11:RWR11"/>
    <mergeCell ref="RWS11:RXH11"/>
    <mergeCell ref="RXI11:RXX11"/>
    <mergeCell ref="RXY11:RYN11"/>
    <mergeCell ref="RNM11:ROB11"/>
    <mergeCell ref="ROC11:ROR11"/>
    <mergeCell ref="ROS11:RPH11"/>
    <mergeCell ref="RPI11:RPX11"/>
    <mergeCell ref="RPY11:RQN11"/>
    <mergeCell ref="RQO11:RRD11"/>
    <mergeCell ref="RRE11:RRT11"/>
    <mergeCell ref="RRU11:RSJ11"/>
    <mergeCell ref="RSK11:RSZ11"/>
    <mergeCell ref="RHY11:RIN11"/>
    <mergeCell ref="RIO11:RJD11"/>
    <mergeCell ref="RJE11:RJT11"/>
    <mergeCell ref="RJU11:RKJ11"/>
    <mergeCell ref="RKK11:RKZ11"/>
    <mergeCell ref="RLA11:RLP11"/>
    <mergeCell ref="RLQ11:RMF11"/>
    <mergeCell ref="RMG11:RMV11"/>
    <mergeCell ref="RMW11:RNL11"/>
    <mergeCell ref="RCK11:RCZ11"/>
    <mergeCell ref="RDA11:RDP11"/>
    <mergeCell ref="RDQ11:REF11"/>
    <mergeCell ref="REG11:REV11"/>
    <mergeCell ref="REW11:RFL11"/>
    <mergeCell ref="RFM11:RGB11"/>
    <mergeCell ref="RGC11:RGR11"/>
    <mergeCell ref="RGS11:RHH11"/>
    <mergeCell ref="RHI11:RHX11"/>
    <mergeCell ref="QWW11:QXL11"/>
    <mergeCell ref="QXM11:QYB11"/>
    <mergeCell ref="QYC11:QYR11"/>
    <mergeCell ref="QYS11:QZH11"/>
    <mergeCell ref="QZI11:QZX11"/>
    <mergeCell ref="QZY11:RAN11"/>
    <mergeCell ref="RAO11:RBD11"/>
    <mergeCell ref="RBE11:RBT11"/>
    <mergeCell ref="RBU11:RCJ11"/>
    <mergeCell ref="QRI11:QRX11"/>
    <mergeCell ref="QRY11:QSN11"/>
    <mergeCell ref="QSO11:QTD11"/>
    <mergeCell ref="QTE11:QTT11"/>
    <mergeCell ref="QTU11:QUJ11"/>
    <mergeCell ref="QUK11:QUZ11"/>
    <mergeCell ref="QVA11:QVP11"/>
    <mergeCell ref="QVQ11:QWF11"/>
    <mergeCell ref="QWG11:QWV11"/>
    <mergeCell ref="QLU11:QMJ11"/>
    <mergeCell ref="QMK11:QMZ11"/>
    <mergeCell ref="QNA11:QNP11"/>
    <mergeCell ref="QNQ11:QOF11"/>
    <mergeCell ref="QOG11:QOV11"/>
    <mergeCell ref="QOW11:QPL11"/>
    <mergeCell ref="QPM11:QQB11"/>
    <mergeCell ref="QQC11:QQR11"/>
    <mergeCell ref="QQS11:QRH11"/>
    <mergeCell ref="QGG11:QGV11"/>
    <mergeCell ref="QGW11:QHL11"/>
    <mergeCell ref="QHM11:QIB11"/>
    <mergeCell ref="QIC11:QIR11"/>
    <mergeCell ref="QIS11:QJH11"/>
    <mergeCell ref="QJI11:QJX11"/>
    <mergeCell ref="QJY11:QKN11"/>
    <mergeCell ref="QKO11:QLD11"/>
    <mergeCell ref="QLE11:QLT11"/>
    <mergeCell ref="QAS11:QBH11"/>
    <mergeCell ref="QBI11:QBX11"/>
    <mergeCell ref="QBY11:QCN11"/>
    <mergeCell ref="QCO11:QDD11"/>
    <mergeCell ref="QDE11:QDT11"/>
    <mergeCell ref="QDU11:QEJ11"/>
    <mergeCell ref="QEK11:QEZ11"/>
    <mergeCell ref="QFA11:QFP11"/>
    <mergeCell ref="QFQ11:QGF11"/>
    <mergeCell ref="PVE11:PVT11"/>
    <mergeCell ref="PVU11:PWJ11"/>
    <mergeCell ref="PWK11:PWZ11"/>
    <mergeCell ref="PXA11:PXP11"/>
    <mergeCell ref="PXQ11:PYF11"/>
    <mergeCell ref="PYG11:PYV11"/>
    <mergeCell ref="PYW11:PZL11"/>
    <mergeCell ref="PZM11:QAB11"/>
    <mergeCell ref="QAC11:QAR11"/>
    <mergeCell ref="PPQ11:PQF11"/>
    <mergeCell ref="PQG11:PQV11"/>
    <mergeCell ref="PQW11:PRL11"/>
    <mergeCell ref="PRM11:PSB11"/>
    <mergeCell ref="PSC11:PSR11"/>
    <mergeCell ref="PSS11:PTH11"/>
    <mergeCell ref="PTI11:PTX11"/>
    <mergeCell ref="PTY11:PUN11"/>
    <mergeCell ref="PUO11:PVD11"/>
    <mergeCell ref="PKC11:PKR11"/>
    <mergeCell ref="PKS11:PLH11"/>
    <mergeCell ref="PLI11:PLX11"/>
    <mergeCell ref="PLY11:PMN11"/>
    <mergeCell ref="PMO11:PND11"/>
    <mergeCell ref="PNE11:PNT11"/>
    <mergeCell ref="PNU11:POJ11"/>
    <mergeCell ref="POK11:POZ11"/>
    <mergeCell ref="PPA11:PPP11"/>
    <mergeCell ref="PEO11:PFD11"/>
    <mergeCell ref="PFE11:PFT11"/>
    <mergeCell ref="PFU11:PGJ11"/>
    <mergeCell ref="PGK11:PGZ11"/>
    <mergeCell ref="PHA11:PHP11"/>
    <mergeCell ref="PHQ11:PIF11"/>
    <mergeCell ref="PIG11:PIV11"/>
    <mergeCell ref="PIW11:PJL11"/>
    <mergeCell ref="PJM11:PKB11"/>
    <mergeCell ref="OZA11:OZP11"/>
    <mergeCell ref="OZQ11:PAF11"/>
    <mergeCell ref="PAG11:PAV11"/>
    <mergeCell ref="PAW11:PBL11"/>
    <mergeCell ref="PBM11:PCB11"/>
    <mergeCell ref="PCC11:PCR11"/>
    <mergeCell ref="PCS11:PDH11"/>
    <mergeCell ref="PDI11:PDX11"/>
    <mergeCell ref="PDY11:PEN11"/>
    <mergeCell ref="OTM11:OUB11"/>
    <mergeCell ref="OUC11:OUR11"/>
    <mergeCell ref="OUS11:OVH11"/>
    <mergeCell ref="OVI11:OVX11"/>
    <mergeCell ref="OVY11:OWN11"/>
    <mergeCell ref="OWO11:OXD11"/>
    <mergeCell ref="OXE11:OXT11"/>
    <mergeCell ref="OXU11:OYJ11"/>
    <mergeCell ref="OYK11:OYZ11"/>
    <mergeCell ref="ONY11:OON11"/>
    <mergeCell ref="OOO11:OPD11"/>
    <mergeCell ref="OPE11:OPT11"/>
    <mergeCell ref="OPU11:OQJ11"/>
    <mergeCell ref="OQK11:OQZ11"/>
    <mergeCell ref="ORA11:ORP11"/>
    <mergeCell ref="ORQ11:OSF11"/>
    <mergeCell ref="OSG11:OSV11"/>
    <mergeCell ref="OSW11:OTL11"/>
    <mergeCell ref="OIK11:OIZ11"/>
    <mergeCell ref="OJA11:OJP11"/>
    <mergeCell ref="OJQ11:OKF11"/>
    <mergeCell ref="OKG11:OKV11"/>
    <mergeCell ref="OKW11:OLL11"/>
    <mergeCell ref="OLM11:OMB11"/>
    <mergeCell ref="OMC11:OMR11"/>
    <mergeCell ref="OMS11:ONH11"/>
    <mergeCell ref="ONI11:ONX11"/>
    <mergeCell ref="OCW11:ODL11"/>
    <mergeCell ref="ODM11:OEB11"/>
    <mergeCell ref="OEC11:OER11"/>
    <mergeCell ref="OES11:OFH11"/>
    <mergeCell ref="OFI11:OFX11"/>
    <mergeCell ref="OFY11:OGN11"/>
    <mergeCell ref="OGO11:OHD11"/>
    <mergeCell ref="OHE11:OHT11"/>
    <mergeCell ref="OHU11:OIJ11"/>
    <mergeCell ref="NXI11:NXX11"/>
    <mergeCell ref="NXY11:NYN11"/>
    <mergeCell ref="NYO11:NZD11"/>
    <mergeCell ref="NZE11:NZT11"/>
    <mergeCell ref="NZU11:OAJ11"/>
    <mergeCell ref="OAK11:OAZ11"/>
    <mergeCell ref="OBA11:OBP11"/>
    <mergeCell ref="OBQ11:OCF11"/>
    <mergeCell ref="OCG11:OCV11"/>
    <mergeCell ref="NRU11:NSJ11"/>
    <mergeCell ref="NSK11:NSZ11"/>
    <mergeCell ref="NTA11:NTP11"/>
    <mergeCell ref="NTQ11:NUF11"/>
    <mergeCell ref="NUG11:NUV11"/>
    <mergeCell ref="NUW11:NVL11"/>
    <mergeCell ref="NVM11:NWB11"/>
    <mergeCell ref="NWC11:NWR11"/>
    <mergeCell ref="NWS11:NXH11"/>
    <mergeCell ref="NMG11:NMV11"/>
    <mergeCell ref="NMW11:NNL11"/>
    <mergeCell ref="NNM11:NOB11"/>
    <mergeCell ref="NOC11:NOR11"/>
    <mergeCell ref="NOS11:NPH11"/>
    <mergeCell ref="NPI11:NPX11"/>
    <mergeCell ref="NPY11:NQN11"/>
    <mergeCell ref="NQO11:NRD11"/>
    <mergeCell ref="NRE11:NRT11"/>
    <mergeCell ref="NGS11:NHH11"/>
    <mergeCell ref="NHI11:NHX11"/>
    <mergeCell ref="NHY11:NIN11"/>
    <mergeCell ref="NIO11:NJD11"/>
    <mergeCell ref="NJE11:NJT11"/>
    <mergeCell ref="NJU11:NKJ11"/>
    <mergeCell ref="NKK11:NKZ11"/>
    <mergeCell ref="NLA11:NLP11"/>
    <mergeCell ref="NLQ11:NMF11"/>
    <mergeCell ref="NBE11:NBT11"/>
    <mergeCell ref="NBU11:NCJ11"/>
    <mergeCell ref="NCK11:NCZ11"/>
    <mergeCell ref="NDA11:NDP11"/>
    <mergeCell ref="NDQ11:NEF11"/>
    <mergeCell ref="NEG11:NEV11"/>
    <mergeCell ref="NEW11:NFL11"/>
    <mergeCell ref="NFM11:NGB11"/>
    <mergeCell ref="NGC11:NGR11"/>
    <mergeCell ref="MVQ11:MWF11"/>
    <mergeCell ref="MWG11:MWV11"/>
    <mergeCell ref="MWW11:MXL11"/>
    <mergeCell ref="MXM11:MYB11"/>
    <mergeCell ref="MYC11:MYR11"/>
    <mergeCell ref="MYS11:MZH11"/>
    <mergeCell ref="MZI11:MZX11"/>
    <mergeCell ref="MZY11:NAN11"/>
    <mergeCell ref="NAO11:NBD11"/>
    <mergeCell ref="MQC11:MQR11"/>
    <mergeCell ref="MQS11:MRH11"/>
    <mergeCell ref="MRI11:MRX11"/>
    <mergeCell ref="MRY11:MSN11"/>
    <mergeCell ref="MSO11:MTD11"/>
    <mergeCell ref="MTE11:MTT11"/>
    <mergeCell ref="MTU11:MUJ11"/>
    <mergeCell ref="MUK11:MUZ11"/>
    <mergeCell ref="MVA11:MVP11"/>
    <mergeCell ref="MKO11:MLD11"/>
    <mergeCell ref="MLE11:MLT11"/>
    <mergeCell ref="MLU11:MMJ11"/>
    <mergeCell ref="MMK11:MMZ11"/>
    <mergeCell ref="MNA11:MNP11"/>
    <mergeCell ref="MNQ11:MOF11"/>
    <mergeCell ref="MOG11:MOV11"/>
    <mergeCell ref="MOW11:MPL11"/>
    <mergeCell ref="MPM11:MQB11"/>
    <mergeCell ref="MFA11:MFP11"/>
    <mergeCell ref="MFQ11:MGF11"/>
    <mergeCell ref="MGG11:MGV11"/>
    <mergeCell ref="MGW11:MHL11"/>
    <mergeCell ref="MHM11:MIB11"/>
    <mergeCell ref="MIC11:MIR11"/>
    <mergeCell ref="MIS11:MJH11"/>
    <mergeCell ref="MJI11:MJX11"/>
    <mergeCell ref="MJY11:MKN11"/>
    <mergeCell ref="LZM11:MAB11"/>
    <mergeCell ref="MAC11:MAR11"/>
    <mergeCell ref="MAS11:MBH11"/>
    <mergeCell ref="MBI11:MBX11"/>
    <mergeCell ref="MBY11:MCN11"/>
    <mergeCell ref="MCO11:MDD11"/>
    <mergeCell ref="MDE11:MDT11"/>
    <mergeCell ref="MDU11:MEJ11"/>
    <mergeCell ref="MEK11:MEZ11"/>
    <mergeCell ref="LTY11:LUN11"/>
    <mergeCell ref="LUO11:LVD11"/>
    <mergeCell ref="LVE11:LVT11"/>
    <mergeCell ref="LVU11:LWJ11"/>
    <mergeCell ref="LWK11:LWZ11"/>
    <mergeCell ref="LXA11:LXP11"/>
    <mergeCell ref="LXQ11:LYF11"/>
    <mergeCell ref="LYG11:LYV11"/>
    <mergeCell ref="LYW11:LZL11"/>
    <mergeCell ref="LOK11:LOZ11"/>
    <mergeCell ref="LPA11:LPP11"/>
    <mergeCell ref="LPQ11:LQF11"/>
    <mergeCell ref="LQG11:LQV11"/>
    <mergeCell ref="LQW11:LRL11"/>
    <mergeCell ref="LRM11:LSB11"/>
    <mergeCell ref="LSC11:LSR11"/>
    <mergeCell ref="LSS11:LTH11"/>
    <mergeCell ref="LTI11:LTX11"/>
    <mergeCell ref="LIW11:LJL11"/>
    <mergeCell ref="LJM11:LKB11"/>
    <mergeCell ref="LKC11:LKR11"/>
    <mergeCell ref="LKS11:LLH11"/>
    <mergeCell ref="LLI11:LLX11"/>
    <mergeCell ref="LLY11:LMN11"/>
    <mergeCell ref="LMO11:LND11"/>
    <mergeCell ref="LNE11:LNT11"/>
    <mergeCell ref="LNU11:LOJ11"/>
    <mergeCell ref="LDI11:LDX11"/>
    <mergeCell ref="LDY11:LEN11"/>
    <mergeCell ref="LEO11:LFD11"/>
    <mergeCell ref="LFE11:LFT11"/>
    <mergeCell ref="LFU11:LGJ11"/>
    <mergeCell ref="LGK11:LGZ11"/>
    <mergeCell ref="LHA11:LHP11"/>
    <mergeCell ref="LHQ11:LIF11"/>
    <mergeCell ref="LIG11:LIV11"/>
    <mergeCell ref="KXU11:KYJ11"/>
    <mergeCell ref="KYK11:KYZ11"/>
    <mergeCell ref="KZA11:KZP11"/>
    <mergeCell ref="KZQ11:LAF11"/>
    <mergeCell ref="LAG11:LAV11"/>
    <mergeCell ref="LAW11:LBL11"/>
    <mergeCell ref="LBM11:LCB11"/>
    <mergeCell ref="LCC11:LCR11"/>
    <mergeCell ref="LCS11:LDH11"/>
    <mergeCell ref="KSG11:KSV11"/>
    <mergeCell ref="KSW11:KTL11"/>
    <mergeCell ref="KTM11:KUB11"/>
    <mergeCell ref="KUC11:KUR11"/>
    <mergeCell ref="KUS11:KVH11"/>
    <mergeCell ref="KVI11:KVX11"/>
    <mergeCell ref="KVY11:KWN11"/>
    <mergeCell ref="KWO11:KXD11"/>
    <mergeCell ref="KXE11:KXT11"/>
    <mergeCell ref="KMS11:KNH11"/>
    <mergeCell ref="KNI11:KNX11"/>
    <mergeCell ref="KNY11:KON11"/>
    <mergeCell ref="KOO11:KPD11"/>
    <mergeCell ref="KPE11:KPT11"/>
    <mergeCell ref="KPU11:KQJ11"/>
    <mergeCell ref="KQK11:KQZ11"/>
    <mergeCell ref="KRA11:KRP11"/>
    <mergeCell ref="KRQ11:KSF11"/>
    <mergeCell ref="KHE11:KHT11"/>
    <mergeCell ref="KHU11:KIJ11"/>
    <mergeCell ref="KIK11:KIZ11"/>
    <mergeCell ref="KJA11:KJP11"/>
    <mergeCell ref="KJQ11:KKF11"/>
    <mergeCell ref="KKG11:KKV11"/>
    <mergeCell ref="KKW11:KLL11"/>
    <mergeCell ref="KLM11:KMB11"/>
    <mergeCell ref="KMC11:KMR11"/>
    <mergeCell ref="KBQ11:KCF11"/>
    <mergeCell ref="KCG11:KCV11"/>
    <mergeCell ref="KCW11:KDL11"/>
    <mergeCell ref="KDM11:KEB11"/>
    <mergeCell ref="KEC11:KER11"/>
    <mergeCell ref="KES11:KFH11"/>
    <mergeCell ref="KFI11:KFX11"/>
    <mergeCell ref="KFY11:KGN11"/>
    <mergeCell ref="KGO11:KHD11"/>
    <mergeCell ref="JWC11:JWR11"/>
    <mergeCell ref="JWS11:JXH11"/>
    <mergeCell ref="JXI11:JXX11"/>
    <mergeCell ref="JXY11:JYN11"/>
    <mergeCell ref="JYO11:JZD11"/>
    <mergeCell ref="JZE11:JZT11"/>
    <mergeCell ref="JZU11:KAJ11"/>
    <mergeCell ref="KAK11:KAZ11"/>
    <mergeCell ref="KBA11:KBP11"/>
    <mergeCell ref="JQO11:JRD11"/>
    <mergeCell ref="JRE11:JRT11"/>
    <mergeCell ref="JRU11:JSJ11"/>
    <mergeCell ref="JSK11:JSZ11"/>
    <mergeCell ref="JTA11:JTP11"/>
    <mergeCell ref="JTQ11:JUF11"/>
    <mergeCell ref="JUG11:JUV11"/>
    <mergeCell ref="JUW11:JVL11"/>
    <mergeCell ref="JVM11:JWB11"/>
    <mergeCell ref="JLA11:JLP11"/>
    <mergeCell ref="JLQ11:JMF11"/>
    <mergeCell ref="JMG11:JMV11"/>
    <mergeCell ref="JMW11:JNL11"/>
    <mergeCell ref="JNM11:JOB11"/>
    <mergeCell ref="JOC11:JOR11"/>
    <mergeCell ref="JOS11:JPH11"/>
    <mergeCell ref="JPI11:JPX11"/>
    <mergeCell ref="JPY11:JQN11"/>
    <mergeCell ref="JFM11:JGB11"/>
    <mergeCell ref="JGC11:JGR11"/>
    <mergeCell ref="JGS11:JHH11"/>
    <mergeCell ref="JHI11:JHX11"/>
    <mergeCell ref="JHY11:JIN11"/>
    <mergeCell ref="JIO11:JJD11"/>
    <mergeCell ref="JJE11:JJT11"/>
    <mergeCell ref="JJU11:JKJ11"/>
    <mergeCell ref="JKK11:JKZ11"/>
    <mergeCell ref="IZY11:JAN11"/>
    <mergeCell ref="JAO11:JBD11"/>
    <mergeCell ref="JBE11:JBT11"/>
    <mergeCell ref="JBU11:JCJ11"/>
    <mergeCell ref="JCK11:JCZ11"/>
    <mergeCell ref="JDA11:JDP11"/>
    <mergeCell ref="JDQ11:JEF11"/>
    <mergeCell ref="JEG11:JEV11"/>
    <mergeCell ref="JEW11:JFL11"/>
    <mergeCell ref="IUK11:IUZ11"/>
    <mergeCell ref="IVA11:IVP11"/>
    <mergeCell ref="IVQ11:IWF11"/>
    <mergeCell ref="IWG11:IWV11"/>
    <mergeCell ref="IWW11:IXL11"/>
    <mergeCell ref="IXM11:IYB11"/>
    <mergeCell ref="IYC11:IYR11"/>
    <mergeCell ref="IYS11:IZH11"/>
    <mergeCell ref="IZI11:IZX11"/>
    <mergeCell ref="IOW11:IPL11"/>
    <mergeCell ref="IPM11:IQB11"/>
    <mergeCell ref="IQC11:IQR11"/>
    <mergeCell ref="IQS11:IRH11"/>
    <mergeCell ref="IRI11:IRX11"/>
    <mergeCell ref="IRY11:ISN11"/>
    <mergeCell ref="ISO11:ITD11"/>
    <mergeCell ref="ITE11:ITT11"/>
    <mergeCell ref="ITU11:IUJ11"/>
    <mergeCell ref="IJI11:IJX11"/>
    <mergeCell ref="IJY11:IKN11"/>
    <mergeCell ref="IKO11:ILD11"/>
    <mergeCell ref="ILE11:ILT11"/>
    <mergeCell ref="ILU11:IMJ11"/>
    <mergeCell ref="IMK11:IMZ11"/>
    <mergeCell ref="INA11:INP11"/>
    <mergeCell ref="INQ11:IOF11"/>
    <mergeCell ref="IOG11:IOV11"/>
    <mergeCell ref="IDU11:IEJ11"/>
    <mergeCell ref="IEK11:IEZ11"/>
    <mergeCell ref="IFA11:IFP11"/>
    <mergeCell ref="IFQ11:IGF11"/>
    <mergeCell ref="IGG11:IGV11"/>
    <mergeCell ref="IGW11:IHL11"/>
    <mergeCell ref="IHM11:IIB11"/>
    <mergeCell ref="IIC11:IIR11"/>
    <mergeCell ref="IIS11:IJH11"/>
    <mergeCell ref="HYG11:HYV11"/>
    <mergeCell ref="HYW11:HZL11"/>
    <mergeCell ref="HZM11:IAB11"/>
    <mergeCell ref="IAC11:IAR11"/>
    <mergeCell ref="IAS11:IBH11"/>
    <mergeCell ref="IBI11:IBX11"/>
    <mergeCell ref="IBY11:ICN11"/>
    <mergeCell ref="ICO11:IDD11"/>
    <mergeCell ref="IDE11:IDT11"/>
    <mergeCell ref="HSS11:HTH11"/>
    <mergeCell ref="HTI11:HTX11"/>
    <mergeCell ref="HTY11:HUN11"/>
    <mergeCell ref="HUO11:HVD11"/>
    <mergeCell ref="HVE11:HVT11"/>
    <mergeCell ref="HVU11:HWJ11"/>
    <mergeCell ref="HWK11:HWZ11"/>
    <mergeCell ref="HXA11:HXP11"/>
    <mergeCell ref="HXQ11:HYF11"/>
    <mergeCell ref="HNE11:HNT11"/>
    <mergeCell ref="HNU11:HOJ11"/>
    <mergeCell ref="HOK11:HOZ11"/>
    <mergeCell ref="HPA11:HPP11"/>
    <mergeCell ref="HPQ11:HQF11"/>
    <mergeCell ref="HQG11:HQV11"/>
    <mergeCell ref="HQW11:HRL11"/>
    <mergeCell ref="HRM11:HSB11"/>
    <mergeCell ref="HSC11:HSR11"/>
    <mergeCell ref="HHQ11:HIF11"/>
    <mergeCell ref="HIG11:HIV11"/>
    <mergeCell ref="HIW11:HJL11"/>
    <mergeCell ref="HJM11:HKB11"/>
    <mergeCell ref="HKC11:HKR11"/>
    <mergeCell ref="HKS11:HLH11"/>
    <mergeCell ref="HLI11:HLX11"/>
    <mergeCell ref="HLY11:HMN11"/>
    <mergeCell ref="HMO11:HND11"/>
    <mergeCell ref="HCC11:HCR11"/>
    <mergeCell ref="HCS11:HDH11"/>
    <mergeCell ref="HDI11:HDX11"/>
    <mergeCell ref="HDY11:HEN11"/>
    <mergeCell ref="HEO11:HFD11"/>
    <mergeCell ref="HFE11:HFT11"/>
    <mergeCell ref="HFU11:HGJ11"/>
    <mergeCell ref="HGK11:HGZ11"/>
    <mergeCell ref="HHA11:HHP11"/>
    <mergeCell ref="GWO11:GXD11"/>
    <mergeCell ref="GXE11:GXT11"/>
    <mergeCell ref="GXU11:GYJ11"/>
    <mergeCell ref="GYK11:GYZ11"/>
    <mergeCell ref="GZA11:GZP11"/>
    <mergeCell ref="GZQ11:HAF11"/>
    <mergeCell ref="HAG11:HAV11"/>
    <mergeCell ref="HAW11:HBL11"/>
    <mergeCell ref="HBM11:HCB11"/>
    <mergeCell ref="GRA11:GRP11"/>
    <mergeCell ref="GRQ11:GSF11"/>
    <mergeCell ref="GSG11:GSV11"/>
    <mergeCell ref="GSW11:GTL11"/>
    <mergeCell ref="GTM11:GUB11"/>
    <mergeCell ref="GUC11:GUR11"/>
    <mergeCell ref="GUS11:GVH11"/>
    <mergeCell ref="GVI11:GVX11"/>
    <mergeCell ref="GVY11:GWN11"/>
    <mergeCell ref="GLM11:GMB11"/>
    <mergeCell ref="GMC11:GMR11"/>
    <mergeCell ref="GMS11:GNH11"/>
    <mergeCell ref="GNI11:GNX11"/>
    <mergeCell ref="GNY11:GON11"/>
    <mergeCell ref="GOO11:GPD11"/>
    <mergeCell ref="GPE11:GPT11"/>
    <mergeCell ref="GPU11:GQJ11"/>
    <mergeCell ref="GQK11:GQZ11"/>
    <mergeCell ref="GFY11:GGN11"/>
    <mergeCell ref="GGO11:GHD11"/>
    <mergeCell ref="GHE11:GHT11"/>
    <mergeCell ref="GHU11:GIJ11"/>
    <mergeCell ref="GIK11:GIZ11"/>
    <mergeCell ref="GJA11:GJP11"/>
    <mergeCell ref="GJQ11:GKF11"/>
    <mergeCell ref="GKG11:GKV11"/>
    <mergeCell ref="GKW11:GLL11"/>
    <mergeCell ref="GAK11:GAZ11"/>
    <mergeCell ref="GBA11:GBP11"/>
    <mergeCell ref="GBQ11:GCF11"/>
    <mergeCell ref="GCG11:GCV11"/>
    <mergeCell ref="GCW11:GDL11"/>
    <mergeCell ref="GDM11:GEB11"/>
    <mergeCell ref="GEC11:GER11"/>
    <mergeCell ref="GES11:GFH11"/>
    <mergeCell ref="GFI11:GFX11"/>
    <mergeCell ref="FUW11:FVL11"/>
    <mergeCell ref="FVM11:FWB11"/>
    <mergeCell ref="FWC11:FWR11"/>
    <mergeCell ref="FWS11:FXH11"/>
    <mergeCell ref="FXI11:FXX11"/>
    <mergeCell ref="FXY11:FYN11"/>
    <mergeCell ref="FYO11:FZD11"/>
    <mergeCell ref="FZE11:FZT11"/>
    <mergeCell ref="FZU11:GAJ11"/>
    <mergeCell ref="FPI11:FPX11"/>
    <mergeCell ref="FPY11:FQN11"/>
    <mergeCell ref="FQO11:FRD11"/>
    <mergeCell ref="FRE11:FRT11"/>
    <mergeCell ref="FRU11:FSJ11"/>
    <mergeCell ref="FSK11:FSZ11"/>
    <mergeCell ref="FTA11:FTP11"/>
    <mergeCell ref="FTQ11:FUF11"/>
    <mergeCell ref="FUG11:FUV11"/>
    <mergeCell ref="FJU11:FKJ11"/>
    <mergeCell ref="FKK11:FKZ11"/>
    <mergeCell ref="FLA11:FLP11"/>
    <mergeCell ref="FLQ11:FMF11"/>
    <mergeCell ref="FMG11:FMV11"/>
    <mergeCell ref="FMW11:FNL11"/>
    <mergeCell ref="FNM11:FOB11"/>
    <mergeCell ref="FOC11:FOR11"/>
    <mergeCell ref="FOS11:FPH11"/>
    <mergeCell ref="FEG11:FEV11"/>
    <mergeCell ref="FEW11:FFL11"/>
    <mergeCell ref="FFM11:FGB11"/>
    <mergeCell ref="FGC11:FGR11"/>
    <mergeCell ref="FGS11:FHH11"/>
    <mergeCell ref="FHI11:FHX11"/>
    <mergeCell ref="FHY11:FIN11"/>
    <mergeCell ref="FIO11:FJD11"/>
    <mergeCell ref="FJE11:FJT11"/>
    <mergeCell ref="EYS11:EZH11"/>
    <mergeCell ref="EZI11:EZX11"/>
    <mergeCell ref="EZY11:FAN11"/>
    <mergeCell ref="FAO11:FBD11"/>
    <mergeCell ref="FBE11:FBT11"/>
    <mergeCell ref="FBU11:FCJ11"/>
    <mergeCell ref="FCK11:FCZ11"/>
    <mergeCell ref="FDA11:FDP11"/>
    <mergeCell ref="FDQ11:FEF11"/>
    <mergeCell ref="ETE11:ETT11"/>
    <mergeCell ref="ETU11:EUJ11"/>
    <mergeCell ref="EUK11:EUZ11"/>
    <mergeCell ref="EVA11:EVP11"/>
    <mergeCell ref="EVQ11:EWF11"/>
    <mergeCell ref="EWG11:EWV11"/>
    <mergeCell ref="EWW11:EXL11"/>
    <mergeCell ref="EXM11:EYB11"/>
    <mergeCell ref="EYC11:EYR11"/>
    <mergeCell ref="ENQ11:EOF11"/>
    <mergeCell ref="EOG11:EOV11"/>
    <mergeCell ref="EOW11:EPL11"/>
    <mergeCell ref="EPM11:EQB11"/>
    <mergeCell ref="EQC11:EQR11"/>
    <mergeCell ref="EQS11:ERH11"/>
    <mergeCell ref="ERI11:ERX11"/>
    <mergeCell ref="ERY11:ESN11"/>
    <mergeCell ref="ESO11:ETD11"/>
    <mergeCell ref="EIC11:EIR11"/>
    <mergeCell ref="EIS11:EJH11"/>
    <mergeCell ref="EJI11:EJX11"/>
    <mergeCell ref="EJY11:EKN11"/>
    <mergeCell ref="EKO11:ELD11"/>
    <mergeCell ref="ELE11:ELT11"/>
    <mergeCell ref="ELU11:EMJ11"/>
    <mergeCell ref="EMK11:EMZ11"/>
    <mergeCell ref="ENA11:ENP11"/>
    <mergeCell ref="ECO11:EDD11"/>
    <mergeCell ref="EDE11:EDT11"/>
    <mergeCell ref="EDU11:EEJ11"/>
    <mergeCell ref="EEK11:EEZ11"/>
    <mergeCell ref="EFA11:EFP11"/>
    <mergeCell ref="EFQ11:EGF11"/>
    <mergeCell ref="EGG11:EGV11"/>
    <mergeCell ref="EGW11:EHL11"/>
    <mergeCell ref="EHM11:EIB11"/>
    <mergeCell ref="DXA11:DXP11"/>
    <mergeCell ref="DXQ11:DYF11"/>
    <mergeCell ref="DYG11:DYV11"/>
    <mergeCell ref="DYW11:DZL11"/>
    <mergeCell ref="DZM11:EAB11"/>
    <mergeCell ref="EAC11:EAR11"/>
    <mergeCell ref="EAS11:EBH11"/>
    <mergeCell ref="EBI11:EBX11"/>
    <mergeCell ref="EBY11:ECN11"/>
    <mergeCell ref="DRM11:DSB11"/>
    <mergeCell ref="DSC11:DSR11"/>
    <mergeCell ref="DSS11:DTH11"/>
    <mergeCell ref="DTI11:DTX11"/>
    <mergeCell ref="DTY11:DUN11"/>
    <mergeCell ref="DUO11:DVD11"/>
    <mergeCell ref="DVE11:DVT11"/>
    <mergeCell ref="DVU11:DWJ11"/>
    <mergeCell ref="DWK11:DWZ11"/>
    <mergeCell ref="DLY11:DMN11"/>
    <mergeCell ref="DMO11:DND11"/>
    <mergeCell ref="DNE11:DNT11"/>
    <mergeCell ref="DNU11:DOJ11"/>
    <mergeCell ref="DOK11:DOZ11"/>
    <mergeCell ref="DPA11:DPP11"/>
    <mergeCell ref="DPQ11:DQF11"/>
    <mergeCell ref="DQG11:DQV11"/>
    <mergeCell ref="DQW11:DRL11"/>
    <mergeCell ref="DGK11:DGZ11"/>
    <mergeCell ref="DHA11:DHP11"/>
    <mergeCell ref="DHQ11:DIF11"/>
    <mergeCell ref="DIG11:DIV11"/>
    <mergeCell ref="DIW11:DJL11"/>
    <mergeCell ref="DJM11:DKB11"/>
    <mergeCell ref="DKC11:DKR11"/>
    <mergeCell ref="DKS11:DLH11"/>
    <mergeCell ref="DLI11:DLX11"/>
    <mergeCell ref="DAW11:DBL11"/>
    <mergeCell ref="DBM11:DCB11"/>
    <mergeCell ref="DCC11:DCR11"/>
    <mergeCell ref="DCS11:DDH11"/>
    <mergeCell ref="DDI11:DDX11"/>
    <mergeCell ref="DDY11:DEN11"/>
    <mergeCell ref="DEO11:DFD11"/>
    <mergeCell ref="DFE11:DFT11"/>
    <mergeCell ref="DFU11:DGJ11"/>
    <mergeCell ref="CVI11:CVX11"/>
    <mergeCell ref="CVY11:CWN11"/>
    <mergeCell ref="CWO11:CXD11"/>
    <mergeCell ref="CXE11:CXT11"/>
    <mergeCell ref="CXU11:CYJ11"/>
    <mergeCell ref="CYK11:CYZ11"/>
    <mergeCell ref="CZA11:CZP11"/>
    <mergeCell ref="CZQ11:DAF11"/>
    <mergeCell ref="DAG11:DAV11"/>
    <mergeCell ref="CPU11:CQJ11"/>
    <mergeCell ref="CQK11:CQZ11"/>
    <mergeCell ref="CRA11:CRP11"/>
    <mergeCell ref="CRQ11:CSF11"/>
    <mergeCell ref="CSG11:CSV11"/>
    <mergeCell ref="CSW11:CTL11"/>
    <mergeCell ref="CTM11:CUB11"/>
    <mergeCell ref="CUC11:CUR11"/>
    <mergeCell ref="CUS11:CVH11"/>
    <mergeCell ref="CKG11:CKV11"/>
    <mergeCell ref="CKW11:CLL11"/>
    <mergeCell ref="CLM11:CMB11"/>
    <mergeCell ref="CMC11:CMR11"/>
    <mergeCell ref="CMS11:CNH11"/>
    <mergeCell ref="CNI11:CNX11"/>
    <mergeCell ref="CNY11:CON11"/>
    <mergeCell ref="COO11:CPD11"/>
    <mergeCell ref="CPE11:CPT11"/>
    <mergeCell ref="CES11:CFH11"/>
    <mergeCell ref="CFI11:CFX11"/>
    <mergeCell ref="CFY11:CGN11"/>
    <mergeCell ref="CGO11:CHD11"/>
    <mergeCell ref="CHE11:CHT11"/>
    <mergeCell ref="CHU11:CIJ11"/>
    <mergeCell ref="CIK11:CIZ11"/>
    <mergeCell ref="CJA11:CJP11"/>
    <mergeCell ref="CJQ11:CKF11"/>
    <mergeCell ref="BZE11:BZT11"/>
    <mergeCell ref="BZU11:CAJ11"/>
    <mergeCell ref="CAK11:CAZ11"/>
    <mergeCell ref="CBA11:CBP11"/>
    <mergeCell ref="CBQ11:CCF11"/>
    <mergeCell ref="CCG11:CCV11"/>
    <mergeCell ref="CCW11:CDL11"/>
    <mergeCell ref="CDM11:CEB11"/>
    <mergeCell ref="CEC11:CER11"/>
    <mergeCell ref="BTQ11:BUF11"/>
    <mergeCell ref="BUG11:BUV11"/>
    <mergeCell ref="BUW11:BVL11"/>
    <mergeCell ref="BVM11:BWB11"/>
    <mergeCell ref="BWC11:BWR11"/>
    <mergeCell ref="BWS11:BXH11"/>
    <mergeCell ref="BXI11:BXX11"/>
    <mergeCell ref="BXY11:BYN11"/>
    <mergeCell ref="BYO11:BZD11"/>
    <mergeCell ref="BOC11:BOR11"/>
    <mergeCell ref="BOS11:BPH11"/>
    <mergeCell ref="BPI11:BPX11"/>
    <mergeCell ref="BPY11:BQN11"/>
    <mergeCell ref="BQO11:BRD11"/>
    <mergeCell ref="BRE11:BRT11"/>
    <mergeCell ref="BRU11:BSJ11"/>
    <mergeCell ref="BSK11:BSZ11"/>
    <mergeCell ref="BTA11:BTP11"/>
    <mergeCell ref="BIO11:BJD11"/>
    <mergeCell ref="BJE11:BJT11"/>
    <mergeCell ref="BJU11:BKJ11"/>
    <mergeCell ref="BKK11:BKZ11"/>
    <mergeCell ref="BLA11:BLP11"/>
    <mergeCell ref="BLQ11:BMF11"/>
    <mergeCell ref="BMG11:BMV11"/>
    <mergeCell ref="BMW11:BNL11"/>
    <mergeCell ref="BNM11:BOB11"/>
    <mergeCell ref="BDA11:BDP11"/>
    <mergeCell ref="BDQ11:BEF11"/>
    <mergeCell ref="BEG11:BEV11"/>
    <mergeCell ref="BEW11:BFL11"/>
    <mergeCell ref="BFM11:BGB11"/>
    <mergeCell ref="BGC11:BGR11"/>
    <mergeCell ref="BGS11:BHH11"/>
    <mergeCell ref="BHI11:BHX11"/>
    <mergeCell ref="BHY11:BIN11"/>
    <mergeCell ref="AXM11:AYB11"/>
    <mergeCell ref="AYC11:AYR11"/>
    <mergeCell ref="AYS11:AZH11"/>
    <mergeCell ref="AZI11:AZX11"/>
    <mergeCell ref="AZY11:BAN11"/>
    <mergeCell ref="BAO11:BBD11"/>
    <mergeCell ref="BBE11:BBT11"/>
    <mergeCell ref="BBU11:BCJ11"/>
    <mergeCell ref="BCK11:BCZ11"/>
    <mergeCell ref="ARY11:ASN11"/>
    <mergeCell ref="ASO11:ATD11"/>
    <mergeCell ref="ATE11:ATT11"/>
    <mergeCell ref="ATU11:AUJ11"/>
    <mergeCell ref="AUK11:AUZ11"/>
    <mergeCell ref="AVA11:AVP11"/>
    <mergeCell ref="AVQ11:AWF11"/>
    <mergeCell ref="AWG11:AWV11"/>
    <mergeCell ref="AWW11:AXL11"/>
    <mergeCell ref="AMK11:AMZ11"/>
    <mergeCell ref="ANA11:ANP11"/>
    <mergeCell ref="ANQ11:AOF11"/>
    <mergeCell ref="AOG11:AOV11"/>
    <mergeCell ref="AOW11:APL11"/>
    <mergeCell ref="APM11:AQB11"/>
    <mergeCell ref="AQC11:AQR11"/>
    <mergeCell ref="AQS11:ARH11"/>
    <mergeCell ref="ARI11:ARX11"/>
    <mergeCell ref="AGW11:AHL11"/>
    <mergeCell ref="AHM11:AIB11"/>
    <mergeCell ref="AIC11:AIR11"/>
    <mergeCell ref="AIS11:AJH11"/>
    <mergeCell ref="AJI11:AJX11"/>
    <mergeCell ref="AJY11:AKN11"/>
    <mergeCell ref="AKO11:ALD11"/>
    <mergeCell ref="ALE11:ALT11"/>
    <mergeCell ref="ALU11:AMJ11"/>
    <mergeCell ref="ABI11:ABX11"/>
    <mergeCell ref="ABY11:ACN11"/>
    <mergeCell ref="ACO11:ADD11"/>
    <mergeCell ref="ADE11:ADT11"/>
    <mergeCell ref="ADU11:AEJ11"/>
    <mergeCell ref="AEK11:AEZ11"/>
    <mergeCell ref="AFA11:AFP11"/>
    <mergeCell ref="AFQ11:AGF11"/>
    <mergeCell ref="AGG11:AGV11"/>
    <mergeCell ref="VU11:WJ11"/>
    <mergeCell ref="WK11:WZ11"/>
    <mergeCell ref="XA11:XP11"/>
    <mergeCell ref="XQ11:YF11"/>
    <mergeCell ref="YG11:YV11"/>
    <mergeCell ref="YW11:ZL11"/>
    <mergeCell ref="ZM11:AAB11"/>
    <mergeCell ref="AAC11:AAR11"/>
    <mergeCell ref="AAS11:ABH11"/>
    <mergeCell ref="QG11:QV11"/>
    <mergeCell ref="QW11:RL11"/>
    <mergeCell ref="RM11:SB11"/>
    <mergeCell ref="SC11:SR11"/>
    <mergeCell ref="SS11:TH11"/>
    <mergeCell ref="TI11:TX11"/>
    <mergeCell ref="TY11:UN11"/>
    <mergeCell ref="UO11:VD11"/>
    <mergeCell ref="VE11:VT11"/>
    <mergeCell ref="KS11:LH11"/>
    <mergeCell ref="LI11:LX11"/>
    <mergeCell ref="LY11:MN11"/>
    <mergeCell ref="MO11:ND11"/>
    <mergeCell ref="NE11:NT11"/>
    <mergeCell ref="NU11:OJ11"/>
    <mergeCell ref="OK11:OZ11"/>
    <mergeCell ref="PA11:PP11"/>
    <mergeCell ref="PQ11:QF11"/>
    <mergeCell ref="FE11:FT11"/>
    <mergeCell ref="FU11:GJ11"/>
    <mergeCell ref="GK11:GZ11"/>
    <mergeCell ref="HA11:HP11"/>
    <mergeCell ref="HQ11:IF11"/>
    <mergeCell ref="IG11:IV11"/>
    <mergeCell ref="IW11:JL11"/>
    <mergeCell ref="JM11:KB11"/>
    <mergeCell ref="KC11:KR11"/>
    <mergeCell ref="Q11:AF11"/>
    <mergeCell ref="AG11:AV11"/>
    <mergeCell ref="AW11:BL11"/>
    <mergeCell ref="BM11:CB11"/>
    <mergeCell ref="CC11:CR11"/>
    <mergeCell ref="CS11:DH11"/>
    <mergeCell ref="DI11:DX11"/>
    <mergeCell ref="DY11:EN11"/>
    <mergeCell ref="EO11:FD11"/>
    <mergeCell ref="A3734:B3734"/>
    <mergeCell ref="A3750:B3750"/>
    <mergeCell ref="A3671:B3671"/>
    <mergeCell ref="A3679:B3679"/>
    <mergeCell ref="A3695:B3695"/>
    <mergeCell ref="A3705:B3705"/>
    <mergeCell ref="A3726:B3726"/>
    <mergeCell ref="A3613:B3613"/>
    <mergeCell ref="A3614:B3614"/>
    <mergeCell ref="A3615:P3615"/>
    <mergeCell ref="A3616:B3616"/>
    <mergeCell ref="A3666:B3666"/>
    <mergeCell ref="A3351:B3351"/>
    <mergeCell ref="A3360:B3360"/>
    <mergeCell ref="A3361:B3361"/>
    <mergeCell ref="A3586:B3586"/>
    <mergeCell ref="A3587:B3587"/>
    <mergeCell ref="A3184:P3184"/>
    <mergeCell ref="A3342:B3342"/>
    <mergeCell ref="A3343:P3343"/>
    <mergeCell ref="A3344:B3344"/>
    <mergeCell ref="A3350:B3350"/>
    <mergeCell ref="A3056:B3056"/>
    <mergeCell ref="A3067:B3067"/>
    <mergeCell ref="A3068:B3068"/>
    <mergeCell ref="A3182:B3182"/>
    <mergeCell ref="A3183:B3183"/>
    <mergeCell ref="A3050:B3050"/>
    <mergeCell ref="A3051:B3051"/>
    <mergeCell ref="A3052:P3052"/>
    <mergeCell ref="A3053:B3053"/>
    <mergeCell ref="A3055:B3055"/>
    <mergeCell ref="A2987:B2987"/>
    <mergeCell ref="A3014:B3014"/>
    <mergeCell ref="A3015:B3015"/>
    <mergeCell ref="A3018:B3018"/>
    <mergeCell ref="A3019:B3019"/>
    <mergeCell ref="A2935:B2935"/>
    <mergeCell ref="A2936:B2936"/>
    <mergeCell ref="A2974:B2974"/>
    <mergeCell ref="A2975:B2975"/>
    <mergeCell ref="A2986:B2986"/>
    <mergeCell ref="A2910:B2910"/>
    <mergeCell ref="A2915:B2915"/>
    <mergeCell ref="A2916:B2916"/>
    <mergeCell ref="A2921:B2921"/>
    <mergeCell ref="A2922:B2922"/>
    <mergeCell ref="A2897:P2897"/>
    <mergeCell ref="A2898:B2898"/>
    <mergeCell ref="A2904:B2904"/>
    <mergeCell ref="A2905:B2905"/>
    <mergeCell ref="A2909:B2909"/>
    <mergeCell ref="A2880:B2880"/>
    <mergeCell ref="A2885:B2885"/>
    <mergeCell ref="A2886:B2886"/>
    <mergeCell ref="A2895:B2895"/>
    <mergeCell ref="A2896:B2896"/>
    <mergeCell ref="A2863:P2863"/>
    <mergeCell ref="A2864:B2864"/>
    <mergeCell ref="A2870:B2870"/>
    <mergeCell ref="A2871:B2871"/>
    <mergeCell ref="A2879:B2879"/>
    <mergeCell ref="A2605:B2605"/>
    <mergeCell ref="A2610:B2610"/>
    <mergeCell ref="A2611:B2611"/>
    <mergeCell ref="A2621:B2621"/>
    <mergeCell ref="A2622:B2622"/>
    <mergeCell ref="A2591:B2591"/>
    <mergeCell ref="A2592:B2592"/>
    <mergeCell ref="A2595:B2595"/>
    <mergeCell ref="A2596:B2596"/>
    <mergeCell ref="A2604:B2604"/>
    <mergeCell ref="A2554:B2554"/>
    <mergeCell ref="A2566:B2566"/>
    <mergeCell ref="A2567:B2567"/>
    <mergeCell ref="A2576:B2576"/>
    <mergeCell ref="A2577:B2577"/>
    <mergeCell ref="A2543:B2543"/>
    <mergeCell ref="A2544:B2544"/>
    <mergeCell ref="A2550:B2550"/>
    <mergeCell ref="A2551:B2551"/>
    <mergeCell ref="A2553:B2553"/>
    <mergeCell ref="A2512:B2512"/>
    <mergeCell ref="A2519:B2519"/>
    <mergeCell ref="A2520:B2520"/>
    <mergeCell ref="A2525:B2525"/>
    <mergeCell ref="A2526:B2526"/>
    <mergeCell ref="A2491:P2491"/>
    <mergeCell ref="A2492:B2492"/>
    <mergeCell ref="A2496:B2496"/>
    <mergeCell ref="A2497:B2497"/>
    <mergeCell ref="A2511:B2511"/>
    <mergeCell ref="A2241:B2241"/>
    <mergeCell ref="A2248:B2248"/>
    <mergeCell ref="A2260:B2260"/>
    <mergeCell ref="A2268:B2268"/>
    <mergeCell ref="A2321:P2321"/>
    <mergeCell ref="A2177:B2177"/>
    <mergeCell ref="A2184:B2184"/>
    <mergeCell ref="A2229:B2229"/>
    <mergeCell ref="A2233:B2233"/>
    <mergeCell ref="A2237:B2237"/>
    <mergeCell ref="D7:D9"/>
    <mergeCell ref="J7:J8"/>
    <mergeCell ref="A814:P814"/>
    <mergeCell ref="A513:P513"/>
    <mergeCell ref="A258:P258"/>
    <mergeCell ref="A1999:B1999"/>
    <mergeCell ref="A2037:B2037"/>
    <mergeCell ref="A2046:B2046"/>
    <mergeCell ref="A2059:P2059"/>
    <mergeCell ref="A2060:B2060"/>
    <mergeCell ref="A1965:B1965"/>
    <mergeCell ref="A1969:B1969"/>
    <mergeCell ref="A1979:P1979"/>
    <mergeCell ref="A1980:B1980"/>
    <mergeCell ref="A1985:B1985"/>
    <mergeCell ref="A1887:B1887"/>
    <mergeCell ref="A1891:B1891"/>
    <mergeCell ref="A1911:P1911"/>
    <mergeCell ref="A1912:B1912"/>
    <mergeCell ref="A1920:B1920"/>
    <mergeCell ref="A1872:B1872"/>
    <mergeCell ref="A1875:B1875"/>
    <mergeCell ref="A1878:B1878"/>
    <mergeCell ref="A1881:B1881"/>
    <mergeCell ref="B4:P4"/>
    <mergeCell ref="D5:N5"/>
    <mergeCell ref="A6:A8"/>
    <mergeCell ref="B6:B8"/>
    <mergeCell ref="C6:D6"/>
    <mergeCell ref="E6:E9"/>
    <mergeCell ref="F6:F9"/>
    <mergeCell ref="G6:G9"/>
    <mergeCell ref="H6:H8"/>
    <mergeCell ref="I6:I8"/>
    <mergeCell ref="J6:N6"/>
    <mergeCell ref="A2624:B2624"/>
    <mergeCell ref="A2632:B2632"/>
    <mergeCell ref="A2633:B2633"/>
    <mergeCell ref="A2661:B2661"/>
    <mergeCell ref="A2662:B2662"/>
    <mergeCell ref="A2683:B2683"/>
    <mergeCell ref="A1410:B1410"/>
    <mergeCell ref="A1844:B1844"/>
    <mergeCell ref="A1852:B1852"/>
    <mergeCell ref="A1861:B1861"/>
    <mergeCell ref="A1869:B1869"/>
    <mergeCell ref="A1353:P1353"/>
    <mergeCell ref="A1354:B1354"/>
    <mergeCell ref="A1366:B1366"/>
    <mergeCell ref="A1371:B1371"/>
    <mergeCell ref="A1383:B1383"/>
    <mergeCell ref="A11:P11"/>
    <mergeCell ref="A177:P177"/>
    <mergeCell ref="O6:O9"/>
    <mergeCell ref="P6:P9"/>
    <mergeCell ref="C7:C9"/>
    <mergeCell ref="B2623:P2623"/>
    <mergeCell ref="A2684:B2684"/>
    <mergeCell ref="A2686:B2686"/>
    <mergeCell ref="A2687:B2687"/>
    <mergeCell ref="A2754:B2754"/>
    <mergeCell ref="A2755:B2755"/>
    <mergeCell ref="A2766:B2766"/>
    <mergeCell ref="A2767:B2767"/>
    <mergeCell ref="A2790:B2790"/>
    <mergeCell ref="A2791:B2791"/>
    <mergeCell ref="A2795:B2795"/>
    <mergeCell ref="A2796:B2796"/>
    <mergeCell ref="A2801:B2801"/>
    <mergeCell ref="A2841:B2841"/>
    <mergeCell ref="A2842:B2842"/>
    <mergeCell ref="A2861:B2861"/>
    <mergeCell ref="A2862:B2862"/>
    <mergeCell ref="A2802:B2802"/>
    <mergeCell ref="A2804:B2804"/>
    <mergeCell ref="A2805:B2805"/>
    <mergeCell ref="A2820:B2820"/>
    <mergeCell ref="A2821:B2821"/>
    <mergeCell ref="A2825:B2825"/>
    <mergeCell ref="A2826:B2826"/>
    <mergeCell ref="A2835:B2835"/>
    <mergeCell ref="A2836:B2836"/>
  </mergeCells>
  <conditionalFormatting sqref="B1909:B1910">
    <cfRule type="duplicateValues" dxfId="121" priority="68"/>
  </conditionalFormatting>
  <conditionalFormatting sqref="B1355:B1365">
    <cfRule type="duplicateValues" dxfId="120" priority="67"/>
  </conditionalFormatting>
  <conditionalFormatting sqref="B1367:B1370">
    <cfRule type="duplicateValues" dxfId="119" priority="66"/>
  </conditionalFormatting>
  <conditionalFormatting sqref="B1372:B1382">
    <cfRule type="duplicateValues" dxfId="118" priority="65"/>
  </conditionalFormatting>
  <conditionalFormatting sqref="B1384:B1409">
    <cfRule type="duplicateValues" dxfId="117" priority="64"/>
  </conditionalFormatting>
  <conditionalFormatting sqref="B1414">
    <cfRule type="duplicateValues" dxfId="116" priority="62"/>
  </conditionalFormatting>
  <conditionalFormatting sqref="B1845:B1851">
    <cfRule type="duplicateValues" dxfId="115" priority="61"/>
  </conditionalFormatting>
  <conditionalFormatting sqref="B1853:B1860">
    <cfRule type="duplicateValues" dxfId="114" priority="60"/>
  </conditionalFormatting>
  <conditionalFormatting sqref="B1862:B1868">
    <cfRule type="duplicateValues" dxfId="113" priority="59"/>
  </conditionalFormatting>
  <conditionalFormatting sqref="B1873:B1874">
    <cfRule type="duplicateValues" dxfId="112" priority="57"/>
  </conditionalFormatting>
  <conditionalFormatting sqref="B1876:B1877">
    <cfRule type="duplicateValues" dxfId="111" priority="56"/>
  </conditionalFormatting>
  <conditionalFormatting sqref="B1879:B1880">
    <cfRule type="duplicateValues" dxfId="110" priority="55"/>
  </conditionalFormatting>
  <conditionalFormatting sqref="B1883:B1886">
    <cfRule type="duplicateValues" dxfId="109" priority="54"/>
  </conditionalFormatting>
  <conditionalFormatting sqref="B1882">
    <cfRule type="duplicateValues" dxfId="108" priority="53"/>
  </conditionalFormatting>
  <conditionalFormatting sqref="B1888:B1890">
    <cfRule type="duplicateValues" dxfId="107" priority="51"/>
  </conditionalFormatting>
  <conditionalFormatting sqref="B1892:B1908">
    <cfRule type="duplicateValues" dxfId="106" priority="50"/>
  </conditionalFormatting>
  <conditionalFormatting sqref="B1913:B1919">
    <cfRule type="duplicateValues" dxfId="105" priority="48"/>
  </conditionalFormatting>
  <conditionalFormatting sqref="B1921:B1963">
    <cfRule type="duplicateValues" dxfId="104" priority="47"/>
  </conditionalFormatting>
  <conditionalFormatting sqref="B1966:B1967">
    <cfRule type="duplicateValues" dxfId="103" priority="46"/>
  </conditionalFormatting>
  <conditionalFormatting sqref="B1971:B1976">
    <cfRule type="duplicateValues" dxfId="102" priority="45"/>
  </conditionalFormatting>
  <conditionalFormatting sqref="B1970">
    <cfRule type="duplicateValues" dxfId="101" priority="44"/>
  </conditionalFormatting>
  <conditionalFormatting sqref="B1964">
    <cfRule type="duplicateValues" dxfId="100" priority="43"/>
  </conditionalFormatting>
  <conditionalFormatting sqref="B1968">
    <cfRule type="duplicateValues" dxfId="99" priority="42"/>
  </conditionalFormatting>
  <conditionalFormatting sqref="B1977">
    <cfRule type="duplicateValues" dxfId="98" priority="41"/>
  </conditionalFormatting>
  <conditionalFormatting sqref="B1981:B1984">
    <cfRule type="duplicateValues" dxfId="97" priority="35"/>
  </conditionalFormatting>
  <conditionalFormatting sqref="B2058">
    <cfRule type="duplicateValues" dxfId="96" priority="36"/>
  </conditionalFormatting>
  <conditionalFormatting sqref="B1998">
    <cfRule type="duplicateValues" dxfId="95" priority="37"/>
  </conditionalFormatting>
  <conditionalFormatting sqref="B2036">
    <cfRule type="duplicateValues" dxfId="94" priority="38"/>
  </conditionalFormatting>
  <conditionalFormatting sqref="B2045">
    <cfRule type="duplicateValues" dxfId="93" priority="39"/>
  </conditionalFormatting>
  <conditionalFormatting sqref="B2057">
    <cfRule type="duplicateValues" dxfId="92" priority="40"/>
  </conditionalFormatting>
  <conditionalFormatting sqref="B3590:B3612 B3562:B3585 B3364:B3558 B3353:B3359 B3345:B3349 B3362 B3588">
    <cfRule type="duplicateValues" dxfId="91" priority="34"/>
  </conditionalFormatting>
  <conditionalFormatting sqref="B3352">
    <cfRule type="duplicateValues" dxfId="90" priority="33"/>
  </conditionalFormatting>
  <conditionalFormatting sqref="B3363">
    <cfRule type="duplicateValues" dxfId="89" priority="32"/>
  </conditionalFormatting>
  <conditionalFormatting sqref="B3589">
    <cfRule type="duplicateValues" dxfId="88" priority="31"/>
  </conditionalFormatting>
  <conditionalFormatting sqref="B3645 B3650:B3665 B3638 B3640:B3643 B3617:B3619 B3621:B3633">
    <cfRule type="duplicateValues" dxfId="87" priority="28"/>
  </conditionalFormatting>
  <conditionalFormatting sqref="B3620">
    <cfRule type="duplicateValues" dxfId="86" priority="27"/>
  </conditionalFormatting>
  <conditionalFormatting sqref="B3634:B3637">
    <cfRule type="duplicateValues" dxfId="85" priority="26"/>
  </conditionalFormatting>
  <conditionalFormatting sqref="B3639">
    <cfRule type="duplicateValues" dxfId="84" priority="25"/>
  </conditionalFormatting>
  <conditionalFormatting sqref="B3644">
    <cfRule type="duplicateValues" dxfId="83" priority="24"/>
  </conditionalFormatting>
  <conditionalFormatting sqref="B3646:B3649">
    <cfRule type="duplicateValues" dxfId="82" priority="23"/>
  </conditionalFormatting>
  <conditionalFormatting sqref="B3667:B3668">
    <cfRule type="duplicateValues" dxfId="81" priority="22"/>
  </conditionalFormatting>
  <conditionalFormatting sqref="B3669">
    <cfRule type="duplicateValues" dxfId="80" priority="21"/>
  </conditionalFormatting>
  <conditionalFormatting sqref="B3696:B3703">
    <cfRule type="duplicateValues" dxfId="79" priority="19"/>
  </conditionalFormatting>
  <conditionalFormatting sqref="B3729">
    <cfRule type="duplicateValues" dxfId="78" priority="17"/>
  </conditionalFormatting>
  <conditionalFormatting sqref="B3735:B3736 B3738:B3748">
    <cfRule type="duplicateValues" dxfId="77" priority="16"/>
  </conditionalFormatting>
  <conditionalFormatting sqref="B3737">
    <cfRule type="duplicateValues" dxfId="76" priority="15"/>
  </conditionalFormatting>
  <conditionalFormatting sqref="B3785:B3787 B3751:B3783">
    <cfRule type="duplicateValues" dxfId="75" priority="14"/>
  </conditionalFormatting>
  <conditionalFormatting sqref="B3784">
    <cfRule type="duplicateValues" dxfId="74" priority="13"/>
  </conditionalFormatting>
  <conditionalFormatting sqref="B3670">
    <cfRule type="duplicateValues" dxfId="73" priority="12"/>
  </conditionalFormatting>
  <conditionalFormatting sqref="B3678">
    <cfRule type="duplicateValues" dxfId="72" priority="11"/>
  </conditionalFormatting>
  <conditionalFormatting sqref="B3694">
    <cfRule type="duplicateValues" dxfId="71" priority="10"/>
  </conditionalFormatting>
  <conditionalFormatting sqref="B3704">
    <cfRule type="duplicateValues" dxfId="70" priority="9"/>
  </conditionalFormatting>
  <conditionalFormatting sqref="B3725">
    <cfRule type="duplicateValues" dxfId="69" priority="8"/>
  </conditionalFormatting>
  <conditionalFormatting sqref="B3733">
    <cfRule type="duplicateValues" dxfId="68" priority="7"/>
  </conditionalFormatting>
  <conditionalFormatting sqref="B3749">
    <cfRule type="duplicateValues" dxfId="67" priority="6"/>
  </conditionalFormatting>
  <conditionalFormatting sqref="B3788">
    <cfRule type="duplicateValues" dxfId="66" priority="5"/>
  </conditionalFormatting>
  <conditionalFormatting sqref="B3673:B3674 B3676">
    <cfRule type="duplicateValues" dxfId="65" priority="29"/>
  </conditionalFormatting>
  <conditionalFormatting sqref="B3672">
    <cfRule type="duplicateValues" dxfId="64" priority="4"/>
  </conditionalFormatting>
  <conditionalFormatting sqref="B3675">
    <cfRule type="duplicateValues" dxfId="63" priority="3"/>
  </conditionalFormatting>
  <conditionalFormatting sqref="B3677">
    <cfRule type="duplicateValues" dxfId="62" priority="2"/>
  </conditionalFormatting>
  <conditionalFormatting sqref="B1172:B1173">
    <cfRule type="duplicateValues" dxfId="61" priority="1"/>
  </conditionalFormatting>
  <conditionalFormatting sqref="B3680:B3693">
    <cfRule type="duplicateValues" dxfId="60" priority="123"/>
  </conditionalFormatting>
  <conditionalFormatting sqref="B3706:B3724">
    <cfRule type="duplicateValues" dxfId="59" priority="127"/>
  </conditionalFormatting>
  <conditionalFormatting sqref="B3730:B3732 B3727:B3728">
    <cfRule type="duplicateValues" dxfId="58" priority="131"/>
  </conditionalFormatting>
  <conditionalFormatting sqref="B1870:B1871">
    <cfRule type="duplicateValues" dxfId="57" priority="132"/>
  </conditionalFormatting>
  <conditionalFormatting sqref="B1415:B1843 B1411:B1413">
    <cfRule type="duplicateValues" dxfId="56" priority="743"/>
  </conditionalFormatting>
  <pageMargins left="0.23622047244094491" right="0.23622047244094491" top="0.74803149606299213" bottom="0.47244094488188981" header="0.31496062992125984" footer="0.31496062992125984"/>
  <pageSetup paperSize="9" scale="52" orientation="landscape" r:id="rId1"/>
  <headerFooter>
    <oddFooter>Страница &amp;P&amp;R&amp;A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828"/>
  <sheetViews>
    <sheetView tabSelected="1" view="pageBreakPreview" zoomScale="60" zoomScaleNormal="70" workbookViewId="0">
      <pane xSplit="2" ySplit="9" topLeftCell="C784" activePane="bottomRight" state="frozen"/>
      <selection activeCell="P738" sqref="P738"/>
      <selection pane="topRight" activeCell="P738" sqref="P738"/>
      <selection pane="bottomLeft" activeCell="P738" sqref="P738"/>
      <selection pane="bottomRight" activeCell="I810" sqref="I810"/>
    </sheetView>
  </sheetViews>
  <sheetFormatPr defaultColWidth="9.109375" defaultRowHeight="15.6" x14ac:dyDescent="0.3"/>
  <cols>
    <col min="1" max="1" width="5.6640625" style="149" customWidth="1"/>
    <col min="2" max="2" width="48.88671875" style="165" customWidth="1"/>
    <col min="3" max="3" width="19.88671875" style="150" customWidth="1"/>
    <col min="4" max="4" width="18" style="150" customWidth="1"/>
    <col min="5" max="5" width="18.44140625" style="150" customWidth="1"/>
    <col min="6" max="6" width="18.109375" style="150" customWidth="1"/>
    <col min="7" max="7" width="16.88671875" style="150" customWidth="1"/>
    <col min="8" max="8" width="16.5546875" style="150" customWidth="1"/>
    <col min="9" max="9" width="17.5546875" style="150" customWidth="1"/>
    <col min="10" max="10" width="7.44140625" style="347" customWidth="1"/>
    <col min="11" max="11" width="10.44140625" style="150" customWidth="1"/>
    <col min="12" max="12" width="9.88671875" style="150" customWidth="1"/>
    <col min="13" max="13" width="11.5546875" style="347" customWidth="1"/>
    <col min="14" max="14" width="18.88671875" style="150" customWidth="1"/>
    <col min="15" max="15" width="10.5546875" style="347" customWidth="1"/>
    <col min="16" max="16" width="18" style="150" customWidth="1"/>
    <col min="17" max="17" width="11.88671875" style="339" customWidth="1"/>
    <col min="18" max="18" width="16.88671875" style="150" customWidth="1"/>
    <col min="19" max="19" width="15.88671875" style="150" customWidth="1"/>
    <col min="20" max="20" width="10.6640625" style="139" customWidth="1"/>
    <col min="21" max="21" width="17" style="150" customWidth="1"/>
    <col min="22" max="22" width="18.44140625" style="150" customWidth="1"/>
    <col min="23" max="23" width="18.5546875" style="150" customWidth="1"/>
    <col min="24" max="24" width="12.44140625" style="150" hidden="1" customWidth="1"/>
    <col min="25" max="25" width="13.44140625" style="150" hidden="1" customWidth="1"/>
    <col min="26" max="26" width="12.6640625" style="150" hidden="1" customWidth="1"/>
    <col min="27" max="27" width="14.44140625" style="150" hidden="1" customWidth="1"/>
    <col min="28" max="30" width="12.44140625" style="150" hidden="1" customWidth="1"/>
    <col min="31" max="31" width="13.109375" style="150" hidden="1" customWidth="1"/>
    <col min="32" max="35" width="12.44140625" style="150" hidden="1" customWidth="1"/>
    <col min="36" max="36" width="10.6640625" style="150" hidden="1" customWidth="1"/>
    <col min="37" max="39" width="0" style="150" hidden="1" customWidth="1"/>
    <col min="40" max="40" width="9.33203125" style="150" hidden="1" customWidth="1"/>
    <col min="41" max="16384" width="9.109375" style="150"/>
  </cols>
  <sheetData>
    <row r="1" spans="1:33" x14ac:dyDescent="0.3">
      <c r="A1" s="503" t="s">
        <v>4199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185"/>
      <c r="Y1" s="185"/>
      <c r="Z1" s="185"/>
      <c r="AA1" s="185"/>
      <c r="AB1" s="56"/>
      <c r="AC1" s="56"/>
      <c r="AD1" s="56"/>
      <c r="AE1" s="56"/>
      <c r="AF1" s="56"/>
      <c r="AG1" s="56"/>
    </row>
    <row r="2" spans="1:33" x14ac:dyDescent="0.3">
      <c r="A2" s="39"/>
      <c r="B2" s="79"/>
      <c r="C2" s="41"/>
      <c r="D2" s="42"/>
      <c r="E2" s="41"/>
      <c r="F2" s="41"/>
      <c r="G2" s="41"/>
      <c r="H2" s="41"/>
      <c r="I2" s="41"/>
      <c r="J2" s="340"/>
      <c r="K2" s="42"/>
      <c r="L2" s="42"/>
      <c r="M2" s="340"/>
      <c r="N2" s="41"/>
      <c r="O2" s="340"/>
      <c r="P2" s="41"/>
      <c r="Q2" s="332"/>
      <c r="R2" s="41"/>
      <c r="S2" s="41"/>
      <c r="T2" s="27"/>
      <c r="U2" s="41"/>
      <c r="V2" s="42"/>
      <c r="W2" s="9"/>
      <c r="X2" s="9"/>
      <c r="Y2" s="9"/>
      <c r="Z2" s="40"/>
      <c r="AA2" s="56"/>
      <c r="AB2" s="56"/>
      <c r="AC2" s="56"/>
      <c r="AD2" s="489" t="s">
        <v>0</v>
      </c>
      <c r="AE2" s="489"/>
      <c r="AF2" s="489"/>
      <c r="AG2" s="56"/>
    </row>
    <row r="3" spans="1:33" ht="11.25" customHeight="1" x14ac:dyDescent="0.3">
      <c r="A3" s="280" t="s">
        <v>1</v>
      </c>
      <c r="B3" s="281" t="s">
        <v>2</v>
      </c>
      <c r="C3" s="483" t="s">
        <v>3</v>
      </c>
      <c r="D3" s="481" t="s">
        <v>4</v>
      </c>
      <c r="E3" s="482"/>
      <c r="F3" s="482"/>
      <c r="G3" s="482"/>
      <c r="H3" s="482"/>
      <c r="I3" s="482"/>
      <c r="J3" s="341"/>
      <c r="K3" s="284"/>
      <c r="L3" s="284"/>
      <c r="M3" s="341"/>
      <c r="N3" s="283"/>
      <c r="O3" s="341"/>
      <c r="P3" s="283"/>
      <c r="Q3" s="333"/>
      <c r="R3" s="283"/>
      <c r="S3" s="283"/>
      <c r="T3" s="28"/>
      <c r="U3" s="283"/>
      <c r="V3" s="284"/>
      <c r="W3" s="283"/>
      <c r="X3" s="285"/>
      <c r="Y3" s="286"/>
      <c r="Z3" s="40"/>
      <c r="AA3" s="56"/>
      <c r="AB3" s="56"/>
      <c r="AC3" s="56"/>
      <c r="AD3" s="56"/>
      <c r="AE3" s="56"/>
      <c r="AF3" s="56"/>
      <c r="AG3" s="56"/>
    </row>
    <row r="4" spans="1:33" ht="55.5" customHeight="1" x14ac:dyDescent="0.3">
      <c r="A4" s="287"/>
      <c r="B4" s="288"/>
      <c r="C4" s="484"/>
      <c r="D4" s="490" t="s">
        <v>5</v>
      </c>
      <c r="E4" s="491"/>
      <c r="F4" s="491"/>
      <c r="G4" s="491"/>
      <c r="H4" s="491"/>
      <c r="I4" s="492"/>
      <c r="J4" s="490" t="s">
        <v>6</v>
      </c>
      <c r="K4" s="491"/>
      <c r="L4" s="492"/>
      <c r="M4" s="493" t="s">
        <v>7</v>
      </c>
      <c r="N4" s="494"/>
      <c r="O4" s="493" t="s">
        <v>8</v>
      </c>
      <c r="P4" s="494"/>
      <c r="Q4" s="493" t="s">
        <v>9</v>
      </c>
      <c r="R4" s="494"/>
      <c r="S4" s="289"/>
      <c r="T4" s="493" t="s">
        <v>10</v>
      </c>
      <c r="U4" s="494"/>
      <c r="V4" s="499" t="s">
        <v>11</v>
      </c>
      <c r="W4" s="483" t="s">
        <v>12</v>
      </c>
      <c r="X4" s="187"/>
      <c r="Y4" s="187"/>
      <c r="Z4" s="187"/>
      <c r="AA4" s="187"/>
      <c r="AB4" s="187"/>
      <c r="AC4" s="187"/>
      <c r="AD4" s="502" t="s">
        <v>13</v>
      </c>
      <c r="AE4" s="502" t="s">
        <v>14</v>
      </c>
      <c r="AF4" s="502" t="s">
        <v>15</v>
      </c>
      <c r="AG4" s="56"/>
    </row>
    <row r="5" spans="1:33" ht="15" customHeight="1" x14ac:dyDescent="0.3">
      <c r="A5" s="287"/>
      <c r="B5" s="288"/>
      <c r="C5" s="484"/>
      <c r="D5" s="499" t="s">
        <v>16</v>
      </c>
      <c r="E5" s="483" t="s">
        <v>17</v>
      </c>
      <c r="F5" s="483" t="s">
        <v>18</v>
      </c>
      <c r="G5" s="483" t="s">
        <v>19</v>
      </c>
      <c r="H5" s="483" t="s">
        <v>20</v>
      </c>
      <c r="I5" s="483" t="s">
        <v>21</v>
      </c>
      <c r="J5" s="507"/>
      <c r="K5" s="499" t="s">
        <v>22</v>
      </c>
      <c r="L5" s="499" t="s">
        <v>23</v>
      </c>
      <c r="M5" s="495"/>
      <c r="N5" s="496"/>
      <c r="O5" s="495"/>
      <c r="P5" s="496"/>
      <c r="Q5" s="495"/>
      <c r="R5" s="496"/>
      <c r="S5" s="290"/>
      <c r="T5" s="495"/>
      <c r="U5" s="496"/>
      <c r="V5" s="500"/>
      <c r="W5" s="484"/>
      <c r="X5" s="187"/>
      <c r="Y5" s="187"/>
      <c r="Z5" s="187"/>
      <c r="AA5" s="187"/>
      <c r="AB5" s="187"/>
      <c r="AC5" s="187"/>
      <c r="AD5" s="502"/>
      <c r="AE5" s="502"/>
      <c r="AF5" s="502"/>
      <c r="AG5" s="56"/>
    </row>
    <row r="6" spans="1:33" x14ac:dyDescent="0.3">
      <c r="A6" s="287"/>
      <c r="B6" s="288"/>
      <c r="C6" s="484"/>
      <c r="D6" s="500"/>
      <c r="E6" s="484"/>
      <c r="F6" s="484"/>
      <c r="G6" s="484"/>
      <c r="H6" s="484"/>
      <c r="I6" s="484"/>
      <c r="J6" s="508"/>
      <c r="K6" s="500"/>
      <c r="L6" s="500"/>
      <c r="M6" s="495"/>
      <c r="N6" s="496"/>
      <c r="O6" s="495"/>
      <c r="P6" s="496"/>
      <c r="Q6" s="495"/>
      <c r="R6" s="496"/>
      <c r="S6" s="290" t="s">
        <v>24</v>
      </c>
      <c r="T6" s="495"/>
      <c r="U6" s="496"/>
      <c r="V6" s="500"/>
      <c r="W6" s="484"/>
      <c r="X6" s="187" t="s">
        <v>25</v>
      </c>
      <c r="Y6" s="187" t="s">
        <v>26</v>
      </c>
      <c r="Z6" s="187" t="s">
        <v>27</v>
      </c>
      <c r="AA6" s="187" t="s">
        <v>28</v>
      </c>
      <c r="AB6" s="187" t="s">
        <v>29</v>
      </c>
      <c r="AC6" s="187"/>
      <c r="AD6" s="502"/>
      <c r="AE6" s="502"/>
      <c r="AF6" s="502"/>
      <c r="AG6" s="56"/>
    </row>
    <row r="7" spans="1:33" ht="54" customHeight="1" x14ac:dyDescent="0.3">
      <c r="A7" s="291"/>
      <c r="B7" s="292"/>
      <c r="C7" s="183"/>
      <c r="D7" s="501"/>
      <c r="E7" s="485"/>
      <c r="F7" s="485"/>
      <c r="G7" s="485"/>
      <c r="H7" s="485"/>
      <c r="I7" s="485"/>
      <c r="J7" s="509"/>
      <c r="K7" s="501"/>
      <c r="L7" s="501"/>
      <c r="M7" s="497"/>
      <c r="N7" s="498"/>
      <c r="O7" s="497"/>
      <c r="P7" s="498"/>
      <c r="Q7" s="497"/>
      <c r="R7" s="498"/>
      <c r="S7" s="293"/>
      <c r="T7" s="497"/>
      <c r="U7" s="498"/>
      <c r="V7" s="501"/>
      <c r="W7" s="485"/>
      <c r="X7" s="187"/>
      <c r="Y7" s="187"/>
      <c r="Z7" s="187"/>
      <c r="AA7" s="187"/>
      <c r="AB7" s="187"/>
      <c r="AC7" s="187"/>
      <c r="AD7" s="502"/>
      <c r="AE7" s="502"/>
      <c r="AF7" s="502"/>
      <c r="AG7" s="56"/>
    </row>
    <row r="8" spans="1:33" x14ac:dyDescent="0.3">
      <c r="A8" s="294"/>
      <c r="B8" s="44"/>
      <c r="C8" s="187" t="s">
        <v>30</v>
      </c>
      <c r="D8" s="186" t="s">
        <v>30</v>
      </c>
      <c r="E8" s="187" t="s">
        <v>30</v>
      </c>
      <c r="F8" s="187" t="s">
        <v>30</v>
      </c>
      <c r="G8" s="187" t="s">
        <v>30</v>
      </c>
      <c r="H8" s="187" t="s">
        <v>30</v>
      </c>
      <c r="I8" s="187" t="s">
        <v>30</v>
      </c>
      <c r="J8" s="342" t="s">
        <v>31</v>
      </c>
      <c r="K8" s="186" t="s">
        <v>30</v>
      </c>
      <c r="L8" s="186" t="s">
        <v>30</v>
      </c>
      <c r="M8" s="342" t="s">
        <v>32</v>
      </c>
      <c r="N8" s="187" t="s">
        <v>30</v>
      </c>
      <c r="O8" s="342" t="s">
        <v>32</v>
      </c>
      <c r="P8" s="187" t="s">
        <v>30</v>
      </c>
      <c r="Q8" s="334" t="s">
        <v>32</v>
      </c>
      <c r="R8" s="187" t="s">
        <v>30</v>
      </c>
      <c r="S8" s="187"/>
      <c r="T8" s="30" t="s">
        <v>33</v>
      </c>
      <c r="U8" s="187" t="s">
        <v>30</v>
      </c>
      <c r="V8" s="186" t="s">
        <v>30</v>
      </c>
      <c r="W8" s="187"/>
      <c r="X8" s="187"/>
      <c r="Y8" s="187"/>
      <c r="Z8" s="187"/>
      <c r="AA8" s="187"/>
      <c r="AB8" s="187"/>
      <c r="AC8" s="187"/>
      <c r="AD8" s="502"/>
      <c r="AE8" s="502"/>
      <c r="AF8" s="502"/>
      <c r="AG8" s="7"/>
    </row>
    <row r="9" spans="1:33" ht="15.75" x14ac:dyDescent="0.25">
      <c r="A9" s="45">
        <v>1</v>
      </c>
      <c r="B9" s="146">
        <v>2</v>
      </c>
      <c r="C9" s="47">
        <v>3</v>
      </c>
      <c r="D9" s="47">
        <v>4</v>
      </c>
      <c r="E9" s="48">
        <v>5</v>
      </c>
      <c r="F9" s="48">
        <v>6</v>
      </c>
      <c r="G9" s="48">
        <v>7</v>
      </c>
      <c r="H9" s="48">
        <v>8</v>
      </c>
      <c r="I9" s="48">
        <v>9</v>
      </c>
      <c r="J9" s="130">
        <v>10</v>
      </c>
      <c r="K9" s="47">
        <v>11</v>
      </c>
      <c r="L9" s="47">
        <v>12</v>
      </c>
      <c r="M9" s="130">
        <v>13</v>
      </c>
      <c r="N9" s="47">
        <v>14</v>
      </c>
      <c r="O9" s="130">
        <v>15</v>
      </c>
      <c r="P9" s="48">
        <v>16</v>
      </c>
      <c r="Q9" s="335">
        <v>17</v>
      </c>
      <c r="R9" s="47">
        <v>18</v>
      </c>
      <c r="S9" s="47">
        <v>19</v>
      </c>
      <c r="T9" s="32">
        <v>20</v>
      </c>
      <c r="U9" s="48">
        <v>21</v>
      </c>
      <c r="V9" s="47">
        <v>24</v>
      </c>
      <c r="W9" s="46">
        <v>25</v>
      </c>
      <c r="X9" s="295"/>
      <c r="Y9" s="296"/>
      <c r="Z9" s="296"/>
      <c r="AA9" s="297"/>
      <c r="AB9" s="6"/>
      <c r="AC9" s="6"/>
      <c r="AD9" s="6"/>
      <c r="AE9" s="6"/>
      <c r="AF9" s="6"/>
      <c r="AG9" s="6"/>
    </row>
    <row r="10" spans="1:33" x14ac:dyDescent="0.3">
      <c r="A10" s="176" t="s">
        <v>34</v>
      </c>
      <c r="B10" s="147"/>
      <c r="C10" s="387"/>
      <c r="D10" s="387"/>
      <c r="E10" s="387"/>
      <c r="F10" s="387"/>
      <c r="G10" s="387"/>
      <c r="H10" s="387"/>
      <c r="I10" s="387"/>
      <c r="J10" s="388"/>
      <c r="K10" s="387"/>
      <c r="L10" s="387"/>
      <c r="M10" s="388"/>
      <c r="N10" s="387"/>
      <c r="O10" s="388"/>
      <c r="P10" s="387"/>
      <c r="Q10" s="389"/>
      <c r="R10" s="387"/>
      <c r="S10" s="387"/>
      <c r="T10" s="390"/>
      <c r="U10" s="387"/>
      <c r="V10" s="387"/>
      <c r="W10" s="387"/>
      <c r="X10" s="486"/>
      <c r="Y10" s="298"/>
      <c r="Z10" s="298"/>
      <c r="AA10" s="298"/>
      <c r="AB10" s="56"/>
      <c r="AC10" s="56"/>
      <c r="AD10" s="56"/>
      <c r="AE10" s="56"/>
      <c r="AF10" s="56"/>
      <c r="AG10" s="56"/>
    </row>
    <row r="11" spans="1:33" x14ac:dyDescent="0.3">
      <c r="A11" s="176" t="s">
        <v>35</v>
      </c>
      <c r="B11" s="147"/>
      <c r="C11" s="387"/>
      <c r="D11" s="49"/>
      <c r="E11" s="49"/>
      <c r="F11" s="49"/>
      <c r="G11" s="49"/>
      <c r="H11" s="49"/>
      <c r="I11" s="49"/>
      <c r="J11" s="343"/>
      <c r="K11" s="49"/>
      <c r="L11" s="49"/>
      <c r="M11" s="343"/>
      <c r="N11" s="49"/>
      <c r="O11" s="343"/>
      <c r="P11" s="49"/>
      <c r="Q11" s="337"/>
      <c r="R11" s="49"/>
      <c r="S11" s="49"/>
      <c r="T11" s="33"/>
      <c r="U11" s="49"/>
      <c r="V11" s="49"/>
      <c r="W11" s="49"/>
      <c r="X11" s="486"/>
      <c r="Y11" s="299"/>
      <c r="Z11" s="300"/>
      <c r="AA11" s="301"/>
      <c r="AB11" s="302"/>
      <c r="AC11" s="56"/>
      <c r="AD11" s="56"/>
      <c r="AE11" s="56"/>
      <c r="AF11" s="56"/>
      <c r="AG11" s="56"/>
    </row>
    <row r="12" spans="1:33" ht="19.5" customHeight="1" x14ac:dyDescent="0.3">
      <c r="A12" s="177">
        <v>1</v>
      </c>
      <c r="B12" s="66" t="s">
        <v>38</v>
      </c>
      <c r="C12" s="51">
        <f t="shared" ref="C12:C46" si="0">D12+K12+L12+N12+P12+R12+S12+U12+V12+W12</f>
        <v>1219795.2</v>
      </c>
      <c r="D12" s="51">
        <f t="shared" ref="D12:D46" si="1">E12+F12+G12+H12+I12</f>
        <v>1219795.2</v>
      </c>
      <c r="E12" s="51">
        <v>1219795.2</v>
      </c>
      <c r="F12" s="51"/>
      <c r="G12" s="51"/>
      <c r="H12" s="51"/>
      <c r="I12" s="51"/>
      <c r="J12" s="82"/>
      <c r="K12" s="51"/>
      <c r="L12" s="51"/>
      <c r="M12" s="82"/>
      <c r="N12" s="51"/>
      <c r="O12" s="82"/>
      <c r="P12" s="51"/>
      <c r="Q12" s="338"/>
      <c r="R12" s="51"/>
      <c r="S12" s="51"/>
      <c r="T12" s="35"/>
      <c r="U12" s="51"/>
      <c r="V12" s="51"/>
      <c r="W12" s="364"/>
      <c r="X12" s="285"/>
      <c r="Y12" s="285"/>
      <c r="Z12" s="285">
        <v>122608.24</v>
      </c>
      <c r="AA12" s="285"/>
      <c r="AB12" s="285"/>
      <c r="AC12" s="285"/>
      <c r="AD12" s="9"/>
      <c r="AE12" s="40"/>
      <c r="AF12" s="56">
        <v>472851.19</v>
      </c>
      <c r="AG12" s="56"/>
    </row>
    <row r="13" spans="1:33" ht="19.5" customHeight="1" x14ac:dyDescent="0.3">
      <c r="A13" s="177">
        <f t="shared" ref="A13:A46" si="2">A12+1</f>
        <v>2</v>
      </c>
      <c r="B13" s="66" t="s">
        <v>40</v>
      </c>
      <c r="C13" s="51">
        <f t="shared" si="0"/>
        <v>892738.8</v>
      </c>
      <c r="D13" s="51">
        <f t="shared" si="1"/>
        <v>892738.8</v>
      </c>
      <c r="E13" s="51">
        <v>892738.8</v>
      </c>
      <c r="F13" s="51"/>
      <c r="G13" s="51"/>
      <c r="H13" s="51"/>
      <c r="I13" s="51"/>
      <c r="J13" s="82"/>
      <c r="K13" s="51"/>
      <c r="L13" s="51"/>
      <c r="M13" s="82"/>
      <c r="N13" s="51"/>
      <c r="O13" s="82"/>
      <c r="P13" s="51"/>
      <c r="Q13" s="338"/>
      <c r="R13" s="51"/>
      <c r="S13" s="51"/>
      <c r="T13" s="35"/>
      <c r="U13" s="51"/>
      <c r="V13" s="51"/>
      <c r="W13" s="364"/>
      <c r="X13" s="285"/>
      <c r="Y13" s="285">
        <v>107501.65</v>
      </c>
      <c r="Z13" s="285">
        <v>123182.98</v>
      </c>
      <c r="AA13" s="285"/>
      <c r="AB13" s="285"/>
      <c r="AC13" s="285"/>
      <c r="AD13" s="9">
        <v>247433.69</v>
      </c>
      <c r="AE13" s="40"/>
      <c r="AF13" s="56">
        <v>474792.86</v>
      </c>
      <c r="AG13" s="56"/>
    </row>
    <row r="14" spans="1:33" ht="19.5" customHeight="1" x14ac:dyDescent="0.3">
      <c r="A14" s="177">
        <f t="shared" si="2"/>
        <v>3</v>
      </c>
      <c r="B14" s="66" t="s">
        <v>43</v>
      </c>
      <c r="C14" s="51">
        <f t="shared" si="0"/>
        <v>7579606.75</v>
      </c>
      <c r="D14" s="51">
        <f t="shared" si="1"/>
        <v>7579606.75</v>
      </c>
      <c r="E14" s="51">
        <v>2274447.6</v>
      </c>
      <c r="F14" s="51">
        <v>3592425.43</v>
      </c>
      <c r="G14" s="51">
        <v>455033.28</v>
      </c>
      <c r="H14" s="51">
        <v>1257700.44</v>
      </c>
      <c r="I14" s="51"/>
      <c r="J14" s="82"/>
      <c r="K14" s="51"/>
      <c r="L14" s="51"/>
      <c r="M14" s="82"/>
      <c r="N14" s="51"/>
      <c r="O14" s="82"/>
      <c r="P14" s="51"/>
      <c r="Q14" s="338"/>
      <c r="R14" s="51"/>
      <c r="S14" s="51"/>
      <c r="T14" s="35"/>
      <c r="U14" s="51"/>
      <c r="V14" s="51"/>
      <c r="W14" s="364"/>
      <c r="X14" s="285">
        <v>225508.2</v>
      </c>
      <c r="Y14" s="285"/>
      <c r="Z14" s="285"/>
      <c r="AA14" s="285"/>
      <c r="AB14" s="285"/>
      <c r="AC14" s="285"/>
      <c r="AD14" s="9"/>
      <c r="AE14" s="40"/>
      <c r="AF14" s="56"/>
      <c r="AG14" s="56">
        <v>402039.65</v>
      </c>
    </row>
    <row r="15" spans="1:33" ht="19.5" customHeight="1" x14ac:dyDescent="0.3">
      <c r="A15" s="177">
        <f t="shared" si="2"/>
        <v>4</v>
      </c>
      <c r="B15" s="66" t="s">
        <v>44</v>
      </c>
      <c r="C15" s="51">
        <f t="shared" si="0"/>
        <v>6713952.0600000005</v>
      </c>
      <c r="D15" s="51">
        <f t="shared" si="1"/>
        <v>6713952.0600000005</v>
      </c>
      <c r="E15" s="51">
        <v>3285661.2</v>
      </c>
      <c r="F15" s="51"/>
      <c r="G15" s="51">
        <v>946587.96</v>
      </c>
      <c r="H15" s="51">
        <v>2481702.9</v>
      </c>
      <c r="I15" s="51"/>
      <c r="J15" s="82"/>
      <c r="K15" s="51"/>
      <c r="L15" s="51"/>
      <c r="M15" s="82"/>
      <c r="N15" s="51"/>
      <c r="O15" s="82"/>
      <c r="P15" s="51"/>
      <c r="Q15" s="338"/>
      <c r="R15" s="51"/>
      <c r="S15" s="51"/>
      <c r="T15" s="35"/>
      <c r="U15" s="51"/>
      <c r="V15" s="51"/>
      <c r="W15" s="364"/>
      <c r="X15" s="285"/>
      <c r="Y15" s="285"/>
      <c r="Z15" s="285"/>
      <c r="AA15" s="285"/>
      <c r="AB15" s="285"/>
      <c r="AC15" s="285"/>
      <c r="AD15" s="9"/>
      <c r="AE15" s="40"/>
      <c r="AF15" s="56"/>
      <c r="AG15" s="56"/>
    </row>
    <row r="16" spans="1:33" ht="19.5" customHeight="1" x14ac:dyDescent="0.3">
      <c r="A16" s="177">
        <f t="shared" si="2"/>
        <v>5</v>
      </c>
      <c r="B16" s="66" t="s">
        <v>45</v>
      </c>
      <c r="C16" s="51">
        <f t="shared" si="0"/>
        <v>2176677.6</v>
      </c>
      <c r="D16" s="51">
        <f t="shared" si="1"/>
        <v>2176677.6</v>
      </c>
      <c r="E16" s="51">
        <v>2176677.6</v>
      </c>
      <c r="F16" s="51"/>
      <c r="G16" s="51"/>
      <c r="H16" s="51"/>
      <c r="I16" s="51"/>
      <c r="J16" s="82"/>
      <c r="K16" s="51"/>
      <c r="L16" s="51"/>
      <c r="M16" s="82"/>
      <c r="N16" s="51"/>
      <c r="O16" s="82"/>
      <c r="P16" s="51"/>
      <c r="Q16" s="338"/>
      <c r="R16" s="51"/>
      <c r="S16" s="51"/>
      <c r="T16" s="35"/>
      <c r="U16" s="51"/>
      <c r="V16" s="51"/>
      <c r="W16" s="364"/>
      <c r="X16" s="285"/>
      <c r="Y16" s="285">
        <v>146702.78</v>
      </c>
      <c r="Z16" s="285"/>
      <c r="AA16" s="285">
        <v>220574.47</v>
      </c>
      <c r="AB16" s="285"/>
      <c r="AC16" s="285"/>
      <c r="AD16" s="9"/>
      <c r="AE16" s="40"/>
      <c r="AF16" s="56">
        <v>226227.02</v>
      </c>
      <c r="AG16" s="56"/>
    </row>
    <row r="17" spans="1:33" ht="19.5" customHeight="1" x14ac:dyDescent="0.3">
      <c r="A17" s="177">
        <f t="shared" si="2"/>
        <v>6</v>
      </c>
      <c r="B17" s="66" t="s">
        <v>48</v>
      </c>
      <c r="C17" s="51">
        <f t="shared" si="0"/>
        <v>1691902.8</v>
      </c>
      <c r="D17" s="51">
        <f t="shared" si="1"/>
        <v>1691902.8</v>
      </c>
      <c r="E17" s="51">
        <v>1691902.8</v>
      </c>
      <c r="F17" s="51"/>
      <c r="G17" s="51"/>
      <c r="H17" s="51"/>
      <c r="I17" s="51"/>
      <c r="J17" s="82"/>
      <c r="K17" s="51"/>
      <c r="L17" s="51"/>
      <c r="M17" s="82"/>
      <c r="N17" s="51"/>
      <c r="O17" s="82"/>
      <c r="P17" s="51"/>
      <c r="Q17" s="338"/>
      <c r="R17" s="51"/>
      <c r="S17" s="51"/>
      <c r="T17" s="35"/>
      <c r="U17" s="51"/>
      <c r="V17" s="51"/>
      <c r="W17" s="364"/>
      <c r="X17" s="285"/>
      <c r="Y17" s="285">
        <v>289217.69</v>
      </c>
      <c r="Z17" s="285">
        <v>270185.76</v>
      </c>
      <c r="AA17" s="285"/>
      <c r="AB17" s="285"/>
      <c r="AC17" s="285"/>
      <c r="AD17" s="9"/>
      <c r="AE17" s="40"/>
      <c r="AF17" s="56"/>
      <c r="AG17" s="56"/>
    </row>
    <row r="18" spans="1:33" ht="19.5" customHeight="1" x14ac:dyDescent="0.3">
      <c r="A18" s="177">
        <f t="shared" si="2"/>
        <v>7</v>
      </c>
      <c r="B18" s="66" t="s">
        <v>51</v>
      </c>
      <c r="C18" s="51">
        <f t="shared" si="0"/>
        <v>1060922.3999999999</v>
      </c>
      <c r="D18" s="51">
        <f t="shared" si="1"/>
        <v>1060922.3999999999</v>
      </c>
      <c r="E18" s="51">
        <v>1060922.3999999999</v>
      </c>
      <c r="F18" s="51"/>
      <c r="G18" s="51"/>
      <c r="H18" s="51"/>
      <c r="I18" s="51"/>
      <c r="J18" s="82"/>
      <c r="K18" s="51"/>
      <c r="L18" s="51"/>
      <c r="M18" s="82"/>
      <c r="N18" s="51"/>
      <c r="O18" s="82"/>
      <c r="P18" s="51"/>
      <c r="Q18" s="338"/>
      <c r="R18" s="51"/>
      <c r="S18" s="51"/>
      <c r="T18" s="35"/>
      <c r="U18" s="51"/>
      <c r="V18" s="51"/>
      <c r="W18" s="364"/>
      <c r="X18" s="285"/>
      <c r="Y18" s="285"/>
      <c r="Z18" s="285"/>
      <c r="AA18" s="285">
        <v>128571.41</v>
      </c>
      <c r="AB18" s="285"/>
      <c r="AC18" s="285"/>
      <c r="AD18" s="9"/>
      <c r="AE18" s="40"/>
      <c r="AF18" s="56"/>
      <c r="AG18" s="56"/>
    </row>
    <row r="19" spans="1:33" ht="19.5" customHeight="1" x14ac:dyDescent="0.3">
      <c r="A19" s="177">
        <f t="shared" si="2"/>
        <v>8</v>
      </c>
      <c r="B19" s="66" t="s">
        <v>52</v>
      </c>
      <c r="C19" s="51">
        <f t="shared" si="0"/>
        <v>1599806.4</v>
      </c>
      <c r="D19" s="51">
        <f t="shared" si="1"/>
        <v>1599806.4</v>
      </c>
      <c r="E19" s="51">
        <v>1599806.4</v>
      </c>
      <c r="F19" s="51"/>
      <c r="G19" s="51"/>
      <c r="H19" s="51"/>
      <c r="I19" s="51"/>
      <c r="J19" s="82"/>
      <c r="K19" s="51"/>
      <c r="L19" s="51"/>
      <c r="M19" s="82"/>
      <c r="N19" s="51"/>
      <c r="O19" s="82"/>
      <c r="P19" s="51"/>
      <c r="Q19" s="338"/>
      <c r="R19" s="51"/>
      <c r="S19" s="51"/>
      <c r="T19" s="35"/>
      <c r="U19" s="51"/>
      <c r="V19" s="51"/>
      <c r="W19" s="364"/>
      <c r="X19" s="285"/>
      <c r="Y19" s="285">
        <v>142335.74</v>
      </c>
      <c r="Z19" s="285"/>
      <c r="AA19" s="285"/>
      <c r="AB19" s="285"/>
      <c r="AC19" s="285"/>
      <c r="AD19" s="9"/>
      <c r="AE19" s="40"/>
      <c r="AF19" s="56"/>
      <c r="AG19" s="56"/>
    </row>
    <row r="20" spans="1:33" ht="19.5" customHeight="1" x14ac:dyDescent="0.3">
      <c r="A20" s="177">
        <f t="shared" si="2"/>
        <v>9</v>
      </c>
      <c r="B20" s="66" t="s">
        <v>54</v>
      </c>
      <c r="C20" s="51">
        <f t="shared" si="0"/>
        <v>1114810.8</v>
      </c>
      <c r="D20" s="51">
        <f t="shared" si="1"/>
        <v>1114810.8</v>
      </c>
      <c r="E20" s="51">
        <v>1114810.8</v>
      </c>
      <c r="F20" s="51"/>
      <c r="G20" s="51"/>
      <c r="H20" s="51"/>
      <c r="I20" s="51"/>
      <c r="J20" s="82"/>
      <c r="K20" s="51"/>
      <c r="L20" s="51"/>
      <c r="M20" s="82"/>
      <c r="N20" s="51"/>
      <c r="O20" s="82"/>
      <c r="P20" s="51"/>
      <c r="Q20" s="338"/>
      <c r="R20" s="51"/>
      <c r="S20" s="51"/>
      <c r="T20" s="35"/>
      <c r="U20" s="51"/>
      <c r="V20" s="51"/>
      <c r="W20" s="364"/>
      <c r="X20" s="285"/>
      <c r="Y20" s="285">
        <v>73709.81</v>
      </c>
      <c r="Z20" s="285">
        <v>97204.92</v>
      </c>
      <c r="AA20" s="285"/>
      <c r="AB20" s="285"/>
      <c r="AC20" s="285"/>
      <c r="AD20" s="9"/>
      <c r="AE20" s="40"/>
      <c r="AF20" s="56"/>
      <c r="AG20" s="56"/>
    </row>
    <row r="21" spans="1:33" ht="19.5" customHeight="1" x14ac:dyDescent="0.3">
      <c r="A21" s="177">
        <f t="shared" si="2"/>
        <v>10</v>
      </c>
      <c r="B21" s="66" t="s">
        <v>56</v>
      </c>
      <c r="C21" s="51">
        <f t="shared" si="0"/>
        <v>3212533.48</v>
      </c>
      <c r="D21" s="51">
        <f t="shared" si="1"/>
        <v>3212533.48</v>
      </c>
      <c r="E21" s="51">
        <v>3212533.48</v>
      </c>
      <c r="F21" s="51"/>
      <c r="G21" s="51"/>
      <c r="H21" s="51"/>
      <c r="I21" s="51"/>
      <c r="J21" s="82"/>
      <c r="K21" s="51"/>
      <c r="L21" s="51"/>
      <c r="M21" s="82"/>
      <c r="N21" s="51"/>
      <c r="O21" s="82"/>
      <c r="P21" s="51"/>
      <c r="Q21" s="338"/>
      <c r="R21" s="51"/>
      <c r="S21" s="51"/>
      <c r="T21" s="35"/>
      <c r="U21" s="51"/>
      <c r="V21" s="51"/>
      <c r="W21" s="364"/>
      <c r="X21" s="285"/>
      <c r="Y21" s="285">
        <v>110630.2</v>
      </c>
      <c r="Z21" s="285">
        <v>129598.84</v>
      </c>
      <c r="AA21" s="285"/>
      <c r="AB21" s="285"/>
      <c r="AC21" s="285"/>
      <c r="AD21" s="9"/>
      <c r="AE21" s="40"/>
      <c r="AF21" s="56">
        <v>655368.26</v>
      </c>
      <c r="AG21" s="56"/>
    </row>
    <row r="22" spans="1:33" ht="19.5" customHeight="1" x14ac:dyDescent="0.3">
      <c r="A22" s="177">
        <f t="shared" si="2"/>
        <v>11</v>
      </c>
      <c r="B22" s="66" t="s">
        <v>57</v>
      </c>
      <c r="C22" s="51">
        <f t="shared" si="0"/>
        <v>1439947.2</v>
      </c>
      <c r="D22" s="51">
        <f t="shared" si="1"/>
        <v>1439947.2</v>
      </c>
      <c r="E22" s="51">
        <v>1439947.2</v>
      </c>
      <c r="F22" s="51"/>
      <c r="G22" s="51"/>
      <c r="H22" s="51"/>
      <c r="I22" s="51"/>
      <c r="J22" s="82"/>
      <c r="K22" s="51"/>
      <c r="L22" s="51"/>
      <c r="M22" s="82"/>
      <c r="N22" s="51"/>
      <c r="O22" s="82"/>
      <c r="P22" s="51"/>
      <c r="Q22" s="338"/>
      <c r="R22" s="51"/>
      <c r="S22" s="51"/>
      <c r="T22" s="35"/>
      <c r="U22" s="51"/>
      <c r="V22" s="51"/>
      <c r="W22" s="364"/>
      <c r="X22" s="285"/>
      <c r="Y22" s="285"/>
      <c r="Z22" s="285">
        <v>173320.84</v>
      </c>
      <c r="AA22" s="285"/>
      <c r="AB22" s="285"/>
      <c r="AC22" s="285"/>
      <c r="AD22" s="9"/>
      <c r="AE22" s="40"/>
      <c r="AF22" s="56">
        <v>868175.4</v>
      </c>
      <c r="AG22" s="56"/>
    </row>
    <row r="23" spans="1:33" ht="19.5" customHeight="1" x14ac:dyDescent="0.3">
      <c r="A23" s="177">
        <f t="shared" si="2"/>
        <v>12</v>
      </c>
      <c r="B23" s="66" t="s">
        <v>59</v>
      </c>
      <c r="C23" s="51">
        <f t="shared" si="0"/>
        <v>858954</v>
      </c>
      <c r="D23" s="51">
        <f t="shared" si="1"/>
        <v>858954</v>
      </c>
      <c r="E23" s="51">
        <v>858954</v>
      </c>
      <c r="F23" s="51"/>
      <c r="G23" s="51"/>
      <c r="H23" s="51"/>
      <c r="I23" s="51"/>
      <c r="J23" s="82"/>
      <c r="K23" s="51"/>
      <c r="L23" s="51"/>
      <c r="M23" s="82"/>
      <c r="N23" s="51"/>
      <c r="O23" s="82"/>
      <c r="P23" s="51"/>
      <c r="Q23" s="338"/>
      <c r="R23" s="51"/>
      <c r="S23" s="51"/>
      <c r="T23" s="35"/>
      <c r="U23" s="51"/>
      <c r="V23" s="51"/>
      <c r="W23" s="364"/>
      <c r="X23" s="285"/>
      <c r="Y23" s="285"/>
      <c r="Z23" s="285">
        <v>113984.56</v>
      </c>
      <c r="AA23" s="285"/>
      <c r="AB23" s="285"/>
      <c r="AC23" s="285"/>
      <c r="AD23" s="9"/>
      <c r="AE23" s="40"/>
      <c r="AF23" s="56"/>
      <c r="AG23" s="56"/>
    </row>
    <row r="24" spans="1:33" ht="19.5" customHeight="1" x14ac:dyDescent="0.3">
      <c r="A24" s="177">
        <f t="shared" si="2"/>
        <v>13</v>
      </c>
      <c r="B24" s="66" t="s">
        <v>73</v>
      </c>
      <c r="C24" s="51">
        <f t="shared" si="0"/>
        <v>1064914.8</v>
      </c>
      <c r="D24" s="51">
        <f t="shared" si="1"/>
        <v>1064914.8</v>
      </c>
      <c r="E24" s="51">
        <v>1064914.8</v>
      </c>
      <c r="F24" s="51"/>
      <c r="G24" s="51"/>
      <c r="H24" s="51"/>
      <c r="I24" s="51"/>
      <c r="J24" s="82"/>
      <c r="K24" s="51"/>
      <c r="L24" s="51"/>
      <c r="M24" s="82"/>
      <c r="N24" s="51"/>
      <c r="O24" s="82"/>
      <c r="P24" s="51"/>
      <c r="Q24" s="338"/>
      <c r="R24" s="51"/>
      <c r="S24" s="51"/>
      <c r="T24" s="35"/>
      <c r="U24" s="51"/>
      <c r="V24" s="51"/>
      <c r="W24" s="364"/>
      <c r="X24" s="285"/>
      <c r="Y24" s="285"/>
      <c r="Z24" s="285">
        <v>130261.27</v>
      </c>
      <c r="AA24" s="285"/>
      <c r="AB24" s="285"/>
      <c r="AC24" s="285"/>
      <c r="AD24" s="9">
        <v>250920</v>
      </c>
      <c r="AE24" s="40"/>
      <c r="AF24" s="56"/>
      <c r="AG24" s="56"/>
    </row>
    <row r="25" spans="1:33" ht="19.5" customHeight="1" x14ac:dyDescent="0.3">
      <c r="A25" s="177">
        <f t="shared" si="2"/>
        <v>14</v>
      </c>
      <c r="B25" s="66" t="s">
        <v>74</v>
      </c>
      <c r="C25" s="51">
        <f t="shared" si="0"/>
        <v>1071628.8</v>
      </c>
      <c r="D25" s="51">
        <f t="shared" si="1"/>
        <v>1071628.8</v>
      </c>
      <c r="E25" s="51">
        <v>1071628.8</v>
      </c>
      <c r="F25" s="51"/>
      <c r="G25" s="51"/>
      <c r="H25" s="51"/>
      <c r="I25" s="51"/>
      <c r="J25" s="82"/>
      <c r="K25" s="51"/>
      <c r="L25" s="51"/>
      <c r="M25" s="82"/>
      <c r="N25" s="51"/>
      <c r="O25" s="82"/>
      <c r="P25" s="51"/>
      <c r="Q25" s="338"/>
      <c r="R25" s="51"/>
      <c r="S25" s="51"/>
      <c r="T25" s="35"/>
      <c r="U25" s="51"/>
      <c r="V25" s="51"/>
      <c r="W25" s="364"/>
      <c r="X25" s="285"/>
      <c r="Y25" s="285"/>
      <c r="Z25" s="285">
        <v>132005.21</v>
      </c>
      <c r="AA25" s="285"/>
      <c r="AB25" s="285"/>
      <c r="AC25" s="285"/>
      <c r="AD25" s="9">
        <v>254200.85</v>
      </c>
      <c r="AE25" s="40"/>
      <c r="AF25" s="56"/>
      <c r="AG25" s="56"/>
    </row>
    <row r="26" spans="1:33" ht="19.5" customHeight="1" x14ac:dyDescent="0.3">
      <c r="A26" s="177">
        <f t="shared" si="2"/>
        <v>15</v>
      </c>
      <c r="B26" s="66" t="s">
        <v>76</v>
      </c>
      <c r="C26" s="51">
        <f t="shared" si="0"/>
        <v>885310.8</v>
      </c>
      <c r="D26" s="51">
        <f t="shared" si="1"/>
        <v>885310.8</v>
      </c>
      <c r="E26" s="51">
        <v>885310.8</v>
      </c>
      <c r="F26" s="51"/>
      <c r="G26" s="51"/>
      <c r="H26" s="51"/>
      <c r="I26" s="51"/>
      <c r="J26" s="82"/>
      <c r="K26" s="51"/>
      <c r="L26" s="51"/>
      <c r="M26" s="82"/>
      <c r="N26" s="51"/>
      <c r="O26" s="82"/>
      <c r="P26" s="51"/>
      <c r="Q26" s="338"/>
      <c r="R26" s="51"/>
      <c r="S26" s="51"/>
      <c r="T26" s="35"/>
      <c r="U26" s="51"/>
      <c r="V26" s="51"/>
      <c r="W26" s="364"/>
      <c r="X26" s="285"/>
      <c r="Y26" s="285">
        <v>88982.71</v>
      </c>
      <c r="Z26" s="285">
        <v>115594.4</v>
      </c>
      <c r="AA26" s="285"/>
      <c r="AB26" s="285"/>
      <c r="AC26" s="285"/>
      <c r="AD26" s="9">
        <v>218788.68</v>
      </c>
      <c r="AE26" s="40"/>
      <c r="AF26" s="56">
        <v>492112.57</v>
      </c>
      <c r="AG26" s="56"/>
    </row>
    <row r="27" spans="1:33" ht="19.5" customHeight="1" x14ac:dyDescent="0.3">
      <c r="A27" s="177">
        <f t="shared" si="2"/>
        <v>16</v>
      </c>
      <c r="B27" s="66" t="s">
        <v>80</v>
      </c>
      <c r="C27" s="51">
        <f t="shared" si="0"/>
        <v>1462753.2</v>
      </c>
      <c r="D27" s="51">
        <f t="shared" si="1"/>
        <v>1462753.2</v>
      </c>
      <c r="E27" s="51">
        <v>1462753.2</v>
      </c>
      <c r="F27" s="51"/>
      <c r="G27" s="51"/>
      <c r="H27" s="51"/>
      <c r="I27" s="51"/>
      <c r="J27" s="82"/>
      <c r="K27" s="51"/>
      <c r="L27" s="51"/>
      <c r="M27" s="82"/>
      <c r="N27" s="51"/>
      <c r="O27" s="82"/>
      <c r="P27" s="51"/>
      <c r="Q27" s="338"/>
      <c r="R27" s="51"/>
      <c r="S27" s="51"/>
      <c r="T27" s="35"/>
      <c r="U27" s="51"/>
      <c r="V27" s="51"/>
      <c r="W27" s="364"/>
      <c r="X27" s="285"/>
      <c r="Y27" s="285"/>
      <c r="Z27" s="285"/>
      <c r="AA27" s="285"/>
      <c r="AB27" s="285"/>
      <c r="AC27" s="285"/>
      <c r="AD27" s="9"/>
      <c r="AE27" s="40"/>
      <c r="AF27" s="56"/>
      <c r="AG27" s="56"/>
    </row>
    <row r="28" spans="1:33" ht="19.5" customHeight="1" x14ac:dyDescent="0.3">
      <c r="A28" s="177">
        <f t="shared" si="2"/>
        <v>17</v>
      </c>
      <c r="B28" s="66" t="s">
        <v>83</v>
      </c>
      <c r="C28" s="51">
        <f t="shared" si="0"/>
        <v>2405004.52</v>
      </c>
      <c r="D28" s="51">
        <f t="shared" si="1"/>
        <v>2405004.52</v>
      </c>
      <c r="E28" s="51"/>
      <c r="F28" s="51">
        <v>2405004.52</v>
      </c>
      <c r="G28" s="51"/>
      <c r="H28" s="51"/>
      <c r="I28" s="51"/>
      <c r="J28" s="82"/>
      <c r="K28" s="51"/>
      <c r="L28" s="51"/>
      <c r="M28" s="82"/>
      <c r="N28" s="51"/>
      <c r="O28" s="82"/>
      <c r="P28" s="51"/>
      <c r="Q28" s="338"/>
      <c r="R28" s="51"/>
      <c r="S28" s="51"/>
      <c r="T28" s="35"/>
      <c r="U28" s="51"/>
      <c r="V28" s="51"/>
      <c r="W28" s="364"/>
      <c r="X28" s="285"/>
      <c r="Y28" s="285"/>
      <c r="Z28" s="285">
        <v>130653.32</v>
      </c>
      <c r="AA28" s="285"/>
      <c r="AB28" s="285">
        <v>118803</v>
      </c>
      <c r="AC28" s="285"/>
      <c r="AD28" s="9"/>
      <c r="AE28" s="40"/>
      <c r="AF28" s="56"/>
      <c r="AG28" s="56"/>
    </row>
    <row r="29" spans="1:33" ht="19.5" customHeight="1" x14ac:dyDescent="0.3">
      <c r="A29" s="177">
        <f t="shared" si="2"/>
        <v>18</v>
      </c>
      <c r="B29" s="66" t="s">
        <v>93</v>
      </c>
      <c r="C29" s="51">
        <f t="shared" si="0"/>
        <v>1319692.8</v>
      </c>
      <c r="D29" s="51">
        <f t="shared" si="1"/>
        <v>1319692.8</v>
      </c>
      <c r="E29" s="51">
        <v>1319692.8</v>
      </c>
      <c r="F29" s="51"/>
      <c r="G29" s="51"/>
      <c r="H29" s="51"/>
      <c r="I29" s="51"/>
      <c r="J29" s="82"/>
      <c r="K29" s="51"/>
      <c r="L29" s="51"/>
      <c r="M29" s="82"/>
      <c r="N29" s="51"/>
      <c r="O29" s="82"/>
      <c r="P29" s="51"/>
      <c r="Q29" s="338"/>
      <c r="R29" s="51"/>
      <c r="S29" s="51"/>
      <c r="T29" s="35"/>
      <c r="U29" s="51"/>
      <c r="V29" s="51"/>
      <c r="W29" s="364"/>
      <c r="X29" s="285"/>
      <c r="Y29" s="285"/>
      <c r="Z29" s="285"/>
      <c r="AA29" s="285"/>
      <c r="AB29" s="285"/>
      <c r="AC29" s="285"/>
      <c r="AD29" s="9"/>
      <c r="AE29" s="40"/>
      <c r="AF29" s="56"/>
      <c r="AG29" s="56"/>
    </row>
    <row r="30" spans="1:33" ht="19.5" customHeight="1" x14ac:dyDescent="0.3">
      <c r="A30" s="177">
        <f t="shared" si="2"/>
        <v>19</v>
      </c>
      <c r="B30" s="66" t="s">
        <v>94</v>
      </c>
      <c r="C30" s="51">
        <f t="shared" si="0"/>
        <v>1569486</v>
      </c>
      <c r="D30" s="51">
        <f t="shared" si="1"/>
        <v>1569486</v>
      </c>
      <c r="E30" s="51">
        <v>1569486</v>
      </c>
      <c r="F30" s="51"/>
      <c r="G30" s="51"/>
      <c r="H30" s="51"/>
      <c r="I30" s="51"/>
      <c r="J30" s="82"/>
      <c r="K30" s="51"/>
      <c r="L30" s="51"/>
      <c r="M30" s="82"/>
      <c r="N30" s="51"/>
      <c r="O30" s="82"/>
      <c r="P30" s="51"/>
      <c r="Q30" s="338"/>
      <c r="R30" s="51"/>
      <c r="S30" s="51"/>
      <c r="T30" s="35"/>
      <c r="U30" s="51"/>
      <c r="V30" s="51"/>
      <c r="W30" s="364"/>
      <c r="X30" s="285"/>
      <c r="Y30" s="285"/>
      <c r="Z30" s="285"/>
      <c r="AA30" s="285"/>
      <c r="AB30" s="285"/>
      <c r="AC30" s="285"/>
      <c r="AD30" s="9"/>
      <c r="AE30" s="40"/>
      <c r="AF30" s="56">
        <v>1019925.18</v>
      </c>
      <c r="AG30" s="56"/>
    </row>
    <row r="31" spans="1:33" ht="19.5" customHeight="1" x14ac:dyDescent="0.3">
      <c r="A31" s="177">
        <f t="shared" si="2"/>
        <v>20</v>
      </c>
      <c r="B31" s="66" t="s">
        <v>95</v>
      </c>
      <c r="C31" s="51">
        <f t="shared" si="0"/>
        <v>796387.2</v>
      </c>
      <c r="D31" s="51">
        <f t="shared" si="1"/>
        <v>796387.2</v>
      </c>
      <c r="E31" s="51">
        <v>796387.2</v>
      </c>
      <c r="F31" s="51"/>
      <c r="G31" s="51"/>
      <c r="H31" s="51"/>
      <c r="I31" s="51"/>
      <c r="J31" s="82"/>
      <c r="K31" s="51"/>
      <c r="L31" s="51"/>
      <c r="M31" s="82"/>
      <c r="N31" s="51"/>
      <c r="O31" s="82"/>
      <c r="P31" s="51"/>
      <c r="Q31" s="338"/>
      <c r="R31" s="51"/>
      <c r="S31" s="51"/>
      <c r="T31" s="35"/>
      <c r="U31" s="51"/>
      <c r="V31" s="51"/>
      <c r="W31" s="364"/>
      <c r="X31" s="285">
        <v>103114.2</v>
      </c>
      <c r="Y31" s="285">
        <v>132291.12</v>
      </c>
      <c r="Z31" s="285">
        <v>108252.88</v>
      </c>
      <c r="AA31" s="285"/>
      <c r="AB31" s="285"/>
      <c r="AC31" s="285"/>
      <c r="AD31" s="9"/>
      <c r="AE31" s="40"/>
      <c r="AF31" s="56"/>
      <c r="AG31" s="56"/>
    </row>
    <row r="32" spans="1:33" ht="19.5" customHeight="1" x14ac:dyDescent="0.3">
      <c r="A32" s="177">
        <f t="shared" si="2"/>
        <v>21</v>
      </c>
      <c r="B32" s="66" t="s">
        <v>101</v>
      </c>
      <c r="C32" s="51">
        <f t="shared" si="0"/>
        <v>4332713.53</v>
      </c>
      <c r="D32" s="51">
        <f t="shared" si="1"/>
        <v>4332713.53</v>
      </c>
      <c r="E32" s="51">
        <v>858051.6</v>
      </c>
      <c r="F32" s="51">
        <v>2348230.08</v>
      </c>
      <c r="G32" s="51">
        <v>278972.77</v>
      </c>
      <c r="H32" s="51">
        <v>847459.08</v>
      </c>
      <c r="I32" s="51"/>
      <c r="J32" s="82"/>
      <c r="K32" s="51"/>
      <c r="L32" s="51"/>
      <c r="M32" s="82"/>
      <c r="N32" s="51"/>
      <c r="O32" s="82"/>
      <c r="P32" s="51"/>
      <c r="Q32" s="338"/>
      <c r="R32" s="51"/>
      <c r="S32" s="51"/>
      <c r="T32" s="35"/>
      <c r="U32" s="51"/>
      <c r="V32" s="51"/>
      <c r="W32" s="364"/>
      <c r="X32" s="285">
        <v>278336.08</v>
      </c>
      <c r="Y32" s="285"/>
      <c r="Z32" s="285"/>
      <c r="AA32" s="285"/>
      <c r="AB32" s="285"/>
      <c r="AC32" s="285"/>
      <c r="AD32" s="9"/>
      <c r="AE32" s="40"/>
      <c r="AF32" s="56"/>
      <c r="AG32" s="56"/>
    </row>
    <row r="33" spans="1:33" ht="19.5" customHeight="1" x14ac:dyDescent="0.3">
      <c r="A33" s="177">
        <f t="shared" si="2"/>
        <v>22</v>
      </c>
      <c r="B33" s="66" t="s">
        <v>102</v>
      </c>
      <c r="C33" s="51">
        <f t="shared" si="0"/>
        <v>1671340.06</v>
      </c>
      <c r="D33" s="51">
        <f t="shared" si="1"/>
        <v>1671340.06</v>
      </c>
      <c r="E33" s="51"/>
      <c r="F33" s="51">
        <v>1671340.06</v>
      </c>
      <c r="G33" s="51"/>
      <c r="H33" s="51"/>
      <c r="I33" s="51"/>
      <c r="J33" s="82"/>
      <c r="K33" s="51"/>
      <c r="L33" s="51"/>
      <c r="M33" s="82"/>
      <c r="N33" s="51"/>
      <c r="O33" s="82"/>
      <c r="P33" s="51"/>
      <c r="Q33" s="338"/>
      <c r="R33" s="51"/>
      <c r="S33" s="51"/>
      <c r="T33" s="35"/>
      <c r="U33" s="51"/>
      <c r="V33" s="51"/>
      <c r="W33" s="364"/>
      <c r="X33" s="285">
        <v>109112.29</v>
      </c>
      <c r="Y33" s="285"/>
      <c r="Z33" s="285">
        <v>120417.38</v>
      </c>
      <c r="AA33" s="285"/>
      <c r="AB33" s="285">
        <v>107920.39</v>
      </c>
      <c r="AC33" s="285"/>
      <c r="AD33" s="9"/>
      <c r="AE33" s="40"/>
      <c r="AF33" s="56"/>
      <c r="AG33" s="56"/>
    </row>
    <row r="34" spans="1:33" ht="19.5" customHeight="1" x14ac:dyDescent="0.3">
      <c r="A34" s="177">
        <f t="shared" si="2"/>
        <v>23</v>
      </c>
      <c r="B34" s="66" t="s">
        <v>106</v>
      </c>
      <c r="C34" s="51">
        <f t="shared" si="0"/>
        <v>3246884.7</v>
      </c>
      <c r="D34" s="51">
        <f t="shared" si="1"/>
        <v>3246884.7</v>
      </c>
      <c r="E34" s="51">
        <v>888330</v>
      </c>
      <c r="F34" s="51">
        <v>2358554.7000000002</v>
      </c>
      <c r="G34" s="51"/>
      <c r="H34" s="51"/>
      <c r="I34" s="51"/>
      <c r="J34" s="82"/>
      <c r="K34" s="51"/>
      <c r="L34" s="51"/>
      <c r="M34" s="82"/>
      <c r="N34" s="51"/>
      <c r="O34" s="82"/>
      <c r="P34" s="51"/>
      <c r="Q34" s="338"/>
      <c r="R34" s="51"/>
      <c r="S34" s="51"/>
      <c r="T34" s="35"/>
      <c r="U34" s="51"/>
      <c r="V34" s="51"/>
      <c r="W34" s="364"/>
      <c r="X34" s="285"/>
      <c r="Y34" s="285"/>
      <c r="Z34" s="285"/>
      <c r="AA34" s="285"/>
      <c r="AB34" s="285"/>
      <c r="AC34" s="285"/>
      <c r="AD34" s="9"/>
      <c r="AE34" s="40"/>
      <c r="AF34" s="56"/>
      <c r="AG34" s="56"/>
    </row>
    <row r="35" spans="1:33" ht="19.5" customHeight="1" x14ac:dyDescent="0.3">
      <c r="A35" s="177">
        <f t="shared" si="2"/>
        <v>24</v>
      </c>
      <c r="B35" s="66" t="s">
        <v>107</v>
      </c>
      <c r="C35" s="51">
        <f t="shared" si="0"/>
        <v>911985.5</v>
      </c>
      <c r="D35" s="51">
        <f t="shared" si="1"/>
        <v>911985.5</v>
      </c>
      <c r="E35" s="51"/>
      <c r="F35" s="51"/>
      <c r="G35" s="51">
        <v>260156.74</v>
      </c>
      <c r="H35" s="51">
        <v>651828.76</v>
      </c>
      <c r="I35" s="51"/>
      <c r="J35" s="82"/>
      <c r="K35" s="51"/>
      <c r="L35" s="51"/>
      <c r="M35" s="82"/>
      <c r="N35" s="51"/>
      <c r="O35" s="82"/>
      <c r="P35" s="51"/>
      <c r="Q35" s="338"/>
      <c r="R35" s="51"/>
      <c r="S35" s="51"/>
      <c r="T35" s="35"/>
      <c r="U35" s="51"/>
      <c r="V35" s="51"/>
      <c r="W35" s="364"/>
      <c r="X35" s="285"/>
      <c r="Y35" s="285"/>
      <c r="Z35" s="285"/>
      <c r="AA35" s="285"/>
      <c r="AB35" s="285"/>
      <c r="AC35" s="285"/>
      <c r="AD35" s="9"/>
      <c r="AE35" s="40"/>
      <c r="AF35" s="56"/>
      <c r="AG35" s="56"/>
    </row>
    <row r="36" spans="1:33" ht="19.5" customHeight="1" x14ac:dyDescent="0.3">
      <c r="A36" s="177">
        <f t="shared" si="2"/>
        <v>25</v>
      </c>
      <c r="B36" s="66" t="s">
        <v>109</v>
      </c>
      <c r="C36" s="51">
        <f t="shared" si="0"/>
        <v>982300.8</v>
      </c>
      <c r="D36" s="51">
        <f t="shared" si="1"/>
        <v>982300.8</v>
      </c>
      <c r="E36" s="51">
        <v>982300.8</v>
      </c>
      <c r="F36" s="51"/>
      <c r="G36" s="51"/>
      <c r="H36" s="51"/>
      <c r="I36" s="51"/>
      <c r="J36" s="82"/>
      <c r="K36" s="51"/>
      <c r="L36" s="51"/>
      <c r="M36" s="82"/>
      <c r="N36" s="51"/>
      <c r="O36" s="82"/>
      <c r="P36" s="51"/>
      <c r="Q36" s="338"/>
      <c r="R36" s="51"/>
      <c r="S36" s="51"/>
      <c r="T36" s="35"/>
      <c r="U36" s="51"/>
      <c r="V36" s="51"/>
      <c r="W36" s="364"/>
      <c r="X36" s="285"/>
      <c r="Y36" s="285"/>
      <c r="Z36" s="285">
        <v>148822.67000000001</v>
      </c>
      <c r="AA36" s="285"/>
      <c r="AB36" s="285"/>
      <c r="AC36" s="285"/>
      <c r="AD36" s="9"/>
      <c r="AE36" s="40"/>
      <c r="AF36" s="56"/>
      <c r="AG36" s="56"/>
    </row>
    <row r="37" spans="1:33" ht="19.5" customHeight="1" x14ac:dyDescent="0.3">
      <c r="A37" s="177">
        <f t="shared" si="2"/>
        <v>26</v>
      </c>
      <c r="B37" s="66" t="s">
        <v>111</v>
      </c>
      <c r="C37" s="51">
        <f t="shared" si="0"/>
        <v>5737460.9199999999</v>
      </c>
      <c r="D37" s="51">
        <f t="shared" si="1"/>
        <v>5737460.9199999999</v>
      </c>
      <c r="E37" s="51"/>
      <c r="F37" s="51">
        <v>3515128.49</v>
      </c>
      <c r="G37" s="51">
        <v>677818</v>
      </c>
      <c r="H37" s="51">
        <v>1544514.43</v>
      </c>
      <c r="I37" s="51"/>
      <c r="J37" s="82"/>
      <c r="K37" s="51"/>
      <c r="L37" s="51"/>
      <c r="M37" s="82"/>
      <c r="N37" s="51"/>
      <c r="O37" s="82"/>
      <c r="P37" s="51"/>
      <c r="Q37" s="338"/>
      <c r="R37" s="51"/>
      <c r="S37" s="51"/>
      <c r="T37" s="35"/>
      <c r="U37" s="51"/>
      <c r="V37" s="51"/>
      <c r="W37" s="364"/>
      <c r="X37" s="285"/>
      <c r="Y37" s="285"/>
      <c r="Z37" s="285"/>
      <c r="AA37" s="285">
        <v>156382.73000000001</v>
      </c>
      <c r="AB37" s="285">
        <v>225800.86</v>
      </c>
      <c r="AC37" s="285"/>
      <c r="AD37" s="9"/>
      <c r="AE37" s="40"/>
      <c r="AF37" s="56"/>
      <c r="AG37" s="56"/>
    </row>
    <row r="38" spans="1:33" ht="19.5" customHeight="1" x14ac:dyDescent="0.3">
      <c r="A38" s="177">
        <f t="shared" si="2"/>
        <v>27</v>
      </c>
      <c r="B38" s="66" t="s">
        <v>113</v>
      </c>
      <c r="C38" s="51">
        <f t="shared" si="0"/>
        <v>1443946.8</v>
      </c>
      <c r="D38" s="51">
        <f t="shared" si="1"/>
        <v>1443946.8</v>
      </c>
      <c r="E38" s="51">
        <v>1443946.8</v>
      </c>
      <c r="F38" s="51"/>
      <c r="G38" s="51"/>
      <c r="H38" s="51"/>
      <c r="I38" s="51"/>
      <c r="J38" s="82"/>
      <c r="K38" s="51"/>
      <c r="L38" s="51"/>
      <c r="M38" s="82"/>
      <c r="N38" s="51"/>
      <c r="O38" s="82"/>
      <c r="P38" s="51"/>
      <c r="Q38" s="338"/>
      <c r="R38" s="51"/>
      <c r="S38" s="51"/>
      <c r="T38" s="35"/>
      <c r="U38" s="51"/>
      <c r="V38" s="51"/>
      <c r="W38" s="364"/>
      <c r="X38" s="285"/>
      <c r="Y38" s="285"/>
      <c r="Z38" s="285">
        <v>172312.62</v>
      </c>
      <c r="AA38" s="285"/>
      <c r="AB38" s="285"/>
      <c r="AC38" s="285"/>
      <c r="AD38" s="9"/>
      <c r="AE38" s="40"/>
      <c r="AF38" s="56">
        <v>1001227.61</v>
      </c>
      <c r="AG38" s="56"/>
    </row>
    <row r="39" spans="1:33" ht="19.5" customHeight="1" x14ac:dyDescent="0.3">
      <c r="A39" s="177">
        <f t="shared" si="2"/>
        <v>28</v>
      </c>
      <c r="B39" s="66" t="s">
        <v>115</v>
      </c>
      <c r="C39" s="51">
        <f t="shared" si="0"/>
        <v>3407465.8</v>
      </c>
      <c r="D39" s="51">
        <f t="shared" si="1"/>
        <v>3407465.8</v>
      </c>
      <c r="E39" s="51"/>
      <c r="F39" s="51">
        <v>3407465.8</v>
      </c>
      <c r="G39" s="51"/>
      <c r="H39" s="51"/>
      <c r="I39" s="51"/>
      <c r="J39" s="82"/>
      <c r="K39" s="51"/>
      <c r="L39" s="51"/>
      <c r="M39" s="82"/>
      <c r="N39" s="51"/>
      <c r="O39" s="82"/>
      <c r="P39" s="51"/>
      <c r="Q39" s="338"/>
      <c r="R39" s="51"/>
      <c r="S39" s="51"/>
      <c r="T39" s="35"/>
      <c r="U39" s="51"/>
      <c r="V39" s="51"/>
      <c r="W39" s="364"/>
      <c r="X39" s="285"/>
      <c r="Y39" s="285"/>
      <c r="Z39" s="285">
        <v>174240.24</v>
      </c>
      <c r="AA39" s="285"/>
      <c r="AB39" s="285">
        <v>146834.48000000001</v>
      </c>
      <c r="AC39" s="285"/>
      <c r="AD39" s="9"/>
      <c r="AE39" s="40"/>
      <c r="AF39" s="56">
        <v>898076.87</v>
      </c>
      <c r="AG39" s="56"/>
    </row>
    <row r="40" spans="1:33" ht="19.5" customHeight="1" x14ac:dyDescent="0.3">
      <c r="A40" s="177">
        <f t="shared" si="2"/>
        <v>29</v>
      </c>
      <c r="B40" s="66" t="s">
        <v>127</v>
      </c>
      <c r="C40" s="51">
        <f t="shared" si="0"/>
        <v>2189264.62</v>
      </c>
      <c r="D40" s="51">
        <f t="shared" si="1"/>
        <v>2189264.62</v>
      </c>
      <c r="E40" s="51">
        <v>772446</v>
      </c>
      <c r="F40" s="51">
        <v>1416818.62</v>
      </c>
      <c r="G40" s="51"/>
      <c r="H40" s="51"/>
      <c r="I40" s="51"/>
      <c r="J40" s="82"/>
      <c r="K40" s="51"/>
      <c r="L40" s="51"/>
      <c r="M40" s="82"/>
      <c r="N40" s="51"/>
      <c r="O40" s="82"/>
      <c r="P40" s="51"/>
      <c r="Q40" s="338"/>
      <c r="R40" s="51"/>
      <c r="S40" s="51"/>
      <c r="T40" s="35"/>
      <c r="U40" s="51"/>
      <c r="V40" s="51"/>
      <c r="W40" s="364"/>
      <c r="X40" s="285"/>
      <c r="Y40" s="285"/>
      <c r="Z40" s="285">
        <v>114325.67</v>
      </c>
      <c r="AA40" s="285"/>
      <c r="AB40" s="285"/>
      <c r="AC40" s="285"/>
      <c r="AD40" s="9"/>
      <c r="AE40" s="40"/>
      <c r="AF40" s="56"/>
      <c r="AG40" s="56"/>
    </row>
    <row r="41" spans="1:33" ht="19.5" customHeight="1" x14ac:dyDescent="0.3">
      <c r="A41" s="177">
        <f t="shared" si="2"/>
        <v>30</v>
      </c>
      <c r="B41" s="66" t="s">
        <v>128</v>
      </c>
      <c r="C41" s="51">
        <f t="shared" si="0"/>
        <v>772518</v>
      </c>
      <c r="D41" s="51">
        <f t="shared" si="1"/>
        <v>772518</v>
      </c>
      <c r="E41" s="51">
        <v>772518</v>
      </c>
      <c r="F41" s="51"/>
      <c r="G41" s="51"/>
      <c r="H41" s="51"/>
      <c r="I41" s="51"/>
      <c r="J41" s="82"/>
      <c r="K41" s="51"/>
      <c r="L41" s="51"/>
      <c r="M41" s="82"/>
      <c r="N41" s="51"/>
      <c r="O41" s="82"/>
      <c r="P41" s="51"/>
      <c r="Q41" s="338"/>
      <c r="R41" s="51"/>
      <c r="S41" s="51"/>
      <c r="T41" s="35"/>
      <c r="U41" s="51"/>
      <c r="V41" s="51"/>
      <c r="W41" s="364"/>
      <c r="X41" s="285"/>
      <c r="Y41" s="285"/>
      <c r="Z41" s="285">
        <v>114612.36</v>
      </c>
      <c r="AA41" s="285"/>
      <c r="AB41" s="285"/>
      <c r="AC41" s="285"/>
      <c r="AD41" s="9"/>
      <c r="AE41" s="40"/>
      <c r="AF41" s="56"/>
      <c r="AG41" s="56"/>
    </row>
    <row r="42" spans="1:33" ht="19.5" customHeight="1" x14ac:dyDescent="0.3">
      <c r="A42" s="177">
        <f t="shared" si="2"/>
        <v>31</v>
      </c>
      <c r="B42" s="66" t="s">
        <v>130</v>
      </c>
      <c r="C42" s="51">
        <f t="shared" si="0"/>
        <v>984151.58</v>
      </c>
      <c r="D42" s="51">
        <f t="shared" si="1"/>
        <v>984151.58</v>
      </c>
      <c r="E42" s="51">
        <v>789067.2</v>
      </c>
      <c r="F42" s="51"/>
      <c r="G42" s="51">
        <v>195084.38</v>
      </c>
      <c r="H42" s="51"/>
      <c r="I42" s="51"/>
      <c r="J42" s="82"/>
      <c r="K42" s="51"/>
      <c r="L42" s="51"/>
      <c r="M42" s="82"/>
      <c r="N42" s="51"/>
      <c r="O42" s="82"/>
      <c r="P42" s="51"/>
      <c r="Q42" s="338"/>
      <c r="R42" s="51"/>
      <c r="S42" s="51"/>
      <c r="T42" s="35"/>
      <c r="U42" s="51"/>
      <c r="V42" s="51"/>
      <c r="W42" s="364"/>
      <c r="X42" s="285"/>
      <c r="Y42" s="285"/>
      <c r="Z42" s="285">
        <v>109702.2</v>
      </c>
      <c r="AA42" s="285"/>
      <c r="AB42" s="285"/>
      <c r="AC42" s="285"/>
      <c r="AD42" s="9"/>
      <c r="AE42" s="40"/>
      <c r="AF42" s="56"/>
      <c r="AG42" s="56"/>
    </row>
    <row r="43" spans="1:33" ht="19.5" customHeight="1" x14ac:dyDescent="0.3">
      <c r="A43" s="177">
        <f t="shared" si="2"/>
        <v>32</v>
      </c>
      <c r="B43" s="66" t="s">
        <v>132</v>
      </c>
      <c r="C43" s="51">
        <f t="shared" si="0"/>
        <v>971233.3</v>
      </c>
      <c r="D43" s="51">
        <f t="shared" si="1"/>
        <v>971233.3</v>
      </c>
      <c r="E43" s="51"/>
      <c r="F43" s="51">
        <v>971233.3</v>
      </c>
      <c r="G43" s="51"/>
      <c r="H43" s="51"/>
      <c r="I43" s="51"/>
      <c r="J43" s="82"/>
      <c r="K43" s="51"/>
      <c r="L43" s="51"/>
      <c r="M43" s="82"/>
      <c r="N43" s="51"/>
      <c r="O43" s="82"/>
      <c r="P43" s="51"/>
      <c r="Q43" s="338"/>
      <c r="R43" s="51"/>
      <c r="S43" s="51"/>
      <c r="T43" s="35"/>
      <c r="U43" s="51"/>
      <c r="V43" s="51"/>
      <c r="W43" s="364"/>
      <c r="X43" s="285"/>
      <c r="Y43" s="285"/>
      <c r="Z43" s="285">
        <v>119830.69</v>
      </c>
      <c r="AA43" s="285"/>
      <c r="AB43" s="285"/>
      <c r="AC43" s="285"/>
      <c r="AD43" s="9"/>
      <c r="AE43" s="40"/>
      <c r="AF43" s="56"/>
      <c r="AG43" s="56"/>
    </row>
    <row r="44" spans="1:33" ht="19.5" customHeight="1" x14ac:dyDescent="0.3">
      <c r="A44" s="177">
        <f t="shared" si="2"/>
        <v>33</v>
      </c>
      <c r="B44" s="66" t="s">
        <v>134</v>
      </c>
      <c r="C44" s="51">
        <f t="shared" si="0"/>
        <v>1400276.33</v>
      </c>
      <c r="D44" s="51">
        <f t="shared" si="1"/>
        <v>1400276.33</v>
      </c>
      <c r="E44" s="51"/>
      <c r="F44" s="51">
        <v>1400276.33</v>
      </c>
      <c r="G44" s="51"/>
      <c r="H44" s="51"/>
      <c r="I44" s="51"/>
      <c r="J44" s="82"/>
      <c r="K44" s="51"/>
      <c r="L44" s="51"/>
      <c r="M44" s="82"/>
      <c r="N44" s="51"/>
      <c r="O44" s="82"/>
      <c r="P44" s="51"/>
      <c r="Q44" s="338"/>
      <c r="R44" s="51"/>
      <c r="S44" s="51"/>
      <c r="T44" s="35"/>
      <c r="U44" s="51"/>
      <c r="V44" s="51"/>
      <c r="W44" s="364"/>
      <c r="X44" s="285"/>
      <c r="Y44" s="285"/>
      <c r="Z44" s="285">
        <v>114143.22</v>
      </c>
      <c r="AA44" s="285"/>
      <c r="AB44" s="285"/>
      <c r="AC44" s="285"/>
      <c r="AD44" s="9"/>
      <c r="AE44" s="40"/>
      <c r="AF44" s="56"/>
      <c r="AG44" s="56"/>
    </row>
    <row r="45" spans="1:33" ht="19.5" customHeight="1" x14ac:dyDescent="0.3">
      <c r="A45" s="177">
        <f t="shared" si="2"/>
        <v>34</v>
      </c>
      <c r="B45" s="66" t="s">
        <v>141</v>
      </c>
      <c r="C45" s="51">
        <f t="shared" si="0"/>
        <v>1163763.8600000001</v>
      </c>
      <c r="D45" s="51">
        <f t="shared" si="1"/>
        <v>1163763.8600000001</v>
      </c>
      <c r="E45" s="51"/>
      <c r="F45" s="51">
        <v>1163763.8600000001</v>
      </c>
      <c r="G45" s="51"/>
      <c r="H45" s="51"/>
      <c r="I45" s="51"/>
      <c r="J45" s="82"/>
      <c r="K45" s="51"/>
      <c r="L45" s="51"/>
      <c r="M45" s="82"/>
      <c r="N45" s="51"/>
      <c r="O45" s="82"/>
      <c r="P45" s="364"/>
      <c r="Q45" s="338"/>
      <c r="R45" s="364"/>
      <c r="S45" s="51"/>
      <c r="T45" s="35"/>
      <c r="U45" s="51"/>
      <c r="V45" s="51"/>
      <c r="W45" s="364"/>
      <c r="X45" s="285">
        <v>114911.34</v>
      </c>
      <c r="Y45" s="285"/>
      <c r="Z45" s="285">
        <v>119536.14</v>
      </c>
      <c r="AA45" s="285"/>
      <c r="AB45" s="285"/>
      <c r="AC45" s="285"/>
      <c r="AD45" s="9"/>
      <c r="AE45" s="40"/>
      <c r="AF45" s="56"/>
      <c r="AG45" s="56"/>
    </row>
    <row r="46" spans="1:33" ht="19.5" customHeight="1" x14ac:dyDescent="0.3">
      <c r="A46" s="177">
        <f t="shared" si="2"/>
        <v>35</v>
      </c>
      <c r="B46" s="66" t="s">
        <v>142</v>
      </c>
      <c r="C46" s="51">
        <f t="shared" si="0"/>
        <v>5161614.8599999994</v>
      </c>
      <c r="D46" s="51">
        <f t="shared" si="1"/>
        <v>5161614.8599999994</v>
      </c>
      <c r="E46" s="51"/>
      <c r="F46" s="51">
        <v>3909082.34</v>
      </c>
      <c r="G46" s="51">
        <v>380737.25</v>
      </c>
      <c r="H46" s="51">
        <v>871795.27</v>
      </c>
      <c r="I46" s="51"/>
      <c r="J46" s="82"/>
      <c r="K46" s="51"/>
      <c r="L46" s="51"/>
      <c r="M46" s="82"/>
      <c r="N46" s="51"/>
      <c r="O46" s="82"/>
      <c r="P46" s="51"/>
      <c r="Q46" s="338"/>
      <c r="R46" s="51"/>
      <c r="S46" s="51"/>
      <c r="T46" s="35"/>
      <c r="U46" s="51"/>
      <c r="V46" s="51"/>
      <c r="W46" s="364"/>
      <c r="X46" s="285">
        <v>164635.60999999999</v>
      </c>
      <c r="Y46" s="285"/>
      <c r="Z46" s="285"/>
      <c r="AA46" s="285"/>
      <c r="AB46" s="285"/>
      <c r="AC46" s="285"/>
      <c r="AD46" s="9"/>
      <c r="AE46" s="40"/>
      <c r="AF46" s="56"/>
      <c r="AG46" s="56"/>
    </row>
    <row r="47" spans="1:33" ht="19.5" customHeight="1" x14ac:dyDescent="0.3">
      <c r="A47" s="177"/>
      <c r="B47" s="66" t="s">
        <v>144</v>
      </c>
      <c r="C47" s="51">
        <f t="shared" ref="C47:R47" si="3">SUM(C12:C46)</f>
        <v>74513746.269999996</v>
      </c>
      <c r="D47" s="51">
        <f t="shared" si="3"/>
        <v>74513746.269999996</v>
      </c>
      <c r="E47" s="51">
        <f t="shared" si="3"/>
        <v>35505031.480000004</v>
      </c>
      <c r="F47" s="51">
        <f t="shared" si="3"/>
        <v>28159323.529999997</v>
      </c>
      <c r="G47" s="51">
        <f t="shared" si="3"/>
        <v>3194390.38</v>
      </c>
      <c r="H47" s="51">
        <f t="shared" si="3"/>
        <v>7655000.879999999</v>
      </c>
      <c r="I47" s="51">
        <f t="shared" si="3"/>
        <v>0</v>
      </c>
      <c r="J47" s="82">
        <f t="shared" si="3"/>
        <v>0</v>
      </c>
      <c r="K47" s="51">
        <f t="shared" si="3"/>
        <v>0</v>
      </c>
      <c r="L47" s="51">
        <f t="shared" si="3"/>
        <v>0</v>
      </c>
      <c r="M47" s="82">
        <f t="shared" si="3"/>
        <v>0</v>
      </c>
      <c r="N47" s="51">
        <f t="shared" si="3"/>
        <v>0</v>
      </c>
      <c r="O47" s="82">
        <f t="shared" si="3"/>
        <v>0</v>
      </c>
      <c r="P47" s="51">
        <f t="shared" si="3"/>
        <v>0</v>
      </c>
      <c r="Q47" s="338">
        <f t="shared" si="3"/>
        <v>0</v>
      </c>
      <c r="R47" s="51">
        <f t="shared" si="3"/>
        <v>0</v>
      </c>
      <c r="S47" s="51">
        <f>SUM(S12:S46)</f>
        <v>0</v>
      </c>
      <c r="T47" s="35">
        <f>SUM(T12:T46)</f>
        <v>0</v>
      </c>
      <c r="U47" s="51">
        <f>SUM(U12:U46)</f>
        <v>0</v>
      </c>
      <c r="V47" s="51">
        <f>SUM(V12:V46)</f>
        <v>0</v>
      </c>
      <c r="W47" s="51">
        <f>SUM(W12:W46)</f>
        <v>0</v>
      </c>
      <c r="X47" s="285"/>
      <c r="Y47" s="285"/>
      <c r="Z47" s="285"/>
      <c r="AA47" s="285"/>
      <c r="AB47" s="285"/>
      <c r="AC47" s="285"/>
      <c r="AD47" s="9"/>
      <c r="AE47" s="40"/>
      <c r="AF47" s="56"/>
      <c r="AG47" s="56"/>
    </row>
    <row r="48" spans="1:33" ht="19.5" customHeight="1" x14ac:dyDescent="0.3">
      <c r="B48" s="303" t="s">
        <v>147</v>
      </c>
      <c r="C48" s="51"/>
      <c r="D48" s="51"/>
      <c r="E48" s="51"/>
      <c r="F48" s="51"/>
      <c r="G48" s="51"/>
      <c r="H48" s="51"/>
      <c r="I48" s="51"/>
      <c r="J48" s="82"/>
      <c r="K48" s="51"/>
      <c r="L48" s="51"/>
      <c r="M48" s="82"/>
      <c r="N48" s="51"/>
      <c r="O48" s="82"/>
      <c r="P48" s="51"/>
      <c r="Q48" s="338"/>
      <c r="R48" s="51"/>
      <c r="S48" s="51"/>
      <c r="T48" s="35"/>
      <c r="U48" s="51"/>
      <c r="V48" s="51"/>
      <c r="W48" s="364"/>
      <c r="X48" s="285"/>
      <c r="Y48" s="9"/>
      <c r="Z48" s="40"/>
      <c r="AA48" s="56"/>
      <c r="AB48" s="56"/>
      <c r="AC48" s="56"/>
      <c r="AD48" s="56"/>
      <c r="AE48" s="9"/>
      <c r="AF48" s="9"/>
      <c r="AG48" s="9"/>
    </row>
    <row r="49" spans="1:33" ht="19.5" customHeight="1" x14ac:dyDescent="0.3">
      <c r="A49" s="177">
        <f>A46+1</f>
        <v>36</v>
      </c>
      <c r="B49" s="66" t="s">
        <v>160</v>
      </c>
      <c r="C49" s="51">
        <f>D49+K49+L49+N49+P49+R49+S49+U49+V49+W49</f>
        <v>3169645.2</v>
      </c>
      <c r="D49" s="51">
        <f>E49+F49+G49+H49+I49</f>
        <v>0</v>
      </c>
      <c r="E49" s="51"/>
      <c r="F49" s="51"/>
      <c r="G49" s="51"/>
      <c r="H49" s="51"/>
      <c r="I49" s="51"/>
      <c r="J49" s="82"/>
      <c r="K49" s="51"/>
      <c r="L49" s="51"/>
      <c r="M49" s="379">
        <v>692</v>
      </c>
      <c r="N49" s="51">
        <v>3169645.2</v>
      </c>
      <c r="O49" s="82"/>
      <c r="P49" s="51"/>
      <c r="Q49" s="338"/>
      <c r="R49" s="51"/>
      <c r="S49" s="51"/>
      <c r="T49" s="35"/>
      <c r="U49" s="51"/>
      <c r="V49" s="51"/>
      <c r="W49" s="364"/>
      <c r="X49" s="285"/>
      <c r="Y49" s="285"/>
      <c r="Z49" s="285"/>
      <c r="AA49" s="285"/>
      <c r="AB49" s="285"/>
      <c r="AC49" s="285"/>
      <c r="AD49" s="9"/>
      <c r="AE49" s="40"/>
      <c r="AF49" s="56"/>
      <c r="AG49" s="56"/>
    </row>
    <row r="50" spans="1:33" ht="19.5" customHeight="1" x14ac:dyDescent="0.3">
      <c r="A50" s="177">
        <f>A49+1</f>
        <v>37</v>
      </c>
      <c r="B50" s="66" t="s">
        <v>164</v>
      </c>
      <c r="C50" s="51">
        <f>D50+K50+L50+N50+P50+R50+S50+U50+V50+W50</f>
        <v>4529871.5999999996</v>
      </c>
      <c r="D50" s="51">
        <f>E50+F50+G50+H50+I50</f>
        <v>0</v>
      </c>
      <c r="E50" s="51"/>
      <c r="F50" s="51"/>
      <c r="G50" s="51"/>
      <c r="H50" s="51"/>
      <c r="I50" s="51"/>
      <c r="J50" s="82"/>
      <c r="K50" s="51"/>
      <c r="L50" s="51"/>
      <c r="M50" s="379">
        <v>1200</v>
      </c>
      <c r="N50" s="51">
        <v>4529871.5999999996</v>
      </c>
      <c r="O50" s="82"/>
      <c r="P50" s="51"/>
      <c r="Q50" s="338"/>
      <c r="R50" s="51"/>
      <c r="S50" s="51"/>
      <c r="T50" s="35"/>
      <c r="U50" s="51"/>
      <c r="V50" s="51"/>
      <c r="W50" s="364"/>
      <c r="X50" s="285"/>
      <c r="Y50" s="285"/>
      <c r="Z50" s="285"/>
      <c r="AA50" s="285"/>
      <c r="AB50" s="285"/>
      <c r="AC50" s="285"/>
      <c r="AD50" s="9"/>
      <c r="AE50" s="40"/>
      <c r="AF50" s="56"/>
      <c r="AG50" s="56"/>
    </row>
    <row r="51" spans="1:33" ht="19.5" customHeight="1" x14ac:dyDescent="0.3">
      <c r="A51" s="177">
        <f>A50+1</f>
        <v>38</v>
      </c>
      <c r="B51" s="66" t="s">
        <v>165</v>
      </c>
      <c r="C51" s="51">
        <f>D51+K51+L51+N51+P51+R51+S51+U51+V51+W51</f>
        <v>15330745.51</v>
      </c>
      <c r="D51" s="51">
        <f>E51+F51+G51+H51+I51</f>
        <v>0</v>
      </c>
      <c r="E51" s="51"/>
      <c r="F51" s="51"/>
      <c r="G51" s="51"/>
      <c r="H51" s="51"/>
      <c r="I51" s="51"/>
      <c r="J51" s="82"/>
      <c r="K51" s="51"/>
      <c r="L51" s="51"/>
      <c r="M51" s="379">
        <v>684</v>
      </c>
      <c r="N51" s="51">
        <v>6246923.9900000002</v>
      </c>
      <c r="O51" s="82"/>
      <c r="P51" s="51"/>
      <c r="Q51" s="338"/>
      <c r="R51" s="51"/>
      <c r="S51" s="51"/>
      <c r="T51" s="35"/>
      <c r="U51" s="51">
        <v>9083821.5199999996</v>
      </c>
      <c r="V51" s="51"/>
      <c r="W51" s="364"/>
      <c r="X51" s="285"/>
      <c r="Y51" s="285"/>
      <c r="Z51" s="285"/>
      <c r="AA51" s="285"/>
      <c r="AB51" s="285"/>
      <c r="AC51" s="285"/>
      <c r="AD51" s="9"/>
      <c r="AE51" s="40"/>
      <c r="AF51" s="56"/>
      <c r="AG51" s="56"/>
    </row>
    <row r="52" spans="1:33" ht="20.25" customHeight="1" x14ac:dyDescent="0.3">
      <c r="A52" s="177">
        <f>A51+1</f>
        <v>39</v>
      </c>
      <c r="B52" s="66" t="s">
        <v>159</v>
      </c>
      <c r="C52" s="51">
        <f>D52+K52+L52+N52+P52+R52+S52+U52+V52+W52</f>
        <v>13630144.390000001</v>
      </c>
      <c r="D52" s="51">
        <f t="shared" ref="D52" si="4">E52+F52+G52+H52+I52</f>
        <v>0</v>
      </c>
      <c r="E52" s="51"/>
      <c r="F52" s="51"/>
      <c r="G52" s="51"/>
      <c r="H52" s="51"/>
      <c r="I52" s="51"/>
      <c r="J52" s="82"/>
      <c r="K52" s="51"/>
      <c r="L52" s="51"/>
      <c r="M52" s="82"/>
      <c r="N52" s="51"/>
      <c r="O52" s="82"/>
      <c r="P52" s="51"/>
      <c r="Q52" s="338">
        <v>3558</v>
      </c>
      <c r="R52" s="51">
        <v>13630144.390000001</v>
      </c>
      <c r="S52" s="51"/>
      <c r="T52" s="35"/>
      <c r="U52" s="51"/>
      <c r="V52" s="51"/>
      <c r="W52" s="364"/>
      <c r="X52" s="285"/>
      <c r="Y52" s="285"/>
      <c r="Z52" s="285"/>
      <c r="AA52" s="285"/>
      <c r="AB52" s="285"/>
      <c r="AC52" s="285"/>
      <c r="AD52" s="9"/>
      <c r="AE52" s="40"/>
      <c r="AF52" s="56"/>
      <c r="AG52" s="56"/>
    </row>
    <row r="53" spans="1:33" ht="19.5" customHeight="1" x14ac:dyDescent="0.3">
      <c r="A53" s="177"/>
      <c r="B53" s="66" t="s">
        <v>144</v>
      </c>
      <c r="C53" s="51">
        <f>SUM(C49:C52)</f>
        <v>36660406.700000003</v>
      </c>
      <c r="D53" s="51">
        <f t="shared" ref="D53:W53" si="5">SUM(D49:D52)</f>
        <v>0</v>
      </c>
      <c r="E53" s="51">
        <f t="shared" si="5"/>
        <v>0</v>
      </c>
      <c r="F53" s="51">
        <f t="shared" si="5"/>
        <v>0</v>
      </c>
      <c r="G53" s="51">
        <f t="shared" si="5"/>
        <v>0</v>
      </c>
      <c r="H53" s="51">
        <f t="shared" si="5"/>
        <v>0</v>
      </c>
      <c r="I53" s="51">
        <f t="shared" si="5"/>
        <v>0</v>
      </c>
      <c r="J53" s="82">
        <f t="shared" si="5"/>
        <v>0</v>
      </c>
      <c r="K53" s="51">
        <f t="shared" si="5"/>
        <v>0</v>
      </c>
      <c r="L53" s="51">
        <f t="shared" si="5"/>
        <v>0</v>
      </c>
      <c r="M53" s="82">
        <f t="shared" si="5"/>
        <v>2576</v>
      </c>
      <c r="N53" s="51">
        <f t="shared" si="5"/>
        <v>13946440.789999999</v>
      </c>
      <c r="O53" s="82">
        <f t="shared" si="5"/>
        <v>0</v>
      </c>
      <c r="P53" s="51">
        <f t="shared" si="5"/>
        <v>0</v>
      </c>
      <c r="Q53" s="338">
        <f t="shared" si="5"/>
        <v>3558</v>
      </c>
      <c r="R53" s="51">
        <f t="shared" si="5"/>
        <v>13630144.390000001</v>
      </c>
      <c r="S53" s="51">
        <f t="shared" si="5"/>
        <v>0</v>
      </c>
      <c r="T53" s="35">
        <f t="shared" si="5"/>
        <v>0</v>
      </c>
      <c r="U53" s="51">
        <f t="shared" si="5"/>
        <v>9083821.5199999996</v>
      </c>
      <c r="V53" s="51">
        <f t="shared" si="5"/>
        <v>0</v>
      </c>
      <c r="W53" s="51">
        <f t="shared" si="5"/>
        <v>0</v>
      </c>
      <c r="X53" s="285"/>
      <c r="Y53" s="285"/>
      <c r="Z53" s="285"/>
      <c r="AA53" s="285"/>
      <c r="AB53" s="285"/>
      <c r="AC53" s="285"/>
      <c r="AD53" s="9"/>
      <c r="AE53" s="40"/>
      <c r="AF53" s="56"/>
      <c r="AG53" s="56"/>
    </row>
    <row r="54" spans="1:33" ht="19.5" customHeight="1" x14ac:dyDescent="0.3">
      <c r="A54" s="177" t="s">
        <v>166</v>
      </c>
      <c r="B54" s="66"/>
      <c r="C54" s="51"/>
      <c r="D54" s="51"/>
      <c r="E54" s="51"/>
      <c r="F54" s="51"/>
      <c r="G54" s="51"/>
      <c r="H54" s="51"/>
      <c r="I54" s="51"/>
      <c r="J54" s="82"/>
      <c r="K54" s="51"/>
      <c r="L54" s="51"/>
      <c r="M54" s="82"/>
      <c r="N54" s="51"/>
      <c r="O54" s="82"/>
      <c r="P54" s="51"/>
      <c r="Q54" s="338"/>
      <c r="R54" s="51"/>
      <c r="S54" s="51"/>
      <c r="T54" s="35"/>
      <c r="U54" s="51"/>
      <c r="V54" s="51"/>
      <c r="W54" s="364"/>
      <c r="X54" s="285"/>
      <c r="Y54" s="285"/>
      <c r="Z54" s="285"/>
      <c r="AA54" s="285"/>
      <c r="AB54" s="285"/>
      <c r="AC54" s="285"/>
      <c r="AD54" s="9"/>
      <c r="AE54" s="40"/>
      <c r="AF54" s="56"/>
      <c r="AG54" s="56"/>
    </row>
    <row r="55" spans="1:33" ht="19.5" customHeight="1" x14ac:dyDescent="0.3">
      <c r="A55" s="177">
        <f>A52+1</f>
        <v>40</v>
      </c>
      <c r="B55" s="66" t="s">
        <v>167</v>
      </c>
      <c r="C55" s="51">
        <f>D55+K55+L55+N55+P55+R55+S55+U55+V55+W55</f>
        <v>9801648</v>
      </c>
      <c r="D55" s="51">
        <f>E55+F55+G55+H55+I55</f>
        <v>9694368</v>
      </c>
      <c r="E55" s="51"/>
      <c r="F55" s="51">
        <v>5497057.2000000002</v>
      </c>
      <c r="G55" s="51">
        <v>869211.6</v>
      </c>
      <c r="H55" s="51">
        <v>1869705.6</v>
      </c>
      <c r="I55" s="51">
        <v>1458393.6</v>
      </c>
      <c r="J55" s="82"/>
      <c r="K55" s="51"/>
      <c r="L55" s="51"/>
      <c r="M55" s="82"/>
      <c r="N55" s="51"/>
      <c r="O55" s="82"/>
      <c r="P55" s="51"/>
      <c r="Q55" s="338"/>
      <c r="R55" s="51"/>
      <c r="S55" s="51"/>
      <c r="T55" s="35"/>
      <c r="U55" s="51"/>
      <c r="V55" s="51">
        <v>107280</v>
      </c>
      <c r="W55" s="364"/>
      <c r="X55" s="285">
        <v>189201.55</v>
      </c>
      <c r="Y55" s="285">
        <v>248359.21</v>
      </c>
      <c r="Z55" s="285">
        <v>207186.92</v>
      </c>
      <c r="AA55" s="285"/>
      <c r="AB55" s="285"/>
      <c r="AC55" s="285"/>
      <c r="AD55" s="9"/>
      <c r="AE55" s="40"/>
      <c r="AF55" s="56"/>
      <c r="AG55" s="56"/>
    </row>
    <row r="56" spans="1:33" ht="19.5" customHeight="1" x14ac:dyDescent="0.3">
      <c r="A56" s="177">
        <f>A55+1</f>
        <v>41</v>
      </c>
      <c r="B56" s="66" t="s">
        <v>168</v>
      </c>
      <c r="C56" s="51">
        <f>D56+K56+L56+N56+P56+R56+S56+U56+V56+W56</f>
        <v>12727903.390000001</v>
      </c>
      <c r="D56" s="51">
        <f>E56+F56+G56+H56+I56</f>
        <v>12180210</v>
      </c>
      <c r="E56" s="51"/>
      <c r="F56" s="51">
        <v>6897925.2000000002</v>
      </c>
      <c r="G56" s="51">
        <v>1533385.2</v>
      </c>
      <c r="H56" s="51">
        <v>2545448.4</v>
      </c>
      <c r="I56" s="51">
        <v>1203451.2</v>
      </c>
      <c r="J56" s="82"/>
      <c r="K56" s="51"/>
      <c r="L56" s="51"/>
      <c r="M56" s="82"/>
      <c r="N56" s="51"/>
      <c r="O56" s="82"/>
      <c r="P56" s="51"/>
      <c r="Q56" s="338"/>
      <c r="R56" s="51"/>
      <c r="S56" s="51"/>
      <c r="T56" s="35"/>
      <c r="U56" s="51"/>
      <c r="V56" s="51">
        <v>547693.39</v>
      </c>
      <c r="W56" s="364"/>
      <c r="X56" s="285">
        <v>256124.42</v>
      </c>
      <c r="Y56" s="285">
        <v>321582.37</v>
      </c>
      <c r="Z56" s="285">
        <v>278220.73</v>
      </c>
      <c r="AA56" s="285"/>
      <c r="AB56" s="285"/>
      <c r="AC56" s="285"/>
      <c r="AD56" s="9"/>
      <c r="AE56" s="40"/>
      <c r="AF56" s="56"/>
      <c r="AG56" s="56"/>
    </row>
    <row r="57" spans="1:33" ht="19.5" customHeight="1" x14ac:dyDescent="0.3">
      <c r="A57" s="177"/>
      <c r="B57" s="66" t="s">
        <v>144</v>
      </c>
      <c r="C57" s="51">
        <f t="shared" ref="C57:R57" si="6">SUM(C55:C56)</f>
        <v>22529551.390000001</v>
      </c>
      <c r="D57" s="51">
        <f t="shared" si="6"/>
        <v>21874578</v>
      </c>
      <c r="E57" s="51">
        <f t="shared" si="6"/>
        <v>0</v>
      </c>
      <c r="F57" s="51">
        <f t="shared" si="6"/>
        <v>12394982.4</v>
      </c>
      <c r="G57" s="51">
        <f t="shared" si="6"/>
        <v>2402596.7999999998</v>
      </c>
      <c r="H57" s="51">
        <f t="shared" si="6"/>
        <v>4415154</v>
      </c>
      <c r="I57" s="51">
        <f t="shared" si="6"/>
        <v>2661844.7999999998</v>
      </c>
      <c r="J57" s="82">
        <f t="shared" si="6"/>
        <v>0</v>
      </c>
      <c r="K57" s="51">
        <f t="shared" si="6"/>
        <v>0</v>
      </c>
      <c r="L57" s="51">
        <f t="shared" si="6"/>
        <v>0</v>
      </c>
      <c r="M57" s="82">
        <f t="shared" si="6"/>
        <v>0</v>
      </c>
      <c r="N57" s="51">
        <f t="shared" si="6"/>
        <v>0</v>
      </c>
      <c r="O57" s="82">
        <f t="shared" si="6"/>
        <v>0</v>
      </c>
      <c r="P57" s="51">
        <f t="shared" si="6"/>
        <v>0</v>
      </c>
      <c r="Q57" s="338">
        <f t="shared" si="6"/>
        <v>0</v>
      </c>
      <c r="R57" s="51">
        <f t="shared" si="6"/>
        <v>0</v>
      </c>
      <c r="S57" s="51">
        <f>SUM(S55:S56)</f>
        <v>0</v>
      </c>
      <c r="T57" s="35">
        <f>SUM(T55:T56)</f>
        <v>0</v>
      </c>
      <c r="U57" s="51">
        <f>SUM(U55:U56)</f>
        <v>0</v>
      </c>
      <c r="V57" s="51">
        <f>SUM(V55:V56)</f>
        <v>654973.39</v>
      </c>
      <c r="W57" s="51">
        <f>SUM(W55:W56)</f>
        <v>0</v>
      </c>
      <c r="X57" s="285"/>
      <c r="Y57" s="285"/>
      <c r="Z57" s="285"/>
      <c r="AA57" s="285"/>
      <c r="AB57" s="285"/>
      <c r="AC57" s="285"/>
      <c r="AD57" s="9"/>
      <c r="AE57" s="40"/>
      <c r="AF57" s="56"/>
      <c r="AG57" s="56"/>
    </row>
    <row r="58" spans="1:33" ht="19.5" customHeight="1" x14ac:dyDescent="0.3">
      <c r="A58" s="177" t="s">
        <v>171</v>
      </c>
      <c r="B58" s="66"/>
      <c r="C58" s="51"/>
      <c r="D58" s="51"/>
      <c r="E58" s="51"/>
      <c r="F58" s="51"/>
      <c r="G58" s="51"/>
      <c r="H58" s="51"/>
      <c r="I58" s="51"/>
      <c r="J58" s="82"/>
      <c r="K58" s="51"/>
      <c r="L58" s="51"/>
      <c r="M58" s="82"/>
      <c r="N58" s="51"/>
      <c r="O58" s="82"/>
      <c r="P58" s="51"/>
      <c r="Q58" s="338"/>
      <c r="R58" s="51"/>
      <c r="S58" s="51"/>
      <c r="T58" s="35"/>
      <c r="U58" s="51"/>
      <c r="V58" s="51"/>
      <c r="W58" s="364"/>
      <c r="X58" s="285"/>
      <c r="Y58" s="285"/>
      <c r="Z58" s="285"/>
      <c r="AA58" s="285"/>
      <c r="AB58" s="285"/>
      <c r="AC58" s="285"/>
      <c r="AD58" s="9"/>
      <c r="AE58" s="40"/>
      <c r="AF58" s="56"/>
      <c r="AG58" s="56"/>
    </row>
    <row r="59" spans="1:33" ht="19.5" customHeight="1" x14ac:dyDescent="0.3">
      <c r="A59" s="177">
        <f>A56+1</f>
        <v>42</v>
      </c>
      <c r="B59" s="66" t="s">
        <v>176</v>
      </c>
      <c r="C59" s="51">
        <f>D59+K59+L59+N59+P59+R59+S59+U59+V59+W59</f>
        <v>1047880</v>
      </c>
      <c r="D59" s="51">
        <f>E59+F59+G59+H59+I59</f>
        <v>1047880</v>
      </c>
      <c r="E59" s="51"/>
      <c r="F59" s="51"/>
      <c r="G59" s="51">
        <f>3910*134</f>
        <v>523940</v>
      </c>
      <c r="H59" s="51">
        <f>3910*134</f>
        <v>523940</v>
      </c>
      <c r="I59" s="51"/>
      <c r="J59" s="82"/>
      <c r="K59" s="51"/>
      <c r="L59" s="51"/>
      <c r="M59" s="82"/>
      <c r="N59" s="51"/>
      <c r="O59" s="129"/>
      <c r="P59" s="51"/>
      <c r="Q59" s="338"/>
      <c r="R59" s="51"/>
      <c r="S59" s="51"/>
      <c r="T59" s="35"/>
      <c r="U59" s="51"/>
      <c r="V59" s="51"/>
      <c r="W59" s="364"/>
      <c r="X59" s="285"/>
      <c r="Y59" s="285"/>
      <c r="Z59" s="285"/>
      <c r="AA59" s="285"/>
      <c r="AB59" s="285"/>
      <c r="AC59" s="285"/>
      <c r="AD59" s="9"/>
      <c r="AE59" s="40"/>
      <c r="AF59" s="56"/>
      <c r="AG59" s="56"/>
    </row>
    <row r="60" spans="1:33" ht="19.5" customHeight="1" x14ac:dyDescent="0.3">
      <c r="A60" s="177">
        <f>A59+1</f>
        <v>43</v>
      </c>
      <c r="B60" s="66" t="s">
        <v>177</v>
      </c>
      <c r="C60" s="51">
        <f>D60+K60+L60+N60+P60+R60+S60+U60+V60+W60</f>
        <v>1353393</v>
      </c>
      <c r="D60" s="51">
        <f>E60+F60+G60+H60+I60</f>
        <v>1353393</v>
      </c>
      <c r="E60" s="51"/>
      <c r="F60" s="51">
        <f>5502*56+607361</f>
        <v>915473</v>
      </c>
      <c r="G60" s="51">
        <f>3910*56</f>
        <v>218960</v>
      </c>
      <c r="H60" s="51">
        <f>3910*56</f>
        <v>218960</v>
      </c>
      <c r="I60" s="51"/>
      <c r="J60" s="82"/>
      <c r="K60" s="51"/>
      <c r="L60" s="51"/>
      <c r="M60" s="82"/>
      <c r="N60" s="51"/>
      <c r="O60" s="129"/>
      <c r="P60" s="51"/>
      <c r="Q60" s="338"/>
      <c r="R60" s="51"/>
      <c r="S60" s="51"/>
      <c r="T60" s="35"/>
      <c r="U60" s="51"/>
      <c r="V60" s="51"/>
      <c r="W60" s="364"/>
      <c r="X60" s="285">
        <v>108834.7</v>
      </c>
      <c r="Y60" s="285"/>
      <c r="Z60" s="285"/>
      <c r="AA60" s="285"/>
      <c r="AB60" s="285"/>
      <c r="AC60" s="285"/>
      <c r="AD60" s="9"/>
      <c r="AE60" s="40"/>
      <c r="AF60" s="56"/>
      <c r="AG60" s="56"/>
    </row>
    <row r="61" spans="1:33" ht="19.5" customHeight="1" x14ac:dyDescent="0.3">
      <c r="A61" s="177">
        <f>A60+1</f>
        <v>44</v>
      </c>
      <c r="B61" s="66" t="s">
        <v>181</v>
      </c>
      <c r="C61" s="51">
        <f>D61+K61+L61+N61+P61+R61+S61+U61+V61+W61</f>
        <v>5261100</v>
      </c>
      <c r="D61" s="51">
        <f>E61+F61+G61+H61+I61</f>
        <v>0</v>
      </c>
      <c r="E61" s="51"/>
      <c r="F61" s="51"/>
      <c r="G61" s="51"/>
      <c r="H61" s="51"/>
      <c r="I61" s="51"/>
      <c r="J61" s="82"/>
      <c r="K61" s="51"/>
      <c r="L61" s="51"/>
      <c r="M61" s="379">
        <v>650</v>
      </c>
      <c r="N61" s="51">
        <f>M61*8094</f>
        <v>5261100</v>
      </c>
      <c r="O61" s="129"/>
      <c r="P61" s="51"/>
      <c r="Q61" s="338"/>
      <c r="R61" s="51"/>
      <c r="S61" s="51"/>
      <c r="T61" s="35"/>
      <c r="U61" s="51"/>
      <c r="V61" s="51"/>
      <c r="W61" s="364"/>
      <c r="X61" s="285"/>
      <c r="Y61" s="285"/>
      <c r="Z61" s="285"/>
      <c r="AA61" s="285"/>
      <c r="AB61" s="285"/>
      <c r="AC61" s="285"/>
      <c r="AD61" s="9"/>
      <c r="AE61" s="40"/>
      <c r="AF61" s="56"/>
      <c r="AG61" s="56"/>
    </row>
    <row r="62" spans="1:33" ht="19.5" customHeight="1" x14ac:dyDescent="0.3">
      <c r="A62" s="177">
        <f>A61+1</f>
        <v>45</v>
      </c>
      <c r="B62" s="66" t="s">
        <v>182</v>
      </c>
      <c r="C62" s="51">
        <f>D62+K62+L62+N62+P62+R62+S62+U62+V62+W62</f>
        <v>5261100</v>
      </c>
      <c r="D62" s="51">
        <f>E62+F62+G62+H62+I62</f>
        <v>0</v>
      </c>
      <c r="E62" s="51"/>
      <c r="F62" s="51"/>
      <c r="G62" s="51"/>
      <c r="H62" s="51"/>
      <c r="I62" s="51"/>
      <c r="J62" s="82"/>
      <c r="K62" s="51"/>
      <c r="L62" s="51"/>
      <c r="M62" s="379">
        <v>650</v>
      </c>
      <c r="N62" s="51">
        <f>M62*8094</f>
        <v>5261100</v>
      </c>
      <c r="O62" s="129"/>
      <c r="P62" s="51"/>
      <c r="Q62" s="338"/>
      <c r="R62" s="51"/>
      <c r="S62" s="51"/>
      <c r="T62" s="35"/>
      <c r="U62" s="51"/>
      <c r="V62" s="51"/>
      <c r="W62" s="364"/>
      <c r="X62" s="285"/>
      <c r="Y62" s="285"/>
      <c r="Z62" s="285"/>
      <c r="AA62" s="285"/>
      <c r="AB62" s="285"/>
      <c r="AC62" s="285"/>
      <c r="AD62" s="9"/>
      <c r="AE62" s="40"/>
      <c r="AF62" s="56"/>
      <c r="AG62" s="56"/>
    </row>
    <row r="63" spans="1:33" ht="19.5" customHeight="1" x14ac:dyDescent="0.3">
      <c r="A63" s="177"/>
      <c r="B63" s="66" t="s">
        <v>144</v>
      </c>
      <c r="C63" s="51">
        <f t="shared" ref="C63:R63" si="7">SUM(C59:C62)</f>
        <v>12923473</v>
      </c>
      <c r="D63" s="51">
        <f t="shared" si="7"/>
        <v>2401273</v>
      </c>
      <c r="E63" s="51">
        <f t="shared" si="7"/>
        <v>0</v>
      </c>
      <c r="F63" s="51">
        <f t="shared" si="7"/>
        <v>915473</v>
      </c>
      <c r="G63" s="51">
        <f t="shared" si="7"/>
        <v>742900</v>
      </c>
      <c r="H63" s="51">
        <f t="shared" si="7"/>
        <v>742900</v>
      </c>
      <c r="I63" s="51">
        <f t="shared" si="7"/>
        <v>0</v>
      </c>
      <c r="J63" s="82">
        <f t="shared" si="7"/>
        <v>0</v>
      </c>
      <c r="K63" s="51">
        <f t="shared" si="7"/>
        <v>0</v>
      </c>
      <c r="L63" s="51">
        <f t="shared" si="7"/>
        <v>0</v>
      </c>
      <c r="M63" s="82">
        <f t="shared" si="7"/>
        <v>1300</v>
      </c>
      <c r="N63" s="51">
        <f t="shared" si="7"/>
        <v>10522200</v>
      </c>
      <c r="O63" s="82">
        <f t="shared" si="7"/>
        <v>0</v>
      </c>
      <c r="P63" s="51">
        <f t="shared" si="7"/>
        <v>0</v>
      </c>
      <c r="Q63" s="338">
        <f t="shared" si="7"/>
        <v>0</v>
      </c>
      <c r="R63" s="51">
        <f t="shared" si="7"/>
        <v>0</v>
      </c>
      <c r="S63" s="51">
        <f>SUM(S59:S62)</f>
        <v>0</v>
      </c>
      <c r="T63" s="35">
        <f>SUM(T59:T62)</f>
        <v>0</v>
      </c>
      <c r="U63" s="51">
        <f>SUM(U59:U62)</f>
        <v>0</v>
      </c>
      <c r="V63" s="51">
        <f>SUM(V59:V62)</f>
        <v>0</v>
      </c>
      <c r="W63" s="51">
        <f>SUM(W59:W62)</f>
        <v>0</v>
      </c>
      <c r="X63" s="285"/>
      <c r="Y63" s="285"/>
      <c r="Z63" s="285"/>
      <c r="AA63" s="285"/>
      <c r="AB63" s="285"/>
      <c r="AC63" s="285"/>
      <c r="AD63" s="9"/>
      <c r="AE63" s="40"/>
      <c r="AF63" s="56"/>
      <c r="AG63" s="56"/>
    </row>
    <row r="64" spans="1:33" ht="30.75" customHeight="1" x14ac:dyDescent="0.3">
      <c r="A64" s="177"/>
      <c r="B64" s="131" t="s">
        <v>183</v>
      </c>
      <c r="C64" s="51"/>
      <c r="D64" s="51"/>
      <c r="E64" s="51"/>
      <c r="F64" s="51"/>
      <c r="G64" s="51"/>
      <c r="H64" s="51"/>
      <c r="I64" s="51"/>
      <c r="J64" s="82"/>
      <c r="K64" s="51"/>
      <c r="L64" s="51"/>
      <c r="M64" s="129"/>
      <c r="N64" s="51"/>
      <c r="O64" s="129"/>
      <c r="P64" s="51"/>
      <c r="Q64" s="338"/>
      <c r="R64" s="51"/>
      <c r="S64" s="51"/>
      <c r="T64" s="35"/>
      <c r="U64" s="51"/>
      <c r="V64" s="51"/>
      <c r="W64" s="364"/>
      <c r="X64" s="285"/>
      <c r="Y64" s="285"/>
      <c r="Z64" s="285"/>
      <c r="AA64" s="285"/>
      <c r="AB64" s="285"/>
      <c r="AC64" s="285"/>
      <c r="AD64" s="9"/>
      <c r="AE64" s="40"/>
      <c r="AF64" s="56"/>
      <c r="AG64" s="56"/>
    </row>
    <row r="65" spans="1:33" ht="19.5" customHeight="1" x14ac:dyDescent="0.3">
      <c r="A65" s="177">
        <f>A62+1</f>
        <v>46</v>
      </c>
      <c r="B65" s="66" t="s">
        <v>184</v>
      </c>
      <c r="C65" s="51">
        <f>D65+K65+L65+N65+P65+R65+S65+U65+V65+W65</f>
        <v>3035250</v>
      </c>
      <c r="D65" s="51">
        <f>E65+F65+G65+H65+I65</f>
        <v>0</v>
      </c>
      <c r="E65" s="51"/>
      <c r="F65" s="51"/>
      <c r="G65" s="51"/>
      <c r="H65" s="51"/>
      <c r="I65" s="51"/>
      <c r="J65" s="82"/>
      <c r="K65" s="51"/>
      <c r="L65" s="51"/>
      <c r="M65" s="82">
        <v>375</v>
      </c>
      <c r="N65" s="51">
        <f>M65*8094</f>
        <v>3035250</v>
      </c>
      <c r="O65" s="82"/>
      <c r="P65" s="364"/>
      <c r="Q65" s="338"/>
      <c r="R65" s="51"/>
      <c r="S65" s="51"/>
      <c r="T65" s="35"/>
      <c r="U65" s="51"/>
      <c r="V65" s="51"/>
      <c r="W65" s="364"/>
      <c r="X65" s="285"/>
      <c r="Y65" s="285"/>
      <c r="Z65" s="285"/>
      <c r="AA65" s="285"/>
      <c r="AB65" s="285">
        <v>104325.36</v>
      </c>
      <c r="AC65" s="285"/>
      <c r="AD65" s="9"/>
      <c r="AE65" s="40"/>
      <c r="AF65" s="56">
        <v>510455.62</v>
      </c>
      <c r="AG65" s="56"/>
    </row>
    <row r="66" spans="1:33" ht="19.5" customHeight="1" x14ac:dyDescent="0.3">
      <c r="A66" s="177">
        <f>A65+1</f>
        <v>47</v>
      </c>
      <c r="B66" s="66" t="s">
        <v>190</v>
      </c>
      <c r="C66" s="51">
        <f>D66+K66+L66+N66+P66+R66+S66+U66+V66+W66</f>
        <v>6740415</v>
      </c>
      <c r="D66" s="51">
        <f>E66+F66+G66+H66+I66</f>
        <v>0</v>
      </c>
      <c r="E66" s="51"/>
      <c r="F66" s="51"/>
      <c r="G66" s="51"/>
      <c r="H66" s="51"/>
      <c r="I66" s="51"/>
      <c r="J66" s="82"/>
      <c r="K66" s="51"/>
      <c r="L66" s="51"/>
      <c r="M66" s="82"/>
      <c r="N66" s="51"/>
      <c r="O66" s="82">
        <v>255</v>
      </c>
      <c r="P66" s="51">
        <f>26433*O66</f>
        <v>6740415</v>
      </c>
      <c r="Q66" s="338"/>
      <c r="R66" s="51"/>
      <c r="S66" s="51"/>
      <c r="T66" s="35"/>
      <c r="U66" s="51"/>
      <c r="V66" s="51"/>
      <c r="W66" s="364"/>
      <c r="X66" s="285"/>
      <c r="Y66" s="285"/>
      <c r="Z66" s="285"/>
      <c r="AA66" s="285"/>
      <c r="AB66" s="285"/>
      <c r="AC66" s="285"/>
      <c r="AD66" s="9"/>
      <c r="AE66" s="40"/>
      <c r="AF66" s="56"/>
      <c r="AG66" s="56"/>
    </row>
    <row r="67" spans="1:33" ht="19.5" customHeight="1" x14ac:dyDescent="0.3">
      <c r="A67" s="177"/>
      <c r="B67" s="66" t="s">
        <v>144</v>
      </c>
      <c r="C67" s="51">
        <f t="shared" ref="C67:R67" si="8">SUM(C65:C66)</f>
        <v>9775665</v>
      </c>
      <c r="D67" s="51">
        <f t="shared" si="8"/>
        <v>0</v>
      </c>
      <c r="E67" s="51">
        <f t="shared" si="8"/>
        <v>0</v>
      </c>
      <c r="F67" s="51">
        <f t="shared" si="8"/>
        <v>0</v>
      </c>
      <c r="G67" s="51">
        <f t="shared" si="8"/>
        <v>0</v>
      </c>
      <c r="H67" s="51">
        <f t="shared" si="8"/>
        <v>0</v>
      </c>
      <c r="I67" s="51">
        <f t="shared" si="8"/>
        <v>0</v>
      </c>
      <c r="J67" s="82">
        <f t="shared" si="8"/>
        <v>0</v>
      </c>
      <c r="K67" s="51">
        <f t="shared" si="8"/>
        <v>0</v>
      </c>
      <c r="L67" s="51">
        <f t="shared" si="8"/>
        <v>0</v>
      </c>
      <c r="M67" s="82">
        <f t="shared" si="8"/>
        <v>375</v>
      </c>
      <c r="N67" s="51">
        <f t="shared" si="8"/>
        <v>3035250</v>
      </c>
      <c r="O67" s="82">
        <f t="shared" si="8"/>
        <v>255</v>
      </c>
      <c r="P67" s="51">
        <f t="shared" si="8"/>
        <v>6740415</v>
      </c>
      <c r="Q67" s="338">
        <f t="shared" si="8"/>
        <v>0</v>
      </c>
      <c r="R67" s="51">
        <f t="shared" si="8"/>
        <v>0</v>
      </c>
      <c r="S67" s="51">
        <f>SUM(S65:S66)</f>
        <v>0</v>
      </c>
      <c r="T67" s="35">
        <f>SUM(T65:T66)</f>
        <v>0</v>
      </c>
      <c r="U67" s="51">
        <f>SUM(U65:U66)</f>
        <v>0</v>
      </c>
      <c r="V67" s="51">
        <f>SUM(V65:V66)</f>
        <v>0</v>
      </c>
      <c r="W67" s="51">
        <f>SUM(W65:W66)</f>
        <v>0</v>
      </c>
      <c r="X67" s="285"/>
      <c r="Y67" s="9"/>
      <c r="Z67" s="40"/>
      <c r="AA67" s="56"/>
      <c r="AB67" s="56"/>
      <c r="AC67" s="56"/>
      <c r="AD67" s="56"/>
      <c r="AE67" s="9"/>
      <c r="AF67" s="9"/>
      <c r="AG67" s="9"/>
    </row>
    <row r="68" spans="1:33" ht="27.75" customHeight="1" x14ac:dyDescent="0.3">
      <c r="A68" s="177"/>
      <c r="B68" s="66" t="s">
        <v>194</v>
      </c>
      <c r="C68" s="51">
        <f>C47+C53+C57+C63+C67</f>
        <v>156402842.36000001</v>
      </c>
      <c r="D68" s="51">
        <f t="shared" ref="D68:W68" si="9">D47+D53+D57+D63+D67</f>
        <v>98789597.269999996</v>
      </c>
      <c r="E68" s="51">
        <f t="shared" si="9"/>
        <v>35505031.480000004</v>
      </c>
      <c r="F68" s="51">
        <f t="shared" si="9"/>
        <v>41469778.93</v>
      </c>
      <c r="G68" s="51">
        <f t="shared" si="9"/>
        <v>6339887.1799999997</v>
      </c>
      <c r="H68" s="51">
        <f t="shared" si="9"/>
        <v>12813054.879999999</v>
      </c>
      <c r="I68" s="51">
        <f t="shared" si="9"/>
        <v>2661844.7999999998</v>
      </c>
      <c r="J68" s="82">
        <f t="shared" si="9"/>
        <v>0</v>
      </c>
      <c r="K68" s="51">
        <f t="shared" si="9"/>
        <v>0</v>
      </c>
      <c r="L68" s="51">
        <f t="shared" si="9"/>
        <v>0</v>
      </c>
      <c r="M68" s="82">
        <f t="shared" si="9"/>
        <v>4251</v>
      </c>
      <c r="N68" s="51">
        <f t="shared" si="9"/>
        <v>27503890.789999999</v>
      </c>
      <c r="O68" s="82">
        <f t="shared" si="9"/>
        <v>255</v>
      </c>
      <c r="P68" s="51">
        <f t="shared" si="9"/>
        <v>6740415</v>
      </c>
      <c r="Q68" s="338">
        <f t="shared" si="9"/>
        <v>3558</v>
      </c>
      <c r="R68" s="51">
        <f t="shared" si="9"/>
        <v>13630144.390000001</v>
      </c>
      <c r="S68" s="51">
        <f t="shared" si="9"/>
        <v>0</v>
      </c>
      <c r="T68" s="35">
        <f t="shared" si="9"/>
        <v>0</v>
      </c>
      <c r="U68" s="51">
        <f t="shared" si="9"/>
        <v>9083821.5199999996</v>
      </c>
      <c r="V68" s="51">
        <f t="shared" si="9"/>
        <v>654973.39</v>
      </c>
      <c r="W68" s="51">
        <f t="shared" si="9"/>
        <v>0</v>
      </c>
      <c r="X68" s="304">
        <f t="shared" ref="X68:Y68" si="10">X47+X53+X57+X63+X67</f>
        <v>0</v>
      </c>
      <c r="Y68" s="50">
        <f t="shared" si="10"/>
        <v>0</v>
      </c>
      <c r="Z68" s="40"/>
      <c r="AA68" s="56"/>
      <c r="AB68" s="56"/>
      <c r="AC68" s="56"/>
      <c r="AD68" s="56"/>
      <c r="AE68" s="9"/>
      <c r="AF68" s="9"/>
      <c r="AG68" s="9"/>
    </row>
    <row r="69" spans="1:33" ht="15" customHeight="1" x14ac:dyDescent="0.3">
      <c r="A69" s="63" t="s">
        <v>195</v>
      </c>
      <c r="B69" s="176"/>
      <c r="C69" s="363"/>
      <c r="D69" s="363"/>
      <c r="E69" s="363"/>
      <c r="F69" s="363"/>
      <c r="G69" s="363"/>
      <c r="H69" s="363"/>
      <c r="I69" s="363"/>
      <c r="J69" s="391"/>
      <c r="K69" s="363"/>
      <c r="L69" s="363"/>
      <c r="M69" s="391"/>
      <c r="N69" s="363"/>
      <c r="O69" s="391"/>
      <c r="P69" s="363"/>
      <c r="Q69" s="392"/>
      <c r="R69" s="363"/>
      <c r="S69" s="363"/>
      <c r="T69" s="393"/>
      <c r="U69" s="363"/>
      <c r="V69" s="363"/>
      <c r="W69" s="363"/>
      <c r="X69" s="305" t="s">
        <v>196</v>
      </c>
      <c r="Y69" s="179"/>
      <c r="Z69" s="179"/>
      <c r="AA69" s="179"/>
      <c r="AB69" s="179"/>
      <c r="AC69" s="172"/>
      <c r="AD69" s="172"/>
      <c r="AE69" s="172"/>
      <c r="AF69" s="62"/>
      <c r="AG69" s="62"/>
    </row>
    <row r="70" spans="1:33" x14ac:dyDescent="0.3">
      <c r="A70" s="177" t="s">
        <v>212</v>
      </c>
      <c r="B70" s="66"/>
      <c r="C70" s="51"/>
      <c r="D70" s="51"/>
      <c r="E70" s="51"/>
      <c r="F70" s="51"/>
      <c r="G70" s="51"/>
      <c r="H70" s="51"/>
      <c r="I70" s="51"/>
      <c r="J70" s="82"/>
      <c r="K70" s="51"/>
      <c r="L70" s="51"/>
      <c r="M70" s="82"/>
      <c r="N70" s="51"/>
      <c r="O70" s="82"/>
      <c r="P70" s="51"/>
      <c r="Q70" s="338"/>
      <c r="R70" s="51"/>
      <c r="S70" s="51"/>
      <c r="T70" s="35"/>
      <c r="U70" s="51"/>
      <c r="V70" s="51"/>
      <c r="W70" s="364"/>
      <c r="X70" s="141"/>
      <c r="Y70" s="48"/>
      <c r="Z70" s="48"/>
      <c r="AA70" s="48"/>
      <c r="AB70" s="48"/>
      <c r="AC70" s="48"/>
      <c r="AD70" s="61"/>
      <c r="AE70" s="62"/>
      <c r="AF70" s="62"/>
      <c r="AG70" s="62"/>
    </row>
    <row r="71" spans="1:33" x14ac:dyDescent="0.3">
      <c r="A71" s="177">
        <f>A66+1</f>
        <v>48</v>
      </c>
      <c r="B71" s="66" t="s">
        <v>214</v>
      </c>
      <c r="C71" s="51">
        <f>D71+N71+P71+R71+S71+U71+V71+W71</f>
        <v>4265616</v>
      </c>
      <c r="D71" s="51">
        <f>E71+F71+G71+H71+I71</f>
        <v>0</v>
      </c>
      <c r="E71" s="51"/>
      <c r="F71" s="51"/>
      <c r="G71" s="51"/>
      <c r="H71" s="51"/>
      <c r="I71" s="51"/>
      <c r="J71" s="82"/>
      <c r="K71" s="51"/>
      <c r="L71" s="51"/>
      <c r="M71" s="82">
        <v>702</v>
      </c>
      <c r="N71" s="51">
        <v>4265616</v>
      </c>
      <c r="O71" s="82"/>
      <c r="P71" s="51"/>
      <c r="Q71" s="338"/>
      <c r="R71" s="51"/>
      <c r="S71" s="51"/>
      <c r="T71" s="35"/>
      <c r="U71" s="51"/>
      <c r="V71" s="51"/>
      <c r="W71" s="364">
        <f>SUM(AB71:AG71)</f>
        <v>0</v>
      </c>
      <c r="X71" s="141"/>
      <c r="Y71" s="48"/>
      <c r="Z71" s="48"/>
      <c r="AA71" s="48"/>
      <c r="AB71" s="48"/>
      <c r="AC71" s="48"/>
      <c r="AD71" s="61"/>
      <c r="AE71" s="62"/>
      <c r="AF71" s="62"/>
      <c r="AG71" s="62"/>
    </row>
    <row r="72" spans="1:33" x14ac:dyDescent="0.3">
      <c r="A72" s="177" t="s">
        <v>211</v>
      </c>
      <c r="B72" s="66"/>
      <c r="C72" s="51">
        <f t="shared" ref="C72:W72" si="11">SUM(C71:C71)</f>
        <v>4265616</v>
      </c>
      <c r="D72" s="51">
        <f t="shared" si="11"/>
        <v>0</v>
      </c>
      <c r="E72" s="51">
        <f t="shared" si="11"/>
        <v>0</v>
      </c>
      <c r="F72" s="51">
        <f t="shared" si="11"/>
        <v>0</v>
      </c>
      <c r="G72" s="51">
        <f t="shared" si="11"/>
        <v>0</v>
      </c>
      <c r="H72" s="51">
        <f t="shared" si="11"/>
        <v>0</v>
      </c>
      <c r="I72" s="51">
        <f t="shared" si="11"/>
        <v>0</v>
      </c>
      <c r="J72" s="82">
        <f t="shared" si="11"/>
        <v>0</v>
      </c>
      <c r="K72" s="51">
        <f t="shared" si="11"/>
        <v>0</v>
      </c>
      <c r="L72" s="51">
        <f t="shared" si="11"/>
        <v>0</v>
      </c>
      <c r="M72" s="82">
        <f t="shared" si="11"/>
        <v>702</v>
      </c>
      <c r="N72" s="51">
        <f t="shared" si="11"/>
        <v>4265616</v>
      </c>
      <c r="O72" s="82">
        <f t="shared" si="11"/>
        <v>0</v>
      </c>
      <c r="P72" s="51">
        <f t="shared" si="11"/>
        <v>0</v>
      </c>
      <c r="Q72" s="338">
        <f t="shared" si="11"/>
        <v>0</v>
      </c>
      <c r="R72" s="51">
        <f t="shared" si="11"/>
        <v>0</v>
      </c>
      <c r="S72" s="51">
        <f t="shared" si="11"/>
        <v>0</v>
      </c>
      <c r="T72" s="35">
        <f t="shared" si="11"/>
        <v>0</v>
      </c>
      <c r="U72" s="51">
        <f t="shared" si="11"/>
        <v>0</v>
      </c>
      <c r="V72" s="51">
        <f t="shared" si="11"/>
        <v>0</v>
      </c>
      <c r="W72" s="51">
        <f t="shared" si="11"/>
        <v>0</v>
      </c>
      <c r="X72" s="141"/>
      <c r="Y72" s="48"/>
      <c r="Z72" s="48"/>
      <c r="AA72" s="48"/>
      <c r="AB72" s="48"/>
      <c r="AC72" s="48"/>
      <c r="AD72" s="61"/>
      <c r="AE72" s="62"/>
      <c r="AF72" s="62"/>
      <c r="AG72" s="62"/>
    </row>
    <row r="73" spans="1:33" x14ac:dyDescent="0.3">
      <c r="A73" s="177" t="s">
        <v>215</v>
      </c>
      <c r="B73" s="66"/>
      <c r="C73" s="51"/>
      <c r="D73" s="51"/>
      <c r="E73" s="51"/>
      <c r="F73" s="51"/>
      <c r="G73" s="51"/>
      <c r="H73" s="51"/>
      <c r="I73" s="51"/>
      <c r="J73" s="82"/>
      <c r="K73" s="51"/>
      <c r="L73" s="51"/>
      <c r="M73" s="82"/>
      <c r="N73" s="51"/>
      <c r="O73" s="82"/>
      <c r="P73" s="51"/>
      <c r="Q73" s="338"/>
      <c r="R73" s="51"/>
      <c r="S73" s="51"/>
      <c r="T73" s="35"/>
      <c r="U73" s="51"/>
      <c r="V73" s="51"/>
      <c r="W73" s="364"/>
      <c r="X73" s="141"/>
      <c r="Y73" s="48"/>
      <c r="Z73" s="48"/>
      <c r="AA73" s="48"/>
      <c r="AB73" s="48"/>
      <c r="AC73" s="48"/>
      <c r="AD73" s="61"/>
      <c r="AE73" s="62"/>
      <c r="AF73" s="62"/>
      <c r="AG73" s="62"/>
    </row>
    <row r="74" spans="1:33" x14ac:dyDescent="0.3">
      <c r="A74" s="177">
        <f>A71+1</f>
        <v>49</v>
      </c>
      <c r="B74" s="66" t="s">
        <v>219</v>
      </c>
      <c r="C74" s="51">
        <f>D74+N74+P74+R74+S74+U74+V74+W74</f>
        <v>19319673.030000001</v>
      </c>
      <c r="D74" s="51">
        <f>E74+F74+G74+H74+I74</f>
        <v>19319673.030000001</v>
      </c>
      <c r="E74" s="51"/>
      <c r="F74" s="51">
        <v>13431000.48</v>
      </c>
      <c r="G74" s="51">
        <v>2180002.75</v>
      </c>
      <c r="H74" s="51">
        <v>3708669.8</v>
      </c>
      <c r="I74" s="51"/>
      <c r="J74" s="82"/>
      <c r="K74" s="51"/>
      <c r="L74" s="51"/>
      <c r="M74" s="82"/>
      <c r="N74" s="51"/>
      <c r="O74" s="82"/>
      <c r="P74" s="51"/>
      <c r="Q74" s="338"/>
      <c r="R74" s="51"/>
      <c r="S74" s="51"/>
      <c r="T74" s="35"/>
      <c r="U74" s="51"/>
      <c r="V74" s="51"/>
      <c r="W74" s="364">
        <f>SUM(AB74:AG74)</f>
        <v>0</v>
      </c>
      <c r="X74" s="141"/>
      <c r="Y74" s="48"/>
      <c r="Z74" s="48"/>
      <c r="AA74" s="48"/>
      <c r="AB74" s="48"/>
      <c r="AC74" s="48"/>
      <c r="AD74" s="61"/>
      <c r="AE74" s="62"/>
      <c r="AF74" s="62"/>
      <c r="AG74" s="62"/>
    </row>
    <row r="75" spans="1:33" x14ac:dyDescent="0.3">
      <c r="A75" s="177">
        <f>A74+1</f>
        <v>50</v>
      </c>
      <c r="B75" s="66" t="s">
        <v>221</v>
      </c>
      <c r="C75" s="51">
        <f>D75+N75+P75+R75+S75+U75+V75+W75</f>
        <v>7196652.0000000009</v>
      </c>
      <c r="D75" s="51">
        <f>E75+F75+G75+H75+I75</f>
        <v>7196652.0000000009</v>
      </c>
      <c r="E75" s="51"/>
      <c r="F75" s="51">
        <v>1765398</v>
      </c>
      <c r="G75" s="51">
        <v>1522639.2</v>
      </c>
      <c r="H75" s="51">
        <v>2868225.6</v>
      </c>
      <c r="I75" s="51">
        <v>1040389.2</v>
      </c>
      <c r="J75" s="82"/>
      <c r="K75" s="51"/>
      <c r="L75" s="51"/>
      <c r="M75" s="82"/>
      <c r="N75" s="51"/>
      <c r="O75" s="82"/>
      <c r="P75" s="51"/>
      <c r="Q75" s="338"/>
      <c r="R75" s="51"/>
      <c r="S75" s="51"/>
      <c r="T75" s="35"/>
      <c r="U75" s="51"/>
      <c r="V75" s="51"/>
      <c r="W75" s="364">
        <f>SUM(AB75:AG75)</f>
        <v>0</v>
      </c>
      <c r="X75" s="141"/>
      <c r="Y75" s="48"/>
      <c r="Z75" s="48"/>
      <c r="AA75" s="48"/>
      <c r="AB75" s="48"/>
      <c r="AC75" s="48"/>
      <c r="AD75" s="61"/>
      <c r="AE75" s="62"/>
      <c r="AF75" s="62"/>
      <c r="AG75" s="62"/>
    </row>
    <row r="76" spans="1:33" x14ac:dyDescent="0.3">
      <c r="A76" s="177" t="s">
        <v>211</v>
      </c>
      <c r="B76" s="66"/>
      <c r="C76" s="51">
        <f t="shared" ref="C76:W76" si="12">SUM(C74:C75)</f>
        <v>26516325.030000001</v>
      </c>
      <c r="D76" s="51">
        <f t="shared" si="12"/>
        <v>26516325.030000001</v>
      </c>
      <c r="E76" s="51">
        <f t="shared" si="12"/>
        <v>0</v>
      </c>
      <c r="F76" s="51">
        <f t="shared" si="12"/>
        <v>15196398.48</v>
      </c>
      <c r="G76" s="51">
        <f t="shared" si="12"/>
        <v>3702641.95</v>
      </c>
      <c r="H76" s="51">
        <f t="shared" si="12"/>
        <v>6576895.4000000004</v>
      </c>
      <c r="I76" s="51">
        <f t="shared" si="12"/>
        <v>1040389.2</v>
      </c>
      <c r="J76" s="82">
        <f t="shared" si="12"/>
        <v>0</v>
      </c>
      <c r="K76" s="51">
        <f t="shared" si="12"/>
        <v>0</v>
      </c>
      <c r="L76" s="51">
        <f t="shared" si="12"/>
        <v>0</v>
      </c>
      <c r="M76" s="82">
        <f t="shared" si="12"/>
        <v>0</v>
      </c>
      <c r="N76" s="51">
        <f t="shared" si="12"/>
        <v>0</v>
      </c>
      <c r="O76" s="82">
        <f t="shared" si="12"/>
        <v>0</v>
      </c>
      <c r="P76" s="51">
        <f t="shared" si="12"/>
        <v>0</v>
      </c>
      <c r="Q76" s="338">
        <f t="shared" si="12"/>
        <v>0</v>
      </c>
      <c r="R76" s="51">
        <f t="shared" si="12"/>
        <v>0</v>
      </c>
      <c r="S76" s="51">
        <f t="shared" si="12"/>
        <v>0</v>
      </c>
      <c r="T76" s="35">
        <f t="shared" si="12"/>
        <v>0</v>
      </c>
      <c r="U76" s="51">
        <f t="shared" si="12"/>
        <v>0</v>
      </c>
      <c r="V76" s="51">
        <f t="shared" si="12"/>
        <v>0</v>
      </c>
      <c r="W76" s="51">
        <f t="shared" si="12"/>
        <v>0</v>
      </c>
      <c r="X76" s="141"/>
      <c r="Y76" s="48"/>
      <c r="Z76" s="48"/>
      <c r="AA76" s="48"/>
      <c r="AB76" s="48"/>
      <c r="AC76" s="48"/>
      <c r="AD76" s="61"/>
      <c r="AE76" s="62"/>
      <c r="AF76" s="62"/>
      <c r="AG76" s="62"/>
    </row>
    <row r="77" spans="1:33" x14ac:dyDescent="0.3">
      <c r="A77" s="177" t="s">
        <v>222</v>
      </c>
      <c r="B77" s="66"/>
      <c r="C77" s="51"/>
      <c r="D77" s="51"/>
      <c r="E77" s="51"/>
      <c r="F77" s="51"/>
      <c r="G77" s="51"/>
      <c r="H77" s="51"/>
      <c r="I77" s="51"/>
      <c r="J77" s="82"/>
      <c r="K77" s="51"/>
      <c r="L77" s="51"/>
      <c r="M77" s="82"/>
      <c r="N77" s="51"/>
      <c r="O77" s="82"/>
      <c r="P77" s="51"/>
      <c r="Q77" s="338"/>
      <c r="R77" s="51"/>
      <c r="S77" s="51"/>
      <c r="T77" s="35"/>
      <c r="U77" s="51"/>
      <c r="V77" s="51"/>
      <c r="W77" s="364"/>
      <c r="X77" s="141"/>
      <c r="Y77" s="48"/>
      <c r="Z77" s="48"/>
      <c r="AA77" s="48"/>
      <c r="AB77" s="48"/>
      <c r="AC77" s="48"/>
      <c r="AD77" s="61"/>
      <c r="AE77" s="62"/>
      <c r="AF77" s="62"/>
      <c r="AG77" s="62"/>
    </row>
    <row r="78" spans="1:33" x14ac:dyDescent="0.3">
      <c r="A78" s="177">
        <f>A75+1</f>
        <v>51</v>
      </c>
      <c r="B78" s="66" t="s">
        <v>223</v>
      </c>
      <c r="C78" s="51">
        <f>D78+N78+P78+R78+S78+U78+V78+W78</f>
        <v>5596066.7999999998</v>
      </c>
      <c r="D78" s="51">
        <f>E78+F78+G78+H78+I78</f>
        <v>0</v>
      </c>
      <c r="E78" s="51"/>
      <c r="F78" s="51"/>
      <c r="G78" s="51"/>
      <c r="H78" s="51"/>
      <c r="I78" s="51"/>
      <c r="J78" s="82"/>
      <c r="K78" s="51"/>
      <c r="L78" s="51"/>
      <c r="M78" s="82">
        <v>1213</v>
      </c>
      <c r="N78" s="51">
        <v>5596066.7999999998</v>
      </c>
      <c r="O78" s="82"/>
      <c r="P78" s="51"/>
      <c r="Q78" s="338"/>
      <c r="R78" s="51"/>
      <c r="S78" s="51"/>
      <c r="T78" s="35"/>
      <c r="U78" s="51"/>
      <c r="V78" s="51"/>
      <c r="W78" s="364"/>
      <c r="X78" s="141"/>
      <c r="Y78" s="48"/>
      <c r="Z78" s="48"/>
      <c r="AA78" s="48"/>
      <c r="AB78" s="48"/>
      <c r="AC78" s="48"/>
      <c r="AD78" s="61"/>
      <c r="AE78" s="62"/>
      <c r="AF78" s="62"/>
      <c r="AG78" s="62"/>
    </row>
    <row r="79" spans="1:33" x14ac:dyDescent="0.3">
      <c r="A79" s="177" t="s">
        <v>211</v>
      </c>
      <c r="B79" s="66"/>
      <c r="C79" s="51">
        <f t="shared" ref="C79:W79" si="13">C78</f>
        <v>5596066.7999999998</v>
      </c>
      <c r="D79" s="51">
        <f t="shared" si="13"/>
        <v>0</v>
      </c>
      <c r="E79" s="51">
        <f t="shared" si="13"/>
        <v>0</v>
      </c>
      <c r="F79" s="51">
        <f t="shared" si="13"/>
        <v>0</v>
      </c>
      <c r="G79" s="51">
        <f t="shared" si="13"/>
        <v>0</v>
      </c>
      <c r="H79" s="51">
        <f t="shared" si="13"/>
        <v>0</v>
      </c>
      <c r="I79" s="51">
        <f t="shared" si="13"/>
        <v>0</v>
      </c>
      <c r="J79" s="82">
        <f t="shared" si="13"/>
        <v>0</v>
      </c>
      <c r="K79" s="51">
        <f t="shared" si="13"/>
        <v>0</v>
      </c>
      <c r="L79" s="51">
        <f t="shared" si="13"/>
        <v>0</v>
      </c>
      <c r="M79" s="82">
        <f t="shared" si="13"/>
        <v>1213</v>
      </c>
      <c r="N79" s="51">
        <f t="shared" si="13"/>
        <v>5596066.7999999998</v>
      </c>
      <c r="O79" s="82">
        <f t="shared" si="13"/>
        <v>0</v>
      </c>
      <c r="P79" s="51">
        <f t="shared" si="13"/>
        <v>0</v>
      </c>
      <c r="Q79" s="338">
        <f t="shared" si="13"/>
        <v>0</v>
      </c>
      <c r="R79" s="51">
        <f t="shared" si="13"/>
        <v>0</v>
      </c>
      <c r="S79" s="51">
        <f t="shared" si="13"/>
        <v>0</v>
      </c>
      <c r="T79" s="35">
        <f t="shared" si="13"/>
        <v>0</v>
      </c>
      <c r="U79" s="51">
        <f t="shared" si="13"/>
        <v>0</v>
      </c>
      <c r="V79" s="51">
        <f t="shared" si="13"/>
        <v>0</v>
      </c>
      <c r="W79" s="51">
        <f t="shared" si="13"/>
        <v>0</v>
      </c>
      <c r="X79" s="141"/>
      <c r="Y79" s="48"/>
      <c r="Z79" s="48"/>
      <c r="AA79" s="48"/>
      <c r="AB79" s="48"/>
      <c r="AC79" s="48"/>
      <c r="AD79" s="61"/>
      <c r="AE79" s="62"/>
      <c r="AF79" s="62"/>
      <c r="AG79" s="62"/>
    </row>
    <row r="80" spans="1:33" x14ac:dyDescent="0.3">
      <c r="A80" s="177" t="s">
        <v>236</v>
      </c>
      <c r="B80" s="66"/>
      <c r="C80" s="51"/>
      <c r="D80" s="51"/>
      <c r="E80" s="51"/>
      <c r="F80" s="51"/>
      <c r="G80" s="51"/>
      <c r="H80" s="51"/>
      <c r="I80" s="51"/>
      <c r="J80" s="82"/>
      <c r="K80" s="51"/>
      <c r="L80" s="51"/>
      <c r="M80" s="82"/>
      <c r="N80" s="51"/>
      <c r="O80" s="82"/>
      <c r="P80" s="51"/>
      <c r="Q80" s="338"/>
      <c r="R80" s="51"/>
      <c r="S80" s="51"/>
      <c r="T80" s="35"/>
      <c r="U80" s="51"/>
      <c r="V80" s="51"/>
      <c r="W80" s="364"/>
      <c r="X80" s="141"/>
      <c r="Y80" s="48"/>
      <c r="Z80" s="48"/>
      <c r="AA80" s="48"/>
      <c r="AB80" s="48"/>
      <c r="AC80" s="48"/>
      <c r="AD80" s="61"/>
      <c r="AE80" s="62"/>
      <c r="AF80" s="62"/>
      <c r="AG80" s="62"/>
    </row>
    <row r="81" spans="1:33" x14ac:dyDescent="0.3">
      <c r="A81" s="177">
        <f>A78+1</f>
        <v>52</v>
      </c>
      <c r="B81" s="66" t="s">
        <v>242</v>
      </c>
      <c r="C81" s="51">
        <f>D81+N81+P81+R81+S81+U81+V81+W81</f>
        <v>2914910.4</v>
      </c>
      <c r="D81" s="51">
        <f>E81+F81+G81+H81+I81</f>
        <v>0</v>
      </c>
      <c r="E81" s="51"/>
      <c r="F81" s="51"/>
      <c r="G81" s="51"/>
      <c r="H81" s="51"/>
      <c r="I81" s="51"/>
      <c r="J81" s="82"/>
      <c r="K81" s="51"/>
      <c r="L81" s="51"/>
      <c r="M81" s="82">
        <v>588</v>
      </c>
      <c r="N81" s="51">
        <v>2914910.4</v>
      </c>
      <c r="O81" s="82"/>
      <c r="P81" s="51"/>
      <c r="Q81" s="338"/>
      <c r="R81" s="51"/>
      <c r="S81" s="51"/>
      <c r="T81" s="35"/>
      <c r="U81" s="51"/>
      <c r="V81" s="51"/>
      <c r="W81" s="364"/>
      <c r="X81" s="141" t="s">
        <v>243</v>
      </c>
      <c r="Y81" s="48"/>
      <c r="Z81" s="48"/>
      <c r="AA81" s="48"/>
      <c r="AB81" s="48">
        <f>90461.77+108207.35+147073.84</f>
        <v>345742.95999999996</v>
      </c>
      <c r="AC81" s="48"/>
      <c r="AD81" s="61"/>
      <c r="AE81" s="62">
        <v>283092.61</v>
      </c>
      <c r="AF81" s="62"/>
      <c r="AG81" s="62"/>
    </row>
    <row r="82" spans="1:33" x14ac:dyDescent="0.3">
      <c r="A82" s="177" t="s">
        <v>211</v>
      </c>
      <c r="B82" s="66"/>
      <c r="C82" s="51">
        <f t="shared" ref="C82:W82" si="14">SUM(C81:C81)</f>
        <v>2914910.4</v>
      </c>
      <c r="D82" s="51">
        <f t="shared" si="14"/>
        <v>0</v>
      </c>
      <c r="E82" s="51">
        <f t="shared" si="14"/>
        <v>0</v>
      </c>
      <c r="F82" s="51">
        <f t="shared" si="14"/>
        <v>0</v>
      </c>
      <c r="G82" s="51">
        <f t="shared" si="14"/>
        <v>0</v>
      </c>
      <c r="H82" s="51">
        <f t="shared" si="14"/>
        <v>0</v>
      </c>
      <c r="I82" s="51">
        <f t="shared" si="14"/>
        <v>0</v>
      </c>
      <c r="J82" s="82">
        <f t="shared" si="14"/>
        <v>0</v>
      </c>
      <c r="K82" s="51">
        <f t="shared" si="14"/>
        <v>0</v>
      </c>
      <c r="L82" s="51">
        <f t="shared" si="14"/>
        <v>0</v>
      </c>
      <c r="M82" s="82">
        <f t="shared" si="14"/>
        <v>588</v>
      </c>
      <c r="N82" s="51">
        <f t="shared" si="14"/>
        <v>2914910.4</v>
      </c>
      <c r="O82" s="82">
        <f t="shared" si="14"/>
        <v>0</v>
      </c>
      <c r="P82" s="51">
        <f t="shared" si="14"/>
        <v>0</v>
      </c>
      <c r="Q82" s="338">
        <f t="shared" si="14"/>
        <v>0</v>
      </c>
      <c r="R82" s="51">
        <f t="shared" si="14"/>
        <v>0</v>
      </c>
      <c r="S82" s="51">
        <f t="shared" si="14"/>
        <v>0</v>
      </c>
      <c r="T82" s="35">
        <f t="shared" si="14"/>
        <v>0</v>
      </c>
      <c r="U82" s="51">
        <f t="shared" si="14"/>
        <v>0</v>
      </c>
      <c r="V82" s="51">
        <f t="shared" si="14"/>
        <v>0</v>
      </c>
      <c r="W82" s="51">
        <f t="shared" si="14"/>
        <v>0</v>
      </c>
      <c r="X82" s="141"/>
      <c r="Y82" s="48"/>
      <c r="Z82" s="48"/>
      <c r="AA82" s="48"/>
      <c r="AB82" s="48"/>
      <c r="AC82" s="48"/>
      <c r="AD82" s="61"/>
      <c r="AE82" s="62"/>
      <c r="AF82" s="62"/>
      <c r="AG82" s="62"/>
    </row>
    <row r="83" spans="1:33" x14ac:dyDescent="0.3">
      <c r="A83" s="177" t="s">
        <v>246</v>
      </c>
      <c r="B83" s="66"/>
      <c r="C83" s="51"/>
      <c r="D83" s="51"/>
      <c r="E83" s="51"/>
      <c r="F83" s="51"/>
      <c r="G83" s="51"/>
      <c r="H83" s="51"/>
      <c r="I83" s="51"/>
      <c r="J83" s="82"/>
      <c r="K83" s="51"/>
      <c r="L83" s="51"/>
      <c r="M83" s="82"/>
      <c r="N83" s="51"/>
      <c r="O83" s="82"/>
      <c r="P83" s="51"/>
      <c r="Q83" s="338"/>
      <c r="R83" s="51"/>
      <c r="S83" s="51"/>
      <c r="T83" s="35"/>
      <c r="U83" s="51"/>
      <c r="V83" s="51"/>
      <c r="W83" s="364"/>
      <c r="X83" s="141"/>
      <c r="Y83" s="48"/>
      <c r="Z83" s="48"/>
      <c r="AA83" s="48"/>
      <c r="AB83" s="48"/>
      <c r="AC83" s="48"/>
      <c r="AD83" s="61"/>
      <c r="AE83" s="62"/>
      <c r="AF83" s="62"/>
      <c r="AG83" s="62"/>
    </row>
    <row r="84" spans="1:33" x14ac:dyDescent="0.3">
      <c r="A84" s="177">
        <f>A81+1</f>
        <v>53</v>
      </c>
      <c r="B84" s="66" t="s">
        <v>247</v>
      </c>
      <c r="C84" s="51">
        <f>D84+N84+P84+R84+S84+U84+V84+W84</f>
        <v>9756309.9899999984</v>
      </c>
      <c r="D84" s="51">
        <f>E84+F84+G84+H84+I84</f>
        <v>0</v>
      </c>
      <c r="E84" s="51"/>
      <c r="F84" s="51"/>
      <c r="G84" s="51"/>
      <c r="H84" s="51"/>
      <c r="I84" s="51"/>
      <c r="J84" s="82"/>
      <c r="K84" s="51"/>
      <c r="L84" s="51"/>
      <c r="M84" s="82"/>
      <c r="N84" s="51"/>
      <c r="O84" s="82">
        <v>267.95999999999998</v>
      </c>
      <c r="P84" s="51">
        <v>4890650.72</v>
      </c>
      <c r="Q84" s="338"/>
      <c r="R84" s="51"/>
      <c r="S84" s="51"/>
      <c r="T84" s="35">
        <v>369</v>
      </c>
      <c r="U84" s="51">
        <v>4865659.2699999996</v>
      </c>
      <c r="V84" s="51"/>
      <c r="W84" s="364">
        <f>SUM(AB84:AG84)</f>
        <v>0</v>
      </c>
      <c r="X84" s="141"/>
      <c r="Y84" s="48"/>
      <c r="Z84" s="48"/>
      <c r="AA84" s="48"/>
      <c r="AB84" s="48"/>
      <c r="AC84" s="48"/>
      <c r="AD84" s="61"/>
      <c r="AE84" s="62"/>
      <c r="AF84" s="62"/>
      <c r="AG84" s="62"/>
    </row>
    <row r="85" spans="1:33" x14ac:dyDescent="0.3">
      <c r="A85" s="177" t="s">
        <v>211</v>
      </c>
      <c r="B85" s="66"/>
      <c r="C85" s="51">
        <f t="shared" ref="C85:W85" si="15">SUM(C84:C84)</f>
        <v>9756309.9899999984</v>
      </c>
      <c r="D85" s="51">
        <f t="shared" si="15"/>
        <v>0</v>
      </c>
      <c r="E85" s="51">
        <f t="shared" si="15"/>
        <v>0</v>
      </c>
      <c r="F85" s="51">
        <f t="shared" si="15"/>
        <v>0</v>
      </c>
      <c r="G85" s="51">
        <f t="shared" si="15"/>
        <v>0</v>
      </c>
      <c r="H85" s="51">
        <f t="shared" si="15"/>
        <v>0</v>
      </c>
      <c r="I85" s="51">
        <f t="shared" si="15"/>
        <v>0</v>
      </c>
      <c r="J85" s="82">
        <f t="shared" si="15"/>
        <v>0</v>
      </c>
      <c r="K85" s="51">
        <f t="shared" si="15"/>
        <v>0</v>
      </c>
      <c r="L85" s="51">
        <f t="shared" si="15"/>
        <v>0</v>
      </c>
      <c r="M85" s="82">
        <f t="shared" si="15"/>
        <v>0</v>
      </c>
      <c r="N85" s="51">
        <f t="shared" si="15"/>
        <v>0</v>
      </c>
      <c r="O85" s="82">
        <f t="shared" si="15"/>
        <v>267.95999999999998</v>
      </c>
      <c r="P85" s="51">
        <f t="shared" si="15"/>
        <v>4890650.72</v>
      </c>
      <c r="Q85" s="338">
        <f t="shared" si="15"/>
        <v>0</v>
      </c>
      <c r="R85" s="51">
        <f t="shared" si="15"/>
        <v>0</v>
      </c>
      <c r="S85" s="51">
        <f t="shared" si="15"/>
        <v>0</v>
      </c>
      <c r="T85" s="35">
        <f t="shared" si="15"/>
        <v>369</v>
      </c>
      <c r="U85" s="51">
        <f t="shared" si="15"/>
        <v>4865659.2699999996</v>
      </c>
      <c r="V85" s="51">
        <f t="shared" si="15"/>
        <v>0</v>
      </c>
      <c r="W85" s="51">
        <f t="shared" si="15"/>
        <v>0</v>
      </c>
      <c r="X85" s="141"/>
      <c r="Y85" s="48"/>
      <c r="Z85" s="48"/>
      <c r="AA85" s="48"/>
      <c r="AB85" s="48"/>
      <c r="AC85" s="48"/>
      <c r="AD85" s="61"/>
      <c r="AE85" s="62"/>
      <c r="AF85" s="62"/>
      <c r="AG85" s="62"/>
    </row>
    <row r="86" spans="1:33" x14ac:dyDescent="0.3">
      <c r="A86" s="177" t="s">
        <v>254</v>
      </c>
      <c r="B86" s="66"/>
      <c r="C86" s="51"/>
      <c r="D86" s="51"/>
      <c r="E86" s="51"/>
      <c r="F86" s="51"/>
      <c r="G86" s="51"/>
      <c r="H86" s="51"/>
      <c r="I86" s="51"/>
      <c r="J86" s="82"/>
      <c r="K86" s="51"/>
      <c r="L86" s="51"/>
      <c r="M86" s="82"/>
      <c r="N86" s="51"/>
      <c r="O86" s="82"/>
      <c r="P86" s="51"/>
      <c r="Q86" s="338"/>
      <c r="R86" s="51"/>
      <c r="S86" s="51"/>
      <c r="T86" s="35"/>
      <c r="U86" s="51"/>
      <c r="V86" s="51"/>
      <c r="W86" s="364"/>
      <c r="X86" s="141"/>
      <c r="Y86" s="48"/>
      <c r="Z86" s="48"/>
      <c r="AA86" s="48"/>
      <c r="AB86" s="48"/>
      <c r="AC86" s="48"/>
      <c r="AD86" s="61"/>
      <c r="AE86" s="62"/>
      <c r="AF86" s="62"/>
      <c r="AG86" s="62"/>
    </row>
    <row r="87" spans="1:33" x14ac:dyDescent="0.3">
      <c r="A87" s="177">
        <f>A84+1</f>
        <v>54</v>
      </c>
      <c r="B87" s="66" t="s">
        <v>256</v>
      </c>
      <c r="C87" s="51">
        <f>D87+N87+P87+R87+S87+U87+V87+W87</f>
        <v>771887.16999999993</v>
      </c>
      <c r="D87" s="51">
        <f>E87+F87+G87+H87+I87</f>
        <v>0</v>
      </c>
      <c r="E87" s="51"/>
      <c r="F87" s="51"/>
      <c r="G87" s="51"/>
      <c r="H87" s="51"/>
      <c r="I87" s="51"/>
      <c r="J87" s="82"/>
      <c r="K87" s="51"/>
      <c r="L87" s="51"/>
      <c r="M87" s="82">
        <v>650</v>
      </c>
      <c r="N87" s="51"/>
      <c r="O87" s="82"/>
      <c r="P87" s="51"/>
      <c r="Q87" s="338"/>
      <c r="R87" s="51"/>
      <c r="S87" s="51"/>
      <c r="T87" s="35"/>
      <c r="U87" s="51"/>
      <c r="V87" s="51"/>
      <c r="W87" s="364">
        <f>SUM(AB87:AG87)</f>
        <v>771887.16999999993</v>
      </c>
      <c r="X87" s="141" t="s">
        <v>200</v>
      </c>
      <c r="Y87" s="48"/>
      <c r="Z87" s="48"/>
      <c r="AA87" s="48"/>
      <c r="AB87" s="48">
        <v>113504.09</v>
      </c>
      <c r="AC87" s="48">
        <v>204595.64</v>
      </c>
      <c r="AD87" s="61"/>
      <c r="AE87" s="62">
        <v>453787.44</v>
      </c>
      <c r="AF87" s="62"/>
      <c r="AG87" s="62"/>
    </row>
    <row r="88" spans="1:33" x14ac:dyDescent="0.3">
      <c r="A88" s="177" t="s">
        <v>211</v>
      </c>
      <c r="B88" s="66"/>
      <c r="C88" s="51">
        <f t="shared" ref="C88:W88" si="16">SUM(C87:C87)</f>
        <v>771887.16999999993</v>
      </c>
      <c r="D88" s="51">
        <f t="shared" si="16"/>
        <v>0</v>
      </c>
      <c r="E88" s="51">
        <f t="shared" si="16"/>
        <v>0</v>
      </c>
      <c r="F88" s="51">
        <f t="shared" si="16"/>
        <v>0</v>
      </c>
      <c r="G88" s="51">
        <f t="shared" si="16"/>
        <v>0</v>
      </c>
      <c r="H88" s="51">
        <f t="shared" si="16"/>
        <v>0</v>
      </c>
      <c r="I88" s="51">
        <f t="shared" si="16"/>
        <v>0</v>
      </c>
      <c r="J88" s="82">
        <f t="shared" si="16"/>
        <v>0</v>
      </c>
      <c r="K88" s="51">
        <f t="shared" si="16"/>
        <v>0</v>
      </c>
      <c r="L88" s="51">
        <f t="shared" si="16"/>
        <v>0</v>
      </c>
      <c r="M88" s="82">
        <f t="shared" si="16"/>
        <v>650</v>
      </c>
      <c r="N88" s="51">
        <f t="shared" si="16"/>
        <v>0</v>
      </c>
      <c r="O88" s="82">
        <f t="shared" si="16"/>
        <v>0</v>
      </c>
      <c r="P88" s="51">
        <f t="shared" si="16"/>
        <v>0</v>
      </c>
      <c r="Q88" s="338">
        <f t="shared" si="16"/>
        <v>0</v>
      </c>
      <c r="R88" s="51">
        <f t="shared" si="16"/>
        <v>0</v>
      </c>
      <c r="S88" s="51">
        <f t="shared" si="16"/>
        <v>0</v>
      </c>
      <c r="T88" s="35">
        <f t="shared" si="16"/>
        <v>0</v>
      </c>
      <c r="U88" s="51">
        <f t="shared" si="16"/>
        <v>0</v>
      </c>
      <c r="V88" s="51">
        <f t="shared" si="16"/>
        <v>0</v>
      </c>
      <c r="W88" s="51">
        <f t="shared" si="16"/>
        <v>771887.16999999993</v>
      </c>
      <c r="X88" s="141"/>
      <c r="Y88" s="48"/>
      <c r="Z88" s="48"/>
      <c r="AA88" s="48"/>
      <c r="AB88" s="48"/>
      <c r="AC88" s="48"/>
      <c r="AD88" s="61"/>
      <c r="AE88" s="62"/>
      <c r="AF88" s="62"/>
      <c r="AG88" s="62"/>
    </row>
    <row r="89" spans="1:33" x14ac:dyDescent="0.3">
      <c r="A89" s="177" t="s">
        <v>257</v>
      </c>
      <c r="B89" s="66"/>
      <c r="C89" s="51"/>
      <c r="D89" s="51"/>
      <c r="E89" s="51"/>
      <c r="F89" s="51"/>
      <c r="G89" s="51"/>
      <c r="H89" s="51"/>
      <c r="I89" s="51"/>
      <c r="J89" s="82"/>
      <c r="K89" s="51"/>
      <c r="L89" s="51"/>
      <c r="M89" s="82"/>
      <c r="N89" s="51"/>
      <c r="O89" s="82"/>
      <c r="P89" s="51"/>
      <c r="Q89" s="338"/>
      <c r="R89" s="51"/>
      <c r="S89" s="51"/>
      <c r="T89" s="35"/>
      <c r="U89" s="51"/>
      <c r="V89" s="51"/>
      <c r="W89" s="364"/>
      <c r="X89" s="141"/>
      <c r="Y89" s="48"/>
      <c r="Z89" s="48"/>
      <c r="AA89" s="48"/>
      <c r="AB89" s="48"/>
      <c r="AC89" s="48"/>
      <c r="AD89" s="61"/>
      <c r="AE89" s="62"/>
      <c r="AF89" s="62"/>
      <c r="AG89" s="62"/>
    </row>
    <row r="90" spans="1:33" x14ac:dyDescent="0.3">
      <c r="A90" s="177">
        <f>A87+1</f>
        <v>55</v>
      </c>
      <c r="B90" s="66" t="s">
        <v>258</v>
      </c>
      <c r="C90" s="51">
        <f>D90+N90+P90+R90+S90+U90+V90+W90</f>
        <v>4387600.8</v>
      </c>
      <c r="D90" s="51">
        <f>E90+F90+G90+H90+I90</f>
        <v>0</v>
      </c>
      <c r="E90" s="51"/>
      <c r="F90" s="51"/>
      <c r="G90" s="51"/>
      <c r="H90" s="51"/>
      <c r="I90" s="51"/>
      <c r="J90" s="82"/>
      <c r="K90" s="51"/>
      <c r="L90" s="51"/>
      <c r="M90" s="82">
        <v>815</v>
      </c>
      <c r="N90" s="51">
        <v>4387600.8</v>
      </c>
      <c r="O90" s="82"/>
      <c r="P90" s="51"/>
      <c r="Q90" s="338"/>
      <c r="R90" s="51"/>
      <c r="S90" s="51"/>
      <c r="T90" s="35"/>
      <c r="U90" s="51"/>
      <c r="V90" s="51"/>
      <c r="W90" s="364">
        <f>SUM(AB90:AG90)</f>
        <v>0</v>
      </c>
      <c r="X90" s="141"/>
      <c r="Y90" s="48"/>
      <c r="Z90" s="48"/>
      <c r="AA90" s="48"/>
      <c r="AB90" s="48"/>
      <c r="AC90" s="48"/>
      <c r="AD90" s="61"/>
      <c r="AE90" s="62"/>
      <c r="AF90" s="62"/>
      <c r="AG90" s="62"/>
    </row>
    <row r="91" spans="1:33" x14ac:dyDescent="0.3">
      <c r="A91" s="177">
        <f>A90+1</f>
        <v>56</v>
      </c>
      <c r="B91" s="66" t="s">
        <v>259</v>
      </c>
      <c r="C91" s="51">
        <f>D91+N91+P91+R91+S91+U91+V91+W91</f>
        <v>3227594.4</v>
      </c>
      <c r="D91" s="51">
        <f>E91+F91+G91+H91+I91</f>
        <v>0</v>
      </c>
      <c r="E91" s="51"/>
      <c r="F91" s="51"/>
      <c r="G91" s="51"/>
      <c r="H91" s="51"/>
      <c r="I91" s="51"/>
      <c r="J91" s="82"/>
      <c r="K91" s="51"/>
      <c r="L91" s="51"/>
      <c r="M91" s="82">
        <v>751.95</v>
      </c>
      <c r="N91" s="51">
        <v>3227594.4</v>
      </c>
      <c r="O91" s="82"/>
      <c r="P91" s="51"/>
      <c r="Q91" s="338"/>
      <c r="R91" s="51"/>
      <c r="S91" s="51"/>
      <c r="T91" s="35"/>
      <c r="U91" s="51"/>
      <c r="V91" s="51"/>
      <c r="W91" s="364">
        <f>SUM(AB91:AG91)</f>
        <v>0</v>
      </c>
      <c r="X91" s="141"/>
      <c r="Y91" s="48"/>
      <c r="Z91" s="48"/>
      <c r="AA91" s="48"/>
      <c r="AB91" s="48"/>
      <c r="AC91" s="48"/>
      <c r="AD91" s="61"/>
      <c r="AE91" s="62"/>
      <c r="AF91" s="62"/>
      <c r="AG91" s="62"/>
    </row>
    <row r="92" spans="1:33" x14ac:dyDescent="0.3">
      <c r="A92" s="177" t="s">
        <v>211</v>
      </c>
      <c r="B92" s="66"/>
      <c r="C92" s="51">
        <f t="shared" ref="C92:W92" si="17">SUM(C90:C91)</f>
        <v>7615195.1999999993</v>
      </c>
      <c r="D92" s="51">
        <f t="shared" si="17"/>
        <v>0</v>
      </c>
      <c r="E92" s="51">
        <f t="shared" si="17"/>
        <v>0</v>
      </c>
      <c r="F92" s="51">
        <f t="shared" si="17"/>
        <v>0</v>
      </c>
      <c r="G92" s="51">
        <f t="shared" si="17"/>
        <v>0</v>
      </c>
      <c r="H92" s="51">
        <f t="shared" si="17"/>
        <v>0</v>
      </c>
      <c r="I92" s="51">
        <f t="shared" si="17"/>
        <v>0</v>
      </c>
      <c r="J92" s="82">
        <f t="shared" si="17"/>
        <v>0</v>
      </c>
      <c r="K92" s="51">
        <f t="shared" si="17"/>
        <v>0</v>
      </c>
      <c r="L92" s="51">
        <f t="shared" si="17"/>
        <v>0</v>
      </c>
      <c r="M92" s="82">
        <f t="shared" si="17"/>
        <v>1566.95</v>
      </c>
      <c r="N92" s="51">
        <f t="shared" si="17"/>
        <v>7615195.1999999993</v>
      </c>
      <c r="O92" s="82">
        <f t="shared" si="17"/>
        <v>0</v>
      </c>
      <c r="P92" s="51">
        <f t="shared" si="17"/>
        <v>0</v>
      </c>
      <c r="Q92" s="338">
        <f t="shared" si="17"/>
        <v>0</v>
      </c>
      <c r="R92" s="51">
        <f t="shared" si="17"/>
        <v>0</v>
      </c>
      <c r="S92" s="51">
        <f t="shared" si="17"/>
        <v>0</v>
      </c>
      <c r="T92" s="35">
        <f t="shared" si="17"/>
        <v>0</v>
      </c>
      <c r="U92" s="51">
        <f t="shared" si="17"/>
        <v>0</v>
      </c>
      <c r="V92" s="51">
        <f t="shared" si="17"/>
        <v>0</v>
      </c>
      <c r="W92" s="51">
        <f t="shared" si="17"/>
        <v>0</v>
      </c>
      <c r="X92" s="141"/>
      <c r="Y92" s="48"/>
      <c r="Z92" s="48"/>
      <c r="AA92" s="48"/>
      <c r="AB92" s="48"/>
      <c r="AC92" s="48"/>
      <c r="AD92" s="61"/>
      <c r="AE92" s="62"/>
      <c r="AF92" s="62"/>
      <c r="AG92" s="62"/>
    </row>
    <row r="93" spans="1:33" x14ac:dyDescent="0.3">
      <c r="A93" s="177" t="s">
        <v>260</v>
      </c>
      <c r="B93" s="66"/>
      <c r="C93" s="51"/>
      <c r="D93" s="51"/>
      <c r="E93" s="51"/>
      <c r="F93" s="51"/>
      <c r="G93" s="51"/>
      <c r="H93" s="51"/>
      <c r="I93" s="51"/>
      <c r="J93" s="82"/>
      <c r="K93" s="51"/>
      <c r="L93" s="51"/>
      <c r="M93" s="82"/>
      <c r="N93" s="51"/>
      <c r="O93" s="82"/>
      <c r="P93" s="51"/>
      <c r="Q93" s="338"/>
      <c r="R93" s="51"/>
      <c r="S93" s="51"/>
      <c r="T93" s="35"/>
      <c r="U93" s="51"/>
      <c r="V93" s="51"/>
      <c r="W93" s="364"/>
      <c r="X93" s="141"/>
      <c r="Y93" s="48"/>
      <c r="Z93" s="48"/>
      <c r="AA93" s="48"/>
      <c r="AB93" s="48"/>
      <c r="AC93" s="48"/>
      <c r="AD93" s="61"/>
      <c r="AE93" s="62"/>
      <c r="AF93" s="62"/>
      <c r="AG93" s="62"/>
    </row>
    <row r="94" spans="1:33" x14ac:dyDescent="0.3">
      <c r="A94" s="177">
        <f>A91+1</f>
        <v>57</v>
      </c>
      <c r="B94" s="66" t="s">
        <v>266</v>
      </c>
      <c r="C94" s="51">
        <f>D94+N94+P94+R94+S94+U94+V94+W94</f>
        <v>14802480</v>
      </c>
      <c r="D94" s="51">
        <f>E94+F94+G94+H94+I94</f>
        <v>0</v>
      </c>
      <c r="E94" s="51"/>
      <c r="F94" s="51"/>
      <c r="G94" s="51"/>
      <c r="H94" s="51"/>
      <c r="I94" s="51"/>
      <c r="J94" s="82"/>
      <c r="K94" s="51"/>
      <c r="L94" s="51"/>
      <c r="M94" s="82"/>
      <c r="N94" s="51"/>
      <c r="O94" s="82">
        <v>560</v>
      </c>
      <c r="P94" s="51">
        <v>14802480</v>
      </c>
      <c r="Q94" s="338"/>
      <c r="R94" s="51"/>
      <c r="S94" s="51"/>
      <c r="T94" s="35"/>
      <c r="U94" s="51"/>
      <c r="V94" s="51"/>
      <c r="W94" s="364"/>
      <c r="X94" s="141" t="s">
        <v>262</v>
      </c>
      <c r="Y94" s="48"/>
      <c r="Z94" s="48"/>
      <c r="AA94" s="48"/>
      <c r="AB94" s="48">
        <f>103687.27+125280.13+105380.11+105380.11</f>
        <v>439727.62</v>
      </c>
      <c r="AC94" s="48">
        <v>195422.39</v>
      </c>
      <c r="AD94" s="61"/>
      <c r="AE94" s="62">
        <v>375461.32</v>
      </c>
      <c r="AF94" s="62"/>
      <c r="AG94" s="62"/>
    </row>
    <row r="95" spans="1:33" x14ac:dyDescent="0.3">
      <c r="A95" s="177" t="s">
        <v>211</v>
      </c>
      <c r="B95" s="66"/>
      <c r="C95" s="51">
        <f t="shared" ref="C95:W95" si="18">SUM(C94:C94)</f>
        <v>14802480</v>
      </c>
      <c r="D95" s="51">
        <f t="shared" si="18"/>
        <v>0</v>
      </c>
      <c r="E95" s="51">
        <f t="shared" si="18"/>
        <v>0</v>
      </c>
      <c r="F95" s="51">
        <f t="shared" si="18"/>
        <v>0</v>
      </c>
      <c r="G95" s="51">
        <f t="shared" si="18"/>
        <v>0</v>
      </c>
      <c r="H95" s="51">
        <f t="shared" si="18"/>
        <v>0</v>
      </c>
      <c r="I95" s="51">
        <f t="shared" si="18"/>
        <v>0</v>
      </c>
      <c r="J95" s="82">
        <f t="shared" si="18"/>
        <v>0</v>
      </c>
      <c r="K95" s="51">
        <f t="shared" si="18"/>
        <v>0</v>
      </c>
      <c r="L95" s="51">
        <f t="shared" si="18"/>
        <v>0</v>
      </c>
      <c r="M95" s="82">
        <f t="shared" si="18"/>
        <v>0</v>
      </c>
      <c r="N95" s="51">
        <f t="shared" si="18"/>
        <v>0</v>
      </c>
      <c r="O95" s="82">
        <f t="shared" si="18"/>
        <v>560</v>
      </c>
      <c r="P95" s="51">
        <f t="shared" si="18"/>
        <v>14802480</v>
      </c>
      <c r="Q95" s="338">
        <f t="shared" si="18"/>
        <v>0</v>
      </c>
      <c r="R95" s="51">
        <f t="shared" si="18"/>
        <v>0</v>
      </c>
      <c r="S95" s="51">
        <f t="shared" si="18"/>
        <v>0</v>
      </c>
      <c r="T95" s="35">
        <f t="shared" si="18"/>
        <v>0</v>
      </c>
      <c r="U95" s="51">
        <f t="shared" si="18"/>
        <v>0</v>
      </c>
      <c r="V95" s="51">
        <f t="shared" si="18"/>
        <v>0</v>
      </c>
      <c r="W95" s="51">
        <f t="shared" si="18"/>
        <v>0</v>
      </c>
      <c r="X95" s="141"/>
      <c r="Y95" s="48"/>
      <c r="Z95" s="48"/>
      <c r="AA95" s="48"/>
      <c r="AB95" s="48"/>
      <c r="AC95" s="48"/>
      <c r="AD95" s="61"/>
      <c r="AE95" s="62"/>
      <c r="AF95" s="62"/>
      <c r="AG95" s="62"/>
    </row>
    <row r="96" spans="1:33" x14ac:dyDescent="0.3">
      <c r="A96" s="177" t="s">
        <v>267</v>
      </c>
      <c r="B96" s="66"/>
      <c r="C96" s="51"/>
      <c r="D96" s="51"/>
      <c r="E96" s="51"/>
      <c r="F96" s="51"/>
      <c r="G96" s="51"/>
      <c r="H96" s="51"/>
      <c r="I96" s="51"/>
      <c r="J96" s="82"/>
      <c r="K96" s="51"/>
      <c r="L96" s="51"/>
      <c r="M96" s="82"/>
      <c r="N96" s="51"/>
      <c r="O96" s="82"/>
      <c r="P96" s="51"/>
      <c r="Q96" s="338"/>
      <c r="R96" s="51"/>
      <c r="S96" s="51"/>
      <c r="T96" s="35"/>
      <c r="U96" s="51"/>
      <c r="V96" s="51"/>
      <c r="W96" s="364"/>
      <c r="X96" s="141"/>
      <c r="Y96" s="48"/>
      <c r="Z96" s="48"/>
      <c r="AA96" s="48"/>
      <c r="AB96" s="48"/>
      <c r="AC96" s="48"/>
      <c r="AD96" s="61"/>
      <c r="AE96" s="62"/>
      <c r="AF96" s="62"/>
      <c r="AG96" s="62"/>
    </row>
    <row r="97" spans="1:34" x14ac:dyDescent="0.3">
      <c r="A97" s="177">
        <f>A94+1</f>
        <v>58</v>
      </c>
      <c r="B97" s="66" t="s">
        <v>268</v>
      </c>
      <c r="C97" s="51">
        <f>D97+N97+P97+R97+S97+U97+V97+W97</f>
        <v>1430740.8</v>
      </c>
      <c r="D97" s="51">
        <f>E97+F97+G97+H97+I97</f>
        <v>1430740.8</v>
      </c>
      <c r="E97" s="51">
        <v>1430740.8</v>
      </c>
      <c r="F97" s="51"/>
      <c r="G97" s="51"/>
      <c r="H97" s="51"/>
      <c r="I97" s="51"/>
      <c r="J97" s="82"/>
      <c r="K97" s="51"/>
      <c r="L97" s="51"/>
      <c r="M97" s="82"/>
      <c r="N97" s="51"/>
      <c r="O97" s="82"/>
      <c r="P97" s="51"/>
      <c r="Q97" s="338"/>
      <c r="R97" s="51"/>
      <c r="S97" s="51"/>
      <c r="T97" s="35"/>
      <c r="U97" s="51"/>
      <c r="V97" s="51"/>
      <c r="W97" s="364"/>
      <c r="X97" s="141" t="s">
        <v>269</v>
      </c>
      <c r="Y97" s="48"/>
      <c r="Z97" s="48"/>
      <c r="AA97" s="48"/>
      <c r="AB97" s="48">
        <f>136187.42+181478.08+146830.55+135525.46</f>
        <v>600021.51</v>
      </c>
      <c r="AC97" s="48"/>
      <c r="AD97" s="61"/>
      <c r="AE97" s="62"/>
      <c r="AF97" s="62"/>
      <c r="AG97" s="62"/>
    </row>
    <row r="98" spans="1:34" x14ac:dyDescent="0.3">
      <c r="A98" s="177">
        <f>A97+1</f>
        <v>59</v>
      </c>
      <c r="B98" s="66" t="s">
        <v>270</v>
      </c>
      <c r="C98" s="51">
        <f>D98+N98+P98+R98+S98+U98+V98+W98</f>
        <v>1422444</v>
      </c>
      <c r="D98" s="51">
        <f>E98+F98+G98+H98+I98</f>
        <v>1422444</v>
      </c>
      <c r="E98" s="51">
        <v>1422444</v>
      </c>
      <c r="F98" s="51"/>
      <c r="G98" s="51"/>
      <c r="H98" s="51"/>
      <c r="I98" s="51"/>
      <c r="J98" s="82"/>
      <c r="K98" s="51"/>
      <c r="L98" s="51"/>
      <c r="M98" s="82"/>
      <c r="N98" s="51"/>
      <c r="O98" s="82"/>
      <c r="P98" s="51"/>
      <c r="Q98" s="338"/>
      <c r="R98" s="51"/>
      <c r="S98" s="51"/>
      <c r="T98" s="35"/>
      <c r="U98" s="51"/>
      <c r="V98" s="51"/>
      <c r="W98" s="364"/>
      <c r="X98" s="141" t="s">
        <v>269</v>
      </c>
      <c r="Y98" s="48"/>
      <c r="Z98" s="48"/>
      <c r="AA98" s="48"/>
      <c r="AB98" s="48">
        <f>138048.89+183460.28+148655.48+137350.4</f>
        <v>607515.05000000005</v>
      </c>
      <c r="AC98" s="48"/>
      <c r="AD98" s="61"/>
      <c r="AE98" s="62"/>
      <c r="AF98" s="62"/>
      <c r="AG98" s="62"/>
    </row>
    <row r="99" spans="1:34" x14ac:dyDescent="0.3">
      <c r="A99" s="177">
        <f>A98+1</f>
        <v>60</v>
      </c>
      <c r="B99" s="66" t="s">
        <v>271</v>
      </c>
      <c r="C99" s="51">
        <f>D99+N99+P99+R99+S99+U99+V99+W99</f>
        <v>1422656.4</v>
      </c>
      <c r="D99" s="51">
        <f>E99+F99+G99+H99+I99</f>
        <v>1422656.4</v>
      </c>
      <c r="E99" s="51">
        <v>1422656.4</v>
      </c>
      <c r="F99" s="51"/>
      <c r="G99" s="51"/>
      <c r="H99" s="51"/>
      <c r="I99" s="51"/>
      <c r="J99" s="82"/>
      <c r="K99" s="51"/>
      <c r="L99" s="51"/>
      <c r="M99" s="82"/>
      <c r="N99" s="51"/>
      <c r="O99" s="82"/>
      <c r="P99" s="51"/>
      <c r="Q99" s="338"/>
      <c r="R99" s="51"/>
      <c r="S99" s="51"/>
      <c r="T99" s="35"/>
      <c r="U99" s="51"/>
      <c r="V99" s="51"/>
      <c r="W99" s="364"/>
      <c r="X99" s="141" t="s">
        <v>269</v>
      </c>
      <c r="Y99" s="48"/>
      <c r="Z99" s="48"/>
      <c r="AA99" s="48"/>
      <c r="AB99" s="48">
        <f>138156.14+184209.97+149345.68+138040.6</f>
        <v>609752.39</v>
      </c>
      <c r="AC99" s="48"/>
      <c r="AD99" s="61"/>
      <c r="AE99" s="62"/>
      <c r="AF99" s="62"/>
      <c r="AG99" s="62"/>
    </row>
    <row r="100" spans="1:34" x14ac:dyDescent="0.3">
      <c r="A100" s="177" t="s">
        <v>211</v>
      </c>
      <c r="B100" s="66"/>
      <c r="C100" s="51">
        <f t="shared" ref="C100:W100" si="19">SUM(C97:C99)</f>
        <v>4275841.1999999993</v>
      </c>
      <c r="D100" s="51">
        <f t="shared" si="19"/>
        <v>4275841.1999999993</v>
      </c>
      <c r="E100" s="51">
        <f t="shared" si="19"/>
        <v>4275841.1999999993</v>
      </c>
      <c r="F100" s="51">
        <f t="shared" si="19"/>
        <v>0</v>
      </c>
      <c r="G100" s="51">
        <f t="shared" si="19"/>
        <v>0</v>
      </c>
      <c r="H100" s="51">
        <f t="shared" si="19"/>
        <v>0</v>
      </c>
      <c r="I100" s="51">
        <f t="shared" si="19"/>
        <v>0</v>
      </c>
      <c r="J100" s="82">
        <f t="shared" si="19"/>
        <v>0</v>
      </c>
      <c r="K100" s="51">
        <f t="shared" si="19"/>
        <v>0</v>
      </c>
      <c r="L100" s="51">
        <f t="shared" si="19"/>
        <v>0</v>
      </c>
      <c r="M100" s="82">
        <f t="shared" si="19"/>
        <v>0</v>
      </c>
      <c r="N100" s="51">
        <f t="shared" si="19"/>
        <v>0</v>
      </c>
      <c r="O100" s="82">
        <f t="shared" si="19"/>
        <v>0</v>
      </c>
      <c r="P100" s="51">
        <f t="shared" si="19"/>
        <v>0</v>
      </c>
      <c r="Q100" s="338">
        <f t="shared" si="19"/>
        <v>0</v>
      </c>
      <c r="R100" s="51">
        <f t="shared" si="19"/>
        <v>0</v>
      </c>
      <c r="S100" s="51">
        <f t="shared" si="19"/>
        <v>0</v>
      </c>
      <c r="T100" s="35">
        <f t="shared" si="19"/>
        <v>0</v>
      </c>
      <c r="U100" s="51">
        <f t="shared" si="19"/>
        <v>0</v>
      </c>
      <c r="V100" s="51">
        <f t="shared" si="19"/>
        <v>0</v>
      </c>
      <c r="W100" s="51">
        <f t="shared" si="19"/>
        <v>0</v>
      </c>
      <c r="X100" s="141"/>
      <c r="Y100" s="48"/>
      <c r="Z100" s="48"/>
      <c r="AA100" s="48"/>
      <c r="AB100" s="48"/>
      <c r="AC100" s="48"/>
      <c r="AD100" s="61"/>
      <c r="AE100" s="62"/>
      <c r="AF100" s="62"/>
      <c r="AG100" s="62"/>
    </row>
    <row r="101" spans="1:34" x14ac:dyDescent="0.3">
      <c r="A101" s="177"/>
      <c r="B101" s="131" t="s">
        <v>272</v>
      </c>
      <c r="C101" s="51">
        <f>C72+C76+C82+C85+C88+C92+C95+C100+C79</f>
        <v>76514631.790000007</v>
      </c>
      <c r="D101" s="51">
        <f t="shared" ref="D101:W101" si="20">D72+D76+D82+D85+D88+D92+D95+D100</f>
        <v>30792166.23</v>
      </c>
      <c r="E101" s="51">
        <f t="shared" si="20"/>
        <v>4275841.1999999993</v>
      </c>
      <c r="F101" s="51">
        <f t="shared" si="20"/>
        <v>15196398.48</v>
      </c>
      <c r="G101" s="51">
        <f t="shared" si="20"/>
        <v>3702641.95</v>
      </c>
      <c r="H101" s="51">
        <f t="shared" si="20"/>
        <v>6576895.4000000004</v>
      </c>
      <c r="I101" s="51">
        <f t="shared" si="20"/>
        <v>1040389.2</v>
      </c>
      <c r="J101" s="82">
        <f t="shared" si="20"/>
        <v>0</v>
      </c>
      <c r="K101" s="51">
        <f t="shared" si="20"/>
        <v>0</v>
      </c>
      <c r="L101" s="51">
        <f t="shared" si="20"/>
        <v>0</v>
      </c>
      <c r="M101" s="82">
        <f t="shared" si="20"/>
        <v>3506.95</v>
      </c>
      <c r="N101" s="51">
        <f t="shared" si="20"/>
        <v>14795721.6</v>
      </c>
      <c r="O101" s="82">
        <f t="shared" si="20"/>
        <v>827.96</v>
      </c>
      <c r="P101" s="51">
        <f t="shared" si="20"/>
        <v>19693130.719999999</v>
      </c>
      <c r="Q101" s="338">
        <f t="shared" si="20"/>
        <v>0</v>
      </c>
      <c r="R101" s="51">
        <f t="shared" si="20"/>
        <v>0</v>
      </c>
      <c r="S101" s="51">
        <f t="shared" si="20"/>
        <v>0</v>
      </c>
      <c r="T101" s="35">
        <f t="shared" si="20"/>
        <v>369</v>
      </c>
      <c r="U101" s="51">
        <f t="shared" si="20"/>
        <v>4865659.2699999996</v>
      </c>
      <c r="V101" s="51">
        <f t="shared" si="20"/>
        <v>0</v>
      </c>
      <c r="W101" s="51">
        <f t="shared" si="20"/>
        <v>771887.16999999993</v>
      </c>
      <c r="X101" s="285"/>
      <c r="Y101" s="285"/>
      <c r="Z101" s="285"/>
      <c r="AA101" s="285"/>
      <c r="AB101" s="285"/>
      <c r="AC101" s="9"/>
      <c r="AD101" s="306"/>
      <c r="AE101" s="302"/>
      <c r="AF101" s="302"/>
      <c r="AG101" s="302"/>
    </row>
    <row r="102" spans="1:34" ht="31.2" x14ac:dyDescent="0.3">
      <c r="A102" s="176"/>
      <c r="B102" s="147"/>
      <c r="C102" s="387"/>
      <c r="D102" s="387"/>
      <c r="E102" s="387"/>
      <c r="F102" s="387"/>
      <c r="G102" s="387"/>
      <c r="H102" s="387"/>
      <c r="I102" s="387"/>
      <c r="J102" s="388"/>
      <c r="K102" s="387"/>
      <c r="L102" s="387"/>
      <c r="M102" s="388"/>
      <c r="N102" s="387"/>
      <c r="O102" s="388"/>
      <c r="P102" s="387"/>
      <c r="Q102" s="389"/>
      <c r="R102" s="387"/>
      <c r="S102" s="387"/>
      <c r="T102" s="390"/>
      <c r="U102" s="387"/>
      <c r="V102" s="387"/>
      <c r="W102" s="387"/>
      <c r="X102" s="307" t="s">
        <v>196</v>
      </c>
      <c r="Y102" s="179"/>
      <c r="Z102" s="179"/>
      <c r="AA102" s="179"/>
      <c r="AB102" s="179"/>
      <c r="AC102" s="179"/>
      <c r="AD102" s="172"/>
      <c r="AE102" s="172"/>
      <c r="AF102" s="172"/>
      <c r="AG102" s="62"/>
      <c r="AH102" s="56"/>
    </row>
    <row r="103" spans="1:34" ht="31.2" x14ac:dyDescent="0.3">
      <c r="A103" s="176"/>
      <c r="B103" s="66" t="s">
        <v>274</v>
      </c>
      <c r="C103" s="387"/>
      <c r="D103" s="49"/>
      <c r="E103" s="49"/>
      <c r="F103" s="49"/>
      <c r="G103" s="49"/>
      <c r="H103" s="49"/>
      <c r="I103" s="49"/>
      <c r="J103" s="343"/>
      <c r="K103" s="49"/>
      <c r="L103" s="49"/>
      <c r="M103" s="343"/>
      <c r="N103" s="49"/>
      <c r="O103" s="343"/>
      <c r="P103" s="49"/>
      <c r="Q103" s="337"/>
      <c r="R103" s="49"/>
      <c r="S103" s="49"/>
      <c r="T103" s="33"/>
      <c r="U103" s="49"/>
      <c r="V103" s="49"/>
      <c r="W103" s="49"/>
      <c r="X103" s="305"/>
      <c r="Y103" s="179"/>
      <c r="Z103" s="179"/>
      <c r="AA103" s="179"/>
      <c r="AB103" s="179"/>
      <c r="AC103" s="179"/>
      <c r="AD103" s="179"/>
      <c r="AE103" s="61"/>
      <c r="AF103" s="62"/>
      <c r="AG103" s="62"/>
      <c r="AH103" s="56"/>
    </row>
    <row r="104" spans="1:34" x14ac:dyDescent="0.3">
      <c r="A104" s="177">
        <f>A99+1</f>
        <v>61</v>
      </c>
      <c r="B104" s="66" t="s">
        <v>275</v>
      </c>
      <c r="C104" s="51">
        <f>D104+K104+L104+N104+P104+R104+S104+U104+V104+W104</f>
        <v>130000</v>
      </c>
      <c r="D104" s="51">
        <f>E104+F104+G104+H104+I104</f>
        <v>0</v>
      </c>
      <c r="E104" s="51"/>
      <c r="F104" s="51"/>
      <c r="G104" s="51"/>
      <c r="H104" s="51"/>
      <c r="I104" s="51"/>
      <c r="J104" s="82"/>
      <c r="K104" s="51"/>
      <c r="L104" s="51"/>
      <c r="M104" s="82"/>
      <c r="N104" s="51"/>
      <c r="O104" s="82"/>
      <c r="P104" s="51"/>
      <c r="Q104" s="338"/>
      <c r="R104" s="51"/>
      <c r="S104" s="51"/>
      <c r="T104" s="35"/>
      <c r="U104" s="51"/>
      <c r="V104" s="51"/>
      <c r="W104" s="364">
        <v>130000</v>
      </c>
      <c r="X104" s="141"/>
      <c r="Y104" s="48"/>
      <c r="Z104" s="48"/>
      <c r="AA104" s="48"/>
      <c r="AB104" s="48"/>
      <c r="AC104" s="48"/>
      <c r="AD104" s="48"/>
      <c r="AE104" s="61"/>
      <c r="AF104" s="62"/>
      <c r="AG104" s="62"/>
      <c r="AH104" s="56"/>
    </row>
    <row r="105" spans="1:34" x14ac:dyDescent="0.3">
      <c r="A105" s="177">
        <f>A104+1</f>
        <v>62</v>
      </c>
      <c r="B105" s="66" t="s">
        <v>276</v>
      </c>
      <c r="C105" s="51">
        <f>D105+K105+L105+N105+P105+R105+S105+U105+V105+W105</f>
        <v>130000</v>
      </c>
      <c r="D105" s="51">
        <f>E105+F105+G105+H105+I105</f>
        <v>0</v>
      </c>
      <c r="E105" s="51"/>
      <c r="F105" s="51"/>
      <c r="G105" s="51"/>
      <c r="H105" s="51"/>
      <c r="I105" s="51"/>
      <c r="J105" s="82"/>
      <c r="K105" s="51"/>
      <c r="L105" s="51"/>
      <c r="M105" s="82"/>
      <c r="N105" s="51"/>
      <c r="O105" s="82"/>
      <c r="P105" s="51"/>
      <c r="Q105" s="338"/>
      <c r="R105" s="51"/>
      <c r="S105" s="51"/>
      <c r="T105" s="35"/>
      <c r="U105" s="51"/>
      <c r="V105" s="51"/>
      <c r="W105" s="364">
        <v>130000</v>
      </c>
      <c r="X105" s="141"/>
      <c r="Y105" s="48"/>
      <c r="Z105" s="48"/>
      <c r="AA105" s="48"/>
      <c r="AB105" s="48"/>
      <c r="AC105" s="48"/>
      <c r="AD105" s="48"/>
      <c r="AE105" s="61"/>
      <c r="AF105" s="62"/>
      <c r="AG105" s="62"/>
      <c r="AH105" s="56"/>
    </row>
    <row r="106" spans="1:34" x14ac:dyDescent="0.3">
      <c r="A106" s="177">
        <f>A105+1</f>
        <v>63</v>
      </c>
      <c r="B106" s="66" t="s">
        <v>277</v>
      </c>
      <c r="C106" s="51">
        <f>D106+K106+L106+N106+P106+R106+S106+U106+V106+W106</f>
        <v>130000</v>
      </c>
      <c r="D106" s="51">
        <f>E106+F106+G106+H106+I106</f>
        <v>0</v>
      </c>
      <c r="E106" s="51"/>
      <c r="F106" s="51"/>
      <c r="G106" s="51"/>
      <c r="H106" s="51"/>
      <c r="I106" s="51"/>
      <c r="J106" s="82"/>
      <c r="K106" s="51"/>
      <c r="L106" s="51"/>
      <c r="M106" s="82"/>
      <c r="N106" s="51"/>
      <c r="O106" s="82"/>
      <c r="P106" s="51"/>
      <c r="Q106" s="338"/>
      <c r="R106" s="51"/>
      <c r="S106" s="51"/>
      <c r="T106" s="35"/>
      <c r="U106" s="51"/>
      <c r="V106" s="51"/>
      <c r="W106" s="364">
        <v>130000</v>
      </c>
      <c r="X106" s="141"/>
      <c r="Y106" s="48"/>
      <c r="Z106" s="48"/>
      <c r="AA106" s="48"/>
      <c r="AB106" s="48"/>
      <c r="AC106" s="48"/>
      <c r="AD106" s="48"/>
      <c r="AE106" s="61"/>
      <c r="AF106" s="62"/>
      <c r="AG106" s="62"/>
      <c r="AH106" s="56"/>
    </row>
    <row r="107" spans="1:34" x14ac:dyDescent="0.3">
      <c r="A107" s="177">
        <f>A106+1</f>
        <v>64</v>
      </c>
      <c r="B107" s="66" t="s">
        <v>278</v>
      </c>
      <c r="C107" s="51">
        <f>D107+K107+L107+N107+P107+R107+S107+U107+V107+W107</f>
        <v>130000</v>
      </c>
      <c r="D107" s="51">
        <f>E107+F107+G107+H107+I107</f>
        <v>0</v>
      </c>
      <c r="E107" s="51"/>
      <c r="F107" s="51"/>
      <c r="G107" s="51"/>
      <c r="H107" s="51"/>
      <c r="I107" s="51"/>
      <c r="J107" s="82"/>
      <c r="K107" s="51"/>
      <c r="L107" s="51"/>
      <c r="M107" s="82"/>
      <c r="N107" s="51"/>
      <c r="O107" s="82"/>
      <c r="P107" s="51"/>
      <c r="Q107" s="338"/>
      <c r="R107" s="51"/>
      <c r="S107" s="51"/>
      <c r="T107" s="35"/>
      <c r="U107" s="51"/>
      <c r="V107" s="51"/>
      <c r="W107" s="364">
        <v>130000</v>
      </c>
      <c r="X107" s="141"/>
      <c r="Y107" s="48"/>
      <c r="Z107" s="48"/>
      <c r="AA107" s="48"/>
      <c r="AB107" s="48"/>
      <c r="AC107" s="48"/>
      <c r="AD107" s="48"/>
      <c r="AE107" s="61"/>
      <c r="AF107" s="62"/>
      <c r="AG107" s="62"/>
      <c r="AH107" s="56"/>
    </row>
    <row r="108" spans="1:34" x14ac:dyDescent="0.3">
      <c r="A108" s="177">
        <f>A107+1</f>
        <v>65</v>
      </c>
      <c r="B108" s="66" t="s">
        <v>279</v>
      </c>
      <c r="C108" s="51">
        <f>D108+K108+L108+N108+P108+R108+S108+U108+V108+W108</f>
        <v>130000</v>
      </c>
      <c r="D108" s="51">
        <f>E108+F108+G108+H108+I108</f>
        <v>0</v>
      </c>
      <c r="E108" s="51"/>
      <c r="F108" s="51"/>
      <c r="G108" s="51"/>
      <c r="H108" s="51"/>
      <c r="I108" s="51"/>
      <c r="J108" s="82"/>
      <c r="K108" s="51"/>
      <c r="L108" s="51"/>
      <c r="M108" s="82"/>
      <c r="N108" s="51"/>
      <c r="O108" s="82"/>
      <c r="P108" s="51"/>
      <c r="Q108" s="338"/>
      <c r="R108" s="51"/>
      <c r="S108" s="51"/>
      <c r="T108" s="35"/>
      <c r="U108" s="51"/>
      <c r="V108" s="51"/>
      <c r="W108" s="364">
        <v>130000</v>
      </c>
      <c r="X108" s="141"/>
      <c r="Y108" s="48"/>
      <c r="Z108" s="48"/>
      <c r="AA108" s="48"/>
      <c r="AB108" s="48"/>
      <c r="AC108" s="48"/>
      <c r="AD108" s="48"/>
      <c r="AE108" s="61"/>
      <c r="AF108" s="62"/>
      <c r="AG108" s="62"/>
      <c r="AH108" s="56"/>
    </row>
    <row r="109" spans="1:34" x14ac:dyDescent="0.3">
      <c r="A109" s="177"/>
      <c r="B109" s="177" t="s">
        <v>211</v>
      </c>
      <c r="C109" s="51">
        <f t="shared" ref="C109:W109" si="21">SUM(C104:C108)</f>
        <v>650000</v>
      </c>
      <c r="D109" s="51">
        <f t="shared" si="21"/>
        <v>0</v>
      </c>
      <c r="E109" s="51">
        <f t="shared" si="21"/>
        <v>0</v>
      </c>
      <c r="F109" s="51">
        <f t="shared" si="21"/>
        <v>0</v>
      </c>
      <c r="G109" s="51">
        <f t="shared" si="21"/>
        <v>0</v>
      </c>
      <c r="H109" s="51">
        <f t="shared" si="21"/>
        <v>0</v>
      </c>
      <c r="I109" s="51">
        <f t="shared" si="21"/>
        <v>0</v>
      </c>
      <c r="J109" s="82">
        <f t="shared" si="21"/>
        <v>0</v>
      </c>
      <c r="K109" s="51">
        <f t="shared" si="21"/>
        <v>0</v>
      </c>
      <c r="L109" s="51">
        <f t="shared" si="21"/>
        <v>0</v>
      </c>
      <c r="M109" s="82">
        <f t="shared" si="21"/>
        <v>0</v>
      </c>
      <c r="N109" s="51">
        <f t="shared" si="21"/>
        <v>0</v>
      </c>
      <c r="O109" s="82">
        <f t="shared" si="21"/>
        <v>0</v>
      </c>
      <c r="P109" s="51">
        <f t="shared" si="21"/>
        <v>0</v>
      </c>
      <c r="Q109" s="338">
        <f t="shared" si="21"/>
        <v>0</v>
      </c>
      <c r="R109" s="51">
        <f t="shared" si="21"/>
        <v>0</v>
      </c>
      <c r="S109" s="51">
        <f t="shared" si="21"/>
        <v>0</v>
      </c>
      <c r="T109" s="35">
        <f t="shared" si="21"/>
        <v>0</v>
      </c>
      <c r="U109" s="51">
        <f t="shared" si="21"/>
        <v>0</v>
      </c>
      <c r="V109" s="51">
        <f t="shared" si="21"/>
        <v>0</v>
      </c>
      <c r="W109" s="51">
        <f t="shared" si="21"/>
        <v>650000</v>
      </c>
      <c r="X109" s="141"/>
      <c r="Y109" s="48"/>
      <c r="Z109" s="48"/>
      <c r="AA109" s="48"/>
      <c r="AB109" s="48"/>
      <c r="AC109" s="48"/>
      <c r="AD109" s="48"/>
      <c r="AE109" s="61"/>
      <c r="AF109" s="62"/>
      <c r="AG109" s="62"/>
      <c r="AH109" s="56"/>
    </row>
    <row r="110" spans="1:34" x14ac:dyDescent="0.3">
      <c r="A110" s="177"/>
      <c r="B110" s="66" t="s">
        <v>290</v>
      </c>
      <c r="C110" s="51"/>
      <c r="D110" s="51"/>
      <c r="E110" s="51"/>
      <c r="F110" s="51"/>
      <c r="G110" s="51"/>
      <c r="H110" s="51"/>
      <c r="I110" s="51"/>
      <c r="J110" s="82"/>
      <c r="K110" s="51"/>
      <c r="L110" s="51"/>
      <c r="M110" s="82"/>
      <c r="N110" s="51"/>
      <c r="O110" s="82"/>
      <c r="P110" s="51"/>
      <c r="Q110" s="338"/>
      <c r="R110" s="51"/>
      <c r="S110" s="51"/>
      <c r="T110" s="35"/>
      <c r="U110" s="51"/>
      <c r="V110" s="51"/>
      <c r="W110" s="364"/>
      <c r="X110" s="141"/>
      <c r="Y110" s="48"/>
      <c r="Z110" s="48"/>
      <c r="AA110" s="48"/>
      <c r="AB110" s="48"/>
      <c r="AC110" s="48"/>
      <c r="AD110" s="48"/>
      <c r="AE110" s="61"/>
      <c r="AF110" s="62"/>
      <c r="AG110" s="62"/>
      <c r="AH110" s="56"/>
    </row>
    <row r="111" spans="1:34" x14ac:dyDescent="0.3">
      <c r="A111" s="177">
        <f>A106+1</f>
        <v>64</v>
      </c>
      <c r="B111" s="66" t="s">
        <v>302</v>
      </c>
      <c r="C111" s="51">
        <f>D111+K111+L111+N111+P111+R111+S111+U111+V111+W111</f>
        <v>647496</v>
      </c>
      <c r="D111" s="51">
        <f>E111+F111+G111+H111+I111</f>
        <v>647496</v>
      </c>
      <c r="E111" s="51"/>
      <c r="F111" s="51"/>
      <c r="G111" s="51"/>
      <c r="H111" s="51">
        <f>165.6*3910</f>
        <v>647496</v>
      </c>
      <c r="I111" s="51"/>
      <c r="J111" s="82"/>
      <c r="K111" s="51"/>
      <c r="L111" s="51"/>
      <c r="M111" s="82"/>
      <c r="N111" s="51"/>
      <c r="O111" s="82"/>
      <c r="P111" s="51"/>
      <c r="Q111" s="338"/>
      <c r="R111" s="51"/>
      <c r="S111" s="51"/>
      <c r="T111" s="35"/>
      <c r="U111" s="51"/>
      <c r="V111" s="51"/>
      <c r="W111" s="364"/>
      <c r="X111" s="141"/>
      <c r="Y111" s="48"/>
      <c r="Z111" s="48"/>
      <c r="AA111" s="48"/>
      <c r="AB111" s="48"/>
      <c r="AC111" s="48"/>
      <c r="AD111" s="48"/>
      <c r="AE111" s="61"/>
      <c r="AF111" s="62"/>
      <c r="AG111" s="62"/>
      <c r="AH111" s="56"/>
    </row>
    <row r="112" spans="1:34" x14ac:dyDescent="0.3">
      <c r="A112" s="177"/>
      <c r="B112" s="177" t="s">
        <v>211</v>
      </c>
      <c r="C112" s="51">
        <f t="shared" ref="C112:W112" si="22">SUM(C111:C111)</f>
        <v>647496</v>
      </c>
      <c r="D112" s="51">
        <f t="shared" si="22"/>
        <v>647496</v>
      </c>
      <c r="E112" s="51">
        <f t="shared" si="22"/>
        <v>0</v>
      </c>
      <c r="F112" s="51">
        <f t="shared" si="22"/>
        <v>0</v>
      </c>
      <c r="G112" s="51">
        <f t="shared" si="22"/>
        <v>0</v>
      </c>
      <c r="H112" s="51">
        <f t="shared" si="22"/>
        <v>647496</v>
      </c>
      <c r="I112" s="51">
        <f t="shared" si="22"/>
        <v>0</v>
      </c>
      <c r="J112" s="82">
        <f t="shared" si="22"/>
        <v>0</v>
      </c>
      <c r="K112" s="51">
        <f t="shared" si="22"/>
        <v>0</v>
      </c>
      <c r="L112" s="51">
        <f t="shared" si="22"/>
        <v>0</v>
      </c>
      <c r="M112" s="82">
        <f t="shared" si="22"/>
        <v>0</v>
      </c>
      <c r="N112" s="51">
        <f t="shared" si="22"/>
        <v>0</v>
      </c>
      <c r="O112" s="82">
        <f t="shared" si="22"/>
        <v>0</v>
      </c>
      <c r="P112" s="51">
        <f t="shared" si="22"/>
        <v>0</v>
      </c>
      <c r="Q112" s="338">
        <f t="shared" si="22"/>
        <v>0</v>
      </c>
      <c r="R112" s="51">
        <f t="shared" si="22"/>
        <v>0</v>
      </c>
      <c r="S112" s="51">
        <f t="shared" si="22"/>
        <v>0</v>
      </c>
      <c r="T112" s="35">
        <f t="shared" si="22"/>
        <v>0</v>
      </c>
      <c r="U112" s="51">
        <f t="shared" si="22"/>
        <v>0</v>
      </c>
      <c r="V112" s="51">
        <f t="shared" si="22"/>
        <v>0</v>
      </c>
      <c r="W112" s="51">
        <f t="shared" si="22"/>
        <v>0</v>
      </c>
      <c r="X112" s="141"/>
      <c r="Y112" s="48"/>
      <c r="Z112" s="48"/>
      <c r="AA112" s="48"/>
      <c r="AB112" s="48"/>
      <c r="AC112" s="48"/>
      <c r="AD112" s="48"/>
      <c r="AE112" s="61"/>
      <c r="AF112" s="62"/>
      <c r="AG112" s="62"/>
      <c r="AH112" s="56"/>
    </row>
    <row r="113" spans="1:34" ht="31.2" x14ac:dyDescent="0.3">
      <c r="A113" s="177"/>
      <c r="B113" s="66" t="s">
        <v>309</v>
      </c>
      <c r="C113" s="51"/>
      <c r="D113" s="51"/>
      <c r="E113" s="51"/>
      <c r="F113" s="51"/>
      <c r="G113" s="51"/>
      <c r="H113" s="51"/>
      <c r="I113" s="51"/>
      <c r="J113" s="82"/>
      <c r="K113" s="51"/>
      <c r="L113" s="51"/>
      <c r="M113" s="82"/>
      <c r="N113" s="51"/>
      <c r="O113" s="82"/>
      <c r="P113" s="51"/>
      <c r="Q113" s="338"/>
      <c r="R113" s="51"/>
      <c r="S113" s="51"/>
      <c r="T113" s="35"/>
      <c r="U113" s="51"/>
      <c r="V113" s="51"/>
      <c r="W113" s="364"/>
      <c r="X113" s="141"/>
      <c r="Y113" s="48"/>
      <c r="Z113" s="48"/>
      <c r="AA113" s="48"/>
      <c r="AB113" s="48"/>
      <c r="AC113" s="48"/>
      <c r="AD113" s="48"/>
      <c r="AE113" s="61"/>
      <c r="AF113" s="62"/>
      <c r="AG113" s="62"/>
      <c r="AH113" s="56"/>
    </row>
    <row r="114" spans="1:34" x14ac:dyDescent="0.3">
      <c r="A114" s="177">
        <f>A111+1</f>
        <v>65</v>
      </c>
      <c r="B114" s="66" t="s">
        <v>312</v>
      </c>
      <c r="C114" s="51">
        <f>D114+K114+L114+N114+P114+R114+S114+U114+V114+W114</f>
        <v>1238620.2600000002</v>
      </c>
      <c r="D114" s="51">
        <f>E114+F114+G114+H114+I114</f>
        <v>0</v>
      </c>
      <c r="E114" s="51"/>
      <c r="F114" s="51"/>
      <c r="G114" s="51"/>
      <c r="H114" s="51"/>
      <c r="I114" s="51"/>
      <c r="J114" s="82"/>
      <c r="K114" s="51"/>
      <c r="L114" s="51"/>
      <c r="M114" s="82"/>
      <c r="N114" s="51"/>
      <c r="O114" s="82"/>
      <c r="P114" s="51"/>
      <c r="Q114" s="338"/>
      <c r="R114" s="51"/>
      <c r="S114" s="51"/>
      <c r="T114" s="35"/>
      <c r="U114" s="51"/>
      <c r="V114" s="51"/>
      <c r="W114" s="364">
        <f>SUM(X114:AI114)</f>
        <v>1238620.2600000002</v>
      </c>
      <c r="X114" s="141"/>
      <c r="Y114" s="48">
        <v>109075.62</v>
      </c>
      <c r="Z114" s="48">
        <v>132291.12</v>
      </c>
      <c r="AA114" s="48"/>
      <c r="AB114" s="48">
        <v>106306.38</v>
      </c>
      <c r="AC114" s="48">
        <v>106306.38</v>
      </c>
      <c r="AD114" s="48">
        <v>199272.05</v>
      </c>
      <c r="AE114" s="61">
        <v>79881.320000000007</v>
      </c>
      <c r="AF114" s="62">
        <v>505487.39</v>
      </c>
      <c r="AG114" s="62"/>
      <c r="AH114" s="56"/>
    </row>
    <row r="115" spans="1:34" x14ac:dyDescent="0.3">
      <c r="A115" s="177"/>
      <c r="B115" s="177" t="s">
        <v>211</v>
      </c>
      <c r="C115" s="51">
        <f t="shared" ref="C115:W115" si="23">SUM(C114:C114)</f>
        <v>1238620.2600000002</v>
      </c>
      <c r="D115" s="51">
        <f t="shared" si="23"/>
        <v>0</v>
      </c>
      <c r="E115" s="51">
        <f t="shared" si="23"/>
        <v>0</v>
      </c>
      <c r="F115" s="51">
        <f t="shared" si="23"/>
        <v>0</v>
      </c>
      <c r="G115" s="51">
        <f t="shared" si="23"/>
        <v>0</v>
      </c>
      <c r="H115" s="51">
        <f t="shared" si="23"/>
        <v>0</v>
      </c>
      <c r="I115" s="51">
        <f t="shared" si="23"/>
        <v>0</v>
      </c>
      <c r="J115" s="82">
        <f t="shared" si="23"/>
        <v>0</v>
      </c>
      <c r="K115" s="51">
        <f t="shared" si="23"/>
        <v>0</v>
      </c>
      <c r="L115" s="51">
        <f t="shared" si="23"/>
        <v>0</v>
      </c>
      <c r="M115" s="82">
        <f t="shared" si="23"/>
        <v>0</v>
      </c>
      <c r="N115" s="51">
        <f t="shared" si="23"/>
        <v>0</v>
      </c>
      <c r="O115" s="82">
        <f t="shared" si="23"/>
        <v>0</v>
      </c>
      <c r="P115" s="51">
        <f t="shared" si="23"/>
        <v>0</v>
      </c>
      <c r="Q115" s="338">
        <f t="shared" si="23"/>
        <v>0</v>
      </c>
      <c r="R115" s="51">
        <f t="shared" si="23"/>
        <v>0</v>
      </c>
      <c r="S115" s="51">
        <f t="shared" si="23"/>
        <v>0</v>
      </c>
      <c r="T115" s="35">
        <f t="shared" si="23"/>
        <v>0</v>
      </c>
      <c r="U115" s="51">
        <f t="shared" si="23"/>
        <v>0</v>
      </c>
      <c r="V115" s="51">
        <f t="shared" si="23"/>
        <v>0</v>
      </c>
      <c r="W115" s="51">
        <f t="shared" si="23"/>
        <v>1238620.2600000002</v>
      </c>
      <c r="X115" s="141"/>
      <c r="Y115" s="48"/>
      <c r="Z115" s="48"/>
      <c r="AA115" s="48"/>
      <c r="AB115" s="48"/>
      <c r="AC115" s="48"/>
      <c r="AD115" s="48"/>
      <c r="AE115" s="61"/>
      <c r="AF115" s="62"/>
      <c r="AG115" s="62"/>
      <c r="AH115" s="56"/>
    </row>
    <row r="116" spans="1:34" ht="31.2" x14ac:dyDescent="0.3">
      <c r="A116" s="177"/>
      <c r="B116" s="66" t="s">
        <v>331</v>
      </c>
      <c r="C116" s="51"/>
      <c r="D116" s="51"/>
      <c r="E116" s="51"/>
      <c r="F116" s="51"/>
      <c r="G116" s="51"/>
      <c r="H116" s="51"/>
      <c r="I116" s="51"/>
      <c r="J116" s="82"/>
      <c r="K116" s="51"/>
      <c r="L116" s="51"/>
      <c r="M116" s="82"/>
      <c r="N116" s="51"/>
      <c r="O116" s="82"/>
      <c r="P116" s="51"/>
      <c r="Q116" s="338"/>
      <c r="R116" s="51"/>
      <c r="S116" s="51"/>
      <c r="T116" s="35"/>
      <c r="U116" s="51"/>
      <c r="V116" s="51"/>
      <c r="W116" s="364"/>
      <c r="X116" s="141"/>
      <c r="Y116" s="48"/>
      <c r="Z116" s="48"/>
      <c r="AA116" s="48"/>
      <c r="AB116" s="48"/>
      <c r="AC116" s="48"/>
      <c r="AD116" s="48"/>
      <c r="AE116" s="61"/>
      <c r="AF116" s="62"/>
      <c r="AG116" s="62"/>
      <c r="AH116" s="56"/>
    </row>
    <row r="117" spans="1:34" x14ac:dyDescent="0.3">
      <c r="A117" s="177">
        <f>A114+1</f>
        <v>66</v>
      </c>
      <c r="B117" s="66" t="s">
        <v>372</v>
      </c>
      <c r="C117" s="51">
        <f t="shared" ref="C117:C148" si="24">D117+K117+L117+N117+P117+R117+S117+U117+V117+W117</f>
        <v>629897</v>
      </c>
      <c r="D117" s="51">
        <f t="shared" ref="D117:D166" si="25">E117+F117+G117+H117+I117</f>
        <v>629897</v>
      </c>
      <c r="E117" s="51"/>
      <c r="F117" s="51"/>
      <c r="G117" s="51">
        <v>105670</v>
      </c>
      <c r="H117" s="51"/>
      <c r="I117" s="51">
        <v>524227</v>
      </c>
      <c r="J117" s="82"/>
      <c r="K117" s="51"/>
      <c r="L117" s="51"/>
      <c r="M117" s="82"/>
      <c r="N117" s="51"/>
      <c r="O117" s="82"/>
      <c r="P117" s="51"/>
      <c r="Q117" s="338"/>
      <c r="R117" s="51"/>
      <c r="S117" s="51"/>
      <c r="T117" s="35"/>
      <c r="U117" s="51"/>
      <c r="V117" s="51"/>
      <c r="W117" s="364"/>
      <c r="X117" s="141"/>
      <c r="Y117" s="308">
        <v>117743.63</v>
      </c>
      <c r="Z117" s="308">
        <v>139862.18</v>
      </c>
      <c r="AA117" s="308"/>
      <c r="AB117" s="308">
        <v>118924.98</v>
      </c>
      <c r="AC117" s="308">
        <v>115058.62</v>
      </c>
      <c r="AD117" s="308">
        <v>210729.61</v>
      </c>
      <c r="AE117" s="309"/>
      <c r="AF117" s="308">
        <v>572162.17000000004</v>
      </c>
      <c r="AG117" s="308"/>
      <c r="AH117" s="56"/>
    </row>
    <row r="118" spans="1:34" x14ac:dyDescent="0.3">
      <c r="A118" s="177">
        <f>A117+1</f>
        <v>67</v>
      </c>
      <c r="B118" s="66" t="s">
        <v>374</v>
      </c>
      <c r="C118" s="51">
        <f t="shared" si="24"/>
        <v>1347672.7999999998</v>
      </c>
      <c r="D118" s="51">
        <f t="shared" si="25"/>
        <v>1347672.7999999998</v>
      </c>
      <c r="E118" s="51">
        <v>277502.40000000002</v>
      </c>
      <c r="F118" s="51">
        <v>975278</v>
      </c>
      <c r="G118" s="51">
        <v>94892.4</v>
      </c>
      <c r="H118" s="51"/>
      <c r="I118" s="51"/>
      <c r="J118" s="82"/>
      <c r="K118" s="51"/>
      <c r="L118" s="51"/>
      <c r="M118" s="82"/>
      <c r="N118" s="51"/>
      <c r="O118" s="82"/>
      <c r="P118" s="51"/>
      <c r="Q118" s="338"/>
      <c r="R118" s="51"/>
      <c r="S118" s="51"/>
      <c r="T118" s="35"/>
      <c r="U118" s="51"/>
      <c r="V118" s="51"/>
      <c r="W118" s="364"/>
      <c r="X118" s="141"/>
      <c r="Y118" s="308"/>
      <c r="Z118" s="309">
        <v>101442.22</v>
      </c>
      <c r="AA118" s="308"/>
      <c r="AB118" s="309">
        <v>81728.28</v>
      </c>
      <c r="AC118" s="310">
        <v>81728.28</v>
      </c>
      <c r="AD118" s="309">
        <v>157755</v>
      </c>
      <c r="AE118" s="309"/>
      <c r="AF118" s="308"/>
      <c r="AG118" s="310">
        <v>145034.99</v>
      </c>
      <c r="AH118" s="56"/>
    </row>
    <row r="119" spans="1:34" x14ac:dyDescent="0.3">
      <c r="A119" s="177">
        <f t="shared" ref="A119:A166" si="26">A118+1</f>
        <v>68</v>
      </c>
      <c r="B119" s="66" t="s">
        <v>375</v>
      </c>
      <c r="C119" s="51">
        <f t="shared" si="24"/>
        <v>1315440</v>
      </c>
      <c r="D119" s="51">
        <f t="shared" si="25"/>
        <v>1315440</v>
      </c>
      <c r="E119" s="51"/>
      <c r="F119" s="51">
        <v>1010684</v>
      </c>
      <c r="G119" s="51">
        <v>110018</v>
      </c>
      <c r="H119" s="51"/>
      <c r="I119" s="51">
        <v>194738</v>
      </c>
      <c r="J119" s="82"/>
      <c r="K119" s="51"/>
      <c r="L119" s="51"/>
      <c r="M119" s="82"/>
      <c r="N119" s="51"/>
      <c r="O119" s="82"/>
      <c r="P119" s="51"/>
      <c r="Q119" s="338"/>
      <c r="R119" s="51"/>
      <c r="S119" s="51"/>
      <c r="T119" s="35"/>
      <c r="U119" s="51"/>
      <c r="V119" s="51"/>
      <c r="W119" s="364"/>
      <c r="X119" s="141"/>
      <c r="Y119" s="308"/>
      <c r="Z119" s="308"/>
      <c r="AA119" s="308"/>
      <c r="AB119" s="308"/>
      <c r="AC119" s="308"/>
      <c r="AD119" s="308"/>
      <c r="AE119" s="309"/>
      <c r="AF119" s="308"/>
      <c r="AG119" s="308"/>
      <c r="AH119" s="56"/>
    </row>
    <row r="120" spans="1:34" x14ac:dyDescent="0.3">
      <c r="A120" s="177">
        <f t="shared" si="26"/>
        <v>69</v>
      </c>
      <c r="B120" s="66" t="s">
        <v>381</v>
      </c>
      <c r="C120" s="51">
        <f t="shared" si="24"/>
        <v>867684</v>
      </c>
      <c r="D120" s="51">
        <f t="shared" si="25"/>
        <v>867684</v>
      </c>
      <c r="E120" s="51">
        <v>305456.40000000002</v>
      </c>
      <c r="F120" s="51"/>
      <c r="G120" s="51"/>
      <c r="H120" s="51"/>
      <c r="I120" s="51">
        <v>562227.6</v>
      </c>
      <c r="J120" s="82"/>
      <c r="K120" s="51"/>
      <c r="L120" s="51"/>
      <c r="M120" s="82"/>
      <c r="N120" s="51"/>
      <c r="O120" s="82"/>
      <c r="P120" s="51"/>
      <c r="Q120" s="338"/>
      <c r="R120" s="51"/>
      <c r="S120" s="51"/>
      <c r="T120" s="35"/>
      <c r="U120" s="51"/>
      <c r="V120" s="51"/>
      <c r="W120" s="364"/>
      <c r="X120" s="141"/>
      <c r="Y120" s="308"/>
      <c r="Z120" s="308"/>
      <c r="AA120" s="308"/>
      <c r="AB120" s="308"/>
      <c r="AC120" s="308"/>
      <c r="AD120" s="309">
        <v>91349.09</v>
      </c>
      <c r="AE120" s="309"/>
      <c r="AF120" s="309">
        <v>239680.4</v>
      </c>
      <c r="AG120" s="308"/>
      <c r="AH120" s="56"/>
    </row>
    <row r="121" spans="1:34" x14ac:dyDescent="0.3">
      <c r="A121" s="177">
        <f t="shared" si="26"/>
        <v>70</v>
      </c>
      <c r="B121" s="66" t="s">
        <v>383</v>
      </c>
      <c r="C121" s="51">
        <f t="shared" si="24"/>
        <v>944429.09</v>
      </c>
      <c r="D121" s="51">
        <f t="shared" si="25"/>
        <v>944429.09</v>
      </c>
      <c r="E121" s="51">
        <v>209822.69</v>
      </c>
      <c r="F121" s="51"/>
      <c r="G121" s="51">
        <v>190268.4</v>
      </c>
      <c r="H121" s="51"/>
      <c r="I121" s="51">
        <v>544338</v>
      </c>
      <c r="J121" s="82"/>
      <c r="K121" s="51"/>
      <c r="L121" s="51"/>
      <c r="M121" s="82"/>
      <c r="N121" s="51"/>
      <c r="O121" s="82"/>
      <c r="P121" s="51"/>
      <c r="Q121" s="338"/>
      <c r="R121" s="51"/>
      <c r="S121" s="51"/>
      <c r="T121" s="35"/>
      <c r="U121" s="51"/>
      <c r="V121" s="51"/>
      <c r="W121" s="364"/>
      <c r="X121" s="141"/>
      <c r="Y121" s="308"/>
      <c r="Z121" s="308"/>
      <c r="AA121" s="308"/>
      <c r="AB121" s="308"/>
      <c r="AC121" s="308"/>
      <c r="AD121" s="308"/>
      <c r="AE121" s="309"/>
      <c r="AF121" s="308"/>
      <c r="AG121" s="308"/>
      <c r="AH121" s="56"/>
    </row>
    <row r="122" spans="1:34" x14ac:dyDescent="0.3">
      <c r="A122" s="177">
        <f t="shared" si="26"/>
        <v>71</v>
      </c>
      <c r="B122" s="66" t="s">
        <v>384</v>
      </c>
      <c r="C122" s="51">
        <f t="shared" si="24"/>
        <v>419564.4</v>
      </c>
      <c r="D122" s="51">
        <f t="shared" si="25"/>
        <v>419564.4</v>
      </c>
      <c r="E122" s="51">
        <v>419564.4</v>
      </c>
      <c r="F122" s="51"/>
      <c r="G122" s="51"/>
      <c r="H122" s="51"/>
      <c r="I122" s="51"/>
      <c r="J122" s="82"/>
      <c r="K122" s="51"/>
      <c r="L122" s="51"/>
      <c r="M122" s="82"/>
      <c r="N122" s="51"/>
      <c r="O122" s="82"/>
      <c r="P122" s="51"/>
      <c r="Q122" s="338"/>
      <c r="R122" s="51"/>
      <c r="S122" s="51"/>
      <c r="T122" s="35"/>
      <c r="U122" s="51"/>
      <c r="V122" s="51"/>
      <c r="W122" s="364"/>
      <c r="X122" s="141"/>
      <c r="Y122" s="309">
        <v>118196.66</v>
      </c>
      <c r="Z122" s="308"/>
      <c r="AA122" s="308"/>
      <c r="AB122" s="308"/>
      <c r="AC122" s="308"/>
      <c r="AD122" s="308"/>
      <c r="AE122" s="309"/>
      <c r="AF122" s="308"/>
      <c r="AG122" s="308"/>
      <c r="AH122" s="56"/>
    </row>
    <row r="123" spans="1:34" x14ac:dyDescent="0.3">
      <c r="A123" s="177">
        <f t="shared" si="26"/>
        <v>72</v>
      </c>
      <c r="B123" s="66" t="s">
        <v>386</v>
      </c>
      <c r="C123" s="51">
        <f t="shared" si="24"/>
        <v>463090.8</v>
      </c>
      <c r="D123" s="51">
        <f t="shared" si="25"/>
        <v>463090.8</v>
      </c>
      <c r="E123" s="51">
        <v>266116.8</v>
      </c>
      <c r="F123" s="51"/>
      <c r="G123" s="51">
        <v>69858</v>
      </c>
      <c r="H123" s="51"/>
      <c r="I123" s="51">
        <v>127116</v>
      </c>
      <c r="J123" s="82"/>
      <c r="K123" s="51"/>
      <c r="L123" s="51"/>
      <c r="M123" s="82"/>
      <c r="N123" s="51"/>
      <c r="O123" s="82"/>
      <c r="P123" s="51"/>
      <c r="Q123" s="338"/>
      <c r="R123" s="51"/>
      <c r="S123" s="51"/>
      <c r="T123" s="35"/>
      <c r="U123" s="51"/>
      <c r="V123" s="51"/>
      <c r="W123" s="364"/>
      <c r="X123" s="141"/>
      <c r="Y123" s="308"/>
      <c r="Z123" s="310">
        <v>90803.56</v>
      </c>
      <c r="AA123" s="308"/>
      <c r="AB123" s="308"/>
      <c r="AC123" s="309">
        <v>73185.77</v>
      </c>
      <c r="AD123" s="310">
        <v>145996.81</v>
      </c>
      <c r="AE123" s="309"/>
      <c r="AF123" s="309">
        <v>372479.98</v>
      </c>
      <c r="AG123" s="308"/>
      <c r="AH123" s="56"/>
    </row>
    <row r="124" spans="1:34" x14ac:dyDescent="0.3">
      <c r="A124" s="177">
        <f t="shared" si="26"/>
        <v>73</v>
      </c>
      <c r="B124" s="66" t="s">
        <v>389</v>
      </c>
      <c r="C124" s="51">
        <f t="shared" si="24"/>
        <v>842214.44</v>
      </c>
      <c r="D124" s="51">
        <f t="shared" si="25"/>
        <v>842214.44</v>
      </c>
      <c r="E124" s="51">
        <v>333684</v>
      </c>
      <c r="F124" s="51"/>
      <c r="G124" s="51"/>
      <c r="H124" s="51"/>
      <c r="I124" s="51">
        <v>508530.44</v>
      </c>
      <c r="J124" s="82"/>
      <c r="K124" s="51"/>
      <c r="L124" s="51"/>
      <c r="M124" s="82"/>
      <c r="N124" s="51"/>
      <c r="O124" s="82"/>
      <c r="P124" s="51"/>
      <c r="Q124" s="338"/>
      <c r="R124" s="51"/>
      <c r="S124" s="51"/>
      <c r="T124" s="35"/>
      <c r="U124" s="51"/>
      <c r="V124" s="51"/>
      <c r="W124" s="364"/>
      <c r="X124" s="141"/>
      <c r="Y124" s="308"/>
      <c r="Z124" s="308"/>
      <c r="AA124" s="308"/>
      <c r="AB124" s="309">
        <v>75993.279999999999</v>
      </c>
      <c r="AC124" s="308"/>
      <c r="AD124" s="309">
        <v>150326.29</v>
      </c>
      <c r="AE124" s="309"/>
      <c r="AF124" s="309">
        <v>383001.06</v>
      </c>
      <c r="AG124" s="309">
        <v>137907.44</v>
      </c>
      <c r="AH124" s="56"/>
    </row>
    <row r="125" spans="1:34" x14ac:dyDescent="0.3">
      <c r="A125" s="177">
        <f t="shared" si="26"/>
        <v>74</v>
      </c>
      <c r="B125" s="66" t="s">
        <v>390</v>
      </c>
      <c r="C125" s="51">
        <f t="shared" si="24"/>
        <v>802267.54</v>
      </c>
      <c r="D125" s="51">
        <f t="shared" si="25"/>
        <v>802267.54</v>
      </c>
      <c r="E125" s="51">
        <v>344494.8</v>
      </c>
      <c r="F125" s="51"/>
      <c r="G125" s="51"/>
      <c r="H125" s="51"/>
      <c r="I125" s="51">
        <v>457772.74</v>
      </c>
      <c r="J125" s="82"/>
      <c r="K125" s="51"/>
      <c r="L125" s="51"/>
      <c r="M125" s="82"/>
      <c r="N125" s="51"/>
      <c r="O125" s="82"/>
      <c r="P125" s="51"/>
      <c r="Q125" s="338"/>
      <c r="R125" s="51"/>
      <c r="S125" s="51"/>
      <c r="T125" s="35"/>
      <c r="U125" s="51"/>
      <c r="V125" s="51"/>
      <c r="W125" s="364"/>
      <c r="X125" s="141"/>
      <c r="Y125" s="309"/>
      <c r="Z125" s="309"/>
      <c r="AA125" s="309"/>
      <c r="AB125" s="309"/>
      <c r="AC125" s="309"/>
      <c r="AD125" s="309">
        <v>130122.04</v>
      </c>
      <c r="AE125" s="309"/>
      <c r="AF125" s="309">
        <v>333902.64</v>
      </c>
      <c r="AG125" s="309">
        <v>117661.14</v>
      </c>
      <c r="AH125" s="56"/>
    </row>
    <row r="126" spans="1:34" x14ac:dyDescent="0.3">
      <c r="A126" s="177">
        <f t="shared" si="26"/>
        <v>75</v>
      </c>
      <c r="B126" s="66" t="s">
        <v>393</v>
      </c>
      <c r="C126" s="51">
        <f t="shared" si="24"/>
        <v>353869.2</v>
      </c>
      <c r="D126" s="51">
        <f t="shared" si="25"/>
        <v>353869.2</v>
      </c>
      <c r="E126" s="51">
        <v>353869.2</v>
      </c>
      <c r="F126" s="51"/>
      <c r="G126" s="51"/>
      <c r="H126" s="51"/>
      <c r="I126" s="51"/>
      <c r="J126" s="82"/>
      <c r="K126" s="51"/>
      <c r="L126" s="51"/>
      <c r="M126" s="82"/>
      <c r="N126" s="51"/>
      <c r="O126" s="82"/>
      <c r="P126" s="51"/>
      <c r="Q126" s="338"/>
      <c r="R126" s="51"/>
      <c r="S126" s="51"/>
      <c r="T126" s="35"/>
      <c r="U126" s="51"/>
      <c r="V126" s="51"/>
      <c r="W126" s="364"/>
      <c r="X126" s="141"/>
      <c r="Y126" s="309"/>
      <c r="Z126" s="309"/>
      <c r="AA126" s="309"/>
      <c r="AB126" s="309"/>
      <c r="AC126" s="309">
        <v>72561.89</v>
      </c>
      <c r="AD126" s="309"/>
      <c r="AE126" s="309"/>
      <c r="AF126" s="309">
        <v>370141.96</v>
      </c>
      <c r="AG126" s="309"/>
      <c r="AH126" s="56"/>
    </row>
    <row r="127" spans="1:34" x14ac:dyDescent="0.3">
      <c r="A127" s="177">
        <f t="shared" si="26"/>
        <v>76</v>
      </c>
      <c r="B127" s="66" t="s">
        <v>394</v>
      </c>
      <c r="C127" s="51">
        <f t="shared" si="24"/>
        <v>428757.6</v>
      </c>
      <c r="D127" s="51">
        <f t="shared" si="25"/>
        <v>428757.6</v>
      </c>
      <c r="E127" s="51">
        <v>428757.6</v>
      </c>
      <c r="F127" s="51"/>
      <c r="G127" s="51"/>
      <c r="H127" s="51"/>
      <c r="I127" s="51"/>
      <c r="J127" s="82"/>
      <c r="K127" s="51"/>
      <c r="L127" s="51"/>
      <c r="M127" s="82"/>
      <c r="N127" s="51"/>
      <c r="O127" s="82"/>
      <c r="P127" s="51"/>
      <c r="Q127" s="338"/>
      <c r="R127" s="51"/>
      <c r="S127" s="51"/>
      <c r="T127" s="35"/>
      <c r="U127" s="51"/>
      <c r="V127" s="51"/>
      <c r="W127" s="364"/>
      <c r="X127" s="141"/>
      <c r="Y127" s="309"/>
      <c r="Z127" s="309"/>
      <c r="AA127" s="309"/>
      <c r="AB127" s="309"/>
      <c r="AC127" s="309"/>
      <c r="AD127" s="309"/>
      <c r="AE127" s="309">
        <v>248555.45</v>
      </c>
      <c r="AF127" s="309"/>
      <c r="AG127" s="309"/>
      <c r="AH127" s="56"/>
    </row>
    <row r="128" spans="1:34" x14ac:dyDescent="0.3">
      <c r="A128" s="177">
        <f t="shared" si="26"/>
        <v>77</v>
      </c>
      <c r="B128" s="66" t="s">
        <v>395</v>
      </c>
      <c r="C128" s="51">
        <f t="shared" si="24"/>
        <v>1306060.8</v>
      </c>
      <c r="D128" s="51">
        <f t="shared" si="25"/>
        <v>1306060.8</v>
      </c>
      <c r="E128" s="51">
        <v>264024</v>
      </c>
      <c r="F128" s="51"/>
      <c r="G128" s="51">
        <v>275902.8</v>
      </c>
      <c r="H128" s="51">
        <v>275902.8</v>
      </c>
      <c r="I128" s="51">
        <v>490231.2</v>
      </c>
      <c r="J128" s="82"/>
      <c r="K128" s="51"/>
      <c r="L128" s="51"/>
      <c r="M128" s="82"/>
      <c r="N128" s="51"/>
      <c r="O128" s="82"/>
      <c r="P128" s="51"/>
      <c r="Q128" s="338"/>
      <c r="R128" s="51"/>
      <c r="S128" s="51"/>
      <c r="T128" s="35"/>
      <c r="U128" s="51"/>
      <c r="V128" s="51"/>
      <c r="W128" s="364"/>
      <c r="X128" s="141"/>
      <c r="Y128" s="309"/>
      <c r="Z128" s="309">
        <v>67866.740000000005</v>
      </c>
      <c r="AA128" s="309"/>
      <c r="AB128" s="309"/>
      <c r="AC128" s="309"/>
      <c r="AD128" s="309"/>
      <c r="AE128" s="309"/>
      <c r="AF128" s="309">
        <v>288778.82</v>
      </c>
      <c r="AG128" s="309"/>
      <c r="AH128" s="56"/>
    </row>
    <row r="129" spans="1:34" x14ac:dyDescent="0.3">
      <c r="A129" s="177">
        <f t="shared" si="26"/>
        <v>78</v>
      </c>
      <c r="B129" s="66" t="s">
        <v>396</v>
      </c>
      <c r="C129" s="51">
        <f t="shared" si="24"/>
        <v>490860.1</v>
      </c>
      <c r="D129" s="51">
        <f t="shared" si="25"/>
        <v>490860.1</v>
      </c>
      <c r="E129" s="51">
        <v>344294.5</v>
      </c>
      <c r="F129" s="51"/>
      <c r="G129" s="51"/>
      <c r="H129" s="51"/>
      <c r="I129" s="51">
        <v>146565.6</v>
      </c>
      <c r="J129" s="82"/>
      <c r="K129" s="51"/>
      <c r="L129" s="51"/>
      <c r="M129" s="82"/>
      <c r="N129" s="51"/>
      <c r="O129" s="82"/>
      <c r="P129" s="51"/>
      <c r="Q129" s="338"/>
      <c r="R129" s="51"/>
      <c r="S129" s="51"/>
      <c r="T129" s="35"/>
      <c r="U129" s="51"/>
      <c r="V129" s="51"/>
      <c r="W129" s="364"/>
      <c r="X129" s="141"/>
      <c r="Y129" s="309"/>
      <c r="Z129" s="309">
        <v>81513.53</v>
      </c>
      <c r="AA129" s="309"/>
      <c r="AB129" s="309">
        <v>64139.38</v>
      </c>
      <c r="AC129" s="309"/>
      <c r="AD129" s="309">
        <v>132046.26</v>
      </c>
      <c r="AE129" s="309"/>
      <c r="AF129" s="309">
        <v>338578.68</v>
      </c>
      <c r="AG129" s="309"/>
      <c r="AH129" s="56"/>
    </row>
    <row r="130" spans="1:34" x14ac:dyDescent="0.3">
      <c r="A130" s="177">
        <f t="shared" si="26"/>
        <v>79</v>
      </c>
      <c r="B130" s="66" t="s">
        <v>397</v>
      </c>
      <c r="C130" s="51">
        <f t="shared" si="24"/>
        <v>1121277.6000000001</v>
      </c>
      <c r="D130" s="51">
        <f t="shared" si="25"/>
        <v>1121277.6000000001</v>
      </c>
      <c r="E130" s="51">
        <v>341286</v>
      </c>
      <c r="F130" s="51">
        <v>674784</v>
      </c>
      <c r="G130" s="51"/>
      <c r="H130" s="51"/>
      <c r="I130" s="51">
        <v>105207.6</v>
      </c>
      <c r="J130" s="82"/>
      <c r="K130" s="51"/>
      <c r="L130" s="51"/>
      <c r="M130" s="82"/>
      <c r="N130" s="51"/>
      <c r="O130" s="82"/>
      <c r="P130" s="51"/>
      <c r="Q130" s="338"/>
      <c r="R130" s="51"/>
      <c r="S130" s="51"/>
      <c r="T130" s="35"/>
      <c r="U130" s="51"/>
      <c r="V130" s="51"/>
      <c r="W130" s="364"/>
      <c r="X130" s="141"/>
      <c r="Y130" s="309"/>
      <c r="Z130" s="309"/>
      <c r="AA130" s="309"/>
      <c r="AB130" s="309">
        <v>50912.9</v>
      </c>
      <c r="AC130" s="309"/>
      <c r="AD130" s="309">
        <v>111649.57</v>
      </c>
      <c r="AE130" s="309"/>
      <c r="AF130" s="309">
        <v>289012.63</v>
      </c>
      <c r="AG130" s="309"/>
      <c r="AH130" s="56"/>
    </row>
    <row r="131" spans="1:34" x14ac:dyDescent="0.3">
      <c r="A131" s="177">
        <f t="shared" si="26"/>
        <v>80</v>
      </c>
      <c r="B131" s="66" t="s">
        <v>399</v>
      </c>
      <c r="C131" s="51">
        <f t="shared" si="24"/>
        <v>1509468</v>
      </c>
      <c r="D131" s="51">
        <f t="shared" si="25"/>
        <v>1509468</v>
      </c>
      <c r="E131" s="51">
        <v>550179.6</v>
      </c>
      <c r="F131" s="51">
        <v>959288.4</v>
      </c>
      <c r="G131" s="51"/>
      <c r="H131" s="51"/>
      <c r="I131" s="51"/>
      <c r="J131" s="82"/>
      <c r="K131" s="51"/>
      <c r="L131" s="51"/>
      <c r="M131" s="82"/>
      <c r="N131" s="51"/>
      <c r="O131" s="82"/>
      <c r="P131" s="51"/>
      <c r="Q131" s="338"/>
      <c r="R131" s="51"/>
      <c r="S131" s="51"/>
      <c r="T131" s="35"/>
      <c r="U131" s="51"/>
      <c r="V131" s="51"/>
      <c r="W131" s="364"/>
      <c r="X131" s="141"/>
      <c r="Y131" s="309"/>
      <c r="Z131" s="309"/>
      <c r="AA131" s="309"/>
      <c r="AB131" s="309">
        <v>116881.2</v>
      </c>
      <c r="AC131" s="309">
        <v>116881.2</v>
      </c>
      <c r="AD131" s="309">
        <v>212514.88</v>
      </c>
      <c r="AE131" s="309"/>
      <c r="AF131" s="309">
        <v>534817.32999999996</v>
      </c>
      <c r="AG131" s="309">
        <v>199727.72</v>
      </c>
      <c r="AH131" s="56"/>
    </row>
    <row r="132" spans="1:34" x14ac:dyDescent="0.3">
      <c r="A132" s="177">
        <f t="shared" si="26"/>
        <v>81</v>
      </c>
      <c r="B132" s="66" t="s">
        <v>400</v>
      </c>
      <c r="C132" s="51">
        <f t="shared" si="24"/>
        <v>680667.6</v>
      </c>
      <c r="D132" s="51">
        <f t="shared" si="25"/>
        <v>680667.6</v>
      </c>
      <c r="E132" s="51">
        <v>247800</v>
      </c>
      <c r="F132" s="51"/>
      <c r="G132" s="51"/>
      <c r="H132" s="51"/>
      <c r="I132" s="51">
        <v>432867.6</v>
      </c>
      <c r="J132" s="82"/>
      <c r="K132" s="51"/>
      <c r="L132" s="51"/>
      <c r="M132" s="82"/>
      <c r="N132" s="51"/>
      <c r="O132" s="82"/>
      <c r="P132" s="51"/>
      <c r="Q132" s="338"/>
      <c r="R132" s="51"/>
      <c r="S132" s="51"/>
      <c r="T132" s="35"/>
      <c r="U132" s="51"/>
      <c r="V132" s="51"/>
      <c r="W132" s="364"/>
      <c r="X132" s="141"/>
      <c r="Y132" s="309"/>
      <c r="Z132" s="309"/>
      <c r="AA132" s="309"/>
      <c r="AB132" s="309"/>
      <c r="AC132" s="309"/>
      <c r="AD132" s="309">
        <v>99142.18</v>
      </c>
      <c r="AE132" s="309"/>
      <c r="AF132" s="309">
        <v>258618.38</v>
      </c>
      <c r="AG132" s="309"/>
      <c r="AH132" s="56"/>
    </row>
    <row r="133" spans="1:34" x14ac:dyDescent="0.3">
      <c r="A133" s="177">
        <f t="shared" si="26"/>
        <v>82</v>
      </c>
      <c r="B133" s="66" t="s">
        <v>401</v>
      </c>
      <c r="C133" s="51">
        <f t="shared" si="24"/>
        <v>706250.4</v>
      </c>
      <c r="D133" s="51">
        <f t="shared" si="25"/>
        <v>706250.4</v>
      </c>
      <c r="E133" s="51">
        <v>308641.2</v>
      </c>
      <c r="F133" s="51"/>
      <c r="G133" s="51"/>
      <c r="H133" s="51"/>
      <c r="I133" s="51">
        <v>397609.2</v>
      </c>
      <c r="J133" s="82"/>
      <c r="K133" s="51"/>
      <c r="L133" s="51"/>
      <c r="M133" s="82"/>
      <c r="N133" s="51"/>
      <c r="O133" s="82"/>
      <c r="P133" s="51"/>
      <c r="Q133" s="338"/>
      <c r="R133" s="51"/>
      <c r="S133" s="51"/>
      <c r="T133" s="35"/>
      <c r="U133" s="51"/>
      <c r="V133" s="51"/>
      <c r="W133" s="364"/>
      <c r="X133" s="141"/>
      <c r="Y133" s="309"/>
      <c r="Z133" s="309"/>
      <c r="AA133" s="309"/>
      <c r="AB133" s="309"/>
      <c r="AC133" s="309"/>
      <c r="AD133" s="309">
        <v>139299.56</v>
      </c>
      <c r="AE133" s="309"/>
      <c r="AF133" s="309">
        <v>154778.21</v>
      </c>
      <c r="AG133" s="309">
        <v>107976.64</v>
      </c>
      <c r="AH133" s="56"/>
    </row>
    <row r="134" spans="1:34" x14ac:dyDescent="0.3">
      <c r="A134" s="177">
        <f t="shared" si="26"/>
        <v>83</v>
      </c>
      <c r="B134" s="66" t="s">
        <v>407</v>
      </c>
      <c r="C134" s="51">
        <f t="shared" si="24"/>
        <v>863883.6</v>
      </c>
      <c r="D134" s="51">
        <f t="shared" si="25"/>
        <v>863883.6</v>
      </c>
      <c r="E134" s="51">
        <v>302372.40000000002</v>
      </c>
      <c r="F134" s="51"/>
      <c r="G134" s="51"/>
      <c r="H134" s="51"/>
      <c r="I134" s="51">
        <v>561511.19999999995</v>
      </c>
      <c r="J134" s="82"/>
      <c r="K134" s="51"/>
      <c r="L134" s="51"/>
      <c r="M134" s="82"/>
      <c r="N134" s="51"/>
      <c r="O134" s="82"/>
      <c r="P134" s="51"/>
      <c r="Q134" s="338"/>
      <c r="R134" s="51"/>
      <c r="S134" s="51"/>
      <c r="T134" s="35"/>
      <c r="U134" s="51"/>
      <c r="V134" s="51"/>
      <c r="W134" s="364"/>
      <c r="X134" s="141"/>
      <c r="Y134" s="48"/>
      <c r="Z134" s="309"/>
      <c r="AA134" s="309"/>
      <c r="AB134" s="309"/>
      <c r="AC134" s="309"/>
      <c r="AD134" s="309">
        <v>182110.42</v>
      </c>
      <c r="AE134" s="309"/>
      <c r="AF134" s="309">
        <v>460791.65</v>
      </c>
      <c r="AG134" s="309"/>
      <c r="AH134" s="56"/>
    </row>
    <row r="135" spans="1:34" x14ac:dyDescent="0.3">
      <c r="A135" s="177">
        <f t="shared" si="26"/>
        <v>84</v>
      </c>
      <c r="B135" s="66" t="s">
        <v>409</v>
      </c>
      <c r="C135" s="51">
        <f t="shared" si="24"/>
        <v>783327.6</v>
      </c>
      <c r="D135" s="51">
        <f t="shared" si="25"/>
        <v>783327.6</v>
      </c>
      <c r="E135" s="51">
        <v>783327.6</v>
      </c>
      <c r="F135" s="51"/>
      <c r="G135" s="51"/>
      <c r="H135" s="51"/>
      <c r="I135" s="51"/>
      <c r="J135" s="82"/>
      <c r="K135" s="51"/>
      <c r="L135" s="51"/>
      <c r="M135" s="82"/>
      <c r="N135" s="51"/>
      <c r="O135" s="82"/>
      <c r="P135" s="51"/>
      <c r="Q135" s="338"/>
      <c r="R135" s="51"/>
      <c r="S135" s="51"/>
      <c r="T135" s="35"/>
      <c r="U135" s="51"/>
      <c r="V135" s="51"/>
      <c r="W135" s="364"/>
      <c r="X135" s="141"/>
      <c r="Y135" s="48"/>
      <c r="Z135" s="309">
        <v>140590.87</v>
      </c>
      <c r="AA135" s="309"/>
      <c r="AB135" s="309">
        <v>117409.13</v>
      </c>
      <c r="AC135" s="309"/>
      <c r="AD135" s="309">
        <v>298128.15999999997</v>
      </c>
      <c r="AE135" s="309"/>
      <c r="AF135" s="309">
        <v>544346.94999999995</v>
      </c>
      <c r="AG135" s="309"/>
      <c r="AH135" s="56"/>
    </row>
    <row r="136" spans="1:34" x14ac:dyDescent="0.3">
      <c r="A136" s="177">
        <f t="shared" si="26"/>
        <v>85</v>
      </c>
      <c r="B136" s="66" t="s">
        <v>410</v>
      </c>
      <c r="C136" s="51">
        <f t="shared" si="24"/>
        <v>732211.19999999995</v>
      </c>
      <c r="D136" s="51">
        <f t="shared" si="25"/>
        <v>732211.19999999995</v>
      </c>
      <c r="E136" s="51">
        <v>242817.6</v>
      </c>
      <c r="F136" s="51"/>
      <c r="G136" s="51"/>
      <c r="H136" s="51"/>
      <c r="I136" s="51">
        <v>489393.6</v>
      </c>
      <c r="J136" s="82"/>
      <c r="K136" s="51"/>
      <c r="L136" s="51"/>
      <c r="M136" s="82"/>
      <c r="N136" s="51"/>
      <c r="O136" s="82"/>
      <c r="P136" s="51"/>
      <c r="Q136" s="338"/>
      <c r="R136" s="51"/>
      <c r="S136" s="51"/>
      <c r="T136" s="35"/>
      <c r="U136" s="51"/>
      <c r="V136" s="51"/>
      <c r="W136" s="364"/>
      <c r="X136" s="141"/>
      <c r="Y136" s="48"/>
      <c r="Z136" s="309">
        <v>66393.16</v>
      </c>
      <c r="AA136" s="309"/>
      <c r="AB136" s="309">
        <v>49415.56</v>
      </c>
      <c r="AC136" s="309"/>
      <c r="AD136" s="309">
        <v>109340.51</v>
      </c>
      <c r="AE136" s="309"/>
      <c r="AF136" s="309">
        <v>283401.40000000002</v>
      </c>
      <c r="AG136" s="309"/>
      <c r="AH136" s="56"/>
    </row>
    <row r="137" spans="1:34" x14ac:dyDescent="0.3">
      <c r="A137" s="177">
        <f t="shared" si="26"/>
        <v>86</v>
      </c>
      <c r="B137" s="66" t="s">
        <v>411</v>
      </c>
      <c r="C137" s="51">
        <f t="shared" si="24"/>
        <v>310942.8</v>
      </c>
      <c r="D137" s="51">
        <f t="shared" si="25"/>
        <v>310942.8</v>
      </c>
      <c r="E137" s="51">
        <v>310942.8</v>
      </c>
      <c r="F137" s="51"/>
      <c r="G137" s="51"/>
      <c r="H137" s="51"/>
      <c r="I137" s="51"/>
      <c r="J137" s="82"/>
      <c r="K137" s="51"/>
      <c r="L137" s="51"/>
      <c r="M137" s="82"/>
      <c r="N137" s="51"/>
      <c r="O137" s="82"/>
      <c r="P137" s="51"/>
      <c r="Q137" s="338"/>
      <c r="R137" s="51"/>
      <c r="S137" s="51"/>
      <c r="T137" s="35"/>
      <c r="U137" s="51"/>
      <c r="V137" s="51"/>
      <c r="W137" s="364"/>
      <c r="X137" s="141"/>
      <c r="Y137" s="309"/>
      <c r="Z137" s="309">
        <v>130837.72</v>
      </c>
      <c r="AA137" s="309"/>
      <c r="AB137" s="309">
        <v>110187.85</v>
      </c>
      <c r="AC137" s="309">
        <v>110187.85</v>
      </c>
      <c r="AD137" s="309">
        <v>202088.22</v>
      </c>
      <c r="AE137" s="309"/>
      <c r="AF137" s="309">
        <v>509431.56</v>
      </c>
      <c r="AG137" s="309"/>
      <c r="AH137" s="56"/>
    </row>
    <row r="138" spans="1:34" x14ac:dyDescent="0.3">
      <c r="A138" s="177">
        <f t="shared" si="26"/>
        <v>87</v>
      </c>
      <c r="B138" s="66" t="s">
        <v>413</v>
      </c>
      <c r="C138" s="51">
        <f t="shared" si="24"/>
        <v>1378724.4</v>
      </c>
      <c r="D138" s="51">
        <f t="shared" si="25"/>
        <v>1378724.4</v>
      </c>
      <c r="E138" s="51">
        <v>327164.40000000002</v>
      </c>
      <c r="F138" s="51">
        <v>1051560</v>
      </c>
      <c r="G138" s="51"/>
      <c r="H138" s="51"/>
      <c r="I138" s="51"/>
      <c r="J138" s="82"/>
      <c r="K138" s="51"/>
      <c r="L138" s="51"/>
      <c r="M138" s="82"/>
      <c r="N138" s="51"/>
      <c r="O138" s="82"/>
      <c r="P138" s="51"/>
      <c r="Q138" s="338"/>
      <c r="R138" s="51"/>
      <c r="S138" s="51"/>
      <c r="T138" s="35"/>
      <c r="U138" s="51"/>
      <c r="V138" s="51"/>
      <c r="W138" s="364"/>
      <c r="X138" s="311"/>
      <c r="Y138" s="309"/>
      <c r="Z138" s="309"/>
      <c r="AA138" s="309"/>
      <c r="AB138" s="309">
        <v>84295.18</v>
      </c>
      <c r="AC138" s="309"/>
      <c r="AD138" s="309">
        <v>161555.26</v>
      </c>
      <c r="AE138" s="309"/>
      <c r="AF138" s="309">
        <v>412106</v>
      </c>
      <c r="AG138" s="309"/>
      <c r="AH138" s="56"/>
    </row>
    <row r="139" spans="1:34" x14ac:dyDescent="0.3">
      <c r="A139" s="177">
        <f t="shared" si="26"/>
        <v>88</v>
      </c>
      <c r="B139" s="66" t="s">
        <v>414</v>
      </c>
      <c r="C139" s="51">
        <f t="shared" si="24"/>
        <v>1706494.8</v>
      </c>
      <c r="D139" s="51">
        <f t="shared" si="25"/>
        <v>1706494.8</v>
      </c>
      <c r="E139" s="51">
        <v>330972</v>
      </c>
      <c r="F139" s="51">
        <v>1020046.8</v>
      </c>
      <c r="G139" s="51">
        <v>184726.8</v>
      </c>
      <c r="H139" s="51"/>
      <c r="I139" s="51">
        <v>170749.2</v>
      </c>
      <c r="J139" s="82"/>
      <c r="K139" s="51"/>
      <c r="L139" s="51"/>
      <c r="M139" s="82"/>
      <c r="N139" s="51"/>
      <c r="O139" s="82"/>
      <c r="P139" s="51"/>
      <c r="Q139" s="338"/>
      <c r="R139" s="51"/>
      <c r="S139" s="51"/>
      <c r="T139" s="35"/>
      <c r="U139" s="51"/>
      <c r="V139" s="51"/>
      <c r="W139" s="364"/>
      <c r="X139" s="311"/>
      <c r="Y139" s="309"/>
      <c r="Z139" s="309"/>
      <c r="AA139" s="309"/>
      <c r="AB139" s="309"/>
      <c r="AC139" s="309"/>
      <c r="AD139" s="309"/>
      <c r="AE139" s="309"/>
      <c r="AF139" s="309"/>
      <c r="AG139" s="309"/>
      <c r="AH139" s="56"/>
    </row>
    <row r="140" spans="1:34" x14ac:dyDescent="0.3">
      <c r="A140" s="177">
        <f t="shared" si="26"/>
        <v>89</v>
      </c>
      <c r="B140" s="66" t="s">
        <v>415</v>
      </c>
      <c r="C140" s="51">
        <f t="shared" si="24"/>
        <v>966834</v>
      </c>
      <c r="D140" s="51">
        <f t="shared" si="25"/>
        <v>966834</v>
      </c>
      <c r="E140" s="51">
        <v>261382.8</v>
      </c>
      <c r="F140" s="51"/>
      <c r="G140" s="51">
        <v>177486</v>
      </c>
      <c r="H140" s="51"/>
      <c r="I140" s="51">
        <v>527965.19999999995</v>
      </c>
      <c r="J140" s="82"/>
      <c r="K140" s="51"/>
      <c r="L140" s="51"/>
      <c r="M140" s="82"/>
      <c r="N140" s="51"/>
      <c r="O140" s="82"/>
      <c r="P140" s="51"/>
      <c r="Q140" s="338"/>
      <c r="R140" s="51"/>
      <c r="S140" s="51"/>
      <c r="T140" s="35"/>
      <c r="U140" s="51"/>
      <c r="V140" s="51"/>
      <c r="W140" s="364"/>
      <c r="X140" s="311"/>
      <c r="Y140" s="309">
        <v>63084.959999999999</v>
      </c>
      <c r="Z140" s="309"/>
      <c r="AA140" s="309"/>
      <c r="AB140" s="309">
        <v>60520.800000000003</v>
      </c>
      <c r="AC140" s="309">
        <v>60520.800000000003</v>
      </c>
      <c r="AD140" s="309"/>
      <c r="AE140" s="309"/>
      <c r="AF140" s="309">
        <v>326496.08</v>
      </c>
      <c r="AG140" s="309"/>
      <c r="AH140" s="56"/>
    </row>
    <row r="141" spans="1:34" x14ac:dyDescent="0.3">
      <c r="A141" s="177">
        <f t="shared" si="26"/>
        <v>90</v>
      </c>
      <c r="B141" s="66" t="s">
        <v>416</v>
      </c>
      <c r="C141" s="51">
        <f t="shared" si="24"/>
        <v>428842.80000000005</v>
      </c>
      <c r="D141" s="51">
        <f t="shared" si="25"/>
        <v>428842.80000000005</v>
      </c>
      <c r="E141" s="51">
        <v>265705.2</v>
      </c>
      <c r="F141" s="51"/>
      <c r="G141" s="51">
        <v>163137.60000000001</v>
      </c>
      <c r="H141" s="51"/>
      <c r="I141" s="51"/>
      <c r="J141" s="82"/>
      <c r="K141" s="51"/>
      <c r="L141" s="51"/>
      <c r="M141" s="82"/>
      <c r="N141" s="51"/>
      <c r="O141" s="82"/>
      <c r="P141" s="51"/>
      <c r="Q141" s="338"/>
      <c r="R141" s="51"/>
      <c r="S141" s="51"/>
      <c r="T141" s="35"/>
      <c r="U141" s="51"/>
      <c r="V141" s="51"/>
      <c r="W141" s="364"/>
      <c r="X141" s="311"/>
      <c r="Y141" s="309">
        <v>63084.959999999999</v>
      </c>
      <c r="Z141" s="309"/>
      <c r="AA141" s="309"/>
      <c r="AB141" s="309">
        <v>60520.800000000003</v>
      </c>
      <c r="AC141" s="309">
        <v>60520.800000000003</v>
      </c>
      <c r="AD141" s="309"/>
      <c r="AE141" s="309"/>
      <c r="AF141" s="309">
        <v>326496.08</v>
      </c>
      <c r="AG141" s="309"/>
      <c r="AH141" s="56"/>
    </row>
    <row r="142" spans="1:34" x14ac:dyDescent="0.3">
      <c r="A142" s="177">
        <f t="shared" si="26"/>
        <v>91</v>
      </c>
      <c r="B142" s="66" t="s">
        <v>417</v>
      </c>
      <c r="C142" s="51">
        <f t="shared" si="24"/>
        <v>428842.80000000005</v>
      </c>
      <c r="D142" s="51">
        <f t="shared" si="25"/>
        <v>428842.80000000005</v>
      </c>
      <c r="E142" s="51">
        <v>265705.2</v>
      </c>
      <c r="F142" s="51"/>
      <c r="G142" s="51">
        <v>163137.60000000001</v>
      </c>
      <c r="H142" s="51"/>
      <c r="I142" s="51"/>
      <c r="J142" s="82"/>
      <c r="K142" s="51"/>
      <c r="L142" s="51"/>
      <c r="M142" s="82"/>
      <c r="N142" s="51"/>
      <c r="O142" s="82"/>
      <c r="P142" s="51"/>
      <c r="Q142" s="338"/>
      <c r="R142" s="51"/>
      <c r="S142" s="51"/>
      <c r="T142" s="35"/>
      <c r="U142" s="51"/>
      <c r="V142" s="51"/>
      <c r="W142" s="364"/>
      <c r="X142" s="311"/>
      <c r="Y142" s="309">
        <v>63336.74</v>
      </c>
      <c r="Z142" s="309"/>
      <c r="AA142" s="309"/>
      <c r="AB142" s="309">
        <v>60770.36</v>
      </c>
      <c r="AC142" s="309">
        <v>60770.36</v>
      </c>
      <c r="AD142" s="309"/>
      <c r="AE142" s="309"/>
      <c r="AF142" s="309">
        <v>325953.37</v>
      </c>
      <c r="AG142" s="309"/>
      <c r="AH142" s="56"/>
    </row>
    <row r="143" spans="1:34" x14ac:dyDescent="0.3">
      <c r="A143" s="177">
        <f t="shared" si="26"/>
        <v>92</v>
      </c>
      <c r="B143" s="66" t="s">
        <v>418</v>
      </c>
      <c r="C143" s="51">
        <f t="shared" si="24"/>
        <v>801230.39999999991</v>
      </c>
      <c r="D143" s="51">
        <f t="shared" si="25"/>
        <v>801230.39999999991</v>
      </c>
      <c r="E143" s="51">
        <v>393604.8</v>
      </c>
      <c r="F143" s="51"/>
      <c r="G143" s="51"/>
      <c r="H143" s="51"/>
      <c r="I143" s="51">
        <v>407625.6</v>
      </c>
      <c r="J143" s="82"/>
      <c r="K143" s="51"/>
      <c r="L143" s="51"/>
      <c r="M143" s="82"/>
      <c r="N143" s="51"/>
      <c r="O143" s="82"/>
      <c r="P143" s="51"/>
      <c r="Q143" s="338"/>
      <c r="R143" s="51"/>
      <c r="S143" s="51"/>
      <c r="T143" s="35"/>
      <c r="U143" s="51"/>
      <c r="V143" s="51"/>
      <c r="W143" s="364"/>
      <c r="X143" s="311"/>
      <c r="Y143" s="309">
        <v>75548.88</v>
      </c>
      <c r="Z143" s="309"/>
      <c r="AA143" s="309"/>
      <c r="AB143" s="309"/>
      <c r="AC143" s="309"/>
      <c r="AD143" s="309"/>
      <c r="AE143" s="309"/>
      <c r="AF143" s="309"/>
      <c r="AG143" s="309">
        <v>120601.46</v>
      </c>
      <c r="AH143" s="56"/>
    </row>
    <row r="144" spans="1:34" x14ac:dyDescent="0.3">
      <c r="A144" s="177">
        <f t="shared" si="26"/>
        <v>93</v>
      </c>
      <c r="B144" s="66" t="s">
        <v>419</v>
      </c>
      <c r="C144" s="51">
        <f t="shared" si="24"/>
        <v>1799198.4</v>
      </c>
      <c r="D144" s="51">
        <f t="shared" si="25"/>
        <v>1799198.4</v>
      </c>
      <c r="E144" s="51">
        <v>462806.4</v>
      </c>
      <c r="F144" s="51">
        <v>1188396</v>
      </c>
      <c r="G144" s="51"/>
      <c r="H144" s="51"/>
      <c r="I144" s="51">
        <v>147996</v>
      </c>
      <c r="J144" s="82"/>
      <c r="K144" s="51"/>
      <c r="L144" s="51"/>
      <c r="M144" s="82"/>
      <c r="N144" s="51"/>
      <c r="O144" s="82"/>
      <c r="P144" s="51"/>
      <c r="Q144" s="338"/>
      <c r="R144" s="51"/>
      <c r="S144" s="51"/>
      <c r="T144" s="35"/>
      <c r="U144" s="51"/>
      <c r="V144" s="51"/>
      <c r="W144" s="364"/>
      <c r="X144" s="311"/>
      <c r="Y144" s="309"/>
      <c r="Z144" s="309"/>
      <c r="AA144" s="309"/>
      <c r="AB144" s="309">
        <v>88319.46</v>
      </c>
      <c r="AC144" s="309">
        <v>88319.46</v>
      </c>
      <c r="AD144" s="309">
        <v>168022.48</v>
      </c>
      <c r="AE144" s="309"/>
      <c r="AF144" s="309">
        <v>426491.77</v>
      </c>
      <c r="AG144" s="309"/>
      <c r="AH144" s="56"/>
    </row>
    <row r="145" spans="1:34" x14ac:dyDescent="0.3">
      <c r="A145" s="177">
        <f t="shared" si="26"/>
        <v>94</v>
      </c>
      <c r="B145" s="66" t="s">
        <v>420</v>
      </c>
      <c r="C145" s="51">
        <f t="shared" si="24"/>
        <v>268870.8</v>
      </c>
      <c r="D145" s="51">
        <f t="shared" si="25"/>
        <v>268870.8</v>
      </c>
      <c r="E145" s="51">
        <v>268870.8</v>
      </c>
      <c r="F145" s="51"/>
      <c r="G145" s="51"/>
      <c r="H145" s="51"/>
      <c r="I145" s="51"/>
      <c r="J145" s="82"/>
      <c r="K145" s="51"/>
      <c r="L145" s="51"/>
      <c r="M145" s="82"/>
      <c r="N145" s="51"/>
      <c r="O145" s="82"/>
      <c r="P145" s="51"/>
      <c r="Q145" s="338"/>
      <c r="R145" s="51"/>
      <c r="S145" s="51"/>
      <c r="T145" s="35"/>
      <c r="U145" s="51"/>
      <c r="V145" s="51"/>
      <c r="W145" s="364"/>
      <c r="X145" s="141"/>
      <c r="Y145" s="48">
        <v>61894.93</v>
      </c>
      <c r="Z145" s="48"/>
      <c r="AA145" s="48"/>
      <c r="AB145" s="48"/>
      <c r="AC145" s="48"/>
      <c r="AD145" s="48">
        <v>127428.14</v>
      </c>
      <c r="AE145" s="61"/>
      <c r="AF145" s="62"/>
      <c r="AG145" s="62">
        <v>114961.64</v>
      </c>
      <c r="AH145" s="56"/>
    </row>
    <row r="146" spans="1:34" x14ac:dyDescent="0.3">
      <c r="A146" s="177">
        <f t="shared" si="26"/>
        <v>95</v>
      </c>
      <c r="B146" s="66" t="s">
        <v>421</v>
      </c>
      <c r="C146" s="51">
        <f t="shared" si="24"/>
        <v>2865839.8</v>
      </c>
      <c r="D146" s="51">
        <f t="shared" si="25"/>
        <v>2865839.8</v>
      </c>
      <c r="E146" s="51">
        <v>550515.6</v>
      </c>
      <c r="F146" s="51">
        <v>1712086</v>
      </c>
      <c r="G146" s="51">
        <f>284876.6+34245.2</f>
        <v>319121.8</v>
      </c>
      <c r="H146" s="51"/>
      <c r="I146" s="51">
        <v>284116.40000000002</v>
      </c>
      <c r="J146" s="82"/>
      <c r="K146" s="51"/>
      <c r="L146" s="51"/>
      <c r="M146" s="82"/>
      <c r="N146" s="51"/>
      <c r="O146" s="82"/>
      <c r="P146" s="51"/>
      <c r="Q146" s="338"/>
      <c r="R146" s="51"/>
      <c r="S146" s="51"/>
      <c r="T146" s="35"/>
      <c r="U146" s="51"/>
      <c r="V146" s="51"/>
      <c r="W146" s="364"/>
      <c r="X146" s="141"/>
      <c r="Y146" s="48"/>
      <c r="Z146" s="48"/>
      <c r="AA146" s="48"/>
      <c r="AB146" s="48"/>
      <c r="AC146" s="48"/>
      <c r="AD146" s="48"/>
      <c r="AE146" s="61"/>
      <c r="AF146" s="62"/>
      <c r="AG146" s="62"/>
      <c r="AH146" s="56"/>
    </row>
    <row r="147" spans="1:34" x14ac:dyDescent="0.3">
      <c r="A147" s="177">
        <f t="shared" si="26"/>
        <v>96</v>
      </c>
      <c r="B147" s="66" t="s">
        <v>424</v>
      </c>
      <c r="C147" s="51">
        <f t="shared" si="24"/>
        <v>1565022</v>
      </c>
      <c r="D147" s="51">
        <f t="shared" si="25"/>
        <v>1565022</v>
      </c>
      <c r="E147" s="51">
        <v>366184.8</v>
      </c>
      <c r="F147" s="51">
        <v>933626.4</v>
      </c>
      <c r="G147" s="51">
        <v>131751.6</v>
      </c>
      <c r="H147" s="51"/>
      <c r="I147" s="51">
        <v>133459.20000000001</v>
      </c>
      <c r="J147" s="82"/>
      <c r="K147" s="51"/>
      <c r="L147" s="51"/>
      <c r="M147" s="82"/>
      <c r="N147" s="51"/>
      <c r="O147" s="82"/>
      <c r="P147" s="51"/>
      <c r="Q147" s="338"/>
      <c r="R147" s="51"/>
      <c r="S147" s="51"/>
      <c r="T147" s="35"/>
      <c r="U147" s="51"/>
      <c r="V147" s="51"/>
      <c r="W147" s="364"/>
      <c r="X147" s="141"/>
      <c r="Y147" s="48"/>
      <c r="Z147" s="48"/>
      <c r="AA147" s="48"/>
      <c r="AB147" s="48">
        <v>79020.289999999994</v>
      </c>
      <c r="AC147" s="48">
        <v>79020.289999999994</v>
      </c>
      <c r="AD147" s="48">
        <v>153536.57999999999</v>
      </c>
      <c r="AE147" s="61"/>
      <c r="AF147" s="62">
        <v>391222.98</v>
      </c>
      <c r="AG147" s="62">
        <v>140821.74</v>
      </c>
      <c r="AH147" s="56"/>
    </row>
    <row r="148" spans="1:34" x14ac:dyDescent="0.3">
      <c r="A148" s="177">
        <f t="shared" si="26"/>
        <v>97</v>
      </c>
      <c r="B148" s="66" t="s">
        <v>425</v>
      </c>
      <c r="C148" s="51">
        <f t="shared" si="24"/>
        <v>2307126</v>
      </c>
      <c r="D148" s="51">
        <f t="shared" si="25"/>
        <v>2307126</v>
      </c>
      <c r="E148" s="51">
        <v>465058.8</v>
      </c>
      <c r="F148" s="51">
        <v>1301103.6000000001</v>
      </c>
      <c r="G148" s="51">
        <v>151008</v>
      </c>
      <c r="H148" s="51"/>
      <c r="I148" s="51">
        <v>389955.6</v>
      </c>
      <c r="J148" s="82"/>
      <c r="K148" s="51"/>
      <c r="L148" s="51"/>
      <c r="M148" s="82"/>
      <c r="N148" s="51"/>
      <c r="O148" s="82"/>
      <c r="P148" s="51"/>
      <c r="Q148" s="338"/>
      <c r="R148" s="51"/>
      <c r="S148" s="51"/>
      <c r="T148" s="35"/>
      <c r="U148" s="51"/>
      <c r="V148" s="51"/>
      <c r="W148" s="364"/>
      <c r="X148" s="141"/>
      <c r="Y148" s="48"/>
      <c r="Z148" s="48"/>
      <c r="AA148" s="48"/>
      <c r="AB148" s="48"/>
      <c r="AC148" s="48"/>
      <c r="AD148" s="48">
        <v>191024.81</v>
      </c>
      <c r="AE148" s="61"/>
      <c r="AF148" s="62">
        <v>482495.51</v>
      </c>
      <c r="AG148" s="62">
        <v>178263.98</v>
      </c>
      <c r="AH148" s="56"/>
    </row>
    <row r="149" spans="1:34" x14ac:dyDescent="0.3">
      <c r="A149" s="177">
        <f t="shared" si="26"/>
        <v>98</v>
      </c>
      <c r="B149" s="66" t="s">
        <v>426</v>
      </c>
      <c r="C149" s="51">
        <f t="shared" ref="C149:C166" si="27">D149+K149+L149+N149+P149+R149+S149+U149+V149+W149</f>
        <v>811647.4</v>
      </c>
      <c r="D149" s="51">
        <f t="shared" si="25"/>
        <v>811647.4</v>
      </c>
      <c r="E149" s="51">
        <v>271644</v>
      </c>
      <c r="F149" s="51"/>
      <c r="G149" s="51"/>
      <c r="H149" s="51"/>
      <c r="I149" s="51">
        <v>540003.4</v>
      </c>
      <c r="J149" s="82"/>
      <c r="K149" s="51"/>
      <c r="L149" s="51"/>
      <c r="M149" s="82"/>
      <c r="N149" s="51"/>
      <c r="O149" s="82"/>
      <c r="P149" s="51"/>
      <c r="Q149" s="338"/>
      <c r="R149" s="51"/>
      <c r="S149" s="51"/>
      <c r="T149" s="35"/>
      <c r="U149" s="51"/>
      <c r="V149" s="51"/>
      <c r="W149" s="364"/>
      <c r="X149" s="141"/>
      <c r="Y149" s="48"/>
      <c r="Z149" s="48"/>
      <c r="AA149" s="48"/>
      <c r="AB149" s="48">
        <v>66429.64</v>
      </c>
      <c r="AC149" s="48"/>
      <c r="AD149" s="48">
        <v>133200.78</v>
      </c>
      <c r="AE149" s="61"/>
      <c r="AF149" s="62">
        <v>341384.29</v>
      </c>
      <c r="AG149" s="62">
        <v>120746.28</v>
      </c>
      <c r="AH149" s="56"/>
    </row>
    <row r="150" spans="1:34" x14ac:dyDescent="0.3">
      <c r="A150" s="177">
        <f t="shared" si="26"/>
        <v>99</v>
      </c>
      <c r="B150" s="66" t="s">
        <v>427</v>
      </c>
      <c r="C150" s="51">
        <f t="shared" si="27"/>
        <v>3698020</v>
      </c>
      <c r="D150" s="51">
        <f t="shared" si="25"/>
        <v>3698020</v>
      </c>
      <c r="E150" s="51">
        <v>541225.19999999995</v>
      </c>
      <c r="F150" s="51">
        <v>1657216</v>
      </c>
      <c r="G150" s="51">
        <v>334896</v>
      </c>
      <c r="H150" s="51"/>
      <c r="I150" s="51">
        <v>1164682.8</v>
      </c>
      <c r="J150" s="82"/>
      <c r="K150" s="51"/>
      <c r="L150" s="51"/>
      <c r="M150" s="82"/>
      <c r="N150" s="51"/>
      <c r="O150" s="82"/>
      <c r="P150" s="51"/>
      <c r="Q150" s="338"/>
      <c r="R150" s="51"/>
      <c r="S150" s="51"/>
      <c r="T150" s="35"/>
      <c r="U150" s="51"/>
      <c r="V150" s="51"/>
      <c r="W150" s="364"/>
      <c r="X150" s="141"/>
      <c r="Y150" s="48"/>
      <c r="Z150" s="48"/>
      <c r="AA150" s="48"/>
      <c r="AB150" s="48"/>
      <c r="AC150" s="48"/>
      <c r="AD150" s="48">
        <v>697915.73</v>
      </c>
      <c r="AE150" s="61"/>
      <c r="AF150" s="62">
        <v>1708830.37</v>
      </c>
      <c r="AG150" s="62">
        <v>191533.6</v>
      </c>
      <c r="AH150" s="56"/>
    </row>
    <row r="151" spans="1:34" x14ac:dyDescent="0.3">
      <c r="A151" s="177">
        <f t="shared" si="26"/>
        <v>100</v>
      </c>
      <c r="B151" s="66" t="s">
        <v>428</v>
      </c>
      <c r="C151" s="51">
        <f t="shared" si="27"/>
        <v>2261152.6</v>
      </c>
      <c r="D151" s="51">
        <f t="shared" si="25"/>
        <v>2261152.6</v>
      </c>
      <c r="E151" s="51">
        <v>221943.6</v>
      </c>
      <c r="F151" s="51">
        <v>1438141</v>
      </c>
      <c r="G151" s="51">
        <v>66608.399999999994</v>
      </c>
      <c r="H151" s="51"/>
      <c r="I151" s="51">
        <v>534459.6</v>
      </c>
      <c r="J151" s="82"/>
      <c r="K151" s="51"/>
      <c r="L151" s="51"/>
      <c r="M151" s="82"/>
      <c r="N151" s="51"/>
      <c r="O151" s="82"/>
      <c r="P151" s="51"/>
      <c r="Q151" s="338"/>
      <c r="R151" s="51"/>
      <c r="S151" s="51"/>
      <c r="T151" s="35"/>
      <c r="U151" s="51"/>
      <c r="V151" s="51"/>
      <c r="W151" s="364"/>
      <c r="X151" s="141"/>
      <c r="Y151" s="48"/>
      <c r="Z151" s="48"/>
      <c r="AA151" s="48"/>
      <c r="AB151" s="48"/>
      <c r="AC151" s="48"/>
      <c r="AD151" s="48">
        <v>155974.20000000001</v>
      </c>
      <c r="AE151" s="61"/>
      <c r="AF151" s="62">
        <v>396327.79</v>
      </c>
      <c r="AG151" s="62">
        <v>143402.85999999999</v>
      </c>
      <c r="AH151" s="56"/>
    </row>
    <row r="152" spans="1:34" x14ac:dyDescent="0.3">
      <c r="A152" s="177">
        <f t="shared" si="26"/>
        <v>101</v>
      </c>
      <c r="B152" s="66" t="s">
        <v>432</v>
      </c>
      <c r="C152" s="51">
        <f t="shared" si="27"/>
        <v>1836671.8</v>
      </c>
      <c r="D152" s="51">
        <f t="shared" si="25"/>
        <v>1836671.8</v>
      </c>
      <c r="E152" s="51">
        <v>331384.8</v>
      </c>
      <c r="F152" s="51">
        <v>1003044</v>
      </c>
      <c r="G152" s="51"/>
      <c r="H152" s="51"/>
      <c r="I152" s="51">
        <v>502243</v>
      </c>
      <c r="J152" s="82"/>
      <c r="K152" s="51"/>
      <c r="L152" s="51"/>
      <c r="M152" s="82"/>
      <c r="N152" s="51"/>
      <c r="O152" s="82"/>
      <c r="P152" s="51"/>
      <c r="Q152" s="338"/>
      <c r="R152" s="51"/>
      <c r="S152" s="51"/>
      <c r="T152" s="35"/>
      <c r="U152" s="51"/>
      <c r="V152" s="51"/>
      <c r="W152" s="364"/>
      <c r="X152" s="141"/>
      <c r="Y152" s="48"/>
      <c r="Z152" s="48"/>
      <c r="AA152" s="48"/>
      <c r="AB152" s="48"/>
      <c r="AC152" s="48"/>
      <c r="AD152" s="48">
        <v>147634.45000000001</v>
      </c>
      <c r="AE152" s="61"/>
      <c r="AF152" s="62">
        <v>376495.35999999999</v>
      </c>
      <c r="AG152" s="62"/>
      <c r="AH152" s="56"/>
    </row>
    <row r="153" spans="1:34" x14ac:dyDescent="0.3">
      <c r="A153" s="177">
        <f t="shared" si="26"/>
        <v>102</v>
      </c>
      <c r="B153" s="66" t="s">
        <v>433</v>
      </c>
      <c r="C153" s="51">
        <f t="shared" si="27"/>
        <v>1579923.5999999999</v>
      </c>
      <c r="D153" s="51">
        <f t="shared" si="25"/>
        <v>1579923.5999999999</v>
      </c>
      <c r="E153" s="51">
        <v>273237.59999999998</v>
      </c>
      <c r="F153" s="51">
        <v>673938</v>
      </c>
      <c r="G153" s="51">
        <v>138040.79999999999</v>
      </c>
      <c r="H153" s="51"/>
      <c r="I153" s="51">
        <v>494707.20000000001</v>
      </c>
      <c r="J153" s="82"/>
      <c r="K153" s="51"/>
      <c r="L153" s="51"/>
      <c r="M153" s="82"/>
      <c r="N153" s="51"/>
      <c r="O153" s="82"/>
      <c r="P153" s="51"/>
      <c r="Q153" s="338"/>
      <c r="R153" s="51"/>
      <c r="S153" s="51"/>
      <c r="T153" s="35"/>
      <c r="U153" s="51"/>
      <c r="V153" s="51"/>
      <c r="W153" s="364"/>
      <c r="X153" s="141"/>
      <c r="Y153" s="48"/>
      <c r="Z153" s="48"/>
      <c r="AA153" s="48"/>
      <c r="AB153" s="48"/>
      <c r="AC153" s="48"/>
      <c r="AD153" s="48">
        <v>113085.6</v>
      </c>
      <c r="AE153" s="61"/>
      <c r="AF153" s="62"/>
      <c r="AG153" s="62">
        <v>100500.01</v>
      </c>
      <c r="AH153" s="56"/>
    </row>
    <row r="154" spans="1:34" x14ac:dyDescent="0.3">
      <c r="A154" s="177">
        <f t="shared" si="26"/>
        <v>103</v>
      </c>
      <c r="B154" s="66" t="s">
        <v>434</v>
      </c>
      <c r="C154" s="51">
        <f t="shared" si="27"/>
        <v>541594</v>
      </c>
      <c r="D154" s="51">
        <f t="shared" si="25"/>
        <v>541594</v>
      </c>
      <c r="E154" s="51">
        <v>381894</v>
      </c>
      <c r="F154" s="51"/>
      <c r="G154" s="51"/>
      <c r="H154" s="51"/>
      <c r="I154" s="51">
        <f>50*3194</f>
        <v>159700</v>
      </c>
      <c r="J154" s="82"/>
      <c r="K154" s="51"/>
      <c r="L154" s="51"/>
      <c r="M154" s="82"/>
      <c r="N154" s="51"/>
      <c r="O154" s="82"/>
      <c r="P154" s="51"/>
      <c r="Q154" s="338"/>
      <c r="R154" s="51"/>
      <c r="S154" s="51"/>
      <c r="T154" s="35"/>
      <c r="U154" s="51"/>
      <c r="V154" s="51"/>
      <c r="W154" s="364"/>
      <c r="X154" s="141"/>
      <c r="Y154" s="48"/>
      <c r="Z154" s="48">
        <v>102022.74</v>
      </c>
      <c r="AA154" s="48"/>
      <c r="AB154" s="48">
        <v>82290.34</v>
      </c>
      <c r="AC154" s="48">
        <v>82290.34</v>
      </c>
      <c r="AD154" s="48">
        <v>158630.53</v>
      </c>
      <c r="AE154" s="61"/>
      <c r="AF154" s="62">
        <v>403625.2</v>
      </c>
      <c r="AG154" s="62"/>
      <c r="AH154" s="56"/>
    </row>
    <row r="155" spans="1:34" x14ac:dyDescent="0.3">
      <c r="A155" s="177">
        <f t="shared" si="26"/>
        <v>104</v>
      </c>
      <c r="B155" s="66" t="s">
        <v>435</v>
      </c>
      <c r="C155" s="51">
        <f t="shared" si="27"/>
        <v>359605.2</v>
      </c>
      <c r="D155" s="51">
        <f t="shared" si="25"/>
        <v>359605.2</v>
      </c>
      <c r="E155" s="51">
        <v>359605.2</v>
      </c>
      <c r="F155" s="51"/>
      <c r="G155" s="51"/>
      <c r="H155" s="51"/>
      <c r="I155" s="51"/>
      <c r="J155" s="82"/>
      <c r="K155" s="51"/>
      <c r="L155" s="51"/>
      <c r="M155" s="82"/>
      <c r="N155" s="51"/>
      <c r="O155" s="82"/>
      <c r="P155" s="51"/>
      <c r="Q155" s="338"/>
      <c r="R155" s="51"/>
      <c r="S155" s="51"/>
      <c r="T155" s="35"/>
      <c r="U155" s="51"/>
      <c r="V155" s="51"/>
      <c r="W155" s="364"/>
      <c r="X155" s="141"/>
      <c r="Y155" s="48"/>
      <c r="Z155" s="48">
        <v>102233.83</v>
      </c>
      <c r="AA155" s="48"/>
      <c r="AB155" s="48">
        <v>82494.710000000006</v>
      </c>
      <c r="AC155" s="48">
        <v>82494.710000000006</v>
      </c>
      <c r="AD155" s="48">
        <v>158948.88</v>
      </c>
      <c r="AE155" s="61"/>
      <c r="AF155" s="62">
        <v>404400.35</v>
      </c>
      <c r="AG155" s="62"/>
      <c r="AH155" s="56"/>
    </row>
    <row r="156" spans="1:34" x14ac:dyDescent="0.3">
      <c r="A156" s="177">
        <f t="shared" si="26"/>
        <v>105</v>
      </c>
      <c r="B156" s="66" t="s">
        <v>436</v>
      </c>
      <c r="C156" s="51">
        <f t="shared" si="27"/>
        <v>373408.8</v>
      </c>
      <c r="D156" s="51">
        <f t="shared" si="25"/>
        <v>373408.8</v>
      </c>
      <c r="E156" s="51">
        <v>373408.8</v>
      </c>
      <c r="F156" s="51"/>
      <c r="G156" s="51"/>
      <c r="H156" s="51"/>
      <c r="I156" s="51"/>
      <c r="J156" s="82"/>
      <c r="K156" s="51"/>
      <c r="L156" s="51"/>
      <c r="M156" s="82"/>
      <c r="N156" s="51"/>
      <c r="O156" s="82"/>
      <c r="P156" s="51"/>
      <c r="Q156" s="338"/>
      <c r="R156" s="51"/>
      <c r="S156" s="51"/>
      <c r="T156" s="35"/>
      <c r="U156" s="51"/>
      <c r="V156" s="51"/>
      <c r="W156" s="364"/>
      <c r="X156" s="141"/>
      <c r="Y156" s="48"/>
      <c r="Z156" s="48"/>
      <c r="AA156" s="48"/>
      <c r="AB156" s="48"/>
      <c r="AC156" s="48"/>
      <c r="AD156" s="48"/>
      <c r="AE156" s="61"/>
      <c r="AF156" s="62"/>
      <c r="AG156" s="62"/>
      <c r="AH156" s="56"/>
    </row>
    <row r="157" spans="1:34" x14ac:dyDescent="0.3">
      <c r="A157" s="177">
        <f t="shared" si="26"/>
        <v>106</v>
      </c>
      <c r="B157" s="66" t="s">
        <v>437</v>
      </c>
      <c r="C157" s="51">
        <f t="shared" si="27"/>
        <v>347103.6</v>
      </c>
      <c r="D157" s="51">
        <f t="shared" si="25"/>
        <v>347103.6</v>
      </c>
      <c r="E157" s="51">
        <v>347103.6</v>
      </c>
      <c r="F157" s="51"/>
      <c r="G157" s="51"/>
      <c r="H157" s="51"/>
      <c r="I157" s="51"/>
      <c r="J157" s="82"/>
      <c r="K157" s="51"/>
      <c r="L157" s="51"/>
      <c r="M157" s="82"/>
      <c r="N157" s="51"/>
      <c r="O157" s="82"/>
      <c r="P157" s="51"/>
      <c r="Q157" s="338"/>
      <c r="R157" s="51"/>
      <c r="S157" s="51"/>
      <c r="T157" s="35"/>
      <c r="U157" s="51"/>
      <c r="V157" s="51"/>
      <c r="W157" s="364"/>
      <c r="X157" s="141"/>
      <c r="Y157" s="48"/>
      <c r="Z157" s="48"/>
      <c r="AA157" s="48"/>
      <c r="AB157" s="48"/>
      <c r="AC157" s="48"/>
      <c r="AD157" s="48"/>
      <c r="AE157" s="61"/>
      <c r="AF157" s="62"/>
      <c r="AG157" s="62"/>
      <c r="AH157" s="56"/>
    </row>
    <row r="158" spans="1:34" x14ac:dyDescent="0.3">
      <c r="A158" s="177">
        <f t="shared" si="26"/>
        <v>107</v>
      </c>
      <c r="B158" s="66" t="s">
        <v>438</v>
      </c>
      <c r="C158" s="51">
        <f t="shared" si="27"/>
        <v>341863.2</v>
      </c>
      <c r="D158" s="51">
        <f t="shared" si="25"/>
        <v>341863.2</v>
      </c>
      <c r="E158" s="51">
        <v>341863.2</v>
      </c>
      <c r="F158" s="51"/>
      <c r="G158" s="51"/>
      <c r="H158" s="51"/>
      <c r="I158" s="51"/>
      <c r="J158" s="82"/>
      <c r="K158" s="51"/>
      <c r="L158" s="51"/>
      <c r="M158" s="82"/>
      <c r="N158" s="51"/>
      <c r="O158" s="82"/>
      <c r="P158" s="51"/>
      <c r="Q158" s="338"/>
      <c r="R158" s="51"/>
      <c r="S158" s="51"/>
      <c r="T158" s="35"/>
      <c r="U158" s="51"/>
      <c r="V158" s="51"/>
      <c r="W158" s="364"/>
      <c r="X158" s="141"/>
      <c r="Y158" s="48"/>
      <c r="Z158" s="48"/>
      <c r="AA158" s="48"/>
      <c r="AB158" s="48"/>
      <c r="AC158" s="48"/>
      <c r="AD158" s="48"/>
      <c r="AE158" s="61"/>
      <c r="AF158" s="62"/>
      <c r="AG158" s="62"/>
      <c r="AH158" s="56"/>
    </row>
    <row r="159" spans="1:34" x14ac:dyDescent="0.3">
      <c r="A159" s="177">
        <f t="shared" si="26"/>
        <v>108</v>
      </c>
      <c r="B159" s="66" t="s">
        <v>439</v>
      </c>
      <c r="C159" s="51">
        <f t="shared" si="27"/>
        <v>512833.2</v>
      </c>
      <c r="D159" s="51">
        <f t="shared" si="25"/>
        <v>512833.2</v>
      </c>
      <c r="E159" s="51">
        <v>512833.2</v>
      </c>
      <c r="F159" s="51"/>
      <c r="G159" s="51"/>
      <c r="H159" s="51"/>
      <c r="I159" s="51"/>
      <c r="J159" s="82"/>
      <c r="K159" s="51"/>
      <c r="L159" s="51"/>
      <c r="M159" s="82"/>
      <c r="N159" s="51"/>
      <c r="O159" s="82"/>
      <c r="P159" s="51"/>
      <c r="Q159" s="338"/>
      <c r="R159" s="51"/>
      <c r="S159" s="51"/>
      <c r="T159" s="35"/>
      <c r="U159" s="51"/>
      <c r="V159" s="51"/>
      <c r="W159" s="364"/>
      <c r="X159" s="141"/>
      <c r="Y159" s="48"/>
      <c r="Z159" s="48">
        <v>122129.89</v>
      </c>
      <c r="AA159" s="48"/>
      <c r="AB159" s="48">
        <v>101757.26</v>
      </c>
      <c r="AC159" s="48"/>
      <c r="AD159" s="48"/>
      <c r="AE159" s="61"/>
      <c r="AF159" s="62">
        <v>477457.12</v>
      </c>
      <c r="AG159" s="62"/>
      <c r="AH159" s="56"/>
    </row>
    <row r="160" spans="1:34" x14ac:dyDescent="0.3">
      <c r="A160" s="177">
        <f t="shared" si="26"/>
        <v>109</v>
      </c>
      <c r="B160" s="66" t="s">
        <v>440</v>
      </c>
      <c r="C160" s="51">
        <f t="shared" si="27"/>
        <v>424158</v>
      </c>
      <c r="D160" s="51">
        <f t="shared" si="25"/>
        <v>424158</v>
      </c>
      <c r="E160" s="51">
        <v>424158</v>
      </c>
      <c r="F160" s="51"/>
      <c r="G160" s="51"/>
      <c r="H160" s="51"/>
      <c r="I160" s="51"/>
      <c r="J160" s="82"/>
      <c r="K160" s="51"/>
      <c r="L160" s="51"/>
      <c r="M160" s="82"/>
      <c r="N160" s="51"/>
      <c r="O160" s="82"/>
      <c r="P160" s="51"/>
      <c r="Q160" s="338"/>
      <c r="R160" s="51"/>
      <c r="S160" s="51"/>
      <c r="T160" s="35"/>
      <c r="U160" s="51"/>
      <c r="V160" s="51"/>
      <c r="W160" s="364"/>
      <c r="X160" s="141"/>
      <c r="Y160" s="48">
        <v>100759.2</v>
      </c>
      <c r="Z160" s="48"/>
      <c r="AA160" s="48"/>
      <c r="AB160" s="48"/>
      <c r="AC160" s="48"/>
      <c r="AD160" s="48">
        <v>261779.86</v>
      </c>
      <c r="AE160" s="61"/>
      <c r="AF160" s="62"/>
      <c r="AG160" s="62"/>
      <c r="AH160" s="56"/>
    </row>
    <row r="161" spans="1:34" x14ac:dyDescent="0.3">
      <c r="A161" s="177">
        <f t="shared" si="26"/>
        <v>110</v>
      </c>
      <c r="B161" s="66" t="s">
        <v>444</v>
      </c>
      <c r="C161" s="51">
        <f t="shared" si="27"/>
        <v>1914557.06</v>
      </c>
      <c r="D161" s="51">
        <f t="shared" si="25"/>
        <v>1914557.06</v>
      </c>
      <c r="E161" s="51">
        <v>301484.40000000002</v>
      </c>
      <c r="F161" s="51">
        <v>976594.8</v>
      </c>
      <c r="G161" s="51">
        <v>140805.85999999999</v>
      </c>
      <c r="H161" s="51"/>
      <c r="I161" s="51">
        <v>495672</v>
      </c>
      <c r="J161" s="82"/>
      <c r="K161" s="51"/>
      <c r="L161" s="51"/>
      <c r="M161" s="82"/>
      <c r="N161" s="51"/>
      <c r="O161" s="82"/>
      <c r="P161" s="51"/>
      <c r="Q161" s="338"/>
      <c r="R161" s="51"/>
      <c r="S161" s="51"/>
      <c r="T161" s="35"/>
      <c r="U161" s="51"/>
      <c r="V161" s="51"/>
      <c r="W161" s="364"/>
      <c r="X161" s="141"/>
      <c r="Y161" s="48"/>
      <c r="Z161" s="48"/>
      <c r="AA161" s="48"/>
      <c r="AB161" s="48"/>
      <c r="AC161" s="48"/>
      <c r="AD161" s="48">
        <v>146381.64000000001</v>
      </c>
      <c r="AE161" s="61"/>
      <c r="AF161" s="62">
        <v>373415.2</v>
      </c>
      <c r="AG161" s="62"/>
      <c r="AH161" s="56"/>
    </row>
    <row r="162" spans="1:34" x14ac:dyDescent="0.3">
      <c r="A162" s="177">
        <f t="shared" si="26"/>
        <v>111</v>
      </c>
      <c r="B162" s="66" t="s">
        <v>446</v>
      </c>
      <c r="C162" s="51">
        <f t="shared" si="27"/>
        <v>1460074.8</v>
      </c>
      <c r="D162" s="51">
        <f t="shared" si="25"/>
        <v>1460074.8</v>
      </c>
      <c r="E162" s="51">
        <v>328328.40000000002</v>
      </c>
      <c r="F162" s="51">
        <v>978991.2</v>
      </c>
      <c r="G162" s="51">
        <v>152755.20000000001</v>
      </c>
      <c r="H162" s="51"/>
      <c r="I162" s="51"/>
      <c r="J162" s="82"/>
      <c r="K162" s="51"/>
      <c r="L162" s="51"/>
      <c r="M162" s="82"/>
      <c r="N162" s="51"/>
      <c r="O162" s="82"/>
      <c r="P162" s="51"/>
      <c r="Q162" s="338"/>
      <c r="R162" s="51"/>
      <c r="S162" s="51"/>
      <c r="T162" s="35"/>
      <c r="U162" s="51"/>
      <c r="V162" s="51"/>
      <c r="W162" s="364"/>
      <c r="X162" s="141"/>
      <c r="Y162" s="48"/>
      <c r="Z162" s="48"/>
      <c r="AA162" s="48"/>
      <c r="AB162" s="48">
        <v>88574.94</v>
      </c>
      <c r="AC162" s="48"/>
      <c r="AD162" s="48"/>
      <c r="AE162" s="61"/>
      <c r="AF162" s="62"/>
      <c r="AG162" s="62"/>
      <c r="AH162" s="56"/>
    </row>
    <row r="163" spans="1:34" x14ac:dyDescent="0.3">
      <c r="A163" s="177">
        <f t="shared" si="26"/>
        <v>112</v>
      </c>
      <c r="B163" s="66" t="s">
        <v>447</v>
      </c>
      <c r="C163" s="51">
        <f t="shared" si="27"/>
        <v>324508.26</v>
      </c>
      <c r="D163" s="51">
        <f t="shared" si="25"/>
        <v>324508.26</v>
      </c>
      <c r="E163" s="51">
        <v>324508.26</v>
      </c>
      <c r="F163" s="51"/>
      <c r="G163" s="51"/>
      <c r="H163" s="51"/>
      <c r="I163" s="51"/>
      <c r="J163" s="82"/>
      <c r="K163" s="51"/>
      <c r="L163" s="51"/>
      <c r="M163" s="82"/>
      <c r="N163" s="51"/>
      <c r="O163" s="82"/>
      <c r="P163" s="51"/>
      <c r="Q163" s="338"/>
      <c r="R163" s="51"/>
      <c r="S163" s="51"/>
      <c r="T163" s="35"/>
      <c r="U163" s="51"/>
      <c r="V163" s="51"/>
      <c r="W163" s="364"/>
      <c r="X163" s="141"/>
      <c r="Y163" s="48"/>
      <c r="Z163" s="48">
        <v>116166.34</v>
      </c>
      <c r="AA163" s="48"/>
      <c r="AB163" s="48">
        <v>95983.61</v>
      </c>
      <c r="AC163" s="48">
        <v>95983.61</v>
      </c>
      <c r="AD163" s="48">
        <v>179961.41</v>
      </c>
      <c r="AE163" s="61"/>
      <c r="AF163" s="62">
        <v>455559.47</v>
      </c>
      <c r="AG163" s="62"/>
      <c r="AH163" s="56"/>
    </row>
    <row r="164" spans="1:34" x14ac:dyDescent="0.3">
      <c r="A164" s="177">
        <f t="shared" si="26"/>
        <v>113</v>
      </c>
      <c r="B164" s="66" t="s">
        <v>450</v>
      </c>
      <c r="C164" s="51">
        <f t="shared" si="27"/>
        <v>1373772</v>
      </c>
      <c r="D164" s="51">
        <f t="shared" si="25"/>
        <v>1373772</v>
      </c>
      <c r="E164" s="51">
        <v>313940.40000000002</v>
      </c>
      <c r="F164" s="51">
        <v>555115.19999999995</v>
      </c>
      <c r="G164" s="51"/>
      <c r="H164" s="51"/>
      <c r="I164" s="51">
        <v>504716.4</v>
      </c>
      <c r="J164" s="82"/>
      <c r="K164" s="51"/>
      <c r="L164" s="51"/>
      <c r="M164" s="82"/>
      <c r="N164" s="51"/>
      <c r="O164" s="82"/>
      <c r="P164" s="51"/>
      <c r="Q164" s="338"/>
      <c r="R164" s="51"/>
      <c r="S164" s="51"/>
      <c r="T164" s="35"/>
      <c r="U164" s="51"/>
      <c r="V164" s="51"/>
      <c r="W164" s="364"/>
      <c r="X164" s="141"/>
      <c r="Y164" s="48"/>
      <c r="Z164" s="48"/>
      <c r="AA164" s="48"/>
      <c r="AB164" s="48"/>
      <c r="AC164" s="48"/>
      <c r="AD164" s="48">
        <v>157445.89000000001</v>
      </c>
      <c r="AE164" s="61"/>
      <c r="AF164" s="62">
        <v>400302.43</v>
      </c>
      <c r="AG164" s="62"/>
      <c r="AH164" s="56"/>
    </row>
    <row r="165" spans="1:34" x14ac:dyDescent="0.3">
      <c r="A165" s="177">
        <f t="shared" si="26"/>
        <v>114</v>
      </c>
      <c r="B165" s="66" t="s">
        <v>457</v>
      </c>
      <c r="C165" s="51">
        <f t="shared" si="27"/>
        <v>829423.2</v>
      </c>
      <c r="D165" s="51">
        <f t="shared" si="25"/>
        <v>829423.2</v>
      </c>
      <c r="E165" s="51">
        <v>319486.8</v>
      </c>
      <c r="F165" s="51"/>
      <c r="G165" s="51"/>
      <c r="H165" s="51"/>
      <c r="I165" s="51">
        <v>509936.4</v>
      </c>
      <c r="J165" s="82"/>
      <c r="K165" s="51"/>
      <c r="L165" s="51"/>
      <c r="M165" s="82"/>
      <c r="N165" s="51"/>
      <c r="O165" s="82"/>
      <c r="P165" s="51"/>
      <c r="Q165" s="338"/>
      <c r="R165" s="51"/>
      <c r="S165" s="51"/>
      <c r="T165" s="35"/>
      <c r="U165" s="51"/>
      <c r="V165" s="51"/>
      <c r="W165" s="364"/>
      <c r="X165" s="141"/>
      <c r="Y165" s="48"/>
      <c r="Z165" s="48"/>
      <c r="AA165" s="48"/>
      <c r="AB165" s="48">
        <v>75806.11</v>
      </c>
      <c r="AC165" s="48">
        <v>75806.11</v>
      </c>
      <c r="AD165" s="48">
        <v>150037.67000000001</v>
      </c>
      <c r="AE165" s="61"/>
      <c r="AF165" s="62"/>
      <c r="AG165" s="62"/>
      <c r="AH165" s="56"/>
    </row>
    <row r="166" spans="1:34" x14ac:dyDescent="0.3">
      <c r="A166" s="177">
        <f t="shared" si="26"/>
        <v>115</v>
      </c>
      <c r="B166" s="66" t="s">
        <v>458</v>
      </c>
      <c r="C166" s="51">
        <f t="shared" si="27"/>
        <v>431202</v>
      </c>
      <c r="D166" s="51">
        <f t="shared" si="25"/>
        <v>431202</v>
      </c>
      <c r="E166" s="51">
        <v>322567.2</v>
      </c>
      <c r="F166" s="51"/>
      <c r="G166" s="51"/>
      <c r="H166" s="51"/>
      <c r="I166" s="51">
        <v>108634.8</v>
      </c>
      <c r="J166" s="82"/>
      <c r="K166" s="51"/>
      <c r="L166" s="51"/>
      <c r="M166" s="82"/>
      <c r="N166" s="51"/>
      <c r="O166" s="82"/>
      <c r="P166" s="51"/>
      <c r="Q166" s="338"/>
      <c r="R166" s="51"/>
      <c r="S166" s="51"/>
      <c r="T166" s="35"/>
      <c r="U166" s="51"/>
      <c r="V166" s="51"/>
      <c r="W166" s="364"/>
      <c r="X166" s="141"/>
      <c r="Y166" s="48"/>
      <c r="Z166" s="48">
        <v>97082.35</v>
      </c>
      <c r="AA166" s="48"/>
      <c r="AB166" s="48">
        <v>79299.899999999994</v>
      </c>
      <c r="AC166" s="48"/>
      <c r="AD166" s="48">
        <v>155425.46</v>
      </c>
      <c r="AE166" s="61"/>
      <c r="AF166" s="62"/>
      <c r="AG166" s="62"/>
      <c r="AH166" s="56"/>
    </row>
    <row r="167" spans="1:34" x14ac:dyDescent="0.3">
      <c r="A167" s="177"/>
      <c r="B167" s="177" t="s">
        <v>211</v>
      </c>
      <c r="C167" s="51">
        <f>SUM(C117:C166)</f>
        <v>50858381.490000002</v>
      </c>
      <c r="D167" s="51">
        <f t="shared" ref="D167:W167" si="28">SUM(D117:D166)</f>
        <v>50858381.490000002</v>
      </c>
      <c r="E167" s="51">
        <f t="shared" si="28"/>
        <v>16883541.450000003</v>
      </c>
      <c r="F167" s="51">
        <f t="shared" si="28"/>
        <v>18109893.399999999</v>
      </c>
      <c r="G167" s="51">
        <f t="shared" si="28"/>
        <v>2970085.2600000002</v>
      </c>
      <c r="H167" s="51">
        <f t="shared" si="28"/>
        <v>275902.8</v>
      </c>
      <c r="I167" s="51">
        <f t="shared" si="28"/>
        <v>12618958.580000002</v>
      </c>
      <c r="J167" s="82">
        <f t="shared" si="28"/>
        <v>0</v>
      </c>
      <c r="K167" s="51">
        <f t="shared" si="28"/>
        <v>0</v>
      </c>
      <c r="L167" s="51">
        <f t="shared" si="28"/>
        <v>0</v>
      </c>
      <c r="M167" s="82">
        <f t="shared" si="28"/>
        <v>0</v>
      </c>
      <c r="N167" s="51">
        <f t="shared" si="28"/>
        <v>0</v>
      </c>
      <c r="O167" s="82">
        <f t="shared" si="28"/>
        <v>0</v>
      </c>
      <c r="P167" s="51">
        <f t="shared" si="28"/>
        <v>0</v>
      </c>
      <c r="Q167" s="338">
        <f t="shared" si="28"/>
        <v>0</v>
      </c>
      <c r="R167" s="51">
        <f t="shared" si="28"/>
        <v>0</v>
      </c>
      <c r="S167" s="51">
        <f t="shared" si="28"/>
        <v>0</v>
      </c>
      <c r="T167" s="35">
        <f t="shared" si="28"/>
        <v>0</v>
      </c>
      <c r="U167" s="51">
        <f t="shared" si="28"/>
        <v>0</v>
      </c>
      <c r="V167" s="51">
        <f t="shared" si="28"/>
        <v>0</v>
      </c>
      <c r="W167" s="51">
        <f t="shared" si="28"/>
        <v>0</v>
      </c>
      <c r="X167" s="141"/>
      <c r="Y167" s="48"/>
      <c r="Z167" s="48"/>
      <c r="AA167" s="48"/>
      <c r="AB167" s="48"/>
      <c r="AC167" s="48"/>
      <c r="AD167" s="48"/>
      <c r="AE167" s="61"/>
      <c r="AF167" s="62"/>
      <c r="AG167" s="62"/>
      <c r="AH167" s="56"/>
    </row>
    <row r="168" spans="1:34" ht="31.2" x14ac:dyDescent="0.3">
      <c r="A168" s="177"/>
      <c r="B168" s="66" t="s">
        <v>479</v>
      </c>
      <c r="C168" s="51"/>
      <c r="D168" s="51"/>
      <c r="E168" s="51"/>
      <c r="F168" s="51"/>
      <c r="G168" s="51"/>
      <c r="H168" s="51"/>
      <c r="I168" s="51"/>
      <c r="J168" s="82"/>
      <c r="K168" s="51"/>
      <c r="L168" s="51"/>
      <c r="M168" s="82"/>
      <c r="N168" s="51"/>
      <c r="O168" s="82"/>
      <c r="P168" s="51"/>
      <c r="Q168" s="338"/>
      <c r="R168" s="51"/>
      <c r="S168" s="51"/>
      <c r="T168" s="35"/>
      <c r="U168" s="51"/>
      <c r="V168" s="51"/>
      <c r="W168" s="364"/>
      <c r="X168" s="141"/>
      <c r="Y168" s="48"/>
      <c r="Z168" s="48"/>
      <c r="AA168" s="48"/>
      <c r="AB168" s="48"/>
      <c r="AC168" s="48"/>
      <c r="AD168" s="48"/>
      <c r="AE168" s="61"/>
      <c r="AF168" s="62"/>
      <c r="AG168" s="62"/>
      <c r="AH168" s="56"/>
    </row>
    <row r="169" spans="1:34" x14ac:dyDescent="0.3">
      <c r="A169" s="177">
        <f>A166+1</f>
        <v>116</v>
      </c>
      <c r="B169" s="66" t="s">
        <v>482</v>
      </c>
      <c r="C169" s="51">
        <f>D169+K169+L169+N169+P169+R169+S169+U169+V169+W169</f>
        <v>3298040.03</v>
      </c>
      <c r="D169" s="51">
        <f>E169+F169+G169+H169+I169</f>
        <v>2969422.8</v>
      </c>
      <c r="E169" s="51"/>
      <c r="F169" s="51">
        <v>2239170</v>
      </c>
      <c r="G169" s="51">
        <v>452190</v>
      </c>
      <c r="H169" s="51"/>
      <c r="I169" s="51">
        <v>278062.8</v>
      </c>
      <c r="J169" s="82"/>
      <c r="K169" s="51"/>
      <c r="L169" s="51"/>
      <c r="M169" s="82"/>
      <c r="N169" s="51"/>
      <c r="O169" s="82"/>
      <c r="P169" s="51"/>
      <c r="Q169" s="338"/>
      <c r="R169" s="51"/>
      <c r="S169" s="51"/>
      <c r="T169" s="35"/>
      <c r="U169" s="51"/>
      <c r="V169" s="51">
        <f>215601.6+113015.63</f>
        <v>328617.23</v>
      </c>
      <c r="W169" s="364"/>
      <c r="X169" s="141"/>
      <c r="Y169" s="48"/>
      <c r="Z169" s="48"/>
      <c r="AA169" s="48"/>
      <c r="AB169" s="48"/>
      <c r="AC169" s="48"/>
      <c r="AD169" s="48"/>
      <c r="AE169" s="61"/>
      <c r="AF169" s="62"/>
      <c r="AG169" s="62"/>
      <c r="AH169" s="56"/>
    </row>
    <row r="170" spans="1:34" x14ac:dyDescent="0.3">
      <c r="A170" s="177"/>
      <c r="B170" s="177" t="s">
        <v>211</v>
      </c>
      <c r="C170" s="51">
        <f t="shared" ref="C170:W170" si="29">SUM(C169:C169)</f>
        <v>3298040.03</v>
      </c>
      <c r="D170" s="51">
        <f t="shared" si="29"/>
        <v>2969422.8</v>
      </c>
      <c r="E170" s="51">
        <f t="shared" si="29"/>
        <v>0</v>
      </c>
      <c r="F170" s="51">
        <f t="shared" si="29"/>
        <v>2239170</v>
      </c>
      <c r="G170" s="51">
        <f t="shared" si="29"/>
        <v>452190</v>
      </c>
      <c r="H170" s="51">
        <f t="shared" si="29"/>
        <v>0</v>
      </c>
      <c r="I170" s="51">
        <f t="shared" si="29"/>
        <v>278062.8</v>
      </c>
      <c r="J170" s="82">
        <f t="shared" si="29"/>
        <v>0</v>
      </c>
      <c r="K170" s="51">
        <f t="shared" si="29"/>
        <v>0</v>
      </c>
      <c r="L170" s="51">
        <f t="shared" si="29"/>
        <v>0</v>
      </c>
      <c r="M170" s="82">
        <f t="shared" si="29"/>
        <v>0</v>
      </c>
      <c r="N170" s="51">
        <f t="shared" si="29"/>
        <v>0</v>
      </c>
      <c r="O170" s="82">
        <f t="shared" si="29"/>
        <v>0</v>
      </c>
      <c r="P170" s="51">
        <f t="shared" si="29"/>
        <v>0</v>
      </c>
      <c r="Q170" s="338">
        <f t="shared" si="29"/>
        <v>0</v>
      </c>
      <c r="R170" s="51">
        <f t="shared" si="29"/>
        <v>0</v>
      </c>
      <c r="S170" s="51">
        <f t="shared" si="29"/>
        <v>0</v>
      </c>
      <c r="T170" s="35">
        <f t="shared" si="29"/>
        <v>0</v>
      </c>
      <c r="U170" s="51">
        <f t="shared" si="29"/>
        <v>0</v>
      </c>
      <c r="V170" s="51">
        <f t="shared" si="29"/>
        <v>328617.23</v>
      </c>
      <c r="W170" s="51">
        <f t="shared" si="29"/>
        <v>0</v>
      </c>
      <c r="X170" s="141"/>
      <c r="Y170" s="48"/>
      <c r="Z170" s="48"/>
      <c r="AA170" s="48"/>
      <c r="AB170" s="48"/>
      <c r="AC170" s="48"/>
      <c r="AD170" s="48"/>
      <c r="AE170" s="61"/>
      <c r="AF170" s="62"/>
      <c r="AG170" s="62"/>
      <c r="AH170" s="56"/>
    </row>
    <row r="171" spans="1:34" ht="31.2" x14ac:dyDescent="0.3">
      <c r="A171" s="177"/>
      <c r="B171" s="66" t="s">
        <v>490</v>
      </c>
      <c r="C171" s="51"/>
      <c r="D171" s="51"/>
      <c r="E171" s="51"/>
      <c r="F171" s="51"/>
      <c r="G171" s="51"/>
      <c r="H171" s="51"/>
      <c r="I171" s="51"/>
      <c r="J171" s="82"/>
      <c r="K171" s="51"/>
      <c r="L171" s="51"/>
      <c r="M171" s="82"/>
      <c r="N171" s="51"/>
      <c r="O171" s="82"/>
      <c r="P171" s="51"/>
      <c r="Q171" s="338"/>
      <c r="R171" s="51"/>
      <c r="S171" s="51"/>
      <c r="T171" s="35"/>
      <c r="U171" s="51"/>
      <c r="V171" s="51"/>
      <c r="W171" s="364"/>
      <c r="X171" s="141"/>
      <c r="Y171" s="48"/>
      <c r="Z171" s="48"/>
      <c r="AA171" s="48"/>
      <c r="AB171" s="48"/>
      <c r="AC171" s="48"/>
      <c r="AD171" s="48"/>
      <c r="AE171" s="61"/>
      <c r="AF171" s="62"/>
      <c r="AG171" s="62"/>
      <c r="AH171" s="56"/>
    </row>
    <row r="172" spans="1:34" x14ac:dyDescent="0.3">
      <c r="A172" s="177">
        <f>A169+1</f>
        <v>117</v>
      </c>
      <c r="B172" s="66" t="s">
        <v>493</v>
      </c>
      <c r="C172" s="51">
        <f>D172+K172+L172+N172+P172+R172+S172+U172+V172+W172</f>
        <v>2090466</v>
      </c>
      <c r="D172" s="51">
        <f>E172+F172+G172+H172+I172</f>
        <v>0</v>
      </c>
      <c r="E172" s="51"/>
      <c r="F172" s="51"/>
      <c r="G172" s="51"/>
      <c r="H172" s="51"/>
      <c r="I172" s="51"/>
      <c r="J172" s="82"/>
      <c r="K172" s="51"/>
      <c r="L172" s="51"/>
      <c r="M172" s="82">
        <v>338.9</v>
      </c>
      <c r="N172" s="51">
        <v>2090466</v>
      </c>
      <c r="O172" s="82"/>
      <c r="P172" s="51"/>
      <c r="Q172" s="338"/>
      <c r="R172" s="51"/>
      <c r="S172" s="51"/>
      <c r="T172" s="35"/>
      <c r="U172" s="51"/>
      <c r="V172" s="51"/>
      <c r="W172" s="364"/>
      <c r="X172" s="141"/>
      <c r="Y172" s="48"/>
      <c r="Z172" s="48"/>
      <c r="AA172" s="48"/>
      <c r="AB172" s="48"/>
      <c r="AC172" s="48"/>
      <c r="AD172" s="48"/>
      <c r="AE172" s="61"/>
      <c r="AF172" s="62"/>
      <c r="AG172" s="62"/>
      <c r="AH172" s="56"/>
    </row>
    <row r="173" spans="1:34" x14ac:dyDescent="0.3">
      <c r="A173" s="177"/>
      <c r="B173" s="177" t="s">
        <v>211</v>
      </c>
      <c r="C173" s="51">
        <f t="shared" ref="C173:W173" si="30">SUM(C172:C172)</f>
        <v>2090466</v>
      </c>
      <c r="D173" s="51">
        <f t="shared" si="30"/>
        <v>0</v>
      </c>
      <c r="E173" s="51">
        <f t="shared" si="30"/>
        <v>0</v>
      </c>
      <c r="F173" s="51">
        <f t="shared" si="30"/>
        <v>0</v>
      </c>
      <c r="G173" s="51">
        <f t="shared" si="30"/>
        <v>0</v>
      </c>
      <c r="H173" s="51">
        <f t="shared" si="30"/>
        <v>0</v>
      </c>
      <c r="I173" s="51">
        <f t="shared" si="30"/>
        <v>0</v>
      </c>
      <c r="J173" s="82">
        <f t="shared" si="30"/>
        <v>0</v>
      </c>
      <c r="K173" s="51">
        <f t="shared" si="30"/>
        <v>0</v>
      </c>
      <c r="L173" s="51">
        <f t="shared" si="30"/>
        <v>0</v>
      </c>
      <c r="M173" s="82">
        <f t="shared" si="30"/>
        <v>338.9</v>
      </c>
      <c r="N173" s="51">
        <f t="shared" si="30"/>
        <v>2090466</v>
      </c>
      <c r="O173" s="82">
        <f t="shared" si="30"/>
        <v>0</v>
      </c>
      <c r="P173" s="51">
        <f t="shared" si="30"/>
        <v>0</v>
      </c>
      <c r="Q173" s="338">
        <f t="shared" si="30"/>
        <v>0</v>
      </c>
      <c r="R173" s="51">
        <f t="shared" si="30"/>
        <v>0</v>
      </c>
      <c r="S173" s="51">
        <f t="shared" si="30"/>
        <v>0</v>
      </c>
      <c r="T173" s="35">
        <f t="shared" si="30"/>
        <v>0</v>
      </c>
      <c r="U173" s="51">
        <f t="shared" si="30"/>
        <v>0</v>
      </c>
      <c r="V173" s="51">
        <f t="shared" si="30"/>
        <v>0</v>
      </c>
      <c r="W173" s="51">
        <f t="shared" si="30"/>
        <v>0</v>
      </c>
      <c r="X173" s="141"/>
      <c r="Y173" s="48"/>
      <c r="Z173" s="48"/>
      <c r="AA173" s="48"/>
      <c r="AB173" s="48"/>
      <c r="AC173" s="48"/>
      <c r="AD173" s="48"/>
      <c r="AE173" s="61"/>
      <c r="AF173" s="62"/>
      <c r="AG173" s="62"/>
      <c r="AH173" s="56"/>
    </row>
    <row r="174" spans="1:34" ht="31.2" x14ac:dyDescent="0.3">
      <c r="A174" s="177"/>
      <c r="B174" s="66" t="s">
        <v>497</v>
      </c>
      <c r="C174" s="51"/>
      <c r="D174" s="51"/>
      <c r="E174" s="51"/>
      <c r="F174" s="51"/>
      <c r="G174" s="51"/>
      <c r="H174" s="51"/>
      <c r="I174" s="51"/>
      <c r="J174" s="82"/>
      <c r="K174" s="51"/>
      <c r="L174" s="51"/>
      <c r="M174" s="82"/>
      <c r="N174" s="51"/>
      <c r="O174" s="82"/>
      <c r="P174" s="51"/>
      <c r="Q174" s="338"/>
      <c r="R174" s="51"/>
      <c r="S174" s="51"/>
      <c r="T174" s="35"/>
      <c r="U174" s="51"/>
      <c r="V174" s="51"/>
      <c r="W174" s="364"/>
      <c r="X174" s="141"/>
      <c r="Y174" s="48"/>
      <c r="Z174" s="48"/>
      <c r="AA174" s="48"/>
      <c r="AB174" s="48"/>
      <c r="AC174" s="48"/>
      <c r="AD174" s="48"/>
      <c r="AE174" s="61"/>
      <c r="AF174" s="62"/>
      <c r="AG174" s="62"/>
      <c r="AH174" s="56"/>
    </row>
    <row r="175" spans="1:34" x14ac:dyDescent="0.3">
      <c r="A175" s="177">
        <f>A172+1</f>
        <v>118</v>
      </c>
      <c r="B175" s="66" t="s">
        <v>498</v>
      </c>
      <c r="C175" s="51">
        <f t="shared" ref="C175:C183" si="31">D175+K175+L175+N175+P175+R175+S175+U175+V175+W175</f>
        <v>2780834.4000000004</v>
      </c>
      <c r="D175" s="51">
        <f t="shared" ref="D175:D183" si="32">E175+F175+G175+H175+I175</f>
        <v>2780834.4000000004</v>
      </c>
      <c r="E175" s="51">
        <v>492717.6</v>
      </c>
      <c r="F175" s="51">
        <v>1307481.6000000001</v>
      </c>
      <c r="G175" s="51">
        <v>218204.4</v>
      </c>
      <c r="H175" s="51">
        <v>519193.2</v>
      </c>
      <c r="I175" s="51">
        <v>243237.6</v>
      </c>
      <c r="J175" s="82"/>
      <c r="K175" s="51"/>
      <c r="L175" s="51"/>
      <c r="M175" s="82"/>
      <c r="N175" s="51"/>
      <c r="O175" s="82"/>
      <c r="P175" s="51"/>
      <c r="Q175" s="338"/>
      <c r="R175" s="51"/>
      <c r="S175" s="51"/>
      <c r="T175" s="35"/>
      <c r="U175" s="51"/>
      <c r="V175" s="51"/>
      <c r="W175" s="364"/>
      <c r="X175" s="141"/>
      <c r="Y175" s="48"/>
      <c r="Z175" s="48"/>
      <c r="AA175" s="48"/>
      <c r="AB175" s="48"/>
      <c r="AC175" s="48"/>
      <c r="AD175" s="48">
        <v>193686.96</v>
      </c>
      <c r="AE175" s="61"/>
      <c r="AF175" s="62"/>
      <c r="AG175" s="62"/>
      <c r="AH175" s="56"/>
    </row>
    <row r="176" spans="1:34" x14ac:dyDescent="0.3">
      <c r="A176" s="177">
        <f t="shared" ref="A176:A182" si="33">A175+1</f>
        <v>119</v>
      </c>
      <c r="B176" s="66" t="s">
        <v>500</v>
      </c>
      <c r="C176" s="51">
        <f t="shared" si="31"/>
        <v>16098964.800000001</v>
      </c>
      <c r="D176" s="51">
        <f t="shared" si="32"/>
        <v>16098964.800000001</v>
      </c>
      <c r="E176" s="51"/>
      <c r="F176" s="51">
        <v>11942884.800000001</v>
      </c>
      <c r="G176" s="51"/>
      <c r="H176" s="51">
        <v>4156080</v>
      </c>
      <c r="I176" s="51"/>
      <c r="J176" s="82"/>
      <c r="K176" s="51"/>
      <c r="L176" s="51"/>
      <c r="M176" s="82"/>
      <c r="N176" s="51"/>
      <c r="O176" s="82"/>
      <c r="P176" s="51"/>
      <c r="Q176" s="338"/>
      <c r="R176" s="51"/>
      <c r="S176" s="51"/>
      <c r="T176" s="35"/>
      <c r="U176" s="51"/>
      <c r="V176" s="51"/>
      <c r="W176" s="364"/>
      <c r="X176" s="141"/>
      <c r="Y176" s="48"/>
      <c r="Z176" s="48"/>
      <c r="AA176" s="48"/>
      <c r="AB176" s="48"/>
      <c r="AC176" s="48"/>
      <c r="AD176" s="48">
        <v>584066.22</v>
      </c>
      <c r="AE176" s="61"/>
      <c r="AF176" s="62"/>
      <c r="AG176" s="62"/>
      <c r="AH176" s="56"/>
    </row>
    <row r="177" spans="1:35" x14ac:dyDescent="0.3">
      <c r="A177" s="177">
        <f t="shared" si="33"/>
        <v>120</v>
      </c>
      <c r="B177" s="66" t="s">
        <v>501</v>
      </c>
      <c r="C177" s="51">
        <f t="shared" si="31"/>
        <v>7225353.5999999996</v>
      </c>
      <c r="D177" s="51">
        <f t="shared" si="32"/>
        <v>7225353.5999999996</v>
      </c>
      <c r="E177" s="51"/>
      <c r="F177" s="51">
        <v>5413321.2000000002</v>
      </c>
      <c r="G177" s="51"/>
      <c r="H177" s="51">
        <v>1812032.4</v>
      </c>
      <c r="I177" s="51"/>
      <c r="J177" s="82"/>
      <c r="K177" s="51"/>
      <c r="L177" s="51"/>
      <c r="M177" s="82"/>
      <c r="N177" s="51"/>
      <c r="O177" s="82"/>
      <c r="P177" s="51"/>
      <c r="Q177" s="338"/>
      <c r="R177" s="51"/>
      <c r="S177" s="51"/>
      <c r="T177" s="35"/>
      <c r="U177" s="51"/>
      <c r="V177" s="51"/>
      <c r="W177" s="364"/>
      <c r="X177" s="141"/>
      <c r="Y177" s="48"/>
      <c r="Z177" s="48"/>
      <c r="AA177" s="48"/>
      <c r="AB177" s="48"/>
      <c r="AC177" s="48"/>
      <c r="AD177" s="48">
        <v>359914.58</v>
      </c>
      <c r="AE177" s="61"/>
      <c r="AF177" s="62"/>
      <c r="AG177" s="62"/>
      <c r="AH177" s="56"/>
    </row>
    <row r="178" spans="1:35" x14ac:dyDescent="0.3">
      <c r="A178" s="177">
        <f t="shared" si="33"/>
        <v>121</v>
      </c>
      <c r="B178" s="66" t="s">
        <v>502</v>
      </c>
      <c r="C178" s="51">
        <f t="shared" si="31"/>
        <v>2838086.4</v>
      </c>
      <c r="D178" s="51">
        <f t="shared" si="32"/>
        <v>2838086.4</v>
      </c>
      <c r="E178" s="51">
        <v>629647.19999999995</v>
      </c>
      <c r="F178" s="51">
        <v>1159054.8</v>
      </c>
      <c r="G178" s="51">
        <v>252620.4</v>
      </c>
      <c r="H178" s="51">
        <v>570380.4</v>
      </c>
      <c r="I178" s="51">
        <v>226383.6</v>
      </c>
      <c r="J178" s="82"/>
      <c r="K178" s="51"/>
      <c r="L178" s="51"/>
      <c r="M178" s="82"/>
      <c r="N178" s="51"/>
      <c r="O178" s="82"/>
      <c r="P178" s="51"/>
      <c r="Q178" s="338"/>
      <c r="R178" s="51"/>
      <c r="S178" s="51"/>
      <c r="T178" s="35"/>
      <c r="U178" s="51"/>
      <c r="V178" s="51"/>
      <c r="W178" s="364"/>
      <c r="X178" s="141"/>
      <c r="Y178" s="48"/>
      <c r="Z178" s="48"/>
      <c r="AA178" s="48"/>
      <c r="AB178" s="48"/>
      <c r="AC178" s="48"/>
      <c r="AD178" s="48"/>
      <c r="AE178" s="61"/>
      <c r="AF178" s="62">
        <v>532711.03</v>
      </c>
      <c r="AG178" s="62"/>
      <c r="AH178" s="56"/>
    </row>
    <row r="179" spans="1:35" x14ac:dyDescent="0.3">
      <c r="A179" s="177">
        <f t="shared" si="33"/>
        <v>122</v>
      </c>
      <c r="B179" s="66" t="s">
        <v>503</v>
      </c>
      <c r="C179" s="51">
        <f t="shared" si="31"/>
        <v>3118833.6</v>
      </c>
      <c r="D179" s="51">
        <f t="shared" si="32"/>
        <v>3118833.6</v>
      </c>
      <c r="E179" s="51">
        <v>487758</v>
      </c>
      <c r="F179" s="51">
        <v>1650562.8</v>
      </c>
      <c r="G179" s="51">
        <v>218587.2</v>
      </c>
      <c r="H179" s="51">
        <v>567302.40000000002</v>
      </c>
      <c r="I179" s="51">
        <v>194623.2</v>
      </c>
      <c r="J179" s="82"/>
      <c r="K179" s="51"/>
      <c r="L179" s="51"/>
      <c r="M179" s="82"/>
      <c r="N179" s="51"/>
      <c r="O179" s="82"/>
      <c r="P179" s="51"/>
      <c r="Q179" s="338"/>
      <c r="R179" s="51"/>
      <c r="S179" s="51"/>
      <c r="T179" s="35"/>
      <c r="U179" s="51"/>
      <c r="V179" s="51"/>
      <c r="W179" s="364"/>
      <c r="X179" s="141"/>
      <c r="Y179" s="48"/>
      <c r="Z179" s="48"/>
      <c r="AA179" s="48"/>
      <c r="AB179" s="48"/>
      <c r="AC179" s="48"/>
      <c r="AD179" s="48"/>
      <c r="AE179" s="61"/>
      <c r="AF179" s="62">
        <v>516035.88</v>
      </c>
      <c r="AG179" s="62"/>
      <c r="AH179" s="56"/>
    </row>
    <row r="180" spans="1:35" x14ac:dyDescent="0.3">
      <c r="A180" s="177">
        <f t="shared" si="33"/>
        <v>123</v>
      </c>
      <c r="B180" s="66" t="s">
        <v>504</v>
      </c>
      <c r="C180" s="51">
        <f t="shared" si="31"/>
        <v>3121015.1999999997</v>
      </c>
      <c r="D180" s="51">
        <f t="shared" si="32"/>
        <v>3121015.1999999997</v>
      </c>
      <c r="E180" s="51">
        <v>557450.4</v>
      </c>
      <c r="F180" s="51">
        <v>1550851.2</v>
      </c>
      <c r="G180" s="51">
        <v>264272.40000000002</v>
      </c>
      <c r="H180" s="51">
        <v>541550.4</v>
      </c>
      <c r="I180" s="51">
        <v>206890.8</v>
      </c>
      <c r="J180" s="82"/>
      <c r="K180" s="51"/>
      <c r="L180" s="51"/>
      <c r="M180" s="82"/>
      <c r="N180" s="51"/>
      <c r="O180" s="82"/>
      <c r="P180" s="51"/>
      <c r="Q180" s="338"/>
      <c r="R180" s="51"/>
      <c r="S180" s="51"/>
      <c r="T180" s="35"/>
      <c r="U180" s="51"/>
      <c r="V180" s="51"/>
      <c r="W180" s="364"/>
      <c r="X180" s="141"/>
      <c r="Y180" s="48"/>
      <c r="Z180" s="48"/>
      <c r="AA180" s="48"/>
      <c r="AB180" s="48"/>
      <c r="AC180" s="48"/>
      <c r="AD180" s="48">
        <v>200260.55</v>
      </c>
      <c r="AE180" s="61"/>
      <c r="AF180" s="62">
        <v>534743.9</v>
      </c>
      <c r="AG180" s="62"/>
      <c r="AH180" s="56"/>
    </row>
    <row r="181" spans="1:35" x14ac:dyDescent="0.3">
      <c r="A181" s="177">
        <f t="shared" si="33"/>
        <v>124</v>
      </c>
      <c r="B181" s="66" t="s">
        <v>505</v>
      </c>
      <c r="C181" s="51">
        <f t="shared" si="31"/>
        <v>7074370.8000000007</v>
      </c>
      <c r="D181" s="51">
        <f t="shared" si="32"/>
        <v>7074370.8000000007</v>
      </c>
      <c r="E181" s="51"/>
      <c r="F181" s="51">
        <v>5121139.2</v>
      </c>
      <c r="G181" s="51"/>
      <c r="H181" s="51">
        <v>1953231.6</v>
      </c>
      <c r="I181" s="51"/>
      <c r="J181" s="82"/>
      <c r="K181" s="51"/>
      <c r="L181" s="51"/>
      <c r="M181" s="82"/>
      <c r="N181" s="51"/>
      <c r="O181" s="82"/>
      <c r="P181" s="51"/>
      <c r="Q181" s="338"/>
      <c r="R181" s="51"/>
      <c r="S181" s="51"/>
      <c r="T181" s="35"/>
      <c r="U181" s="51"/>
      <c r="V181" s="51"/>
      <c r="W181" s="364"/>
      <c r="X181" s="141"/>
      <c r="Y181" s="48"/>
      <c r="Z181" s="48"/>
      <c r="AA181" s="48"/>
      <c r="AB181" s="48"/>
      <c r="AC181" s="48"/>
      <c r="AD181" s="48">
        <v>299214.74</v>
      </c>
      <c r="AE181" s="61"/>
      <c r="AF181" s="62">
        <v>976313.34</v>
      </c>
      <c r="AG181" s="62"/>
      <c r="AH181" s="56"/>
    </row>
    <row r="182" spans="1:35" x14ac:dyDescent="0.3">
      <c r="A182" s="177">
        <f t="shared" si="33"/>
        <v>125</v>
      </c>
      <c r="B182" s="66" t="s">
        <v>506</v>
      </c>
      <c r="C182" s="51">
        <f t="shared" si="31"/>
        <v>3176407.2</v>
      </c>
      <c r="D182" s="51">
        <f t="shared" si="32"/>
        <v>3176407.2</v>
      </c>
      <c r="E182" s="51">
        <v>436462.8</v>
      </c>
      <c r="F182" s="51">
        <v>1789897.2</v>
      </c>
      <c r="G182" s="51">
        <v>251282.4</v>
      </c>
      <c r="H182" s="51">
        <v>349759.2</v>
      </c>
      <c r="I182" s="51">
        <v>349005.6</v>
      </c>
      <c r="J182" s="82"/>
      <c r="K182" s="51"/>
      <c r="L182" s="51"/>
      <c r="M182" s="82"/>
      <c r="N182" s="51"/>
      <c r="O182" s="82"/>
      <c r="P182" s="51"/>
      <c r="Q182" s="338"/>
      <c r="R182" s="51"/>
      <c r="S182" s="51"/>
      <c r="T182" s="35"/>
      <c r="U182" s="51"/>
      <c r="V182" s="51"/>
      <c r="W182" s="364"/>
      <c r="X182" s="141"/>
      <c r="Y182" s="48"/>
      <c r="Z182" s="48"/>
      <c r="AA182" s="48"/>
      <c r="AB182" s="48"/>
      <c r="AC182" s="48"/>
      <c r="AD182" s="48">
        <v>217299.3</v>
      </c>
      <c r="AE182" s="61"/>
      <c r="AF182" s="62">
        <v>578653.49</v>
      </c>
      <c r="AG182" s="62"/>
      <c r="AH182" s="56"/>
    </row>
    <row r="183" spans="1:35" x14ac:dyDescent="0.3">
      <c r="A183" s="177">
        <v>220</v>
      </c>
      <c r="B183" s="66" t="s">
        <v>507</v>
      </c>
      <c r="C183" s="51">
        <f t="shared" si="31"/>
        <v>130000</v>
      </c>
      <c r="D183" s="51">
        <f t="shared" si="32"/>
        <v>0</v>
      </c>
      <c r="E183" s="51"/>
      <c r="F183" s="51"/>
      <c r="G183" s="51"/>
      <c r="H183" s="51"/>
      <c r="I183" s="51"/>
      <c r="J183" s="82"/>
      <c r="K183" s="51"/>
      <c r="L183" s="51"/>
      <c r="M183" s="82"/>
      <c r="N183" s="51"/>
      <c r="O183" s="82"/>
      <c r="P183" s="51"/>
      <c r="Q183" s="338"/>
      <c r="R183" s="51"/>
      <c r="S183" s="51"/>
      <c r="T183" s="35"/>
      <c r="U183" s="51"/>
      <c r="V183" s="51"/>
      <c r="W183" s="364">
        <v>130000</v>
      </c>
      <c r="X183" s="141"/>
      <c r="Y183" s="48"/>
      <c r="Z183" s="48"/>
      <c r="AA183" s="48"/>
      <c r="AB183" s="48"/>
      <c r="AC183" s="48"/>
      <c r="AD183" s="48"/>
      <c r="AE183" s="61"/>
      <c r="AF183" s="62"/>
      <c r="AG183" s="62"/>
      <c r="AH183" s="56"/>
      <c r="AI183" s="56"/>
    </row>
    <row r="184" spans="1:35" x14ac:dyDescent="0.3">
      <c r="A184" s="177"/>
      <c r="B184" s="177" t="s">
        <v>211</v>
      </c>
      <c r="C184" s="51">
        <f>SUM(C175:C183)</f>
        <v>45563866.000000015</v>
      </c>
      <c r="D184" s="51">
        <f t="shared" ref="D184:W184" si="34">SUM(D175:D182)</f>
        <v>45433866.000000015</v>
      </c>
      <c r="E184" s="51">
        <f t="shared" si="34"/>
        <v>2604035.9999999995</v>
      </c>
      <c r="F184" s="51">
        <f t="shared" si="34"/>
        <v>29935192.800000001</v>
      </c>
      <c r="G184" s="51">
        <f t="shared" si="34"/>
        <v>1204966.8</v>
      </c>
      <c r="H184" s="51">
        <f t="shared" si="34"/>
        <v>10469529.6</v>
      </c>
      <c r="I184" s="51">
        <f t="shared" si="34"/>
        <v>1220140.7999999998</v>
      </c>
      <c r="J184" s="82">
        <f t="shared" si="34"/>
        <v>0</v>
      </c>
      <c r="K184" s="51">
        <f t="shared" si="34"/>
        <v>0</v>
      </c>
      <c r="L184" s="51">
        <f t="shared" si="34"/>
        <v>0</v>
      </c>
      <c r="M184" s="82">
        <f t="shared" si="34"/>
        <v>0</v>
      </c>
      <c r="N184" s="51">
        <f t="shared" si="34"/>
        <v>0</v>
      </c>
      <c r="O184" s="82">
        <f t="shared" si="34"/>
        <v>0</v>
      </c>
      <c r="P184" s="51">
        <f t="shared" si="34"/>
        <v>0</v>
      </c>
      <c r="Q184" s="338">
        <f t="shared" si="34"/>
        <v>0</v>
      </c>
      <c r="R184" s="51">
        <f t="shared" si="34"/>
        <v>0</v>
      </c>
      <c r="S184" s="51">
        <f t="shared" si="34"/>
        <v>0</v>
      </c>
      <c r="T184" s="35">
        <f t="shared" si="34"/>
        <v>0</v>
      </c>
      <c r="U184" s="51">
        <f t="shared" si="34"/>
        <v>0</v>
      </c>
      <c r="V184" s="51">
        <f t="shared" si="34"/>
        <v>0</v>
      </c>
      <c r="W184" s="51">
        <f t="shared" si="34"/>
        <v>0</v>
      </c>
      <c r="X184" s="141"/>
      <c r="Y184" s="48"/>
      <c r="Z184" s="48"/>
      <c r="AA184" s="48"/>
      <c r="AB184" s="48"/>
      <c r="AC184" s="48"/>
      <c r="AD184" s="48"/>
      <c r="AE184" s="61"/>
      <c r="AF184" s="62"/>
      <c r="AG184" s="62"/>
      <c r="AH184" s="56"/>
    </row>
    <row r="185" spans="1:35" s="56" customFormat="1" x14ac:dyDescent="0.3">
      <c r="A185" s="177"/>
      <c r="B185" s="131" t="s">
        <v>516</v>
      </c>
      <c r="C185" s="51">
        <f>C184+C173+C170+C167+C115+C112+C109</f>
        <v>104346869.78000002</v>
      </c>
      <c r="D185" s="51">
        <f t="shared" ref="D185:W185" si="35">D184+D173+D170+D167+D115+D112+D109</f>
        <v>99909166.290000021</v>
      </c>
      <c r="E185" s="51">
        <f t="shared" si="35"/>
        <v>19487577.450000003</v>
      </c>
      <c r="F185" s="51">
        <f t="shared" si="35"/>
        <v>50284256.200000003</v>
      </c>
      <c r="G185" s="51">
        <f t="shared" si="35"/>
        <v>4627242.0600000005</v>
      </c>
      <c r="H185" s="51">
        <f t="shared" si="35"/>
        <v>11392928.4</v>
      </c>
      <c r="I185" s="51">
        <f t="shared" si="35"/>
        <v>14117162.180000002</v>
      </c>
      <c r="J185" s="82">
        <f t="shared" si="35"/>
        <v>0</v>
      </c>
      <c r="K185" s="51">
        <f t="shared" si="35"/>
        <v>0</v>
      </c>
      <c r="L185" s="51">
        <f t="shared" si="35"/>
        <v>0</v>
      </c>
      <c r="M185" s="82">
        <f t="shared" si="35"/>
        <v>338.9</v>
      </c>
      <c r="N185" s="51">
        <f t="shared" si="35"/>
        <v>2090466</v>
      </c>
      <c r="O185" s="82">
        <f t="shared" si="35"/>
        <v>0</v>
      </c>
      <c r="P185" s="51">
        <f t="shared" si="35"/>
        <v>0</v>
      </c>
      <c r="Q185" s="338">
        <f t="shared" si="35"/>
        <v>0</v>
      </c>
      <c r="R185" s="51">
        <f t="shared" si="35"/>
        <v>0</v>
      </c>
      <c r="S185" s="51">
        <f t="shared" si="35"/>
        <v>0</v>
      </c>
      <c r="T185" s="35">
        <f t="shared" si="35"/>
        <v>0</v>
      </c>
      <c r="U185" s="51">
        <f t="shared" si="35"/>
        <v>0</v>
      </c>
      <c r="V185" s="51">
        <f t="shared" si="35"/>
        <v>328617.23</v>
      </c>
      <c r="W185" s="51">
        <f t="shared" si="35"/>
        <v>1888620.2600000002</v>
      </c>
      <c r="X185" s="9"/>
      <c r="Y185" s="9"/>
      <c r="Z185" s="9"/>
      <c r="AA185" s="9"/>
      <c r="AB185" s="9"/>
      <c r="AC185" s="9"/>
      <c r="AD185" s="9"/>
      <c r="AE185" s="306"/>
      <c r="AF185" s="302"/>
      <c r="AG185" s="302"/>
    </row>
    <row r="186" spans="1:35" x14ac:dyDescent="0.3">
      <c r="A186" s="65" t="s">
        <v>517</v>
      </c>
      <c r="B186" s="167"/>
      <c r="C186" s="363"/>
      <c r="D186" s="363"/>
      <c r="E186" s="363"/>
      <c r="F186" s="363"/>
      <c r="G186" s="363"/>
      <c r="H186" s="363"/>
      <c r="I186" s="363"/>
      <c r="J186" s="391"/>
      <c r="K186" s="363"/>
      <c r="L186" s="363"/>
      <c r="M186" s="391"/>
      <c r="N186" s="363"/>
      <c r="O186" s="391"/>
      <c r="P186" s="363"/>
      <c r="Q186" s="392"/>
      <c r="R186" s="363"/>
      <c r="S186" s="363"/>
      <c r="T186" s="393"/>
      <c r="U186" s="363"/>
      <c r="V186" s="363"/>
      <c r="W186" s="363"/>
      <c r="X186" s="141"/>
      <c r="Y186" s="48"/>
      <c r="Z186" s="57"/>
      <c r="AA186" s="58"/>
      <c r="AB186" s="58"/>
      <c r="AC186" s="58"/>
      <c r="AD186" s="58"/>
      <c r="AE186" s="58"/>
      <c r="AF186" s="58"/>
      <c r="AG186" s="58"/>
    </row>
    <row r="187" spans="1:35" x14ac:dyDescent="0.3">
      <c r="A187" s="189"/>
      <c r="B187" s="66" t="s">
        <v>518</v>
      </c>
      <c r="C187" s="387"/>
      <c r="D187" s="387"/>
      <c r="E187" s="387"/>
      <c r="F187" s="387"/>
      <c r="G187" s="387"/>
      <c r="H187" s="387"/>
      <c r="I187" s="387"/>
      <c r="J187" s="388"/>
      <c r="K187" s="387"/>
      <c r="L187" s="387"/>
      <c r="M187" s="388"/>
      <c r="N187" s="387"/>
      <c r="O187" s="388"/>
      <c r="P187" s="387"/>
      <c r="Q187" s="389"/>
      <c r="R187" s="387"/>
      <c r="S187" s="387"/>
      <c r="T187" s="390"/>
      <c r="U187" s="387"/>
      <c r="V187" s="387"/>
      <c r="W187" s="387"/>
      <c r="X187" s="141"/>
      <c r="Y187" s="48"/>
      <c r="Z187" s="57"/>
      <c r="AA187" s="58"/>
      <c r="AB187" s="58"/>
      <c r="AC187" s="58"/>
      <c r="AD187" s="58"/>
      <c r="AE187" s="58"/>
      <c r="AF187" s="58"/>
      <c r="AG187" s="58"/>
    </row>
    <row r="188" spans="1:35" x14ac:dyDescent="0.3">
      <c r="A188" s="177">
        <f>A182+1</f>
        <v>126</v>
      </c>
      <c r="B188" s="66" t="s">
        <v>527</v>
      </c>
      <c r="C188" s="51">
        <f>D188+K188+L188+N188+R188+S188+U188+V188+W188</f>
        <v>6624001.1999999993</v>
      </c>
      <c r="D188" s="51">
        <f>E188+F188+G188+H188+I188</f>
        <v>4909635.5999999996</v>
      </c>
      <c r="E188" s="51">
        <v>826582.8</v>
      </c>
      <c r="F188" s="51">
        <v>4083052.8</v>
      </c>
      <c r="G188" s="51"/>
      <c r="H188" s="51"/>
      <c r="I188" s="51"/>
      <c r="J188" s="82"/>
      <c r="K188" s="51"/>
      <c r="L188" s="51"/>
      <c r="M188" s="82">
        <f>1215</f>
        <v>1215</v>
      </c>
      <c r="N188" s="51">
        <v>1714365.6</v>
      </c>
      <c r="O188" s="82"/>
      <c r="P188" s="51"/>
      <c r="Q188" s="338"/>
      <c r="R188" s="51"/>
      <c r="S188" s="51"/>
      <c r="T188" s="35"/>
      <c r="U188" s="51"/>
      <c r="V188" s="51"/>
      <c r="W188" s="364"/>
      <c r="X188" s="141"/>
      <c r="Y188" s="62"/>
      <c r="Z188" s="62"/>
      <c r="AA188" s="62"/>
      <c r="AB188" s="62"/>
      <c r="AC188" s="62"/>
      <c r="AD188" s="62"/>
      <c r="AE188" s="62"/>
      <c r="AF188" s="63">
        <v>273658.63</v>
      </c>
      <c r="AG188" s="62"/>
    </row>
    <row r="189" spans="1:35" ht="31.2" x14ac:dyDescent="0.3">
      <c r="A189" s="177">
        <f>A188+1</f>
        <v>127</v>
      </c>
      <c r="B189" s="66" t="s">
        <v>548</v>
      </c>
      <c r="C189" s="51">
        <f>D189+K189+L189+N189+R189+S189+U189+V189+W189</f>
        <v>5573893.2000000002</v>
      </c>
      <c r="D189" s="51">
        <f>E189+F189+G189+H189+I189</f>
        <v>0</v>
      </c>
      <c r="E189" s="51"/>
      <c r="F189" s="51"/>
      <c r="G189" s="51"/>
      <c r="H189" s="51"/>
      <c r="I189" s="51"/>
      <c r="J189" s="82"/>
      <c r="K189" s="51"/>
      <c r="L189" s="51"/>
      <c r="M189" s="82">
        <f>1223.9</f>
        <v>1223.9000000000001</v>
      </c>
      <c r="N189" s="51">
        <v>5573893.2000000002</v>
      </c>
      <c r="O189" s="82"/>
      <c r="P189" s="51"/>
      <c r="Q189" s="338"/>
      <c r="R189" s="51"/>
      <c r="S189" s="51"/>
      <c r="T189" s="35"/>
      <c r="U189" s="51"/>
      <c r="V189" s="51"/>
      <c r="W189" s="364"/>
      <c r="X189" s="141"/>
      <c r="Y189" s="62"/>
      <c r="Z189" s="62"/>
      <c r="AA189" s="62"/>
      <c r="AB189" s="62"/>
      <c r="AC189" s="62"/>
      <c r="AD189" s="62"/>
      <c r="AE189" s="62"/>
      <c r="AF189" s="62"/>
      <c r="AG189" s="62"/>
    </row>
    <row r="190" spans="1:35" ht="31.2" x14ac:dyDescent="0.3">
      <c r="A190" s="59">
        <f>A189+1</f>
        <v>128</v>
      </c>
      <c r="B190" s="66" t="s">
        <v>549</v>
      </c>
      <c r="C190" s="51">
        <f>D190+K190+L190+N190+R190+S190+U190+V190+W190</f>
        <v>5334510</v>
      </c>
      <c r="D190" s="51">
        <f>E190+F190+G190+H190+I190</f>
        <v>0</v>
      </c>
      <c r="E190" s="51"/>
      <c r="F190" s="51"/>
      <c r="G190" s="51"/>
      <c r="H190" s="51"/>
      <c r="I190" s="51"/>
      <c r="J190" s="82"/>
      <c r="K190" s="51"/>
      <c r="L190" s="51"/>
      <c r="M190" s="82">
        <f>1241.38</f>
        <v>1241.3800000000001</v>
      </c>
      <c r="N190" s="51">
        <v>5334510</v>
      </c>
      <c r="O190" s="82"/>
      <c r="P190" s="51"/>
      <c r="Q190" s="338"/>
      <c r="R190" s="51"/>
      <c r="S190" s="51"/>
      <c r="T190" s="35"/>
      <c r="U190" s="51"/>
      <c r="V190" s="51"/>
      <c r="W190" s="364"/>
      <c r="X190" s="141"/>
      <c r="Y190" s="62"/>
      <c r="Z190" s="62"/>
      <c r="AA190" s="62"/>
      <c r="AB190" s="62"/>
      <c r="AC190" s="62"/>
      <c r="AD190" s="62"/>
      <c r="AE190" s="62"/>
      <c r="AF190" s="62"/>
      <c r="AG190" s="62"/>
    </row>
    <row r="191" spans="1:35" x14ac:dyDescent="0.3">
      <c r="A191" s="59"/>
      <c r="B191" s="66" t="s">
        <v>211</v>
      </c>
      <c r="C191" s="51">
        <f t="shared" ref="C191:W191" si="36">SUM(C188:C190)</f>
        <v>17532404.399999999</v>
      </c>
      <c r="D191" s="51">
        <f t="shared" si="36"/>
        <v>4909635.5999999996</v>
      </c>
      <c r="E191" s="51">
        <f t="shared" si="36"/>
        <v>826582.8</v>
      </c>
      <c r="F191" s="51">
        <f t="shared" si="36"/>
        <v>4083052.8</v>
      </c>
      <c r="G191" s="51">
        <f t="shared" si="36"/>
        <v>0</v>
      </c>
      <c r="H191" s="51">
        <f t="shared" si="36"/>
        <v>0</v>
      </c>
      <c r="I191" s="51">
        <f t="shared" si="36"/>
        <v>0</v>
      </c>
      <c r="J191" s="82">
        <f t="shared" si="36"/>
        <v>0</v>
      </c>
      <c r="K191" s="51">
        <f t="shared" si="36"/>
        <v>0</v>
      </c>
      <c r="L191" s="51">
        <f t="shared" si="36"/>
        <v>0</v>
      </c>
      <c r="M191" s="82">
        <f t="shared" si="36"/>
        <v>3680.28</v>
      </c>
      <c r="N191" s="51">
        <f t="shared" si="36"/>
        <v>12622768.800000001</v>
      </c>
      <c r="O191" s="82">
        <f t="shared" si="36"/>
        <v>0</v>
      </c>
      <c r="P191" s="51">
        <f t="shared" si="36"/>
        <v>0</v>
      </c>
      <c r="Q191" s="338">
        <f t="shared" si="36"/>
        <v>0</v>
      </c>
      <c r="R191" s="51">
        <f t="shared" si="36"/>
        <v>0</v>
      </c>
      <c r="S191" s="51">
        <f t="shared" si="36"/>
        <v>0</v>
      </c>
      <c r="T191" s="35">
        <f t="shared" si="36"/>
        <v>0</v>
      </c>
      <c r="U191" s="51">
        <f t="shared" si="36"/>
        <v>0</v>
      </c>
      <c r="V191" s="51">
        <f t="shared" si="36"/>
        <v>0</v>
      </c>
      <c r="W191" s="51">
        <f t="shared" si="36"/>
        <v>0</v>
      </c>
      <c r="X191" s="144"/>
      <c r="Y191" s="172"/>
      <c r="Z191" s="64"/>
      <c r="AA191" s="63"/>
      <c r="AB191" s="63"/>
      <c r="AC191" s="63"/>
      <c r="AD191" s="63"/>
      <c r="AE191" s="63"/>
      <c r="AF191" s="63"/>
      <c r="AG191" s="62"/>
    </row>
    <row r="192" spans="1:35" x14ac:dyDescent="0.3">
      <c r="A192" s="59"/>
      <c r="B192" s="66" t="s">
        <v>601</v>
      </c>
      <c r="C192" s="51"/>
      <c r="D192" s="51"/>
      <c r="E192" s="51"/>
      <c r="F192" s="51"/>
      <c r="G192" s="51"/>
      <c r="H192" s="51"/>
      <c r="I192" s="51"/>
      <c r="J192" s="82"/>
      <c r="K192" s="51"/>
      <c r="L192" s="51"/>
      <c r="M192" s="82"/>
      <c r="N192" s="51"/>
      <c r="O192" s="82"/>
      <c r="P192" s="51"/>
      <c r="Q192" s="338"/>
      <c r="R192" s="51"/>
      <c r="S192" s="51"/>
      <c r="T192" s="35"/>
      <c r="U192" s="51"/>
      <c r="V192" s="51"/>
      <c r="W192" s="364"/>
      <c r="X192" s="141"/>
      <c r="Y192" s="48"/>
      <c r="Z192" s="57"/>
      <c r="AA192" s="58"/>
      <c r="AB192" s="58"/>
      <c r="AC192" s="58"/>
      <c r="AD192" s="58"/>
      <c r="AE192" s="58"/>
      <c r="AF192" s="58"/>
      <c r="AG192" s="58"/>
    </row>
    <row r="193" spans="1:33" x14ac:dyDescent="0.3">
      <c r="A193" s="59">
        <f>A190+1</f>
        <v>129</v>
      </c>
      <c r="B193" s="66" t="s">
        <v>605</v>
      </c>
      <c r="C193" s="51">
        <f>D193+K193+L193+N193+R193+S193+U193+V193+W193</f>
        <v>487978.8</v>
      </c>
      <c r="D193" s="51">
        <f>E193+F193+G193+H193+I193</f>
        <v>487978.8</v>
      </c>
      <c r="E193" s="51">
        <v>487978.8</v>
      </c>
      <c r="F193" s="51"/>
      <c r="G193" s="51"/>
      <c r="H193" s="51"/>
      <c r="I193" s="51"/>
      <c r="J193" s="82"/>
      <c r="K193" s="51"/>
      <c r="L193" s="51"/>
      <c r="M193" s="82"/>
      <c r="N193" s="51"/>
      <c r="O193" s="82"/>
      <c r="P193" s="51"/>
      <c r="Q193" s="338"/>
      <c r="R193" s="51"/>
      <c r="S193" s="51"/>
      <c r="T193" s="35"/>
      <c r="U193" s="51"/>
      <c r="V193" s="51"/>
      <c r="W193" s="364"/>
      <c r="X193" s="141"/>
      <c r="Y193" s="48"/>
      <c r="Z193" s="61"/>
      <c r="AA193" s="62"/>
      <c r="AB193" s="62"/>
      <c r="AC193" s="62"/>
      <c r="AD193" s="62"/>
      <c r="AE193" s="62"/>
      <c r="AF193" s="58"/>
      <c r="AG193" s="58"/>
    </row>
    <row r="194" spans="1:33" x14ac:dyDescent="0.3">
      <c r="A194" s="59"/>
      <c r="B194" s="66" t="s">
        <v>211</v>
      </c>
      <c r="C194" s="51">
        <f t="shared" ref="C194:W194" si="37">SUM(C193:C193)</f>
        <v>487978.8</v>
      </c>
      <c r="D194" s="51">
        <f t="shared" si="37"/>
        <v>487978.8</v>
      </c>
      <c r="E194" s="51">
        <f t="shared" si="37"/>
        <v>487978.8</v>
      </c>
      <c r="F194" s="51">
        <f t="shared" si="37"/>
        <v>0</v>
      </c>
      <c r="G194" s="51">
        <f t="shared" si="37"/>
        <v>0</v>
      </c>
      <c r="H194" s="51">
        <f t="shared" si="37"/>
        <v>0</v>
      </c>
      <c r="I194" s="51">
        <f t="shared" si="37"/>
        <v>0</v>
      </c>
      <c r="J194" s="82">
        <f t="shared" si="37"/>
        <v>0</v>
      </c>
      <c r="K194" s="51">
        <f t="shared" si="37"/>
        <v>0</v>
      </c>
      <c r="L194" s="51">
        <f t="shared" si="37"/>
        <v>0</v>
      </c>
      <c r="M194" s="82">
        <f t="shared" si="37"/>
        <v>0</v>
      </c>
      <c r="N194" s="51">
        <f t="shared" si="37"/>
        <v>0</v>
      </c>
      <c r="O194" s="82">
        <f t="shared" si="37"/>
        <v>0</v>
      </c>
      <c r="P194" s="51">
        <f t="shared" si="37"/>
        <v>0</v>
      </c>
      <c r="Q194" s="338">
        <f t="shared" si="37"/>
        <v>0</v>
      </c>
      <c r="R194" s="51">
        <f t="shared" si="37"/>
        <v>0</v>
      </c>
      <c r="S194" s="51">
        <f t="shared" si="37"/>
        <v>0</v>
      </c>
      <c r="T194" s="35">
        <f t="shared" si="37"/>
        <v>0</v>
      </c>
      <c r="U194" s="51">
        <f t="shared" si="37"/>
        <v>0</v>
      </c>
      <c r="V194" s="51">
        <f t="shared" si="37"/>
        <v>0</v>
      </c>
      <c r="W194" s="51">
        <f t="shared" si="37"/>
        <v>0</v>
      </c>
      <c r="X194" s="144"/>
      <c r="Y194" s="63"/>
      <c r="Z194" s="63"/>
      <c r="AA194" s="63"/>
      <c r="AB194" s="63"/>
      <c r="AC194" s="63"/>
      <c r="AD194" s="63"/>
      <c r="AE194" s="63"/>
      <c r="AF194" s="63"/>
      <c r="AG194" s="58"/>
    </row>
    <row r="195" spans="1:33" ht="31.2" x14ac:dyDescent="0.3">
      <c r="A195" s="59"/>
      <c r="B195" s="66" t="s">
        <v>686</v>
      </c>
      <c r="C195" s="51"/>
      <c r="D195" s="51"/>
      <c r="E195" s="51"/>
      <c r="F195" s="51"/>
      <c r="G195" s="51"/>
      <c r="H195" s="51"/>
      <c r="I195" s="51"/>
      <c r="J195" s="82"/>
      <c r="K195" s="51"/>
      <c r="L195" s="51"/>
      <c r="M195" s="82"/>
      <c r="N195" s="51"/>
      <c r="O195" s="82"/>
      <c r="P195" s="51"/>
      <c r="Q195" s="338"/>
      <c r="R195" s="51"/>
      <c r="S195" s="51"/>
      <c r="T195" s="35"/>
      <c r="U195" s="51"/>
      <c r="V195" s="51"/>
      <c r="W195" s="364"/>
      <c r="X195" s="141"/>
      <c r="Y195" s="58"/>
      <c r="Z195" s="58"/>
      <c r="AA195" s="58"/>
      <c r="AB195" s="58"/>
      <c r="AC195" s="58"/>
      <c r="AD195" s="58"/>
      <c r="AE195" s="58"/>
      <c r="AF195" s="58"/>
      <c r="AG195" s="58"/>
    </row>
    <row r="196" spans="1:33" x14ac:dyDescent="0.3">
      <c r="A196" s="59">
        <f>A193+1</f>
        <v>130</v>
      </c>
      <c r="B196" s="66" t="s">
        <v>687</v>
      </c>
      <c r="C196" s="51">
        <f>D196+K196+L196+N196+R196+S196+U196+V196+W196</f>
        <v>5306030.4000000004</v>
      </c>
      <c r="D196" s="51">
        <f>E196+F196+G196+H196+I196</f>
        <v>0</v>
      </c>
      <c r="E196" s="51"/>
      <c r="F196" s="51"/>
      <c r="G196" s="51"/>
      <c r="H196" s="51"/>
      <c r="I196" s="51"/>
      <c r="J196" s="82"/>
      <c r="K196" s="51"/>
      <c r="L196" s="51"/>
      <c r="M196" s="82">
        <v>13</v>
      </c>
      <c r="N196" s="394">
        <v>5306030.4000000004</v>
      </c>
      <c r="O196" s="82"/>
      <c r="P196" s="51"/>
      <c r="Q196" s="338"/>
      <c r="R196" s="51"/>
      <c r="S196" s="51"/>
      <c r="T196" s="35"/>
      <c r="U196" s="51"/>
      <c r="V196" s="51"/>
      <c r="W196" s="364"/>
      <c r="X196" s="141"/>
      <c r="Y196" s="58"/>
      <c r="Z196" s="58"/>
      <c r="AA196" s="58"/>
      <c r="AB196" s="58"/>
      <c r="AC196" s="58"/>
      <c r="AD196" s="58"/>
      <c r="AE196" s="58"/>
      <c r="AF196" s="58"/>
      <c r="AG196" s="58"/>
    </row>
    <row r="197" spans="1:33" ht="31.2" x14ac:dyDescent="0.3">
      <c r="A197" s="59">
        <f>A196+1</f>
        <v>131</v>
      </c>
      <c r="B197" s="66" t="s">
        <v>689</v>
      </c>
      <c r="C197" s="51">
        <f>D197+K197+L197+N197+R197+S197+U197+V197+W197</f>
        <v>5153833.2</v>
      </c>
      <c r="D197" s="51">
        <f>E197+F197+G197+H197+I197</f>
        <v>0</v>
      </c>
      <c r="E197" s="51"/>
      <c r="F197" s="51"/>
      <c r="G197" s="51"/>
      <c r="H197" s="51"/>
      <c r="I197" s="51"/>
      <c r="J197" s="82"/>
      <c r="K197" s="51"/>
      <c r="L197" s="51"/>
      <c r="M197" s="82">
        <v>13</v>
      </c>
      <c r="N197" s="51">
        <v>5153833.2</v>
      </c>
      <c r="O197" s="82"/>
      <c r="P197" s="51"/>
      <c r="Q197" s="338"/>
      <c r="R197" s="51"/>
      <c r="S197" s="51"/>
      <c r="T197" s="35"/>
      <c r="U197" s="51"/>
      <c r="V197" s="51"/>
      <c r="W197" s="364"/>
      <c r="X197" s="141"/>
      <c r="Y197" s="58"/>
      <c r="Z197" s="58"/>
      <c r="AA197" s="58"/>
      <c r="AB197" s="58"/>
      <c r="AC197" s="58"/>
      <c r="AD197" s="58"/>
      <c r="AE197" s="58"/>
      <c r="AF197" s="58"/>
      <c r="AG197" s="58"/>
    </row>
    <row r="198" spans="1:33" ht="31.2" x14ac:dyDescent="0.3">
      <c r="A198" s="59">
        <f>A197+1</f>
        <v>132</v>
      </c>
      <c r="B198" s="66" t="s">
        <v>690</v>
      </c>
      <c r="C198" s="51">
        <f>D198+K198+L198+N198+R198+S198+U198+V198+W198</f>
        <v>6678416.4000000004</v>
      </c>
      <c r="D198" s="51">
        <f>E198+F198+G198+H198+I198</f>
        <v>0</v>
      </c>
      <c r="E198" s="51"/>
      <c r="F198" s="51"/>
      <c r="G198" s="51"/>
      <c r="H198" s="51"/>
      <c r="I198" s="51"/>
      <c r="J198" s="82"/>
      <c r="K198" s="51"/>
      <c r="L198" s="51"/>
      <c r="M198" s="82">
        <v>13</v>
      </c>
      <c r="N198" s="51">
        <v>6678416.4000000004</v>
      </c>
      <c r="O198" s="82"/>
      <c r="P198" s="51"/>
      <c r="Q198" s="338"/>
      <c r="R198" s="51"/>
      <c r="S198" s="51"/>
      <c r="T198" s="35"/>
      <c r="U198" s="51"/>
      <c r="V198" s="51"/>
      <c r="W198" s="364"/>
      <c r="X198" s="141"/>
      <c r="Y198" s="58"/>
      <c r="Z198" s="58"/>
      <c r="AA198" s="58"/>
      <c r="AB198" s="58"/>
      <c r="AC198" s="58"/>
      <c r="AD198" s="58"/>
      <c r="AE198" s="58"/>
      <c r="AF198" s="58"/>
      <c r="AG198" s="58"/>
    </row>
    <row r="199" spans="1:33" ht="31.2" x14ac:dyDescent="0.3">
      <c r="A199" s="59">
        <f>A198+1</f>
        <v>133</v>
      </c>
      <c r="B199" s="66" t="s">
        <v>691</v>
      </c>
      <c r="C199" s="51">
        <f>D199+K199+L199+N199+R199+S199+U199+V199+W199</f>
        <v>5438210.4000000004</v>
      </c>
      <c r="D199" s="51">
        <f>E199+F199+G199+H199+I199</f>
        <v>0</v>
      </c>
      <c r="E199" s="51"/>
      <c r="F199" s="51"/>
      <c r="G199" s="51"/>
      <c r="H199" s="51"/>
      <c r="I199" s="51"/>
      <c r="J199" s="82"/>
      <c r="K199" s="51"/>
      <c r="L199" s="51"/>
      <c r="M199" s="82">
        <v>13</v>
      </c>
      <c r="N199" s="51">
        <v>5438210.4000000004</v>
      </c>
      <c r="O199" s="82"/>
      <c r="P199" s="51"/>
      <c r="Q199" s="338"/>
      <c r="R199" s="51"/>
      <c r="S199" s="51"/>
      <c r="T199" s="35"/>
      <c r="U199" s="51"/>
      <c r="V199" s="51"/>
      <c r="W199" s="364"/>
      <c r="X199" s="141"/>
      <c r="Y199" s="58"/>
      <c r="Z199" s="58"/>
      <c r="AA199" s="58"/>
      <c r="AB199" s="58"/>
      <c r="AC199" s="58"/>
      <c r="AD199" s="58"/>
      <c r="AE199" s="58"/>
      <c r="AF199" s="58"/>
      <c r="AG199" s="58"/>
    </row>
    <row r="200" spans="1:33" x14ac:dyDescent="0.3">
      <c r="A200" s="59"/>
      <c r="B200" s="66" t="s">
        <v>211</v>
      </c>
      <c r="C200" s="51">
        <f t="shared" ref="C200:W200" si="38">SUM(C196:C199)</f>
        <v>22576490.399999999</v>
      </c>
      <c r="D200" s="51">
        <f t="shared" si="38"/>
        <v>0</v>
      </c>
      <c r="E200" s="51">
        <f t="shared" si="38"/>
        <v>0</v>
      </c>
      <c r="F200" s="51">
        <f t="shared" si="38"/>
        <v>0</v>
      </c>
      <c r="G200" s="51">
        <f t="shared" si="38"/>
        <v>0</v>
      </c>
      <c r="H200" s="51">
        <f t="shared" si="38"/>
        <v>0</v>
      </c>
      <c r="I200" s="51">
        <f t="shared" si="38"/>
        <v>0</v>
      </c>
      <c r="J200" s="82">
        <f t="shared" si="38"/>
        <v>0</v>
      </c>
      <c r="K200" s="51">
        <f t="shared" si="38"/>
        <v>0</v>
      </c>
      <c r="L200" s="51">
        <f t="shared" si="38"/>
        <v>0</v>
      </c>
      <c r="M200" s="82">
        <f t="shared" si="38"/>
        <v>52</v>
      </c>
      <c r="N200" s="51">
        <f t="shared" si="38"/>
        <v>22576490.399999999</v>
      </c>
      <c r="O200" s="82">
        <f t="shared" si="38"/>
        <v>0</v>
      </c>
      <c r="P200" s="51">
        <f t="shared" si="38"/>
        <v>0</v>
      </c>
      <c r="Q200" s="338">
        <f t="shared" si="38"/>
        <v>0</v>
      </c>
      <c r="R200" s="51">
        <f t="shared" si="38"/>
        <v>0</v>
      </c>
      <c r="S200" s="51">
        <f t="shared" si="38"/>
        <v>0</v>
      </c>
      <c r="T200" s="35">
        <f t="shared" si="38"/>
        <v>0</v>
      </c>
      <c r="U200" s="51">
        <f t="shared" si="38"/>
        <v>0</v>
      </c>
      <c r="V200" s="51">
        <f t="shared" si="38"/>
        <v>0</v>
      </c>
      <c r="W200" s="51">
        <f t="shared" si="38"/>
        <v>0</v>
      </c>
      <c r="X200" s="141"/>
      <c r="Y200" s="65"/>
      <c r="Z200" s="65"/>
      <c r="AA200" s="65"/>
      <c r="AB200" s="65"/>
      <c r="AC200" s="58"/>
      <c r="AD200" s="58"/>
      <c r="AE200" s="58"/>
      <c r="AF200" s="58"/>
      <c r="AG200" s="58"/>
    </row>
    <row r="201" spans="1:33" ht="31.2" x14ac:dyDescent="0.3">
      <c r="A201" s="59"/>
      <c r="B201" s="66" t="s">
        <v>696</v>
      </c>
      <c r="C201" s="51"/>
      <c r="D201" s="51"/>
      <c r="E201" s="51"/>
      <c r="F201" s="51"/>
      <c r="G201" s="51"/>
      <c r="H201" s="51"/>
      <c r="I201" s="51"/>
      <c r="J201" s="82"/>
      <c r="K201" s="51"/>
      <c r="L201" s="51"/>
      <c r="M201" s="82"/>
      <c r="N201" s="51"/>
      <c r="O201" s="82"/>
      <c r="P201" s="51"/>
      <c r="Q201" s="338"/>
      <c r="R201" s="51"/>
      <c r="S201" s="51"/>
      <c r="T201" s="35"/>
      <c r="U201" s="51"/>
      <c r="V201" s="51"/>
      <c r="W201" s="364"/>
      <c r="X201" s="144"/>
      <c r="Y201" s="65"/>
      <c r="Z201" s="65"/>
      <c r="AA201" s="65"/>
      <c r="AB201" s="65"/>
      <c r="AC201" s="65"/>
      <c r="AD201" s="65"/>
      <c r="AE201" s="65"/>
      <c r="AF201" s="58"/>
      <c r="AG201" s="58"/>
    </row>
    <row r="202" spans="1:33" x14ac:dyDescent="0.3">
      <c r="A202" s="59">
        <f>A199+1</f>
        <v>134</v>
      </c>
      <c r="B202" s="66" t="s">
        <v>697</v>
      </c>
      <c r="C202" s="51">
        <f>D202+K202+L202+N202+R202+S202+U202+V202+W202</f>
        <v>1289407.2</v>
      </c>
      <c r="D202" s="51">
        <f>E202+F202+G202+H202+I202</f>
        <v>1248157.2</v>
      </c>
      <c r="E202" s="51">
        <v>1248157.2</v>
      </c>
      <c r="F202" s="51"/>
      <c r="G202" s="51"/>
      <c r="H202" s="51"/>
      <c r="I202" s="51"/>
      <c r="J202" s="82"/>
      <c r="K202" s="51"/>
      <c r="L202" s="51"/>
      <c r="M202" s="82"/>
      <c r="N202" s="51"/>
      <c r="O202" s="82"/>
      <c r="P202" s="51"/>
      <c r="Q202" s="338"/>
      <c r="R202" s="51"/>
      <c r="S202" s="51"/>
      <c r="T202" s="35"/>
      <c r="U202" s="51"/>
      <c r="V202" s="51">
        <v>41250</v>
      </c>
      <c r="W202" s="364"/>
      <c r="X202" s="141"/>
      <c r="Y202" s="58"/>
      <c r="Z202" s="58"/>
      <c r="AA202" s="58"/>
      <c r="AB202" s="58"/>
      <c r="AC202" s="58"/>
      <c r="AD202" s="58"/>
      <c r="AE202" s="58"/>
      <c r="AF202" s="58"/>
      <c r="AG202" s="58"/>
    </row>
    <row r="203" spans="1:33" x14ac:dyDescent="0.3">
      <c r="A203" s="59">
        <f>A202+1</f>
        <v>135</v>
      </c>
      <c r="B203" s="66" t="s">
        <v>698</v>
      </c>
      <c r="C203" s="51">
        <f>D203+K203+L203+N203+R203+S203+U203+V203+W203</f>
        <v>1289407.2</v>
      </c>
      <c r="D203" s="51">
        <f>E203+F203+G203+H203+I203</f>
        <v>1248157.2</v>
      </c>
      <c r="E203" s="51">
        <v>1248157.2</v>
      </c>
      <c r="F203" s="51"/>
      <c r="G203" s="51"/>
      <c r="H203" s="51"/>
      <c r="I203" s="51"/>
      <c r="J203" s="82"/>
      <c r="K203" s="51"/>
      <c r="L203" s="51"/>
      <c r="M203" s="82"/>
      <c r="N203" s="51"/>
      <c r="O203" s="82"/>
      <c r="P203" s="51"/>
      <c r="Q203" s="338"/>
      <c r="R203" s="51"/>
      <c r="S203" s="51"/>
      <c r="T203" s="35"/>
      <c r="U203" s="51"/>
      <c r="V203" s="51">
        <v>41250</v>
      </c>
      <c r="W203" s="364"/>
      <c r="X203" s="141"/>
      <c r="Y203" s="58"/>
      <c r="Z203" s="58"/>
      <c r="AA203" s="58"/>
      <c r="AB203" s="58"/>
      <c r="AC203" s="58"/>
      <c r="AD203" s="58"/>
      <c r="AE203" s="58"/>
      <c r="AF203" s="58"/>
      <c r="AG203" s="58"/>
    </row>
    <row r="204" spans="1:33" x14ac:dyDescent="0.3">
      <c r="A204" s="59">
        <f>A203+1</f>
        <v>136</v>
      </c>
      <c r="B204" s="66" t="s">
        <v>699</v>
      </c>
      <c r="C204" s="51">
        <f>D204+K204+L204+N204+R204+S204+U204+V204+W204</f>
        <v>403249.63</v>
      </c>
      <c r="D204" s="51">
        <f>E204+F204+G204+H204+I204</f>
        <v>0</v>
      </c>
      <c r="E204" s="51"/>
      <c r="F204" s="51"/>
      <c r="G204" s="51"/>
      <c r="H204" s="51"/>
      <c r="I204" s="51"/>
      <c r="J204" s="82"/>
      <c r="K204" s="51"/>
      <c r="L204" s="51"/>
      <c r="M204" s="82"/>
      <c r="N204" s="51"/>
      <c r="O204" s="82"/>
      <c r="P204" s="51"/>
      <c r="Q204" s="338"/>
      <c r="R204" s="51"/>
      <c r="S204" s="51"/>
      <c r="T204" s="35"/>
      <c r="U204" s="51"/>
      <c r="V204" s="51">
        <f>289279.97+113969.66</f>
        <v>403249.63</v>
      </c>
      <c r="W204" s="364"/>
      <c r="X204" s="141"/>
      <c r="Y204" s="58"/>
      <c r="Z204" s="58"/>
      <c r="AA204" s="58"/>
      <c r="AB204" s="58"/>
      <c r="AC204" s="58"/>
      <c r="AD204" s="58"/>
      <c r="AE204" s="58"/>
      <c r="AF204" s="58"/>
      <c r="AG204" s="58"/>
    </row>
    <row r="205" spans="1:33" x14ac:dyDescent="0.3">
      <c r="A205" s="59">
        <f>A204+1</f>
        <v>137</v>
      </c>
      <c r="B205" s="66" t="s">
        <v>700</v>
      </c>
      <c r="C205" s="51">
        <f>D205+K205+L205+N205+R205+S205+U205+V205+W205</f>
        <v>1289407.2</v>
      </c>
      <c r="D205" s="51">
        <f>E205+F205+G205+H205+I205</f>
        <v>1248157.2</v>
      </c>
      <c r="E205" s="51">
        <v>1248157.2</v>
      </c>
      <c r="F205" s="51"/>
      <c r="G205" s="51"/>
      <c r="H205" s="51"/>
      <c r="I205" s="51"/>
      <c r="J205" s="82"/>
      <c r="K205" s="51"/>
      <c r="L205" s="51"/>
      <c r="M205" s="82"/>
      <c r="N205" s="51"/>
      <c r="O205" s="82"/>
      <c r="P205" s="51"/>
      <c r="Q205" s="338"/>
      <c r="R205" s="51"/>
      <c r="S205" s="51"/>
      <c r="T205" s="35"/>
      <c r="U205" s="51"/>
      <c r="V205" s="51">
        <v>41250</v>
      </c>
      <c r="W205" s="364"/>
      <c r="X205" s="141"/>
      <c r="Y205" s="58"/>
      <c r="Z205" s="58"/>
      <c r="AA205" s="58"/>
      <c r="AB205" s="58"/>
      <c r="AC205" s="58"/>
      <c r="AD205" s="58"/>
      <c r="AE205" s="58"/>
      <c r="AF205" s="58"/>
      <c r="AG205" s="58"/>
    </row>
    <row r="206" spans="1:33" x14ac:dyDescent="0.3">
      <c r="A206" s="59"/>
      <c r="B206" s="66" t="s">
        <v>211</v>
      </c>
      <c r="C206" s="51">
        <f t="shared" ref="C206:W206" si="39">SUM(C202:C205)</f>
        <v>4271471.2299999995</v>
      </c>
      <c r="D206" s="51">
        <f t="shared" si="39"/>
        <v>3744471.5999999996</v>
      </c>
      <c r="E206" s="51">
        <f t="shared" si="39"/>
        <v>3744471.5999999996</v>
      </c>
      <c r="F206" s="51">
        <f t="shared" si="39"/>
        <v>0</v>
      </c>
      <c r="G206" s="51">
        <f t="shared" si="39"/>
        <v>0</v>
      </c>
      <c r="H206" s="51">
        <f t="shared" si="39"/>
        <v>0</v>
      </c>
      <c r="I206" s="51">
        <f t="shared" si="39"/>
        <v>0</v>
      </c>
      <c r="J206" s="82">
        <f t="shared" si="39"/>
        <v>0</v>
      </c>
      <c r="K206" s="51">
        <f t="shared" si="39"/>
        <v>0</v>
      </c>
      <c r="L206" s="51">
        <f t="shared" si="39"/>
        <v>0</v>
      </c>
      <c r="M206" s="82">
        <f t="shared" si="39"/>
        <v>0</v>
      </c>
      <c r="N206" s="51">
        <f t="shared" si="39"/>
        <v>0</v>
      </c>
      <c r="O206" s="82">
        <f t="shared" si="39"/>
        <v>0</v>
      </c>
      <c r="P206" s="51">
        <f t="shared" si="39"/>
        <v>0</v>
      </c>
      <c r="Q206" s="338">
        <f t="shared" si="39"/>
        <v>0</v>
      </c>
      <c r="R206" s="51">
        <f t="shared" si="39"/>
        <v>0</v>
      </c>
      <c r="S206" s="51">
        <f t="shared" si="39"/>
        <v>0</v>
      </c>
      <c r="T206" s="35">
        <f t="shared" si="39"/>
        <v>0</v>
      </c>
      <c r="U206" s="51">
        <f t="shared" si="39"/>
        <v>0</v>
      </c>
      <c r="V206" s="51">
        <f t="shared" si="39"/>
        <v>526999.63</v>
      </c>
      <c r="W206" s="51">
        <f t="shared" si="39"/>
        <v>0</v>
      </c>
      <c r="X206" s="144"/>
      <c r="Y206" s="65"/>
      <c r="Z206" s="65"/>
      <c r="AA206" s="65"/>
      <c r="AB206" s="65"/>
      <c r="AC206" s="65"/>
      <c r="AD206" s="65"/>
      <c r="AE206" s="65"/>
      <c r="AF206" s="58"/>
      <c r="AG206" s="58"/>
    </row>
    <row r="207" spans="1:33" ht="31.2" x14ac:dyDescent="0.3">
      <c r="A207" s="59"/>
      <c r="B207" s="66" t="s">
        <v>704</v>
      </c>
      <c r="C207" s="51"/>
      <c r="D207" s="51"/>
      <c r="E207" s="51"/>
      <c r="F207" s="51"/>
      <c r="G207" s="51"/>
      <c r="H207" s="51"/>
      <c r="I207" s="51"/>
      <c r="J207" s="82"/>
      <c r="K207" s="51"/>
      <c r="L207" s="51"/>
      <c r="M207" s="82"/>
      <c r="N207" s="51"/>
      <c r="O207" s="82"/>
      <c r="P207" s="51"/>
      <c r="Q207" s="338"/>
      <c r="R207" s="51"/>
      <c r="S207" s="51"/>
      <c r="T207" s="35"/>
      <c r="U207" s="51"/>
      <c r="V207" s="51"/>
      <c r="W207" s="364"/>
      <c r="X207" s="144"/>
      <c r="Y207" s="65"/>
      <c r="Z207" s="65"/>
      <c r="AA207" s="65"/>
      <c r="AB207" s="65"/>
      <c r="AC207" s="65"/>
      <c r="AD207" s="65"/>
      <c r="AE207" s="65"/>
      <c r="AF207" s="58"/>
      <c r="AG207" s="58"/>
    </row>
    <row r="208" spans="1:33" x14ac:dyDescent="0.3">
      <c r="A208" s="59">
        <f>A205+1</f>
        <v>138</v>
      </c>
      <c r="B208" s="66" t="s">
        <v>731</v>
      </c>
      <c r="C208" s="51">
        <f>D208+N208+P208+R208+S208+U208+V208+W208</f>
        <v>6839294.4000000004</v>
      </c>
      <c r="D208" s="51">
        <f>E208+F208+G208+H208+I208</f>
        <v>0</v>
      </c>
      <c r="E208" s="51"/>
      <c r="F208" s="51"/>
      <c r="G208" s="51"/>
      <c r="H208" s="51"/>
      <c r="I208" s="51"/>
      <c r="J208" s="82"/>
      <c r="K208" s="51"/>
      <c r="L208" s="51"/>
      <c r="M208" s="82">
        <f>1261.63</f>
        <v>1261.6300000000001</v>
      </c>
      <c r="N208" s="51">
        <v>6839294.4000000004</v>
      </c>
      <c r="O208" s="82"/>
      <c r="P208" s="51"/>
      <c r="Q208" s="338"/>
      <c r="R208" s="51"/>
      <c r="S208" s="51"/>
      <c r="T208" s="35"/>
      <c r="U208" s="51"/>
      <c r="V208" s="51"/>
      <c r="W208" s="364"/>
      <c r="X208" s="144">
        <v>230779.33</v>
      </c>
      <c r="Y208" s="63">
        <v>292285.78000000003</v>
      </c>
      <c r="Z208" s="478">
        <v>249543.6</v>
      </c>
      <c r="AA208" s="478"/>
      <c r="AB208" s="63">
        <v>227447.3</v>
      </c>
      <c r="AC208" s="63">
        <v>423619.5</v>
      </c>
      <c r="AD208" s="63">
        <v>179555.83</v>
      </c>
      <c r="AE208" s="63">
        <v>1326663.19</v>
      </c>
      <c r="AF208" s="63">
        <v>438357.67</v>
      </c>
      <c r="AG208" s="58"/>
    </row>
    <row r="209" spans="1:33" x14ac:dyDescent="0.3">
      <c r="A209" s="59">
        <f>A208+1</f>
        <v>139</v>
      </c>
      <c r="B209" s="66" t="s">
        <v>756</v>
      </c>
      <c r="C209" s="51">
        <f>D209+N209+P209+R209+S209+U209+V209+W209</f>
        <v>4862288.53</v>
      </c>
      <c r="D209" s="51">
        <f>E209+F209+G209+H209+I209</f>
        <v>0</v>
      </c>
      <c r="E209" s="51"/>
      <c r="F209" s="51"/>
      <c r="G209" s="51"/>
      <c r="H209" s="51"/>
      <c r="I209" s="51"/>
      <c r="J209" s="82"/>
      <c r="K209" s="51"/>
      <c r="L209" s="51"/>
      <c r="M209" s="82">
        <f>894.33</f>
        <v>894.33</v>
      </c>
      <c r="N209" s="51">
        <v>4862288.53</v>
      </c>
      <c r="O209" s="82"/>
      <c r="P209" s="51"/>
      <c r="Q209" s="338"/>
      <c r="R209" s="51"/>
      <c r="S209" s="51"/>
      <c r="T209" s="35"/>
      <c r="U209" s="51"/>
      <c r="V209" s="51"/>
      <c r="W209" s="364"/>
      <c r="X209" s="144">
        <v>190445.05</v>
      </c>
      <c r="Y209" s="63">
        <v>246010.45</v>
      </c>
      <c r="Z209" s="478">
        <v>203476.49</v>
      </c>
      <c r="AA209" s="478"/>
      <c r="AB209" s="63">
        <v>185491.13</v>
      </c>
      <c r="AC209" s="63">
        <v>356817.91999999998</v>
      </c>
      <c r="AD209" s="63">
        <v>193673.9</v>
      </c>
      <c r="AE209" s="63">
        <v>1140356.8700000001</v>
      </c>
      <c r="AF209" s="63">
        <v>369831.56</v>
      </c>
      <c r="AG209" s="58"/>
    </row>
    <row r="210" spans="1:33" x14ac:dyDescent="0.3">
      <c r="A210" s="59"/>
      <c r="B210" s="66" t="s">
        <v>211</v>
      </c>
      <c r="C210" s="51">
        <f t="shared" ref="C210:W210" si="40">SUM(C208:C209)</f>
        <v>11701582.93</v>
      </c>
      <c r="D210" s="51">
        <f t="shared" si="40"/>
        <v>0</v>
      </c>
      <c r="E210" s="51">
        <f t="shared" si="40"/>
        <v>0</v>
      </c>
      <c r="F210" s="51">
        <f t="shared" si="40"/>
        <v>0</v>
      </c>
      <c r="G210" s="51">
        <f t="shared" si="40"/>
        <v>0</v>
      </c>
      <c r="H210" s="51">
        <f t="shared" si="40"/>
        <v>0</v>
      </c>
      <c r="I210" s="51">
        <f t="shared" si="40"/>
        <v>0</v>
      </c>
      <c r="J210" s="82">
        <f t="shared" si="40"/>
        <v>0</v>
      </c>
      <c r="K210" s="51">
        <f t="shared" si="40"/>
        <v>0</v>
      </c>
      <c r="L210" s="51">
        <f t="shared" si="40"/>
        <v>0</v>
      </c>
      <c r="M210" s="82">
        <f t="shared" si="40"/>
        <v>2155.96</v>
      </c>
      <c r="N210" s="51">
        <f t="shared" si="40"/>
        <v>11701582.93</v>
      </c>
      <c r="O210" s="82">
        <f t="shared" si="40"/>
        <v>0</v>
      </c>
      <c r="P210" s="51">
        <f t="shared" si="40"/>
        <v>0</v>
      </c>
      <c r="Q210" s="338">
        <f t="shared" si="40"/>
        <v>0</v>
      </c>
      <c r="R210" s="51">
        <f t="shared" si="40"/>
        <v>0</v>
      </c>
      <c r="S210" s="51">
        <f t="shared" si="40"/>
        <v>0</v>
      </c>
      <c r="T210" s="35">
        <f t="shared" si="40"/>
        <v>0</v>
      </c>
      <c r="U210" s="51">
        <f t="shared" si="40"/>
        <v>0</v>
      </c>
      <c r="V210" s="51">
        <f t="shared" si="40"/>
        <v>0</v>
      </c>
      <c r="W210" s="51">
        <f t="shared" si="40"/>
        <v>0</v>
      </c>
      <c r="X210" s="144"/>
      <c r="Y210" s="63"/>
      <c r="Z210" s="172"/>
      <c r="AA210" s="172"/>
      <c r="AB210" s="63"/>
      <c r="AC210" s="63"/>
      <c r="AD210" s="63"/>
      <c r="AE210" s="63"/>
      <c r="AF210" s="63"/>
      <c r="AG210" s="58"/>
    </row>
    <row r="211" spans="1:33" ht="31.2" x14ac:dyDescent="0.3">
      <c r="A211" s="59"/>
      <c r="B211" s="66" t="s">
        <v>768</v>
      </c>
      <c r="C211" s="51"/>
      <c r="D211" s="51"/>
      <c r="E211" s="51"/>
      <c r="F211" s="51"/>
      <c r="G211" s="51"/>
      <c r="H211" s="51"/>
      <c r="I211" s="51"/>
      <c r="J211" s="82"/>
      <c r="K211" s="51"/>
      <c r="L211" s="51"/>
      <c r="M211" s="82"/>
      <c r="N211" s="51"/>
      <c r="O211" s="82"/>
      <c r="P211" s="51"/>
      <c r="Q211" s="338"/>
      <c r="R211" s="51"/>
      <c r="S211" s="51"/>
      <c r="T211" s="35"/>
      <c r="U211" s="51"/>
      <c r="V211" s="51"/>
      <c r="W211" s="364"/>
      <c r="X211" s="144"/>
      <c r="Y211" s="63"/>
      <c r="Z211" s="172"/>
      <c r="AA211" s="172"/>
      <c r="AB211" s="63"/>
      <c r="AC211" s="63"/>
      <c r="AD211" s="63"/>
      <c r="AE211" s="63"/>
      <c r="AF211" s="63"/>
      <c r="AG211" s="58"/>
    </row>
    <row r="212" spans="1:33" x14ac:dyDescent="0.3">
      <c r="A212" s="59">
        <f>A209+1</f>
        <v>140</v>
      </c>
      <c r="B212" s="66" t="s">
        <v>769</v>
      </c>
      <c r="C212" s="51">
        <f>D212+K212+L212+N212+R212+S212+U212+V212+W212</f>
        <v>9121190.209999999</v>
      </c>
      <c r="D212" s="51">
        <f>E212+F212+G212+H212+I212</f>
        <v>9121190.209999999</v>
      </c>
      <c r="E212" s="51"/>
      <c r="F212" s="51">
        <v>5993901.7199999997</v>
      </c>
      <c r="G212" s="51">
        <v>904939.14</v>
      </c>
      <c r="H212" s="51">
        <v>2222349.35</v>
      </c>
      <c r="I212" s="51"/>
      <c r="J212" s="82"/>
      <c r="K212" s="51"/>
      <c r="L212" s="51"/>
      <c r="M212" s="82"/>
      <c r="N212" s="51"/>
      <c r="O212" s="82"/>
      <c r="P212" s="51"/>
      <c r="Q212" s="338"/>
      <c r="R212" s="51"/>
      <c r="S212" s="51"/>
      <c r="T212" s="35"/>
      <c r="U212" s="51"/>
      <c r="V212" s="51"/>
      <c r="W212" s="364"/>
      <c r="X212" s="141"/>
      <c r="Y212" s="62"/>
      <c r="Z212" s="62"/>
      <c r="AA212" s="62"/>
      <c r="AB212" s="62"/>
      <c r="AC212" s="62"/>
      <c r="AD212" s="62"/>
      <c r="AE212" s="62"/>
      <c r="AF212" s="62"/>
      <c r="AG212" s="58"/>
    </row>
    <row r="213" spans="1:33" x14ac:dyDescent="0.3">
      <c r="A213" s="59">
        <f>A212+1</f>
        <v>141</v>
      </c>
      <c r="B213" s="66" t="s">
        <v>770</v>
      </c>
      <c r="C213" s="51">
        <f>D213+K213+L213+N213+R213+S213+U213+V213+W213</f>
        <v>16584572.939999999</v>
      </c>
      <c r="D213" s="51">
        <f>E213+F213+G213+H213+I213</f>
        <v>16584572.939999999</v>
      </c>
      <c r="E213" s="51"/>
      <c r="F213" s="51">
        <v>10997864.17</v>
      </c>
      <c r="G213" s="51">
        <v>1282418.8600000001</v>
      </c>
      <c r="H213" s="51">
        <v>4304289.91</v>
      </c>
      <c r="I213" s="51"/>
      <c r="J213" s="82"/>
      <c r="K213" s="51"/>
      <c r="L213" s="51"/>
      <c r="M213" s="82"/>
      <c r="N213" s="51"/>
      <c r="O213" s="82"/>
      <c r="P213" s="51"/>
      <c r="Q213" s="338"/>
      <c r="R213" s="51"/>
      <c r="S213" s="51"/>
      <c r="T213" s="35"/>
      <c r="U213" s="51"/>
      <c r="V213" s="51"/>
      <c r="W213" s="364"/>
      <c r="X213" s="141"/>
      <c r="Y213" s="62"/>
      <c r="Z213" s="62"/>
      <c r="AA213" s="62"/>
      <c r="AB213" s="62"/>
      <c r="AC213" s="62"/>
      <c r="AD213" s="62"/>
      <c r="AE213" s="62"/>
      <c r="AF213" s="62"/>
      <c r="AG213" s="58"/>
    </row>
    <row r="214" spans="1:33" x14ac:dyDescent="0.3">
      <c r="A214" s="59"/>
      <c r="B214" s="66" t="s">
        <v>211</v>
      </c>
      <c r="C214" s="51">
        <f t="shared" ref="C214:W214" si="41">SUM(C212:C213)</f>
        <v>25705763.149999999</v>
      </c>
      <c r="D214" s="51">
        <f t="shared" si="41"/>
        <v>25705763.149999999</v>
      </c>
      <c r="E214" s="51">
        <f t="shared" si="41"/>
        <v>0</v>
      </c>
      <c r="F214" s="51">
        <f t="shared" si="41"/>
        <v>16991765.890000001</v>
      </c>
      <c r="G214" s="51">
        <f t="shared" si="41"/>
        <v>2187358</v>
      </c>
      <c r="H214" s="51">
        <f t="shared" si="41"/>
        <v>6526639.2599999998</v>
      </c>
      <c r="I214" s="51">
        <f t="shared" si="41"/>
        <v>0</v>
      </c>
      <c r="J214" s="82">
        <f t="shared" si="41"/>
        <v>0</v>
      </c>
      <c r="K214" s="51">
        <f t="shared" si="41"/>
        <v>0</v>
      </c>
      <c r="L214" s="51">
        <f t="shared" si="41"/>
        <v>0</v>
      </c>
      <c r="M214" s="82">
        <f t="shared" si="41"/>
        <v>0</v>
      </c>
      <c r="N214" s="51">
        <f t="shared" si="41"/>
        <v>0</v>
      </c>
      <c r="O214" s="82">
        <f t="shared" si="41"/>
        <v>0</v>
      </c>
      <c r="P214" s="51">
        <f t="shared" si="41"/>
        <v>0</v>
      </c>
      <c r="Q214" s="338">
        <f t="shared" si="41"/>
        <v>0</v>
      </c>
      <c r="R214" s="51">
        <f t="shared" si="41"/>
        <v>0</v>
      </c>
      <c r="S214" s="51">
        <f t="shared" si="41"/>
        <v>0</v>
      </c>
      <c r="T214" s="35">
        <f t="shared" si="41"/>
        <v>0</v>
      </c>
      <c r="U214" s="51">
        <f t="shared" si="41"/>
        <v>0</v>
      </c>
      <c r="V214" s="51">
        <f t="shared" si="41"/>
        <v>0</v>
      </c>
      <c r="W214" s="51">
        <f t="shared" si="41"/>
        <v>0</v>
      </c>
      <c r="X214" s="141"/>
      <c r="Y214" s="62"/>
      <c r="Z214" s="62"/>
      <c r="AA214" s="62"/>
      <c r="AB214" s="62"/>
      <c r="AC214" s="62"/>
      <c r="AD214" s="62"/>
      <c r="AE214" s="63"/>
      <c r="AF214" s="62"/>
      <c r="AG214" s="58"/>
    </row>
    <row r="215" spans="1:33" ht="31.2" x14ac:dyDescent="0.3">
      <c r="A215" s="59"/>
      <c r="B215" s="66" t="s">
        <v>778</v>
      </c>
      <c r="C215" s="51"/>
      <c r="D215" s="51"/>
      <c r="E215" s="51"/>
      <c r="F215" s="51"/>
      <c r="G215" s="51"/>
      <c r="H215" s="51"/>
      <c r="I215" s="51"/>
      <c r="J215" s="82"/>
      <c r="K215" s="51"/>
      <c r="L215" s="51"/>
      <c r="M215" s="82"/>
      <c r="N215" s="51"/>
      <c r="O215" s="82"/>
      <c r="P215" s="51"/>
      <c r="Q215" s="338"/>
      <c r="R215" s="51"/>
      <c r="S215" s="51"/>
      <c r="T215" s="35"/>
      <c r="U215" s="51"/>
      <c r="V215" s="51"/>
      <c r="W215" s="364"/>
      <c r="X215" s="141"/>
      <c r="Y215" s="58"/>
      <c r="Z215" s="58"/>
      <c r="AA215" s="58"/>
      <c r="AB215" s="58"/>
      <c r="AC215" s="58"/>
      <c r="AD215" s="58"/>
      <c r="AE215" s="58"/>
      <c r="AF215" s="58"/>
      <c r="AG215" s="58"/>
    </row>
    <row r="216" spans="1:33" x14ac:dyDescent="0.3">
      <c r="A216" s="59">
        <f>A213+1</f>
        <v>142</v>
      </c>
      <c r="B216" s="66" t="s">
        <v>779</v>
      </c>
      <c r="C216" s="51">
        <f>D216+K216+L216+N216+R216+S216+U216+V216+W216</f>
        <v>1375294.06</v>
      </c>
      <c r="D216" s="51">
        <f>E216+F216+G216+H216+I216</f>
        <v>1375294.06</v>
      </c>
      <c r="E216" s="51"/>
      <c r="F216" s="51">
        <v>1295560.54</v>
      </c>
      <c r="G216" s="51">
        <v>79733.52</v>
      </c>
      <c r="H216" s="51"/>
      <c r="I216" s="51"/>
      <c r="J216" s="82"/>
      <c r="K216" s="51"/>
      <c r="L216" s="51"/>
      <c r="M216" s="82"/>
      <c r="N216" s="51"/>
      <c r="O216" s="82"/>
      <c r="P216" s="51"/>
      <c r="Q216" s="338"/>
      <c r="R216" s="51"/>
      <c r="S216" s="51"/>
      <c r="T216" s="35"/>
      <c r="U216" s="51"/>
      <c r="V216" s="51"/>
      <c r="W216" s="364"/>
      <c r="X216" s="141"/>
      <c r="Y216" s="62"/>
      <c r="Z216" s="62"/>
      <c r="AA216" s="62"/>
      <c r="AB216" s="62"/>
      <c r="AC216" s="62"/>
      <c r="AD216" s="63">
        <v>188905.06</v>
      </c>
      <c r="AE216" s="62"/>
      <c r="AF216" s="62"/>
      <c r="AG216" s="62"/>
    </row>
    <row r="217" spans="1:33" x14ac:dyDescent="0.3">
      <c r="A217" s="59">
        <f>A216+1</f>
        <v>143</v>
      </c>
      <c r="B217" s="66" t="s">
        <v>783</v>
      </c>
      <c r="C217" s="51">
        <f>D217+K217+L217+N217+R217+S217+U217+V217+W217</f>
        <v>729717</v>
      </c>
      <c r="D217" s="51">
        <f>E217+F217+G217+H217+I217</f>
        <v>729717</v>
      </c>
      <c r="E217" s="51"/>
      <c r="F217" s="51">
        <f>5502*13+607361</f>
        <v>678887</v>
      </c>
      <c r="G217" s="51">
        <f>3910*13</f>
        <v>50830</v>
      </c>
      <c r="H217" s="51"/>
      <c r="I217" s="51"/>
      <c r="J217" s="82"/>
      <c r="K217" s="51"/>
      <c r="L217" s="51"/>
      <c r="M217" s="82"/>
      <c r="N217" s="51"/>
      <c r="O217" s="82"/>
      <c r="P217" s="51"/>
      <c r="Q217" s="338"/>
      <c r="R217" s="51"/>
      <c r="S217" s="51"/>
      <c r="T217" s="35"/>
      <c r="U217" s="51"/>
      <c r="V217" s="51"/>
      <c r="W217" s="364"/>
      <c r="X217" s="141"/>
      <c r="Y217" s="62"/>
      <c r="Z217" s="62"/>
      <c r="AA217" s="62"/>
      <c r="AB217" s="62"/>
      <c r="AC217" s="62"/>
      <c r="AD217" s="63">
        <v>261346.7</v>
      </c>
      <c r="AE217" s="62"/>
      <c r="AF217" s="62"/>
      <c r="AG217" s="62"/>
    </row>
    <row r="218" spans="1:33" x14ac:dyDescent="0.3">
      <c r="A218" s="59">
        <f>A217+1</f>
        <v>144</v>
      </c>
      <c r="B218" s="66" t="s">
        <v>793</v>
      </c>
      <c r="C218" s="51">
        <f>D218+K218+L218+N218+R218+S218+U218+V218+W218</f>
        <v>574306.80000000005</v>
      </c>
      <c r="D218" s="51">
        <f>E218+F218+G218+H218+I218</f>
        <v>574306.80000000005</v>
      </c>
      <c r="E218" s="51">
        <v>574306.80000000005</v>
      </c>
      <c r="F218" s="51"/>
      <c r="G218" s="51"/>
      <c r="H218" s="51"/>
      <c r="I218" s="51"/>
      <c r="J218" s="82"/>
      <c r="K218" s="51"/>
      <c r="L218" s="51"/>
      <c r="M218" s="82"/>
      <c r="N218" s="51"/>
      <c r="O218" s="82"/>
      <c r="P218" s="51"/>
      <c r="Q218" s="338"/>
      <c r="R218" s="51"/>
      <c r="S218" s="51"/>
      <c r="T218" s="35"/>
      <c r="U218" s="51"/>
      <c r="V218" s="51"/>
      <c r="W218" s="364"/>
      <c r="X218" s="141"/>
      <c r="Y218" s="172">
        <v>129926.95</v>
      </c>
      <c r="Z218" s="64">
        <v>109800.07</v>
      </c>
      <c r="AA218" s="62"/>
      <c r="AB218" s="62"/>
      <c r="AC218" s="62"/>
      <c r="AD218" s="62"/>
      <c r="AE218" s="62"/>
      <c r="AF218" s="62"/>
      <c r="AG218" s="62"/>
    </row>
    <row r="219" spans="1:33" x14ac:dyDescent="0.3">
      <c r="A219" s="177"/>
      <c r="B219" s="66" t="s">
        <v>211</v>
      </c>
      <c r="C219" s="51">
        <f t="shared" ref="C219:W219" si="42">SUM(C216:C218)</f>
        <v>2679317.8600000003</v>
      </c>
      <c r="D219" s="51">
        <f t="shared" si="42"/>
        <v>2679317.8600000003</v>
      </c>
      <c r="E219" s="51">
        <f t="shared" si="42"/>
        <v>574306.80000000005</v>
      </c>
      <c r="F219" s="51">
        <f t="shared" si="42"/>
        <v>1974447.54</v>
      </c>
      <c r="G219" s="51">
        <f t="shared" si="42"/>
        <v>130563.52</v>
      </c>
      <c r="H219" s="51">
        <f t="shared" si="42"/>
        <v>0</v>
      </c>
      <c r="I219" s="51">
        <f t="shared" si="42"/>
        <v>0</v>
      </c>
      <c r="J219" s="82">
        <f t="shared" si="42"/>
        <v>0</v>
      </c>
      <c r="K219" s="51">
        <f t="shared" si="42"/>
        <v>0</v>
      </c>
      <c r="L219" s="51">
        <f t="shared" si="42"/>
        <v>0</v>
      </c>
      <c r="M219" s="82">
        <f t="shared" si="42"/>
        <v>0</v>
      </c>
      <c r="N219" s="51">
        <f t="shared" si="42"/>
        <v>0</v>
      </c>
      <c r="O219" s="82">
        <f t="shared" si="42"/>
        <v>0</v>
      </c>
      <c r="P219" s="51">
        <f t="shared" si="42"/>
        <v>0</v>
      </c>
      <c r="Q219" s="338">
        <f t="shared" si="42"/>
        <v>0</v>
      </c>
      <c r="R219" s="51">
        <f t="shared" si="42"/>
        <v>0</v>
      </c>
      <c r="S219" s="51">
        <f t="shared" si="42"/>
        <v>0</v>
      </c>
      <c r="T219" s="35">
        <f t="shared" si="42"/>
        <v>0</v>
      </c>
      <c r="U219" s="51">
        <f t="shared" si="42"/>
        <v>0</v>
      </c>
      <c r="V219" s="51">
        <f t="shared" si="42"/>
        <v>0</v>
      </c>
      <c r="W219" s="51">
        <f t="shared" si="42"/>
        <v>0</v>
      </c>
      <c r="X219" s="9"/>
      <c r="Y219" s="9"/>
      <c r="Z219" s="40"/>
      <c r="AA219" s="56"/>
      <c r="AB219" s="56"/>
      <c r="AC219" s="56"/>
      <c r="AD219" s="56"/>
      <c r="AE219" s="56"/>
      <c r="AF219" s="56"/>
      <c r="AG219" s="56"/>
    </row>
    <row r="220" spans="1:33" ht="15.75" x14ac:dyDescent="0.25">
      <c r="A220" s="177"/>
      <c r="B220" s="131"/>
      <c r="C220" s="51">
        <f>C219+C214+C210+C206+C200+C194+C191</f>
        <v>84955008.769999981</v>
      </c>
      <c r="D220" s="51">
        <f t="shared" ref="D220:W220" si="43">D219+D214+D210+D206+D200+D194+D191</f>
        <v>37527167.009999998</v>
      </c>
      <c r="E220" s="51">
        <f t="shared" si="43"/>
        <v>5633339.9999999991</v>
      </c>
      <c r="F220" s="51">
        <f t="shared" si="43"/>
        <v>23049266.23</v>
      </c>
      <c r="G220" s="51">
        <f t="shared" si="43"/>
        <v>2317921.52</v>
      </c>
      <c r="H220" s="51">
        <f t="shared" si="43"/>
        <v>6526639.2599999998</v>
      </c>
      <c r="I220" s="51">
        <f t="shared" si="43"/>
        <v>0</v>
      </c>
      <c r="J220" s="82">
        <f t="shared" si="43"/>
        <v>0</v>
      </c>
      <c r="K220" s="51">
        <f t="shared" si="43"/>
        <v>0</v>
      </c>
      <c r="L220" s="51">
        <f t="shared" si="43"/>
        <v>0</v>
      </c>
      <c r="M220" s="82">
        <f t="shared" si="43"/>
        <v>5888.24</v>
      </c>
      <c r="N220" s="51">
        <f t="shared" si="43"/>
        <v>46900842.129999995</v>
      </c>
      <c r="O220" s="82">
        <f t="shared" si="43"/>
        <v>0</v>
      </c>
      <c r="P220" s="51">
        <f t="shared" si="43"/>
        <v>0</v>
      </c>
      <c r="Q220" s="338">
        <f t="shared" si="43"/>
        <v>0</v>
      </c>
      <c r="R220" s="51">
        <f t="shared" si="43"/>
        <v>0</v>
      </c>
      <c r="S220" s="51">
        <f t="shared" si="43"/>
        <v>0</v>
      </c>
      <c r="T220" s="35">
        <f t="shared" si="43"/>
        <v>0</v>
      </c>
      <c r="U220" s="51">
        <f t="shared" si="43"/>
        <v>0</v>
      </c>
      <c r="V220" s="51">
        <f t="shared" si="43"/>
        <v>526999.63</v>
      </c>
      <c r="W220" s="51">
        <f t="shared" si="43"/>
        <v>0</v>
      </c>
      <c r="X220" s="9"/>
      <c r="Y220" s="9"/>
      <c r="Z220" s="40"/>
      <c r="AA220" s="56"/>
      <c r="AB220" s="56"/>
      <c r="AC220" s="56"/>
      <c r="AD220" s="56"/>
      <c r="AE220" s="56"/>
      <c r="AF220" s="56"/>
      <c r="AG220" s="56"/>
    </row>
    <row r="221" spans="1:33" x14ac:dyDescent="0.3">
      <c r="A221" s="63" t="s">
        <v>803</v>
      </c>
      <c r="B221" s="176"/>
      <c r="C221" s="363"/>
      <c r="D221" s="363"/>
      <c r="E221" s="363"/>
      <c r="F221" s="363"/>
      <c r="G221" s="363"/>
      <c r="H221" s="363"/>
      <c r="I221" s="363"/>
      <c r="J221" s="391"/>
      <c r="K221" s="363"/>
      <c r="L221" s="363"/>
      <c r="M221" s="391"/>
      <c r="N221" s="363"/>
      <c r="O221" s="391"/>
      <c r="P221" s="363"/>
      <c r="Q221" s="392"/>
      <c r="R221" s="363"/>
      <c r="S221" s="363"/>
      <c r="T221" s="393"/>
      <c r="U221" s="363"/>
      <c r="V221" s="363"/>
      <c r="W221" s="363"/>
      <c r="X221" s="313"/>
      <c r="Y221" s="314"/>
      <c r="Z221" s="314"/>
      <c r="AA221" s="314"/>
      <c r="AB221" s="314"/>
      <c r="AC221" s="172"/>
      <c r="AD221" s="172"/>
      <c r="AE221" s="172"/>
      <c r="AF221" s="315"/>
    </row>
    <row r="222" spans="1:33" ht="31.2" x14ac:dyDescent="0.3">
      <c r="A222" s="172"/>
      <c r="B222" s="131" t="s">
        <v>804</v>
      </c>
      <c r="C222" s="387"/>
      <c r="D222" s="387"/>
      <c r="E222" s="387"/>
      <c r="F222" s="387"/>
      <c r="G222" s="387"/>
      <c r="H222" s="387"/>
      <c r="I222" s="387"/>
      <c r="J222" s="388"/>
      <c r="K222" s="387"/>
      <c r="L222" s="387"/>
      <c r="M222" s="388"/>
      <c r="N222" s="387"/>
      <c r="O222" s="388"/>
      <c r="P222" s="387"/>
      <c r="Q222" s="389"/>
      <c r="R222" s="387"/>
      <c r="S222" s="387"/>
      <c r="T222" s="390"/>
      <c r="U222" s="387"/>
      <c r="V222" s="387"/>
      <c r="W222" s="387"/>
      <c r="X222" s="299"/>
      <c r="Y222" s="299"/>
      <c r="Z222" s="299"/>
      <c r="AA222" s="299"/>
      <c r="AB222" s="299"/>
      <c r="AC222" s="298"/>
      <c r="AD222" s="298"/>
      <c r="AE222" s="298"/>
      <c r="AF222" s="301"/>
    </row>
    <row r="223" spans="1:33" x14ac:dyDescent="0.3">
      <c r="A223" s="59">
        <f>A218+1</f>
        <v>145</v>
      </c>
      <c r="B223" s="66" t="s">
        <v>805</v>
      </c>
      <c r="C223" s="51">
        <f>D223+K223+L223+N223+P223+R223+S223+U223+W223</f>
        <v>3383122.8</v>
      </c>
      <c r="D223" s="51">
        <f>E223+F223+G223+H223+I223</f>
        <v>0</v>
      </c>
      <c r="E223" s="51"/>
      <c r="F223" s="51"/>
      <c r="G223" s="51"/>
      <c r="H223" s="51"/>
      <c r="I223" s="51"/>
      <c r="J223" s="82"/>
      <c r="K223" s="51"/>
      <c r="L223" s="51"/>
      <c r="M223" s="82">
        <v>518</v>
      </c>
      <c r="N223" s="51">
        <v>3383122.8</v>
      </c>
      <c r="O223" s="82"/>
      <c r="P223" s="51"/>
      <c r="Q223" s="338"/>
      <c r="R223" s="51"/>
      <c r="S223" s="51"/>
      <c r="T223" s="35"/>
      <c r="U223" s="51"/>
      <c r="V223" s="51"/>
      <c r="W223" s="364"/>
      <c r="X223" s="285"/>
      <c r="Y223" s="285"/>
      <c r="Z223" s="285"/>
      <c r="AA223" s="285"/>
      <c r="AB223" s="285"/>
      <c r="AC223" s="9">
        <v>242802.9</v>
      </c>
      <c r="AD223" s="306"/>
      <c r="AE223" s="302"/>
      <c r="AF223" s="56"/>
    </row>
    <row r="224" spans="1:33" x14ac:dyDescent="0.3">
      <c r="A224" s="59">
        <f>A223+1</f>
        <v>146</v>
      </c>
      <c r="B224" s="66" t="s">
        <v>806</v>
      </c>
      <c r="C224" s="51">
        <f>D224+K224+L224+N224+P224+R224+S224+U224+W224</f>
        <v>3049371.6</v>
      </c>
      <c r="D224" s="51">
        <f>E224+F224+G224+H224+I224</f>
        <v>0</v>
      </c>
      <c r="E224" s="51"/>
      <c r="F224" s="51"/>
      <c r="G224" s="51"/>
      <c r="H224" s="51"/>
      <c r="I224" s="51"/>
      <c r="J224" s="82"/>
      <c r="K224" s="51"/>
      <c r="L224" s="51"/>
      <c r="M224" s="82">
        <v>605</v>
      </c>
      <c r="N224" s="51">
        <v>3049371.6</v>
      </c>
      <c r="O224" s="82"/>
      <c r="P224" s="51"/>
      <c r="Q224" s="338"/>
      <c r="R224" s="51"/>
      <c r="S224" s="51"/>
      <c r="T224" s="35"/>
      <c r="U224" s="51"/>
      <c r="V224" s="51"/>
      <c r="W224" s="364"/>
      <c r="X224" s="285"/>
      <c r="Y224" s="285"/>
      <c r="Z224" s="285"/>
      <c r="AA224" s="285"/>
      <c r="AB224" s="285"/>
      <c r="AC224" s="9">
        <v>211350.53</v>
      </c>
      <c r="AD224" s="306"/>
      <c r="AE224" s="302"/>
      <c r="AF224" s="302"/>
    </row>
    <row r="225" spans="1:32" x14ac:dyDescent="0.3">
      <c r="A225" s="59"/>
      <c r="B225" s="66" t="s">
        <v>211</v>
      </c>
      <c r="C225" s="51">
        <f t="shared" ref="C225:W225" si="44">SUM(C223:C224)</f>
        <v>6432494.4000000004</v>
      </c>
      <c r="D225" s="51">
        <f t="shared" si="44"/>
        <v>0</v>
      </c>
      <c r="E225" s="51">
        <f t="shared" si="44"/>
        <v>0</v>
      </c>
      <c r="F225" s="51">
        <f t="shared" si="44"/>
        <v>0</v>
      </c>
      <c r="G225" s="51">
        <f t="shared" si="44"/>
        <v>0</v>
      </c>
      <c r="H225" s="51">
        <f t="shared" si="44"/>
        <v>0</v>
      </c>
      <c r="I225" s="51">
        <f t="shared" si="44"/>
        <v>0</v>
      </c>
      <c r="J225" s="82">
        <f t="shared" si="44"/>
        <v>0</v>
      </c>
      <c r="K225" s="51">
        <f t="shared" si="44"/>
        <v>0</v>
      </c>
      <c r="L225" s="51">
        <f t="shared" si="44"/>
        <v>0</v>
      </c>
      <c r="M225" s="82">
        <f t="shared" si="44"/>
        <v>1123</v>
      </c>
      <c r="N225" s="51">
        <f t="shared" si="44"/>
        <v>6432494.4000000004</v>
      </c>
      <c r="O225" s="82">
        <f t="shared" si="44"/>
        <v>0</v>
      </c>
      <c r="P225" s="51">
        <f t="shared" si="44"/>
        <v>0</v>
      </c>
      <c r="Q225" s="338">
        <f t="shared" si="44"/>
        <v>0</v>
      </c>
      <c r="R225" s="51">
        <f t="shared" si="44"/>
        <v>0</v>
      </c>
      <c r="S225" s="51">
        <f t="shared" si="44"/>
        <v>0</v>
      </c>
      <c r="T225" s="35">
        <f t="shared" si="44"/>
        <v>0</v>
      </c>
      <c r="U225" s="51">
        <f t="shared" si="44"/>
        <v>0</v>
      </c>
      <c r="V225" s="51">
        <f t="shared" si="44"/>
        <v>0</v>
      </c>
      <c r="W225" s="51">
        <f t="shared" si="44"/>
        <v>0</v>
      </c>
      <c r="X225" s="285"/>
      <c r="Y225" s="285"/>
      <c r="Z225" s="285"/>
      <c r="AA225" s="285"/>
      <c r="AB225" s="285"/>
      <c r="AC225" s="9"/>
      <c r="AD225" s="306"/>
      <c r="AE225" s="302"/>
      <c r="AF225" s="302"/>
    </row>
    <row r="226" spans="1:32" x14ac:dyDescent="0.3">
      <c r="A226" s="59"/>
      <c r="B226" s="176" t="s">
        <v>807</v>
      </c>
      <c r="C226" s="51"/>
      <c r="D226" s="51"/>
      <c r="E226" s="51"/>
      <c r="F226" s="51"/>
      <c r="G226" s="51"/>
      <c r="H226" s="51"/>
      <c r="I226" s="51"/>
      <c r="J226" s="82"/>
      <c r="K226" s="51"/>
      <c r="L226" s="51"/>
      <c r="M226" s="82"/>
      <c r="N226" s="51"/>
      <c r="O226" s="82"/>
      <c r="P226" s="51"/>
      <c r="Q226" s="338"/>
      <c r="R226" s="51"/>
      <c r="S226" s="51"/>
      <c r="T226" s="35"/>
      <c r="U226" s="51"/>
      <c r="V226" s="51"/>
      <c r="W226" s="364"/>
      <c r="X226" s="285"/>
      <c r="Y226" s="285"/>
      <c r="Z226" s="285"/>
      <c r="AA226" s="285"/>
      <c r="AB226" s="285"/>
      <c r="AC226" s="9"/>
      <c r="AD226" s="306"/>
      <c r="AE226" s="302"/>
      <c r="AF226" s="302"/>
    </row>
    <row r="227" spans="1:32" x14ac:dyDescent="0.3">
      <c r="A227" s="59">
        <f>A224+1</f>
        <v>147</v>
      </c>
      <c r="B227" s="66" t="s">
        <v>861</v>
      </c>
      <c r="C227" s="51">
        <f t="shared" ref="C227:C238" si="45">D227+K227+L227+N227+P227+R227+S227+U227+W227</f>
        <v>3974492.4000000004</v>
      </c>
      <c r="D227" s="51">
        <f t="shared" ref="D227:D238" si="46">E227+F227+G227+H227+I227</f>
        <v>3974492.4000000004</v>
      </c>
      <c r="E227" s="51"/>
      <c r="F227" s="51">
        <f>3421111.2+553381.2</f>
        <v>3974492.4000000004</v>
      </c>
      <c r="G227" s="51"/>
      <c r="H227" s="51"/>
      <c r="I227" s="51"/>
      <c r="J227" s="82"/>
      <c r="K227" s="51"/>
      <c r="L227" s="51"/>
      <c r="M227" s="82"/>
      <c r="N227" s="51"/>
      <c r="O227" s="82"/>
      <c r="P227" s="51"/>
      <c r="Q227" s="338"/>
      <c r="R227" s="51"/>
      <c r="S227" s="51"/>
      <c r="T227" s="35"/>
      <c r="U227" s="51"/>
      <c r="V227" s="51"/>
      <c r="W227" s="364"/>
      <c r="X227" s="316"/>
      <c r="Y227" s="285"/>
      <c r="Z227" s="285"/>
      <c r="AA227" s="285"/>
      <c r="AB227" s="285"/>
      <c r="AC227" s="9"/>
      <c r="AD227" s="306"/>
      <c r="AE227" s="302">
        <v>725843.96</v>
      </c>
      <c r="AF227" s="302"/>
    </row>
    <row r="228" spans="1:32" x14ac:dyDescent="0.3">
      <c r="A228" s="59">
        <f>A227+1</f>
        <v>148</v>
      </c>
      <c r="B228" s="66" t="s">
        <v>862</v>
      </c>
      <c r="C228" s="51">
        <f t="shared" si="45"/>
        <v>1625853</v>
      </c>
      <c r="D228" s="51">
        <f t="shared" si="46"/>
        <v>1625853</v>
      </c>
      <c r="E228" s="51"/>
      <c r="F228" s="51"/>
      <c r="G228" s="51">
        <v>1625853</v>
      </c>
      <c r="H228" s="51"/>
      <c r="I228" s="51"/>
      <c r="J228" s="82"/>
      <c r="K228" s="51"/>
      <c r="L228" s="51"/>
      <c r="M228" s="82"/>
      <c r="N228" s="51"/>
      <c r="O228" s="82"/>
      <c r="P228" s="51"/>
      <c r="Q228" s="338"/>
      <c r="R228" s="51"/>
      <c r="S228" s="51"/>
      <c r="T228" s="35"/>
      <c r="U228" s="51"/>
      <c r="V228" s="51"/>
      <c r="W228" s="364"/>
      <c r="X228" s="316"/>
      <c r="Y228" s="285"/>
      <c r="Z228" s="285"/>
      <c r="AA228" s="285"/>
      <c r="AB228" s="285"/>
      <c r="AC228" s="9"/>
      <c r="AD228" s="306">
        <v>262615.86</v>
      </c>
      <c r="AE228" s="302"/>
      <c r="AF228" s="302"/>
    </row>
    <row r="229" spans="1:32" x14ac:dyDescent="0.3">
      <c r="A229" s="59">
        <f t="shared" ref="A229:A238" si="47">A228+1</f>
        <v>149</v>
      </c>
      <c r="B229" s="66" t="s">
        <v>882</v>
      </c>
      <c r="C229" s="51">
        <f t="shared" si="45"/>
        <v>2323027.2000000002</v>
      </c>
      <c r="D229" s="51">
        <f t="shared" si="46"/>
        <v>2323027.2000000002</v>
      </c>
      <c r="E229" s="51">
        <v>536882.4</v>
      </c>
      <c r="F229" s="51">
        <v>1786144.8</v>
      </c>
      <c r="G229" s="51"/>
      <c r="H229" s="51"/>
      <c r="I229" s="51"/>
      <c r="J229" s="82"/>
      <c r="K229" s="51"/>
      <c r="L229" s="51"/>
      <c r="M229" s="82"/>
      <c r="N229" s="51"/>
      <c r="O229" s="82"/>
      <c r="P229" s="51"/>
      <c r="Q229" s="338"/>
      <c r="R229" s="51"/>
      <c r="S229" s="51"/>
      <c r="T229" s="35"/>
      <c r="U229" s="51"/>
      <c r="V229" s="51"/>
      <c r="W229" s="364"/>
      <c r="X229" s="285">
        <v>96594.94</v>
      </c>
      <c r="Y229" s="285">
        <v>114992.7</v>
      </c>
      <c r="Z229" s="285"/>
      <c r="AA229" s="285"/>
      <c r="AB229" s="285"/>
      <c r="AC229" s="9"/>
      <c r="AD229" s="306"/>
      <c r="AE229" s="302"/>
      <c r="AF229" s="302"/>
    </row>
    <row r="230" spans="1:32" x14ac:dyDescent="0.3">
      <c r="A230" s="59">
        <f t="shared" si="47"/>
        <v>150</v>
      </c>
      <c r="B230" s="66" t="s">
        <v>913</v>
      </c>
      <c r="C230" s="51">
        <f t="shared" si="45"/>
        <v>10839920.400000002</v>
      </c>
      <c r="D230" s="51">
        <f t="shared" si="46"/>
        <v>10839920.400000002</v>
      </c>
      <c r="E230" s="51">
        <v>3798733.2</v>
      </c>
      <c r="F230" s="51">
        <v>4817295.5999999996</v>
      </c>
      <c r="G230" s="51">
        <v>1214242.8</v>
      </c>
      <c r="H230" s="51"/>
      <c r="I230" s="51">
        <v>1009648.8</v>
      </c>
      <c r="J230" s="82"/>
      <c r="K230" s="51"/>
      <c r="L230" s="51"/>
      <c r="M230" s="82"/>
      <c r="N230" s="51"/>
      <c r="O230" s="82"/>
      <c r="P230" s="51"/>
      <c r="Q230" s="338"/>
      <c r="R230" s="51"/>
      <c r="S230" s="51"/>
      <c r="T230" s="35"/>
      <c r="U230" s="51"/>
      <c r="V230" s="51"/>
      <c r="W230" s="364"/>
      <c r="X230" s="285">
        <v>281044.40000000002</v>
      </c>
      <c r="Y230" s="285">
        <v>348294.5</v>
      </c>
      <c r="Z230" s="505">
        <v>304026.32</v>
      </c>
      <c r="AA230" s="505"/>
      <c r="AB230" s="285">
        <v>277819.08</v>
      </c>
      <c r="AC230" s="9">
        <v>510007.5</v>
      </c>
      <c r="AD230" s="306"/>
      <c r="AE230" s="302"/>
      <c r="AF230" s="302"/>
    </row>
    <row r="231" spans="1:32" x14ac:dyDescent="0.3">
      <c r="A231" s="59">
        <f t="shared" si="47"/>
        <v>151</v>
      </c>
      <c r="B231" s="66" t="s">
        <v>963</v>
      </c>
      <c r="C231" s="51">
        <f t="shared" si="45"/>
        <v>157917.82</v>
      </c>
      <c r="D231" s="51">
        <f t="shared" si="46"/>
        <v>0</v>
      </c>
      <c r="E231" s="51"/>
      <c r="F231" s="51"/>
      <c r="G231" s="51"/>
      <c r="H231" s="51"/>
      <c r="I231" s="51"/>
      <c r="J231" s="82"/>
      <c r="K231" s="51"/>
      <c r="L231" s="51"/>
      <c r="M231" s="82"/>
      <c r="N231" s="51"/>
      <c r="O231" s="82"/>
      <c r="P231" s="51"/>
      <c r="Q231" s="338"/>
      <c r="R231" s="51"/>
      <c r="S231" s="51"/>
      <c r="T231" s="35"/>
      <c r="U231" s="51"/>
      <c r="V231" s="51"/>
      <c r="W231" s="364">
        <f>X231</f>
        <v>157917.82</v>
      </c>
      <c r="X231" s="285">
        <v>157917.82</v>
      </c>
      <c r="Y231" s="285"/>
      <c r="Z231" s="285"/>
      <c r="AA231" s="285"/>
      <c r="AB231" s="285"/>
      <c r="AC231" s="9"/>
      <c r="AD231" s="306"/>
      <c r="AE231" s="302"/>
      <c r="AF231" s="302"/>
    </row>
    <row r="232" spans="1:32" x14ac:dyDescent="0.3">
      <c r="A232" s="59">
        <f t="shared" si="47"/>
        <v>152</v>
      </c>
      <c r="B232" s="66" t="s">
        <v>968</v>
      </c>
      <c r="C232" s="51">
        <f t="shared" si="45"/>
        <v>9264054</v>
      </c>
      <c r="D232" s="51">
        <f t="shared" si="46"/>
        <v>9264054</v>
      </c>
      <c r="E232" s="51"/>
      <c r="F232" s="51">
        <v>7486329.5999999996</v>
      </c>
      <c r="G232" s="51">
        <v>961248</v>
      </c>
      <c r="H232" s="51"/>
      <c r="I232" s="51">
        <v>816476.4</v>
      </c>
      <c r="J232" s="82"/>
      <c r="K232" s="51"/>
      <c r="L232" s="51"/>
      <c r="M232" s="82"/>
      <c r="N232" s="51"/>
      <c r="O232" s="82"/>
      <c r="P232" s="51"/>
      <c r="Q232" s="338"/>
      <c r="R232" s="51"/>
      <c r="S232" s="51"/>
      <c r="T232" s="35"/>
      <c r="U232" s="51"/>
      <c r="V232" s="51">
        <v>116175.6</v>
      </c>
      <c r="W232" s="364"/>
      <c r="X232" s="285"/>
      <c r="Y232" s="285"/>
      <c r="Z232" s="285"/>
      <c r="AA232" s="285"/>
      <c r="AB232" s="285"/>
      <c r="AC232" s="9"/>
      <c r="AD232" s="306"/>
      <c r="AE232" s="302"/>
      <c r="AF232" s="302"/>
    </row>
    <row r="233" spans="1:32" x14ac:dyDescent="0.3">
      <c r="A233" s="59">
        <f t="shared" si="47"/>
        <v>153</v>
      </c>
      <c r="B233" s="66" t="s">
        <v>972</v>
      </c>
      <c r="C233" s="51">
        <f t="shared" si="45"/>
        <v>424428.43000000005</v>
      </c>
      <c r="D233" s="51">
        <f t="shared" si="46"/>
        <v>0</v>
      </c>
      <c r="E233" s="51"/>
      <c r="F233" s="51"/>
      <c r="G233" s="51"/>
      <c r="H233" s="51"/>
      <c r="I233" s="51"/>
      <c r="J233" s="82"/>
      <c r="K233" s="51"/>
      <c r="L233" s="51"/>
      <c r="M233" s="82"/>
      <c r="N233" s="51"/>
      <c r="O233" s="82"/>
      <c r="P233" s="51"/>
      <c r="Q233" s="338"/>
      <c r="R233" s="51"/>
      <c r="S233" s="51"/>
      <c r="T233" s="35"/>
      <c r="U233" s="51"/>
      <c r="V233" s="51"/>
      <c r="W233" s="364">
        <f>SUM('2021'!X818:AH818)</f>
        <v>424428.43000000005</v>
      </c>
      <c r="X233" s="285">
        <v>110618.6</v>
      </c>
      <c r="Y233" s="285"/>
      <c r="Z233" s="285"/>
      <c r="AA233" s="285"/>
      <c r="AB233" s="285"/>
      <c r="AC233" s="9">
        <v>244609.07</v>
      </c>
      <c r="AD233" s="306">
        <v>69200.759999999995</v>
      </c>
      <c r="AE233" s="302">
        <v>567916.93000000005</v>
      </c>
      <c r="AF233" s="302"/>
    </row>
    <row r="234" spans="1:32" x14ac:dyDescent="0.3">
      <c r="A234" s="59">
        <f t="shared" si="47"/>
        <v>154</v>
      </c>
      <c r="B234" s="66" t="s">
        <v>975</v>
      </c>
      <c r="C234" s="51">
        <f t="shared" si="45"/>
        <v>5929628.3999999994</v>
      </c>
      <c r="D234" s="51">
        <f t="shared" si="46"/>
        <v>5929628.3999999994</v>
      </c>
      <c r="E234" s="51">
        <v>665095.19999999995</v>
      </c>
      <c r="F234" s="51">
        <v>2331208.7999999998</v>
      </c>
      <c r="G234" s="51">
        <v>856602</v>
      </c>
      <c r="H234" s="51">
        <v>1565788.8</v>
      </c>
      <c r="I234" s="51">
        <v>510933.6</v>
      </c>
      <c r="J234" s="82"/>
      <c r="K234" s="51"/>
      <c r="L234" s="51"/>
      <c r="M234" s="82"/>
      <c r="N234" s="51"/>
      <c r="O234" s="82"/>
      <c r="P234" s="51"/>
      <c r="Q234" s="338"/>
      <c r="R234" s="51"/>
      <c r="S234" s="51"/>
      <c r="T234" s="35"/>
      <c r="U234" s="51"/>
      <c r="V234" s="51"/>
      <c r="W234" s="364"/>
      <c r="X234" s="285">
        <v>128334.19</v>
      </c>
      <c r="Y234" s="285"/>
      <c r="Z234" s="285"/>
      <c r="AA234" s="285"/>
      <c r="AB234" s="285"/>
      <c r="AC234" s="9">
        <v>301040.09999999998</v>
      </c>
      <c r="AD234" s="306">
        <v>69322.039999999994</v>
      </c>
      <c r="AE234" s="302">
        <v>836196.04</v>
      </c>
      <c r="AF234" s="302"/>
    </row>
    <row r="235" spans="1:32" x14ac:dyDescent="0.3">
      <c r="A235" s="59">
        <f t="shared" si="47"/>
        <v>155</v>
      </c>
      <c r="B235" s="66" t="s">
        <v>976</v>
      </c>
      <c r="C235" s="51">
        <f t="shared" si="45"/>
        <v>7438613.9999999991</v>
      </c>
      <c r="D235" s="51">
        <f t="shared" si="46"/>
        <v>7438613.9999999991</v>
      </c>
      <c r="E235" s="51">
        <v>1876233.6</v>
      </c>
      <c r="F235" s="51">
        <f>3044036.4+1069957.2</f>
        <v>4113993.5999999996</v>
      </c>
      <c r="G235" s="51">
        <v>398650.8</v>
      </c>
      <c r="H235" s="51">
        <v>750885.6</v>
      </c>
      <c r="I235" s="51">
        <v>298850.40000000002</v>
      </c>
      <c r="J235" s="82"/>
      <c r="K235" s="51"/>
      <c r="L235" s="51"/>
      <c r="M235" s="82"/>
      <c r="N235" s="51"/>
      <c r="O235" s="82"/>
      <c r="P235" s="51"/>
      <c r="Q235" s="338"/>
      <c r="R235" s="51"/>
      <c r="S235" s="51"/>
      <c r="T235" s="35"/>
      <c r="U235" s="51"/>
      <c r="V235" s="51"/>
      <c r="W235" s="364"/>
      <c r="X235" s="285">
        <v>185816.76</v>
      </c>
      <c r="Y235" s="285">
        <v>239719.37</v>
      </c>
      <c r="Z235" s="505">
        <v>192213.25</v>
      </c>
      <c r="AA235" s="505"/>
      <c r="AB235" s="285">
        <v>177824.96</v>
      </c>
      <c r="AC235" s="9"/>
      <c r="AD235" s="306"/>
      <c r="AE235" s="302"/>
      <c r="AF235" s="302"/>
    </row>
    <row r="236" spans="1:32" x14ac:dyDescent="0.3">
      <c r="A236" s="59">
        <f t="shared" si="47"/>
        <v>156</v>
      </c>
      <c r="B236" s="66" t="s">
        <v>1008</v>
      </c>
      <c r="C236" s="51">
        <f t="shared" si="45"/>
        <v>15391740.199999999</v>
      </c>
      <c r="D236" s="51">
        <f t="shared" si="46"/>
        <v>15391740.199999999</v>
      </c>
      <c r="E236" s="51">
        <v>1870509.81</v>
      </c>
      <c r="F236" s="51">
        <v>7588146.8499999996</v>
      </c>
      <c r="G236" s="51">
        <v>1745905.45</v>
      </c>
      <c r="H236" s="51">
        <v>3450494.15</v>
      </c>
      <c r="I236" s="51">
        <v>736683.94</v>
      </c>
      <c r="J236" s="82"/>
      <c r="K236" s="51"/>
      <c r="L236" s="51"/>
      <c r="M236" s="82"/>
      <c r="N236" s="51"/>
      <c r="O236" s="82"/>
      <c r="P236" s="51"/>
      <c r="Q236" s="338"/>
      <c r="R236" s="51"/>
      <c r="S236" s="51"/>
      <c r="T236" s="35"/>
      <c r="U236" s="51"/>
      <c r="V236" s="51"/>
      <c r="W236" s="364"/>
      <c r="X236" s="285"/>
      <c r="Y236" s="285"/>
      <c r="Z236" s="285"/>
      <c r="AA236" s="285"/>
      <c r="AB236" s="285"/>
      <c r="AC236" s="9"/>
      <c r="AD236" s="306"/>
      <c r="AE236" s="302"/>
      <c r="AF236" s="302"/>
    </row>
    <row r="237" spans="1:32" x14ac:dyDescent="0.3">
      <c r="A237" s="59">
        <f t="shared" si="47"/>
        <v>157</v>
      </c>
      <c r="B237" s="66" t="s">
        <v>1029</v>
      </c>
      <c r="C237" s="51">
        <f t="shared" si="45"/>
        <v>13681563</v>
      </c>
      <c r="D237" s="51">
        <f t="shared" si="46"/>
        <v>13681563</v>
      </c>
      <c r="E237" s="51">
        <v>1949733</v>
      </c>
      <c r="F237" s="51">
        <f>680238+7325394</f>
        <v>8005632</v>
      </c>
      <c r="G237" s="506">
        <v>3726198</v>
      </c>
      <c r="H237" s="506"/>
      <c r="I237" s="506"/>
      <c r="J237" s="82"/>
      <c r="K237" s="51"/>
      <c r="L237" s="51"/>
      <c r="M237" s="82"/>
      <c r="N237" s="51"/>
      <c r="O237" s="82"/>
      <c r="P237" s="51"/>
      <c r="Q237" s="338"/>
      <c r="R237" s="51"/>
      <c r="S237" s="51"/>
      <c r="T237" s="35"/>
      <c r="U237" s="51"/>
      <c r="V237" s="51"/>
      <c r="W237" s="364"/>
      <c r="X237" s="285">
        <v>148169.14000000001</v>
      </c>
      <c r="Y237" s="285">
        <v>184270.33</v>
      </c>
      <c r="Z237" s="285">
        <v>147076.5</v>
      </c>
      <c r="AA237" s="285"/>
      <c r="AB237" s="285">
        <v>147076.5</v>
      </c>
      <c r="AC237" s="9"/>
      <c r="AD237" s="306">
        <v>94893.65</v>
      </c>
      <c r="AE237" s="302"/>
      <c r="AF237" s="302"/>
    </row>
    <row r="238" spans="1:32" x14ac:dyDescent="0.3">
      <c r="A238" s="59">
        <f t="shared" si="47"/>
        <v>158</v>
      </c>
      <c r="B238" s="66" t="s">
        <v>1031</v>
      </c>
      <c r="C238" s="51">
        <f t="shared" si="45"/>
        <v>805139.12999999989</v>
      </c>
      <c r="D238" s="51">
        <f t="shared" si="46"/>
        <v>0</v>
      </c>
      <c r="E238" s="51"/>
      <c r="F238" s="51"/>
      <c r="G238" s="51"/>
      <c r="H238" s="51"/>
      <c r="I238" s="51"/>
      <c r="J238" s="82"/>
      <c r="K238" s="51"/>
      <c r="L238" s="51"/>
      <c r="M238" s="82"/>
      <c r="N238" s="51"/>
      <c r="O238" s="82"/>
      <c r="P238" s="51"/>
      <c r="Q238" s="338"/>
      <c r="R238" s="51"/>
      <c r="S238" s="51"/>
      <c r="T238" s="35"/>
      <c r="U238" s="51"/>
      <c r="V238" s="51"/>
      <c r="W238" s="364">
        <f>SUM('2021'!X877:AH877)</f>
        <v>805139.12999999989</v>
      </c>
      <c r="X238" s="285">
        <v>189256.57</v>
      </c>
      <c r="Y238" s="285"/>
      <c r="Z238" s="285"/>
      <c r="AA238" s="285"/>
      <c r="AB238" s="285">
        <v>187863.4</v>
      </c>
      <c r="AC238" s="9">
        <v>428019.16</v>
      </c>
      <c r="AD238" s="306"/>
      <c r="AE238" s="302">
        <v>1109950.08</v>
      </c>
      <c r="AF238" s="302"/>
    </row>
    <row r="239" spans="1:32" x14ac:dyDescent="0.3">
      <c r="A239" s="59"/>
      <c r="B239" s="66" t="s">
        <v>211</v>
      </c>
      <c r="C239" s="51">
        <f t="shared" ref="C239:W239" si="48">SUM(C227:C238)</f>
        <v>71856377.980000004</v>
      </c>
      <c r="D239" s="51">
        <f t="shared" si="48"/>
        <v>70468892.600000009</v>
      </c>
      <c r="E239" s="51">
        <f t="shared" si="48"/>
        <v>10697187.210000001</v>
      </c>
      <c r="F239" s="51">
        <f t="shared" si="48"/>
        <v>40103243.649999999</v>
      </c>
      <c r="G239" s="51">
        <f t="shared" si="48"/>
        <v>10528700.050000001</v>
      </c>
      <c r="H239" s="51">
        <f t="shared" si="48"/>
        <v>5767168.5499999998</v>
      </c>
      <c r="I239" s="51">
        <f t="shared" si="48"/>
        <v>3372593.14</v>
      </c>
      <c r="J239" s="82">
        <f t="shared" si="48"/>
        <v>0</v>
      </c>
      <c r="K239" s="51">
        <f t="shared" si="48"/>
        <v>0</v>
      </c>
      <c r="L239" s="51">
        <f t="shared" si="48"/>
        <v>0</v>
      </c>
      <c r="M239" s="82">
        <f t="shared" si="48"/>
        <v>0</v>
      </c>
      <c r="N239" s="51">
        <f t="shared" si="48"/>
        <v>0</v>
      </c>
      <c r="O239" s="82">
        <f t="shared" si="48"/>
        <v>0</v>
      </c>
      <c r="P239" s="51">
        <f t="shared" si="48"/>
        <v>0</v>
      </c>
      <c r="Q239" s="338">
        <f t="shared" si="48"/>
        <v>0</v>
      </c>
      <c r="R239" s="51">
        <f t="shared" si="48"/>
        <v>0</v>
      </c>
      <c r="S239" s="51">
        <f t="shared" si="48"/>
        <v>0</v>
      </c>
      <c r="T239" s="35">
        <f t="shared" si="48"/>
        <v>0</v>
      </c>
      <c r="U239" s="51">
        <f t="shared" si="48"/>
        <v>0</v>
      </c>
      <c r="V239" s="51">
        <f t="shared" si="48"/>
        <v>116175.6</v>
      </c>
      <c r="W239" s="51">
        <f t="shared" si="48"/>
        <v>1387485.38</v>
      </c>
      <c r="X239" s="285"/>
      <c r="Y239" s="285"/>
      <c r="Z239" s="285"/>
      <c r="AA239" s="285"/>
      <c r="AB239" s="285"/>
      <c r="AC239" s="9"/>
      <c r="AD239" s="306"/>
      <c r="AE239" s="302"/>
      <c r="AF239" s="302"/>
    </row>
    <row r="240" spans="1:32" ht="31.2" x14ac:dyDescent="0.3">
      <c r="A240" s="59"/>
      <c r="B240" s="66" t="s">
        <v>1071</v>
      </c>
      <c r="C240" s="51"/>
      <c r="D240" s="51"/>
      <c r="E240" s="51"/>
      <c r="F240" s="51"/>
      <c r="G240" s="51"/>
      <c r="H240" s="51"/>
      <c r="I240" s="51"/>
      <c r="J240" s="82"/>
      <c r="K240" s="51"/>
      <c r="L240" s="51"/>
      <c r="M240" s="82"/>
      <c r="N240" s="51"/>
      <c r="O240" s="82"/>
      <c r="P240" s="51"/>
      <c r="Q240" s="338"/>
      <c r="R240" s="51"/>
      <c r="S240" s="51"/>
      <c r="T240" s="35"/>
      <c r="U240" s="51"/>
      <c r="V240" s="51"/>
      <c r="W240" s="364"/>
      <c r="X240" s="285"/>
      <c r="Y240" s="285"/>
      <c r="Z240" s="285"/>
      <c r="AA240" s="285"/>
      <c r="AB240" s="285"/>
      <c r="AC240" s="9"/>
      <c r="AD240" s="306"/>
      <c r="AE240" s="302"/>
      <c r="AF240" s="302"/>
    </row>
    <row r="241" spans="1:32" x14ac:dyDescent="0.3">
      <c r="A241" s="59">
        <f>A238+1</f>
        <v>159</v>
      </c>
      <c r="B241" s="66" t="s">
        <v>1073</v>
      </c>
      <c r="C241" s="51">
        <f>D241+K241+L241+N241+P241+R241+S241+U241+W241</f>
        <v>450355.20000000001</v>
      </c>
      <c r="D241" s="51">
        <f t="shared" ref="D241:D256" si="49">E241+F241+G241+H241+I241</f>
        <v>450355.20000000001</v>
      </c>
      <c r="E241" s="51">
        <v>450355.20000000001</v>
      </c>
      <c r="F241" s="51"/>
      <c r="G241" s="51"/>
      <c r="H241" s="51"/>
      <c r="I241" s="51"/>
      <c r="J241" s="82"/>
      <c r="K241" s="51"/>
      <c r="L241" s="51"/>
      <c r="M241" s="82"/>
      <c r="N241" s="51"/>
      <c r="O241" s="82"/>
      <c r="P241" s="51"/>
      <c r="Q241" s="338"/>
      <c r="R241" s="51"/>
      <c r="S241" s="51"/>
      <c r="T241" s="35"/>
      <c r="U241" s="51"/>
      <c r="V241" s="51"/>
      <c r="W241" s="364"/>
      <c r="X241" s="285"/>
      <c r="Y241" s="285">
        <v>125435.15</v>
      </c>
      <c r="Z241" s="285">
        <v>104847.44</v>
      </c>
      <c r="AA241" s="285"/>
      <c r="AB241" s="285">
        <v>104847.44</v>
      </c>
      <c r="AC241" s="9"/>
      <c r="AD241" s="306"/>
      <c r="AE241" s="302"/>
      <c r="AF241" s="302"/>
    </row>
    <row r="242" spans="1:32" x14ac:dyDescent="0.3">
      <c r="A242" s="59">
        <f>A241+1</f>
        <v>160</v>
      </c>
      <c r="B242" s="66" t="s">
        <v>1074</v>
      </c>
      <c r="C242" s="51">
        <f>D242+K242+L242+N242+P242+R242+S242+U242+W242</f>
        <v>15823772.610000001</v>
      </c>
      <c r="D242" s="51">
        <f t="shared" si="49"/>
        <v>15823772.610000001</v>
      </c>
      <c r="E242" s="51">
        <v>399288.4</v>
      </c>
      <c r="F242" s="51">
        <v>15424484.210000001</v>
      </c>
      <c r="G242" s="51"/>
      <c r="H242" s="51"/>
      <c r="I242" s="51"/>
      <c r="J242" s="82"/>
      <c r="K242" s="51"/>
      <c r="L242" s="51"/>
      <c r="M242" s="82"/>
      <c r="N242" s="51"/>
      <c r="O242" s="82"/>
      <c r="P242" s="51"/>
      <c r="Q242" s="338"/>
      <c r="R242" s="51"/>
      <c r="S242" s="51"/>
      <c r="T242" s="35"/>
      <c r="U242" s="51"/>
      <c r="V242" s="51"/>
      <c r="W242" s="364"/>
      <c r="X242" s="285">
        <v>86472.49</v>
      </c>
      <c r="Y242" s="285"/>
      <c r="Z242" s="285">
        <v>85564.62</v>
      </c>
      <c r="AA242" s="285"/>
      <c r="AB242" s="285">
        <v>85564.62</v>
      </c>
      <c r="AC242" s="9"/>
      <c r="AD242" s="306"/>
      <c r="AE242" s="302"/>
      <c r="AF242" s="302">
        <v>150577.04</v>
      </c>
    </row>
    <row r="243" spans="1:32" x14ac:dyDescent="0.3">
      <c r="A243" s="59">
        <f t="shared" ref="A243:A256" si="50">A242+1</f>
        <v>161</v>
      </c>
      <c r="B243" s="66" t="s">
        <v>1075</v>
      </c>
      <c r="C243" s="51">
        <f>D243+K243+L243+N243+P243+R243+S243+U243+W243</f>
        <v>481848.28</v>
      </c>
      <c r="D243" s="51">
        <f t="shared" si="49"/>
        <v>481848.28</v>
      </c>
      <c r="E243" s="51">
        <v>481848.28</v>
      </c>
      <c r="F243" s="51"/>
      <c r="G243" s="51"/>
      <c r="H243" s="51"/>
      <c r="I243" s="51"/>
      <c r="J243" s="82"/>
      <c r="K243" s="51"/>
      <c r="L243" s="51"/>
      <c r="M243" s="82"/>
      <c r="N243" s="51"/>
      <c r="O243" s="82"/>
      <c r="P243" s="51"/>
      <c r="Q243" s="338"/>
      <c r="R243" s="51"/>
      <c r="S243" s="51"/>
      <c r="T243" s="35"/>
      <c r="U243" s="51"/>
      <c r="V243" s="51"/>
      <c r="W243" s="364"/>
      <c r="X243" s="285"/>
      <c r="Y243" s="285"/>
      <c r="Z243" s="285"/>
      <c r="AA243" s="285"/>
      <c r="AB243" s="285"/>
      <c r="AC243" s="9">
        <v>116903.92</v>
      </c>
      <c r="AD243" s="306">
        <v>253589.18</v>
      </c>
      <c r="AE243" s="302">
        <v>193108.49</v>
      </c>
      <c r="AF243" s="302">
        <v>104385.98</v>
      </c>
    </row>
    <row r="244" spans="1:32" x14ac:dyDescent="0.3">
      <c r="A244" s="59">
        <f t="shared" si="50"/>
        <v>162</v>
      </c>
      <c r="B244" s="66" t="s">
        <v>1078</v>
      </c>
      <c r="C244" s="51">
        <f>D244+K244+L244+N244+P244+R244+S244+U244+W244</f>
        <v>274792.5</v>
      </c>
      <c r="D244" s="51">
        <f t="shared" si="49"/>
        <v>274792.5</v>
      </c>
      <c r="E244" s="51">
        <v>274792.5</v>
      </c>
      <c r="F244" s="51"/>
      <c r="G244" s="51"/>
      <c r="H244" s="51"/>
      <c r="I244" s="51"/>
      <c r="J244" s="82"/>
      <c r="K244" s="51"/>
      <c r="L244" s="51"/>
      <c r="M244" s="82"/>
      <c r="N244" s="51"/>
      <c r="O244" s="82"/>
      <c r="P244" s="51"/>
      <c r="Q244" s="338"/>
      <c r="R244" s="51"/>
      <c r="S244" s="51"/>
      <c r="T244" s="35"/>
      <c r="U244" s="51"/>
      <c r="V244" s="51"/>
      <c r="W244" s="364"/>
      <c r="X244" s="285"/>
      <c r="Y244" s="285"/>
      <c r="Z244" s="285"/>
      <c r="AA244" s="285"/>
      <c r="AB244" s="285"/>
      <c r="AC244" s="9"/>
      <c r="AD244" s="306"/>
      <c r="AE244" s="302">
        <v>279007.3</v>
      </c>
      <c r="AF244" s="302"/>
    </row>
    <row r="245" spans="1:32" x14ac:dyDescent="0.3">
      <c r="A245" s="59">
        <f t="shared" si="50"/>
        <v>163</v>
      </c>
      <c r="B245" s="66" t="s">
        <v>1081</v>
      </c>
      <c r="C245" s="51">
        <f>D245+K245+L245+N245+P245+R245+S245+U245+W245</f>
        <v>404061.5</v>
      </c>
      <c r="D245" s="51">
        <f t="shared" si="49"/>
        <v>404061.5</v>
      </c>
      <c r="E245" s="51">
        <v>404061.5</v>
      </c>
      <c r="F245" s="51"/>
      <c r="G245" s="51"/>
      <c r="H245" s="51"/>
      <c r="I245" s="51"/>
      <c r="J245" s="82"/>
      <c r="K245" s="51"/>
      <c r="L245" s="51"/>
      <c r="M245" s="82"/>
      <c r="N245" s="51"/>
      <c r="O245" s="82"/>
      <c r="P245" s="51"/>
      <c r="Q245" s="338"/>
      <c r="R245" s="51"/>
      <c r="S245" s="51"/>
      <c r="T245" s="35"/>
      <c r="U245" s="51"/>
      <c r="V245" s="51"/>
      <c r="W245" s="364"/>
      <c r="X245" s="285"/>
      <c r="Y245" s="285"/>
      <c r="Z245" s="285"/>
      <c r="AA245" s="285"/>
      <c r="AB245" s="285"/>
      <c r="AC245" s="9"/>
      <c r="AD245" s="306"/>
      <c r="AE245" s="302">
        <v>421453.39</v>
      </c>
      <c r="AF245" s="302"/>
    </row>
    <row r="246" spans="1:32" x14ac:dyDescent="0.3">
      <c r="A246" s="59">
        <f t="shared" si="50"/>
        <v>164</v>
      </c>
      <c r="B246" s="66" t="s">
        <v>1092</v>
      </c>
      <c r="C246" s="51">
        <f t="shared" ref="C246:C248" si="51">D246+K246+L246+N246+P246+R246+S246+U246+W246</f>
        <v>1318832.3333333333</v>
      </c>
      <c r="D246" s="51">
        <f t="shared" si="49"/>
        <v>0</v>
      </c>
      <c r="E246" s="51"/>
      <c r="F246" s="51"/>
      <c r="G246" s="51"/>
      <c r="H246" s="51"/>
      <c r="I246" s="51"/>
      <c r="J246" s="82"/>
      <c r="K246" s="51"/>
      <c r="L246" s="51"/>
      <c r="M246" s="82"/>
      <c r="N246" s="51"/>
      <c r="O246" s="82"/>
      <c r="P246" s="51"/>
      <c r="Q246" s="338">
        <v>13</v>
      </c>
      <c r="R246" s="51">
        <v>182039</v>
      </c>
      <c r="S246" s="51">
        <v>1136793.3333333333</v>
      </c>
      <c r="T246" s="395"/>
      <c r="U246" s="51"/>
      <c r="V246" s="51"/>
      <c r="W246" s="364"/>
      <c r="X246" s="285"/>
      <c r="Y246" s="285"/>
      <c r="Z246" s="285"/>
      <c r="AA246" s="285"/>
      <c r="AB246" s="285"/>
      <c r="AC246" s="9"/>
      <c r="AD246" s="306"/>
      <c r="AE246" s="302">
        <v>1320294.96</v>
      </c>
      <c r="AF246" s="302"/>
    </row>
    <row r="247" spans="1:32" x14ac:dyDescent="0.3">
      <c r="A247" s="59">
        <f t="shared" si="50"/>
        <v>165</v>
      </c>
      <c r="B247" s="66" t="s">
        <v>1094</v>
      </c>
      <c r="C247" s="51">
        <f t="shared" si="51"/>
        <v>631118.4</v>
      </c>
      <c r="D247" s="51">
        <f t="shared" si="49"/>
        <v>631118.4</v>
      </c>
      <c r="E247" s="51">
        <v>528168</v>
      </c>
      <c r="F247" s="51"/>
      <c r="G247" s="51"/>
      <c r="H247" s="51"/>
      <c r="I247" s="51">
        <v>102950.39999999999</v>
      </c>
      <c r="J247" s="82"/>
      <c r="K247" s="51"/>
      <c r="L247" s="51"/>
      <c r="M247" s="82"/>
      <c r="N247" s="51"/>
      <c r="O247" s="82"/>
      <c r="P247" s="51"/>
      <c r="Q247" s="338"/>
      <c r="R247" s="51"/>
      <c r="S247" s="51"/>
      <c r="T247" s="35"/>
      <c r="U247" s="51"/>
      <c r="V247" s="51"/>
      <c r="W247" s="364"/>
      <c r="X247" s="285"/>
      <c r="Y247" s="285">
        <v>92839.94</v>
      </c>
      <c r="Z247" s="285">
        <v>73399.91</v>
      </c>
      <c r="AA247" s="285"/>
      <c r="AB247" s="285"/>
      <c r="AC247" s="9"/>
      <c r="AD247" s="306">
        <v>262982.87</v>
      </c>
      <c r="AE247" s="302"/>
      <c r="AF247" s="302">
        <v>132077.26999999999</v>
      </c>
    </row>
    <row r="248" spans="1:32" x14ac:dyDescent="0.3">
      <c r="A248" s="59">
        <f t="shared" si="50"/>
        <v>166</v>
      </c>
      <c r="B248" s="66" t="s">
        <v>1095</v>
      </c>
      <c r="C248" s="51">
        <f t="shared" si="51"/>
        <v>274792.5</v>
      </c>
      <c r="D248" s="51">
        <f t="shared" si="49"/>
        <v>274792.5</v>
      </c>
      <c r="E248" s="51">
        <v>274792.5</v>
      </c>
      <c r="F248" s="51"/>
      <c r="G248" s="51"/>
      <c r="H248" s="51"/>
      <c r="I248" s="51"/>
      <c r="J248" s="82"/>
      <c r="K248" s="51"/>
      <c r="L248" s="51"/>
      <c r="M248" s="82"/>
      <c r="N248" s="51"/>
      <c r="O248" s="82"/>
      <c r="P248" s="51"/>
      <c r="Q248" s="338"/>
      <c r="R248" s="51"/>
      <c r="S248" s="51"/>
      <c r="T248" s="35"/>
      <c r="U248" s="51"/>
      <c r="V248" s="51"/>
      <c r="W248" s="364"/>
      <c r="X248" s="285"/>
      <c r="Y248" s="285">
        <v>89945.24</v>
      </c>
      <c r="Z248" s="285">
        <v>70532.100000000006</v>
      </c>
      <c r="AA248" s="285"/>
      <c r="AB248" s="285">
        <v>70532.100000000006</v>
      </c>
      <c r="AC248" s="9"/>
      <c r="AD248" s="306"/>
      <c r="AE248" s="302"/>
      <c r="AF248" s="302"/>
    </row>
    <row r="249" spans="1:32" x14ac:dyDescent="0.3">
      <c r="A249" s="59">
        <f t="shared" si="50"/>
        <v>167</v>
      </c>
      <c r="B249" s="66" t="s">
        <v>1104</v>
      </c>
      <c r="C249" s="51">
        <f t="shared" ref="C249:C256" si="52">D249+K249+L249+N249+P249+R249+S249+U249+W249</f>
        <v>457896</v>
      </c>
      <c r="D249" s="51">
        <f t="shared" si="49"/>
        <v>457896</v>
      </c>
      <c r="E249" s="51">
        <v>457896</v>
      </c>
      <c r="F249" s="51"/>
      <c r="G249" s="51"/>
      <c r="H249" s="51"/>
      <c r="I249" s="51"/>
      <c r="J249" s="82"/>
      <c r="K249" s="51"/>
      <c r="L249" s="51"/>
      <c r="M249" s="82"/>
      <c r="N249" s="51"/>
      <c r="O249" s="82"/>
      <c r="P249" s="51"/>
      <c r="Q249" s="338"/>
      <c r="R249" s="51"/>
      <c r="S249" s="51"/>
      <c r="T249" s="35"/>
      <c r="U249" s="51"/>
      <c r="V249" s="51"/>
      <c r="W249" s="364"/>
      <c r="X249" s="285"/>
      <c r="Y249" s="285"/>
      <c r="Z249" s="285"/>
      <c r="AA249" s="285"/>
      <c r="AB249" s="285"/>
      <c r="AC249" s="9"/>
      <c r="AD249" s="306"/>
      <c r="AE249" s="302">
        <v>523662.22</v>
      </c>
      <c r="AF249" s="302"/>
    </row>
    <row r="250" spans="1:32" x14ac:dyDescent="0.3">
      <c r="A250" s="59">
        <f t="shared" si="50"/>
        <v>168</v>
      </c>
      <c r="B250" s="66" t="s">
        <v>1105</v>
      </c>
      <c r="C250" s="51">
        <f t="shared" si="52"/>
        <v>502696.8</v>
      </c>
      <c r="D250" s="51">
        <f t="shared" si="49"/>
        <v>502696.8</v>
      </c>
      <c r="E250" s="51">
        <v>502696.8</v>
      </c>
      <c r="F250" s="51"/>
      <c r="G250" s="51"/>
      <c r="H250" s="51"/>
      <c r="I250" s="51"/>
      <c r="J250" s="82"/>
      <c r="K250" s="51"/>
      <c r="L250" s="51"/>
      <c r="M250" s="82"/>
      <c r="N250" s="51"/>
      <c r="O250" s="82"/>
      <c r="P250" s="51"/>
      <c r="Q250" s="338"/>
      <c r="R250" s="51"/>
      <c r="S250" s="51"/>
      <c r="T250" s="35"/>
      <c r="U250" s="51"/>
      <c r="V250" s="51"/>
      <c r="W250" s="364"/>
      <c r="X250" s="285"/>
      <c r="Y250" s="285"/>
      <c r="Z250" s="285"/>
      <c r="AA250" s="285"/>
      <c r="AB250" s="285"/>
      <c r="AC250" s="9"/>
      <c r="AD250" s="306"/>
      <c r="AE250" s="302">
        <v>342169.9</v>
      </c>
      <c r="AF250" s="302"/>
    </row>
    <row r="251" spans="1:32" x14ac:dyDescent="0.3">
      <c r="A251" s="59">
        <f t="shared" si="50"/>
        <v>169</v>
      </c>
      <c r="B251" s="66" t="s">
        <v>1106</v>
      </c>
      <c r="C251" s="51">
        <f t="shared" si="52"/>
        <v>576578.4</v>
      </c>
      <c r="D251" s="51">
        <f t="shared" si="49"/>
        <v>576578.4</v>
      </c>
      <c r="E251" s="51">
        <v>576578.4</v>
      </c>
      <c r="F251" s="51"/>
      <c r="G251" s="51"/>
      <c r="H251" s="51"/>
      <c r="I251" s="51"/>
      <c r="J251" s="82"/>
      <c r="K251" s="51"/>
      <c r="L251" s="51"/>
      <c r="M251" s="82"/>
      <c r="N251" s="51"/>
      <c r="O251" s="82"/>
      <c r="P251" s="51"/>
      <c r="Q251" s="338"/>
      <c r="R251" s="51"/>
      <c r="S251" s="51"/>
      <c r="T251" s="35"/>
      <c r="U251" s="51"/>
      <c r="V251" s="51"/>
      <c r="W251" s="364"/>
      <c r="X251" s="285"/>
      <c r="Y251" s="285"/>
      <c r="Z251" s="285"/>
      <c r="AA251" s="285"/>
      <c r="AB251" s="285"/>
      <c r="AC251" s="9"/>
      <c r="AD251" s="306"/>
      <c r="AE251" s="302">
        <v>342372.91</v>
      </c>
      <c r="AF251" s="302"/>
    </row>
    <row r="252" spans="1:32" x14ac:dyDescent="0.3">
      <c r="A252" s="59">
        <f t="shared" si="50"/>
        <v>170</v>
      </c>
      <c r="B252" s="66" t="s">
        <v>1107</v>
      </c>
      <c r="C252" s="51">
        <f t="shared" si="52"/>
        <v>576578.4</v>
      </c>
      <c r="D252" s="51">
        <f t="shared" si="49"/>
        <v>576578.4</v>
      </c>
      <c r="E252" s="51">
        <v>576578.4</v>
      </c>
      <c r="F252" s="51"/>
      <c r="G252" s="51"/>
      <c r="H252" s="51"/>
      <c r="I252" s="51"/>
      <c r="J252" s="82"/>
      <c r="K252" s="51"/>
      <c r="L252" s="51"/>
      <c r="M252" s="82"/>
      <c r="N252" s="51"/>
      <c r="O252" s="82"/>
      <c r="P252" s="51"/>
      <c r="Q252" s="338"/>
      <c r="R252" s="51"/>
      <c r="S252" s="51"/>
      <c r="T252" s="35"/>
      <c r="U252" s="51"/>
      <c r="V252" s="51"/>
      <c r="W252" s="364"/>
      <c r="X252" s="285"/>
      <c r="Y252" s="285"/>
      <c r="Z252" s="285"/>
      <c r="AA252" s="285"/>
      <c r="AB252" s="285"/>
      <c r="AC252" s="9"/>
      <c r="AD252" s="306"/>
      <c r="AE252" s="302">
        <v>340139.93</v>
      </c>
      <c r="AF252" s="302"/>
    </row>
    <row r="253" spans="1:32" x14ac:dyDescent="0.3">
      <c r="A253" s="59">
        <f t="shared" si="50"/>
        <v>171</v>
      </c>
      <c r="B253" s="66" t="s">
        <v>1108</v>
      </c>
      <c r="C253" s="51">
        <f t="shared" si="52"/>
        <v>440649.76</v>
      </c>
      <c r="D253" s="51">
        <f t="shared" si="49"/>
        <v>440649.76</v>
      </c>
      <c r="E253" s="51">
        <v>440649.76</v>
      </c>
      <c r="F253" s="51"/>
      <c r="G253" s="51"/>
      <c r="H253" s="51"/>
      <c r="I253" s="51"/>
      <c r="J253" s="82"/>
      <c r="K253" s="51"/>
      <c r="L253" s="51"/>
      <c r="M253" s="82"/>
      <c r="N253" s="51"/>
      <c r="O253" s="82"/>
      <c r="P253" s="51"/>
      <c r="Q253" s="338"/>
      <c r="R253" s="51"/>
      <c r="S253" s="51"/>
      <c r="T253" s="35"/>
      <c r="U253" s="51"/>
      <c r="V253" s="51"/>
      <c r="W253" s="364"/>
      <c r="X253" s="285">
        <v>112501.63</v>
      </c>
      <c r="Y253" s="285"/>
      <c r="Z253" s="285"/>
      <c r="AA253" s="285"/>
      <c r="AB253" s="285"/>
      <c r="AC253" s="9"/>
      <c r="AD253" s="306"/>
      <c r="AE253" s="302">
        <v>392095.69</v>
      </c>
      <c r="AF253" s="302"/>
    </row>
    <row r="254" spans="1:32" x14ac:dyDescent="0.3">
      <c r="A254" s="59">
        <f t="shared" si="50"/>
        <v>172</v>
      </c>
      <c r="B254" s="66" t="s">
        <v>1114</v>
      </c>
      <c r="C254" s="51">
        <f t="shared" si="52"/>
        <v>512628</v>
      </c>
      <c r="D254" s="51">
        <f t="shared" si="49"/>
        <v>512628</v>
      </c>
      <c r="E254" s="51">
        <v>512628</v>
      </c>
      <c r="F254" s="51"/>
      <c r="G254" s="51"/>
      <c r="H254" s="51"/>
      <c r="I254" s="51"/>
      <c r="J254" s="82"/>
      <c r="K254" s="51"/>
      <c r="L254" s="51"/>
      <c r="M254" s="82"/>
      <c r="N254" s="51"/>
      <c r="O254" s="82"/>
      <c r="P254" s="51"/>
      <c r="Q254" s="338"/>
      <c r="R254" s="51"/>
      <c r="S254" s="51"/>
      <c r="T254" s="35"/>
      <c r="U254" s="51"/>
      <c r="V254" s="51"/>
      <c r="W254" s="364"/>
      <c r="X254" s="285"/>
      <c r="Y254" s="285"/>
      <c r="Z254" s="285"/>
      <c r="AA254" s="285"/>
      <c r="AB254" s="285"/>
      <c r="AC254" s="9"/>
      <c r="AD254" s="306"/>
      <c r="AE254" s="302">
        <v>401952.36</v>
      </c>
      <c r="AF254" s="302"/>
    </row>
    <row r="255" spans="1:32" x14ac:dyDescent="0.3">
      <c r="A255" s="59">
        <f t="shared" si="50"/>
        <v>173</v>
      </c>
      <c r="B255" s="66" t="s">
        <v>1123</v>
      </c>
      <c r="C255" s="51">
        <f t="shared" si="52"/>
        <v>855524.4</v>
      </c>
      <c r="D255" s="51">
        <f t="shared" si="49"/>
        <v>855524.4</v>
      </c>
      <c r="E255" s="51">
        <v>855524.4</v>
      </c>
      <c r="F255" s="51"/>
      <c r="G255" s="51"/>
      <c r="H255" s="51"/>
      <c r="I255" s="51"/>
      <c r="J255" s="82"/>
      <c r="K255" s="51"/>
      <c r="L255" s="51"/>
      <c r="M255" s="82"/>
      <c r="N255" s="51"/>
      <c r="O255" s="82"/>
      <c r="P255" s="51"/>
      <c r="Q255" s="338"/>
      <c r="R255" s="51"/>
      <c r="S255" s="51"/>
      <c r="T255" s="35"/>
      <c r="U255" s="51"/>
      <c r="V255" s="51"/>
      <c r="W255" s="364"/>
      <c r="X255" s="285"/>
      <c r="Y255" s="285"/>
      <c r="Z255" s="285"/>
      <c r="AA255" s="285"/>
      <c r="AB255" s="285"/>
      <c r="AC255" s="9"/>
      <c r="AD255" s="306">
        <v>81619.740000000005</v>
      </c>
      <c r="AE255" s="302"/>
      <c r="AF255" s="302"/>
    </row>
    <row r="256" spans="1:32" x14ac:dyDescent="0.3">
      <c r="A256" s="59">
        <f t="shared" si="50"/>
        <v>174</v>
      </c>
      <c r="B256" s="66" t="s">
        <v>1124</v>
      </c>
      <c r="C256" s="51">
        <f t="shared" si="52"/>
        <v>843195.6</v>
      </c>
      <c r="D256" s="51">
        <f t="shared" si="49"/>
        <v>843195.6</v>
      </c>
      <c r="E256" s="51">
        <v>843195.6</v>
      </c>
      <c r="F256" s="51"/>
      <c r="G256" s="51"/>
      <c r="H256" s="51"/>
      <c r="I256" s="51"/>
      <c r="J256" s="82"/>
      <c r="K256" s="51"/>
      <c r="L256" s="51"/>
      <c r="M256" s="82"/>
      <c r="N256" s="51"/>
      <c r="O256" s="82"/>
      <c r="P256" s="51"/>
      <c r="Q256" s="338"/>
      <c r="R256" s="51"/>
      <c r="S256" s="51"/>
      <c r="T256" s="35"/>
      <c r="U256" s="51"/>
      <c r="V256" s="51"/>
      <c r="W256" s="364"/>
      <c r="X256" s="285"/>
      <c r="Y256" s="285"/>
      <c r="Z256" s="285"/>
      <c r="AA256" s="285"/>
      <c r="AB256" s="285"/>
      <c r="AC256" s="9"/>
      <c r="AD256" s="306">
        <v>73443.240000000005</v>
      </c>
      <c r="AE256" s="302"/>
      <c r="AF256" s="302"/>
    </row>
    <row r="257" spans="1:32" x14ac:dyDescent="0.3">
      <c r="A257" s="59"/>
      <c r="B257" s="66" t="s">
        <v>211</v>
      </c>
      <c r="C257" s="51">
        <f t="shared" ref="C257:W257" si="53">SUM(C241:C256)</f>
        <v>24425320.68333333</v>
      </c>
      <c r="D257" s="51">
        <f t="shared" si="53"/>
        <v>23106488.349999998</v>
      </c>
      <c r="E257" s="51">
        <f t="shared" si="53"/>
        <v>7579053.7400000002</v>
      </c>
      <c r="F257" s="51">
        <f t="shared" si="53"/>
        <v>15424484.210000001</v>
      </c>
      <c r="G257" s="51">
        <f t="shared" si="53"/>
        <v>0</v>
      </c>
      <c r="H257" s="51">
        <f t="shared" si="53"/>
        <v>0</v>
      </c>
      <c r="I257" s="51">
        <f t="shared" si="53"/>
        <v>102950.39999999999</v>
      </c>
      <c r="J257" s="82">
        <f t="shared" si="53"/>
        <v>0</v>
      </c>
      <c r="K257" s="51">
        <f t="shared" si="53"/>
        <v>0</v>
      </c>
      <c r="L257" s="51">
        <f t="shared" si="53"/>
        <v>0</v>
      </c>
      <c r="M257" s="82">
        <f t="shared" si="53"/>
        <v>0</v>
      </c>
      <c r="N257" s="51">
        <f t="shared" si="53"/>
        <v>0</v>
      </c>
      <c r="O257" s="82">
        <f t="shared" si="53"/>
        <v>0</v>
      </c>
      <c r="P257" s="51">
        <f t="shared" si="53"/>
        <v>0</v>
      </c>
      <c r="Q257" s="338">
        <f t="shared" si="53"/>
        <v>13</v>
      </c>
      <c r="R257" s="51">
        <f t="shared" si="53"/>
        <v>182039</v>
      </c>
      <c r="S257" s="51">
        <f t="shared" si="53"/>
        <v>1136793.3333333333</v>
      </c>
      <c r="T257" s="35">
        <f t="shared" si="53"/>
        <v>0</v>
      </c>
      <c r="U257" s="51">
        <f t="shared" si="53"/>
        <v>0</v>
      </c>
      <c r="V257" s="51">
        <f t="shared" si="53"/>
        <v>0</v>
      </c>
      <c r="W257" s="51">
        <f t="shared" si="53"/>
        <v>0</v>
      </c>
      <c r="X257" s="285"/>
      <c r="Y257" s="285"/>
      <c r="Z257" s="285"/>
      <c r="AA257" s="285"/>
      <c r="AB257" s="285"/>
      <c r="AC257" s="9"/>
      <c r="AD257" s="306"/>
      <c r="AE257" s="302"/>
      <c r="AF257" s="302"/>
    </row>
    <row r="258" spans="1:32" ht="31.2" x14ac:dyDescent="0.3">
      <c r="A258" s="59"/>
      <c r="B258" s="66" t="s">
        <v>1126</v>
      </c>
      <c r="C258" s="51"/>
      <c r="D258" s="51"/>
      <c r="E258" s="51"/>
      <c r="F258" s="51"/>
      <c r="G258" s="51"/>
      <c r="H258" s="51"/>
      <c r="I258" s="51"/>
      <c r="J258" s="82"/>
      <c r="K258" s="51"/>
      <c r="L258" s="51"/>
      <c r="M258" s="82"/>
      <c r="N258" s="51"/>
      <c r="O258" s="82"/>
      <c r="P258" s="51"/>
      <c r="Q258" s="338"/>
      <c r="R258" s="51"/>
      <c r="S258" s="51"/>
      <c r="T258" s="35"/>
      <c r="U258" s="51"/>
      <c r="V258" s="51"/>
      <c r="W258" s="364"/>
      <c r="X258" s="285"/>
      <c r="Y258" s="285"/>
      <c r="Z258" s="285"/>
      <c r="AA258" s="285"/>
      <c r="AB258" s="285"/>
      <c r="AC258" s="9"/>
      <c r="AD258" s="306"/>
      <c r="AE258" s="302"/>
      <c r="AF258" s="302"/>
    </row>
    <row r="259" spans="1:32" x14ac:dyDescent="0.3">
      <c r="A259" s="59">
        <f>A256+1</f>
        <v>175</v>
      </c>
      <c r="B259" s="66" t="s">
        <v>1127</v>
      </c>
      <c r="C259" s="51">
        <f>D259+K259+L259+N259+P259+R259+S259+U259+W259</f>
        <v>430469.9</v>
      </c>
      <c r="D259" s="51">
        <f>E259+F259+G259+H259+I259</f>
        <v>430469.9</v>
      </c>
      <c r="E259" s="51">
        <v>430469.9</v>
      </c>
      <c r="F259" s="51"/>
      <c r="G259" s="51"/>
      <c r="H259" s="51"/>
      <c r="I259" s="51"/>
      <c r="J259" s="82"/>
      <c r="K259" s="51"/>
      <c r="L259" s="51"/>
      <c r="M259" s="82"/>
      <c r="N259" s="51"/>
      <c r="O259" s="82"/>
      <c r="P259" s="51"/>
      <c r="Q259" s="338"/>
      <c r="R259" s="51"/>
      <c r="S259" s="51"/>
      <c r="T259" s="35"/>
      <c r="U259" s="51"/>
      <c r="V259" s="51"/>
      <c r="W259" s="364"/>
      <c r="X259" s="285"/>
      <c r="Y259" s="285">
        <v>129813.98</v>
      </c>
      <c r="Z259" s="285">
        <v>109522.44</v>
      </c>
      <c r="AA259" s="285"/>
      <c r="AB259" s="285">
        <v>109522.44</v>
      </c>
      <c r="AC259" s="9">
        <v>203195.14</v>
      </c>
      <c r="AD259" s="306"/>
      <c r="AE259" s="302">
        <v>514235.78</v>
      </c>
      <c r="AF259" s="302"/>
    </row>
    <row r="260" spans="1:32" x14ac:dyDescent="0.3">
      <c r="A260" s="59">
        <f>A259+1</f>
        <v>176</v>
      </c>
      <c r="B260" s="66" t="s">
        <v>1129</v>
      </c>
      <c r="C260" s="51">
        <f>D260+K260+L260+N260+P260+R260+S260+U260+W260</f>
        <v>1041278.4</v>
      </c>
      <c r="D260" s="51">
        <f>E260+F260+G260+H260+I260</f>
        <v>1041278.4</v>
      </c>
      <c r="E260" s="51">
        <v>1041278.4</v>
      </c>
      <c r="F260" s="51"/>
      <c r="G260" s="51"/>
      <c r="H260" s="51"/>
      <c r="I260" s="51"/>
      <c r="J260" s="82"/>
      <c r="K260" s="51"/>
      <c r="L260" s="51"/>
      <c r="M260" s="82"/>
      <c r="N260" s="51"/>
      <c r="O260" s="82"/>
      <c r="P260" s="51"/>
      <c r="Q260" s="338"/>
      <c r="R260" s="51"/>
      <c r="S260" s="51"/>
      <c r="T260" s="35"/>
      <c r="U260" s="51"/>
      <c r="V260" s="51"/>
      <c r="W260" s="364"/>
      <c r="X260" s="285"/>
      <c r="Y260" s="285"/>
      <c r="Z260" s="285"/>
      <c r="AA260" s="285"/>
      <c r="AB260" s="285"/>
      <c r="AC260" s="9"/>
      <c r="AD260" s="306" t="s">
        <v>273</v>
      </c>
      <c r="AE260" s="302"/>
      <c r="AF260" s="302"/>
    </row>
    <row r="261" spans="1:32" x14ac:dyDescent="0.3">
      <c r="A261" s="59"/>
      <c r="B261" s="66" t="s">
        <v>211</v>
      </c>
      <c r="C261" s="51">
        <f t="shared" ref="C261:W261" si="54">SUM(C259:C260)</f>
        <v>1471748.3</v>
      </c>
      <c r="D261" s="51">
        <f t="shared" si="54"/>
        <v>1471748.3</v>
      </c>
      <c r="E261" s="51">
        <f t="shared" si="54"/>
        <v>1471748.3</v>
      </c>
      <c r="F261" s="51">
        <f t="shared" si="54"/>
        <v>0</v>
      </c>
      <c r="G261" s="51">
        <f t="shared" si="54"/>
        <v>0</v>
      </c>
      <c r="H261" s="51">
        <f t="shared" si="54"/>
        <v>0</v>
      </c>
      <c r="I261" s="51">
        <f t="shared" si="54"/>
        <v>0</v>
      </c>
      <c r="J261" s="82">
        <f t="shared" si="54"/>
        <v>0</v>
      </c>
      <c r="K261" s="51">
        <f t="shared" si="54"/>
        <v>0</v>
      </c>
      <c r="L261" s="51">
        <f t="shared" si="54"/>
        <v>0</v>
      </c>
      <c r="M261" s="82">
        <f t="shared" si="54"/>
        <v>0</v>
      </c>
      <c r="N261" s="51">
        <f t="shared" si="54"/>
        <v>0</v>
      </c>
      <c r="O261" s="82">
        <f t="shared" si="54"/>
        <v>0</v>
      </c>
      <c r="P261" s="51">
        <f t="shared" si="54"/>
        <v>0</v>
      </c>
      <c r="Q261" s="338">
        <f t="shared" si="54"/>
        <v>0</v>
      </c>
      <c r="R261" s="51">
        <f t="shared" si="54"/>
        <v>0</v>
      </c>
      <c r="S261" s="51">
        <f t="shared" si="54"/>
        <v>0</v>
      </c>
      <c r="T261" s="35">
        <f t="shared" si="54"/>
        <v>0</v>
      </c>
      <c r="U261" s="51">
        <f t="shared" si="54"/>
        <v>0</v>
      </c>
      <c r="V261" s="51">
        <f t="shared" si="54"/>
        <v>0</v>
      </c>
      <c r="W261" s="51">
        <f t="shared" si="54"/>
        <v>0</v>
      </c>
      <c r="X261" s="285"/>
      <c r="Y261" s="285"/>
      <c r="Z261" s="285"/>
      <c r="AA261" s="285"/>
      <c r="AB261" s="285"/>
      <c r="AC261" s="9"/>
      <c r="AD261" s="306"/>
      <c r="AE261" s="302"/>
      <c r="AF261" s="302"/>
    </row>
    <row r="262" spans="1:32" ht="31.2" x14ac:dyDescent="0.3">
      <c r="A262" s="59"/>
      <c r="B262" s="66" t="s">
        <v>1154</v>
      </c>
      <c r="C262" s="51"/>
      <c r="D262" s="51"/>
      <c r="E262" s="51"/>
      <c r="F262" s="51"/>
      <c r="G262" s="51"/>
      <c r="H262" s="51"/>
      <c r="I262" s="51"/>
      <c r="J262" s="82"/>
      <c r="K262" s="51"/>
      <c r="L262" s="51"/>
      <c r="M262" s="82"/>
      <c r="N262" s="51"/>
      <c r="O262" s="82"/>
      <c r="P262" s="51"/>
      <c r="Q262" s="338"/>
      <c r="R262" s="51"/>
      <c r="S262" s="51"/>
      <c r="T262" s="35"/>
      <c r="U262" s="51"/>
      <c r="V262" s="51"/>
      <c r="W262" s="364"/>
      <c r="X262" s="285"/>
      <c r="Y262" s="285"/>
      <c r="Z262" s="285"/>
      <c r="AA262" s="285"/>
      <c r="AB262" s="285"/>
      <c r="AC262" s="9"/>
      <c r="AD262" s="306"/>
      <c r="AE262" s="302"/>
      <c r="AF262" s="302"/>
    </row>
    <row r="263" spans="1:32" x14ac:dyDescent="0.3">
      <c r="A263" s="59">
        <f>A260+1</f>
        <v>177</v>
      </c>
      <c r="B263" s="66" t="s">
        <v>1155</v>
      </c>
      <c r="C263" s="51">
        <f>D263+K263+L263+N263+P263+R263+S263+U263+W263</f>
        <v>235027.43</v>
      </c>
      <c r="D263" s="51">
        <f>E263+F263+G263+H263+I263</f>
        <v>0</v>
      </c>
      <c r="E263" s="51"/>
      <c r="F263" s="51"/>
      <c r="G263" s="51"/>
      <c r="H263" s="51"/>
      <c r="I263" s="51"/>
      <c r="J263" s="82"/>
      <c r="K263" s="51"/>
      <c r="L263" s="51"/>
      <c r="M263" s="396"/>
      <c r="N263" s="394"/>
      <c r="O263" s="396"/>
      <c r="P263" s="394"/>
      <c r="Q263" s="397"/>
      <c r="R263" s="394"/>
      <c r="S263" s="394"/>
      <c r="T263" s="395"/>
      <c r="U263" s="51"/>
      <c r="V263" s="51"/>
      <c r="W263" s="398">
        <v>235027.43</v>
      </c>
      <c r="X263" s="285"/>
      <c r="Y263" s="285"/>
      <c r="Z263" s="285"/>
      <c r="AA263" s="285"/>
      <c r="AB263" s="285"/>
      <c r="AC263" s="9"/>
      <c r="AD263" s="306"/>
      <c r="AE263" s="302"/>
      <c r="AF263" s="302"/>
    </row>
    <row r="264" spans="1:32" x14ac:dyDescent="0.3">
      <c r="A264" s="59">
        <f>A263+1</f>
        <v>178</v>
      </c>
      <c r="B264" s="66" t="s">
        <v>1156</v>
      </c>
      <c r="C264" s="51">
        <f>D264+K264+L264+N264+P264+R264+S264+U264+W264</f>
        <v>198369.64</v>
      </c>
      <c r="D264" s="51">
        <f>E264+F264+G264+H264+I264</f>
        <v>0</v>
      </c>
      <c r="E264" s="51"/>
      <c r="F264" s="51"/>
      <c r="G264" s="51"/>
      <c r="H264" s="51"/>
      <c r="I264" s="51"/>
      <c r="J264" s="82"/>
      <c r="K264" s="51"/>
      <c r="L264" s="51"/>
      <c r="M264" s="396"/>
      <c r="N264" s="394"/>
      <c r="O264" s="396"/>
      <c r="P264" s="394"/>
      <c r="Q264" s="397"/>
      <c r="R264" s="394"/>
      <c r="S264" s="394"/>
      <c r="T264" s="395"/>
      <c r="U264" s="51"/>
      <c r="V264" s="51"/>
      <c r="W264" s="364">
        <v>198369.64</v>
      </c>
      <c r="X264" s="285"/>
      <c r="Y264" s="285"/>
      <c r="Z264" s="285"/>
      <c r="AA264" s="285"/>
      <c r="AB264" s="285"/>
      <c r="AC264" s="9"/>
      <c r="AD264" s="306"/>
      <c r="AE264" s="302"/>
      <c r="AF264" s="302"/>
    </row>
    <row r="265" spans="1:32" x14ac:dyDescent="0.3">
      <c r="A265" s="59">
        <f>A264+1</f>
        <v>179</v>
      </c>
      <c r="B265" s="66" t="s">
        <v>211</v>
      </c>
      <c r="C265" s="51">
        <f>SUM(C263:C264)</f>
        <v>433397.07</v>
      </c>
      <c r="D265" s="51">
        <f t="shared" ref="D265:U265" si="55">SUM(D263:D264)</f>
        <v>0</v>
      </c>
      <c r="E265" s="51">
        <f t="shared" si="55"/>
        <v>0</v>
      </c>
      <c r="F265" s="51">
        <f t="shared" si="55"/>
        <v>0</v>
      </c>
      <c r="G265" s="51">
        <f t="shared" si="55"/>
        <v>0</v>
      </c>
      <c r="H265" s="51">
        <f t="shared" si="55"/>
        <v>0</v>
      </c>
      <c r="I265" s="51">
        <f t="shared" si="55"/>
        <v>0</v>
      </c>
      <c r="J265" s="82">
        <f t="shared" si="55"/>
        <v>0</v>
      </c>
      <c r="K265" s="51">
        <f t="shared" si="55"/>
        <v>0</v>
      </c>
      <c r="L265" s="51">
        <f t="shared" si="55"/>
        <v>0</v>
      </c>
      <c r="M265" s="82">
        <f t="shared" si="55"/>
        <v>0</v>
      </c>
      <c r="N265" s="51">
        <f t="shared" si="55"/>
        <v>0</v>
      </c>
      <c r="O265" s="82">
        <f t="shared" si="55"/>
        <v>0</v>
      </c>
      <c r="P265" s="51">
        <f t="shared" si="55"/>
        <v>0</v>
      </c>
      <c r="Q265" s="338">
        <f t="shared" si="55"/>
        <v>0</v>
      </c>
      <c r="R265" s="51">
        <f t="shared" si="55"/>
        <v>0</v>
      </c>
      <c r="S265" s="51">
        <f t="shared" si="55"/>
        <v>0</v>
      </c>
      <c r="T265" s="35">
        <f t="shared" si="55"/>
        <v>0</v>
      </c>
      <c r="U265" s="51">
        <f t="shared" si="55"/>
        <v>0</v>
      </c>
      <c r="V265" s="51">
        <f>SUM(V263:V264)</f>
        <v>0</v>
      </c>
      <c r="W265" s="51">
        <f>SUM(W263:W264)</f>
        <v>433397.07</v>
      </c>
      <c r="X265" s="285"/>
      <c r="Y265" s="285"/>
      <c r="Z265" s="285"/>
      <c r="AA265" s="285"/>
      <c r="AB265" s="285"/>
      <c r="AC265" s="9"/>
      <c r="AD265" s="306"/>
      <c r="AE265" s="302"/>
      <c r="AF265" s="302"/>
    </row>
    <row r="266" spans="1:32" ht="31.2" x14ac:dyDescent="0.3">
      <c r="A266" s="59"/>
      <c r="B266" s="66" t="s">
        <v>1159</v>
      </c>
      <c r="C266" s="51"/>
      <c r="D266" s="51"/>
      <c r="E266" s="51"/>
      <c r="F266" s="51"/>
      <c r="G266" s="51"/>
      <c r="H266" s="51"/>
      <c r="I266" s="51"/>
      <c r="J266" s="82"/>
      <c r="K266" s="51"/>
      <c r="L266" s="51"/>
      <c r="M266" s="82"/>
      <c r="N266" s="51"/>
      <c r="O266" s="82"/>
      <c r="P266" s="51"/>
      <c r="Q266" s="338"/>
      <c r="R266" s="51"/>
      <c r="S266" s="51"/>
      <c r="T266" s="35"/>
      <c r="U266" s="51"/>
      <c r="V266" s="51"/>
      <c r="W266" s="364"/>
      <c r="X266" s="285"/>
      <c r="Y266" s="285"/>
      <c r="Z266" s="285"/>
      <c r="AA266" s="285"/>
      <c r="AB266" s="285"/>
      <c r="AC266" s="9"/>
      <c r="AD266" s="306"/>
      <c r="AE266" s="302"/>
      <c r="AF266" s="302"/>
    </row>
    <row r="267" spans="1:32" x14ac:dyDescent="0.3">
      <c r="A267" s="59">
        <f>A265+1</f>
        <v>180</v>
      </c>
      <c r="B267" s="66" t="s">
        <v>1190</v>
      </c>
      <c r="C267" s="51">
        <f>D267+K267+L267+N267+P267+R267+S267+U267+W267</f>
        <v>4485716.4000000004</v>
      </c>
      <c r="D267" s="51">
        <f>E267+F267+G267+H267+I267</f>
        <v>0</v>
      </c>
      <c r="E267" s="51"/>
      <c r="F267" s="51"/>
      <c r="G267" s="51"/>
      <c r="H267" s="51"/>
      <c r="I267" s="51"/>
      <c r="J267" s="82"/>
      <c r="K267" s="51"/>
      <c r="L267" s="51"/>
      <c r="M267" s="82">
        <v>998</v>
      </c>
      <c r="N267" s="51">
        <v>4485716.4000000004</v>
      </c>
      <c r="O267" s="82"/>
      <c r="P267" s="51"/>
      <c r="Q267" s="338"/>
      <c r="R267" s="51"/>
      <c r="S267" s="51"/>
      <c r="T267" s="35"/>
      <c r="U267" s="51"/>
      <c r="V267" s="51"/>
      <c r="W267" s="364"/>
      <c r="X267" s="285"/>
      <c r="Y267" s="285"/>
      <c r="Z267" s="285"/>
      <c r="AA267" s="285"/>
      <c r="AB267" s="285"/>
      <c r="AC267" s="9">
        <v>351449.24</v>
      </c>
      <c r="AD267" s="306"/>
      <c r="AE267" s="302"/>
      <c r="AF267" s="302"/>
    </row>
    <row r="268" spans="1:32" x14ac:dyDescent="0.3">
      <c r="A268" s="59">
        <f>A267+1</f>
        <v>181</v>
      </c>
      <c r="B268" s="66" t="s">
        <v>1191</v>
      </c>
      <c r="C268" s="51">
        <f>D268+K268+L268+N268+P268+R268+S268+U268+W268</f>
        <v>3891398.4</v>
      </c>
      <c r="D268" s="51">
        <f>E268+F268+G268+H268+I268</f>
        <v>0</v>
      </c>
      <c r="E268" s="51"/>
      <c r="F268" s="51"/>
      <c r="G268" s="51"/>
      <c r="H268" s="51"/>
      <c r="I268" s="51"/>
      <c r="J268" s="82"/>
      <c r="K268" s="51"/>
      <c r="L268" s="51"/>
      <c r="M268" s="82">
        <v>1142</v>
      </c>
      <c r="N268" s="51">
        <v>3891398.4</v>
      </c>
      <c r="O268" s="82"/>
      <c r="P268" s="51"/>
      <c r="Q268" s="338"/>
      <c r="R268" s="51"/>
      <c r="S268" s="51"/>
      <c r="T268" s="35"/>
      <c r="U268" s="51"/>
      <c r="V268" s="51"/>
      <c r="W268" s="364"/>
      <c r="X268" s="285"/>
      <c r="Y268" s="285"/>
      <c r="Z268" s="285"/>
      <c r="AA268" s="285"/>
      <c r="AB268" s="285"/>
      <c r="AC268" s="9">
        <v>433956.4</v>
      </c>
      <c r="AD268" s="306"/>
      <c r="AE268" s="302"/>
      <c r="AF268" s="302"/>
    </row>
    <row r="269" spans="1:32" ht="31.2" x14ac:dyDescent="0.3">
      <c r="A269" s="59">
        <f>A268+1</f>
        <v>182</v>
      </c>
      <c r="B269" s="66" t="s">
        <v>1211</v>
      </c>
      <c r="C269" s="51">
        <f>D269+K269+L269+N269+P269+R269+S269+U269+W269</f>
        <v>2751914.1</v>
      </c>
      <c r="D269" s="51">
        <f>E269+F269+G269+H269+I269</f>
        <v>0</v>
      </c>
      <c r="E269" s="51"/>
      <c r="F269" s="51"/>
      <c r="G269" s="51"/>
      <c r="H269" s="51"/>
      <c r="I269" s="51"/>
      <c r="J269" s="82"/>
      <c r="K269" s="51"/>
      <c r="L269" s="51"/>
      <c r="M269" s="82">
        <v>516.9</v>
      </c>
      <c r="N269" s="51">
        <v>2751914.1</v>
      </c>
      <c r="O269" s="82"/>
      <c r="P269" s="51"/>
      <c r="Q269" s="338"/>
      <c r="R269" s="51"/>
      <c r="S269" s="51"/>
      <c r="T269" s="35"/>
      <c r="U269" s="51"/>
      <c r="V269" s="51"/>
      <c r="W269" s="364"/>
      <c r="X269" s="317">
        <v>101395.99</v>
      </c>
      <c r="Y269" s="285"/>
      <c r="Z269" s="285"/>
      <c r="AA269" s="285"/>
      <c r="AB269" s="285"/>
      <c r="AC269" s="9">
        <v>186324.53</v>
      </c>
      <c r="AD269" s="40"/>
      <c r="AE269" s="302">
        <v>498830.18</v>
      </c>
      <c r="AF269" s="302"/>
    </row>
    <row r="270" spans="1:32" ht="31.2" x14ac:dyDescent="0.3">
      <c r="A270" s="59">
        <f>A269+1</f>
        <v>183</v>
      </c>
      <c r="B270" s="66" t="s">
        <v>1219</v>
      </c>
      <c r="C270" s="51">
        <f>D270+K270+L270+N270+P270+R270+S270+U270+W270</f>
        <v>3864890.4</v>
      </c>
      <c r="D270" s="51">
        <f>E270+F270+G270+H270+I270</f>
        <v>0</v>
      </c>
      <c r="E270" s="51"/>
      <c r="F270" s="51"/>
      <c r="G270" s="51"/>
      <c r="H270" s="51"/>
      <c r="I270" s="51"/>
      <c r="J270" s="82"/>
      <c r="K270" s="51"/>
      <c r="L270" s="51"/>
      <c r="M270" s="82">
        <v>1199.2</v>
      </c>
      <c r="N270" s="51">
        <v>3864890.4</v>
      </c>
      <c r="O270" s="82"/>
      <c r="P270" s="51"/>
      <c r="Q270" s="338"/>
      <c r="R270" s="51"/>
      <c r="S270" s="51"/>
      <c r="T270" s="35"/>
      <c r="U270" s="51"/>
      <c r="V270" s="51"/>
      <c r="W270" s="364"/>
      <c r="X270" s="316"/>
      <c r="Y270" s="285"/>
      <c r="Z270" s="285"/>
      <c r="AA270" s="285"/>
      <c r="AB270" s="285"/>
      <c r="AC270" s="318">
        <v>492908.35</v>
      </c>
      <c r="AD270" s="40"/>
      <c r="AE270" s="302"/>
      <c r="AF270" s="302"/>
    </row>
    <row r="271" spans="1:32" ht="31.2" x14ac:dyDescent="0.3">
      <c r="A271" s="59">
        <f>A270+1</f>
        <v>184</v>
      </c>
      <c r="B271" s="66" t="s">
        <v>1220</v>
      </c>
      <c r="C271" s="51">
        <f>D271+K271+L271+N271+P271+R271+S271+U271+W271</f>
        <v>5972240.4000000004</v>
      </c>
      <c r="D271" s="51">
        <f>E271+F271+G271+H271+I271</f>
        <v>0</v>
      </c>
      <c r="E271" s="51"/>
      <c r="F271" s="51"/>
      <c r="G271" s="51"/>
      <c r="H271" s="51"/>
      <c r="I271" s="51"/>
      <c r="J271" s="82"/>
      <c r="K271" s="51"/>
      <c r="L271" s="51"/>
      <c r="M271" s="82">
        <v>1570.59</v>
      </c>
      <c r="N271" s="51">
        <v>5972240.4000000004</v>
      </c>
      <c r="O271" s="82"/>
      <c r="P271" s="51"/>
      <c r="Q271" s="338"/>
      <c r="R271" s="51"/>
      <c r="S271" s="51"/>
      <c r="T271" s="35"/>
      <c r="U271" s="51"/>
      <c r="V271" s="51"/>
      <c r="W271" s="364"/>
      <c r="X271" s="316"/>
      <c r="Y271" s="285"/>
      <c r="Z271" s="285"/>
      <c r="AA271" s="285"/>
      <c r="AB271" s="285"/>
      <c r="AC271" s="9">
        <v>526268.28</v>
      </c>
      <c r="AD271" s="306"/>
      <c r="AE271" s="302"/>
      <c r="AF271" s="302"/>
    </row>
    <row r="272" spans="1:32" x14ac:dyDescent="0.3">
      <c r="A272" s="59"/>
      <c r="B272" s="66" t="s">
        <v>211</v>
      </c>
      <c r="C272" s="51">
        <f t="shared" ref="C272:W272" si="56">SUM(C267:C271)</f>
        <v>20966159.700000003</v>
      </c>
      <c r="D272" s="51">
        <f t="shared" si="56"/>
        <v>0</v>
      </c>
      <c r="E272" s="51">
        <f t="shared" si="56"/>
        <v>0</v>
      </c>
      <c r="F272" s="51">
        <f t="shared" si="56"/>
        <v>0</v>
      </c>
      <c r="G272" s="51">
        <f t="shared" si="56"/>
        <v>0</v>
      </c>
      <c r="H272" s="51">
        <f t="shared" si="56"/>
        <v>0</v>
      </c>
      <c r="I272" s="51">
        <f t="shared" si="56"/>
        <v>0</v>
      </c>
      <c r="J272" s="82">
        <f t="shared" si="56"/>
        <v>0</v>
      </c>
      <c r="K272" s="51">
        <f t="shared" si="56"/>
        <v>0</v>
      </c>
      <c r="L272" s="51">
        <f t="shared" si="56"/>
        <v>0</v>
      </c>
      <c r="M272" s="82">
        <f t="shared" si="56"/>
        <v>5426.6900000000005</v>
      </c>
      <c r="N272" s="51">
        <f t="shared" si="56"/>
        <v>20966159.700000003</v>
      </c>
      <c r="O272" s="82">
        <f t="shared" si="56"/>
        <v>0</v>
      </c>
      <c r="P272" s="51">
        <f t="shared" si="56"/>
        <v>0</v>
      </c>
      <c r="Q272" s="338">
        <f t="shared" si="56"/>
        <v>0</v>
      </c>
      <c r="R272" s="51">
        <f t="shared" si="56"/>
        <v>0</v>
      </c>
      <c r="S272" s="51">
        <f t="shared" si="56"/>
        <v>0</v>
      </c>
      <c r="T272" s="35">
        <f t="shared" si="56"/>
        <v>0</v>
      </c>
      <c r="U272" s="51">
        <f t="shared" si="56"/>
        <v>0</v>
      </c>
      <c r="V272" s="51">
        <f t="shared" si="56"/>
        <v>0</v>
      </c>
      <c r="W272" s="51">
        <f t="shared" si="56"/>
        <v>0</v>
      </c>
      <c r="X272" s="285"/>
      <c r="Y272" s="285"/>
      <c r="Z272" s="285"/>
      <c r="AA272" s="285"/>
      <c r="AB272" s="285"/>
      <c r="AC272" s="9"/>
      <c r="AD272" s="306"/>
      <c r="AE272" s="302"/>
      <c r="AF272" s="302"/>
    </row>
    <row r="273" spans="1:32" ht="31.2" x14ac:dyDescent="0.3">
      <c r="A273" s="59"/>
      <c r="B273" s="66" t="s">
        <v>1240</v>
      </c>
      <c r="C273" s="51"/>
      <c r="D273" s="51"/>
      <c r="E273" s="51"/>
      <c r="F273" s="51"/>
      <c r="G273" s="51"/>
      <c r="H273" s="51"/>
      <c r="I273" s="51"/>
      <c r="J273" s="82"/>
      <c r="K273" s="51"/>
      <c r="L273" s="51"/>
      <c r="M273" s="82"/>
      <c r="N273" s="51"/>
      <c r="O273" s="82"/>
      <c r="P273" s="51"/>
      <c r="Q273" s="338"/>
      <c r="R273" s="51"/>
      <c r="S273" s="51"/>
      <c r="T273" s="35"/>
      <c r="U273" s="51"/>
      <c r="V273" s="51"/>
      <c r="W273" s="364"/>
      <c r="X273" s="285"/>
      <c r="Y273" s="285"/>
      <c r="Z273" s="285"/>
      <c r="AA273" s="285"/>
      <c r="AB273" s="285"/>
      <c r="AC273" s="9"/>
      <c r="AD273" s="306"/>
      <c r="AE273" s="302"/>
      <c r="AF273" s="302"/>
    </row>
    <row r="274" spans="1:32" x14ac:dyDescent="0.3">
      <c r="A274" s="59">
        <f>A271+1</f>
        <v>185</v>
      </c>
      <c r="B274" s="66" t="s">
        <v>1255</v>
      </c>
      <c r="C274" s="51">
        <f>D274+K274+L274+N274+P274+R274+S274+U274+W274</f>
        <v>1752171.38</v>
      </c>
      <c r="D274" s="51">
        <f t="shared" ref="D274:D278" si="57">E274+F274+G274+H274+I274</f>
        <v>0</v>
      </c>
      <c r="E274" s="51"/>
      <c r="F274" s="51"/>
      <c r="G274" s="51"/>
      <c r="H274" s="51"/>
      <c r="I274" s="51"/>
      <c r="J274" s="82"/>
      <c r="K274" s="51"/>
      <c r="L274" s="51"/>
      <c r="M274" s="82">
        <v>1108</v>
      </c>
      <c r="N274" s="51">
        <v>1752171.38</v>
      </c>
      <c r="O274" s="82"/>
      <c r="P274" s="51"/>
      <c r="Q274" s="338"/>
      <c r="R274" s="51"/>
      <c r="S274" s="51"/>
      <c r="T274" s="35"/>
      <c r="U274" s="51"/>
      <c r="V274" s="51"/>
      <c r="W274" s="364"/>
      <c r="X274" s="285"/>
      <c r="Y274" s="285"/>
      <c r="Z274" s="285"/>
      <c r="AA274" s="285"/>
      <c r="AB274" s="285"/>
      <c r="AC274" s="9"/>
      <c r="AD274" s="306"/>
      <c r="AE274" s="302"/>
      <c r="AF274" s="302"/>
    </row>
    <row r="275" spans="1:32" x14ac:dyDescent="0.3">
      <c r="A275" s="59">
        <f t="shared" ref="A275:A278" si="58">A274+1</f>
        <v>186</v>
      </c>
      <c r="B275" s="66" t="s">
        <v>1256</v>
      </c>
      <c r="C275" s="51">
        <f>D275+K275+L275+N275+P275+R275+S275+U275+W275</f>
        <v>1901069.68</v>
      </c>
      <c r="D275" s="51">
        <f t="shared" si="57"/>
        <v>0</v>
      </c>
      <c r="E275" s="51"/>
      <c r="F275" s="51"/>
      <c r="G275" s="51"/>
      <c r="H275" s="51"/>
      <c r="I275" s="51"/>
      <c r="J275" s="82"/>
      <c r="K275" s="51"/>
      <c r="L275" s="51"/>
      <c r="M275" s="82">
        <v>1108</v>
      </c>
      <c r="N275" s="51">
        <v>1901069.68</v>
      </c>
      <c r="O275" s="82"/>
      <c r="P275" s="51"/>
      <c r="Q275" s="338"/>
      <c r="R275" s="51"/>
      <c r="S275" s="51"/>
      <c r="T275" s="35"/>
      <c r="U275" s="51"/>
      <c r="V275" s="51"/>
      <c r="W275" s="364"/>
      <c r="X275" s="285"/>
      <c r="Y275" s="285"/>
      <c r="Z275" s="285"/>
      <c r="AA275" s="285"/>
      <c r="AB275" s="285"/>
      <c r="AC275" s="9"/>
      <c r="AD275" s="306"/>
      <c r="AE275" s="302"/>
      <c r="AF275" s="302"/>
    </row>
    <row r="276" spans="1:32" x14ac:dyDescent="0.3">
      <c r="A276" s="59">
        <f t="shared" si="58"/>
        <v>187</v>
      </c>
      <c r="B276" s="66" t="s">
        <v>1257</v>
      </c>
      <c r="C276" s="51">
        <f>D276+K276+L276+N276+P276+R276+S276+U276+W276</f>
        <v>4998386.78</v>
      </c>
      <c r="D276" s="51">
        <f t="shared" si="57"/>
        <v>0</v>
      </c>
      <c r="E276" s="51"/>
      <c r="F276" s="51"/>
      <c r="G276" s="51"/>
      <c r="H276" s="51"/>
      <c r="I276" s="51"/>
      <c r="J276" s="82"/>
      <c r="K276" s="51"/>
      <c r="L276" s="51"/>
      <c r="M276" s="82">
        <v>928</v>
      </c>
      <c r="N276" s="51">
        <v>4998386.78</v>
      </c>
      <c r="O276" s="82"/>
      <c r="P276" s="51"/>
      <c r="Q276" s="338"/>
      <c r="R276" s="51"/>
      <c r="S276" s="51"/>
      <c r="T276" s="35"/>
      <c r="U276" s="51"/>
      <c r="V276" s="51"/>
      <c r="W276" s="364"/>
      <c r="X276" s="285"/>
      <c r="Y276" s="285"/>
      <c r="Z276" s="285"/>
      <c r="AA276" s="285"/>
      <c r="AB276" s="285"/>
      <c r="AC276" s="9"/>
      <c r="AD276" s="306"/>
      <c r="AE276" s="302"/>
      <c r="AF276" s="302"/>
    </row>
    <row r="277" spans="1:32" x14ac:dyDescent="0.3">
      <c r="A277" s="59">
        <f t="shared" si="58"/>
        <v>188</v>
      </c>
      <c r="B277" s="66" t="s">
        <v>1258</v>
      </c>
      <c r="C277" s="51">
        <f>D277+K277+L277+N277+P277+R277+S277+U277+W277</f>
        <v>3483846.16</v>
      </c>
      <c r="D277" s="51">
        <f t="shared" si="57"/>
        <v>0</v>
      </c>
      <c r="E277" s="51"/>
      <c r="F277" s="51"/>
      <c r="G277" s="51"/>
      <c r="H277" s="51"/>
      <c r="I277" s="51"/>
      <c r="J277" s="82"/>
      <c r="K277" s="51"/>
      <c r="L277" s="51"/>
      <c r="M277" s="82">
        <v>999.37</v>
      </c>
      <c r="N277" s="51">
        <v>3483846.16</v>
      </c>
      <c r="O277" s="82"/>
      <c r="P277" s="51"/>
      <c r="Q277" s="338"/>
      <c r="R277" s="51"/>
      <c r="S277" s="51"/>
      <c r="T277" s="35"/>
      <c r="U277" s="51"/>
      <c r="V277" s="51"/>
      <c r="W277" s="364"/>
      <c r="X277" s="285"/>
      <c r="Y277" s="285"/>
      <c r="Z277" s="285"/>
      <c r="AA277" s="285"/>
      <c r="AB277" s="285"/>
      <c r="AC277" s="9"/>
      <c r="AD277" s="306"/>
      <c r="AE277" s="302"/>
      <c r="AF277" s="302"/>
    </row>
    <row r="278" spans="1:32" x14ac:dyDescent="0.3">
      <c r="A278" s="59">
        <f t="shared" si="58"/>
        <v>189</v>
      </c>
      <c r="B278" s="66" t="s">
        <v>1261</v>
      </c>
      <c r="C278" s="51">
        <f>D278+K278+L278+N278+P278+R278+S278+U278+W278</f>
        <v>7818664.2199999997</v>
      </c>
      <c r="D278" s="51">
        <f t="shared" si="57"/>
        <v>0</v>
      </c>
      <c r="E278" s="51"/>
      <c r="F278" s="51"/>
      <c r="G278" s="51"/>
      <c r="H278" s="51"/>
      <c r="I278" s="51"/>
      <c r="J278" s="82"/>
      <c r="K278" s="51"/>
      <c r="L278" s="51"/>
      <c r="M278" s="82">
        <v>1690</v>
      </c>
      <c r="N278" s="51">
        <v>7818664.2199999997</v>
      </c>
      <c r="O278" s="82"/>
      <c r="P278" s="51"/>
      <c r="Q278" s="338"/>
      <c r="R278" s="51"/>
      <c r="S278" s="51"/>
      <c r="T278" s="35"/>
      <c r="U278" s="51"/>
      <c r="V278" s="51"/>
      <c r="W278" s="364"/>
      <c r="X278" s="285"/>
      <c r="Y278" s="285"/>
      <c r="Z278" s="285"/>
      <c r="AA278" s="285"/>
      <c r="AB278" s="285"/>
      <c r="AC278" s="9"/>
      <c r="AD278" s="306"/>
      <c r="AE278" s="302"/>
      <c r="AF278" s="302"/>
    </row>
    <row r="279" spans="1:32" x14ac:dyDescent="0.3">
      <c r="A279" s="59"/>
      <c r="B279" s="66" t="s">
        <v>211</v>
      </c>
      <c r="C279" s="51">
        <f t="shared" ref="C279:W279" si="59">SUM(C274:C278)</f>
        <v>19954138.219999999</v>
      </c>
      <c r="D279" s="51">
        <f t="shared" si="59"/>
        <v>0</v>
      </c>
      <c r="E279" s="51">
        <f t="shared" si="59"/>
        <v>0</v>
      </c>
      <c r="F279" s="51">
        <f t="shared" si="59"/>
        <v>0</v>
      </c>
      <c r="G279" s="51">
        <f t="shared" si="59"/>
        <v>0</v>
      </c>
      <c r="H279" s="51">
        <f t="shared" si="59"/>
        <v>0</v>
      </c>
      <c r="I279" s="51">
        <f t="shared" si="59"/>
        <v>0</v>
      </c>
      <c r="J279" s="82">
        <f t="shared" si="59"/>
        <v>0</v>
      </c>
      <c r="K279" s="51">
        <f t="shared" si="59"/>
        <v>0</v>
      </c>
      <c r="L279" s="51">
        <f t="shared" si="59"/>
        <v>0</v>
      </c>
      <c r="M279" s="82">
        <f t="shared" si="59"/>
        <v>5833.37</v>
      </c>
      <c r="N279" s="51">
        <f t="shared" si="59"/>
        <v>19954138.219999999</v>
      </c>
      <c r="O279" s="82">
        <f t="shared" si="59"/>
        <v>0</v>
      </c>
      <c r="P279" s="51">
        <f t="shared" si="59"/>
        <v>0</v>
      </c>
      <c r="Q279" s="338">
        <f t="shared" si="59"/>
        <v>0</v>
      </c>
      <c r="R279" s="51">
        <f t="shared" si="59"/>
        <v>0</v>
      </c>
      <c r="S279" s="51">
        <f t="shared" si="59"/>
        <v>0</v>
      </c>
      <c r="T279" s="35">
        <f t="shared" si="59"/>
        <v>0</v>
      </c>
      <c r="U279" s="51">
        <f t="shared" si="59"/>
        <v>0</v>
      </c>
      <c r="V279" s="51">
        <f t="shared" si="59"/>
        <v>0</v>
      </c>
      <c r="W279" s="51">
        <f t="shared" si="59"/>
        <v>0</v>
      </c>
      <c r="X279" s="285"/>
      <c r="Y279" s="285"/>
      <c r="Z279" s="285"/>
      <c r="AA279" s="285"/>
      <c r="AB279" s="285"/>
      <c r="AC279" s="9"/>
      <c r="AD279" s="306"/>
      <c r="AE279" s="302"/>
      <c r="AF279" s="302"/>
    </row>
    <row r="280" spans="1:32" ht="31.2" x14ac:dyDescent="0.3">
      <c r="A280" s="59"/>
      <c r="B280" s="66" t="s">
        <v>1299</v>
      </c>
      <c r="C280" s="51"/>
      <c r="D280" s="51"/>
      <c r="E280" s="51"/>
      <c r="F280" s="51"/>
      <c r="G280" s="51"/>
      <c r="H280" s="51"/>
      <c r="I280" s="51"/>
      <c r="J280" s="82"/>
      <c r="K280" s="51"/>
      <c r="L280" s="51"/>
      <c r="M280" s="82"/>
      <c r="N280" s="51"/>
      <c r="O280" s="82"/>
      <c r="P280" s="51"/>
      <c r="Q280" s="338"/>
      <c r="R280" s="51"/>
      <c r="S280" s="51"/>
      <c r="T280" s="35"/>
      <c r="U280" s="51"/>
      <c r="V280" s="51"/>
      <c r="W280" s="364"/>
      <c r="X280" s="285"/>
      <c r="Y280" s="285"/>
      <c r="Z280" s="285"/>
      <c r="AA280" s="285"/>
      <c r="AB280" s="285"/>
      <c r="AC280" s="9"/>
      <c r="AD280" s="306"/>
      <c r="AE280" s="302"/>
      <c r="AF280" s="302"/>
    </row>
    <row r="281" spans="1:32" x14ac:dyDescent="0.3">
      <c r="A281" s="59">
        <f>A278+1</f>
        <v>190</v>
      </c>
      <c r="B281" s="66" t="s">
        <v>1302</v>
      </c>
      <c r="C281" s="51">
        <f t="shared" ref="C281:C289" si="60">D281+K281+L281+N281+P281+R281+S281+U281+W281</f>
        <v>523052.4</v>
      </c>
      <c r="D281" s="51">
        <f t="shared" ref="D281:D289" si="61">E281+F281+G281+H281+I281</f>
        <v>523052.4</v>
      </c>
      <c r="E281" s="51">
        <v>523052.4</v>
      </c>
      <c r="F281" s="51"/>
      <c r="G281" s="51"/>
      <c r="H281" s="51"/>
      <c r="I281" s="51"/>
      <c r="J281" s="82"/>
      <c r="K281" s="51"/>
      <c r="L281" s="51"/>
      <c r="M281" s="82"/>
      <c r="N281" s="51"/>
      <c r="O281" s="82"/>
      <c r="P281" s="51"/>
      <c r="Q281" s="338"/>
      <c r="R281" s="51"/>
      <c r="S281" s="51"/>
      <c r="T281" s="35"/>
      <c r="U281" s="51"/>
      <c r="V281" s="51"/>
      <c r="W281" s="364"/>
      <c r="X281" s="285">
        <v>92528.27</v>
      </c>
      <c r="Y281" s="285"/>
      <c r="Z281" s="285"/>
      <c r="AA281" s="285"/>
      <c r="AB281" s="285"/>
      <c r="AC281" s="9"/>
      <c r="AD281" s="306">
        <v>62658.91</v>
      </c>
      <c r="AE281" s="302"/>
      <c r="AF281" s="302"/>
    </row>
    <row r="282" spans="1:32" x14ac:dyDescent="0.3">
      <c r="A282" s="59">
        <f>A281+1</f>
        <v>191</v>
      </c>
      <c r="B282" s="66" t="s">
        <v>1304</v>
      </c>
      <c r="C282" s="51">
        <f t="shared" si="60"/>
        <v>5633032.3799999999</v>
      </c>
      <c r="D282" s="51">
        <f t="shared" si="61"/>
        <v>5633032.3799999999</v>
      </c>
      <c r="E282" s="51">
        <v>1708846.5</v>
      </c>
      <c r="F282" s="51">
        <f>649457.84+167222.52</f>
        <v>816680.36</v>
      </c>
      <c r="G282" s="51">
        <v>820006.8</v>
      </c>
      <c r="H282" s="51">
        <v>534332.31999999995</v>
      </c>
      <c r="I282" s="51">
        <v>1753166.4</v>
      </c>
      <c r="J282" s="82"/>
      <c r="K282" s="51"/>
      <c r="L282" s="51"/>
      <c r="M282" s="82"/>
      <c r="N282" s="51"/>
      <c r="O282" s="82"/>
      <c r="P282" s="51"/>
      <c r="Q282" s="338"/>
      <c r="R282" s="51"/>
      <c r="S282" s="51"/>
      <c r="T282" s="35"/>
      <c r="U282" s="51"/>
      <c r="V282" s="51"/>
      <c r="W282" s="364"/>
      <c r="X282" s="285">
        <v>195600.42</v>
      </c>
      <c r="Y282" s="285">
        <v>249994.87</v>
      </c>
      <c r="Z282" s="505">
        <v>208672.36</v>
      </c>
      <c r="AA282" s="505"/>
      <c r="AB282" s="285">
        <v>190687</v>
      </c>
      <c r="AC282" s="9"/>
      <c r="AD282" s="306">
        <v>208626.54</v>
      </c>
      <c r="AE282" s="302">
        <v>1137615.48</v>
      </c>
      <c r="AF282" s="302"/>
    </row>
    <row r="283" spans="1:32" x14ac:dyDescent="0.3">
      <c r="A283" s="59">
        <f>A282+1</f>
        <v>192</v>
      </c>
      <c r="B283" s="66" t="s">
        <v>1306</v>
      </c>
      <c r="C283" s="51">
        <f t="shared" si="60"/>
        <v>492246</v>
      </c>
      <c r="D283" s="51">
        <f t="shared" si="61"/>
        <v>492246</v>
      </c>
      <c r="E283" s="51">
        <v>492246</v>
      </c>
      <c r="F283" s="51"/>
      <c r="G283" s="51"/>
      <c r="H283" s="51"/>
      <c r="I283" s="51"/>
      <c r="J283" s="82"/>
      <c r="K283" s="51"/>
      <c r="L283" s="51"/>
      <c r="M283" s="82"/>
      <c r="N283" s="51"/>
      <c r="O283" s="82"/>
      <c r="P283" s="51"/>
      <c r="Q283" s="338"/>
      <c r="R283" s="51"/>
      <c r="S283" s="51"/>
      <c r="T283" s="35"/>
      <c r="U283" s="51"/>
      <c r="V283" s="51"/>
      <c r="W283" s="364"/>
      <c r="X283" s="285"/>
      <c r="Y283" s="285">
        <v>133001.47</v>
      </c>
      <c r="Z283" s="505">
        <v>116907.52</v>
      </c>
      <c r="AA283" s="505"/>
      <c r="AB283" s="285">
        <v>112282.7</v>
      </c>
      <c r="AC283" s="9"/>
      <c r="AD283" s="306"/>
      <c r="AE283" s="302"/>
      <c r="AF283" s="302">
        <v>192573.14</v>
      </c>
    </row>
    <row r="284" spans="1:32" x14ac:dyDescent="0.3">
      <c r="A284" s="59">
        <f>A281+1</f>
        <v>191</v>
      </c>
      <c r="B284" s="66" t="s">
        <v>1308</v>
      </c>
      <c r="C284" s="51">
        <f t="shared" si="60"/>
        <v>596653.19999999995</v>
      </c>
      <c r="D284" s="51">
        <f t="shared" si="61"/>
        <v>596653.19999999995</v>
      </c>
      <c r="E284" s="51">
        <v>596653.19999999995</v>
      </c>
      <c r="F284" s="51"/>
      <c r="G284" s="51"/>
      <c r="H284" s="51"/>
      <c r="I284" s="51"/>
      <c r="J284" s="82"/>
      <c r="K284" s="51"/>
      <c r="L284" s="51"/>
      <c r="M284" s="82"/>
      <c r="N284" s="51"/>
      <c r="O284" s="82"/>
      <c r="P284" s="51"/>
      <c r="Q284" s="338"/>
      <c r="R284" s="51"/>
      <c r="S284" s="51"/>
      <c r="T284" s="35"/>
      <c r="U284" s="51"/>
      <c r="V284" s="51"/>
      <c r="W284" s="364"/>
      <c r="X284" s="285"/>
      <c r="Y284" s="285">
        <v>122518.27</v>
      </c>
      <c r="Z284" s="505">
        <v>107735.05</v>
      </c>
      <c r="AA284" s="505"/>
      <c r="AB284" s="285"/>
      <c r="AC284" s="9"/>
      <c r="AD284" s="306"/>
      <c r="AE284" s="302"/>
      <c r="AF284" s="302"/>
    </row>
    <row r="285" spans="1:32" x14ac:dyDescent="0.3">
      <c r="A285" s="59">
        <f>A284+1</f>
        <v>192</v>
      </c>
      <c r="B285" s="66" t="s">
        <v>1309</v>
      </c>
      <c r="C285" s="51">
        <f t="shared" si="60"/>
        <v>5285570.4000000004</v>
      </c>
      <c r="D285" s="51">
        <f t="shared" si="61"/>
        <v>5285570.4000000004</v>
      </c>
      <c r="E285" s="51">
        <v>634872</v>
      </c>
      <c r="F285" s="51">
        <f>1822813.2+348181.2</f>
        <v>2170994.4</v>
      </c>
      <c r="G285" s="51">
        <v>327391.2</v>
      </c>
      <c r="H285" s="51"/>
      <c r="I285" s="51">
        <v>2152312.7999999998</v>
      </c>
      <c r="J285" s="82"/>
      <c r="K285" s="51"/>
      <c r="L285" s="51"/>
      <c r="M285" s="82"/>
      <c r="N285" s="51"/>
      <c r="O285" s="82"/>
      <c r="P285" s="51"/>
      <c r="Q285" s="338"/>
      <c r="R285" s="51"/>
      <c r="S285" s="51"/>
      <c r="T285" s="35"/>
      <c r="U285" s="51"/>
      <c r="V285" s="51"/>
      <c r="W285" s="364"/>
      <c r="X285" s="285">
        <v>108773.35</v>
      </c>
      <c r="Y285" s="285">
        <v>129043.45</v>
      </c>
      <c r="Z285" s="505">
        <v>108200.75</v>
      </c>
      <c r="AA285" s="505"/>
      <c r="AB285" s="285">
        <v>103062.07</v>
      </c>
      <c r="AC285" s="9">
        <v>174754.79</v>
      </c>
      <c r="AD285" s="306">
        <v>229714.96</v>
      </c>
      <c r="AE285" s="302">
        <v>495397.03</v>
      </c>
      <c r="AF285" s="302"/>
    </row>
    <row r="286" spans="1:32" x14ac:dyDescent="0.3">
      <c r="A286" s="59">
        <f>A285+1</f>
        <v>193</v>
      </c>
      <c r="B286" s="66" t="s">
        <v>1310</v>
      </c>
      <c r="C286" s="51">
        <f t="shared" si="60"/>
        <v>5886080.3999999994</v>
      </c>
      <c r="D286" s="51">
        <f t="shared" si="61"/>
        <v>5886080.3999999994</v>
      </c>
      <c r="E286" s="51">
        <v>946989.6</v>
      </c>
      <c r="F286" s="51">
        <f>3111361.2+379626</f>
        <v>3490987.2</v>
      </c>
      <c r="G286" s="51">
        <v>580842</v>
      </c>
      <c r="H286" s="51"/>
      <c r="I286" s="51">
        <v>867261.6</v>
      </c>
      <c r="J286" s="82"/>
      <c r="K286" s="51"/>
      <c r="L286" s="51"/>
      <c r="M286" s="82"/>
      <c r="N286" s="51"/>
      <c r="O286" s="82"/>
      <c r="P286" s="51"/>
      <c r="Q286" s="338"/>
      <c r="R286" s="51"/>
      <c r="S286" s="51"/>
      <c r="T286" s="35"/>
      <c r="U286" s="51"/>
      <c r="V286" s="51"/>
      <c r="W286" s="364"/>
      <c r="X286" s="285">
        <v>143343.73000000001</v>
      </c>
      <c r="Y286" s="285">
        <v>176583.86</v>
      </c>
      <c r="Z286" s="505">
        <v>149223.67000000001</v>
      </c>
      <c r="AA286" s="505"/>
      <c r="AB286" s="285">
        <v>137918.57999999999</v>
      </c>
      <c r="AC286" s="9"/>
      <c r="AD286" s="306"/>
      <c r="AE286" s="302"/>
      <c r="AF286" s="302"/>
    </row>
    <row r="287" spans="1:32" x14ac:dyDescent="0.3">
      <c r="A287" s="59">
        <f>A284+1</f>
        <v>192</v>
      </c>
      <c r="B287" s="66" t="s">
        <v>1311</v>
      </c>
      <c r="C287" s="51">
        <f t="shared" si="60"/>
        <v>5885980.7999999998</v>
      </c>
      <c r="D287" s="51">
        <f t="shared" si="61"/>
        <v>5885980.7999999998</v>
      </c>
      <c r="E287" s="51">
        <v>946890</v>
      </c>
      <c r="F287" s="51">
        <f>3111361.2+379626</f>
        <v>3490987.2</v>
      </c>
      <c r="G287" s="51">
        <v>580842</v>
      </c>
      <c r="H287" s="51"/>
      <c r="I287" s="51">
        <v>867261.6</v>
      </c>
      <c r="J287" s="82"/>
      <c r="K287" s="51"/>
      <c r="L287" s="51"/>
      <c r="M287" s="82"/>
      <c r="N287" s="51"/>
      <c r="O287" s="82"/>
      <c r="P287" s="51"/>
      <c r="Q287" s="338"/>
      <c r="R287" s="51"/>
      <c r="S287" s="51"/>
      <c r="T287" s="35"/>
      <c r="U287" s="51"/>
      <c r="V287" s="51"/>
      <c r="W287" s="364"/>
      <c r="X287" s="285">
        <v>136432.01999999999</v>
      </c>
      <c r="Y287" s="285">
        <v>169601.32</v>
      </c>
      <c r="Z287" s="505">
        <v>142935.1</v>
      </c>
      <c r="AA287" s="505"/>
      <c r="AB287" s="285">
        <v>131630.01999999999</v>
      </c>
      <c r="AC287" s="9"/>
      <c r="AD287" s="306"/>
      <c r="AE287" s="302"/>
      <c r="AF287" s="302"/>
    </row>
    <row r="288" spans="1:32" x14ac:dyDescent="0.3">
      <c r="A288" s="59">
        <f>A287+1</f>
        <v>193</v>
      </c>
      <c r="B288" s="66" t="s">
        <v>1312</v>
      </c>
      <c r="C288" s="51">
        <f t="shared" si="60"/>
        <v>570424.80000000005</v>
      </c>
      <c r="D288" s="51">
        <f t="shared" si="61"/>
        <v>570424.80000000005</v>
      </c>
      <c r="E288" s="51">
        <v>570424.80000000005</v>
      </c>
      <c r="F288" s="51"/>
      <c r="G288" s="51"/>
      <c r="H288" s="51"/>
      <c r="I288" s="51"/>
      <c r="J288" s="82"/>
      <c r="K288" s="51"/>
      <c r="L288" s="51"/>
      <c r="M288" s="82"/>
      <c r="N288" s="51"/>
      <c r="O288" s="82"/>
      <c r="P288" s="51"/>
      <c r="Q288" s="338"/>
      <c r="R288" s="51"/>
      <c r="S288" s="51"/>
      <c r="T288" s="35"/>
      <c r="U288" s="51"/>
      <c r="V288" s="51"/>
      <c r="W288" s="364"/>
      <c r="X288" s="9"/>
      <c r="Y288" s="9"/>
      <c r="Z288" s="9"/>
      <c r="AA288" s="9"/>
      <c r="AB288" s="9"/>
      <c r="AC288" s="9"/>
      <c r="AD288" s="40"/>
      <c r="AE288" s="56"/>
      <c r="AF288" s="302"/>
    </row>
    <row r="289" spans="1:32" x14ac:dyDescent="0.3">
      <c r="A289" s="59">
        <f>A288+1</f>
        <v>194</v>
      </c>
      <c r="B289" s="66" t="s">
        <v>1325</v>
      </c>
      <c r="C289" s="51">
        <f t="shared" si="60"/>
        <v>1947381.8800000001</v>
      </c>
      <c r="D289" s="51">
        <f t="shared" si="61"/>
        <v>1947381.8800000001</v>
      </c>
      <c r="E289" s="51">
        <v>829334.68</v>
      </c>
      <c r="F289" s="51"/>
      <c r="G289" s="51">
        <v>480409.2</v>
      </c>
      <c r="H289" s="51"/>
      <c r="I289" s="51">
        <v>637638</v>
      </c>
      <c r="J289" s="82"/>
      <c r="K289" s="51"/>
      <c r="L289" s="51"/>
      <c r="M289" s="82"/>
      <c r="N289" s="51"/>
      <c r="O289" s="82"/>
      <c r="P289" s="51"/>
      <c r="Q289" s="338"/>
      <c r="R289" s="51"/>
      <c r="S289" s="51"/>
      <c r="T289" s="35"/>
      <c r="U289" s="51"/>
      <c r="V289" s="51"/>
      <c r="W289" s="364"/>
      <c r="X289" s="285">
        <v>118227.25</v>
      </c>
      <c r="Y289" s="285">
        <v>141242.29999999999</v>
      </c>
      <c r="Z289" s="505">
        <v>130342.97</v>
      </c>
      <c r="AA289" s="505"/>
      <c r="AB289" s="285">
        <v>118010.15</v>
      </c>
      <c r="AC289" s="9"/>
      <c r="AD289" s="306"/>
      <c r="AE289" s="302"/>
      <c r="AF289" s="302"/>
    </row>
    <row r="290" spans="1:32" x14ac:dyDescent="0.3">
      <c r="A290" s="59"/>
      <c r="B290" s="66" t="s">
        <v>211</v>
      </c>
      <c r="C290" s="51">
        <f t="shared" ref="C290:W290" si="62">SUM(C281:C289)</f>
        <v>26820422.260000002</v>
      </c>
      <c r="D290" s="51">
        <f t="shared" si="62"/>
        <v>26820422.260000002</v>
      </c>
      <c r="E290" s="51">
        <f t="shared" si="62"/>
        <v>7249309.1799999988</v>
      </c>
      <c r="F290" s="51">
        <f t="shared" si="62"/>
        <v>9969649.1600000001</v>
      </c>
      <c r="G290" s="51">
        <f t="shared" si="62"/>
        <v>2789491.2</v>
      </c>
      <c r="H290" s="51">
        <f t="shared" si="62"/>
        <v>534332.31999999995</v>
      </c>
      <c r="I290" s="51">
        <f t="shared" si="62"/>
        <v>6277640.3999999994</v>
      </c>
      <c r="J290" s="82">
        <f t="shared" si="62"/>
        <v>0</v>
      </c>
      <c r="K290" s="51">
        <f t="shared" si="62"/>
        <v>0</v>
      </c>
      <c r="L290" s="51">
        <f t="shared" si="62"/>
        <v>0</v>
      </c>
      <c r="M290" s="82">
        <f t="shared" si="62"/>
        <v>0</v>
      </c>
      <c r="N290" s="51">
        <f t="shared" si="62"/>
        <v>0</v>
      </c>
      <c r="O290" s="82">
        <f t="shared" si="62"/>
        <v>0</v>
      </c>
      <c r="P290" s="51">
        <f t="shared" si="62"/>
        <v>0</v>
      </c>
      <c r="Q290" s="338">
        <f t="shared" si="62"/>
        <v>0</v>
      </c>
      <c r="R290" s="51">
        <f t="shared" si="62"/>
        <v>0</v>
      </c>
      <c r="S290" s="51">
        <f t="shared" si="62"/>
        <v>0</v>
      </c>
      <c r="T290" s="35">
        <f t="shared" si="62"/>
        <v>0</v>
      </c>
      <c r="U290" s="51">
        <f t="shared" si="62"/>
        <v>0</v>
      </c>
      <c r="V290" s="51">
        <f t="shared" si="62"/>
        <v>0</v>
      </c>
      <c r="W290" s="51">
        <f t="shared" si="62"/>
        <v>0</v>
      </c>
      <c r="X290" s="285"/>
      <c r="Y290" s="285"/>
      <c r="Z290" s="285"/>
      <c r="AA290" s="285"/>
      <c r="AB290" s="285"/>
      <c r="AC290" s="9"/>
      <c r="AD290" s="306"/>
      <c r="AE290" s="302"/>
      <c r="AF290" s="302"/>
    </row>
    <row r="291" spans="1:32" x14ac:dyDescent="0.3">
      <c r="A291" s="59"/>
      <c r="B291" s="66" t="s">
        <v>1329</v>
      </c>
      <c r="C291" s="51">
        <f>C225+C239+C257+C261+C265+C272+C279+C290</f>
        <v>172360058.61333331</v>
      </c>
      <c r="D291" s="51">
        <f t="shared" ref="D291:W291" si="63">D225+D239+D257+D261+D265+D272+D279+D290</f>
        <v>121867551.51000001</v>
      </c>
      <c r="E291" s="51">
        <f t="shared" si="63"/>
        <v>26997298.430000003</v>
      </c>
      <c r="F291" s="51">
        <f t="shared" si="63"/>
        <v>65497377.019999996</v>
      </c>
      <c r="G291" s="51">
        <f t="shared" si="63"/>
        <v>13318191.25</v>
      </c>
      <c r="H291" s="51">
        <f t="shared" si="63"/>
        <v>6301500.8700000001</v>
      </c>
      <c r="I291" s="51">
        <f t="shared" si="63"/>
        <v>9753183.9399999995</v>
      </c>
      <c r="J291" s="82">
        <f t="shared" si="63"/>
        <v>0</v>
      </c>
      <c r="K291" s="51">
        <f t="shared" si="63"/>
        <v>0</v>
      </c>
      <c r="L291" s="51">
        <f t="shared" si="63"/>
        <v>0</v>
      </c>
      <c r="M291" s="82">
        <f t="shared" si="63"/>
        <v>12383.060000000001</v>
      </c>
      <c r="N291" s="51">
        <f t="shared" si="63"/>
        <v>47352792.32</v>
      </c>
      <c r="O291" s="82">
        <f t="shared" si="63"/>
        <v>0</v>
      </c>
      <c r="P291" s="51">
        <f t="shared" si="63"/>
        <v>0</v>
      </c>
      <c r="Q291" s="338">
        <f t="shared" si="63"/>
        <v>13</v>
      </c>
      <c r="R291" s="51">
        <f t="shared" si="63"/>
        <v>182039</v>
      </c>
      <c r="S291" s="51">
        <f t="shared" si="63"/>
        <v>1136793.3333333333</v>
      </c>
      <c r="T291" s="35">
        <f t="shared" si="63"/>
        <v>0</v>
      </c>
      <c r="U291" s="51">
        <f t="shared" si="63"/>
        <v>0</v>
      </c>
      <c r="V291" s="51">
        <f t="shared" si="63"/>
        <v>116175.6</v>
      </c>
      <c r="W291" s="51">
        <f t="shared" si="63"/>
        <v>1820882.45</v>
      </c>
      <c r="X291" s="285"/>
      <c r="Y291" s="285"/>
      <c r="Z291" s="285"/>
      <c r="AA291" s="285"/>
      <c r="AB291" s="285"/>
      <c r="AC291" s="9"/>
      <c r="AD291" s="306"/>
      <c r="AE291" s="302"/>
      <c r="AF291" s="302"/>
    </row>
    <row r="292" spans="1:32" ht="15" customHeight="1" x14ac:dyDescent="0.3">
      <c r="A292" s="319" t="s">
        <v>1330</v>
      </c>
      <c r="B292" s="320"/>
      <c r="C292" s="51"/>
      <c r="D292" s="51"/>
      <c r="E292" s="51"/>
      <c r="F292" s="51"/>
      <c r="G292" s="51"/>
      <c r="H292" s="51"/>
      <c r="I292" s="51"/>
      <c r="J292" s="82"/>
      <c r="K292" s="51"/>
      <c r="L292" s="51"/>
      <c r="M292" s="82"/>
      <c r="N292" s="51"/>
      <c r="O292" s="82"/>
      <c r="P292" s="51"/>
      <c r="Q292" s="338"/>
      <c r="R292" s="51"/>
      <c r="S292" s="51"/>
      <c r="T292" s="35"/>
      <c r="U292" s="51"/>
      <c r="V292" s="51"/>
      <c r="W292" s="364"/>
      <c r="X292" s="285"/>
      <c r="Y292" s="9"/>
      <c r="Z292" s="40"/>
      <c r="AA292" s="56"/>
      <c r="AB292" s="56"/>
      <c r="AC292" s="56"/>
      <c r="AD292" s="56"/>
      <c r="AE292" s="56"/>
      <c r="AF292" s="56"/>
    </row>
    <row r="293" spans="1:32" ht="15" customHeight="1" x14ac:dyDescent="0.3">
      <c r="A293" s="312"/>
      <c r="B293" s="321" t="s">
        <v>1331</v>
      </c>
      <c r="C293" s="51"/>
      <c r="D293" s="51"/>
      <c r="E293" s="51"/>
      <c r="F293" s="51"/>
      <c r="G293" s="51"/>
      <c r="H293" s="51"/>
      <c r="I293" s="51"/>
      <c r="J293" s="82"/>
      <c r="K293" s="51"/>
      <c r="L293" s="51"/>
      <c r="M293" s="82"/>
      <c r="N293" s="51"/>
      <c r="O293" s="82"/>
      <c r="P293" s="51"/>
      <c r="Q293" s="338"/>
      <c r="R293" s="51"/>
      <c r="S293" s="51"/>
      <c r="T293" s="35"/>
      <c r="U293" s="51"/>
      <c r="V293" s="51"/>
      <c r="W293" s="364"/>
      <c r="X293" s="285"/>
      <c r="Y293" s="9"/>
      <c r="Z293" s="40"/>
      <c r="AA293" s="56"/>
      <c r="AB293" s="56"/>
      <c r="AC293" s="56"/>
      <c r="AD293" s="56"/>
    </row>
    <row r="294" spans="1:32" x14ac:dyDescent="0.3">
      <c r="A294" s="59">
        <f>A289+1</f>
        <v>195</v>
      </c>
      <c r="B294" s="66" t="s">
        <v>1332</v>
      </c>
      <c r="C294" s="51">
        <f>D294+K294+L294+N294+P294+R294+U294+S294+V294+W294</f>
        <v>1744810.8</v>
      </c>
      <c r="D294" s="51">
        <f>E294+F294+G294+H294+I294</f>
        <v>1726116</v>
      </c>
      <c r="E294" s="51">
        <v>1726116</v>
      </c>
      <c r="F294" s="51"/>
      <c r="G294" s="51"/>
      <c r="H294" s="51"/>
      <c r="I294" s="51"/>
      <c r="J294" s="82"/>
      <c r="K294" s="51"/>
      <c r="L294" s="51"/>
      <c r="M294" s="82"/>
      <c r="N294" s="51"/>
      <c r="O294" s="82"/>
      <c r="P294" s="51"/>
      <c r="Q294" s="338"/>
      <c r="R294" s="51"/>
      <c r="S294" s="51"/>
      <c r="T294" s="35"/>
      <c r="U294" s="51"/>
      <c r="V294" s="51">
        <v>18694.8</v>
      </c>
      <c r="W294" s="364"/>
      <c r="X294" s="285"/>
      <c r="Y294" s="9"/>
      <c r="Z294" s="40"/>
      <c r="AA294" s="56"/>
      <c r="AB294" s="56"/>
      <c r="AC294" s="56"/>
      <c r="AD294" s="56"/>
    </row>
    <row r="295" spans="1:32" x14ac:dyDescent="0.3">
      <c r="A295" s="59">
        <f>A294+1</f>
        <v>196</v>
      </c>
      <c r="B295" s="66" t="s">
        <v>1336</v>
      </c>
      <c r="C295" s="51">
        <f>D295+K295+L295+N295+P295+R295+U295+S295+V295+W295</f>
        <v>1727989.2</v>
      </c>
      <c r="D295" s="51">
        <f>E295+F295+G295+H295+I295</f>
        <v>1727989.2</v>
      </c>
      <c r="E295" s="51"/>
      <c r="F295" s="51"/>
      <c r="G295" s="51"/>
      <c r="H295" s="51"/>
      <c r="I295" s="51">
        <v>1727989.2</v>
      </c>
      <c r="J295" s="82"/>
      <c r="K295" s="51"/>
      <c r="L295" s="51"/>
      <c r="M295" s="82"/>
      <c r="N295" s="51"/>
      <c r="O295" s="82"/>
      <c r="P295" s="51"/>
      <c r="Q295" s="338"/>
      <c r="R295" s="51"/>
      <c r="S295" s="51"/>
      <c r="T295" s="35"/>
      <c r="U295" s="51"/>
      <c r="V295" s="51"/>
      <c r="W295" s="364"/>
      <c r="X295" s="285"/>
      <c r="Y295" s="9"/>
      <c r="Z295" s="40"/>
      <c r="AA295" s="56"/>
      <c r="AB295" s="56"/>
      <c r="AC295" s="56"/>
      <c r="AD295" s="56"/>
    </row>
    <row r="296" spans="1:32" x14ac:dyDescent="0.3">
      <c r="A296" s="59">
        <f>A295+1</f>
        <v>197</v>
      </c>
      <c r="B296" s="66" t="s">
        <v>1339</v>
      </c>
      <c r="C296" s="51">
        <f>D296+K296+L296+N296+P296+R296+U296+S296+V296+W296</f>
        <v>1192684.8</v>
      </c>
      <c r="D296" s="51">
        <f>E296+F296+G296+H296+I296</f>
        <v>1192684.8</v>
      </c>
      <c r="E296" s="51"/>
      <c r="F296" s="51"/>
      <c r="G296" s="51"/>
      <c r="H296" s="51"/>
      <c r="I296" s="51">
        <v>1192684.8</v>
      </c>
      <c r="J296" s="82"/>
      <c r="K296" s="51"/>
      <c r="L296" s="51"/>
      <c r="M296" s="82"/>
      <c r="N296" s="51"/>
      <c r="O296" s="82"/>
      <c r="P296" s="51"/>
      <c r="Q296" s="338"/>
      <c r="R296" s="51"/>
      <c r="S296" s="51"/>
      <c r="T296" s="35"/>
      <c r="U296" s="51"/>
      <c r="V296" s="51"/>
      <c r="W296" s="364"/>
      <c r="X296" s="285"/>
      <c r="Y296" s="9"/>
      <c r="Z296" s="40"/>
      <c r="AA296" s="56"/>
      <c r="AB296" s="56"/>
      <c r="AC296" s="56"/>
      <c r="AD296" s="56"/>
    </row>
    <row r="297" spans="1:32" x14ac:dyDescent="0.3">
      <c r="A297" s="59">
        <f>A296+1</f>
        <v>198</v>
      </c>
      <c r="B297" s="66" t="s">
        <v>1340</v>
      </c>
      <c r="C297" s="51">
        <f>D297+K297+L297+N297+P297+R297+U297+S297+V297+W297</f>
        <v>1210675.2</v>
      </c>
      <c r="D297" s="51">
        <f>E297+F297+G297+H297+I297</f>
        <v>1210675.2</v>
      </c>
      <c r="E297" s="51"/>
      <c r="F297" s="51"/>
      <c r="G297" s="51"/>
      <c r="H297" s="51"/>
      <c r="I297" s="51">
        <v>1210675.2</v>
      </c>
      <c r="J297" s="82"/>
      <c r="K297" s="51"/>
      <c r="L297" s="51"/>
      <c r="M297" s="82"/>
      <c r="N297" s="51"/>
      <c r="O297" s="82"/>
      <c r="P297" s="51"/>
      <c r="Q297" s="338"/>
      <c r="R297" s="51"/>
      <c r="S297" s="51"/>
      <c r="T297" s="35"/>
      <c r="U297" s="51"/>
      <c r="V297" s="51"/>
      <c r="W297" s="364"/>
      <c r="X297" s="285"/>
      <c r="Y297" s="9"/>
      <c r="Z297" s="40"/>
      <c r="AA297" s="56"/>
      <c r="AB297" s="56"/>
      <c r="AC297" s="56"/>
      <c r="AD297" s="56"/>
    </row>
    <row r="298" spans="1:32" x14ac:dyDescent="0.3">
      <c r="A298" s="59">
        <f>A297+1</f>
        <v>199</v>
      </c>
      <c r="B298" s="66" t="s">
        <v>1342</v>
      </c>
      <c r="C298" s="51">
        <f>D298+K298+L298+N298+P298+R298+U298+S298+V298+W298</f>
        <v>1781805.6</v>
      </c>
      <c r="D298" s="51">
        <f>E298+F298+G298+H298+I298</f>
        <v>1781805.6</v>
      </c>
      <c r="E298" s="51"/>
      <c r="F298" s="51"/>
      <c r="G298" s="51"/>
      <c r="H298" s="51"/>
      <c r="I298" s="51">
        <v>1781805.6</v>
      </c>
      <c r="J298" s="82"/>
      <c r="K298" s="51"/>
      <c r="L298" s="51"/>
      <c r="M298" s="82"/>
      <c r="N298" s="51"/>
      <c r="O298" s="82"/>
      <c r="P298" s="51"/>
      <c r="Q298" s="338"/>
      <c r="R298" s="51"/>
      <c r="S298" s="51"/>
      <c r="T298" s="35"/>
      <c r="U298" s="51"/>
      <c r="V298" s="51"/>
      <c r="W298" s="364"/>
      <c r="X298" s="285"/>
      <c r="Y298" s="9"/>
      <c r="Z298" s="40"/>
      <c r="AA298" s="56"/>
      <c r="AB298" s="56"/>
      <c r="AC298" s="56"/>
      <c r="AD298" s="56"/>
    </row>
    <row r="299" spans="1:32" x14ac:dyDescent="0.3">
      <c r="A299" s="59"/>
      <c r="B299" s="66" t="s">
        <v>211</v>
      </c>
      <c r="C299" s="51">
        <f t="shared" ref="C299:W299" si="64">SUM(C294:C298)</f>
        <v>7657965.5999999996</v>
      </c>
      <c r="D299" s="51">
        <f t="shared" si="64"/>
        <v>7639270.8000000007</v>
      </c>
      <c r="E299" s="51">
        <f t="shared" si="64"/>
        <v>1726116</v>
      </c>
      <c r="F299" s="51">
        <f t="shared" si="64"/>
        <v>0</v>
      </c>
      <c r="G299" s="51">
        <f t="shared" si="64"/>
        <v>0</v>
      </c>
      <c r="H299" s="51">
        <f t="shared" si="64"/>
        <v>0</v>
      </c>
      <c r="I299" s="51">
        <f t="shared" si="64"/>
        <v>5913154.8000000007</v>
      </c>
      <c r="J299" s="82">
        <f t="shared" si="64"/>
        <v>0</v>
      </c>
      <c r="K299" s="51">
        <f t="shared" si="64"/>
        <v>0</v>
      </c>
      <c r="L299" s="51">
        <f t="shared" si="64"/>
        <v>0</v>
      </c>
      <c r="M299" s="82">
        <f t="shared" si="64"/>
        <v>0</v>
      </c>
      <c r="N299" s="51">
        <f t="shared" si="64"/>
        <v>0</v>
      </c>
      <c r="O299" s="82">
        <f t="shared" si="64"/>
        <v>0</v>
      </c>
      <c r="P299" s="51">
        <f t="shared" si="64"/>
        <v>0</v>
      </c>
      <c r="Q299" s="338">
        <f t="shared" si="64"/>
        <v>0</v>
      </c>
      <c r="R299" s="51">
        <f t="shared" si="64"/>
        <v>0</v>
      </c>
      <c r="S299" s="51">
        <f t="shared" si="64"/>
        <v>0</v>
      </c>
      <c r="T299" s="35">
        <f t="shared" si="64"/>
        <v>0</v>
      </c>
      <c r="U299" s="51">
        <f t="shared" si="64"/>
        <v>0</v>
      </c>
      <c r="V299" s="51">
        <f t="shared" si="64"/>
        <v>18694.8</v>
      </c>
      <c r="W299" s="51">
        <f t="shared" si="64"/>
        <v>0</v>
      </c>
      <c r="X299" s="285"/>
      <c r="Y299" s="9"/>
      <c r="Z299" s="40"/>
      <c r="AA299" s="56"/>
      <c r="AB299" s="56"/>
      <c r="AC299" s="56"/>
      <c r="AD299" s="56"/>
    </row>
    <row r="300" spans="1:32" ht="15" customHeight="1" x14ac:dyDescent="0.3">
      <c r="A300" s="312"/>
      <c r="B300" s="321" t="s">
        <v>1343</v>
      </c>
      <c r="C300" s="51"/>
      <c r="D300" s="51"/>
      <c r="E300" s="51"/>
      <c r="F300" s="51"/>
      <c r="G300" s="51"/>
      <c r="H300" s="51"/>
      <c r="I300" s="51"/>
      <c r="J300" s="82"/>
      <c r="K300" s="51"/>
      <c r="L300" s="51"/>
      <c r="M300" s="82"/>
      <c r="N300" s="51"/>
      <c r="O300" s="82"/>
      <c r="P300" s="51"/>
      <c r="Q300" s="338"/>
      <c r="R300" s="51"/>
      <c r="S300" s="51"/>
      <c r="T300" s="35"/>
      <c r="U300" s="51"/>
      <c r="V300" s="51"/>
      <c r="W300" s="364"/>
      <c r="X300" s="285"/>
      <c r="Y300" s="9"/>
      <c r="Z300" s="40"/>
      <c r="AA300" s="56"/>
      <c r="AB300" s="56"/>
      <c r="AC300" s="56"/>
      <c r="AD300" s="56"/>
    </row>
    <row r="301" spans="1:32" x14ac:dyDescent="0.3">
      <c r="A301" s="59">
        <f>A298+1</f>
        <v>200</v>
      </c>
      <c r="B301" s="66" t="s">
        <v>1344</v>
      </c>
      <c r="C301" s="51">
        <f>D301+K301+L301+N301+P301+R301+U301+S301+V301+W301</f>
        <v>1866070.8</v>
      </c>
      <c r="D301" s="51">
        <f>E301+F301+G301+H301+I301</f>
        <v>0</v>
      </c>
      <c r="E301" s="51"/>
      <c r="F301" s="51"/>
      <c r="G301" s="51"/>
      <c r="H301" s="51"/>
      <c r="I301" s="51"/>
      <c r="J301" s="82"/>
      <c r="K301" s="51"/>
      <c r="L301" s="51"/>
      <c r="M301" s="82">
        <v>320</v>
      </c>
      <c r="N301" s="51">
        <v>1866070.8</v>
      </c>
      <c r="O301" s="82"/>
      <c r="P301" s="51"/>
      <c r="Q301" s="338"/>
      <c r="R301" s="51"/>
      <c r="S301" s="51"/>
      <c r="T301" s="35"/>
      <c r="U301" s="51"/>
      <c r="V301" s="51"/>
      <c r="W301" s="364"/>
      <c r="X301" s="285"/>
      <c r="Y301" s="9"/>
      <c r="Z301" s="40"/>
      <c r="AA301" s="56"/>
      <c r="AB301" s="56"/>
      <c r="AC301" s="56"/>
      <c r="AD301" s="56"/>
    </row>
    <row r="302" spans="1:32" x14ac:dyDescent="0.3">
      <c r="A302" s="59">
        <f>A301+1</f>
        <v>201</v>
      </c>
      <c r="B302" s="66" t="s">
        <v>1345</v>
      </c>
      <c r="C302" s="51">
        <f>D302+K302+L302+N302+P302+R302+U302+S302+V302+W302</f>
        <v>1866070.8</v>
      </c>
      <c r="D302" s="51">
        <f>E302+F302+G302+H302+I302</f>
        <v>0</v>
      </c>
      <c r="E302" s="51"/>
      <c r="F302" s="51"/>
      <c r="G302" s="51"/>
      <c r="H302" s="51"/>
      <c r="I302" s="51"/>
      <c r="J302" s="82"/>
      <c r="K302" s="51"/>
      <c r="L302" s="51"/>
      <c r="M302" s="82">
        <v>320</v>
      </c>
      <c r="N302" s="51">
        <v>1866070.8</v>
      </c>
      <c r="O302" s="82"/>
      <c r="P302" s="51"/>
      <c r="Q302" s="338"/>
      <c r="R302" s="51"/>
      <c r="S302" s="51"/>
      <c r="T302" s="35"/>
      <c r="U302" s="51"/>
      <c r="V302" s="51"/>
      <c r="W302" s="364"/>
      <c r="X302" s="285"/>
      <c r="Y302" s="9"/>
      <c r="Z302" s="40"/>
      <c r="AA302" s="56"/>
      <c r="AB302" s="56"/>
      <c r="AC302" s="56"/>
      <c r="AD302" s="56"/>
    </row>
    <row r="303" spans="1:32" x14ac:dyDescent="0.3">
      <c r="A303" s="59"/>
      <c r="B303" s="66" t="s">
        <v>211</v>
      </c>
      <c r="C303" s="51">
        <f t="shared" ref="C303:W303" si="65">SUM(C301:C302)</f>
        <v>3732141.6</v>
      </c>
      <c r="D303" s="51">
        <f t="shared" si="65"/>
        <v>0</v>
      </c>
      <c r="E303" s="51">
        <f t="shared" si="65"/>
        <v>0</v>
      </c>
      <c r="F303" s="51">
        <f t="shared" si="65"/>
        <v>0</v>
      </c>
      <c r="G303" s="51">
        <f t="shared" si="65"/>
        <v>0</v>
      </c>
      <c r="H303" s="51">
        <f t="shared" si="65"/>
        <v>0</v>
      </c>
      <c r="I303" s="51">
        <f t="shared" si="65"/>
        <v>0</v>
      </c>
      <c r="J303" s="82">
        <f t="shared" si="65"/>
        <v>0</v>
      </c>
      <c r="K303" s="51">
        <f t="shared" si="65"/>
        <v>0</v>
      </c>
      <c r="L303" s="51">
        <f t="shared" si="65"/>
        <v>0</v>
      </c>
      <c r="M303" s="82">
        <f t="shared" si="65"/>
        <v>640</v>
      </c>
      <c r="N303" s="51">
        <f t="shared" si="65"/>
        <v>3732141.6</v>
      </c>
      <c r="O303" s="82">
        <f t="shared" si="65"/>
        <v>0</v>
      </c>
      <c r="P303" s="51">
        <f t="shared" si="65"/>
        <v>0</v>
      </c>
      <c r="Q303" s="338">
        <f t="shared" si="65"/>
        <v>0</v>
      </c>
      <c r="R303" s="51">
        <f t="shared" si="65"/>
        <v>0</v>
      </c>
      <c r="S303" s="51">
        <f t="shared" si="65"/>
        <v>0</v>
      </c>
      <c r="T303" s="35">
        <f t="shared" si="65"/>
        <v>0</v>
      </c>
      <c r="U303" s="51">
        <f t="shared" si="65"/>
        <v>0</v>
      </c>
      <c r="V303" s="51">
        <f t="shared" si="65"/>
        <v>0</v>
      </c>
      <c r="W303" s="51">
        <f t="shared" si="65"/>
        <v>0</v>
      </c>
      <c r="X303" s="285"/>
      <c r="Y303" s="9"/>
      <c r="Z303" s="40"/>
      <c r="AA303" s="56"/>
      <c r="AB303" s="56"/>
      <c r="AC303" s="56"/>
      <c r="AD303" s="56"/>
    </row>
    <row r="304" spans="1:32" ht="15" customHeight="1" x14ac:dyDescent="0.3">
      <c r="A304" s="312"/>
      <c r="B304" s="321" t="s">
        <v>1361</v>
      </c>
      <c r="C304" s="51"/>
      <c r="D304" s="51"/>
      <c r="E304" s="51"/>
      <c r="F304" s="51"/>
      <c r="G304" s="51"/>
      <c r="H304" s="51"/>
      <c r="I304" s="51"/>
      <c r="J304" s="82"/>
      <c r="K304" s="51"/>
      <c r="L304" s="51"/>
      <c r="M304" s="82"/>
      <c r="N304" s="51"/>
      <c r="O304" s="82"/>
      <c r="P304" s="51"/>
      <c r="Q304" s="338"/>
      <c r="R304" s="51"/>
      <c r="S304" s="51"/>
      <c r="T304" s="35"/>
      <c r="U304" s="51"/>
      <c r="V304" s="51"/>
      <c r="W304" s="364">
        <f>SUM(X304:AB304)</f>
        <v>0</v>
      </c>
      <c r="X304" s="285"/>
      <c r="Y304" s="9"/>
      <c r="Z304" s="40"/>
      <c r="AA304" s="56"/>
      <c r="AB304" s="56"/>
      <c r="AC304" s="56"/>
      <c r="AD304" s="56"/>
    </row>
    <row r="305" spans="1:30" x14ac:dyDescent="0.3">
      <c r="A305" s="59">
        <f>A302+1</f>
        <v>202</v>
      </c>
      <c r="B305" s="66" t="s">
        <v>1379</v>
      </c>
      <c r="C305" s="51">
        <f>D305+K305+L305+N305+P305+R305+U305+S305+V305+W305</f>
        <v>698540.4</v>
      </c>
      <c r="D305" s="51">
        <f>E305+F305+G305+H305+I305</f>
        <v>698540.4</v>
      </c>
      <c r="E305" s="51">
        <v>698540.4</v>
      </c>
      <c r="F305" s="51"/>
      <c r="G305" s="51"/>
      <c r="H305" s="51"/>
      <c r="I305" s="51"/>
      <c r="J305" s="82"/>
      <c r="K305" s="51"/>
      <c r="L305" s="51"/>
      <c r="M305" s="82"/>
      <c r="N305" s="51"/>
      <c r="O305" s="82"/>
      <c r="P305" s="51"/>
      <c r="Q305" s="338"/>
      <c r="R305" s="51"/>
      <c r="S305" s="51"/>
      <c r="T305" s="35"/>
      <c r="U305" s="51"/>
      <c r="V305" s="51"/>
      <c r="W305" s="364"/>
      <c r="X305" s="285"/>
      <c r="Y305" s="9">
        <v>171604.15</v>
      </c>
      <c r="Z305" s="306"/>
      <c r="AA305" s="302"/>
      <c r="AB305" s="302"/>
      <c r="AC305" s="56"/>
      <c r="AD305" s="56"/>
    </row>
    <row r="306" spans="1:30" x14ac:dyDescent="0.3">
      <c r="A306" s="59"/>
      <c r="B306" s="66" t="s">
        <v>211</v>
      </c>
      <c r="C306" s="51">
        <f t="shared" ref="C306:W306" si="66">SUM(C305:C305)</f>
        <v>698540.4</v>
      </c>
      <c r="D306" s="51">
        <f t="shared" si="66"/>
        <v>698540.4</v>
      </c>
      <c r="E306" s="51">
        <f t="shared" si="66"/>
        <v>698540.4</v>
      </c>
      <c r="F306" s="51">
        <f t="shared" si="66"/>
        <v>0</v>
      </c>
      <c r="G306" s="51">
        <f t="shared" si="66"/>
        <v>0</v>
      </c>
      <c r="H306" s="51">
        <f t="shared" si="66"/>
        <v>0</v>
      </c>
      <c r="I306" s="51">
        <f t="shared" si="66"/>
        <v>0</v>
      </c>
      <c r="J306" s="82">
        <f t="shared" si="66"/>
        <v>0</v>
      </c>
      <c r="K306" s="51">
        <f t="shared" si="66"/>
        <v>0</v>
      </c>
      <c r="L306" s="51">
        <f t="shared" si="66"/>
        <v>0</v>
      </c>
      <c r="M306" s="82">
        <f t="shared" si="66"/>
        <v>0</v>
      </c>
      <c r="N306" s="51">
        <f t="shared" si="66"/>
        <v>0</v>
      </c>
      <c r="O306" s="82">
        <f t="shared" si="66"/>
        <v>0</v>
      </c>
      <c r="P306" s="51">
        <f t="shared" si="66"/>
        <v>0</v>
      </c>
      <c r="Q306" s="338">
        <f t="shared" si="66"/>
        <v>0</v>
      </c>
      <c r="R306" s="51">
        <f t="shared" si="66"/>
        <v>0</v>
      </c>
      <c r="S306" s="51">
        <f t="shared" si="66"/>
        <v>0</v>
      </c>
      <c r="T306" s="35">
        <f t="shared" si="66"/>
        <v>0</v>
      </c>
      <c r="U306" s="51">
        <f t="shared" si="66"/>
        <v>0</v>
      </c>
      <c r="V306" s="51">
        <f t="shared" si="66"/>
        <v>0</v>
      </c>
      <c r="W306" s="51">
        <f t="shared" si="66"/>
        <v>0</v>
      </c>
      <c r="X306" s="285"/>
      <c r="Y306" s="9"/>
      <c r="Z306" s="306"/>
      <c r="AA306" s="302"/>
      <c r="AB306" s="302"/>
      <c r="AC306" s="56"/>
      <c r="AD306" s="56"/>
    </row>
    <row r="307" spans="1:30" ht="15" customHeight="1" x14ac:dyDescent="0.3">
      <c r="A307" s="312"/>
      <c r="B307" s="321" t="s">
        <v>1388</v>
      </c>
      <c r="C307" s="51"/>
      <c r="D307" s="51"/>
      <c r="E307" s="51"/>
      <c r="F307" s="51"/>
      <c r="G307" s="51"/>
      <c r="H307" s="51"/>
      <c r="I307" s="51"/>
      <c r="J307" s="82"/>
      <c r="K307" s="51"/>
      <c r="L307" s="51"/>
      <c r="M307" s="82"/>
      <c r="N307" s="51"/>
      <c r="O307" s="82"/>
      <c r="P307" s="51"/>
      <c r="Q307" s="338"/>
      <c r="R307" s="51"/>
      <c r="S307" s="51"/>
      <c r="T307" s="35"/>
      <c r="U307" s="51"/>
      <c r="V307" s="51"/>
      <c r="W307" s="364"/>
      <c r="X307" s="285"/>
      <c r="Y307" s="9"/>
      <c r="Z307" s="306"/>
      <c r="AA307" s="302"/>
      <c r="AB307" s="302"/>
      <c r="AC307" s="56"/>
      <c r="AD307" s="56"/>
    </row>
    <row r="308" spans="1:30" x14ac:dyDescent="0.3">
      <c r="A308" s="59">
        <f>A305+1</f>
        <v>203</v>
      </c>
      <c r="B308" s="66" t="s">
        <v>1401</v>
      </c>
      <c r="C308" s="51">
        <f t="shared" ref="C308:C339" si="67">D308+K308+L308+N308+P308+R308+U308+S308+V308+W308</f>
        <v>4099836.4</v>
      </c>
      <c r="D308" s="51">
        <f t="shared" ref="D308:D369" si="68">E308+F308+G308+H308+I308</f>
        <v>4099836.4</v>
      </c>
      <c r="E308" s="51">
        <v>711063.6</v>
      </c>
      <c r="F308" s="51">
        <v>2553274.7999999998</v>
      </c>
      <c r="G308" s="51">
        <v>471327.6</v>
      </c>
      <c r="H308" s="51">
        <f>3910*13</f>
        <v>50830</v>
      </c>
      <c r="I308" s="51">
        <v>313340.40000000002</v>
      </c>
      <c r="J308" s="82"/>
      <c r="K308" s="51"/>
      <c r="L308" s="51"/>
      <c r="M308" s="82"/>
      <c r="N308" s="51"/>
      <c r="O308" s="82"/>
      <c r="P308" s="51"/>
      <c r="Q308" s="338"/>
      <c r="R308" s="51"/>
      <c r="S308" s="51"/>
      <c r="T308" s="35"/>
      <c r="U308" s="51"/>
      <c r="V308" s="51"/>
      <c r="W308" s="364"/>
      <c r="X308" s="285"/>
      <c r="Y308" s="9"/>
      <c r="Z308" s="40"/>
      <c r="AA308" s="56"/>
      <c r="AB308" s="56"/>
      <c r="AC308" s="56"/>
      <c r="AD308" s="56"/>
    </row>
    <row r="309" spans="1:30" x14ac:dyDescent="0.3">
      <c r="A309" s="59">
        <f>A308+1</f>
        <v>204</v>
      </c>
      <c r="B309" s="66" t="s">
        <v>1402</v>
      </c>
      <c r="C309" s="51">
        <f t="shared" si="67"/>
        <v>2119910.7999999998</v>
      </c>
      <c r="D309" s="51">
        <f t="shared" si="68"/>
        <v>2119910.7999999998</v>
      </c>
      <c r="E309" s="51">
        <v>441386.4</v>
      </c>
      <c r="F309" s="51">
        <v>1283582.3999999999</v>
      </c>
      <c r="G309" s="51">
        <v>194931.6</v>
      </c>
      <c r="H309" s="51">
        <f>3910*13</f>
        <v>50830</v>
      </c>
      <c r="I309" s="51">
        <v>149180.4</v>
      </c>
      <c r="J309" s="82"/>
      <c r="K309" s="51"/>
      <c r="L309" s="51"/>
      <c r="M309" s="82"/>
      <c r="N309" s="51"/>
      <c r="O309" s="82"/>
      <c r="P309" s="51"/>
      <c r="Q309" s="338"/>
      <c r="R309" s="51"/>
      <c r="S309" s="51"/>
      <c r="T309" s="35"/>
      <c r="U309" s="51"/>
      <c r="V309" s="51"/>
      <c r="W309" s="364"/>
      <c r="X309" s="285"/>
      <c r="Y309" s="9"/>
      <c r="Z309" s="40"/>
      <c r="AA309" s="56"/>
      <c r="AB309" s="56"/>
      <c r="AC309" s="56"/>
      <c r="AD309" s="56"/>
    </row>
    <row r="310" spans="1:30" x14ac:dyDescent="0.3">
      <c r="A310" s="59">
        <f t="shared" ref="A310:A369" si="69">A309+1</f>
        <v>205</v>
      </c>
      <c r="B310" s="66" t="s">
        <v>1403</v>
      </c>
      <c r="C310" s="51">
        <f t="shared" si="67"/>
        <v>2694508</v>
      </c>
      <c r="D310" s="51">
        <f t="shared" si="68"/>
        <v>2694508</v>
      </c>
      <c r="E310" s="51">
        <v>1647612</v>
      </c>
      <c r="F310" s="51">
        <v>782918.4</v>
      </c>
      <c r="G310" s="51">
        <v>129450</v>
      </c>
      <c r="H310" s="51">
        <f>3910*13</f>
        <v>50830</v>
      </c>
      <c r="I310" s="51">
        <v>83697.600000000006</v>
      </c>
      <c r="J310" s="82"/>
      <c r="K310" s="51"/>
      <c r="L310" s="51"/>
      <c r="M310" s="82"/>
      <c r="N310" s="51"/>
      <c r="O310" s="82"/>
      <c r="P310" s="51"/>
      <c r="Q310" s="338"/>
      <c r="R310" s="51"/>
      <c r="S310" s="51"/>
      <c r="T310" s="35"/>
      <c r="U310" s="51"/>
      <c r="V310" s="51"/>
      <c r="W310" s="364"/>
      <c r="X310" s="285"/>
      <c r="Y310" s="9"/>
      <c r="Z310" s="40"/>
      <c r="AA310" s="56"/>
      <c r="AB310" s="56"/>
      <c r="AC310" s="56"/>
      <c r="AD310" s="56"/>
    </row>
    <row r="311" spans="1:30" x14ac:dyDescent="0.3">
      <c r="A311" s="59">
        <f t="shared" si="69"/>
        <v>206</v>
      </c>
      <c r="B311" s="66" t="s">
        <v>1404</v>
      </c>
      <c r="C311" s="51">
        <f t="shared" si="67"/>
        <v>1926250.8</v>
      </c>
      <c r="D311" s="51">
        <f t="shared" si="68"/>
        <v>1926250.8</v>
      </c>
      <c r="E311" s="51">
        <v>380354.4</v>
      </c>
      <c r="F311" s="51">
        <v>1157518.8</v>
      </c>
      <c r="G311" s="51">
        <v>215012.4</v>
      </c>
      <c r="H311" s="51"/>
      <c r="I311" s="51">
        <v>173365.2</v>
      </c>
      <c r="J311" s="82"/>
      <c r="K311" s="51"/>
      <c r="L311" s="51"/>
      <c r="M311" s="82"/>
      <c r="N311" s="51"/>
      <c r="O311" s="82"/>
      <c r="P311" s="51"/>
      <c r="Q311" s="338"/>
      <c r="R311" s="51"/>
      <c r="S311" s="51"/>
      <c r="T311" s="35"/>
      <c r="U311" s="51"/>
      <c r="V311" s="51"/>
      <c r="W311" s="364"/>
      <c r="X311" s="285"/>
      <c r="Y311" s="9"/>
      <c r="Z311" s="40"/>
      <c r="AA311" s="56"/>
      <c r="AB311" s="56"/>
      <c r="AC311" s="56"/>
      <c r="AD311" s="56"/>
    </row>
    <row r="312" spans="1:30" x14ac:dyDescent="0.3">
      <c r="A312" s="59">
        <f t="shared" si="69"/>
        <v>207</v>
      </c>
      <c r="B312" s="66" t="s">
        <v>1405</v>
      </c>
      <c r="C312" s="51">
        <f t="shared" si="67"/>
        <v>3410776.8000000003</v>
      </c>
      <c r="D312" s="51">
        <f t="shared" si="68"/>
        <v>3410776.8000000003</v>
      </c>
      <c r="E312" s="51">
        <v>416491.2</v>
      </c>
      <c r="F312" s="51">
        <v>2525394</v>
      </c>
      <c r="G312" s="51">
        <v>186571.2</v>
      </c>
      <c r="H312" s="51"/>
      <c r="I312" s="51">
        <v>282320.40000000002</v>
      </c>
      <c r="J312" s="82"/>
      <c r="K312" s="51"/>
      <c r="L312" s="51"/>
      <c r="M312" s="82"/>
      <c r="N312" s="51"/>
      <c r="O312" s="82"/>
      <c r="P312" s="51"/>
      <c r="Q312" s="338"/>
      <c r="R312" s="51"/>
      <c r="S312" s="51"/>
      <c r="T312" s="35"/>
      <c r="U312" s="51"/>
      <c r="V312" s="51"/>
      <c r="W312" s="364"/>
      <c r="X312" s="285"/>
      <c r="Y312" s="9"/>
      <c r="Z312" s="40"/>
      <c r="AA312" s="56"/>
      <c r="AB312" s="56"/>
      <c r="AC312" s="56"/>
      <c r="AD312" s="56"/>
    </row>
    <row r="313" spans="1:30" x14ac:dyDescent="0.3">
      <c r="A313" s="59">
        <f t="shared" si="69"/>
        <v>208</v>
      </c>
      <c r="B313" s="66" t="s">
        <v>1412</v>
      </c>
      <c r="C313" s="51">
        <f t="shared" si="67"/>
        <v>932641.58</v>
      </c>
      <c r="D313" s="51">
        <f t="shared" si="68"/>
        <v>932641.58</v>
      </c>
      <c r="E313" s="51">
        <v>932641.58</v>
      </c>
      <c r="F313" s="51"/>
      <c r="G313" s="51"/>
      <c r="H313" s="51"/>
      <c r="I313" s="51"/>
      <c r="J313" s="82"/>
      <c r="K313" s="51"/>
      <c r="L313" s="51"/>
      <c r="M313" s="82"/>
      <c r="N313" s="51"/>
      <c r="O313" s="82"/>
      <c r="P313" s="51"/>
      <c r="Q313" s="338"/>
      <c r="R313" s="51"/>
      <c r="S313" s="51"/>
      <c r="T313" s="35"/>
      <c r="U313" s="51"/>
      <c r="V313" s="51"/>
      <c r="W313" s="364"/>
      <c r="X313" s="318"/>
      <c r="Y313" s="318"/>
      <c r="Z313" s="318">
        <v>149488.87</v>
      </c>
      <c r="AA313" s="318">
        <v>376785.48</v>
      </c>
      <c r="AB313" s="318">
        <v>179511.67999999999</v>
      </c>
      <c r="AC313" s="56"/>
      <c r="AD313" s="56" t="s">
        <v>1413</v>
      </c>
    </row>
    <row r="314" spans="1:30" x14ac:dyDescent="0.3">
      <c r="A314" s="59">
        <f t="shared" si="69"/>
        <v>209</v>
      </c>
      <c r="B314" s="66" t="s">
        <v>1432</v>
      </c>
      <c r="C314" s="51">
        <f t="shared" si="67"/>
        <v>3206198.3999999994</v>
      </c>
      <c r="D314" s="51">
        <f t="shared" si="68"/>
        <v>3206198.3999999994</v>
      </c>
      <c r="E314" s="51">
        <v>760952.4</v>
      </c>
      <c r="F314" s="51">
        <v>1660964.4</v>
      </c>
      <c r="G314" s="51">
        <v>487558.8</v>
      </c>
      <c r="H314" s="51"/>
      <c r="I314" s="51">
        <v>296722.8</v>
      </c>
      <c r="J314" s="82"/>
      <c r="K314" s="51"/>
      <c r="L314" s="51"/>
      <c r="M314" s="82"/>
      <c r="N314" s="51"/>
      <c r="O314" s="82"/>
      <c r="P314" s="51"/>
      <c r="Q314" s="338"/>
      <c r="R314" s="51"/>
      <c r="S314" s="51"/>
      <c r="T314" s="35"/>
      <c r="U314" s="51"/>
      <c r="V314" s="51"/>
      <c r="W314" s="364"/>
      <c r="X314" s="285"/>
      <c r="Y314" s="9"/>
      <c r="Z314" s="40"/>
      <c r="AA314" s="56"/>
      <c r="AB314" s="56"/>
      <c r="AC314" s="56"/>
      <c r="AD314" s="56"/>
    </row>
    <row r="315" spans="1:30" x14ac:dyDescent="0.3">
      <c r="A315" s="59">
        <f t="shared" si="69"/>
        <v>210</v>
      </c>
      <c r="B315" s="66" t="s">
        <v>1442</v>
      </c>
      <c r="C315" s="51">
        <f t="shared" si="67"/>
        <v>1199262.25</v>
      </c>
      <c r="D315" s="51">
        <f t="shared" si="68"/>
        <v>1199262.25</v>
      </c>
      <c r="E315" s="51">
        <v>1199262.25</v>
      </c>
      <c r="F315" s="51"/>
      <c r="G315" s="51"/>
      <c r="H315" s="51"/>
      <c r="I315" s="51"/>
      <c r="J315" s="82"/>
      <c r="K315" s="51"/>
      <c r="L315" s="51"/>
      <c r="M315" s="82"/>
      <c r="N315" s="51"/>
      <c r="O315" s="82"/>
      <c r="P315" s="51"/>
      <c r="Q315" s="338"/>
      <c r="R315" s="51"/>
      <c r="S315" s="51"/>
      <c r="T315" s="35"/>
      <c r="U315" s="51"/>
      <c r="V315" s="51"/>
      <c r="W315" s="364"/>
      <c r="X315" s="285"/>
      <c r="Y315" s="9"/>
      <c r="Z315" s="40"/>
      <c r="AA315" s="56"/>
      <c r="AB315" s="56"/>
      <c r="AC315" s="56"/>
      <c r="AD315" s="56"/>
    </row>
    <row r="316" spans="1:30" x14ac:dyDescent="0.3">
      <c r="A316" s="59">
        <f t="shared" si="69"/>
        <v>211</v>
      </c>
      <c r="B316" s="66" t="s">
        <v>1443</v>
      </c>
      <c r="C316" s="51">
        <f t="shared" si="67"/>
        <v>5955105.6000000006</v>
      </c>
      <c r="D316" s="51">
        <f t="shared" si="68"/>
        <v>5955105.6000000006</v>
      </c>
      <c r="E316" s="51"/>
      <c r="F316" s="51">
        <v>4616814</v>
      </c>
      <c r="G316" s="51">
        <v>784645.2</v>
      </c>
      <c r="H316" s="51"/>
      <c r="I316" s="51">
        <v>553646.4</v>
      </c>
      <c r="J316" s="82"/>
      <c r="K316" s="51"/>
      <c r="L316" s="51"/>
      <c r="M316" s="82"/>
      <c r="N316" s="51"/>
      <c r="O316" s="82"/>
      <c r="P316" s="51"/>
      <c r="Q316" s="338"/>
      <c r="R316" s="51"/>
      <c r="S316" s="51"/>
      <c r="T316" s="35"/>
      <c r="U316" s="51"/>
      <c r="V316" s="51"/>
      <c r="W316" s="364"/>
      <c r="X316" s="285"/>
      <c r="Y316" s="9"/>
      <c r="Z316" s="40"/>
      <c r="AA316" s="56"/>
      <c r="AB316" s="56"/>
      <c r="AC316" s="56"/>
      <c r="AD316" s="56"/>
    </row>
    <row r="317" spans="1:30" x14ac:dyDescent="0.3">
      <c r="A317" s="59">
        <f t="shared" si="69"/>
        <v>212</v>
      </c>
      <c r="B317" s="66" t="s">
        <v>1446</v>
      </c>
      <c r="C317" s="51">
        <f t="shared" si="67"/>
        <v>1175386.7999999998</v>
      </c>
      <c r="D317" s="51">
        <f t="shared" si="68"/>
        <v>1175386.7999999998</v>
      </c>
      <c r="E317" s="51">
        <v>423873.6</v>
      </c>
      <c r="F317" s="51">
        <v>467428.8</v>
      </c>
      <c r="G317" s="51">
        <v>152637.6</v>
      </c>
      <c r="H317" s="51"/>
      <c r="I317" s="51">
        <v>131446.79999999999</v>
      </c>
      <c r="J317" s="82"/>
      <c r="K317" s="51"/>
      <c r="L317" s="51"/>
      <c r="M317" s="82"/>
      <c r="N317" s="51"/>
      <c r="O317" s="82"/>
      <c r="P317" s="51"/>
      <c r="Q317" s="338"/>
      <c r="R317" s="51"/>
      <c r="S317" s="51"/>
      <c r="T317" s="35"/>
      <c r="U317" s="51"/>
      <c r="V317" s="51"/>
      <c r="W317" s="364"/>
      <c r="X317" s="285"/>
      <c r="Y317" s="9"/>
      <c r="Z317" s="40"/>
      <c r="AA317" s="56"/>
      <c r="AB317" s="56"/>
      <c r="AC317" s="56"/>
      <c r="AD317" s="56"/>
    </row>
    <row r="318" spans="1:30" x14ac:dyDescent="0.3">
      <c r="A318" s="59">
        <f t="shared" si="69"/>
        <v>213</v>
      </c>
      <c r="B318" s="66" t="s">
        <v>1505</v>
      </c>
      <c r="C318" s="51">
        <f t="shared" si="67"/>
        <v>1716633.6000000001</v>
      </c>
      <c r="D318" s="51">
        <f t="shared" si="68"/>
        <v>1716633.6000000001</v>
      </c>
      <c r="E318" s="51">
        <v>1716633.6000000001</v>
      </c>
      <c r="F318" s="51"/>
      <c r="G318" s="51"/>
      <c r="H318" s="51"/>
      <c r="I318" s="51"/>
      <c r="J318" s="82"/>
      <c r="K318" s="51"/>
      <c r="L318" s="51"/>
      <c r="M318" s="82"/>
      <c r="N318" s="51"/>
      <c r="O318" s="82"/>
      <c r="P318" s="51"/>
      <c r="Q318" s="338"/>
      <c r="R318" s="51"/>
      <c r="S318" s="51"/>
      <c r="T318" s="35"/>
      <c r="U318" s="51"/>
      <c r="V318" s="51"/>
      <c r="W318" s="364"/>
      <c r="X318" s="285"/>
      <c r="Y318" s="285"/>
      <c r="Z318" s="285"/>
      <c r="AA318" s="285"/>
      <c r="AB318" s="285"/>
      <c r="AC318" s="56"/>
      <c r="AD318" s="56"/>
    </row>
    <row r="319" spans="1:30" x14ac:dyDescent="0.3">
      <c r="A319" s="59">
        <f t="shared" si="69"/>
        <v>214</v>
      </c>
      <c r="B319" s="66" t="s">
        <v>1514</v>
      </c>
      <c r="C319" s="51">
        <f t="shared" si="67"/>
        <v>1354928.4</v>
      </c>
      <c r="D319" s="51">
        <f t="shared" si="68"/>
        <v>1354928.4</v>
      </c>
      <c r="E319" s="51">
        <v>1354928.4</v>
      </c>
      <c r="F319" s="51"/>
      <c r="G319" s="51"/>
      <c r="H319" s="51"/>
      <c r="I319" s="51"/>
      <c r="J319" s="82"/>
      <c r="K319" s="51"/>
      <c r="L319" s="51"/>
      <c r="M319" s="82"/>
      <c r="N319" s="51"/>
      <c r="O319" s="82"/>
      <c r="P319" s="51"/>
      <c r="Q319" s="338"/>
      <c r="R319" s="51"/>
      <c r="S319" s="51"/>
      <c r="T319" s="35"/>
      <c r="U319" s="51"/>
      <c r="V319" s="51"/>
      <c r="W319" s="364"/>
      <c r="X319" s="285">
        <f>125366.22+133897.85
+160787.54</f>
        <v>420051.61</v>
      </c>
      <c r="Y319" s="285">
        <v>252998.7</v>
      </c>
      <c r="Z319" s="285">
        <v>168118.84</v>
      </c>
      <c r="AA319" s="285">
        <v>418835.38</v>
      </c>
      <c r="AB319" s="285"/>
      <c r="AC319" s="56"/>
      <c r="AD319" s="56" t="s">
        <v>1515</v>
      </c>
    </row>
    <row r="320" spans="1:30" x14ac:dyDescent="0.3">
      <c r="A320" s="59">
        <f t="shared" si="69"/>
        <v>215</v>
      </c>
      <c r="B320" s="66" t="s">
        <v>1518</v>
      </c>
      <c r="C320" s="51">
        <f t="shared" si="67"/>
        <v>5924651.9999999991</v>
      </c>
      <c r="D320" s="51">
        <f t="shared" si="68"/>
        <v>5924651.9999999991</v>
      </c>
      <c r="E320" s="51">
        <v>1390576.8</v>
      </c>
      <c r="F320" s="51">
        <v>3692734.8</v>
      </c>
      <c r="G320" s="51">
        <v>541089.6</v>
      </c>
      <c r="H320" s="51">
        <v>300250.8</v>
      </c>
      <c r="I320" s="51"/>
      <c r="J320" s="82"/>
      <c r="K320" s="51"/>
      <c r="L320" s="51"/>
      <c r="M320" s="82"/>
      <c r="N320" s="51"/>
      <c r="O320" s="382"/>
      <c r="P320" s="51"/>
      <c r="Q320" s="338"/>
      <c r="R320" s="51"/>
      <c r="S320" s="51"/>
      <c r="T320" s="35"/>
      <c r="U320" s="51"/>
      <c r="V320" s="51"/>
      <c r="W320" s="364"/>
      <c r="X320" s="285"/>
      <c r="Y320" s="285"/>
      <c r="Z320" s="285"/>
      <c r="AA320" s="285"/>
      <c r="AB320" s="285"/>
      <c r="AC320" s="56"/>
      <c r="AD320" s="56"/>
    </row>
    <row r="321" spans="1:30" x14ac:dyDescent="0.3">
      <c r="A321" s="59">
        <f t="shared" si="69"/>
        <v>216</v>
      </c>
      <c r="B321" s="66" t="s">
        <v>1523</v>
      </c>
      <c r="C321" s="51">
        <f t="shared" si="67"/>
        <v>1727629.2</v>
      </c>
      <c r="D321" s="51">
        <f t="shared" si="68"/>
        <v>1727629.2</v>
      </c>
      <c r="E321" s="51">
        <v>1727629.2</v>
      </c>
      <c r="F321" s="51"/>
      <c r="G321" s="51"/>
      <c r="H321" s="51"/>
      <c r="I321" s="51"/>
      <c r="J321" s="82"/>
      <c r="K321" s="51"/>
      <c r="L321" s="51"/>
      <c r="M321" s="82"/>
      <c r="N321" s="51"/>
      <c r="O321" s="82"/>
      <c r="P321" s="51"/>
      <c r="Q321" s="338"/>
      <c r="R321" s="51"/>
      <c r="S321" s="51"/>
      <c r="T321" s="35"/>
      <c r="U321" s="51"/>
      <c r="V321" s="51"/>
      <c r="W321" s="364"/>
      <c r="X321" s="285">
        <f>111966.91+148840.96</f>
        <v>260807.87</v>
      </c>
      <c r="Y321" s="285"/>
      <c r="Z321" s="285"/>
      <c r="AA321" s="285"/>
      <c r="AB321" s="285"/>
      <c r="AC321" s="56"/>
      <c r="AD321" s="56" t="s">
        <v>1524</v>
      </c>
    </row>
    <row r="322" spans="1:30" x14ac:dyDescent="0.3">
      <c r="A322" s="59">
        <f t="shared" si="69"/>
        <v>217</v>
      </c>
      <c r="B322" s="66" t="s">
        <v>1535</v>
      </c>
      <c r="C322" s="51">
        <f t="shared" si="67"/>
        <v>1412095.2</v>
      </c>
      <c r="D322" s="51">
        <f t="shared" si="68"/>
        <v>1412095.2</v>
      </c>
      <c r="E322" s="51">
        <v>1412095.2</v>
      </c>
      <c r="F322" s="51"/>
      <c r="G322" s="51"/>
      <c r="H322" s="51"/>
      <c r="I322" s="51"/>
      <c r="J322" s="82"/>
      <c r="K322" s="51"/>
      <c r="L322" s="51"/>
      <c r="M322" s="82"/>
      <c r="N322" s="51"/>
      <c r="O322" s="82"/>
      <c r="P322" s="51"/>
      <c r="Q322" s="338"/>
      <c r="R322" s="51"/>
      <c r="S322" s="51"/>
      <c r="T322" s="35"/>
      <c r="U322" s="51"/>
      <c r="V322" s="51"/>
      <c r="W322" s="364"/>
      <c r="X322" s="285">
        <f>132613.55+159343.61</f>
        <v>291957.15999999997</v>
      </c>
      <c r="Y322" s="285"/>
      <c r="Z322" s="285"/>
      <c r="AA322" s="285"/>
      <c r="AB322" s="285"/>
      <c r="AC322" s="56"/>
      <c r="AD322" s="56" t="s">
        <v>1536</v>
      </c>
    </row>
    <row r="323" spans="1:30" x14ac:dyDescent="0.3">
      <c r="A323" s="59">
        <f t="shared" si="69"/>
        <v>218</v>
      </c>
      <c r="B323" s="66" t="s">
        <v>1542</v>
      </c>
      <c r="C323" s="51">
        <f t="shared" si="67"/>
        <v>2011958.4000000001</v>
      </c>
      <c r="D323" s="51">
        <f t="shared" si="68"/>
        <v>2011958.4000000001</v>
      </c>
      <c r="E323" s="51">
        <v>350973.6</v>
      </c>
      <c r="F323" s="51">
        <v>1142451.6000000001</v>
      </c>
      <c r="G323" s="51">
        <v>225103.2</v>
      </c>
      <c r="H323" s="51"/>
      <c r="I323" s="51">
        <v>293430</v>
      </c>
      <c r="J323" s="82"/>
      <c r="K323" s="51"/>
      <c r="L323" s="51"/>
      <c r="M323" s="82"/>
      <c r="N323" s="51"/>
      <c r="O323" s="82"/>
      <c r="P323" s="51"/>
      <c r="Q323" s="338"/>
      <c r="R323" s="51"/>
      <c r="S323" s="51"/>
      <c r="T323" s="35"/>
      <c r="U323" s="51"/>
      <c r="V323" s="51"/>
      <c r="W323" s="364"/>
      <c r="X323" s="285"/>
      <c r="Y323" s="285"/>
      <c r="Z323" s="285"/>
      <c r="AA323" s="285"/>
      <c r="AB323" s="285"/>
      <c r="AC323" s="56"/>
      <c r="AD323" s="56"/>
    </row>
    <row r="324" spans="1:30" x14ac:dyDescent="0.3">
      <c r="A324" s="59">
        <f t="shared" si="69"/>
        <v>219</v>
      </c>
      <c r="B324" s="66" t="s">
        <v>1567</v>
      </c>
      <c r="C324" s="51">
        <f t="shared" si="67"/>
        <v>1976365.2</v>
      </c>
      <c r="D324" s="51">
        <f t="shared" si="68"/>
        <v>1976365.2</v>
      </c>
      <c r="E324" s="51">
        <v>668936.4</v>
      </c>
      <c r="F324" s="51">
        <v>1117050</v>
      </c>
      <c r="G324" s="51">
        <v>190378.8</v>
      </c>
      <c r="H324" s="51"/>
      <c r="I324" s="51"/>
      <c r="J324" s="82"/>
      <c r="K324" s="51"/>
      <c r="L324" s="51"/>
      <c r="M324" s="82"/>
      <c r="N324" s="51"/>
      <c r="O324" s="82"/>
      <c r="P324" s="51"/>
      <c r="Q324" s="338"/>
      <c r="R324" s="51"/>
      <c r="S324" s="51"/>
      <c r="T324" s="35"/>
      <c r="U324" s="51"/>
      <c r="V324" s="51"/>
      <c r="W324" s="364"/>
      <c r="X324" s="285">
        <v>90319.43</v>
      </c>
      <c r="Y324" s="9"/>
      <c r="Z324" s="40"/>
      <c r="AA324" s="56"/>
      <c r="AB324" s="56"/>
      <c r="AC324" s="56"/>
      <c r="AD324" s="56" t="s">
        <v>1568</v>
      </c>
    </row>
    <row r="325" spans="1:30" x14ac:dyDescent="0.3">
      <c r="A325" s="59">
        <f t="shared" si="69"/>
        <v>220</v>
      </c>
      <c r="B325" s="66" t="s">
        <v>1577</v>
      </c>
      <c r="C325" s="51">
        <f t="shared" si="67"/>
        <v>2316386.4000000004</v>
      </c>
      <c r="D325" s="51">
        <f t="shared" si="68"/>
        <v>2316386.4000000004</v>
      </c>
      <c r="E325" s="51">
        <v>511975.2</v>
      </c>
      <c r="F325" s="51">
        <v>1465896</v>
      </c>
      <c r="G325" s="51">
        <v>142968</v>
      </c>
      <c r="H325" s="51"/>
      <c r="I325" s="51">
        <v>195547.2</v>
      </c>
      <c r="J325" s="82"/>
      <c r="K325" s="51"/>
      <c r="L325" s="51"/>
      <c r="M325" s="82"/>
      <c r="N325" s="51"/>
      <c r="O325" s="82"/>
      <c r="P325" s="51"/>
      <c r="Q325" s="338"/>
      <c r="R325" s="51"/>
      <c r="S325" s="51"/>
      <c r="T325" s="35"/>
      <c r="U325" s="51"/>
      <c r="V325" s="51"/>
      <c r="W325" s="364"/>
      <c r="X325" s="285"/>
      <c r="Y325" s="285"/>
      <c r="Z325" s="285"/>
      <c r="AA325" s="285"/>
      <c r="AB325" s="285"/>
      <c r="AC325" s="56"/>
      <c r="AD325" s="56"/>
    </row>
    <row r="326" spans="1:30" x14ac:dyDescent="0.3">
      <c r="A326" s="59">
        <f t="shared" si="69"/>
        <v>221</v>
      </c>
      <c r="B326" s="66" t="s">
        <v>1578</v>
      </c>
      <c r="C326" s="51">
        <f t="shared" si="67"/>
        <v>1498395.5999999999</v>
      </c>
      <c r="D326" s="51">
        <f t="shared" si="68"/>
        <v>1498395.5999999999</v>
      </c>
      <c r="E326" s="51">
        <v>278340</v>
      </c>
      <c r="F326" s="51">
        <v>862369.2</v>
      </c>
      <c r="G326" s="399">
        <v>178843.2</v>
      </c>
      <c r="H326" s="51"/>
      <c r="I326" s="51">
        <v>178843.2</v>
      </c>
      <c r="J326" s="82"/>
      <c r="K326" s="51"/>
      <c r="L326" s="51"/>
      <c r="M326" s="82"/>
      <c r="N326" s="51"/>
      <c r="O326" s="82"/>
      <c r="P326" s="51"/>
      <c r="Q326" s="338"/>
      <c r="R326" s="51"/>
      <c r="S326" s="51"/>
      <c r="T326" s="35"/>
      <c r="U326" s="51"/>
      <c r="V326" s="51"/>
      <c r="W326" s="364"/>
      <c r="X326" s="285"/>
      <c r="Y326" s="285"/>
      <c r="Z326" s="285"/>
      <c r="AA326" s="285"/>
      <c r="AB326" s="285"/>
      <c r="AC326" s="56"/>
      <c r="AD326" s="56"/>
    </row>
    <row r="327" spans="1:30" x14ac:dyDescent="0.3">
      <c r="A327" s="59">
        <f t="shared" si="69"/>
        <v>222</v>
      </c>
      <c r="B327" s="66" t="s">
        <v>1585</v>
      </c>
      <c r="C327" s="51">
        <f t="shared" si="67"/>
        <v>1961934</v>
      </c>
      <c r="D327" s="51">
        <f t="shared" si="68"/>
        <v>1961934</v>
      </c>
      <c r="E327" s="51">
        <v>1961934</v>
      </c>
      <c r="F327" s="51"/>
      <c r="G327" s="51"/>
      <c r="H327" s="51"/>
      <c r="I327" s="51"/>
      <c r="J327" s="82"/>
      <c r="K327" s="51"/>
      <c r="L327" s="51"/>
      <c r="M327" s="82"/>
      <c r="N327" s="51"/>
      <c r="O327" s="82"/>
      <c r="P327" s="400"/>
      <c r="Q327" s="338"/>
      <c r="R327" s="51"/>
      <c r="S327" s="51"/>
      <c r="T327" s="35"/>
      <c r="U327" s="51"/>
      <c r="V327" s="51"/>
      <c r="W327" s="364"/>
      <c r="X327" s="285"/>
      <c r="Y327" s="285"/>
      <c r="Z327" s="285"/>
      <c r="AA327" s="285"/>
      <c r="AB327" s="285"/>
      <c r="AC327" s="56"/>
      <c r="AD327" s="56"/>
    </row>
    <row r="328" spans="1:30" x14ac:dyDescent="0.3">
      <c r="A328" s="59">
        <f t="shared" si="69"/>
        <v>223</v>
      </c>
      <c r="B328" s="66" t="s">
        <v>1586</v>
      </c>
      <c r="C328" s="51">
        <f t="shared" si="67"/>
        <v>2269234.7999999998</v>
      </c>
      <c r="D328" s="51">
        <f t="shared" si="68"/>
        <v>2269234.7999999998</v>
      </c>
      <c r="E328" s="51">
        <v>437530.8</v>
      </c>
      <c r="F328" s="51">
        <v>1312567.2</v>
      </c>
      <c r="G328" s="51">
        <v>268780.79999999999</v>
      </c>
      <c r="H328" s="51"/>
      <c r="I328" s="51">
        <v>250356</v>
      </c>
      <c r="J328" s="82"/>
      <c r="K328" s="51"/>
      <c r="L328" s="51"/>
      <c r="M328" s="82"/>
      <c r="N328" s="51"/>
      <c r="O328" s="382"/>
      <c r="P328" s="51"/>
      <c r="Q328" s="338"/>
      <c r="R328" s="51"/>
      <c r="S328" s="51"/>
      <c r="T328" s="35"/>
      <c r="U328" s="51"/>
      <c r="V328" s="51"/>
      <c r="W328" s="364"/>
      <c r="X328" s="285"/>
      <c r="Y328" s="285"/>
      <c r="Z328" s="285"/>
      <c r="AA328" s="285"/>
      <c r="AB328" s="285"/>
      <c r="AC328" s="56"/>
      <c r="AD328" s="56"/>
    </row>
    <row r="329" spans="1:30" x14ac:dyDescent="0.3">
      <c r="A329" s="59">
        <f t="shared" si="69"/>
        <v>224</v>
      </c>
      <c r="B329" s="66" t="s">
        <v>1594</v>
      </c>
      <c r="C329" s="51">
        <f t="shared" si="67"/>
        <v>1296580.8</v>
      </c>
      <c r="D329" s="51">
        <f t="shared" si="68"/>
        <v>1296580.8</v>
      </c>
      <c r="E329" s="51">
        <v>293602.8</v>
      </c>
      <c r="F329" s="51">
        <v>1002978</v>
      </c>
      <c r="G329" s="51"/>
      <c r="H329" s="51"/>
      <c r="I329" s="51"/>
      <c r="J329" s="82"/>
      <c r="K329" s="51"/>
      <c r="L329" s="51"/>
      <c r="M329" s="82"/>
      <c r="N329" s="51"/>
      <c r="O329" s="82"/>
      <c r="P329" s="51"/>
      <c r="Q329" s="338"/>
      <c r="R329" s="51"/>
      <c r="S329" s="51"/>
      <c r="T329" s="35"/>
      <c r="U329" s="51"/>
      <c r="V329" s="51"/>
      <c r="W329" s="364"/>
      <c r="X329" s="285">
        <f>100091.58+100091.58</f>
        <v>200183.16</v>
      </c>
      <c r="Y329" s="285"/>
      <c r="Z329" s="285"/>
      <c r="AA329" s="285"/>
      <c r="AB329" s="285">
        <v>173605.57</v>
      </c>
      <c r="AC329" s="56"/>
      <c r="AD329" s="56" t="s">
        <v>1595</v>
      </c>
    </row>
    <row r="330" spans="1:30" x14ac:dyDescent="0.3">
      <c r="A330" s="59">
        <f t="shared" si="69"/>
        <v>225</v>
      </c>
      <c r="B330" s="66" t="s">
        <v>1599</v>
      </c>
      <c r="C330" s="51">
        <f t="shared" si="67"/>
        <v>898402.8</v>
      </c>
      <c r="D330" s="51">
        <f t="shared" si="68"/>
        <v>898402.8</v>
      </c>
      <c r="E330" s="51">
        <v>898402.8</v>
      </c>
      <c r="F330" s="51"/>
      <c r="G330" s="51"/>
      <c r="H330" s="51"/>
      <c r="I330" s="51"/>
      <c r="J330" s="82"/>
      <c r="K330" s="51"/>
      <c r="L330" s="51"/>
      <c r="M330" s="82"/>
      <c r="N330" s="51"/>
      <c r="O330" s="382"/>
      <c r="P330" s="51"/>
      <c r="Q330" s="338"/>
      <c r="R330" s="51"/>
      <c r="S330" s="51"/>
      <c r="T330" s="35"/>
      <c r="U330" s="51"/>
      <c r="V330" s="51"/>
      <c r="W330" s="364"/>
      <c r="X330" s="285">
        <f>151693.98+108104.63</f>
        <v>259798.61000000002</v>
      </c>
      <c r="Y330" s="285"/>
      <c r="Z330" s="285"/>
      <c r="AA330" s="285"/>
      <c r="AB330" s="285"/>
      <c r="AC330" s="56"/>
      <c r="AD330" s="56" t="s">
        <v>1448</v>
      </c>
    </row>
    <row r="331" spans="1:30" x14ac:dyDescent="0.3">
      <c r="A331" s="59">
        <f t="shared" si="69"/>
        <v>226</v>
      </c>
      <c r="B331" s="66" t="s">
        <v>1613</v>
      </c>
      <c r="C331" s="51">
        <f t="shared" si="67"/>
        <v>5103110.4000000004</v>
      </c>
      <c r="D331" s="51">
        <f t="shared" si="68"/>
        <v>5103110.4000000004</v>
      </c>
      <c r="E331" s="51">
        <v>5103110.4000000004</v>
      </c>
      <c r="F331" s="51"/>
      <c r="G331" s="51"/>
      <c r="H331" s="51"/>
      <c r="I331" s="51"/>
      <c r="J331" s="82"/>
      <c r="K331" s="51"/>
      <c r="L331" s="51"/>
      <c r="M331" s="82"/>
      <c r="N331" s="51"/>
      <c r="O331" s="82"/>
      <c r="P331" s="51"/>
      <c r="Q331" s="338"/>
      <c r="R331" s="51"/>
      <c r="S331" s="51"/>
      <c r="T331" s="35"/>
      <c r="U331" s="51"/>
      <c r="V331" s="51"/>
      <c r="W331" s="364"/>
      <c r="X331" s="285"/>
      <c r="Y331" s="285"/>
      <c r="Z331" s="285"/>
      <c r="AA331" s="285">
        <v>812167.68000000005</v>
      </c>
      <c r="AB331" s="56"/>
      <c r="AC331" s="56"/>
      <c r="AD331" s="56"/>
    </row>
    <row r="332" spans="1:30" x14ac:dyDescent="0.3">
      <c r="A332" s="59">
        <f t="shared" si="69"/>
        <v>227</v>
      </c>
      <c r="B332" s="66" t="s">
        <v>1622</v>
      </c>
      <c r="C332" s="51">
        <f t="shared" si="67"/>
        <v>581679.6</v>
      </c>
      <c r="D332" s="51">
        <f t="shared" si="68"/>
        <v>581679.6</v>
      </c>
      <c r="E332" s="51">
        <v>581679.6</v>
      </c>
      <c r="F332" s="51"/>
      <c r="G332" s="51"/>
      <c r="H332" s="51"/>
      <c r="I332" s="51"/>
      <c r="J332" s="82"/>
      <c r="K332" s="51"/>
      <c r="L332" s="51"/>
      <c r="M332" s="82"/>
      <c r="N332" s="51"/>
      <c r="O332" s="82"/>
      <c r="P332" s="51"/>
      <c r="Q332" s="338"/>
      <c r="R332" s="51"/>
      <c r="S332" s="51"/>
      <c r="T332" s="35"/>
      <c r="U332" s="51"/>
      <c r="V332" s="51"/>
      <c r="W332" s="364"/>
      <c r="X332" s="285">
        <f>137749.58+115333.25</f>
        <v>253082.83</v>
      </c>
      <c r="Y332" s="285"/>
      <c r="Z332" s="285"/>
      <c r="AA332" s="285"/>
      <c r="AB332" s="285"/>
      <c r="AC332" s="56"/>
      <c r="AD332" s="56" t="s">
        <v>1448</v>
      </c>
    </row>
    <row r="333" spans="1:30" x14ac:dyDescent="0.3">
      <c r="A333" s="59">
        <f t="shared" si="69"/>
        <v>228</v>
      </c>
      <c r="B333" s="66" t="s">
        <v>1629</v>
      </c>
      <c r="C333" s="51">
        <f t="shared" si="67"/>
        <v>951039.6</v>
      </c>
      <c r="D333" s="51">
        <f t="shared" si="68"/>
        <v>951039.6</v>
      </c>
      <c r="E333" s="51">
        <v>951039.6</v>
      </c>
      <c r="F333" s="51"/>
      <c r="G333" s="51"/>
      <c r="H333" s="51"/>
      <c r="I333" s="51"/>
      <c r="J333" s="82"/>
      <c r="K333" s="51"/>
      <c r="L333" s="51"/>
      <c r="M333" s="82"/>
      <c r="N333" s="51"/>
      <c r="O333" s="82"/>
      <c r="P333" s="51"/>
      <c r="Q333" s="338"/>
      <c r="R333" s="51"/>
      <c r="S333" s="51"/>
      <c r="T333" s="35"/>
      <c r="U333" s="51"/>
      <c r="V333" s="51"/>
      <c r="W333" s="364"/>
      <c r="X333" s="285">
        <f>125053.2+163553.81</f>
        <v>288607.01</v>
      </c>
      <c r="Y333" s="285"/>
      <c r="Z333" s="285"/>
      <c r="AA333" s="285"/>
      <c r="AB333" s="285"/>
      <c r="AC333" s="56"/>
      <c r="AD333" s="56" t="s">
        <v>1556</v>
      </c>
    </row>
    <row r="334" spans="1:30" x14ac:dyDescent="0.3">
      <c r="A334" s="59">
        <f t="shared" si="69"/>
        <v>229</v>
      </c>
      <c r="B334" s="66" t="s">
        <v>1632</v>
      </c>
      <c r="C334" s="51">
        <f t="shared" si="67"/>
        <v>2094824.4</v>
      </c>
      <c r="D334" s="51">
        <f t="shared" si="68"/>
        <v>2094824.4</v>
      </c>
      <c r="E334" s="51">
        <v>436813.2</v>
      </c>
      <c r="F334" s="51">
        <v>1312567.2</v>
      </c>
      <c r="G334" s="51">
        <v>178956</v>
      </c>
      <c r="H334" s="51"/>
      <c r="I334" s="51">
        <v>166488</v>
      </c>
      <c r="J334" s="82"/>
      <c r="K334" s="51"/>
      <c r="L334" s="51"/>
      <c r="M334" s="82"/>
      <c r="N334" s="51"/>
      <c r="O334" s="82"/>
      <c r="P334" s="51"/>
      <c r="Q334" s="338"/>
      <c r="R334" s="51"/>
      <c r="S334" s="51"/>
      <c r="T334" s="35"/>
      <c r="U334" s="51"/>
      <c r="V334" s="51"/>
      <c r="W334" s="364"/>
      <c r="X334" s="285"/>
      <c r="Y334" s="9"/>
      <c r="Z334" s="40"/>
      <c r="AA334" s="56"/>
      <c r="AB334" s="56"/>
      <c r="AC334" s="56"/>
      <c r="AD334" s="56"/>
    </row>
    <row r="335" spans="1:30" x14ac:dyDescent="0.3">
      <c r="A335" s="59">
        <f t="shared" si="69"/>
        <v>230</v>
      </c>
      <c r="B335" s="66" t="s">
        <v>1692</v>
      </c>
      <c r="C335" s="51">
        <f t="shared" si="67"/>
        <v>1457227.2000000002</v>
      </c>
      <c r="D335" s="51">
        <f t="shared" si="68"/>
        <v>1457227.2000000002</v>
      </c>
      <c r="E335" s="51">
        <v>389048.4</v>
      </c>
      <c r="F335" s="51">
        <v>1068178.8</v>
      </c>
      <c r="G335" s="51"/>
      <c r="H335" s="51"/>
      <c r="I335" s="51"/>
      <c r="J335" s="82"/>
      <c r="K335" s="51"/>
      <c r="L335" s="51"/>
      <c r="M335" s="82"/>
      <c r="N335" s="51"/>
      <c r="O335" s="82"/>
      <c r="P335" s="51"/>
      <c r="Q335" s="338"/>
      <c r="R335" s="51"/>
      <c r="S335" s="51"/>
      <c r="T335" s="35"/>
      <c r="U335" s="51"/>
      <c r="V335" s="51"/>
      <c r="W335" s="364"/>
      <c r="X335" s="285">
        <f>110177.62+110177.62+112884.8+130837.72</f>
        <v>464077.76</v>
      </c>
      <c r="Y335" s="285"/>
      <c r="Z335" s="285"/>
      <c r="AA335" s="285"/>
      <c r="AB335" s="285">
        <v>189297.95</v>
      </c>
      <c r="AC335" s="56"/>
      <c r="AD335" s="56" t="s">
        <v>1693</v>
      </c>
    </row>
    <row r="336" spans="1:30" x14ac:dyDescent="0.3">
      <c r="A336" s="59">
        <f t="shared" si="69"/>
        <v>231</v>
      </c>
      <c r="B336" s="66" t="s">
        <v>1694</v>
      </c>
      <c r="C336" s="51">
        <f t="shared" si="67"/>
        <v>1882231.56</v>
      </c>
      <c r="D336" s="51">
        <f t="shared" si="68"/>
        <v>1882231.56</v>
      </c>
      <c r="E336" s="51">
        <v>504586.8</v>
      </c>
      <c r="F336" s="51">
        <v>1038044.4</v>
      </c>
      <c r="G336" s="51">
        <v>179613.35</v>
      </c>
      <c r="H336" s="51"/>
      <c r="I336" s="51">
        <v>159987.01</v>
      </c>
      <c r="J336" s="82"/>
      <c r="K336" s="51"/>
      <c r="L336" s="51"/>
      <c r="M336" s="82"/>
      <c r="N336" s="51"/>
      <c r="O336" s="82"/>
      <c r="P336" s="51"/>
      <c r="Q336" s="338"/>
      <c r="R336" s="51"/>
      <c r="S336" s="51"/>
      <c r="T336" s="35"/>
      <c r="U336" s="51"/>
      <c r="V336" s="51"/>
      <c r="W336" s="364"/>
      <c r="X336" s="285"/>
      <c r="Y336" s="285"/>
      <c r="Z336" s="285"/>
      <c r="AA336" s="285"/>
      <c r="AB336" s="285"/>
      <c r="AC336" s="56"/>
      <c r="AD336" s="56"/>
    </row>
    <row r="337" spans="1:30" x14ac:dyDescent="0.3">
      <c r="A337" s="59">
        <f t="shared" si="69"/>
        <v>232</v>
      </c>
      <c r="B337" s="66" t="s">
        <v>1714</v>
      </c>
      <c r="C337" s="51">
        <f t="shared" si="67"/>
        <v>1835710.36</v>
      </c>
      <c r="D337" s="51">
        <f t="shared" si="68"/>
        <v>1835710.36</v>
      </c>
      <c r="E337" s="51">
        <v>1835710.36</v>
      </c>
      <c r="F337" s="51"/>
      <c r="G337" s="51"/>
      <c r="H337" s="51"/>
      <c r="I337" s="51"/>
      <c r="J337" s="82"/>
      <c r="K337" s="51"/>
      <c r="L337" s="51"/>
      <c r="M337" s="82"/>
      <c r="N337" s="51"/>
      <c r="O337" s="82"/>
      <c r="P337" s="51"/>
      <c r="Q337" s="338"/>
      <c r="R337" s="51"/>
      <c r="S337" s="51"/>
      <c r="T337" s="35"/>
      <c r="U337" s="51"/>
      <c r="V337" s="51"/>
      <c r="W337" s="364"/>
      <c r="X337" s="285">
        <f>160131.11+115872.28</f>
        <v>276003.39</v>
      </c>
      <c r="Y337" s="285"/>
      <c r="Z337" s="285"/>
      <c r="AA337" s="285"/>
      <c r="AB337" s="285"/>
      <c r="AC337" s="56"/>
      <c r="AD337" s="56" t="s">
        <v>1448</v>
      </c>
    </row>
    <row r="338" spans="1:30" x14ac:dyDescent="0.3">
      <c r="A338" s="59">
        <f t="shared" si="69"/>
        <v>233</v>
      </c>
      <c r="B338" s="66" t="s">
        <v>1715</v>
      </c>
      <c r="C338" s="51">
        <f t="shared" si="67"/>
        <v>2464834.0299999998</v>
      </c>
      <c r="D338" s="51">
        <f t="shared" si="68"/>
        <v>2464834.0299999998</v>
      </c>
      <c r="E338" s="51">
        <v>2464834.0299999998</v>
      </c>
      <c r="F338" s="51"/>
      <c r="G338" s="51"/>
      <c r="H338" s="51"/>
      <c r="I338" s="51"/>
      <c r="J338" s="82"/>
      <c r="K338" s="51"/>
      <c r="L338" s="51"/>
      <c r="M338" s="82"/>
      <c r="N338" s="51"/>
      <c r="O338" s="82"/>
      <c r="P338" s="51"/>
      <c r="Q338" s="338"/>
      <c r="R338" s="51"/>
      <c r="S338" s="51"/>
      <c r="T338" s="35"/>
      <c r="U338" s="51"/>
      <c r="V338" s="51"/>
      <c r="W338" s="364"/>
      <c r="X338" s="285">
        <f>181528.9+135572.24</f>
        <v>317101.14</v>
      </c>
      <c r="Y338" s="285"/>
      <c r="Z338" s="285"/>
      <c r="AA338" s="285"/>
      <c r="AB338" s="285"/>
      <c r="AC338" s="56"/>
      <c r="AD338" s="56" t="s">
        <v>1448</v>
      </c>
    </row>
    <row r="339" spans="1:30" x14ac:dyDescent="0.3">
      <c r="A339" s="59">
        <f t="shared" si="69"/>
        <v>234</v>
      </c>
      <c r="B339" s="66" t="s">
        <v>1716</v>
      </c>
      <c r="C339" s="51">
        <f t="shared" si="67"/>
        <v>1832099.5</v>
      </c>
      <c r="D339" s="51">
        <f t="shared" si="68"/>
        <v>1832099.5</v>
      </c>
      <c r="E339" s="51">
        <v>1832099.5</v>
      </c>
      <c r="F339" s="51"/>
      <c r="G339" s="51"/>
      <c r="H339" s="51"/>
      <c r="I339" s="51"/>
      <c r="J339" s="82"/>
      <c r="K339" s="51"/>
      <c r="L339" s="51"/>
      <c r="M339" s="82"/>
      <c r="N339" s="51"/>
      <c r="O339" s="82"/>
      <c r="P339" s="51"/>
      <c r="Q339" s="338"/>
      <c r="R339" s="51"/>
      <c r="S339" s="51"/>
      <c r="T339" s="35"/>
      <c r="U339" s="51"/>
      <c r="V339" s="51"/>
      <c r="W339" s="364"/>
      <c r="X339" s="285">
        <f>148695.23+105343.8</f>
        <v>254039.03000000003</v>
      </c>
      <c r="Y339" s="9"/>
      <c r="Z339" s="40"/>
      <c r="AA339" s="56"/>
      <c r="AB339" s="56"/>
      <c r="AC339" s="56"/>
      <c r="AD339" s="56" t="s">
        <v>1448</v>
      </c>
    </row>
    <row r="340" spans="1:30" x14ac:dyDescent="0.3">
      <c r="A340" s="59">
        <f t="shared" si="69"/>
        <v>235</v>
      </c>
      <c r="B340" s="66" t="s">
        <v>1717</v>
      </c>
      <c r="C340" s="51">
        <f t="shared" ref="C340:C369" si="70">D340+K340+L340+N340+P340+R340+U340+S340+V340+W340</f>
        <v>5764138.3700000001</v>
      </c>
      <c r="D340" s="51">
        <f t="shared" si="68"/>
        <v>5764138.3700000001</v>
      </c>
      <c r="E340" s="51">
        <v>1083678.3</v>
      </c>
      <c r="F340" s="51">
        <v>4280008.63</v>
      </c>
      <c r="G340" s="51">
        <v>400451.44</v>
      </c>
      <c r="H340" s="51"/>
      <c r="I340" s="51"/>
      <c r="J340" s="82"/>
      <c r="K340" s="51"/>
      <c r="L340" s="51"/>
      <c r="M340" s="82"/>
      <c r="N340" s="51"/>
      <c r="O340" s="82"/>
      <c r="P340" s="51"/>
      <c r="Q340" s="338"/>
      <c r="R340" s="51"/>
      <c r="S340" s="51"/>
      <c r="T340" s="35"/>
      <c r="U340" s="51"/>
      <c r="V340" s="51"/>
      <c r="W340" s="364"/>
      <c r="X340" s="285"/>
      <c r="Y340" s="9"/>
      <c r="Z340" s="40"/>
      <c r="AA340" s="56"/>
      <c r="AB340" s="56"/>
      <c r="AC340" s="56"/>
      <c r="AD340" s="56"/>
    </row>
    <row r="341" spans="1:30" x14ac:dyDescent="0.3">
      <c r="A341" s="59">
        <f t="shared" si="69"/>
        <v>236</v>
      </c>
      <c r="B341" s="66" t="s">
        <v>1718</v>
      </c>
      <c r="C341" s="51">
        <f t="shared" si="70"/>
        <v>1914312</v>
      </c>
      <c r="D341" s="51">
        <f t="shared" si="68"/>
        <v>1914312</v>
      </c>
      <c r="E341" s="51">
        <v>1914312</v>
      </c>
      <c r="F341" s="51"/>
      <c r="G341" s="51"/>
      <c r="H341" s="51"/>
      <c r="I341" s="51"/>
      <c r="J341" s="82"/>
      <c r="K341" s="51"/>
      <c r="L341" s="51"/>
      <c r="M341" s="82"/>
      <c r="N341" s="51"/>
      <c r="O341" s="82"/>
      <c r="P341" s="51"/>
      <c r="Q341" s="338"/>
      <c r="R341" s="51"/>
      <c r="S341" s="51"/>
      <c r="T341" s="35"/>
      <c r="U341" s="51"/>
      <c r="V341" s="51"/>
      <c r="W341" s="364"/>
      <c r="X341" s="285"/>
      <c r="Y341" s="285"/>
      <c r="Z341" s="285"/>
      <c r="AA341" s="285"/>
      <c r="AB341" s="56"/>
      <c r="AC341" s="56"/>
      <c r="AD341" s="56"/>
    </row>
    <row r="342" spans="1:30" x14ac:dyDescent="0.3">
      <c r="A342" s="59">
        <f t="shared" si="69"/>
        <v>237</v>
      </c>
      <c r="B342" s="66" t="s">
        <v>1723</v>
      </c>
      <c r="C342" s="51">
        <f t="shared" si="70"/>
        <v>1611829.2</v>
      </c>
      <c r="D342" s="51">
        <f t="shared" si="68"/>
        <v>1611829.2</v>
      </c>
      <c r="E342" s="51">
        <v>1611829.2</v>
      </c>
      <c r="F342" s="51"/>
      <c r="G342" s="51"/>
      <c r="H342" s="51"/>
      <c r="I342" s="51"/>
      <c r="J342" s="82"/>
      <c r="K342" s="51"/>
      <c r="L342" s="51"/>
      <c r="M342" s="82"/>
      <c r="N342" s="51"/>
      <c r="O342" s="82"/>
      <c r="P342" s="51"/>
      <c r="Q342" s="338"/>
      <c r="R342" s="51"/>
      <c r="S342" s="51"/>
      <c r="T342" s="35"/>
      <c r="U342" s="51"/>
      <c r="V342" s="51"/>
      <c r="W342" s="364"/>
      <c r="X342" s="285">
        <v>158307.22</v>
      </c>
      <c r="Y342" s="285"/>
      <c r="Z342" s="285">
        <v>154696.04</v>
      </c>
      <c r="AA342" s="285"/>
      <c r="AB342" s="285"/>
      <c r="AC342" s="56"/>
      <c r="AD342" s="56" t="s">
        <v>1395</v>
      </c>
    </row>
    <row r="343" spans="1:30" x14ac:dyDescent="0.3">
      <c r="A343" s="59">
        <f t="shared" si="69"/>
        <v>238</v>
      </c>
      <c r="B343" s="66" t="s">
        <v>1730</v>
      </c>
      <c r="C343" s="51">
        <f t="shared" si="70"/>
        <v>2583365.66</v>
      </c>
      <c r="D343" s="51">
        <f t="shared" si="68"/>
        <v>2583365.66</v>
      </c>
      <c r="E343" s="51">
        <v>2583365.66</v>
      </c>
      <c r="F343" s="51"/>
      <c r="G343" s="51"/>
      <c r="H343" s="51"/>
      <c r="I343" s="51"/>
      <c r="J343" s="82"/>
      <c r="K343" s="51"/>
      <c r="L343" s="51"/>
      <c r="M343" s="82"/>
      <c r="N343" s="51"/>
      <c r="O343" s="82"/>
      <c r="P343" s="51"/>
      <c r="Q343" s="338"/>
      <c r="R343" s="51"/>
      <c r="S343" s="51"/>
      <c r="T343" s="35"/>
      <c r="U343" s="51"/>
      <c r="V343" s="51"/>
      <c r="W343" s="364"/>
      <c r="X343" s="285"/>
      <c r="Y343" s="285"/>
      <c r="Z343" s="285"/>
      <c r="AA343" s="285"/>
      <c r="AB343" s="285"/>
      <c r="AC343" s="56"/>
      <c r="AD343" s="56"/>
    </row>
    <row r="344" spans="1:30" x14ac:dyDescent="0.3">
      <c r="A344" s="59">
        <f t="shared" si="69"/>
        <v>239</v>
      </c>
      <c r="B344" s="66" t="s">
        <v>1731</v>
      </c>
      <c r="C344" s="51">
        <f t="shared" si="70"/>
        <v>870926.4</v>
      </c>
      <c r="D344" s="51">
        <f t="shared" si="68"/>
        <v>870926.4</v>
      </c>
      <c r="E344" s="51">
        <v>870926.4</v>
      </c>
      <c r="F344" s="51"/>
      <c r="G344" s="51"/>
      <c r="H344" s="51"/>
      <c r="I344" s="51"/>
      <c r="J344" s="82"/>
      <c r="K344" s="51"/>
      <c r="L344" s="51"/>
      <c r="M344" s="82"/>
      <c r="N344" s="51"/>
      <c r="O344" s="82"/>
      <c r="P344" s="51"/>
      <c r="Q344" s="338"/>
      <c r="R344" s="51"/>
      <c r="S344" s="51"/>
      <c r="T344" s="35"/>
      <c r="U344" s="51"/>
      <c r="V344" s="51"/>
      <c r="W344" s="364"/>
      <c r="X344" s="285"/>
      <c r="Y344" s="285"/>
      <c r="Z344" s="285"/>
      <c r="AA344" s="285"/>
      <c r="AB344" s="285"/>
      <c r="AC344" s="56"/>
      <c r="AD344" s="56"/>
    </row>
    <row r="345" spans="1:30" x14ac:dyDescent="0.3">
      <c r="A345" s="59">
        <f t="shared" si="69"/>
        <v>240</v>
      </c>
      <c r="B345" s="66" t="s">
        <v>1735</v>
      </c>
      <c r="C345" s="51">
        <f t="shared" si="70"/>
        <v>3275622.18</v>
      </c>
      <c r="D345" s="51">
        <f t="shared" si="68"/>
        <v>3275622.18</v>
      </c>
      <c r="E345" s="51">
        <v>500595.6</v>
      </c>
      <c r="F345" s="51">
        <v>2365351.2000000002</v>
      </c>
      <c r="G345" s="51">
        <v>213583.81</v>
      </c>
      <c r="H345" s="51"/>
      <c r="I345" s="51">
        <v>196091.57</v>
      </c>
      <c r="J345" s="82"/>
      <c r="K345" s="51"/>
      <c r="L345" s="51"/>
      <c r="M345" s="82"/>
      <c r="N345" s="51"/>
      <c r="O345" s="82"/>
      <c r="P345" s="51"/>
      <c r="Q345" s="338"/>
      <c r="R345" s="51"/>
      <c r="S345" s="51"/>
      <c r="T345" s="35"/>
      <c r="U345" s="51"/>
      <c r="V345" s="51"/>
      <c r="W345" s="364"/>
      <c r="X345" s="285"/>
      <c r="Y345" s="285"/>
      <c r="Z345" s="285"/>
      <c r="AA345" s="285"/>
      <c r="AB345" s="285"/>
      <c r="AC345" s="56"/>
      <c r="AD345" s="56"/>
    </row>
    <row r="346" spans="1:30" x14ac:dyDescent="0.3">
      <c r="A346" s="59">
        <f t="shared" si="69"/>
        <v>241</v>
      </c>
      <c r="B346" s="66" t="s">
        <v>1750</v>
      </c>
      <c r="C346" s="51">
        <f t="shared" si="70"/>
        <v>2107557.6</v>
      </c>
      <c r="D346" s="51">
        <f t="shared" si="68"/>
        <v>2107557.6</v>
      </c>
      <c r="E346" s="51">
        <v>2107557.6</v>
      </c>
      <c r="F346" s="51"/>
      <c r="G346" s="51"/>
      <c r="H346" s="51"/>
      <c r="I346" s="51"/>
      <c r="J346" s="82"/>
      <c r="K346" s="51"/>
      <c r="L346" s="51"/>
      <c r="M346" s="82"/>
      <c r="N346" s="51"/>
      <c r="O346" s="82"/>
      <c r="P346" s="51"/>
      <c r="Q346" s="338"/>
      <c r="R346" s="51"/>
      <c r="S346" s="51"/>
      <c r="T346" s="35"/>
      <c r="U346" s="51"/>
      <c r="V346" s="51"/>
      <c r="W346" s="364"/>
      <c r="X346" s="285"/>
      <c r="Y346" s="285"/>
      <c r="Z346" s="285"/>
      <c r="AA346" s="285"/>
      <c r="AB346" s="56"/>
      <c r="AC346" s="56"/>
      <c r="AD346" s="56"/>
    </row>
    <row r="347" spans="1:30" x14ac:dyDescent="0.3">
      <c r="A347" s="59">
        <f t="shared" si="69"/>
        <v>242</v>
      </c>
      <c r="B347" s="66" t="s">
        <v>1754</v>
      </c>
      <c r="C347" s="51">
        <f t="shared" si="70"/>
        <v>2202040.7999999998</v>
      </c>
      <c r="D347" s="51">
        <f t="shared" si="68"/>
        <v>2202040.7999999998</v>
      </c>
      <c r="E347" s="51">
        <v>2202040.7999999998</v>
      </c>
      <c r="F347" s="51"/>
      <c r="G347" s="51"/>
      <c r="H347" s="51"/>
      <c r="I347" s="51"/>
      <c r="J347" s="82"/>
      <c r="K347" s="51"/>
      <c r="L347" s="51"/>
      <c r="M347" s="82"/>
      <c r="N347" s="51"/>
      <c r="O347" s="82"/>
      <c r="P347" s="51"/>
      <c r="Q347" s="338"/>
      <c r="R347" s="51"/>
      <c r="S347" s="51"/>
      <c r="T347" s="35"/>
      <c r="U347" s="51"/>
      <c r="V347" s="51"/>
      <c r="W347" s="364"/>
      <c r="X347" s="285"/>
      <c r="Y347" s="285"/>
      <c r="Z347" s="285"/>
      <c r="AA347" s="285"/>
      <c r="AB347" s="56"/>
      <c r="AC347" s="56"/>
      <c r="AD347" s="56"/>
    </row>
    <row r="348" spans="1:30" x14ac:dyDescent="0.3">
      <c r="A348" s="59">
        <f t="shared" si="69"/>
        <v>243</v>
      </c>
      <c r="B348" s="66" t="s">
        <v>1756</v>
      </c>
      <c r="C348" s="51">
        <f t="shared" si="70"/>
        <v>2902320</v>
      </c>
      <c r="D348" s="51">
        <f t="shared" si="68"/>
        <v>2902320</v>
      </c>
      <c r="E348" s="51">
        <v>2902320</v>
      </c>
      <c r="F348" s="51"/>
      <c r="G348" s="51"/>
      <c r="H348" s="51"/>
      <c r="I348" s="51"/>
      <c r="J348" s="82"/>
      <c r="K348" s="51"/>
      <c r="L348" s="51"/>
      <c r="M348" s="82"/>
      <c r="N348" s="51"/>
      <c r="O348" s="82"/>
      <c r="P348" s="51"/>
      <c r="Q348" s="338"/>
      <c r="R348" s="51"/>
      <c r="S348" s="51"/>
      <c r="T348" s="35"/>
      <c r="U348" s="51"/>
      <c r="V348" s="51"/>
      <c r="W348" s="364"/>
      <c r="X348" s="285"/>
      <c r="Y348" s="285"/>
      <c r="Z348" s="285"/>
      <c r="AA348" s="285"/>
      <c r="AB348" s="56"/>
      <c r="AC348" s="56"/>
      <c r="AD348" s="56"/>
    </row>
    <row r="349" spans="1:30" x14ac:dyDescent="0.3">
      <c r="A349" s="59">
        <f t="shared" si="69"/>
        <v>244</v>
      </c>
      <c r="B349" s="66" t="s">
        <v>1758</v>
      </c>
      <c r="C349" s="51">
        <f t="shared" si="70"/>
        <v>2099449.33</v>
      </c>
      <c r="D349" s="51">
        <f t="shared" si="68"/>
        <v>2099449.33</v>
      </c>
      <c r="E349" s="51">
        <v>590395.19999999995</v>
      </c>
      <c r="F349" s="51">
        <v>1277934</v>
      </c>
      <c r="G349" s="51">
        <v>103385.7</v>
      </c>
      <c r="H349" s="51"/>
      <c r="I349" s="51">
        <v>127734.43</v>
      </c>
      <c r="J349" s="82"/>
      <c r="K349" s="51"/>
      <c r="L349" s="51"/>
      <c r="M349" s="82"/>
      <c r="N349" s="51"/>
      <c r="O349" s="82"/>
      <c r="P349" s="51"/>
      <c r="Q349" s="338"/>
      <c r="R349" s="51"/>
      <c r="S349" s="51"/>
      <c r="T349" s="35"/>
      <c r="U349" s="51"/>
      <c r="V349" s="51"/>
      <c r="W349" s="364"/>
      <c r="X349" s="285"/>
      <c r="Y349" s="285"/>
      <c r="Z349" s="285"/>
      <c r="AA349" s="285"/>
      <c r="AB349" s="56"/>
      <c r="AC349" s="56"/>
      <c r="AD349" s="56"/>
    </row>
    <row r="350" spans="1:30" x14ac:dyDescent="0.3">
      <c r="A350" s="59">
        <f t="shared" si="69"/>
        <v>245</v>
      </c>
      <c r="B350" s="66" t="s">
        <v>1760</v>
      </c>
      <c r="C350" s="51">
        <f t="shared" si="70"/>
        <v>1401807.5999999999</v>
      </c>
      <c r="D350" s="51">
        <f t="shared" si="68"/>
        <v>1401807.5999999999</v>
      </c>
      <c r="E350" s="51">
        <v>299953.2</v>
      </c>
      <c r="F350" s="51">
        <v>840646.8</v>
      </c>
      <c r="G350" s="51">
        <v>142687.20000000001</v>
      </c>
      <c r="H350" s="51"/>
      <c r="I350" s="51">
        <v>118520.4</v>
      </c>
      <c r="J350" s="82"/>
      <c r="K350" s="51"/>
      <c r="L350" s="51"/>
      <c r="M350" s="82"/>
      <c r="N350" s="51"/>
      <c r="O350" s="82"/>
      <c r="P350" s="51"/>
      <c r="Q350" s="338"/>
      <c r="R350" s="51"/>
      <c r="S350" s="51"/>
      <c r="T350" s="35"/>
      <c r="U350" s="51"/>
      <c r="V350" s="51"/>
      <c r="W350" s="364"/>
      <c r="X350" s="285"/>
      <c r="Y350" s="285"/>
      <c r="Z350" s="285"/>
      <c r="AA350" s="285"/>
      <c r="AB350" s="285"/>
      <c r="AC350" s="56"/>
      <c r="AD350" s="56"/>
    </row>
    <row r="351" spans="1:30" x14ac:dyDescent="0.3">
      <c r="A351" s="59">
        <f t="shared" si="69"/>
        <v>246</v>
      </c>
      <c r="B351" s="66" t="s">
        <v>1807</v>
      </c>
      <c r="C351" s="51">
        <f t="shared" si="70"/>
        <v>6081187.2000000002</v>
      </c>
      <c r="D351" s="51">
        <f t="shared" si="68"/>
        <v>6081187.2000000002</v>
      </c>
      <c r="E351" s="51">
        <v>1519996.8</v>
      </c>
      <c r="F351" s="51">
        <v>4561190.4000000004</v>
      </c>
      <c r="G351" s="51"/>
      <c r="H351" s="51"/>
      <c r="I351" s="51"/>
      <c r="J351" s="82"/>
      <c r="K351" s="51"/>
      <c r="L351" s="51"/>
      <c r="M351" s="82"/>
      <c r="N351" s="51"/>
      <c r="O351" s="82"/>
      <c r="P351" s="51"/>
      <c r="Q351" s="338"/>
      <c r="R351" s="51"/>
      <c r="S351" s="51"/>
      <c r="T351" s="35"/>
      <c r="U351" s="51"/>
      <c r="V351" s="51"/>
      <c r="W351" s="364"/>
      <c r="X351" s="285"/>
      <c r="Y351" s="9"/>
      <c r="Z351" s="306"/>
      <c r="AA351" s="302"/>
      <c r="AB351" s="302"/>
      <c r="AC351" s="56"/>
      <c r="AD351" s="56"/>
    </row>
    <row r="352" spans="1:30" x14ac:dyDescent="0.3">
      <c r="A352" s="59">
        <f t="shared" si="69"/>
        <v>247</v>
      </c>
      <c r="B352" s="66" t="s">
        <v>1809</v>
      </c>
      <c r="C352" s="51">
        <f t="shared" si="70"/>
        <v>2425366.7999999998</v>
      </c>
      <c r="D352" s="51">
        <f t="shared" si="68"/>
        <v>2425366.7999999998</v>
      </c>
      <c r="E352" s="51">
        <v>668001.6</v>
      </c>
      <c r="F352" s="51">
        <v>1757365.2</v>
      </c>
      <c r="G352" s="51"/>
      <c r="H352" s="51"/>
      <c r="I352" s="51"/>
      <c r="J352" s="82"/>
      <c r="K352" s="51"/>
      <c r="L352" s="51"/>
      <c r="M352" s="82"/>
      <c r="N352" s="51"/>
      <c r="O352" s="82"/>
      <c r="P352" s="51"/>
      <c r="Q352" s="338"/>
      <c r="R352" s="51"/>
      <c r="S352" s="51"/>
      <c r="T352" s="35"/>
      <c r="U352" s="51"/>
      <c r="V352" s="51"/>
      <c r="W352" s="364"/>
      <c r="X352" s="285">
        <v>125424.56</v>
      </c>
      <c r="Y352" s="9"/>
      <c r="Z352" s="40"/>
      <c r="AA352" s="56"/>
      <c r="AB352" s="56"/>
      <c r="AC352" s="56"/>
      <c r="AD352" s="56" t="s">
        <v>1810</v>
      </c>
    </row>
    <row r="353" spans="1:30" x14ac:dyDescent="0.3">
      <c r="A353" s="59">
        <f>A352+1</f>
        <v>248</v>
      </c>
      <c r="B353" s="66" t="s">
        <v>1811</v>
      </c>
      <c r="C353" s="51">
        <f t="shared" si="70"/>
        <v>813042</v>
      </c>
      <c r="D353" s="51">
        <f t="shared" si="68"/>
        <v>813042</v>
      </c>
      <c r="E353" s="51">
        <v>813042</v>
      </c>
      <c r="F353" s="51"/>
      <c r="G353" s="51"/>
      <c r="H353" s="51"/>
      <c r="I353" s="51"/>
      <c r="J353" s="82"/>
      <c r="K353" s="51"/>
      <c r="L353" s="51"/>
      <c r="M353" s="82"/>
      <c r="N353" s="51"/>
      <c r="O353" s="82"/>
      <c r="P353" s="51"/>
      <c r="Q353" s="338"/>
      <c r="R353" s="51"/>
      <c r="S353" s="51"/>
      <c r="T353" s="35"/>
      <c r="U353" s="51"/>
      <c r="V353" s="51"/>
      <c r="W353" s="364"/>
      <c r="X353" s="285">
        <f>159823.55+124838.88</f>
        <v>284662.43</v>
      </c>
      <c r="Y353" s="9"/>
      <c r="Z353" s="40"/>
      <c r="AA353" s="56"/>
      <c r="AB353" s="56"/>
      <c r="AC353" s="56"/>
      <c r="AD353" s="56" t="s">
        <v>1563</v>
      </c>
    </row>
    <row r="354" spans="1:30" x14ac:dyDescent="0.3">
      <c r="A354" s="59">
        <f t="shared" si="69"/>
        <v>249</v>
      </c>
      <c r="B354" s="66" t="s">
        <v>1812</v>
      </c>
      <c r="C354" s="51">
        <f t="shared" si="70"/>
        <v>1884546</v>
      </c>
      <c r="D354" s="51">
        <f t="shared" si="68"/>
        <v>1884546</v>
      </c>
      <c r="E354" s="51">
        <v>1884546</v>
      </c>
      <c r="F354" s="51"/>
      <c r="G354" s="51"/>
      <c r="H354" s="51"/>
      <c r="I354" s="51"/>
      <c r="J354" s="82"/>
      <c r="K354" s="51"/>
      <c r="L354" s="51"/>
      <c r="M354" s="82"/>
      <c r="N354" s="51"/>
      <c r="O354" s="82"/>
      <c r="P354" s="51"/>
      <c r="Q354" s="338"/>
      <c r="R354" s="51"/>
      <c r="S354" s="51"/>
      <c r="T354" s="35"/>
      <c r="U354" s="51"/>
      <c r="V354" s="51"/>
      <c r="W354" s="364"/>
      <c r="X354" s="285"/>
      <c r="Y354" s="9"/>
      <c r="Z354" s="306">
        <v>190946.49</v>
      </c>
      <c r="AA354" s="302">
        <v>889409.02</v>
      </c>
      <c r="AB354" s="302"/>
      <c r="AC354" s="56"/>
      <c r="AD354" s="56" t="s">
        <v>1813</v>
      </c>
    </row>
    <row r="355" spans="1:30" x14ac:dyDescent="0.3">
      <c r="A355" s="59">
        <f t="shared" si="69"/>
        <v>250</v>
      </c>
      <c r="B355" s="66" t="s">
        <v>1823</v>
      </c>
      <c r="C355" s="51">
        <f t="shared" si="70"/>
        <v>1191572.3999999999</v>
      </c>
      <c r="D355" s="51">
        <f t="shared" si="68"/>
        <v>1191572.3999999999</v>
      </c>
      <c r="E355" s="51">
        <v>1191572.3999999999</v>
      </c>
      <c r="F355" s="51"/>
      <c r="G355" s="51"/>
      <c r="H355" s="51"/>
      <c r="I355" s="51"/>
      <c r="J355" s="82"/>
      <c r="K355" s="51"/>
      <c r="L355" s="51"/>
      <c r="M355" s="82"/>
      <c r="N355" s="51"/>
      <c r="O355" s="82"/>
      <c r="P355" s="51"/>
      <c r="Q355" s="338"/>
      <c r="R355" s="51"/>
      <c r="S355" s="51"/>
      <c r="T355" s="35"/>
      <c r="U355" s="51"/>
      <c r="V355" s="51"/>
      <c r="W355" s="364"/>
      <c r="X355" s="285">
        <f>186914.14+143739.92</f>
        <v>330654.06000000006</v>
      </c>
      <c r="Y355" s="9"/>
      <c r="Z355" s="306"/>
      <c r="AA355" s="302"/>
      <c r="AB355" s="302"/>
      <c r="AC355" s="56"/>
      <c r="AD355" s="56" t="s">
        <v>1563</v>
      </c>
    </row>
    <row r="356" spans="1:30" x14ac:dyDescent="0.3">
      <c r="A356" s="59">
        <f t="shared" si="69"/>
        <v>251</v>
      </c>
      <c r="B356" s="66" t="s">
        <v>1824</v>
      </c>
      <c r="C356" s="51">
        <f t="shared" si="70"/>
        <v>393267</v>
      </c>
      <c r="D356" s="51">
        <f t="shared" si="68"/>
        <v>393267</v>
      </c>
      <c r="E356" s="51">
        <f>(2688*13)+(358323*1)</f>
        <v>393267</v>
      </c>
      <c r="F356" s="51"/>
      <c r="G356" s="51"/>
      <c r="H356" s="51"/>
      <c r="I356" s="51"/>
      <c r="J356" s="82"/>
      <c r="K356" s="51"/>
      <c r="L356" s="51"/>
      <c r="M356" s="82"/>
      <c r="N356" s="51"/>
      <c r="O356" s="82"/>
      <c r="P356" s="51"/>
      <c r="Q356" s="338"/>
      <c r="R356" s="51"/>
      <c r="S356" s="51"/>
      <c r="T356" s="35"/>
      <c r="U356" s="51"/>
      <c r="V356" s="51"/>
      <c r="W356" s="364"/>
      <c r="X356" s="285"/>
      <c r="Y356" s="9"/>
      <c r="Z356" s="306"/>
      <c r="AA356" s="302"/>
      <c r="AB356" s="302"/>
      <c r="AC356" s="56"/>
      <c r="AD356" s="56"/>
    </row>
    <row r="357" spans="1:30" x14ac:dyDescent="0.3">
      <c r="A357" s="59">
        <f t="shared" si="69"/>
        <v>252</v>
      </c>
      <c r="B357" s="66" t="s">
        <v>1837</v>
      </c>
      <c r="C357" s="51">
        <f t="shared" si="70"/>
        <v>790478.4</v>
      </c>
      <c r="D357" s="51">
        <f t="shared" si="68"/>
        <v>790478.4</v>
      </c>
      <c r="E357" s="51">
        <v>551373.6</v>
      </c>
      <c r="F357" s="51"/>
      <c r="G357" s="51">
        <v>127688.4</v>
      </c>
      <c r="H357" s="51"/>
      <c r="I357" s="51">
        <v>111416.4</v>
      </c>
      <c r="J357" s="82"/>
      <c r="K357" s="51"/>
      <c r="L357" s="51"/>
      <c r="M357" s="82"/>
      <c r="N357" s="51"/>
      <c r="O357" s="82"/>
      <c r="P357" s="51"/>
      <c r="Q357" s="338"/>
      <c r="R357" s="51"/>
      <c r="S357" s="51"/>
      <c r="T357" s="35"/>
      <c r="U357" s="51"/>
      <c r="V357" s="51"/>
      <c r="W357" s="364"/>
      <c r="X357" s="285"/>
      <c r="Y357" s="9"/>
      <c r="Z357" s="306"/>
      <c r="AA357" s="302"/>
      <c r="AB357" s="302"/>
      <c r="AC357" s="56"/>
      <c r="AD357" s="56"/>
    </row>
    <row r="358" spans="1:30" x14ac:dyDescent="0.3">
      <c r="A358" s="59">
        <f t="shared" si="69"/>
        <v>253</v>
      </c>
      <c r="B358" s="66" t="s">
        <v>1842</v>
      </c>
      <c r="C358" s="51">
        <f t="shared" si="70"/>
        <v>2719102.8</v>
      </c>
      <c r="D358" s="51">
        <f t="shared" si="68"/>
        <v>2719102.8</v>
      </c>
      <c r="E358" s="51">
        <v>508742.40000000002</v>
      </c>
      <c r="F358" s="51">
        <v>1957514.4</v>
      </c>
      <c r="G358" s="51">
        <v>252846</v>
      </c>
      <c r="H358" s="51"/>
      <c r="I358" s="51"/>
      <c r="J358" s="82"/>
      <c r="K358" s="51"/>
      <c r="L358" s="51"/>
      <c r="M358" s="82"/>
      <c r="N358" s="51"/>
      <c r="O358" s="82"/>
      <c r="P358" s="51"/>
      <c r="Q358" s="338"/>
      <c r="R358" s="51"/>
      <c r="S358" s="51"/>
      <c r="T358" s="35"/>
      <c r="U358" s="51"/>
      <c r="V358" s="51"/>
      <c r="W358" s="364"/>
      <c r="X358" s="285"/>
      <c r="Y358" s="9"/>
      <c r="Z358" s="306"/>
      <c r="AA358" s="302"/>
      <c r="AB358" s="302"/>
      <c r="AC358" s="56"/>
      <c r="AD358" s="56"/>
    </row>
    <row r="359" spans="1:30" x14ac:dyDescent="0.3">
      <c r="A359" s="59">
        <f t="shared" si="69"/>
        <v>254</v>
      </c>
      <c r="B359" s="66" t="s">
        <v>1843</v>
      </c>
      <c r="C359" s="51">
        <f t="shared" si="70"/>
        <v>2783103.6</v>
      </c>
      <c r="D359" s="51">
        <f t="shared" si="68"/>
        <v>2783103.6</v>
      </c>
      <c r="E359" s="51">
        <v>466555.2</v>
      </c>
      <c r="F359" s="51">
        <v>2063036.4</v>
      </c>
      <c r="G359" s="51">
        <v>253512</v>
      </c>
      <c r="H359" s="51"/>
      <c r="I359" s="51"/>
      <c r="J359" s="82"/>
      <c r="K359" s="51"/>
      <c r="L359" s="51"/>
      <c r="M359" s="82"/>
      <c r="N359" s="51"/>
      <c r="O359" s="82"/>
      <c r="P359" s="51"/>
      <c r="Q359" s="338"/>
      <c r="R359" s="51"/>
      <c r="S359" s="51"/>
      <c r="T359" s="35"/>
      <c r="U359" s="51"/>
      <c r="V359" s="51"/>
      <c r="W359" s="364"/>
      <c r="X359" s="285">
        <v>111559.18</v>
      </c>
      <c r="Y359" s="9"/>
      <c r="Z359" s="306"/>
      <c r="AA359" s="302"/>
      <c r="AB359" s="302"/>
      <c r="AC359" s="56"/>
      <c r="AD359" s="56" t="s">
        <v>25</v>
      </c>
    </row>
    <row r="360" spans="1:30" x14ac:dyDescent="0.3">
      <c r="A360" s="59">
        <f t="shared" si="69"/>
        <v>255</v>
      </c>
      <c r="B360" s="66" t="s">
        <v>1862</v>
      </c>
      <c r="C360" s="51">
        <f t="shared" si="70"/>
        <v>1763206.8</v>
      </c>
      <c r="D360" s="51">
        <f t="shared" si="68"/>
        <v>1763206.8</v>
      </c>
      <c r="E360" s="51">
        <v>374815.2</v>
      </c>
      <c r="F360" s="51">
        <v>1112943.6000000001</v>
      </c>
      <c r="G360" s="51">
        <v>135394.79999999999</v>
      </c>
      <c r="H360" s="51"/>
      <c r="I360" s="51">
        <v>140053.20000000001</v>
      </c>
      <c r="J360" s="82"/>
      <c r="K360" s="51"/>
      <c r="L360" s="51"/>
      <c r="M360" s="82"/>
      <c r="N360" s="51"/>
      <c r="O360" s="82"/>
      <c r="P360" s="51"/>
      <c r="Q360" s="338"/>
      <c r="R360" s="51"/>
      <c r="S360" s="51"/>
      <c r="T360" s="35"/>
      <c r="U360" s="51"/>
      <c r="V360" s="51"/>
      <c r="W360" s="364"/>
      <c r="X360" s="285"/>
      <c r="Y360" s="9"/>
      <c r="Z360" s="40"/>
      <c r="AA360" s="56"/>
      <c r="AB360" s="56"/>
      <c r="AC360" s="56"/>
      <c r="AD360" s="56"/>
    </row>
    <row r="361" spans="1:30" x14ac:dyDescent="0.3">
      <c r="A361" s="59">
        <f t="shared" si="69"/>
        <v>256</v>
      </c>
      <c r="B361" s="66" t="s">
        <v>1881</v>
      </c>
      <c r="C361" s="51">
        <f t="shared" si="70"/>
        <v>1266492</v>
      </c>
      <c r="D361" s="51">
        <f t="shared" si="68"/>
        <v>1266492</v>
      </c>
      <c r="E361" s="51">
        <v>1266492</v>
      </c>
      <c r="F361" s="51"/>
      <c r="G361" s="51"/>
      <c r="H361" s="51"/>
      <c r="I361" s="51"/>
      <c r="J361" s="82"/>
      <c r="K361" s="51"/>
      <c r="L361" s="51"/>
      <c r="M361" s="82"/>
      <c r="N361" s="51"/>
      <c r="O361" s="82"/>
      <c r="P361" s="51"/>
      <c r="Q361" s="338"/>
      <c r="R361" s="51"/>
      <c r="S361" s="51"/>
      <c r="T361" s="35"/>
      <c r="U361" s="51"/>
      <c r="V361" s="51"/>
      <c r="W361" s="364"/>
      <c r="X361" s="285">
        <f>164903.86+161285.58</f>
        <v>326189.43999999994</v>
      </c>
      <c r="Y361" s="9"/>
      <c r="Z361" s="306">
        <v>187132.73</v>
      </c>
      <c r="AA361" s="302"/>
      <c r="AB361" s="302"/>
      <c r="AC361" s="56"/>
      <c r="AD361" s="56" t="s">
        <v>1563</v>
      </c>
    </row>
    <row r="362" spans="1:30" x14ac:dyDescent="0.3">
      <c r="A362" s="59">
        <f t="shared" si="69"/>
        <v>257</v>
      </c>
      <c r="B362" s="66" t="s">
        <v>1885</v>
      </c>
      <c r="C362" s="51">
        <f t="shared" si="70"/>
        <v>1041826.8</v>
      </c>
      <c r="D362" s="51">
        <f t="shared" si="68"/>
        <v>1041826.8</v>
      </c>
      <c r="E362" s="51">
        <v>1041826.8</v>
      </c>
      <c r="F362" s="51"/>
      <c r="G362" s="51"/>
      <c r="H362" s="51"/>
      <c r="I362" s="51"/>
      <c r="J362" s="82"/>
      <c r="K362" s="51"/>
      <c r="L362" s="51"/>
      <c r="M362" s="82"/>
      <c r="N362" s="51"/>
      <c r="O362" s="129"/>
      <c r="P362" s="51"/>
      <c r="Q362" s="338"/>
      <c r="R362" s="51"/>
      <c r="S362" s="51"/>
      <c r="T362" s="35"/>
      <c r="U362" s="51"/>
      <c r="V362" s="51"/>
      <c r="W362" s="364"/>
      <c r="X362" s="285"/>
      <c r="Y362" s="9"/>
      <c r="Z362" s="306"/>
      <c r="AA362" s="302"/>
      <c r="AB362" s="302"/>
      <c r="AC362" s="56"/>
      <c r="AD362" s="56"/>
    </row>
    <row r="363" spans="1:30" x14ac:dyDescent="0.3">
      <c r="A363" s="59">
        <f t="shared" si="69"/>
        <v>258</v>
      </c>
      <c r="B363" s="66" t="s">
        <v>1887</v>
      </c>
      <c r="C363" s="51">
        <f t="shared" si="70"/>
        <v>886993.2</v>
      </c>
      <c r="D363" s="51">
        <f t="shared" si="68"/>
        <v>886993.2</v>
      </c>
      <c r="E363" s="51">
        <v>886993.2</v>
      </c>
      <c r="F363" s="51"/>
      <c r="G363" s="51"/>
      <c r="H363" s="51"/>
      <c r="I363" s="51"/>
      <c r="J363" s="82"/>
      <c r="K363" s="51"/>
      <c r="L363" s="51"/>
      <c r="M363" s="82"/>
      <c r="N363" s="51"/>
      <c r="O363" s="129"/>
      <c r="P363" s="51"/>
      <c r="Q363" s="338"/>
      <c r="R363" s="51"/>
      <c r="S363" s="51"/>
      <c r="T363" s="35"/>
      <c r="U363" s="51"/>
      <c r="V363" s="51"/>
      <c r="W363" s="364"/>
      <c r="X363" s="285">
        <f>162322.28+121201.85</f>
        <v>283524.13</v>
      </c>
      <c r="Y363" s="9"/>
      <c r="Z363" s="306">
        <v>146520.76</v>
      </c>
      <c r="AA363" s="302"/>
      <c r="AB363" s="302"/>
      <c r="AC363" s="56"/>
      <c r="AD363" s="56" t="s">
        <v>1563</v>
      </c>
    </row>
    <row r="364" spans="1:30" x14ac:dyDescent="0.3">
      <c r="A364" s="59">
        <f t="shared" si="69"/>
        <v>259</v>
      </c>
      <c r="B364" s="66" t="s">
        <v>1889</v>
      </c>
      <c r="C364" s="51">
        <f t="shared" si="70"/>
        <v>886993.2</v>
      </c>
      <c r="D364" s="51">
        <f t="shared" si="68"/>
        <v>886993.2</v>
      </c>
      <c r="E364" s="51">
        <v>886993.2</v>
      </c>
      <c r="F364" s="51"/>
      <c r="G364" s="51"/>
      <c r="H364" s="51"/>
      <c r="I364" s="51"/>
      <c r="J364" s="82"/>
      <c r="K364" s="51"/>
      <c r="L364" s="51"/>
      <c r="M364" s="82"/>
      <c r="N364" s="51"/>
      <c r="O364" s="401"/>
      <c r="P364" s="51"/>
      <c r="Q364" s="338"/>
      <c r="R364" s="51"/>
      <c r="S364" s="51"/>
      <c r="T364" s="35"/>
      <c r="U364" s="51"/>
      <c r="V364" s="51"/>
      <c r="W364" s="364"/>
      <c r="X364" s="285">
        <f>153766.74+116709.56</f>
        <v>270476.3</v>
      </c>
      <c r="Y364" s="9"/>
      <c r="Z364" s="306">
        <v>191431.82</v>
      </c>
      <c r="AA364" s="302"/>
      <c r="AB364" s="302"/>
      <c r="AC364" s="56"/>
      <c r="AD364" s="56" t="s">
        <v>1563</v>
      </c>
    </row>
    <row r="365" spans="1:30" x14ac:dyDescent="0.3">
      <c r="A365" s="59">
        <f t="shared" si="69"/>
        <v>260</v>
      </c>
      <c r="B365" s="66" t="s">
        <v>1896</v>
      </c>
      <c r="C365" s="51">
        <f t="shared" si="70"/>
        <v>9278871.5999999996</v>
      </c>
      <c r="D365" s="51">
        <f t="shared" si="68"/>
        <v>9278871.5999999996</v>
      </c>
      <c r="E365" s="51">
        <v>2991360</v>
      </c>
      <c r="F365" s="51">
        <v>6287511.5999999996</v>
      </c>
      <c r="G365" s="51"/>
      <c r="H365" s="51"/>
      <c r="I365" s="51"/>
      <c r="J365" s="82"/>
      <c r="K365" s="51"/>
      <c r="L365" s="51"/>
      <c r="M365" s="82"/>
      <c r="N365" s="51"/>
      <c r="O365" s="129"/>
      <c r="P365" s="51"/>
      <c r="Q365" s="338"/>
      <c r="R365" s="51"/>
      <c r="S365" s="51"/>
      <c r="T365" s="35"/>
      <c r="U365" s="51"/>
      <c r="V365" s="51"/>
      <c r="W365" s="364"/>
      <c r="X365" s="285">
        <v>222868.61</v>
      </c>
      <c r="Y365" s="9"/>
      <c r="Z365" s="306">
        <v>197243.72</v>
      </c>
      <c r="AA365" s="302">
        <v>1140903.55</v>
      </c>
      <c r="AB365" s="302"/>
      <c r="AC365" s="56"/>
      <c r="AD365" s="56" t="s">
        <v>1897</v>
      </c>
    </row>
    <row r="366" spans="1:30" x14ac:dyDescent="0.3">
      <c r="A366" s="59">
        <f t="shared" si="69"/>
        <v>261</v>
      </c>
      <c r="B366" s="66" t="s">
        <v>1921</v>
      </c>
      <c r="C366" s="51">
        <f t="shared" si="70"/>
        <v>2090947.2</v>
      </c>
      <c r="D366" s="51">
        <f t="shared" si="68"/>
        <v>2090947.2</v>
      </c>
      <c r="E366" s="51">
        <v>369852</v>
      </c>
      <c r="F366" s="51">
        <v>1269854.3999999999</v>
      </c>
      <c r="G366" s="51">
        <v>242329.2</v>
      </c>
      <c r="H366" s="51"/>
      <c r="I366" s="51">
        <v>208911.6</v>
      </c>
      <c r="J366" s="82"/>
      <c r="K366" s="51"/>
      <c r="L366" s="51"/>
      <c r="M366" s="82"/>
      <c r="N366" s="51"/>
      <c r="O366" s="129"/>
      <c r="P366" s="51"/>
      <c r="Q366" s="338"/>
      <c r="R366" s="51"/>
      <c r="S366" s="51"/>
      <c r="T366" s="35"/>
      <c r="U366" s="51"/>
      <c r="V366" s="51"/>
      <c r="W366" s="364"/>
      <c r="X366" s="285"/>
      <c r="Y366" s="9"/>
      <c r="Z366" s="306"/>
      <c r="AA366" s="302"/>
      <c r="AB366" s="302"/>
      <c r="AC366" s="56"/>
      <c r="AD366" s="56"/>
    </row>
    <row r="367" spans="1:30" x14ac:dyDescent="0.3">
      <c r="A367" s="59">
        <f t="shared" si="69"/>
        <v>262</v>
      </c>
      <c r="B367" s="66" t="s">
        <v>1924</v>
      </c>
      <c r="C367" s="51">
        <f t="shared" si="70"/>
        <v>1965122.4</v>
      </c>
      <c r="D367" s="51">
        <f t="shared" si="68"/>
        <v>1965122.4</v>
      </c>
      <c r="E367" s="51">
        <v>470677.2</v>
      </c>
      <c r="F367" s="51">
        <v>1193481.6000000001</v>
      </c>
      <c r="G367" s="51">
        <v>132271.20000000001</v>
      </c>
      <c r="H367" s="51"/>
      <c r="I367" s="51">
        <v>168692.4</v>
      </c>
      <c r="J367" s="82"/>
      <c r="K367" s="51"/>
      <c r="L367" s="51"/>
      <c r="M367" s="82"/>
      <c r="N367" s="51"/>
      <c r="O367" s="129"/>
      <c r="P367" s="51"/>
      <c r="Q367" s="338"/>
      <c r="R367" s="51"/>
      <c r="S367" s="51"/>
      <c r="T367" s="35"/>
      <c r="U367" s="51"/>
      <c r="V367" s="51"/>
      <c r="W367" s="364"/>
      <c r="X367" s="285"/>
      <c r="Y367" s="9"/>
      <c r="Z367" s="306"/>
      <c r="AA367" s="302"/>
      <c r="AB367" s="302"/>
      <c r="AC367" s="56"/>
      <c r="AD367" s="56"/>
    </row>
    <row r="368" spans="1:30" x14ac:dyDescent="0.3">
      <c r="A368" s="59">
        <f t="shared" si="69"/>
        <v>263</v>
      </c>
      <c r="B368" s="66" t="s">
        <v>1925</v>
      </c>
      <c r="C368" s="51">
        <f t="shared" si="70"/>
        <v>1473540</v>
      </c>
      <c r="D368" s="51">
        <f t="shared" si="68"/>
        <v>1473540</v>
      </c>
      <c r="E368" s="51">
        <v>366879.6</v>
      </c>
      <c r="F368" s="51">
        <v>838785.6</v>
      </c>
      <c r="G368" s="399">
        <v>129729.60000000001</v>
      </c>
      <c r="H368" s="51"/>
      <c r="I368" s="51">
        <v>138145.20000000001</v>
      </c>
      <c r="J368" s="82"/>
      <c r="K368" s="51"/>
      <c r="L368" s="51"/>
      <c r="M368" s="82"/>
      <c r="N368" s="51"/>
      <c r="O368" s="129"/>
      <c r="P368" s="51"/>
      <c r="Q368" s="338"/>
      <c r="R368" s="51"/>
      <c r="S368" s="51"/>
      <c r="T368" s="35"/>
      <c r="U368" s="51"/>
      <c r="V368" s="51"/>
      <c r="W368" s="364"/>
      <c r="X368" s="285"/>
      <c r="Y368" s="9"/>
      <c r="Z368" s="306"/>
      <c r="AA368" s="302"/>
      <c r="AB368" s="302"/>
      <c r="AC368" s="56"/>
      <c r="AD368" s="56"/>
    </row>
    <row r="369" spans="1:30" x14ac:dyDescent="0.3">
      <c r="A369" s="59">
        <f t="shared" si="69"/>
        <v>264</v>
      </c>
      <c r="B369" s="66" t="s">
        <v>1927</v>
      </c>
      <c r="C369" s="51">
        <f t="shared" si="70"/>
        <v>1598647.96</v>
      </c>
      <c r="D369" s="51">
        <f t="shared" si="68"/>
        <v>1598647.96</v>
      </c>
      <c r="E369" s="51"/>
      <c r="F369" s="51">
        <v>1183395.6000000001</v>
      </c>
      <c r="G369" s="51">
        <v>256634.4</v>
      </c>
      <c r="H369" s="51"/>
      <c r="I369" s="51">
        <v>158617.96</v>
      </c>
      <c r="J369" s="82"/>
      <c r="K369" s="51"/>
      <c r="L369" s="51"/>
      <c r="M369" s="82"/>
      <c r="N369" s="51"/>
      <c r="O369" s="129"/>
      <c r="P369" s="51"/>
      <c r="Q369" s="338"/>
      <c r="R369" s="51"/>
      <c r="S369" s="51"/>
      <c r="T369" s="35"/>
      <c r="U369" s="51"/>
      <c r="V369" s="51"/>
      <c r="W369" s="364"/>
      <c r="X369" s="285"/>
      <c r="Y369" s="9"/>
      <c r="Z369" s="306"/>
      <c r="AA369" s="302"/>
      <c r="AB369" s="302"/>
      <c r="AC369" s="56"/>
      <c r="AD369" s="56"/>
    </row>
    <row r="370" spans="1:30" x14ac:dyDescent="0.3">
      <c r="A370" s="59"/>
      <c r="B370" s="66" t="s">
        <v>211</v>
      </c>
      <c r="C370" s="51">
        <f t="shared" ref="C370:W370" si="71">SUM(C308:C369)</f>
        <v>139355506.98000002</v>
      </c>
      <c r="D370" s="51">
        <f t="shared" si="71"/>
        <v>139355506.98000002</v>
      </c>
      <c r="E370" s="51">
        <f t="shared" si="71"/>
        <v>67336078.280000016</v>
      </c>
      <c r="F370" s="51">
        <f t="shared" si="71"/>
        <v>60051752.229999997</v>
      </c>
      <c r="G370" s="51">
        <f t="shared" si="71"/>
        <v>6918381.1000000006</v>
      </c>
      <c r="H370" s="51">
        <f t="shared" si="71"/>
        <v>452740.8</v>
      </c>
      <c r="I370" s="51">
        <f t="shared" si="71"/>
        <v>4596554.57</v>
      </c>
      <c r="J370" s="82">
        <f t="shared" si="71"/>
        <v>0</v>
      </c>
      <c r="K370" s="51">
        <f t="shared" si="71"/>
        <v>0</v>
      </c>
      <c r="L370" s="51">
        <f t="shared" si="71"/>
        <v>0</v>
      </c>
      <c r="M370" s="82">
        <f t="shared" si="71"/>
        <v>0</v>
      </c>
      <c r="N370" s="51">
        <f t="shared" si="71"/>
        <v>0</v>
      </c>
      <c r="O370" s="82">
        <f t="shared" si="71"/>
        <v>0</v>
      </c>
      <c r="P370" s="51">
        <f t="shared" si="71"/>
        <v>0</v>
      </c>
      <c r="Q370" s="338">
        <f t="shared" si="71"/>
        <v>0</v>
      </c>
      <c r="R370" s="51">
        <f t="shared" si="71"/>
        <v>0</v>
      </c>
      <c r="S370" s="51">
        <f t="shared" si="71"/>
        <v>0</v>
      </c>
      <c r="T370" s="35">
        <f t="shared" si="71"/>
        <v>0</v>
      </c>
      <c r="U370" s="51">
        <f t="shared" si="71"/>
        <v>0</v>
      </c>
      <c r="V370" s="51">
        <f t="shared" si="71"/>
        <v>0</v>
      </c>
      <c r="W370" s="51">
        <f t="shared" si="71"/>
        <v>0</v>
      </c>
      <c r="X370" s="285"/>
      <c r="Y370" s="9"/>
      <c r="Z370" s="306"/>
      <c r="AA370" s="302"/>
      <c r="AB370" s="302"/>
      <c r="AC370" s="56"/>
      <c r="AD370" s="56"/>
    </row>
    <row r="371" spans="1:30" ht="15" customHeight="1" x14ac:dyDescent="0.3">
      <c r="A371" s="303" t="s">
        <v>1929</v>
      </c>
      <c r="B371" s="66"/>
      <c r="C371" s="51"/>
      <c r="D371" s="51"/>
      <c r="E371" s="51"/>
      <c r="F371" s="51"/>
      <c r="G371" s="51"/>
      <c r="H371" s="51"/>
      <c r="I371" s="51"/>
      <c r="J371" s="82"/>
      <c r="K371" s="51"/>
      <c r="L371" s="51"/>
      <c r="M371" s="82"/>
      <c r="N371" s="51"/>
      <c r="O371" s="82"/>
      <c r="P371" s="51"/>
      <c r="Q371" s="338"/>
      <c r="R371" s="51"/>
      <c r="S371" s="51"/>
      <c r="T371" s="35"/>
      <c r="U371" s="51"/>
      <c r="V371" s="51"/>
      <c r="W371" s="364"/>
      <c r="X371" s="285"/>
      <c r="Y371" s="9"/>
      <c r="Z371" s="306"/>
      <c r="AA371" s="302"/>
      <c r="AB371" s="302"/>
      <c r="AC371" s="56"/>
      <c r="AD371" s="56"/>
    </row>
    <row r="372" spans="1:30" x14ac:dyDescent="0.3">
      <c r="A372" s="59">
        <f>A369+1</f>
        <v>265</v>
      </c>
      <c r="B372" s="66" t="s">
        <v>1930</v>
      </c>
      <c r="C372" s="51">
        <f>D372+K372+L372+N372+P372+R372+U372+S372+V372+W372</f>
        <v>1666099.2</v>
      </c>
      <c r="D372" s="51">
        <f>E372+F372+G372+H372+I372</f>
        <v>1666099.2</v>
      </c>
      <c r="E372" s="51"/>
      <c r="F372" s="51">
        <v>1433804.4</v>
      </c>
      <c r="G372" s="51">
        <v>89715.6</v>
      </c>
      <c r="H372" s="51"/>
      <c r="I372" s="51">
        <v>142579.20000000001</v>
      </c>
      <c r="J372" s="82"/>
      <c r="K372" s="51"/>
      <c r="L372" s="51"/>
      <c r="M372" s="82"/>
      <c r="N372" s="51"/>
      <c r="O372" s="82"/>
      <c r="P372" s="51"/>
      <c r="Q372" s="338"/>
      <c r="R372" s="51"/>
      <c r="S372" s="51"/>
      <c r="T372" s="35"/>
      <c r="U372" s="51"/>
      <c r="V372" s="51"/>
      <c r="W372" s="364"/>
      <c r="X372" s="285"/>
      <c r="Y372" s="9"/>
      <c r="Z372" s="306"/>
      <c r="AA372" s="302"/>
      <c r="AB372" s="302"/>
      <c r="AC372" s="56"/>
      <c r="AD372" s="56"/>
    </row>
    <row r="373" spans="1:30" x14ac:dyDescent="0.3">
      <c r="A373" s="59">
        <f>A372+1</f>
        <v>266</v>
      </c>
      <c r="B373" s="66" t="s">
        <v>1931</v>
      </c>
      <c r="C373" s="51">
        <f>D373+K373+L373+N373+P373+R373+U373+S373+V373+W373</f>
        <v>341353.2</v>
      </c>
      <c r="D373" s="51">
        <f>E373+F373+G373+H373+I373</f>
        <v>341353.2</v>
      </c>
      <c r="E373" s="51"/>
      <c r="F373" s="51"/>
      <c r="G373" s="51"/>
      <c r="H373" s="51"/>
      <c r="I373" s="51">
        <v>341353.2</v>
      </c>
      <c r="J373" s="82"/>
      <c r="K373" s="51"/>
      <c r="L373" s="51"/>
      <c r="M373" s="82"/>
      <c r="N373" s="51"/>
      <c r="O373" s="82"/>
      <c r="P373" s="51"/>
      <c r="Q373" s="338"/>
      <c r="R373" s="51"/>
      <c r="S373" s="51"/>
      <c r="T373" s="35"/>
      <c r="U373" s="51"/>
      <c r="V373" s="51"/>
      <c r="W373" s="364"/>
      <c r="X373" s="285"/>
      <c r="Y373" s="9"/>
      <c r="Z373" s="306"/>
      <c r="AA373" s="302"/>
      <c r="AB373" s="302"/>
      <c r="AC373" s="56"/>
      <c r="AD373" s="56"/>
    </row>
    <row r="374" spans="1:30" x14ac:dyDescent="0.3">
      <c r="A374" s="59">
        <f>A373+1</f>
        <v>267</v>
      </c>
      <c r="B374" s="66" t="s">
        <v>1932</v>
      </c>
      <c r="C374" s="51">
        <f>D374+K374+L374+N374+P374+R374+U374+S374+V374+W374</f>
        <v>362492.4</v>
      </c>
      <c r="D374" s="51">
        <f>E374+F374+G374+H374+I374</f>
        <v>362492.4</v>
      </c>
      <c r="E374" s="51"/>
      <c r="F374" s="51"/>
      <c r="G374" s="51"/>
      <c r="H374" s="51"/>
      <c r="I374" s="51">
        <v>362492.4</v>
      </c>
      <c r="J374" s="82"/>
      <c r="K374" s="51"/>
      <c r="L374" s="51"/>
      <c r="M374" s="82"/>
      <c r="N374" s="51"/>
      <c r="O374" s="82"/>
      <c r="P374" s="51"/>
      <c r="Q374" s="338"/>
      <c r="R374" s="51"/>
      <c r="S374" s="51"/>
      <c r="T374" s="35"/>
      <c r="U374" s="51"/>
      <c r="V374" s="51"/>
      <c r="W374" s="364"/>
      <c r="X374" s="285"/>
      <c r="Y374" s="9"/>
      <c r="Z374" s="306"/>
      <c r="AA374" s="302"/>
      <c r="AB374" s="302"/>
      <c r="AC374" s="56"/>
      <c r="AD374" s="56"/>
    </row>
    <row r="375" spans="1:30" x14ac:dyDescent="0.3">
      <c r="A375" s="59">
        <f>A374+1</f>
        <v>268</v>
      </c>
      <c r="B375" s="66" t="s">
        <v>1933</v>
      </c>
      <c r="C375" s="51">
        <f>D375+K375+L375+N375+P375+R375+U375+S375+V375+W375</f>
        <v>2167610.4</v>
      </c>
      <c r="D375" s="51">
        <f>E375+F375+G375+H375+I375</f>
        <v>2167610.4</v>
      </c>
      <c r="E375" s="51"/>
      <c r="F375" s="51">
        <v>1860055.2</v>
      </c>
      <c r="G375" s="51"/>
      <c r="H375" s="51"/>
      <c r="I375" s="51">
        <v>307555.20000000001</v>
      </c>
      <c r="J375" s="82"/>
      <c r="K375" s="51"/>
      <c r="L375" s="51"/>
      <c r="M375" s="82"/>
      <c r="N375" s="51"/>
      <c r="O375" s="82"/>
      <c r="P375" s="51"/>
      <c r="Q375" s="338"/>
      <c r="R375" s="51"/>
      <c r="S375" s="51"/>
      <c r="T375" s="35"/>
      <c r="U375" s="51"/>
      <c r="V375" s="51"/>
      <c r="W375" s="364"/>
      <c r="X375" s="285"/>
      <c r="Y375" s="9"/>
      <c r="Z375" s="306"/>
      <c r="AA375" s="302"/>
      <c r="AB375" s="302"/>
      <c r="AC375" s="56"/>
      <c r="AD375" s="56"/>
    </row>
    <row r="376" spans="1:30" x14ac:dyDescent="0.3">
      <c r="A376" s="59">
        <f>A375+1</f>
        <v>269</v>
      </c>
      <c r="B376" s="66" t="s">
        <v>1934</v>
      </c>
      <c r="C376" s="51">
        <f>D376+K376+L376+N376+P376+R376+U376+S376+V376+W376</f>
        <v>831252</v>
      </c>
      <c r="D376" s="51">
        <f>E376+F376+G376+H376+I376</f>
        <v>831252</v>
      </c>
      <c r="E376" s="51">
        <v>719103.6</v>
      </c>
      <c r="F376" s="51"/>
      <c r="G376" s="51"/>
      <c r="H376" s="51"/>
      <c r="I376" s="51">
        <v>112148.4</v>
      </c>
      <c r="J376" s="82"/>
      <c r="K376" s="51"/>
      <c r="L376" s="51"/>
      <c r="M376" s="82"/>
      <c r="N376" s="51"/>
      <c r="O376" s="82"/>
      <c r="P376" s="51"/>
      <c r="Q376" s="338"/>
      <c r="R376" s="51"/>
      <c r="S376" s="51"/>
      <c r="T376" s="35"/>
      <c r="U376" s="51"/>
      <c r="V376" s="51"/>
      <c r="W376" s="364"/>
      <c r="X376" s="285"/>
      <c r="Y376" s="9"/>
      <c r="Z376" s="306"/>
      <c r="AA376" s="302"/>
      <c r="AB376" s="302"/>
      <c r="AC376" s="56"/>
      <c r="AD376" s="56"/>
    </row>
    <row r="377" spans="1:30" x14ac:dyDescent="0.3">
      <c r="A377" s="59"/>
      <c r="B377" s="66" t="s">
        <v>211</v>
      </c>
      <c r="C377" s="51">
        <f t="shared" ref="C377:W377" si="72">SUM(C372:C376)</f>
        <v>5368807.1999999993</v>
      </c>
      <c r="D377" s="51">
        <f t="shared" si="72"/>
        <v>5368807.1999999993</v>
      </c>
      <c r="E377" s="51">
        <f t="shared" si="72"/>
        <v>719103.6</v>
      </c>
      <c r="F377" s="51">
        <f t="shared" si="72"/>
        <v>3293859.5999999996</v>
      </c>
      <c r="G377" s="51">
        <f t="shared" si="72"/>
        <v>89715.6</v>
      </c>
      <c r="H377" s="51">
        <f t="shared" si="72"/>
        <v>0</v>
      </c>
      <c r="I377" s="51">
        <f t="shared" si="72"/>
        <v>1266128.3999999999</v>
      </c>
      <c r="J377" s="82">
        <f t="shared" si="72"/>
        <v>0</v>
      </c>
      <c r="K377" s="51">
        <f t="shared" si="72"/>
        <v>0</v>
      </c>
      <c r="L377" s="51">
        <f t="shared" si="72"/>
        <v>0</v>
      </c>
      <c r="M377" s="82">
        <f t="shared" si="72"/>
        <v>0</v>
      </c>
      <c r="N377" s="51">
        <f t="shared" si="72"/>
        <v>0</v>
      </c>
      <c r="O377" s="82">
        <f t="shared" si="72"/>
        <v>0</v>
      </c>
      <c r="P377" s="51">
        <f t="shared" si="72"/>
        <v>0</v>
      </c>
      <c r="Q377" s="338">
        <f t="shared" si="72"/>
        <v>0</v>
      </c>
      <c r="R377" s="51">
        <f t="shared" si="72"/>
        <v>0</v>
      </c>
      <c r="S377" s="51">
        <f t="shared" si="72"/>
        <v>0</v>
      </c>
      <c r="T377" s="35">
        <f t="shared" si="72"/>
        <v>0</v>
      </c>
      <c r="U377" s="51">
        <f t="shared" si="72"/>
        <v>0</v>
      </c>
      <c r="V377" s="51">
        <f t="shared" si="72"/>
        <v>0</v>
      </c>
      <c r="W377" s="51">
        <f t="shared" si="72"/>
        <v>0</v>
      </c>
      <c r="X377" s="285"/>
      <c r="Y377" s="9"/>
      <c r="Z377" s="306"/>
      <c r="AA377" s="302"/>
      <c r="AB377" s="302"/>
      <c r="AC377" s="56"/>
      <c r="AD377" s="56"/>
    </row>
    <row r="378" spans="1:30" ht="15" customHeight="1" x14ac:dyDescent="0.3">
      <c r="A378" s="303" t="s">
        <v>1944</v>
      </c>
      <c r="B378" s="66"/>
      <c r="C378" s="51"/>
      <c r="D378" s="51"/>
      <c r="E378" s="51"/>
      <c r="F378" s="51"/>
      <c r="G378" s="51"/>
      <c r="H378" s="51"/>
      <c r="I378" s="51"/>
      <c r="J378" s="82"/>
      <c r="K378" s="51"/>
      <c r="L378" s="51"/>
      <c r="M378" s="82"/>
      <c r="N378" s="51"/>
      <c r="O378" s="82"/>
      <c r="P378" s="51"/>
      <c r="Q378" s="338"/>
      <c r="R378" s="51"/>
      <c r="S378" s="51"/>
      <c r="T378" s="35"/>
      <c r="U378" s="51"/>
      <c r="V378" s="51"/>
      <c r="W378" s="364"/>
      <c r="X378" s="285"/>
      <c r="Y378" s="9"/>
      <c r="Z378" s="306"/>
      <c r="AA378" s="302"/>
      <c r="AB378" s="302"/>
      <c r="AC378" s="56"/>
      <c r="AD378" s="56"/>
    </row>
    <row r="379" spans="1:30" x14ac:dyDescent="0.3">
      <c r="A379" s="59">
        <f>A376+1</f>
        <v>270</v>
      </c>
      <c r="B379" s="66" t="s">
        <v>1950</v>
      </c>
      <c r="C379" s="51">
        <f>D379+K379+L379+N379+P379+R379+U379+S379+V379+W379</f>
        <v>4520826</v>
      </c>
      <c r="D379" s="51">
        <f>E379+F379+G379+H379+I379</f>
        <v>0</v>
      </c>
      <c r="E379" s="51"/>
      <c r="F379" s="51"/>
      <c r="G379" s="51"/>
      <c r="H379" s="51"/>
      <c r="I379" s="51"/>
      <c r="J379" s="82"/>
      <c r="K379" s="51"/>
      <c r="L379" s="51"/>
      <c r="M379" s="82">
        <v>1203.5</v>
      </c>
      <c r="N379" s="51">
        <v>4520826</v>
      </c>
      <c r="O379" s="82"/>
      <c r="P379" s="51"/>
      <c r="Q379" s="338"/>
      <c r="R379" s="51"/>
      <c r="S379" s="51"/>
      <c r="T379" s="35"/>
      <c r="U379" s="51"/>
      <c r="V379" s="51"/>
      <c r="W379" s="364"/>
      <c r="X379" s="285"/>
      <c r="Y379" s="9"/>
      <c r="Z379" s="40"/>
      <c r="AA379" s="56"/>
      <c r="AB379" s="56"/>
      <c r="AC379" s="56"/>
      <c r="AD379" s="56"/>
    </row>
    <row r="380" spans="1:30" x14ac:dyDescent="0.3">
      <c r="A380" s="59">
        <f>A379+1</f>
        <v>271</v>
      </c>
      <c r="B380" s="66" t="s">
        <v>1951</v>
      </c>
      <c r="C380" s="51">
        <f>D380+K380+L380+N380+P380+R380+U380+S380+V380+W380</f>
        <v>473965.09</v>
      </c>
      <c r="D380" s="51">
        <f>E380+F380+G380+H380+I380</f>
        <v>0</v>
      </c>
      <c r="E380" s="51"/>
      <c r="F380" s="51"/>
      <c r="G380" s="51"/>
      <c r="H380" s="51"/>
      <c r="I380" s="51"/>
      <c r="J380" s="82"/>
      <c r="K380" s="51"/>
      <c r="L380" s="51"/>
      <c r="M380" s="82"/>
      <c r="N380" s="51"/>
      <c r="O380" s="82"/>
      <c r="P380" s="51"/>
      <c r="Q380" s="338"/>
      <c r="R380" s="51"/>
      <c r="S380" s="51"/>
      <c r="T380" s="35"/>
      <c r="U380" s="51"/>
      <c r="V380" s="51"/>
      <c r="W380" s="364">
        <f>SUM('2021'!X1588:AB1588)</f>
        <v>473965.09</v>
      </c>
      <c r="X380" s="285"/>
      <c r="Y380" s="9">
        <v>473965.09</v>
      </c>
      <c r="Z380" s="40"/>
      <c r="AA380" s="56"/>
      <c r="AB380" s="56"/>
      <c r="AC380" s="56"/>
      <c r="AD380" s="56"/>
    </row>
    <row r="381" spans="1:30" x14ac:dyDescent="0.3">
      <c r="A381" s="59"/>
      <c r="B381" s="66" t="s">
        <v>211</v>
      </c>
      <c r="C381" s="51">
        <f t="shared" ref="C381:W381" si="73">SUM(C379:C380)</f>
        <v>4994791.09</v>
      </c>
      <c r="D381" s="51">
        <f t="shared" si="73"/>
        <v>0</v>
      </c>
      <c r="E381" s="51">
        <f t="shared" si="73"/>
        <v>0</v>
      </c>
      <c r="F381" s="51">
        <f t="shared" si="73"/>
        <v>0</v>
      </c>
      <c r="G381" s="51">
        <f t="shared" si="73"/>
        <v>0</v>
      </c>
      <c r="H381" s="51">
        <f t="shared" si="73"/>
        <v>0</v>
      </c>
      <c r="I381" s="51">
        <f t="shared" si="73"/>
        <v>0</v>
      </c>
      <c r="J381" s="82">
        <f t="shared" si="73"/>
        <v>0</v>
      </c>
      <c r="K381" s="51">
        <f t="shared" si="73"/>
        <v>0</v>
      </c>
      <c r="L381" s="51">
        <f t="shared" si="73"/>
        <v>0</v>
      </c>
      <c r="M381" s="82">
        <f t="shared" si="73"/>
        <v>1203.5</v>
      </c>
      <c r="N381" s="51">
        <f t="shared" si="73"/>
        <v>4520826</v>
      </c>
      <c r="O381" s="82">
        <f t="shared" si="73"/>
        <v>0</v>
      </c>
      <c r="P381" s="51">
        <f t="shared" si="73"/>
        <v>0</v>
      </c>
      <c r="Q381" s="338">
        <f t="shared" si="73"/>
        <v>0</v>
      </c>
      <c r="R381" s="51">
        <f t="shared" si="73"/>
        <v>0</v>
      </c>
      <c r="S381" s="51">
        <f t="shared" si="73"/>
        <v>0</v>
      </c>
      <c r="T381" s="35">
        <f t="shared" si="73"/>
        <v>0</v>
      </c>
      <c r="U381" s="51">
        <f t="shared" si="73"/>
        <v>0</v>
      </c>
      <c r="V381" s="51">
        <f t="shared" si="73"/>
        <v>0</v>
      </c>
      <c r="W381" s="51">
        <f t="shared" si="73"/>
        <v>473965.09</v>
      </c>
      <c r="X381" s="285"/>
      <c r="Y381" s="9"/>
      <c r="Z381" s="40"/>
      <c r="AA381" s="56"/>
      <c r="AB381" s="56"/>
      <c r="AC381" s="56"/>
      <c r="AD381" s="56"/>
    </row>
    <row r="382" spans="1:30" ht="15" customHeight="1" x14ac:dyDescent="0.3">
      <c r="A382" s="303" t="s">
        <v>1960</v>
      </c>
      <c r="B382" s="66"/>
      <c r="C382" s="51"/>
      <c r="D382" s="51"/>
      <c r="E382" s="51"/>
      <c r="F382" s="51"/>
      <c r="G382" s="51"/>
      <c r="H382" s="51"/>
      <c r="I382" s="51"/>
      <c r="J382" s="82"/>
      <c r="K382" s="51"/>
      <c r="L382" s="51"/>
      <c r="M382" s="82"/>
      <c r="N382" s="51"/>
      <c r="O382" s="82"/>
      <c r="P382" s="51"/>
      <c r="Q382" s="338"/>
      <c r="R382" s="51"/>
      <c r="S382" s="51"/>
      <c r="T382" s="35"/>
      <c r="U382" s="51"/>
      <c r="V382" s="51"/>
      <c r="W382" s="364">
        <f>SUM(X382:AB382)</f>
        <v>0</v>
      </c>
      <c r="X382" s="285"/>
      <c r="Y382" s="9"/>
      <c r="Z382" s="306"/>
      <c r="AA382" s="302"/>
      <c r="AB382" s="302"/>
      <c r="AC382" s="56"/>
      <c r="AD382" s="56"/>
    </row>
    <row r="383" spans="1:30" x14ac:dyDescent="0.3">
      <c r="A383" s="59">
        <f>A380+1</f>
        <v>272</v>
      </c>
      <c r="B383" s="66" t="s">
        <v>1961</v>
      </c>
      <c r="C383" s="51">
        <f>D383+K383+L383+N383+P383+R383+U383+S383+V383+W383</f>
        <v>549309.9</v>
      </c>
      <c r="D383" s="51">
        <f>E383+F383+G383+H383+I383</f>
        <v>0</v>
      </c>
      <c r="E383" s="51"/>
      <c r="F383" s="51"/>
      <c r="G383" s="51"/>
      <c r="H383" s="51"/>
      <c r="I383" s="51"/>
      <c r="J383" s="82"/>
      <c r="K383" s="51"/>
      <c r="L383" s="51"/>
      <c r="M383" s="82"/>
      <c r="N383" s="51"/>
      <c r="O383" s="82"/>
      <c r="P383" s="51"/>
      <c r="Q383" s="338"/>
      <c r="R383" s="51"/>
      <c r="S383" s="51"/>
      <c r="T383" s="35">
        <v>63</v>
      </c>
      <c r="U383" s="51">
        <v>549309.9</v>
      </c>
      <c r="V383" s="51"/>
      <c r="W383" s="364"/>
      <c r="X383" s="322"/>
      <c r="Y383" s="9"/>
      <c r="Z383" s="306"/>
      <c r="AA383" s="302"/>
      <c r="AB383" s="302"/>
      <c r="AC383" s="56"/>
      <c r="AD383" s="56"/>
    </row>
    <row r="384" spans="1:30" x14ac:dyDescent="0.3">
      <c r="A384" s="59"/>
      <c r="B384" s="66" t="s">
        <v>211</v>
      </c>
      <c r="C384" s="51">
        <f t="shared" ref="C384:W384" si="74">SUM(C383:C383)</f>
        <v>549309.9</v>
      </c>
      <c r="D384" s="51">
        <f t="shared" si="74"/>
        <v>0</v>
      </c>
      <c r="E384" s="51">
        <f t="shared" si="74"/>
        <v>0</v>
      </c>
      <c r="F384" s="51">
        <f t="shared" si="74"/>
        <v>0</v>
      </c>
      <c r="G384" s="51">
        <f t="shared" si="74"/>
        <v>0</v>
      </c>
      <c r="H384" s="51">
        <f t="shared" si="74"/>
        <v>0</v>
      </c>
      <c r="I384" s="51">
        <f t="shared" si="74"/>
        <v>0</v>
      </c>
      <c r="J384" s="82">
        <f t="shared" si="74"/>
        <v>0</v>
      </c>
      <c r="K384" s="51">
        <f t="shared" si="74"/>
        <v>0</v>
      </c>
      <c r="L384" s="51">
        <f t="shared" si="74"/>
        <v>0</v>
      </c>
      <c r="M384" s="82">
        <f t="shared" si="74"/>
        <v>0</v>
      </c>
      <c r="N384" s="51">
        <f t="shared" si="74"/>
        <v>0</v>
      </c>
      <c r="O384" s="82">
        <f t="shared" si="74"/>
        <v>0</v>
      </c>
      <c r="P384" s="51">
        <f t="shared" si="74"/>
        <v>0</v>
      </c>
      <c r="Q384" s="338">
        <f t="shared" si="74"/>
        <v>0</v>
      </c>
      <c r="R384" s="51">
        <f t="shared" si="74"/>
        <v>0</v>
      </c>
      <c r="S384" s="51">
        <f t="shared" si="74"/>
        <v>0</v>
      </c>
      <c r="T384" s="35">
        <f t="shared" si="74"/>
        <v>63</v>
      </c>
      <c r="U384" s="51">
        <f t="shared" si="74"/>
        <v>549309.9</v>
      </c>
      <c r="V384" s="51">
        <f t="shared" si="74"/>
        <v>0</v>
      </c>
      <c r="W384" s="51">
        <f t="shared" si="74"/>
        <v>0</v>
      </c>
      <c r="X384" s="285"/>
      <c r="Y384" s="9"/>
      <c r="Z384" s="306"/>
      <c r="AA384" s="302"/>
      <c r="AB384" s="302"/>
      <c r="AC384" s="56"/>
      <c r="AD384" s="56"/>
    </row>
    <row r="385" spans="1:34" x14ac:dyDescent="0.3">
      <c r="A385" s="177"/>
      <c r="B385" s="66" t="s">
        <v>1986</v>
      </c>
      <c r="C385" s="51">
        <f>C384+C381+C377+C370+C303+C306+C299</f>
        <v>162357062.77000001</v>
      </c>
      <c r="D385" s="51">
        <f t="shared" ref="D385:AB385" si="75">D384+D381+D377+D370+D303+D306</f>
        <v>145422854.58000001</v>
      </c>
      <c r="E385" s="51">
        <f t="shared" si="75"/>
        <v>68753722.280000016</v>
      </c>
      <c r="F385" s="51">
        <f t="shared" si="75"/>
        <v>63345611.829999998</v>
      </c>
      <c r="G385" s="51">
        <f t="shared" si="75"/>
        <v>7008096.7000000002</v>
      </c>
      <c r="H385" s="51">
        <f t="shared" si="75"/>
        <v>452740.8</v>
      </c>
      <c r="I385" s="51">
        <f t="shared" si="75"/>
        <v>5862682.9700000007</v>
      </c>
      <c r="J385" s="82">
        <f t="shared" si="75"/>
        <v>0</v>
      </c>
      <c r="K385" s="51">
        <f t="shared" si="75"/>
        <v>0</v>
      </c>
      <c r="L385" s="51">
        <f t="shared" si="75"/>
        <v>0</v>
      </c>
      <c r="M385" s="82">
        <f t="shared" si="75"/>
        <v>1843.5</v>
      </c>
      <c r="N385" s="51">
        <f t="shared" si="75"/>
        <v>8252967.5999999996</v>
      </c>
      <c r="O385" s="82">
        <f t="shared" si="75"/>
        <v>0</v>
      </c>
      <c r="P385" s="51">
        <f t="shared" si="75"/>
        <v>0</v>
      </c>
      <c r="Q385" s="338">
        <f t="shared" si="75"/>
        <v>0</v>
      </c>
      <c r="R385" s="51">
        <f t="shared" si="75"/>
        <v>0</v>
      </c>
      <c r="S385" s="51">
        <f t="shared" si="75"/>
        <v>0</v>
      </c>
      <c r="T385" s="35">
        <f t="shared" si="75"/>
        <v>63</v>
      </c>
      <c r="U385" s="51">
        <f t="shared" si="75"/>
        <v>549309.9</v>
      </c>
      <c r="V385" s="51">
        <f t="shared" si="75"/>
        <v>0</v>
      </c>
      <c r="W385" s="51">
        <f t="shared" si="75"/>
        <v>473965.09</v>
      </c>
      <c r="X385" s="304">
        <f t="shared" si="75"/>
        <v>0</v>
      </c>
      <c r="Y385" s="50">
        <f t="shared" si="75"/>
        <v>0</v>
      </c>
      <c r="Z385" s="50">
        <f t="shared" si="75"/>
        <v>0</v>
      </c>
      <c r="AA385" s="50">
        <f t="shared" si="75"/>
        <v>0</v>
      </c>
      <c r="AB385" s="50">
        <f t="shared" si="75"/>
        <v>0</v>
      </c>
      <c r="AC385" s="56"/>
      <c r="AD385" s="56"/>
    </row>
    <row r="386" spans="1:34" ht="15" customHeight="1" x14ac:dyDescent="0.3">
      <c r="A386" s="323"/>
      <c r="B386" s="324" t="s">
        <v>1987</v>
      </c>
      <c r="C386" s="387"/>
      <c r="D386" s="49"/>
      <c r="E386" s="49"/>
      <c r="F386" s="49"/>
      <c r="G386" s="49"/>
      <c r="H386" s="49"/>
      <c r="I386" s="49"/>
      <c r="J386" s="343"/>
      <c r="K386" s="49"/>
      <c r="L386" s="49"/>
      <c r="M386" s="343"/>
      <c r="N386" s="49"/>
      <c r="O386" s="343"/>
      <c r="P386" s="49"/>
      <c r="Q386" s="337"/>
      <c r="R386" s="49"/>
      <c r="S386" s="49"/>
      <c r="T386" s="33"/>
      <c r="U386" s="49"/>
      <c r="V386" s="49"/>
      <c r="W386" s="49"/>
      <c r="X386" s="305"/>
      <c r="Y386" s="179"/>
      <c r="Z386" s="179"/>
      <c r="AA386" s="179"/>
      <c r="AB386" s="179"/>
      <c r="AC386" s="179"/>
      <c r="AD386" s="179"/>
      <c r="AE386" s="61"/>
      <c r="AF386" s="62"/>
      <c r="AG386" s="62"/>
      <c r="AH386" s="62"/>
    </row>
    <row r="387" spans="1:34" ht="15" customHeight="1" x14ac:dyDescent="0.3">
      <c r="A387" s="303" t="s">
        <v>1995</v>
      </c>
      <c r="B387" s="66"/>
      <c r="C387" s="51"/>
      <c r="D387" s="51"/>
      <c r="E387" s="51"/>
      <c r="F387" s="51"/>
      <c r="G387" s="51"/>
      <c r="H387" s="51"/>
      <c r="I387" s="51"/>
      <c r="J387" s="82"/>
      <c r="K387" s="51"/>
      <c r="L387" s="51"/>
      <c r="M387" s="82"/>
      <c r="N387" s="51"/>
      <c r="O387" s="82"/>
      <c r="P387" s="51"/>
      <c r="Q387" s="338"/>
      <c r="R387" s="51"/>
      <c r="S387" s="51"/>
      <c r="T387" s="35"/>
      <c r="U387" s="51"/>
      <c r="V387" s="51"/>
      <c r="W387" s="51"/>
      <c r="X387" s="141"/>
      <c r="Y387" s="48"/>
      <c r="Z387" s="48"/>
      <c r="AA387" s="48"/>
      <c r="AB387" s="48"/>
      <c r="AC387" s="48"/>
      <c r="AD387" s="48"/>
      <c r="AE387" s="61"/>
      <c r="AF387" s="62"/>
      <c r="AG387" s="62"/>
      <c r="AH387" s="62"/>
    </row>
    <row r="388" spans="1:34" x14ac:dyDescent="0.3">
      <c r="A388" s="59">
        <f>A383+1</f>
        <v>273</v>
      </c>
      <c r="B388" s="66" t="s">
        <v>2011</v>
      </c>
      <c r="C388" s="51">
        <f t="shared" ref="C388:C397" si="76">D388+K388+L388+N388+P388+R388+S388+U388+V388+W388</f>
        <v>1799461.8399999999</v>
      </c>
      <c r="D388" s="51">
        <f t="shared" ref="D388:D397" si="77">E388+F388+G388+H388+I388</f>
        <v>0</v>
      </c>
      <c r="E388" s="51"/>
      <c r="F388" s="51"/>
      <c r="G388" s="51"/>
      <c r="H388" s="51"/>
      <c r="I388" s="51"/>
      <c r="J388" s="82"/>
      <c r="K388" s="51"/>
      <c r="L388" s="51"/>
      <c r="M388" s="82"/>
      <c r="N388" s="51"/>
      <c r="O388" s="82"/>
      <c r="P388" s="51"/>
      <c r="Q388" s="338"/>
      <c r="R388" s="51"/>
      <c r="S388" s="51"/>
      <c r="T388" s="35"/>
      <c r="U388" s="51"/>
      <c r="V388" s="51"/>
      <c r="W388" s="51">
        <f t="shared" ref="W388:W397" si="78">SUM(X388:AH388)</f>
        <v>1799461.8399999999</v>
      </c>
      <c r="X388" s="141"/>
      <c r="Y388" s="48"/>
      <c r="Z388" s="48"/>
      <c r="AA388" s="48"/>
      <c r="AB388" s="48"/>
      <c r="AC388" s="48"/>
      <c r="AD388" s="48">
        <v>414431.29</v>
      </c>
      <c r="AE388" s="61">
        <v>136100.09</v>
      </c>
      <c r="AF388" s="62">
        <v>1001266.82</v>
      </c>
      <c r="AG388" s="62"/>
      <c r="AH388" s="62">
        <v>247663.64</v>
      </c>
    </row>
    <row r="389" spans="1:34" x14ac:dyDescent="0.3">
      <c r="A389" s="59">
        <f t="shared" ref="A389:A397" si="79">A388+1</f>
        <v>274</v>
      </c>
      <c r="B389" s="66" t="s">
        <v>2013</v>
      </c>
      <c r="C389" s="51">
        <f t="shared" si="76"/>
        <v>990654.57</v>
      </c>
      <c r="D389" s="51">
        <f t="shared" si="77"/>
        <v>0</v>
      </c>
      <c r="E389" s="51"/>
      <c r="F389" s="51"/>
      <c r="G389" s="51"/>
      <c r="H389" s="51"/>
      <c r="I389" s="51"/>
      <c r="J389" s="82"/>
      <c r="K389" s="51"/>
      <c r="L389" s="51"/>
      <c r="M389" s="82"/>
      <c r="N389" s="51"/>
      <c r="O389" s="82"/>
      <c r="P389" s="51"/>
      <c r="Q389" s="338"/>
      <c r="R389" s="51"/>
      <c r="S389" s="51"/>
      <c r="T389" s="35"/>
      <c r="U389" s="51"/>
      <c r="V389" s="51"/>
      <c r="W389" s="51">
        <f t="shared" si="78"/>
        <v>990654.57</v>
      </c>
      <c r="X389" s="141"/>
      <c r="Y389" s="48"/>
      <c r="Z389" s="48"/>
      <c r="AA389" s="48"/>
      <c r="AB389" s="48"/>
      <c r="AC389" s="48"/>
      <c r="AD389" s="48"/>
      <c r="AE389" s="61"/>
      <c r="AF389" s="62"/>
      <c r="AG389" s="62"/>
      <c r="AH389" s="62">
        <v>990654.57</v>
      </c>
    </row>
    <row r="390" spans="1:34" x14ac:dyDescent="0.3">
      <c r="A390" s="59">
        <f t="shared" si="79"/>
        <v>275</v>
      </c>
      <c r="B390" s="66" t="s">
        <v>2014</v>
      </c>
      <c r="C390" s="51">
        <f t="shared" si="76"/>
        <v>495327.28</v>
      </c>
      <c r="D390" s="51">
        <f t="shared" si="77"/>
        <v>0</v>
      </c>
      <c r="E390" s="51"/>
      <c r="F390" s="51"/>
      <c r="G390" s="51"/>
      <c r="H390" s="51"/>
      <c r="I390" s="51"/>
      <c r="J390" s="82"/>
      <c r="K390" s="51"/>
      <c r="L390" s="51"/>
      <c r="M390" s="82"/>
      <c r="N390" s="51"/>
      <c r="O390" s="82"/>
      <c r="P390" s="51"/>
      <c r="Q390" s="338"/>
      <c r="R390" s="51"/>
      <c r="S390" s="51"/>
      <c r="T390" s="35"/>
      <c r="U390" s="51"/>
      <c r="V390" s="51"/>
      <c r="W390" s="51">
        <f t="shared" si="78"/>
        <v>495327.28</v>
      </c>
      <c r="X390" s="141"/>
      <c r="Y390" s="48"/>
      <c r="Z390" s="48"/>
      <c r="AA390" s="48"/>
      <c r="AB390" s="48"/>
      <c r="AC390" s="48"/>
      <c r="AD390" s="48"/>
      <c r="AE390" s="61"/>
      <c r="AF390" s="62"/>
      <c r="AG390" s="62"/>
      <c r="AH390" s="62">
        <v>495327.28</v>
      </c>
    </row>
    <row r="391" spans="1:34" x14ac:dyDescent="0.3">
      <c r="A391" s="59">
        <f t="shared" si="79"/>
        <v>276</v>
      </c>
      <c r="B391" s="66" t="s">
        <v>2015</v>
      </c>
      <c r="C391" s="51">
        <f t="shared" si="76"/>
        <v>1485981.85</v>
      </c>
      <c r="D391" s="51">
        <f t="shared" si="77"/>
        <v>0</v>
      </c>
      <c r="E391" s="51"/>
      <c r="F391" s="51"/>
      <c r="G391" s="51"/>
      <c r="H391" s="51"/>
      <c r="I391" s="51"/>
      <c r="J391" s="82"/>
      <c r="K391" s="51"/>
      <c r="L391" s="51"/>
      <c r="M391" s="82"/>
      <c r="N391" s="51"/>
      <c r="O391" s="82"/>
      <c r="P391" s="51"/>
      <c r="Q391" s="338"/>
      <c r="R391" s="51"/>
      <c r="S391" s="51"/>
      <c r="T391" s="35"/>
      <c r="U391" s="51"/>
      <c r="V391" s="51"/>
      <c r="W391" s="51">
        <f t="shared" si="78"/>
        <v>1485981.85</v>
      </c>
      <c r="X391" s="141"/>
      <c r="Y391" s="48"/>
      <c r="Z391" s="48"/>
      <c r="AA391" s="48"/>
      <c r="AB391" s="48"/>
      <c r="AC391" s="48"/>
      <c r="AD391" s="48"/>
      <c r="AE391" s="61"/>
      <c r="AF391" s="62"/>
      <c r="AG391" s="62"/>
      <c r="AH391" s="62">
        <v>1485981.85</v>
      </c>
    </row>
    <row r="392" spans="1:34" x14ac:dyDescent="0.3">
      <c r="A392" s="59">
        <f t="shared" si="79"/>
        <v>277</v>
      </c>
      <c r="B392" s="66" t="s">
        <v>2033</v>
      </c>
      <c r="C392" s="51">
        <f t="shared" si="76"/>
        <v>495327.28</v>
      </c>
      <c r="D392" s="51">
        <f t="shared" si="77"/>
        <v>0</v>
      </c>
      <c r="E392" s="51"/>
      <c r="F392" s="51"/>
      <c r="G392" s="51"/>
      <c r="H392" s="51"/>
      <c r="I392" s="51"/>
      <c r="J392" s="82"/>
      <c r="K392" s="51"/>
      <c r="L392" s="51"/>
      <c r="M392" s="82"/>
      <c r="N392" s="51"/>
      <c r="O392" s="82"/>
      <c r="P392" s="51"/>
      <c r="Q392" s="338"/>
      <c r="R392" s="51"/>
      <c r="S392" s="51"/>
      <c r="T392" s="35"/>
      <c r="U392" s="51"/>
      <c r="V392" s="51"/>
      <c r="W392" s="51">
        <f t="shared" si="78"/>
        <v>495327.28</v>
      </c>
      <c r="X392" s="141"/>
      <c r="Y392" s="48"/>
      <c r="Z392" s="48"/>
      <c r="AA392" s="48"/>
      <c r="AB392" s="48"/>
      <c r="AC392" s="48"/>
      <c r="AD392" s="48"/>
      <c r="AE392" s="61"/>
      <c r="AF392" s="62"/>
      <c r="AG392" s="62"/>
      <c r="AH392" s="62">
        <v>495327.28</v>
      </c>
    </row>
    <row r="393" spans="1:34" x14ac:dyDescent="0.3">
      <c r="A393" s="59">
        <f t="shared" si="79"/>
        <v>278</v>
      </c>
      <c r="B393" s="66" t="s">
        <v>2034</v>
      </c>
      <c r="C393" s="51">
        <f t="shared" si="76"/>
        <v>1733645.49</v>
      </c>
      <c r="D393" s="51">
        <f t="shared" si="77"/>
        <v>0</v>
      </c>
      <c r="E393" s="51"/>
      <c r="F393" s="51"/>
      <c r="G393" s="51"/>
      <c r="H393" s="51"/>
      <c r="I393" s="51"/>
      <c r="J393" s="82"/>
      <c r="K393" s="51"/>
      <c r="L393" s="51"/>
      <c r="M393" s="82"/>
      <c r="N393" s="51"/>
      <c r="O393" s="82"/>
      <c r="P393" s="51"/>
      <c r="Q393" s="338"/>
      <c r="R393" s="51"/>
      <c r="S393" s="51"/>
      <c r="T393" s="35"/>
      <c r="U393" s="51"/>
      <c r="V393" s="51"/>
      <c r="W393" s="51">
        <f t="shared" si="78"/>
        <v>1733645.49</v>
      </c>
      <c r="X393" s="141"/>
      <c r="Y393" s="48"/>
      <c r="Z393" s="48"/>
      <c r="AA393" s="48"/>
      <c r="AB393" s="48"/>
      <c r="AC393" s="48"/>
      <c r="AD393" s="48"/>
      <c r="AE393" s="61"/>
      <c r="AF393" s="62"/>
      <c r="AG393" s="62"/>
      <c r="AH393" s="62">
        <v>1733645.49</v>
      </c>
    </row>
    <row r="394" spans="1:34" x14ac:dyDescent="0.3">
      <c r="A394" s="59">
        <f t="shared" si="79"/>
        <v>279</v>
      </c>
      <c r="B394" s="66" t="s">
        <v>2035</v>
      </c>
      <c r="C394" s="51">
        <f t="shared" si="76"/>
        <v>1733645.49</v>
      </c>
      <c r="D394" s="51">
        <f t="shared" si="77"/>
        <v>0</v>
      </c>
      <c r="E394" s="51"/>
      <c r="F394" s="51"/>
      <c r="G394" s="51"/>
      <c r="H394" s="51"/>
      <c r="I394" s="51"/>
      <c r="J394" s="82"/>
      <c r="K394" s="51"/>
      <c r="L394" s="51"/>
      <c r="M394" s="82"/>
      <c r="N394" s="51"/>
      <c r="O394" s="82"/>
      <c r="P394" s="51"/>
      <c r="Q394" s="338"/>
      <c r="R394" s="51"/>
      <c r="S394" s="51"/>
      <c r="T394" s="35"/>
      <c r="U394" s="51"/>
      <c r="V394" s="51"/>
      <c r="W394" s="51">
        <f t="shared" si="78"/>
        <v>1733645.49</v>
      </c>
      <c r="X394" s="141"/>
      <c r="Y394" s="48"/>
      <c r="Z394" s="48"/>
      <c r="AA394" s="48"/>
      <c r="AB394" s="48"/>
      <c r="AC394" s="48"/>
      <c r="AD394" s="48"/>
      <c r="AE394" s="61"/>
      <c r="AF394" s="62"/>
      <c r="AG394" s="62"/>
      <c r="AH394" s="62">
        <v>1733645.49</v>
      </c>
    </row>
    <row r="395" spans="1:34" x14ac:dyDescent="0.3">
      <c r="A395" s="59">
        <f t="shared" si="79"/>
        <v>280</v>
      </c>
      <c r="B395" s="66" t="s">
        <v>2036</v>
      </c>
      <c r="C395" s="51">
        <f t="shared" si="76"/>
        <v>1238318.21</v>
      </c>
      <c r="D395" s="51">
        <f t="shared" si="77"/>
        <v>0</v>
      </c>
      <c r="E395" s="51"/>
      <c r="F395" s="51"/>
      <c r="G395" s="51"/>
      <c r="H395" s="51"/>
      <c r="I395" s="51"/>
      <c r="J395" s="82"/>
      <c r="K395" s="51"/>
      <c r="L395" s="51"/>
      <c r="M395" s="82"/>
      <c r="N395" s="51"/>
      <c r="O395" s="82"/>
      <c r="P395" s="51"/>
      <c r="Q395" s="338"/>
      <c r="R395" s="51"/>
      <c r="S395" s="51"/>
      <c r="T395" s="35"/>
      <c r="U395" s="51"/>
      <c r="V395" s="51"/>
      <c r="W395" s="51">
        <f t="shared" si="78"/>
        <v>1238318.21</v>
      </c>
      <c r="X395" s="141"/>
      <c r="Y395" s="48"/>
      <c r="Z395" s="48"/>
      <c r="AA395" s="48"/>
      <c r="AB395" s="48"/>
      <c r="AC395" s="48"/>
      <c r="AD395" s="48"/>
      <c r="AE395" s="61"/>
      <c r="AF395" s="62"/>
      <c r="AG395" s="62"/>
      <c r="AH395" s="62">
        <v>1238318.21</v>
      </c>
    </row>
    <row r="396" spans="1:34" x14ac:dyDescent="0.3">
      <c r="A396" s="59">
        <f t="shared" si="79"/>
        <v>281</v>
      </c>
      <c r="B396" s="66" t="s">
        <v>2037</v>
      </c>
      <c r="C396" s="51">
        <f t="shared" si="76"/>
        <v>742990.93</v>
      </c>
      <c r="D396" s="51">
        <f t="shared" si="77"/>
        <v>0</v>
      </c>
      <c r="E396" s="51"/>
      <c r="F396" s="51"/>
      <c r="G396" s="51"/>
      <c r="H396" s="51"/>
      <c r="I396" s="51"/>
      <c r="J396" s="82"/>
      <c r="K396" s="51"/>
      <c r="L396" s="51"/>
      <c r="M396" s="82"/>
      <c r="N396" s="51"/>
      <c r="O396" s="82"/>
      <c r="P396" s="51"/>
      <c r="Q396" s="338"/>
      <c r="R396" s="51"/>
      <c r="S396" s="51"/>
      <c r="T396" s="35"/>
      <c r="U396" s="51"/>
      <c r="V396" s="51"/>
      <c r="W396" s="51">
        <f t="shared" si="78"/>
        <v>742990.93</v>
      </c>
      <c r="X396" s="141"/>
      <c r="Y396" s="48"/>
      <c r="Z396" s="48"/>
      <c r="AA396" s="48"/>
      <c r="AB396" s="48"/>
      <c r="AC396" s="48"/>
      <c r="AD396" s="48"/>
      <c r="AE396" s="61"/>
      <c r="AF396" s="62"/>
      <c r="AG396" s="62"/>
      <c r="AH396" s="62">
        <v>742990.93</v>
      </c>
    </row>
    <row r="397" spans="1:34" x14ac:dyDescent="0.3">
      <c r="A397" s="59">
        <f t="shared" si="79"/>
        <v>282</v>
      </c>
      <c r="B397" s="66" t="s">
        <v>2038</v>
      </c>
      <c r="C397" s="51">
        <f t="shared" si="76"/>
        <v>1485981.85</v>
      </c>
      <c r="D397" s="51">
        <f t="shared" si="77"/>
        <v>0</v>
      </c>
      <c r="E397" s="51"/>
      <c r="F397" s="51"/>
      <c r="G397" s="51"/>
      <c r="H397" s="51"/>
      <c r="I397" s="51"/>
      <c r="J397" s="82"/>
      <c r="K397" s="51"/>
      <c r="L397" s="51"/>
      <c r="M397" s="82"/>
      <c r="N397" s="51"/>
      <c r="O397" s="82"/>
      <c r="P397" s="51"/>
      <c r="Q397" s="338"/>
      <c r="R397" s="51"/>
      <c r="S397" s="51"/>
      <c r="T397" s="35"/>
      <c r="U397" s="51"/>
      <c r="V397" s="51"/>
      <c r="W397" s="51">
        <f t="shared" si="78"/>
        <v>1485981.85</v>
      </c>
      <c r="X397" s="141"/>
      <c r="Y397" s="48"/>
      <c r="Z397" s="48"/>
      <c r="AA397" s="48"/>
      <c r="AB397" s="48"/>
      <c r="AC397" s="48"/>
      <c r="AD397" s="48"/>
      <c r="AE397" s="61"/>
      <c r="AF397" s="62"/>
      <c r="AG397" s="62"/>
      <c r="AH397" s="62">
        <v>1485981.85</v>
      </c>
    </row>
    <row r="398" spans="1:34" x14ac:dyDescent="0.3">
      <c r="A398" s="59"/>
      <c r="B398" s="66" t="s">
        <v>211</v>
      </c>
      <c r="C398" s="51">
        <f>SUM(C388:C397)</f>
        <v>12201334.789999997</v>
      </c>
      <c r="D398" s="51">
        <f t="shared" ref="D398:I398" si="80">SUM(D388:D397)</f>
        <v>0</v>
      </c>
      <c r="E398" s="51">
        <f t="shared" si="80"/>
        <v>0</v>
      </c>
      <c r="F398" s="51">
        <f t="shared" si="80"/>
        <v>0</v>
      </c>
      <c r="G398" s="51">
        <f t="shared" si="80"/>
        <v>0</v>
      </c>
      <c r="H398" s="51">
        <f t="shared" si="80"/>
        <v>0</v>
      </c>
      <c r="I398" s="51">
        <f t="shared" si="80"/>
        <v>0</v>
      </c>
      <c r="J398" s="82"/>
      <c r="K398" s="51"/>
      <c r="L398" s="51">
        <f t="shared" ref="L398:W398" si="81">SUM(L388:L397)</f>
        <v>0</v>
      </c>
      <c r="M398" s="82">
        <f t="shared" si="81"/>
        <v>0</v>
      </c>
      <c r="N398" s="51">
        <f t="shared" si="81"/>
        <v>0</v>
      </c>
      <c r="O398" s="82">
        <f t="shared" si="81"/>
        <v>0</v>
      </c>
      <c r="P398" s="51">
        <f t="shared" si="81"/>
        <v>0</v>
      </c>
      <c r="Q398" s="338">
        <f t="shared" si="81"/>
        <v>0</v>
      </c>
      <c r="R398" s="51">
        <f t="shared" si="81"/>
        <v>0</v>
      </c>
      <c r="S398" s="51">
        <f t="shared" si="81"/>
        <v>0</v>
      </c>
      <c r="T398" s="35">
        <f t="shared" si="81"/>
        <v>0</v>
      </c>
      <c r="U398" s="51">
        <f t="shared" si="81"/>
        <v>0</v>
      </c>
      <c r="V398" s="51">
        <f t="shared" si="81"/>
        <v>0</v>
      </c>
      <c r="W398" s="51">
        <f t="shared" si="81"/>
        <v>12201334.789999997</v>
      </c>
      <c r="X398" s="141"/>
      <c r="Y398" s="48"/>
      <c r="Z398" s="48"/>
      <c r="AA398" s="48"/>
      <c r="AB398" s="48"/>
      <c r="AC398" s="48"/>
      <c r="AD398" s="48"/>
      <c r="AE398" s="61"/>
      <c r="AF398" s="62"/>
      <c r="AG398" s="62"/>
      <c r="AH398" s="62"/>
    </row>
    <row r="399" spans="1:34" ht="15" customHeight="1" x14ac:dyDescent="0.3">
      <c r="A399" s="325" t="s">
        <v>2039</v>
      </c>
      <c r="B399" s="66"/>
      <c r="C399" s="51"/>
      <c r="D399" s="51"/>
      <c r="E399" s="51"/>
      <c r="F399" s="51"/>
      <c r="G399" s="51"/>
      <c r="H399" s="51"/>
      <c r="I399" s="51"/>
      <c r="J399" s="82"/>
      <c r="K399" s="51"/>
      <c r="L399" s="51"/>
      <c r="M399" s="82"/>
      <c r="N399" s="51"/>
      <c r="O399" s="82"/>
      <c r="P399" s="51"/>
      <c r="Q399" s="338"/>
      <c r="R399" s="51"/>
      <c r="S399" s="51"/>
      <c r="T399" s="35"/>
      <c r="U399" s="51"/>
      <c r="V399" s="51"/>
      <c r="W399" s="51"/>
      <c r="X399" s="141"/>
      <c r="Y399" s="48"/>
      <c r="Z399" s="48"/>
      <c r="AA399" s="48"/>
      <c r="AB399" s="48"/>
      <c r="AC399" s="48"/>
      <c r="AD399" s="48"/>
      <c r="AE399" s="61"/>
      <c r="AF399" s="62"/>
      <c r="AG399" s="62"/>
      <c r="AH399" s="62"/>
    </row>
    <row r="400" spans="1:34" x14ac:dyDescent="0.3">
      <c r="A400" s="59">
        <f>A395+1</f>
        <v>281</v>
      </c>
      <c r="B400" s="66" t="s">
        <v>2040</v>
      </c>
      <c r="C400" s="51">
        <f>D400+K400+L400+N400+P400+R400+S400+U400+V400+W400</f>
        <v>2308136.4</v>
      </c>
      <c r="D400" s="51">
        <f>E400+F400+G400+H400+I400</f>
        <v>0</v>
      </c>
      <c r="E400" s="51"/>
      <c r="F400" s="51"/>
      <c r="G400" s="51"/>
      <c r="H400" s="51"/>
      <c r="I400" s="51"/>
      <c r="J400" s="82"/>
      <c r="K400" s="51"/>
      <c r="L400" s="51"/>
      <c r="M400" s="82">
        <v>252.8</v>
      </c>
      <c r="N400" s="51">
        <v>2308136.4</v>
      </c>
      <c r="O400" s="82"/>
      <c r="P400" s="51"/>
      <c r="Q400" s="338"/>
      <c r="R400" s="51"/>
      <c r="S400" s="51"/>
      <c r="T400" s="35"/>
      <c r="U400" s="51"/>
      <c r="V400" s="51"/>
      <c r="W400" s="51"/>
      <c r="X400" s="141"/>
      <c r="Y400" s="48"/>
      <c r="Z400" s="48"/>
      <c r="AA400" s="48"/>
      <c r="AB400" s="48"/>
      <c r="AC400" s="48"/>
      <c r="AD400" s="48"/>
      <c r="AE400" s="61"/>
      <c r="AF400" s="62"/>
      <c r="AG400" s="62"/>
      <c r="AH400" s="62"/>
    </row>
    <row r="401" spans="1:37" x14ac:dyDescent="0.3">
      <c r="A401" s="59">
        <f t="shared" ref="A401" si="82">A400+1</f>
        <v>282</v>
      </c>
      <c r="B401" s="66" t="s">
        <v>2041</v>
      </c>
      <c r="C401" s="51">
        <f>D401+K401+L401+N401+P401+R401+S401+U401+V401+W401</f>
        <v>81159</v>
      </c>
      <c r="D401" s="51">
        <f>E401+F401+G401+H401+I401</f>
        <v>0</v>
      </c>
      <c r="E401" s="51"/>
      <c r="F401" s="51"/>
      <c r="G401" s="51"/>
      <c r="H401" s="51"/>
      <c r="I401" s="51"/>
      <c r="J401" s="82"/>
      <c r="K401" s="51"/>
      <c r="L401" s="51"/>
      <c r="M401" s="82">
        <v>13</v>
      </c>
      <c r="N401" s="51">
        <f>6243*13</f>
        <v>81159</v>
      </c>
      <c r="O401" s="82"/>
      <c r="P401" s="51"/>
      <c r="Q401" s="338"/>
      <c r="R401" s="51"/>
      <c r="S401" s="51"/>
      <c r="T401" s="35"/>
      <c r="U401" s="51"/>
      <c r="V401" s="51"/>
      <c r="W401" s="51"/>
      <c r="X401" s="141" t="s">
        <v>2042</v>
      </c>
      <c r="Y401" s="48"/>
      <c r="Z401" s="48"/>
      <c r="AA401" s="48"/>
      <c r="AB401" s="48"/>
      <c r="AC401" s="48"/>
      <c r="AD401" s="48"/>
      <c r="AE401" s="61"/>
      <c r="AF401" s="62"/>
      <c r="AG401" s="62"/>
      <c r="AH401" s="62"/>
    </row>
    <row r="402" spans="1:37" x14ac:dyDescent="0.3">
      <c r="A402" s="59"/>
      <c r="B402" s="66" t="s">
        <v>211</v>
      </c>
      <c r="C402" s="51">
        <f t="shared" ref="C402:W402" si="83">SUM(C400:C401)</f>
        <v>2389295.4</v>
      </c>
      <c r="D402" s="51">
        <f t="shared" si="83"/>
        <v>0</v>
      </c>
      <c r="E402" s="51">
        <f t="shared" si="83"/>
        <v>0</v>
      </c>
      <c r="F402" s="51">
        <f t="shared" si="83"/>
        <v>0</v>
      </c>
      <c r="G402" s="51">
        <f t="shared" si="83"/>
        <v>0</v>
      </c>
      <c r="H402" s="51">
        <f t="shared" si="83"/>
        <v>0</v>
      </c>
      <c r="I402" s="51">
        <f t="shared" si="83"/>
        <v>0</v>
      </c>
      <c r="J402" s="82">
        <f t="shared" si="83"/>
        <v>0</v>
      </c>
      <c r="K402" s="51">
        <f t="shared" si="83"/>
        <v>0</v>
      </c>
      <c r="L402" s="51">
        <f t="shared" si="83"/>
        <v>0</v>
      </c>
      <c r="M402" s="82">
        <f t="shared" si="83"/>
        <v>265.8</v>
      </c>
      <c r="N402" s="51">
        <f t="shared" si="83"/>
        <v>2389295.4</v>
      </c>
      <c r="O402" s="82">
        <f t="shared" si="83"/>
        <v>0</v>
      </c>
      <c r="P402" s="51">
        <f t="shared" si="83"/>
        <v>0</v>
      </c>
      <c r="Q402" s="338">
        <f t="shared" si="83"/>
        <v>0</v>
      </c>
      <c r="R402" s="51">
        <f t="shared" si="83"/>
        <v>0</v>
      </c>
      <c r="S402" s="51">
        <f t="shared" si="83"/>
        <v>0</v>
      </c>
      <c r="T402" s="35">
        <f t="shared" si="83"/>
        <v>0</v>
      </c>
      <c r="U402" s="51">
        <f t="shared" si="83"/>
        <v>0</v>
      </c>
      <c r="V402" s="51">
        <f t="shared" si="83"/>
        <v>0</v>
      </c>
      <c r="W402" s="51">
        <f t="shared" si="83"/>
        <v>0</v>
      </c>
      <c r="X402" s="141"/>
      <c r="Y402" s="48"/>
      <c r="Z402" s="48"/>
      <c r="AA402" s="48"/>
      <c r="AB402" s="48"/>
      <c r="AC402" s="48"/>
      <c r="AD402" s="48"/>
      <c r="AE402" s="61"/>
      <c r="AF402" s="62"/>
      <c r="AG402" s="62"/>
      <c r="AH402" s="62"/>
    </row>
    <row r="403" spans="1:37" ht="15" customHeight="1" x14ac:dyDescent="0.3">
      <c r="A403" s="303" t="s">
        <v>2043</v>
      </c>
      <c r="B403" s="66"/>
      <c r="C403" s="51"/>
      <c r="D403" s="51"/>
      <c r="E403" s="51"/>
      <c r="F403" s="51"/>
      <c r="G403" s="51"/>
      <c r="H403" s="51"/>
      <c r="I403" s="51"/>
      <c r="J403" s="82"/>
      <c r="K403" s="51"/>
      <c r="L403" s="51"/>
      <c r="M403" s="82"/>
      <c r="N403" s="51"/>
      <c r="O403" s="82"/>
      <c r="P403" s="51"/>
      <c r="Q403" s="338"/>
      <c r="R403" s="51"/>
      <c r="S403" s="51"/>
      <c r="T403" s="35"/>
      <c r="U403" s="51"/>
      <c r="V403" s="51"/>
      <c r="W403" s="51"/>
      <c r="X403" s="141"/>
      <c r="Y403" s="48"/>
      <c r="Z403" s="48"/>
      <c r="AA403" s="48"/>
      <c r="AB403" s="48"/>
      <c r="AC403" s="48"/>
      <c r="AD403" s="48"/>
      <c r="AE403" s="61"/>
      <c r="AF403" s="62"/>
      <c r="AG403" s="62"/>
      <c r="AH403" s="62"/>
    </row>
    <row r="404" spans="1:37" x14ac:dyDescent="0.3">
      <c r="A404" s="59">
        <f>A401+1</f>
        <v>283</v>
      </c>
      <c r="B404" s="66" t="s">
        <v>2044</v>
      </c>
      <c r="C404" s="51">
        <f>D404+K404+L404+N404+P404+R404+S404+U404+V404+W404</f>
        <v>5155173.5999999996</v>
      </c>
      <c r="D404" s="51">
        <f>E404+F404+G404+H404+I404</f>
        <v>0</v>
      </c>
      <c r="E404" s="51"/>
      <c r="F404" s="51"/>
      <c r="G404" s="51"/>
      <c r="H404" s="51"/>
      <c r="I404" s="51"/>
      <c r="J404" s="82"/>
      <c r="K404" s="51"/>
      <c r="L404" s="51"/>
      <c r="M404" s="82"/>
      <c r="N404" s="51"/>
      <c r="O404" s="82">
        <v>323.10000000000002</v>
      </c>
      <c r="P404" s="51">
        <v>5155173.5999999996</v>
      </c>
      <c r="Q404" s="338"/>
      <c r="R404" s="51"/>
      <c r="S404" s="51"/>
      <c r="T404" s="35"/>
      <c r="U404" s="51"/>
      <c r="V404" s="51"/>
      <c r="W404" s="51"/>
      <c r="X404" s="141"/>
      <c r="Y404" s="48"/>
      <c r="Z404" s="48"/>
      <c r="AA404" s="48"/>
      <c r="AB404" s="48"/>
      <c r="AC404" s="48"/>
      <c r="AD404" s="48"/>
      <c r="AE404" s="61"/>
      <c r="AF404" s="62"/>
      <c r="AG404" s="62"/>
      <c r="AH404" s="62"/>
    </row>
    <row r="405" spans="1:37" x14ac:dyDescent="0.3">
      <c r="A405" s="59">
        <f>A404+1</f>
        <v>284</v>
      </c>
      <c r="B405" s="66" t="s">
        <v>2046</v>
      </c>
      <c r="C405" s="51">
        <f>D405+K405+L405+N405+P405+R405+S405+U405+V405+W405</f>
        <v>7468524</v>
      </c>
      <c r="D405" s="51">
        <f>E405+F405+G405+H405+I405</f>
        <v>0</v>
      </c>
      <c r="E405" s="51"/>
      <c r="F405" s="51"/>
      <c r="G405" s="51"/>
      <c r="H405" s="51"/>
      <c r="I405" s="51"/>
      <c r="J405" s="82"/>
      <c r="K405" s="51"/>
      <c r="L405" s="51"/>
      <c r="M405" s="82"/>
      <c r="N405" s="51"/>
      <c r="O405" s="82">
        <v>488</v>
      </c>
      <c r="P405" s="51">
        <v>7468524</v>
      </c>
      <c r="Q405" s="338"/>
      <c r="R405" s="51"/>
      <c r="S405" s="51"/>
      <c r="T405" s="35"/>
      <c r="U405" s="51"/>
      <c r="V405" s="51"/>
      <c r="W405" s="51"/>
      <c r="X405" s="141"/>
      <c r="Y405" s="48"/>
      <c r="Z405" s="48"/>
      <c r="AA405" s="48"/>
      <c r="AB405" s="48"/>
      <c r="AC405" s="48"/>
      <c r="AD405" s="48"/>
      <c r="AE405" s="61"/>
      <c r="AF405" s="62"/>
      <c r="AG405" s="62"/>
      <c r="AH405" s="62"/>
    </row>
    <row r="406" spans="1:37" x14ac:dyDescent="0.3">
      <c r="A406" s="59">
        <f>A405+1</f>
        <v>285</v>
      </c>
      <c r="B406" s="66" t="s">
        <v>2047</v>
      </c>
      <c r="C406" s="51">
        <f>D406+K406+L406+N406+P406+R406+S406+U406+V406+W406</f>
        <v>4733592.34</v>
      </c>
      <c r="D406" s="51">
        <f>E406+F406+G406+H406+I406</f>
        <v>0</v>
      </c>
      <c r="E406" s="51"/>
      <c r="F406" s="51"/>
      <c r="G406" s="51"/>
      <c r="H406" s="51"/>
      <c r="I406" s="51"/>
      <c r="J406" s="82"/>
      <c r="K406" s="51"/>
      <c r="L406" s="51"/>
      <c r="M406" s="82"/>
      <c r="N406" s="51"/>
      <c r="O406" s="82">
        <v>351.22</v>
      </c>
      <c r="P406" s="51">
        <v>4733592.34</v>
      </c>
      <c r="Q406" s="338"/>
      <c r="R406" s="51"/>
      <c r="S406" s="51"/>
      <c r="T406" s="35"/>
      <c r="U406" s="51"/>
      <c r="V406" s="51"/>
      <c r="W406" s="51"/>
      <c r="X406" s="141"/>
      <c r="Y406" s="48"/>
      <c r="Z406" s="48"/>
      <c r="AA406" s="48"/>
      <c r="AB406" s="48"/>
      <c r="AC406" s="48"/>
      <c r="AD406" s="48"/>
      <c r="AE406" s="61"/>
      <c r="AF406" s="62"/>
      <c r="AG406" s="62"/>
      <c r="AH406" s="62"/>
    </row>
    <row r="407" spans="1:37" x14ac:dyDescent="0.3">
      <c r="A407" s="177"/>
      <c r="B407" s="66" t="s">
        <v>211</v>
      </c>
      <c r="C407" s="399">
        <f>SUM(C404:C406)</f>
        <v>17357289.939999998</v>
      </c>
      <c r="D407" s="399">
        <f t="shared" ref="D407:W407" si="84">SUM(D404:D406)</f>
        <v>0</v>
      </c>
      <c r="E407" s="399">
        <f t="shared" si="84"/>
        <v>0</v>
      </c>
      <c r="F407" s="399">
        <f t="shared" si="84"/>
        <v>0</v>
      </c>
      <c r="G407" s="399">
        <f t="shared" si="84"/>
        <v>0</v>
      </c>
      <c r="H407" s="399">
        <f t="shared" si="84"/>
        <v>0</v>
      </c>
      <c r="I407" s="399">
        <f t="shared" si="84"/>
        <v>0</v>
      </c>
      <c r="J407" s="379">
        <f t="shared" si="84"/>
        <v>0</v>
      </c>
      <c r="K407" s="399">
        <f t="shared" si="84"/>
        <v>0</v>
      </c>
      <c r="L407" s="399">
        <f t="shared" si="84"/>
        <v>0</v>
      </c>
      <c r="M407" s="379">
        <f t="shared" si="84"/>
        <v>0</v>
      </c>
      <c r="N407" s="399">
        <f t="shared" si="84"/>
        <v>0</v>
      </c>
      <c r="O407" s="379">
        <f t="shared" si="84"/>
        <v>1162.3200000000002</v>
      </c>
      <c r="P407" s="399">
        <f t="shared" si="84"/>
        <v>17357289.939999998</v>
      </c>
      <c r="Q407" s="402">
        <f t="shared" si="84"/>
        <v>0</v>
      </c>
      <c r="R407" s="399">
        <f t="shared" si="84"/>
        <v>0</v>
      </c>
      <c r="S407" s="399">
        <f t="shared" si="84"/>
        <v>0</v>
      </c>
      <c r="T407" s="403">
        <f t="shared" si="84"/>
        <v>0</v>
      </c>
      <c r="U407" s="399">
        <f t="shared" si="84"/>
        <v>0</v>
      </c>
      <c r="V407" s="399">
        <f t="shared" si="84"/>
        <v>0</v>
      </c>
      <c r="W407" s="399">
        <f t="shared" si="84"/>
        <v>0</v>
      </c>
      <c r="X407" s="9"/>
      <c r="Y407" s="9"/>
      <c r="Z407" s="9"/>
      <c r="AA407" s="9"/>
      <c r="AB407" s="9"/>
      <c r="AC407" s="9"/>
      <c r="AD407" s="9"/>
      <c r="AE407" s="306"/>
      <c r="AF407" s="302"/>
      <c r="AG407" s="302"/>
      <c r="AH407" s="302"/>
    </row>
    <row r="408" spans="1:37" ht="31.2" x14ac:dyDescent="0.3">
      <c r="A408" s="177"/>
      <c r="B408" s="131" t="s">
        <v>2051</v>
      </c>
      <c r="C408" s="51">
        <f>C407+C398+C402</f>
        <v>31947920.129999995</v>
      </c>
      <c r="D408" s="51">
        <f t="shared" ref="D408:W408" si="85">D407+D398+D402</f>
        <v>0</v>
      </c>
      <c r="E408" s="51">
        <f t="shared" si="85"/>
        <v>0</v>
      </c>
      <c r="F408" s="51">
        <f t="shared" si="85"/>
        <v>0</v>
      </c>
      <c r="G408" s="51">
        <f t="shared" si="85"/>
        <v>0</v>
      </c>
      <c r="H408" s="51">
        <f t="shared" si="85"/>
        <v>0</v>
      </c>
      <c r="I408" s="51">
        <f t="shared" si="85"/>
        <v>0</v>
      </c>
      <c r="J408" s="82">
        <f t="shared" si="85"/>
        <v>0</v>
      </c>
      <c r="K408" s="51">
        <f t="shared" si="85"/>
        <v>0</v>
      </c>
      <c r="L408" s="51">
        <f t="shared" si="85"/>
        <v>0</v>
      </c>
      <c r="M408" s="82">
        <f t="shared" si="85"/>
        <v>265.8</v>
      </c>
      <c r="N408" s="51">
        <f t="shared" si="85"/>
        <v>2389295.4</v>
      </c>
      <c r="O408" s="82">
        <f t="shared" si="85"/>
        <v>1162.3200000000002</v>
      </c>
      <c r="P408" s="51">
        <f t="shared" si="85"/>
        <v>17357289.939999998</v>
      </c>
      <c r="Q408" s="338">
        <f t="shared" si="85"/>
        <v>0</v>
      </c>
      <c r="R408" s="51">
        <f t="shared" si="85"/>
        <v>0</v>
      </c>
      <c r="S408" s="51">
        <f t="shared" si="85"/>
        <v>0</v>
      </c>
      <c r="T408" s="35">
        <f t="shared" si="85"/>
        <v>0</v>
      </c>
      <c r="U408" s="51">
        <f t="shared" si="85"/>
        <v>0</v>
      </c>
      <c r="V408" s="51">
        <f t="shared" si="85"/>
        <v>0</v>
      </c>
      <c r="W408" s="51">
        <f t="shared" si="85"/>
        <v>12201334.789999997</v>
      </c>
      <c r="X408" s="9"/>
      <c r="Y408" s="9"/>
      <c r="Z408" s="9"/>
      <c r="AA408" s="9"/>
      <c r="AB408" s="9"/>
      <c r="AC408" s="9"/>
      <c r="AD408" s="9"/>
      <c r="AE408" s="306"/>
      <c r="AF408" s="302"/>
      <c r="AG408" s="302"/>
      <c r="AH408" s="302"/>
    </row>
    <row r="409" spans="1:37" ht="15" customHeight="1" x14ac:dyDescent="0.3">
      <c r="A409" s="326" t="s">
        <v>2052</v>
      </c>
      <c r="B409" s="320"/>
      <c r="C409" s="51"/>
      <c r="D409" s="51"/>
      <c r="E409" s="51"/>
      <c r="F409" s="51"/>
      <c r="G409" s="51"/>
      <c r="H409" s="51"/>
      <c r="I409" s="51"/>
      <c r="J409" s="82"/>
      <c r="K409" s="51"/>
      <c r="L409" s="51"/>
      <c r="M409" s="82"/>
      <c r="N409" s="51"/>
      <c r="O409" s="82"/>
      <c r="P409" s="51"/>
      <c r="Q409" s="338"/>
      <c r="R409" s="51"/>
      <c r="S409" s="51"/>
      <c r="T409" s="35"/>
      <c r="U409" s="51"/>
      <c r="V409" s="51"/>
      <c r="W409" s="364"/>
      <c r="X409" s="141"/>
      <c r="Y409" s="48"/>
      <c r="Z409" s="48"/>
      <c r="AA409" s="48"/>
      <c r="AB409" s="48"/>
      <c r="AC409" s="48"/>
      <c r="AD409" s="48"/>
      <c r="AE409" s="48"/>
      <c r="AF409" s="57"/>
      <c r="AG409" s="58"/>
      <c r="AH409" s="58"/>
      <c r="AI409" s="58"/>
      <c r="AJ409" s="58"/>
      <c r="AK409" s="56"/>
    </row>
    <row r="410" spans="1:37" ht="15" customHeight="1" x14ac:dyDescent="0.3">
      <c r="A410" s="303" t="s">
        <v>2059</v>
      </c>
      <c r="B410" s="66"/>
      <c r="C410" s="51"/>
      <c r="D410" s="51"/>
      <c r="E410" s="51"/>
      <c r="F410" s="51"/>
      <c r="G410" s="51"/>
      <c r="H410" s="51"/>
      <c r="I410" s="51"/>
      <c r="J410" s="82"/>
      <c r="K410" s="51"/>
      <c r="L410" s="51"/>
      <c r="M410" s="82"/>
      <c r="N410" s="51"/>
      <c r="O410" s="82"/>
      <c r="P410" s="51"/>
      <c r="Q410" s="338"/>
      <c r="R410" s="51"/>
      <c r="S410" s="51"/>
      <c r="T410" s="35"/>
      <c r="U410" s="51"/>
      <c r="V410" s="51"/>
      <c r="W410" s="364"/>
      <c r="X410" s="141"/>
      <c r="Y410" s="48"/>
      <c r="Z410" s="48"/>
      <c r="AA410" s="48"/>
      <c r="AB410" s="48"/>
      <c r="AC410" s="48"/>
      <c r="AD410" s="48"/>
      <c r="AE410" s="48"/>
      <c r="AF410" s="57"/>
      <c r="AG410" s="58"/>
      <c r="AH410" s="58"/>
      <c r="AI410" s="58"/>
      <c r="AJ410" s="58"/>
      <c r="AK410" s="56"/>
    </row>
    <row r="411" spans="1:37" x14ac:dyDescent="0.3">
      <c r="A411" s="59">
        <f>A406+1</f>
        <v>286</v>
      </c>
      <c r="B411" s="66" t="s">
        <v>2065</v>
      </c>
      <c r="C411" s="51">
        <f>D411+K411+L411+N411+P411+R411+S411+U411+V411+W411</f>
        <v>10972851.6</v>
      </c>
      <c r="D411" s="51">
        <f>E411+F411+G411+H411+I411</f>
        <v>0</v>
      </c>
      <c r="E411" s="51"/>
      <c r="F411" s="51"/>
      <c r="G411" s="51"/>
      <c r="H411" s="51"/>
      <c r="I411" s="51"/>
      <c r="J411" s="82"/>
      <c r="K411" s="51"/>
      <c r="L411" s="51"/>
      <c r="M411" s="82"/>
      <c r="N411" s="51"/>
      <c r="O411" s="82"/>
      <c r="P411" s="51">
        <v>10972851.6</v>
      </c>
      <c r="Q411" s="338"/>
      <c r="R411" s="51"/>
      <c r="S411" s="51"/>
      <c r="T411" s="35"/>
      <c r="U411" s="51"/>
      <c r="V411" s="51"/>
      <c r="W411" s="364"/>
      <c r="X411" s="141"/>
      <c r="Y411" s="48">
        <v>181079.69</v>
      </c>
      <c r="Z411" s="48"/>
      <c r="AA411" s="48"/>
      <c r="AB411" s="48"/>
      <c r="AC411" s="48"/>
      <c r="AD411" s="48"/>
      <c r="AE411" s="48"/>
      <c r="AF411" s="57"/>
      <c r="AG411" s="58"/>
      <c r="AH411" s="58"/>
      <c r="AI411" s="58"/>
      <c r="AJ411" s="58"/>
      <c r="AK411" s="56"/>
    </row>
    <row r="412" spans="1:37" x14ac:dyDescent="0.3">
      <c r="A412" s="59"/>
      <c r="B412" s="66" t="s">
        <v>211</v>
      </c>
      <c r="C412" s="51">
        <f t="shared" ref="C412:W412" si="86">SUM(C411:C411)</f>
        <v>10972851.6</v>
      </c>
      <c r="D412" s="51">
        <f t="shared" si="86"/>
        <v>0</v>
      </c>
      <c r="E412" s="51">
        <f t="shared" si="86"/>
        <v>0</v>
      </c>
      <c r="F412" s="51">
        <f t="shared" si="86"/>
        <v>0</v>
      </c>
      <c r="G412" s="51">
        <f t="shared" si="86"/>
        <v>0</v>
      </c>
      <c r="H412" s="51">
        <f t="shared" si="86"/>
        <v>0</v>
      </c>
      <c r="I412" s="51">
        <f t="shared" si="86"/>
        <v>0</v>
      </c>
      <c r="J412" s="82">
        <f t="shared" si="86"/>
        <v>0</v>
      </c>
      <c r="K412" s="51">
        <f t="shared" si="86"/>
        <v>0</v>
      </c>
      <c r="L412" s="51">
        <f t="shared" si="86"/>
        <v>0</v>
      </c>
      <c r="M412" s="82">
        <f t="shared" si="86"/>
        <v>0</v>
      </c>
      <c r="N412" s="51">
        <f t="shared" si="86"/>
        <v>0</v>
      </c>
      <c r="O412" s="82">
        <f t="shared" si="86"/>
        <v>0</v>
      </c>
      <c r="P412" s="51">
        <f t="shared" si="86"/>
        <v>10972851.6</v>
      </c>
      <c r="Q412" s="338">
        <f t="shared" si="86"/>
        <v>0</v>
      </c>
      <c r="R412" s="51">
        <f t="shared" si="86"/>
        <v>0</v>
      </c>
      <c r="S412" s="51">
        <f t="shared" si="86"/>
        <v>0</v>
      </c>
      <c r="T412" s="35">
        <f t="shared" si="86"/>
        <v>0</v>
      </c>
      <c r="U412" s="51">
        <f t="shared" si="86"/>
        <v>0</v>
      </c>
      <c r="V412" s="51">
        <f t="shared" si="86"/>
        <v>0</v>
      </c>
      <c r="W412" s="51">
        <f t="shared" si="86"/>
        <v>0</v>
      </c>
      <c r="X412" s="141"/>
      <c r="Y412" s="48"/>
      <c r="Z412" s="48"/>
      <c r="AA412" s="48"/>
      <c r="AB412" s="48"/>
      <c r="AC412" s="48"/>
      <c r="AD412" s="48"/>
      <c r="AE412" s="48"/>
      <c r="AF412" s="57"/>
      <c r="AG412" s="58"/>
      <c r="AH412" s="58"/>
      <c r="AI412" s="58"/>
      <c r="AJ412" s="58"/>
      <c r="AK412" s="56"/>
    </row>
    <row r="413" spans="1:37" ht="15" customHeight="1" x14ac:dyDescent="0.3">
      <c r="A413" s="303" t="s">
        <v>2072</v>
      </c>
      <c r="B413" s="66"/>
      <c r="C413" s="51"/>
      <c r="D413" s="51"/>
      <c r="E413" s="51"/>
      <c r="F413" s="51"/>
      <c r="G413" s="51"/>
      <c r="H413" s="51"/>
      <c r="I413" s="51"/>
      <c r="J413" s="82"/>
      <c r="K413" s="51"/>
      <c r="L413" s="51"/>
      <c r="M413" s="82"/>
      <c r="N413" s="51"/>
      <c r="O413" s="82"/>
      <c r="P413" s="51"/>
      <c r="Q413" s="338"/>
      <c r="R413" s="51"/>
      <c r="S413" s="51"/>
      <c r="T413" s="35"/>
      <c r="U413" s="51"/>
      <c r="V413" s="51"/>
      <c r="W413" s="364"/>
      <c r="X413" s="141"/>
      <c r="Y413" s="48"/>
      <c r="Z413" s="48"/>
      <c r="AA413" s="48"/>
      <c r="AB413" s="48"/>
      <c r="AC413" s="48"/>
      <c r="AD413" s="48"/>
      <c r="AE413" s="48"/>
      <c r="AF413" s="57"/>
      <c r="AG413" s="58"/>
      <c r="AH413" s="58"/>
      <c r="AI413" s="58"/>
      <c r="AJ413" s="58"/>
      <c r="AK413" s="56"/>
    </row>
    <row r="414" spans="1:37" x14ac:dyDescent="0.3">
      <c r="A414" s="59">
        <f>A411+1</f>
        <v>287</v>
      </c>
      <c r="B414" s="66" t="s">
        <v>2086</v>
      </c>
      <c r="C414" s="51">
        <f t="shared" ref="C414:C424" si="87">D414+K414+L414+N414+P414+R414+S414+U414+V414+W414</f>
        <v>7884596.4000000004</v>
      </c>
      <c r="D414" s="51">
        <f t="shared" ref="D414:D424" si="88">E414+F414+G414+H414+I414</f>
        <v>7884596.4000000004</v>
      </c>
      <c r="E414" s="51"/>
      <c r="F414" s="51">
        <v>6755617.2000000002</v>
      </c>
      <c r="G414" s="51">
        <v>1128979.2</v>
      </c>
      <c r="H414" s="51"/>
      <c r="I414" s="51"/>
      <c r="J414" s="82"/>
      <c r="K414" s="51"/>
      <c r="L414" s="51"/>
      <c r="M414" s="82"/>
      <c r="N414" s="51"/>
      <c r="O414" s="82"/>
      <c r="P414" s="51"/>
      <c r="Q414" s="338"/>
      <c r="R414" s="51"/>
      <c r="S414" s="51"/>
      <c r="T414" s="35"/>
      <c r="U414" s="51"/>
      <c r="V414" s="51"/>
      <c r="W414" s="364"/>
      <c r="X414" s="327" t="s">
        <v>2076</v>
      </c>
      <c r="Y414" s="48"/>
      <c r="Z414" s="48"/>
      <c r="AA414" s="48"/>
      <c r="AB414" s="48"/>
      <c r="AC414" s="48"/>
      <c r="AD414" s="48"/>
      <c r="AE414" s="48"/>
      <c r="AF414" s="57"/>
      <c r="AG414" s="58"/>
      <c r="AH414" s="58"/>
      <c r="AI414" s="58"/>
      <c r="AJ414" s="58"/>
      <c r="AK414" s="56"/>
    </row>
    <row r="415" spans="1:37" x14ac:dyDescent="0.3">
      <c r="A415" s="59">
        <f t="shared" ref="A415:A424" si="89">A414+1</f>
        <v>288</v>
      </c>
      <c r="B415" s="66" t="s">
        <v>2089</v>
      </c>
      <c r="C415" s="51">
        <f t="shared" si="87"/>
        <v>5821392</v>
      </c>
      <c r="D415" s="51">
        <f t="shared" si="88"/>
        <v>5821392</v>
      </c>
      <c r="E415" s="51"/>
      <c r="F415" s="51">
        <v>4172853.6</v>
      </c>
      <c r="G415" s="51">
        <v>709896</v>
      </c>
      <c r="H415" s="51">
        <v>938642.4</v>
      </c>
      <c r="I415" s="51"/>
      <c r="J415" s="82"/>
      <c r="K415" s="51"/>
      <c r="L415" s="51"/>
      <c r="M415" s="82"/>
      <c r="N415" s="51"/>
      <c r="O415" s="82"/>
      <c r="P415" s="51"/>
      <c r="Q415" s="338"/>
      <c r="R415" s="51"/>
      <c r="S415" s="51"/>
      <c r="T415" s="35"/>
      <c r="U415" s="51"/>
      <c r="V415" s="51"/>
      <c r="W415" s="364"/>
      <c r="X415" s="327" t="s">
        <v>2076</v>
      </c>
      <c r="Y415" s="48"/>
      <c r="Z415" s="48"/>
      <c r="AA415" s="48"/>
      <c r="AB415" s="48"/>
      <c r="AC415" s="48"/>
      <c r="AD415" s="48"/>
      <c r="AE415" s="48"/>
      <c r="AF415" s="57"/>
      <c r="AG415" s="58"/>
      <c r="AH415" s="58"/>
      <c r="AI415" s="58"/>
      <c r="AJ415" s="58"/>
      <c r="AK415" s="56"/>
    </row>
    <row r="416" spans="1:37" x14ac:dyDescent="0.3">
      <c r="A416" s="59">
        <f t="shared" si="89"/>
        <v>289</v>
      </c>
      <c r="B416" s="66" t="s">
        <v>2090</v>
      </c>
      <c r="C416" s="51">
        <f t="shared" si="87"/>
        <v>5974731.5999999996</v>
      </c>
      <c r="D416" s="51">
        <f t="shared" si="88"/>
        <v>5974731.5999999996</v>
      </c>
      <c r="E416" s="51"/>
      <c r="F416" s="51">
        <v>5116860</v>
      </c>
      <c r="G416" s="51">
        <v>857871.6</v>
      </c>
      <c r="H416" s="51"/>
      <c r="I416" s="51"/>
      <c r="J416" s="82"/>
      <c r="K416" s="51"/>
      <c r="L416" s="51"/>
      <c r="M416" s="82"/>
      <c r="N416" s="51"/>
      <c r="O416" s="82"/>
      <c r="P416" s="51"/>
      <c r="Q416" s="338"/>
      <c r="R416" s="51"/>
      <c r="S416" s="51"/>
      <c r="T416" s="35"/>
      <c r="U416" s="51"/>
      <c r="V416" s="51"/>
      <c r="W416" s="364"/>
      <c r="X416" s="327" t="s">
        <v>2076</v>
      </c>
      <c r="Y416" s="48"/>
      <c r="Z416" s="48"/>
      <c r="AA416" s="48"/>
      <c r="AB416" s="48"/>
      <c r="AC416" s="48"/>
      <c r="AD416" s="48"/>
      <c r="AE416" s="48"/>
      <c r="AF416" s="57"/>
      <c r="AG416" s="58"/>
      <c r="AH416" s="58"/>
      <c r="AI416" s="58"/>
      <c r="AJ416" s="58"/>
      <c r="AK416" s="56"/>
    </row>
    <row r="417" spans="1:37" x14ac:dyDescent="0.3">
      <c r="A417" s="59">
        <f t="shared" si="89"/>
        <v>290</v>
      </c>
      <c r="B417" s="66" t="s">
        <v>2096</v>
      </c>
      <c r="C417" s="51">
        <f t="shared" si="87"/>
        <v>10776038.399999999</v>
      </c>
      <c r="D417" s="51">
        <f t="shared" si="88"/>
        <v>10776038.399999999</v>
      </c>
      <c r="E417" s="51"/>
      <c r="F417" s="51">
        <f>6127600.8+1723564.8</f>
        <v>7851165.5999999996</v>
      </c>
      <c r="G417" s="51">
        <v>1185091.2</v>
      </c>
      <c r="H417" s="51">
        <v>1739781.6</v>
      </c>
      <c r="I417" s="51"/>
      <c r="J417" s="82"/>
      <c r="K417" s="51"/>
      <c r="L417" s="51"/>
      <c r="M417" s="82"/>
      <c r="N417" s="51"/>
      <c r="O417" s="82"/>
      <c r="P417" s="51"/>
      <c r="Q417" s="338"/>
      <c r="R417" s="51"/>
      <c r="S417" s="51"/>
      <c r="T417" s="35"/>
      <c r="U417" s="51"/>
      <c r="V417" s="51"/>
      <c r="W417" s="364"/>
      <c r="X417" s="327" t="s">
        <v>2076</v>
      </c>
      <c r="Y417" s="48"/>
      <c r="Z417" s="48"/>
      <c r="AA417" s="48"/>
      <c r="AB417" s="48"/>
      <c r="AC417" s="48"/>
      <c r="AD417" s="48"/>
      <c r="AE417" s="48"/>
      <c r="AF417" s="57"/>
      <c r="AG417" s="58"/>
      <c r="AH417" s="58"/>
      <c r="AI417" s="58"/>
      <c r="AJ417" s="58"/>
      <c r="AK417" s="56"/>
    </row>
    <row r="418" spans="1:37" x14ac:dyDescent="0.3">
      <c r="A418" s="59">
        <f t="shared" si="89"/>
        <v>291</v>
      </c>
      <c r="B418" s="66" t="s">
        <v>2097</v>
      </c>
      <c r="C418" s="51">
        <f t="shared" si="87"/>
        <v>13332718.799999999</v>
      </c>
      <c r="D418" s="51">
        <f t="shared" si="88"/>
        <v>13332718.799999999</v>
      </c>
      <c r="E418" s="51"/>
      <c r="F418" s="51">
        <v>11629683.6</v>
      </c>
      <c r="G418" s="51">
        <v>1703035.2</v>
      </c>
      <c r="H418" s="51"/>
      <c r="I418" s="51"/>
      <c r="J418" s="82"/>
      <c r="K418" s="51"/>
      <c r="L418" s="51"/>
      <c r="M418" s="82"/>
      <c r="N418" s="51"/>
      <c r="O418" s="82"/>
      <c r="P418" s="51"/>
      <c r="Q418" s="338"/>
      <c r="R418" s="51"/>
      <c r="S418" s="51"/>
      <c r="T418" s="35"/>
      <c r="U418" s="51"/>
      <c r="V418" s="51"/>
      <c r="W418" s="364"/>
      <c r="X418" s="327" t="s">
        <v>2076</v>
      </c>
      <c r="Y418" s="48"/>
      <c r="Z418" s="48"/>
      <c r="AA418" s="48"/>
      <c r="AB418" s="48"/>
      <c r="AC418" s="48"/>
      <c r="AD418" s="48"/>
      <c r="AE418" s="48"/>
      <c r="AF418" s="57"/>
      <c r="AG418" s="58"/>
      <c r="AH418" s="58"/>
      <c r="AI418" s="58"/>
      <c r="AJ418" s="58"/>
      <c r="AK418" s="56"/>
    </row>
    <row r="419" spans="1:37" x14ac:dyDescent="0.3">
      <c r="A419" s="59">
        <f t="shared" si="89"/>
        <v>292</v>
      </c>
      <c r="B419" s="66" t="s">
        <v>2098</v>
      </c>
      <c r="C419" s="51">
        <f t="shared" si="87"/>
        <v>10283644.799999999</v>
      </c>
      <c r="D419" s="51">
        <f t="shared" si="88"/>
        <v>10283644.799999999</v>
      </c>
      <c r="E419" s="51"/>
      <c r="F419" s="51">
        <v>8709669.5999999996</v>
      </c>
      <c r="G419" s="51">
        <v>1573975.2</v>
      </c>
      <c r="H419" s="51"/>
      <c r="I419" s="51"/>
      <c r="J419" s="82"/>
      <c r="K419" s="51"/>
      <c r="L419" s="51"/>
      <c r="M419" s="82"/>
      <c r="N419" s="51"/>
      <c r="O419" s="82"/>
      <c r="P419" s="51"/>
      <c r="Q419" s="338"/>
      <c r="R419" s="51"/>
      <c r="S419" s="51"/>
      <c r="T419" s="35"/>
      <c r="U419" s="51"/>
      <c r="V419" s="51"/>
      <c r="W419" s="364"/>
      <c r="X419" s="327" t="s">
        <v>2076</v>
      </c>
      <c r="Y419" s="48"/>
      <c r="Z419" s="48"/>
      <c r="AA419" s="48"/>
      <c r="AB419" s="48"/>
      <c r="AC419" s="48"/>
      <c r="AD419" s="48"/>
      <c r="AE419" s="48"/>
      <c r="AF419" s="57"/>
      <c r="AG419" s="58"/>
      <c r="AH419" s="58"/>
      <c r="AI419" s="58"/>
      <c r="AJ419" s="58"/>
      <c r="AK419" s="56"/>
    </row>
    <row r="420" spans="1:37" x14ac:dyDescent="0.3">
      <c r="A420" s="59">
        <f t="shared" si="89"/>
        <v>293</v>
      </c>
      <c r="B420" s="66" t="s">
        <v>2102</v>
      </c>
      <c r="C420" s="51">
        <f t="shared" si="87"/>
        <v>1623939.6</v>
      </c>
      <c r="D420" s="51">
        <f t="shared" si="88"/>
        <v>1623939.6</v>
      </c>
      <c r="E420" s="51">
        <v>1623939.6</v>
      </c>
      <c r="F420" s="51"/>
      <c r="G420" s="51"/>
      <c r="H420" s="51"/>
      <c r="I420" s="51"/>
      <c r="J420" s="82"/>
      <c r="K420" s="51"/>
      <c r="L420" s="51"/>
      <c r="M420" s="82"/>
      <c r="N420" s="51"/>
      <c r="O420" s="82"/>
      <c r="P420" s="51"/>
      <c r="Q420" s="338"/>
      <c r="R420" s="51"/>
      <c r="S420" s="51"/>
      <c r="T420" s="35"/>
      <c r="U420" s="51"/>
      <c r="V420" s="51"/>
      <c r="W420" s="364"/>
      <c r="X420" s="141"/>
      <c r="Y420" s="48"/>
      <c r="Z420" s="48"/>
      <c r="AA420" s="48"/>
      <c r="AB420" s="48"/>
      <c r="AC420" s="48"/>
      <c r="AD420" s="48"/>
      <c r="AE420" s="48"/>
      <c r="AF420" s="57"/>
      <c r="AG420" s="58"/>
      <c r="AH420" s="58"/>
      <c r="AI420" s="58"/>
      <c r="AJ420" s="58"/>
      <c r="AK420" s="56"/>
    </row>
    <row r="421" spans="1:37" x14ac:dyDescent="0.3">
      <c r="A421" s="59">
        <f t="shared" si="89"/>
        <v>294</v>
      </c>
      <c r="B421" s="66" t="s">
        <v>2103</v>
      </c>
      <c r="C421" s="51">
        <f t="shared" si="87"/>
        <v>2427673.2000000002</v>
      </c>
      <c r="D421" s="51">
        <f t="shared" si="88"/>
        <v>2427673.2000000002</v>
      </c>
      <c r="E421" s="51">
        <v>2427673.2000000002</v>
      </c>
      <c r="F421" s="51"/>
      <c r="G421" s="51"/>
      <c r="H421" s="51"/>
      <c r="I421" s="51"/>
      <c r="J421" s="82"/>
      <c r="K421" s="51"/>
      <c r="L421" s="51"/>
      <c r="M421" s="82"/>
      <c r="N421" s="51"/>
      <c r="O421" s="82"/>
      <c r="P421" s="51"/>
      <c r="Q421" s="338"/>
      <c r="R421" s="51"/>
      <c r="S421" s="51"/>
      <c r="T421" s="35"/>
      <c r="U421" s="51"/>
      <c r="V421" s="51"/>
      <c r="W421" s="364"/>
      <c r="X421" s="141"/>
      <c r="Y421" s="48"/>
      <c r="Z421" s="48"/>
      <c r="AA421" s="48"/>
      <c r="AB421" s="48"/>
      <c r="AC421" s="48"/>
      <c r="AD421" s="48"/>
      <c r="AE421" s="48"/>
      <c r="AF421" s="57"/>
      <c r="AG421" s="58"/>
      <c r="AH421" s="58"/>
      <c r="AI421" s="58"/>
      <c r="AJ421" s="58"/>
      <c r="AK421" s="56"/>
    </row>
    <row r="422" spans="1:37" x14ac:dyDescent="0.3">
      <c r="A422" s="59">
        <f t="shared" si="89"/>
        <v>295</v>
      </c>
      <c r="B422" s="66" t="s">
        <v>2105</v>
      </c>
      <c r="C422" s="51">
        <f t="shared" si="87"/>
        <v>1573184.4</v>
      </c>
      <c r="D422" s="51">
        <f t="shared" si="88"/>
        <v>1573184.4</v>
      </c>
      <c r="E422" s="51">
        <v>1573184.4</v>
      </c>
      <c r="F422" s="51"/>
      <c r="G422" s="51"/>
      <c r="H422" s="51"/>
      <c r="I422" s="51"/>
      <c r="J422" s="82"/>
      <c r="K422" s="51"/>
      <c r="L422" s="51"/>
      <c r="M422" s="82"/>
      <c r="N422" s="51"/>
      <c r="O422" s="82"/>
      <c r="P422" s="51"/>
      <c r="Q422" s="338"/>
      <c r="R422" s="51"/>
      <c r="S422" s="51"/>
      <c r="T422" s="35"/>
      <c r="U422" s="51"/>
      <c r="V422" s="51"/>
      <c r="W422" s="364"/>
      <c r="X422" s="141"/>
      <c r="Y422" s="48"/>
      <c r="Z422" s="48"/>
      <c r="AA422" s="48"/>
      <c r="AB422" s="48"/>
      <c r="AC422" s="48"/>
      <c r="AD422" s="48"/>
      <c r="AE422" s="48"/>
      <c r="AF422" s="57"/>
      <c r="AG422" s="58"/>
      <c r="AH422" s="58"/>
      <c r="AI422" s="58"/>
      <c r="AJ422" s="58"/>
      <c r="AK422" s="56"/>
    </row>
    <row r="423" spans="1:37" x14ac:dyDescent="0.3">
      <c r="A423" s="59">
        <f t="shared" si="89"/>
        <v>296</v>
      </c>
      <c r="B423" s="66" t="s">
        <v>2106</v>
      </c>
      <c r="C423" s="51">
        <f t="shared" si="87"/>
        <v>582786</v>
      </c>
      <c r="D423" s="51">
        <f t="shared" si="88"/>
        <v>582786</v>
      </c>
      <c r="E423" s="51">
        <v>582786</v>
      </c>
      <c r="F423" s="51"/>
      <c r="G423" s="51"/>
      <c r="H423" s="51"/>
      <c r="I423" s="51"/>
      <c r="J423" s="82"/>
      <c r="K423" s="51"/>
      <c r="L423" s="51"/>
      <c r="M423" s="82"/>
      <c r="N423" s="51"/>
      <c r="O423" s="82"/>
      <c r="P423" s="51"/>
      <c r="Q423" s="338"/>
      <c r="R423" s="51"/>
      <c r="S423" s="51"/>
      <c r="T423" s="35"/>
      <c r="U423" s="51"/>
      <c r="V423" s="51"/>
      <c r="W423" s="364"/>
      <c r="X423" s="141"/>
      <c r="Y423" s="48"/>
      <c r="Z423" s="48"/>
      <c r="AA423" s="48"/>
      <c r="AB423" s="48"/>
      <c r="AC423" s="48"/>
      <c r="AD423" s="48"/>
      <c r="AE423" s="48"/>
      <c r="AF423" s="57"/>
      <c r="AG423" s="58"/>
      <c r="AH423" s="58"/>
      <c r="AI423" s="58"/>
      <c r="AJ423" s="58"/>
      <c r="AK423" s="56"/>
    </row>
    <row r="424" spans="1:37" x14ac:dyDescent="0.3">
      <c r="A424" s="59">
        <f t="shared" si="89"/>
        <v>297</v>
      </c>
      <c r="B424" s="66" t="s">
        <v>2107</v>
      </c>
      <c r="C424" s="51">
        <f t="shared" si="87"/>
        <v>1331134.8</v>
      </c>
      <c r="D424" s="51">
        <f t="shared" si="88"/>
        <v>1331134.8</v>
      </c>
      <c r="E424" s="51">
        <v>1331134.8</v>
      </c>
      <c r="F424" s="51"/>
      <c r="G424" s="51"/>
      <c r="H424" s="51"/>
      <c r="I424" s="51"/>
      <c r="J424" s="82"/>
      <c r="K424" s="51"/>
      <c r="L424" s="51"/>
      <c r="M424" s="82"/>
      <c r="N424" s="51"/>
      <c r="O424" s="82"/>
      <c r="P424" s="51"/>
      <c r="Q424" s="338"/>
      <c r="R424" s="51"/>
      <c r="S424" s="51"/>
      <c r="T424" s="35"/>
      <c r="U424" s="51"/>
      <c r="V424" s="51"/>
      <c r="W424" s="364"/>
      <c r="X424" s="141"/>
      <c r="Y424" s="48"/>
      <c r="Z424" s="48"/>
      <c r="AA424" s="48"/>
      <c r="AB424" s="48"/>
      <c r="AC424" s="48"/>
      <c r="AD424" s="48"/>
      <c r="AE424" s="48"/>
      <c r="AF424" s="57"/>
      <c r="AG424" s="58"/>
      <c r="AH424" s="58"/>
      <c r="AI424" s="58"/>
      <c r="AJ424" s="58"/>
      <c r="AK424" s="56"/>
    </row>
    <row r="425" spans="1:37" x14ac:dyDescent="0.3">
      <c r="A425" s="59"/>
      <c r="B425" s="66" t="s">
        <v>211</v>
      </c>
      <c r="C425" s="51">
        <f t="shared" ref="C425:I425" si="90">SUM(C414:C424)</f>
        <v>61611839.999999993</v>
      </c>
      <c r="D425" s="51">
        <f t="shared" si="90"/>
        <v>61611839.999999993</v>
      </c>
      <c r="E425" s="51">
        <f t="shared" si="90"/>
        <v>7538718</v>
      </c>
      <c r="F425" s="51">
        <f t="shared" si="90"/>
        <v>44235849.600000001</v>
      </c>
      <c r="G425" s="51">
        <f t="shared" si="90"/>
        <v>7158848.4000000004</v>
      </c>
      <c r="H425" s="51">
        <f t="shared" si="90"/>
        <v>2678424</v>
      </c>
      <c r="I425" s="51">
        <f t="shared" si="90"/>
        <v>0</v>
      </c>
      <c r="J425" s="82"/>
      <c r="K425" s="51"/>
      <c r="L425" s="51"/>
      <c r="M425" s="82">
        <f t="shared" ref="M425:W425" si="91">SUM(M414:M424)</f>
        <v>0</v>
      </c>
      <c r="N425" s="51">
        <f t="shared" si="91"/>
        <v>0</v>
      </c>
      <c r="O425" s="82">
        <f t="shared" si="91"/>
        <v>0</v>
      </c>
      <c r="P425" s="51">
        <f t="shared" si="91"/>
        <v>0</v>
      </c>
      <c r="Q425" s="338">
        <f t="shared" si="91"/>
        <v>0</v>
      </c>
      <c r="R425" s="51">
        <f t="shared" si="91"/>
        <v>0</v>
      </c>
      <c r="S425" s="51">
        <f t="shared" si="91"/>
        <v>0</v>
      </c>
      <c r="T425" s="35">
        <f t="shared" si="91"/>
        <v>0</v>
      </c>
      <c r="U425" s="51">
        <f t="shared" si="91"/>
        <v>0</v>
      </c>
      <c r="V425" s="51">
        <f t="shared" si="91"/>
        <v>0</v>
      </c>
      <c r="W425" s="51">
        <f t="shared" si="91"/>
        <v>0</v>
      </c>
      <c r="X425" s="141"/>
      <c r="Y425" s="48"/>
      <c r="Z425" s="48"/>
      <c r="AA425" s="48"/>
      <c r="AB425" s="48"/>
      <c r="AC425" s="48"/>
      <c r="AD425" s="48"/>
      <c r="AE425" s="48"/>
      <c r="AF425" s="57"/>
      <c r="AG425" s="58"/>
      <c r="AH425" s="58"/>
      <c r="AI425" s="58"/>
      <c r="AJ425" s="58"/>
      <c r="AK425" s="56"/>
    </row>
    <row r="426" spans="1:37" ht="15" customHeight="1" x14ac:dyDescent="0.3">
      <c r="A426" s="303" t="s">
        <v>2120</v>
      </c>
      <c r="B426" s="66"/>
      <c r="C426" s="51"/>
      <c r="D426" s="51"/>
      <c r="E426" s="51"/>
      <c r="F426" s="51"/>
      <c r="G426" s="51"/>
      <c r="H426" s="51"/>
      <c r="I426" s="51"/>
      <c r="J426" s="82"/>
      <c r="K426" s="51"/>
      <c r="L426" s="51"/>
      <c r="M426" s="82"/>
      <c r="N426" s="51"/>
      <c r="O426" s="82"/>
      <c r="P426" s="51"/>
      <c r="Q426" s="338"/>
      <c r="R426" s="51"/>
      <c r="S426" s="51"/>
      <c r="T426" s="35"/>
      <c r="U426" s="51"/>
      <c r="V426" s="51"/>
      <c r="W426" s="364"/>
      <c r="X426" s="141"/>
      <c r="Y426" s="48"/>
      <c r="Z426" s="48"/>
      <c r="AA426" s="48"/>
      <c r="AB426" s="48"/>
      <c r="AC426" s="48"/>
      <c r="AD426" s="48"/>
      <c r="AE426" s="48"/>
      <c r="AF426" s="57"/>
      <c r="AG426" s="58"/>
      <c r="AH426" s="58"/>
      <c r="AI426" s="58"/>
      <c r="AJ426" s="58"/>
      <c r="AK426" s="56"/>
    </row>
    <row r="427" spans="1:37" x14ac:dyDescent="0.3">
      <c r="A427" s="59">
        <f>A424+1</f>
        <v>298</v>
      </c>
      <c r="B427" s="66" t="s">
        <v>2121</v>
      </c>
      <c r="C427" s="51">
        <f>D427+K427+L427+N427+P427+R427+S427+U427+V427+W427</f>
        <v>866271.6</v>
      </c>
      <c r="D427" s="51">
        <f>E427+F427+G427+H427+I427</f>
        <v>0</v>
      </c>
      <c r="E427" s="51"/>
      <c r="F427" s="51"/>
      <c r="G427" s="51"/>
      <c r="H427" s="51"/>
      <c r="I427" s="51"/>
      <c r="J427" s="82"/>
      <c r="K427" s="51"/>
      <c r="L427" s="51"/>
      <c r="M427" s="82"/>
      <c r="N427" s="51"/>
      <c r="O427" s="82">
        <v>210</v>
      </c>
      <c r="P427" s="51">
        <v>866271.6</v>
      </c>
      <c r="Q427" s="338"/>
      <c r="R427" s="51"/>
      <c r="S427" s="51"/>
      <c r="T427" s="35"/>
      <c r="U427" s="51"/>
      <c r="V427" s="51"/>
      <c r="W427" s="364"/>
      <c r="X427" s="141"/>
      <c r="Y427" s="48">
        <v>91837.62</v>
      </c>
      <c r="Z427" s="48"/>
      <c r="AA427" s="48"/>
      <c r="AB427" s="48"/>
      <c r="AC427" s="48"/>
      <c r="AD427" s="48"/>
      <c r="AE427" s="48"/>
      <c r="AF427" s="57"/>
      <c r="AG427" s="58"/>
      <c r="AH427" s="58"/>
      <c r="AI427" s="58"/>
      <c r="AJ427" s="58"/>
      <c r="AK427" s="56"/>
    </row>
    <row r="428" spans="1:37" x14ac:dyDescent="0.3">
      <c r="A428" s="59">
        <f>A427+1</f>
        <v>299</v>
      </c>
      <c r="B428" s="66" t="s">
        <v>2122</v>
      </c>
      <c r="C428" s="51">
        <f>D428+K428+L428+N428+P428+R428+S428+U428+V428+W428</f>
        <v>293649.59999999998</v>
      </c>
      <c r="D428" s="51">
        <f>E428+F428+G428+H428+I428</f>
        <v>293649.59999999998</v>
      </c>
      <c r="E428" s="51">
        <v>293649.59999999998</v>
      </c>
      <c r="F428" s="51"/>
      <c r="G428" s="51"/>
      <c r="H428" s="51"/>
      <c r="I428" s="51"/>
      <c r="J428" s="82"/>
      <c r="K428" s="51"/>
      <c r="L428" s="51"/>
      <c r="M428" s="82"/>
      <c r="N428" s="51"/>
      <c r="O428" s="82" t="s">
        <v>1224</v>
      </c>
      <c r="P428" s="399"/>
      <c r="Q428" s="338"/>
      <c r="R428" s="51"/>
      <c r="S428" s="51"/>
      <c r="T428" s="35"/>
      <c r="U428" s="51"/>
      <c r="V428" s="51"/>
      <c r="W428" s="364"/>
      <c r="X428" s="141"/>
      <c r="Y428" s="48"/>
      <c r="Z428" s="48"/>
      <c r="AA428" s="48">
        <v>97114.69</v>
      </c>
      <c r="AB428" s="48"/>
      <c r="AC428" s="48"/>
      <c r="AD428" s="48">
        <v>77024.7</v>
      </c>
      <c r="AE428" s="48"/>
      <c r="AF428" s="57"/>
      <c r="AG428" s="58"/>
      <c r="AH428" s="58"/>
      <c r="AI428" s="58"/>
      <c r="AJ428" s="58"/>
      <c r="AK428" s="56"/>
    </row>
    <row r="429" spans="1:37" x14ac:dyDescent="0.3">
      <c r="A429" s="59">
        <f>A428+1</f>
        <v>300</v>
      </c>
      <c r="B429" s="66" t="s">
        <v>2126</v>
      </c>
      <c r="C429" s="51">
        <f>D429+K429+L429+N429+P429+R429+S429+U429+V429+W429</f>
        <v>779082</v>
      </c>
      <c r="D429" s="51">
        <f>E429+F429+G429+H429+I429</f>
        <v>0</v>
      </c>
      <c r="E429" s="51"/>
      <c r="F429" s="51"/>
      <c r="G429" s="51"/>
      <c r="H429" s="51"/>
      <c r="I429" s="51"/>
      <c r="J429" s="82"/>
      <c r="K429" s="51"/>
      <c r="L429" s="51"/>
      <c r="M429" s="82"/>
      <c r="N429" s="51"/>
      <c r="O429" s="82">
        <v>236</v>
      </c>
      <c r="P429" s="51">
        <v>779082</v>
      </c>
      <c r="Q429" s="338"/>
      <c r="R429" s="51"/>
      <c r="S429" s="51"/>
      <c r="T429" s="35"/>
      <c r="U429" s="51"/>
      <c r="V429" s="51"/>
      <c r="W429" s="364"/>
      <c r="X429" s="141"/>
      <c r="Y429" s="48">
        <v>120878.42</v>
      </c>
      <c r="Z429" s="48"/>
      <c r="AA429" s="48"/>
      <c r="AB429" s="48"/>
      <c r="AC429" s="48"/>
      <c r="AD429" s="48"/>
      <c r="AE429" s="48"/>
      <c r="AF429" s="57"/>
      <c r="AG429" s="58"/>
      <c r="AH429" s="58"/>
      <c r="AI429" s="58"/>
      <c r="AJ429" s="58"/>
      <c r="AK429" s="56"/>
    </row>
    <row r="430" spans="1:37" x14ac:dyDescent="0.3">
      <c r="A430" s="59">
        <f>A429+1</f>
        <v>301</v>
      </c>
      <c r="B430" s="66" t="s">
        <v>2129</v>
      </c>
      <c r="C430" s="51">
        <f>D430+K430+L430+N430+P430+R430+S430+U430+V430+W430</f>
        <v>1522027.2</v>
      </c>
      <c r="D430" s="51">
        <f>E430+F430+G430+H430+I430</f>
        <v>0</v>
      </c>
      <c r="E430" s="51"/>
      <c r="F430" s="51"/>
      <c r="G430" s="51"/>
      <c r="H430" s="51"/>
      <c r="I430" s="51"/>
      <c r="J430" s="82"/>
      <c r="K430" s="51"/>
      <c r="L430" s="51"/>
      <c r="M430" s="82"/>
      <c r="N430" s="51"/>
      <c r="O430" s="82">
        <v>465</v>
      </c>
      <c r="P430" s="51">
        <v>1522027.2</v>
      </c>
      <c r="Q430" s="338"/>
      <c r="R430" s="51"/>
      <c r="S430" s="51"/>
      <c r="T430" s="35"/>
      <c r="U430" s="51"/>
      <c r="V430" s="51"/>
      <c r="W430" s="364"/>
      <c r="X430" s="141"/>
      <c r="Y430" s="48">
        <v>119662.09</v>
      </c>
      <c r="Z430" s="48"/>
      <c r="AA430" s="48"/>
      <c r="AB430" s="48"/>
      <c r="AC430" s="48"/>
      <c r="AD430" s="48"/>
      <c r="AE430" s="48"/>
      <c r="AF430" s="57"/>
      <c r="AG430" s="58"/>
      <c r="AH430" s="58"/>
      <c r="AI430" s="58"/>
      <c r="AJ430" s="58"/>
      <c r="AK430" s="56"/>
    </row>
    <row r="431" spans="1:37" x14ac:dyDescent="0.3">
      <c r="A431" s="177"/>
      <c r="B431" s="66" t="s">
        <v>211</v>
      </c>
      <c r="C431" s="51">
        <f t="shared" ref="C431:W431" si="92">SUM(C427:C430)</f>
        <v>3461030.4</v>
      </c>
      <c r="D431" s="51">
        <f t="shared" si="92"/>
        <v>293649.59999999998</v>
      </c>
      <c r="E431" s="51">
        <f t="shared" si="92"/>
        <v>293649.59999999998</v>
      </c>
      <c r="F431" s="51">
        <f t="shared" si="92"/>
        <v>0</v>
      </c>
      <c r="G431" s="51">
        <f t="shared" si="92"/>
        <v>0</v>
      </c>
      <c r="H431" s="51">
        <f t="shared" si="92"/>
        <v>0</v>
      </c>
      <c r="I431" s="51">
        <f t="shared" si="92"/>
        <v>0</v>
      </c>
      <c r="J431" s="82">
        <f t="shared" si="92"/>
        <v>0</v>
      </c>
      <c r="K431" s="51">
        <f t="shared" si="92"/>
        <v>0</v>
      </c>
      <c r="L431" s="51">
        <f t="shared" si="92"/>
        <v>0</v>
      </c>
      <c r="M431" s="82">
        <f t="shared" si="92"/>
        <v>0</v>
      </c>
      <c r="N431" s="51">
        <f t="shared" si="92"/>
        <v>0</v>
      </c>
      <c r="O431" s="82">
        <f t="shared" si="92"/>
        <v>911</v>
      </c>
      <c r="P431" s="51">
        <f t="shared" si="92"/>
        <v>3167380.8</v>
      </c>
      <c r="Q431" s="338">
        <f t="shared" si="92"/>
        <v>0</v>
      </c>
      <c r="R431" s="51">
        <f t="shared" si="92"/>
        <v>0</v>
      </c>
      <c r="S431" s="51">
        <f t="shared" si="92"/>
        <v>0</v>
      </c>
      <c r="T431" s="35">
        <f t="shared" si="92"/>
        <v>0</v>
      </c>
      <c r="U431" s="51">
        <f t="shared" si="92"/>
        <v>0</v>
      </c>
      <c r="V431" s="51">
        <f t="shared" si="92"/>
        <v>0</v>
      </c>
      <c r="W431" s="51">
        <f t="shared" si="92"/>
        <v>0</v>
      </c>
      <c r="X431" s="141"/>
      <c r="Y431" s="48"/>
      <c r="Z431" s="48"/>
      <c r="AA431" s="48"/>
      <c r="AB431" s="48"/>
      <c r="AC431" s="48"/>
      <c r="AD431" s="48"/>
      <c r="AE431" s="48"/>
      <c r="AF431" s="57"/>
      <c r="AG431" s="58"/>
      <c r="AH431" s="58"/>
      <c r="AI431" s="58"/>
      <c r="AJ431" s="58"/>
      <c r="AK431" s="56"/>
    </row>
    <row r="432" spans="1:37" x14ac:dyDescent="0.3">
      <c r="A432" s="177"/>
      <c r="B432" s="66" t="s">
        <v>2131</v>
      </c>
      <c r="C432" s="51">
        <f t="shared" ref="C432:W432" si="93">C412+C425+C431</f>
        <v>76045722</v>
      </c>
      <c r="D432" s="51">
        <f t="shared" si="93"/>
        <v>61905489.599999994</v>
      </c>
      <c r="E432" s="51">
        <f t="shared" si="93"/>
        <v>7832367.5999999996</v>
      </c>
      <c r="F432" s="51">
        <f t="shared" si="93"/>
        <v>44235849.600000001</v>
      </c>
      <c r="G432" s="51">
        <f t="shared" si="93"/>
        <v>7158848.4000000004</v>
      </c>
      <c r="H432" s="51">
        <f t="shared" si="93"/>
        <v>2678424</v>
      </c>
      <c r="I432" s="51">
        <f t="shared" si="93"/>
        <v>0</v>
      </c>
      <c r="J432" s="82">
        <f t="shared" si="93"/>
        <v>0</v>
      </c>
      <c r="K432" s="51">
        <f t="shared" si="93"/>
        <v>0</v>
      </c>
      <c r="L432" s="51">
        <f t="shared" si="93"/>
        <v>0</v>
      </c>
      <c r="M432" s="82">
        <f t="shared" si="93"/>
        <v>0</v>
      </c>
      <c r="N432" s="51">
        <f t="shared" si="93"/>
        <v>0</v>
      </c>
      <c r="O432" s="82">
        <f t="shared" si="93"/>
        <v>911</v>
      </c>
      <c r="P432" s="51">
        <f t="shared" si="93"/>
        <v>14140232.399999999</v>
      </c>
      <c r="Q432" s="338">
        <f t="shared" si="93"/>
        <v>0</v>
      </c>
      <c r="R432" s="51">
        <f t="shared" si="93"/>
        <v>0</v>
      </c>
      <c r="S432" s="51">
        <f t="shared" si="93"/>
        <v>0</v>
      </c>
      <c r="T432" s="35">
        <f t="shared" si="93"/>
        <v>0</v>
      </c>
      <c r="U432" s="51">
        <f t="shared" si="93"/>
        <v>0</v>
      </c>
      <c r="V432" s="51">
        <f t="shared" si="93"/>
        <v>0</v>
      </c>
      <c r="W432" s="51">
        <f t="shared" si="93"/>
        <v>0</v>
      </c>
      <c r="X432" s="141"/>
      <c r="Y432" s="48"/>
      <c r="Z432" s="48"/>
      <c r="AA432" s="48"/>
      <c r="AB432" s="48"/>
      <c r="AC432" s="48"/>
      <c r="AD432" s="48"/>
      <c r="AE432" s="48"/>
      <c r="AF432" s="57"/>
      <c r="AG432" s="58"/>
      <c r="AH432" s="58"/>
      <c r="AI432" s="58"/>
      <c r="AJ432" s="58"/>
      <c r="AK432" s="56"/>
    </row>
    <row r="433" spans="1:37" ht="15" customHeight="1" x14ac:dyDescent="0.3">
      <c r="A433" s="326" t="s">
        <v>2132</v>
      </c>
      <c r="B433" s="320"/>
      <c r="C433" s="51"/>
      <c r="D433" s="51"/>
      <c r="E433" s="51"/>
      <c r="F433" s="51"/>
      <c r="G433" s="51"/>
      <c r="H433" s="51"/>
      <c r="I433" s="51"/>
      <c r="J433" s="82"/>
      <c r="K433" s="51"/>
      <c r="L433" s="51"/>
      <c r="M433" s="82"/>
      <c r="N433" s="51"/>
      <c r="O433" s="82"/>
      <c r="P433" s="51"/>
      <c r="Q433" s="338"/>
      <c r="R433" s="51"/>
      <c r="S433" s="51"/>
      <c r="T433" s="35"/>
      <c r="U433" s="51"/>
      <c r="V433" s="51"/>
      <c r="W433" s="51"/>
      <c r="X433" s="327"/>
      <c r="Y433" s="48"/>
      <c r="Z433" s="285"/>
      <c r="AA433" s="285"/>
      <c r="AB433" s="285"/>
      <c r="AC433" s="285"/>
      <c r="AD433" s="285"/>
      <c r="AE433" s="285"/>
      <c r="AF433" s="9"/>
      <c r="AG433" s="40"/>
      <c r="AH433" s="56"/>
      <c r="AI433" s="56"/>
      <c r="AJ433" s="56"/>
      <c r="AK433" s="56"/>
    </row>
    <row r="434" spans="1:37" ht="15" customHeight="1" x14ac:dyDescent="0.3">
      <c r="A434" s="303" t="s">
        <v>2133</v>
      </c>
      <c r="B434" s="66"/>
      <c r="C434" s="51"/>
      <c r="D434" s="51"/>
      <c r="E434" s="264"/>
      <c r="F434" s="264"/>
      <c r="G434" s="264"/>
      <c r="H434" s="264"/>
      <c r="I434" s="264"/>
      <c r="J434" s="134"/>
      <c r="K434" s="264"/>
      <c r="L434" s="264"/>
      <c r="M434" s="134"/>
      <c r="N434" s="264"/>
      <c r="O434" s="134"/>
      <c r="P434" s="264"/>
      <c r="Q434" s="404"/>
      <c r="R434" s="264"/>
      <c r="S434" s="264"/>
      <c r="T434" s="38"/>
      <c r="U434" s="264"/>
      <c r="V434" s="264"/>
      <c r="W434" s="264"/>
      <c r="X434" s="328"/>
      <c r="Y434" s="48"/>
      <c r="Z434" s="285"/>
      <c r="AA434" s="285"/>
      <c r="AB434" s="285"/>
      <c r="AC434" s="285"/>
      <c r="AD434" s="285"/>
      <c r="AE434" s="285"/>
      <c r="AF434" s="9"/>
      <c r="AG434" s="40"/>
      <c r="AH434" s="56"/>
      <c r="AI434" s="56"/>
      <c r="AJ434" s="56"/>
    </row>
    <row r="435" spans="1:37" x14ac:dyDescent="0.3">
      <c r="A435" s="59">
        <f>A430+1</f>
        <v>302</v>
      </c>
      <c r="B435" s="66" t="s">
        <v>2138</v>
      </c>
      <c r="C435" s="51">
        <f t="shared" ref="C435:C471" si="94">D435+K435+L435+N435+P435+R435+S435+U435+V435+W435</f>
        <v>1375917.6</v>
      </c>
      <c r="D435" s="51">
        <f t="shared" ref="D435:D471" si="95">E435+F435+G435+H435+I435</f>
        <v>1375917.6</v>
      </c>
      <c r="E435" s="51">
        <v>1068438</v>
      </c>
      <c r="F435" s="51"/>
      <c r="G435" s="51"/>
      <c r="H435" s="51">
        <v>307479.59999999998</v>
      </c>
      <c r="I435" s="51"/>
      <c r="J435" s="82"/>
      <c r="K435" s="51"/>
      <c r="L435" s="51"/>
      <c r="M435" s="82"/>
      <c r="N435" s="51"/>
      <c r="O435" s="82"/>
      <c r="P435" s="399"/>
      <c r="Q435" s="338"/>
      <c r="R435" s="51"/>
      <c r="S435" s="51"/>
      <c r="T435" s="35"/>
      <c r="U435" s="51"/>
      <c r="V435" s="51"/>
      <c r="W435" s="51"/>
      <c r="X435" s="304"/>
      <c r="Y435" s="48"/>
      <c r="Z435" s="285"/>
      <c r="AA435" s="285"/>
      <c r="AB435" s="285"/>
      <c r="AC435" s="285"/>
      <c r="AD435" s="285"/>
      <c r="AE435" s="285"/>
      <c r="AF435" s="9"/>
      <c r="AG435" s="40"/>
      <c r="AH435" s="56">
        <v>560956.92000000004</v>
      </c>
      <c r="AI435" s="56"/>
      <c r="AJ435" s="56"/>
    </row>
    <row r="436" spans="1:37" x14ac:dyDescent="0.3">
      <c r="A436" s="59">
        <f>A435+1</f>
        <v>303</v>
      </c>
      <c r="B436" s="66" t="s">
        <v>2139</v>
      </c>
      <c r="C436" s="51">
        <f t="shared" si="94"/>
        <v>1061812.8</v>
      </c>
      <c r="D436" s="51">
        <f t="shared" si="95"/>
        <v>1061812.8</v>
      </c>
      <c r="E436" s="51">
        <v>791163.6</v>
      </c>
      <c r="F436" s="51"/>
      <c r="G436" s="51"/>
      <c r="H436" s="51">
        <v>270649.2</v>
      </c>
      <c r="I436" s="51"/>
      <c r="J436" s="82"/>
      <c r="K436" s="51"/>
      <c r="L436" s="51"/>
      <c r="M436" s="82"/>
      <c r="N436" s="51"/>
      <c r="O436" s="82"/>
      <c r="P436" s="399"/>
      <c r="Q436" s="338"/>
      <c r="R436" s="51"/>
      <c r="S436" s="51"/>
      <c r="T436" s="35"/>
      <c r="U436" s="51"/>
      <c r="V436" s="51"/>
      <c r="W436" s="51"/>
      <c r="X436" s="304"/>
      <c r="Y436" s="48"/>
      <c r="Z436" s="285"/>
      <c r="AA436" s="285"/>
      <c r="AB436" s="285"/>
      <c r="AC436" s="285"/>
      <c r="AD436" s="285"/>
      <c r="AE436" s="285"/>
      <c r="AF436" s="9"/>
      <c r="AG436" s="40"/>
      <c r="AH436" s="56">
        <v>560956.92000000004</v>
      </c>
      <c r="AI436" s="56"/>
      <c r="AJ436" s="56"/>
    </row>
    <row r="437" spans="1:37" x14ac:dyDescent="0.3">
      <c r="A437" s="59">
        <f>A436+1</f>
        <v>304</v>
      </c>
      <c r="B437" s="66" t="s">
        <v>2140</v>
      </c>
      <c r="C437" s="51">
        <f t="shared" si="94"/>
        <v>1845948.0000000002</v>
      </c>
      <c r="D437" s="51">
        <f t="shared" si="95"/>
        <v>1845948.0000000002</v>
      </c>
      <c r="E437" s="51"/>
      <c r="F437" s="51">
        <v>1445229.6</v>
      </c>
      <c r="G437" s="51">
        <v>182488.8</v>
      </c>
      <c r="H437" s="51">
        <v>218229.6</v>
      </c>
      <c r="I437" s="51"/>
      <c r="J437" s="82"/>
      <c r="K437" s="51"/>
      <c r="L437" s="51"/>
      <c r="M437" s="82"/>
      <c r="N437" s="51"/>
      <c r="O437" s="82"/>
      <c r="P437" s="399"/>
      <c r="Q437" s="338"/>
      <c r="R437" s="51"/>
      <c r="S437" s="51"/>
      <c r="T437" s="35"/>
      <c r="U437" s="51"/>
      <c r="V437" s="51"/>
      <c r="W437" s="51"/>
      <c r="X437" s="304"/>
      <c r="Y437" s="48"/>
      <c r="Z437" s="285"/>
      <c r="AA437" s="285"/>
      <c r="AB437" s="285"/>
      <c r="AC437" s="285"/>
      <c r="AD437" s="285"/>
      <c r="AE437" s="285"/>
      <c r="AF437" s="9"/>
      <c r="AG437" s="40"/>
      <c r="AH437" s="56">
        <v>633656.74</v>
      </c>
      <c r="AI437" s="56"/>
      <c r="AJ437" s="56"/>
    </row>
    <row r="438" spans="1:37" x14ac:dyDescent="0.3">
      <c r="A438" s="59">
        <f>A437+1</f>
        <v>305</v>
      </c>
      <c r="B438" s="66" t="s">
        <v>2141</v>
      </c>
      <c r="C438" s="51">
        <f t="shared" si="94"/>
        <v>7813753.2000000002</v>
      </c>
      <c r="D438" s="51">
        <f t="shared" si="95"/>
        <v>1060924.8</v>
      </c>
      <c r="E438" s="51">
        <v>1060924.8</v>
      </c>
      <c r="F438" s="51"/>
      <c r="G438" s="51"/>
      <c r="H438" s="51"/>
      <c r="I438" s="51"/>
      <c r="J438" s="82"/>
      <c r="K438" s="51"/>
      <c r="L438" s="51"/>
      <c r="M438" s="82">
        <v>883.9</v>
      </c>
      <c r="N438" s="51">
        <v>6752828.4000000004</v>
      </c>
      <c r="O438" s="82"/>
      <c r="P438" s="399"/>
      <c r="Q438" s="338"/>
      <c r="R438" s="51"/>
      <c r="S438" s="51"/>
      <c r="T438" s="35"/>
      <c r="U438" s="51"/>
      <c r="V438" s="364"/>
      <c r="W438" s="51"/>
      <c r="X438" s="304"/>
      <c r="Y438" s="48" t="s">
        <v>2142</v>
      </c>
      <c r="Z438" s="285">
        <v>137574.98000000001</v>
      </c>
      <c r="AA438" s="285"/>
      <c r="AB438" s="285"/>
      <c r="AC438" s="285"/>
      <c r="AD438" s="285">
        <v>119597.74</v>
      </c>
      <c r="AE438" s="285"/>
      <c r="AF438" s="9"/>
      <c r="AG438" s="40"/>
      <c r="AH438" s="56">
        <v>524613.81999999995</v>
      </c>
      <c r="AI438" s="56"/>
      <c r="AJ438" s="56"/>
    </row>
    <row r="439" spans="1:37" x14ac:dyDescent="0.3">
      <c r="A439" s="59">
        <f t="shared" ref="A439:A471" si="96">A438+1</f>
        <v>306</v>
      </c>
      <c r="B439" s="66" t="s">
        <v>2144</v>
      </c>
      <c r="C439" s="51">
        <f t="shared" si="94"/>
        <v>707014.8</v>
      </c>
      <c r="D439" s="51">
        <f t="shared" si="95"/>
        <v>707014.8</v>
      </c>
      <c r="E439" s="51">
        <v>707014.8</v>
      </c>
      <c r="F439" s="51"/>
      <c r="G439" s="51"/>
      <c r="H439" s="51"/>
      <c r="I439" s="51"/>
      <c r="J439" s="82"/>
      <c r="K439" s="51"/>
      <c r="L439" s="51"/>
      <c r="M439" s="82"/>
      <c r="N439" s="51"/>
      <c r="O439" s="82"/>
      <c r="P439" s="399"/>
      <c r="Q439" s="338"/>
      <c r="R439" s="51"/>
      <c r="S439" s="51"/>
      <c r="T439" s="35"/>
      <c r="U439" s="51"/>
      <c r="V439" s="364"/>
      <c r="W439" s="51"/>
      <c r="X439" s="304"/>
      <c r="Y439" s="48" t="s">
        <v>2142</v>
      </c>
      <c r="Z439" s="285">
        <v>128457.84</v>
      </c>
      <c r="AA439" s="285"/>
      <c r="AB439" s="285"/>
      <c r="AC439" s="285"/>
      <c r="AD439" s="285"/>
      <c r="AE439" s="285"/>
      <c r="AF439" s="9"/>
      <c r="AG439" s="40"/>
      <c r="AH439" s="56"/>
      <c r="AI439" s="56"/>
      <c r="AJ439" s="56"/>
    </row>
    <row r="440" spans="1:37" x14ac:dyDescent="0.3">
      <c r="A440" s="59">
        <f t="shared" si="96"/>
        <v>307</v>
      </c>
      <c r="B440" s="66" t="s">
        <v>2151</v>
      </c>
      <c r="C440" s="51">
        <f t="shared" si="94"/>
        <v>592164</v>
      </c>
      <c r="D440" s="51">
        <f t="shared" si="95"/>
        <v>592164</v>
      </c>
      <c r="E440" s="51">
        <v>592164</v>
      </c>
      <c r="F440" s="51"/>
      <c r="G440" s="51"/>
      <c r="H440" s="51"/>
      <c r="I440" s="51"/>
      <c r="J440" s="82"/>
      <c r="K440" s="51"/>
      <c r="L440" s="51"/>
      <c r="M440" s="82"/>
      <c r="N440" s="51"/>
      <c r="O440" s="82"/>
      <c r="P440" s="399"/>
      <c r="Q440" s="338"/>
      <c r="R440" s="51"/>
      <c r="S440" s="51"/>
      <c r="T440" s="35"/>
      <c r="U440" s="51"/>
      <c r="V440" s="51"/>
      <c r="W440" s="51"/>
      <c r="X440" s="304"/>
      <c r="Y440" s="48"/>
      <c r="Z440" s="285"/>
      <c r="AA440" s="285">
        <v>105461.06</v>
      </c>
      <c r="AB440" s="285"/>
      <c r="AC440" s="285">
        <v>106488.79</v>
      </c>
      <c r="AD440" s="285"/>
      <c r="AE440" s="285"/>
      <c r="AF440" s="9"/>
      <c r="AG440" s="40"/>
      <c r="AH440" s="56"/>
      <c r="AI440" s="56"/>
      <c r="AJ440" s="56"/>
    </row>
    <row r="441" spans="1:37" x14ac:dyDescent="0.3">
      <c r="A441" s="59">
        <f t="shared" si="96"/>
        <v>308</v>
      </c>
      <c r="B441" s="66" t="s">
        <v>2152</v>
      </c>
      <c r="C441" s="51">
        <f t="shared" si="94"/>
        <v>621628.80000000005</v>
      </c>
      <c r="D441" s="51">
        <f t="shared" si="95"/>
        <v>621628.80000000005</v>
      </c>
      <c r="E441" s="51">
        <v>621628.80000000005</v>
      </c>
      <c r="F441" s="51"/>
      <c r="G441" s="51"/>
      <c r="H441" s="51"/>
      <c r="I441" s="51"/>
      <c r="J441" s="82"/>
      <c r="K441" s="51"/>
      <c r="L441" s="51"/>
      <c r="M441" s="82"/>
      <c r="N441" s="51"/>
      <c r="O441" s="82"/>
      <c r="P441" s="399"/>
      <c r="Q441" s="338"/>
      <c r="R441" s="51"/>
      <c r="S441" s="51"/>
      <c r="T441" s="35"/>
      <c r="U441" s="51"/>
      <c r="V441" s="51"/>
      <c r="W441" s="51"/>
      <c r="X441" s="304"/>
      <c r="Y441" s="48"/>
      <c r="Z441" s="285">
        <v>111667.2</v>
      </c>
      <c r="AA441" s="285"/>
      <c r="AB441" s="285"/>
      <c r="AC441" s="285">
        <v>106528.52</v>
      </c>
      <c r="AD441" s="285">
        <v>136060.44</v>
      </c>
      <c r="AE441" s="285"/>
      <c r="AF441" s="9"/>
      <c r="AG441" s="40"/>
      <c r="AH441" s="56"/>
      <c r="AI441" s="56"/>
      <c r="AJ441" s="56"/>
    </row>
    <row r="442" spans="1:37" x14ac:dyDescent="0.3">
      <c r="A442" s="59">
        <f t="shared" si="96"/>
        <v>309</v>
      </c>
      <c r="B442" s="66" t="s">
        <v>2153</v>
      </c>
      <c r="C442" s="51">
        <f t="shared" si="94"/>
        <v>627748.80000000005</v>
      </c>
      <c r="D442" s="51">
        <f t="shared" si="95"/>
        <v>627748.80000000005</v>
      </c>
      <c r="E442" s="51">
        <v>627748.80000000005</v>
      </c>
      <c r="F442" s="51"/>
      <c r="G442" s="51"/>
      <c r="H442" s="51"/>
      <c r="I442" s="51"/>
      <c r="J442" s="82"/>
      <c r="K442" s="51"/>
      <c r="L442" s="51"/>
      <c r="M442" s="82"/>
      <c r="N442" s="51"/>
      <c r="O442" s="82"/>
      <c r="P442" s="399"/>
      <c r="Q442" s="338"/>
      <c r="R442" s="51"/>
      <c r="S442" s="51"/>
      <c r="T442" s="35"/>
      <c r="U442" s="51"/>
      <c r="V442" s="51"/>
      <c r="W442" s="51"/>
      <c r="X442" s="304"/>
      <c r="Y442" s="48"/>
      <c r="Z442" s="285">
        <v>111432.62</v>
      </c>
      <c r="AA442" s="285"/>
      <c r="AB442" s="285"/>
      <c r="AC442" s="285">
        <v>106293.95</v>
      </c>
      <c r="AD442" s="285">
        <v>135801.5</v>
      </c>
      <c r="AE442" s="285"/>
      <c r="AF442" s="9"/>
      <c r="AG442" s="40"/>
      <c r="AH442" s="56"/>
      <c r="AI442" s="56"/>
      <c r="AJ442" s="56"/>
    </row>
    <row r="443" spans="1:37" x14ac:dyDescent="0.3">
      <c r="A443" s="59">
        <f t="shared" si="96"/>
        <v>310</v>
      </c>
      <c r="B443" s="66" t="s">
        <v>2154</v>
      </c>
      <c r="C443" s="51">
        <f t="shared" si="94"/>
        <v>684561.6</v>
      </c>
      <c r="D443" s="51">
        <f t="shared" si="95"/>
        <v>684561.6</v>
      </c>
      <c r="E443" s="51">
        <v>684561.6</v>
      </c>
      <c r="F443" s="51"/>
      <c r="G443" s="51"/>
      <c r="H443" s="51"/>
      <c r="I443" s="51"/>
      <c r="J443" s="82"/>
      <c r="K443" s="51"/>
      <c r="L443" s="51"/>
      <c r="M443" s="82"/>
      <c r="N443" s="51"/>
      <c r="O443" s="82"/>
      <c r="P443" s="399"/>
      <c r="Q443" s="338"/>
      <c r="R443" s="51"/>
      <c r="S443" s="51"/>
      <c r="T443" s="35"/>
      <c r="U443" s="51"/>
      <c r="V443" s="51"/>
      <c r="W443" s="51"/>
      <c r="X443" s="329"/>
      <c r="Y443" s="285" t="s">
        <v>2155</v>
      </c>
      <c r="Z443" s="285"/>
      <c r="AA443" s="285">
        <v>112480.34</v>
      </c>
      <c r="AB443" s="285"/>
      <c r="AC443" s="285"/>
      <c r="AD443" s="285">
        <v>105249.66</v>
      </c>
      <c r="AE443" s="285"/>
      <c r="AF443" s="9"/>
      <c r="AG443" s="40"/>
      <c r="AH443" s="56"/>
      <c r="AI443" s="56"/>
      <c r="AJ443" s="56"/>
    </row>
    <row r="444" spans="1:37" x14ac:dyDescent="0.3">
      <c r="A444" s="59">
        <f t="shared" si="96"/>
        <v>311</v>
      </c>
      <c r="B444" s="66" t="s">
        <v>2156</v>
      </c>
      <c r="C444" s="51">
        <f t="shared" si="94"/>
        <v>634210.80000000005</v>
      </c>
      <c r="D444" s="51">
        <f t="shared" si="95"/>
        <v>634210.80000000005</v>
      </c>
      <c r="E444" s="51">
        <v>634210.80000000005</v>
      </c>
      <c r="F444" s="51"/>
      <c r="G444" s="51"/>
      <c r="H444" s="51"/>
      <c r="I444" s="51"/>
      <c r="J444" s="82"/>
      <c r="K444" s="51"/>
      <c r="L444" s="51"/>
      <c r="M444" s="82"/>
      <c r="N444" s="51"/>
      <c r="O444" s="82"/>
      <c r="P444" s="399"/>
      <c r="Q444" s="338"/>
      <c r="R444" s="51"/>
      <c r="S444" s="51"/>
      <c r="T444" s="35"/>
      <c r="U444" s="51"/>
      <c r="V444" s="51"/>
      <c r="W444" s="51"/>
      <c r="X444" s="304"/>
      <c r="Y444" s="48"/>
      <c r="Z444" s="285">
        <v>111589.01</v>
      </c>
      <c r="AA444" s="285"/>
      <c r="AB444" s="285"/>
      <c r="AC444" s="285">
        <v>106450.33</v>
      </c>
      <c r="AD444" s="285">
        <v>135974.14000000001</v>
      </c>
      <c r="AE444" s="285"/>
      <c r="AF444" s="9"/>
      <c r="AG444" s="40"/>
      <c r="AH444" s="56"/>
      <c r="AI444" s="56"/>
      <c r="AJ444" s="56"/>
    </row>
    <row r="445" spans="1:37" x14ac:dyDescent="0.3">
      <c r="A445" s="59">
        <f t="shared" si="96"/>
        <v>312</v>
      </c>
      <c r="B445" s="66" t="s">
        <v>2157</v>
      </c>
      <c r="C445" s="51">
        <f t="shared" si="94"/>
        <v>634210.80000000005</v>
      </c>
      <c r="D445" s="51">
        <f t="shared" si="95"/>
        <v>634210.80000000005</v>
      </c>
      <c r="E445" s="51">
        <v>634210.80000000005</v>
      </c>
      <c r="F445" s="51"/>
      <c r="G445" s="51"/>
      <c r="H445" s="51"/>
      <c r="I445" s="51"/>
      <c r="J445" s="82"/>
      <c r="K445" s="51"/>
      <c r="L445" s="51"/>
      <c r="M445" s="82"/>
      <c r="N445" s="51"/>
      <c r="O445" s="82"/>
      <c r="P445" s="399"/>
      <c r="Q445" s="338"/>
      <c r="R445" s="51"/>
      <c r="S445" s="51"/>
      <c r="T445" s="35"/>
      <c r="U445" s="51"/>
      <c r="V445" s="51"/>
      <c r="W445" s="51"/>
      <c r="X445" s="304"/>
      <c r="Y445" s="48"/>
      <c r="Z445" s="285">
        <v>111589.01</v>
      </c>
      <c r="AA445" s="285"/>
      <c r="AB445" s="285"/>
      <c r="AC445" s="285">
        <v>106450.33</v>
      </c>
      <c r="AD445" s="285">
        <v>135974.14000000001</v>
      </c>
      <c r="AE445" s="285"/>
      <c r="AF445" s="9"/>
      <c r="AG445" s="40"/>
      <c r="AH445" s="56"/>
      <c r="AI445" s="56"/>
      <c r="AJ445" s="56"/>
    </row>
    <row r="446" spans="1:37" x14ac:dyDescent="0.3">
      <c r="A446" s="59">
        <f t="shared" si="96"/>
        <v>313</v>
      </c>
      <c r="B446" s="66" t="s">
        <v>2158</v>
      </c>
      <c r="C446" s="51">
        <f t="shared" si="94"/>
        <v>4527202.04</v>
      </c>
      <c r="D446" s="51">
        <f t="shared" si="95"/>
        <v>666839.24</v>
      </c>
      <c r="E446" s="51">
        <v>666839.24</v>
      </c>
      <c r="F446" s="51"/>
      <c r="G446" s="51"/>
      <c r="H446" s="51"/>
      <c r="I446" s="51"/>
      <c r="J446" s="82"/>
      <c r="K446" s="51"/>
      <c r="L446" s="51"/>
      <c r="M446" s="82">
        <v>697.44</v>
      </c>
      <c r="N446" s="51">
        <v>3860362.8</v>
      </c>
      <c r="O446" s="82"/>
      <c r="P446" s="399"/>
      <c r="Q446" s="338"/>
      <c r="R446" s="51"/>
      <c r="S446" s="51"/>
      <c r="T446" s="35"/>
      <c r="U446" s="51"/>
      <c r="V446" s="364"/>
      <c r="W446" s="51"/>
      <c r="X446" s="304"/>
      <c r="Y446" s="48" t="s">
        <v>2142</v>
      </c>
      <c r="Z446" s="285">
        <v>133940.71</v>
      </c>
      <c r="AA446" s="285"/>
      <c r="AB446" s="285"/>
      <c r="AC446" s="285"/>
      <c r="AD446" s="285">
        <v>156463.24</v>
      </c>
      <c r="AE446" s="285"/>
      <c r="AF446" s="9"/>
      <c r="AG446" s="40"/>
      <c r="AH446" s="56">
        <v>631123.49</v>
      </c>
      <c r="AI446" s="56"/>
      <c r="AJ446" s="56"/>
    </row>
    <row r="447" spans="1:37" x14ac:dyDescent="0.3">
      <c r="A447" s="59">
        <f t="shared" si="96"/>
        <v>314</v>
      </c>
      <c r="B447" s="66" t="s">
        <v>2159</v>
      </c>
      <c r="C447" s="51">
        <f t="shared" si="94"/>
        <v>614258.4</v>
      </c>
      <c r="D447" s="51">
        <f t="shared" si="95"/>
        <v>614258.4</v>
      </c>
      <c r="E447" s="51">
        <v>614258.4</v>
      </c>
      <c r="F447" s="51"/>
      <c r="G447" s="51"/>
      <c r="H447" s="51"/>
      <c r="I447" s="51"/>
      <c r="J447" s="82"/>
      <c r="K447" s="51"/>
      <c r="L447" s="51"/>
      <c r="M447" s="82"/>
      <c r="N447" s="51"/>
      <c r="O447" s="82"/>
      <c r="P447" s="399"/>
      <c r="Q447" s="338"/>
      <c r="R447" s="51"/>
      <c r="S447" s="51"/>
      <c r="T447" s="35"/>
      <c r="U447" s="51"/>
      <c r="V447" s="51"/>
      <c r="W447" s="51"/>
      <c r="X447" s="304"/>
      <c r="Y447" s="48"/>
      <c r="Z447" s="285"/>
      <c r="AA447" s="285">
        <v>116748.96</v>
      </c>
      <c r="AB447" s="285"/>
      <c r="AC447" s="285">
        <v>118804.43</v>
      </c>
      <c r="AD447" s="285"/>
      <c r="AE447" s="285"/>
      <c r="AF447" s="9"/>
      <c r="AG447" s="40"/>
      <c r="AH447" s="56"/>
      <c r="AI447" s="56"/>
      <c r="AJ447" s="56"/>
    </row>
    <row r="448" spans="1:37" x14ac:dyDescent="0.3">
      <c r="A448" s="59">
        <f t="shared" si="96"/>
        <v>315</v>
      </c>
      <c r="B448" s="66" t="s">
        <v>2160</v>
      </c>
      <c r="C448" s="51">
        <f t="shared" si="94"/>
        <v>6088468.6800000006</v>
      </c>
      <c r="D448" s="51">
        <f t="shared" si="95"/>
        <v>0</v>
      </c>
      <c r="E448" s="51"/>
      <c r="F448" s="51"/>
      <c r="G448" s="51"/>
      <c r="H448" s="51"/>
      <c r="I448" s="51"/>
      <c r="J448" s="82"/>
      <c r="K448" s="51"/>
      <c r="L448" s="51"/>
      <c r="M448" s="82">
        <v>752.22</v>
      </c>
      <c r="N448" s="51">
        <f>M448*8094</f>
        <v>6088468.6800000006</v>
      </c>
      <c r="O448" s="82"/>
      <c r="P448" s="399"/>
      <c r="Q448" s="338"/>
      <c r="R448" s="51"/>
      <c r="S448" s="51"/>
      <c r="T448" s="35"/>
      <c r="U448" s="51"/>
      <c r="V448" s="364"/>
      <c r="W448" s="51"/>
      <c r="X448" s="304"/>
      <c r="Y448" s="48" t="s">
        <v>2142</v>
      </c>
      <c r="Z448" s="285">
        <v>119607.18</v>
      </c>
      <c r="AA448" s="285"/>
      <c r="AB448" s="285"/>
      <c r="AC448" s="285">
        <v>108302.1</v>
      </c>
      <c r="AD448" s="285">
        <v>134098.26</v>
      </c>
      <c r="AE448" s="285">
        <v>107049.65</v>
      </c>
      <c r="AF448" s="9"/>
      <c r="AG448" s="40"/>
      <c r="AH448" s="56">
        <v>633198.79</v>
      </c>
      <c r="AI448" s="56"/>
      <c r="AJ448" s="56"/>
    </row>
    <row r="449" spans="1:36" x14ac:dyDescent="0.3">
      <c r="A449" s="59">
        <f t="shared" si="96"/>
        <v>316</v>
      </c>
      <c r="B449" s="66" t="s">
        <v>2164</v>
      </c>
      <c r="C449" s="51">
        <f t="shared" si="94"/>
        <v>926395.2</v>
      </c>
      <c r="D449" s="51">
        <f t="shared" si="95"/>
        <v>926395.2</v>
      </c>
      <c r="E449" s="51">
        <v>926395.2</v>
      </c>
      <c r="F449" s="51"/>
      <c r="G449" s="51"/>
      <c r="H449" s="51"/>
      <c r="I449" s="51"/>
      <c r="J449" s="82"/>
      <c r="K449" s="51"/>
      <c r="L449" s="51"/>
      <c r="M449" s="82"/>
      <c r="N449" s="51"/>
      <c r="O449" s="82"/>
      <c r="P449" s="399"/>
      <c r="Q449" s="338"/>
      <c r="R449" s="51"/>
      <c r="S449" s="51"/>
      <c r="T449" s="35"/>
      <c r="U449" s="51"/>
      <c r="V449" s="51"/>
      <c r="W449" s="51"/>
      <c r="X449" s="304"/>
      <c r="Y449" s="48" t="s">
        <v>2165</v>
      </c>
      <c r="Z449" s="285"/>
      <c r="AA449" s="285"/>
      <c r="AB449" s="285"/>
      <c r="AC449" s="285"/>
      <c r="AD449" s="285"/>
      <c r="AE449" s="285"/>
      <c r="AF449" s="9"/>
      <c r="AG449" s="40"/>
      <c r="AH449" s="56"/>
      <c r="AI449" s="56"/>
      <c r="AJ449" s="56"/>
    </row>
    <row r="450" spans="1:36" x14ac:dyDescent="0.3">
      <c r="A450" s="59">
        <f t="shared" si="96"/>
        <v>317</v>
      </c>
      <c r="B450" s="66" t="s">
        <v>2166</v>
      </c>
      <c r="C450" s="51">
        <f t="shared" si="94"/>
        <v>716931.6</v>
      </c>
      <c r="D450" s="51">
        <f t="shared" si="95"/>
        <v>716931.6</v>
      </c>
      <c r="E450" s="51">
        <v>716931.6</v>
      </c>
      <c r="F450" s="51"/>
      <c r="G450" s="51"/>
      <c r="H450" s="51"/>
      <c r="I450" s="51"/>
      <c r="J450" s="82"/>
      <c r="K450" s="51"/>
      <c r="L450" s="51"/>
      <c r="M450" s="82"/>
      <c r="N450" s="51"/>
      <c r="O450" s="82"/>
      <c r="P450" s="51"/>
      <c r="Q450" s="338"/>
      <c r="R450" s="51"/>
      <c r="S450" s="51"/>
      <c r="T450" s="35"/>
      <c r="U450" s="51"/>
      <c r="V450" s="51"/>
      <c r="W450" s="51"/>
      <c r="X450" s="304"/>
      <c r="Y450" s="48"/>
      <c r="Z450" s="285"/>
      <c r="AA450" s="285"/>
      <c r="AB450" s="285"/>
      <c r="AC450" s="285">
        <v>116145.96</v>
      </c>
      <c r="AD450" s="285"/>
      <c r="AE450" s="285"/>
      <c r="AF450" s="9"/>
      <c r="AG450" s="40"/>
      <c r="AH450" s="56"/>
      <c r="AI450" s="56"/>
      <c r="AJ450" s="56"/>
    </row>
    <row r="451" spans="1:36" x14ac:dyDescent="0.3">
      <c r="A451" s="59">
        <f t="shared" si="96"/>
        <v>318</v>
      </c>
      <c r="B451" s="66" t="s">
        <v>2168</v>
      </c>
      <c r="C451" s="51">
        <f t="shared" si="94"/>
        <v>917001.6</v>
      </c>
      <c r="D451" s="51">
        <f t="shared" si="95"/>
        <v>917001.6</v>
      </c>
      <c r="E451" s="51">
        <v>917001.6</v>
      </c>
      <c r="F451" s="51"/>
      <c r="G451" s="51"/>
      <c r="H451" s="51"/>
      <c r="I451" s="51"/>
      <c r="J451" s="82"/>
      <c r="K451" s="51"/>
      <c r="L451" s="51"/>
      <c r="M451" s="82"/>
      <c r="N451" s="51"/>
      <c r="O451" s="82"/>
      <c r="P451" s="399"/>
      <c r="Q451" s="338"/>
      <c r="R451" s="51"/>
      <c r="S451" s="51"/>
      <c r="T451" s="35"/>
      <c r="U451" s="51"/>
      <c r="V451" s="51"/>
      <c r="W451" s="51"/>
      <c r="X451" s="304"/>
      <c r="Y451" s="48" t="s">
        <v>2169</v>
      </c>
      <c r="Z451" s="285"/>
      <c r="AA451" s="285"/>
      <c r="AB451" s="285"/>
      <c r="AC451" s="285"/>
      <c r="AD451" s="285"/>
      <c r="AE451" s="285"/>
      <c r="AF451" s="9"/>
      <c r="AG451" s="40"/>
      <c r="AH451" s="56">
        <v>626786.5</v>
      </c>
      <c r="AI451" s="56"/>
      <c r="AJ451" s="56"/>
    </row>
    <row r="452" spans="1:36" x14ac:dyDescent="0.3">
      <c r="A452" s="59">
        <f t="shared" si="96"/>
        <v>319</v>
      </c>
      <c r="B452" s="66" t="s">
        <v>2172</v>
      </c>
      <c r="C452" s="51">
        <f t="shared" si="94"/>
        <v>2452293.6</v>
      </c>
      <c r="D452" s="51">
        <f t="shared" si="95"/>
        <v>2452293.6</v>
      </c>
      <c r="E452" s="51">
        <v>626095.19999999995</v>
      </c>
      <c r="F452" s="51">
        <v>1357126.8</v>
      </c>
      <c r="G452" s="51">
        <v>195031.2</v>
      </c>
      <c r="H452" s="51">
        <v>274040.40000000002</v>
      </c>
      <c r="I452" s="51"/>
      <c r="J452" s="82"/>
      <c r="K452" s="51"/>
      <c r="L452" s="51"/>
      <c r="M452" s="82"/>
      <c r="N452" s="51"/>
      <c r="O452" s="82"/>
      <c r="P452" s="399"/>
      <c r="Q452" s="338"/>
      <c r="R452" s="51"/>
      <c r="S452" s="51"/>
      <c r="T452" s="35"/>
      <c r="U452" s="51"/>
      <c r="V452" s="51"/>
      <c r="W452" s="51"/>
      <c r="X452" s="304"/>
      <c r="Y452" s="48"/>
      <c r="Z452" s="285"/>
      <c r="AA452" s="285"/>
      <c r="AB452" s="285"/>
      <c r="AC452" s="285"/>
      <c r="AD452" s="285"/>
      <c r="AE452" s="285"/>
      <c r="AF452" s="9"/>
      <c r="AG452" s="40"/>
      <c r="AH452" s="56">
        <v>564048.1</v>
      </c>
      <c r="AI452" s="56"/>
      <c r="AJ452" s="56"/>
    </row>
    <row r="453" spans="1:36" x14ac:dyDescent="0.3">
      <c r="A453" s="59">
        <f t="shared" si="96"/>
        <v>320</v>
      </c>
      <c r="B453" s="66" t="s">
        <v>2174</v>
      </c>
      <c r="C453" s="51">
        <f t="shared" si="94"/>
        <v>2318676</v>
      </c>
      <c r="D453" s="51">
        <f t="shared" si="95"/>
        <v>2318676</v>
      </c>
      <c r="E453" s="51">
        <v>730779.6</v>
      </c>
      <c r="F453" s="51">
        <v>1314982.8</v>
      </c>
      <c r="G453" s="51"/>
      <c r="H453" s="51">
        <v>272913.59999999998</v>
      </c>
      <c r="I453" s="51"/>
      <c r="J453" s="82"/>
      <c r="K453" s="51"/>
      <c r="L453" s="51"/>
      <c r="M453" s="82"/>
      <c r="N453" s="51"/>
      <c r="O453" s="82"/>
      <c r="P453" s="399"/>
      <c r="Q453" s="338"/>
      <c r="R453" s="51"/>
      <c r="S453" s="51"/>
      <c r="T453" s="35"/>
      <c r="U453" s="51"/>
      <c r="V453" s="51"/>
      <c r="W453" s="51"/>
      <c r="X453" s="304"/>
      <c r="Y453" s="48"/>
      <c r="Z453" s="285"/>
      <c r="AA453" s="285"/>
      <c r="AB453" s="285"/>
      <c r="AC453" s="285">
        <v>115472.52</v>
      </c>
      <c r="AD453" s="285"/>
      <c r="AE453" s="285"/>
      <c r="AF453" s="9"/>
      <c r="AG453" s="40"/>
      <c r="AH453" s="56">
        <v>562756.80000000005</v>
      </c>
      <c r="AI453" s="56"/>
      <c r="AJ453" s="56"/>
    </row>
    <row r="454" spans="1:36" x14ac:dyDescent="0.3">
      <c r="A454" s="59">
        <f t="shared" si="96"/>
        <v>321</v>
      </c>
      <c r="B454" s="66" t="s">
        <v>2176</v>
      </c>
      <c r="C454" s="51">
        <f t="shared" si="94"/>
        <v>2422004.4</v>
      </c>
      <c r="D454" s="51">
        <f t="shared" si="95"/>
        <v>2422004.4</v>
      </c>
      <c r="E454" s="51">
        <v>789070.8</v>
      </c>
      <c r="F454" s="51">
        <v>1360020</v>
      </c>
      <c r="G454" s="51"/>
      <c r="H454" s="51">
        <v>272913.59999999998</v>
      </c>
      <c r="I454" s="51"/>
      <c r="J454" s="82"/>
      <c r="K454" s="51"/>
      <c r="L454" s="51"/>
      <c r="M454" s="82"/>
      <c r="N454" s="51"/>
      <c r="O454" s="82"/>
      <c r="P454" s="399"/>
      <c r="Q454" s="338"/>
      <c r="R454" s="51"/>
      <c r="S454" s="51"/>
      <c r="T454" s="35"/>
      <c r="U454" s="51"/>
      <c r="V454" s="51"/>
      <c r="W454" s="51"/>
      <c r="X454" s="304"/>
      <c r="Y454" s="48"/>
      <c r="Z454" s="285"/>
      <c r="AA454" s="285"/>
      <c r="AB454" s="285"/>
      <c r="AC454" s="285"/>
      <c r="AD454" s="285"/>
      <c r="AE454" s="285"/>
      <c r="AF454" s="9"/>
      <c r="AG454" s="40"/>
      <c r="AH454" s="56">
        <v>548157.1</v>
      </c>
      <c r="AI454" s="56"/>
      <c r="AJ454" s="56"/>
    </row>
    <row r="455" spans="1:36" x14ac:dyDescent="0.3">
      <c r="A455" s="59">
        <f t="shared" si="96"/>
        <v>322</v>
      </c>
      <c r="B455" s="66" t="s">
        <v>2178</v>
      </c>
      <c r="C455" s="51">
        <f t="shared" si="94"/>
        <v>1738904.4</v>
      </c>
      <c r="D455" s="51">
        <f t="shared" si="95"/>
        <v>1738904.4</v>
      </c>
      <c r="E455" s="51"/>
      <c r="F455" s="51">
        <v>1314955.2</v>
      </c>
      <c r="G455" s="51"/>
      <c r="H455" s="51">
        <v>220764</v>
      </c>
      <c r="I455" s="51">
        <v>203185.2</v>
      </c>
      <c r="J455" s="82"/>
      <c r="K455" s="51"/>
      <c r="L455" s="51"/>
      <c r="M455" s="82"/>
      <c r="N455" s="51"/>
      <c r="O455" s="82"/>
      <c r="P455" s="399"/>
      <c r="Q455" s="338"/>
      <c r="R455" s="51"/>
      <c r="S455" s="51"/>
      <c r="T455" s="35"/>
      <c r="U455" s="51"/>
      <c r="V455" s="51"/>
      <c r="W455" s="51"/>
      <c r="X455" s="304"/>
      <c r="Y455" s="48"/>
      <c r="Z455" s="285"/>
      <c r="AA455" s="285"/>
      <c r="AB455" s="285"/>
      <c r="AC455" s="285"/>
      <c r="AD455" s="285"/>
      <c r="AE455" s="285"/>
      <c r="AF455" s="9"/>
      <c r="AG455" s="40"/>
      <c r="AH455" s="56">
        <v>568081.74</v>
      </c>
      <c r="AI455" s="56"/>
      <c r="AJ455" s="56"/>
    </row>
    <row r="456" spans="1:36" x14ac:dyDescent="0.3">
      <c r="A456" s="59">
        <f t="shared" si="96"/>
        <v>323</v>
      </c>
      <c r="B456" s="66" t="s">
        <v>2181</v>
      </c>
      <c r="C456" s="51">
        <f t="shared" si="94"/>
        <v>1314062.3999999999</v>
      </c>
      <c r="D456" s="51">
        <f t="shared" si="95"/>
        <v>1314062.3999999999</v>
      </c>
      <c r="E456" s="51">
        <v>1314062.3999999999</v>
      </c>
      <c r="F456" s="51"/>
      <c r="G456" s="51"/>
      <c r="H456" s="51"/>
      <c r="I456" s="51"/>
      <c r="J456" s="82"/>
      <c r="K456" s="51"/>
      <c r="L456" s="51"/>
      <c r="M456" s="82"/>
      <c r="N456" s="51"/>
      <c r="O456" s="82"/>
      <c r="P456" s="51"/>
      <c r="Q456" s="338"/>
      <c r="R456" s="51"/>
      <c r="S456" s="51"/>
      <c r="T456" s="35"/>
      <c r="U456" s="51"/>
      <c r="V456" s="51"/>
      <c r="W456" s="51"/>
      <c r="X456" s="304"/>
      <c r="Y456" s="48"/>
      <c r="Z456" s="285"/>
      <c r="AA456" s="285">
        <v>163068.12</v>
      </c>
      <c r="AB456" s="285"/>
      <c r="AC456" s="285"/>
      <c r="AD456" s="285"/>
      <c r="AE456" s="285"/>
      <c r="AF456" s="9"/>
      <c r="AG456" s="40"/>
      <c r="AH456" s="56">
        <v>731331.38</v>
      </c>
      <c r="AI456" s="56"/>
      <c r="AJ456" s="56"/>
    </row>
    <row r="457" spans="1:36" x14ac:dyDescent="0.3">
      <c r="A457" s="59">
        <f t="shared" si="96"/>
        <v>324</v>
      </c>
      <c r="B457" s="66" t="s">
        <v>2184</v>
      </c>
      <c r="C457" s="51">
        <f t="shared" si="94"/>
        <v>4182817.2</v>
      </c>
      <c r="D457" s="51">
        <f t="shared" si="95"/>
        <v>590508</v>
      </c>
      <c r="E457" s="51">
        <v>590508</v>
      </c>
      <c r="F457" s="51"/>
      <c r="G457" s="51"/>
      <c r="H457" s="51"/>
      <c r="I457" s="51"/>
      <c r="J457" s="82"/>
      <c r="K457" s="51"/>
      <c r="L457" s="51"/>
      <c r="M457" s="82">
        <v>564.1</v>
      </c>
      <c r="N457" s="51">
        <v>3592309.2</v>
      </c>
      <c r="O457" s="82"/>
      <c r="P457" s="399"/>
      <c r="Q457" s="338"/>
      <c r="R457" s="51"/>
      <c r="S457" s="51"/>
      <c r="T457" s="35"/>
      <c r="U457" s="51"/>
      <c r="V457" s="51"/>
      <c r="W457" s="51"/>
      <c r="X457" s="304"/>
      <c r="Y457" s="48"/>
      <c r="Z457" s="285">
        <v>98196.01</v>
      </c>
      <c r="AA457" s="285"/>
      <c r="AB457" s="285"/>
      <c r="AC457" s="285">
        <v>93057.34</v>
      </c>
      <c r="AD457" s="285">
        <v>115298.08</v>
      </c>
      <c r="AE457" s="285"/>
      <c r="AF457" s="9"/>
      <c r="AG457" s="40"/>
      <c r="AH457" s="56"/>
      <c r="AI457" s="56"/>
      <c r="AJ457" s="56"/>
    </row>
    <row r="458" spans="1:36" x14ac:dyDescent="0.3">
      <c r="A458" s="59">
        <f t="shared" si="96"/>
        <v>325</v>
      </c>
      <c r="B458" s="66" t="s">
        <v>2188</v>
      </c>
      <c r="C458" s="51">
        <f t="shared" si="94"/>
        <v>2033766</v>
      </c>
      <c r="D458" s="51">
        <f t="shared" si="95"/>
        <v>2033766</v>
      </c>
      <c r="E458" s="51">
        <f>490*2688+2*358323</f>
        <v>2033766</v>
      </c>
      <c r="F458" s="51"/>
      <c r="G458" s="51"/>
      <c r="H458" s="51"/>
      <c r="I458" s="51"/>
      <c r="J458" s="82"/>
      <c r="K458" s="51"/>
      <c r="L458" s="51"/>
      <c r="M458" s="82"/>
      <c r="N458" s="51"/>
      <c r="O458" s="82"/>
      <c r="P458" s="399"/>
      <c r="Q458" s="338"/>
      <c r="R458" s="51"/>
      <c r="S458" s="51"/>
      <c r="T458" s="35"/>
      <c r="U458" s="51"/>
      <c r="V458" s="51"/>
      <c r="W458" s="51"/>
      <c r="X458" s="304"/>
      <c r="Y458" s="48" t="s">
        <v>2189</v>
      </c>
      <c r="Z458" s="285"/>
      <c r="AA458" s="285"/>
      <c r="AB458" s="285"/>
      <c r="AC458" s="285">
        <v>100559.96</v>
      </c>
      <c r="AD458" s="285"/>
      <c r="AE458" s="285"/>
      <c r="AF458" s="9"/>
      <c r="AG458" s="40"/>
      <c r="AH458" s="56">
        <v>508275.19</v>
      </c>
      <c r="AI458" s="56"/>
      <c r="AJ458" s="56"/>
    </row>
    <row r="459" spans="1:36" x14ac:dyDescent="0.3">
      <c r="A459" s="59">
        <f t="shared" si="96"/>
        <v>326</v>
      </c>
      <c r="B459" s="66" t="s">
        <v>2217</v>
      </c>
      <c r="C459" s="51">
        <f t="shared" si="94"/>
        <v>621800.4</v>
      </c>
      <c r="D459" s="51">
        <f t="shared" si="95"/>
        <v>621800.4</v>
      </c>
      <c r="E459" s="51">
        <v>621800.4</v>
      </c>
      <c r="F459" s="51"/>
      <c r="G459" s="51"/>
      <c r="H459" s="51"/>
      <c r="I459" s="51"/>
      <c r="J459" s="82"/>
      <c r="K459" s="51"/>
      <c r="L459" s="51"/>
      <c r="M459" s="82"/>
      <c r="N459" s="51"/>
      <c r="O459" s="82"/>
      <c r="P459" s="399"/>
      <c r="Q459" s="338"/>
      <c r="R459" s="51"/>
      <c r="S459" s="51"/>
      <c r="T459" s="35"/>
      <c r="U459" s="51"/>
      <c r="V459" s="51"/>
      <c r="W459" s="51"/>
      <c r="X459" s="304"/>
      <c r="Y459" s="187"/>
      <c r="Z459" s="285"/>
      <c r="AA459" s="285">
        <v>103404.46</v>
      </c>
      <c r="AB459" s="285"/>
      <c r="AC459" s="285">
        <v>105459.92</v>
      </c>
      <c r="AD459" s="285">
        <v>134880.73000000001</v>
      </c>
      <c r="AE459" s="285"/>
      <c r="AF459" s="9"/>
      <c r="AG459" s="40"/>
      <c r="AH459" s="56"/>
      <c r="AI459" s="56"/>
      <c r="AJ459" s="56"/>
    </row>
    <row r="460" spans="1:36" x14ac:dyDescent="0.3">
      <c r="A460" s="59">
        <f t="shared" si="96"/>
        <v>327</v>
      </c>
      <c r="B460" s="66" t="s">
        <v>2220</v>
      </c>
      <c r="C460" s="51">
        <f t="shared" si="94"/>
        <v>357688.8</v>
      </c>
      <c r="D460" s="51">
        <f t="shared" si="95"/>
        <v>357688.8</v>
      </c>
      <c r="E460" s="51">
        <v>357688.8</v>
      </c>
      <c r="F460" s="51"/>
      <c r="G460" s="51"/>
      <c r="H460" s="51"/>
      <c r="I460" s="51"/>
      <c r="J460" s="82"/>
      <c r="K460" s="51"/>
      <c r="L460" s="51"/>
      <c r="M460" s="82"/>
      <c r="N460" s="51"/>
      <c r="O460" s="82"/>
      <c r="P460" s="399"/>
      <c r="Q460" s="338"/>
      <c r="R460" s="51"/>
      <c r="S460" s="51"/>
      <c r="T460" s="35"/>
      <c r="U460" s="51"/>
      <c r="V460" s="51"/>
      <c r="W460" s="51"/>
      <c r="X460" s="304"/>
      <c r="Y460" s="187"/>
      <c r="Z460" s="285">
        <v>104513.96</v>
      </c>
      <c r="AA460" s="285"/>
      <c r="AB460" s="285"/>
      <c r="AC460" s="285"/>
      <c r="AD460" s="285">
        <v>123554.82</v>
      </c>
      <c r="AE460" s="285"/>
      <c r="AF460" s="9"/>
      <c r="AG460" s="40"/>
      <c r="AH460" s="56"/>
      <c r="AI460" s="56"/>
      <c r="AJ460" s="56"/>
    </row>
    <row r="461" spans="1:36" x14ac:dyDescent="0.3">
      <c r="A461" s="59">
        <f t="shared" si="96"/>
        <v>328</v>
      </c>
      <c r="B461" s="66" t="s">
        <v>2222</v>
      </c>
      <c r="C461" s="51">
        <f t="shared" si="94"/>
        <v>10501336.279999999</v>
      </c>
      <c r="D461" s="51">
        <f t="shared" si="95"/>
        <v>10501336.279999999</v>
      </c>
      <c r="E461" s="51">
        <f>1100*2688+2*358323</f>
        <v>3673446</v>
      </c>
      <c r="F461" s="51">
        <v>5054088.68</v>
      </c>
      <c r="G461" s="51"/>
      <c r="H461" s="51"/>
      <c r="I461" s="51">
        <v>1773801.6</v>
      </c>
      <c r="J461" s="82"/>
      <c r="K461" s="51"/>
      <c r="L461" s="51"/>
      <c r="M461" s="82"/>
      <c r="N461" s="51"/>
      <c r="O461" s="82"/>
      <c r="P461" s="399"/>
      <c r="Q461" s="338"/>
      <c r="R461" s="51"/>
      <c r="S461" s="51"/>
      <c r="T461" s="35"/>
      <c r="U461" s="51"/>
      <c r="V461" s="51"/>
      <c r="W461" s="51"/>
      <c r="X461" s="304"/>
      <c r="Y461" s="187"/>
      <c r="Z461" s="285"/>
      <c r="AA461" s="285"/>
      <c r="AB461" s="285"/>
      <c r="AC461" s="285"/>
      <c r="AD461" s="285"/>
      <c r="AE461" s="285"/>
      <c r="AF461" s="9"/>
      <c r="AG461" s="40"/>
      <c r="AH461" s="56"/>
      <c r="AI461" s="56">
        <v>438762.35</v>
      </c>
      <c r="AJ461" s="56"/>
    </row>
    <row r="462" spans="1:36" x14ac:dyDescent="0.3">
      <c r="A462" s="59">
        <f t="shared" si="96"/>
        <v>329</v>
      </c>
      <c r="B462" s="66" t="s">
        <v>2227</v>
      </c>
      <c r="C462" s="51">
        <f t="shared" si="94"/>
        <v>965970</v>
      </c>
      <c r="D462" s="51">
        <f t="shared" si="95"/>
        <v>965970</v>
      </c>
      <c r="E462" s="51">
        <v>965970</v>
      </c>
      <c r="F462" s="51"/>
      <c r="G462" s="51"/>
      <c r="H462" s="51"/>
      <c r="I462" s="51"/>
      <c r="J462" s="82"/>
      <c r="K462" s="51"/>
      <c r="L462" s="51"/>
      <c r="M462" s="82"/>
      <c r="N462" s="51"/>
      <c r="O462" s="82"/>
      <c r="P462" s="399"/>
      <c r="Q462" s="338"/>
      <c r="R462" s="51"/>
      <c r="S462" s="51"/>
      <c r="T462" s="35"/>
      <c r="U462" s="51"/>
      <c r="V462" s="364"/>
      <c r="W462" s="51"/>
      <c r="X462" s="304"/>
      <c r="Y462" s="48" t="s">
        <v>2142</v>
      </c>
      <c r="Z462" s="285">
        <v>128449.75</v>
      </c>
      <c r="AA462" s="285"/>
      <c r="AB462" s="285"/>
      <c r="AC462" s="285"/>
      <c r="AD462" s="285">
        <v>109338.26</v>
      </c>
      <c r="AE462" s="285"/>
      <c r="AF462" s="9"/>
      <c r="AG462" s="40"/>
      <c r="AH462" s="56">
        <v>1024092.61</v>
      </c>
      <c r="AI462" s="56"/>
      <c r="AJ462" s="56"/>
    </row>
    <row r="463" spans="1:36" x14ac:dyDescent="0.3">
      <c r="A463" s="59">
        <f t="shared" si="96"/>
        <v>330</v>
      </c>
      <c r="B463" s="66" t="s">
        <v>2228</v>
      </c>
      <c r="C463" s="51">
        <f t="shared" si="94"/>
        <v>1286544</v>
      </c>
      <c r="D463" s="51">
        <f t="shared" si="95"/>
        <v>1286544</v>
      </c>
      <c r="E463" s="51">
        <v>1286544</v>
      </c>
      <c r="F463" s="51"/>
      <c r="G463" s="51"/>
      <c r="H463" s="51"/>
      <c r="I463" s="51"/>
      <c r="J463" s="82"/>
      <c r="K463" s="51"/>
      <c r="L463" s="51"/>
      <c r="M463" s="82"/>
      <c r="N463" s="51"/>
      <c r="O463" s="82"/>
      <c r="P463" s="399"/>
      <c r="Q463" s="338"/>
      <c r="R463" s="51"/>
      <c r="S463" s="51"/>
      <c r="T463" s="35"/>
      <c r="U463" s="51"/>
      <c r="V463" s="51"/>
      <c r="W463" s="51"/>
      <c r="X463" s="304"/>
      <c r="Y463" s="187"/>
      <c r="Z463" s="285"/>
      <c r="AA463" s="285">
        <v>142037.99</v>
      </c>
      <c r="AB463" s="285"/>
      <c r="AC463" s="285"/>
      <c r="AD463" s="285">
        <v>181686.02</v>
      </c>
      <c r="AE463" s="285"/>
      <c r="AF463" s="9"/>
      <c r="AG463" s="40"/>
      <c r="AH463" s="56">
        <v>824099.41</v>
      </c>
      <c r="AI463" s="56">
        <v>269706.94</v>
      </c>
      <c r="AJ463" s="56"/>
    </row>
    <row r="464" spans="1:36" x14ac:dyDescent="0.3">
      <c r="A464" s="59">
        <f t="shared" si="96"/>
        <v>331</v>
      </c>
      <c r="B464" s="66" t="s">
        <v>2235</v>
      </c>
      <c r="C464" s="51">
        <f t="shared" si="94"/>
        <v>1077688.1000000001</v>
      </c>
      <c r="D464" s="51">
        <f t="shared" si="95"/>
        <v>1077688.1000000001</v>
      </c>
      <c r="E464" s="51">
        <v>1077688.1000000001</v>
      </c>
      <c r="F464" s="51"/>
      <c r="G464" s="51"/>
      <c r="H464" s="51"/>
      <c r="I464" s="51"/>
      <c r="J464" s="82"/>
      <c r="K464" s="51"/>
      <c r="L464" s="51"/>
      <c r="M464" s="82"/>
      <c r="N464" s="51"/>
      <c r="O464" s="82"/>
      <c r="P464" s="399"/>
      <c r="Q464" s="338"/>
      <c r="R464" s="51"/>
      <c r="S464" s="51"/>
      <c r="T464" s="35"/>
      <c r="U464" s="51"/>
      <c r="V464" s="364"/>
      <c r="W464" s="51"/>
      <c r="X464" s="304"/>
      <c r="Y464" s="48" t="s">
        <v>2142</v>
      </c>
      <c r="Z464" s="285">
        <v>126884.32</v>
      </c>
      <c r="AA464" s="285"/>
      <c r="AB464" s="285"/>
      <c r="AC464" s="285"/>
      <c r="AD464" s="285">
        <v>111473.53</v>
      </c>
      <c r="AE464" s="285"/>
      <c r="AF464" s="9"/>
      <c r="AG464" s="40"/>
      <c r="AH464" s="56">
        <v>684584.44</v>
      </c>
      <c r="AI464" s="56"/>
      <c r="AJ464" s="56"/>
    </row>
    <row r="465" spans="1:36" x14ac:dyDescent="0.3">
      <c r="A465" s="59">
        <f t="shared" si="96"/>
        <v>332</v>
      </c>
      <c r="B465" s="66" t="s">
        <v>2237</v>
      </c>
      <c r="C465" s="51">
        <f t="shared" si="94"/>
        <v>1849022.62</v>
      </c>
      <c r="D465" s="51">
        <f t="shared" si="95"/>
        <v>1849022.62</v>
      </c>
      <c r="E465" s="51">
        <v>1849022.62</v>
      </c>
      <c r="F465" s="51"/>
      <c r="G465" s="51"/>
      <c r="H465" s="51"/>
      <c r="I465" s="51"/>
      <c r="J465" s="82"/>
      <c r="K465" s="51"/>
      <c r="L465" s="51"/>
      <c r="M465" s="82"/>
      <c r="N465" s="51"/>
      <c r="O465" s="82"/>
      <c r="P465" s="399"/>
      <c r="Q465" s="338"/>
      <c r="R465" s="51"/>
      <c r="S465" s="51"/>
      <c r="T465" s="35"/>
      <c r="U465" s="51"/>
      <c r="V465" s="51"/>
      <c r="W465" s="51"/>
      <c r="X465" s="304"/>
      <c r="Y465" s="187"/>
      <c r="Z465" s="285">
        <v>171280.57</v>
      </c>
      <c r="AA465" s="285"/>
      <c r="AB465" s="285"/>
      <c r="AC465" s="285"/>
      <c r="AD465" s="285"/>
      <c r="AE465" s="285"/>
      <c r="AF465" s="9"/>
      <c r="AG465" s="40"/>
      <c r="AH465" s="56">
        <v>884621.58</v>
      </c>
      <c r="AI465" s="56"/>
      <c r="AJ465" s="56"/>
    </row>
    <row r="466" spans="1:36" x14ac:dyDescent="0.3">
      <c r="A466" s="59">
        <f t="shared" si="96"/>
        <v>333</v>
      </c>
      <c r="B466" s="66" t="s">
        <v>2240</v>
      </c>
      <c r="C466" s="51">
        <f t="shared" si="94"/>
        <v>1124684.3999999999</v>
      </c>
      <c r="D466" s="51">
        <f t="shared" si="95"/>
        <v>1124684.3999999999</v>
      </c>
      <c r="E466" s="51">
        <v>1124684.3999999999</v>
      </c>
      <c r="F466" s="51"/>
      <c r="G466" s="51"/>
      <c r="H466" s="51"/>
      <c r="I466" s="51"/>
      <c r="J466" s="82"/>
      <c r="K466" s="51"/>
      <c r="L466" s="51"/>
      <c r="M466" s="82"/>
      <c r="N466" s="51"/>
      <c r="O466" s="82"/>
      <c r="P466" s="399"/>
      <c r="Q466" s="338"/>
      <c r="R466" s="51"/>
      <c r="S466" s="51"/>
      <c r="T466" s="35"/>
      <c r="U466" s="51"/>
      <c r="V466" s="364"/>
      <c r="W466" s="51"/>
      <c r="X466" s="304"/>
      <c r="Y466" s="48" t="s">
        <v>2142</v>
      </c>
      <c r="Z466" s="285">
        <v>144104.84</v>
      </c>
      <c r="AA466" s="285"/>
      <c r="AB466" s="285"/>
      <c r="AC466" s="285"/>
      <c r="AD466" s="285">
        <v>174238.09</v>
      </c>
      <c r="AE466" s="285"/>
      <c r="AF466" s="9"/>
      <c r="AG466" s="40"/>
      <c r="AH466" s="56">
        <v>572283.04</v>
      </c>
      <c r="AI466" s="56"/>
      <c r="AJ466" s="56"/>
    </row>
    <row r="467" spans="1:36" x14ac:dyDescent="0.3">
      <c r="A467" s="59">
        <f t="shared" si="96"/>
        <v>334</v>
      </c>
      <c r="B467" s="66" t="s">
        <v>2241</v>
      </c>
      <c r="C467" s="51">
        <f t="shared" si="94"/>
        <v>2855400.58</v>
      </c>
      <c r="D467" s="51">
        <f t="shared" si="95"/>
        <v>589041.84</v>
      </c>
      <c r="E467" s="51">
        <v>589041.84</v>
      </c>
      <c r="F467" s="51"/>
      <c r="G467" s="51"/>
      <c r="H467" s="51"/>
      <c r="I467" s="51"/>
      <c r="J467" s="82"/>
      <c r="K467" s="51"/>
      <c r="L467" s="51"/>
      <c r="M467" s="82">
        <v>540.79999999999995</v>
      </c>
      <c r="N467" s="51">
        <v>2266358.7400000002</v>
      </c>
      <c r="O467" s="82"/>
      <c r="P467" s="399"/>
      <c r="Q467" s="338"/>
      <c r="R467" s="51"/>
      <c r="S467" s="51"/>
      <c r="T467" s="35"/>
      <c r="U467" s="51"/>
      <c r="V467" s="364"/>
      <c r="W467" s="51"/>
      <c r="X467" s="304"/>
      <c r="Y467" s="48" t="s">
        <v>2142</v>
      </c>
      <c r="Z467" s="285">
        <v>110797.74</v>
      </c>
      <c r="AA467" s="285"/>
      <c r="AB467" s="285"/>
      <c r="AC467" s="285">
        <v>106172.94</v>
      </c>
      <c r="AD467" s="285">
        <v>130309.98</v>
      </c>
      <c r="AE467" s="285"/>
      <c r="AF467" s="9"/>
      <c r="AG467" s="40"/>
      <c r="AH467" s="56">
        <v>519536.21</v>
      </c>
      <c r="AI467" s="56"/>
      <c r="AJ467" s="56"/>
    </row>
    <row r="468" spans="1:36" x14ac:dyDescent="0.3">
      <c r="A468" s="59">
        <f t="shared" si="96"/>
        <v>335</v>
      </c>
      <c r="B468" s="66" t="s">
        <v>2243</v>
      </c>
      <c r="C468" s="51">
        <f t="shared" si="94"/>
        <v>1851692.72</v>
      </c>
      <c r="D468" s="51">
        <f t="shared" si="95"/>
        <v>1851692.72</v>
      </c>
      <c r="E468" s="51">
        <v>470320.6</v>
      </c>
      <c r="F468" s="51">
        <v>686465</v>
      </c>
      <c r="G468" s="51">
        <v>130125.68</v>
      </c>
      <c r="H468" s="51">
        <v>564781.43999999994</v>
      </c>
      <c r="I468" s="51"/>
      <c r="J468" s="82"/>
      <c r="K468" s="51"/>
      <c r="L468" s="51"/>
      <c r="M468" s="82"/>
      <c r="N468" s="51"/>
      <c r="O468" s="82"/>
      <c r="P468" s="399"/>
      <c r="Q468" s="338"/>
      <c r="R468" s="51"/>
      <c r="S468" s="51"/>
      <c r="T468" s="35"/>
      <c r="U468" s="51"/>
      <c r="V468" s="51"/>
      <c r="W468" s="51"/>
      <c r="X468" s="304"/>
      <c r="Y468" s="48"/>
      <c r="Z468" s="285"/>
      <c r="AA468" s="285"/>
      <c r="AB468" s="285"/>
      <c r="AC468" s="285"/>
      <c r="AD468" s="285"/>
      <c r="AE468" s="285"/>
      <c r="AF468" s="9"/>
      <c r="AG468" s="40"/>
      <c r="AH468" s="56">
        <v>616862.78</v>
      </c>
      <c r="AI468" s="56"/>
      <c r="AJ468" s="56"/>
    </row>
    <row r="469" spans="1:36" x14ac:dyDescent="0.3">
      <c r="A469" s="59">
        <f t="shared" si="96"/>
        <v>336</v>
      </c>
      <c r="B469" s="66" t="s">
        <v>2248</v>
      </c>
      <c r="C469" s="51">
        <f t="shared" si="94"/>
        <v>437954.64</v>
      </c>
      <c r="D469" s="51">
        <f t="shared" si="95"/>
        <v>437954.64</v>
      </c>
      <c r="E469" s="51">
        <v>437954.64</v>
      </c>
      <c r="F469" s="51"/>
      <c r="G469" s="51"/>
      <c r="H469" s="51"/>
      <c r="I469" s="51"/>
      <c r="J469" s="82"/>
      <c r="K469" s="51"/>
      <c r="L469" s="51"/>
      <c r="M469" s="82"/>
      <c r="N469" s="51"/>
      <c r="O469" s="82"/>
      <c r="P469" s="51"/>
      <c r="Q469" s="338"/>
      <c r="R469" s="51"/>
      <c r="S469" s="51"/>
      <c r="T469" s="35"/>
      <c r="U469" s="51"/>
      <c r="V469" s="51"/>
      <c r="W469" s="51"/>
      <c r="X469" s="304"/>
      <c r="Y469" s="48"/>
      <c r="Z469" s="285"/>
      <c r="AA469" s="285"/>
      <c r="AB469" s="285"/>
      <c r="AC469" s="285"/>
      <c r="AD469" s="285"/>
      <c r="AE469" s="285"/>
      <c r="AF469" s="9"/>
      <c r="AG469" s="40"/>
      <c r="AH469" s="56">
        <v>600297.24</v>
      </c>
      <c r="AI469" s="56"/>
      <c r="AJ469" s="56"/>
    </row>
    <row r="470" spans="1:36" x14ac:dyDescent="0.3">
      <c r="A470" s="59">
        <f t="shared" si="96"/>
        <v>337</v>
      </c>
      <c r="B470" s="66" t="s">
        <v>2249</v>
      </c>
      <c r="C470" s="51">
        <f t="shared" si="94"/>
        <v>437954.64</v>
      </c>
      <c r="D470" s="51">
        <f t="shared" si="95"/>
        <v>437954.64</v>
      </c>
      <c r="E470" s="51">
        <v>437954.64</v>
      </c>
      <c r="F470" s="51"/>
      <c r="G470" s="51"/>
      <c r="H470" s="51"/>
      <c r="I470" s="51"/>
      <c r="J470" s="82"/>
      <c r="K470" s="51"/>
      <c r="L470" s="51"/>
      <c r="M470" s="82"/>
      <c r="N470" s="51"/>
      <c r="O470" s="82"/>
      <c r="P470" s="51"/>
      <c r="Q470" s="338"/>
      <c r="R470" s="51"/>
      <c r="S470" s="51"/>
      <c r="T470" s="35"/>
      <c r="U470" s="51"/>
      <c r="V470" s="51"/>
      <c r="W470" s="51"/>
      <c r="X470" s="304"/>
      <c r="Y470" s="48" t="s">
        <v>2246</v>
      </c>
      <c r="Z470" s="285"/>
      <c r="AA470" s="285"/>
      <c r="AB470" s="285"/>
      <c r="AC470" s="285"/>
      <c r="AD470" s="285"/>
      <c r="AE470" s="285"/>
      <c r="AF470" s="9"/>
      <c r="AG470" s="40"/>
      <c r="AH470" s="56">
        <v>564055.55000000005</v>
      </c>
      <c r="AI470" s="56"/>
      <c r="AJ470" s="56"/>
    </row>
    <row r="471" spans="1:36" x14ac:dyDescent="0.3">
      <c r="A471" s="59">
        <f t="shared" si="96"/>
        <v>338</v>
      </c>
      <c r="B471" s="66" t="s">
        <v>2251</v>
      </c>
      <c r="C471" s="51">
        <f t="shared" si="94"/>
        <v>3494227.7800000003</v>
      </c>
      <c r="D471" s="51">
        <f t="shared" si="95"/>
        <v>498397.78</v>
      </c>
      <c r="E471" s="51">
        <v>498397.78</v>
      </c>
      <c r="F471" s="51"/>
      <c r="G471" s="51"/>
      <c r="H471" s="51"/>
      <c r="I471" s="51"/>
      <c r="J471" s="82"/>
      <c r="K471" s="51"/>
      <c r="L471" s="51"/>
      <c r="M471" s="82">
        <v>430</v>
      </c>
      <c r="N471" s="51">
        <v>2995830</v>
      </c>
      <c r="O471" s="82"/>
      <c r="P471" s="51"/>
      <c r="Q471" s="338"/>
      <c r="R471" s="51"/>
      <c r="S471" s="51"/>
      <c r="T471" s="35"/>
      <c r="U471" s="51"/>
      <c r="V471" s="364"/>
      <c r="W471" s="51"/>
      <c r="X471" s="304"/>
      <c r="Y471" s="48" t="s">
        <v>2142</v>
      </c>
      <c r="Z471" s="285">
        <v>110797.74</v>
      </c>
      <c r="AA471" s="285"/>
      <c r="AB471" s="285"/>
      <c r="AC471" s="285">
        <v>106172.94</v>
      </c>
      <c r="AD471" s="285">
        <v>130309.98</v>
      </c>
      <c r="AE471" s="285"/>
      <c r="AF471" s="9"/>
      <c r="AG471" s="40"/>
      <c r="AH471" s="56">
        <v>519536.21</v>
      </c>
      <c r="AI471" s="56"/>
      <c r="AJ471" s="56"/>
    </row>
    <row r="472" spans="1:36" x14ac:dyDescent="0.3">
      <c r="A472" s="59"/>
      <c r="B472" s="66" t="s">
        <v>211</v>
      </c>
      <c r="C472" s="51">
        <f t="shared" ref="C472:R472" si="97">SUM(C435:C471)</f>
        <v>73713717.680000007</v>
      </c>
      <c r="D472" s="51">
        <f t="shared" si="97"/>
        <v>48157559.859999992</v>
      </c>
      <c r="E472" s="51">
        <f t="shared" si="97"/>
        <v>30738287.860000003</v>
      </c>
      <c r="F472" s="51">
        <f t="shared" si="97"/>
        <v>12532868.08</v>
      </c>
      <c r="G472" s="51">
        <f t="shared" si="97"/>
        <v>507645.68</v>
      </c>
      <c r="H472" s="51">
        <f t="shared" si="97"/>
        <v>2401771.44</v>
      </c>
      <c r="I472" s="51">
        <f t="shared" si="97"/>
        <v>1976986.8</v>
      </c>
      <c r="J472" s="82">
        <f t="shared" si="97"/>
        <v>0</v>
      </c>
      <c r="K472" s="51">
        <f t="shared" si="97"/>
        <v>0</v>
      </c>
      <c r="L472" s="51">
        <f t="shared" si="97"/>
        <v>0</v>
      </c>
      <c r="M472" s="82">
        <f t="shared" si="97"/>
        <v>3868.46</v>
      </c>
      <c r="N472" s="51">
        <f t="shared" si="97"/>
        <v>25556157.82</v>
      </c>
      <c r="O472" s="82">
        <f t="shared" si="97"/>
        <v>0</v>
      </c>
      <c r="P472" s="51">
        <f t="shared" si="97"/>
        <v>0</v>
      </c>
      <c r="Q472" s="338">
        <f t="shared" si="97"/>
        <v>0</v>
      </c>
      <c r="R472" s="51">
        <f t="shared" si="97"/>
        <v>0</v>
      </c>
      <c r="S472" s="51">
        <f t="shared" ref="S472:Y472" si="98">SUM(S435:S471)</f>
        <v>0</v>
      </c>
      <c r="T472" s="35">
        <f t="shared" si="98"/>
        <v>0</v>
      </c>
      <c r="U472" s="51">
        <f t="shared" si="98"/>
        <v>0</v>
      </c>
      <c r="V472" s="51">
        <f t="shared" si="98"/>
        <v>0</v>
      </c>
      <c r="W472" s="51">
        <f t="shared" si="98"/>
        <v>0</v>
      </c>
      <c r="X472" s="304">
        <f t="shared" si="98"/>
        <v>0</v>
      </c>
      <c r="Y472" s="50">
        <f t="shared" si="98"/>
        <v>0</v>
      </c>
      <c r="Z472" s="285"/>
      <c r="AA472" s="285"/>
      <c r="AB472" s="285"/>
      <c r="AC472" s="285"/>
      <c r="AD472" s="285"/>
      <c r="AE472" s="285"/>
      <c r="AF472" s="9"/>
      <c r="AG472" s="40"/>
      <c r="AH472" s="56"/>
      <c r="AI472" s="56"/>
      <c r="AJ472" s="56"/>
    </row>
    <row r="473" spans="1:36" ht="15" customHeight="1" x14ac:dyDescent="0.3">
      <c r="A473" s="303" t="s">
        <v>2262</v>
      </c>
      <c r="B473" s="66"/>
      <c r="C473" s="51"/>
      <c r="D473" s="51"/>
      <c r="E473" s="264"/>
      <c r="F473" s="264"/>
      <c r="G473" s="264"/>
      <c r="H473" s="264"/>
      <c r="I473" s="264"/>
      <c r="J473" s="134"/>
      <c r="K473" s="264"/>
      <c r="L473" s="264"/>
      <c r="M473" s="134"/>
      <c r="N473" s="264"/>
      <c r="O473" s="134"/>
      <c r="P473" s="264"/>
      <c r="Q473" s="404"/>
      <c r="R473" s="264"/>
      <c r="S473" s="264"/>
      <c r="T473" s="38"/>
      <c r="U473" s="264"/>
      <c r="V473" s="264"/>
      <c r="W473" s="264"/>
      <c r="X473" s="328"/>
      <c r="Y473" s="48"/>
      <c r="Z473" s="285"/>
      <c r="AA473" s="285"/>
      <c r="AB473" s="285"/>
      <c r="AC473" s="285"/>
      <c r="AD473" s="285"/>
      <c r="AE473" s="285"/>
      <c r="AF473" s="9"/>
      <c r="AG473" s="40"/>
      <c r="AH473" s="56"/>
      <c r="AI473" s="56"/>
      <c r="AJ473" s="56"/>
    </row>
    <row r="474" spans="1:36" x14ac:dyDescent="0.3">
      <c r="A474" s="59">
        <f>A469+1</f>
        <v>337</v>
      </c>
      <c r="B474" s="66" t="s">
        <v>2271</v>
      </c>
      <c r="C474" s="51">
        <f>D474+K474+L474+N474+P474+R474+S474+U474+V474+W474</f>
        <v>2181593.44</v>
      </c>
      <c r="D474" s="51">
        <f>E474+F474+G474+H474+I474</f>
        <v>2181593.44</v>
      </c>
      <c r="E474" s="51">
        <v>536148.34</v>
      </c>
      <c r="F474" s="51"/>
      <c r="G474" s="51">
        <v>485654.96</v>
      </c>
      <c r="H474" s="51">
        <v>1159790.1399999999</v>
      </c>
      <c r="I474" s="51"/>
      <c r="J474" s="82"/>
      <c r="K474" s="51"/>
      <c r="L474" s="51"/>
      <c r="M474" s="82"/>
      <c r="N474" s="51"/>
      <c r="O474" s="82"/>
      <c r="P474" s="399"/>
      <c r="Q474" s="338"/>
      <c r="R474" s="405"/>
      <c r="S474" s="51"/>
      <c r="T474" s="35"/>
      <c r="U474" s="51"/>
      <c r="V474" s="51"/>
      <c r="W474" s="51"/>
      <c r="X474" s="304"/>
      <c r="Y474" s="187"/>
      <c r="Z474" s="285"/>
      <c r="AA474" s="285"/>
      <c r="AB474" s="285"/>
      <c r="AC474" s="285">
        <v>111628.36</v>
      </c>
      <c r="AD474" s="285"/>
      <c r="AE474" s="285"/>
      <c r="AF474" s="9"/>
      <c r="AG474" s="40"/>
      <c r="AH474" s="56"/>
      <c r="AI474" s="56"/>
      <c r="AJ474" s="56"/>
    </row>
    <row r="475" spans="1:36" x14ac:dyDescent="0.3">
      <c r="A475" s="59">
        <f>A474+1</f>
        <v>338</v>
      </c>
      <c r="B475" s="66" t="s">
        <v>2272</v>
      </c>
      <c r="C475" s="51">
        <f>D475+K475+L475+N475+P475+R475+S475+U475+V475+W475</f>
        <v>3004046.76</v>
      </c>
      <c r="D475" s="51">
        <f>E475+F475+G475+H475+I475</f>
        <v>3004046.76</v>
      </c>
      <c r="E475" s="51">
        <v>425554.02</v>
      </c>
      <c r="F475" s="51">
        <v>1547461.44</v>
      </c>
      <c r="G475" s="51">
        <v>343343.82</v>
      </c>
      <c r="H475" s="51">
        <v>687687.48</v>
      </c>
      <c r="I475" s="51"/>
      <c r="J475" s="82"/>
      <c r="K475" s="51"/>
      <c r="L475" s="51"/>
      <c r="M475" s="82"/>
      <c r="N475" s="51"/>
      <c r="O475" s="82"/>
      <c r="P475" s="399"/>
      <c r="Q475" s="338"/>
      <c r="R475" s="51"/>
      <c r="S475" s="51"/>
      <c r="T475" s="35"/>
      <c r="U475" s="51"/>
      <c r="V475" s="51"/>
      <c r="W475" s="51"/>
      <c r="X475" s="304"/>
      <c r="Y475" s="187"/>
      <c r="Z475" s="285"/>
      <c r="AA475" s="285"/>
      <c r="AB475" s="285"/>
      <c r="AC475" s="285">
        <v>102198.71</v>
      </c>
      <c r="AD475" s="285"/>
      <c r="AE475" s="285"/>
      <c r="AF475" s="9"/>
      <c r="AG475" s="40"/>
      <c r="AH475" s="56"/>
      <c r="AI475" s="56"/>
      <c r="AJ475" s="56"/>
    </row>
    <row r="476" spans="1:36" x14ac:dyDescent="0.3">
      <c r="A476" s="59">
        <f>A475+1</f>
        <v>339</v>
      </c>
      <c r="B476" s="66" t="s">
        <v>2274</v>
      </c>
      <c r="C476" s="51">
        <f>D476+K476+L476+N476+P476+R476+S476+U476+V476+W476</f>
        <v>2899650.98</v>
      </c>
      <c r="D476" s="51">
        <f>E476+F476+G476+H476+I476</f>
        <v>2899650.98</v>
      </c>
      <c r="E476" s="51">
        <v>394885.82</v>
      </c>
      <c r="F476" s="51">
        <v>1547461.44</v>
      </c>
      <c r="G476" s="51">
        <v>343343.82</v>
      </c>
      <c r="H476" s="51">
        <v>613959.9</v>
      </c>
      <c r="I476" s="51"/>
      <c r="J476" s="82"/>
      <c r="K476" s="51"/>
      <c r="L476" s="51"/>
      <c r="M476" s="82"/>
      <c r="N476" s="51"/>
      <c r="O476" s="82"/>
      <c r="P476" s="399"/>
      <c r="Q476" s="338"/>
      <c r="R476" s="51"/>
      <c r="S476" s="51"/>
      <c r="T476" s="35"/>
      <c r="U476" s="51"/>
      <c r="V476" s="51"/>
      <c r="W476" s="51"/>
      <c r="X476" s="304"/>
      <c r="Y476" s="187"/>
      <c r="Z476" s="285"/>
      <c r="AA476" s="285"/>
      <c r="AB476" s="285"/>
      <c r="AC476" s="285">
        <v>118418.46</v>
      </c>
      <c r="AD476" s="285"/>
      <c r="AE476" s="285"/>
      <c r="AF476" s="9"/>
      <c r="AG476" s="40"/>
      <c r="AH476" s="56"/>
      <c r="AI476" s="56"/>
      <c r="AJ476" s="56"/>
    </row>
    <row r="477" spans="1:36" x14ac:dyDescent="0.3">
      <c r="A477" s="59">
        <f>A476+1</f>
        <v>340</v>
      </c>
      <c r="B477" s="66" t="s">
        <v>2276</v>
      </c>
      <c r="C477" s="51">
        <f>D477+K477+L477+N477+P477+R477+S477+U477+V477+W477</f>
        <v>3109443.49</v>
      </c>
      <c r="D477" s="51">
        <f>E477+F477+G477+H477+I477</f>
        <v>3109443.49</v>
      </c>
      <c r="E477" s="51">
        <v>409530.8</v>
      </c>
      <c r="F477" s="51">
        <v>1556005.82</v>
      </c>
      <c r="G477" s="51">
        <v>349343.25</v>
      </c>
      <c r="H477" s="51">
        <v>613959.9</v>
      </c>
      <c r="I477" s="51">
        <v>180603.72</v>
      </c>
      <c r="J477" s="82"/>
      <c r="K477" s="51"/>
      <c r="L477" s="51"/>
      <c r="M477" s="82"/>
      <c r="N477" s="51"/>
      <c r="O477" s="82"/>
      <c r="P477" s="399"/>
      <c r="Q477" s="338"/>
      <c r="R477" s="51"/>
      <c r="S477" s="51"/>
      <c r="T477" s="35"/>
      <c r="U477" s="51"/>
      <c r="V477" s="51"/>
      <c r="W477" s="51"/>
      <c r="X477" s="304"/>
      <c r="Y477" s="187"/>
      <c r="Z477" s="285"/>
      <c r="AA477" s="285"/>
      <c r="AB477" s="285"/>
      <c r="AC477" s="285"/>
      <c r="AD477" s="285"/>
      <c r="AE477" s="285"/>
      <c r="AF477" s="9"/>
      <c r="AG477" s="40"/>
      <c r="AH477" s="56"/>
      <c r="AI477" s="56">
        <v>201476.77</v>
      </c>
      <c r="AJ477" s="56"/>
    </row>
    <row r="478" spans="1:36" x14ac:dyDescent="0.3">
      <c r="A478" s="59">
        <f>A477+1</f>
        <v>341</v>
      </c>
      <c r="B478" s="66" t="s">
        <v>2303</v>
      </c>
      <c r="C478" s="51">
        <f>D478+K478+L478+N478+P478+R478+S478+U478+V478+W478</f>
        <v>404526.42</v>
      </c>
      <c r="D478" s="51">
        <f>E478+F478+G478+H478+I478</f>
        <v>404526.42</v>
      </c>
      <c r="E478" s="51">
        <v>404526.42</v>
      </c>
      <c r="F478" s="51"/>
      <c r="G478" s="51"/>
      <c r="H478" s="51"/>
      <c r="I478" s="51"/>
      <c r="J478" s="82"/>
      <c r="K478" s="51"/>
      <c r="L478" s="51"/>
      <c r="M478" s="82"/>
      <c r="N478" s="51"/>
      <c r="O478" s="82"/>
      <c r="P478" s="399"/>
      <c r="Q478" s="338"/>
      <c r="R478" s="51"/>
      <c r="S478" s="51"/>
      <c r="T478" s="35"/>
      <c r="U478" s="51"/>
      <c r="V478" s="51"/>
      <c r="W478" s="51"/>
      <c r="X478" s="304"/>
      <c r="Y478" s="187"/>
      <c r="Z478" s="285">
        <v>105750.78</v>
      </c>
      <c r="AA478" s="285"/>
      <c r="AB478" s="285"/>
      <c r="AC478" s="285"/>
      <c r="AD478" s="285">
        <v>129528.85</v>
      </c>
      <c r="AE478" s="285"/>
      <c r="AF478" s="9"/>
      <c r="AG478" s="40"/>
      <c r="AH478" s="56"/>
      <c r="AI478" s="56"/>
      <c r="AJ478" s="56"/>
    </row>
    <row r="479" spans="1:36" x14ac:dyDescent="0.3">
      <c r="A479" s="59"/>
      <c r="B479" s="66" t="s">
        <v>211</v>
      </c>
      <c r="C479" s="51">
        <f t="shared" ref="C479:R479" si="99">SUM(C474:C478)</f>
        <v>11599261.09</v>
      </c>
      <c r="D479" s="51">
        <f t="shared" si="99"/>
        <v>11599261.09</v>
      </c>
      <c r="E479" s="51">
        <f t="shared" si="99"/>
        <v>2170645.4</v>
      </c>
      <c r="F479" s="51">
        <f t="shared" si="99"/>
        <v>4650928.7</v>
      </c>
      <c r="G479" s="51">
        <f t="shared" si="99"/>
        <v>1521685.85</v>
      </c>
      <c r="H479" s="51">
        <f t="shared" si="99"/>
        <v>3075397.42</v>
      </c>
      <c r="I479" s="51">
        <f t="shared" si="99"/>
        <v>180603.72</v>
      </c>
      <c r="J479" s="82">
        <f t="shared" si="99"/>
        <v>0</v>
      </c>
      <c r="K479" s="51">
        <f t="shared" si="99"/>
        <v>0</v>
      </c>
      <c r="L479" s="51">
        <f t="shared" si="99"/>
        <v>0</v>
      </c>
      <c r="M479" s="82">
        <f t="shared" si="99"/>
        <v>0</v>
      </c>
      <c r="N479" s="51">
        <f t="shared" si="99"/>
        <v>0</v>
      </c>
      <c r="O479" s="82">
        <f t="shared" si="99"/>
        <v>0</v>
      </c>
      <c r="P479" s="51">
        <f t="shared" si="99"/>
        <v>0</v>
      </c>
      <c r="Q479" s="338">
        <f t="shared" si="99"/>
        <v>0</v>
      </c>
      <c r="R479" s="51">
        <f t="shared" si="99"/>
        <v>0</v>
      </c>
      <c r="S479" s="51">
        <f>SUM(S474:S478)</f>
        <v>0</v>
      </c>
      <c r="T479" s="35">
        <f>SUM(T474:T478)</f>
        <v>0</v>
      </c>
      <c r="U479" s="51">
        <f>SUM(U474:U478)</f>
        <v>0</v>
      </c>
      <c r="V479" s="51">
        <f>SUM(V474:V478)</f>
        <v>0</v>
      </c>
      <c r="W479" s="51">
        <f>SUM(W474:W478)</f>
        <v>0</v>
      </c>
      <c r="X479" s="304"/>
      <c r="Y479" s="50">
        <f>SUM(Y474:Y478)</f>
        <v>0</v>
      </c>
      <c r="Z479" s="285"/>
      <c r="AA479" s="285"/>
      <c r="AB479" s="285"/>
      <c r="AC479" s="285"/>
      <c r="AD479" s="285"/>
      <c r="AE479" s="285"/>
      <c r="AF479" s="9"/>
      <c r="AG479" s="40"/>
      <c r="AH479" s="56"/>
      <c r="AI479" s="56"/>
      <c r="AJ479" s="56"/>
    </row>
    <row r="480" spans="1:36" ht="15" customHeight="1" x14ac:dyDescent="0.3">
      <c r="A480" s="303" t="s">
        <v>2311</v>
      </c>
      <c r="B480" s="66"/>
      <c r="C480" s="51"/>
      <c r="D480" s="51"/>
      <c r="E480" s="264"/>
      <c r="F480" s="264"/>
      <c r="G480" s="264"/>
      <c r="H480" s="264"/>
      <c r="I480" s="264"/>
      <c r="J480" s="134"/>
      <c r="K480" s="264"/>
      <c r="L480" s="264"/>
      <c r="M480" s="134"/>
      <c r="N480" s="264"/>
      <c r="O480" s="134"/>
      <c r="P480" s="264"/>
      <c r="Q480" s="404"/>
      <c r="R480" s="264"/>
      <c r="S480" s="264"/>
      <c r="T480" s="38"/>
      <c r="U480" s="264"/>
      <c r="V480" s="264"/>
      <c r="W480" s="264"/>
      <c r="X480" s="328"/>
      <c r="Y480" s="48"/>
      <c r="Z480" s="285"/>
      <c r="AA480" s="285"/>
      <c r="AB480" s="285"/>
      <c r="AC480" s="285"/>
      <c r="AD480" s="285"/>
      <c r="AE480" s="285"/>
      <c r="AF480" s="9"/>
      <c r="AG480" s="40"/>
      <c r="AH480" s="56"/>
      <c r="AI480" s="56"/>
      <c r="AJ480" s="56"/>
    </row>
    <row r="481" spans="1:36" x14ac:dyDescent="0.3">
      <c r="A481" s="59">
        <f>A478+1</f>
        <v>342</v>
      </c>
      <c r="B481" s="66" t="s">
        <v>2312</v>
      </c>
      <c r="C481" s="51">
        <f>D481+K481+L481+N481+P481+R481+S481+U481+V481+W481</f>
        <v>941385.88</v>
      </c>
      <c r="D481" s="51">
        <f>E481+F481+G481+H481+I481</f>
        <v>0</v>
      </c>
      <c r="E481" s="51"/>
      <c r="F481" s="51"/>
      <c r="G481" s="51"/>
      <c r="H481" s="51"/>
      <c r="I481" s="51"/>
      <c r="J481" s="82"/>
      <c r="K481" s="51"/>
      <c r="L481" s="51"/>
      <c r="M481" s="82"/>
      <c r="N481" s="51"/>
      <c r="O481" s="82"/>
      <c r="P481" s="51"/>
      <c r="Q481" s="338"/>
      <c r="R481" s="51"/>
      <c r="S481" s="51"/>
      <c r="T481" s="35"/>
      <c r="U481" s="51"/>
      <c r="V481" s="51"/>
      <c r="W481" s="51">
        <f>SUM('2022'!Y674:AJ674)</f>
        <v>941385.88</v>
      </c>
      <c r="X481" s="304"/>
      <c r="Y481" s="48"/>
      <c r="Z481" s="285"/>
      <c r="AA481" s="285"/>
      <c r="AB481" s="285"/>
      <c r="AC481" s="285"/>
      <c r="AD481" s="285"/>
      <c r="AE481" s="285"/>
      <c r="AF481" s="9"/>
      <c r="AG481" s="40"/>
      <c r="AH481" s="56">
        <v>941385.88</v>
      </c>
      <c r="AI481" s="56"/>
      <c r="AJ481" s="56"/>
    </row>
    <row r="482" spans="1:36" x14ac:dyDescent="0.3">
      <c r="A482" s="59">
        <f>A481+1</f>
        <v>343</v>
      </c>
      <c r="B482" s="66" t="s">
        <v>2313</v>
      </c>
      <c r="C482" s="51">
        <f>D482+K482+L482+N482+P482+R482+S482+U482+V482+W482</f>
        <v>1077271.8799999999</v>
      </c>
      <c r="D482" s="51">
        <f>E482+F482+G482+H482+I482</f>
        <v>0</v>
      </c>
      <c r="E482" s="51"/>
      <c r="F482" s="51"/>
      <c r="G482" s="51"/>
      <c r="H482" s="51"/>
      <c r="I482" s="51"/>
      <c r="J482" s="82"/>
      <c r="K482" s="51"/>
      <c r="L482" s="51"/>
      <c r="M482" s="82"/>
      <c r="N482" s="51"/>
      <c r="O482" s="82"/>
      <c r="P482" s="51"/>
      <c r="Q482" s="338"/>
      <c r="R482" s="51"/>
      <c r="S482" s="51"/>
      <c r="T482" s="35"/>
      <c r="U482" s="51"/>
      <c r="V482" s="51"/>
      <c r="W482" s="51">
        <f>SUM('2022'!Y675:AJ675)</f>
        <v>1077271.8799999999</v>
      </c>
      <c r="X482" s="304"/>
      <c r="Y482" s="48"/>
      <c r="Z482" s="285"/>
      <c r="AA482" s="285"/>
      <c r="AB482" s="285"/>
      <c r="AC482" s="285"/>
      <c r="AD482" s="285"/>
      <c r="AE482" s="285"/>
      <c r="AF482" s="9">
        <v>1077271.8799999999</v>
      </c>
      <c r="AG482" s="40"/>
      <c r="AH482" s="56"/>
      <c r="AI482" s="56"/>
      <c r="AJ482" s="56"/>
    </row>
    <row r="483" spans="1:36" x14ac:dyDescent="0.3">
      <c r="A483" s="59"/>
      <c r="B483" s="66" t="s">
        <v>211</v>
      </c>
      <c r="C483" s="51">
        <f t="shared" ref="C483:R483" si="100">SUM(C481:C482)</f>
        <v>2018657.7599999998</v>
      </c>
      <c r="D483" s="51">
        <f t="shared" si="100"/>
        <v>0</v>
      </c>
      <c r="E483" s="51">
        <f t="shared" si="100"/>
        <v>0</v>
      </c>
      <c r="F483" s="51">
        <f t="shared" si="100"/>
        <v>0</v>
      </c>
      <c r="G483" s="51">
        <f t="shared" si="100"/>
        <v>0</v>
      </c>
      <c r="H483" s="51">
        <f t="shared" si="100"/>
        <v>0</v>
      </c>
      <c r="I483" s="51">
        <f t="shared" si="100"/>
        <v>0</v>
      </c>
      <c r="J483" s="82">
        <f t="shared" si="100"/>
        <v>0</v>
      </c>
      <c r="K483" s="51">
        <f t="shared" si="100"/>
        <v>0</v>
      </c>
      <c r="L483" s="51">
        <f t="shared" si="100"/>
        <v>0</v>
      </c>
      <c r="M483" s="82">
        <f t="shared" si="100"/>
        <v>0</v>
      </c>
      <c r="N483" s="51">
        <f t="shared" si="100"/>
        <v>0</v>
      </c>
      <c r="O483" s="82">
        <f t="shared" si="100"/>
        <v>0</v>
      </c>
      <c r="P483" s="51">
        <f t="shared" si="100"/>
        <v>0</v>
      </c>
      <c r="Q483" s="338">
        <f t="shared" si="100"/>
        <v>0</v>
      </c>
      <c r="R483" s="51">
        <f t="shared" si="100"/>
        <v>0</v>
      </c>
      <c r="S483" s="51">
        <f>SUM(S481:S482)</f>
        <v>0</v>
      </c>
      <c r="T483" s="35">
        <f>SUM(T481:T482)</f>
        <v>0</v>
      </c>
      <c r="U483" s="51">
        <f>SUM(U481:U482)</f>
        <v>0</v>
      </c>
      <c r="V483" s="51">
        <f>SUM(V481:V482)</f>
        <v>0</v>
      </c>
      <c r="W483" s="51">
        <f>SUM(W481:W482)</f>
        <v>2018657.7599999998</v>
      </c>
      <c r="X483" s="304"/>
      <c r="Y483" s="50">
        <f>SUM(Y481:Y482)</f>
        <v>0</v>
      </c>
      <c r="Z483" s="285"/>
      <c r="AA483" s="285"/>
      <c r="AB483" s="285"/>
      <c r="AC483" s="285"/>
      <c r="AD483" s="285"/>
      <c r="AE483" s="285"/>
      <c r="AF483" s="9"/>
      <c r="AG483" s="40"/>
      <c r="AH483" s="56"/>
      <c r="AI483" s="56"/>
      <c r="AJ483" s="56"/>
    </row>
    <row r="484" spans="1:36" ht="15" customHeight="1" x14ac:dyDescent="0.3">
      <c r="A484" s="303" t="s">
        <v>2317</v>
      </c>
      <c r="B484" s="66"/>
      <c r="C484" s="51"/>
      <c r="D484" s="51"/>
      <c r="E484" s="264"/>
      <c r="F484" s="264"/>
      <c r="G484" s="264"/>
      <c r="H484" s="264"/>
      <c r="I484" s="264"/>
      <c r="J484" s="134"/>
      <c r="K484" s="264"/>
      <c r="L484" s="264"/>
      <c r="M484" s="134"/>
      <c r="N484" s="264"/>
      <c r="O484" s="134"/>
      <c r="P484" s="264"/>
      <c r="Q484" s="404"/>
      <c r="R484" s="264"/>
      <c r="S484" s="264"/>
      <c r="T484" s="38"/>
      <c r="U484" s="264"/>
      <c r="V484" s="264"/>
      <c r="W484" s="264"/>
      <c r="X484" s="328"/>
      <c r="Y484" s="48"/>
      <c r="Z484" s="285"/>
      <c r="AA484" s="285"/>
      <c r="AB484" s="285"/>
      <c r="AC484" s="285"/>
      <c r="AD484" s="285"/>
      <c r="AE484" s="285"/>
      <c r="AF484" s="9"/>
      <c r="AG484" s="40"/>
      <c r="AH484" s="56"/>
      <c r="AI484" s="56"/>
      <c r="AJ484" s="56"/>
    </row>
    <row r="485" spans="1:36" ht="16.5" customHeight="1" x14ac:dyDescent="0.3">
      <c r="A485" s="59">
        <f>A482+1</f>
        <v>344</v>
      </c>
      <c r="B485" s="66" t="s">
        <v>2318</v>
      </c>
      <c r="C485" s="51">
        <f>D485+K485+L485+N485+P485+R485+S485+U485+V485+W485</f>
        <v>2914862.41</v>
      </c>
      <c r="D485" s="51">
        <f>E485+F485+G485+H485+I485</f>
        <v>2914862.41</v>
      </c>
      <c r="E485" s="51"/>
      <c r="F485" s="51">
        <v>1998765.42</v>
      </c>
      <c r="G485" s="51"/>
      <c r="H485" s="51"/>
      <c r="I485" s="51">
        <v>916096.99</v>
      </c>
      <c r="J485" s="82"/>
      <c r="K485" s="51"/>
      <c r="L485" s="51"/>
      <c r="M485" s="82"/>
      <c r="N485" s="51"/>
      <c r="O485" s="82"/>
      <c r="P485" s="51"/>
      <c r="Q485" s="338"/>
      <c r="R485" s="51"/>
      <c r="S485" s="51"/>
      <c r="T485" s="35"/>
      <c r="U485" s="51"/>
      <c r="V485" s="51">
        <v>0</v>
      </c>
      <c r="W485" s="51"/>
      <c r="X485" s="304"/>
      <c r="Y485" s="187" t="s">
        <v>2319</v>
      </c>
      <c r="Z485" s="285"/>
      <c r="AA485" s="285"/>
      <c r="AB485" s="285"/>
      <c r="AC485" s="285"/>
      <c r="AD485" s="285"/>
      <c r="AE485" s="285"/>
      <c r="AF485" s="9"/>
      <c r="AG485" s="40"/>
      <c r="AH485" s="56"/>
      <c r="AI485" s="56">
        <v>166262.53</v>
      </c>
      <c r="AJ485" s="56"/>
    </row>
    <row r="486" spans="1:36" ht="14.25" customHeight="1" x14ac:dyDescent="0.3">
      <c r="A486" s="59">
        <f>A485+1</f>
        <v>345</v>
      </c>
      <c r="B486" s="66" t="s">
        <v>2320</v>
      </c>
      <c r="C486" s="51">
        <f>D486+K486+L486+N486+P486+R486+S486+U486+V486+W486</f>
        <v>2914862.41</v>
      </c>
      <c r="D486" s="51">
        <f>E486+F486+G486+H486+I486</f>
        <v>2914862.41</v>
      </c>
      <c r="E486" s="51"/>
      <c r="F486" s="51">
        <v>1998765.42</v>
      </c>
      <c r="G486" s="51"/>
      <c r="H486" s="51"/>
      <c r="I486" s="51">
        <v>916096.99</v>
      </c>
      <c r="J486" s="82"/>
      <c r="K486" s="51"/>
      <c r="L486" s="51"/>
      <c r="M486" s="82"/>
      <c r="N486" s="51"/>
      <c r="O486" s="82"/>
      <c r="P486" s="51"/>
      <c r="Q486" s="338"/>
      <c r="R486" s="51"/>
      <c r="S486" s="51"/>
      <c r="T486" s="35"/>
      <c r="U486" s="51"/>
      <c r="V486" s="51">
        <v>0</v>
      </c>
      <c r="W486" s="51"/>
      <c r="X486" s="304"/>
      <c r="Y486" s="187" t="s">
        <v>2319</v>
      </c>
      <c r="Z486" s="285"/>
      <c r="AA486" s="285"/>
      <c r="AB486" s="285"/>
      <c r="AC486" s="285"/>
      <c r="AD486" s="285"/>
      <c r="AE486" s="285"/>
      <c r="AF486" s="9"/>
      <c r="AG486" s="40"/>
      <c r="AH486" s="56"/>
      <c r="AI486" s="56">
        <v>166262.53</v>
      </c>
      <c r="AJ486" s="56"/>
    </row>
    <row r="487" spans="1:36" ht="18.75" customHeight="1" x14ac:dyDescent="0.3">
      <c r="A487" s="59">
        <f>A486+1</f>
        <v>346</v>
      </c>
      <c r="B487" s="66" t="s">
        <v>2321</v>
      </c>
      <c r="C487" s="51">
        <f>D487+K487+L487+N487+P487+R487+S487+U487+V487+W487</f>
        <v>2914862.41</v>
      </c>
      <c r="D487" s="51">
        <f>E487+F487+G487+H487+I487</f>
        <v>2914862.41</v>
      </c>
      <c r="E487" s="51"/>
      <c r="F487" s="51">
        <v>1998765.42</v>
      </c>
      <c r="G487" s="51"/>
      <c r="H487" s="51"/>
      <c r="I487" s="51">
        <v>916096.99</v>
      </c>
      <c r="J487" s="82"/>
      <c r="K487" s="51"/>
      <c r="L487" s="51"/>
      <c r="M487" s="82"/>
      <c r="N487" s="51"/>
      <c r="O487" s="82"/>
      <c r="P487" s="51"/>
      <c r="Q487" s="338"/>
      <c r="R487" s="51"/>
      <c r="S487" s="51"/>
      <c r="T487" s="35"/>
      <c r="U487" s="51"/>
      <c r="V487" s="51">
        <v>0</v>
      </c>
      <c r="W487" s="51"/>
      <c r="X487" s="304"/>
      <c r="Y487" s="187" t="s">
        <v>2319</v>
      </c>
      <c r="Z487" s="285"/>
      <c r="AA487" s="285"/>
      <c r="AB487" s="285"/>
      <c r="AC487" s="285"/>
      <c r="AD487" s="285"/>
      <c r="AE487" s="285"/>
      <c r="AF487" s="9"/>
      <c r="AG487" s="40"/>
      <c r="AH487" s="56"/>
      <c r="AI487" s="56">
        <v>166262.53</v>
      </c>
      <c r="AJ487" s="56"/>
    </row>
    <row r="488" spans="1:36" x14ac:dyDescent="0.3">
      <c r="A488" s="59">
        <f>A487+1</f>
        <v>347</v>
      </c>
      <c r="B488" s="66" t="s">
        <v>2322</v>
      </c>
      <c r="C488" s="51">
        <f>D488+K488+L488+N488+P488+R488+S488+U488+V488+W488</f>
        <v>4326215.55</v>
      </c>
      <c r="D488" s="51">
        <f>E488+F488+G488+H488+I488</f>
        <v>4030697.16</v>
      </c>
      <c r="E488" s="51"/>
      <c r="F488" s="51">
        <v>1998765.42</v>
      </c>
      <c r="G488" s="51">
        <v>551053.31000000006</v>
      </c>
      <c r="H488" s="51">
        <v>564781.43999999994</v>
      </c>
      <c r="I488" s="51">
        <v>916096.99</v>
      </c>
      <c r="J488" s="82"/>
      <c r="K488" s="51"/>
      <c r="L488" s="51"/>
      <c r="M488" s="82"/>
      <c r="N488" s="51"/>
      <c r="O488" s="82"/>
      <c r="P488" s="51"/>
      <c r="Q488" s="338"/>
      <c r="R488" s="51"/>
      <c r="S488" s="51"/>
      <c r="T488" s="35"/>
      <c r="U488" s="51"/>
      <c r="V488" s="51">
        <v>295518.39</v>
      </c>
      <c r="W488" s="51"/>
      <c r="X488" s="304"/>
      <c r="Y488" s="187"/>
      <c r="Z488" s="285"/>
      <c r="AA488" s="285"/>
      <c r="AB488" s="285"/>
      <c r="AC488" s="285"/>
      <c r="AD488" s="285"/>
      <c r="AE488" s="285"/>
      <c r="AF488" s="9"/>
      <c r="AG488" s="40"/>
      <c r="AH488" s="56"/>
      <c r="AI488" s="56"/>
      <c r="AJ488" s="56"/>
    </row>
    <row r="489" spans="1:36" x14ac:dyDescent="0.3">
      <c r="A489" s="59">
        <f>A488+1</f>
        <v>348</v>
      </c>
      <c r="B489" s="66" t="s">
        <v>2323</v>
      </c>
      <c r="C489" s="51">
        <f>D489+K489+L489+N489+P489+R489+S489+U489+V489+W489</f>
        <v>4326215.55</v>
      </c>
      <c r="D489" s="51">
        <f>E489+F489+G489+H489+I489</f>
        <v>4030697.16</v>
      </c>
      <c r="E489" s="51"/>
      <c r="F489" s="51">
        <v>1998765.42</v>
      </c>
      <c r="G489" s="51">
        <v>551053.31000000006</v>
      </c>
      <c r="H489" s="51">
        <v>564781.43999999994</v>
      </c>
      <c r="I489" s="51">
        <v>916096.99</v>
      </c>
      <c r="J489" s="82"/>
      <c r="K489" s="51"/>
      <c r="L489" s="51"/>
      <c r="M489" s="82"/>
      <c r="N489" s="51"/>
      <c r="O489" s="82"/>
      <c r="P489" s="51"/>
      <c r="Q489" s="338"/>
      <c r="R489" s="51"/>
      <c r="S489" s="51"/>
      <c r="T489" s="35"/>
      <c r="U489" s="51"/>
      <c r="V489" s="51">
        <v>295518.39</v>
      </c>
      <c r="W489" s="51"/>
      <c r="X489" s="304"/>
      <c r="Y489" s="187"/>
      <c r="Z489" s="285"/>
      <c r="AA489" s="285"/>
      <c r="AB489" s="285"/>
      <c r="AC489" s="285"/>
      <c r="AD489" s="285"/>
      <c r="AE489" s="285"/>
      <c r="AF489" s="9"/>
      <c r="AG489" s="40"/>
      <c r="AH489" s="56"/>
      <c r="AI489" s="56"/>
      <c r="AJ489" s="56"/>
    </row>
    <row r="490" spans="1:36" x14ac:dyDescent="0.3">
      <c r="A490" s="59"/>
      <c r="B490" s="66" t="s">
        <v>211</v>
      </c>
      <c r="C490" s="51">
        <f t="shared" ref="C490:R490" si="101">SUM(C485:C489)</f>
        <v>17397018.330000002</v>
      </c>
      <c r="D490" s="51">
        <f t="shared" si="101"/>
        <v>16805981.550000001</v>
      </c>
      <c r="E490" s="51">
        <f t="shared" si="101"/>
        <v>0</v>
      </c>
      <c r="F490" s="51">
        <f t="shared" si="101"/>
        <v>9993827.0999999996</v>
      </c>
      <c r="G490" s="51">
        <f t="shared" si="101"/>
        <v>1102106.6200000001</v>
      </c>
      <c r="H490" s="51">
        <f t="shared" si="101"/>
        <v>1129562.8799999999</v>
      </c>
      <c r="I490" s="51">
        <f t="shared" si="101"/>
        <v>4580484.95</v>
      </c>
      <c r="J490" s="82">
        <f t="shared" si="101"/>
        <v>0</v>
      </c>
      <c r="K490" s="51">
        <f t="shared" si="101"/>
        <v>0</v>
      </c>
      <c r="L490" s="51">
        <f t="shared" si="101"/>
        <v>0</v>
      </c>
      <c r="M490" s="82">
        <f t="shared" si="101"/>
        <v>0</v>
      </c>
      <c r="N490" s="51">
        <f t="shared" si="101"/>
        <v>0</v>
      </c>
      <c r="O490" s="82">
        <f t="shared" si="101"/>
        <v>0</v>
      </c>
      <c r="P490" s="51">
        <f t="shared" si="101"/>
        <v>0</v>
      </c>
      <c r="Q490" s="338">
        <f t="shared" si="101"/>
        <v>0</v>
      </c>
      <c r="R490" s="51">
        <f t="shared" si="101"/>
        <v>0</v>
      </c>
      <c r="S490" s="51">
        <f>SUM(S485:S489)</f>
        <v>0</v>
      </c>
      <c r="T490" s="35">
        <f>SUM(T485:T489)</f>
        <v>0</v>
      </c>
      <c r="U490" s="51">
        <f>SUM(U485:U489)</f>
        <v>0</v>
      </c>
      <c r="V490" s="51">
        <f>SUM(V485:V489)</f>
        <v>591036.78</v>
      </c>
      <c r="W490" s="51">
        <f>SUM(W485:W489)</f>
        <v>0</v>
      </c>
      <c r="X490" s="304"/>
      <c r="Y490" s="50">
        <f>SUM(Y485:Y489)</f>
        <v>0</v>
      </c>
      <c r="Z490" s="285"/>
      <c r="AA490" s="285"/>
      <c r="AB490" s="285"/>
      <c r="AC490" s="285"/>
      <c r="AD490" s="285"/>
      <c r="AE490" s="285"/>
      <c r="AF490" s="9"/>
      <c r="AG490" s="40"/>
      <c r="AH490" s="56"/>
      <c r="AI490" s="56"/>
      <c r="AJ490" s="56"/>
    </row>
    <row r="491" spans="1:36" ht="15" customHeight="1" x14ac:dyDescent="0.3">
      <c r="A491" s="303" t="s">
        <v>2324</v>
      </c>
      <c r="B491" s="66"/>
      <c r="C491" s="51"/>
      <c r="D491" s="51"/>
      <c r="E491" s="264"/>
      <c r="F491" s="264"/>
      <c r="G491" s="264"/>
      <c r="H491" s="264"/>
      <c r="I491" s="264"/>
      <c r="J491" s="134"/>
      <c r="K491" s="264"/>
      <c r="L491" s="264"/>
      <c r="M491" s="134"/>
      <c r="N491" s="264"/>
      <c r="O491" s="134"/>
      <c r="P491" s="264"/>
      <c r="Q491" s="404"/>
      <c r="R491" s="264"/>
      <c r="S491" s="264"/>
      <c r="T491" s="38"/>
      <c r="U491" s="264"/>
      <c r="V491" s="264"/>
      <c r="W491" s="264"/>
      <c r="X491" s="328"/>
      <c r="Y491" s="48"/>
      <c r="Z491" s="285"/>
      <c r="AA491" s="285"/>
      <c r="AB491" s="285"/>
      <c r="AC491" s="285"/>
      <c r="AD491" s="285"/>
      <c r="AE491" s="285"/>
      <c r="AF491" s="9"/>
      <c r="AG491" s="40"/>
      <c r="AH491" s="56"/>
      <c r="AI491" s="56"/>
      <c r="AJ491" s="56"/>
    </row>
    <row r="492" spans="1:36" x14ac:dyDescent="0.3">
      <c r="A492" s="59">
        <f>A489+1</f>
        <v>349</v>
      </c>
      <c r="B492" s="66" t="s">
        <v>2326</v>
      </c>
      <c r="C492" s="51">
        <f>D492+K492+L492+N492+P492+R492+S492+U492+V492+W492</f>
        <v>150506.64000000001</v>
      </c>
      <c r="D492" s="51">
        <f>E492+F492+G492+H492+I492</f>
        <v>150506.64000000001</v>
      </c>
      <c r="E492" s="51"/>
      <c r="F492" s="51"/>
      <c r="G492" s="51"/>
      <c r="H492" s="51"/>
      <c r="I492" s="51">
        <v>150506.64000000001</v>
      </c>
      <c r="J492" s="82"/>
      <c r="K492" s="51"/>
      <c r="L492" s="51"/>
      <c r="M492" s="82"/>
      <c r="N492" s="51"/>
      <c r="O492" s="82"/>
      <c r="P492" s="51"/>
      <c r="Q492" s="338"/>
      <c r="R492" s="51"/>
      <c r="S492" s="51"/>
      <c r="T492" s="35"/>
      <c r="U492" s="51"/>
      <c r="V492" s="51"/>
      <c r="W492" s="51"/>
      <c r="X492" s="304"/>
      <c r="Y492" s="48"/>
      <c r="Z492" s="285"/>
      <c r="AA492" s="285"/>
      <c r="AB492" s="285"/>
      <c r="AC492" s="285"/>
      <c r="AD492" s="285"/>
      <c r="AE492" s="285"/>
      <c r="AF492" s="9"/>
      <c r="AG492" s="40"/>
      <c r="AH492" s="56"/>
      <c r="AI492" s="56"/>
      <c r="AJ492" s="56"/>
    </row>
    <row r="493" spans="1:36" x14ac:dyDescent="0.3">
      <c r="A493" s="59"/>
      <c r="B493" s="66" t="s">
        <v>211</v>
      </c>
      <c r="C493" s="51">
        <f t="shared" ref="C493:R493" si="102">SUM(C492:C492)</f>
        <v>150506.64000000001</v>
      </c>
      <c r="D493" s="51">
        <f t="shared" si="102"/>
        <v>150506.64000000001</v>
      </c>
      <c r="E493" s="51">
        <f t="shared" si="102"/>
        <v>0</v>
      </c>
      <c r="F493" s="51">
        <f t="shared" si="102"/>
        <v>0</v>
      </c>
      <c r="G493" s="51">
        <f t="shared" si="102"/>
        <v>0</v>
      </c>
      <c r="H493" s="51">
        <f t="shared" si="102"/>
        <v>0</v>
      </c>
      <c r="I493" s="51">
        <f t="shared" si="102"/>
        <v>150506.64000000001</v>
      </c>
      <c r="J493" s="82">
        <f t="shared" si="102"/>
        <v>0</v>
      </c>
      <c r="K493" s="51">
        <f t="shared" si="102"/>
        <v>0</v>
      </c>
      <c r="L493" s="51">
        <f t="shared" si="102"/>
        <v>0</v>
      </c>
      <c r="M493" s="82">
        <f t="shared" si="102"/>
        <v>0</v>
      </c>
      <c r="N493" s="51">
        <f t="shared" si="102"/>
        <v>0</v>
      </c>
      <c r="O493" s="82">
        <f t="shared" si="102"/>
        <v>0</v>
      </c>
      <c r="P493" s="51">
        <f t="shared" si="102"/>
        <v>0</v>
      </c>
      <c r="Q493" s="338">
        <f t="shared" si="102"/>
        <v>0</v>
      </c>
      <c r="R493" s="51">
        <f t="shared" si="102"/>
        <v>0</v>
      </c>
      <c r="S493" s="51">
        <f>SUM(S492:S492)</f>
        <v>0</v>
      </c>
      <c r="T493" s="35">
        <f>SUM(T492:T492)</f>
        <v>0</v>
      </c>
      <c r="U493" s="51">
        <f>SUM(U492:U492)</f>
        <v>0</v>
      </c>
      <c r="V493" s="51">
        <f>SUM(V492:V492)</f>
        <v>0</v>
      </c>
      <c r="W493" s="51">
        <f>SUM(W492:W492)</f>
        <v>0</v>
      </c>
      <c r="X493" s="304"/>
      <c r="Y493" s="50">
        <f>SUM(Y492:Y492)</f>
        <v>0</v>
      </c>
      <c r="Z493" s="285"/>
      <c r="AA493" s="285"/>
      <c r="AB493" s="285"/>
      <c r="AC493" s="285"/>
      <c r="AD493" s="285"/>
      <c r="AE493" s="285"/>
      <c r="AF493" s="9"/>
      <c r="AG493" s="40"/>
      <c r="AH493" s="56"/>
      <c r="AI493" s="56"/>
      <c r="AJ493" s="56"/>
    </row>
    <row r="494" spans="1:36" ht="15" customHeight="1" x14ac:dyDescent="0.3">
      <c r="A494" s="303" t="s">
        <v>2335</v>
      </c>
      <c r="B494" s="66"/>
      <c r="C494" s="51"/>
      <c r="D494" s="51"/>
      <c r="E494" s="264"/>
      <c r="F494" s="264"/>
      <c r="G494" s="264"/>
      <c r="H494" s="264"/>
      <c r="I494" s="264"/>
      <c r="J494" s="134"/>
      <c r="K494" s="264"/>
      <c r="L494" s="264"/>
      <c r="M494" s="134"/>
      <c r="N494" s="264"/>
      <c r="O494" s="134"/>
      <c r="P494" s="264"/>
      <c r="Q494" s="404"/>
      <c r="R494" s="264"/>
      <c r="S494" s="264"/>
      <c r="T494" s="38"/>
      <c r="U494" s="264"/>
      <c r="V494" s="264"/>
      <c r="W494" s="264"/>
      <c r="X494" s="328"/>
      <c r="Y494" s="48"/>
      <c r="Z494" s="285"/>
      <c r="AA494" s="285"/>
      <c r="AB494" s="285"/>
      <c r="AC494" s="285"/>
      <c r="AD494" s="285"/>
      <c r="AE494" s="285"/>
      <c r="AF494" s="9"/>
      <c r="AG494" s="40"/>
      <c r="AH494" s="56"/>
      <c r="AI494" s="56"/>
      <c r="AJ494" s="56"/>
    </row>
    <row r="495" spans="1:36" x14ac:dyDescent="0.3">
      <c r="A495" s="59">
        <f>A492+1</f>
        <v>350</v>
      </c>
      <c r="B495" s="66" t="s">
        <v>2338</v>
      </c>
      <c r="C495" s="51">
        <f>D495+K495+L495+N495+P495+R495+S495+U495+V495+W495</f>
        <v>920507.38</v>
      </c>
      <c r="D495" s="51">
        <f>E495+F495+G495+H495+I495</f>
        <v>920507.38</v>
      </c>
      <c r="E495" s="51"/>
      <c r="F495" s="51"/>
      <c r="G495" s="51"/>
      <c r="H495" s="51"/>
      <c r="I495" s="51">
        <v>920507.38</v>
      </c>
      <c r="J495" s="82"/>
      <c r="K495" s="51"/>
      <c r="L495" s="51"/>
      <c r="M495" s="82"/>
      <c r="N495" s="51"/>
      <c r="O495" s="82"/>
      <c r="P495" s="51"/>
      <c r="Q495" s="338"/>
      <c r="R495" s="51"/>
      <c r="S495" s="51"/>
      <c r="T495" s="35"/>
      <c r="U495" s="51"/>
      <c r="V495" s="51"/>
      <c r="W495" s="51"/>
      <c r="X495" s="304"/>
      <c r="Y495" s="48"/>
      <c r="Z495" s="285"/>
      <c r="AA495" s="285"/>
      <c r="AB495" s="285"/>
      <c r="AC495" s="285"/>
      <c r="AD495" s="285"/>
      <c r="AE495" s="285"/>
      <c r="AF495" s="9"/>
      <c r="AG495" s="40"/>
      <c r="AH495" s="56"/>
      <c r="AI495" s="56"/>
      <c r="AJ495" s="56"/>
    </row>
    <row r="496" spans="1:36" x14ac:dyDescent="0.3">
      <c r="A496" s="59">
        <f>A495+1</f>
        <v>351</v>
      </c>
      <c r="B496" s="66" t="s">
        <v>2339</v>
      </c>
      <c r="C496" s="51">
        <f>D496+K496+L496+N496+P496+R496+S496+U496+V496+W496</f>
        <v>578492.64</v>
      </c>
      <c r="D496" s="51">
        <f>E496+F496+G496+H496+I496</f>
        <v>564056.52</v>
      </c>
      <c r="E496" s="51">
        <v>169128.22</v>
      </c>
      <c r="F496" s="51"/>
      <c r="G496" s="51"/>
      <c r="H496" s="51"/>
      <c r="I496" s="51">
        <v>394928.3</v>
      </c>
      <c r="J496" s="82"/>
      <c r="K496" s="51"/>
      <c r="L496" s="51"/>
      <c r="M496" s="82"/>
      <c r="N496" s="51"/>
      <c r="O496" s="82"/>
      <c r="P496" s="51"/>
      <c r="Q496" s="338"/>
      <c r="R496" s="51"/>
      <c r="S496" s="51"/>
      <c r="T496" s="35"/>
      <c r="U496" s="51"/>
      <c r="V496" s="51">
        <v>14436.12</v>
      </c>
      <c r="W496" s="51"/>
      <c r="X496" s="304"/>
      <c r="Y496" s="48"/>
      <c r="Z496" s="285"/>
      <c r="AA496" s="285"/>
      <c r="AB496" s="285"/>
      <c r="AC496" s="285"/>
      <c r="AD496" s="285"/>
      <c r="AE496" s="285"/>
      <c r="AF496" s="9"/>
      <c r="AG496" s="40"/>
      <c r="AH496" s="56"/>
      <c r="AI496" s="56"/>
      <c r="AJ496" s="56"/>
    </row>
    <row r="497" spans="1:36" x14ac:dyDescent="0.3">
      <c r="A497" s="59">
        <f>A496+1</f>
        <v>352</v>
      </c>
      <c r="B497" s="66" t="s">
        <v>2341</v>
      </c>
      <c r="C497" s="51">
        <f>D497+K497+L497+N497+P497+R497+S497+U497+V497+W497</f>
        <v>834637.6</v>
      </c>
      <c r="D497" s="51">
        <f>E497+F497+G497+H497+I497</f>
        <v>834637.6</v>
      </c>
      <c r="E497" s="51"/>
      <c r="F497" s="51"/>
      <c r="G497" s="51"/>
      <c r="H497" s="51"/>
      <c r="I497" s="51">
        <v>834637.6</v>
      </c>
      <c r="J497" s="82"/>
      <c r="K497" s="51"/>
      <c r="L497" s="51"/>
      <c r="M497" s="82"/>
      <c r="N497" s="51"/>
      <c r="O497" s="82"/>
      <c r="P497" s="51"/>
      <c r="Q497" s="338"/>
      <c r="R497" s="51"/>
      <c r="S497" s="51"/>
      <c r="T497" s="35"/>
      <c r="U497" s="51"/>
      <c r="V497" s="51"/>
      <c r="W497" s="51"/>
      <c r="X497" s="304"/>
      <c r="Y497" s="48"/>
      <c r="Z497" s="285"/>
      <c r="AA497" s="285"/>
      <c r="AB497" s="285"/>
      <c r="AC497" s="285"/>
      <c r="AD497" s="285"/>
      <c r="AE497" s="285"/>
      <c r="AF497" s="9"/>
      <c r="AG497" s="40"/>
      <c r="AH497" s="56"/>
      <c r="AI497" s="56"/>
      <c r="AJ497" s="56"/>
    </row>
    <row r="498" spans="1:36" x14ac:dyDescent="0.3">
      <c r="A498" s="59"/>
      <c r="B498" s="66" t="s">
        <v>211</v>
      </c>
      <c r="C498" s="51">
        <f t="shared" ref="C498:R498" si="103">SUM(C495:C497)</f>
        <v>2333637.62</v>
      </c>
      <c r="D498" s="51">
        <f t="shared" si="103"/>
        <v>2319201.5</v>
      </c>
      <c r="E498" s="51">
        <f t="shared" si="103"/>
        <v>169128.22</v>
      </c>
      <c r="F498" s="51">
        <f t="shared" si="103"/>
        <v>0</v>
      </c>
      <c r="G498" s="51">
        <f t="shared" si="103"/>
        <v>0</v>
      </c>
      <c r="H498" s="51">
        <f t="shared" si="103"/>
        <v>0</v>
      </c>
      <c r="I498" s="51">
        <f t="shared" si="103"/>
        <v>2150073.2799999998</v>
      </c>
      <c r="J498" s="82">
        <f t="shared" si="103"/>
        <v>0</v>
      </c>
      <c r="K498" s="51">
        <f t="shared" si="103"/>
        <v>0</v>
      </c>
      <c r="L498" s="51">
        <f t="shared" si="103"/>
        <v>0</v>
      </c>
      <c r="M498" s="82">
        <f t="shared" si="103"/>
        <v>0</v>
      </c>
      <c r="N498" s="51">
        <f t="shared" si="103"/>
        <v>0</v>
      </c>
      <c r="O498" s="82">
        <f t="shared" si="103"/>
        <v>0</v>
      </c>
      <c r="P498" s="51">
        <f t="shared" si="103"/>
        <v>0</v>
      </c>
      <c r="Q498" s="338">
        <f t="shared" si="103"/>
        <v>0</v>
      </c>
      <c r="R498" s="51">
        <f t="shared" si="103"/>
        <v>0</v>
      </c>
      <c r="S498" s="51">
        <f>SUM(S495:S497)</f>
        <v>0</v>
      </c>
      <c r="T498" s="35">
        <f>SUM(T495:T497)</f>
        <v>0</v>
      </c>
      <c r="U498" s="51">
        <f>SUM(U495:U497)</f>
        <v>0</v>
      </c>
      <c r="V498" s="51">
        <f>SUM(V495:V497)</f>
        <v>14436.12</v>
      </c>
      <c r="W498" s="51">
        <f>SUM(W495:W497)</f>
        <v>0</v>
      </c>
      <c r="X498" s="304"/>
      <c r="Y498" s="50">
        <f>SUM(Y495:Y497)</f>
        <v>0</v>
      </c>
      <c r="Z498" s="285"/>
      <c r="AA498" s="285"/>
      <c r="AB498" s="285"/>
      <c r="AC498" s="285"/>
      <c r="AD498" s="285"/>
      <c r="AE498" s="285"/>
      <c r="AF498" s="9"/>
      <c r="AG498" s="40"/>
      <c r="AH498" s="56"/>
      <c r="AI498" s="56"/>
      <c r="AJ498" s="56"/>
    </row>
    <row r="499" spans="1:36" ht="15" customHeight="1" x14ac:dyDescent="0.3">
      <c r="A499" s="303" t="s">
        <v>2343</v>
      </c>
      <c r="B499" s="66"/>
      <c r="C499" s="51"/>
      <c r="D499" s="51"/>
      <c r="E499" s="264"/>
      <c r="F499" s="264"/>
      <c r="G499" s="264"/>
      <c r="H499" s="264"/>
      <c r="I499" s="264"/>
      <c r="J499" s="134"/>
      <c r="K499" s="264"/>
      <c r="L499" s="264"/>
      <c r="M499" s="134"/>
      <c r="N499" s="264"/>
      <c r="O499" s="134"/>
      <c r="P499" s="264"/>
      <c r="Q499" s="404"/>
      <c r="R499" s="264"/>
      <c r="S499" s="264"/>
      <c r="T499" s="38"/>
      <c r="U499" s="264"/>
      <c r="V499" s="264"/>
      <c r="W499" s="264"/>
      <c r="X499" s="328"/>
      <c r="Y499" s="48"/>
      <c r="Z499" s="285"/>
      <c r="AA499" s="285"/>
      <c r="AB499" s="285"/>
      <c r="AC499" s="285"/>
      <c r="AD499" s="285"/>
      <c r="AE499" s="285"/>
      <c r="AF499" s="9"/>
      <c r="AG499" s="40"/>
      <c r="AH499" s="56"/>
      <c r="AI499" s="56"/>
      <c r="AJ499" s="56"/>
    </row>
    <row r="500" spans="1:36" x14ac:dyDescent="0.3">
      <c r="A500" s="59">
        <f>A497+1</f>
        <v>353</v>
      </c>
      <c r="B500" s="66" t="s">
        <v>2345</v>
      </c>
      <c r="C500" s="51">
        <f t="shared" ref="C500:C518" si="104">D500+K500+L500+N500+P500+R500+S500+U500+V500+W500</f>
        <v>817487.2</v>
      </c>
      <c r="D500" s="51">
        <f t="shared" ref="D500:D518" si="105">E500+F500+G500+H500+I500</f>
        <v>817487.2</v>
      </c>
      <c r="E500" s="51"/>
      <c r="F500" s="51">
        <v>629729</v>
      </c>
      <c r="G500" s="51">
        <v>112951.2</v>
      </c>
      <c r="H500" s="51">
        <v>0</v>
      </c>
      <c r="I500" s="51">
        <v>74807</v>
      </c>
      <c r="J500" s="82"/>
      <c r="K500" s="51"/>
      <c r="L500" s="51"/>
      <c r="M500" s="82"/>
      <c r="N500" s="51"/>
      <c r="O500" s="82"/>
      <c r="P500" s="51"/>
      <c r="Q500" s="338"/>
      <c r="R500" s="51"/>
      <c r="S500" s="51"/>
      <c r="T500" s="35"/>
      <c r="U500" s="51"/>
      <c r="V500" s="51"/>
      <c r="W500" s="51"/>
      <c r="X500" s="304"/>
      <c r="Y500" s="48"/>
      <c r="Z500" s="285"/>
      <c r="AA500" s="285"/>
      <c r="AB500" s="285"/>
      <c r="AC500" s="285"/>
      <c r="AD500" s="285"/>
      <c r="AE500" s="285">
        <v>72107.14</v>
      </c>
      <c r="AF500" s="9">
        <v>141173.23000000001</v>
      </c>
      <c r="AG500" s="40"/>
      <c r="AH500" s="56">
        <v>378795.47</v>
      </c>
      <c r="AI500" s="56">
        <v>131115.37</v>
      </c>
      <c r="AJ500" s="56"/>
    </row>
    <row r="501" spans="1:36" x14ac:dyDescent="0.3">
      <c r="A501" s="59">
        <f>A500+1</f>
        <v>354</v>
      </c>
      <c r="B501" s="66" t="s">
        <v>2347</v>
      </c>
      <c r="C501" s="51">
        <f t="shared" si="104"/>
        <v>341854.26</v>
      </c>
      <c r="D501" s="51">
        <f t="shared" si="105"/>
        <v>341854.26</v>
      </c>
      <c r="E501" s="51">
        <v>341854.26</v>
      </c>
      <c r="F501" s="51"/>
      <c r="G501" s="51"/>
      <c r="H501" s="51"/>
      <c r="I501" s="51"/>
      <c r="J501" s="82"/>
      <c r="K501" s="51"/>
      <c r="L501" s="51"/>
      <c r="M501" s="82"/>
      <c r="N501" s="51"/>
      <c r="O501" s="82"/>
      <c r="P501" s="51"/>
      <c r="Q501" s="338"/>
      <c r="R501" s="51"/>
      <c r="S501" s="51"/>
      <c r="T501" s="35"/>
      <c r="U501" s="51"/>
      <c r="V501" s="51"/>
      <c r="W501" s="51"/>
      <c r="X501" s="304"/>
      <c r="Y501" s="48"/>
      <c r="Z501" s="285"/>
      <c r="AA501" s="285"/>
      <c r="AB501" s="285">
        <v>88932.59</v>
      </c>
      <c r="AC501" s="285"/>
      <c r="AD501" s="285">
        <v>108883.45</v>
      </c>
      <c r="AE501" s="285"/>
      <c r="AF501" s="9">
        <v>165519.13</v>
      </c>
      <c r="AG501" s="40"/>
      <c r="AH501" s="56"/>
      <c r="AI501" s="56"/>
      <c r="AJ501" s="56"/>
    </row>
    <row r="502" spans="1:36" x14ac:dyDescent="0.3">
      <c r="A502" s="59">
        <f>A501+1</f>
        <v>355</v>
      </c>
      <c r="B502" s="66" t="s">
        <v>2356</v>
      </c>
      <c r="C502" s="51">
        <f t="shared" si="104"/>
        <v>6365402.1199999992</v>
      </c>
      <c r="D502" s="51">
        <f t="shared" si="105"/>
        <v>1783699.4000000001</v>
      </c>
      <c r="E502" s="51">
        <v>519063.6</v>
      </c>
      <c r="F502" s="51">
        <v>1070332</v>
      </c>
      <c r="G502" s="51">
        <v>111052.8</v>
      </c>
      <c r="H502" s="51"/>
      <c r="I502" s="51">
        <v>83251</v>
      </c>
      <c r="J502" s="82"/>
      <c r="K502" s="51"/>
      <c r="L502" s="51"/>
      <c r="M502" s="82">
        <v>293.7</v>
      </c>
      <c r="N502" s="51">
        <v>2089549.2</v>
      </c>
      <c r="O502" s="82"/>
      <c r="P502" s="51"/>
      <c r="Q502" s="338"/>
      <c r="R502" s="51"/>
      <c r="S502" s="51"/>
      <c r="T502" s="35">
        <v>42.59</v>
      </c>
      <c r="U502" s="51">
        <v>2481576</v>
      </c>
      <c r="V502" s="51">
        <v>10577.52</v>
      </c>
      <c r="W502" s="51"/>
      <c r="X502" s="304"/>
      <c r="Y502" s="48"/>
      <c r="Z502" s="285"/>
      <c r="AA502" s="285"/>
      <c r="AB502" s="285"/>
      <c r="AC502" s="285"/>
      <c r="AD502" s="285"/>
      <c r="AE502" s="285"/>
      <c r="AF502" s="9"/>
      <c r="AG502" s="40"/>
      <c r="AH502" s="56"/>
      <c r="AI502" s="56"/>
      <c r="AJ502" s="56"/>
    </row>
    <row r="503" spans="1:36" x14ac:dyDescent="0.3">
      <c r="A503" s="59">
        <f>A502+1</f>
        <v>356</v>
      </c>
      <c r="B503" s="66" t="s">
        <v>2357</v>
      </c>
      <c r="C503" s="51">
        <f t="shared" si="104"/>
        <v>2573526.9</v>
      </c>
      <c r="D503" s="51">
        <f t="shared" si="105"/>
        <v>2573526.9</v>
      </c>
      <c r="E503" s="51">
        <v>2573526.9</v>
      </c>
      <c r="F503" s="51"/>
      <c r="G503" s="51"/>
      <c r="H503" s="51"/>
      <c r="I503" s="51"/>
      <c r="J503" s="82"/>
      <c r="K503" s="51"/>
      <c r="L503" s="51"/>
      <c r="M503" s="82"/>
      <c r="N503" s="51"/>
      <c r="O503" s="82"/>
      <c r="P503" s="51"/>
      <c r="Q503" s="338"/>
      <c r="R503" s="51"/>
      <c r="S503" s="51"/>
      <c r="T503" s="35"/>
      <c r="U503" s="51"/>
      <c r="V503" s="51"/>
      <c r="W503" s="51"/>
      <c r="X503" s="304"/>
      <c r="Y503" s="48"/>
      <c r="Z503" s="285"/>
      <c r="AA503" s="285"/>
      <c r="AB503" s="285"/>
      <c r="AC503" s="285"/>
      <c r="AD503" s="285"/>
      <c r="AE503" s="285"/>
      <c r="AF503" s="9"/>
      <c r="AG503" s="40"/>
      <c r="AH503" s="56">
        <v>1165282.19</v>
      </c>
      <c r="AI503" s="56"/>
      <c r="AJ503" s="56"/>
    </row>
    <row r="504" spans="1:36" x14ac:dyDescent="0.3">
      <c r="A504" s="59">
        <f t="shared" ref="A504:A518" si="106">A503+1</f>
        <v>357</v>
      </c>
      <c r="B504" s="66" t="s">
        <v>2359</v>
      </c>
      <c r="C504" s="51">
        <f t="shared" si="104"/>
        <v>415683.32</v>
      </c>
      <c r="D504" s="51">
        <f t="shared" si="105"/>
        <v>415683.32</v>
      </c>
      <c r="E504" s="51">
        <v>415683.32</v>
      </c>
      <c r="F504" s="51"/>
      <c r="G504" s="51"/>
      <c r="H504" s="51"/>
      <c r="I504" s="51"/>
      <c r="J504" s="82"/>
      <c r="K504" s="51"/>
      <c r="L504" s="51"/>
      <c r="M504" s="82"/>
      <c r="N504" s="51"/>
      <c r="O504" s="82"/>
      <c r="P504" s="51"/>
      <c r="Q504" s="338"/>
      <c r="R504" s="51"/>
      <c r="S504" s="51"/>
      <c r="T504" s="35"/>
      <c r="U504" s="51"/>
      <c r="V504" s="51"/>
      <c r="W504" s="51"/>
      <c r="X504" s="304"/>
      <c r="Y504" s="48"/>
      <c r="Z504" s="285"/>
      <c r="AA504" s="285"/>
      <c r="AB504" s="285"/>
      <c r="AC504" s="285"/>
      <c r="AD504" s="285"/>
      <c r="AE504" s="285"/>
      <c r="AF504" s="9">
        <v>207283.24</v>
      </c>
      <c r="AG504" s="40"/>
      <c r="AH504" s="56">
        <v>550024.85</v>
      </c>
      <c r="AI504" s="56"/>
      <c r="AJ504" s="56"/>
    </row>
    <row r="505" spans="1:36" x14ac:dyDescent="0.3">
      <c r="A505" s="59">
        <f t="shared" si="106"/>
        <v>358</v>
      </c>
      <c r="B505" s="66" t="s">
        <v>2361</v>
      </c>
      <c r="C505" s="51">
        <f t="shared" si="104"/>
        <v>2573526.9</v>
      </c>
      <c r="D505" s="51">
        <f t="shared" si="105"/>
        <v>2573526.9</v>
      </c>
      <c r="E505" s="51">
        <v>2573526.9</v>
      </c>
      <c r="F505" s="51"/>
      <c r="G505" s="51"/>
      <c r="H505" s="51"/>
      <c r="I505" s="51"/>
      <c r="J505" s="82"/>
      <c r="K505" s="51"/>
      <c r="L505" s="51"/>
      <c r="M505" s="82"/>
      <c r="N505" s="51"/>
      <c r="O505" s="82"/>
      <c r="P505" s="51"/>
      <c r="Q505" s="338"/>
      <c r="R505" s="51"/>
      <c r="S505" s="51"/>
      <c r="T505" s="35"/>
      <c r="U505" s="51"/>
      <c r="V505" s="51"/>
      <c r="W505" s="51"/>
      <c r="X505" s="304"/>
      <c r="Y505" s="48"/>
      <c r="Z505" s="285"/>
      <c r="AA505" s="285"/>
      <c r="AB505" s="285"/>
      <c r="AC505" s="285"/>
      <c r="AD505" s="285"/>
      <c r="AE505" s="285"/>
      <c r="AF505" s="9">
        <v>289399.98</v>
      </c>
      <c r="AG505" s="40"/>
      <c r="AH505" s="56">
        <v>754431.25</v>
      </c>
      <c r="AI505" s="56"/>
      <c r="AJ505" s="56"/>
    </row>
    <row r="506" spans="1:36" x14ac:dyDescent="0.3">
      <c r="A506" s="59">
        <f t="shared" si="106"/>
        <v>359</v>
      </c>
      <c r="B506" s="66" t="s">
        <v>2364</v>
      </c>
      <c r="C506" s="51">
        <f t="shared" si="104"/>
        <v>357451.5</v>
      </c>
      <c r="D506" s="51">
        <f t="shared" si="105"/>
        <v>357451.5</v>
      </c>
      <c r="E506" s="51">
        <v>357451.5</v>
      </c>
      <c r="F506" s="51"/>
      <c r="G506" s="51"/>
      <c r="H506" s="51"/>
      <c r="I506" s="51"/>
      <c r="J506" s="82"/>
      <c r="K506" s="51"/>
      <c r="L506" s="51"/>
      <c r="M506" s="82"/>
      <c r="N506" s="51"/>
      <c r="O506" s="82"/>
      <c r="P506" s="51"/>
      <c r="Q506" s="338"/>
      <c r="R506" s="51"/>
      <c r="S506" s="51"/>
      <c r="T506" s="35"/>
      <c r="U506" s="51"/>
      <c r="V506" s="51"/>
      <c r="W506" s="51"/>
      <c r="X506" s="304"/>
      <c r="Y506" s="48"/>
      <c r="Z506" s="285"/>
      <c r="AA506" s="285"/>
      <c r="AB506" s="285">
        <v>105674.77</v>
      </c>
      <c r="AC506" s="285"/>
      <c r="AD506" s="285">
        <v>125589.92</v>
      </c>
      <c r="AE506" s="285"/>
      <c r="AF506" s="9">
        <v>191777.58</v>
      </c>
      <c r="AG506" s="40"/>
      <c r="AH506" s="56">
        <v>509117.9</v>
      </c>
      <c r="AI506" s="56"/>
      <c r="AJ506" s="56"/>
    </row>
    <row r="507" spans="1:36" x14ac:dyDescent="0.3">
      <c r="A507" s="59">
        <f t="shared" si="106"/>
        <v>360</v>
      </c>
      <c r="B507" s="66" t="s">
        <v>2366</v>
      </c>
      <c r="C507" s="51">
        <f t="shared" si="104"/>
        <v>871710.84</v>
      </c>
      <c r="D507" s="51">
        <f t="shared" si="105"/>
        <v>871710.84</v>
      </c>
      <c r="E507" s="51">
        <v>871710.84</v>
      </c>
      <c r="F507" s="51"/>
      <c r="G507" s="51"/>
      <c r="H507" s="51"/>
      <c r="I507" s="51"/>
      <c r="J507" s="82"/>
      <c r="K507" s="51"/>
      <c r="L507" s="51"/>
      <c r="M507" s="82"/>
      <c r="N507" s="51"/>
      <c r="O507" s="82"/>
      <c r="P507" s="51"/>
      <c r="Q507" s="338"/>
      <c r="R507" s="51"/>
      <c r="S507" s="51"/>
      <c r="T507" s="35"/>
      <c r="U507" s="51"/>
      <c r="V507" s="51"/>
      <c r="W507" s="51"/>
      <c r="X507" s="304"/>
      <c r="Y507" s="48"/>
      <c r="Z507" s="285"/>
      <c r="AA507" s="285"/>
      <c r="AB507" s="285"/>
      <c r="AC507" s="285"/>
      <c r="AD507" s="285"/>
      <c r="AE507" s="285"/>
      <c r="AF507" s="9">
        <v>195556.15</v>
      </c>
      <c r="AG507" s="40"/>
      <c r="AH507" s="56">
        <v>520030.99</v>
      </c>
      <c r="AI507" s="56"/>
      <c r="AJ507" s="56"/>
    </row>
    <row r="508" spans="1:36" x14ac:dyDescent="0.3">
      <c r="A508" s="59">
        <f t="shared" si="106"/>
        <v>361</v>
      </c>
      <c r="B508" s="66" t="s">
        <v>2373</v>
      </c>
      <c r="C508" s="51">
        <f t="shared" si="104"/>
        <v>281581</v>
      </c>
      <c r="D508" s="51">
        <f t="shared" si="105"/>
        <v>281581</v>
      </c>
      <c r="E508" s="51"/>
      <c r="F508" s="51">
        <v>0</v>
      </c>
      <c r="G508" s="51">
        <v>281581</v>
      </c>
      <c r="H508" s="51">
        <v>0</v>
      </c>
      <c r="I508" s="51"/>
      <c r="J508" s="82"/>
      <c r="K508" s="51"/>
      <c r="L508" s="51"/>
      <c r="M508" s="82"/>
      <c r="N508" s="51"/>
      <c r="O508" s="82"/>
      <c r="P508" s="51"/>
      <c r="Q508" s="338"/>
      <c r="R508" s="51"/>
      <c r="S508" s="51"/>
      <c r="T508" s="35"/>
      <c r="U508" s="51"/>
      <c r="V508" s="51"/>
      <c r="W508" s="51"/>
      <c r="X508" s="304"/>
      <c r="Y508" s="48"/>
      <c r="Z508" s="285"/>
      <c r="AA508" s="285"/>
      <c r="AB508" s="285"/>
      <c r="AC508" s="285"/>
      <c r="AD508" s="285"/>
      <c r="AE508" s="285"/>
      <c r="AF508" s="9">
        <v>209001.49</v>
      </c>
      <c r="AG508" s="40"/>
      <c r="AH508" s="56">
        <v>554419.55000000005</v>
      </c>
      <c r="AI508" s="56"/>
      <c r="AJ508" s="56"/>
    </row>
    <row r="509" spans="1:36" x14ac:dyDescent="0.3">
      <c r="A509" s="59">
        <f t="shared" si="106"/>
        <v>362</v>
      </c>
      <c r="B509" s="66" t="s">
        <v>2379</v>
      </c>
      <c r="C509" s="51">
        <f t="shared" si="104"/>
        <v>672810.5</v>
      </c>
      <c r="D509" s="51">
        <f t="shared" si="105"/>
        <v>551603.30000000005</v>
      </c>
      <c r="E509" s="51">
        <v>277766.09999999998</v>
      </c>
      <c r="F509" s="51"/>
      <c r="G509" s="51">
        <v>121207.2</v>
      </c>
      <c r="H509" s="51"/>
      <c r="I509" s="51">
        <v>152630</v>
      </c>
      <c r="J509" s="82"/>
      <c r="K509" s="51"/>
      <c r="L509" s="51"/>
      <c r="M509" s="82"/>
      <c r="N509" s="51"/>
      <c r="O509" s="82"/>
      <c r="P509" s="51"/>
      <c r="Q509" s="338"/>
      <c r="R509" s="51"/>
      <c r="S509" s="51"/>
      <c r="T509" s="35"/>
      <c r="U509" s="51"/>
      <c r="V509" s="51">
        <v>121207.2</v>
      </c>
      <c r="W509" s="51"/>
      <c r="X509" s="304"/>
      <c r="Y509" s="48"/>
      <c r="Z509" s="285"/>
      <c r="AA509" s="285"/>
      <c r="AB509" s="285"/>
      <c r="AC509" s="285"/>
      <c r="AD509" s="285">
        <v>119438.39</v>
      </c>
      <c r="AE509" s="285"/>
      <c r="AF509" s="9"/>
      <c r="AG509" s="40"/>
      <c r="AH509" s="56">
        <v>479385.82</v>
      </c>
      <c r="AI509" s="56"/>
      <c r="AJ509" s="56"/>
    </row>
    <row r="510" spans="1:36" x14ac:dyDescent="0.3">
      <c r="A510" s="59">
        <f t="shared" si="106"/>
        <v>363</v>
      </c>
      <c r="B510" s="66" t="s">
        <v>2382</v>
      </c>
      <c r="C510" s="51">
        <f t="shared" si="104"/>
        <v>258637</v>
      </c>
      <c r="D510" s="51">
        <f t="shared" si="105"/>
        <v>258637</v>
      </c>
      <c r="E510" s="51"/>
      <c r="F510" s="51">
        <v>0</v>
      </c>
      <c r="G510" s="51">
        <v>155092</v>
      </c>
      <c r="H510" s="51">
        <v>0</v>
      </c>
      <c r="I510" s="51">
        <v>103545</v>
      </c>
      <c r="J510" s="82"/>
      <c r="K510" s="51"/>
      <c r="L510" s="51"/>
      <c r="M510" s="82"/>
      <c r="N510" s="51"/>
      <c r="O510" s="82"/>
      <c r="P510" s="51"/>
      <c r="Q510" s="338"/>
      <c r="R510" s="51"/>
      <c r="S510" s="51"/>
      <c r="T510" s="35"/>
      <c r="U510" s="51"/>
      <c r="V510" s="51"/>
      <c r="W510" s="51"/>
      <c r="X510" s="304"/>
      <c r="Y510" s="48"/>
      <c r="Z510" s="285"/>
      <c r="AA510" s="285"/>
      <c r="AB510" s="285"/>
      <c r="AC510" s="285"/>
      <c r="AD510" s="285"/>
      <c r="AE510" s="285">
        <v>101421.38</v>
      </c>
      <c r="AF510" s="9">
        <v>185852.3</v>
      </c>
      <c r="AG510" s="40"/>
      <c r="AH510" s="56">
        <v>491859.73</v>
      </c>
      <c r="AI510" s="56"/>
      <c r="AJ510" s="56"/>
    </row>
    <row r="511" spans="1:36" x14ac:dyDescent="0.3">
      <c r="A511" s="59">
        <f t="shared" si="106"/>
        <v>364</v>
      </c>
      <c r="B511" s="66" t="s">
        <v>2383</v>
      </c>
      <c r="C511" s="51">
        <f t="shared" si="104"/>
        <v>2148676.3200000003</v>
      </c>
      <c r="D511" s="51">
        <f t="shared" si="105"/>
        <v>462125.76</v>
      </c>
      <c r="E511" s="51">
        <v>462125.76</v>
      </c>
      <c r="F511" s="51"/>
      <c r="G511" s="51"/>
      <c r="H511" s="51"/>
      <c r="I511" s="51"/>
      <c r="J511" s="82"/>
      <c r="K511" s="51"/>
      <c r="L511" s="51"/>
      <c r="M511" s="82">
        <v>274.2</v>
      </c>
      <c r="N511" s="51">
        <v>1224424.8</v>
      </c>
      <c r="O511" s="82"/>
      <c r="P511" s="51"/>
      <c r="Q511" s="338"/>
      <c r="R511" s="51"/>
      <c r="S511" s="51"/>
      <c r="T511" s="35"/>
      <c r="U511" s="51"/>
      <c r="V511" s="51">
        <v>462125.76</v>
      </c>
      <c r="W511" s="51"/>
      <c r="X511" s="304"/>
      <c r="Y511" s="48"/>
      <c r="Z511" s="285"/>
      <c r="AA511" s="285"/>
      <c r="AB511" s="285">
        <v>121684.07</v>
      </c>
      <c r="AC511" s="285"/>
      <c r="AD511" s="285">
        <v>142712.03</v>
      </c>
      <c r="AE511" s="285"/>
      <c r="AF511" s="9"/>
      <c r="AG511" s="40"/>
      <c r="AH511" s="56">
        <v>565338.82999999996</v>
      </c>
      <c r="AI511" s="56"/>
      <c r="AJ511" s="56"/>
    </row>
    <row r="512" spans="1:36" x14ac:dyDescent="0.3">
      <c r="A512" s="59">
        <f t="shared" si="106"/>
        <v>365</v>
      </c>
      <c r="B512" s="66" t="s">
        <v>2384</v>
      </c>
      <c r="C512" s="51">
        <f t="shared" si="104"/>
        <v>2347990.98</v>
      </c>
      <c r="D512" s="51">
        <f t="shared" si="105"/>
        <v>2347977.98</v>
      </c>
      <c r="E512" s="51">
        <v>788665.98</v>
      </c>
      <c r="F512" s="51">
        <v>1118464</v>
      </c>
      <c r="G512" s="51">
        <v>440848</v>
      </c>
      <c r="H512" s="51">
        <v>0</v>
      </c>
      <c r="I512" s="51"/>
      <c r="J512" s="82"/>
      <c r="K512" s="51"/>
      <c r="L512" s="51"/>
      <c r="M512" s="82"/>
      <c r="N512" s="51"/>
      <c r="O512" s="82"/>
      <c r="P512" s="51"/>
      <c r="Q512" s="338"/>
      <c r="R512" s="51"/>
      <c r="S512" s="51"/>
      <c r="T512" s="35"/>
      <c r="U512" s="51"/>
      <c r="V512" s="51">
        <v>13</v>
      </c>
      <c r="W512" s="51"/>
      <c r="X512" s="304"/>
      <c r="Y512" s="48"/>
      <c r="Z512" s="285"/>
      <c r="AA512" s="285"/>
      <c r="AB512" s="285"/>
      <c r="AC512" s="285"/>
      <c r="AD512" s="285"/>
      <c r="AE512" s="285"/>
      <c r="AF512" s="9">
        <v>218838.49</v>
      </c>
      <c r="AG512" s="40"/>
      <c r="AH512" s="56">
        <v>596448.17000000004</v>
      </c>
      <c r="AI512" s="56"/>
      <c r="AJ512" s="56"/>
    </row>
    <row r="513" spans="1:36" x14ac:dyDescent="0.3">
      <c r="A513" s="59">
        <f t="shared" si="106"/>
        <v>366</v>
      </c>
      <c r="B513" s="66" t="s">
        <v>2387</v>
      </c>
      <c r="C513" s="51">
        <f t="shared" si="104"/>
        <v>654347.60000000009</v>
      </c>
      <c r="D513" s="51">
        <f t="shared" si="105"/>
        <v>572820.80000000005</v>
      </c>
      <c r="E513" s="51"/>
      <c r="F513" s="51">
        <v>491294</v>
      </c>
      <c r="G513" s="51">
        <v>81526.8</v>
      </c>
      <c r="H513" s="51"/>
      <c r="I513" s="51"/>
      <c r="J513" s="82"/>
      <c r="K513" s="51"/>
      <c r="L513" s="51"/>
      <c r="M513" s="82"/>
      <c r="N513" s="51"/>
      <c r="O513" s="82"/>
      <c r="P513" s="51"/>
      <c r="Q513" s="338"/>
      <c r="R513" s="51"/>
      <c r="S513" s="51"/>
      <c r="T513" s="35"/>
      <c r="U513" s="51"/>
      <c r="V513" s="51">
        <v>81526.8</v>
      </c>
      <c r="W513" s="51"/>
      <c r="X513" s="304"/>
      <c r="Y513" s="48"/>
      <c r="Z513" s="285"/>
      <c r="AA513" s="285"/>
      <c r="AB513" s="285">
        <v>74371.149999999994</v>
      </c>
      <c r="AC513" s="285"/>
      <c r="AD513" s="285"/>
      <c r="AE513" s="285">
        <v>74906.289999999994</v>
      </c>
      <c r="AF513" s="9">
        <v>145004.81</v>
      </c>
      <c r="AG513" s="40"/>
      <c r="AH513" s="56">
        <v>388003.55</v>
      </c>
      <c r="AI513" s="56"/>
      <c r="AJ513" s="56"/>
    </row>
    <row r="514" spans="1:36" x14ac:dyDescent="0.3">
      <c r="A514" s="59">
        <f t="shared" si="106"/>
        <v>367</v>
      </c>
      <c r="B514" s="66" t="s">
        <v>2388</v>
      </c>
      <c r="C514" s="51">
        <f t="shared" si="104"/>
        <v>511012.8</v>
      </c>
      <c r="D514" s="51">
        <f t="shared" si="105"/>
        <v>493104</v>
      </c>
      <c r="E514" s="51">
        <v>493104</v>
      </c>
      <c r="F514" s="51"/>
      <c r="G514" s="51"/>
      <c r="H514" s="51"/>
      <c r="I514" s="51"/>
      <c r="J514" s="82"/>
      <c r="K514" s="51"/>
      <c r="L514" s="51"/>
      <c r="M514" s="82"/>
      <c r="N514" s="51"/>
      <c r="O514" s="82"/>
      <c r="P514" s="51"/>
      <c r="Q514" s="338"/>
      <c r="R514" s="51"/>
      <c r="S514" s="51"/>
      <c r="T514" s="35"/>
      <c r="U514" s="51"/>
      <c r="V514" s="51">
        <v>17908.8</v>
      </c>
      <c r="W514" s="51"/>
      <c r="X514" s="304"/>
      <c r="Y514" s="48"/>
      <c r="Z514" s="285"/>
      <c r="AA514" s="285"/>
      <c r="AB514" s="285">
        <v>100894.63</v>
      </c>
      <c r="AC514" s="285"/>
      <c r="AD514" s="285">
        <v>120564.46</v>
      </c>
      <c r="AE514" s="285"/>
      <c r="AF514" s="9">
        <v>184335.78</v>
      </c>
      <c r="AG514" s="40"/>
      <c r="AH514" s="56">
        <v>490155.95</v>
      </c>
      <c r="AI514" s="56"/>
      <c r="AJ514" s="56"/>
    </row>
    <row r="515" spans="1:36" x14ac:dyDescent="0.3">
      <c r="A515" s="59">
        <f t="shared" si="106"/>
        <v>368</v>
      </c>
      <c r="B515" s="66" t="s">
        <v>2390</v>
      </c>
      <c r="C515" s="51">
        <f t="shared" si="104"/>
        <v>817600.76</v>
      </c>
      <c r="D515" s="51">
        <f t="shared" si="105"/>
        <v>408800.38</v>
      </c>
      <c r="E515" s="51">
        <v>408800.38</v>
      </c>
      <c r="F515" s="51"/>
      <c r="G515" s="51"/>
      <c r="H515" s="51"/>
      <c r="I515" s="51"/>
      <c r="J515" s="82"/>
      <c r="K515" s="51"/>
      <c r="L515" s="51"/>
      <c r="M515" s="82"/>
      <c r="N515" s="51"/>
      <c r="O515" s="82"/>
      <c r="P515" s="51"/>
      <c r="Q515" s="338"/>
      <c r="R515" s="51"/>
      <c r="S515" s="51"/>
      <c r="T515" s="35"/>
      <c r="U515" s="51"/>
      <c r="V515" s="51">
        <v>408800.38</v>
      </c>
      <c r="W515" s="51"/>
      <c r="X515" s="304"/>
      <c r="Y515" s="48"/>
      <c r="Z515" s="285"/>
      <c r="AA515" s="285"/>
      <c r="AB515" s="285">
        <v>113713.34</v>
      </c>
      <c r="AC515" s="285"/>
      <c r="AD515" s="285">
        <v>134479.16</v>
      </c>
      <c r="AE515" s="285"/>
      <c r="AF515" s="9"/>
      <c r="AG515" s="40"/>
      <c r="AH515" s="56"/>
      <c r="AI515" s="56"/>
      <c r="AJ515" s="56"/>
    </row>
    <row r="516" spans="1:36" x14ac:dyDescent="0.3">
      <c r="A516" s="59">
        <f t="shared" si="106"/>
        <v>369</v>
      </c>
      <c r="B516" s="66" t="s">
        <v>2391</v>
      </c>
      <c r="C516" s="51">
        <f t="shared" si="104"/>
        <v>971522.32</v>
      </c>
      <c r="D516" s="51">
        <f t="shared" si="105"/>
        <v>485761.16</v>
      </c>
      <c r="E516" s="51">
        <v>485761.16</v>
      </c>
      <c r="F516" s="51"/>
      <c r="G516" s="51"/>
      <c r="H516" s="51"/>
      <c r="I516" s="51"/>
      <c r="J516" s="82"/>
      <c r="K516" s="51"/>
      <c r="L516" s="51"/>
      <c r="M516" s="82"/>
      <c r="N516" s="51"/>
      <c r="O516" s="82"/>
      <c r="P516" s="51"/>
      <c r="Q516" s="338"/>
      <c r="R516" s="51"/>
      <c r="S516" s="51"/>
      <c r="T516" s="35"/>
      <c r="U516" s="51"/>
      <c r="V516" s="51">
        <v>485761.16</v>
      </c>
      <c r="W516" s="51"/>
      <c r="X516" s="304"/>
      <c r="Y516" s="48"/>
      <c r="Z516" s="285"/>
      <c r="AA516" s="285"/>
      <c r="AB516" s="285">
        <v>90974.26</v>
      </c>
      <c r="AC516" s="285"/>
      <c r="AD516" s="285">
        <v>110134.93</v>
      </c>
      <c r="AE516" s="285"/>
      <c r="AF516" s="9">
        <v>168891.49</v>
      </c>
      <c r="AG516" s="40"/>
      <c r="AH516" s="56">
        <v>450803.44</v>
      </c>
      <c r="AI516" s="56"/>
      <c r="AJ516" s="56"/>
    </row>
    <row r="517" spans="1:36" x14ac:dyDescent="0.3">
      <c r="A517" s="59">
        <f t="shared" si="106"/>
        <v>370</v>
      </c>
      <c r="B517" s="66" t="s">
        <v>2392</v>
      </c>
      <c r="C517" s="51">
        <f t="shared" si="104"/>
        <v>866044.48</v>
      </c>
      <c r="D517" s="51">
        <f t="shared" si="105"/>
        <v>433022.24</v>
      </c>
      <c r="E517" s="51">
        <v>433022.24</v>
      </c>
      <c r="F517" s="51"/>
      <c r="G517" s="51"/>
      <c r="H517" s="51"/>
      <c r="I517" s="51"/>
      <c r="J517" s="82"/>
      <c r="K517" s="51"/>
      <c r="L517" s="51"/>
      <c r="M517" s="82"/>
      <c r="N517" s="51"/>
      <c r="O517" s="82"/>
      <c r="P517" s="51"/>
      <c r="Q517" s="338"/>
      <c r="R517" s="51"/>
      <c r="S517" s="51"/>
      <c r="T517" s="35"/>
      <c r="U517" s="51"/>
      <c r="V517" s="51">
        <v>433022.24</v>
      </c>
      <c r="W517" s="51"/>
      <c r="X517" s="304"/>
      <c r="Y517" s="48"/>
      <c r="Z517" s="285"/>
      <c r="AA517" s="285"/>
      <c r="AB517" s="285">
        <v>90974.26</v>
      </c>
      <c r="AC517" s="285"/>
      <c r="AD517" s="285">
        <v>110134.93</v>
      </c>
      <c r="AE517" s="285"/>
      <c r="AF517" s="9">
        <v>168891.49</v>
      </c>
      <c r="AG517" s="40"/>
      <c r="AH517" s="56">
        <v>450803.44</v>
      </c>
      <c r="AI517" s="56"/>
      <c r="AJ517" s="56"/>
    </row>
    <row r="518" spans="1:36" x14ac:dyDescent="0.3">
      <c r="A518" s="59">
        <f t="shared" si="106"/>
        <v>371</v>
      </c>
      <c r="B518" s="66" t="s">
        <v>2393</v>
      </c>
      <c r="C518" s="51">
        <f t="shared" si="104"/>
        <v>866044.48</v>
      </c>
      <c r="D518" s="51">
        <f t="shared" si="105"/>
        <v>433022.24</v>
      </c>
      <c r="E518" s="51">
        <v>433022.24</v>
      </c>
      <c r="F518" s="51"/>
      <c r="G518" s="51"/>
      <c r="H518" s="51"/>
      <c r="I518" s="51"/>
      <c r="J518" s="82"/>
      <c r="K518" s="51"/>
      <c r="L518" s="51"/>
      <c r="M518" s="82"/>
      <c r="N518" s="51"/>
      <c r="O518" s="82"/>
      <c r="P518" s="51"/>
      <c r="Q518" s="338"/>
      <c r="R518" s="51"/>
      <c r="S518" s="51"/>
      <c r="T518" s="35"/>
      <c r="U518" s="51"/>
      <c r="V518" s="51">
        <v>433022.24</v>
      </c>
      <c r="W518" s="51"/>
      <c r="X518" s="304"/>
      <c r="Y518" s="48"/>
      <c r="Z518" s="285"/>
      <c r="AA518" s="285"/>
      <c r="AB518" s="285"/>
      <c r="AC518" s="285"/>
      <c r="AD518" s="285"/>
      <c r="AE518" s="285"/>
      <c r="AF518" s="9">
        <v>168891.49</v>
      </c>
      <c r="AG518" s="40"/>
      <c r="AH518" s="56">
        <v>450803.44</v>
      </c>
      <c r="AI518" s="56"/>
      <c r="AJ518" s="56"/>
    </row>
    <row r="519" spans="1:36" x14ac:dyDescent="0.3">
      <c r="A519" s="59"/>
      <c r="B519" s="66" t="s">
        <v>211</v>
      </c>
      <c r="C519" s="51">
        <f>SUM(C500:C518)</f>
        <v>24712911.280000005</v>
      </c>
      <c r="D519" s="51">
        <f t="shared" ref="D519:R519" si="107">SUM(D500:D518)</f>
        <v>16463396.180000003</v>
      </c>
      <c r="E519" s="51">
        <f t="shared" si="107"/>
        <v>11435085.180000002</v>
      </c>
      <c r="F519" s="51">
        <f t="shared" si="107"/>
        <v>3309819</v>
      </c>
      <c r="G519" s="51">
        <f t="shared" si="107"/>
        <v>1304259</v>
      </c>
      <c r="H519" s="51">
        <f t="shared" si="107"/>
        <v>0</v>
      </c>
      <c r="I519" s="51">
        <f t="shared" si="107"/>
        <v>414233</v>
      </c>
      <c r="J519" s="82">
        <f t="shared" si="107"/>
        <v>0</v>
      </c>
      <c r="K519" s="51">
        <f t="shared" si="107"/>
        <v>0</v>
      </c>
      <c r="L519" s="51">
        <f t="shared" si="107"/>
        <v>0</v>
      </c>
      <c r="M519" s="82">
        <f t="shared" si="107"/>
        <v>567.9</v>
      </c>
      <c r="N519" s="51">
        <f t="shared" si="107"/>
        <v>3313974</v>
      </c>
      <c r="O519" s="82">
        <f t="shared" si="107"/>
        <v>0</v>
      </c>
      <c r="P519" s="51">
        <f t="shared" si="107"/>
        <v>0</v>
      </c>
      <c r="Q519" s="338">
        <f t="shared" si="107"/>
        <v>0</v>
      </c>
      <c r="R519" s="51">
        <f t="shared" si="107"/>
        <v>0</v>
      </c>
      <c r="S519" s="51">
        <f>SUM(S500:S518)</f>
        <v>0</v>
      </c>
      <c r="T519" s="35">
        <f>SUM(T500:T518)</f>
        <v>42.59</v>
      </c>
      <c r="U519" s="51">
        <f>SUM(U500:U518)</f>
        <v>2481576</v>
      </c>
      <c r="V519" s="51">
        <f>SUM(V500:V518)</f>
        <v>2453965.0999999996</v>
      </c>
      <c r="W519" s="51">
        <f>SUM(W500:W518)</f>
        <v>0</v>
      </c>
      <c r="X519" s="304"/>
      <c r="Y519" s="50">
        <f>SUM(Y500:Y518)</f>
        <v>0</v>
      </c>
      <c r="Z519" s="285"/>
      <c r="AA519" s="285"/>
      <c r="AB519" s="285"/>
      <c r="AC519" s="285"/>
      <c r="AD519" s="285"/>
      <c r="AE519" s="285"/>
      <c r="AF519" s="9"/>
      <c r="AG519" s="40"/>
      <c r="AH519" s="56"/>
      <c r="AI519" s="56"/>
      <c r="AJ519" s="56"/>
    </row>
    <row r="520" spans="1:36" x14ac:dyDescent="0.3">
      <c r="A520" s="59"/>
      <c r="B520" s="66" t="s">
        <v>2394</v>
      </c>
      <c r="C520" s="51">
        <f>C472+C479+C483+C490+C493+C498+C519</f>
        <v>131925710.40000002</v>
      </c>
      <c r="D520" s="51">
        <f t="shared" ref="D520:W520" si="108">D472+D479+D483+D490+D493+D498+D519</f>
        <v>95495906.819999993</v>
      </c>
      <c r="E520" s="51">
        <f t="shared" si="108"/>
        <v>44513146.660000004</v>
      </c>
      <c r="F520" s="51">
        <f t="shared" si="108"/>
        <v>30487442.880000003</v>
      </c>
      <c r="G520" s="51">
        <f t="shared" si="108"/>
        <v>4435697.1500000004</v>
      </c>
      <c r="H520" s="51">
        <f t="shared" si="108"/>
        <v>6606731.7399999993</v>
      </c>
      <c r="I520" s="51">
        <f t="shared" si="108"/>
        <v>9452888.3900000006</v>
      </c>
      <c r="J520" s="82">
        <f t="shared" si="108"/>
        <v>0</v>
      </c>
      <c r="K520" s="51">
        <f t="shared" si="108"/>
        <v>0</v>
      </c>
      <c r="L520" s="51">
        <f t="shared" si="108"/>
        <v>0</v>
      </c>
      <c r="M520" s="82">
        <f t="shared" si="108"/>
        <v>4436.3599999999997</v>
      </c>
      <c r="N520" s="51">
        <f t="shared" si="108"/>
        <v>28870131.82</v>
      </c>
      <c r="O520" s="82">
        <f t="shared" si="108"/>
        <v>0</v>
      </c>
      <c r="P520" s="51">
        <f t="shared" si="108"/>
        <v>0</v>
      </c>
      <c r="Q520" s="338">
        <f t="shared" si="108"/>
        <v>0</v>
      </c>
      <c r="R520" s="51">
        <f t="shared" si="108"/>
        <v>0</v>
      </c>
      <c r="S520" s="51">
        <f t="shared" si="108"/>
        <v>0</v>
      </c>
      <c r="T520" s="35">
        <f t="shared" si="108"/>
        <v>42.59</v>
      </c>
      <c r="U520" s="51">
        <f t="shared" si="108"/>
        <v>2481576</v>
      </c>
      <c r="V520" s="51">
        <f t="shared" si="108"/>
        <v>3059437.9999999995</v>
      </c>
      <c r="W520" s="51">
        <f t="shared" si="108"/>
        <v>2018657.7599999998</v>
      </c>
      <c r="X520" s="329"/>
      <c r="Y520" s="329" t="e">
        <f>Y472+#REF!+Y479+#REF!+Y483+#REF!+Y490+Y493+Y498+Y519</f>
        <v>#REF!</v>
      </c>
      <c r="Z520" s="285"/>
      <c r="AA520" s="285"/>
      <c r="AB520" s="285"/>
      <c r="AC520" s="285"/>
      <c r="AD520" s="285"/>
      <c r="AE520" s="285"/>
      <c r="AF520" s="9"/>
      <c r="AG520" s="40"/>
      <c r="AH520" s="56"/>
      <c r="AI520" s="56"/>
      <c r="AJ520" s="56"/>
    </row>
    <row r="521" spans="1:36" x14ac:dyDescent="0.3">
      <c r="A521" s="172" t="s">
        <v>2395</v>
      </c>
      <c r="B521" s="176"/>
      <c r="C521" s="387"/>
      <c r="D521" s="387"/>
      <c r="E521" s="387"/>
      <c r="F521" s="387"/>
      <c r="G521" s="387"/>
      <c r="H521" s="387"/>
      <c r="I521" s="387"/>
      <c r="J521" s="388"/>
      <c r="K521" s="387"/>
      <c r="L521" s="387"/>
      <c r="M521" s="388"/>
      <c r="N521" s="387"/>
      <c r="O521" s="388"/>
      <c r="P521" s="387"/>
      <c r="Q521" s="389"/>
      <c r="R521" s="387"/>
      <c r="S521" s="387"/>
      <c r="T521" s="390"/>
      <c r="U521" s="387"/>
      <c r="V521" s="387"/>
      <c r="W521" s="387"/>
      <c r="X521" s="298"/>
      <c r="Z521" s="179"/>
      <c r="AA521" s="57"/>
      <c r="AB521" s="58"/>
      <c r="AC521" s="62"/>
      <c r="AD521" s="58"/>
      <c r="AE521" s="58"/>
    </row>
    <row r="522" spans="1:36" x14ac:dyDescent="0.3">
      <c r="A522" s="176" t="s">
        <v>2398</v>
      </c>
      <c r="B522" s="176"/>
      <c r="C522" s="51"/>
      <c r="D522" s="51"/>
      <c r="E522" s="51"/>
      <c r="F522" s="51"/>
      <c r="G522" s="51"/>
      <c r="H522" s="51"/>
      <c r="I522" s="51"/>
      <c r="J522" s="82"/>
      <c r="K522" s="51"/>
      <c r="L522" s="51"/>
      <c r="M522" s="82"/>
      <c r="N522" s="51"/>
      <c r="O522" s="82"/>
      <c r="P522" s="51"/>
      <c r="Q522" s="338"/>
      <c r="R522" s="51"/>
      <c r="S522" s="51"/>
      <c r="T522" s="35"/>
      <c r="U522" s="51"/>
      <c r="V522" s="51"/>
      <c r="W522" s="364"/>
      <c r="X522" s="141"/>
      <c r="Y522" s="48"/>
      <c r="Z522" s="48"/>
      <c r="AA522" s="48"/>
      <c r="AB522" s="48"/>
      <c r="AC522" s="48"/>
      <c r="AD522" s="58"/>
      <c r="AE522" s="58"/>
    </row>
    <row r="523" spans="1:36" x14ac:dyDescent="0.3">
      <c r="A523" s="59">
        <f>A518+1</f>
        <v>372</v>
      </c>
      <c r="B523" s="66" t="s">
        <v>2411</v>
      </c>
      <c r="C523" s="51">
        <f t="shared" ref="C523:C539" si="109">D523+K523+L523+N523+P523+R523+S523+U523+V523+W523</f>
        <v>13455486.85</v>
      </c>
      <c r="D523" s="51">
        <f t="shared" ref="D523:D539" si="110">E523+F523+G523+H523+I523</f>
        <v>13255913.65</v>
      </c>
      <c r="E523" s="51"/>
      <c r="F523" s="51">
        <v>11083658.4</v>
      </c>
      <c r="G523" s="51">
        <v>2172255.25</v>
      </c>
      <c r="H523" s="51"/>
      <c r="I523" s="51"/>
      <c r="J523" s="82"/>
      <c r="K523" s="51"/>
      <c r="L523" s="51"/>
      <c r="M523" s="82"/>
      <c r="N523" s="51"/>
      <c r="O523" s="82"/>
      <c r="P523" s="51"/>
      <c r="Q523" s="338"/>
      <c r="R523" s="51"/>
      <c r="S523" s="51"/>
      <c r="T523" s="35"/>
      <c r="U523" s="51"/>
      <c r="V523" s="51">
        <v>199573.2</v>
      </c>
      <c r="W523" s="364"/>
      <c r="X523" s="141"/>
      <c r="Y523" s="48">
        <f>283378.9+348363.9+299275.86+277179.55</f>
        <v>1208198.21</v>
      </c>
      <c r="Z523" s="48"/>
      <c r="AA523" s="48">
        <v>408701.65</v>
      </c>
      <c r="AB523" s="58"/>
      <c r="AC523" s="58"/>
      <c r="AD523" s="58"/>
      <c r="AE523" s="58" t="s">
        <v>2412</v>
      </c>
    </row>
    <row r="524" spans="1:36" x14ac:dyDescent="0.3">
      <c r="A524" s="59">
        <f t="shared" ref="A524:A539" si="111">A523+1</f>
        <v>373</v>
      </c>
      <c r="B524" s="66" t="s">
        <v>2423</v>
      </c>
      <c r="C524" s="51">
        <f t="shared" si="109"/>
        <v>2664496.7999999998</v>
      </c>
      <c r="D524" s="51">
        <f t="shared" si="110"/>
        <v>2664496.7999999998</v>
      </c>
      <c r="E524" s="51">
        <v>2664496.7999999998</v>
      </c>
      <c r="F524" s="51"/>
      <c r="G524" s="51"/>
      <c r="H524" s="51"/>
      <c r="I524" s="51"/>
      <c r="J524" s="82"/>
      <c r="K524" s="51"/>
      <c r="L524" s="51"/>
      <c r="M524" s="82"/>
      <c r="N524" s="51"/>
      <c r="O524" s="82"/>
      <c r="P524" s="51"/>
      <c r="Q524" s="338"/>
      <c r="R524" s="51"/>
      <c r="S524" s="51"/>
      <c r="T524" s="35"/>
      <c r="U524" s="51"/>
      <c r="V524" s="51"/>
      <c r="W524" s="364"/>
      <c r="X524" s="141"/>
      <c r="Y524" s="48">
        <f>285875.02+350921.66+301598.72</f>
        <v>938395.39999999991</v>
      </c>
      <c r="Z524" s="48">
        <v>502589.33</v>
      </c>
      <c r="AA524" s="48">
        <v>396586.22</v>
      </c>
      <c r="AB524" s="48">
        <v>1538379.43</v>
      </c>
      <c r="AC524" s="58"/>
      <c r="AD524" s="58"/>
      <c r="AE524" s="58" t="s">
        <v>2424</v>
      </c>
    </row>
    <row r="525" spans="1:36" x14ac:dyDescent="0.3">
      <c r="A525" s="59">
        <f t="shared" si="111"/>
        <v>374</v>
      </c>
      <c r="B525" s="66" t="s">
        <v>2426</v>
      </c>
      <c r="C525" s="51">
        <f t="shared" si="109"/>
        <v>50830</v>
      </c>
      <c r="D525" s="51">
        <f t="shared" si="110"/>
        <v>50830</v>
      </c>
      <c r="E525" s="51"/>
      <c r="F525" s="51"/>
      <c r="G525" s="51">
        <f>13*3910</f>
        <v>50830</v>
      </c>
      <c r="H525" s="51"/>
      <c r="I525" s="51"/>
      <c r="J525" s="82"/>
      <c r="K525" s="51"/>
      <c r="L525" s="51"/>
      <c r="M525" s="82"/>
      <c r="N525" s="51"/>
      <c r="O525" s="82"/>
      <c r="P525" s="51"/>
      <c r="Q525" s="338"/>
      <c r="R525" s="51"/>
      <c r="S525" s="51"/>
      <c r="T525" s="35"/>
      <c r="U525" s="51"/>
      <c r="V525" s="51"/>
      <c r="W525" s="364"/>
      <c r="X525" s="141"/>
      <c r="Y525" s="48">
        <v>317245.15999999997</v>
      </c>
      <c r="Z525" s="48"/>
      <c r="AA525" s="57">
        <v>392639.68</v>
      </c>
      <c r="AB525" s="58"/>
      <c r="AC525" s="58"/>
      <c r="AD525" s="58"/>
      <c r="AE525" s="58" t="s">
        <v>1810</v>
      </c>
    </row>
    <row r="526" spans="1:36" x14ac:dyDescent="0.3">
      <c r="A526" s="59">
        <f t="shared" si="111"/>
        <v>375</v>
      </c>
      <c r="B526" s="66" t="s">
        <v>2445</v>
      </c>
      <c r="C526" s="51">
        <f t="shared" si="109"/>
        <v>309181.2</v>
      </c>
      <c r="D526" s="51">
        <f t="shared" si="110"/>
        <v>309181.2</v>
      </c>
      <c r="E526" s="51">
        <v>309181.2</v>
      </c>
      <c r="F526" s="51"/>
      <c r="G526" s="51"/>
      <c r="H526" s="51"/>
      <c r="I526" s="51"/>
      <c r="J526" s="82"/>
      <c r="K526" s="51"/>
      <c r="L526" s="51"/>
      <c r="M526" s="82"/>
      <c r="N526" s="51"/>
      <c r="O526" s="82"/>
      <c r="P526" s="51"/>
      <c r="Q526" s="338"/>
      <c r="R526" s="51"/>
      <c r="S526" s="51"/>
      <c r="T526" s="35"/>
      <c r="U526" s="51"/>
      <c r="V526" s="51"/>
      <c r="W526" s="364"/>
      <c r="X526" s="141"/>
      <c r="Y526" s="48"/>
      <c r="Z526" s="48"/>
      <c r="AA526" s="57"/>
      <c r="AB526" s="58"/>
      <c r="AC526" s="58"/>
      <c r="AD526" s="58"/>
      <c r="AE526" s="58"/>
    </row>
    <row r="527" spans="1:36" ht="31.2" x14ac:dyDescent="0.3">
      <c r="A527" s="59">
        <f t="shared" si="111"/>
        <v>376</v>
      </c>
      <c r="B527" s="66" t="s">
        <v>2463</v>
      </c>
      <c r="C527" s="51">
        <f t="shared" si="109"/>
        <v>378399.6</v>
      </c>
      <c r="D527" s="51">
        <f t="shared" si="110"/>
        <v>378399.6</v>
      </c>
      <c r="E527" s="51">
        <v>378399.6</v>
      </c>
      <c r="F527" s="51"/>
      <c r="G527" s="51"/>
      <c r="H527" s="51"/>
      <c r="I527" s="51"/>
      <c r="J527" s="82"/>
      <c r="K527" s="51"/>
      <c r="L527" s="51"/>
      <c r="M527" s="82"/>
      <c r="N527" s="51"/>
      <c r="O527" s="82"/>
      <c r="P527" s="51"/>
      <c r="Q527" s="338"/>
      <c r="R527" s="51"/>
      <c r="S527" s="51"/>
      <c r="T527" s="35"/>
      <c r="U527" s="51"/>
      <c r="V527" s="51"/>
      <c r="W527" s="364"/>
      <c r="X527" s="141"/>
      <c r="Y527" s="48">
        <v>99656.44</v>
      </c>
      <c r="Z527" s="48"/>
      <c r="AA527" s="48">
        <v>227411.59</v>
      </c>
      <c r="AB527" s="48">
        <v>307695.90999999997</v>
      </c>
      <c r="AC527" s="58"/>
      <c r="AD527" s="58"/>
      <c r="AE527" s="58" t="s">
        <v>1438</v>
      </c>
    </row>
    <row r="528" spans="1:36" x14ac:dyDescent="0.3">
      <c r="A528" s="59">
        <f t="shared" si="111"/>
        <v>377</v>
      </c>
      <c r="B528" s="66" t="s">
        <v>2481</v>
      </c>
      <c r="C528" s="51">
        <f t="shared" si="109"/>
        <v>1875399.6</v>
      </c>
      <c r="D528" s="51">
        <f t="shared" si="110"/>
        <v>1875399.6</v>
      </c>
      <c r="E528" s="51">
        <v>1875399.6</v>
      </c>
      <c r="F528" s="51"/>
      <c r="G528" s="51"/>
      <c r="H528" s="51"/>
      <c r="I528" s="51"/>
      <c r="J528" s="82"/>
      <c r="K528" s="51"/>
      <c r="L528" s="51"/>
      <c r="M528" s="82"/>
      <c r="N528" s="51"/>
      <c r="O528" s="82"/>
      <c r="P528" s="51"/>
      <c r="Q528" s="338"/>
      <c r="R528" s="51"/>
      <c r="S528" s="51"/>
      <c r="T528" s="35"/>
      <c r="U528" s="51"/>
      <c r="V528" s="51"/>
      <c r="W528" s="364"/>
      <c r="X528" s="141"/>
      <c r="Y528" s="48">
        <f>344137.57
+273341.39</f>
        <v>617478.96</v>
      </c>
      <c r="Z528" s="48"/>
      <c r="AA528" s="57"/>
      <c r="AB528" s="58"/>
      <c r="AC528" s="58"/>
      <c r="AD528" s="58"/>
      <c r="AE528" s="58" t="s">
        <v>1448</v>
      </c>
    </row>
    <row r="529" spans="1:31" x14ac:dyDescent="0.3">
      <c r="A529" s="59">
        <f t="shared" si="111"/>
        <v>378</v>
      </c>
      <c r="B529" s="66" t="s">
        <v>2499</v>
      </c>
      <c r="C529" s="51">
        <f t="shared" si="109"/>
        <v>1372184.4</v>
      </c>
      <c r="D529" s="51">
        <f t="shared" si="110"/>
        <v>1372184.4</v>
      </c>
      <c r="E529" s="51">
        <v>1372184.4</v>
      </c>
      <c r="F529" s="51"/>
      <c r="G529" s="51"/>
      <c r="H529" s="51"/>
      <c r="I529" s="51"/>
      <c r="J529" s="82"/>
      <c r="K529" s="51"/>
      <c r="L529" s="51"/>
      <c r="M529" s="82"/>
      <c r="N529" s="51"/>
      <c r="O529" s="82"/>
      <c r="P529" s="51"/>
      <c r="Q529" s="338"/>
      <c r="R529" s="51"/>
      <c r="S529" s="51"/>
      <c r="T529" s="35"/>
      <c r="U529" s="51"/>
      <c r="V529" s="51"/>
      <c r="W529" s="364"/>
      <c r="X529" s="141"/>
      <c r="Y529" s="48" t="s">
        <v>379</v>
      </c>
      <c r="Z529" s="48">
        <v>411273.38</v>
      </c>
      <c r="AA529" s="48" t="s">
        <v>379</v>
      </c>
      <c r="AB529" s="48">
        <v>907235.15</v>
      </c>
      <c r="AC529" s="58"/>
      <c r="AD529" s="58"/>
      <c r="AE529" s="58" t="s">
        <v>379</v>
      </c>
    </row>
    <row r="530" spans="1:31" x14ac:dyDescent="0.3">
      <c r="A530" s="59">
        <f t="shared" si="111"/>
        <v>379</v>
      </c>
      <c r="B530" s="66" t="s">
        <v>2514</v>
      </c>
      <c r="C530" s="51">
        <f t="shared" si="109"/>
        <v>376592.4</v>
      </c>
      <c r="D530" s="51">
        <f t="shared" si="110"/>
        <v>376592.4</v>
      </c>
      <c r="E530" s="51">
        <v>376592.4</v>
      </c>
      <c r="F530" s="51"/>
      <c r="G530" s="51"/>
      <c r="H530" s="51"/>
      <c r="I530" s="51"/>
      <c r="J530" s="82"/>
      <c r="K530" s="51"/>
      <c r="L530" s="51"/>
      <c r="M530" s="82"/>
      <c r="N530" s="51"/>
      <c r="O530" s="82"/>
      <c r="P530" s="51"/>
      <c r="Q530" s="338"/>
      <c r="R530" s="51"/>
      <c r="S530" s="51"/>
      <c r="T530" s="35"/>
      <c r="U530" s="51"/>
      <c r="V530" s="51"/>
      <c r="W530" s="364"/>
      <c r="X530" s="141"/>
      <c r="Y530" s="48"/>
      <c r="Z530" s="48"/>
      <c r="AA530" s="57"/>
      <c r="AB530" s="58"/>
      <c r="AC530" s="58"/>
      <c r="AD530" s="58"/>
      <c r="AE530" s="58"/>
    </row>
    <row r="531" spans="1:31" x14ac:dyDescent="0.3">
      <c r="A531" s="59">
        <f t="shared" si="111"/>
        <v>380</v>
      </c>
      <c r="B531" s="66" t="s">
        <v>2515</v>
      </c>
      <c r="C531" s="51">
        <f t="shared" si="109"/>
        <v>399238.8</v>
      </c>
      <c r="D531" s="51">
        <f t="shared" si="110"/>
        <v>399238.8</v>
      </c>
      <c r="E531" s="51">
        <v>399238.8</v>
      </c>
      <c r="F531" s="51"/>
      <c r="G531" s="51"/>
      <c r="H531" s="51"/>
      <c r="I531" s="51"/>
      <c r="J531" s="82"/>
      <c r="K531" s="51"/>
      <c r="L531" s="51"/>
      <c r="M531" s="82"/>
      <c r="N531" s="51"/>
      <c r="O531" s="82"/>
      <c r="P531" s="51"/>
      <c r="Q531" s="338"/>
      <c r="R531" s="51"/>
      <c r="S531" s="51"/>
      <c r="T531" s="35"/>
      <c r="U531" s="51"/>
      <c r="V531" s="51"/>
      <c r="W531" s="364"/>
      <c r="X531" s="141"/>
      <c r="Y531" s="48"/>
      <c r="Z531" s="48"/>
      <c r="AA531" s="57"/>
      <c r="AB531" s="58"/>
      <c r="AC531" s="58"/>
      <c r="AD531" s="58"/>
      <c r="AE531" s="58"/>
    </row>
    <row r="532" spans="1:31" x14ac:dyDescent="0.3">
      <c r="A532" s="59">
        <f t="shared" si="111"/>
        <v>381</v>
      </c>
      <c r="B532" s="66" t="s">
        <v>2516</v>
      </c>
      <c r="C532" s="51">
        <f t="shared" si="109"/>
        <v>401695.2</v>
      </c>
      <c r="D532" s="51">
        <f t="shared" si="110"/>
        <v>401695.2</v>
      </c>
      <c r="E532" s="51">
        <v>401695.2</v>
      </c>
      <c r="F532" s="51"/>
      <c r="G532" s="51"/>
      <c r="H532" s="51"/>
      <c r="I532" s="51"/>
      <c r="J532" s="82"/>
      <c r="K532" s="51"/>
      <c r="L532" s="51"/>
      <c r="M532" s="82"/>
      <c r="N532" s="51"/>
      <c r="O532" s="82"/>
      <c r="P532" s="51"/>
      <c r="Q532" s="338"/>
      <c r="R532" s="51"/>
      <c r="S532" s="51"/>
      <c r="T532" s="35"/>
      <c r="U532" s="51"/>
      <c r="V532" s="51"/>
      <c r="W532" s="364"/>
      <c r="X532" s="141"/>
      <c r="Y532" s="48"/>
      <c r="Z532" s="48"/>
      <c r="AA532" s="57"/>
      <c r="AB532" s="58"/>
      <c r="AC532" s="48" t="s">
        <v>379</v>
      </c>
      <c r="AD532" s="58"/>
      <c r="AE532" s="58"/>
    </row>
    <row r="533" spans="1:31" x14ac:dyDescent="0.3">
      <c r="A533" s="59">
        <f t="shared" si="111"/>
        <v>382</v>
      </c>
      <c r="B533" s="66" t="s">
        <v>2518</v>
      </c>
      <c r="C533" s="51">
        <f t="shared" si="109"/>
        <v>387574.8</v>
      </c>
      <c r="D533" s="51">
        <f t="shared" si="110"/>
        <v>387574.8</v>
      </c>
      <c r="E533" s="51">
        <v>387574.8</v>
      </c>
      <c r="F533" s="51"/>
      <c r="G533" s="51"/>
      <c r="H533" s="51"/>
      <c r="I533" s="51"/>
      <c r="J533" s="82"/>
      <c r="K533" s="51"/>
      <c r="L533" s="51"/>
      <c r="M533" s="82"/>
      <c r="N533" s="51"/>
      <c r="O533" s="82"/>
      <c r="P533" s="51"/>
      <c r="Q533" s="338"/>
      <c r="R533" s="51"/>
      <c r="S533" s="51"/>
      <c r="T533" s="35"/>
      <c r="U533" s="51"/>
      <c r="V533" s="51"/>
      <c r="W533" s="364"/>
      <c r="X533" s="141"/>
      <c r="Y533" s="48">
        <v>94246.42</v>
      </c>
      <c r="Z533" s="48"/>
      <c r="AA533" s="57"/>
      <c r="AB533" s="58"/>
      <c r="AC533" s="58"/>
      <c r="AD533" s="58"/>
      <c r="AE533" s="58" t="s">
        <v>25</v>
      </c>
    </row>
    <row r="534" spans="1:31" x14ac:dyDescent="0.3">
      <c r="A534" s="59">
        <f t="shared" si="111"/>
        <v>383</v>
      </c>
      <c r="B534" s="66" t="s">
        <v>2522</v>
      </c>
      <c r="C534" s="51">
        <f t="shared" si="109"/>
        <v>1371745.2</v>
      </c>
      <c r="D534" s="51">
        <f t="shared" si="110"/>
        <v>1371745.2</v>
      </c>
      <c r="E534" s="51">
        <v>1371745.2</v>
      </c>
      <c r="F534" s="51"/>
      <c r="G534" s="51"/>
      <c r="H534" s="51"/>
      <c r="I534" s="51"/>
      <c r="J534" s="82"/>
      <c r="K534" s="51"/>
      <c r="L534" s="51"/>
      <c r="M534" s="82"/>
      <c r="N534" s="51"/>
      <c r="O534" s="82"/>
      <c r="P534" s="51"/>
      <c r="Q534" s="338"/>
      <c r="R534" s="51"/>
      <c r="S534" s="51"/>
      <c r="T534" s="35"/>
      <c r="U534" s="51"/>
      <c r="V534" s="51"/>
      <c r="W534" s="364"/>
      <c r="X534" s="141"/>
      <c r="Y534" s="48"/>
      <c r="Z534" s="48"/>
      <c r="AA534" s="57"/>
      <c r="AB534" s="58"/>
      <c r="AC534" s="58"/>
      <c r="AD534" s="58"/>
      <c r="AE534" s="58"/>
    </row>
    <row r="535" spans="1:31" x14ac:dyDescent="0.3">
      <c r="A535" s="59">
        <f t="shared" si="111"/>
        <v>384</v>
      </c>
      <c r="B535" s="66" t="s">
        <v>2533</v>
      </c>
      <c r="C535" s="51">
        <f t="shared" si="109"/>
        <v>417057.6</v>
      </c>
      <c r="D535" s="51">
        <f t="shared" si="110"/>
        <v>417057.6</v>
      </c>
      <c r="E535" s="51">
        <v>417057.6</v>
      </c>
      <c r="F535" s="51"/>
      <c r="G535" s="51"/>
      <c r="H535" s="51"/>
      <c r="I535" s="51"/>
      <c r="J535" s="82"/>
      <c r="K535" s="51"/>
      <c r="L535" s="51"/>
      <c r="M535" s="82"/>
      <c r="N535" s="51"/>
      <c r="O535" s="82"/>
      <c r="P535" s="51"/>
      <c r="Q535" s="338"/>
      <c r="R535" s="51"/>
      <c r="S535" s="51"/>
      <c r="T535" s="35"/>
      <c r="U535" s="51"/>
      <c r="V535" s="51"/>
      <c r="W535" s="364"/>
      <c r="X535" s="141"/>
      <c r="Y535" s="48">
        <v>97465.36</v>
      </c>
      <c r="Z535" s="48"/>
      <c r="AA535" s="57"/>
      <c r="AB535" s="58"/>
      <c r="AC535" s="58"/>
      <c r="AD535" s="58"/>
      <c r="AE535" s="58" t="s">
        <v>25</v>
      </c>
    </row>
    <row r="536" spans="1:31" x14ac:dyDescent="0.3">
      <c r="A536" s="59">
        <f t="shared" si="111"/>
        <v>385</v>
      </c>
      <c r="B536" s="66" t="s">
        <v>2545</v>
      </c>
      <c r="C536" s="51">
        <f t="shared" si="109"/>
        <v>2160773.52</v>
      </c>
      <c r="D536" s="51">
        <f t="shared" si="110"/>
        <v>2160773.52</v>
      </c>
      <c r="E536" s="51">
        <v>2160773.52</v>
      </c>
      <c r="F536" s="51"/>
      <c r="G536" s="51"/>
      <c r="H536" s="51"/>
      <c r="I536" s="51"/>
      <c r="J536" s="82"/>
      <c r="K536" s="51"/>
      <c r="L536" s="51"/>
      <c r="M536" s="82"/>
      <c r="N536" s="51"/>
      <c r="O536" s="82"/>
      <c r="P536" s="51"/>
      <c r="Q536" s="338"/>
      <c r="R536" s="51"/>
      <c r="S536" s="51"/>
      <c r="T536" s="35"/>
      <c r="U536" s="51"/>
      <c r="V536" s="51"/>
      <c r="W536" s="364"/>
      <c r="X536" s="141"/>
      <c r="Y536" s="48">
        <v>184325.8</v>
      </c>
      <c r="Z536" s="48"/>
      <c r="AA536" s="48">
        <v>290461.82</v>
      </c>
      <c r="AB536" s="58"/>
      <c r="AC536" s="58"/>
      <c r="AD536" s="58"/>
      <c r="AE536" s="58" t="s">
        <v>1395</v>
      </c>
    </row>
    <row r="537" spans="1:31" x14ac:dyDescent="0.3">
      <c r="A537" s="59">
        <f t="shared" si="111"/>
        <v>386</v>
      </c>
      <c r="B537" s="66" t="s">
        <v>2553</v>
      </c>
      <c r="C537" s="51">
        <f t="shared" si="109"/>
        <v>2163166.7999999998</v>
      </c>
      <c r="D537" s="51">
        <f t="shared" si="110"/>
        <v>2163166.7999999998</v>
      </c>
      <c r="E537" s="51">
        <v>2163166.7999999998</v>
      </c>
      <c r="F537" s="51"/>
      <c r="G537" s="51"/>
      <c r="H537" s="51"/>
      <c r="I537" s="51"/>
      <c r="J537" s="82"/>
      <c r="K537" s="51"/>
      <c r="L537" s="51"/>
      <c r="M537" s="82"/>
      <c r="N537" s="51"/>
      <c r="O537" s="82"/>
      <c r="P537" s="51"/>
      <c r="Q537" s="338"/>
      <c r="R537" s="51"/>
      <c r="S537" s="51"/>
      <c r="T537" s="35"/>
      <c r="U537" s="51"/>
      <c r="V537" s="51"/>
      <c r="W537" s="364"/>
      <c r="X537" s="141"/>
      <c r="Y537" s="48">
        <f>260895.49
+199044.88</f>
        <v>459940.37</v>
      </c>
      <c r="Z537" s="48"/>
      <c r="AA537" s="48">
        <v>277043.42</v>
      </c>
      <c r="AB537" s="58"/>
      <c r="AC537" s="58"/>
      <c r="AD537" s="58"/>
      <c r="AE537" s="58" t="s">
        <v>1563</v>
      </c>
    </row>
    <row r="538" spans="1:31" x14ac:dyDescent="0.3">
      <c r="A538" s="59">
        <f t="shared" si="111"/>
        <v>387</v>
      </c>
      <c r="B538" s="66" t="s">
        <v>2562</v>
      </c>
      <c r="C538" s="51">
        <f t="shared" si="109"/>
        <v>2907523.2</v>
      </c>
      <c r="D538" s="51">
        <f t="shared" si="110"/>
        <v>2907523.2</v>
      </c>
      <c r="E538" s="51">
        <v>2907523.2</v>
      </c>
      <c r="F538" s="51"/>
      <c r="G538" s="51"/>
      <c r="H538" s="51"/>
      <c r="I538" s="51"/>
      <c r="J538" s="82"/>
      <c r="K538" s="51"/>
      <c r="L538" s="51"/>
      <c r="M538" s="82"/>
      <c r="N538" s="51"/>
      <c r="O538" s="82"/>
      <c r="P538" s="51"/>
      <c r="Q538" s="338"/>
      <c r="R538" s="51"/>
      <c r="S538" s="51"/>
      <c r="T538" s="35"/>
      <c r="U538" s="51"/>
      <c r="V538" s="51"/>
      <c r="W538" s="364"/>
      <c r="X538" s="141"/>
      <c r="Y538" s="48">
        <v>80297.66</v>
      </c>
      <c r="Z538" s="48"/>
      <c r="AA538" s="57"/>
      <c r="AB538" s="48"/>
      <c r="AC538" s="58"/>
      <c r="AD538" s="58"/>
      <c r="AE538" s="58" t="s">
        <v>2563</v>
      </c>
    </row>
    <row r="539" spans="1:31" x14ac:dyDescent="0.3">
      <c r="A539" s="59">
        <f t="shared" si="111"/>
        <v>388</v>
      </c>
      <c r="B539" s="66" t="s">
        <v>2578</v>
      </c>
      <c r="C539" s="51">
        <f t="shared" si="109"/>
        <v>1372184.4</v>
      </c>
      <c r="D539" s="51">
        <f t="shared" si="110"/>
        <v>1372184.4</v>
      </c>
      <c r="E539" s="51">
        <v>1372184.4</v>
      </c>
      <c r="F539" s="51"/>
      <c r="G539" s="51"/>
      <c r="H539" s="51"/>
      <c r="I539" s="51"/>
      <c r="J539" s="82"/>
      <c r="K539" s="51"/>
      <c r="L539" s="51"/>
      <c r="M539" s="82"/>
      <c r="N539" s="51"/>
      <c r="O539" s="82"/>
      <c r="P539" s="51"/>
      <c r="Q539" s="338"/>
      <c r="R539" s="51"/>
      <c r="S539" s="51"/>
      <c r="T539" s="35"/>
      <c r="U539" s="51"/>
      <c r="V539" s="51"/>
      <c r="W539" s="364"/>
      <c r="X539" s="141"/>
      <c r="Y539" s="48">
        <f>123037.19+120277.06+120277.06</f>
        <v>363591.31</v>
      </c>
      <c r="Z539" s="48"/>
      <c r="AA539" s="57"/>
      <c r="AB539" s="48">
        <v>369431.11</v>
      </c>
      <c r="AC539" s="58"/>
      <c r="AD539" s="58"/>
      <c r="AE539" s="58" t="s">
        <v>2579</v>
      </c>
    </row>
    <row r="540" spans="1:31" x14ac:dyDescent="0.3">
      <c r="A540" s="177" t="s">
        <v>211</v>
      </c>
      <c r="B540" s="177"/>
      <c r="C540" s="51">
        <f t="shared" ref="C540:W540" si="112">SUM(C523:C539)</f>
        <v>32063530.369999997</v>
      </c>
      <c r="D540" s="51">
        <f t="shared" si="112"/>
        <v>31863957.169999994</v>
      </c>
      <c r="E540" s="51">
        <f t="shared" si="112"/>
        <v>18557213.519999996</v>
      </c>
      <c r="F540" s="51">
        <f t="shared" si="112"/>
        <v>11083658.4</v>
      </c>
      <c r="G540" s="51">
        <f t="shared" si="112"/>
        <v>2223085.25</v>
      </c>
      <c r="H540" s="51">
        <f t="shared" si="112"/>
        <v>0</v>
      </c>
      <c r="I540" s="51">
        <f t="shared" si="112"/>
        <v>0</v>
      </c>
      <c r="J540" s="82">
        <f t="shared" si="112"/>
        <v>0</v>
      </c>
      <c r="K540" s="51">
        <f t="shared" si="112"/>
        <v>0</v>
      </c>
      <c r="L540" s="51">
        <f t="shared" si="112"/>
        <v>0</v>
      </c>
      <c r="M540" s="82">
        <f t="shared" si="112"/>
        <v>0</v>
      </c>
      <c r="N540" s="51">
        <f t="shared" si="112"/>
        <v>0</v>
      </c>
      <c r="O540" s="82">
        <f t="shared" si="112"/>
        <v>0</v>
      </c>
      <c r="P540" s="51">
        <f t="shared" si="112"/>
        <v>0</v>
      </c>
      <c r="Q540" s="338">
        <f t="shared" si="112"/>
        <v>0</v>
      </c>
      <c r="R540" s="51">
        <f t="shared" si="112"/>
        <v>0</v>
      </c>
      <c r="S540" s="51">
        <f t="shared" si="112"/>
        <v>0</v>
      </c>
      <c r="T540" s="35">
        <f t="shared" si="112"/>
        <v>0</v>
      </c>
      <c r="U540" s="51">
        <f t="shared" si="112"/>
        <v>0</v>
      </c>
      <c r="V540" s="51">
        <f t="shared" si="112"/>
        <v>199573.2</v>
      </c>
      <c r="W540" s="51">
        <f t="shared" si="112"/>
        <v>0</v>
      </c>
      <c r="X540" s="141"/>
      <c r="Y540" s="48"/>
      <c r="Z540" s="48"/>
      <c r="AA540" s="57"/>
      <c r="AB540" s="58"/>
      <c r="AC540" s="58"/>
      <c r="AD540" s="58"/>
      <c r="AE540" s="58"/>
    </row>
    <row r="541" spans="1:31" x14ac:dyDescent="0.3">
      <c r="A541" s="167" t="s">
        <v>2594</v>
      </c>
      <c r="B541" s="167"/>
      <c r="C541" s="51">
        <f>C540</f>
        <v>32063530.369999997</v>
      </c>
      <c r="D541" s="51">
        <f t="shared" ref="D541:W541" si="113">D540</f>
        <v>31863957.169999994</v>
      </c>
      <c r="E541" s="51">
        <f t="shared" si="113"/>
        <v>18557213.519999996</v>
      </c>
      <c r="F541" s="51">
        <f t="shared" si="113"/>
        <v>11083658.4</v>
      </c>
      <c r="G541" s="51">
        <f t="shared" si="113"/>
        <v>2223085.25</v>
      </c>
      <c r="H541" s="51">
        <f t="shared" si="113"/>
        <v>0</v>
      </c>
      <c r="I541" s="51">
        <f t="shared" si="113"/>
        <v>0</v>
      </c>
      <c r="J541" s="82">
        <f t="shared" si="113"/>
        <v>0</v>
      </c>
      <c r="K541" s="51">
        <f t="shared" si="113"/>
        <v>0</v>
      </c>
      <c r="L541" s="51">
        <f t="shared" si="113"/>
        <v>0</v>
      </c>
      <c r="M541" s="82">
        <f t="shared" si="113"/>
        <v>0</v>
      </c>
      <c r="N541" s="51">
        <f t="shared" si="113"/>
        <v>0</v>
      </c>
      <c r="O541" s="82">
        <f t="shared" si="113"/>
        <v>0</v>
      </c>
      <c r="P541" s="51">
        <f t="shared" si="113"/>
        <v>0</v>
      </c>
      <c r="Q541" s="338">
        <f t="shared" si="113"/>
        <v>0</v>
      </c>
      <c r="R541" s="51">
        <f t="shared" si="113"/>
        <v>0</v>
      </c>
      <c r="S541" s="51">
        <f t="shared" si="113"/>
        <v>0</v>
      </c>
      <c r="T541" s="35">
        <f t="shared" si="113"/>
        <v>0</v>
      </c>
      <c r="U541" s="51">
        <f t="shared" si="113"/>
        <v>0</v>
      </c>
      <c r="V541" s="51">
        <f t="shared" si="113"/>
        <v>199573.2</v>
      </c>
      <c r="W541" s="51">
        <f t="shared" si="113"/>
        <v>0</v>
      </c>
      <c r="X541" s="141"/>
      <c r="Y541" s="48"/>
      <c r="Z541" s="48"/>
      <c r="AA541" s="57"/>
      <c r="AB541" s="58"/>
      <c r="AC541" s="58"/>
      <c r="AD541" s="58"/>
      <c r="AE541" s="58"/>
    </row>
    <row r="542" spans="1:31" x14ac:dyDescent="0.3">
      <c r="A542" s="63" t="s">
        <v>2595</v>
      </c>
      <c r="B542" s="176"/>
      <c r="C542" s="363"/>
      <c r="D542" s="363"/>
      <c r="E542" s="363"/>
      <c r="F542" s="363"/>
      <c r="G542" s="363"/>
      <c r="H542" s="363"/>
      <c r="I542" s="363"/>
      <c r="J542" s="391"/>
      <c r="K542" s="363"/>
      <c r="L542" s="363"/>
      <c r="M542" s="391"/>
      <c r="N542" s="363"/>
      <c r="O542" s="391"/>
      <c r="P542" s="363"/>
      <c r="Q542" s="392"/>
      <c r="R542" s="363"/>
      <c r="S542" s="363"/>
      <c r="T542" s="393"/>
      <c r="U542" s="363"/>
      <c r="V542" s="363"/>
      <c r="W542" s="363"/>
      <c r="X542" s="285"/>
      <c r="Y542" s="9"/>
      <c r="Z542" s="40"/>
      <c r="AA542" s="7"/>
      <c r="AB542" s="56"/>
      <c r="AC542" s="56"/>
      <c r="AD542" s="56"/>
    </row>
    <row r="543" spans="1:31" x14ac:dyDescent="0.3">
      <c r="A543" s="176" t="s">
        <v>2600</v>
      </c>
      <c r="B543" s="176"/>
      <c r="C543" s="51"/>
      <c r="D543" s="51"/>
      <c r="E543" s="51"/>
      <c r="F543" s="51"/>
      <c r="G543" s="51"/>
      <c r="H543" s="51"/>
      <c r="I543" s="51"/>
      <c r="J543" s="82"/>
      <c r="K543" s="51"/>
      <c r="L543" s="51"/>
      <c r="M543" s="82"/>
      <c r="N543" s="51"/>
      <c r="O543" s="82"/>
      <c r="P543" s="51"/>
      <c r="Q543" s="338"/>
      <c r="R543" s="51"/>
      <c r="S543" s="51"/>
      <c r="T543" s="35"/>
      <c r="U543" s="51"/>
      <c r="V543" s="51"/>
      <c r="W543" s="364"/>
      <c r="X543" s="285"/>
      <c r="Y543" s="9"/>
      <c r="Z543" s="40"/>
      <c r="AA543" s="7"/>
      <c r="AB543" s="56"/>
      <c r="AC543" s="56"/>
      <c r="AD543" s="56"/>
    </row>
    <row r="544" spans="1:31" x14ac:dyDescent="0.3">
      <c r="A544" s="59">
        <f>A539+1</f>
        <v>389</v>
      </c>
      <c r="B544" s="66" t="s">
        <v>2603</v>
      </c>
      <c r="C544" s="51">
        <f t="shared" ref="C544:C550" si="114">D544+K544+L544+N544+P544+R544+S544+U544+V544+W544</f>
        <v>2842323.5759999999</v>
      </c>
      <c r="D544" s="51">
        <f t="shared" ref="D544:D550" si="115">E544+F544+G544+H544+I544</f>
        <v>2655217.02</v>
      </c>
      <c r="E544" s="51">
        <v>633825.67000000004</v>
      </c>
      <c r="F544" s="51">
        <v>1550413.78</v>
      </c>
      <c r="G544" s="51">
        <v>165390.5</v>
      </c>
      <c r="H544" s="51">
        <v>164523.94</v>
      </c>
      <c r="I544" s="51">
        <v>141063.13</v>
      </c>
      <c r="J544" s="82"/>
      <c r="K544" s="51"/>
      <c r="L544" s="51"/>
      <c r="M544" s="82"/>
      <c r="N544" s="51"/>
      <c r="O544" s="82"/>
      <c r="P544" s="51"/>
      <c r="Q544" s="338"/>
      <c r="R544" s="51"/>
      <c r="S544" s="51"/>
      <c r="T544" s="35"/>
      <c r="U544" s="51"/>
      <c r="V544" s="51">
        <v>187106.55600000001</v>
      </c>
      <c r="W544" s="364"/>
      <c r="X544" s="285"/>
      <c r="Y544" s="9"/>
      <c r="Z544" s="40"/>
      <c r="AA544" s="9"/>
      <c r="AB544" s="56"/>
      <c r="AC544" s="56"/>
      <c r="AD544" s="56"/>
    </row>
    <row r="545" spans="1:30" x14ac:dyDescent="0.3">
      <c r="A545" s="59">
        <f t="shared" ref="A545:A550" si="116">A544+1</f>
        <v>390</v>
      </c>
      <c r="B545" s="66" t="s">
        <v>2604</v>
      </c>
      <c r="C545" s="51">
        <f t="shared" si="114"/>
        <v>2785990.5159999998</v>
      </c>
      <c r="D545" s="51">
        <f t="shared" si="115"/>
        <v>2598883.96</v>
      </c>
      <c r="E545" s="51">
        <v>511353.11</v>
      </c>
      <c r="F545" s="51">
        <v>1619632.24</v>
      </c>
      <c r="G545" s="51">
        <v>166172.03</v>
      </c>
      <c r="H545" s="51">
        <v>166315.5</v>
      </c>
      <c r="I545" s="51">
        <v>135411.07999999999</v>
      </c>
      <c r="J545" s="82"/>
      <c r="K545" s="51"/>
      <c r="L545" s="51"/>
      <c r="M545" s="82"/>
      <c r="N545" s="51"/>
      <c r="O545" s="82"/>
      <c r="P545" s="51"/>
      <c r="Q545" s="338"/>
      <c r="R545" s="51"/>
      <c r="S545" s="51"/>
      <c r="T545" s="35"/>
      <c r="U545" s="51"/>
      <c r="V545" s="51">
        <v>187106.55600000001</v>
      </c>
      <c r="W545" s="364"/>
      <c r="X545" s="285"/>
      <c r="Y545" s="9"/>
      <c r="Z545" s="40"/>
      <c r="AA545" s="9"/>
      <c r="AB545" s="56"/>
      <c r="AC545" s="56"/>
      <c r="AD545" s="56"/>
    </row>
    <row r="546" spans="1:30" x14ac:dyDescent="0.3">
      <c r="A546" s="59">
        <f t="shared" si="116"/>
        <v>391</v>
      </c>
      <c r="B546" s="66" t="s">
        <v>2605</v>
      </c>
      <c r="C546" s="51">
        <f t="shared" si="114"/>
        <v>2535309.5499999998</v>
      </c>
      <c r="D546" s="51">
        <f t="shared" si="115"/>
        <v>2107387.15</v>
      </c>
      <c r="E546" s="51">
        <v>388152</v>
      </c>
      <c r="F546" s="51">
        <v>1362786</v>
      </c>
      <c r="G546" s="51">
        <v>198214.8</v>
      </c>
      <c r="H546" s="51">
        <v>158234.35</v>
      </c>
      <c r="I546" s="51"/>
      <c r="J546" s="82"/>
      <c r="K546" s="51"/>
      <c r="L546" s="51"/>
      <c r="M546" s="82"/>
      <c r="N546" s="51"/>
      <c r="O546" s="82"/>
      <c r="P546" s="51"/>
      <c r="Q546" s="338"/>
      <c r="R546" s="51"/>
      <c r="S546" s="51"/>
      <c r="T546" s="35"/>
      <c r="U546" s="51"/>
      <c r="V546" s="51">
        <f>336578.4+91344</f>
        <v>427922.4</v>
      </c>
      <c r="W546" s="364"/>
      <c r="X546" s="285"/>
      <c r="Y546" s="9"/>
      <c r="Z546" s="40"/>
      <c r="AA546" s="9"/>
      <c r="AB546" s="56"/>
      <c r="AC546" s="56"/>
      <c r="AD546" s="56"/>
    </row>
    <row r="547" spans="1:30" x14ac:dyDescent="0.3">
      <c r="A547" s="59">
        <f t="shared" si="116"/>
        <v>392</v>
      </c>
      <c r="B547" s="66" t="s">
        <v>2607</v>
      </c>
      <c r="C547" s="51">
        <f t="shared" si="114"/>
        <v>2547051.6</v>
      </c>
      <c r="D547" s="51">
        <f t="shared" si="115"/>
        <v>2113946.4</v>
      </c>
      <c r="E547" s="51">
        <v>348223.2</v>
      </c>
      <c r="F547" s="51">
        <v>1366958.4</v>
      </c>
      <c r="G547" s="51">
        <v>202070.39999999999</v>
      </c>
      <c r="H547" s="51">
        <v>196694.39999999999</v>
      </c>
      <c r="I547" s="51"/>
      <c r="J547" s="82"/>
      <c r="K547" s="51"/>
      <c r="L547" s="51"/>
      <c r="M547" s="82"/>
      <c r="N547" s="51"/>
      <c r="O547" s="82"/>
      <c r="P547" s="51"/>
      <c r="Q547" s="338"/>
      <c r="R547" s="51"/>
      <c r="S547" s="51"/>
      <c r="T547" s="35"/>
      <c r="U547" s="51"/>
      <c r="V547" s="51">
        <f>344210.4+88894.8</f>
        <v>433105.2</v>
      </c>
      <c r="W547" s="364"/>
      <c r="X547" s="285"/>
      <c r="Y547" s="9"/>
      <c r="Z547" s="306"/>
      <c r="AA547" s="9"/>
      <c r="AB547" s="302"/>
      <c r="AC547" s="302"/>
      <c r="AD547" s="302"/>
    </row>
    <row r="548" spans="1:30" x14ac:dyDescent="0.3">
      <c r="A548" s="59">
        <f t="shared" si="116"/>
        <v>393</v>
      </c>
      <c r="B548" s="66" t="s">
        <v>2608</v>
      </c>
      <c r="C548" s="51">
        <f t="shared" si="114"/>
        <v>2477290.8000000003</v>
      </c>
      <c r="D548" s="51">
        <f t="shared" si="115"/>
        <v>2047717.2000000002</v>
      </c>
      <c r="E548" s="51">
        <v>325203.59999999998</v>
      </c>
      <c r="F548" s="51">
        <v>1366958.4</v>
      </c>
      <c r="G548" s="51">
        <v>221019.6</v>
      </c>
      <c r="H548" s="51">
        <v>134535.6</v>
      </c>
      <c r="I548" s="51"/>
      <c r="J548" s="82"/>
      <c r="K548" s="51"/>
      <c r="L548" s="51"/>
      <c r="M548" s="82"/>
      <c r="N548" s="51"/>
      <c r="O548" s="82"/>
      <c r="P548" s="51"/>
      <c r="Q548" s="338"/>
      <c r="R548" s="51"/>
      <c r="S548" s="51"/>
      <c r="T548" s="35"/>
      <c r="U548" s="51"/>
      <c r="V548" s="51">
        <f>336099.6+93474</f>
        <v>429573.6</v>
      </c>
      <c r="W548" s="364"/>
      <c r="X548" s="285"/>
      <c r="Y548" s="9"/>
      <c r="Z548" s="306"/>
      <c r="AA548" s="9"/>
      <c r="AB548" s="302"/>
      <c r="AC548" s="302"/>
      <c r="AD548" s="302"/>
    </row>
    <row r="549" spans="1:30" x14ac:dyDescent="0.3">
      <c r="A549" s="59">
        <f t="shared" si="116"/>
        <v>394</v>
      </c>
      <c r="B549" s="66" t="s">
        <v>2611</v>
      </c>
      <c r="C549" s="51">
        <f t="shared" si="114"/>
        <v>5373776.4000000004</v>
      </c>
      <c r="D549" s="51">
        <f t="shared" si="115"/>
        <v>4697614.8</v>
      </c>
      <c r="E549" s="51">
        <f>(2688*13)+(358323*2)</f>
        <v>751590</v>
      </c>
      <c r="F549" s="51">
        <v>2020983.6</v>
      </c>
      <c r="G549" s="51">
        <v>501999.6</v>
      </c>
      <c r="H549" s="51">
        <v>540822</v>
      </c>
      <c r="I549" s="51">
        <v>882219.6</v>
      </c>
      <c r="J549" s="82"/>
      <c r="K549" s="51"/>
      <c r="L549" s="51"/>
      <c r="M549" s="82"/>
      <c r="N549" s="51"/>
      <c r="O549" s="82"/>
      <c r="P549" s="51"/>
      <c r="Q549" s="338"/>
      <c r="R549" s="51"/>
      <c r="S549" s="51"/>
      <c r="T549" s="35"/>
      <c r="U549" s="51"/>
      <c r="V549" s="51">
        <f>284996.4+391165.2</f>
        <v>676161.60000000009</v>
      </c>
      <c r="W549" s="364"/>
      <c r="X549" s="285"/>
      <c r="Y549" s="9"/>
      <c r="Z549" s="306"/>
      <c r="AA549" s="9"/>
      <c r="AB549" s="302"/>
      <c r="AC549" s="302"/>
      <c r="AD549" s="302"/>
    </row>
    <row r="550" spans="1:30" x14ac:dyDescent="0.3">
      <c r="A550" s="59">
        <f t="shared" si="116"/>
        <v>395</v>
      </c>
      <c r="B550" s="66" t="s">
        <v>2612</v>
      </c>
      <c r="C550" s="51">
        <f t="shared" si="114"/>
        <v>6544181.0099999998</v>
      </c>
      <c r="D550" s="51">
        <f t="shared" si="115"/>
        <v>6544181.0099999998</v>
      </c>
      <c r="E550" s="51">
        <v>721191.6</v>
      </c>
      <c r="F550" s="51">
        <v>3577132.8</v>
      </c>
      <c r="G550" s="51">
        <v>693109.57</v>
      </c>
      <c r="H550" s="51">
        <v>1552747.04</v>
      </c>
      <c r="I550" s="51"/>
      <c r="J550" s="82"/>
      <c r="K550" s="51"/>
      <c r="L550" s="51"/>
      <c r="M550" s="82"/>
      <c r="N550" s="51"/>
      <c r="O550" s="82"/>
      <c r="P550" s="51"/>
      <c r="Q550" s="338"/>
      <c r="R550" s="51"/>
      <c r="S550" s="51"/>
      <c r="T550" s="35"/>
      <c r="U550" s="51"/>
      <c r="V550" s="51"/>
      <c r="W550" s="364"/>
      <c r="X550" s="285"/>
      <c r="Y550" s="9"/>
      <c r="Z550" s="306"/>
      <c r="AA550" s="9"/>
      <c r="AB550" s="302"/>
      <c r="AC550" s="302"/>
      <c r="AD550" s="302"/>
    </row>
    <row r="551" spans="1:30" x14ac:dyDescent="0.3">
      <c r="A551" s="177" t="s">
        <v>211</v>
      </c>
      <c r="B551" s="177"/>
      <c r="C551" s="51">
        <f t="shared" ref="C551:W551" si="117">SUM(C544:C550)</f>
        <v>25105923.452</v>
      </c>
      <c r="D551" s="51">
        <f t="shared" si="117"/>
        <v>22764947.539999999</v>
      </c>
      <c r="E551" s="51">
        <f t="shared" si="117"/>
        <v>3679539.18</v>
      </c>
      <c r="F551" s="51">
        <f t="shared" si="117"/>
        <v>12864865.219999999</v>
      </c>
      <c r="G551" s="51">
        <f t="shared" si="117"/>
        <v>2147976.5</v>
      </c>
      <c r="H551" s="51">
        <f t="shared" si="117"/>
        <v>2913872.83</v>
      </c>
      <c r="I551" s="51">
        <f t="shared" si="117"/>
        <v>1158693.81</v>
      </c>
      <c r="J551" s="82">
        <f t="shared" si="117"/>
        <v>0</v>
      </c>
      <c r="K551" s="51">
        <f t="shared" si="117"/>
        <v>0</v>
      </c>
      <c r="L551" s="51">
        <f t="shared" si="117"/>
        <v>0</v>
      </c>
      <c r="M551" s="82">
        <f t="shared" si="117"/>
        <v>0</v>
      </c>
      <c r="N551" s="51">
        <f t="shared" si="117"/>
        <v>0</v>
      </c>
      <c r="O551" s="82">
        <f t="shared" si="117"/>
        <v>0</v>
      </c>
      <c r="P551" s="51">
        <f t="shared" si="117"/>
        <v>0</v>
      </c>
      <c r="Q551" s="338">
        <f t="shared" si="117"/>
        <v>0</v>
      </c>
      <c r="R551" s="51">
        <f t="shared" si="117"/>
        <v>0</v>
      </c>
      <c r="S551" s="51">
        <f t="shared" si="117"/>
        <v>0</v>
      </c>
      <c r="T551" s="35">
        <f t="shared" si="117"/>
        <v>0</v>
      </c>
      <c r="U551" s="51">
        <f t="shared" si="117"/>
        <v>0</v>
      </c>
      <c r="V551" s="51">
        <f t="shared" si="117"/>
        <v>2340975.912</v>
      </c>
      <c r="W551" s="51">
        <f t="shared" si="117"/>
        <v>0</v>
      </c>
      <c r="X551" s="285"/>
      <c r="Y551" s="9"/>
      <c r="Z551" s="306"/>
      <c r="AA551" s="9"/>
      <c r="AB551" s="302"/>
      <c r="AC551" s="302"/>
      <c r="AD551" s="302"/>
    </row>
    <row r="552" spans="1:30" x14ac:dyDescent="0.3">
      <c r="A552" s="176" t="s">
        <v>2626</v>
      </c>
      <c r="B552" s="176"/>
      <c r="C552" s="51"/>
      <c r="D552" s="51"/>
      <c r="E552" s="51"/>
      <c r="F552" s="51"/>
      <c r="G552" s="51"/>
      <c r="H552" s="51"/>
      <c r="I552" s="51"/>
      <c r="J552" s="82"/>
      <c r="K552" s="51"/>
      <c r="L552" s="51"/>
      <c r="M552" s="82"/>
      <c r="N552" s="51"/>
      <c r="O552" s="82"/>
      <c r="P552" s="51"/>
      <c r="Q552" s="338"/>
      <c r="R552" s="51"/>
      <c r="S552" s="51"/>
      <c r="T552" s="35"/>
      <c r="U552" s="51"/>
      <c r="V552" s="51"/>
      <c r="W552" s="364"/>
      <c r="X552" s="285"/>
      <c r="Y552" s="9"/>
      <c r="Z552" s="306"/>
      <c r="AA552" s="9"/>
      <c r="AB552" s="302"/>
      <c r="AC552" s="302"/>
      <c r="AD552" s="302"/>
    </row>
    <row r="553" spans="1:30" x14ac:dyDescent="0.3">
      <c r="A553" s="59">
        <f>A550+1</f>
        <v>396</v>
      </c>
      <c r="B553" s="66" t="s">
        <v>2638</v>
      </c>
      <c r="C553" s="51">
        <f>D553+K553+L553+N553+P553+R553+S553+U553+V553+W553</f>
        <v>1722078.91</v>
      </c>
      <c r="D553" s="51">
        <f>E553+F553+G553+H553+I553</f>
        <v>1722078.91</v>
      </c>
      <c r="E553" s="51">
        <v>659210.32999999996</v>
      </c>
      <c r="F553" s="51"/>
      <c r="G553" s="51">
        <v>162867.76999999999</v>
      </c>
      <c r="H553" s="51">
        <v>163418.04999999999</v>
      </c>
      <c r="I553" s="51">
        <v>736582.76</v>
      </c>
      <c r="J553" s="82"/>
      <c r="K553" s="51"/>
      <c r="L553" s="51"/>
      <c r="M553" s="82"/>
      <c r="N553" s="51"/>
      <c r="O553" s="82"/>
      <c r="P553" s="51"/>
      <c r="Q553" s="338"/>
      <c r="R553" s="51"/>
      <c r="S553" s="51"/>
      <c r="T553" s="35"/>
      <c r="U553" s="51"/>
      <c r="V553" s="51"/>
      <c r="W553" s="364"/>
      <c r="X553" s="285"/>
      <c r="Y553" s="9"/>
      <c r="Z553" s="306"/>
      <c r="AA553" s="9"/>
      <c r="AB553" s="302"/>
      <c r="AC553" s="302"/>
      <c r="AD553" s="302"/>
    </row>
    <row r="554" spans="1:30" x14ac:dyDescent="0.3">
      <c r="A554" s="177" t="s">
        <v>211</v>
      </c>
      <c r="B554" s="177"/>
      <c r="C554" s="51">
        <f t="shared" ref="C554:W554" si="118">SUM(C553:C553)</f>
        <v>1722078.91</v>
      </c>
      <c r="D554" s="51">
        <f t="shared" si="118"/>
        <v>1722078.91</v>
      </c>
      <c r="E554" s="51">
        <f t="shared" si="118"/>
        <v>659210.32999999996</v>
      </c>
      <c r="F554" s="51">
        <f t="shared" si="118"/>
        <v>0</v>
      </c>
      <c r="G554" s="51">
        <f t="shared" si="118"/>
        <v>162867.76999999999</v>
      </c>
      <c r="H554" s="51">
        <f t="shared" si="118"/>
        <v>163418.04999999999</v>
      </c>
      <c r="I554" s="51">
        <f t="shared" si="118"/>
        <v>736582.76</v>
      </c>
      <c r="J554" s="82">
        <f t="shared" si="118"/>
        <v>0</v>
      </c>
      <c r="K554" s="51">
        <f t="shared" si="118"/>
        <v>0</v>
      </c>
      <c r="L554" s="51">
        <f t="shared" si="118"/>
        <v>0</v>
      </c>
      <c r="M554" s="82">
        <f t="shared" si="118"/>
        <v>0</v>
      </c>
      <c r="N554" s="51">
        <f t="shared" si="118"/>
        <v>0</v>
      </c>
      <c r="O554" s="82">
        <f t="shared" si="118"/>
        <v>0</v>
      </c>
      <c r="P554" s="51">
        <f t="shared" si="118"/>
        <v>0</v>
      </c>
      <c r="Q554" s="338">
        <f t="shared" si="118"/>
        <v>0</v>
      </c>
      <c r="R554" s="51">
        <f t="shared" si="118"/>
        <v>0</v>
      </c>
      <c r="S554" s="51">
        <f t="shared" si="118"/>
        <v>0</v>
      </c>
      <c r="T554" s="35">
        <f t="shared" si="118"/>
        <v>0</v>
      </c>
      <c r="U554" s="51">
        <f t="shared" si="118"/>
        <v>0</v>
      </c>
      <c r="V554" s="51">
        <f t="shared" si="118"/>
        <v>0</v>
      </c>
      <c r="W554" s="51">
        <f t="shared" si="118"/>
        <v>0</v>
      </c>
      <c r="X554" s="285"/>
      <c r="Y554" s="9"/>
      <c r="Z554" s="306"/>
      <c r="AA554" s="9"/>
      <c r="AB554" s="302"/>
      <c r="AC554" s="302"/>
      <c r="AD554" s="302"/>
    </row>
    <row r="555" spans="1:30" x14ac:dyDescent="0.3">
      <c r="A555" s="176" t="s">
        <v>2643</v>
      </c>
      <c r="B555" s="176"/>
      <c r="C555" s="51"/>
      <c r="D555" s="51"/>
      <c r="E555" s="51"/>
      <c r="F555" s="51"/>
      <c r="G555" s="51"/>
      <c r="H555" s="51"/>
      <c r="I555" s="51"/>
      <c r="J555" s="82"/>
      <c r="K555" s="51"/>
      <c r="L555" s="51"/>
      <c r="M555" s="82"/>
      <c r="N555" s="51"/>
      <c r="O555" s="82"/>
      <c r="P555" s="51"/>
      <c r="Q555" s="338"/>
      <c r="R555" s="51"/>
      <c r="S555" s="51"/>
      <c r="T555" s="35"/>
      <c r="U555" s="51"/>
      <c r="V555" s="51"/>
      <c r="W555" s="364"/>
      <c r="X555" s="285"/>
      <c r="Y555" s="9"/>
      <c r="Z555" s="306"/>
      <c r="AA555" s="9"/>
      <c r="AB555" s="302"/>
      <c r="AC555" s="302"/>
      <c r="AD555" s="302"/>
    </row>
    <row r="556" spans="1:30" x14ac:dyDescent="0.3">
      <c r="A556" s="59">
        <f>A553+1</f>
        <v>397</v>
      </c>
      <c r="B556" s="66" t="s">
        <v>2644</v>
      </c>
      <c r="C556" s="51">
        <f>D556+K556+L556+N556+P556+R556+S556+U556+V556+W556</f>
        <v>8536503.5999999996</v>
      </c>
      <c r="D556" s="51">
        <f>E556+F556+G556+H556+I556</f>
        <v>0</v>
      </c>
      <c r="E556" s="51"/>
      <c r="F556" s="51"/>
      <c r="G556" s="51"/>
      <c r="H556" s="51"/>
      <c r="I556" s="51"/>
      <c r="J556" s="82"/>
      <c r="K556" s="51"/>
      <c r="L556" s="51"/>
      <c r="M556" s="82">
        <v>618.05999999999995</v>
      </c>
      <c r="N556" s="51">
        <v>3758211.6</v>
      </c>
      <c r="O556" s="82"/>
      <c r="P556" s="51"/>
      <c r="Q556" s="338">
        <v>3123.12</v>
      </c>
      <c r="R556" s="51">
        <v>4778292</v>
      </c>
      <c r="S556" s="51"/>
      <c r="T556" s="35"/>
      <c r="U556" s="51"/>
      <c r="V556" s="51"/>
      <c r="W556" s="364"/>
      <c r="X556" s="285"/>
      <c r="Y556" s="9"/>
      <c r="Z556" s="306"/>
      <c r="AA556" s="9"/>
      <c r="AB556" s="302"/>
      <c r="AC556" s="302"/>
      <c r="AD556" s="302"/>
    </row>
    <row r="557" spans="1:30" x14ac:dyDescent="0.3">
      <c r="A557" s="59">
        <f>A556+1</f>
        <v>398</v>
      </c>
      <c r="B557" s="66" t="s">
        <v>2646</v>
      </c>
      <c r="C557" s="51">
        <f>D557+K557+L557+N557+P557+R557+S557+U557+V557+W557</f>
        <v>8536503.5999999996</v>
      </c>
      <c r="D557" s="51">
        <f>E557+F557+G557+H557+I557</f>
        <v>0</v>
      </c>
      <c r="E557" s="51"/>
      <c r="F557" s="51"/>
      <c r="G557" s="51"/>
      <c r="H557" s="51"/>
      <c r="I557" s="51"/>
      <c r="J557" s="82"/>
      <c r="K557" s="51"/>
      <c r="L557" s="51"/>
      <c r="M557" s="82">
        <v>618.05999999999995</v>
      </c>
      <c r="N557" s="51">
        <v>3758211.6</v>
      </c>
      <c r="O557" s="82"/>
      <c r="P557" s="51"/>
      <c r="Q557" s="338">
        <v>4071.24</v>
      </c>
      <c r="R557" s="51">
        <v>4778292</v>
      </c>
      <c r="S557" s="51"/>
      <c r="T557" s="35"/>
      <c r="U557" s="51"/>
      <c r="V557" s="51"/>
      <c r="W557" s="364"/>
      <c r="X557" s="285"/>
      <c r="Y557" s="9"/>
      <c r="Z557" s="306"/>
      <c r="AA557" s="9"/>
      <c r="AB557" s="302"/>
      <c r="AC557" s="302"/>
      <c r="AD557" s="302"/>
    </row>
    <row r="558" spans="1:30" x14ac:dyDescent="0.3">
      <c r="A558" s="59">
        <f>A557+1</f>
        <v>399</v>
      </c>
      <c r="B558" s="66" t="s">
        <v>2647</v>
      </c>
      <c r="C558" s="51">
        <f>D558+K558+L558+N558+P558+R558+S558+U558+V558+W558</f>
        <v>6540166.7999999998</v>
      </c>
      <c r="D558" s="51">
        <f>E558+F558+G558+H558+I558</f>
        <v>0</v>
      </c>
      <c r="E558" s="51"/>
      <c r="F558" s="51"/>
      <c r="G558" s="51"/>
      <c r="H558" s="51"/>
      <c r="I558" s="51"/>
      <c r="J558" s="82"/>
      <c r="K558" s="51"/>
      <c r="L558" s="51"/>
      <c r="M558" s="82">
        <v>747.5</v>
      </c>
      <c r="N558" s="51">
        <v>2082444</v>
      </c>
      <c r="O558" s="82"/>
      <c r="P558" s="51"/>
      <c r="Q558" s="338">
        <v>502.86</v>
      </c>
      <c r="R558" s="51">
        <v>4457722.8</v>
      </c>
      <c r="S558" s="51"/>
      <c r="T558" s="35"/>
      <c r="U558" s="51"/>
      <c r="V558" s="51"/>
      <c r="W558" s="364"/>
      <c r="X558" s="285"/>
      <c r="Y558" s="9"/>
      <c r="Z558" s="306"/>
      <c r="AA558" s="9"/>
      <c r="AB558" s="302"/>
      <c r="AC558" s="302"/>
      <c r="AD558" s="302"/>
    </row>
    <row r="559" spans="1:30" x14ac:dyDescent="0.3">
      <c r="A559" s="59">
        <f>A558+1</f>
        <v>400</v>
      </c>
      <c r="B559" s="66" t="s">
        <v>2648</v>
      </c>
      <c r="C559" s="51">
        <f>D559+K559+L559+N559+P559+R559+S559+U559+V559+W559</f>
        <v>6540166.7999999998</v>
      </c>
      <c r="D559" s="51">
        <f>E559+F559+G559+H559+I559</f>
        <v>0</v>
      </c>
      <c r="E559" s="51"/>
      <c r="F559" s="51"/>
      <c r="G559" s="51"/>
      <c r="H559" s="51"/>
      <c r="I559" s="51"/>
      <c r="J559" s="82"/>
      <c r="K559" s="51"/>
      <c r="L559" s="51"/>
      <c r="M559" s="82">
        <v>747.5</v>
      </c>
      <c r="N559" s="51">
        <v>2082444</v>
      </c>
      <c r="O559" s="82"/>
      <c r="P559" s="51"/>
      <c r="Q559" s="338">
        <v>507.24</v>
      </c>
      <c r="R559" s="51">
        <v>4457722.8</v>
      </c>
      <c r="S559" s="51"/>
      <c r="T559" s="35"/>
      <c r="U559" s="51"/>
      <c r="V559" s="51"/>
      <c r="W559" s="364"/>
      <c r="X559" s="285"/>
      <c r="Y559" s="9"/>
      <c r="Z559" s="318"/>
      <c r="AA559" s="9"/>
      <c r="AB559" s="302"/>
      <c r="AC559" s="302"/>
      <c r="AD559" s="302"/>
    </row>
    <row r="560" spans="1:30" x14ac:dyDescent="0.3">
      <c r="A560" s="177" t="s">
        <v>211</v>
      </c>
      <c r="B560" s="177"/>
      <c r="C560" s="51">
        <f t="shared" ref="C560:W560" si="119">SUM(C556:C559)</f>
        <v>30153340.800000001</v>
      </c>
      <c r="D560" s="51">
        <f t="shared" si="119"/>
        <v>0</v>
      </c>
      <c r="E560" s="51">
        <f t="shared" si="119"/>
        <v>0</v>
      </c>
      <c r="F560" s="51">
        <f t="shared" si="119"/>
        <v>0</v>
      </c>
      <c r="G560" s="51">
        <f t="shared" si="119"/>
        <v>0</v>
      </c>
      <c r="H560" s="51">
        <f t="shared" si="119"/>
        <v>0</v>
      </c>
      <c r="I560" s="51">
        <f t="shared" si="119"/>
        <v>0</v>
      </c>
      <c r="J560" s="82">
        <f t="shared" si="119"/>
        <v>0</v>
      </c>
      <c r="K560" s="51">
        <f t="shared" si="119"/>
        <v>0</v>
      </c>
      <c r="L560" s="51">
        <f t="shared" si="119"/>
        <v>0</v>
      </c>
      <c r="M560" s="82">
        <f t="shared" si="119"/>
        <v>2731.12</v>
      </c>
      <c r="N560" s="51">
        <f t="shared" si="119"/>
        <v>11681311.199999999</v>
      </c>
      <c r="O560" s="82">
        <f t="shared" si="119"/>
        <v>0</v>
      </c>
      <c r="P560" s="51">
        <f t="shared" si="119"/>
        <v>0</v>
      </c>
      <c r="Q560" s="338">
        <f t="shared" si="119"/>
        <v>8204.4599999999991</v>
      </c>
      <c r="R560" s="51">
        <f t="shared" si="119"/>
        <v>18472029.600000001</v>
      </c>
      <c r="S560" s="51">
        <f t="shared" si="119"/>
        <v>0</v>
      </c>
      <c r="T560" s="35">
        <f t="shared" si="119"/>
        <v>0</v>
      </c>
      <c r="U560" s="51">
        <f t="shared" si="119"/>
        <v>0</v>
      </c>
      <c r="V560" s="51">
        <f t="shared" si="119"/>
        <v>0</v>
      </c>
      <c r="W560" s="51">
        <f t="shared" si="119"/>
        <v>0</v>
      </c>
      <c r="X560" s="285"/>
      <c r="Y560" s="9"/>
      <c r="Z560" s="318"/>
      <c r="AA560" s="9"/>
      <c r="AB560" s="302"/>
      <c r="AC560" s="302"/>
      <c r="AD560" s="302"/>
    </row>
    <row r="561" spans="1:30" x14ac:dyDescent="0.3">
      <c r="A561" s="176" t="s">
        <v>2649</v>
      </c>
      <c r="B561" s="176"/>
      <c r="C561" s="51"/>
      <c r="D561" s="51"/>
      <c r="E561" s="51"/>
      <c r="F561" s="51"/>
      <c r="G561" s="51"/>
      <c r="H561" s="51"/>
      <c r="I561" s="51"/>
      <c r="J561" s="82"/>
      <c r="K561" s="51"/>
      <c r="L561" s="51"/>
      <c r="M561" s="82"/>
      <c r="N561" s="51"/>
      <c r="O561" s="82"/>
      <c r="P561" s="51"/>
      <c r="Q561" s="338"/>
      <c r="R561" s="51"/>
      <c r="S561" s="51"/>
      <c r="T561" s="35"/>
      <c r="U561" s="51"/>
      <c r="V561" s="51"/>
      <c r="W561" s="364"/>
      <c r="X561" s="285"/>
      <c r="Y561" s="9"/>
      <c r="Z561" s="318"/>
      <c r="AA561" s="9"/>
      <c r="AB561" s="302"/>
      <c r="AC561" s="302"/>
      <c r="AD561" s="302"/>
    </row>
    <row r="562" spans="1:30" x14ac:dyDescent="0.3">
      <c r="A562" s="59">
        <f>A559+1</f>
        <v>401</v>
      </c>
      <c r="B562" s="66" t="s">
        <v>2650</v>
      </c>
      <c r="C562" s="51">
        <f>D562+K562+L562+N562+P562+R562+S562+U562+V562+W562</f>
        <v>11131316.800000001</v>
      </c>
      <c r="D562" s="51">
        <f>E562+F562+G562+H562+I562</f>
        <v>1703937.8</v>
      </c>
      <c r="E562" s="51">
        <v>523803.6</v>
      </c>
      <c r="F562" s="51">
        <f>13*5502+607361</f>
        <v>678887</v>
      </c>
      <c r="G562" s="51"/>
      <c r="H562" s="51"/>
      <c r="I562" s="51">
        <v>501247.2</v>
      </c>
      <c r="J562" s="82"/>
      <c r="K562" s="51"/>
      <c r="L562" s="51"/>
      <c r="M562" s="82"/>
      <c r="N562" s="51"/>
      <c r="O562" s="82"/>
      <c r="P562" s="51"/>
      <c r="Q562" s="338"/>
      <c r="R562" s="51"/>
      <c r="S562" s="51"/>
      <c r="T562" s="35"/>
      <c r="U562" s="51"/>
      <c r="V562" s="51">
        <f>13*(214531+392996+117656)</f>
        <v>9427379</v>
      </c>
      <c r="W562" s="364"/>
      <c r="X562" s="285"/>
      <c r="Y562" s="9"/>
      <c r="Z562" s="318"/>
      <c r="AA562" s="9"/>
      <c r="AB562" s="302"/>
      <c r="AC562" s="302"/>
      <c r="AD562" s="302"/>
    </row>
    <row r="563" spans="1:30" x14ac:dyDescent="0.3">
      <c r="A563" s="177" t="s">
        <v>211</v>
      </c>
      <c r="B563" s="177"/>
      <c r="C563" s="51">
        <f t="shared" ref="C563:W563" si="120">C562</f>
        <v>11131316.800000001</v>
      </c>
      <c r="D563" s="51">
        <f t="shared" si="120"/>
        <v>1703937.8</v>
      </c>
      <c r="E563" s="51">
        <f t="shared" si="120"/>
        <v>523803.6</v>
      </c>
      <c r="F563" s="51">
        <f t="shared" si="120"/>
        <v>678887</v>
      </c>
      <c r="G563" s="51">
        <f t="shared" si="120"/>
        <v>0</v>
      </c>
      <c r="H563" s="51">
        <f t="shared" si="120"/>
        <v>0</v>
      </c>
      <c r="I563" s="51">
        <f t="shared" si="120"/>
        <v>501247.2</v>
      </c>
      <c r="J563" s="82">
        <f t="shared" si="120"/>
        <v>0</v>
      </c>
      <c r="K563" s="51">
        <f t="shared" si="120"/>
        <v>0</v>
      </c>
      <c r="L563" s="51">
        <f t="shared" si="120"/>
        <v>0</v>
      </c>
      <c r="M563" s="82">
        <f t="shared" si="120"/>
        <v>0</v>
      </c>
      <c r="N563" s="51">
        <f t="shared" si="120"/>
        <v>0</v>
      </c>
      <c r="O563" s="82">
        <f t="shared" si="120"/>
        <v>0</v>
      </c>
      <c r="P563" s="51">
        <f t="shared" si="120"/>
        <v>0</v>
      </c>
      <c r="Q563" s="338">
        <f t="shared" si="120"/>
        <v>0</v>
      </c>
      <c r="R563" s="51">
        <f t="shared" si="120"/>
        <v>0</v>
      </c>
      <c r="S563" s="51">
        <f t="shared" si="120"/>
        <v>0</v>
      </c>
      <c r="T563" s="35">
        <f t="shared" si="120"/>
        <v>0</v>
      </c>
      <c r="U563" s="51">
        <f t="shared" si="120"/>
        <v>0</v>
      </c>
      <c r="V563" s="51">
        <f t="shared" si="120"/>
        <v>9427379</v>
      </c>
      <c r="W563" s="51">
        <f t="shared" si="120"/>
        <v>0</v>
      </c>
      <c r="X563" s="285"/>
      <c r="Y563" s="9"/>
      <c r="Z563" s="318"/>
      <c r="AA563" s="9"/>
      <c r="AB563" s="302"/>
      <c r="AC563" s="302"/>
      <c r="AD563" s="302"/>
    </row>
    <row r="564" spans="1:30" x14ac:dyDescent="0.3">
      <c r="A564" s="176" t="s">
        <v>2663</v>
      </c>
      <c r="B564" s="176"/>
      <c r="C564" s="51"/>
      <c r="D564" s="51"/>
      <c r="E564" s="51"/>
      <c r="F564" s="51"/>
      <c r="G564" s="51"/>
      <c r="H564" s="51"/>
      <c r="I564" s="51"/>
      <c r="J564" s="82"/>
      <c r="K564" s="51"/>
      <c r="L564" s="51"/>
      <c r="M564" s="82"/>
      <c r="N564" s="51"/>
      <c r="O564" s="82"/>
      <c r="P564" s="51"/>
      <c r="Q564" s="338"/>
      <c r="R564" s="51"/>
      <c r="S564" s="51"/>
      <c r="T564" s="35"/>
      <c r="U564" s="51"/>
      <c r="V564" s="51"/>
      <c r="W564" s="364"/>
      <c r="X564" s="285"/>
      <c r="Y564" s="9"/>
      <c r="Z564" s="318"/>
      <c r="AA564" s="9"/>
      <c r="AB564" s="302"/>
      <c r="AC564" s="302"/>
      <c r="AD564" s="302"/>
    </row>
    <row r="565" spans="1:30" x14ac:dyDescent="0.3">
      <c r="A565" s="59">
        <f>A562+1</f>
        <v>402</v>
      </c>
      <c r="B565" s="66" t="s">
        <v>2667</v>
      </c>
      <c r="C565" s="51">
        <f>D565+K565+L565+N565+P565+R565+S565+U565+V565+W565</f>
        <v>5712328.7999999998</v>
      </c>
      <c r="D565" s="51">
        <f>E565+F565+G565+H565+I565</f>
        <v>5262904.8</v>
      </c>
      <c r="E565" s="51">
        <v>943450.8</v>
      </c>
      <c r="F565" s="51">
        <v>2654172</v>
      </c>
      <c r="G565" s="51">
        <v>393982.8</v>
      </c>
      <c r="H565" s="51">
        <v>857212.8</v>
      </c>
      <c r="I565" s="51">
        <v>414086.40000000002</v>
      </c>
      <c r="J565" s="82"/>
      <c r="K565" s="51"/>
      <c r="L565" s="51"/>
      <c r="M565" s="82"/>
      <c r="N565" s="51"/>
      <c r="O565" s="82"/>
      <c r="P565" s="51"/>
      <c r="Q565" s="338"/>
      <c r="R565" s="51"/>
      <c r="S565" s="51"/>
      <c r="T565" s="35"/>
      <c r="U565" s="51"/>
      <c r="V565" s="51">
        <f>449424</f>
        <v>449424</v>
      </c>
      <c r="W565" s="364"/>
      <c r="X565" s="285">
        <f>153299.74+123880.51+123900.4+118741.84</f>
        <v>519822.49</v>
      </c>
      <c r="Y565" s="9"/>
      <c r="Z565" s="318"/>
      <c r="AA565" s="9"/>
      <c r="AB565" s="302"/>
      <c r="AC565" s="302"/>
      <c r="AD565" s="302"/>
    </row>
    <row r="566" spans="1:30" x14ac:dyDescent="0.3">
      <c r="A566" s="177" t="s">
        <v>211</v>
      </c>
      <c r="B566" s="177"/>
      <c r="C566" s="51">
        <f t="shared" ref="C566:W566" si="121">SUM(C565:C565)</f>
        <v>5712328.7999999998</v>
      </c>
      <c r="D566" s="51">
        <f t="shared" si="121"/>
        <v>5262904.8</v>
      </c>
      <c r="E566" s="51">
        <f t="shared" si="121"/>
        <v>943450.8</v>
      </c>
      <c r="F566" s="51">
        <f t="shared" si="121"/>
        <v>2654172</v>
      </c>
      <c r="G566" s="51">
        <f t="shared" si="121"/>
        <v>393982.8</v>
      </c>
      <c r="H566" s="51">
        <f t="shared" si="121"/>
        <v>857212.8</v>
      </c>
      <c r="I566" s="51">
        <f t="shared" si="121"/>
        <v>414086.40000000002</v>
      </c>
      <c r="J566" s="82">
        <f t="shared" si="121"/>
        <v>0</v>
      </c>
      <c r="K566" s="51">
        <f t="shared" si="121"/>
        <v>0</v>
      </c>
      <c r="L566" s="51">
        <f t="shared" si="121"/>
        <v>0</v>
      </c>
      <c r="M566" s="82">
        <f t="shared" si="121"/>
        <v>0</v>
      </c>
      <c r="N566" s="51">
        <f t="shared" si="121"/>
        <v>0</v>
      </c>
      <c r="O566" s="82">
        <f t="shared" si="121"/>
        <v>0</v>
      </c>
      <c r="P566" s="51">
        <f t="shared" si="121"/>
        <v>0</v>
      </c>
      <c r="Q566" s="338">
        <f t="shared" si="121"/>
        <v>0</v>
      </c>
      <c r="R566" s="51">
        <f t="shared" si="121"/>
        <v>0</v>
      </c>
      <c r="S566" s="51">
        <f t="shared" si="121"/>
        <v>0</v>
      </c>
      <c r="T566" s="35">
        <f t="shared" si="121"/>
        <v>0</v>
      </c>
      <c r="U566" s="51">
        <f t="shared" si="121"/>
        <v>0</v>
      </c>
      <c r="V566" s="51">
        <f t="shared" si="121"/>
        <v>449424</v>
      </c>
      <c r="W566" s="51">
        <f t="shared" si="121"/>
        <v>0</v>
      </c>
      <c r="X566" s="285"/>
      <c r="Y566" s="9"/>
      <c r="Z566" s="318"/>
      <c r="AA566" s="9"/>
      <c r="AB566" s="302"/>
      <c r="AC566" s="302"/>
      <c r="AD566" s="302"/>
    </row>
    <row r="567" spans="1:30" x14ac:dyDescent="0.3">
      <c r="A567" s="176" t="s">
        <v>2672</v>
      </c>
      <c r="B567" s="176"/>
      <c r="C567" s="51"/>
      <c r="D567" s="51"/>
      <c r="E567" s="51"/>
      <c r="F567" s="51"/>
      <c r="G567" s="51"/>
      <c r="H567" s="51"/>
      <c r="I567" s="51"/>
      <c r="J567" s="82"/>
      <c r="K567" s="51"/>
      <c r="L567" s="51"/>
      <c r="M567" s="82"/>
      <c r="N567" s="51"/>
      <c r="O567" s="82"/>
      <c r="P567" s="51"/>
      <c r="Q567" s="338"/>
      <c r="R567" s="51"/>
      <c r="S567" s="51"/>
      <c r="T567" s="35"/>
      <c r="U567" s="51"/>
      <c r="V567" s="51"/>
      <c r="W567" s="364"/>
      <c r="X567" s="285"/>
      <c r="Y567" s="9"/>
      <c r="Z567" s="318"/>
      <c r="AA567" s="9"/>
      <c r="AB567" s="302"/>
      <c r="AC567" s="302"/>
      <c r="AD567" s="302"/>
    </row>
    <row r="568" spans="1:30" x14ac:dyDescent="0.3">
      <c r="A568" s="59">
        <f>A565+1</f>
        <v>403</v>
      </c>
      <c r="B568" s="66" t="s">
        <v>3835</v>
      </c>
      <c r="C568" s="51">
        <f>D568+K568+L568+N568+P568+R568+S568+U568+V568+W568</f>
        <v>130000</v>
      </c>
      <c r="D568" s="51">
        <f>E568+F568+G568+H568+I568</f>
        <v>0</v>
      </c>
      <c r="E568" s="51"/>
      <c r="F568" s="51"/>
      <c r="G568" s="51"/>
      <c r="H568" s="51"/>
      <c r="I568" s="51"/>
      <c r="J568" s="82"/>
      <c r="K568" s="51"/>
      <c r="L568" s="51"/>
      <c r="M568" s="82"/>
      <c r="N568" s="51"/>
      <c r="O568" s="82"/>
      <c r="P568" s="51"/>
      <c r="Q568" s="338"/>
      <c r="R568" s="51"/>
      <c r="S568" s="51"/>
      <c r="T568" s="35"/>
      <c r="U568" s="51"/>
      <c r="V568" s="51"/>
      <c r="W568" s="364">
        <v>130000</v>
      </c>
      <c r="X568" s="285"/>
      <c r="Y568" s="9"/>
      <c r="Z568" s="318"/>
      <c r="AA568" s="9"/>
      <c r="AB568" s="302"/>
      <c r="AC568" s="302"/>
      <c r="AD568" s="302"/>
    </row>
    <row r="569" spans="1:30" x14ac:dyDescent="0.3">
      <c r="A569" s="59">
        <f>A568+1</f>
        <v>404</v>
      </c>
      <c r="B569" s="66" t="s">
        <v>2676</v>
      </c>
      <c r="C569" s="51">
        <f>D569+K569+L569+N569+P569+R569+S569+U569+V569+W569</f>
        <v>114992.99</v>
      </c>
      <c r="D569" s="51">
        <f>E569+F569+G569+H569+I569</f>
        <v>0</v>
      </c>
      <c r="E569" s="51"/>
      <c r="F569" s="51"/>
      <c r="G569" s="51"/>
      <c r="H569" s="51"/>
      <c r="I569" s="51"/>
      <c r="J569" s="82"/>
      <c r="K569" s="51"/>
      <c r="L569" s="51"/>
      <c r="M569" s="82"/>
      <c r="N569" s="51"/>
      <c r="O569" s="82"/>
      <c r="P569" s="51"/>
      <c r="Q569" s="338"/>
      <c r="R569" s="51"/>
      <c r="S569" s="51"/>
      <c r="T569" s="35"/>
      <c r="U569" s="51"/>
      <c r="V569" s="51"/>
      <c r="W569" s="364">
        <f>SUM('2022'!X858:AD858)</f>
        <v>114992.99</v>
      </c>
      <c r="X569" s="285">
        <v>114992.99</v>
      </c>
      <c r="Y569" s="9"/>
      <c r="Z569" s="318"/>
      <c r="AA569" s="9"/>
      <c r="AB569" s="302"/>
      <c r="AC569" s="302"/>
      <c r="AD569" s="302"/>
    </row>
    <row r="570" spans="1:30" x14ac:dyDescent="0.3">
      <c r="A570" s="177" t="s">
        <v>211</v>
      </c>
      <c r="B570" s="177"/>
      <c r="C570" s="51">
        <f t="shared" ref="C570:W570" si="122">SUM(C568:C569)</f>
        <v>244992.99</v>
      </c>
      <c r="D570" s="51">
        <f t="shared" si="122"/>
        <v>0</v>
      </c>
      <c r="E570" s="51">
        <f t="shared" si="122"/>
        <v>0</v>
      </c>
      <c r="F570" s="51">
        <f t="shared" si="122"/>
        <v>0</v>
      </c>
      <c r="G570" s="51">
        <f t="shared" si="122"/>
        <v>0</v>
      </c>
      <c r="H570" s="51">
        <f t="shared" si="122"/>
        <v>0</v>
      </c>
      <c r="I570" s="51">
        <f t="shared" si="122"/>
        <v>0</v>
      </c>
      <c r="J570" s="82">
        <f t="shared" si="122"/>
        <v>0</v>
      </c>
      <c r="K570" s="51">
        <f t="shared" si="122"/>
        <v>0</v>
      </c>
      <c r="L570" s="51">
        <f t="shared" si="122"/>
        <v>0</v>
      </c>
      <c r="M570" s="82">
        <f t="shared" si="122"/>
        <v>0</v>
      </c>
      <c r="N570" s="51">
        <f t="shared" si="122"/>
        <v>0</v>
      </c>
      <c r="O570" s="82">
        <f t="shared" si="122"/>
        <v>0</v>
      </c>
      <c r="P570" s="51">
        <f t="shared" si="122"/>
        <v>0</v>
      </c>
      <c r="Q570" s="338">
        <f t="shared" si="122"/>
        <v>0</v>
      </c>
      <c r="R570" s="51">
        <f t="shared" si="122"/>
        <v>0</v>
      </c>
      <c r="S570" s="51">
        <f t="shared" si="122"/>
        <v>0</v>
      </c>
      <c r="T570" s="35">
        <f t="shared" si="122"/>
        <v>0</v>
      </c>
      <c r="U570" s="51">
        <f t="shared" si="122"/>
        <v>0</v>
      </c>
      <c r="V570" s="51">
        <f t="shared" si="122"/>
        <v>0</v>
      </c>
      <c r="W570" s="51">
        <f t="shared" si="122"/>
        <v>244992.99</v>
      </c>
      <c r="X570" s="285"/>
      <c r="Y570" s="9"/>
      <c r="Z570" s="318"/>
      <c r="AA570" s="9"/>
      <c r="AB570" s="302"/>
      <c r="AC570" s="302"/>
      <c r="AD570" s="302"/>
    </row>
    <row r="571" spans="1:30" x14ac:dyDescent="0.3">
      <c r="A571" s="176" t="s">
        <v>2685</v>
      </c>
      <c r="B571" s="176"/>
      <c r="C571" s="51"/>
      <c r="D571" s="51"/>
      <c r="E571" s="51"/>
      <c r="F571" s="51"/>
      <c r="G571" s="51"/>
      <c r="H571" s="51"/>
      <c r="I571" s="51"/>
      <c r="J571" s="82"/>
      <c r="K571" s="51"/>
      <c r="L571" s="51"/>
      <c r="M571" s="82"/>
      <c r="N571" s="51"/>
      <c r="O571" s="82"/>
      <c r="P571" s="51"/>
      <c r="Q571" s="338"/>
      <c r="R571" s="51"/>
      <c r="S571" s="51"/>
      <c r="T571" s="35"/>
      <c r="U571" s="51"/>
      <c r="V571" s="51"/>
      <c r="W571" s="364"/>
      <c r="X571" s="285"/>
      <c r="Y571" s="9"/>
      <c r="Z571" s="318"/>
      <c r="AA571" s="9"/>
      <c r="AB571" s="302"/>
      <c r="AC571" s="302"/>
      <c r="AD571" s="302"/>
    </row>
    <row r="572" spans="1:30" x14ac:dyDescent="0.3">
      <c r="A572" s="59">
        <f>A569+1</f>
        <v>405</v>
      </c>
      <c r="B572" s="66" t="s">
        <v>2686</v>
      </c>
      <c r="C572" s="51">
        <f>D572+K572+L572+N572+P572+R572+S572+U572+V572+W572</f>
        <v>10667647.279999999</v>
      </c>
      <c r="D572" s="51">
        <f>E572+F572+G572+H572+I572</f>
        <v>0</v>
      </c>
      <c r="E572" s="51"/>
      <c r="F572" s="51"/>
      <c r="G572" s="51"/>
      <c r="H572" s="51"/>
      <c r="I572" s="51"/>
      <c r="J572" s="82"/>
      <c r="K572" s="51"/>
      <c r="L572" s="51"/>
      <c r="M572" s="82"/>
      <c r="N572" s="51"/>
      <c r="O572" s="82">
        <v>1320</v>
      </c>
      <c r="P572" s="51">
        <v>10667647.279999999</v>
      </c>
      <c r="Q572" s="338"/>
      <c r="R572" s="51"/>
      <c r="S572" s="51"/>
      <c r="T572" s="35"/>
      <c r="U572" s="51"/>
      <c r="V572" s="51"/>
      <c r="W572" s="364"/>
      <c r="X572" s="285"/>
      <c r="Y572" s="9"/>
      <c r="Z572" s="318"/>
      <c r="AA572" s="9"/>
      <c r="AB572" s="302"/>
      <c r="AC572" s="302"/>
      <c r="AD572" s="302"/>
    </row>
    <row r="573" spans="1:30" x14ac:dyDescent="0.3">
      <c r="A573" s="177" t="s">
        <v>211</v>
      </c>
      <c r="B573" s="177"/>
      <c r="C573" s="51">
        <f t="shared" ref="C573:W573" si="123">SUM(C572:C572)</f>
        <v>10667647.279999999</v>
      </c>
      <c r="D573" s="51">
        <f t="shared" si="123"/>
        <v>0</v>
      </c>
      <c r="E573" s="51">
        <f t="shared" si="123"/>
        <v>0</v>
      </c>
      <c r="F573" s="51">
        <f t="shared" si="123"/>
        <v>0</v>
      </c>
      <c r="G573" s="51">
        <f t="shared" si="123"/>
        <v>0</v>
      </c>
      <c r="H573" s="51">
        <f t="shared" si="123"/>
        <v>0</v>
      </c>
      <c r="I573" s="51">
        <f t="shared" si="123"/>
        <v>0</v>
      </c>
      <c r="J573" s="82">
        <f t="shared" si="123"/>
        <v>0</v>
      </c>
      <c r="K573" s="51">
        <f t="shared" si="123"/>
        <v>0</v>
      </c>
      <c r="L573" s="51">
        <f t="shared" si="123"/>
        <v>0</v>
      </c>
      <c r="M573" s="82">
        <f t="shared" si="123"/>
        <v>0</v>
      </c>
      <c r="N573" s="51">
        <f t="shared" si="123"/>
        <v>0</v>
      </c>
      <c r="O573" s="82">
        <f t="shared" si="123"/>
        <v>1320</v>
      </c>
      <c r="P573" s="51">
        <f t="shared" si="123"/>
        <v>10667647.279999999</v>
      </c>
      <c r="Q573" s="338">
        <f t="shared" si="123"/>
        <v>0</v>
      </c>
      <c r="R573" s="51">
        <f t="shared" si="123"/>
        <v>0</v>
      </c>
      <c r="S573" s="51">
        <f t="shared" si="123"/>
        <v>0</v>
      </c>
      <c r="T573" s="35">
        <f t="shared" si="123"/>
        <v>0</v>
      </c>
      <c r="U573" s="51">
        <f t="shared" si="123"/>
        <v>0</v>
      </c>
      <c r="V573" s="51">
        <f t="shared" si="123"/>
        <v>0</v>
      </c>
      <c r="W573" s="51">
        <f t="shared" si="123"/>
        <v>0</v>
      </c>
      <c r="X573" s="285"/>
      <c r="Y573" s="9"/>
      <c r="Z573" s="318"/>
      <c r="AA573" s="9"/>
      <c r="AB573" s="302"/>
      <c r="AC573" s="302"/>
      <c r="AD573" s="302"/>
    </row>
    <row r="574" spans="1:30" x14ac:dyDescent="0.3">
      <c r="A574" s="176" t="s">
        <v>2701</v>
      </c>
      <c r="B574" s="176"/>
      <c r="C574" s="51"/>
      <c r="D574" s="51"/>
      <c r="E574" s="51"/>
      <c r="F574" s="51"/>
      <c r="G574" s="51"/>
      <c r="H574" s="51"/>
      <c r="I574" s="51"/>
      <c r="J574" s="82"/>
      <c r="K574" s="51"/>
      <c r="L574" s="51"/>
      <c r="M574" s="82"/>
      <c r="N574" s="51"/>
      <c r="O574" s="82"/>
      <c r="P574" s="51"/>
      <c r="Q574" s="338"/>
      <c r="R574" s="51"/>
      <c r="S574" s="51"/>
      <c r="T574" s="35"/>
      <c r="U574" s="51"/>
      <c r="V574" s="51"/>
      <c r="W574" s="364"/>
      <c r="X574" s="285"/>
      <c r="Y574" s="9"/>
      <c r="Z574" s="318"/>
      <c r="AA574" s="9"/>
      <c r="AB574" s="302"/>
      <c r="AC574" s="302"/>
      <c r="AD574" s="302"/>
    </row>
    <row r="575" spans="1:30" x14ac:dyDescent="0.3">
      <c r="A575" s="59">
        <f>A572+1</f>
        <v>406</v>
      </c>
      <c r="B575" s="66" t="s">
        <v>2706</v>
      </c>
      <c r="C575" s="51">
        <f>D575+K575+L575+N575+P575+R575+S575+U575+V575+W575</f>
        <v>21282744.199999999</v>
      </c>
      <c r="D575" s="51">
        <f>E575+F575+G575+H575+I575</f>
        <v>11855365.199999999</v>
      </c>
      <c r="E575" s="51">
        <v>2840746.8</v>
      </c>
      <c r="F575" s="51">
        <v>5275912.8</v>
      </c>
      <c r="G575" s="51">
        <v>1397749.2</v>
      </c>
      <c r="H575" s="51">
        <v>2340956.4</v>
      </c>
      <c r="I575" s="51"/>
      <c r="J575" s="82"/>
      <c r="K575" s="51"/>
      <c r="L575" s="51"/>
      <c r="M575" s="82"/>
      <c r="N575" s="51"/>
      <c r="O575" s="82"/>
      <c r="P575" s="51"/>
      <c r="Q575" s="338"/>
      <c r="R575" s="51"/>
      <c r="S575" s="51"/>
      <c r="T575" s="35"/>
      <c r="U575" s="51"/>
      <c r="V575" s="51">
        <f>13*(214531+392996+117656)</f>
        <v>9427379</v>
      </c>
      <c r="W575" s="364"/>
      <c r="X575" s="285"/>
      <c r="Y575" s="9"/>
      <c r="Z575" s="318"/>
      <c r="AA575" s="9">
        <v>838622.77</v>
      </c>
      <c r="AB575" s="302"/>
      <c r="AC575" s="302"/>
      <c r="AD575" s="302"/>
    </row>
    <row r="576" spans="1:30" x14ac:dyDescent="0.3">
      <c r="A576" s="177" t="s">
        <v>211</v>
      </c>
      <c r="B576" s="177"/>
      <c r="C576" s="51">
        <f t="shared" ref="C576:W576" si="124">SUM(C575:C575)</f>
        <v>21282744.199999999</v>
      </c>
      <c r="D576" s="51">
        <f t="shared" si="124"/>
        <v>11855365.199999999</v>
      </c>
      <c r="E576" s="51">
        <f t="shared" si="124"/>
        <v>2840746.8</v>
      </c>
      <c r="F576" s="51">
        <f t="shared" si="124"/>
        <v>5275912.8</v>
      </c>
      <c r="G576" s="51">
        <f t="shared" si="124"/>
        <v>1397749.2</v>
      </c>
      <c r="H576" s="51">
        <f t="shared" si="124"/>
        <v>2340956.4</v>
      </c>
      <c r="I576" s="51">
        <f t="shared" si="124"/>
        <v>0</v>
      </c>
      <c r="J576" s="82">
        <f t="shared" si="124"/>
        <v>0</v>
      </c>
      <c r="K576" s="51">
        <f t="shared" si="124"/>
        <v>0</v>
      </c>
      <c r="L576" s="51">
        <f t="shared" si="124"/>
        <v>0</v>
      </c>
      <c r="M576" s="82">
        <f t="shared" si="124"/>
        <v>0</v>
      </c>
      <c r="N576" s="51">
        <f t="shared" si="124"/>
        <v>0</v>
      </c>
      <c r="O576" s="82">
        <f t="shared" si="124"/>
        <v>0</v>
      </c>
      <c r="P576" s="51">
        <f t="shared" si="124"/>
        <v>0</v>
      </c>
      <c r="Q576" s="338">
        <f t="shared" si="124"/>
        <v>0</v>
      </c>
      <c r="R576" s="51">
        <f t="shared" si="124"/>
        <v>0</v>
      </c>
      <c r="S576" s="51">
        <f t="shared" si="124"/>
        <v>0</v>
      </c>
      <c r="T576" s="35">
        <f t="shared" si="124"/>
        <v>0</v>
      </c>
      <c r="U576" s="51">
        <f t="shared" si="124"/>
        <v>0</v>
      </c>
      <c r="V576" s="51">
        <f t="shared" si="124"/>
        <v>9427379</v>
      </c>
      <c r="W576" s="51">
        <f t="shared" si="124"/>
        <v>0</v>
      </c>
      <c r="X576" s="285"/>
      <c r="Y576" s="9"/>
      <c r="Z576" s="318"/>
      <c r="AA576" s="9"/>
      <c r="AB576" s="302"/>
      <c r="AC576" s="302"/>
      <c r="AD576" s="302"/>
    </row>
    <row r="577" spans="1:37" x14ac:dyDescent="0.3">
      <c r="A577" s="167" t="s">
        <v>2711</v>
      </c>
      <c r="B577" s="167"/>
      <c r="C577" s="51">
        <f t="shared" ref="C577:W577" si="125">C576+C573+C570+C566+C563+C560+C554+C551</f>
        <v>106020373.23199999</v>
      </c>
      <c r="D577" s="51">
        <f t="shared" si="125"/>
        <v>43309234.25</v>
      </c>
      <c r="E577" s="51">
        <f t="shared" si="125"/>
        <v>8646750.709999999</v>
      </c>
      <c r="F577" s="51">
        <f t="shared" si="125"/>
        <v>21473837.02</v>
      </c>
      <c r="G577" s="51">
        <f t="shared" si="125"/>
        <v>4102576.27</v>
      </c>
      <c r="H577" s="51">
        <f t="shared" si="125"/>
        <v>6275460.0800000001</v>
      </c>
      <c r="I577" s="51">
        <f t="shared" si="125"/>
        <v>2810610.17</v>
      </c>
      <c r="J577" s="82">
        <f t="shared" si="125"/>
        <v>0</v>
      </c>
      <c r="K577" s="51">
        <f t="shared" si="125"/>
        <v>0</v>
      </c>
      <c r="L577" s="51">
        <f t="shared" si="125"/>
        <v>0</v>
      </c>
      <c r="M577" s="82">
        <f t="shared" si="125"/>
        <v>2731.12</v>
      </c>
      <c r="N577" s="51">
        <f t="shared" si="125"/>
        <v>11681311.199999999</v>
      </c>
      <c r="O577" s="82">
        <f t="shared" si="125"/>
        <v>1320</v>
      </c>
      <c r="P577" s="51">
        <f t="shared" si="125"/>
        <v>10667647.279999999</v>
      </c>
      <c r="Q577" s="338">
        <f t="shared" si="125"/>
        <v>8204.4599999999991</v>
      </c>
      <c r="R577" s="51">
        <f t="shared" si="125"/>
        <v>18472029.600000001</v>
      </c>
      <c r="S577" s="51">
        <f t="shared" si="125"/>
        <v>0</v>
      </c>
      <c r="T577" s="35">
        <f t="shared" si="125"/>
        <v>0</v>
      </c>
      <c r="U577" s="51">
        <f t="shared" si="125"/>
        <v>0</v>
      </c>
      <c r="V577" s="51">
        <f t="shared" si="125"/>
        <v>21645157.912</v>
      </c>
      <c r="W577" s="51">
        <f t="shared" si="125"/>
        <v>244992.99</v>
      </c>
      <c r="X577" s="285"/>
      <c r="Y577" s="9"/>
      <c r="Z577" s="318"/>
      <c r="AA577" s="9"/>
      <c r="AB577" s="302"/>
      <c r="AC577" s="302"/>
      <c r="AD577" s="302"/>
    </row>
    <row r="578" spans="1:37" x14ac:dyDescent="0.3">
      <c r="A578" s="63" t="s">
        <v>3836</v>
      </c>
      <c r="B578" s="176"/>
      <c r="C578" s="363"/>
      <c r="D578" s="363"/>
      <c r="E578" s="363"/>
      <c r="F578" s="363"/>
      <c r="G578" s="363"/>
      <c r="H578" s="363"/>
      <c r="I578" s="363"/>
      <c r="J578" s="391"/>
      <c r="K578" s="363"/>
      <c r="L578" s="363"/>
      <c r="M578" s="391"/>
      <c r="N578" s="363"/>
      <c r="O578" s="391"/>
      <c r="P578" s="363"/>
      <c r="Q578" s="392"/>
      <c r="R578" s="363"/>
      <c r="S578" s="363"/>
      <c r="T578" s="393"/>
      <c r="U578" s="363"/>
      <c r="V578" s="363"/>
      <c r="W578" s="363"/>
      <c r="X578" s="144"/>
      <c r="Y578" s="48"/>
      <c r="Z578" s="48"/>
      <c r="AA578" s="48"/>
      <c r="AB578" s="48"/>
      <c r="AC578" s="48"/>
      <c r="AD578" s="48"/>
      <c r="AE578" s="48"/>
      <c r="AF578" s="48"/>
      <c r="AG578" s="48"/>
      <c r="AH578" s="187"/>
      <c r="AI578" s="48"/>
      <c r="AJ578" s="48"/>
      <c r="AK578" s="48"/>
    </row>
    <row r="579" spans="1:37" x14ac:dyDescent="0.3">
      <c r="A579" s="176" t="s">
        <v>3837</v>
      </c>
      <c r="B579" s="176"/>
      <c r="C579" s="51"/>
      <c r="D579" s="51"/>
      <c r="E579" s="51"/>
      <c r="F579" s="51"/>
      <c r="G579" s="51"/>
      <c r="H579" s="51"/>
      <c r="I579" s="51"/>
      <c r="J579" s="82"/>
      <c r="K579" s="51"/>
      <c r="L579" s="51"/>
      <c r="M579" s="82"/>
      <c r="N579" s="51"/>
      <c r="O579" s="82"/>
      <c r="P579" s="51"/>
      <c r="Q579" s="338"/>
      <c r="R579" s="51"/>
      <c r="S579" s="51"/>
      <c r="T579" s="35"/>
      <c r="U579" s="51"/>
      <c r="V579" s="51"/>
      <c r="W579" s="364"/>
      <c r="X579" s="141"/>
      <c r="Y579" s="48"/>
      <c r="Z579" s="48"/>
      <c r="AA579" s="48"/>
      <c r="AB579" s="48"/>
      <c r="AC579" s="48"/>
      <c r="AD579" s="48"/>
      <c r="AE579" s="48"/>
      <c r="AF579" s="48"/>
      <c r="AG579" s="48"/>
      <c r="AH579" s="187"/>
      <c r="AI579" s="48"/>
      <c r="AJ579" s="48"/>
      <c r="AK579" s="48"/>
    </row>
    <row r="580" spans="1:37" x14ac:dyDescent="0.3">
      <c r="A580" s="59">
        <f>A575+1</f>
        <v>407</v>
      </c>
      <c r="B580" s="66" t="s">
        <v>3838</v>
      </c>
      <c r="C580" s="51">
        <f>D580+K580+L580+N580+P580+R580+S580+U580+V580+W580</f>
        <v>3666566.4</v>
      </c>
      <c r="D580" s="51">
        <f>E580+F580+G580+H580+I580</f>
        <v>0</v>
      </c>
      <c r="E580" s="51"/>
      <c r="F580" s="51"/>
      <c r="G580" s="51"/>
      <c r="H580" s="51"/>
      <c r="I580" s="51"/>
      <c r="J580" s="82"/>
      <c r="K580" s="51"/>
      <c r="L580" s="51"/>
      <c r="M580" s="82">
        <v>460</v>
      </c>
      <c r="N580" s="51">
        <v>3666566.4</v>
      </c>
      <c r="O580" s="82"/>
      <c r="P580" s="51"/>
      <c r="Q580" s="338"/>
      <c r="R580" s="51"/>
      <c r="S580" s="51"/>
      <c r="T580" s="35"/>
      <c r="U580" s="51"/>
      <c r="V580" s="51"/>
      <c r="W580" s="364"/>
      <c r="X580" s="141"/>
      <c r="Y580" s="48"/>
      <c r="Z580" s="48"/>
      <c r="AA580" s="48"/>
      <c r="AB580" s="48"/>
      <c r="AC580" s="48"/>
      <c r="AD580" s="48"/>
      <c r="AE580" s="48"/>
      <c r="AF580" s="48"/>
      <c r="AG580" s="48"/>
      <c r="AH580" s="187"/>
      <c r="AI580" s="48"/>
      <c r="AJ580" s="48"/>
      <c r="AK580" s="48"/>
    </row>
    <row r="581" spans="1:37" x14ac:dyDescent="0.3">
      <c r="A581" s="177" t="s">
        <v>211</v>
      </c>
      <c r="B581" s="177"/>
      <c r="C581" s="51">
        <f t="shared" ref="C581:W581" si="126">C580</f>
        <v>3666566.4</v>
      </c>
      <c r="D581" s="51">
        <f t="shared" si="126"/>
        <v>0</v>
      </c>
      <c r="E581" s="51">
        <f t="shared" si="126"/>
        <v>0</v>
      </c>
      <c r="F581" s="51">
        <f t="shared" si="126"/>
        <v>0</v>
      </c>
      <c r="G581" s="51">
        <f t="shared" si="126"/>
        <v>0</v>
      </c>
      <c r="H581" s="51">
        <f t="shared" si="126"/>
        <v>0</v>
      </c>
      <c r="I581" s="51">
        <f t="shared" si="126"/>
        <v>0</v>
      </c>
      <c r="J581" s="82">
        <f t="shared" si="126"/>
        <v>0</v>
      </c>
      <c r="K581" s="51">
        <f t="shared" si="126"/>
        <v>0</v>
      </c>
      <c r="L581" s="51">
        <f t="shared" si="126"/>
        <v>0</v>
      </c>
      <c r="M581" s="82">
        <f t="shared" si="126"/>
        <v>460</v>
      </c>
      <c r="N581" s="51">
        <f t="shared" si="126"/>
        <v>3666566.4</v>
      </c>
      <c r="O581" s="82">
        <f t="shared" si="126"/>
        <v>0</v>
      </c>
      <c r="P581" s="51">
        <f t="shared" si="126"/>
        <v>0</v>
      </c>
      <c r="Q581" s="338">
        <f t="shared" si="126"/>
        <v>0</v>
      </c>
      <c r="R581" s="51">
        <f t="shared" si="126"/>
        <v>0</v>
      </c>
      <c r="S581" s="51">
        <f t="shared" si="126"/>
        <v>0</v>
      </c>
      <c r="T581" s="35">
        <f t="shared" si="126"/>
        <v>0</v>
      </c>
      <c r="U581" s="51">
        <f t="shared" si="126"/>
        <v>0</v>
      </c>
      <c r="V581" s="51">
        <f t="shared" si="126"/>
        <v>0</v>
      </c>
      <c r="W581" s="51">
        <f t="shared" si="126"/>
        <v>0</v>
      </c>
      <c r="X581" s="304"/>
      <c r="Y581" s="48"/>
      <c r="Z581" s="48"/>
      <c r="AA581" s="48"/>
      <c r="AB581" s="48"/>
      <c r="AC581" s="48"/>
      <c r="AD581" s="48"/>
      <c r="AE581" s="48"/>
      <c r="AF581" s="48"/>
      <c r="AG581" s="48"/>
      <c r="AH581" s="187"/>
      <c r="AI581" s="48"/>
      <c r="AJ581" s="48"/>
      <c r="AK581" s="48"/>
    </row>
    <row r="582" spans="1:37" x14ac:dyDescent="0.3">
      <c r="A582" s="176" t="s">
        <v>3839</v>
      </c>
      <c r="B582" s="176"/>
      <c r="C582" s="51"/>
      <c r="D582" s="51"/>
      <c r="E582" s="51"/>
      <c r="F582" s="51"/>
      <c r="G582" s="51"/>
      <c r="H582" s="51"/>
      <c r="I582" s="51"/>
      <c r="J582" s="82"/>
      <c r="K582" s="51"/>
      <c r="L582" s="51"/>
      <c r="M582" s="82"/>
      <c r="N582" s="51"/>
      <c r="O582" s="82"/>
      <c r="P582" s="51"/>
      <c r="Q582" s="338"/>
      <c r="R582" s="51"/>
      <c r="S582" s="51"/>
      <c r="T582" s="35"/>
      <c r="U582" s="51"/>
      <c r="V582" s="51"/>
      <c r="W582" s="364"/>
      <c r="X582" s="141"/>
      <c r="Y582" s="48"/>
      <c r="Z582" s="48"/>
      <c r="AA582" s="48"/>
      <c r="AB582" s="48"/>
      <c r="AC582" s="48"/>
      <c r="AD582" s="48"/>
      <c r="AE582" s="48"/>
      <c r="AF582" s="48"/>
      <c r="AG582" s="48"/>
      <c r="AH582" s="187"/>
      <c r="AI582" s="48"/>
      <c r="AJ582" s="48"/>
      <c r="AK582" s="48"/>
    </row>
    <row r="583" spans="1:37" x14ac:dyDescent="0.3">
      <c r="A583" s="59">
        <f>A580+1</f>
        <v>408</v>
      </c>
      <c r="B583" s="66" t="s">
        <v>3840</v>
      </c>
      <c r="C583" s="51">
        <f t="shared" ref="C583:C605" si="127">D583+K583+L583+N583+P583+R583+S583+U583+V583+W583</f>
        <v>6788856</v>
      </c>
      <c r="D583" s="51">
        <f t="shared" ref="D583:D605" si="128">E583+F583+G583+H583+I583</f>
        <v>0</v>
      </c>
      <c r="E583" s="51"/>
      <c r="F583" s="51"/>
      <c r="G583" s="51"/>
      <c r="H583" s="51"/>
      <c r="I583" s="51"/>
      <c r="J583" s="82"/>
      <c r="K583" s="51"/>
      <c r="L583" s="51"/>
      <c r="M583" s="82">
        <v>997</v>
      </c>
      <c r="N583" s="51">
        <v>6788856</v>
      </c>
      <c r="O583" s="82"/>
      <c r="P583" s="51"/>
      <c r="Q583" s="338"/>
      <c r="R583" s="51"/>
      <c r="S583" s="51"/>
      <c r="T583" s="35"/>
      <c r="U583" s="51"/>
      <c r="V583" s="51"/>
      <c r="W583" s="364"/>
      <c r="X583" s="141"/>
      <c r="Y583" s="48"/>
      <c r="Z583" s="48"/>
      <c r="AA583" s="48">
        <v>174421.63</v>
      </c>
      <c r="AB583" s="48"/>
      <c r="AC583" s="48"/>
      <c r="AD583" s="48"/>
      <c r="AE583" s="48">
        <v>165718.87</v>
      </c>
      <c r="AF583" s="48"/>
      <c r="AG583" s="48"/>
      <c r="AH583" s="187">
        <v>137244.20000000001</v>
      </c>
      <c r="AI583" s="48"/>
      <c r="AJ583" s="48"/>
      <c r="AK583" s="48"/>
    </row>
    <row r="584" spans="1:37" x14ac:dyDescent="0.3">
      <c r="A584" s="59">
        <f>A583+1</f>
        <v>409</v>
      </c>
      <c r="B584" s="66" t="s">
        <v>3841</v>
      </c>
      <c r="C584" s="51">
        <f t="shared" si="127"/>
        <v>295477.3</v>
      </c>
      <c r="D584" s="51">
        <f t="shared" si="128"/>
        <v>0</v>
      </c>
      <c r="E584" s="51"/>
      <c r="F584" s="51"/>
      <c r="G584" s="51"/>
      <c r="H584" s="51"/>
      <c r="I584" s="51"/>
      <c r="J584" s="82"/>
      <c r="K584" s="51"/>
      <c r="L584" s="51"/>
      <c r="M584" s="82"/>
      <c r="N584" s="51"/>
      <c r="O584" s="82"/>
      <c r="P584" s="51"/>
      <c r="Q584" s="338"/>
      <c r="R584" s="51"/>
      <c r="S584" s="51"/>
      <c r="T584" s="35"/>
      <c r="U584" s="51"/>
      <c r="V584" s="51"/>
      <c r="W584" s="364">
        <f>SUM('2021'!Y2090:AL2090)</f>
        <v>295477.3</v>
      </c>
      <c r="X584" s="141"/>
      <c r="Y584" s="48"/>
      <c r="Z584" s="48"/>
      <c r="AA584" s="48"/>
      <c r="AB584" s="48"/>
      <c r="AC584" s="48"/>
      <c r="AD584" s="48"/>
      <c r="AE584" s="48"/>
      <c r="AF584" s="48"/>
      <c r="AG584" s="48">
        <v>295477.3</v>
      </c>
      <c r="AH584" s="187"/>
      <c r="AI584" s="48"/>
      <c r="AJ584" s="48"/>
      <c r="AK584" s="48"/>
    </row>
    <row r="585" spans="1:37" x14ac:dyDescent="0.3">
      <c r="A585" s="59">
        <f t="shared" ref="A585:A605" si="129">A584+1</f>
        <v>410</v>
      </c>
      <c r="B585" s="66" t="s">
        <v>3842</v>
      </c>
      <c r="C585" s="51">
        <f t="shared" si="127"/>
        <v>0</v>
      </c>
      <c r="D585" s="51">
        <f t="shared" si="128"/>
        <v>0</v>
      </c>
      <c r="E585" s="51"/>
      <c r="F585" s="51"/>
      <c r="G585" s="51"/>
      <c r="H585" s="51"/>
      <c r="I585" s="51"/>
      <c r="J585" s="82"/>
      <c r="K585" s="51"/>
      <c r="L585" s="51"/>
      <c r="M585" s="82"/>
      <c r="N585" s="51"/>
      <c r="O585" s="82"/>
      <c r="P585" s="51"/>
      <c r="Q585" s="338"/>
      <c r="R585" s="51"/>
      <c r="S585" s="51"/>
      <c r="T585" s="35"/>
      <c r="U585" s="51"/>
      <c r="V585" s="51"/>
      <c r="W585" s="364"/>
      <c r="X585" s="141"/>
      <c r="Y585" s="48"/>
      <c r="Z585" s="48">
        <v>495327.28</v>
      </c>
      <c r="AA585" s="48"/>
      <c r="AB585" s="48"/>
      <c r="AC585" s="48"/>
      <c r="AD585" s="48"/>
      <c r="AE585" s="48"/>
      <c r="AF585" s="48"/>
      <c r="AG585" s="48"/>
      <c r="AH585" s="187"/>
      <c r="AI585" s="48"/>
      <c r="AJ585" s="48"/>
      <c r="AK585" s="48"/>
    </row>
    <row r="586" spans="1:37" x14ac:dyDescent="0.3">
      <c r="A586" s="59">
        <f t="shared" si="129"/>
        <v>411</v>
      </c>
      <c r="B586" s="66" t="s">
        <v>3843</v>
      </c>
      <c r="C586" s="51">
        <f t="shared" si="127"/>
        <v>11541715.699999999</v>
      </c>
      <c r="D586" s="51">
        <f t="shared" si="128"/>
        <v>0</v>
      </c>
      <c r="E586" s="51"/>
      <c r="F586" s="51"/>
      <c r="G586" s="51"/>
      <c r="H586" s="51"/>
      <c r="I586" s="51"/>
      <c r="J586" s="82"/>
      <c r="K586" s="51"/>
      <c r="L586" s="51"/>
      <c r="M586" s="82">
        <v>2959.56</v>
      </c>
      <c r="N586" s="51">
        <v>11541715.699999999</v>
      </c>
      <c r="O586" s="82"/>
      <c r="P586" s="51"/>
      <c r="Q586" s="338"/>
      <c r="R586" s="51"/>
      <c r="S586" s="51"/>
      <c r="T586" s="35"/>
      <c r="U586" s="51"/>
      <c r="V586" s="51"/>
      <c r="W586" s="364"/>
      <c r="X586" s="141"/>
      <c r="Y586" s="48"/>
      <c r="Z586" s="48"/>
      <c r="AA586" s="48"/>
      <c r="AB586" s="48"/>
      <c r="AC586" s="48"/>
      <c r="AD586" s="48"/>
      <c r="AE586" s="48"/>
      <c r="AF586" s="48"/>
      <c r="AG586" s="48"/>
      <c r="AH586" s="187"/>
      <c r="AI586" s="48"/>
      <c r="AJ586" s="48"/>
      <c r="AK586" s="48"/>
    </row>
    <row r="587" spans="1:37" x14ac:dyDescent="0.3">
      <c r="A587" s="59">
        <f t="shared" si="129"/>
        <v>412</v>
      </c>
      <c r="B587" s="66" t="s">
        <v>3844</v>
      </c>
      <c r="C587" s="51">
        <f t="shared" si="127"/>
        <v>19687856.509999998</v>
      </c>
      <c r="D587" s="51">
        <f t="shared" si="128"/>
        <v>17141682.109999999</v>
      </c>
      <c r="E587" s="51"/>
      <c r="F587" s="51">
        <v>11007218.4</v>
      </c>
      <c r="G587" s="51">
        <v>1907569.78</v>
      </c>
      <c r="H587" s="51">
        <v>4226893.93</v>
      </c>
      <c r="I587" s="51"/>
      <c r="J587" s="82"/>
      <c r="K587" s="51"/>
      <c r="L587" s="51"/>
      <c r="M587" s="82">
        <v>1374.4</v>
      </c>
      <c r="N587" s="51">
        <v>2546174.4</v>
      </c>
      <c r="O587" s="82"/>
      <c r="P587" s="51"/>
      <c r="Q587" s="338"/>
      <c r="R587" s="51"/>
      <c r="S587" s="51"/>
      <c r="T587" s="35"/>
      <c r="U587" s="51"/>
      <c r="V587" s="51"/>
      <c r="W587" s="364"/>
      <c r="X587" s="141"/>
      <c r="Y587" s="48" t="s">
        <v>3845</v>
      </c>
      <c r="Z587" s="48"/>
      <c r="AA587" s="48"/>
      <c r="AB587" s="48"/>
      <c r="AC587" s="48"/>
      <c r="AD587" s="48"/>
      <c r="AE587" s="48"/>
      <c r="AF587" s="48"/>
      <c r="AG587" s="48"/>
      <c r="AH587" s="187"/>
      <c r="AI587" s="48"/>
      <c r="AJ587" s="48"/>
      <c r="AK587" s="48"/>
    </row>
    <row r="588" spans="1:37" x14ac:dyDescent="0.3">
      <c r="A588" s="59">
        <f t="shared" si="129"/>
        <v>413</v>
      </c>
      <c r="B588" s="66" t="s">
        <v>3846</v>
      </c>
      <c r="C588" s="51">
        <f t="shared" si="127"/>
        <v>130000</v>
      </c>
      <c r="D588" s="51">
        <f t="shared" si="128"/>
        <v>0</v>
      </c>
      <c r="E588" s="51"/>
      <c r="F588" s="51"/>
      <c r="G588" s="51"/>
      <c r="H588" s="51"/>
      <c r="I588" s="51"/>
      <c r="J588" s="82"/>
      <c r="K588" s="51"/>
      <c r="L588" s="51"/>
      <c r="M588" s="82"/>
      <c r="N588" s="51"/>
      <c r="O588" s="82"/>
      <c r="P588" s="51"/>
      <c r="Q588" s="338"/>
      <c r="R588" s="51"/>
      <c r="S588" s="51"/>
      <c r="T588" s="35"/>
      <c r="U588" s="51"/>
      <c r="V588" s="51"/>
      <c r="W588" s="364">
        <v>130000</v>
      </c>
      <c r="X588" s="141"/>
      <c r="Y588" s="48"/>
      <c r="Z588" s="48"/>
      <c r="AA588" s="48"/>
      <c r="AB588" s="48"/>
      <c r="AC588" s="48"/>
      <c r="AD588" s="48"/>
      <c r="AE588" s="48"/>
      <c r="AF588" s="48"/>
      <c r="AG588" s="48"/>
      <c r="AH588" s="187"/>
      <c r="AI588" s="48"/>
      <c r="AJ588" s="48"/>
      <c r="AK588" s="48"/>
    </row>
    <row r="589" spans="1:37" x14ac:dyDescent="0.3">
      <c r="A589" s="59">
        <f t="shared" si="129"/>
        <v>414</v>
      </c>
      <c r="B589" s="66" t="s">
        <v>3847</v>
      </c>
      <c r="C589" s="51">
        <f t="shared" si="127"/>
        <v>351458.79</v>
      </c>
      <c r="D589" s="51">
        <f t="shared" si="128"/>
        <v>0</v>
      </c>
      <c r="E589" s="51"/>
      <c r="F589" s="51"/>
      <c r="G589" s="51"/>
      <c r="H589" s="51"/>
      <c r="I589" s="51"/>
      <c r="J589" s="82"/>
      <c r="K589" s="51"/>
      <c r="L589" s="51"/>
      <c r="M589" s="82"/>
      <c r="N589" s="51"/>
      <c r="O589" s="82"/>
      <c r="P589" s="51"/>
      <c r="Q589" s="338"/>
      <c r="R589" s="51"/>
      <c r="S589" s="51"/>
      <c r="T589" s="35"/>
      <c r="U589" s="51"/>
      <c r="V589" s="51"/>
      <c r="W589" s="364">
        <f>SUM('2021'!Y2098:AL2098)</f>
        <v>351458.79</v>
      </c>
      <c r="X589" s="141"/>
      <c r="Y589" s="48"/>
      <c r="Z589" s="48"/>
      <c r="AA589" s="48"/>
      <c r="AB589" s="48"/>
      <c r="AC589" s="48"/>
      <c r="AD589" s="48"/>
      <c r="AE589" s="48"/>
      <c r="AF589" s="48"/>
      <c r="AG589" s="48">
        <v>351458.79</v>
      </c>
      <c r="AH589" s="187"/>
      <c r="AI589" s="48"/>
      <c r="AJ589" s="48"/>
      <c r="AK589" s="48"/>
    </row>
    <row r="590" spans="1:37" x14ac:dyDescent="0.3">
      <c r="A590" s="59">
        <f t="shared" si="129"/>
        <v>415</v>
      </c>
      <c r="B590" s="66" t="s">
        <v>3848</v>
      </c>
      <c r="C590" s="51">
        <f t="shared" si="127"/>
        <v>1691009</v>
      </c>
      <c r="D590" s="51">
        <f t="shared" si="128"/>
        <v>0</v>
      </c>
      <c r="E590" s="51"/>
      <c r="F590" s="51"/>
      <c r="G590" s="51"/>
      <c r="H590" s="51"/>
      <c r="I590" s="51"/>
      <c r="J590" s="82"/>
      <c r="K590" s="51"/>
      <c r="L590" s="51"/>
      <c r="M590" s="82">
        <v>117</v>
      </c>
      <c r="N590" s="51">
        <v>1691009</v>
      </c>
      <c r="O590" s="82"/>
      <c r="P590" s="51"/>
      <c r="Q590" s="338"/>
      <c r="R590" s="51"/>
      <c r="S590" s="51"/>
      <c r="T590" s="35"/>
      <c r="U590" s="51"/>
      <c r="V590" s="51"/>
      <c r="W590" s="364"/>
      <c r="X590" s="141"/>
      <c r="Y590" s="48"/>
      <c r="Z590" s="48"/>
      <c r="AA590" s="48">
        <v>67237.66</v>
      </c>
      <c r="AB590" s="48"/>
      <c r="AC590" s="48">
        <v>66572.539999999994</v>
      </c>
      <c r="AD590" s="48"/>
      <c r="AE590" s="48"/>
      <c r="AF590" s="48">
        <v>66572.539999999994</v>
      </c>
      <c r="AG590" s="48"/>
      <c r="AH590" s="187"/>
      <c r="AI590" s="48">
        <v>302531.92</v>
      </c>
      <c r="AJ590" s="48">
        <v>123349.38</v>
      </c>
      <c r="AK590" s="48"/>
    </row>
    <row r="591" spans="1:37" x14ac:dyDescent="0.3">
      <c r="A591" s="59">
        <f t="shared" si="129"/>
        <v>416</v>
      </c>
      <c r="B591" s="66" t="s">
        <v>3849</v>
      </c>
      <c r="C591" s="51">
        <f t="shared" si="127"/>
        <v>12863890.300000001</v>
      </c>
      <c r="D591" s="51">
        <f t="shared" si="128"/>
        <v>12863890.300000001</v>
      </c>
      <c r="E591" s="51"/>
      <c r="F591" s="51">
        <v>9602518.8000000007</v>
      </c>
      <c r="G591" s="51">
        <v>1151494.32</v>
      </c>
      <c r="H591" s="51">
        <v>2109877.1800000002</v>
      </c>
      <c r="I591" s="51"/>
      <c r="J591" s="82"/>
      <c r="K591" s="51"/>
      <c r="L591" s="51"/>
      <c r="M591" s="82"/>
      <c r="N591" s="51"/>
      <c r="O591" s="82"/>
      <c r="P591" s="51"/>
      <c r="Q591" s="338"/>
      <c r="R591" s="51"/>
      <c r="S591" s="51"/>
      <c r="T591" s="35"/>
      <c r="U591" s="51"/>
      <c r="V591" s="51"/>
      <c r="W591" s="364"/>
      <c r="X591" s="141"/>
      <c r="Y591" s="48" t="s">
        <v>3845</v>
      </c>
      <c r="Z591" s="48"/>
      <c r="AA591" s="48"/>
      <c r="AB591" s="48"/>
      <c r="AC591" s="48"/>
      <c r="AD591" s="48"/>
      <c r="AE591" s="48"/>
      <c r="AF591" s="48"/>
      <c r="AG591" s="48"/>
      <c r="AH591" s="187"/>
      <c r="AI591" s="48"/>
      <c r="AJ591" s="48"/>
      <c r="AK591" s="48"/>
    </row>
    <row r="592" spans="1:37" x14ac:dyDescent="0.3">
      <c r="A592" s="59">
        <f t="shared" si="129"/>
        <v>417</v>
      </c>
      <c r="B592" s="66" t="s">
        <v>3850</v>
      </c>
      <c r="C592" s="51">
        <f t="shared" si="127"/>
        <v>130000</v>
      </c>
      <c r="D592" s="51">
        <f t="shared" si="128"/>
        <v>0</v>
      </c>
      <c r="E592" s="51"/>
      <c r="F592" s="51"/>
      <c r="G592" s="51"/>
      <c r="H592" s="51"/>
      <c r="I592" s="51"/>
      <c r="J592" s="82"/>
      <c r="K592" s="51"/>
      <c r="L592" s="51"/>
      <c r="M592" s="82"/>
      <c r="N592" s="51"/>
      <c r="O592" s="82"/>
      <c r="P592" s="51"/>
      <c r="Q592" s="338"/>
      <c r="R592" s="51"/>
      <c r="S592" s="51"/>
      <c r="T592" s="35"/>
      <c r="U592" s="51"/>
      <c r="V592" s="51"/>
      <c r="W592" s="364">
        <v>130000</v>
      </c>
      <c r="X592" s="141"/>
      <c r="Y592" s="48"/>
      <c r="Z592" s="48"/>
      <c r="AA592" s="48"/>
      <c r="AB592" s="48"/>
      <c r="AC592" s="48"/>
      <c r="AD592" s="48"/>
      <c r="AE592" s="48"/>
      <c r="AF592" s="48"/>
      <c r="AG592" s="48"/>
      <c r="AH592" s="187"/>
      <c r="AI592" s="48"/>
      <c r="AJ592" s="48"/>
      <c r="AK592" s="48"/>
    </row>
    <row r="593" spans="1:37" x14ac:dyDescent="0.3">
      <c r="A593" s="59">
        <f t="shared" si="129"/>
        <v>418</v>
      </c>
      <c r="B593" s="66" t="s">
        <v>3851</v>
      </c>
      <c r="C593" s="51">
        <f t="shared" si="127"/>
        <v>508876.13</v>
      </c>
      <c r="D593" s="51">
        <f t="shared" si="128"/>
        <v>0</v>
      </c>
      <c r="E593" s="51"/>
      <c r="F593" s="51"/>
      <c r="G593" s="51"/>
      <c r="H593" s="51"/>
      <c r="I593" s="51"/>
      <c r="J593" s="82"/>
      <c r="K593" s="51"/>
      <c r="L593" s="51"/>
      <c r="M593" s="82"/>
      <c r="N593" s="51"/>
      <c r="O593" s="82"/>
      <c r="P593" s="51"/>
      <c r="Q593" s="338"/>
      <c r="R593" s="51"/>
      <c r="S593" s="51"/>
      <c r="T593" s="35"/>
      <c r="U593" s="51"/>
      <c r="V593" s="51"/>
      <c r="W593" s="364">
        <f>SUM('2021'!Y2120:AL2120)</f>
        <v>508876.13</v>
      </c>
      <c r="X593" s="141"/>
      <c r="Y593" s="48"/>
      <c r="Z593" s="48"/>
      <c r="AA593" s="48"/>
      <c r="AB593" s="48"/>
      <c r="AC593" s="48"/>
      <c r="AD593" s="48"/>
      <c r="AE593" s="48"/>
      <c r="AF593" s="48"/>
      <c r="AG593" s="48">
        <v>508876.13</v>
      </c>
      <c r="AH593" s="187"/>
      <c r="AI593" s="48"/>
      <c r="AJ593" s="48"/>
      <c r="AK593" s="48"/>
    </row>
    <row r="594" spans="1:37" x14ac:dyDescent="0.3">
      <c r="A594" s="59">
        <f t="shared" si="129"/>
        <v>419</v>
      </c>
      <c r="B594" s="66" t="s">
        <v>3852</v>
      </c>
      <c r="C594" s="51">
        <f t="shared" si="127"/>
        <v>602647.38</v>
      </c>
      <c r="D594" s="51">
        <f t="shared" si="128"/>
        <v>0</v>
      </c>
      <c r="E594" s="51"/>
      <c r="F594" s="51"/>
      <c r="G594" s="51"/>
      <c r="H594" s="51"/>
      <c r="I594" s="51"/>
      <c r="J594" s="82"/>
      <c r="K594" s="51"/>
      <c r="L594" s="51"/>
      <c r="M594" s="82"/>
      <c r="N594" s="51"/>
      <c r="O594" s="82"/>
      <c r="P594" s="51"/>
      <c r="Q594" s="338"/>
      <c r="R594" s="51"/>
      <c r="S594" s="51"/>
      <c r="T594" s="35"/>
      <c r="U594" s="51"/>
      <c r="V594" s="51"/>
      <c r="W594" s="364">
        <f>SUM('2021'!Y2121:AL2121)</f>
        <v>602647.38</v>
      </c>
      <c r="X594" s="141"/>
      <c r="Y594" s="48"/>
      <c r="Z594" s="48"/>
      <c r="AA594" s="48"/>
      <c r="AB594" s="48"/>
      <c r="AC594" s="48"/>
      <c r="AD594" s="48"/>
      <c r="AE594" s="48"/>
      <c r="AF594" s="48"/>
      <c r="AG594" s="48">
        <v>602647.38</v>
      </c>
      <c r="AH594" s="187"/>
      <c r="AI594" s="48"/>
      <c r="AJ594" s="48"/>
      <c r="AK594" s="48"/>
    </row>
    <row r="595" spans="1:37" x14ac:dyDescent="0.3">
      <c r="A595" s="59">
        <f t="shared" si="129"/>
        <v>420</v>
      </c>
      <c r="B595" s="66" t="s">
        <v>3853</v>
      </c>
      <c r="C595" s="51">
        <f t="shared" si="127"/>
        <v>210784.79</v>
      </c>
      <c r="D595" s="51">
        <f t="shared" si="128"/>
        <v>0</v>
      </c>
      <c r="E595" s="51"/>
      <c r="F595" s="51"/>
      <c r="G595" s="51"/>
      <c r="H595" s="51"/>
      <c r="I595" s="51"/>
      <c r="J595" s="82"/>
      <c r="K595" s="51"/>
      <c r="L595" s="51"/>
      <c r="M595" s="82"/>
      <c r="N595" s="51"/>
      <c r="O595" s="82"/>
      <c r="P595" s="51"/>
      <c r="Q595" s="338"/>
      <c r="R595" s="51"/>
      <c r="S595" s="51"/>
      <c r="T595" s="35"/>
      <c r="U595" s="51"/>
      <c r="V595" s="51"/>
      <c r="W595" s="364">
        <f>SUM('2021'!Y2123:AL2123)</f>
        <v>210784.79</v>
      </c>
      <c r="X595" s="141"/>
      <c r="Y595" s="48"/>
      <c r="Z595" s="48"/>
      <c r="AA595" s="48"/>
      <c r="AB595" s="48"/>
      <c r="AC595" s="48"/>
      <c r="AD595" s="48"/>
      <c r="AE595" s="48"/>
      <c r="AF595" s="48"/>
      <c r="AG595" s="48">
        <v>210784.79</v>
      </c>
      <c r="AH595" s="187"/>
      <c r="AI595" s="48"/>
      <c r="AJ595" s="48"/>
      <c r="AK595" s="48"/>
    </row>
    <row r="596" spans="1:37" x14ac:dyDescent="0.3">
      <c r="A596" s="59">
        <f t="shared" si="129"/>
        <v>421</v>
      </c>
      <c r="B596" s="66" t="s">
        <v>3854</v>
      </c>
      <c r="C596" s="51">
        <f t="shared" si="127"/>
        <v>11807936.68</v>
      </c>
      <c r="D596" s="51">
        <f t="shared" si="128"/>
        <v>0</v>
      </c>
      <c r="E596" s="51"/>
      <c r="F596" s="51"/>
      <c r="G596" s="51"/>
      <c r="H596" s="51"/>
      <c r="I596" s="51"/>
      <c r="J596" s="82"/>
      <c r="K596" s="51"/>
      <c r="L596" s="51"/>
      <c r="M596" s="82">
        <v>1419.7</v>
      </c>
      <c r="N596" s="51">
        <v>11807936.68</v>
      </c>
      <c r="O596" s="82"/>
      <c r="P596" s="51"/>
      <c r="Q596" s="338"/>
      <c r="R596" s="51"/>
      <c r="S596" s="51"/>
      <c r="T596" s="35"/>
      <c r="U596" s="51"/>
      <c r="V596" s="51"/>
      <c r="W596" s="364"/>
      <c r="X596" s="141"/>
      <c r="Y596" s="48"/>
      <c r="Z596" s="48"/>
      <c r="AA596" s="48">
        <v>252748.56</v>
      </c>
      <c r="AB596" s="48"/>
      <c r="AC596" s="48">
        <v>241843.79</v>
      </c>
      <c r="AD596" s="48">
        <v>249089.93</v>
      </c>
      <c r="AE596" s="48"/>
      <c r="AF596" s="48">
        <v>241843.79</v>
      </c>
      <c r="AG596" s="48"/>
      <c r="AH596" s="187"/>
      <c r="AI596" s="48"/>
      <c r="AJ596" s="48">
        <v>429129.64</v>
      </c>
      <c r="AK596" s="48"/>
    </row>
    <row r="597" spans="1:37" x14ac:dyDescent="0.3">
      <c r="A597" s="59">
        <f t="shared" si="129"/>
        <v>422</v>
      </c>
      <c r="B597" s="66" t="s">
        <v>3857</v>
      </c>
      <c r="C597" s="51">
        <f t="shared" si="127"/>
        <v>3111848.4</v>
      </c>
      <c r="D597" s="51">
        <f t="shared" si="128"/>
        <v>0</v>
      </c>
      <c r="E597" s="51"/>
      <c r="F597" s="51"/>
      <c r="G597" s="51"/>
      <c r="H597" s="51"/>
      <c r="I597" s="51"/>
      <c r="J597" s="82"/>
      <c r="K597" s="51"/>
      <c r="L597" s="51"/>
      <c r="M597" s="82">
        <v>670</v>
      </c>
      <c r="N597" s="51">
        <v>3111848.4</v>
      </c>
      <c r="O597" s="82"/>
      <c r="P597" s="51"/>
      <c r="Q597" s="338"/>
      <c r="R597" s="51"/>
      <c r="S597" s="51"/>
      <c r="T597" s="35"/>
      <c r="U597" s="51"/>
      <c r="V597" s="51"/>
      <c r="W597" s="364"/>
      <c r="X597" s="141"/>
      <c r="Y597" s="48"/>
      <c r="Z597" s="48"/>
      <c r="AA597" s="48"/>
      <c r="AB597" s="48"/>
      <c r="AC597" s="48"/>
      <c r="AD597" s="48"/>
      <c r="AE597" s="48"/>
      <c r="AF597" s="48"/>
      <c r="AG597" s="48"/>
      <c r="AH597" s="187"/>
      <c r="AI597" s="48"/>
      <c r="AJ597" s="48"/>
      <c r="AK597" s="48"/>
    </row>
    <row r="598" spans="1:37" x14ac:dyDescent="0.3">
      <c r="A598" s="59">
        <f t="shared" si="129"/>
        <v>423</v>
      </c>
      <c r="B598" s="66" t="s">
        <v>3858</v>
      </c>
      <c r="C598" s="51">
        <f t="shared" si="127"/>
        <v>1332338.3999999999</v>
      </c>
      <c r="D598" s="51">
        <f t="shared" si="128"/>
        <v>0</v>
      </c>
      <c r="E598" s="51"/>
      <c r="F598" s="51"/>
      <c r="G598" s="51"/>
      <c r="H598" s="51"/>
      <c r="I598" s="51"/>
      <c r="J598" s="82"/>
      <c r="K598" s="51"/>
      <c r="L598" s="51"/>
      <c r="M598" s="82">
        <v>650</v>
      </c>
      <c r="N598" s="51">
        <v>1332338.3999999999</v>
      </c>
      <c r="O598" s="82"/>
      <c r="P598" s="51"/>
      <c r="Q598" s="338"/>
      <c r="R598" s="51"/>
      <c r="S598" s="51"/>
      <c r="T598" s="35"/>
      <c r="U598" s="51"/>
      <c r="V598" s="51"/>
      <c r="W598" s="364"/>
      <c r="X598" s="141"/>
      <c r="Y598" s="48"/>
      <c r="Z598" s="48"/>
      <c r="AA598" s="48"/>
      <c r="AB598" s="48"/>
      <c r="AC598" s="48"/>
      <c r="AD598" s="48"/>
      <c r="AE598" s="48"/>
      <c r="AF598" s="48"/>
      <c r="AG598" s="48"/>
      <c r="AH598" s="187"/>
      <c r="AI598" s="48"/>
      <c r="AJ598" s="48"/>
      <c r="AK598" s="48"/>
    </row>
    <row r="599" spans="1:37" x14ac:dyDescent="0.3">
      <c r="A599" s="59">
        <f t="shared" si="129"/>
        <v>424</v>
      </c>
      <c r="B599" s="66" t="s">
        <v>3859</v>
      </c>
      <c r="C599" s="51">
        <f t="shared" si="127"/>
        <v>5259826.8</v>
      </c>
      <c r="D599" s="51">
        <f t="shared" si="128"/>
        <v>0</v>
      </c>
      <c r="E599" s="51"/>
      <c r="F599" s="51"/>
      <c r="G599" s="51"/>
      <c r="H599" s="51"/>
      <c r="I599" s="51"/>
      <c r="J599" s="82"/>
      <c r="K599" s="51"/>
      <c r="L599" s="51"/>
      <c r="M599" s="82">
        <v>665</v>
      </c>
      <c r="N599" s="51">
        <v>5259826.8</v>
      </c>
      <c r="O599" s="82"/>
      <c r="P599" s="51"/>
      <c r="Q599" s="338"/>
      <c r="R599" s="51"/>
      <c r="S599" s="51"/>
      <c r="T599" s="35"/>
      <c r="U599" s="51"/>
      <c r="V599" s="51"/>
      <c r="W599" s="364"/>
      <c r="X599" s="141"/>
      <c r="Y599" s="48"/>
      <c r="Z599" s="48"/>
      <c r="AA599" s="48">
        <v>66333.05</v>
      </c>
      <c r="AB599" s="48"/>
      <c r="AC599" s="48">
        <v>65655.41</v>
      </c>
      <c r="AD599" s="48">
        <v>83070.41</v>
      </c>
      <c r="AE599" s="48"/>
      <c r="AF599" s="48">
        <v>65655.41</v>
      </c>
      <c r="AG599" s="48"/>
      <c r="AH599" s="187"/>
      <c r="AI599" s="48">
        <v>344260.06</v>
      </c>
      <c r="AJ599" s="48">
        <v>121932.16</v>
      </c>
      <c r="AK599" s="48"/>
    </row>
    <row r="600" spans="1:37" x14ac:dyDescent="0.3">
      <c r="A600" s="59">
        <f t="shared" si="129"/>
        <v>425</v>
      </c>
      <c r="B600" s="66" t="s">
        <v>3860</v>
      </c>
      <c r="C600" s="51">
        <f t="shared" si="127"/>
        <v>3353553.6</v>
      </c>
      <c r="D600" s="51">
        <f t="shared" si="128"/>
        <v>0</v>
      </c>
      <c r="E600" s="51"/>
      <c r="F600" s="51"/>
      <c r="G600" s="51"/>
      <c r="H600" s="51"/>
      <c r="I600" s="51"/>
      <c r="J600" s="82"/>
      <c r="K600" s="51"/>
      <c r="L600" s="51"/>
      <c r="M600" s="82">
        <v>539.70000000000005</v>
      </c>
      <c r="N600" s="51">
        <v>3353553.6</v>
      </c>
      <c r="O600" s="82"/>
      <c r="P600" s="51"/>
      <c r="Q600" s="338"/>
      <c r="R600" s="51"/>
      <c r="S600" s="51"/>
      <c r="T600" s="35"/>
      <c r="U600" s="51"/>
      <c r="V600" s="51"/>
      <c r="W600" s="364"/>
      <c r="X600" s="141"/>
      <c r="Y600" s="48"/>
      <c r="Z600" s="48"/>
      <c r="AA600" s="48">
        <v>118596.37</v>
      </c>
      <c r="AB600" s="48"/>
      <c r="AC600" s="48">
        <v>116292.96</v>
      </c>
      <c r="AD600" s="48">
        <v>108380.71</v>
      </c>
      <c r="AE600" s="48"/>
      <c r="AF600" s="48">
        <v>116292.96</v>
      </c>
      <c r="AG600" s="48"/>
      <c r="AH600" s="187"/>
      <c r="AI600" s="48">
        <v>442974.61</v>
      </c>
      <c r="AJ600" s="48">
        <v>216085.5</v>
      </c>
      <c r="AK600" s="48"/>
    </row>
    <row r="601" spans="1:37" x14ac:dyDescent="0.3">
      <c r="A601" s="59">
        <f t="shared" si="129"/>
        <v>426</v>
      </c>
      <c r="B601" s="66" t="s">
        <v>3861</v>
      </c>
      <c r="C601" s="51">
        <f t="shared" si="127"/>
        <v>7605642.7999999998</v>
      </c>
      <c r="D601" s="51">
        <f t="shared" si="128"/>
        <v>0</v>
      </c>
      <c r="E601" s="51"/>
      <c r="F601" s="51"/>
      <c r="G601" s="51"/>
      <c r="H601" s="51"/>
      <c r="I601" s="51"/>
      <c r="J601" s="82"/>
      <c r="K601" s="51"/>
      <c r="L601" s="51"/>
      <c r="M601" s="82">
        <v>1051.8</v>
      </c>
      <c r="N601" s="51">
        <v>7605642.7999999998</v>
      </c>
      <c r="O601" s="82"/>
      <c r="P601" s="51"/>
      <c r="Q601" s="338"/>
      <c r="R601" s="51"/>
      <c r="S601" s="51"/>
      <c r="T601" s="35"/>
      <c r="U601" s="51"/>
      <c r="V601" s="51"/>
      <c r="W601" s="364"/>
      <c r="X601" s="141"/>
      <c r="Y601" s="48"/>
      <c r="Z601" s="48"/>
      <c r="AA601" s="48">
        <v>146473.98000000001</v>
      </c>
      <c r="AB601" s="48"/>
      <c r="AC601" s="48">
        <v>141938.26</v>
      </c>
      <c r="AD601" s="48">
        <v>137213.63</v>
      </c>
      <c r="AE601" s="48"/>
      <c r="AF601" s="48">
        <v>141938.26</v>
      </c>
      <c r="AG601" s="48"/>
      <c r="AH601" s="187"/>
      <c r="AI601" s="48"/>
      <c r="AJ601" s="48"/>
      <c r="AK601" s="48"/>
    </row>
    <row r="602" spans="1:37" x14ac:dyDescent="0.3">
      <c r="A602" s="59">
        <f t="shared" si="129"/>
        <v>427</v>
      </c>
      <c r="B602" s="66" t="s">
        <v>3862</v>
      </c>
      <c r="C602" s="51">
        <f t="shared" si="127"/>
        <v>5044790.28</v>
      </c>
      <c r="D602" s="51">
        <f t="shared" si="128"/>
        <v>0</v>
      </c>
      <c r="E602" s="51"/>
      <c r="F602" s="51"/>
      <c r="G602" s="51"/>
      <c r="H602" s="51"/>
      <c r="I602" s="51"/>
      <c r="J602" s="82"/>
      <c r="K602" s="51"/>
      <c r="L602" s="51"/>
      <c r="M602" s="82">
        <v>697.7</v>
      </c>
      <c r="N602" s="51">
        <v>5044790.28</v>
      </c>
      <c r="O602" s="82"/>
      <c r="P602" s="51"/>
      <c r="Q602" s="338"/>
      <c r="R602" s="51"/>
      <c r="S602" s="51"/>
      <c r="T602" s="35"/>
      <c r="U602" s="51"/>
      <c r="V602" s="51"/>
      <c r="W602" s="364"/>
      <c r="X602" s="141"/>
      <c r="Y602" s="48"/>
      <c r="Z602" s="48"/>
      <c r="AA602" s="48">
        <v>110866.46</v>
      </c>
      <c r="AB602" s="48"/>
      <c r="AC602" s="48">
        <v>109182.02</v>
      </c>
      <c r="AD602" s="48">
        <v>100385.9</v>
      </c>
      <c r="AE602" s="48"/>
      <c r="AF602" s="48">
        <v>109182.02</v>
      </c>
      <c r="AG602" s="48"/>
      <c r="AH602" s="187"/>
      <c r="AI602" s="48"/>
      <c r="AJ602" s="48">
        <v>203663.24</v>
      </c>
      <c r="AK602" s="48"/>
    </row>
    <row r="603" spans="1:37" x14ac:dyDescent="0.3">
      <c r="A603" s="59">
        <f t="shared" si="129"/>
        <v>428</v>
      </c>
      <c r="B603" s="66" t="s">
        <v>3863</v>
      </c>
      <c r="C603" s="51">
        <f t="shared" si="127"/>
        <v>3398946</v>
      </c>
      <c r="D603" s="51">
        <f t="shared" si="128"/>
        <v>0</v>
      </c>
      <c r="E603" s="51"/>
      <c r="F603" s="51"/>
      <c r="G603" s="51"/>
      <c r="H603" s="51"/>
      <c r="I603" s="51"/>
      <c r="J603" s="82"/>
      <c r="K603" s="51"/>
      <c r="L603" s="51"/>
      <c r="M603" s="82">
        <v>572.23</v>
      </c>
      <c r="N603" s="51">
        <v>3398946</v>
      </c>
      <c r="O603" s="82"/>
      <c r="P603" s="51"/>
      <c r="Q603" s="338"/>
      <c r="R603" s="51"/>
      <c r="S603" s="51"/>
      <c r="T603" s="35"/>
      <c r="U603" s="51"/>
      <c r="V603" s="51"/>
      <c r="W603" s="364"/>
      <c r="X603" s="141"/>
      <c r="Y603" s="48"/>
      <c r="Z603" s="48"/>
      <c r="AA603" s="48">
        <v>121976.36</v>
      </c>
      <c r="AB603" s="48"/>
      <c r="AC603" s="48">
        <v>119402.3</v>
      </c>
      <c r="AD603" s="48">
        <v>111876.53</v>
      </c>
      <c r="AE603" s="48"/>
      <c r="AF603" s="48">
        <v>119402.3</v>
      </c>
      <c r="AG603" s="48"/>
      <c r="AH603" s="187"/>
      <c r="AI603" s="48"/>
      <c r="AJ603" s="48">
        <v>221517.28</v>
      </c>
      <c r="AK603" s="48"/>
    </row>
    <row r="604" spans="1:37" x14ac:dyDescent="0.3">
      <c r="A604" s="59">
        <f t="shared" si="129"/>
        <v>429</v>
      </c>
      <c r="B604" s="66" t="s">
        <v>3864</v>
      </c>
      <c r="C604" s="51">
        <f t="shared" si="127"/>
        <v>6306580.7999999998</v>
      </c>
      <c r="D604" s="51">
        <f t="shared" si="128"/>
        <v>0</v>
      </c>
      <c r="E604" s="51"/>
      <c r="F604" s="51"/>
      <c r="G604" s="51"/>
      <c r="H604" s="51"/>
      <c r="I604" s="51"/>
      <c r="J604" s="82"/>
      <c r="K604" s="51"/>
      <c r="L604" s="51"/>
      <c r="M604" s="82">
        <v>928.58</v>
      </c>
      <c r="N604" s="51">
        <v>6306580.7999999998</v>
      </c>
      <c r="O604" s="82"/>
      <c r="P604" s="51"/>
      <c r="Q604" s="338"/>
      <c r="R604" s="51"/>
      <c r="S604" s="51"/>
      <c r="T604" s="35"/>
      <c r="U604" s="51"/>
      <c r="V604" s="51"/>
      <c r="W604" s="364"/>
      <c r="X604" s="141"/>
      <c r="Y604" s="48"/>
      <c r="Z604" s="48"/>
      <c r="AA604" s="48">
        <v>179224.2</v>
      </c>
      <c r="AB604" s="48"/>
      <c r="AC604" s="48"/>
      <c r="AD604" s="48"/>
      <c r="AE604" s="48"/>
      <c r="AF604" s="48"/>
      <c r="AG604" s="48">
        <v>390636.35</v>
      </c>
      <c r="AH604" s="187">
        <v>337585.62</v>
      </c>
      <c r="AI604" s="48">
        <v>657186.81999999995</v>
      </c>
      <c r="AJ604" s="48"/>
      <c r="AK604" s="48"/>
    </row>
    <row r="605" spans="1:37" x14ac:dyDescent="0.3">
      <c r="A605" s="59">
        <f t="shared" si="129"/>
        <v>430</v>
      </c>
      <c r="B605" s="66" t="s">
        <v>3865</v>
      </c>
      <c r="C605" s="51">
        <f t="shared" si="127"/>
        <v>2921263.2</v>
      </c>
      <c r="D605" s="51">
        <f t="shared" si="128"/>
        <v>0</v>
      </c>
      <c r="E605" s="51"/>
      <c r="F605" s="51"/>
      <c r="G605" s="51"/>
      <c r="H605" s="51"/>
      <c r="I605" s="51"/>
      <c r="J605" s="82"/>
      <c r="K605" s="51"/>
      <c r="L605" s="51"/>
      <c r="M605" s="82">
        <v>505.6</v>
      </c>
      <c r="N605" s="51">
        <v>2921263.2</v>
      </c>
      <c r="O605" s="82"/>
      <c r="P605" s="51"/>
      <c r="Q605" s="338"/>
      <c r="R605" s="51"/>
      <c r="S605" s="51"/>
      <c r="T605" s="35"/>
      <c r="U605" s="51"/>
      <c r="V605" s="51"/>
      <c r="W605" s="364"/>
      <c r="X605" s="141"/>
      <c r="Y605" s="48"/>
      <c r="Z605" s="48"/>
      <c r="AA605" s="48"/>
      <c r="AB605" s="48"/>
      <c r="AC605" s="48"/>
      <c r="AD605" s="48"/>
      <c r="AE605" s="48"/>
      <c r="AF605" s="48"/>
      <c r="AG605" s="48"/>
      <c r="AH605" s="187"/>
      <c r="AI605" s="48"/>
      <c r="AJ605" s="48"/>
      <c r="AK605" s="48"/>
    </row>
    <row r="606" spans="1:37" x14ac:dyDescent="0.3">
      <c r="A606" s="177" t="s">
        <v>211</v>
      </c>
      <c r="B606" s="177"/>
      <c r="C606" s="51">
        <f t="shared" ref="C606:W606" si="130">SUM(C583:C605)</f>
        <v>104945298.86</v>
      </c>
      <c r="D606" s="51">
        <f t="shared" si="130"/>
        <v>30005572.41</v>
      </c>
      <c r="E606" s="51">
        <f t="shared" si="130"/>
        <v>0</v>
      </c>
      <c r="F606" s="51">
        <f t="shared" si="130"/>
        <v>20609737.200000003</v>
      </c>
      <c r="G606" s="51">
        <f t="shared" si="130"/>
        <v>3059064.1</v>
      </c>
      <c r="H606" s="51">
        <f t="shared" si="130"/>
        <v>6336771.1099999994</v>
      </c>
      <c r="I606" s="51">
        <f t="shared" si="130"/>
        <v>0</v>
      </c>
      <c r="J606" s="82">
        <f t="shared" si="130"/>
        <v>0</v>
      </c>
      <c r="K606" s="51">
        <f t="shared" si="130"/>
        <v>0</v>
      </c>
      <c r="L606" s="51">
        <f t="shared" si="130"/>
        <v>0</v>
      </c>
      <c r="M606" s="82">
        <f t="shared" si="130"/>
        <v>13148.27</v>
      </c>
      <c r="N606" s="51">
        <f t="shared" si="130"/>
        <v>72710482.060000002</v>
      </c>
      <c r="O606" s="82">
        <f t="shared" si="130"/>
        <v>0</v>
      </c>
      <c r="P606" s="51">
        <f t="shared" si="130"/>
        <v>0</v>
      </c>
      <c r="Q606" s="338">
        <f t="shared" si="130"/>
        <v>0</v>
      </c>
      <c r="R606" s="51">
        <f t="shared" si="130"/>
        <v>0</v>
      </c>
      <c r="S606" s="51">
        <f t="shared" si="130"/>
        <v>0</v>
      </c>
      <c r="T606" s="35">
        <f t="shared" si="130"/>
        <v>0</v>
      </c>
      <c r="U606" s="51">
        <f t="shared" si="130"/>
        <v>0</v>
      </c>
      <c r="V606" s="51">
        <f t="shared" si="130"/>
        <v>0</v>
      </c>
      <c r="W606" s="51">
        <f t="shared" si="130"/>
        <v>2229244.39</v>
      </c>
      <c r="X606" s="304"/>
      <c r="Y606" s="48"/>
      <c r="Z606" s="48"/>
      <c r="AA606" s="48"/>
      <c r="AB606" s="48"/>
      <c r="AC606" s="48"/>
      <c r="AD606" s="48"/>
      <c r="AE606" s="48"/>
      <c r="AF606" s="48"/>
      <c r="AG606" s="48"/>
      <c r="AH606" s="187"/>
      <c r="AI606" s="48"/>
      <c r="AJ606" s="48"/>
      <c r="AK606" s="48"/>
    </row>
    <row r="607" spans="1:37" x14ac:dyDescent="0.3">
      <c r="A607" s="176" t="s">
        <v>3866</v>
      </c>
      <c r="B607" s="176"/>
      <c r="C607" s="51"/>
      <c r="D607" s="51"/>
      <c r="E607" s="51"/>
      <c r="F607" s="51"/>
      <c r="G607" s="51"/>
      <c r="H607" s="51"/>
      <c r="I607" s="51"/>
      <c r="J607" s="82"/>
      <c r="K607" s="51"/>
      <c r="L607" s="51"/>
      <c r="M607" s="82"/>
      <c r="N607" s="51"/>
      <c r="O607" s="82"/>
      <c r="P607" s="51"/>
      <c r="Q607" s="338"/>
      <c r="R607" s="51"/>
      <c r="S607" s="51"/>
      <c r="T607" s="35"/>
      <c r="U607" s="51"/>
      <c r="V607" s="51"/>
      <c r="W607" s="364"/>
      <c r="X607" s="141"/>
      <c r="Y607" s="48"/>
      <c r="Z607" s="48"/>
      <c r="AA607" s="48"/>
      <c r="AB607" s="48"/>
      <c r="AC607" s="48"/>
      <c r="AD607" s="48"/>
      <c r="AE607" s="48"/>
      <c r="AF607" s="48"/>
      <c r="AG607" s="48"/>
      <c r="AH607" s="187"/>
      <c r="AI607" s="48"/>
      <c r="AJ607" s="48"/>
      <c r="AK607" s="48"/>
    </row>
    <row r="608" spans="1:37" x14ac:dyDescent="0.3">
      <c r="A608" s="59">
        <f>A605+1</f>
        <v>431</v>
      </c>
      <c r="B608" s="66" t="s">
        <v>3867</v>
      </c>
      <c r="C608" s="51">
        <f>D608+K608+L608+N608+P608+R608+S608+U608+V608+W608</f>
        <v>493243.54</v>
      </c>
      <c r="D608" s="51">
        <f>E608+F608+G608+H608+I608</f>
        <v>493243.54</v>
      </c>
      <c r="E608" s="51"/>
      <c r="F608" s="51"/>
      <c r="G608" s="51">
        <v>493243.54</v>
      </c>
      <c r="H608" s="51"/>
      <c r="I608" s="51"/>
      <c r="J608" s="82"/>
      <c r="K608" s="51"/>
      <c r="L608" s="51"/>
      <c r="M608" s="82"/>
      <c r="N608" s="51"/>
      <c r="O608" s="82"/>
      <c r="P608" s="51"/>
      <c r="Q608" s="338"/>
      <c r="R608" s="51"/>
      <c r="S608" s="51"/>
      <c r="T608" s="35"/>
      <c r="U608" s="51"/>
      <c r="V608" s="51"/>
      <c r="W608" s="364"/>
      <c r="X608" s="141"/>
      <c r="Y608" s="48"/>
      <c r="Z608" s="48"/>
      <c r="AA608" s="48"/>
      <c r="AB608" s="48"/>
      <c r="AC608" s="48"/>
      <c r="AD608" s="48"/>
      <c r="AE608" s="48"/>
      <c r="AF608" s="48"/>
      <c r="AG608" s="48"/>
      <c r="AH608" s="187"/>
      <c r="AI608" s="48"/>
      <c r="AJ608" s="48"/>
      <c r="AK608" s="48"/>
    </row>
    <row r="609" spans="1:37" x14ac:dyDescent="0.3">
      <c r="A609" s="59">
        <f>A608+1</f>
        <v>432</v>
      </c>
      <c r="B609" s="66" t="s">
        <v>3868</v>
      </c>
      <c r="C609" s="51">
        <f>D609+K609+L609+N609+P609+R609+S609+U609+V609+W609</f>
        <v>1315864.8</v>
      </c>
      <c r="D609" s="51">
        <f>E609+F609+G609+H609+I609</f>
        <v>0</v>
      </c>
      <c r="E609" s="51"/>
      <c r="F609" s="51"/>
      <c r="G609" s="51"/>
      <c r="H609" s="51"/>
      <c r="I609" s="51"/>
      <c r="J609" s="82"/>
      <c r="K609" s="51"/>
      <c r="L609" s="51"/>
      <c r="M609" s="82">
        <v>277.3</v>
      </c>
      <c r="N609" s="51">
        <v>1315864.8</v>
      </c>
      <c r="O609" s="82"/>
      <c r="P609" s="51"/>
      <c r="Q609" s="338"/>
      <c r="R609" s="51"/>
      <c r="S609" s="51"/>
      <c r="T609" s="35"/>
      <c r="U609" s="51"/>
      <c r="V609" s="51"/>
      <c r="W609" s="364"/>
      <c r="X609" s="141"/>
      <c r="Y609" s="48"/>
      <c r="Z609" s="48"/>
      <c r="AA609" s="48"/>
      <c r="AB609" s="48"/>
      <c r="AC609" s="48"/>
      <c r="AD609" s="48"/>
      <c r="AE609" s="48"/>
      <c r="AF609" s="48"/>
      <c r="AG609" s="48"/>
      <c r="AH609" s="187"/>
      <c r="AI609" s="48"/>
      <c r="AJ609" s="48"/>
      <c r="AK609" s="48"/>
    </row>
    <row r="610" spans="1:37" x14ac:dyDescent="0.3">
      <c r="A610" s="59">
        <f>A609+1</f>
        <v>433</v>
      </c>
      <c r="B610" s="66" t="s">
        <v>3869</v>
      </c>
      <c r="C610" s="51">
        <f>D610+K610+L610+N610+P610+R610+S610+U610+V610+W610</f>
        <v>3621663.6</v>
      </c>
      <c r="D610" s="51">
        <f>E610+F610+G610+H610+I610</f>
        <v>3621663.6</v>
      </c>
      <c r="E610" s="51"/>
      <c r="F610" s="51">
        <v>3621663.6</v>
      </c>
      <c r="G610" s="51"/>
      <c r="H610" s="51"/>
      <c r="I610" s="51"/>
      <c r="J610" s="82"/>
      <c r="K610" s="51"/>
      <c r="L610" s="51"/>
      <c r="M610" s="82"/>
      <c r="N610" s="51"/>
      <c r="O610" s="82"/>
      <c r="P610" s="51"/>
      <c r="Q610" s="338"/>
      <c r="R610" s="51"/>
      <c r="S610" s="51"/>
      <c r="T610" s="35"/>
      <c r="U610" s="51"/>
      <c r="V610" s="51"/>
      <c r="W610" s="364"/>
      <c r="X610" s="141"/>
      <c r="Y610" s="48"/>
      <c r="Z610" s="48"/>
      <c r="AA610" s="48"/>
      <c r="AB610" s="48"/>
      <c r="AC610" s="48"/>
      <c r="AD610" s="48"/>
      <c r="AE610" s="48"/>
      <c r="AF610" s="48"/>
      <c r="AG610" s="48"/>
      <c r="AH610" s="187"/>
      <c r="AI610" s="48"/>
      <c r="AJ610" s="48"/>
      <c r="AK610" s="48"/>
    </row>
    <row r="611" spans="1:37" x14ac:dyDescent="0.3">
      <c r="A611" s="177" t="s">
        <v>211</v>
      </c>
      <c r="B611" s="177"/>
      <c r="C611" s="51">
        <f t="shared" ref="C611:W611" si="131">SUM(C608:C610)</f>
        <v>5430771.9400000004</v>
      </c>
      <c r="D611" s="51">
        <f t="shared" si="131"/>
        <v>4114907.14</v>
      </c>
      <c r="E611" s="51">
        <f t="shared" si="131"/>
        <v>0</v>
      </c>
      <c r="F611" s="51">
        <f t="shared" si="131"/>
        <v>3621663.6</v>
      </c>
      <c r="G611" s="51">
        <f t="shared" si="131"/>
        <v>493243.54</v>
      </c>
      <c r="H611" s="51">
        <f t="shared" si="131"/>
        <v>0</v>
      </c>
      <c r="I611" s="51">
        <f t="shared" si="131"/>
        <v>0</v>
      </c>
      <c r="J611" s="82">
        <f t="shared" si="131"/>
        <v>0</v>
      </c>
      <c r="K611" s="51">
        <f t="shared" si="131"/>
        <v>0</v>
      </c>
      <c r="L611" s="51">
        <f t="shared" si="131"/>
        <v>0</v>
      </c>
      <c r="M611" s="82">
        <f t="shared" si="131"/>
        <v>277.3</v>
      </c>
      <c r="N611" s="51">
        <f t="shared" si="131"/>
        <v>1315864.8</v>
      </c>
      <c r="O611" s="82">
        <f t="shared" si="131"/>
        <v>0</v>
      </c>
      <c r="P611" s="51">
        <f t="shared" si="131"/>
        <v>0</v>
      </c>
      <c r="Q611" s="338">
        <f t="shared" si="131"/>
        <v>0</v>
      </c>
      <c r="R611" s="51">
        <f t="shared" si="131"/>
        <v>0</v>
      </c>
      <c r="S611" s="51">
        <f t="shared" si="131"/>
        <v>0</v>
      </c>
      <c r="T611" s="35">
        <f t="shared" si="131"/>
        <v>0</v>
      </c>
      <c r="U611" s="51">
        <f t="shared" si="131"/>
        <v>0</v>
      </c>
      <c r="V611" s="51">
        <f t="shared" si="131"/>
        <v>0</v>
      </c>
      <c r="W611" s="51">
        <f t="shared" si="131"/>
        <v>0</v>
      </c>
      <c r="X611" s="304"/>
      <c r="Y611" s="48"/>
      <c r="Z611" s="48"/>
      <c r="AA611" s="48"/>
      <c r="AB611" s="48"/>
      <c r="AC611" s="48"/>
      <c r="AD611" s="48"/>
      <c r="AE611" s="48"/>
      <c r="AF611" s="48"/>
      <c r="AG611" s="48"/>
      <c r="AH611" s="187"/>
      <c r="AI611" s="48"/>
      <c r="AJ611" s="48"/>
      <c r="AK611" s="48"/>
    </row>
    <row r="612" spans="1:37" x14ac:dyDescent="0.3">
      <c r="A612" s="176" t="s">
        <v>3870</v>
      </c>
      <c r="B612" s="176"/>
      <c r="C612" s="51"/>
      <c r="D612" s="51"/>
      <c r="E612" s="51"/>
      <c r="F612" s="51"/>
      <c r="G612" s="51"/>
      <c r="H612" s="51"/>
      <c r="I612" s="51"/>
      <c r="J612" s="82"/>
      <c r="K612" s="51"/>
      <c r="L612" s="51"/>
      <c r="M612" s="82"/>
      <c r="N612" s="51"/>
      <c r="O612" s="82"/>
      <c r="P612" s="51"/>
      <c r="Q612" s="338"/>
      <c r="R612" s="51"/>
      <c r="S612" s="51"/>
      <c r="T612" s="35"/>
      <c r="U612" s="51"/>
      <c r="V612" s="51"/>
      <c r="W612" s="364"/>
      <c r="X612" s="141"/>
      <c r="Y612" s="48"/>
      <c r="Z612" s="48"/>
      <c r="AA612" s="48"/>
      <c r="AB612" s="48"/>
      <c r="AC612" s="48"/>
      <c r="AD612" s="48"/>
      <c r="AE612" s="48"/>
      <c r="AF612" s="48"/>
      <c r="AG612" s="48"/>
      <c r="AH612" s="187"/>
      <c r="AI612" s="48"/>
      <c r="AJ612" s="48"/>
      <c r="AK612" s="48"/>
    </row>
    <row r="613" spans="1:37" x14ac:dyDescent="0.3">
      <c r="A613" s="59">
        <f>A610+1</f>
        <v>434</v>
      </c>
      <c r="B613" s="66" t="s">
        <v>3871</v>
      </c>
      <c r="C613" s="51">
        <f t="shared" ref="C613:C625" si="132">D613+K613+L613+N613+P613+R613+S613+U613+V613+W613</f>
        <v>1182634.8</v>
      </c>
      <c r="D613" s="51">
        <f t="shared" ref="D613:D625" si="133">E613+F613+G613+H613+I613</f>
        <v>1182634.8</v>
      </c>
      <c r="E613" s="51">
        <v>1182634.8</v>
      </c>
      <c r="F613" s="51"/>
      <c r="G613" s="51"/>
      <c r="H613" s="51"/>
      <c r="I613" s="51"/>
      <c r="J613" s="82"/>
      <c r="K613" s="51"/>
      <c r="L613" s="51"/>
      <c r="M613" s="82"/>
      <c r="N613" s="51"/>
      <c r="O613" s="82"/>
      <c r="P613" s="51"/>
      <c r="Q613" s="338"/>
      <c r="R613" s="51"/>
      <c r="S613" s="51"/>
      <c r="T613" s="35"/>
      <c r="U613" s="51"/>
      <c r="V613" s="51"/>
      <c r="W613" s="364"/>
      <c r="X613" s="141"/>
      <c r="Y613" s="48"/>
      <c r="Z613" s="48"/>
      <c r="AA613" s="48">
        <v>106053.88</v>
      </c>
      <c r="AB613" s="48"/>
      <c r="AC613" s="48"/>
      <c r="AD613" s="48"/>
      <c r="AE613" s="48"/>
      <c r="AF613" s="48"/>
      <c r="AG613" s="48">
        <v>193581.78</v>
      </c>
      <c r="AH613" s="187"/>
      <c r="AI613" s="48">
        <v>371908.87</v>
      </c>
      <c r="AJ613" s="48"/>
      <c r="AK613" s="48"/>
    </row>
    <row r="614" spans="1:37" x14ac:dyDescent="0.3">
      <c r="A614" s="59">
        <f>A613+1</f>
        <v>435</v>
      </c>
      <c r="B614" s="66" t="s">
        <v>3872</v>
      </c>
      <c r="C614" s="51">
        <f t="shared" si="132"/>
        <v>3820404.66</v>
      </c>
      <c r="D614" s="51">
        <f t="shared" si="133"/>
        <v>1702390.8</v>
      </c>
      <c r="E614" s="51">
        <v>1702390.8</v>
      </c>
      <c r="F614" s="51"/>
      <c r="G614" s="51"/>
      <c r="H614" s="51"/>
      <c r="I614" s="51"/>
      <c r="J614" s="82"/>
      <c r="K614" s="51"/>
      <c r="L614" s="51"/>
      <c r="M614" s="82">
        <v>400.92</v>
      </c>
      <c r="N614" s="51">
        <v>2118013.86</v>
      </c>
      <c r="O614" s="82"/>
      <c r="P614" s="51"/>
      <c r="Q614" s="338"/>
      <c r="R614" s="51"/>
      <c r="S614" s="51"/>
      <c r="T614" s="35"/>
      <c r="U614" s="51"/>
      <c r="V614" s="51"/>
      <c r="W614" s="364"/>
      <c r="X614" s="141"/>
      <c r="Y614" s="48"/>
      <c r="Z614" s="48"/>
      <c r="AA614" s="48">
        <v>103927.57</v>
      </c>
      <c r="AB614" s="48"/>
      <c r="AC614" s="48"/>
      <c r="AD614" s="48"/>
      <c r="AE614" s="48"/>
      <c r="AF614" s="48"/>
      <c r="AG614" s="48">
        <v>190321.28</v>
      </c>
      <c r="AH614" s="187">
        <v>40785.129999999997</v>
      </c>
      <c r="AI614" s="48">
        <v>356615.98</v>
      </c>
      <c r="AJ614" s="48"/>
      <c r="AK614" s="48"/>
    </row>
    <row r="615" spans="1:37" x14ac:dyDescent="0.3">
      <c r="A615" s="59">
        <f>A614+1</f>
        <v>436</v>
      </c>
      <c r="B615" s="66" t="s">
        <v>3873</v>
      </c>
      <c r="C615" s="51">
        <f t="shared" si="132"/>
        <v>1032100.8</v>
      </c>
      <c r="D615" s="51">
        <f t="shared" si="133"/>
        <v>1032100.8</v>
      </c>
      <c r="E615" s="51">
        <v>1032100.8</v>
      </c>
      <c r="F615" s="51"/>
      <c r="G615" s="51"/>
      <c r="H615" s="51"/>
      <c r="I615" s="51"/>
      <c r="J615" s="82"/>
      <c r="K615" s="51"/>
      <c r="L615" s="51"/>
      <c r="M615" s="82"/>
      <c r="N615" s="51"/>
      <c r="O615" s="82"/>
      <c r="P615" s="51"/>
      <c r="Q615" s="338"/>
      <c r="R615" s="51"/>
      <c r="S615" s="51"/>
      <c r="T615" s="35"/>
      <c r="U615" s="51"/>
      <c r="V615" s="51"/>
      <c r="W615" s="364"/>
      <c r="X615" s="141"/>
      <c r="Y615" s="48"/>
      <c r="Z615" s="48"/>
      <c r="AA615" s="48">
        <v>109199.12</v>
      </c>
      <c r="AB615" s="48"/>
      <c r="AC615" s="48"/>
      <c r="AD615" s="48"/>
      <c r="AE615" s="48"/>
      <c r="AF615" s="48"/>
      <c r="AG615" s="48"/>
      <c r="AH615" s="187"/>
      <c r="AI615" s="48">
        <v>377763.31</v>
      </c>
      <c r="AJ615" s="48"/>
      <c r="AK615" s="48"/>
    </row>
    <row r="616" spans="1:37" x14ac:dyDescent="0.3">
      <c r="A616" s="59">
        <f>A615+1</f>
        <v>437</v>
      </c>
      <c r="B616" s="66" t="s">
        <v>3874</v>
      </c>
      <c r="C616" s="51">
        <f t="shared" si="132"/>
        <v>1032100.8</v>
      </c>
      <c r="D616" s="51">
        <f t="shared" si="133"/>
        <v>1032100.8</v>
      </c>
      <c r="E616" s="51">
        <v>1032100.8</v>
      </c>
      <c r="F616" s="51"/>
      <c r="G616" s="51"/>
      <c r="H616" s="51"/>
      <c r="I616" s="51"/>
      <c r="J616" s="82"/>
      <c r="K616" s="51"/>
      <c r="L616" s="51"/>
      <c r="M616" s="82"/>
      <c r="N616" s="51"/>
      <c r="O616" s="82"/>
      <c r="P616" s="51"/>
      <c r="Q616" s="338"/>
      <c r="R616" s="51"/>
      <c r="S616" s="51"/>
      <c r="T616" s="35"/>
      <c r="U616" s="51"/>
      <c r="V616" s="51"/>
      <c r="W616" s="364"/>
      <c r="X616" s="141"/>
      <c r="Y616" s="48"/>
      <c r="Z616" s="48"/>
      <c r="AA616" s="48">
        <v>107670.32</v>
      </c>
      <c r="AB616" s="48"/>
      <c r="AC616" s="48"/>
      <c r="AD616" s="48"/>
      <c r="AE616" s="48"/>
      <c r="AF616" s="48"/>
      <c r="AG616" s="48"/>
      <c r="AH616" s="187"/>
      <c r="AI616" s="48">
        <v>373305.16</v>
      </c>
      <c r="AJ616" s="48">
        <v>181443.82</v>
      </c>
      <c r="AK616" s="48"/>
    </row>
    <row r="617" spans="1:37" x14ac:dyDescent="0.3">
      <c r="A617" s="59">
        <f>A616+1</f>
        <v>438</v>
      </c>
      <c r="B617" s="66" t="s">
        <v>3875</v>
      </c>
      <c r="C617" s="51">
        <f t="shared" si="132"/>
        <v>1032100.8</v>
      </c>
      <c r="D617" s="51">
        <f t="shared" si="133"/>
        <v>1032100.8</v>
      </c>
      <c r="E617" s="51">
        <v>1032100.8</v>
      </c>
      <c r="F617" s="51"/>
      <c r="G617" s="51"/>
      <c r="H617" s="51"/>
      <c r="I617" s="51"/>
      <c r="J617" s="82"/>
      <c r="K617" s="51"/>
      <c r="L617" s="51"/>
      <c r="M617" s="82"/>
      <c r="N617" s="51"/>
      <c r="O617" s="82"/>
      <c r="P617" s="51"/>
      <c r="Q617" s="338"/>
      <c r="R617" s="51"/>
      <c r="S617" s="51"/>
      <c r="T617" s="35"/>
      <c r="U617" s="51"/>
      <c r="V617" s="51"/>
      <c r="W617" s="364"/>
      <c r="X617" s="141"/>
      <c r="Y617" s="48"/>
      <c r="Z617" s="48"/>
      <c r="AA617" s="48">
        <v>107141.44</v>
      </c>
      <c r="AB617" s="48"/>
      <c r="AC617" s="48"/>
      <c r="AD617" s="48"/>
      <c r="AE617" s="48"/>
      <c r="AF617" s="48"/>
      <c r="AG617" s="48"/>
      <c r="AH617" s="187"/>
      <c r="AI617" s="48">
        <v>371767.85</v>
      </c>
      <c r="AJ617" s="48"/>
      <c r="AK617" s="48"/>
    </row>
    <row r="618" spans="1:37" x14ac:dyDescent="0.3">
      <c r="A618" s="59">
        <f t="shared" ref="A618:A625" si="134">A617+1</f>
        <v>439</v>
      </c>
      <c r="B618" s="66" t="s">
        <v>3876</v>
      </c>
      <c r="C618" s="51">
        <f t="shared" si="132"/>
        <v>6362042.4000000004</v>
      </c>
      <c r="D618" s="51">
        <f t="shared" si="133"/>
        <v>6362042.4000000004</v>
      </c>
      <c r="E618" s="51">
        <v>6362042.4000000004</v>
      </c>
      <c r="F618" s="51"/>
      <c r="G618" s="51"/>
      <c r="H618" s="51"/>
      <c r="I618" s="51"/>
      <c r="J618" s="82"/>
      <c r="K618" s="51"/>
      <c r="L618" s="51"/>
      <c r="M618" s="82"/>
      <c r="N618" s="51"/>
      <c r="O618" s="82"/>
      <c r="P618" s="51"/>
      <c r="Q618" s="338"/>
      <c r="R618" s="51"/>
      <c r="S618" s="51"/>
      <c r="T618" s="35"/>
      <c r="U618" s="51"/>
      <c r="V618" s="51"/>
      <c r="W618" s="364"/>
      <c r="X618" s="141"/>
      <c r="Y618" s="48"/>
      <c r="Z618" s="48"/>
      <c r="AA618" s="48"/>
      <c r="AB618" s="48"/>
      <c r="AC618" s="48"/>
      <c r="AD618" s="48"/>
      <c r="AE618" s="48"/>
      <c r="AF618" s="48"/>
      <c r="AG618" s="48"/>
      <c r="AH618" s="187"/>
      <c r="AI618" s="48"/>
      <c r="AJ618" s="48"/>
      <c r="AK618" s="48"/>
    </row>
    <row r="619" spans="1:37" x14ac:dyDescent="0.3">
      <c r="A619" s="59">
        <f t="shared" si="134"/>
        <v>440</v>
      </c>
      <c r="B619" s="66" t="s">
        <v>3877</v>
      </c>
      <c r="C619" s="51">
        <f t="shared" si="132"/>
        <v>2489344.64</v>
      </c>
      <c r="D619" s="51">
        <f t="shared" si="133"/>
        <v>794878.8</v>
      </c>
      <c r="E619" s="51">
        <v>794878.8</v>
      </c>
      <c r="F619" s="51"/>
      <c r="G619" s="51"/>
      <c r="H619" s="51"/>
      <c r="I619" s="51"/>
      <c r="J619" s="82"/>
      <c r="K619" s="51"/>
      <c r="L619" s="51"/>
      <c r="M619" s="82">
        <v>235.8</v>
      </c>
      <c r="N619" s="51">
        <v>1694465.84</v>
      </c>
      <c r="O619" s="82"/>
      <c r="P619" s="51"/>
      <c r="Q619" s="338"/>
      <c r="R619" s="51"/>
      <c r="S619" s="51"/>
      <c r="T619" s="35"/>
      <c r="U619" s="51"/>
      <c r="V619" s="51"/>
      <c r="W619" s="364"/>
      <c r="X619" s="141"/>
      <c r="Y619" s="48"/>
      <c r="Z619" s="48"/>
      <c r="AA619" s="48"/>
      <c r="AB619" s="48"/>
      <c r="AC619" s="48"/>
      <c r="AD619" s="48"/>
      <c r="AE619" s="48"/>
      <c r="AF619" s="48"/>
      <c r="AG619" s="48"/>
      <c r="AH619" s="187"/>
      <c r="AI619" s="48"/>
      <c r="AJ619" s="48"/>
      <c r="AK619" s="48"/>
    </row>
    <row r="620" spans="1:37" x14ac:dyDescent="0.3">
      <c r="A620" s="59">
        <f t="shared" si="134"/>
        <v>441</v>
      </c>
      <c r="B620" s="66" t="s">
        <v>3878</v>
      </c>
      <c r="C620" s="51">
        <f t="shared" si="132"/>
        <v>3489621.54</v>
      </c>
      <c r="D620" s="51">
        <f t="shared" si="133"/>
        <v>1300765.2</v>
      </c>
      <c r="E620" s="51">
        <v>1300765.2</v>
      </c>
      <c r="F620" s="51"/>
      <c r="G620" s="51"/>
      <c r="H620" s="51"/>
      <c r="I620" s="51"/>
      <c r="J620" s="82"/>
      <c r="K620" s="51"/>
      <c r="L620" s="51"/>
      <c r="M620" s="82">
        <v>328.5</v>
      </c>
      <c r="N620" s="51">
        <v>2188856.34</v>
      </c>
      <c r="O620" s="82"/>
      <c r="P620" s="51"/>
      <c r="Q620" s="338"/>
      <c r="R620" s="51"/>
      <c r="S620" s="51"/>
      <c r="T620" s="35"/>
      <c r="U620" s="51"/>
      <c r="V620" s="51"/>
      <c r="W620" s="364"/>
      <c r="X620" s="141"/>
      <c r="Y620" s="48"/>
      <c r="Z620" s="48"/>
      <c r="AA620" s="48"/>
      <c r="AB620" s="48"/>
      <c r="AC620" s="48"/>
      <c r="AD620" s="48"/>
      <c r="AE620" s="48"/>
      <c r="AF620" s="48"/>
      <c r="AG620" s="48"/>
      <c r="AH620" s="187"/>
      <c r="AI620" s="48"/>
      <c r="AJ620" s="48"/>
      <c r="AK620" s="48"/>
    </row>
    <row r="621" spans="1:37" x14ac:dyDescent="0.3">
      <c r="A621" s="59">
        <f t="shared" si="134"/>
        <v>442</v>
      </c>
      <c r="B621" s="66" t="s">
        <v>3879</v>
      </c>
      <c r="C621" s="51">
        <f t="shared" si="132"/>
        <v>393267</v>
      </c>
      <c r="D621" s="51">
        <f t="shared" si="133"/>
        <v>393267</v>
      </c>
      <c r="E621" s="51">
        <f>2688*13+(358323*1)</f>
        <v>393267</v>
      </c>
      <c r="F621" s="51"/>
      <c r="G621" s="51"/>
      <c r="H621" s="51"/>
      <c r="I621" s="51"/>
      <c r="J621" s="82"/>
      <c r="K621" s="51"/>
      <c r="L621" s="51"/>
      <c r="M621" s="82"/>
      <c r="N621" s="51"/>
      <c r="O621" s="82"/>
      <c r="P621" s="51"/>
      <c r="Q621" s="338"/>
      <c r="R621" s="51"/>
      <c r="S621" s="51"/>
      <c r="T621" s="35"/>
      <c r="U621" s="51"/>
      <c r="V621" s="51"/>
      <c r="W621" s="364"/>
      <c r="X621" s="141"/>
      <c r="Y621" s="48"/>
      <c r="Z621" s="48"/>
      <c r="AA621" s="48"/>
      <c r="AB621" s="48"/>
      <c r="AC621" s="48"/>
      <c r="AD621" s="48"/>
      <c r="AE621" s="48"/>
      <c r="AF621" s="48"/>
      <c r="AG621" s="48"/>
      <c r="AH621" s="187"/>
      <c r="AI621" s="48"/>
      <c r="AJ621" s="48"/>
      <c r="AK621" s="48"/>
    </row>
    <row r="622" spans="1:37" x14ac:dyDescent="0.3">
      <c r="A622" s="59">
        <f t="shared" si="134"/>
        <v>443</v>
      </c>
      <c r="B622" s="66" t="s">
        <v>3880</v>
      </c>
      <c r="C622" s="51">
        <f t="shared" si="132"/>
        <v>1080112.3999999999</v>
      </c>
      <c r="D622" s="51">
        <f t="shared" si="133"/>
        <v>1080112.3999999999</v>
      </c>
      <c r="E622" s="51">
        <v>1080112.3999999999</v>
      </c>
      <c r="F622" s="51"/>
      <c r="G622" s="51"/>
      <c r="H622" s="51"/>
      <c r="I622" s="51"/>
      <c r="J622" s="82"/>
      <c r="K622" s="51"/>
      <c r="L622" s="51"/>
      <c r="M622" s="82"/>
      <c r="N622" s="51"/>
      <c r="O622" s="82"/>
      <c r="P622" s="51"/>
      <c r="Q622" s="338"/>
      <c r="R622" s="51"/>
      <c r="S622" s="51"/>
      <c r="T622" s="35"/>
      <c r="U622" s="51"/>
      <c r="V622" s="51"/>
      <c r="W622" s="364"/>
      <c r="X622" s="141"/>
      <c r="Y622" s="48"/>
      <c r="Z622" s="48"/>
      <c r="AA622" s="48"/>
      <c r="AB622" s="48"/>
      <c r="AC622" s="48"/>
      <c r="AD622" s="48"/>
      <c r="AE622" s="48"/>
      <c r="AF622" s="48"/>
      <c r="AG622" s="48"/>
      <c r="AH622" s="187"/>
      <c r="AI622" s="48"/>
      <c r="AJ622" s="48"/>
      <c r="AK622" s="48"/>
    </row>
    <row r="623" spans="1:37" x14ac:dyDescent="0.3">
      <c r="A623" s="59">
        <f t="shared" si="134"/>
        <v>444</v>
      </c>
      <c r="B623" s="66" t="s">
        <v>3881</v>
      </c>
      <c r="C623" s="51">
        <f t="shared" si="132"/>
        <v>982032</v>
      </c>
      <c r="D623" s="51">
        <f t="shared" si="133"/>
        <v>982032</v>
      </c>
      <c r="E623" s="51">
        <v>982032</v>
      </c>
      <c r="F623" s="51"/>
      <c r="G623" s="51"/>
      <c r="H623" s="51"/>
      <c r="I623" s="51"/>
      <c r="J623" s="82"/>
      <c r="K623" s="51"/>
      <c r="L623" s="51"/>
      <c r="M623" s="82"/>
      <c r="N623" s="51"/>
      <c r="O623" s="82"/>
      <c r="P623" s="51"/>
      <c r="Q623" s="338"/>
      <c r="R623" s="51"/>
      <c r="S623" s="51"/>
      <c r="T623" s="35"/>
      <c r="U623" s="51"/>
      <c r="V623" s="51"/>
      <c r="W623" s="364"/>
      <c r="X623" s="141"/>
      <c r="Y623" s="48"/>
      <c r="Z623" s="48"/>
      <c r="AA623" s="48"/>
      <c r="AB623" s="48"/>
      <c r="AC623" s="48"/>
      <c r="AD623" s="48"/>
      <c r="AE623" s="48"/>
      <c r="AF623" s="48"/>
      <c r="AG623" s="48"/>
      <c r="AH623" s="187"/>
      <c r="AI623" s="48"/>
      <c r="AJ623" s="48"/>
      <c r="AK623" s="48"/>
    </row>
    <row r="624" spans="1:37" x14ac:dyDescent="0.3">
      <c r="A624" s="59">
        <f t="shared" si="134"/>
        <v>445</v>
      </c>
      <c r="B624" s="66" t="s">
        <v>3882</v>
      </c>
      <c r="C624" s="51">
        <f t="shared" si="132"/>
        <v>2576173.5999999996</v>
      </c>
      <c r="D624" s="51">
        <f t="shared" si="133"/>
        <v>1080122.3999999999</v>
      </c>
      <c r="E624" s="51">
        <v>1080122.3999999999</v>
      </c>
      <c r="F624" s="51"/>
      <c r="G624" s="51"/>
      <c r="H624" s="51"/>
      <c r="I624" s="51"/>
      <c r="J624" s="82"/>
      <c r="K624" s="51"/>
      <c r="L624" s="51"/>
      <c r="M624" s="82">
        <v>226.62</v>
      </c>
      <c r="N624" s="51">
        <v>1496051.2</v>
      </c>
      <c r="O624" s="82"/>
      <c r="P624" s="51"/>
      <c r="Q624" s="338"/>
      <c r="R624" s="51"/>
      <c r="S624" s="51"/>
      <c r="T624" s="35"/>
      <c r="U624" s="51"/>
      <c r="V624" s="51"/>
      <c r="W624" s="364"/>
      <c r="X624" s="141"/>
      <c r="Y624" s="48"/>
      <c r="Z624" s="48"/>
      <c r="AA624" s="48"/>
      <c r="AB624" s="48"/>
      <c r="AC624" s="48"/>
      <c r="AD624" s="48"/>
      <c r="AE624" s="48"/>
      <c r="AF624" s="48"/>
      <c r="AG624" s="48"/>
      <c r="AH624" s="187"/>
      <c r="AI624" s="48"/>
      <c r="AJ624" s="48"/>
      <c r="AK624" s="48"/>
    </row>
    <row r="625" spans="1:37" x14ac:dyDescent="0.3">
      <c r="A625" s="59">
        <f t="shared" si="134"/>
        <v>446</v>
      </c>
      <c r="B625" s="66" t="s">
        <v>3883</v>
      </c>
      <c r="C625" s="51">
        <f t="shared" si="132"/>
        <v>1660358.4</v>
      </c>
      <c r="D625" s="51">
        <f t="shared" si="133"/>
        <v>1660358.4</v>
      </c>
      <c r="E625" s="51">
        <v>1660358.4</v>
      </c>
      <c r="F625" s="51"/>
      <c r="G625" s="51"/>
      <c r="H625" s="51"/>
      <c r="I625" s="51"/>
      <c r="J625" s="82"/>
      <c r="K625" s="51"/>
      <c r="L625" s="51"/>
      <c r="M625" s="82"/>
      <c r="N625" s="51"/>
      <c r="O625" s="82"/>
      <c r="P625" s="51"/>
      <c r="Q625" s="338"/>
      <c r="R625" s="51"/>
      <c r="S625" s="51"/>
      <c r="T625" s="35"/>
      <c r="U625" s="51"/>
      <c r="V625" s="51"/>
      <c r="W625" s="364"/>
      <c r="X625" s="141"/>
      <c r="Y625" s="48"/>
      <c r="Z625" s="48"/>
      <c r="AA625" s="48"/>
      <c r="AB625" s="48"/>
      <c r="AC625" s="48"/>
      <c r="AD625" s="48"/>
      <c r="AE625" s="48"/>
      <c r="AF625" s="48"/>
      <c r="AG625" s="48"/>
      <c r="AH625" s="187"/>
      <c r="AI625" s="48"/>
      <c r="AJ625" s="48"/>
      <c r="AK625" s="48"/>
    </row>
    <row r="626" spans="1:37" x14ac:dyDescent="0.3">
      <c r="A626" s="177" t="s">
        <v>211</v>
      </c>
      <c r="B626" s="177"/>
      <c r="C626" s="51">
        <f t="shared" ref="C626:W626" si="135">SUM(C613:C625)</f>
        <v>27132293.839999996</v>
      </c>
      <c r="D626" s="51">
        <f t="shared" si="135"/>
        <v>19634906.599999998</v>
      </c>
      <c r="E626" s="51">
        <f t="shared" si="135"/>
        <v>19634906.599999998</v>
      </c>
      <c r="F626" s="51">
        <f t="shared" si="135"/>
        <v>0</v>
      </c>
      <c r="G626" s="51">
        <f t="shared" si="135"/>
        <v>0</v>
      </c>
      <c r="H626" s="51">
        <f t="shared" si="135"/>
        <v>0</v>
      </c>
      <c r="I626" s="51">
        <f t="shared" si="135"/>
        <v>0</v>
      </c>
      <c r="J626" s="82">
        <f t="shared" si="135"/>
        <v>0</v>
      </c>
      <c r="K626" s="51">
        <f t="shared" si="135"/>
        <v>0</v>
      </c>
      <c r="L626" s="51">
        <f t="shared" si="135"/>
        <v>0</v>
      </c>
      <c r="M626" s="82">
        <f t="shared" si="135"/>
        <v>1191.8400000000001</v>
      </c>
      <c r="N626" s="51">
        <f t="shared" si="135"/>
        <v>7497387.2400000002</v>
      </c>
      <c r="O626" s="82">
        <f t="shared" si="135"/>
        <v>0</v>
      </c>
      <c r="P626" s="51">
        <f t="shared" si="135"/>
        <v>0</v>
      </c>
      <c r="Q626" s="338">
        <f t="shared" si="135"/>
        <v>0</v>
      </c>
      <c r="R626" s="51">
        <f t="shared" si="135"/>
        <v>0</v>
      </c>
      <c r="S626" s="51">
        <f t="shared" si="135"/>
        <v>0</v>
      </c>
      <c r="T626" s="35">
        <f t="shared" si="135"/>
        <v>0</v>
      </c>
      <c r="U626" s="51">
        <f t="shared" si="135"/>
        <v>0</v>
      </c>
      <c r="V626" s="51">
        <f t="shared" si="135"/>
        <v>0</v>
      </c>
      <c r="W626" s="51">
        <f t="shared" si="135"/>
        <v>0</v>
      </c>
      <c r="X626" s="304"/>
      <c r="Y626" s="48"/>
      <c r="Z626" s="48"/>
      <c r="AA626" s="48"/>
      <c r="AB626" s="48"/>
      <c r="AC626" s="48"/>
      <c r="AD626" s="48"/>
      <c r="AE626" s="48"/>
      <c r="AF626" s="48"/>
      <c r="AG626" s="48"/>
      <c r="AH626" s="187"/>
      <c r="AI626" s="48"/>
      <c r="AJ626" s="48"/>
      <c r="AK626" s="48"/>
    </row>
    <row r="627" spans="1:37" x14ac:dyDescent="0.3">
      <c r="A627" s="176" t="s">
        <v>3884</v>
      </c>
      <c r="B627" s="176"/>
      <c r="C627" s="51"/>
      <c r="D627" s="51"/>
      <c r="E627" s="51"/>
      <c r="F627" s="51"/>
      <c r="G627" s="51"/>
      <c r="H627" s="51"/>
      <c r="I627" s="51"/>
      <c r="J627" s="82"/>
      <c r="K627" s="51"/>
      <c r="L627" s="51"/>
      <c r="M627" s="82"/>
      <c r="N627" s="51"/>
      <c r="O627" s="82"/>
      <c r="P627" s="51"/>
      <c r="Q627" s="338"/>
      <c r="R627" s="51"/>
      <c r="S627" s="51"/>
      <c r="T627" s="35"/>
      <c r="U627" s="51"/>
      <c r="V627" s="51"/>
      <c r="W627" s="364"/>
      <c r="X627" s="141"/>
      <c r="Y627" s="48"/>
      <c r="Z627" s="48"/>
      <c r="AA627" s="48"/>
      <c r="AB627" s="48"/>
      <c r="AC627" s="48"/>
      <c r="AD627" s="48"/>
      <c r="AE627" s="48"/>
      <c r="AF627" s="48"/>
      <c r="AG627" s="48"/>
      <c r="AH627" s="187"/>
      <c r="AI627" s="48"/>
      <c r="AJ627" s="48"/>
      <c r="AK627" s="48"/>
    </row>
    <row r="628" spans="1:37" x14ac:dyDescent="0.3">
      <c r="A628" s="59">
        <f>A625+1</f>
        <v>447</v>
      </c>
      <c r="B628" s="66" t="s">
        <v>3885</v>
      </c>
      <c r="C628" s="51">
        <f>D628+K628+L628+N628+P628+R628+S628+U628+V628+W628</f>
        <v>814578.78</v>
      </c>
      <c r="D628" s="51">
        <f>E628+F628+G628+H628+I628</f>
        <v>814578.78</v>
      </c>
      <c r="E628" s="51"/>
      <c r="F628" s="51"/>
      <c r="G628" s="51">
        <v>814578.78</v>
      </c>
      <c r="H628" s="51"/>
      <c r="I628" s="51"/>
      <c r="J628" s="82"/>
      <c r="K628" s="51"/>
      <c r="L628" s="51"/>
      <c r="M628" s="82"/>
      <c r="N628" s="51"/>
      <c r="O628" s="82"/>
      <c r="P628" s="51"/>
      <c r="Q628" s="338"/>
      <c r="R628" s="51"/>
      <c r="S628" s="51"/>
      <c r="T628" s="35"/>
      <c r="U628" s="51"/>
      <c r="V628" s="51"/>
      <c r="W628" s="364"/>
      <c r="X628" s="141"/>
      <c r="Y628" s="48"/>
      <c r="Z628" s="48"/>
      <c r="AA628" s="48">
        <v>190863.38</v>
      </c>
      <c r="AB628" s="48"/>
      <c r="AC628" s="48">
        <v>186489.91</v>
      </c>
      <c r="AD628" s="48"/>
      <c r="AE628" s="48"/>
      <c r="AF628" s="48"/>
      <c r="AG628" s="48"/>
      <c r="AH628" s="187"/>
      <c r="AI628" s="48"/>
      <c r="AJ628" s="48"/>
      <c r="AK628" s="48"/>
    </row>
    <row r="629" spans="1:37" x14ac:dyDescent="0.3">
      <c r="A629" s="59">
        <f>A628+1</f>
        <v>448</v>
      </c>
      <c r="B629" s="66" t="s">
        <v>3886</v>
      </c>
      <c r="C629" s="51">
        <f>D629+K629+L629+N629+P629+R629+S629+U629+V629+W629</f>
        <v>1532422.8</v>
      </c>
      <c r="D629" s="51">
        <f>E629+F629+G629+H629+I629</f>
        <v>1532422.8</v>
      </c>
      <c r="E629" s="51">
        <v>1532422.8</v>
      </c>
      <c r="F629" s="51"/>
      <c r="G629" s="51"/>
      <c r="H629" s="51"/>
      <c r="I629" s="51"/>
      <c r="J629" s="82"/>
      <c r="K629" s="51"/>
      <c r="L629" s="51"/>
      <c r="M629" s="82"/>
      <c r="N629" s="51"/>
      <c r="O629" s="82"/>
      <c r="P629" s="51"/>
      <c r="Q629" s="338"/>
      <c r="R629" s="51"/>
      <c r="S629" s="51"/>
      <c r="T629" s="35"/>
      <c r="U629" s="51"/>
      <c r="V629" s="51"/>
      <c r="W629" s="364"/>
      <c r="X629" s="141"/>
      <c r="Y629" s="48"/>
      <c r="Z629" s="48"/>
      <c r="AA629" s="48"/>
      <c r="AB629" s="48"/>
      <c r="AC629" s="48"/>
      <c r="AD629" s="48"/>
      <c r="AE629" s="48"/>
      <c r="AF629" s="48"/>
      <c r="AG629" s="48"/>
      <c r="AH629" s="187"/>
      <c r="AI629" s="48"/>
      <c r="AJ629" s="48"/>
      <c r="AK629" s="48"/>
    </row>
    <row r="630" spans="1:37" x14ac:dyDescent="0.3">
      <c r="A630" s="177" t="s">
        <v>211</v>
      </c>
      <c r="B630" s="177"/>
      <c r="C630" s="51">
        <f t="shared" ref="C630:W630" si="136">SUM(C628:C629)</f>
        <v>2347001.58</v>
      </c>
      <c r="D630" s="51">
        <f t="shared" si="136"/>
        <v>2347001.58</v>
      </c>
      <c r="E630" s="51">
        <f t="shared" si="136"/>
        <v>1532422.8</v>
      </c>
      <c r="F630" s="51">
        <f t="shared" si="136"/>
        <v>0</v>
      </c>
      <c r="G630" s="51">
        <f t="shared" si="136"/>
        <v>814578.78</v>
      </c>
      <c r="H630" s="51">
        <f t="shared" si="136"/>
        <v>0</v>
      </c>
      <c r="I630" s="51">
        <f t="shared" si="136"/>
        <v>0</v>
      </c>
      <c r="J630" s="82">
        <f t="shared" si="136"/>
        <v>0</v>
      </c>
      <c r="K630" s="51">
        <f t="shared" si="136"/>
        <v>0</v>
      </c>
      <c r="L630" s="51">
        <f t="shared" si="136"/>
        <v>0</v>
      </c>
      <c r="M630" s="82">
        <f t="shared" si="136"/>
        <v>0</v>
      </c>
      <c r="N630" s="51">
        <f t="shared" si="136"/>
        <v>0</v>
      </c>
      <c r="O630" s="82">
        <f t="shared" si="136"/>
        <v>0</v>
      </c>
      <c r="P630" s="51">
        <f t="shared" si="136"/>
        <v>0</v>
      </c>
      <c r="Q630" s="338">
        <f t="shared" si="136"/>
        <v>0</v>
      </c>
      <c r="R630" s="51">
        <f t="shared" si="136"/>
        <v>0</v>
      </c>
      <c r="S630" s="51">
        <f t="shared" si="136"/>
        <v>0</v>
      </c>
      <c r="T630" s="35">
        <f t="shared" si="136"/>
        <v>0</v>
      </c>
      <c r="U630" s="51">
        <f t="shared" si="136"/>
        <v>0</v>
      </c>
      <c r="V630" s="51">
        <f t="shared" si="136"/>
        <v>0</v>
      </c>
      <c r="W630" s="51">
        <f t="shared" si="136"/>
        <v>0</v>
      </c>
      <c r="X630" s="304"/>
      <c r="Y630" s="48"/>
      <c r="Z630" s="48"/>
      <c r="AA630" s="48"/>
      <c r="AB630" s="48"/>
      <c r="AC630" s="48"/>
      <c r="AD630" s="48"/>
      <c r="AE630" s="48"/>
      <c r="AF630" s="48"/>
      <c r="AG630" s="48"/>
      <c r="AH630" s="187"/>
      <c r="AI630" s="48"/>
      <c r="AJ630" s="48"/>
      <c r="AK630" s="48"/>
    </row>
    <row r="631" spans="1:37" x14ac:dyDescent="0.3">
      <c r="A631" s="176" t="s">
        <v>3892</v>
      </c>
      <c r="B631" s="176"/>
      <c r="C631" s="51"/>
      <c r="D631" s="51"/>
      <c r="E631" s="51"/>
      <c r="F631" s="51"/>
      <c r="G631" s="51"/>
      <c r="H631" s="51"/>
      <c r="I631" s="51"/>
      <c r="J631" s="82"/>
      <c r="K631" s="51"/>
      <c r="L631" s="51"/>
      <c r="M631" s="82"/>
      <c r="N631" s="51"/>
      <c r="O631" s="82"/>
      <c r="P631" s="51"/>
      <c r="Q631" s="338"/>
      <c r="R631" s="51"/>
      <c r="S631" s="51"/>
      <c r="T631" s="35"/>
      <c r="U631" s="51"/>
      <c r="V631" s="51"/>
      <c r="W631" s="364"/>
      <c r="X631" s="141"/>
      <c r="Y631" s="48"/>
      <c r="Z631" s="48"/>
      <c r="AA631" s="48"/>
      <c r="AB631" s="48"/>
      <c r="AC631" s="48"/>
      <c r="AD631" s="48"/>
      <c r="AE631" s="48"/>
      <c r="AF631" s="48"/>
      <c r="AG631" s="48"/>
      <c r="AH631" s="187"/>
      <c r="AI631" s="48"/>
      <c r="AJ631" s="48"/>
      <c r="AK631" s="48"/>
    </row>
    <row r="632" spans="1:37" x14ac:dyDescent="0.3">
      <c r="A632" s="59">
        <f>A629+1</f>
        <v>449</v>
      </c>
      <c r="B632" s="66" t="s">
        <v>3893</v>
      </c>
      <c r="C632" s="51">
        <f>D632+K632+L632+N632+P632+R632+S632+U632+V632+W632</f>
        <v>1476730.8</v>
      </c>
      <c r="D632" s="51">
        <f>E632+F632+G632+H632+I632</f>
        <v>0</v>
      </c>
      <c r="E632" s="51"/>
      <c r="F632" s="51"/>
      <c r="G632" s="51"/>
      <c r="H632" s="51"/>
      <c r="I632" s="51"/>
      <c r="J632" s="82"/>
      <c r="K632" s="51"/>
      <c r="L632" s="51"/>
      <c r="M632" s="82">
        <v>750</v>
      </c>
      <c r="N632" s="51">
        <v>1476730.8</v>
      </c>
      <c r="O632" s="82"/>
      <c r="P632" s="51"/>
      <c r="Q632" s="338"/>
      <c r="R632" s="51"/>
      <c r="S632" s="51"/>
      <c r="T632" s="35"/>
      <c r="U632" s="51"/>
      <c r="V632" s="51"/>
      <c r="W632" s="364"/>
      <c r="X632" s="141"/>
      <c r="Y632" s="48"/>
      <c r="Z632" s="48"/>
      <c r="AA632" s="48"/>
      <c r="AB632" s="48"/>
      <c r="AC632" s="48"/>
      <c r="AD632" s="48"/>
      <c r="AE632" s="48"/>
      <c r="AF632" s="48"/>
      <c r="AG632" s="48"/>
      <c r="AH632" s="187"/>
      <c r="AI632" s="48"/>
      <c r="AJ632" s="48"/>
      <c r="AK632" s="48"/>
    </row>
    <row r="633" spans="1:37" x14ac:dyDescent="0.3">
      <c r="A633" s="177" t="s">
        <v>211</v>
      </c>
      <c r="B633" s="177"/>
      <c r="C633" s="51">
        <f t="shared" ref="C633:W633" si="137">C632</f>
        <v>1476730.8</v>
      </c>
      <c r="D633" s="51">
        <f t="shared" si="137"/>
        <v>0</v>
      </c>
      <c r="E633" s="51">
        <f t="shared" si="137"/>
        <v>0</v>
      </c>
      <c r="F633" s="51">
        <f t="shared" si="137"/>
        <v>0</v>
      </c>
      <c r="G633" s="51">
        <f t="shared" si="137"/>
        <v>0</v>
      </c>
      <c r="H633" s="51">
        <f t="shared" si="137"/>
        <v>0</v>
      </c>
      <c r="I633" s="51">
        <f t="shared" si="137"/>
        <v>0</v>
      </c>
      <c r="J633" s="82">
        <f t="shared" si="137"/>
        <v>0</v>
      </c>
      <c r="K633" s="51">
        <f t="shared" si="137"/>
        <v>0</v>
      </c>
      <c r="L633" s="51">
        <f t="shared" si="137"/>
        <v>0</v>
      </c>
      <c r="M633" s="82">
        <f t="shared" si="137"/>
        <v>750</v>
      </c>
      <c r="N633" s="51">
        <f t="shared" si="137"/>
        <v>1476730.8</v>
      </c>
      <c r="O633" s="82">
        <f t="shared" si="137"/>
        <v>0</v>
      </c>
      <c r="P633" s="51">
        <f t="shared" si="137"/>
        <v>0</v>
      </c>
      <c r="Q633" s="338">
        <f t="shared" si="137"/>
        <v>0</v>
      </c>
      <c r="R633" s="51">
        <f t="shared" si="137"/>
        <v>0</v>
      </c>
      <c r="S633" s="51">
        <f t="shared" si="137"/>
        <v>0</v>
      </c>
      <c r="T633" s="35">
        <f t="shared" si="137"/>
        <v>0</v>
      </c>
      <c r="U633" s="51">
        <f t="shared" si="137"/>
        <v>0</v>
      </c>
      <c r="V633" s="51">
        <f t="shared" si="137"/>
        <v>0</v>
      </c>
      <c r="W633" s="51">
        <f t="shared" si="137"/>
        <v>0</v>
      </c>
      <c r="X633" s="304"/>
      <c r="Y633" s="48"/>
      <c r="Z633" s="48"/>
      <c r="AA633" s="48"/>
      <c r="AB633" s="48"/>
      <c r="AC633" s="48"/>
      <c r="AD633" s="48"/>
      <c r="AE633" s="48"/>
      <c r="AF633" s="48"/>
      <c r="AG633" s="48"/>
      <c r="AH633" s="187"/>
      <c r="AI633" s="48"/>
      <c r="AJ633" s="48"/>
      <c r="AK633" s="48"/>
    </row>
    <row r="634" spans="1:37" x14ac:dyDescent="0.3">
      <c r="A634" s="176" t="s">
        <v>3894</v>
      </c>
      <c r="B634" s="176"/>
      <c r="C634" s="51"/>
      <c r="D634" s="51"/>
      <c r="E634" s="51"/>
      <c r="F634" s="51"/>
      <c r="G634" s="51"/>
      <c r="H634" s="51"/>
      <c r="I634" s="51"/>
      <c r="J634" s="82"/>
      <c r="K634" s="51"/>
      <c r="L634" s="51"/>
      <c r="M634" s="82"/>
      <c r="N634" s="51"/>
      <c r="O634" s="82"/>
      <c r="P634" s="51"/>
      <c r="Q634" s="338"/>
      <c r="R634" s="51"/>
      <c r="S634" s="51"/>
      <c r="T634" s="35"/>
      <c r="U634" s="51"/>
      <c r="V634" s="51"/>
      <c r="W634" s="364"/>
      <c r="X634" s="141"/>
      <c r="Y634" s="48"/>
      <c r="Z634" s="48"/>
      <c r="AA634" s="48"/>
      <c r="AB634" s="48"/>
      <c r="AC634" s="48"/>
      <c r="AD634" s="48"/>
      <c r="AE634" s="48"/>
      <c r="AF634" s="48"/>
      <c r="AG634" s="48"/>
      <c r="AH634" s="187"/>
      <c r="AI634" s="48"/>
      <c r="AJ634" s="48"/>
      <c r="AK634" s="48"/>
    </row>
    <row r="635" spans="1:37" x14ac:dyDescent="0.3">
      <c r="A635" s="59">
        <f>A632+1</f>
        <v>450</v>
      </c>
      <c r="B635" s="66" t="s">
        <v>3895</v>
      </c>
      <c r="C635" s="51">
        <f t="shared" ref="C635:C644" si="138">D635+K635+L635+N635+P635+R635+S635+U635+V635+W635</f>
        <v>1513023.6</v>
      </c>
      <c r="D635" s="51">
        <f t="shared" ref="D635:D644" si="139">E635+F635+G635+H635+I635</f>
        <v>1513023.6</v>
      </c>
      <c r="E635" s="51"/>
      <c r="F635" s="51"/>
      <c r="G635" s="51"/>
      <c r="H635" s="51"/>
      <c r="I635" s="51">
        <v>1513023.6</v>
      </c>
      <c r="J635" s="82"/>
      <c r="K635" s="51"/>
      <c r="L635" s="51"/>
      <c r="M635" s="82"/>
      <c r="N635" s="51"/>
      <c r="O635" s="82"/>
      <c r="P635" s="51"/>
      <c r="Q635" s="338"/>
      <c r="R635" s="51"/>
      <c r="S635" s="51"/>
      <c r="T635" s="35"/>
      <c r="U635" s="51"/>
      <c r="V635" s="51"/>
      <c r="W635" s="364"/>
      <c r="X635" s="141"/>
      <c r="Y635" s="48"/>
      <c r="Z635" s="48"/>
      <c r="AA635" s="48"/>
      <c r="AB635" s="48"/>
      <c r="AC635" s="48"/>
      <c r="AD635" s="48"/>
      <c r="AE635" s="48"/>
      <c r="AF635" s="48"/>
      <c r="AG635" s="48"/>
      <c r="AH635" s="187"/>
      <c r="AI635" s="48"/>
      <c r="AJ635" s="48"/>
      <c r="AK635" s="48"/>
    </row>
    <row r="636" spans="1:37" x14ac:dyDescent="0.3">
      <c r="A636" s="59">
        <f t="shared" ref="A636:A644" si="140">A635+1</f>
        <v>451</v>
      </c>
      <c r="B636" s="66" t="s">
        <v>3896</v>
      </c>
      <c r="C636" s="51">
        <f t="shared" si="138"/>
        <v>942014.4</v>
      </c>
      <c r="D636" s="51">
        <f t="shared" si="139"/>
        <v>942014.4</v>
      </c>
      <c r="E636" s="51"/>
      <c r="F636" s="51"/>
      <c r="G636" s="51"/>
      <c r="H636" s="51"/>
      <c r="I636" s="51">
        <v>942014.4</v>
      </c>
      <c r="J636" s="82"/>
      <c r="K636" s="51"/>
      <c r="L636" s="51"/>
      <c r="M636" s="82"/>
      <c r="N636" s="51"/>
      <c r="O636" s="82"/>
      <c r="P636" s="51"/>
      <c r="Q636" s="338"/>
      <c r="R636" s="51"/>
      <c r="S636" s="51"/>
      <c r="T636" s="35"/>
      <c r="U636" s="51"/>
      <c r="V636" s="51"/>
      <c r="W636" s="364"/>
      <c r="X636" s="141"/>
      <c r="Y636" s="48"/>
      <c r="Z636" s="48"/>
      <c r="AA636" s="48"/>
      <c r="AB636" s="48"/>
      <c r="AC636" s="48"/>
      <c r="AD636" s="48"/>
      <c r="AE636" s="48"/>
      <c r="AF636" s="48"/>
      <c r="AG636" s="48"/>
      <c r="AH636" s="187"/>
      <c r="AI636" s="48"/>
      <c r="AJ636" s="48"/>
      <c r="AK636" s="48"/>
    </row>
    <row r="637" spans="1:37" x14ac:dyDescent="0.3">
      <c r="A637" s="59">
        <f t="shared" si="140"/>
        <v>452</v>
      </c>
      <c r="B637" s="66" t="s">
        <v>3897</v>
      </c>
      <c r="C637" s="51">
        <f t="shared" si="138"/>
        <v>1084203.6000000001</v>
      </c>
      <c r="D637" s="51">
        <f t="shared" si="139"/>
        <v>1084203.6000000001</v>
      </c>
      <c r="E637" s="51"/>
      <c r="F637" s="51"/>
      <c r="G637" s="51"/>
      <c r="H637" s="51"/>
      <c r="I637" s="51">
        <v>1084203.6000000001</v>
      </c>
      <c r="J637" s="82"/>
      <c r="K637" s="51"/>
      <c r="L637" s="51"/>
      <c r="M637" s="82"/>
      <c r="N637" s="51"/>
      <c r="O637" s="82"/>
      <c r="P637" s="51"/>
      <c r="Q637" s="338"/>
      <c r="R637" s="51"/>
      <c r="S637" s="51"/>
      <c r="T637" s="35"/>
      <c r="U637" s="51"/>
      <c r="V637" s="51"/>
      <c r="W637" s="364"/>
      <c r="X637" s="141"/>
      <c r="Y637" s="48"/>
      <c r="Z637" s="48"/>
      <c r="AA637" s="48"/>
      <c r="AB637" s="48"/>
      <c r="AC637" s="48"/>
      <c r="AD637" s="48"/>
      <c r="AE637" s="48"/>
      <c r="AF637" s="48"/>
      <c r="AG637" s="48"/>
      <c r="AH637" s="187"/>
      <c r="AI637" s="48"/>
      <c r="AJ637" s="48"/>
      <c r="AK637" s="48"/>
    </row>
    <row r="638" spans="1:37" x14ac:dyDescent="0.3">
      <c r="A638" s="59">
        <f t="shared" si="140"/>
        <v>453</v>
      </c>
      <c r="B638" s="66" t="s">
        <v>3898</v>
      </c>
      <c r="C638" s="51">
        <f t="shared" si="138"/>
        <v>1131913.2</v>
      </c>
      <c r="D638" s="51">
        <f t="shared" si="139"/>
        <v>1131913.2</v>
      </c>
      <c r="E638" s="51"/>
      <c r="F638" s="51"/>
      <c r="G638" s="51"/>
      <c r="H638" s="51"/>
      <c r="I638" s="51">
        <v>1131913.2</v>
      </c>
      <c r="J638" s="82"/>
      <c r="K638" s="51"/>
      <c r="L638" s="51"/>
      <c r="M638" s="82"/>
      <c r="N638" s="51"/>
      <c r="O638" s="82"/>
      <c r="P638" s="51"/>
      <c r="Q638" s="338"/>
      <c r="R638" s="51"/>
      <c r="S638" s="51"/>
      <c r="T638" s="35"/>
      <c r="U638" s="51"/>
      <c r="V638" s="51"/>
      <c r="W638" s="364"/>
      <c r="X638" s="141"/>
      <c r="Y638" s="48"/>
      <c r="Z638" s="48"/>
      <c r="AA638" s="48"/>
      <c r="AB638" s="48"/>
      <c r="AC638" s="48"/>
      <c r="AD638" s="48"/>
      <c r="AE638" s="48"/>
      <c r="AF638" s="48"/>
      <c r="AG638" s="48"/>
      <c r="AH638" s="187"/>
      <c r="AI638" s="48"/>
      <c r="AJ638" s="48"/>
      <c r="AK638" s="48"/>
    </row>
    <row r="639" spans="1:37" x14ac:dyDescent="0.3">
      <c r="A639" s="59">
        <f t="shared" si="140"/>
        <v>454</v>
      </c>
      <c r="B639" s="66" t="s">
        <v>3899</v>
      </c>
      <c r="C639" s="51">
        <f t="shared" si="138"/>
        <v>1077894</v>
      </c>
      <c r="D639" s="51">
        <f t="shared" si="139"/>
        <v>1077894</v>
      </c>
      <c r="E639" s="51"/>
      <c r="F639" s="51"/>
      <c r="G639" s="51"/>
      <c r="H639" s="51"/>
      <c r="I639" s="51">
        <v>1077894</v>
      </c>
      <c r="J639" s="82"/>
      <c r="K639" s="51"/>
      <c r="L639" s="51"/>
      <c r="M639" s="82"/>
      <c r="N639" s="51"/>
      <c r="O639" s="82"/>
      <c r="P639" s="51"/>
      <c r="Q639" s="338"/>
      <c r="R639" s="51"/>
      <c r="S639" s="51"/>
      <c r="T639" s="35"/>
      <c r="U639" s="51"/>
      <c r="V639" s="51"/>
      <c r="W639" s="364"/>
      <c r="X639" s="141"/>
      <c r="Y639" s="48"/>
      <c r="Z639" s="48"/>
      <c r="AA639" s="48"/>
      <c r="AB639" s="48"/>
      <c r="AC639" s="48"/>
      <c r="AD639" s="48"/>
      <c r="AE639" s="48"/>
      <c r="AF639" s="48"/>
      <c r="AG639" s="48"/>
      <c r="AH639" s="187"/>
      <c r="AI639" s="48"/>
      <c r="AJ639" s="48"/>
      <c r="AK639" s="48"/>
    </row>
    <row r="640" spans="1:37" x14ac:dyDescent="0.3">
      <c r="A640" s="59">
        <f t="shared" si="140"/>
        <v>455</v>
      </c>
      <c r="B640" s="66" t="s">
        <v>3900</v>
      </c>
      <c r="C640" s="51">
        <f t="shared" si="138"/>
        <v>1077912</v>
      </c>
      <c r="D640" s="51">
        <f t="shared" si="139"/>
        <v>1077912</v>
      </c>
      <c r="E640" s="51"/>
      <c r="F640" s="51"/>
      <c r="G640" s="51"/>
      <c r="H640" s="51"/>
      <c r="I640" s="51">
        <v>1077912</v>
      </c>
      <c r="J640" s="82"/>
      <c r="K640" s="51"/>
      <c r="L640" s="51"/>
      <c r="M640" s="82"/>
      <c r="N640" s="51"/>
      <c r="O640" s="82"/>
      <c r="P640" s="51"/>
      <c r="Q640" s="338"/>
      <c r="R640" s="51"/>
      <c r="S640" s="51"/>
      <c r="T640" s="35"/>
      <c r="U640" s="51"/>
      <c r="V640" s="51"/>
      <c r="W640" s="364"/>
      <c r="X640" s="141"/>
      <c r="Y640" s="48"/>
      <c r="Z640" s="48"/>
      <c r="AA640" s="48"/>
      <c r="AB640" s="48"/>
      <c r="AC640" s="48"/>
      <c r="AD640" s="48"/>
      <c r="AE640" s="48"/>
      <c r="AF640" s="48"/>
      <c r="AG640" s="48"/>
      <c r="AH640" s="187"/>
      <c r="AI640" s="48"/>
      <c r="AJ640" s="48"/>
      <c r="AK640" s="48"/>
    </row>
    <row r="641" spans="1:37" x14ac:dyDescent="0.3">
      <c r="A641" s="59">
        <f t="shared" si="140"/>
        <v>456</v>
      </c>
      <c r="B641" s="66" t="s">
        <v>3901</v>
      </c>
      <c r="C641" s="51">
        <f t="shared" si="138"/>
        <v>2456185.38</v>
      </c>
      <c r="D641" s="51">
        <f t="shared" si="139"/>
        <v>2456185.38</v>
      </c>
      <c r="E641" s="51">
        <v>1571550</v>
      </c>
      <c r="F641" s="51"/>
      <c r="G641" s="51">
        <v>884635.38</v>
      </c>
      <c r="H641" s="51"/>
      <c r="I641" s="51"/>
      <c r="J641" s="82"/>
      <c r="K641" s="51"/>
      <c r="L641" s="51"/>
      <c r="M641" s="82"/>
      <c r="N641" s="51"/>
      <c r="O641" s="82"/>
      <c r="P641" s="51"/>
      <c r="Q641" s="338"/>
      <c r="R641" s="51"/>
      <c r="S641" s="51"/>
      <c r="T641" s="35"/>
      <c r="U641" s="51"/>
      <c r="V641" s="51"/>
      <c r="W641" s="364"/>
      <c r="X641" s="141"/>
      <c r="Y641" s="48"/>
      <c r="Z641" s="48"/>
      <c r="AA641" s="48"/>
      <c r="AB641" s="48"/>
      <c r="AC641" s="48"/>
      <c r="AD641" s="48"/>
      <c r="AE641" s="48"/>
      <c r="AF641" s="48"/>
      <c r="AG641" s="48"/>
      <c r="AH641" s="187"/>
      <c r="AI641" s="48"/>
      <c r="AJ641" s="48"/>
      <c r="AK641" s="48"/>
    </row>
    <row r="642" spans="1:37" x14ac:dyDescent="0.3">
      <c r="A642" s="59">
        <f t="shared" si="140"/>
        <v>457</v>
      </c>
      <c r="B642" s="66" t="s">
        <v>3902</v>
      </c>
      <c r="C642" s="51">
        <f t="shared" si="138"/>
        <v>148816.88</v>
      </c>
      <c r="D642" s="51">
        <f t="shared" si="139"/>
        <v>148816.88</v>
      </c>
      <c r="E642" s="51"/>
      <c r="F642" s="51"/>
      <c r="G642" s="51">
        <v>148816.88</v>
      </c>
      <c r="H642" s="51"/>
      <c r="I642" s="51"/>
      <c r="J642" s="82"/>
      <c r="K642" s="51"/>
      <c r="L642" s="51"/>
      <c r="M642" s="82"/>
      <c r="N642" s="51"/>
      <c r="O642" s="82"/>
      <c r="P642" s="51"/>
      <c r="Q642" s="338"/>
      <c r="R642" s="51"/>
      <c r="S642" s="51"/>
      <c r="T642" s="35"/>
      <c r="U642" s="51"/>
      <c r="V642" s="51"/>
      <c r="W642" s="364"/>
      <c r="X642" s="141"/>
      <c r="Y642" s="48"/>
      <c r="Z642" s="48"/>
      <c r="AA642" s="48"/>
      <c r="AB642" s="48"/>
      <c r="AC642" s="48"/>
      <c r="AD642" s="48"/>
      <c r="AE642" s="48"/>
      <c r="AF642" s="48"/>
      <c r="AG642" s="48"/>
      <c r="AH642" s="187"/>
      <c r="AI642" s="48"/>
      <c r="AJ642" s="48"/>
      <c r="AK642" s="48"/>
    </row>
    <row r="643" spans="1:37" x14ac:dyDescent="0.3">
      <c r="A643" s="59">
        <f t="shared" si="140"/>
        <v>458</v>
      </c>
      <c r="B643" s="66" t="s">
        <v>3903</v>
      </c>
      <c r="C643" s="51">
        <f t="shared" si="138"/>
        <v>637102.15999999992</v>
      </c>
      <c r="D643" s="51">
        <f t="shared" si="139"/>
        <v>637102.15999999992</v>
      </c>
      <c r="E643" s="51">
        <v>385228.79999999999</v>
      </c>
      <c r="F643" s="51"/>
      <c r="G643" s="51">
        <v>251873.36</v>
      </c>
      <c r="H643" s="51"/>
      <c r="I643" s="51"/>
      <c r="J643" s="82"/>
      <c r="K643" s="51"/>
      <c r="L643" s="51"/>
      <c r="M643" s="82"/>
      <c r="N643" s="51"/>
      <c r="O643" s="82"/>
      <c r="P643" s="51"/>
      <c r="Q643" s="338"/>
      <c r="R643" s="51"/>
      <c r="S643" s="51"/>
      <c r="T643" s="35"/>
      <c r="U643" s="51"/>
      <c r="V643" s="51"/>
      <c r="W643" s="364"/>
      <c r="X643" s="141"/>
      <c r="Y643" s="48"/>
      <c r="Z643" s="48"/>
      <c r="AA643" s="48"/>
      <c r="AB643" s="48"/>
      <c r="AC643" s="48"/>
      <c r="AD643" s="48"/>
      <c r="AE643" s="48"/>
      <c r="AF643" s="48"/>
      <c r="AG643" s="48"/>
      <c r="AH643" s="187"/>
      <c r="AI643" s="48"/>
      <c r="AJ643" s="48"/>
      <c r="AK643" s="48"/>
    </row>
    <row r="644" spans="1:37" x14ac:dyDescent="0.3">
      <c r="A644" s="59">
        <f t="shared" si="140"/>
        <v>459</v>
      </c>
      <c r="B644" s="66" t="s">
        <v>3904</v>
      </c>
      <c r="C644" s="51">
        <f t="shared" si="138"/>
        <v>256831.72</v>
      </c>
      <c r="D644" s="51">
        <f t="shared" si="139"/>
        <v>256831.72</v>
      </c>
      <c r="E644" s="51"/>
      <c r="F644" s="51"/>
      <c r="G644" s="51">
        <v>256831.72</v>
      </c>
      <c r="H644" s="51"/>
      <c r="I644" s="51"/>
      <c r="J644" s="82"/>
      <c r="K644" s="51"/>
      <c r="L644" s="51"/>
      <c r="M644" s="82"/>
      <c r="N644" s="51"/>
      <c r="O644" s="82"/>
      <c r="P644" s="51"/>
      <c r="Q644" s="338"/>
      <c r="R644" s="51"/>
      <c r="S644" s="51"/>
      <c r="T644" s="35"/>
      <c r="U644" s="51"/>
      <c r="V644" s="51"/>
      <c r="W644" s="364"/>
      <c r="X644" s="141"/>
      <c r="Y644" s="48"/>
      <c r="Z644" s="48"/>
      <c r="AA644" s="48"/>
      <c r="AB644" s="48"/>
      <c r="AC644" s="48"/>
      <c r="AD644" s="48"/>
      <c r="AE644" s="48"/>
      <c r="AF644" s="48"/>
      <c r="AG644" s="48"/>
      <c r="AH644" s="187"/>
      <c r="AI644" s="48"/>
      <c r="AJ644" s="48"/>
      <c r="AK644" s="48"/>
    </row>
    <row r="645" spans="1:37" x14ac:dyDescent="0.3">
      <c r="A645" s="177" t="s">
        <v>211</v>
      </c>
      <c r="B645" s="177"/>
      <c r="C645" s="51">
        <f t="shared" ref="C645:W645" si="141">SUM(C635:C644)</f>
        <v>10325896.940000001</v>
      </c>
      <c r="D645" s="51">
        <f t="shared" si="141"/>
        <v>10325896.940000001</v>
      </c>
      <c r="E645" s="51">
        <f t="shared" si="141"/>
        <v>1956778.8</v>
      </c>
      <c r="F645" s="51">
        <f t="shared" si="141"/>
        <v>0</v>
      </c>
      <c r="G645" s="51">
        <f t="shared" si="141"/>
        <v>1542157.34</v>
      </c>
      <c r="H645" s="51">
        <f t="shared" si="141"/>
        <v>0</v>
      </c>
      <c r="I645" s="51">
        <f t="shared" si="141"/>
        <v>6826960.7999999998</v>
      </c>
      <c r="J645" s="82">
        <f t="shared" si="141"/>
        <v>0</v>
      </c>
      <c r="K645" s="51">
        <f t="shared" si="141"/>
        <v>0</v>
      </c>
      <c r="L645" s="51">
        <f t="shared" si="141"/>
        <v>0</v>
      </c>
      <c r="M645" s="82">
        <f t="shared" si="141"/>
        <v>0</v>
      </c>
      <c r="N645" s="51">
        <f t="shared" si="141"/>
        <v>0</v>
      </c>
      <c r="O645" s="82">
        <f t="shared" si="141"/>
        <v>0</v>
      </c>
      <c r="P645" s="51">
        <f t="shared" si="141"/>
        <v>0</v>
      </c>
      <c r="Q645" s="338">
        <f t="shared" si="141"/>
        <v>0</v>
      </c>
      <c r="R645" s="51">
        <f t="shared" si="141"/>
        <v>0</v>
      </c>
      <c r="S645" s="51">
        <f t="shared" si="141"/>
        <v>0</v>
      </c>
      <c r="T645" s="35">
        <f t="shared" si="141"/>
        <v>0</v>
      </c>
      <c r="U645" s="51">
        <f t="shared" si="141"/>
        <v>0</v>
      </c>
      <c r="V645" s="51">
        <f t="shared" si="141"/>
        <v>0</v>
      </c>
      <c r="W645" s="51">
        <f t="shared" si="141"/>
        <v>0</v>
      </c>
      <c r="X645" s="304"/>
      <c r="Y645" s="48"/>
      <c r="Z645" s="48"/>
      <c r="AA645" s="48"/>
      <c r="AB645" s="48"/>
      <c r="AC645" s="48"/>
      <c r="AD645" s="48"/>
      <c r="AE645" s="48"/>
      <c r="AF645" s="48"/>
      <c r="AG645" s="48"/>
      <c r="AH645" s="187"/>
      <c r="AI645" s="48"/>
      <c r="AJ645" s="48"/>
      <c r="AK645" s="48"/>
    </row>
    <row r="646" spans="1:37" x14ac:dyDescent="0.3">
      <c r="A646" s="176" t="s">
        <v>3905</v>
      </c>
      <c r="B646" s="176"/>
      <c r="C646" s="51"/>
      <c r="D646" s="51"/>
      <c r="E646" s="51"/>
      <c r="F646" s="51"/>
      <c r="G646" s="51"/>
      <c r="H646" s="51"/>
      <c r="I646" s="51"/>
      <c r="J646" s="82"/>
      <c r="K646" s="51"/>
      <c r="L646" s="51"/>
      <c r="M646" s="82"/>
      <c r="N646" s="51"/>
      <c r="O646" s="82"/>
      <c r="P646" s="51"/>
      <c r="Q646" s="338"/>
      <c r="R646" s="51"/>
      <c r="S646" s="51"/>
      <c r="T646" s="35"/>
      <c r="U646" s="51"/>
      <c r="V646" s="51"/>
      <c r="W646" s="364"/>
      <c r="X646" s="141"/>
      <c r="Y646" s="48"/>
      <c r="Z646" s="48"/>
      <c r="AA646" s="48"/>
      <c r="AB646" s="48"/>
      <c r="AC646" s="48"/>
      <c r="AD646" s="48"/>
      <c r="AE646" s="48"/>
      <c r="AF646" s="48"/>
      <c r="AG646" s="48"/>
      <c r="AH646" s="187"/>
      <c r="AI646" s="48"/>
      <c r="AJ646" s="48"/>
      <c r="AK646" s="48"/>
    </row>
    <row r="647" spans="1:37" x14ac:dyDescent="0.3">
      <c r="A647" s="59">
        <f>A644+1</f>
        <v>460</v>
      </c>
      <c r="B647" s="66" t="s">
        <v>3906</v>
      </c>
      <c r="C647" s="51">
        <f>D647+K647+L647+N647+P647+R647+S647+U647+V647+W647</f>
        <v>2818892.4</v>
      </c>
      <c r="D647" s="51">
        <f>E647+F647+G647+H647+I647</f>
        <v>0</v>
      </c>
      <c r="E647" s="51"/>
      <c r="F647" s="51"/>
      <c r="G647" s="51"/>
      <c r="H647" s="51"/>
      <c r="I647" s="51"/>
      <c r="J647" s="82"/>
      <c r="K647" s="51"/>
      <c r="L647" s="51"/>
      <c r="M647" s="82">
        <v>502</v>
      </c>
      <c r="N647" s="51">
        <v>2818892.4</v>
      </c>
      <c r="O647" s="82"/>
      <c r="P647" s="51"/>
      <c r="Q647" s="338"/>
      <c r="R647" s="51"/>
      <c r="S647" s="51"/>
      <c r="T647" s="35"/>
      <c r="U647" s="51"/>
      <c r="V647" s="51"/>
      <c r="W647" s="364"/>
      <c r="X647" s="141"/>
      <c r="Y647" s="48"/>
      <c r="Z647" s="48"/>
      <c r="AA647" s="48"/>
      <c r="AB647" s="48"/>
      <c r="AC647" s="48"/>
      <c r="AD647" s="48"/>
      <c r="AE647" s="48"/>
      <c r="AF647" s="48"/>
      <c r="AG647" s="48"/>
      <c r="AH647" s="187"/>
      <c r="AI647" s="48"/>
      <c r="AJ647" s="48"/>
      <c r="AK647" s="48"/>
    </row>
    <row r="648" spans="1:37" x14ac:dyDescent="0.3">
      <c r="A648" s="59">
        <f>A647+1</f>
        <v>461</v>
      </c>
      <c r="B648" s="66" t="s">
        <v>3907</v>
      </c>
      <c r="C648" s="51">
        <f>D648+K648+L648+N648+P648+R648+S648+U648+V648+W648</f>
        <v>3740966.4</v>
      </c>
      <c r="D648" s="51">
        <f>E648+F648+G648+H648+I648</f>
        <v>0</v>
      </c>
      <c r="E648" s="51"/>
      <c r="F648" s="51"/>
      <c r="G648" s="51"/>
      <c r="H648" s="51"/>
      <c r="I648" s="51"/>
      <c r="J648" s="82"/>
      <c r="K648" s="51"/>
      <c r="L648" s="51"/>
      <c r="M648" s="82">
        <v>506.1</v>
      </c>
      <c r="N648" s="51">
        <v>3740966.4</v>
      </c>
      <c r="O648" s="82"/>
      <c r="P648" s="51"/>
      <c r="Q648" s="338"/>
      <c r="R648" s="51"/>
      <c r="S648" s="51"/>
      <c r="T648" s="35"/>
      <c r="U648" s="51"/>
      <c r="V648" s="51"/>
      <c r="W648" s="364"/>
      <c r="X648" s="141"/>
      <c r="Y648" s="48"/>
      <c r="Z648" s="48"/>
      <c r="AA648" s="48"/>
      <c r="AB648" s="48"/>
      <c r="AC648" s="48"/>
      <c r="AD648" s="48"/>
      <c r="AE648" s="48"/>
      <c r="AF648" s="48"/>
      <c r="AG648" s="48"/>
      <c r="AH648" s="187"/>
      <c r="AI648" s="48"/>
      <c r="AJ648" s="48"/>
      <c r="AK648" s="48"/>
    </row>
    <row r="649" spans="1:37" x14ac:dyDescent="0.3">
      <c r="A649" s="59">
        <f>A648+1</f>
        <v>462</v>
      </c>
      <c r="B649" s="66" t="s">
        <v>3908</v>
      </c>
      <c r="C649" s="51">
        <f>D649+K649+L649+N649+P649+R649+S649+U649+V649+W649</f>
        <v>3782320.8</v>
      </c>
      <c r="D649" s="51">
        <f>E649+F649+G649+H649+I649</f>
        <v>0</v>
      </c>
      <c r="E649" s="51"/>
      <c r="F649" s="51"/>
      <c r="G649" s="51"/>
      <c r="H649" s="51"/>
      <c r="I649" s="51"/>
      <c r="J649" s="82"/>
      <c r="K649" s="51"/>
      <c r="L649" s="51"/>
      <c r="M649" s="82">
        <v>580</v>
      </c>
      <c r="N649" s="51">
        <v>3782320.8</v>
      </c>
      <c r="O649" s="82"/>
      <c r="P649" s="51"/>
      <c r="Q649" s="338"/>
      <c r="R649" s="51"/>
      <c r="S649" s="51"/>
      <c r="T649" s="35"/>
      <c r="U649" s="51"/>
      <c r="V649" s="51"/>
      <c r="W649" s="364"/>
      <c r="X649" s="141"/>
      <c r="Y649" s="48"/>
      <c r="Z649" s="48"/>
      <c r="AA649" s="48"/>
      <c r="AB649" s="48"/>
      <c r="AC649" s="48"/>
      <c r="AD649" s="48"/>
      <c r="AE649" s="48"/>
      <c r="AF649" s="48"/>
      <c r="AG649" s="48"/>
      <c r="AH649" s="187"/>
      <c r="AI649" s="48"/>
      <c r="AJ649" s="48"/>
      <c r="AK649" s="48"/>
    </row>
    <row r="650" spans="1:37" x14ac:dyDescent="0.3">
      <c r="A650" s="177" t="s">
        <v>211</v>
      </c>
      <c r="B650" s="177"/>
      <c r="C650" s="51">
        <f t="shared" ref="C650:W650" si="142">SUM(C647:C649)</f>
        <v>10342179.6</v>
      </c>
      <c r="D650" s="51">
        <f t="shared" si="142"/>
        <v>0</v>
      </c>
      <c r="E650" s="51">
        <f t="shared" si="142"/>
        <v>0</v>
      </c>
      <c r="F650" s="51">
        <f t="shared" si="142"/>
        <v>0</v>
      </c>
      <c r="G650" s="51">
        <f t="shared" si="142"/>
        <v>0</v>
      </c>
      <c r="H650" s="51">
        <f t="shared" si="142"/>
        <v>0</v>
      </c>
      <c r="I650" s="51">
        <f t="shared" si="142"/>
        <v>0</v>
      </c>
      <c r="J650" s="82">
        <f t="shared" si="142"/>
        <v>0</v>
      </c>
      <c r="K650" s="51">
        <f t="shared" si="142"/>
        <v>0</v>
      </c>
      <c r="L650" s="51">
        <f t="shared" si="142"/>
        <v>0</v>
      </c>
      <c r="M650" s="82">
        <f t="shared" si="142"/>
        <v>1588.1</v>
      </c>
      <c r="N650" s="51">
        <f t="shared" si="142"/>
        <v>10342179.6</v>
      </c>
      <c r="O650" s="82">
        <f t="shared" si="142"/>
        <v>0</v>
      </c>
      <c r="P650" s="51">
        <f t="shared" si="142"/>
        <v>0</v>
      </c>
      <c r="Q650" s="338">
        <f t="shared" si="142"/>
        <v>0</v>
      </c>
      <c r="R650" s="51">
        <f t="shared" si="142"/>
        <v>0</v>
      </c>
      <c r="S650" s="51">
        <f t="shared" si="142"/>
        <v>0</v>
      </c>
      <c r="T650" s="35">
        <f t="shared" si="142"/>
        <v>0</v>
      </c>
      <c r="U650" s="51">
        <f t="shared" si="142"/>
        <v>0</v>
      </c>
      <c r="V650" s="51">
        <f t="shared" si="142"/>
        <v>0</v>
      </c>
      <c r="W650" s="51">
        <f t="shared" si="142"/>
        <v>0</v>
      </c>
      <c r="X650" s="304"/>
      <c r="Y650" s="48"/>
      <c r="Z650" s="48"/>
      <c r="AA650" s="48"/>
      <c r="AB650" s="48"/>
      <c r="AC650" s="48"/>
      <c r="AD650" s="48"/>
      <c r="AE650" s="48"/>
      <c r="AF650" s="48"/>
      <c r="AG650" s="48"/>
      <c r="AH650" s="187"/>
      <c r="AI650" s="48"/>
      <c r="AJ650" s="48"/>
      <c r="AK650" s="48"/>
    </row>
    <row r="651" spans="1:37" x14ac:dyDescent="0.3">
      <c r="A651" s="176" t="s">
        <v>3909</v>
      </c>
      <c r="B651" s="176"/>
      <c r="C651" s="51"/>
      <c r="D651" s="51"/>
      <c r="E651" s="51"/>
      <c r="F651" s="51"/>
      <c r="G651" s="51"/>
      <c r="H651" s="51"/>
      <c r="I651" s="51"/>
      <c r="J651" s="82"/>
      <c r="K651" s="51"/>
      <c r="L651" s="51"/>
      <c r="M651" s="82"/>
      <c r="N651" s="51"/>
      <c r="O651" s="82"/>
      <c r="P651" s="51"/>
      <c r="Q651" s="338"/>
      <c r="R651" s="51"/>
      <c r="S651" s="51"/>
      <c r="T651" s="35"/>
      <c r="U651" s="51"/>
      <c r="V651" s="51"/>
      <c r="W651" s="364"/>
      <c r="X651" s="141"/>
      <c r="Y651" s="48"/>
      <c r="Z651" s="48"/>
      <c r="AA651" s="48"/>
      <c r="AB651" s="48"/>
      <c r="AC651" s="48"/>
      <c r="AD651" s="48"/>
      <c r="AE651" s="48"/>
      <c r="AF651" s="48"/>
      <c r="AG651" s="48"/>
      <c r="AH651" s="187"/>
      <c r="AI651" s="48"/>
      <c r="AJ651" s="48"/>
      <c r="AK651" s="48"/>
    </row>
    <row r="652" spans="1:37" x14ac:dyDescent="0.3">
      <c r="A652" s="59">
        <f>A649+1</f>
        <v>463</v>
      </c>
      <c r="B652" s="66" t="s">
        <v>3910</v>
      </c>
      <c r="C652" s="51">
        <f>D652+K652+L652+N652+P652+R652+S652+U652+V652+W652</f>
        <v>4185718.8</v>
      </c>
      <c r="D652" s="51">
        <f>E652+F652+G652+H652+I652</f>
        <v>0</v>
      </c>
      <c r="E652" s="51"/>
      <c r="F652" s="51"/>
      <c r="G652" s="51"/>
      <c r="H652" s="51"/>
      <c r="I652" s="51"/>
      <c r="J652" s="82"/>
      <c r="K652" s="51"/>
      <c r="L652" s="51"/>
      <c r="M652" s="82">
        <v>658</v>
      </c>
      <c r="N652" s="51">
        <v>4185718.8</v>
      </c>
      <c r="O652" s="82"/>
      <c r="P652" s="51"/>
      <c r="Q652" s="338"/>
      <c r="R652" s="51"/>
      <c r="S652" s="51"/>
      <c r="T652" s="35"/>
      <c r="U652" s="51"/>
      <c r="V652" s="51"/>
      <c r="W652" s="364"/>
      <c r="X652" s="141"/>
      <c r="Y652" s="48"/>
      <c r="Z652" s="48"/>
      <c r="AA652" s="48"/>
      <c r="AB652" s="48"/>
      <c r="AC652" s="48"/>
      <c r="AD652" s="48"/>
      <c r="AE652" s="48"/>
      <c r="AF652" s="48"/>
      <c r="AG652" s="48"/>
      <c r="AH652" s="187"/>
      <c r="AI652" s="48"/>
      <c r="AJ652" s="48"/>
      <c r="AK652" s="48"/>
    </row>
    <row r="653" spans="1:37" x14ac:dyDescent="0.3">
      <c r="A653" s="59">
        <f>A652+1</f>
        <v>464</v>
      </c>
      <c r="B653" s="66" t="s">
        <v>3911</v>
      </c>
      <c r="C653" s="51">
        <f>D653+K653+L653+N653+P653+R653+S653+U653+V653+W653</f>
        <v>2525403.6</v>
      </c>
      <c r="D653" s="51">
        <f>E653+F653+G653+H653+I653</f>
        <v>0</v>
      </c>
      <c r="E653" s="51"/>
      <c r="F653" s="51"/>
      <c r="G653" s="51"/>
      <c r="H653" s="51"/>
      <c r="I653" s="51"/>
      <c r="J653" s="82"/>
      <c r="K653" s="51"/>
      <c r="L653" s="51"/>
      <c r="M653" s="82">
        <v>365</v>
      </c>
      <c r="N653" s="51">
        <v>2525403.6</v>
      </c>
      <c r="O653" s="82"/>
      <c r="P653" s="51"/>
      <c r="Q653" s="338"/>
      <c r="R653" s="51"/>
      <c r="S653" s="51"/>
      <c r="T653" s="35"/>
      <c r="U653" s="51"/>
      <c r="V653" s="51"/>
      <c r="W653" s="364"/>
      <c r="X653" s="141"/>
      <c r="Y653" s="48"/>
      <c r="Z653" s="48"/>
      <c r="AA653" s="48"/>
      <c r="AB653" s="48"/>
      <c r="AC653" s="48"/>
      <c r="AD653" s="48"/>
      <c r="AE653" s="48"/>
      <c r="AF653" s="48"/>
      <c r="AG653" s="48"/>
      <c r="AH653" s="187"/>
      <c r="AI653" s="48"/>
      <c r="AJ653" s="48"/>
      <c r="AK653" s="48"/>
    </row>
    <row r="654" spans="1:37" x14ac:dyDescent="0.3">
      <c r="A654" s="59">
        <f>A653+1</f>
        <v>465</v>
      </c>
      <c r="B654" s="66" t="s">
        <v>3912</v>
      </c>
      <c r="C654" s="51">
        <f>D654+K654+L654+N654+P654+R654+S654+U654+V654+W654</f>
        <v>3028677.6</v>
      </c>
      <c r="D654" s="51">
        <f>E654+F654+G654+H654+I654</f>
        <v>0</v>
      </c>
      <c r="E654" s="51"/>
      <c r="F654" s="51"/>
      <c r="G654" s="51"/>
      <c r="H654" s="51"/>
      <c r="I654" s="51"/>
      <c r="J654" s="82"/>
      <c r="K654" s="51"/>
      <c r="L654" s="51"/>
      <c r="M654" s="82">
        <v>456</v>
      </c>
      <c r="N654" s="51">
        <v>3028677.6</v>
      </c>
      <c r="O654" s="82"/>
      <c r="P654" s="51"/>
      <c r="Q654" s="338"/>
      <c r="R654" s="51"/>
      <c r="S654" s="51"/>
      <c r="T654" s="35"/>
      <c r="U654" s="51"/>
      <c r="V654" s="51"/>
      <c r="W654" s="364"/>
      <c r="X654" s="141"/>
      <c r="Y654" s="48"/>
      <c r="Z654" s="48"/>
      <c r="AA654" s="48"/>
      <c r="AB654" s="48"/>
      <c r="AC654" s="48"/>
      <c r="AD654" s="48"/>
      <c r="AE654" s="48"/>
      <c r="AF654" s="48"/>
      <c r="AG654" s="48"/>
      <c r="AH654" s="187"/>
      <c r="AI654" s="48"/>
      <c r="AJ654" s="48"/>
      <c r="AK654" s="48"/>
    </row>
    <row r="655" spans="1:37" x14ac:dyDescent="0.3">
      <c r="A655" s="59">
        <f>A654+1</f>
        <v>466</v>
      </c>
      <c r="B655" s="66" t="s">
        <v>3913</v>
      </c>
      <c r="C655" s="51">
        <f>D655+K655+L655+N655+P655+R655+S655+U655+V655+W655</f>
        <v>2820273.6</v>
      </c>
      <c r="D655" s="51">
        <f>E655+F655+G655+H655+I655</f>
        <v>0</v>
      </c>
      <c r="E655" s="51"/>
      <c r="F655" s="51"/>
      <c r="G655" s="51"/>
      <c r="H655" s="51"/>
      <c r="I655" s="51"/>
      <c r="J655" s="82"/>
      <c r="K655" s="51"/>
      <c r="L655" s="51"/>
      <c r="M655" s="82">
        <v>422</v>
      </c>
      <c r="N655" s="51">
        <v>2820273.6</v>
      </c>
      <c r="O655" s="82"/>
      <c r="P655" s="51"/>
      <c r="Q655" s="338"/>
      <c r="R655" s="51"/>
      <c r="S655" s="51"/>
      <c r="T655" s="35"/>
      <c r="U655" s="51"/>
      <c r="V655" s="51"/>
      <c r="W655" s="364"/>
      <c r="X655" s="141"/>
      <c r="Y655" s="48"/>
      <c r="Z655" s="48"/>
      <c r="AA655" s="48"/>
      <c r="AB655" s="48"/>
      <c r="AC655" s="48"/>
      <c r="AD655" s="48"/>
      <c r="AE655" s="48"/>
      <c r="AF655" s="48"/>
      <c r="AG655" s="48"/>
      <c r="AH655" s="187"/>
      <c r="AI655" s="48"/>
      <c r="AJ655" s="48"/>
      <c r="AK655" s="48"/>
    </row>
    <row r="656" spans="1:37" x14ac:dyDescent="0.3">
      <c r="A656" s="177" t="s">
        <v>211</v>
      </c>
      <c r="B656" s="177"/>
      <c r="C656" s="51">
        <f t="shared" ref="C656:W656" si="143">SUM(C652:C655)</f>
        <v>12560073.6</v>
      </c>
      <c r="D656" s="51">
        <f t="shared" si="143"/>
        <v>0</v>
      </c>
      <c r="E656" s="51">
        <f t="shared" si="143"/>
        <v>0</v>
      </c>
      <c r="F656" s="51">
        <f t="shared" si="143"/>
        <v>0</v>
      </c>
      <c r="G656" s="51">
        <f t="shared" si="143"/>
        <v>0</v>
      </c>
      <c r="H656" s="51">
        <f t="shared" si="143"/>
        <v>0</v>
      </c>
      <c r="I656" s="51">
        <f t="shared" si="143"/>
        <v>0</v>
      </c>
      <c r="J656" s="82">
        <f t="shared" si="143"/>
        <v>0</v>
      </c>
      <c r="K656" s="51">
        <f t="shared" si="143"/>
        <v>0</v>
      </c>
      <c r="L656" s="51">
        <f t="shared" si="143"/>
        <v>0</v>
      </c>
      <c r="M656" s="82">
        <f t="shared" si="143"/>
        <v>1901</v>
      </c>
      <c r="N656" s="51">
        <f t="shared" si="143"/>
        <v>12560073.6</v>
      </c>
      <c r="O656" s="82">
        <f t="shared" si="143"/>
        <v>0</v>
      </c>
      <c r="P656" s="51">
        <f t="shared" si="143"/>
        <v>0</v>
      </c>
      <c r="Q656" s="338">
        <f t="shared" si="143"/>
        <v>0</v>
      </c>
      <c r="R656" s="51">
        <f t="shared" si="143"/>
        <v>0</v>
      </c>
      <c r="S656" s="51">
        <f t="shared" si="143"/>
        <v>0</v>
      </c>
      <c r="T656" s="35">
        <f t="shared" si="143"/>
        <v>0</v>
      </c>
      <c r="U656" s="51">
        <f t="shared" si="143"/>
        <v>0</v>
      </c>
      <c r="V656" s="51">
        <f t="shared" si="143"/>
        <v>0</v>
      </c>
      <c r="W656" s="51">
        <f t="shared" si="143"/>
        <v>0</v>
      </c>
      <c r="X656" s="304"/>
      <c r="Y656" s="48"/>
      <c r="Z656" s="48"/>
      <c r="AA656" s="48"/>
      <c r="AB656" s="48"/>
      <c r="AC656" s="48"/>
      <c r="AD656" s="48"/>
      <c r="AE656" s="48"/>
      <c r="AF656" s="48"/>
      <c r="AG656" s="48"/>
      <c r="AH656" s="187"/>
      <c r="AI656" s="48"/>
      <c r="AJ656" s="48"/>
      <c r="AK656" s="48"/>
    </row>
    <row r="657" spans="1:37" x14ac:dyDescent="0.3">
      <c r="A657" s="167" t="s">
        <v>3914</v>
      </c>
      <c r="B657" s="167"/>
      <c r="C657" s="364">
        <f>C606+C611+C626+C630+C633+C645+C650+C656+C581</f>
        <v>178226813.56</v>
      </c>
      <c r="D657" s="364">
        <f t="shared" ref="D657:W657" si="144">D606+D611+D626+D630+D633+D645+D650+D656+D581</f>
        <v>66428284.669999987</v>
      </c>
      <c r="E657" s="364">
        <f t="shared" si="144"/>
        <v>23124108.199999999</v>
      </c>
      <c r="F657" s="364">
        <f t="shared" si="144"/>
        <v>24231400.800000004</v>
      </c>
      <c r="G657" s="364">
        <f t="shared" si="144"/>
        <v>5909043.7599999998</v>
      </c>
      <c r="H657" s="364">
        <f t="shared" si="144"/>
        <v>6336771.1099999994</v>
      </c>
      <c r="I657" s="364">
        <f t="shared" si="144"/>
        <v>6826960.7999999998</v>
      </c>
      <c r="J657" s="129">
        <f t="shared" si="144"/>
        <v>0</v>
      </c>
      <c r="K657" s="364">
        <f t="shared" si="144"/>
        <v>0</v>
      </c>
      <c r="L657" s="364">
        <f t="shared" si="144"/>
        <v>0</v>
      </c>
      <c r="M657" s="129">
        <f t="shared" si="144"/>
        <v>19316.509999999998</v>
      </c>
      <c r="N657" s="364">
        <f t="shared" si="144"/>
        <v>109569284.49999999</v>
      </c>
      <c r="O657" s="129">
        <f t="shared" si="144"/>
        <v>0</v>
      </c>
      <c r="P657" s="364">
        <f t="shared" si="144"/>
        <v>0</v>
      </c>
      <c r="Q657" s="406">
        <f t="shared" si="144"/>
        <v>0</v>
      </c>
      <c r="R657" s="364">
        <f t="shared" si="144"/>
        <v>0</v>
      </c>
      <c r="S657" s="364">
        <f t="shared" si="144"/>
        <v>0</v>
      </c>
      <c r="T657" s="181">
        <f t="shared" si="144"/>
        <v>0</v>
      </c>
      <c r="U657" s="364">
        <f t="shared" si="144"/>
        <v>0</v>
      </c>
      <c r="V657" s="364">
        <f t="shared" si="144"/>
        <v>0</v>
      </c>
      <c r="W657" s="364">
        <f t="shared" si="144"/>
        <v>2229244.39</v>
      </c>
      <c r="X657" s="9"/>
      <c r="Y657" s="285"/>
      <c r="Z657" s="285"/>
      <c r="AA657" s="285"/>
      <c r="AB657" s="285"/>
      <c r="AC657" s="285"/>
      <c r="AD657" s="285"/>
      <c r="AE657" s="285"/>
      <c r="AF657" s="285"/>
      <c r="AG657" s="9"/>
      <c r="AH657" s="318"/>
      <c r="AI657" s="9"/>
      <c r="AJ657" s="9"/>
      <c r="AK657" s="9"/>
    </row>
    <row r="658" spans="1:37" x14ac:dyDescent="0.3">
      <c r="A658" s="63" t="s">
        <v>2712</v>
      </c>
      <c r="B658" s="176"/>
      <c r="C658" s="363"/>
      <c r="D658" s="363"/>
      <c r="E658" s="363"/>
      <c r="F658" s="363"/>
      <c r="G658" s="363"/>
      <c r="H658" s="363"/>
      <c r="I658" s="363"/>
      <c r="J658" s="391"/>
      <c r="K658" s="363"/>
      <c r="L658" s="363"/>
      <c r="M658" s="391"/>
      <c r="N658" s="363"/>
      <c r="O658" s="391"/>
      <c r="P658" s="363"/>
      <c r="Q658" s="392"/>
      <c r="R658" s="363"/>
      <c r="S658" s="363"/>
      <c r="T658" s="393"/>
      <c r="U658" s="363"/>
      <c r="V658" s="363"/>
      <c r="W658" s="363"/>
      <c r="X658" s="298"/>
      <c r="Y658" s="48"/>
      <c r="Z658" s="48"/>
      <c r="AA658" s="57"/>
      <c r="AB658" s="58"/>
      <c r="AC658" s="58"/>
      <c r="AD658" s="58"/>
    </row>
    <row r="659" spans="1:37" x14ac:dyDescent="0.3">
      <c r="A659" s="176" t="s">
        <v>2713</v>
      </c>
      <c r="B659" s="176"/>
      <c r="C659" s="387"/>
      <c r="D659" s="387"/>
      <c r="E659" s="387"/>
      <c r="F659" s="387"/>
      <c r="G659" s="387"/>
      <c r="H659" s="387"/>
      <c r="I659" s="387"/>
      <c r="J659" s="388"/>
      <c r="K659" s="387"/>
      <c r="L659" s="387"/>
      <c r="M659" s="388"/>
      <c r="N659" s="387"/>
      <c r="O659" s="388"/>
      <c r="P659" s="387"/>
      <c r="Q659" s="389"/>
      <c r="R659" s="387"/>
      <c r="S659" s="387"/>
      <c r="T659" s="390"/>
      <c r="U659" s="387"/>
      <c r="V659" s="387"/>
      <c r="W659" s="387"/>
      <c r="X659" s="298"/>
      <c r="Y659" s="48"/>
      <c r="Z659" s="48"/>
      <c r="AA659" s="57"/>
      <c r="AB659" s="58"/>
      <c r="AC659" s="58"/>
      <c r="AD659" s="58"/>
    </row>
    <row r="660" spans="1:37" x14ac:dyDescent="0.3">
      <c r="A660" s="59">
        <f>A655+1</f>
        <v>467</v>
      </c>
      <c r="B660" s="66" t="s">
        <v>2715</v>
      </c>
      <c r="C660" s="51">
        <f>D660+K660+L660+N660+P660+R660+S660+U660+V660+W660</f>
        <v>3759972</v>
      </c>
      <c r="D660" s="51">
        <f>E660+F660+G660+H660+I660</f>
        <v>3759972</v>
      </c>
      <c r="E660" s="51">
        <v>1082541.6000000001</v>
      </c>
      <c r="F660" s="51">
        <v>1867328.4</v>
      </c>
      <c r="G660" s="51">
        <v>367722</v>
      </c>
      <c r="H660" s="51"/>
      <c r="I660" s="51">
        <v>442380</v>
      </c>
      <c r="J660" s="82"/>
      <c r="K660" s="51"/>
      <c r="L660" s="51"/>
      <c r="M660" s="82"/>
      <c r="N660" s="51"/>
      <c r="O660" s="82"/>
      <c r="P660" s="51"/>
      <c r="Q660" s="338"/>
      <c r="R660" s="51"/>
      <c r="S660" s="51"/>
      <c r="T660" s="35"/>
      <c r="U660" s="51"/>
      <c r="V660" s="51"/>
      <c r="W660" s="364"/>
      <c r="X660" s="285"/>
      <c r="Y660" s="48"/>
      <c r="Z660" s="48"/>
      <c r="AA660" s="57"/>
      <c r="AB660" s="58"/>
      <c r="AC660" s="58"/>
      <c r="AD660" s="58"/>
    </row>
    <row r="661" spans="1:37" x14ac:dyDescent="0.3">
      <c r="A661" s="59">
        <f>A660+1</f>
        <v>468</v>
      </c>
      <c r="B661" s="66" t="s">
        <v>2716</v>
      </c>
      <c r="C661" s="51">
        <f>D661+K661+L661+N661+P661+R661+S661+U661+V661+W661</f>
        <v>2498624.6</v>
      </c>
      <c r="D661" s="51">
        <f>E661+F661+G661+H661+I661</f>
        <v>1773441.6</v>
      </c>
      <c r="E661" s="51">
        <v>1773441.6</v>
      </c>
      <c r="F661" s="51"/>
      <c r="G661" s="51"/>
      <c r="H661" s="51"/>
      <c r="I661" s="51"/>
      <c r="J661" s="82"/>
      <c r="K661" s="51"/>
      <c r="L661" s="51"/>
      <c r="M661" s="82"/>
      <c r="N661" s="51"/>
      <c r="O661" s="82"/>
      <c r="P661" s="51"/>
      <c r="Q661" s="338"/>
      <c r="R661" s="51"/>
      <c r="S661" s="51"/>
      <c r="T661" s="35"/>
      <c r="U661" s="51"/>
      <c r="V661" s="51">
        <f>214531+392996+117656</f>
        <v>725183</v>
      </c>
      <c r="W661" s="364"/>
      <c r="X661" s="285"/>
      <c r="Y661" s="48"/>
      <c r="Z661" s="48"/>
      <c r="AA661" s="57"/>
      <c r="AB661" s="58"/>
      <c r="AC661" s="58"/>
      <c r="AD661" s="58"/>
    </row>
    <row r="662" spans="1:37" x14ac:dyDescent="0.3">
      <c r="A662" s="59">
        <f>A661+1</f>
        <v>469</v>
      </c>
      <c r="B662" s="66" t="s">
        <v>2717</v>
      </c>
      <c r="C662" s="51">
        <f>D662+K662+L662+N662+P662+R662+S662+U662+V662+W662</f>
        <v>2702377.2</v>
      </c>
      <c r="D662" s="51">
        <f>E662+F662+G662+H662+I662</f>
        <v>2702377.2</v>
      </c>
      <c r="E662" s="51">
        <v>2002192.8</v>
      </c>
      <c r="F662" s="51"/>
      <c r="G662" s="51"/>
      <c r="H662" s="51"/>
      <c r="I662" s="51">
        <v>700184.4</v>
      </c>
      <c r="J662" s="82"/>
      <c r="K662" s="51"/>
      <c r="L662" s="51"/>
      <c r="M662" s="82"/>
      <c r="N662" s="51"/>
      <c r="O662" s="82"/>
      <c r="P662" s="51"/>
      <c r="Q662" s="338"/>
      <c r="R662" s="51"/>
      <c r="S662" s="51"/>
      <c r="T662" s="35"/>
      <c r="U662" s="51"/>
      <c r="V662" s="51"/>
      <c r="W662" s="364"/>
      <c r="X662" s="285"/>
      <c r="Y662" s="48"/>
      <c r="Z662" s="48"/>
      <c r="AA662" s="57"/>
      <c r="AB662" s="58"/>
      <c r="AC662" s="58"/>
      <c r="AD662" s="58"/>
    </row>
    <row r="663" spans="1:37" x14ac:dyDescent="0.3">
      <c r="A663" s="59">
        <f>A662+1</f>
        <v>470</v>
      </c>
      <c r="B663" s="66" t="s">
        <v>2718</v>
      </c>
      <c r="C663" s="51">
        <f>D663+K663+L663+N663+P663+R663+S663+U663+V663+W663</f>
        <v>1692098.4</v>
      </c>
      <c r="D663" s="51">
        <f>E663+F663+G663+H663+I663</f>
        <v>1692098.4</v>
      </c>
      <c r="E663" s="51">
        <v>1692098.4</v>
      </c>
      <c r="F663" s="51"/>
      <c r="G663" s="51"/>
      <c r="H663" s="51"/>
      <c r="I663" s="51"/>
      <c r="J663" s="82"/>
      <c r="K663" s="51"/>
      <c r="L663" s="51"/>
      <c r="M663" s="82"/>
      <c r="N663" s="51"/>
      <c r="O663" s="82"/>
      <c r="P663" s="51"/>
      <c r="Q663" s="338"/>
      <c r="R663" s="51"/>
      <c r="S663" s="51"/>
      <c r="T663" s="35"/>
      <c r="U663" s="51"/>
      <c r="V663" s="51"/>
      <c r="W663" s="364"/>
      <c r="X663" s="285"/>
      <c r="Y663" s="48"/>
      <c r="Z663" s="48"/>
      <c r="AA663" s="57">
        <v>115125.12</v>
      </c>
      <c r="AB663" s="58"/>
      <c r="AC663" s="58"/>
      <c r="AD663" s="58"/>
    </row>
    <row r="664" spans="1:37" x14ac:dyDescent="0.3">
      <c r="A664" s="177" t="s">
        <v>211</v>
      </c>
      <c r="B664" s="177"/>
      <c r="C664" s="51">
        <f t="shared" ref="C664:W664" si="145">SUM(C660:C663)</f>
        <v>10653072.200000001</v>
      </c>
      <c r="D664" s="51">
        <f t="shared" si="145"/>
        <v>9927889.1999999993</v>
      </c>
      <c r="E664" s="51">
        <f t="shared" si="145"/>
        <v>6550274.4000000004</v>
      </c>
      <c r="F664" s="51">
        <f t="shared" si="145"/>
        <v>1867328.4</v>
      </c>
      <c r="G664" s="51">
        <f t="shared" si="145"/>
        <v>367722</v>
      </c>
      <c r="H664" s="51">
        <f t="shared" si="145"/>
        <v>0</v>
      </c>
      <c r="I664" s="51">
        <f t="shared" si="145"/>
        <v>1142564.3999999999</v>
      </c>
      <c r="J664" s="82">
        <f t="shared" si="145"/>
        <v>0</v>
      </c>
      <c r="K664" s="51">
        <f t="shared" si="145"/>
        <v>0</v>
      </c>
      <c r="L664" s="51">
        <f t="shared" si="145"/>
        <v>0</v>
      </c>
      <c r="M664" s="82">
        <f t="shared" si="145"/>
        <v>0</v>
      </c>
      <c r="N664" s="51">
        <f t="shared" si="145"/>
        <v>0</v>
      </c>
      <c r="O664" s="82">
        <f t="shared" si="145"/>
        <v>0</v>
      </c>
      <c r="P664" s="51">
        <f t="shared" si="145"/>
        <v>0</v>
      </c>
      <c r="Q664" s="338">
        <f t="shared" si="145"/>
        <v>0</v>
      </c>
      <c r="R664" s="51">
        <f t="shared" si="145"/>
        <v>0</v>
      </c>
      <c r="S664" s="51">
        <f t="shared" si="145"/>
        <v>0</v>
      </c>
      <c r="T664" s="35">
        <f t="shared" si="145"/>
        <v>0</v>
      </c>
      <c r="U664" s="51">
        <f t="shared" si="145"/>
        <v>0</v>
      </c>
      <c r="V664" s="51">
        <f t="shared" si="145"/>
        <v>725183</v>
      </c>
      <c r="W664" s="51">
        <f t="shared" si="145"/>
        <v>0</v>
      </c>
      <c r="X664" s="285"/>
      <c r="Y664" s="48"/>
      <c r="Z664" s="48"/>
      <c r="AA664" s="57"/>
      <c r="AB664" s="58"/>
      <c r="AC664" s="58"/>
      <c r="AD664" s="58"/>
    </row>
    <row r="665" spans="1:37" x14ac:dyDescent="0.3">
      <c r="A665" s="448" t="s">
        <v>2727</v>
      </c>
      <c r="B665" s="448"/>
      <c r="C665" s="51"/>
      <c r="D665" s="51"/>
      <c r="E665" s="51"/>
      <c r="F665" s="51"/>
      <c r="G665" s="51"/>
      <c r="H665" s="51"/>
      <c r="I665" s="51"/>
      <c r="J665" s="82"/>
      <c r="K665" s="51"/>
      <c r="L665" s="51"/>
      <c r="M665" s="82"/>
      <c r="N665" s="51"/>
      <c r="O665" s="82"/>
      <c r="P665" s="51"/>
      <c r="Q665" s="338"/>
      <c r="R665" s="51"/>
      <c r="S665" s="51"/>
      <c r="T665" s="35"/>
      <c r="U665" s="51"/>
      <c r="V665" s="51"/>
      <c r="W665" s="364"/>
      <c r="X665" s="285"/>
      <c r="Y665" s="48"/>
      <c r="Z665" s="48"/>
      <c r="AA665" s="61"/>
      <c r="AB665" s="62"/>
      <c r="AC665" s="62"/>
      <c r="AD665" s="58"/>
      <c r="AE665" s="56"/>
    </row>
    <row r="666" spans="1:37" x14ac:dyDescent="0.3">
      <c r="A666" s="59">
        <f>A663+1</f>
        <v>471</v>
      </c>
      <c r="B666" s="66" t="s">
        <v>2731</v>
      </c>
      <c r="C666" s="51">
        <f>D666+K666+L666+N666+P666+R666+S666+U666+V666+W666</f>
        <v>1562473.1800000002</v>
      </c>
      <c r="D666" s="51">
        <f>E666+F666+G666+H666+I666</f>
        <v>0</v>
      </c>
      <c r="E666" s="51"/>
      <c r="F666" s="51"/>
      <c r="G666" s="51"/>
      <c r="H666" s="51"/>
      <c r="I666" s="51"/>
      <c r="J666" s="82"/>
      <c r="K666" s="51"/>
      <c r="L666" s="51"/>
      <c r="M666" s="82"/>
      <c r="N666" s="51"/>
      <c r="O666" s="82"/>
      <c r="P666" s="51"/>
      <c r="Q666" s="338">
        <v>13</v>
      </c>
      <c r="R666" s="51">
        <v>182000</v>
      </c>
      <c r="S666" s="51"/>
      <c r="T666" s="35"/>
      <c r="U666" s="51"/>
      <c r="V666" s="51"/>
      <c r="W666" s="364">
        <f>SUM(Z666:AF666)</f>
        <v>1380473.1800000002</v>
      </c>
      <c r="X666" s="285"/>
      <c r="Y666" s="48"/>
      <c r="Z666" s="48">
        <v>335960.9</v>
      </c>
      <c r="AA666" s="61">
        <v>290923.61</v>
      </c>
      <c r="AB666" s="62">
        <v>753588.67</v>
      </c>
      <c r="AC666" s="62"/>
      <c r="AD666" s="58"/>
      <c r="AE666" s="56"/>
    </row>
    <row r="667" spans="1:37" x14ac:dyDescent="0.3">
      <c r="A667" s="449" t="s">
        <v>211</v>
      </c>
      <c r="B667" s="449"/>
      <c r="C667" s="51">
        <f t="shared" ref="C667:W667" si="146">SUM(C666:C666)</f>
        <v>1562473.1800000002</v>
      </c>
      <c r="D667" s="51">
        <f t="shared" si="146"/>
        <v>0</v>
      </c>
      <c r="E667" s="51">
        <f t="shared" si="146"/>
        <v>0</v>
      </c>
      <c r="F667" s="51">
        <f t="shared" si="146"/>
        <v>0</v>
      </c>
      <c r="G667" s="51">
        <f t="shared" si="146"/>
        <v>0</v>
      </c>
      <c r="H667" s="51">
        <f t="shared" si="146"/>
        <v>0</v>
      </c>
      <c r="I667" s="51">
        <f t="shared" si="146"/>
        <v>0</v>
      </c>
      <c r="J667" s="82">
        <f t="shared" si="146"/>
        <v>0</v>
      </c>
      <c r="K667" s="51">
        <f t="shared" si="146"/>
        <v>0</v>
      </c>
      <c r="L667" s="51">
        <f t="shared" si="146"/>
        <v>0</v>
      </c>
      <c r="M667" s="82">
        <f t="shared" si="146"/>
        <v>0</v>
      </c>
      <c r="N667" s="51">
        <f t="shared" si="146"/>
        <v>0</v>
      </c>
      <c r="O667" s="82">
        <f t="shared" si="146"/>
        <v>0</v>
      </c>
      <c r="P667" s="51">
        <f t="shared" si="146"/>
        <v>0</v>
      </c>
      <c r="Q667" s="338">
        <f t="shared" si="146"/>
        <v>13</v>
      </c>
      <c r="R667" s="51">
        <f t="shared" si="146"/>
        <v>182000</v>
      </c>
      <c r="S667" s="51">
        <f t="shared" si="146"/>
        <v>0</v>
      </c>
      <c r="T667" s="35">
        <f t="shared" si="146"/>
        <v>0</v>
      </c>
      <c r="U667" s="51">
        <f t="shared" si="146"/>
        <v>0</v>
      </c>
      <c r="V667" s="51">
        <f t="shared" si="146"/>
        <v>0</v>
      </c>
      <c r="W667" s="51">
        <f t="shared" si="146"/>
        <v>1380473.1800000002</v>
      </c>
      <c r="X667" s="285"/>
      <c r="Y667" s="48"/>
      <c r="Z667" s="48"/>
      <c r="AA667" s="61"/>
      <c r="AB667" s="62"/>
      <c r="AC667" s="62"/>
      <c r="AD667" s="58"/>
      <c r="AE667" s="56"/>
    </row>
    <row r="668" spans="1:37" x14ac:dyDescent="0.3">
      <c r="A668" s="167" t="s">
        <v>2741</v>
      </c>
      <c r="B668" s="167"/>
      <c r="C668" s="51">
        <f>C664+C667</f>
        <v>12215545.380000001</v>
      </c>
      <c r="D668" s="51">
        <f t="shared" ref="D668:W668" si="147">D664+D667</f>
        <v>9927889.1999999993</v>
      </c>
      <c r="E668" s="51">
        <f t="shared" si="147"/>
        <v>6550274.4000000004</v>
      </c>
      <c r="F668" s="51">
        <f t="shared" si="147"/>
        <v>1867328.4</v>
      </c>
      <c r="G668" s="51">
        <f t="shared" si="147"/>
        <v>367722</v>
      </c>
      <c r="H668" s="51">
        <f t="shared" si="147"/>
        <v>0</v>
      </c>
      <c r="I668" s="51">
        <f t="shared" si="147"/>
        <v>1142564.3999999999</v>
      </c>
      <c r="J668" s="82">
        <f t="shared" si="147"/>
        <v>0</v>
      </c>
      <c r="K668" s="51">
        <f t="shared" si="147"/>
        <v>0</v>
      </c>
      <c r="L668" s="51">
        <f t="shared" si="147"/>
        <v>0</v>
      </c>
      <c r="M668" s="82">
        <f t="shared" si="147"/>
        <v>0</v>
      </c>
      <c r="N668" s="51">
        <f t="shared" si="147"/>
        <v>0</v>
      </c>
      <c r="O668" s="82">
        <f t="shared" si="147"/>
        <v>0</v>
      </c>
      <c r="P668" s="51">
        <f t="shared" si="147"/>
        <v>0</v>
      </c>
      <c r="Q668" s="338">
        <f t="shared" si="147"/>
        <v>13</v>
      </c>
      <c r="R668" s="51">
        <f t="shared" si="147"/>
        <v>182000</v>
      </c>
      <c r="S668" s="51">
        <f t="shared" si="147"/>
        <v>0</v>
      </c>
      <c r="T668" s="35">
        <f t="shared" si="147"/>
        <v>0</v>
      </c>
      <c r="U668" s="51">
        <f t="shared" si="147"/>
        <v>0</v>
      </c>
      <c r="V668" s="51">
        <f t="shared" si="147"/>
        <v>725183</v>
      </c>
      <c r="W668" s="51">
        <f t="shared" si="147"/>
        <v>1380473.1800000002</v>
      </c>
      <c r="X668" s="285"/>
      <c r="Y668" s="48"/>
      <c r="Z668" s="48"/>
      <c r="AA668" s="61"/>
      <c r="AB668" s="62"/>
      <c r="AC668" s="62"/>
      <c r="AD668" s="58"/>
    </row>
    <row r="669" spans="1:37" x14ac:dyDescent="0.3">
      <c r="A669" s="63" t="s">
        <v>2744</v>
      </c>
      <c r="B669" s="176"/>
      <c r="C669" s="363"/>
      <c r="D669" s="363"/>
      <c r="E669" s="363"/>
      <c r="F669" s="363"/>
      <c r="G669" s="363"/>
      <c r="H669" s="363"/>
      <c r="I669" s="363"/>
      <c r="J669" s="391"/>
      <c r="K669" s="363"/>
      <c r="L669" s="363"/>
      <c r="M669" s="391"/>
      <c r="N669" s="363"/>
      <c r="O669" s="391"/>
      <c r="P669" s="363"/>
      <c r="Q669" s="392"/>
      <c r="R669" s="363"/>
      <c r="S669" s="363"/>
      <c r="T669" s="393"/>
      <c r="U669" s="363"/>
      <c r="V669" s="363"/>
      <c r="W669" s="363"/>
      <c r="X669" s="9"/>
      <c r="Y669" s="9"/>
      <c r="Z669" s="9"/>
      <c r="AA669" s="9"/>
      <c r="AB669" s="9"/>
      <c r="AC669" s="9"/>
      <c r="AD669" s="40"/>
      <c r="AE669" s="56"/>
      <c r="AF669" s="56"/>
      <c r="AG669" s="56"/>
      <c r="AH669" s="56"/>
    </row>
    <row r="670" spans="1:37" x14ac:dyDescent="0.3">
      <c r="A670" s="176" t="s">
        <v>2745</v>
      </c>
      <c r="B670" s="176"/>
      <c r="C670" s="387"/>
      <c r="D670" s="387"/>
      <c r="E670" s="387"/>
      <c r="F670" s="387"/>
      <c r="G670" s="387"/>
      <c r="H670" s="387"/>
      <c r="I670" s="387"/>
      <c r="J670" s="388"/>
      <c r="K670" s="387"/>
      <c r="L670" s="387"/>
      <c r="M670" s="388"/>
      <c r="N670" s="387"/>
      <c r="O670" s="388"/>
      <c r="P670" s="387"/>
      <c r="Q670" s="389"/>
      <c r="R670" s="387"/>
      <c r="S670" s="387"/>
      <c r="T670" s="390"/>
      <c r="U670" s="387"/>
      <c r="V670" s="387"/>
      <c r="W670" s="387"/>
      <c r="X670" s="9"/>
      <c r="Y670" s="9"/>
      <c r="Z670" s="9"/>
      <c r="AA670" s="9"/>
      <c r="AB670" s="9"/>
      <c r="AC670" s="9"/>
      <c r="AD670" s="40"/>
      <c r="AE670" s="56"/>
      <c r="AF670" s="56"/>
      <c r="AG670" s="56"/>
      <c r="AH670" s="56"/>
    </row>
    <row r="671" spans="1:37" x14ac:dyDescent="0.3">
      <c r="A671" s="59">
        <f>A666+1</f>
        <v>472</v>
      </c>
      <c r="B671" s="66" t="s">
        <v>2746</v>
      </c>
      <c r="C671" s="51">
        <f>D671+K671+L671+N671+P671+R671+S671+U671+V671+W671</f>
        <v>765113.9</v>
      </c>
      <c r="D671" s="51">
        <f>E671+F671+G671+H671+I671</f>
        <v>0</v>
      </c>
      <c r="E671" s="51"/>
      <c r="F671" s="51"/>
      <c r="G671" s="51"/>
      <c r="H671" s="51"/>
      <c r="I671" s="51"/>
      <c r="J671" s="82"/>
      <c r="K671" s="51"/>
      <c r="L671" s="51"/>
      <c r="M671" s="82"/>
      <c r="N671" s="51"/>
      <c r="O671" s="82"/>
      <c r="P671" s="51"/>
      <c r="Q671" s="338"/>
      <c r="R671" s="51"/>
      <c r="S671" s="51"/>
      <c r="T671" s="35"/>
      <c r="U671" s="51"/>
      <c r="V671" s="51"/>
      <c r="W671" s="399">
        <v>765113.9</v>
      </c>
      <c r="X671" s="9"/>
      <c r="Y671" s="9"/>
      <c r="Z671" s="9"/>
      <c r="AA671" s="9"/>
      <c r="AB671" s="9"/>
      <c r="AC671" s="9"/>
      <c r="AD671" s="40"/>
      <c r="AE671" s="56">
        <v>765113.9</v>
      </c>
      <c r="AF671" s="56"/>
      <c r="AG671" s="56"/>
      <c r="AH671" s="56"/>
    </row>
    <row r="672" spans="1:37" x14ac:dyDescent="0.3">
      <c r="A672" s="177" t="s">
        <v>211</v>
      </c>
      <c r="B672" s="177"/>
      <c r="C672" s="51">
        <f t="shared" ref="C672:R672" si="148">SUM(C671:C671)</f>
        <v>765113.9</v>
      </c>
      <c r="D672" s="51">
        <f t="shared" si="148"/>
        <v>0</v>
      </c>
      <c r="E672" s="51">
        <f t="shared" si="148"/>
        <v>0</v>
      </c>
      <c r="F672" s="51">
        <f t="shared" si="148"/>
        <v>0</v>
      </c>
      <c r="G672" s="51">
        <f t="shared" si="148"/>
        <v>0</v>
      </c>
      <c r="H672" s="51">
        <f t="shared" si="148"/>
        <v>0</v>
      </c>
      <c r="I672" s="51">
        <f t="shared" si="148"/>
        <v>0</v>
      </c>
      <c r="J672" s="82">
        <f t="shared" si="148"/>
        <v>0</v>
      </c>
      <c r="K672" s="51">
        <f t="shared" si="148"/>
        <v>0</v>
      </c>
      <c r="L672" s="51">
        <f t="shared" si="148"/>
        <v>0</v>
      </c>
      <c r="M672" s="82">
        <f t="shared" si="148"/>
        <v>0</v>
      </c>
      <c r="N672" s="51">
        <f t="shared" si="148"/>
        <v>0</v>
      </c>
      <c r="O672" s="82">
        <f t="shared" si="148"/>
        <v>0</v>
      </c>
      <c r="P672" s="51">
        <f t="shared" si="148"/>
        <v>0</v>
      </c>
      <c r="Q672" s="338">
        <f t="shared" si="148"/>
        <v>0</v>
      </c>
      <c r="R672" s="51">
        <f t="shared" si="148"/>
        <v>0</v>
      </c>
      <c r="S672" s="51">
        <f>SUM(S671:S671)</f>
        <v>0</v>
      </c>
      <c r="T672" s="35">
        <f>SUM(T671:T671)</f>
        <v>0</v>
      </c>
      <c r="U672" s="51">
        <f>SUM(U671:U671)</f>
        <v>0</v>
      </c>
      <c r="V672" s="51">
        <f>SUM(V671:V671)</f>
        <v>0</v>
      </c>
      <c r="W672" s="51">
        <f>SUM(W671:W671)</f>
        <v>765113.9</v>
      </c>
      <c r="X672" s="9"/>
      <c r="Y672" s="9"/>
      <c r="Z672" s="9"/>
      <c r="AA672" s="9"/>
      <c r="AB672" s="9"/>
      <c r="AC672" s="9"/>
      <c r="AD672" s="40"/>
      <c r="AE672" s="56"/>
      <c r="AF672" s="56"/>
      <c r="AG672" s="56"/>
      <c r="AH672" s="56"/>
    </row>
    <row r="673" spans="1:34" ht="18.75" customHeight="1" x14ac:dyDescent="0.3">
      <c r="A673" s="303" t="s">
        <v>3915</v>
      </c>
      <c r="B673" s="66"/>
      <c r="C673" s="51"/>
      <c r="D673" s="51"/>
      <c r="E673" s="51"/>
      <c r="F673" s="51"/>
      <c r="G673" s="51"/>
      <c r="H673" s="51"/>
      <c r="I673" s="51"/>
      <c r="J673" s="82"/>
      <c r="K673" s="51"/>
      <c r="L673" s="51"/>
      <c r="M673" s="82"/>
      <c r="N673" s="51"/>
      <c r="O673" s="82"/>
      <c r="P673" s="51"/>
      <c r="Q673" s="338"/>
      <c r="R673" s="51"/>
      <c r="S673" s="51"/>
      <c r="T673" s="35"/>
      <c r="U673" s="51"/>
      <c r="V673" s="51"/>
      <c r="W673" s="51"/>
      <c r="X673" s="9"/>
      <c r="Y673" s="9"/>
      <c r="Z673" s="9"/>
      <c r="AA673" s="9"/>
      <c r="AB673" s="9"/>
      <c r="AC673" s="9"/>
      <c r="AD673" s="40"/>
      <c r="AE673" s="56"/>
      <c r="AF673" s="56"/>
      <c r="AG673" s="56"/>
      <c r="AH673" s="56"/>
    </row>
    <row r="674" spans="1:34" x14ac:dyDescent="0.3">
      <c r="A674" s="59">
        <f>A671+1</f>
        <v>473</v>
      </c>
      <c r="B674" s="66" t="s">
        <v>3916</v>
      </c>
      <c r="C674" s="51">
        <f>D674+K674+L674+N674+P674+R674+S674+U674+V674+W674</f>
        <v>130000</v>
      </c>
      <c r="D674" s="51">
        <f>E674+F674+G674+H674+I674</f>
        <v>0</v>
      </c>
      <c r="E674" s="51"/>
      <c r="F674" s="51"/>
      <c r="G674" s="51"/>
      <c r="H674" s="51"/>
      <c r="I674" s="51"/>
      <c r="J674" s="82"/>
      <c r="K674" s="51"/>
      <c r="L674" s="51"/>
      <c r="M674" s="82"/>
      <c r="N674" s="51"/>
      <c r="O674" s="82"/>
      <c r="P674" s="51"/>
      <c r="Q674" s="338"/>
      <c r="R674" s="51"/>
      <c r="S674" s="51"/>
      <c r="T674" s="35"/>
      <c r="U674" s="51"/>
      <c r="V674" s="51"/>
      <c r="W674" s="51">
        <v>130000</v>
      </c>
      <c r="X674" s="9"/>
      <c r="Y674" s="9"/>
      <c r="Z674" s="9"/>
      <c r="AA674" s="9"/>
      <c r="AB674" s="9"/>
      <c r="AC674" s="9"/>
      <c r="AD674" s="40"/>
      <c r="AE674" s="56"/>
      <c r="AF674" s="56"/>
      <c r="AG674" s="56"/>
      <c r="AH674" s="56"/>
    </row>
    <row r="675" spans="1:34" x14ac:dyDescent="0.3">
      <c r="A675" s="177" t="s">
        <v>211</v>
      </c>
      <c r="B675" s="177"/>
      <c r="C675" s="51">
        <f t="shared" ref="C675:W675" si="149">C674</f>
        <v>130000</v>
      </c>
      <c r="D675" s="51">
        <f t="shared" si="149"/>
        <v>0</v>
      </c>
      <c r="E675" s="51">
        <f t="shared" si="149"/>
        <v>0</v>
      </c>
      <c r="F675" s="51">
        <f t="shared" si="149"/>
        <v>0</v>
      </c>
      <c r="G675" s="51">
        <f t="shared" si="149"/>
        <v>0</v>
      </c>
      <c r="H675" s="51">
        <f t="shared" si="149"/>
        <v>0</v>
      </c>
      <c r="I675" s="51">
        <f t="shared" si="149"/>
        <v>0</v>
      </c>
      <c r="J675" s="82">
        <f t="shared" si="149"/>
        <v>0</v>
      </c>
      <c r="K675" s="51">
        <f t="shared" si="149"/>
        <v>0</v>
      </c>
      <c r="L675" s="51">
        <f t="shared" si="149"/>
        <v>0</v>
      </c>
      <c r="M675" s="82">
        <f t="shared" si="149"/>
        <v>0</v>
      </c>
      <c r="N675" s="51">
        <f t="shared" si="149"/>
        <v>0</v>
      </c>
      <c r="O675" s="82">
        <f t="shared" si="149"/>
        <v>0</v>
      </c>
      <c r="P675" s="51">
        <f t="shared" si="149"/>
        <v>0</v>
      </c>
      <c r="Q675" s="338">
        <f t="shared" si="149"/>
        <v>0</v>
      </c>
      <c r="R675" s="51">
        <f t="shared" si="149"/>
        <v>0</v>
      </c>
      <c r="S675" s="51">
        <f t="shared" si="149"/>
        <v>0</v>
      </c>
      <c r="T675" s="35">
        <f t="shared" si="149"/>
        <v>0</v>
      </c>
      <c r="U675" s="51">
        <f t="shared" si="149"/>
        <v>0</v>
      </c>
      <c r="V675" s="51">
        <f t="shared" si="149"/>
        <v>0</v>
      </c>
      <c r="W675" s="51">
        <f t="shared" si="149"/>
        <v>130000</v>
      </c>
      <c r="X675" s="9"/>
      <c r="Y675" s="9"/>
      <c r="Z675" s="9"/>
      <c r="AA675" s="9"/>
      <c r="AB675" s="9"/>
      <c r="AC675" s="9"/>
      <c r="AD675" s="40"/>
      <c r="AE675" s="56"/>
      <c r="AF675" s="56"/>
      <c r="AG675" s="56"/>
      <c r="AH675" s="56"/>
    </row>
    <row r="676" spans="1:34" x14ac:dyDescent="0.3">
      <c r="A676" s="176" t="s">
        <v>2755</v>
      </c>
      <c r="B676" s="176"/>
      <c r="C676" s="51"/>
      <c r="D676" s="51"/>
      <c r="E676" s="51"/>
      <c r="F676" s="51"/>
      <c r="G676" s="51"/>
      <c r="H676" s="51"/>
      <c r="I676" s="51"/>
      <c r="J676" s="82"/>
      <c r="K676" s="51"/>
      <c r="L676" s="51"/>
      <c r="M676" s="82"/>
      <c r="N676" s="51"/>
      <c r="O676" s="82"/>
      <c r="P676" s="51"/>
      <c r="Q676" s="338"/>
      <c r="R676" s="51"/>
      <c r="S676" s="51"/>
      <c r="T676" s="35"/>
      <c r="U676" s="51"/>
      <c r="V676" s="51"/>
      <c r="W676" s="364"/>
      <c r="X676" s="9"/>
      <c r="Y676" s="9"/>
      <c r="Z676" s="9"/>
      <c r="AA676" s="9"/>
      <c r="AB676" s="9"/>
      <c r="AC676" s="9"/>
      <c r="AD676" s="40"/>
      <c r="AE676" s="56"/>
      <c r="AF676" s="56"/>
      <c r="AG676" s="56"/>
      <c r="AH676" s="56"/>
    </row>
    <row r="677" spans="1:34" x14ac:dyDescent="0.3">
      <c r="A677" s="59">
        <f>A674+1</f>
        <v>474</v>
      </c>
      <c r="B677" s="66" t="s">
        <v>2758</v>
      </c>
      <c r="C677" s="51">
        <f>D677+K677+L677+N677+P677+R677+S677+U677+V677+W677</f>
        <v>2377029.6</v>
      </c>
      <c r="D677" s="51">
        <f>E677+F677+G677+H677+I677</f>
        <v>0</v>
      </c>
      <c r="E677" s="51"/>
      <c r="F677" s="51"/>
      <c r="G677" s="51"/>
      <c r="H677" s="51"/>
      <c r="I677" s="51"/>
      <c r="J677" s="82"/>
      <c r="K677" s="51"/>
      <c r="L677" s="51"/>
      <c r="M677" s="82">
        <v>525.29999999999995</v>
      </c>
      <c r="N677" s="51">
        <v>2377029.6</v>
      </c>
      <c r="O677" s="82"/>
      <c r="P677" s="51"/>
      <c r="Q677" s="338"/>
      <c r="R677" s="51"/>
      <c r="S677" s="51"/>
      <c r="T677" s="35"/>
      <c r="U677" s="51"/>
      <c r="V677" s="51"/>
      <c r="W677" s="364"/>
      <c r="X677" s="9"/>
      <c r="Y677" s="9"/>
      <c r="Z677" s="9"/>
      <c r="AA677" s="9"/>
      <c r="AB677" s="9"/>
      <c r="AC677" s="9"/>
      <c r="AD677" s="40"/>
      <c r="AE677" s="56"/>
      <c r="AF677" s="56"/>
      <c r="AG677" s="56"/>
      <c r="AH677" s="56"/>
    </row>
    <row r="678" spans="1:34" x14ac:dyDescent="0.3">
      <c r="A678" s="59">
        <f>A677+1</f>
        <v>475</v>
      </c>
      <c r="B678" s="66" t="s">
        <v>2759</v>
      </c>
      <c r="C678" s="51">
        <f>D678+K678+L678+N678+P678+R678+S678+U678+V678+W678</f>
        <v>130000</v>
      </c>
      <c r="D678" s="51">
        <f>E678+F678+G678+H678+I678</f>
        <v>0</v>
      </c>
      <c r="E678" s="51"/>
      <c r="F678" s="51"/>
      <c r="G678" s="51"/>
      <c r="H678" s="51"/>
      <c r="I678" s="51"/>
      <c r="J678" s="82"/>
      <c r="K678" s="51"/>
      <c r="L678" s="51"/>
      <c r="M678" s="82"/>
      <c r="N678" s="51"/>
      <c r="O678" s="82"/>
      <c r="P678" s="51"/>
      <c r="Q678" s="338"/>
      <c r="R678" s="51"/>
      <c r="S678" s="51"/>
      <c r="T678" s="35"/>
      <c r="U678" s="51"/>
      <c r="V678" s="51"/>
      <c r="W678" s="364">
        <v>130000</v>
      </c>
      <c r="X678" s="9"/>
      <c r="Y678" s="9"/>
      <c r="Z678" s="9"/>
      <c r="AA678" s="9"/>
      <c r="AB678" s="9"/>
      <c r="AC678" s="9"/>
      <c r="AD678" s="40"/>
      <c r="AE678" s="56"/>
      <c r="AF678" s="56"/>
      <c r="AG678" s="56"/>
      <c r="AH678" s="56"/>
    </row>
    <row r="679" spans="1:34" x14ac:dyDescent="0.3">
      <c r="A679" s="177" t="s">
        <v>211</v>
      </c>
      <c r="B679" s="177"/>
      <c r="C679" s="51">
        <f t="shared" ref="C679:R679" si="150">SUM(C677:C678)</f>
        <v>2507029.6</v>
      </c>
      <c r="D679" s="51">
        <f t="shared" si="150"/>
        <v>0</v>
      </c>
      <c r="E679" s="51">
        <f t="shared" si="150"/>
        <v>0</v>
      </c>
      <c r="F679" s="51">
        <f t="shared" si="150"/>
        <v>0</v>
      </c>
      <c r="G679" s="51">
        <f t="shared" si="150"/>
        <v>0</v>
      </c>
      <c r="H679" s="51">
        <f t="shared" si="150"/>
        <v>0</v>
      </c>
      <c r="I679" s="51">
        <f t="shared" si="150"/>
        <v>0</v>
      </c>
      <c r="J679" s="82">
        <f t="shared" si="150"/>
        <v>0</v>
      </c>
      <c r="K679" s="51">
        <f t="shared" si="150"/>
        <v>0</v>
      </c>
      <c r="L679" s="51">
        <f t="shared" si="150"/>
        <v>0</v>
      </c>
      <c r="M679" s="82">
        <f t="shared" si="150"/>
        <v>525.29999999999995</v>
      </c>
      <c r="N679" s="51">
        <f t="shared" si="150"/>
        <v>2377029.6</v>
      </c>
      <c r="O679" s="82">
        <f t="shared" si="150"/>
        <v>0</v>
      </c>
      <c r="P679" s="51">
        <f t="shared" si="150"/>
        <v>0</v>
      </c>
      <c r="Q679" s="338">
        <f t="shared" si="150"/>
        <v>0</v>
      </c>
      <c r="R679" s="51">
        <f t="shared" si="150"/>
        <v>0</v>
      </c>
      <c r="S679" s="51">
        <f>SUM(S677:S678)</f>
        <v>0</v>
      </c>
      <c r="T679" s="35">
        <f>SUM(T677:T678)</f>
        <v>0</v>
      </c>
      <c r="U679" s="51">
        <f>SUM(U677:U678)</f>
        <v>0</v>
      </c>
      <c r="V679" s="51">
        <f>SUM(V677:V678)</f>
        <v>0</v>
      </c>
      <c r="W679" s="51">
        <f>SUM(W677:W678)</f>
        <v>130000</v>
      </c>
      <c r="X679" s="9"/>
      <c r="Y679" s="9"/>
      <c r="Z679" s="9"/>
      <c r="AA679" s="9"/>
      <c r="AB679" s="9"/>
      <c r="AC679" s="9"/>
      <c r="AD679" s="40"/>
      <c r="AE679" s="56"/>
      <c r="AF679" s="56"/>
      <c r="AG679" s="56"/>
      <c r="AH679" s="56"/>
    </row>
    <row r="680" spans="1:34" x14ac:dyDescent="0.3">
      <c r="A680" s="176" t="s">
        <v>2765</v>
      </c>
      <c r="B680" s="176"/>
      <c r="C680" s="51"/>
      <c r="D680" s="51"/>
      <c r="E680" s="51"/>
      <c r="F680" s="51"/>
      <c r="G680" s="51"/>
      <c r="H680" s="51"/>
      <c r="I680" s="51"/>
      <c r="J680" s="82"/>
      <c r="K680" s="51"/>
      <c r="L680" s="51"/>
      <c r="M680" s="82"/>
      <c r="N680" s="51"/>
      <c r="O680" s="82"/>
      <c r="P680" s="51"/>
      <c r="Q680" s="338"/>
      <c r="R680" s="51"/>
      <c r="S680" s="51"/>
      <c r="T680" s="35"/>
      <c r="U680" s="51"/>
      <c r="V680" s="51"/>
      <c r="W680" s="364"/>
      <c r="X680" s="9"/>
      <c r="Y680" s="9"/>
      <c r="Z680" s="9"/>
      <c r="AA680" s="9"/>
      <c r="AB680" s="9"/>
      <c r="AC680" s="9"/>
      <c r="AD680" s="40"/>
      <c r="AE680" s="56"/>
      <c r="AF680" s="56"/>
      <c r="AG680" s="56"/>
      <c r="AH680" s="56"/>
    </row>
    <row r="681" spans="1:34" x14ac:dyDescent="0.3">
      <c r="A681" s="59">
        <f>A678+1</f>
        <v>476</v>
      </c>
      <c r="B681" s="66" t="s">
        <v>2775</v>
      </c>
      <c r="C681" s="51">
        <f>D681+K681+L681+N681+P681+R681+S681+U681+V681+W681</f>
        <v>737712</v>
      </c>
      <c r="D681" s="51">
        <f>E681+F681+G681+H681+I681</f>
        <v>737712</v>
      </c>
      <c r="E681" s="51">
        <v>737712</v>
      </c>
      <c r="F681" s="51"/>
      <c r="G681" s="51"/>
      <c r="H681" s="51"/>
      <c r="I681" s="51"/>
      <c r="J681" s="82"/>
      <c r="K681" s="51"/>
      <c r="L681" s="51"/>
      <c r="M681" s="82"/>
      <c r="N681" s="51"/>
      <c r="O681" s="82"/>
      <c r="P681" s="51"/>
      <c r="Q681" s="338"/>
      <c r="R681" s="51"/>
      <c r="S681" s="51"/>
      <c r="T681" s="35"/>
      <c r="U681" s="51"/>
      <c r="V681" s="51"/>
      <c r="W681" s="364"/>
      <c r="X681" s="9"/>
      <c r="Y681" s="9"/>
      <c r="Z681" s="9"/>
      <c r="AA681" s="9"/>
      <c r="AB681" s="9"/>
      <c r="AC681" s="9"/>
      <c r="AD681" s="40"/>
      <c r="AE681" s="56"/>
      <c r="AF681" s="56"/>
      <c r="AG681" s="56"/>
      <c r="AH681" s="56"/>
    </row>
    <row r="682" spans="1:34" x14ac:dyDescent="0.3">
      <c r="A682" s="59">
        <f>A681+1</f>
        <v>477</v>
      </c>
      <c r="B682" s="66" t="s">
        <v>2776</v>
      </c>
      <c r="C682" s="51">
        <f>D682+K682+L682+N682+P682+R682+S682+U682+V682+W682</f>
        <v>364813.2</v>
      </c>
      <c r="D682" s="51">
        <f>E682+F682+G682+H682+I682</f>
        <v>364813.2</v>
      </c>
      <c r="E682" s="51">
        <v>364813.2</v>
      </c>
      <c r="F682" s="51"/>
      <c r="G682" s="51"/>
      <c r="H682" s="51"/>
      <c r="I682" s="51"/>
      <c r="J682" s="82"/>
      <c r="K682" s="51"/>
      <c r="L682" s="51"/>
      <c r="M682" s="82"/>
      <c r="N682" s="51"/>
      <c r="O682" s="82"/>
      <c r="P682" s="51"/>
      <c r="Q682" s="338"/>
      <c r="R682" s="51"/>
      <c r="S682" s="51"/>
      <c r="T682" s="35"/>
      <c r="U682" s="51"/>
      <c r="V682" s="51"/>
      <c r="W682" s="364"/>
      <c r="X682" s="9"/>
      <c r="Y682" s="9"/>
      <c r="Z682" s="9"/>
      <c r="AA682" s="9"/>
      <c r="AB682" s="9"/>
      <c r="AC682" s="9"/>
      <c r="AD682" s="40"/>
      <c r="AE682" s="56"/>
      <c r="AF682" s="56"/>
      <c r="AG682" s="56"/>
      <c r="AH682" s="56"/>
    </row>
    <row r="683" spans="1:34" x14ac:dyDescent="0.3">
      <c r="A683" s="177" t="s">
        <v>211</v>
      </c>
      <c r="B683" s="177"/>
      <c r="C683" s="51">
        <f t="shared" ref="C683:R683" si="151">SUM(C681:C682)</f>
        <v>1102525.2</v>
      </c>
      <c r="D683" s="51">
        <f t="shared" si="151"/>
        <v>1102525.2</v>
      </c>
      <c r="E683" s="51">
        <f t="shared" si="151"/>
        <v>1102525.2</v>
      </c>
      <c r="F683" s="51">
        <f t="shared" si="151"/>
        <v>0</v>
      </c>
      <c r="G683" s="51">
        <f t="shared" si="151"/>
        <v>0</v>
      </c>
      <c r="H683" s="51">
        <f t="shared" si="151"/>
        <v>0</v>
      </c>
      <c r="I683" s="51">
        <f t="shared" si="151"/>
        <v>0</v>
      </c>
      <c r="J683" s="82">
        <f t="shared" si="151"/>
        <v>0</v>
      </c>
      <c r="K683" s="51">
        <f t="shared" si="151"/>
        <v>0</v>
      </c>
      <c r="L683" s="51">
        <f t="shared" si="151"/>
        <v>0</v>
      </c>
      <c r="M683" s="82">
        <f t="shared" si="151"/>
        <v>0</v>
      </c>
      <c r="N683" s="51">
        <f t="shared" si="151"/>
        <v>0</v>
      </c>
      <c r="O683" s="82">
        <f t="shared" si="151"/>
        <v>0</v>
      </c>
      <c r="P683" s="51">
        <f t="shared" si="151"/>
        <v>0</v>
      </c>
      <c r="Q683" s="338">
        <f t="shared" si="151"/>
        <v>0</v>
      </c>
      <c r="R683" s="51">
        <f t="shared" si="151"/>
        <v>0</v>
      </c>
      <c r="S683" s="51">
        <f>SUM(S681:S682)</f>
        <v>0</v>
      </c>
      <c r="T683" s="35">
        <f>SUM(T681:T682)</f>
        <v>0</v>
      </c>
      <c r="U683" s="51">
        <f>SUM(U681:U682)</f>
        <v>0</v>
      </c>
      <c r="V683" s="51">
        <f>SUM(V681:V682)</f>
        <v>0</v>
      </c>
      <c r="W683" s="51">
        <f>SUM(W681:W682)</f>
        <v>0</v>
      </c>
      <c r="X683" s="9"/>
      <c r="Y683" s="9"/>
      <c r="Z683" s="9"/>
      <c r="AA683" s="9"/>
      <c r="AB683" s="9"/>
      <c r="AC683" s="9"/>
      <c r="AD683" s="40"/>
      <c r="AE683" s="56"/>
      <c r="AF683" s="56"/>
      <c r="AG683" s="56"/>
      <c r="AH683" s="56"/>
    </row>
    <row r="684" spans="1:34" x14ac:dyDescent="0.3">
      <c r="A684" s="176" t="s">
        <v>2816</v>
      </c>
      <c r="B684" s="176"/>
      <c r="C684" s="51"/>
      <c r="D684" s="51"/>
      <c r="E684" s="51"/>
      <c r="F684" s="51"/>
      <c r="G684" s="51"/>
      <c r="H684" s="51"/>
      <c r="I684" s="51"/>
      <c r="J684" s="82"/>
      <c r="K684" s="51"/>
      <c r="L684" s="51"/>
      <c r="M684" s="82"/>
      <c r="N684" s="51"/>
      <c r="O684" s="82"/>
      <c r="P684" s="51"/>
      <c r="Q684" s="338"/>
      <c r="R684" s="51"/>
      <c r="S684" s="51"/>
      <c r="T684" s="35"/>
      <c r="U684" s="51"/>
      <c r="V684" s="51"/>
      <c r="W684" s="364"/>
      <c r="X684" s="9"/>
      <c r="Y684" s="9"/>
      <c r="Z684" s="9"/>
      <c r="AA684" s="9"/>
      <c r="AB684" s="9"/>
      <c r="AC684" s="9"/>
      <c r="AD684" s="40"/>
      <c r="AE684" s="56"/>
      <c r="AF684" s="56"/>
      <c r="AG684" s="56"/>
      <c r="AH684" s="56"/>
    </row>
    <row r="685" spans="1:34" x14ac:dyDescent="0.3">
      <c r="A685" s="59">
        <f>A682+1</f>
        <v>478</v>
      </c>
      <c r="B685" s="66" t="s">
        <v>2822</v>
      </c>
      <c r="C685" s="51">
        <f>D685+K685+L685+N685+P685+R685+S685+U685+V685+W685</f>
        <v>602182.80000000005</v>
      </c>
      <c r="D685" s="51">
        <f>E685+F685+G685+H685+I685</f>
        <v>602182.80000000005</v>
      </c>
      <c r="E685" s="51">
        <v>602182.80000000005</v>
      </c>
      <c r="F685" s="51"/>
      <c r="G685" s="51"/>
      <c r="H685" s="51"/>
      <c r="I685" s="51"/>
      <c r="J685" s="82"/>
      <c r="K685" s="51"/>
      <c r="L685" s="51"/>
      <c r="M685" s="82"/>
      <c r="N685" s="51"/>
      <c r="O685" s="82"/>
      <c r="P685" s="51"/>
      <c r="Q685" s="338"/>
      <c r="R685" s="51"/>
      <c r="S685" s="51"/>
      <c r="T685" s="35"/>
      <c r="U685" s="51"/>
      <c r="V685" s="51"/>
      <c r="W685" s="364"/>
      <c r="X685" s="9"/>
      <c r="Y685" s="9"/>
      <c r="Z685" s="9"/>
      <c r="AA685" s="9"/>
      <c r="AB685" s="9">
        <v>108177.88</v>
      </c>
      <c r="AC685" s="9"/>
      <c r="AD685" s="40"/>
      <c r="AE685" s="56"/>
      <c r="AF685" s="56"/>
      <c r="AG685" s="56"/>
      <c r="AH685" s="56"/>
    </row>
    <row r="686" spans="1:34" x14ac:dyDescent="0.3">
      <c r="A686" s="59">
        <f>A685+1</f>
        <v>479</v>
      </c>
      <c r="B686" s="66" t="s">
        <v>2823</v>
      </c>
      <c r="C686" s="51">
        <f>D686+K686+L686+N686+P686+R686+S686+U686+V686+W686</f>
        <v>613724.4</v>
      </c>
      <c r="D686" s="51">
        <f>E686+F686+G686+H686+I686</f>
        <v>613724.4</v>
      </c>
      <c r="E686" s="51">
        <v>613724.4</v>
      </c>
      <c r="F686" s="51"/>
      <c r="G686" s="51"/>
      <c r="H686" s="51"/>
      <c r="I686" s="51"/>
      <c r="J686" s="82"/>
      <c r="K686" s="51"/>
      <c r="L686" s="51"/>
      <c r="M686" s="82"/>
      <c r="N686" s="51"/>
      <c r="O686" s="82"/>
      <c r="P686" s="51"/>
      <c r="Q686" s="338"/>
      <c r="R686" s="51"/>
      <c r="S686" s="51"/>
      <c r="T686" s="35"/>
      <c r="U686" s="51"/>
      <c r="V686" s="51"/>
      <c r="W686" s="364"/>
      <c r="X686" s="9"/>
      <c r="Y686" s="9"/>
      <c r="Z686" s="9"/>
      <c r="AA686" s="9"/>
      <c r="AB686" s="9">
        <v>106610.99</v>
      </c>
      <c r="AC686" s="9"/>
      <c r="AD686" s="40"/>
      <c r="AE686" s="56"/>
      <c r="AF686" s="56"/>
      <c r="AG686" s="56"/>
      <c r="AH686" s="56"/>
    </row>
    <row r="687" spans="1:34" x14ac:dyDescent="0.3">
      <c r="A687" s="177" t="s">
        <v>211</v>
      </c>
      <c r="B687" s="177"/>
      <c r="C687" s="51">
        <f t="shared" ref="C687:R687" si="152">SUM(C685:C686)</f>
        <v>1215907.2000000002</v>
      </c>
      <c r="D687" s="51">
        <f t="shared" si="152"/>
        <v>1215907.2000000002</v>
      </c>
      <c r="E687" s="51">
        <f t="shared" si="152"/>
        <v>1215907.2000000002</v>
      </c>
      <c r="F687" s="51">
        <f t="shared" si="152"/>
        <v>0</v>
      </c>
      <c r="G687" s="51">
        <f t="shared" si="152"/>
        <v>0</v>
      </c>
      <c r="H687" s="51">
        <f t="shared" si="152"/>
        <v>0</v>
      </c>
      <c r="I687" s="51">
        <f t="shared" si="152"/>
        <v>0</v>
      </c>
      <c r="J687" s="82">
        <f t="shared" si="152"/>
        <v>0</v>
      </c>
      <c r="K687" s="51">
        <f t="shared" si="152"/>
        <v>0</v>
      </c>
      <c r="L687" s="51">
        <f t="shared" si="152"/>
        <v>0</v>
      </c>
      <c r="M687" s="82">
        <f t="shared" si="152"/>
        <v>0</v>
      </c>
      <c r="N687" s="51">
        <f t="shared" si="152"/>
        <v>0</v>
      </c>
      <c r="O687" s="82">
        <f t="shared" si="152"/>
        <v>0</v>
      </c>
      <c r="P687" s="51">
        <f t="shared" si="152"/>
        <v>0</v>
      </c>
      <c r="Q687" s="338">
        <f t="shared" si="152"/>
        <v>0</v>
      </c>
      <c r="R687" s="51">
        <f t="shared" si="152"/>
        <v>0</v>
      </c>
      <c r="S687" s="51">
        <f>SUM(S685:S686)</f>
        <v>0</v>
      </c>
      <c r="T687" s="35">
        <f>SUM(T685:T686)</f>
        <v>0</v>
      </c>
      <c r="U687" s="51">
        <f>SUM(U685:U686)</f>
        <v>0</v>
      </c>
      <c r="V687" s="51">
        <f>SUM(V685:V686)</f>
        <v>0</v>
      </c>
      <c r="W687" s="51">
        <f>SUM(W685:W686)</f>
        <v>0</v>
      </c>
      <c r="X687" s="9"/>
      <c r="Y687" s="9"/>
      <c r="Z687" s="9"/>
      <c r="AA687" s="9"/>
      <c r="AB687" s="9"/>
      <c r="AC687" s="9"/>
      <c r="AD687" s="40"/>
      <c r="AE687" s="56"/>
      <c r="AF687" s="56"/>
      <c r="AG687" s="56"/>
      <c r="AH687" s="56"/>
    </row>
    <row r="688" spans="1:34" x14ac:dyDescent="0.3">
      <c r="A688" s="176" t="s">
        <v>2827</v>
      </c>
      <c r="B688" s="176"/>
      <c r="C688" s="51"/>
      <c r="D688" s="51"/>
      <c r="E688" s="51"/>
      <c r="F688" s="51"/>
      <c r="G688" s="51"/>
      <c r="H688" s="51"/>
      <c r="I688" s="51"/>
      <c r="J688" s="82"/>
      <c r="K688" s="51"/>
      <c r="L688" s="51"/>
      <c r="M688" s="82"/>
      <c r="N688" s="51"/>
      <c r="O688" s="82"/>
      <c r="P688" s="51"/>
      <c r="Q688" s="338"/>
      <c r="R688" s="51"/>
      <c r="S688" s="51"/>
      <c r="T688" s="35"/>
      <c r="U688" s="51"/>
      <c r="V688" s="51"/>
      <c r="W688" s="364"/>
      <c r="X688" s="9"/>
      <c r="Y688" s="9"/>
      <c r="Z688" s="9"/>
      <c r="AA688" s="9"/>
      <c r="AB688" s="9"/>
      <c r="AC688" s="9"/>
      <c r="AD688" s="40"/>
      <c r="AE688" s="56"/>
      <c r="AF688" s="56"/>
      <c r="AG688" s="56"/>
      <c r="AH688" s="56"/>
    </row>
    <row r="689" spans="1:41" x14ac:dyDescent="0.3">
      <c r="A689" s="59">
        <f>A686+1</f>
        <v>480</v>
      </c>
      <c r="B689" s="66" t="s">
        <v>2838</v>
      </c>
      <c r="C689" s="51">
        <f>D689+K689+L689+N689+P689+R689+S689+U689+V689+W689</f>
        <v>3797158.8</v>
      </c>
      <c r="D689" s="51">
        <f>E689+F689+G689+H689+I689</f>
        <v>0</v>
      </c>
      <c r="E689" s="51"/>
      <c r="F689" s="51"/>
      <c r="G689" s="51"/>
      <c r="H689" s="51"/>
      <c r="I689" s="51"/>
      <c r="J689" s="82"/>
      <c r="K689" s="51"/>
      <c r="L689" s="51"/>
      <c r="M689" s="82">
        <v>785</v>
      </c>
      <c r="N689" s="51">
        <v>3797158.8</v>
      </c>
      <c r="O689" s="82"/>
      <c r="P689" s="51"/>
      <c r="Q689" s="338"/>
      <c r="R689" s="51"/>
      <c r="S689" s="51"/>
      <c r="T689" s="35"/>
      <c r="U689" s="51"/>
      <c r="V689" s="51"/>
      <c r="W689" s="364"/>
      <c r="X689" s="9"/>
      <c r="Y689" s="9"/>
      <c r="Z689" s="9"/>
      <c r="AA689" s="9"/>
      <c r="AB689" s="9"/>
      <c r="AC689" s="9"/>
      <c r="AD689" s="40">
        <v>200521.82</v>
      </c>
      <c r="AE689" s="56"/>
      <c r="AF689" s="56"/>
      <c r="AG689" s="56"/>
      <c r="AH689" s="56"/>
    </row>
    <row r="690" spans="1:41" x14ac:dyDescent="0.3">
      <c r="A690" s="59">
        <f>A689+1</f>
        <v>481</v>
      </c>
      <c r="B690" s="66" t="s">
        <v>2839</v>
      </c>
      <c r="C690" s="51">
        <f>D690+K690+L690+N690+P690+R690+S690+U690+V690+W690</f>
        <v>3797158.8</v>
      </c>
      <c r="D690" s="51">
        <f>E690+F690+G690+H690+I690</f>
        <v>0</v>
      </c>
      <c r="E690" s="51"/>
      <c r="F690" s="51"/>
      <c r="G690" s="51"/>
      <c r="H690" s="51"/>
      <c r="I690" s="51"/>
      <c r="J690" s="82"/>
      <c r="K690" s="51"/>
      <c r="L690" s="51"/>
      <c r="M690" s="82">
        <v>785</v>
      </c>
      <c r="N690" s="51">
        <v>3797158.8</v>
      </c>
      <c r="O690" s="82"/>
      <c r="P690" s="51"/>
      <c r="Q690" s="338"/>
      <c r="R690" s="51"/>
      <c r="S690" s="51"/>
      <c r="T690" s="35"/>
      <c r="U690" s="51"/>
      <c r="V690" s="51"/>
      <c r="W690" s="364"/>
      <c r="X690" s="9"/>
      <c r="Y690" s="9"/>
      <c r="Z690" s="9"/>
      <c r="AA690" s="9"/>
      <c r="AB690" s="9"/>
      <c r="AC690" s="9"/>
      <c r="AD690" s="40"/>
      <c r="AE690" s="56"/>
      <c r="AF690" s="56"/>
      <c r="AG690" s="56"/>
      <c r="AH690" s="56"/>
    </row>
    <row r="691" spans="1:41" x14ac:dyDescent="0.3">
      <c r="A691" s="59">
        <f>A690+1</f>
        <v>482</v>
      </c>
      <c r="B691" s="66" t="s">
        <v>2851</v>
      </c>
      <c r="C691" s="51">
        <f>D691+K691+L691+N691+P691+R691+S691+U691+V691+W691</f>
        <v>7403280.5600000005</v>
      </c>
      <c r="D691" s="51">
        <f>E691+F691+G691+H691+I691</f>
        <v>4410780.5600000005</v>
      </c>
      <c r="E691" s="51">
        <v>575866.16</v>
      </c>
      <c r="F691" s="51">
        <v>2220354</v>
      </c>
      <c r="G691" s="51">
        <v>365384.4</v>
      </c>
      <c r="H691" s="51">
        <v>1249176</v>
      </c>
      <c r="I691" s="51"/>
      <c r="J691" s="82"/>
      <c r="K691" s="51"/>
      <c r="L691" s="51"/>
      <c r="M691" s="82">
        <v>600.79999999999995</v>
      </c>
      <c r="N691" s="51">
        <v>2992500</v>
      </c>
      <c r="O691" s="82"/>
      <c r="P691" s="51"/>
      <c r="Q691" s="338"/>
      <c r="R691" s="51"/>
      <c r="S691" s="51"/>
      <c r="T691" s="35"/>
      <c r="U691" s="51"/>
      <c r="V691" s="51"/>
      <c r="W691" s="364"/>
      <c r="X691" s="9">
        <v>140390.92000000001</v>
      </c>
      <c r="Y691" s="9"/>
      <c r="Z691" s="9">
        <v>119753.21</v>
      </c>
      <c r="AA691" s="9">
        <v>124891.88</v>
      </c>
      <c r="AB691" s="9">
        <v>118142.26</v>
      </c>
      <c r="AC691" s="9"/>
      <c r="AD691" s="40"/>
      <c r="AE691" s="56"/>
      <c r="AF691" s="56"/>
      <c r="AG691" s="56"/>
      <c r="AH691" s="56"/>
    </row>
    <row r="692" spans="1:41" x14ac:dyDescent="0.3">
      <c r="A692" s="177" t="s">
        <v>211</v>
      </c>
      <c r="B692" s="177"/>
      <c r="C692" s="51">
        <f>D692+K692+L692+N692+P692+R692+S692+U692+V692+W692</f>
        <v>14997598.16</v>
      </c>
      <c r="D692" s="51">
        <f t="shared" ref="D692:R692" si="153">SUM(D689:D691)</f>
        <v>4410780.5600000005</v>
      </c>
      <c r="E692" s="51">
        <f t="shared" si="153"/>
        <v>575866.16</v>
      </c>
      <c r="F692" s="51">
        <f t="shared" si="153"/>
        <v>2220354</v>
      </c>
      <c r="G692" s="51">
        <f t="shared" si="153"/>
        <v>365384.4</v>
      </c>
      <c r="H692" s="51">
        <f t="shared" si="153"/>
        <v>1249176</v>
      </c>
      <c r="I692" s="51">
        <f t="shared" si="153"/>
        <v>0</v>
      </c>
      <c r="J692" s="82">
        <f t="shared" si="153"/>
        <v>0</v>
      </c>
      <c r="K692" s="51">
        <f t="shared" si="153"/>
        <v>0</v>
      </c>
      <c r="L692" s="51">
        <f t="shared" si="153"/>
        <v>0</v>
      </c>
      <c r="M692" s="82">
        <f t="shared" si="153"/>
        <v>2170.8000000000002</v>
      </c>
      <c r="N692" s="51">
        <f t="shared" si="153"/>
        <v>10586817.6</v>
      </c>
      <c r="O692" s="82">
        <f t="shared" si="153"/>
        <v>0</v>
      </c>
      <c r="P692" s="51">
        <f t="shared" si="153"/>
        <v>0</v>
      </c>
      <c r="Q692" s="338">
        <f t="shared" si="153"/>
        <v>0</v>
      </c>
      <c r="R692" s="51">
        <f t="shared" si="153"/>
        <v>0</v>
      </c>
      <c r="S692" s="51">
        <f>SUM(S689:S691)</f>
        <v>0</v>
      </c>
      <c r="T692" s="35">
        <f>SUM(T689:T691)</f>
        <v>0</v>
      </c>
      <c r="U692" s="51">
        <f>SUM(U689:U691)</f>
        <v>0</v>
      </c>
      <c r="V692" s="51">
        <f>SUM(V689:V691)</f>
        <v>0</v>
      </c>
      <c r="W692" s="51">
        <f>SUM(W689:W691)</f>
        <v>0</v>
      </c>
      <c r="X692" s="9"/>
      <c r="Y692" s="9"/>
      <c r="Z692" s="9"/>
      <c r="AA692" s="9"/>
      <c r="AB692" s="9"/>
      <c r="AC692" s="9"/>
      <c r="AD692" s="40"/>
      <c r="AE692" s="56"/>
      <c r="AF692" s="56"/>
      <c r="AG692" s="56"/>
      <c r="AH692" s="56"/>
    </row>
    <row r="693" spans="1:41" x14ac:dyDescent="0.3">
      <c r="A693" s="176" t="s">
        <v>2857</v>
      </c>
      <c r="B693" s="176"/>
      <c r="C693" s="51"/>
      <c r="D693" s="51"/>
      <c r="E693" s="51"/>
      <c r="F693" s="51"/>
      <c r="G693" s="51"/>
      <c r="H693" s="51"/>
      <c r="I693" s="51"/>
      <c r="J693" s="82"/>
      <c r="K693" s="51"/>
      <c r="L693" s="51"/>
      <c r="M693" s="82"/>
      <c r="N693" s="51"/>
      <c r="O693" s="82"/>
      <c r="P693" s="51"/>
      <c r="Q693" s="338"/>
      <c r="R693" s="51"/>
      <c r="S693" s="51"/>
      <c r="T693" s="35"/>
      <c r="U693" s="51"/>
      <c r="V693" s="51"/>
      <c r="W693" s="364"/>
      <c r="X693" s="9"/>
      <c r="Y693" s="9"/>
      <c r="Z693" s="9"/>
      <c r="AA693" s="9"/>
      <c r="AB693" s="9"/>
      <c r="AC693" s="9"/>
      <c r="AD693" s="40"/>
      <c r="AE693" s="56"/>
      <c r="AF693" s="56"/>
      <c r="AG693" s="56"/>
      <c r="AH693" s="56"/>
    </row>
    <row r="694" spans="1:41" x14ac:dyDescent="0.3">
      <c r="A694" s="59">
        <f>A691+1</f>
        <v>483</v>
      </c>
      <c r="B694" s="66" t="s">
        <v>2879</v>
      </c>
      <c r="C694" s="51">
        <f>D694+K694+L694+N694+P694+R694+S694+U694+V694+W694</f>
        <v>1135400.1600000001</v>
      </c>
      <c r="D694" s="51">
        <f>E694+F694+G694+H694+I694</f>
        <v>0</v>
      </c>
      <c r="E694" s="51"/>
      <c r="F694" s="51"/>
      <c r="G694" s="51"/>
      <c r="H694" s="51"/>
      <c r="I694" s="51"/>
      <c r="J694" s="82"/>
      <c r="K694" s="51"/>
      <c r="L694" s="51"/>
      <c r="M694" s="82"/>
      <c r="N694" s="51"/>
      <c r="O694" s="82"/>
      <c r="P694" s="51"/>
      <c r="Q694" s="338"/>
      <c r="R694" s="51"/>
      <c r="S694" s="51"/>
      <c r="T694" s="35"/>
      <c r="U694" s="51"/>
      <c r="V694" s="51"/>
      <c r="W694" s="364">
        <v>1135400.1600000001</v>
      </c>
      <c r="X694" s="9"/>
      <c r="Y694" s="9"/>
      <c r="Z694" s="9"/>
      <c r="AA694" s="9"/>
      <c r="AB694" s="9"/>
      <c r="AC694" s="9">
        <v>318772.62</v>
      </c>
      <c r="AD694" s="40">
        <v>98105.02</v>
      </c>
      <c r="AE694" s="56">
        <v>718522.52</v>
      </c>
      <c r="AF694" s="56"/>
      <c r="AG694" s="56"/>
      <c r="AH694" s="56"/>
    </row>
    <row r="695" spans="1:41" x14ac:dyDescent="0.3">
      <c r="A695" s="59">
        <f>A694+1</f>
        <v>484</v>
      </c>
      <c r="B695" s="66" t="s">
        <v>2880</v>
      </c>
      <c r="C695" s="51">
        <f>D695+K695+L695+N695+P695+R695+S695+U695+V695+W695</f>
        <v>1184452.6600000001</v>
      </c>
      <c r="D695" s="51">
        <f>E695+F695+G695+H695+I695</f>
        <v>0</v>
      </c>
      <c r="E695" s="51"/>
      <c r="F695" s="51"/>
      <c r="G695" s="51"/>
      <c r="H695" s="51"/>
      <c r="I695" s="51"/>
      <c r="J695" s="82"/>
      <c r="K695" s="51"/>
      <c r="L695" s="51"/>
      <c r="M695" s="82"/>
      <c r="N695" s="51"/>
      <c r="O695" s="82"/>
      <c r="P695" s="51"/>
      <c r="Q695" s="338"/>
      <c r="R695" s="51"/>
      <c r="S695" s="51"/>
      <c r="T695" s="35"/>
      <c r="U695" s="51"/>
      <c r="V695" s="51"/>
      <c r="W695" s="364">
        <v>1184452.6600000001</v>
      </c>
      <c r="X695" s="9"/>
      <c r="Y695" s="9"/>
      <c r="Z695" s="9"/>
      <c r="AA695" s="9"/>
      <c r="AB695" s="9"/>
      <c r="AC695" s="9">
        <v>318772.62</v>
      </c>
      <c r="AD695" s="40">
        <v>147157.51999999999</v>
      </c>
      <c r="AE695" s="56">
        <v>718522.52</v>
      </c>
      <c r="AF695" s="56"/>
      <c r="AG695" s="56"/>
      <c r="AH695" s="56"/>
    </row>
    <row r="696" spans="1:41" x14ac:dyDescent="0.3">
      <c r="A696" s="177" t="s">
        <v>211</v>
      </c>
      <c r="B696" s="177"/>
      <c r="C696" s="51">
        <f t="shared" ref="C696:R696" si="154">SUM(C694:C695)</f>
        <v>2319852.8200000003</v>
      </c>
      <c r="D696" s="51">
        <f t="shared" si="154"/>
        <v>0</v>
      </c>
      <c r="E696" s="51">
        <f t="shared" si="154"/>
        <v>0</v>
      </c>
      <c r="F696" s="51">
        <f t="shared" si="154"/>
        <v>0</v>
      </c>
      <c r="G696" s="51">
        <f t="shared" si="154"/>
        <v>0</v>
      </c>
      <c r="H696" s="51">
        <f t="shared" si="154"/>
        <v>0</v>
      </c>
      <c r="I696" s="51">
        <f t="shared" si="154"/>
        <v>0</v>
      </c>
      <c r="J696" s="82">
        <f t="shared" si="154"/>
        <v>0</v>
      </c>
      <c r="K696" s="51">
        <f t="shared" si="154"/>
        <v>0</v>
      </c>
      <c r="L696" s="51">
        <f t="shared" si="154"/>
        <v>0</v>
      </c>
      <c r="M696" s="82">
        <f t="shared" si="154"/>
        <v>0</v>
      </c>
      <c r="N696" s="51">
        <f t="shared" si="154"/>
        <v>0</v>
      </c>
      <c r="O696" s="82">
        <f t="shared" si="154"/>
        <v>0</v>
      </c>
      <c r="P696" s="51">
        <f t="shared" si="154"/>
        <v>0</v>
      </c>
      <c r="Q696" s="338">
        <f t="shared" si="154"/>
        <v>0</v>
      </c>
      <c r="R696" s="51">
        <f t="shared" si="154"/>
        <v>0</v>
      </c>
      <c r="S696" s="51">
        <f>SUM(S694:S695)</f>
        <v>0</v>
      </c>
      <c r="T696" s="35">
        <f>SUM(T694:T695)</f>
        <v>0</v>
      </c>
      <c r="U696" s="51">
        <f>SUM(U694:U695)</f>
        <v>0</v>
      </c>
      <c r="V696" s="51">
        <f>SUM(V694:V695)</f>
        <v>0</v>
      </c>
      <c r="W696" s="51">
        <f>SUM(W694:W695)</f>
        <v>2319852.8200000003</v>
      </c>
      <c r="X696" s="9"/>
      <c r="Y696" s="9"/>
      <c r="Z696" s="9"/>
      <c r="AA696" s="9"/>
      <c r="AB696" s="9"/>
      <c r="AC696" s="9"/>
      <c r="AD696" s="40"/>
      <c r="AE696" s="56"/>
      <c r="AF696" s="56"/>
      <c r="AG696" s="56"/>
      <c r="AH696" s="56"/>
    </row>
    <row r="697" spans="1:41" x14ac:dyDescent="0.3">
      <c r="A697" s="167" t="s">
        <v>2888</v>
      </c>
      <c r="B697" s="167"/>
      <c r="C697" s="51">
        <f t="shared" ref="C697:W697" si="155">C672+C679+C683+C687+C692+C696</f>
        <v>22908026.880000003</v>
      </c>
      <c r="D697" s="51">
        <f t="shared" si="155"/>
        <v>6729212.9600000009</v>
      </c>
      <c r="E697" s="51">
        <f t="shared" si="155"/>
        <v>2894298.5600000005</v>
      </c>
      <c r="F697" s="51">
        <f t="shared" si="155"/>
        <v>2220354</v>
      </c>
      <c r="G697" s="51">
        <f t="shared" si="155"/>
        <v>365384.4</v>
      </c>
      <c r="H697" s="51">
        <f t="shared" si="155"/>
        <v>1249176</v>
      </c>
      <c r="I697" s="51">
        <f t="shared" si="155"/>
        <v>0</v>
      </c>
      <c r="J697" s="82">
        <f t="shared" si="155"/>
        <v>0</v>
      </c>
      <c r="K697" s="51">
        <f t="shared" si="155"/>
        <v>0</v>
      </c>
      <c r="L697" s="51">
        <f t="shared" si="155"/>
        <v>0</v>
      </c>
      <c r="M697" s="82">
        <f t="shared" si="155"/>
        <v>2696.1000000000004</v>
      </c>
      <c r="N697" s="51">
        <f t="shared" si="155"/>
        <v>12963847.199999999</v>
      </c>
      <c r="O697" s="82">
        <f t="shared" si="155"/>
        <v>0</v>
      </c>
      <c r="P697" s="51">
        <f t="shared" si="155"/>
        <v>0</v>
      </c>
      <c r="Q697" s="338">
        <f t="shared" si="155"/>
        <v>0</v>
      </c>
      <c r="R697" s="51">
        <f t="shared" si="155"/>
        <v>0</v>
      </c>
      <c r="S697" s="51">
        <f t="shared" si="155"/>
        <v>0</v>
      </c>
      <c r="T697" s="35">
        <f t="shared" si="155"/>
        <v>0</v>
      </c>
      <c r="U697" s="51">
        <f t="shared" si="155"/>
        <v>0</v>
      </c>
      <c r="V697" s="51">
        <f t="shared" si="155"/>
        <v>0</v>
      </c>
      <c r="W697" s="51">
        <f t="shared" si="155"/>
        <v>3214966.72</v>
      </c>
      <c r="X697" s="9"/>
      <c r="Y697" s="9"/>
      <c r="Z697" s="9"/>
      <c r="AA697" s="9"/>
      <c r="AB697" s="9"/>
      <c r="AC697" s="9"/>
      <c r="AD697" s="40"/>
      <c r="AE697" s="56"/>
      <c r="AF697" s="56"/>
      <c r="AG697" s="56"/>
      <c r="AH697" s="56"/>
    </row>
    <row r="698" spans="1:41" x14ac:dyDescent="0.3">
      <c r="A698" s="63" t="s">
        <v>2889</v>
      </c>
      <c r="B698" s="176"/>
      <c r="C698" s="363"/>
      <c r="D698" s="363"/>
      <c r="E698" s="363"/>
      <c r="F698" s="363"/>
      <c r="G698" s="363"/>
      <c r="H698" s="363"/>
      <c r="I698" s="363"/>
      <c r="J698" s="391"/>
      <c r="K698" s="363"/>
      <c r="L698" s="363"/>
      <c r="M698" s="391"/>
      <c r="N698" s="363"/>
      <c r="O698" s="391"/>
      <c r="P698" s="363"/>
      <c r="Q698" s="392"/>
      <c r="R698" s="363"/>
      <c r="S698" s="363"/>
      <c r="T698" s="393"/>
      <c r="U698" s="363"/>
      <c r="V698" s="363"/>
      <c r="W698" s="363"/>
      <c r="X698" s="298"/>
      <c r="Y698" s="298" t="s">
        <v>2890</v>
      </c>
      <c r="Z698" s="298" t="s">
        <v>2891</v>
      </c>
      <c r="AA698" s="298" t="s">
        <v>2892</v>
      </c>
      <c r="AB698" s="9" t="s">
        <v>2893</v>
      </c>
      <c r="AC698" s="9" t="s">
        <v>2894</v>
      </c>
      <c r="AD698" s="9"/>
      <c r="AE698" s="40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</row>
    <row r="699" spans="1:41" ht="15.75" x14ac:dyDescent="0.25">
      <c r="A699" s="172"/>
      <c r="B699" s="176"/>
      <c r="C699" s="387"/>
      <c r="D699" s="387"/>
      <c r="E699" s="387"/>
      <c r="F699" s="387"/>
      <c r="G699" s="387"/>
      <c r="H699" s="387"/>
      <c r="I699" s="387"/>
      <c r="J699" s="388"/>
      <c r="K699" s="387"/>
      <c r="L699" s="387"/>
      <c r="M699" s="388"/>
      <c r="N699" s="387"/>
      <c r="O699" s="388"/>
      <c r="P699" s="387"/>
      <c r="Q699" s="389"/>
      <c r="R699" s="387"/>
      <c r="S699" s="387"/>
      <c r="T699" s="390"/>
      <c r="U699" s="387"/>
      <c r="V699" s="387"/>
      <c r="W699" s="387"/>
      <c r="X699" s="298"/>
      <c r="Y699" s="298"/>
      <c r="Z699" s="298"/>
      <c r="AA699" s="298"/>
      <c r="AB699" s="9"/>
      <c r="AC699" s="9"/>
      <c r="AD699" s="9"/>
      <c r="AE699" s="40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</row>
    <row r="700" spans="1:41" x14ac:dyDescent="0.3">
      <c r="A700" s="176" t="s">
        <v>2908</v>
      </c>
      <c r="B700" s="176"/>
      <c r="C700" s="51"/>
      <c r="D700" s="51"/>
      <c r="E700" s="51"/>
      <c r="F700" s="51"/>
      <c r="G700" s="51"/>
      <c r="H700" s="51"/>
      <c r="I700" s="51"/>
      <c r="J700" s="82"/>
      <c r="K700" s="51"/>
      <c r="L700" s="51"/>
      <c r="M700" s="82"/>
      <c r="N700" s="51"/>
      <c r="O700" s="82"/>
      <c r="P700" s="51"/>
      <c r="Q700" s="338"/>
      <c r="R700" s="51"/>
      <c r="S700" s="51"/>
      <c r="T700" s="35"/>
      <c r="U700" s="51"/>
      <c r="V700" s="51"/>
      <c r="W700" s="364"/>
      <c r="X700" s="285"/>
      <c r="Y700" s="285"/>
      <c r="Z700" s="285"/>
      <c r="AA700" s="285"/>
      <c r="AB700" s="285"/>
      <c r="AC700" s="9"/>
      <c r="AD700" s="9"/>
      <c r="AE700" s="40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</row>
    <row r="701" spans="1:41" x14ac:dyDescent="0.3">
      <c r="A701" s="59">
        <f>A695+1</f>
        <v>485</v>
      </c>
      <c r="B701" s="66" t="s">
        <v>2914</v>
      </c>
      <c r="C701" s="51">
        <f>D701+K701+L701+N701+P701+R701+S701+U701+V701+W701</f>
        <v>3431050.8</v>
      </c>
      <c r="D701" s="51">
        <f>E701+F701+G701+H701+I701</f>
        <v>3431050.8</v>
      </c>
      <c r="E701" s="51"/>
      <c r="F701" s="51">
        <v>3431050.8</v>
      </c>
      <c r="G701" s="51"/>
      <c r="H701" s="51"/>
      <c r="I701" s="51"/>
      <c r="J701" s="82"/>
      <c r="K701" s="51"/>
      <c r="L701" s="51"/>
      <c r="M701" s="82"/>
      <c r="N701" s="51"/>
      <c r="O701" s="82"/>
      <c r="P701" s="51"/>
      <c r="Q701" s="338"/>
      <c r="R701" s="51"/>
      <c r="S701" s="51"/>
      <c r="T701" s="35"/>
      <c r="U701" s="51"/>
      <c r="V701" s="51"/>
      <c r="W701" s="364"/>
      <c r="X701" s="285"/>
      <c r="Y701" s="285">
        <v>106352.3</v>
      </c>
      <c r="Z701" s="285"/>
      <c r="AA701" s="285">
        <v>116780.94</v>
      </c>
      <c r="AB701" s="285">
        <v>142795</v>
      </c>
      <c r="AC701" s="9"/>
      <c r="AD701" s="9"/>
      <c r="AE701" s="40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</row>
    <row r="702" spans="1:41" x14ac:dyDescent="0.3">
      <c r="A702" s="59">
        <f>A701+1</f>
        <v>486</v>
      </c>
      <c r="B702" s="66" t="s">
        <v>3917</v>
      </c>
      <c r="C702" s="51">
        <f>D702+K702+L702+N702+P702+R702+S702+U702+V702+W702</f>
        <v>130000</v>
      </c>
      <c r="D702" s="51">
        <f>E702+F702+G702+H702+I702</f>
        <v>0</v>
      </c>
      <c r="E702" s="51"/>
      <c r="F702" s="51"/>
      <c r="G702" s="51"/>
      <c r="H702" s="51"/>
      <c r="I702" s="51"/>
      <c r="J702" s="82"/>
      <c r="K702" s="51"/>
      <c r="L702" s="51"/>
      <c r="M702" s="82"/>
      <c r="N702" s="51"/>
      <c r="O702" s="82"/>
      <c r="P702" s="51"/>
      <c r="Q702" s="338"/>
      <c r="R702" s="51"/>
      <c r="S702" s="51"/>
      <c r="T702" s="35"/>
      <c r="U702" s="51"/>
      <c r="V702" s="51"/>
      <c r="W702" s="364">
        <v>130000</v>
      </c>
      <c r="X702" s="285"/>
      <c r="Y702" s="285"/>
      <c r="Z702" s="285"/>
      <c r="AA702" s="285"/>
      <c r="AB702" s="285"/>
      <c r="AC702" s="9"/>
      <c r="AD702" s="9"/>
      <c r="AE702" s="40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</row>
    <row r="703" spans="1:41" x14ac:dyDescent="0.3">
      <c r="A703" s="59">
        <f>A702+1</f>
        <v>487</v>
      </c>
      <c r="B703" s="66" t="s">
        <v>2926</v>
      </c>
      <c r="C703" s="51">
        <f>D703+K703+L703+N703+P703+R703+S703+U703+V703+W703</f>
        <v>2815579.2</v>
      </c>
      <c r="D703" s="51">
        <f>E703+F703+G703+H703+I703</f>
        <v>2815579.2</v>
      </c>
      <c r="E703" s="51">
        <v>2815579.2</v>
      </c>
      <c r="F703" s="51"/>
      <c r="G703" s="51"/>
      <c r="H703" s="51"/>
      <c r="I703" s="51"/>
      <c r="J703" s="82"/>
      <c r="K703" s="51"/>
      <c r="L703" s="51"/>
      <c r="M703" s="82"/>
      <c r="N703" s="51"/>
      <c r="O703" s="82"/>
      <c r="P703" s="51"/>
      <c r="Q703" s="338"/>
      <c r="R703" s="51"/>
      <c r="S703" s="51"/>
      <c r="T703" s="35"/>
      <c r="U703" s="51"/>
      <c r="V703" s="51"/>
      <c r="W703" s="364"/>
      <c r="X703" s="285"/>
      <c r="Y703" s="285"/>
      <c r="Z703" s="285"/>
      <c r="AA703" s="285"/>
      <c r="AB703" s="285"/>
      <c r="AC703" s="9">
        <v>231370.32</v>
      </c>
      <c r="AD703" s="9"/>
      <c r="AE703" s="40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</row>
    <row r="704" spans="1:41" x14ac:dyDescent="0.3">
      <c r="A704" s="59">
        <f>A703+1</f>
        <v>488</v>
      </c>
      <c r="B704" s="66" t="s">
        <v>2946</v>
      </c>
      <c r="C704" s="51">
        <f>D704+K704+L704+N704+P704+R704+S704+U704+V704+W704</f>
        <v>1224735.6000000001</v>
      </c>
      <c r="D704" s="51">
        <f>E704+F704+G704+H704+I704</f>
        <v>1224735.6000000001</v>
      </c>
      <c r="E704" s="51">
        <v>1224735.6000000001</v>
      </c>
      <c r="F704" s="51"/>
      <c r="G704" s="51"/>
      <c r="H704" s="51"/>
      <c r="I704" s="51"/>
      <c r="J704" s="82"/>
      <c r="K704" s="51"/>
      <c r="L704" s="51"/>
      <c r="M704" s="82"/>
      <c r="N704" s="51"/>
      <c r="O704" s="82"/>
      <c r="P704" s="51"/>
      <c r="Q704" s="338"/>
      <c r="R704" s="51"/>
      <c r="S704" s="51"/>
      <c r="T704" s="35"/>
      <c r="U704" s="51"/>
      <c r="V704" s="51"/>
      <c r="W704" s="364"/>
      <c r="X704" s="285"/>
      <c r="Y704" s="285"/>
      <c r="Z704" s="505">
        <v>143780.14000000001</v>
      </c>
      <c r="AA704" s="505"/>
      <c r="AB704" s="285">
        <v>171898.18</v>
      </c>
      <c r="AC704" s="9">
        <v>132878.21</v>
      </c>
      <c r="AD704" s="9"/>
      <c r="AE704" s="40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</row>
    <row r="705" spans="1:41" x14ac:dyDescent="0.3">
      <c r="A705" s="59">
        <f>A704+1</f>
        <v>489</v>
      </c>
      <c r="B705" s="66" t="s">
        <v>2964</v>
      </c>
      <c r="C705" s="51">
        <f>D705+K705+L705+N705+P705+R705+S705+U705+V705+W705</f>
        <v>1604169.6</v>
      </c>
      <c r="D705" s="51">
        <f>E705+F705+G705+H705+I705</f>
        <v>1604169.6</v>
      </c>
      <c r="E705" s="51"/>
      <c r="F705" s="51">
        <v>1604169.6</v>
      </c>
      <c r="G705" s="51"/>
      <c r="H705" s="51"/>
      <c r="I705" s="51"/>
      <c r="J705" s="82"/>
      <c r="K705" s="51"/>
      <c r="L705" s="51"/>
      <c r="M705" s="82"/>
      <c r="N705" s="51"/>
      <c r="O705" s="82"/>
      <c r="P705" s="51"/>
      <c r="Q705" s="338"/>
      <c r="R705" s="51"/>
      <c r="S705" s="51"/>
      <c r="T705" s="35"/>
      <c r="U705" s="51"/>
      <c r="V705" s="51"/>
      <c r="W705" s="364"/>
      <c r="X705" s="285"/>
      <c r="Y705" s="285">
        <v>103815.05</v>
      </c>
      <c r="Z705" s="285"/>
      <c r="AA705" s="285">
        <v>109210.75</v>
      </c>
      <c r="AB705" s="285">
        <v>125967.17</v>
      </c>
      <c r="AC705" s="9"/>
      <c r="AD705" s="9"/>
      <c r="AE705" s="40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</row>
    <row r="706" spans="1:41" x14ac:dyDescent="0.3">
      <c r="A706" s="177" t="s">
        <v>211</v>
      </c>
      <c r="B706" s="177"/>
      <c r="C706" s="51">
        <f>SUM(C701:C705)</f>
        <v>9205535.1999999993</v>
      </c>
      <c r="D706" s="51">
        <f t="shared" ref="D706:W706" si="156">SUM(D701:D705)</f>
        <v>9075535.1999999993</v>
      </c>
      <c r="E706" s="51">
        <f t="shared" si="156"/>
        <v>4040314.8000000003</v>
      </c>
      <c r="F706" s="51">
        <f t="shared" si="156"/>
        <v>5035220.4000000004</v>
      </c>
      <c r="G706" s="51">
        <f t="shared" si="156"/>
        <v>0</v>
      </c>
      <c r="H706" s="51">
        <f t="shared" si="156"/>
        <v>0</v>
      </c>
      <c r="I706" s="51">
        <f t="shared" si="156"/>
        <v>0</v>
      </c>
      <c r="J706" s="82">
        <f t="shared" si="156"/>
        <v>0</v>
      </c>
      <c r="K706" s="51">
        <f t="shared" si="156"/>
        <v>0</v>
      </c>
      <c r="L706" s="51">
        <f t="shared" si="156"/>
        <v>0</v>
      </c>
      <c r="M706" s="82">
        <f t="shared" si="156"/>
        <v>0</v>
      </c>
      <c r="N706" s="51">
        <f t="shared" si="156"/>
        <v>0</v>
      </c>
      <c r="O706" s="82">
        <f t="shared" si="156"/>
        <v>0</v>
      </c>
      <c r="P706" s="51">
        <f t="shared" si="156"/>
        <v>0</v>
      </c>
      <c r="Q706" s="338">
        <f t="shared" si="156"/>
        <v>0</v>
      </c>
      <c r="R706" s="51">
        <f t="shared" si="156"/>
        <v>0</v>
      </c>
      <c r="S706" s="51">
        <f t="shared" si="156"/>
        <v>0</v>
      </c>
      <c r="T706" s="35">
        <f t="shared" si="156"/>
        <v>0</v>
      </c>
      <c r="U706" s="51">
        <f t="shared" si="156"/>
        <v>0</v>
      </c>
      <c r="V706" s="51">
        <f t="shared" si="156"/>
        <v>0</v>
      </c>
      <c r="W706" s="51">
        <f t="shared" si="156"/>
        <v>130000</v>
      </c>
      <c r="X706" s="329"/>
      <c r="Y706" s="285"/>
      <c r="Z706" s="285"/>
      <c r="AA706" s="285"/>
      <c r="AB706" s="285"/>
      <c r="AC706" s="9"/>
      <c r="AD706" s="9"/>
      <c r="AE706" s="40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</row>
    <row r="707" spans="1:41" ht="29.25" customHeight="1" x14ac:dyDescent="0.3">
      <c r="A707" s="487" t="s">
        <v>3021</v>
      </c>
      <c r="B707" s="488"/>
      <c r="C707" s="51">
        <f>C706</f>
        <v>9205535.1999999993</v>
      </c>
      <c r="D707" s="51">
        <f t="shared" ref="D707:W707" si="157">D706</f>
        <v>9075535.1999999993</v>
      </c>
      <c r="E707" s="51">
        <f t="shared" si="157"/>
        <v>4040314.8000000003</v>
      </c>
      <c r="F707" s="51">
        <f t="shared" si="157"/>
        <v>5035220.4000000004</v>
      </c>
      <c r="G707" s="51">
        <f t="shared" si="157"/>
        <v>0</v>
      </c>
      <c r="H707" s="51">
        <f t="shared" si="157"/>
        <v>0</v>
      </c>
      <c r="I707" s="51">
        <f t="shared" si="157"/>
        <v>0</v>
      </c>
      <c r="J707" s="82">
        <f t="shared" si="157"/>
        <v>0</v>
      </c>
      <c r="K707" s="51">
        <f t="shared" si="157"/>
        <v>0</v>
      </c>
      <c r="L707" s="51">
        <f t="shared" si="157"/>
        <v>0</v>
      </c>
      <c r="M707" s="82">
        <f t="shared" si="157"/>
        <v>0</v>
      </c>
      <c r="N707" s="51">
        <f t="shared" si="157"/>
        <v>0</v>
      </c>
      <c r="O707" s="82">
        <f t="shared" si="157"/>
        <v>0</v>
      </c>
      <c r="P707" s="51">
        <f t="shared" si="157"/>
        <v>0</v>
      </c>
      <c r="Q707" s="338">
        <f t="shared" si="157"/>
        <v>0</v>
      </c>
      <c r="R707" s="51">
        <f t="shared" si="157"/>
        <v>0</v>
      </c>
      <c r="S707" s="51">
        <f t="shared" si="157"/>
        <v>0</v>
      </c>
      <c r="T707" s="35">
        <f t="shared" si="157"/>
        <v>0</v>
      </c>
      <c r="U707" s="51">
        <f t="shared" si="157"/>
        <v>0</v>
      </c>
      <c r="V707" s="51">
        <f t="shared" si="157"/>
        <v>0</v>
      </c>
      <c r="W707" s="51">
        <f t="shared" si="157"/>
        <v>130000</v>
      </c>
      <c r="X707" s="329"/>
      <c r="Y707" s="285"/>
      <c r="Z707" s="285"/>
      <c r="AA707" s="285"/>
      <c r="AB707" s="285"/>
      <c r="AC707" s="9"/>
      <c r="AD707" s="9"/>
      <c r="AE707" s="40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</row>
    <row r="708" spans="1:41" ht="15.75" x14ac:dyDescent="0.25">
      <c r="A708" s="172"/>
      <c r="B708" s="147"/>
      <c r="C708" s="387"/>
      <c r="D708" s="387"/>
      <c r="E708" s="387"/>
      <c r="F708" s="387"/>
      <c r="G708" s="387"/>
      <c r="H708" s="387"/>
      <c r="I708" s="387"/>
      <c r="J708" s="388"/>
      <c r="K708" s="387"/>
      <c r="L708" s="387"/>
      <c r="M708" s="388"/>
      <c r="N708" s="387"/>
      <c r="O708" s="388"/>
      <c r="P708" s="387"/>
      <c r="Q708" s="389"/>
      <c r="R708" s="387"/>
      <c r="S708" s="387"/>
      <c r="T708" s="390"/>
      <c r="U708" s="387"/>
      <c r="V708" s="387"/>
      <c r="W708" s="387"/>
      <c r="X708" s="9"/>
      <c r="Y708" s="9"/>
      <c r="Z708" s="9"/>
      <c r="AA708" s="9"/>
      <c r="AB708" s="9"/>
      <c r="AC708" s="9"/>
      <c r="AD708" s="9"/>
      <c r="AE708" s="40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</row>
    <row r="709" spans="1:41" x14ac:dyDescent="0.3">
      <c r="A709" s="63" t="s">
        <v>3022</v>
      </c>
      <c r="B709" s="176"/>
      <c r="C709" s="363"/>
      <c r="D709" s="363"/>
      <c r="E709" s="363"/>
      <c r="F709" s="363"/>
      <c r="G709" s="363"/>
      <c r="H709" s="363"/>
      <c r="I709" s="363"/>
      <c r="J709" s="391"/>
      <c r="K709" s="363"/>
      <c r="L709" s="363"/>
      <c r="M709" s="391"/>
      <c r="N709" s="363"/>
      <c r="O709" s="391"/>
      <c r="P709" s="363"/>
      <c r="Q709" s="392"/>
      <c r="R709" s="363"/>
      <c r="S709" s="363"/>
      <c r="T709" s="393"/>
      <c r="U709" s="363"/>
      <c r="V709" s="363"/>
      <c r="W709" s="363"/>
      <c r="X709" s="9"/>
      <c r="Y709" s="9"/>
      <c r="Z709" s="9"/>
      <c r="AA709" s="9"/>
      <c r="AB709" s="9"/>
      <c r="AC709" s="9"/>
      <c r="AD709" s="9"/>
      <c r="AE709" s="40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</row>
    <row r="710" spans="1:41" x14ac:dyDescent="0.3">
      <c r="A710" s="59">
        <f>A704+1</f>
        <v>489</v>
      </c>
      <c r="B710" s="66" t="s">
        <v>3051</v>
      </c>
      <c r="C710" s="364">
        <f t="shared" ref="C710:C737" si="158">D710+K710+L710+N710+P710+R710+S710+U710+V710+W710</f>
        <v>2055166.8</v>
      </c>
      <c r="D710" s="364">
        <f t="shared" ref="D710:D737" si="159">SUM(E710:I710)</f>
        <v>0</v>
      </c>
      <c r="E710" s="364"/>
      <c r="F710" s="364"/>
      <c r="G710" s="364"/>
      <c r="H710" s="364"/>
      <c r="I710" s="364"/>
      <c r="J710" s="129"/>
      <c r="K710" s="364"/>
      <c r="L710" s="364"/>
      <c r="M710" s="129"/>
      <c r="N710" s="364"/>
      <c r="O710" s="129">
        <v>592.5</v>
      </c>
      <c r="P710" s="364">
        <v>2055166.8</v>
      </c>
      <c r="Q710" s="406"/>
      <c r="R710" s="364"/>
      <c r="S710" s="364"/>
      <c r="T710" s="181"/>
      <c r="U710" s="364"/>
      <c r="V710" s="364"/>
      <c r="W710" s="364"/>
    </row>
    <row r="711" spans="1:41" x14ac:dyDescent="0.3">
      <c r="A711" s="59">
        <f>A710+1</f>
        <v>490</v>
      </c>
      <c r="B711" s="66" t="s">
        <v>3053</v>
      </c>
      <c r="C711" s="364">
        <f t="shared" si="158"/>
        <v>8732294.4000000004</v>
      </c>
      <c r="D711" s="364">
        <f t="shared" si="159"/>
        <v>0</v>
      </c>
      <c r="E711" s="364"/>
      <c r="F711" s="364"/>
      <c r="G711" s="364"/>
      <c r="H711" s="364"/>
      <c r="I711" s="364"/>
      <c r="J711" s="129"/>
      <c r="K711" s="364"/>
      <c r="L711" s="364"/>
      <c r="M711" s="129"/>
      <c r="N711" s="364"/>
      <c r="O711" s="129" t="s">
        <v>3054</v>
      </c>
      <c r="P711" s="364">
        <v>8732294.4000000004</v>
      </c>
      <c r="Q711" s="406"/>
      <c r="R711" s="364"/>
      <c r="S711" s="364"/>
      <c r="T711" s="181"/>
      <c r="U711" s="364"/>
      <c r="V711" s="364"/>
      <c r="W711" s="364"/>
    </row>
    <row r="712" spans="1:41" x14ac:dyDescent="0.3">
      <c r="A712" s="59">
        <f t="shared" ref="A712:A737" si="160">A711+1</f>
        <v>491</v>
      </c>
      <c r="B712" s="66" t="s">
        <v>3055</v>
      </c>
      <c r="C712" s="364">
        <f t="shared" si="158"/>
        <v>9140443.1999999993</v>
      </c>
      <c r="D712" s="364">
        <f t="shared" si="159"/>
        <v>0</v>
      </c>
      <c r="E712" s="364"/>
      <c r="F712" s="364"/>
      <c r="G712" s="364"/>
      <c r="H712" s="364"/>
      <c r="I712" s="364"/>
      <c r="J712" s="129"/>
      <c r="K712" s="364"/>
      <c r="L712" s="364"/>
      <c r="M712" s="129"/>
      <c r="N712" s="364"/>
      <c r="O712" s="129" t="s">
        <v>3056</v>
      </c>
      <c r="P712" s="364">
        <v>9140443.1999999993</v>
      </c>
      <c r="Q712" s="406"/>
      <c r="R712" s="364"/>
      <c r="S712" s="364"/>
      <c r="T712" s="181"/>
      <c r="U712" s="364"/>
      <c r="V712" s="364"/>
      <c r="W712" s="364"/>
    </row>
    <row r="713" spans="1:41" x14ac:dyDescent="0.3">
      <c r="A713" s="59">
        <f t="shared" si="160"/>
        <v>492</v>
      </c>
      <c r="B713" s="66" t="s">
        <v>3060</v>
      </c>
      <c r="C713" s="364">
        <f t="shared" si="158"/>
        <v>3221161.2</v>
      </c>
      <c r="D713" s="364">
        <f t="shared" si="159"/>
        <v>0</v>
      </c>
      <c r="E713" s="364"/>
      <c r="F713" s="364"/>
      <c r="G713" s="364"/>
      <c r="H713" s="364"/>
      <c r="I713" s="364"/>
      <c r="J713" s="129"/>
      <c r="K713" s="364"/>
      <c r="L713" s="364"/>
      <c r="M713" s="129"/>
      <c r="N713" s="364"/>
      <c r="O713" s="129" t="s">
        <v>3054</v>
      </c>
      <c r="P713" s="364">
        <v>3221161.2</v>
      </c>
      <c r="Q713" s="406"/>
      <c r="R713" s="364"/>
      <c r="S713" s="364"/>
      <c r="T713" s="181"/>
      <c r="U713" s="364"/>
      <c r="V713" s="364"/>
      <c r="W713" s="364"/>
    </row>
    <row r="714" spans="1:41" x14ac:dyDescent="0.3">
      <c r="A714" s="59">
        <f t="shared" si="160"/>
        <v>493</v>
      </c>
      <c r="B714" s="66" t="s">
        <v>3072</v>
      </c>
      <c r="C714" s="364">
        <f t="shared" si="158"/>
        <v>1026057.06</v>
      </c>
      <c r="D714" s="364">
        <f t="shared" si="159"/>
        <v>1026057.06</v>
      </c>
      <c r="E714" s="364">
        <v>1026057.06</v>
      </c>
      <c r="F714" s="364"/>
      <c r="G714" s="364"/>
      <c r="H714" s="364"/>
      <c r="I714" s="364"/>
      <c r="J714" s="129"/>
      <c r="K714" s="364"/>
      <c r="L714" s="364"/>
      <c r="M714" s="129"/>
      <c r="N714" s="364"/>
      <c r="O714" s="129"/>
      <c r="P714" s="364"/>
      <c r="Q714" s="407"/>
      <c r="R714" s="364"/>
      <c r="S714" s="364"/>
      <c r="T714" s="181"/>
      <c r="U714" s="364"/>
      <c r="V714" s="364"/>
      <c r="W714" s="364"/>
    </row>
    <row r="715" spans="1:41" x14ac:dyDescent="0.3">
      <c r="A715" s="59">
        <f t="shared" si="160"/>
        <v>494</v>
      </c>
      <c r="B715" s="66" t="s">
        <v>3074</v>
      </c>
      <c r="C715" s="364">
        <f t="shared" si="158"/>
        <v>1533602.34</v>
      </c>
      <c r="D715" s="364">
        <f t="shared" si="159"/>
        <v>1533602.34</v>
      </c>
      <c r="E715" s="364">
        <v>1533602.34</v>
      </c>
      <c r="F715" s="364"/>
      <c r="G715" s="364"/>
      <c r="H715" s="364"/>
      <c r="I715" s="364"/>
      <c r="J715" s="129"/>
      <c r="K715" s="364"/>
      <c r="L715" s="364"/>
      <c r="M715" s="129"/>
      <c r="N715" s="364"/>
      <c r="O715" s="129"/>
      <c r="P715" s="364"/>
      <c r="Q715" s="407"/>
      <c r="R715" s="364"/>
      <c r="S715" s="364"/>
      <c r="T715" s="181"/>
      <c r="U715" s="364"/>
      <c r="V715" s="364"/>
      <c r="W715" s="364"/>
    </row>
    <row r="716" spans="1:41" x14ac:dyDescent="0.3">
      <c r="A716" s="59">
        <f t="shared" si="160"/>
        <v>495</v>
      </c>
      <c r="B716" s="66" t="s">
        <v>3075</v>
      </c>
      <c r="C716" s="364">
        <f t="shared" si="158"/>
        <v>1533602.34</v>
      </c>
      <c r="D716" s="364">
        <f t="shared" si="159"/>
        <v>1533602.34</v>
      </c>
      <c r="E716" s="364">
        <v>1533602.34</v>
      </c>
      <c r="F716" s="364"/>
      <c r="G716" s="364"/>
      <c r="H716" s="364"/>
      <c r="I716" s="364"/>
      <c r="J716" s="129"/>
      <c r="K716" s="364"/>
      <c r="L716" s="364"/>
      <c r="M716" s="129"/>
      <c r="N716" s="364"/>
      <c r="O716" s="129"/>
      <c r="P716" s="364"/>
      <c r="Q716" s="406"/>
      <c r="R716" s="364"/>
      <c r="S716" s="364"/>
      <c r="T716" s="181"/>
      <c r="U716" s="364"/>
      <c r="V716" s="364"/>
      <c r="W716" s="364"/>
    </row>
    <row r="717" spans="1:41" x14ac:dyDescent="0.3">
      <c r="A717" s="59">
        <f t="shared" si="160"/>
        <v>496</v>
      </c>
      <c r="B717" s="66" t="s">
        <v>3077</v>
      </c>
      <c r="C717" s="364">
        <f t="shared" si="158"/>
        <v>1711501.06</v>
      </c>
      <c r="D717" s="364">
        <f t="shared" si="159"/>
        <v>630482.26</v>
      </c>
      <c r="E717" s="364">
        <v>630482.26</v>
      </c>
      <c r="F717" s="364"/>
      <c r="G717" s="364"/>
      <c r="H717" s="364"/>
      <c r="I717" s="364"/>
      <c r="J717" s="129"/>
      <c r="K717" s="364"/>
      <c r="L717" s="364"/>
      <c r="M717" s="129"/>
      <c r="N717" s="364"/>
      <c r="O717" s="129" t="s">
        <v>3078</v>
      </c>
      <c r="P717" s="364">
        <v>1081018.8</v>
      </c>
      <c r="Q717" s="406"/>
      <c r="R717" s="364"/>
      <c r="S717" s="364"/>
      <c r="T717" s="181"/>
      <c r="U717" s="364"/>
      <c r="V717" s="364"/>
      <c r="W717" s="364"/>
    </row>
    <row r="718" spans="1:41" x14ac:dyDescent="0.3">
      <c r="A718" s="59">
        <f t="shared" si="160"/>
        <v>497</v>
      </c>
      <c r="B718" s="66" t="s">
        <v>3079</v>
      </c>
      <c r="C718" s="364">
        <f t="shared" si="158"/>
        <v>596262.26</v>
      </c>
      <c r="D718" s="364">
        <f t="shared" si="159"/>
        <v>596262.26</v>
      </c>
      <c r="E718" s="364">
        <v>596262.26</v>
      </c>
      <c r="F718" s="364"/>
      <c r="G718" s="364"/>
      <c r="H718" s="364"/>
      <c r="I718" s="364"/>
      <c r="J718" s="129"/>
      <c r="K718" s="364"/>
      <c r="L718" s="364"/>
      <c r="M718" s="129"/>
      <c r="N718" s="364"/>
      <c r="O718" s="129"/>
      <c r="P718" s="364"/>
      <c r="Q718" s="407"/>
      <c r="R718" s="364"/>
      <c r="S718" s="364"/>
      <c r="T718" s="181"/>
      <c r="U718" s="364"/>
      <c r="V718" s="364"/>
      <c r="W718" s="364"/>
    </row>
    <row r="719" spans="1:41" x14ac:dyDescent="0.3">
      <c r="A719" s="59">
        <f t="shared" si="160"/>
        <v>498</v>
      </c>
      <c r="B719" s="66" t="s">
        <v>3080</v>
      </c>
      <c r="C719" s="364">
        <f t="shared" si="158"/>
        <v>5252173.9399999995</v>
      </c>
      <c r="D719" s="364">
        <f t="shared" si="159"/>
        <v>779251.94</v>
      </c>
      <c r="E719" s="364">
        <v>779251.94</v>
      </c>
      <c r="F719" s="364"/>
      <c r="G719" s="364"/>
      <c r="H719" s="364"/>
      <c r="I719" s="364"/>
      <c r="J719" s="129"/>
      <c r="K719" s="364"/>
      <c r="L719" s="364"/>
      <c r="M719" s="129"/>
      <c r="N719" s="364"/>
      <c r="O719" s="129" t="s">
        <v>3063</v>
      </c>
      <c r="P719" s="364">
        <v>4472922</v>
      </c>
      <c r="Q719" s="407"/>
      <c r="R719" s="364"/>
      <c r="S719" s="364"/>
      <c r="T719" s="181"/>
      <c r="U719" s="364"/>
      <c r="V719" s="364"/>
      <c r="W719" s="364"/>
    </row>
    <row r="720" spans="1:41" x14ac:dyDescent="0.3">
      <c r="A720" s="59">
        <f t="shared" si="160"/>
        <v>499</v>
      </c>
      <c r="B720" s="66" t="s">
        <v>3081</v>
      </c>
      <c r="C720" s="364">
        <f t="shared" si="158"/>
        <v>860813.54</v>
      </c>
      <c r="D720" s="364">
        <f t="shared" si="159"/>
        <v>860813.54</v>
      </c>
      <c r="E720" s="364">
        <v>860813.54</v>
      </c>
      <c r="F720" s="364"/>
      <c r="G720" s="364"/>
      <c r="H720" s="364"/>
      <c r="I720" s="364"/>
      <c r="J720" s="129"/>
      <c r="K720" s="364"/>
      <c r="L720" s="364"/>
      <c r="M720" s="129"/>
      <c r="N720" s="364"/>
      <c r="O720" s="129"/>
      <c r="P720" s="364"/>
      <c r="Q720" s="408"/>
      <c r="R720" s="364"/>
      <c r="S720" s="364"/>
      <c r="T720" s="181"/>
      <c r="U720" s="364"/>
      <c r="V720" s="364"/>
      <c r="W720" s="364"/>
    </row>
    <row r="721" spans="1:23" x14ac:dyDescent="0.3">
      <c r="A721" s="59">
        <f t="shared" si="160"/>
        <v>500</v>
      </c>
      <c r="B721" s="66" t="s">
        <v>3082</v>
      </c>
      <c r="C721" s="364">
        <f t="shared" si="158"/>
        <v>821949.06</v>
      </c>
      <c r="D721" s="364">
        <f t="shared" si="159"/>
        <v>821949.06</v>
      </c>
      <c r="E721" s="364">
        <v>821949.06</v>
      </c>
      <c r="F721" s="364"/>
      <c r="G721" s="364"/>
      <c r="H721" s="364"/>
      <c r="I721" s="364"/>
      <c r="J721" s="129"/>
      <c r="K721" s="364"/>
      <c r="L721" s="364"/>
      <c r="M721" s="129"/>
      <c r="N721" s="364"/>
      <c r="O721" s="129"/>
      <c r="P721" s="364"/>
      <c r="Q721" s="407"/>
      <c r="R721" s="364"/>
      <c r="S721" s="364"/>
      <c r="T721" s="181"/>
      <c r="U721" s="364"/>
      <c r="V721" s="364"/>
      <c r="W721" s="364"/>
    </row>
    <row r="722" spans="1:23" x14ac:dyDescent="0.3">
      <c r="A722" s="59">
        <f t="shared" si="160"/>
        <v>501</v>
      </c>
      <c r="B722" s="66" t="s">
        <v>3094</v>
      </c>
      <c r="C722" s="364">
        <f t="shared" si="158"/>
        <v>12615906</v>
      </c>
      <c r="D722" s="364">
        <f t="shared" si="159"/>
        <v>0</v>
      </c>
      <c r="E722" s="364"/>
      <c r="F722" s="364"/>
      <c r="G722" s="364"/>
      <c r="H722" s="364"/>
      <c r="I722" s="364"/>
      <c r="J722" s="129"/>
      <c r="K722" s="364"/>
      <c r="L722" s="364"/>
      <c r="M722" s="129"/>
      <c r="N722" s="364"/>
      <c r="O722" s="129" t="s">
        <v>3095</v>
      </c>
      <c r="P722" s="364">
        <v>12615906</v>
      </c>
      <c r="Q722" s="407"/>
      <c r="R722" s="364"/>
      <c r="S722" s="364"/>
      <c r="T722" s="181"/>
      <c r="U722" s="364"/>
      <c r="V722" s="364"/>
      <c r="W722" s="364"/>
    </row>
    <row r="723" spans="1:23" x14ac:dyDescent="0.3">
      <c r="A723" s="59">
        <f t="shared" si="160"/>
        <v>502</v>
      </c>
      <c r="B723" s="66" t="s">
        <v>3101</v>
      </c>
      <c r="C723" s="364">
        <f t="shared" si="158"/>
        <v>6565350</v>
      </c>
      <c r="D723" s="364">
        <f t="shared" si="159"/>
        <v>0</v>
      </c>
      <c r="E723" s="364"/>
      <c r="F723" s="364"/>
      <c r="G723" s="364"/>
      <c r="H723" s="364"/>
      <c r="I723" s="364"/>
      <c r="J723" s="129"/>
      <c r="K723" s="364"/>
      <c r="L723" s="364"/>
      <c r="M723" s="129"/>
      <c r="N723" s="364"/>
      <c r="O723" s="129" t="s">
        <v>3102</v>
      </c>
      <c r="P723" s="364">
        <v>6565350</v>
      </c>
      <c r="Q723" s="406"/>
      <c r="R723" s="364"/>
      <c r="S723" s="364"/>
      <c r="T723" s="181"/>
      <c r="U723" s="364"/>
      <c r="V723" s="364"/>
      <c r="W723" s="364"/>
    </row>
    <row r="724" spans="1:23" x14ac:dyDescent="0.3">
      <c r="A724" s="59">
        <f t="shared" si="160"/>
        <v>503</v>
      </c>
      <c r="B724" s="66" t="s">
        <v>3104</v>
      </c>
      <c r="C724" s="364">
        <f t="shared" si="158"/>
        <v>11243295.6</v>
      </c>
      <c r="D724" s="364">
        <f t="shared" si="159"/>
        <v>0</v>
      </c>
      <c r="E724" s="364"/>
      <c r="F724" s="364"/>
      <c r="G724" s="364"/>
      <c r="H724" s="364"/>
      <c r="I724" s="364"/>
      <c r="J724" s="129"/>
      <c r="K724" s="364"/>
      <c r="L724" s="364"/>
      <c r="M724" s="129"/>
      <c r="N724" s="364"/>
      <c r="O724" s="129" t="s">
        <v>3105</v>
      </c>
      <c r="P724" s="364">
        <v>11243295.6</v>
      </c>
      <c r="Q724" s="406"/>
      <c r="R724" s="364"/>
      <c r="S724" s="364"/>
      <c r="T724" s="181"/>
      <c r="U724" s="364"/>
      <c r="V724" s="364"/>
      <c r="W724" s="364"/>
    </row>
    <row r="725" spans="1:23" x14ac:dyDescent="0.3">
      <c r="A725" s="59">
        <f t="shared" si="160"/>
        <v>504</v>
      </c>
      <c r="B725" s="66" t="s">
        <v>3111</v>
      </c>
      <c r="C725" s="364">
        <f t="shared" si="158"/>
        <v>2370546</v>
      </c>
      <c r="D725" s="364">
        <f t="shared" si="159"/>
        <v>0</v>
      </c>
      <c r="E725" s="364"/>
      <c r="F725" s="364"/>
      <c r="G725" s="364"/>
      <c r="H725" s="364"/>
      <c r="I725" s="364"/>
      <c r="J725" s="129"/>
      <c r="K725" s="364"/>
      <c r="L725" s="364"/>
      <c r="M725" s="129"/>
      <c r="N725" s="364"/>
      <c r="O725" s="129" t="s">
        <v>3037</v>
      </c>
      <c r="P725" s="364">
        <v>2370546</v>
      </c>
      <c r="Q725" s="406"/>
      <c r="R725" s="364"/>
      <c r="S725" s="364"/>
      <c r="T725" s="181"/>
      <c r="U725" s="364"/>
      <c r="V725" s="364"/>
      <c r="W725" s="364"/>
    </row>
    <row r="726" spans="1:23" x14ac:dyDescent="0.3">
      <c r="A726" s="59">
        <f t="shared" si="160"/>
        <v>505</v>
      </c>
      <c r="B726" s="66" t="s">
        <v>3112</v>
      </c>
      <c r="C726" s="364">
        <f t="shared" si="158"/>
        <v>9599291.879999999</v>
      </c>
      <c r="D726" s="364">
        <f t="shared" si="159"/>
        <v>0</v>
      </c>
      <c r="E726" s="364"/>
      <c r="F726" s="364"/>
      <c r="G726" s="364"/>
      <c r="H726" s="364"/>
      <c r="I726" s="364"/>
      <c r="J726" s="129"/>
      <c r="K726" s="364"/>
      <c r="L726" s="364"/>
      <c r="M726" s="129">
        <v>998.3</v>
      </c>
      <c r="N726" s="364">
        <v>3289681.08</v>
      </c>
      <c r="O726" s="129">
        <v>999.3</v>
      </c>
      <c r="P726" s="364">
        <v>6309610.7999999998</v>
      </c>
      <c r="Q726" s="406"/>
      <c r="R726" s="364"/>
      <c r="S726" s="364"/>
      <c r="T726" s="181"/>
      <c r="U726" s="364"/>
      <c r="V726" s="364"/>
      <c r="W726" s="364"/>
    </row>
    <row r="727" spans="1:23" x14ac:dyDescent="0.3">
      <c r="A727" s="59">
        <f t="shared" si="160"/>
        <v>506</v>
      </c>
      <c r="B727" s="66" t="s">
        <v>3113</v>
      </c>
      <c r="C727" s="364">
        <f t="shared" si="158"/>
        <v>6981903.5999999996</v>
      </c>
      <c r="D727" s="364">
        <f t="shared" si="159"/>
        <v>0</v>
      </c>
      <c r="E727" s="364"/>
      <c r="F727" s="364"/>
      <c r="G727" s="364"/>
      <c r="H727" s="364"/>
      <c r="I727" s="364"/>
      <c r="J727" s="129"/>
      <c r="K727" s="364"/>
      <c r="L727" s="364"/>
      <c r="M727" s="129"/>
      <c r="N727" s="364"/>
      <c r="O727" s="129" t="s">
        <v>3114</v>
      </c>
      <c r="P727" s="364">
        <v>6981903.5999999996</v>
      </c>
      <c r="Q727" s="407"/>
      <c r="R727" s="364"/>
      <c r="S727" s="364"/>
      <c r="T727" s="181"/>
      <c r="U727" s="364"/>
      <c r="V727" s="364"/>
      <c r="W727" s="364"/>
    </row>
    <row r="728" spans="1:23" x14ac:dyDescent="0.3">
      <c r="A728" s="59">
        <f t="shared" si="160"/>
        <v>507</v>
      </c>
      <c r="B728" s="66" t="s">
        <v>3115</v>
      </c>
      <c r="C728" s="364">
        <f t="shared" si="158"/>
        <v>5426197.1999999993</v>
      </c>
      <c r="D728" s="364">
        <f t="shared" si="159"/>
        <v>0</v>
      </c>
      <c r="E728" s="364"/>
      <c r="F728" s="364"/>
      <c r="G728" s="364"/>
      <c r="H728" s="364"/>
      <c r="I728" s="364"/>
      <c r="J728" s="129"/>
      <c r="K728" s="364"/>
      <c r="L728" s="364"/>
      <c r="M728" s="129">
        <v>250.58</v>
      </c>
      <c r="N728" s="364">
        <v>2054582.4</v>
      </c>
      <c r="O728" s="129" t="s">
        <v>3116</v>
      </c>
      <c r="P728" s="364">
        <v>3371614.8</v>
      </c>
      <c r="Q728" s="406"/>
      <c r="R728" s="364"/>
      <c r="S728" s="364"/>
      <c r="T728" s="181"/>
      <c r="U728" s="364"/>
      <c r="V728" s="364"/>
      <c r="W728" s="364"/>
    </row>
    <row r="729" spans="1:23" x14ac:dyDescent="0.3">
      <c r="A729" s="59">
        <f t="shared" si="160"/>
        <v>508</v>
      </c>
      <c r="B729" s="66" t="s">
        <v>3117</v>
      </c>
      <c r="C729" s="364">
        <f t="shared" si="158"/>
        <v>3548998.8</v>
      </c>
      <c r="D729" s="364">
        <f t="shared" si="159"/>
        <v>0</v>
      </c>
      <c r="E729" s="364"/>
      <c r="F729" s="364"/>
      <c r="G729" s="364"/>
      <c r="H729" s="364"/>
      <c r="I729" s="364"/>
      <c r="J729" s="129"/>
      <c r="K729" s="364"/>
      <c r="L729" s="364"/>
      <c r="M729" s="129"/>
      <c r="N729" s="364"/>
      <c r="O729" s="129" t="s">
        <v>3118</v>
      </c>
      <c r="P729" s="364">
        <v>3548998.8</v>
      </c>
      <c r="Q729" s="406"/>
      <c r="R729" s="364"/>
      <c r="S729" s="364"/>
      <c r="T729" s="181"/>
      <c r="U729" s="364"/>
      <c r="V729" s="364"/>
      <c r="W729" s="364"/>
    </row>
    <row r="730" spans="1:23" x14ac:dyDescent="0.3">
      <c r="A730" s="59">
        <f t="shared" si="160"/>
        <v>509</v>
      </c>
      <c r="B730" s="66" t="s">
        <v>3120</v>
      </c>
      <c r="C730" s="364">
        <f t="shared" si="158"/>
        <v>6483238.7999999998</v>
      </c>
      <c r="D730" s="364">
        <f t="shared" si="159"/>
        <v>0</v>
      </c>
      <c r="E730" s="364"/>
      <c r="F730" s="364"/>
      <c r="G730" s="364"/>
      <c r="H730" s="364"/>
      <c r="I730" s="364"/>
      <c r="J730" s="129"/>
      <c r="K730" s="364"/>
      <c r="L730" s="364"/>
      <c r="M730" s="129"/>
      <c r="N730" s="364"/>
      <c r="O730" s="129">
        <v>592.5</v>
      </c>
      <c r="P730" s="364">
        <v>6483238.7999999998</v>
      </c>
      <c r="Q730" s="406"/>
      <c r="R730" s="364"/>
      <c r="S730" s="364"/>
      <c r="T730" s="181"/>
      <c r="U730" s="364"/>
      <c r="V730" s="364"/>
      <c r="W730" s="364"/>
    </row>
    <row r="731" spans="1:23" x14ac:dyDescent="0.3">
      <c r="A731" s="59">
        <f t="shared" si="160"/>
        <v>510</v>
      </c>
      <c r="B731" s="66" t="s">
        <v>3125</v>
      </c>
      <c r="C731" s="364">
        <f t="shared" si="158"/>
        <v>2209564.7999999998</v>
      </c>
      <c r="D731" s="364">
        <f t="shared" si="159"/>
        <v>0</v>
      </c>
      <c r="E731" s="364"/>
      <c r="F731" s="364"/>
      <c r="G731" s="364"/>
      <c r="H731" s="364"/>
      <c r="I731" s="364"/>
      <c r="J731" s="129"/>
      <c r="K731" s="364"/>
      <c r="L731" s="364"/>
      <c r="M731" s="129"/>
      <c r="N731" s="364"/>
      <c r="O731" s="129" t="s">
        <v>3126</v>
      </c>
      <c r="P731" s="364">
        <v>2209564.7999999998</v>
      </c>
      <c r="Q731" s="406"/>
      <c r="R731" s="364"/>
      <c r="S731" s="364"/>
      <c r="T731" s="181"/>
      <c r="U731" s="364"/>
      <c r="V731" s="364"/>
      <c r="W731" s="364"/>
    </row>
    <row r="732" spans="1:23" x14ac:dyDescent="0.3">
      <c r="A732" s="59">
        <f t="shared" si="160"/>
        <v>511</v>
      </c>
      <c r="B732" s="66" t="s">
        <v>3129</v>
      </c>
      <c r="C732" s="364">
        <f t="shared" si="158"/>
        <v>596262.26</v>
      </c>
      <c r="D732" s="364">
        <f t="shared" si="159"/>
        <v>596262.26</v>
      </c>
      <c r="E732" s="364">
        <v>596262.26</v>
      </c>
      <c r="F732" s="364"/>
      <c r="G732" s="364"/>
      <c r="H732" s="364"/>
      <c r="I732" s="364"/>
      <c r="J732" s="129"/>
      <c r="K732" s="364"/>
      <c r="L732" s="364"/>
      <c r="M732" s="129"/>
      <c r="N732" s="364"/>
      <c r="O732" s="129"/>
      <c r="P732" s="364"/>
      <c r="Q732" s="407"/>
      <c r="R732" s="364"/>
      <c r="S732" s="364"/>
      <c r="T732" s="181"/>
      <c r="U732" s="364"/>
      <c r="V732" s="364"/>
      <c r="W732" s="364"/>
    </row>
    <row r="733" spans="1:23" x14ac:dyDescent="0.3">
      <c r="A733" s="59">
        <f t="shared" si="160"/>
        <v>512</v>
      </c>
      <c r="B733" s="66" t="s">
        <v>3131</v>
      </c>
      <c r="C733" s="364">
        <f t="shared" si="158"/>
        <v>596262.26</v>
      </c>
      <c r="D733" s="364">
        <f t="shared" si="159"/>
        <v>596262.26</v>
      </c>
      <c r="E733" s="364">
        <v>596262.26</v>
      </c>
      <c r="F733" s="364"/>
      <c r="G733" s="364"/>
      <c r="H733" s="364"/>
      <c r="I733" s="364"/>
      <c r="J733" s="129"/>
      <c r="K733" s="364"/>
      <c r="L733" s="364"/>
      <c r="M733" s="129"/>
      <c r="N733" s="364"/>
      <c r="O733" s="129"/>
      <c r="P733" s="364"/>
      <c r="Q733" s="407"/>
      <c r="R733" s="364"/>
      <c r="S733" s="364"/>
      <c r="T733" s="181"/>
      <c r="U733" s="364"/>
      <c r="V733" s="364"/>
      <c r="W733" s="364"/>
    </row>
    <row r="734" spans="1:23" x14ac:dyDescent="0.3">
      <c r="A734" s="59">
        <f t="shared" si="160"/>
        <v>513</v>
      </c>
      <c r="B734" s="66" t="s">
        <v>3132</v>
      </c>
      <c r="C734" s="364">
        <f t="shared" si="158"/>
        <v>596262.26</v>
      </c>
      <c r="D734" s="364">
        <f t="shared" si="159"/>
        <v>596262.26</v>
      </c>
      <c r="E734" s="364">
        <v>596262.26</v>
      </c>
      <c r="F734" s="364"/>
      <c r="G734" s="364"/>
      <c r="H734" s="364"/>
      <c r="I734" s="364"/>
      <c r="J734" s="129"/>
      <c r="K734" s="364"/>
      <c r="L734" s="364"/>
      <c r="M734" s="129"/>
      <c r="N734" s="364"/>
      <c r="O734" s="129"/>
      <c r="P734" s="364"/>
      <c r="Q734" s="407"/>
      <c r="R734" s="364"/>
      <c r="S734" s="364"/>
      <c r="T734" s="181"/>
      <c r="U734" s="364"/>
      <c r="V734" s="364"/>
      <c r="W734" s="364"/>
    </row>
    <row r="735" spans="1:23" x14ac:dyDescent="0.3">
      <c r="A735" s="59">
        <f t="shared" si="160"/>
        <v>514</v>
      </c>
      <c r="B735" s="66" t="s">
        <v>3134</v>
      </c>
      <c r="C735" s="364">
        <f t="shared" si="158"/>
        <v>596262.26</v>
      </c>
      <c r="D735" s="364">
        <f t="shared" si="159"/>
        <v>596262.26</v>
      </c>
      <c r="E735" s="364">
        <v>596262.26</v>
      </c>
      <c r="F735" s="364"/>
      <c r="G735" s="364"/>
      <c r="H735" s="364"/>
      <c r="I735" s="364"/>
      <c r="J735" s="129"/>
      <c r="K735" s="364"/>
      <c r="L735" s="364"/>
      <c r="M735" s="129"/>
      <c r="N735" s="364"/>
      <c r="O735" s="129"/>
      <c r="P735" s="364"/>
      <c r="Q735" s="407"/>
      <c r="R735" s="364"/>
      <c r="S735" s="364"/>
      <c r="T735" s="181"/>
      <c r="U735" s="364"/>
      <c r="V735" s="364"/>
      <c r="W735" s="364"/>
    </row>
    <row r="736" spans="1:23" x14ac:dyDescent="0.3">
      <c r="A736" s="59">
        <f t="shared" si="160"/>
        <v>515</v>
      </c>
      <c r="B736" s="66" t="s">
        <v>3175</v>
      </c>
      <c r="C736" s="364">
        <f t="shared" si="158"/>
        <v>2883274.38</v>
      </c>
      <c r="D736" s="364">
        <f t="shared" si="159"/>
        <v>2883274.38</v>
      </c>
      <c r="E736" s="364">
        <v>2883274.38</v>
      </c>
      <c r="F736" s="364"/>
      <c r="G736" s="364"/>
      <c r="H736" s="364"/>
      <c r="I736" s="364"/>
      <c r="J736" s="129"/>
      <c r="K736" s="364"/>
      <c r="L736" s="364"/>
      <c r="M736" s="129"/>
      <c r="N736" s="364"/>
      <c r="O736" s="129"/>
      <c r="P736" s="364"/>
      <c r="Q736" s="407"/>
      <c r="R736" s="364"/>
      <c r="S736" s="364"/>
      <c r="T736" s="181"/>
      <c r="U736" s="364"/>
      <c r="V736" s="364"/>
      <c r="W736" s="364"/>
    </row>
    <row r="737" spans="1:36" x14ac:dyDescent="0.3">
      <c r="A737" s="59">
        <f t="shared" si="160"/>
        <v>516</v>
      </c>
      <c r="B737" s="66" t="s">
        <v>3177</v>
      </c>
      <c r="C737" s="364">
        <f t="shared" si="158"/>
        <v>0</v>
      </c>
      <c r="D737" s="364">
        <f t="shared" si="159"/>
        <v>0</v>
      </c>
      <c r="E737" s="364"/>
      <c r="F737" s="364"/>
      <c r="G737" s="364"/>
      <c r="H737" s="364"/>
      <c r="I737" s="364"/>
      <c r="J737" s="129"/>
      <c r="K737" s="364"/>
      <c r="L737" s="364"/>
      <c r="M737" s="129"/>
      <c r="N737" s="364"/>
      <c r="O737" s="129"/>
      <c r="P737" s="364"/>
      <c r="Q737" s="407"/>
      <c r="R737" s="364"/>
      <c r="S737" s="364"/>
      <c r="T737" s="181"/>
      <c r="U737" s="364"/>
      <c r="V737" s="364"/>
      <c r="W737" s="364"/>
    </row>
    <row r="738" spans="1:36" x14ac:dyDescent="0.3">
      <c r="A738" s="167" t="s">
        <v>3192</v>
      </c>
      <c r="B738" s="167"/>
      <c r="C738" s="364">
        <f t="shared" ref="C738:W738" si="161">SUM(C710:C737)</f>
        <v>108797643.3</v>
      </c>
      <c r="D738" s="364">
        <f t="shared" si="161"/>
        <v>13050344.219999999</v>
      </c>
      <c r="E738" s="364">
        <f t="shared" si="161"/>
        <v>13050344.219999999</v>
      </c>
      <c r="F738" s="364">
        <f t="shared" si="161"/>
        <v>0</v>
      </c>
      <c r="G738" s="364">
        <f t="shared" si="161"/>
        <v>0</v>
      </c>
      <c r="H738" s="364">
        <f t="shared" si="161"/>
        <v>0</v>
      </c>
      <c r="I738" s="364">
        <f t="shared" si="161"/>
        <v>0</v>
      </c>
      <c r="J738" s="129">
        <f t="shared" si="161"/>
        <v>0</v>
      </c>
      <c r="K738" s="364">
        <f t="shared" si="161"/>
        <v>0</v>
      </c>
      <c r="L738" s="364">
        <f t="shared" si="161"/>
        <v>0</v>
      </c>
      <c r="M738" s="129">
        <f t="shared" si="161"/>
        <v>1248.8799999999999</v>
      </c>
      <c r="N738" s="364">
        <f t="shared" si="161"/>
        <v>5344263.4800000004</v>
      </c>
      <c r="O738" s="129">
        <f t="shared" si="161"/>
        <v>2184.3000000000002</v>
      </c>
      <c r="P738" s="364">
        <f t="shared" si="161"/>
        <v>90403035.599999979</v>
      </c>
      <c r="Q738" s="406">
        <f t="shared" si="161"/>
        <v>0</v>
      </c>
      <c r="R738" s="364">
        <f t="shared" si="161"/>
        <v>0</v>
      </c>
      <c r="S738" s="364">
        <f t="shared" si="161"/>
        <v>0</v>
      </c>
      <c r="T738" s="181">
        <f t="shared" si="161"/>
        <v>0</v>
      </c>
      <c r="U738" s="364">
        <f t="shared" si="161"/>
        <v>0</v>
      </c>
      <c r="V738" s="364">
        <f t="shared" si="161"/>
        <v>0</v>
      </c>
      <c r="W738" s="364">
        <f t="shared" si="161"/>
        <v>0</v>
      </c>
    </row>
    <row r="739" spans="1:36" x14ac:dyDescent="0.3">
      <c r="A739" s="63" t="s">
        <v>3193</v>
      </c>
      <c r="B739" s="176"/>
      <c r="C739" s="363"/>
      <c r="D739" s="363"/>
      <c r="E739" s="363"/>
      <c r="F739" s="363"/>
      <c r="G739" s="363"/>
      <c r="H739" s="363"/>
      <c r="I739" s="363"/>
      <c r="J739" s="391"/>
      <c r="K739" s="363"/>
      <c r="L739" s="363"/>
      <c r="M739" s="391"/>
      <c r="N739" s="363"/>
      <c r="O739" s="391"/>
      <c r="P739" s="363"/>
      <c r="Q739" s="392"/>
      <c r="R739" s="363"/>
      <c r="S739" s="363"/>
      <c r="T739" s="393"/>
      <c r="U739" s="363"/>
      <c r="V739" s="363"/>
      <c r="W739" s="363"/>
      <c r="X739" s="298"/>
      <c r="Y739" s="9"/>
      <c r="Z739" s="9"/>
      <c r="AA739" s="9"/>
      <c r="AB739" s="9"/>
      <c r="AC739" s="9"/>
      <c r="AD739" s="9"/>
      <c r="AE739" s="9"/>
      <c r="AF739" s="9"/>
      <c r="AG739" s="40"/>
      <c r="AH739" s="56"/>
      <c r="AI739" s="56"/>
      <c r="AJ739" s="56"/>
    </row>
    <row r="740" spans="1:36" x14ac:dyDescent="0.3">
      <c r="A740" s="176" t="s">
        <v>145</v>
      </c>
      <c r="B740" s="176"/>
      <c r="C740" s="387"/>
      <c r="D740" s="387"/>
      <c r="E740" s="387"/>
      <c r="F740" s="387"/>
      <c r="G740" s="387"/>
      <c r="H740" s="387"/>
      <c r="I740" s="387"/>
      <c r="J740" s="388"/>
      <c r="K740" s="387"/>
      <c r="L740" s="387"/>
      <c r="M740" s="388"/>
      <c r="N740" s="387"/>
      <c r="O740" s="388"/>
      <c r="P740" s="387"/>
      <c r="Q740" s="389"/>
      <c r="R740" s="387"/>
      <c r="S740" s="387"/>
      <c r="T740" s="390"/>
      <c r="U740" s="387"/>
      <c r="V740" s="387"/>
      <c r="W740" s="387"/>
      <c r="X740" s="298"/>
      <c r="Y740" s="9"/>
      <c r="Z740" s="9"/>
      <c r="AA740" s="9"/>
      <c r="AB740" s="9"/>
      <c r="AC740" s="9"/>
      <c r="AD740" s="9"/>
      <c r="AE740" s="9"/>
      <c r="AF740" s="9"/>
      <c r="AG740" s="40"/>
      <c r="AH740" s="56"/>
      <c r="AI740" s="56"/>
      <c r="AJ740" s="56"/>
    </row>
    <row r="741" spans="1:36" x14ac:dyDescent="0.3">
      <c r="A741" s="59">
        <f>A737+1</f>
        <v>517</v>
      </c>
      <c r="B741" s="66" t="s">
        <v>3196</v>
      </c>
      <c r="C741" s="51">
        <f>D741+K741+L741+N741+P741+R741+S741+U741+V741+W741</f>
        <v>1316618.3999999999</v>
      </c>
      <c r="D741" s="51">
        <f>E741+F741+G741+H741</f>
        <v>0</v>
      </c>
      <c r="E741" s="51"/>
      <c r="F741" s="51"/>
      <c r="G741" s="51"/>
      <c r="H741" s="51"/>
      <c r="I741" s="51"/>
      <c r="J741" s="82"/>
      <c r="K741" s="51"/>
      <c r="L741" s="51"/>
      <c r="M741" s="82">
        <v>660</v>
      </c>
      <c r="N741" s="51">
        <v>1316618.3999999999</v>
      </c>
      <c r="O741" s="82"/>
      <c r="P741" s="51"/>
      <c r="Q741" s="338"/>
      <c r="R741" s="51"/>
      <c r="S741" s="51"/>
      <c r="T741" s="35"/>
      <c r="U741" s="51"/>
      <c r="V741" s="51"/>
      <c r="W741" s="364"/>
      <c r="X741" s="285"/>
      <c r="Y741" s="9"/>
      <c r="Z741" s="9"/>
      <c r="AA741" s="9"/>
      <c r="AB741" s="9"/>
      <c r="AC741" s="9"/>
      <c r="AD741" s="9"/>
      <c r="AE741" s="9"/>
      <c r="AF741" s="9"/>
      <c r="AG741" s="40"/>
      <c r="AH741" s="56"/>
      <c r="AI741" s="56"/>
      <c r="AJ741" s="56"/>
    </row>
    <row r="742" spans="1:36" x14ac:dyDescent="0.3">
      <c r="A742" s="59">
        <f>A741+1</f>
        <v>518</v>
      </c>
      <c r="B742" s="66" t="s">
        <v>3197</v>
      </c>
      <c r="C742" s="51">
        <f>D742+K742+L742+N742+P742+R742+S742+U742+V742+W742</f>
        <v>1206667.2</v>
      </c>
      <c r="D742" s="51">
        <f>E742+F742+G742+H742</f>
        <v>0</v>
      </c>
      <c r="E742" s="51"/>
      <c r="F742" s="51"/>
      <c r="G742" s="51"/>
      <c r="H742" s="51"/>
      <c r="I742" s="51"/>
      <c r="J742" s="82"/>
      <c r="K742" s="51"/>
      <c r="L742" s="51"/>
      <c r="M742" s="82">
        <v>660</v>
      </c>
      <c r="N742" s="51">
        <v>1206667.2</v>
      </c>
      <c r="O742" s="82"/>
      <c r="P742" s="51"/>
      <c r="Q742" s="338"/>
      <c r="R742" s="51"/>
      <c r="S742" s="51"/>
      <c r="T742" s="35"/>
      <c r="U742" s="51"/>
      <c r="V742" s="51"/>
      <c r="W742" s="364"/>
      <c r="X742" s="285"/>
      <c r="Y742" s="9"/>
      <c r="Z742" s="9"/>
      <c r="AA742" s="9"/>
      <c r="AB742" s="9"/>
      <c r="AC742" s="9"/>
      <c r="AD742" s="9"/>
      <c r="AE742" s="9"/>
      <c r="AF742" s="9"/>
      <c r="AG742" s="40"/>
      <c r="AH742" s="56"/>
      <c r="AI742" s="56"/>
      <c r="AJ742" s="56"/>
    </row>
    <row r="743" spans="1:36" x14ac:dyDescent="0.3">
      <c r="A743" s="59">
        <f>A742+1</f>
        <v>519</v>
      </c>
      <c r="B743" s="66" t="s">
        <v>3198</v>
      </c>
      <c r="C743" s="51">
        <f>D743+K743+L743+N743+P743+R743+S743+U743+V743+W743</f>
        <v>1180126.8</v>
      </c>
      <c r="D743" s="51">
        <f>E743+F743+G743+H743</f>
        <v>0</v>
      </c>
      <c r="E743" s="51"/>
      <c r="F743" s="51"/>
      <c r="G743" s="51"/>
      <c r="H743" s="51"/>
      <c r="I743" s="51"/>
      <c r="J743" s="82"/>
      <c r="K743" s="51"/>
      <c r="L743" s="51"/>
      <c r="M743" s="82">
        <v>660</v>
      </c>
      <c r="N743" s="51">
        <v>1180126.8</v>
      </c>
      <c r="O743" s="82"/>
      <c r="P743" s="51"/>
      <c r="Q743" s="338"/>
      <c r="R743" s="51"/>
      <c r="S743" s="51"/>
      <c r="T743" s="35"/>
      <c r="U743" s="51"/>
      <c r="V743" s="51"/>
      <c r="W743" s="364"/>
      <c r="X743" s="285"/>
      <c r="Y743" s="9"/>
      <c r="Z743" s="9"/>
      <c r="AA743" s="9"/>
      <c r="AB743" s="9"/>
      <c r="AC743" s="9"/>
      <c r="AD743" s="9"/>
      <c r="AE743" s="9"/>
      <c r="AF743" s="9"/>
      <c r="AG743" s="40"/>
      <c r="AH743" s="56"/>
      <c r="AI743" s="56"/>
      <c r="AJ743" s="56"/>
    </row>
    <row r="744" spans="1:36" x14ac:dyDescent="0.3">
      <c r="A744" s="177" t="s">
        <v>211</v>
      </c>
      <c r="B744" s="177"/>
      <c r="C744" s="51">
        <f t="shared" ref="C744:R744" si="162">SUBTOTAL(9,C741:C743)</f>
        <v>3703412.3999999994</v>
      </c>
      <c r="D744" s="51">
        <f t="shared" si="162"/>
        <v>0</v>
      </c>
      <c r="E744" s="51">
        <f t="shared" si="162"/>
        <v>0</v>
      </c>
      <c r="F744" s="51">
        <f t="shared" si="162"/>
        <v>0</v>
      </c>
      <c r="G744" s="51">
        <f t="shared" si="162"/>
        <v>0</v>
      </c>
      <c r="H744" s="51">
        <f t="shared" si="162"/>
        <v>0</v>
      </c>
      <c r="I744" s="51">
        <f t="shared" si="162"/>
        <v>0</v>
      </c>
      <c r="J744" s="82">
        <f t="shared" si="162"/>
        <v>0</v>
      </c>
      <c r="K744" s="51">
        <f t="shared" si="162"/>
        <v>0</v>
      </c>
      <c r="L744" s="51">
        <f t="shared" si="162"/>
        <v>0</v>
      </c>
      <c r="M744" s="82">
        <f t="shared" si="162"/>
        <v>1980</v>
      </c>
      <c r="N744" s="51">
        <f t="shared" si="162"/>
        <v>3703412.3999999994</v>
      </c>
      <c r="O744" s="82">
        <f t="shared" si="162"/>
        <v>0</v>
      </c>
      <c r="P744" s="51">
        <f t="shared" si="162"/>
        <v>0</v>
      </c>
      <c r="Q744" s="338">
        <f t="shared" si="162"/>
        <v>0</v>
      </c>
      <c r="R744" s="51">
        <f t="shared" si="162"/>
        <v>0</v>
      </c>
      <c r="S744" s="51">
        <f>SUBTOTAL(9,S741:S743)</f>
        <v>0</v>
      </c>
      <c r="T744" s="35">
        <f>SUBTOTAL(9,T741:T743)</f>
        <v>0</v>
      </c>
      <c r="U744" s="51">
        <f>SUBTOTAL(9,U741:U743)</f>
        <v>0</v>
      </c>
      <c r="V744" s="51">
        <f>SUBTOTAL(9,V741:V743)</f>
        <v>0</v>
      </c>
      <c r="W744" s="51">
        <f>SUBTOTAL(9,W741:W743)</f>
        <v>0</v>
      </c>
      <c r="X744" s="329"/>
      <c r="Y744" s="9"/>
      <c r="Z744" s="9"/>
      <c r="AA744" s="9"/>
      <c r="AB744" s="9"/>
      <c r="AC744" s="9"/>
      <c r="AD744" s="9"/>
      <c r="AE744" s="9"/>
      <c r="AF744" s="9"/>
      <c r="AG744" s="40"/>
      <c r="AH744" s="56"/>
      <c r="AI744" s="56"/>
      <c r="AJ744" s="56"/>
    </row>
    <row r="745" spans="1:36" x14ac:dyDescent="0.3">
      <c r="A745" s="176" t="s">
        <v>3199</v>
      </c>
      <c r="B745" s="176"/>
      <c r="C745" s="51"/>
      <c r="D745" s="51"/>
      <c r="E745" s="51"/>
      <c r="F745" s="51"/>
      <c r="G745" s="51"/>
      <c r="H745" s="51"/>
      <c r="I745" s="51"/>
      <c r="J745" s="82"/>
      <c r="K745" s="51"/>
      <c r="L745" s="51"/>
      <c r="M745" s="82"/>
      <c r="N745" s="51"/>
      <c r="O745" s="82"/>
      <c r="P745" s="51"/>
      <c r="Q745" s="338"/>
      <c r="R745" s="51"/>
      <c r="S745" s="51"/>
      <c r="T745" s="35"/>
      <c r="U745" s="51"/>
      <c r="V745" s="51"/>
      <c r="W745" s="364">
        <f>SUM(Y745:AK745)</f>
        <v>0</v>
      </c>
      <c r="X745" s="285"/>
      <c r="Y745" s="9"/>
      <c r="Z745" s="9"/>
      <c r="AA745" s="9"/>
      <c r="AB745" s="9"/>
      <c r="AC745" s="9"/>
      <c r="AD745" s="9"/>
      <c r="AE745" s="9"/>
      <c r="AF745" s="9"/>
      <c r="AG745" s="40"/>
      <c r="AH745" s="56"/>
      <c r="AI745" s="56"/>
      <c r="AJ745" s="56"/>
    </row>
    <row r="746" spans="1:36" x14ac:dyDescent="0.3">
      <c r="A746" s="59">
        <f>A743+1</f>
        <v>520</v>
      </c>
      <c r="B746" s="66" t="s">
        <v>3202</v>
      </c>
      <c r="C746" s="51">
        <f>D746+K746+L746+N746+P746+R746+S746+U746+V746+W746</f>
        <v>1293511.2</v>
      </c>
      <c r="D746" s="51">
        <f>E746+F746+G746+H746</f>
        <v>0</v>
      </c>
      <c r="E746" s="364"/>
      <c r="F746" s="51"/>
      <c r="G746" s="51"/>
      <c r="H746" s="51"/>
      <c r="I746" s="51"/>
      <c r="J746" s="82"/>
      <c r="K746" s="51"/>
      <c r="L746" s="51"/>
      <c r="M746" s="82">
        <v>464</v>
      </c>
      <c r="N746" s="51">
        <v>1293511.2</v>
      </c>
      <c r="O746" s="82"/>
      <c r="P746" s="364"/>
      <c r="Q746" s="338"/>
      <c r="R746" s="51"/>
      <c r="S746" s="51"/>
      <c r="T746" s="35"/>
      <c r="U746" s="51"/>
      <c r="V746" s="51"/>
      <c r="W746" s="364"/>
      <c r="X746" s="285"/>
      <c r="Y746" s="9"/>
      <c r="Z746" s="9">
        <v>96677.3</v>
      </c>
      <c r="AA746" s="9"/>
      <c r="AB746" s="9"/>
      <c r="AC746" s="9"/>
      <c r="AD746" s="9"/>
      <c r="AE746" s="9"/>
      <c r="AF746" s="9"/>
      <c r="AG746" s="40"/>
      <c r="AH746" s="56"/>
      <c r="AI746" s="56"/>
      <c r="AJ746" s="56"/>
    </row>
    <row r="747" spans="1:36" x14ac:dyDescent="0.3">
      <c r="A747" s="177" t="s">
        <v>211</v>
      </c>
      <c r="B747" s="177"/>
      <c r="C747" s="51">
        <f t="shared" ref="C747:R747" si="163">SUBTOTAL(9,C746:C746)</f>
        <v>1293511.2</v>
      </c>
      <c r="D747" s="51">
        <f t="shared" si="163"/>
        <v>0</v>
      </c>
      <c r="E747" s="51">
        <f t="shared" si="163"/>
        <v>0</v>
      </c>
      <c r="F747" s="51">
        <f t="shared" si="163"/>
        <v>0</v>
      </c>
      <c r="G747" s="51">
        <f t="shared" si="163"/>
        <v>0</v>
      </c>
      <c r="H747" s="51">
        <f t="shared" si="163"/>
        <v>0</v>
      </c>
      <c r="I747" s="51">
        <f t="shared" si="163"/>
        <v>0</v>
      </c>
      <c r="J747" s="82">
        <f t="shared" si="163"/>
        <v>0</v>
      </c>
      <c r="K747" s="51">
        <f t="shared" si="163"/>
        <v>0</v>
      </c>
      <c r="L747" s="51">
        <f t="shared" si="163"/>
        <v>0</v>
      </c>
      <c r="M747" s="82">
        <f t="shared" si="163"/>
        <v>464</v>
      </c>
      <c r="N747" s="51">
        <f t="shared" si="163"/>
        <v>1293511.2</v>
      </c>
      <c r="O747" s="82">
        <f t="shared" si="163"/>
        <v>0</v>
      </c>
      <c r="P747" s="51">
        <f t="shared" si="163"/>
        <v>0</v>
      </c>
      <c r="Q747" s="338">
        <f t="shared" si="163"/>
        <v>0</v>
      </c>
      <c r="R747" s="51">
        <f t="shared" si="163"/>
        <v>0</v>
      </c>
      <c r="S747" s="51">
        <f>SUBTOTAL(9,S746:S746)</f>
        <v>0</v>
      </c>
      <c r="T747" s="35">
        <f>SUBTOTAL(9,T746:T746)</f>
        <v>0</v>
      </c>
      <c r="U747" s="51">
        <f>SUBTOTAL(9,U746:U746)</f>
        <v>0</v>
      </c>
      <c r="V747" s="51">
        <f>SUBTOTAL(9,V746:V746)</f>
        <v>0</v>
      </c>
      <c r="W747" s="51">
        <f>SUBTOTAL(9,W746:W746)</f>
        <v>0</v>
      </c>
      <c r="X747" s="329"/>
      <c r="Y747" s="9"/>
      <c r="Z747" s="9"/>
      <c r="AA747" s="9"/>
      <c r="AB747" s="9"/>
      <c r="AC747" s="9"/>
      <c r="AD747" s="9"/>
      <c r="AE747" s="9"/>
      <c r="AF747" s="9"/>
      <c r="AG747" s="40"/>
      <c r="AH747" s="56"/>
      <c r="AI747" s="56"/>
      <c r="AJ747" s="56"/>
    </row>
    <row r="748" spans="1:36" x14ac:dyDescent="0.3">
      <c r="A748" s="176" t="s">
        <v>3208</v>
      </c>
      <c r="B748" s="176"/>
      <c r="C748" s="51"/>
      <c r="D748" s="51"/>
      <c r="E748" s="51"/>
      <c r="F748" s="51"/>
      <c r="G748" s="51"/>
      <c r="H748" s="51"/>
      <c r="I748" s="51"/>
      <c r="J748" s="82"/>
      <c r="K748" s="51"/>
      <c r="L748" s="51"/>
      <c r="M748" s="82"/>
      <c r="N748" s="51"/>
      <c r="O748" s="82"/>
      <c r="P748" s="51"/>
      <c r="Q748" s="338"/>
      <c r="R748" s="51"/>
      <c r="S748" s="51"/>
      <c r="T748" s="35"/>
      <c r="U748" s="51"/>
      <c r="V748" s="51"/>
      <c r="W748" s="364">
        <f>SUM(Y748:AK748)</f>
        <v>0</v>
      </c>
      <c r="X748" s="285"/>
      <c r="Y748" s="9"/>
      <c r="Z748" s="9"/>
      <c r="AA748" s="9"/>
      <c r="AB748" s="9"/>
      <c r="AC748" s="9"/>
      <c r="AD748" s="9"/>
      <c r="AE748" s="9"/>
      <c r="AF748" s="9"/>
      <c r="AG748" s="40"/>
      <c r="AH748" s="56"/>
      <c r="AI748" s="56"/>
      <c r="AJ748" s="56"/>
    </row>
    <row r="749" spans="1:36" x14ac:dyDescent="0.3">
      <c r="A749" s="59">
        <f>A746+1</f>
        <v>521</v>
      </c>
      <c r="B749" s="66" t="s">
        <v>3287</v>
      </c>
      <c r="C749" s="51">
        <f t="shared" ref="C749:C770" si="164">D749+K749+L749+N749+P749+R749+S749+U749+V749+W749</f>
        <v>1553003.9000000001</v>
      </c>
      <c r="D749" s="51">
        <f t="shared" ref="D749:D770" si="165">E749+F749+G749+H749+I749</f>
        <v>1553003.9000000001</v>
      </c>
      <c r="E749" s="51"/>
      <c r="F749" s="51"/>
      <c r="G749" s="364">
        <v>408690.64</v>
      </c>
      <c r="H749" s="364">
        <v>700077.48</v>
      </c>
      <c r="I749" s="364">
        <v>444235.78</v>
      </c>
      <c r="J749" s="82"/>
      <c r="K749" s="51"/>
      <c r="L749" s="51"/>
      <c r="M749" s="82"/>
      <c r="N749" s="51"/>
      <c r="O749" s="82"/>
      <c r="P749" s="364"/>
      <c r="Q749" s="338"/>
      <c r="R749" s="364"/>
      <c r="S749" s="51"/>
      <c r="T749" s="35"/>
      <c r="U749" s="51"/>
      <c r="V749" s="51"/>
      <c r="W749" s="364"/>
      <c r="X749" s="285"/>
      <c r="Y749" s="9"/>
      <c r="Z749" s="9"/>
      <c r="AA749" s="9"/>
      <c r="AB749" s="9"/>
      <c r="AC749" s="9"/>
      <c r="AD749" s="9"/>
      <c r="AE749" s="9"/>
      <c r="AF749" s="9"/>
      <c r="AG749" s="40"/>
      <c r="AH749" s="56">
        <v>869647.5</v>
      </c>
      <c r="AI749" s="56"/>
      <c r="AJ749" s="56"/>
    </row>
    <row r="750" spans="1:36" x14ac:dyDescent="0.3">
      <c r="A750" s="59">
        <f>A749+1</f>
        <v>522</v>
      </c>
      <c r="B750" s="66" t="s">
        <v>3305</v>
      </c>
      <c r="C750" s="51">
        <f t="shared" si="164"/>
        <v>2443417.2000000002</v>
      </c>
      <c r="D750" s="51">
        <f t="shared" si="165"/>
        <v>2443417.2000000002</v>
      </c>
      <c r="E750" s="51">
        <v>2443417.2000000002</v>
      </c>
      <c r="F750" s="51"/>
      <c r="G750" s="364"/>
      <c r="H750" s="51"/>
      <c r="I750" s="51"/>
      <c r="J750" s="82"/>
      <c r="K750" s="51"/>
      <c r="L750" s="51"/>
      <c r="M750" s="82"/>
      <c r="N750" s="51"/>
      <c r="O750" s="82"/>
      <c r="P750" s="51"/>
      <c r="Q750" s="338"/>
      <c r="R750" s="51"/>
      <c r="S750" s="51"/>
      <c r="T750" s="35"/>
      <c r="U750" s="51"/>
      <c r="V750" s="51"/>
      <c r="W750" s="364"/>
      <c r="X750" s="285"/>
      <c r="Y750" s="9"/>
      <c r="Z750" s="9">
        <v>205284.23</v>
      </c>
      <c r="AA750" s="9"/>
      <c r="AB750" s="9"/>
      <c r="AC750" s="9"/>
      <c r="AD750" s="9"/>
      <c r="AE750" s="9"/>
      <c r="AF750" s="9"/>
      <c r="AG750" s="40">
        <v>158206.54</v>
      </c>
      <c r="AH750" s="56"/>
      <c r="AI750" s="56"/>
      <c r="AJ750" s="56"/>
    </row>
    <row r="751" spans="1:36" x14ac:dyDescent="0.3">
      <c r="A751" s="59">
        <f t="shared" ref="A751:A770" si="166">A750+1</f>
        <v>523</v>
      </c>
      <c r="B751" s="66" t="s">
        <v>3337</v>
      </c>
      <c r="C751" s="51">
        <f t="shared" si="164"/>
        <v>1799343.6</v>
      </c>
      <c r="D751" s="51">
        <f t="shared" si="165"/>
        <v>1799343.6</v>
      </c>
      <c r="E751" s="51">
        <v>1799343.6</v>
      </c>
      <c r="F751" s="51"/>
      <c r="G751" s="51"/>
      <c r="H751" s="51"/>
      <c r="I751" s="51"/>
      <c r="J751" s="129"/>
      <c r="K751" s="51"/>
      <c r="L751" s="51"/>
      <c r="M751" s="82"/>
      <c r="N751" s="51"/>
      <c r="O751" s="82"/>
      <c r="P751" s="51"/>
      <c r="Q751" s="338"/>
      <c r="R751" s="51"/>
      <c r="S751" s="51"/>
      <c r="T751" s="35"/>
      <c r="U751" s="51"/>
      <c r="V751" s="51"/>
      <c r="W751" s="364"/>
      <c r="X751" s="285"/>
      <c r="Y751" s="9"/>
      <c r="Z751" s="9"/>
      <c r="AA751" s="9"/>
      <c r="AB751" s="9"/>
      <c r="AC751" s="9"/>
      <c r="AD751" s="9"/>
      <c r="AE751" s="9"/>
      <c r="AF751" s="9"/>
      <c r="AG751" s="40"/>
      <c r="AH751" s="56">
        <v>1512084.54</v>
      </c>
      <c r="AI751" s="56"/>
      <c r="AJ751" s="56"/>
    </row>
    <row r="752" spans="1:36" x14ac:dyDescent="0.3">
      <c r="A752" s="59">
        <f t="shared" si="166"/>
        <v>524</v>
      </c>
      <c r="B752" s="66" t="s">
        <v>3350</v>
      </c>
      <c r="C752" s="51">
        <f t="shared" si="164"/>
        <v>836228.4</v>
      </c>
      <c r="D752" s="51">
        <f t="shared" si="165"/>
        <v>836228.4</v>
      </c>
      <c r="E752" s="51">
        <v>836228.4</v>
      </c>
      <c r="F752" s="51"/>
      <c r="G752" s="51"/>
      <c r="H752" s="51"/>
      <c r="I752" s="51"/>
      <c r="J752" s="82"/>
      <c r="K752" s="51"/>
      <c r="L752" s="51"/>
      <c r="M752" s="82"/>
      <c r="N752" s="51"/>
      <c r="O752" s="82"/>
      <c r="P752" s="364"/>
      <c r="Q752" s="338"/>
      <c r="R752" s="364"/>
      <c r="S752" s="51"/>
      <c r="T752" s="35"/>
      <c r="U752" s="51"/>
      <c r="V752" s="51"/>
      <c r="W752" s="364"/>
      <c r="X752" s="285"/>
      <c r="Y752" s="9"/>
      <c r="Z752" s="9"/>
      <c r="AA752" s="9"/>
      <c r="AB752" s="9"/>
      <c r="AC752" s="9"/>
      <c r="AD752" s="9"/>
      <c r="AE752" s="9"/>
      <c r="AF752" s="9"/>
      <c r="AG752" s="40"/>
      <c r="AH752" s="56">
        <v>577052.24</v>
      </c>
      <c r="AI752" s="56"/>
      <c r="AJ752" s="56"/>
    </row>
    <row r="753" spans="1:36" x14ac:dyDescent="0.3">
      <c r="A753" s="59">
        <f t="shared" si="166"/>
        <v>525</v>
      </c>
      <c r="B753" s="66" t="s">
        <v>3360</v>
      </c>
      <c r="C753" s="51">
        <f t="shared" si="164"/>
        <v>420449.34</v>
      </c>
      <c r="D753" s="51">
        <f t="shared" si="165"/>
        <v>420449.34</v>
      </c>
      <c r="E753" s="51">
        <v>420449.34</v>
      </c>
      <c r="F753" s="364"/>
      <c r="G753" s="364"/>
      <c r="H753" s="364"/>
      <c r="I753" s="364"/>
      <c r="J753" s="82"/>
      <c r="K753" s="51"/>
      <c r="L753" s="51"/>
      <c r="M753" s="82"/>
      <c r="N753" s="364"/>
      <c r="O753" s="82"/>
      <c r="P753" s="364"/>
      <c r="Q753" s="338"/>
      <c r="R753" s="364"/>
      <c r="S753" s="51"/>
      <c r="T753" s="35"/>
      <c r="U753" s="364"/>
      <c r="V753" s="51"/>
      <c r="W753" s="364"/>
      <c r="X753" s="285"/>
      <c r="Y753" s="9"/>
      <c r="Z753" s="9"/>
      <c r="AA753" s="9"/>
      <c r="AB753" s="9"/>
      <c r="AC753" s="9"/>
      <c r="AD753" s="9"/>
      <c r="AE753" s="9">
        <v>77552.990000000005</v>
      </c>
      <c r="AF753" s="9"/>
      <c r="AG753" s="40"/>
      <c r="AH753" s="56">
        <v>399984.59</v>
      </c>
      <c r="AI753" s="56">
        <v>130964.32</v>
      </c>
      <c r="AJ753" s="56"/>
    </row>
    <row r="754" spans="1:36" x14ac:dyDescent="0.3">
      <c r="A754" s="59">
        <f t="shared" si="166"/>
        <v>526</v>
      </c>
      <c r="B754" s="66" t="s">
        <v>3365</v>
      </c>
      <c r="C754" s="51">
        <f t="shared" si="164"/>
        <v>340582.22</v>
      </c>
      <c r="D754" s="51">
        <f t="shared" si="165"/>
        <v>340582.22</v>
      </c>
      <c r="E754" s="51">
        <v>340582.22</v>
      </c>
      <c r="F754" s="364"/>
      <c r="G754" s="364"/>
      <c r="H754" s="364"/>
      <c r="I754" s="364"/>
      <c r="J754" s="82"/>
      <c r="K754" s="51"/>
      <c r="L754" s="51"/>
      <c r="M754" s="82"/>
      <c r="N754" s="51"/>
      <c r="O754" s="82"/>
      <c r="P754" s="364"/>
      <c r="Q754" s="338"/>
      <c r="R754" s="364"/>
      <c r="S754" s="51"/>
      <c r="T754" s="35"/>
      <c r="U754" s="364"/>
      <c r="V754" s="51"/>
      <c r="W754" s="364"/>
      <c r="X754" s="285"/>
      <c r="Y754" s="9"/>
      <c r="Z754" s="9"/>
      <c r="AA754" s="9"/>
      <c r="AB754" s="9"/>
      <c r="AC754" s="9"/>
      <c r="AD754" s="9">
        <v>79326.86</v>
      </c>
      <c r="AE754" s="9">
        <v>79326.86</v>
      </c>
      <c r="AF754" s="9"/>
      <c r="AG754" s="40"/>
      <c r="AH754" s="56">
        <v>403762.78</v>
      </c>
      <c r="AI754" s="56">
        <v>141298.70000000001</v>
      </c>
      <c r="AJ754" s="56"/>
    </row>
    <row r="755" spans="1:36" x14ac:dyDescent="0.3">
      <c r="A755" s="59">
        <f t="shared" si="166"/>
        <v>527</v>
      </c>
      <c r="B755" s="66" t="s">
        <v>3369</v>
      </c>
      <c r="C755" s="51">
        <f t="shared" si="164"/>
        <v>419314.18</v>
      </c>
      <c r="D755" s="51">
        <f t="shared" si="165"/>
        <v>419314.18</v>
      </c>
      <c r="E755" s="51">
        <v>419314.18</v>
      </c>
      <c r="F755" s="364"/>
      <c r="G755" s="364"/>
      <c r="H755" s="364"/>
      <c r="I755" s="51"/>
      <c r="J755" s="82"/>
      <c r="K755" s="51"/>
      <c r="L755" s="51"/>
      <c r="M755" s="82"/>
      <c r="N755" s="51"/>
      <c r="O755" s="82"/>
      <c r="P755" s="364"/>
      <c r="Q755" s="338"/>
      <c r="R755" s="51"/>
      <c r="S755" s="51"/>
      <c r="T755" s="35"/>
      <c r="U755" s="51"/>
      <c r="V755" s="51"/>
      <c r="W755" s="364"/>
      <c r="X755" s="285"/>
      <c r="Y755" s="9"/>
      <c r="Z755" s="9"/>
      <c r="AA755" s="9"/>
      <c r="AB755" s="9"/>
      <c r="AC755" s="9"/>
      <c r="AD755" s="9"/>
      <c r="AE755" s="9"/>
      <c r="AF755" s="9"/>
      <c r="AG755" s="40"/>
      <c r="AH755" s="56"/>
      <c r="AI755" s="56"/>
      <c r="AJ755" s="56"/>
    </row>
    <row r="756" spans="1:36" x14ac:dyDescent="0.3">
      <c r="A756" s="59">
        <f t="shared" si="166"/>
        <v>528</v>
      </c>
      <c r="B756" s="66" t="s">
        <v>3377</v>
      </c>
      <c r="C756" s="51">
        <f t="shared" si="164"/>
        <v>361596</v>
      </c>
      <c r="D756" s="51">
        <f t="shared" si="165"/>
        <v>361596</v>
      </c>
      <c r="E756" s="51">
        <v>361596</v>
      </c>
      <c r="F756" s="364"/>
      <c r="G756" s="364"/>
      <c r="H756" s="364"/>
      <c r="I756" s="51"/>
      <c r="J756" s="82"/>
      <c r="K756" s="51"/>
      <c r="L756" s="51"/>
      <c r="M756" s="82"/>
      <c r="N756" s="51"/>
      <c r="O756" s="82"/>
      <c r="P756" s="364"/>
      <c r="Q756" s="338"/>
      <c r="R756" s="364"/>
      <c r="S756" s="51"/>
      <c r="T756" s="35"/>
      <c r="U756" s="51"/>
      <c r="V756" s="51"/>
      <c r="W756" s="364"/>
      <c r="X756" s="285"/>
      <c r="Y756" s="9"/>
      <c r="Z756" s="9"/>
      <c r="AA756" s="9">
        <v>102761.58</v>
      </c>
      <c r="AB756" s="9"/>
      <c r="AC756" s="9"/>
      <c r="AD756" s="9">
        <v>83005.66</v>
      </c>
      <c r="AE756" s="9"/>
      <c r="AF756" s="9"/>
      <c r="AG756" s="40"/>
      <c r="AH756" s="56">
        <v>417795.92</v>
      </c>
      <c r="AI756" s="56"/>
      <c r="AJ756" s="56"/>
    </row>
    <row r="757" spans="1:36" x14ac:dyDescent="0.3">
      <c r="A757" s="59">
        <f t="shared" si="166"/>
        <v>529</v>
      </c>
      <c r="B757" s="66" t="s">
        <v>3379</v>
      </c>
      <c r="C757" s="51">
        <f t="shared" si="164"/>
        <v>378188.82</v>
      </c>
      <c r="D757" s="51">
        <f t="shared" si="165"/>
        <v>378188.82</v>
      </c>
      <c r="E757" s="51">
        <v>378188.82</v>
      </c>
      <c r="F757" s="364"/>
      <c r="G757" s="364"/>
      <c r="H757" s="364"/>
      <c r="I757" s="364"/>
      <c r="J757" s="82"/>
      <c r="K757" s="51"/>
      <c r="L757" s="51"/>
      <c r="M757" s="82"/>
      <c r="N757" s="51"/>
      <c r="O757" s="82"/>
      <c r="P757" s="364"/>
      <c r="Q757" s="338"/>
      <c r="R757" s="364"/>
      <c r="S757" s="51"/>
      <c r="T757" s="35"/>
      <c r="U757" s="364"/>
      <c r="V757" s="51"/>
      <c r="W757" s="364"/>
      <c r="X757" s="285"/>
      <c r="Y757" s="9"/>
      <c r="Z757" s="9"/>
      <c r="AA757" s="9"/>
      <c r="AB757" s="9"/>
      <c r="AC757" s="9"/>
      <c r="AD757" s="9"/>
      <c r="AE757" s="9">
        <v>89136.98</v>
      </c>
      <c r="AF757" s="9"/>
      <c r="AG757" s="40"/>
      <c r="AH757" s="56">
        <v>441184.49</v>
      </c>
      <c r="AI757" s="56">
        <v>156561.78</v>
      </c>
      <c r="AJ757" s="56"/>
    </row>
    <row r="758" spans="1:36" x14ac:dyDescent="0.3">
      <c r="A758" s="59">
        <f t="shared" si="166"/>
        <v>530</v>
      </c>
      <c r="B758" s="66" t="s">
        <v>3380</v>
      </c>
      <c r="C758" s="51">
        <f t="shared" si="164"/>
        <v>412139.78</v>
      </c>
      <c r="D758" s="51">
        <f t="shared" si="165"/>
        <v>412139.78</v>
      </c>
      <c r="E758" s="51">
        <v>412139.78</v>
      </c>
      <c r="F758" s="364"/>
      <c r="G758" s="364"/>
      <c r="H758" s="364"/>
      <c r="I758" s="364"/>
      <c r="J758" s="82"/>
      <c r="K758" s="51"/>
      <c r="L758" s="51"/>
      <c r="M758" s="82"/>
      <c r="N758" s="51"/>
      <c r="O758" s="82"/>
      <c r="P758" s="364"/>
      <c r="Q758" s="338"/>
      <c r="R758" s="51"/>
      <c r="S758" s="51"/>
      <c r="T758" s="35"/>
      <c r="U758" s="364"/>
      <c r="V758" s="51"/>
      <c r="W758" s="364"/>
      <c r="X758" s="285"/>
      <c r="Y758" s="9"/>
      <c r="Z758" s="9"/>
      <c r="AA758" s="9"/>
      <c r="AB758" s="9"/>
      <c r="AC758" s="9"/>
      <c r="AD758" s="9"/>
      <c r="AE758" s="9">
        <v>73435.31</v>
      </c>
      <c r="AF758" s="9"/>
      <c r="AG758" s="40"/>
      <c r="AH758" s="56"/>
      <c r="AI758" s="56">
        <v>133954.6</v>
      </c>
      <c r="AJ758" s="56"/>
    </row>
    <row r="759" spans="1:36" x14ac:dyDescent="0.3">
      <c r="A759" s="59">
        <f t="shared" si="166"/>
        <v>531</v>
      </c>
      <c r="B759" s="66" t="s">
        <v>3381</v>
      </c>
      <c r="C759" s="51">
        <f t="shared" si="164"/>
        <v>515047.58</v>
      </c>
      <c r="D759" s="51">
        <f t="shared" si="165"/>
        <v>515047.58</v>
      </c>
      <c r="E759" s="51">
        <v>515047.58</v>
      </c>
      <c r="F759" s="364"/>
      <c r="G759" s="364"/>
      <c r="H759" s="364"/>
      <c r="I759" s="364"/>
      <c r="J759" s="82"/>
      <c r="K759" s="51"/>
      <c r="L759" s="51"/>
      <c r="M759" s="82"/>
      <c r="N759" s="51"/>
      <c r="O759" s="82"/>
      <c r="P759" s="364"/>
      <c r="Q759" s="338"/>
      <c r="R759" s="51"/>
      <c r="S759" s="51"/>
      <c r="T759" s="35"/>
      <c r="U759" s="364"/>
      <c r="V759" s="51"/>
      <c r="W759" s="364"/>
      <c r="X759" s="285"/>
      <c r="Y759" s="9"/>
      <c r="Z759" s="9"/>
      <c r="AA759" s="9"/>
      <c r="AB759" s="9"/>
      <c r="AC759" s="9"/>
      <c r="AD759" s="9"/>
      <c r="AE759" s="9">
        <v>95677.03</v>
      </c>
      <c r="AF759" s="9"/>
      <c r="AG759" s="40"/>
      <c r="AH759" s="56"/>
      <c r="AI759" s="56">
        <v>166737.19</v>
      </c>
      <c r="AJ759" s="56"/>
    </row>
    <row r="760" spans="1:36" x14ac:dyDescent="0.3">
      <c r="A760" s="59">
        <f t="shared" si="166"/>
        <v>532</v>
      </c>
      <c r="B760" s="66" t="s">
        <v>3382</v>
      </c>
      <c r="C760" s="51">
        <f t="shared" si="164"/>
        <v>515047.58</v>
      </c>
      <c r="D760" s="51">
        <f t="shared" si="165"/>
        <v>515047.58</v>
      </c>
      <c r="E760" s="51">
        <v>515047.58</v>
      </c>
      <c r="F760" s="364"/>
      <c r="G760" s="364"/>
      <c r="H760" s="364"/>
      <c r="I760" s="51"/>
      <c r="J760" s="82"/>
      <c r="K760" s="51"/>
      <c r="L760" s="51"/>
      <c r="M760" s="82"/>
      <c r="N760" s="51"/>
      <c r="O760" s="82"/>
      <c r="P760" s="364"/>
      <c r="Q760" s="338"/>
      <c r="R760" s="51"/>
      <c r="S760" s="51"/>
      <c r="T760" s="35"/>
      <c r="U760" s="51"/>
      <c r="V760" s="51"/>
      <c r="W760" s="364"/>
      <c r="X760" s="285"/>
      <c r="Y760" s="9"/>
      <c r="Z760" s="9"/>
      <c r="AA760" s="9">
        <v>134109.74</v>
      </c>
      <c r="AB760" s="9"/>
      <c r="AC760" s="9"/>
      <c r="AD760" s="9"/>
      <c r="AE760" s="9"/>
      <c r="AF760" s="9"/>
      <c r="AG760" s="40"/>
      <c r="AH760" s="56"/>
      <c r="AI760" s="56"/>
      <c r="AJ760" s="56"/>
    </row>
    <row r="761" spans="1:36" x14ac:dyDescent="0.3">
      <c r="A761" s="59">
        <f t="shared" si="166"/>
        <v>533</v>
      </c>
      <c r="B761" s="66" t="s">
        <v>3383</v>
      </c>
      <c r="C761" s="51">
        <f t="shared" si="164"/>
        <v>602612.4</v>
      </c>
      <c r="D761" s="51">
        <f t="shared" si="165"/>
        <v>602612.4</v>
      </c>
      <c r="E761" s="51">
        <v>602612.4</v>
      </c>
      <c r="F761" s="364"/>
      <c r="G761" s="364"/>
      <c r="H761" s="364"/>
      <c r="I761" s="51"/>
      <c r="J761" s="82"/>
      <c r="K761" s="51"/>
      <c r="L761" s="51"/>
      <c r="M761" s="82"/>
      <c r="N761" s="51"/>
      <c r="O761" s="82"/>
      <c r="P761" s="364"/>
      <c r="Q761" s="338"/>
      <c r="R761" s="364"/>
      <c r="S761" s="51"/>
      <c r="T761" s="35"/>
      <c r="U761" s="51"/>
      <c r="V761" s="51"/>
      <c r="W761" s="364"/>
      <c r="X761" s="285"/>
      <c r="Y761" s="9"/>
      <c r="Z761" s="9"/>
      <c r="AA761" s="9">
        <v>143398.07</v>
      </c>
      <c r="AB761" s="9">
        <v>126973.1</v>
      </c>
      <c r="AC761" s="9"/>
      <c r="AD761" s="9"/>
      <c r="AE761" s="9"/>
      <c r="AF761" s="9"/>
      <c r="AG761" s="40"/>
      <c r="AH761" s="56">
        <v>567872.57999999996</v>
      </c>
      <c r="AI761" s="56"/>
      <c r="AJ761" s="56"/>
    </row>
    <row r="762" spans="1:36" x14ac:dyDescent="0.3">
      <c r="A762" s="59">
        <f t="shared" si="166"/>
        <v>534</v>
      </c>
      <c r="B762" s="66" t="s">
        <v>3386</v>
      </c>
      <c r="C762" s="51">
        <f t="shared" si="164"/>
        <v>524106.44</v>
      </c>
      <c r="D762" s="51">
        <f t="shared" si="165"/>
        <v>524106.44</v>
      </c>
      <c r="E762" s="51">
        <v>524106.44</v>
      </c>
      <c r="F762" s="364"/>
      <c r="G762" s="364"/>
      <c r="H762" s="364"/>
      <c r="I762" s="51"/>
      <c r="J762" s="82"/>
      <c r="K762" s="51"/>
      <c r="L762" s="51"/>
      <c r="M762" s="82"/>
      <c r="N762" s="51"/>
      <c r="O762" s="82"/>
      <c r="P762" s="364"/>
      <c r="Q762" s="338"/>
      <c r="R762" s="364"/>
      <c r="S762" s="51"/>
      <c r="T762" s="35"/>
      <c r="U762" s="51"/>
      <c r="V762" s="51"/>
      <c r="W762" s="364"/>
      <c r="X762" s="285"/>
      <c r="Y762" s="9"/>
      <c r="Z762" s="9"/>
      <c r="AA762" s="9">
        <v>109516.73</v>
      </c>
      <c r="AB762" s="9">
        <v>71852.160000000003</v>
      </c>
      <c r="AC762" s="9"/>
      <c r="AD762" s="9"/>
      <c r="AE762" s="9"/>
      <c r="AF762" s="9"/>
      <c r="AG762" s="40"/>
      <c r="AH762" s="56">
        <v>442743.72</v>
      </c>
      <c r="AI762" s="56"/>
      <c r="AJ762" s="56"/>
    </row>
    <row r="763" spans="1:36" x14ac:dyDescent="0.3">
      <c r="A763" s="59">
        <f t="shared" si="166"/>
        <v>535</v>
      </c>
      <c r="B763" s="66" t="s">
        <v>3387</v>
      </c>
      <c r="C763" s="51">
        <f t="shared" si="164"/>
        <v>366324</v>
      </c>
      <c r="D763" s="51">
        <f t="shared" si="165"/>
        <v>366324</v>
      </c>
      <c r="E763" s="51">
        <v>366324</v>
      </c>
      <c r="F763" s="364"/>
      <c r="G763" s="364"/>
      <c r="H763" s="364"/>
      <c r="I763" s="51"/>
      <c r="J763" s="82"/>
      <c r="K763" s="51"/>
      <c r="L763" s="51"/>
      <c r="M763" s="82"/>
      <c r="N763" s="51"/>
      <c r="O763" s="82"/>
      <c r="P763" s="364"/>
      <c r="Q763" s="338"/>
      <c r="R763" s="364"/>
      <c r="S763" s="51"/>
      <c r="T763" s="35"/>
      <c r="U763" s="51"/>
      <c r="V763" s="51"/>
      <c r="W763" s="364"/>
      <c r="X763" s="285"/>
      <c r="Y763" s="9"/>
      <c r="Z763" s="9"/>
      <c r="AA763" s="9">
        <v>130996.03</v>
      </c>
      <c r="AB763" s="9">
        <v>114965.93</v>
      </c>
      <c r="AC763" s="9"/>
      <c r="AD763" s="9"/>
      <c r="AE763" s="9"/>
      <c r="AF763" s="9"/>
      <c r="AG763" s="40"/>
      <c r="AH763" s="56">
        <v>522069.97</v>
      </c>
      <c r="AI763" s="56"/>
      <c r="AJ763" s="56"/>
    </row>
    <row r="764" spans="1:36" x14ac:dyDescent="0.3">
      <c r="A764" s="59">
        <f t="shared" si="166"/>
        <v>536</v>
      </c>
      <c r="B764" s="66" t="s">
        <v>3388</v>
      </c>
      <c r="C764" s="51">
        <f t="shared" si="164"/>
        <v>590447.22</v>
      </c>
      <c r="D764" s="51">
        <f t="shared" si="165"/>
        <v>590447.22</v>
      </c>
      <c r="E764" s="51">
        <v>590447.22</v>
      </c>
      <c r="F764" s="364"/>
      <c r="G764" s="364"/>
      <c r="H764" s="364"/>
      <c r="I764" s="51"/>
      <c r="J764" s="82"/>
      <c r="K764" s="51"/>
      <c r="L764" s="51"/>
      <c r="M764" s="82"/>
      <c r="N764" s="51"/>
      <c r="O764" s="82"/>
      <c r="P764" s="364"/>
      <c r="Q764" s="338"/>
      <c r="R764" s="364"/>
      <c r="S764" s="51"/>
      <c r="T764" s="35"/>
      <c r="U764" s="51"/>
      <c r="V764" s="51"/>
      <c r="W764" s="364"/>
      <c r="X764" s="285"/>
      <c r="Y764" s="9"/>
      <c r="Z764" s="9"/>
      <c r="AA764" s="9">
        <v>131579.17000000001</v>
      </c>
      <c r="AB764" s="9">
        <v>116510.3</v>
      </c>
      <c r="AC764" s="9"/>
      <c r="AD764" s="9"/>
      <c r="AE764" s="9"/>
      <c r="AF764" s="9"/>
      <c r="AG764" s="40">
        <v>55031.15</v>
      </c>
      <c r="AH764" s="56">
        <v>531716.38</v>
      </c>
      <c r="AI764" s="56"/>
      <c r="AJ764" s="56"/>
    </row>
    <row r="765" spans="1:36" x14ac:dyDescent="0.3">
      <c r="A765" s="59">
        <f t="shared" si="166"/>
        <v>537</v>
      </c>
      <c r="B765" s="66" t="s">
        <v>3389</v>
      </c>
      <c r="C765" s="51">
        <f t="shared" si="164"/>
        <v>359989.2</v>
      </c>
      <c r="D765" s="51">
        <f t="shared" si="165"/>
        <v>359989.2</v>
      </c>
      <c r="E765" s="51">
        <v>359989.2</v>
      </c>
      <c r="F765" s="364"/>
      <c r="G765" s="364"/>
      <c r="H765" s="364"/>
      <c r="I765" s="51"/>
      <c r="J765" s="82"/>
      <c r="K765" s="51"/>
      <c r="L765" s="51"/>
      <c r="M765" s="82"/>
      <c r="N765" s="51"/>
      <c r="O765" s="82"/>
      <c r="P765" s="364"/>
      <c r="Q765" s="338"/>
      <c r="R765" s="364"/>
      <c r="S765" s="51"/>
      <c r="T765" s="35"/>
      <c r="U765" s="51"/>
      <c r="V765" s="51"/>
      <c r="W765" s="364"/>
      <c r="X765" s="285"/>
      <c r="Y765" s="9"/>
      <c r="Z765" s="9"/>
      <c r="AA765" s="9">
        <v>110361.13</v>
      </c>
      <c r="AB765" s="9">
        <v>94988.04</v>
      </c>
      <c r="AC765" s="9"/>
      <c r="AD765" s="9"/>
      <c r="AE765" s="9"/>
      <c r="AF765" s="9"/>
      <c r="AG765" s="40">
        <v>76250.33</v>
      </c>
      <c r="AH765" s="56">
        <v>445862.2</v>
      </c>
      <c r="AI765" s="56"/>
      <c r="AJ765" s="56"/>
    </row>
    <row r="766" spans="1:36" x14ac:dyDescent="0.3">
      <c r="A766" s="59">
        <f t="shared" si="166"/>
        <v>538</v>
      </c>
      <c r="B766" s="66" t="s">
        <v>3390</v>
      </c>
      <c r="C766" s="51">
        <f t="shared" si="164"/>
        <v>611636.47999999998</v>
      </c>
      <c r="D766" s="51">
        <f t="shared" si="165"/>
        <v>611636.47999999998</v>
      </c>
      <c r="E766" s="51">
        <v>611636.47999999998</v>
      </c>
      <c r="F766" s="364"/>
      <c r="G766" s="364"/>
      <c r="H766" s="364"/>
      <c r="I766" s="51"/>
      <c r="J766" s="82"/>
      <c r="K766" s="51"/>
      <c r="L766" s="51"/>
      <c r="M766" s="82"/>
      <c r="N766" s="51"/>
      <c r="O766" s="82"/>
      <c r="P766" s="364"/>
      <c r="Q766" s="338"/>
      <c r="R766" s="364"/>
      <c r="S766" s="51"/>
      <c r="T766" s="35"/>
      <c r="U766" s="51"/>
      <c r="V766" s="51"/>
      <c r="W766" s="364"/>
      <c r="X766" s="285"/>
      <c r="Y766" s="9"/>
      <c r="Z766" s="9"/>
      <c r="AA766" s="9">
        <v>136501.35999999999</v>
      </c>
      <c r="AB766" s="9">
        <v>121192.22</v>
      </c>
      <c r="AC766" s="9"/>
      <c r="AD766" s="9"/>
      <c r="AE766" s="9"/>
      <c r="AF766" s="9"/>
      <c r="AG766" s="40"/>
      <c r="AH766" s="56">
        <v>550288.68000000005</v>
      </c>
      <c r="AI766" s="56"/>
      <c r="AJ766" s="56"/>
    </row>
    <row r="767" spans="1:36" x14ac:dyDescent="0.3">
      <c r="A767" s="59">
        <f t="shared" si="166"/>
        <v>539</v>
      </c>
      <c r="B767" s="66" t="s">
        <v>3391</v>
      </c>
      <c r="C767" s="51">
        <f t="shared" si="164"/>
        <v>262982.40000000002</v>
      </c>
      <c r="D767" s="51">
        <f t="shared" si="165"/>
        <v>262982.40000000002</v>
      </c>
      <c r="E767" s="51">
        <v>262982.40000000002</v>
      </c>
      <c r="F767" s="364"/>
      <c r="G767" s="364"/>
      <c r="H767" s="364"/>
      <c r="I767" s="364"/>
      <c r="J767" s="82"/>
      <c r="K767" s="51"/>
      <c r="L767" s="51"/>
      <c r="M767" s="82"/>
      <c r="N767" s="51"/>
      <c r="O767" s="82"/>
      <c r="P767" s="364"/>
      <c r="Q767" s="338"/>
      <c r="R767" s="364"/>
      <c r="S767" s="51"/>
      <c r="T767" s="35"/>
      <c r="U767" s="51"/>
      <c r="V767" s="51"/>
      <c r="W767" s="364"/>
      <c r="X767" s="285"/>
      <c r="Y767" s="9"/>
      <c r="Z767" s="9"/>
      <c r="AA767" s="9"/>
      <c r="AB767" s="9"/>
      <c r="AC767" s="9"/>
      <c r="AD767" s="9"/>
      <c r="AE767" s="9"/>
      <c r="AF767" s="9"/>
      <c r="AG767" s="40"/>
      <c r="AH767" s="56">
        <v>395381.86</v>
      </c>
      <c r="AI767" s="56"/>
      <c r="AJ767" s="56"/>
    </row>
    <row r="768" spans="1:36" x14ac:dyDescent="0.3">
      <c r="A768" s="59">
        <f t="shared" si="166"/>
        <v>540</v>
      </c>
      <c r="B768" s="66" t="s">
        <v>3393</v>
      </c>
      <c r="C768" s="51">
        <f t="shared" si="164"/>
        <v>249368.22</v>
      </c>
      <c r="D768" s="51">
        <f t="shared" si="165"/>
        <v>249368.22</v>
      </c>
      <c r="E768" s="51">
        <v>249368.22</v>
      </c>
      <c r="F768" s="51"/>
      <c r="G768" s="51"/>
      <c r="H768" s="51"/>
      <c r="I768" s="51"/>
      <c r="J768" s="82"/>
      <c r="K768" s="51"/>
      <c r="L768" s="51"/>
      <c r="M768" s="82"/>
      <c r="N768" s="51"/>
      <c r="O768" s="82"/>
      <c r="P768" s="364"/>
      <c r="Q768" s="338"/>
      <c r="R768" s="364"/>
      <c r="S768" s="51"/>
      <c r="T768" s="35"/>
      <c r="U768" s="51"/>
      <c r="V768" s="51"/>
      <c r="W768" s="364"/>
      <c r="X768" s="285"/>
      <c r="Y768" s="9"/>
      <c r="Z768" s="9"/>
      <c r="AA768" s="9"/>
      <c r="AB768" s="9"/>
      <c r="AC768" s="9"/>
      <c r="AD768" s="9"/>
      <c r="AE768" s="9"/>
      <c r="AF768" s="9">
        <v>132070.96</v>
      </c>
      <c r="AG768" s="40"/>
      <c r="AH768" s="56">
        <v>355349.34</v>
      </c>
      <c r="AI768" s="56"/>
      <c r="AJ768" s="56"/>
    </row>
    <row r="769" spans="1:36" x14ac:dyDescent="0.3">
      <c r="A769" s="59">
        <f t="shared" si="166"/>
        <v>541</v>
      </c>
      <c r="B769" s="66" t="s">
        <v>3401</v>
      </c>
      <c r="C769" s="51">
        <f t="shared" si="164"/>
        <v>260396.4</v>
      </c>
      <c r="D769" s="51">
        <f t="shared" si="165"/>
        <v>260396.4</v>
      </c>
      <c r="E769" s="51">
        <v>260396.4</v>
      </c>
      <c r="F769" s="364"/>
      <c r="G769" s="364"/>
      <c r="H769" s="364"/>
      <c r="I769" s="364"/>
      <c r="J769" s="82"/>
      <c r="K769" s="51"/>
      <c r="L769" s="51"/>
      <c r="M769" s="82"/>
      <c r="N769" s="364"/>
      <c r="O769" s="82"/>
      <c r="P769" s="364"/>
      <c r="Q769" s="338"/>
      <c r="R769" s="364"/>
      <c r="S769" s="51"/>
      <c r="T769" s="35"/>
      <c r="U769" s="364"/>
      <c r="V769" s="51"/>
      <c r="W769" s="364"/>
      <c r="X769" s="285"/>
      <c r="Y769" s="9"/>
      <c r="Z769" s="9">
        <v>52567.57</v>
      </c>
      <c r="AA769" s="9"/>
      <c r="AB769" s="9"/>
      <c r="AC769" s="9"/>
      <c r="AD769" s="9"/>
      <c r="AE769" s="9">
        <v>51661.57</v>
      </c>
      <c r="AF769" s="9">
        <v>111134.87</v>
      </c>
      <c r="AG769" s="40"/>
      <c r="AH769" s="56">
        <v>302491.84000000003</v>
      </c>
      <c r="AI769" s="56">
        <v>100307.18</v>
      </c>
      <c r="AJ769" s="56"/>
    </row>
    <row r="770" spans="1:36" x14ac:dyDescent="0.3">
      <c r="A770" s="59">
        <f t="shared" si="166"/>
        <v>542</v>
      </c>
      <c r="B770" s="66" t="s">
        <v>3404</v>
      </c>
      <c r="C770" s="51">
        <f t="shared" si="164"/>
        <v>364504.8</v>
      </c>
      <c r="D770" s="51">
        <f t="shared" si="165"/>
        <v>364504.8</v>
      </c>
      <c r="E770" s="51">
        <v>364504.8</v>
      </c>
      <c r="F770" s="364"/>
      <c r="G770" s="364"/>
      <c r="H770" s="364"/>
      <c r="I770" s="364"/>
      <c r="J770" s="82"/>
      <c r="K770" s="51"/>
      <c r="L770" s="51"/>
      <c r="M770" s="82"/>
      <c r="N770" s="364"/>
      <c r="O770" s="82"/>
      <c r="P770" s="364"/>
      <c r="Q770" s="338"/>
      <c r="R770" s="364"/>
      <c r="S770" s="51"/>
      <c r="T770" s="35"/>
      <c r="U770" s="364"/>
      <c r="V770" s="51"/>
      <c r="W770" s="364"/>
      <c r="X770" s="285"/>
      <c r="Y770" s="9"/>
      <c r="Z770" s="9">
        <v>81534.259999999995</v>
      </c>
      <c r="AA770" s="9"/>
      <c r="AB770" s="9"/>
      <c r="AC770" s="9"/>
      <c r="AD770" s="9"/>
      <c r="AE770" s="9">
        <v>81109.16</v>
      </c>
      <c r="AF770" s="9">
        <v>155054.15</v>
      </c>
      <c r="AG770" s="40"/>
      <c r="AH770" s="56">
        <v>413375.15</v>
      </c>
      <c r="AI770" s="56">
        <v>145813.14000000001</v>
      </c>
      <c r="AJ770" s="56"/>
    </row>
    <row r="771" spans="1:36" x14ac:dyDescent="0.3">
      <c r="A771" s="177" t="s">
        <v>211</v>
      </c>
      <c r="B771" s="177"/>
      <c r="C771" s="51">
        <f>SUM(C749:C770)</f>
        <v>14186726.160000002</v>
      </c>
      <c r="D771" s="51">
        <f t="shared" ref="D771:W771" si="167">SUM(D749:D770)</f>
        <v>14186726.160000002</v>
      </c>
      <c r="E771" s="51">
        <f t="shared" si="167"/>
        <v>12633722.260000004</v>
      </c>
      <c r="F771" s="51">
        <f t="shared" si="167"/>
        <v>0</v>
      </c>
      <c r="G771" s="51">
        <f t="shared" si="167"/>
        <v>408690.64</v>
      </c>
      <c r="H771" s="51">
        <f t="shared" si="167"/>
        <v>700077.48</v>
      </c>
      <c r="I771" s="51">
        <f t="shared" si="167"/>
        <v>444235.78</v>
      </c>
      <c r="J771" s="82">
        <f t="shared" si="167"/>
        <v>0</v>
      </c>
      <c r="K771" s="51">
        <f t="shared" si="167"/>
        <v>0</v>
      </c>
      <c r="L771" s="51">
        <f t="shared" si="167"/>
        <v>0</v>
      </c>
      <c r="M771" s="82">
        <f t="shared" si="167"/>
        <v>0</v>
      </c>
      <c r="N771" s="51">
        <f t="shared" si="167"/>
        <v>0</v>
      </c>
      <c r="O771" s="82">
        <f t="shared" si="167"/>
        <v>0</v>
      </c>
      <c r="P771" s="51">
        <f t="shared" si="167"/>
        <v>0</v>
      </c>
      <c r="Q771" s="338">
        <f t="shared" si="167"/>
        <v>0</v>
      </c>
      <c r="R771" s="51">
        <f t="shared" si="167"/>
        <v>0</v>
      </c>
      <c r="S771" s="51">
        <f t="shared" si="167"/>
        <v>0</v>
      </c>
      <c r="T771" s="35">
        <f t="shared" si="167"/>
        <v>0</v>
      </c>
      <c r="U771" s="51">
        <f t="shared" si="167"/>
        <v>0</v>
      </c>
      <c r="V771" s="51">
        <f t="shared" si="167"/>
        <v>0</v>
      </c>
      <c r="W771" s="51">
        <f t="shared" si="167"/>
        <v>0</v>
      </c>
      <c r="X771" s="329"/>
      <c r="Y771" s="9"/>
      <c r="Z771" s="9"/>
      <c r="AA771" s="9"/>
      <c r="AB771" s="9"/>
      <c r="AC771" s="9"/>
      <c r="AD771" s="9"/>
      <c r="AE771" s="9"/>
      <c r="AF771" s="9"/>
      <c r="AG771" s="40"/>
      <c r="AH771" s="56"/>
      <c r="AI771" s="56"/>
      <c r="AJ771" s="56"/>
    </row>
    <row r="772" spans="1:36" x14ac:dyDescent="0.3">
      <c r="A772" s="176" t="s">
        <v>3433</v>
      </c>
      <c r="B772" s="176"/>
      <c r="C772" s="51"/>
      <c r="D772" s="51"/>
      <c r="E772" s="51"/>
      <c r="F772" s="51"/>
      <c r="G772" s="51"/>
      <c r="H772" s="51"/>
      <c r="I772" s="51"/>
      <c r="J772" s="82"/>
      <c r="K772" s="51"/>
      <c r="L772" s="51"/>
      <c r="M772" s="82"/>
      <c r="N772" s="51"/>
      <c r="O772" s="82"/>
      <c r="P772" s="51"/>
      <c r="Q772" s="338"/>
      <c r="R772" s="51"/>
      <c r="S772" s="504"/>
      <c r="T772" s="504"/>
      <c r="U772" s="51"/>
      <c r="V772" s="51"/>
      <c r="W772" s="364">
        <f>SUM(Y772:AK772)</f>
        <v>0</v>
      </c>
      <c r="X772" s="285"/>
      <c r="Y772" s="9"/>
      <c r="Z772" s="9"/>
      <c r="AA772" s="9"/>
      <c r="AB772" s="9"/>
      <c r="AC772" s="9"/>
      <c r="AD772" s="9"/>
      <c r="AE772" s="9"/>
      <c r="AF772" s="9"/>
      <c r="AG772" s="40"/>
      <c r="AH772" s="56"/>
      <c r="AI772" s="56"/>
      <c r="AJ772" s="56"/>
    </row>
    <row r="773" spans="1:36" x14ac:dyDescent="0.3">
      <c r="A773" s="59">
        <f>A770+1</f>
        <v>543</v>
      </c>
      <c r="B773" s="66" t="s">
        <v>3458</v>
      </c>
      <c r="C773" s="51">
        <f>D773+K773+L773+N773+P773+R773+S773+U773+V773+W773</f>
        <v>416342.4</v>
      </c>
      <c r="D773" s="51">
        <f>E773+F773+G773+H773+I773</f>
        <v>416342.4</v>
      </c>
      <c r="E773" s="51">
        <v>416342.4</v>
      </c>
      <c r="F773" s="51"/>
      <c r="G773" s="51"/>
      <c r="H773" s="51"/>
      <c r="I773" s="51"/>
      <c r="J773" s="82"/>
      <c r="K773" s="51"/>
      <c r="L773" s="51"/>
      <c r="M773" s="82"/>
      <c r="N773" s="51"/>
      <c r="O773" s="82"/>
      <c r="P773" s="364"/>
      <c r="Q773" s="338"/>
      <c r="R773" s="364"/>
      <c r="S773" s="51"/>
      <c r="T773" s="35"/>
      <c r="U773" s="51"/>
      <c r="V773" s="51"/>
      <c r="W773" s="364">
        <f>SUM(Y773:AK773)</f>
        <v>0</v>
      </c>
      <c r="X773" s="285"/>
      <c r="Y773" s="9"/>
      <c r="Z773" s="9"/>
      <c r="AA773" s="9"/>
      <c r="AB773" s="9"/>
      <c r="AC773" s="9"/>
      <c r="AD773" s="9"/>
      <c r="AE773" s="9"/>
      <c r="AF773" s="9"/>
      <c r="AG773" s="40"/>
      <c r="AH773" s="56"/>
      <c r="AI773" s="56"/>
      <c r="AJ773" s="56"/>
    </row>
    <row r="774" spans="1:36" x14ac:dyDescent="0.3">
      <c r="A774" s="177" t="s">
        <v>211</v>
      </c>
      <c r="B774" s="177"/>
      <c r="C774" s="51">
        <f t="shared" ref="C774:R774" si="168">SUBTOTAL(9,C773:C773)</f>
        <v>416342.4</v>
      </c>
      <c r="D774" s="51">
        <f t="shared" si="168"/>
        <v>416342.4</v>
      </c>
      <c r="E774" s="51">
        <f t="shared" si="168"/>
        <v>416342.4</v>
      </c>
      <c r="F774" s="51">
        <f t="shared" si="168"/>
        <v>0</v>
      </c>
      <c r="G774" s="51">
        <f t="shared" si="168"/>
        <v>0</v>
      </c>
      <c r="H774" s="51">
        <f t="shared" si="168"/>
        <v>0</v>
      </c>
      <c r="I774" s="51">
        <f t="shared" si="168"/>
        <v>0</v>
      </c>
      <c r="J774" s="82">
        <f t="shared" si="168"/>
        <v>0</v>
      </c>
      <c r="K774" s="51">
        <f t="shared" si="168"/>
        <v>0</v>
      </c>
      <c r="L774" s="51">
        <f t="shared" si="168"/>
        <v>0</v>
      </c>
      <c r="M774" s="82">
        <f t="shared" si="168"/>
        <v>0</v>
      </c>
      <c r="N774" s="51">
        <f t="shared" si="168"/>
        <v>0</v>
      </c>
      <c r="O774" s="82">
        <f t="shared" si="168"/>
        <v>0</v>
      </c>
      <c r="P774" s="51">
        <f t="shared" si="168"/>
        <v>0</v>
      </c>
      <c r="Q774" s="338">
        <f t="shared" si="168"/>
        <v>0</v>
      </c>
      <c r="R774" s="51">
        <f t="shared" si="168"/>
        <v>0</v>
      </c>
      <c r="S774" s="51">
        <f>SUBTOTAL(9,S773:S773)</f>
        <v>0</v>
      </c>
      <c r="T774" s="35">
        <f>SUBTOTAL(9,T773:T773)</f>
        <v>0</v>
      </c>
      <c r="U774" s="51">
        <f>SUBTOTAL(9,U773:U773)</f>
        <v>0</v>
      </c>
      <c r="V774" s="51">
        <f>SUBTOTAL(9,V773:V773)</f>
        <v>0</v>
      </c>
      <c r="W774" s="51">
        <f>SUBTOTAL(9,W773:W773)</f>
        <v>0</v>
      </c>
      <c r="X774" s="329"/>
      <c r="Y774" s="9"/>
      <c r="Z774" s="9"/>
      <c r="AA774" s="9"/>
      <c r="AB774" s="9"/>
      <c r="AC774" s="9"/>
      <c r="AD774" s="9"/>
      <c r="AE774" s="9"/>
      <c r="AF774" s="9"/>
      <c r="AG774" s="40"/>
      <c r="AH774" s="56"/>
      <c r="AI774" s="56"/>
      <c r="AJ774" s="56"/>
    </row>
    <row r="775" spans="1:36" ht="39" customHeight="1" x14ac:dyDescent="0.3">
      <c r="A775" s="487" t="s">
        <v>3459</v>
      </c>
      <c r="B775" s="488"/>
      <c r="C775" s="51">
        <f>C744+C747+C771+C774</f>
        <v>19599992.16</v>
      </c>
      <c r="D775" s="51">
        <f t="shared" ref="D775:R775" si="169">D744+D747+D771+D774</f>
        <v>14603068.560000002</v>
      </c>
      <c r="E775" s="51">
        <f t="shared" si="169"/>
        <v>13050064.660000004</v>
      </c>
      <c r="F775" s="51">
        <f t="shared" si="169"/>
        <v>0</v>
      </c>
      <c r="G775" s="51">
        <f t="shared" si="169"/>
        <v>408690.64</v>
      </c>
      <c r="H775" s="51">
        <f t="shared" si="169"/>
        <v>700077.48</v>
      </c>
      <c r="I775" s="51">
        <f t="shared" si="169"/>
        <v>444235.78</v>
      </c>
      <c r="J775" s="82">
        <f t="shared" si="169"/>
        <v>0</v>
      </c>
      <c r="K775" s="51">
        <f t="shared" si="169"/>
        <v>0</v>
      </c>
      <c r="L775" s="51">
        <f t="shared" si="169"/>
        <v>0</v>
      </c>
      <c r="M775" s="82">
        <f t="shared" si="169"/>
        <v>2444</v>
      </c>
      <c r="N775" s="51">
        <f t="shared" si="169"/>
        <v>4996923.5999999996</v>
      </c>
      <c r="O775" s="82">
        <f t="shared" si="169"/>
        <v>0</v>
      </c>
      <c r="P775" s="51">
        <f t="shared" si="169"/>
        <v>0</v>
      </c>
      <c r="Q775" s="338">
        <f t="shared" si="169"/>
        <v>0</v>
      </c>
      <c r="R775" s="51">
        <f t="shared" si="169"/>
        <v>0</v>
      </c>
      <c r="S775" s="51">
        <f>S744+S747+S771+S774</f>
        <v>0</v>
      </c>
      <c r="T775" s="35">
        <f>T744+T747+T771+T774</f>
        <v>0</v>
      </c>
      <c r="U775" s="51">
        <f>U744+U747+U771+U774</f>
        <v>0</v>
      </c>
      <c r="V775" s="51">
        <f>V744+V747+V771+V774</f>
        <v>0</v>
      </c>
      <c r="W775" s="51">
        <f>W744+W747+W771+W774</f>
        <v>0</v>
      </c>
      <c r="X775" s="329"/>
      <c r="Y775" s="9"/>
      <c r="Z775" s="9"/>
      <c r="AA775" s="9"/>
      <c r="AB775" s="9"/>
      <c r="AC775" s="9"/>
      <c r="AD775" s="9"/>
      <c r="AE775" s="9"/>
      <c r="AF775" s="9"/>
      <c r="AG775" s="40"/>
      <c r="AH775" s="56"/>
      <c r="AI775" s="56"/>
      <c r="AJ775" s="56"/>
    </row>
    <row r="776" spans="1:36" ht="15" customHeight="1" x14ac:dyDescent="0.3">
      <c r="A776" s="326" t="s">
        <v>3460</v>
      </c>
      <c r="B776" s="320"/>
      <c r="C776" s="387"/>
      <c r="D776" s="49"/>
      <c r="E776" s="49"/>
      <c r="F776" s="49"/>
      <c r="G776" s="49"/>
      <c r="H776" s="49"/>
      <c r="I776" s="49"/>
      <c r="J776" s="343"/>
      <c r="K776" s="49"/>
      <c r="L776" s="49"/>
      <c r="M776" s="343"/>
      <c r="N776" s="49"/>
      <c r="O776" s="343"/>
      <c r="P776" s="49"/>
      <c r="Q776" s="337"/>
      <c r="R776" s="49"/>
      <c r="S776" s="49"/>
      <c r="T776" s="33"/>
      <c r="U776" s="49"/>
      <c r="V776" s="49"/>
      <c r="W776" s="49"/>
      <c r="X776" s="330"/>
      <c r="Y776" s="179"/>
      <c r="Z776" s="179"/>
      <c r="AA776" s="179"/>
      <c r="AB776" s="179"/>
      <c r="AC776" s="179"/>
      <c r="AD776" s="179"/>
      <c r="AE776" s="179"/>
      <c r="AF776" s="179"/>
      <c r="AG776" s="61"/>
      <c r="AH776" s="62"/>
      <c r="AI776" s="62"/>
      <c r="AJ776" s="56"/>
    </row>
    <row r="777" spans="1:36" ht="15" customHeight="1" x14ac:dyDescent="0.3">
      <c r="A777" s="303" t="s">
        <v>3461</v>
      </c>
      <c r="B777" s="66"/>
      <c r="C777" s="51"/>
      <c r="D777" s="51"/>
      <c r="E777" s="51"/>
      <c r="F777" s="51"/>
      <c r="G777" s="51"/>
      <c r="H777" s="51"/>
      <c r="I777" s="51"/>
      <c r="J777" s="82"/>
      <c r="K777" s="51"/>
      <c r="L777" s="51"/>
      <c r="M777" s="82"/>
      <c r="N777" s="51"/>
      <c r="O777" s="82"/>
      <c r="P777" s="51"/>
      <c r="Q777" s="338"/>
      <c r="R777" s="51"/>
      <c r="S777" s="51"/>
      <c r="T777" s="35"/>
      <c r="U777" s="51"/>
      <c r="V777" s="51"/>
      <c r="W777" s="51"/>
      <c r="X777" s="331"/>
      <c r="Y777" s="48"/>
      <c r="Z777" s="48"/>
      <c r="AA777" s="48"/>
      <c r="AB777" s="48"/>
      <c r="AC777" s="48"/>
      <c r="AD777" s="48"/>
      <c r="AE777" s="48"/>
      <c r="AF777" s="48"/>
      <c r="AG777" s="61"/>
      <c r="AH777" s="62"/>
      <c r="AI777" s="58"/>
      <c r="AJ777" s="56"/>
    </row>
    <row r="778" spans="1:36" x14ac:dyDescent="0.3">
      <c r="A778" s="59">
        <f>A773+1</f>
        <v>544</v>
      </c>
      <c r="B778" s="66" t="s">
        <v>3467</v>
      </c>
      <c r="C778" s="51">
        <f>D778+K778+L778+N778+P778+R778+S778+U778+V778+W778</f>
        <v>5529518.8600000003</v>
      </c>
      <c r="D778" s="51">
        <f>E778+F778+G778+H778+I778</f>
        <v>4995074.8600000003</v>
      </c>
      <c r="E778" s="51">
        <v>471396.46</v>
      </c>
      <c r="F778" s="51">
        <v>4523678.4000000004</v>
      </c>
      <c r="G778" s="399"/>
      <c r="H778" s="399"/>
      <c r="I778" s="51"/>
      <c r="J778" s="82"/>
      <c r="K778" s="51"/>
      <c r="L778" s="51"/>
      <c r="M778" s="82"/>
      <c r="N778" s="51"/>
      <c r="O778" s="82"/>
      <c r="P778" s="399"/>
      <c r="Q778" s="338"/>
      <c r="R778" s="51"/>
      <c r="S778" s="51"/>
      <c r="T778" s="35"/>
      <c r="U778" s="51"/>
      <c r="V778" s="51">
        <v>534444</v>
      </c>
      <c r="W778" s="51"/>
      <c r="X778" s="331"/>
      <c r="Y778" s="48"/>
      <c r="Z778" s="48"/>
      <c r="AA778" s="48"/>
      <c r="AB778" s="48"/>
      <c r="AC778" s="48"/>
      <c r="AD778" s="48"/>
      <c r="AE778" s="48">
        <v>90654.02</v>
      </c>
      <c r="AF778" s="48">
        <v>175070.56</v>
      </c>
      <c r="AG778" s="61"/>
      <c r="AH778" s="62">
        <v>445196.29</v>
      </c>
      <c r="AI778" s="58"/>
      <c r="AJ778" s="56"/>
    </row>
    <row r="779" spans="1:36" x14ac:dyDescent="0.3">
      <c r="A779" s="59">
        <f>A778+1</f>
        <v>545</v>
      </c>
      <c r="B779" s="66" t="s">
        <v>3470</v>
      </c>
      <c r="C779" s="51">
        <f>D779+K779+L779+N779+P779+R779+S779+U779+V779+W779</f>
        <v>5529519.6000000006</v>
      </c>
      <c r="D779" s="51">
        <f>E779+F779+G779+H779+I779</f>
        <v>4995075.6000000006</v>
      </c>
      <c r="E779" s="51">
        <v>471397.2</v>
      </c>
      <c r="F779" s="51">
        <v>4523678.4000000004</v>
      </c>
      <c r="G779" s="399"/>
      <c r="H779" s="399"/>
      <c r="I779" s="51"/>
      <c r="J779" s="82"/>
      <c r="K779" s="51"/>
      <c r="L779" s="51"/>
      <c r="M779" s="82"/>
      <c r="N779" s="51"/>
      <c r="O779" s="82"/>
      <c r="P779" s="399"/>
      <c r="Q779" s="338"/>
      <c r="R779" s="51"/>
      <c r="S779" s="51"/>
      <c r="T779" s="35"/>
      <c r="U779" s="51"/>
      <c r="V779" s="51">
        <v>534444</v>
      </c>
      <c r="W779" s="51"/>
      <c r="X779" s="331"/>
      <c r="Y779" s="48"/>
      <c r="Z779" s="48"/>
      <c r="AA779" s="48"/>
      <c r="AB779" s="48"/>
      <c r="AC779" s="48"/>
      <c r="AD779" s="48"/>
      <c r="AE779" s="48">
        <v>87707.38</v>
      </c>
      <c r="AF779" s="48"/>
      <c r="AG779" s="61"/>
      <c r="AH779" s="62">
        <v>433608.26</v>
      </c>
      <c r="AI779" s="58"/>
      <c r="AJ779" s="56"/>
    </row>
    <row r="780" spans="1:36" x14ac:dyDescent="0.3">
      <c r="A780" s="59">
        <f>A779+1</f>
        <v>546</v>
      </c>
      <c r="B780" s="66" t="s">
        <v>3498</v>
      </c>
      <c r="C780" s="51">
        <f>D780+K780+L780+N780+P780+R780+S780+U780+V780+W780</f>
        <v>5610966.7999999998</v>
      </c>
      <c r="D780" s="51">
        <f>E780+F780+G780+H780+I780</f>
        <v>5076522.8</v>
      </c>
      <c r="E780" s="51">
        <v>469596</v>
      </c>
      <c r="F780" s="51">
        <v>4565404.8</v>
      </c>
      <c r="G780" s="399"/>
      <c r="H780" s="399"/>
      <c r="I780" s="51">
        <f>13*3194</f>
        <v>41522</v>
      </c>
      <c r="J780" s="82"/>
      <c r="K780" s="51"/>
      <c r="L780" s="51"/>
      <c r="M780" s="82"/>
      <c r="N780" s="51"/>
      <c r="O780" s="82"/>
      <c r="P780" s="399"/>
      <c r="Q780" s="338"/>
      <c r="R780" s="51"/>
      <c r="S780" s="51"/>
      <c r="T780" s="35"/>
      <c r="U780" s="51"/>
      <c r="V780" s="51">
        <v>534444</v>
      </c>
      <c r="W780" s="51"/>
      <c r="X780" s="331"/>
      <c r="Y780" s="48"/>
      <c r="Z780" s="48"/>
      <c r="AA780" s="48"/>
      <c r="AB780" s="48"/>
      <c r="AC780" s="48"/>
      <c r="AD780" s="48"/>
      <c r="AE780" s="48"/>
      <c r="AF780" s="48">
        <v>184736.99</v>
      </c>
      <c r="AG780" s="61"/>
      <c r="AH780" s="62">
        <v>467186.53</v>
      </c>
      <c r="AI780" s="58">
        <v>171983.87</v>
      </c>
      <c r="AJ780" s="56"/>
    </row>
    <row r="781" spans="1:36" x14ac:dyDescent="0.3">
      <c r="A781" s="59"/>
      <c r="B781" s="66" t="s">
        <v>211</v>
      </c>
      <c r="C781" s="51">
        <f t="shared" ref="C781:W781" si="170">SUM(C778:C780)</f>
        <v>16670005.260000002</v>
      </c>
      <c r="D781" s="51">
        <f t="shared" si="170"/>
        <v>15066673.260000002</v>
      </c>
      <c r="E781" s="51">
        <f t="shared" si="170"/>
        <v>1412389.6600000001</v>
      </c>
      <c r="F781" s="51">
        <f t="shared" si="170"/>
        <v>13612761.600000001</v>
      </c>
      <c r="G781" s="51">
        <f t="shared" si="170"/>
        <v>0</v>
      </c>
      <c r="H781" s="51">
        <f t="shared" si="170"/>
        <v>0</v>
      </c>
      <c r="I781" s="51">
        <f t="shared" si="170"/>
        <v>41522</v>
      </c>
      <c r="J781" s="82">
        <f t="shared" si="170"/>
        <v>0</v>
      </c>
      <c r="K781" s="51">
        <f t="shared" si="170"/>
        <v>0</v>
      </c>
      <c r="L781" s="51">
        <f t="shared" si="170"/>
        <v>0</v>
      </c>
      <c r="M781" s="82">
        <f t="shared" si="170"/>
        <v>0</v>
      </c>
      <c r="N781" s="51">
        <f t="shared" si="170"/>
        <v>0</v>
      </c>
      <c r="O781" s="82">
        <f t="shared" si="170"/>
        <v>0</v>
      </c>
      <c r="P781" s="51">
        <f t="shared" si="170"/>
        <v>0</v>
      </c>
      <c r="Q781" s="338">
        <f t="shared" si="170"/>
        <v>0</v>
      </c>
      <c r="R781" s="51">
        <f t="shared" si="170"/>
        <v>0</v>
      </c>
      <c r="S781" s="51">
        <f t="shared" si="170"/>
        <v>0</v>
      </c>
      <c r="T781" s="35">
        <f t="shared" si="170"/>
        <v>0</v>
      </c>
      <c r="U781" s="51">
        <f t="shared" si="170"/>
        <v>0</v>
      </c>
      <c r="V781" s="51">
        <f t="shared" si="170"/>
        <v>1603332</v>
      </c>
      <c r="W781" s="51">
        <f t="shared" si="170"/>
        <v>0</v>
      </c>
      <c r="X781" s="331"/>
      <c r="Y781" s="48"/>
      <c r="Z781" s="48"/>
      <c r="AA781" s="48"/>
      <c r="AB781" s="48"/>
      <c r="AC781" s="48"/>
      <c r="AD781" s="48"/>
      <c r="AE781" s="48"/>
      <c r="AF781" s="48"/>
      <c r="AG781" s="61"/>
      <c r="AH781" s="62"/>
      <c r="AI781" s="58"/>
      <c r="AJ781" s="56"/>
    </row>
    <row r="782" spans="1:36" ht="15" customHeight="1" x14ac:dyDescent="0.3">
      <c r="A782" s="303" t="s">
        <v>3510</v>
      </c>
      <c r="B782" s="66"/>
      <c r="C782" s="51"/>
      <c r="D782" s="51"/>
      <c r="E782" s="51"/>
      <c r="F782" s="51"/>
      <c r="G782" s="51"/>
      <c r="H782" s="51"/>
      <c r="I782" s="51"/>
      <c r="J782" s="82"/>
      <c r="K782" s="51"/>
      <c r="L782" s="51"/>
      <c r="M782" s="82"/>
      <c r="N782" s="51"/>
      <c r="O782" s="82"/>
      <c r="P782" s="51"/>
      <c r="Q782" s="338"/>
      <c r="R782" s="51"/>
      <c r="S782" s="51"/>
      <c r="T782" s="35"/>
      <c r="U782" s="51"/>
      <c r="V782" s="51"/>
      <c r="W782" s="51"/>
      <c r="X782" s="331"/>
      <c r="Y782" s="48"/>
      <c r="Z782" s="48"/>
      <c r="AA782" s="48"/>
      <c r="AB782" s="48"/>
      <c r="AC782" s="48"/>
      <c r="AD782" s="48"/>
      <c r="AE782" s="48"/>
      <c r="AF782" s="48"/>
      <c r="AG782" s="61"/>
      <c r="AH782" s="62"/>
      <c r="AI782" s="58"/>
      <c r="AJ782" s="56"/>
    </row>
    <row r="783" spans="1:36" x14ac:dyDescent="0.3">
      <c r="A783" s="59">
        <f>A780+1</f>
        <v>547</v>
      </c>
      <c r="B783" s="66" t="s">
        <v>3511</v>
      </c>
      <c r="C783" s="51">
        <f>D783+K783+L783+N783+P783+R783+S783+U783+V783+W783</f>
        <v>2440803.6</v>
      </c>
      <c r="D783" s="51">
        <f>E783+F783+G783+H783+I783</f>
        <v>460942.8</v>
      </c>
      <c r="E783" s="51">
        <v>460942.8</v>
      </c>
      <c r="F783" s="51"/>
      <c r="G783" s="51"/>
      <c r="H783" s="51"/>
      <c r="I783" s="51"/>
      <c r="J783" s="82"/>
      <c r="K783" s="51"/>
      <c r="L783" s="51"/>
      <c r="M783" s="82">
        <v>13</v>
      </c>
      <c r="N783" s="51">
        <v>1979860.8</v>
      </c>
      <c r="O783" s="82"/>
      <c r="P783" s="51"/>
      <c r="Q783" s="338"/>
      <c r="R783" s="51"/>
      <c r="S783" s="51"/>
      <c r="T783" s="35"/>
      <c r="U783" s="51"/>
      <c r="V783" s="51"/>
      <c r="W783" s="51"/>
      <c r="X783" s="331"/>
      <c r="Y783" s="48"/>
      <c r="Z783" s="48"/>
      <c r="AA783" s="48"/>
      <c r="AB783" s="48"/>
      <c r="AC783" s="48"/>
      <c r="AD783" s="48"/>
      <c r="AE783" s="48"/>
      <c r="AF783" s="48"/>
      <c r="AG783" s="61"/>
      <c r="AH783" s="62"/>
      <c r="AI783" s="58"/>
      <c r="AJ783" s="56"/>
    </row>
    <row r="784" spans="1:36" x14ac:dyDescent="0.3">
      <c r="A784" s="59"/>
      <c r="B784" s="66" t="s">
        <v>211</v>
      </c>
      <c r="C784" s="51">
        <f t="shared" ref="C784:M784" si="171">SUM(C783:C783)</f>
        <v>2440803.6</v>
      </c>
      <c r="D784" s="51">
        <f t="shared" si="171"/>
        <v>460942.8</v>
      </c>
      <c r="E784" s="51">
        <f t="shared" si="171"/>
        <v>460942.8</v>
      </c>
      <c r="F784" s="51">
        <f t="shared" si="171"/>
        <v>0</v>
      </c>
      <c r="G784" s="51">
        <f t="shared" si="171"/>
        <v>0</v>
      </c>
      <c r="H784" s="51">
        <f t="shared" si="171"/>
        <v>0</v>
      </c>
      <c r="I784" s="51">
        <f t="shared" si="171"/>
        <v>0</v>
      </c>
      <c r="J784" s="82">
        <f t="shared" si="171"/>
        <v>0</v>
      </c>
      <c r="K784" s="51">
        <f t="shared" si="171"/>
        <v>0</v>
      </c>
      <c r="L784" s="51">
        <f t="shared" si="171"/>
        <v>0</v>
      </c>
      <c r="M784" s="82">
        <f t="shared" si="171"/>
        <v>13</v>
      </c>
      <c r="N784" s="51"/>
      <c r="O784" s="82"/>
      <c r="P784" s="51"/>
      <c r="Q784" s="338"/>
      <c r="R784" s="51"/>
      <c r="S784" s="51"/>
      <c r="T784" s="35">
        <f>SUM(T783:T783)</f>
        <v>0</v>
      </c>
      <c r="U784" s="51">
        <f>SUM(U783:U783)</f>
        <v>0</v>
      </c>
      <c r="V784" s="51">
        <f>SUM(V783:V783)</f>
        <v>0</v>
      </c>
      <c r="W784" s="51">
        <f>SUM(W783:W783)</f>
        <v>0</v>
      </c>
      <c r="X784" s="331"/>
      <c r="Y784" s="48"/>
      <c r="Z784" s="48"/>
      <c r="AA784" s="48"/>
      <c r="AB784" s="48"/>
      <c r="AC784" s="48"/>
      <c r="AD784" s="48"/>
      <c r="AE784" s="48"/>
      <c r="AF784" s="48"/>
      <c r="AG784" s="61"/>
      <c r="AH784" s="62"/>
      <c r="AI784" s="58"/>
      <c r="AJ784" s="56"/>
    </row>
    <row r="785" spans="1:36" ht="15" customHeight="1" x14ac:dyDescent="0.3">
      <c r="A785" s="303" t="s">
        <v>3514</v>
      </c>
      <c r="B785" s="66"/>
      <c r="C785" s="51"/>
      <c r="D785" s="51"/>
      <c r="E785" s="51"/>
      <c r="F785" s="51"/>
      <c r="G785" s="51"/>
      <c r="H785" s="51"/>
      <c r="I785" s="51"/>
      <c r="J785" s="82"/>
      <c r="K785" s="51"/>
      <c r="L785" s="51"/>
      <c r="M785" s="82"/>
      <c r="N785" s="51"/>
      <c r="O785" s="82"/>
      <c r="P785" s="51"/>
      <c r="Q785" s="338"/>
      <c r="R785" s="51"/>
      <c r="S785" s="51"/>
      <c r="T785" s="35"/>
      <c r="U785" s="51"/>
      <c r="V785" s="51"/>
      <c r="W785" s="51"/>
      <c r="X785" s="331"/>
      <c r="Y785" s="48"/>
      <c r="Z785" s="48"/>
      <c r="AA785" s="48"/>
      <c r="AB785" s="48"/>
      <c r="AC785" s="48"/>
      <c r="AD785" s="48"/>
      <c r="AE785" s="48"/>
      <c r="AF785" s="48"/>
      <c r="AG785" s="61"/>
      <c r="AH785" s="62"/>
      <c r="AI785" s="58"/>
      <c r="AJ785" s="56"/>
    </row>
    <row r="786" spans="1:36" x14ac:dyDescent="0.3">
      <c r="A786" s="59">
        <f>A783+1</f>
        <v>548</v>
      </c>
      <c r="B786" s="66" t="s">
        <v>3918</v>
      </c>
      <c r="C786" s="51">
        <f>D786+K786+L786+N786+P786+R786+S786+U786+V786+W786</f>
        <v>130000</v>
      </c>
      <c r="D786" s="51">
        <f>E786+F786+G786+H786+I786</f>
        <v>0</v>
      </c>
      <c r="E786" s="51"/>
      <c r="F786" s="51"/>
      <c r="G786" s="51"/>
      <c r="H786" s="51"/>
      <c r="I786" s="51"/>
      <c r="J786" s="82"/>
      <c r="K786" s="51"/>
      <c r="L786" s="51"/>
      <c r="M786" s="82"/>
      <c r="N786" s="51"/>
      <c r="O786" s="82"/>
      <c r="P786" s="399"/>
      <c r="Q786" s="338"/>
      <c r="R786" s="51"/>
      <c r="S786" s="51"/>
      <c r="T786" s="35"/>
      <c r="U786" s="51"/>
      <c r="V786" s="51"/>
      <c r="W786" s="51">
        <v>130000</v>
      </c>
      <c r="X786" s="331"/>
      <c r="Y786" s="48"/>
      <c r="Z786" s="48"/>
      <c r="AA786" s="48"/>
      <c r="AB786" s="48"/>
      <c r="AC786" s="48"/>
      <c r="AD786" s="48"/>
      <c r="AE786" s="48"/>
      <c r="AF786" s="48"/>
      <c r="AG786" s="61"/>
      <c r="AH786" s="62"/>
      <c r="AI786" s="58"/>
      <c r="AJ786" s="56"/>
    </row>
    <row r="787" spans="1:36" x14ac:dyDescent="0.3">
      <c r="A787" s="59">
        <f>A786+1</f>
        <v>549</v>
      </c>
      <c r="B787" s="66" t="s">
        <v>3919</v>
      </c>
      <c r="C787" s="51">
        <f>D787+K787+L787+N787+P787+R787+S787+U787+V787+W787</f>
        <v>130000</v>
      </c>
      <c r="D787" s="51">
        <f>E787+F787+G787+H787+I787</f>
        <v>0</v>
      </c>
      <c r="E787" s="51"/>
      <c r="F787" s="51"/>
      <c r="G787" s="51"/>
      <c r="H787" s="51"/>
      <c r="I787" s="51"/>
      <c r="J787" s="82"/>
      <c r="K787" s="51"/>
      <c r="L787" s="51"/>
      <c r="M787" s="82"/>
      <c r="N787" s="51"/>
      <c r="O787" s="82"/>
      <c r="P787" s="399"/>
      <c r="Q787" s="338"/>
      <c r="R787" s="51"/>
      <c r="S787" s="51"/>
      <c r="T787" s="35"/>
      <c r="U787" s="51"/>
      <c r="V787" s="51"/>
      <c r="W787" s="51">
        <v>130000</v>
      </c>
      <c r="X787" s="331"/>
      <c r="Y787" s="48"/>
      <c r="Z787" s="48"/>
      <c r="AA787" s="48"/>
      <c r="AB787" s="48"/>
      <c r="AC787" s="48"/>
      <c r="AD787" s="48"/>
      <c r="AE787" s="48"/>
      <c r="AF787" s="48"/>
      <c r="AG787" s="61"/>
      <c r="AH787" s="62"/>
      <c r="AI787" s="58"/>
      <c r="AJ787" s="56"/>
    </row>
    <row r="788" spans="1:36" x14ac:dyDescent="0.3">
      <c r="A788" s="59">
        <f>A787+1</f>
        <v>550</v>
      </c>
      <c r="B788" s="66" t="s">
        <v>270</v>
      </c>
      <c r="C788" s="51">
        <f>D788+K788+L788+N788+P788+R788+S788+U788+V788+W788</f>
        <v>130000</v>
      </c>
      <c r="D788" s="51">
        <f>E788+F788+G788+H788+I788</f>
        <v>0</v>
      </c>
      <c r="E788" s="51"/>
      <c r="F788" s="51"/>
      <c r="G788" s="51"/>
      <c r="H788" s="51"/>
      <c r="I788" s="51"/>
      <c r="J788" s="82"/>
      <c r="K788" s="51"/>
      <c r="L788" s="51"/>
      <c r="M788" s="82"/>
      <c r="N788" s="51"/>
      <c r="O788" s="82"/>
      <c r="P788" s="399"/>
      <c r="Q788" s="338"/>
      <c r="R788" s="51"/>
      <c r="S788" s="51"/>
      <c r="T788" s="35"/>
      <c r="U788" s="51"/>
      <c r="V788" s="51"/>
      <c r="W788" s="51">
        <v>130000</v>
      </c>
      <c r="X788" s="331"/>
      <c r="Y788" s="48"/>
      <c r="Z788" s="48"/>
      <c r="AA788" s="48"/>
      <c r="AB788" s="48"/>
      <c r="AC788" s="48"/>
      <c r="AD788" s="48"/>
      <c r="AE788" s="48"/>
      <c r="AF788" s="48"/>
      <c r="AG788" s="61"/>
      <c r="AH788" s="62"/>
      <c r="AI788" s="58"/>
      <c r="AJ788" s="56"/>
    </row>
    <row r="789" spans="1:36" x14ac:dyDescent="0.3">
      <c r="A789" s="59"/>
      <c r="B789" s="66" t="s">
        <v>211</v>
      </c>
      <c r="C789" s="51">
        <f t="shared" ref="C789:W789" si="172">SUM(C786:C788)</f>
        <v>390000</v>
      </c>
      <c r="D789" s="51">
        <f t="shared" si="172"/>
        <v>0</v>
      </c>
      <c r="E789" s="51">
        <f t="shared" si="172"/>
        <v>0</v>
      </c>
      <c r="F789" s="51">
        <f t="shared" si="172"/>
        <v>0</v>
      </c>
      <c r="G789" s="51">
        <f t="shared" si="172"/>
        <v>0</v>
      </c>
      <c r="H789" s="51">
        <f t="shared" si="172"/>
        <v>0</v>
      </c>
      <c r="I789" s="51">
        <f t="shared" si="172"/>
        <v>0</v>
      </c>
      <c r="J789" s="82">
        <f t="shared" si="172"/>
        <v>0</v>
      </c>
      <c r="K789" s="51">
        <f t="shared" si="172"/>
        <v>0</v>
      </c>
      <c r="L789" s="51">
        <f t="shared" si="172"/>
        <v>0</v>
      </c>
      <c r="M789" s="82">
        <f t="shared" si="172"/>
        <v>0</v>
      </c>
      <c r="N789" s="51">
        <f t="shared" si="172"/>
        <v>0</v>
      </c>
      <c r="O789" s="82">
        <f t="shared" si="172"/>
        <v>0</v>
      </c>
      <c r="P789" s="51">
        <f t="shared" si="172"/>
        <v>0</v>
      </c>
      <c r="Q789" s="338">
        <f t="shared" si="172"/>
        <v>0</v>
      </c>
      <c r="R789" s="51">
        <f t="shared" si="172"/>
        <v>0</v>
      </c>
      <c r="S789" s="51">
        <f t="shared" si="172"/>
        <v>0</v>
      </c>
      <c r="T789" s="35">
        <f t="shared" si="172"/>
        <v>0</v>
      </c>
      <c r="U789" s="51">
        <f t="shared" si="172"/>
        <v>0</v>
      </c>
      <c r="V789" s="51">
        <f t="shared" si="172"/>
        <v>0</v>
      </c>
      <c r="W789" s="51">
        <f t="shared" si="172"/>
        <v>390000</v>
      </c>
      <c r="X789" s="331"/>
      <c r="Y789" s="48"/>
      <c r="Z789" s="48"/>
      <c r="AA789" s="48"/>
      <c r="AB789" s="48"/>
      <c r="AC789" s="48"/>
      <c r="AD789" s="48"/>
      <c r="AE789" s="48"/>
      <c r="AF789" s="48"/>
      <c r="AG789" s="61"/>
      <c r="AH789" s="62"/>
      <c r="AI789" s="58"/>
      <c r="AJ789" s="56"/>
    </row>
    <row r="790" spans="1:36" ht="15" customHeight="1" x14ac:dyDescent="0.3">
      <c r="A790" s="303" t="s">
        <v>2727</v>
      </c>
      <c r="B790" s="66"/>
      <c r="C790" s="51"/>
      <c r="D790" s="51"/>
      <c r="E790" s="51"/>
      <c r="F790" s="51"/>
      <c r="G790" s="51"/>
      <c r="H790" s="51"/>
      <c r="I790" s="51"/>
      <c r="J790" s="82"/>
      <c r="K790" s="51"/>
      <c r="L790" s="51"/>
      <c r="M790" s="82"/>
      <c r="N790" s="51"/>
      <c r="O790" s="82"/>
      <c r="P790" s="51"/>
      <c r="Q790" s="338"/>
      <c r="R790" s="51"/>
      <c r="S790" s="51"/>
      <c r="T790" s="35"/>
      <c r="U790" s="51"/>
      <c r="V790" s="51"/>
      <c r="W790" s="51"/>
      <c r="X790" s="331"/>
      <c r="Y790" s="48"/>
      <c r="Z790" s="48"/>
      <c r="AA790" s="48"/>
      <c r="AB790" s="48"/>
      <c r="AC790" s="48"/>
      <c r="AD790" s="48"/>
      <c r="AE790" s="48"/>
      <c r="AF790" s="48"/>
      <c r="AG790" s="61"/>
      <c r="AH790" s="62"/>
      <c r="AI790" s="58"/>
      <c r="AJ790" s="56"/>
    </row>
    <row r="791" spans="1:36" x14ac:dyDescent="0.3">
      <c r="A791" s="59">
        <f>A788+1</f>
        <v>551</v>
      </c>
      <c r="B791" s="66" t="s">
        <v>3523</v>
      </c>
      <c r="C791" s="51">
        <f>D791+K791+L791+N791+P791+R791+S791+U791+V791+W791</f>
        <v>4179949.2</v>
      </c>
      <c r="D791" s="51">
        <f>E791+F791+G791+H791+I791</f>
        <v>4179949.2</v>
      </c>
      <c r="E791" s="51">
        <v>480501.6</v>
      </c>
      <c r="F791" s="51">
        <v>3298820.4</v>
      </c>
      <c r="G791" s="51"/>
      <c r="H791" s="51">
        <v>400627.20000000001</v>
      </c>
      <c r="I791" s="51"/>
      <c r="J791" s="82"/>
      <c r="K791" s="51"/>
      <c r="L791" s="51"/>
      <c r="M791" s="82"/>
      <c r="N791" s="51"/>
      <c r="O791" s="82"/>
      <c r="P791" s="51"/>
      <c r="Q791" s="338"/>
      <c r="R791" s="51"/>
      <c r="S791" s="51"/>
      <c r="T791" s="35"/>
      <c r="U791" s="51"/>
      <c r="V791" s="51"/>
      <c r="W791" s="51"/>
      <c r="X791" s="331" t="s">
        <v>3524</v>
      </c>
      <c r="Y791" s="48"/>
      <c r="Z791" s="48"/>
      <c r="AA791" s="48"/>
      <c r="AB791" s="48"/>
      <c r="AC791" s="48"/>
      <c r="AD791" s="48"/>
      <c r="AE791" s="48"/>
      <c r="AF791" s="48"/>
      <c r="AG791" s="61">
        <v>173554.6</v>
      </c>
      <c r="AH791" s="62"/>
      <c r="AI791" s="58"/>
      <c r="AJ791" s="56"/>
    </row>
    <row r="792" spans="1:36" x14ac:dyDescent="0.3">
      <c r="A792" s="59">
        <f>A791+1</f>
        <v>552</v>
      </c>
      <c r="B792" s="66" t="s">
        <v>3525</v>
      </c>
      <c r="C792" s="51">
        <f>D792+K792+L792+N792+P792+R792+S792+U792+V792+W792</f>
        <v>1771389.6</v>
      </c>
      <c r="D792" s="51">
        <f>E792+F792+G792+H792+I792</f>
        <v>1771389.6</v>
      </c>
      <c r="E792" s="51">
        <v>1771389.6</v>
      </c>
      <c r="F792" s="51"/>
      <c r="G792" s="51"/>
      <c r="H792" s="51"/>
      <c r="I792" s="51"/>
      <c r="J792" s="82"/>
      <c r="K792" s="51"/>
      <c r="L792" s="51"/>
      <c r="M792" s="82"/>
      <c r="N792" s="51"/>
      <c r="O792" s="82"/>
      <c r="P792" s="51"/>
      <c r="Q792" s="338"/>
      <c r="R792" s="51"/>
      <c r="S792" s="51"/>
      <c r="T792" s="35"/>
      <c r="U792" s="51"/>
      <c r="V792" s="51"/>
      <c r="W792" s="51"/>
      <c r="X792" s="331"/>
      <c r="Y792" s="48"/>
      <c r="Z792" s="48"/>
      <c r="AA792" s="48">
        <v>235210.92</v>
      </c>
      <c r="AB792" s="48">
        <v>206820.72</v>
      </c>
      <c r="AC792" s="48"/>
      <c r="AD792" s="48"/>
      <c r="AE792" s="48"/>
      <c r="AF792" s="48"/>
      <c r="AG792" s="61"/>
      <c r="AH792" s="62"/>
      <c r="AI792" s="58"/>
      <c r="AJ792" s="56"/>
    </row>
    <row r="793" spans="1:36" ht="24.75" customHeight="1" x14ac:dyDescent="0.3">
      <c r="A793" s="59">
        <f>A792+1</f>
        <v>553</v>
      </c>
      <c r="B793" s="66" t="s">
        <v>3526</v>
      </c>
      <c r="C793" s="51">
        <f>D793+K793+L793+N793+P793+R793+S793+U793+V793+W793</f>
        <v>953334</v>
      </c>
      <c r="D793" s="51">
        <f>E793+F793+G793+H793+I793</f>
        <v>953334</v>
      </c>
      <c r="E793" s="51">
        <v>245454</v>
      </c>
      <c r="F793" s="51">
        <v>670568.4</v>
      </c>
      <c r="G793" s="51"/>
      <c r="H793" s="51">
        <v>37311.599999999999</v>
      </c>
      <c r="I793" s="51"/>
      <c r="J793" s="82"/>
      <c r="K793" s="51"/>
      <c r="L793" s="51"/>
      <c r="M793" s="82"/>
      <c r="N793" s="51"/>
      <c r="O793" s="82"/>
      <c r="P793" s="51"/>
      <c r="Q793" s="338"/>
      <c r="R793" s="51"/>
      <c r="S793" s="51"/>
      <c r="T793" s="35"/>
      <c r="U793" s="51"/>
      <c r="V793" s="51"/>
      <c r="W793" s="51"/>
      <c r="X793" s="331" t="s">
        <v>3527</v>
      </c>
      <c r="Y793" s="48"/>
      <c r="Z793" s="48"/>
      <c r="AA793" s="48"/>
      <c r="AB793" s="48"/>
      <c r="AC793" s="48"/>
      <c r="AD793" s="48"/>
      <c r="AE793" s="48"/>
      <c r="AF793" s="48"/>
      <c r="AG793" s="61"/>
      <c r="AH793" s="62"/>
      <c r="AI793" s="58"/>
      <c r="AJ793" s="56"/>
    </row>
    <row r="794" spans="1:36" x14ac:dyDescent="0.3">
      <c r="A794" s="59">
        <f>A793+1</f>
        <v>554</v>
      </c>
      <c r="B794" s="66" t="s">
        <v>3529</v>
      </c>
      <c r="C794" s="51">
        <f>D794+K794+L794+N794+P794+R794+S794+U794+V794+W794</f>
        <v>1112449.2</v>
      </c>
      <c r="D794" s="51">
        <f>E794+F794+G794+H794+I794</f>
        <v>1112449.2</v>
      </c>
      <c r="E794" s="51">
        <v>1112449.2</v>
      </c>
      <c r="F794" s="51"/>
      <c r="G794" s="51"/>
      <c r="H794" s="51"/>
      <c r="I794" s="51"/>
      <c r="J794" s="82"/>
      <c r="K794" s="51"/>
      <c r="L794" s="51"/>
      <c r="M794" s="82"/>
      <c r="N794" s="51"/>
      <c r="O794" s="82"/>
      <c r="P794" s="51"/>
      <c r="Q794" s="338"/>
      <c r="R794" s="51"/>
      <c r="S794" s="51"/>
      <c r="T794" s="35"/>
      <c r="U794" s="51"/>
      <c r="V794" s="51"/>
      <c r="W794" s="51"/>
      <c r="X794" s="331"/>
      <c r="Y794" s="48"/>
      <c r="Z794" s="48"/>
      <c r="AA794" s="48">
        <v>235210.92</v>
      </c>
      <c r="AB794" s="48">
        <v>206820.72</v>
      </c>
      <c r="AC794" s="48"/>
      <c r="AD794" s="48"/>
      <c r="AE794" s="48"/>
      <c r="AF794" s="48"/>
      <c r="AG794" s="61"/>
      <c r="AH794" s="62"/>
      <c r="AI794" s="58"/>
      <c r="AJ794" s="56"/>
    </row>
    <row r="795" spans="1:36" x14ac:dyDescent="0.3">
      <c r="A795" s="59"/>
      <c r="B795" s="66" t="s">
        <v>211</v>
      </c>
      <c r="C795" s="51">
        <f t="shared" ref="C795:W795" si="173">SUM(C791:C794)</f>
        <v>8017122.0000000009</v>
      </c>
      <c r="D795" s="51">
        <f t="shared" si="173"/>
        <v>8017122.0000000009</v>
      </c>
      <c r="E795" s="51">
        <f t="shared" si="173"/>
        <v>3609794.4000000004</v>
      </c>
      <c r="F795" s="51">
        <f t="shared" si="173"/>
        <v>3969388.8</v>
      </c>
      <c r="G795" s="51">
        <f t="shared" si="173"/>
        <v>0</v>
      </c>
      <c r="H795" s="51">
        <f t="shared" si="173"/>
        <v>437938.8</v>
      </c>
      <c r="I795" s="51">
        <f t="shared" si="173"/>
        <v>0</v>
      </c>
      <c r="J795" s="82">
        <f t="shared" si="173"/>
        <v>0</v>
      </c>
      <c r="K795" s="51">
        <f t="shared" si="173"/>
        <v>0</v>
      </c>
      <c r="L795" s="51">
        <f t="shared" si="173"/>
        <v>0</v>
      </c>
      <c r="M795" s="82">
        <f t="shared" si="173"/>
        <v>0</v>
      </c>
      <c r="N795" s="51">
        <f t="shared" si="173"/>
        <v>0</v>
      </c>
      <c r="O795" s="82">
        <f t="shared" si="173"/>
        <v>0</v>
      </c>
      <c r="P795" s="51">
        <f t="shared" si="173"/>
        <v>0</v>
      </c>
      <c r="Q795" s="338">
        <f t="shared" si="173"/>
        <v>0</v>
      </c>
      <c r="R795" s="51">
        <f t="shared" si="173"/>
        <v>0</v>
      </c>
      <c r="S795" s="51">
        <f t="shared" si="173"/>
        <v>0</v>
      </c>
      <c r="T795" s="35">
        <f t="shared" si="173"/>
        <v>0</v>
      </c>
      <c r="U795" s="51">
        <f t="shared" si="173"/>
        <v>0</v>
      </c>
      <c r="V795" s="51">
        <f t="shared" si="173"/>
        <v>0</v>
      </c>
      <c r="W795" s="51">
        <f t="shared" si="173"/>
        <v>0</v>
      </c>
      <c r="X795" s="331"/>
      <c r="Y795" s="48"/>
      <c r="Z795" s="48"/>
      <c r="AA795" s="48"/>
      <c r="AB795" s="48"/>
      <c r="AC795" s="48"/>
      <c r="AD795" s="48"/>
      <c r="AE795" s="48"/>
      <c r="AF795" s="48"/>
      <c r="AG795" s="61"/>
      <c r="AH795" s="62"/>
      <c r="AI795" s="58"/>
      <c r="AJ795" s="56"/>
    </row>
    <row r="796" spans="1:36" ht="15" customHeight="1" x14ac:dyDescent="0.3">
      <c r="A796" s="303" t="s">
        <v>3534</v>
      </c>
      <c r="B796" s="66"/>
      <c r="C796" s="51"/>
      <c r="D796" s="51"/>
      <c r="E796" s="51"/>
      <c r="F796" s="51"/>
      <c r="G796" s="51"/>
      <c r="H796" s="51"/>
      <c r="I796" s="51"/>
      <c r="J796" s="82"/>
      <c r="K796" s="51"/>
      <c r="L796" s="51"/>
      <c r="M796" s="82"/>
      <c r="N796" s="51"/>
      <c r="O796" s="82"/>
      <c r="P796" s="51"/>
      <c r="Q796" s="338"/>
      <c r="R796" s="51"/>
      <c r="S796" s="51"/>
      <c r="T796" s="35"/>
      <c r="U796" s="51"/>
      <c r="V796" s="51"/>
      <c r="W796" s="51"/>
      <c r="X796" s="331"/>
      <c r="Y796" s="48"/>
      <c r="Z796" s="48"/>
      <c r="AA796" s="48"/>
      <c r="AB796" s="48"/>
      <c r="AC796" s="48"/>
      <c r="AD796" s="48"/>
      <c r="AE796" s="48"/>
      <c r="AF796" s="48"/>
      <c r="AG796" s="61"/>
      <c r="AH796" s="62"/>
      <c r="AI796" s="58"/>
      <c r="AJ796" s="56"/>
    </row>
    <row r="797" spans="1:36" ht="30.75" customHeight="1" x14ac:dyDescent="0.3">
      <c r="A797" s="59">
        <f>A794+1</f>
        <v>555</v>
      </c>
      <c r="B797" s="66" t="s">
        <v>3538</v>
      </c>
      <c r="C797" s="51">
        <f>D797+K797+L797+N797+P797+R797+S797+U797+V797+W797</f>
        <v>5003013.5999999996</v>
      </c>
      <c r="D797" s="51">
        <f>E797+F797+G797+H797+I797</f>
        <v>1982479.2</v>
      </c>
      <c r="E797" s="51"/>
      <c r="F797" s="51">
        <v>1982479.2</v>
      </c>
      <c r="G797" s="51"/>
      <c r="H797" s="51"/>
      <c r="I797" s="51"/>
      <c r="J797" s="82"/>
      <c r="K797" s="51"/>
      <c r="L797" s="51"/>
      <c r="M797" s="82"/>
      <c r="N797" s="51"/>
      <c r="O797" s="82"/>
      <c r="P797" s="399"/>
      <c r="Q797" s="338"/>
      <c r="R797" s="51"/>
      <c r="S797" s="51"/>
      <c r="T797" s="35">
        <v>61.2</v>
      </c>
      <c r="U797" s="51">
        <v>3020534.4</v>
      </c>
      <c r="V797" s="51"/>
      <c r="W797" s="51"/>
      <c r="X797" s="331" t="s">
        <v>3539</v>
      </c>
      <c r="Y797" s="48"/>
      <c r="Z797" s="48"/>
      <c r="AA797" s="48"/>
      <c r="AB797" s="48"/>
      <c r="AC797" s="48"/>
      <c r="AD797" s="48"/>
      <c r="AE797" s="48"/>
      <c r="AF797" s="48"/>
      <c r="AG797" s="61"/>
      <c r="AH797" s="62"/>
      <c r="AI797" s="58"/>
      <c r="AJ797" s="56"/>
    </row>
    <row r="798" spans="1:36" x14ac:dyDescent="0.3">
      <c r="A798" s="59"/>
      <c r="B798" s="66" t="s">
        <v>211</v>
      </c>
      <c r="C798" s="51">
        <f t="shared" ref="C798:W798" si="174">SUM(C797:C797)</f>
        <v>5003013.5999999996</v>
      </c>
      <c r="D798" s="51">
        <f t="shared" si="174"/>
        <v>1982479.2</v>
      </c>
      <c r="E798" s="51">
        <f t="shared" si="174"/>
        <v>0</v>
      </c>
      <c r="F798" s="51">
        <f t="shared" si="174"/>
        <v>1982479.2</v>
      </c>
      <c r="G798" s="51">
        <f t="shared" si="174"/>
        <v>0</v>
      </c>
      <c r="H798" s="51">
        <f t="shared" si="174"/>
        <v>0</v>
      </c>
      <c r="I798" s="51">
        <f t="shared" si="174"/>
        <v>0</v>
      </c>
      <c r="J798" s="82">
        <f t="shared" si="174"/>
        <v>0</v>
      </c>
      <c r="K798" s="51">
        <f t="shared" si="174"/>
        <v>0</v>
      </c>
      <c r="L798" s="51">
        <f t="shared" si="174"/>
        <v>0</v>
      </c>
      <c r="M798" s="82">
        <f t="shared" si="174"/>
        <v>0</v>
      </c>
      <c r="N798" s="51">
        <f t="shared" si="174"/>
        <v>0</v>
      </c>
      <c r="O798" s="82">
        <f t="shared" si="174"/>
        <v>0</v>
      </c>
      <c r="P798" s="51">
        <f t="shared" si="174"/>
        <v>0</v>
      </c>
      <c r="Q798" s="338">
        <f t="shared" si="174"/>
        <v>0</v>
      </c>
      <c r="R798" s="51">
        <f t="shared" si="174"/>
        <v>0</v>
      </c>
      <c r="S798" s="51">
        <f t="shared" si="174"/>
        <v>0</v>
      </c>
      <c r="T798" s="35">
        <f t="shared" si="174"/>
        <v>61.2</v>
      </c>
      <c r="U798" s="51">
        <f t="shared" si="174"/>
        <v>3020534.4</v>
      </c>
      <c r="V798" s="51">
        <f t="shared" si="174"/>
        <v>0</v>
      </c>
      <c r="W798" s="51">
        <f t="shared" si="174"/>
        <v>0</v>
      </c>
      <c r="X798" s="331"/>
      <c r="Y798" s="48"/>
      <c r="Z798" s="48"/>
      <c r="AA798" s="48"/>
      <c r="AB798" s="48"/>
      <c r="AC798" s="48"/>
      <c r="AD798" s="48"/>
      <c r="AE798" s="48"/>
      <c r="AF798" s="48"/>
      <c r="AG798" s="61"/>
      <c r="AH798" s="62"/>
      <c r="AI798" s="58"/>
      <c r="AJ798" s="56"/>
    </row>
    <row r="799" spans="1:36" ht="15" customHeight="1" x14ac:dyDescent="0.3">
      <c r="A799" s="303" t="s">
        <v>3544</v>
      </c>
      <c r="B799" s="66"/>
      <c r="C799" s="51"/>
      <c r="D799" s="51"/>
      <c r="E799" s="51"/>
      <c r="F799" s="51"/>
      <c r="G799" s="51"/>
      <c r="H799" s="51"/>
      <c r="I799" s="51"/>
      <c r="J799" s="82"/>
      <c r="K799" s="51"/>
      <c r="L799" s="51"/>
      <c r="M799" s="82"/>
      <c r="N799" s="51"/>
      <c r="O799" s="82"/>
      <c r="P799" s="51"/>
      <c r="Q799" s="338"/>
      <c r="R799" s="51"/>
      <c r="S799" s="51"/>
      <c r="T799" s="35"/>
      <c r="U799" s="51"/>
      <c r="V799" s="51"/>
      <c r="W799" s="51"/>
      <c r="X799" s="331"/>
      <c r="Y799" s="48"/>
      <c r="Z799" s="48"/>
      <c r="AA799" s="48"/>
      <c r="AB799" s="48"/>
      <c r="AC799" s="48"/>
      <c r="AD799" s="48"/>
      <c r="AE799" s="48"/>
      <c r="AF799" s="48"/>
      <c r="AG799" s="61"/>
      <c r="AH799" s="62"/>
      <c r="AI799" s="58"/>
      <c r="AJ799" s="56"/>
    </row>
    <row r="800" spans="1:36" x14ac:dyDescent="0.3">
      <c r="A800" s="59">
        <f>A797+1</f>
        <v>556</v>
      </c>
      <c r="B800" s="66" t="s">
        <v>3545</v>
      </c>
      <c r="C800" s="51">
        <f t="shared" ref="C800:C817" si="175">D800+K800+L800+N800+P800+R800+S800+U800+V800+W800</f>
        <v>233943.26</v>
      </c>
      <c r="D800" s="51">
        <f t="shared" ref="D800:D817" si="176">E800+F800+G800+H800+I800</f>
        <v>233943.26</v>
      </c>
      <c r="E800" s="51"/>
      <c r="F800" s="51"/>
      <c r="G800" s="51">
        <v>233943.26</v>
      </c>
      <c r="H800" s="51"/>
      <c r="I800" s="51"/>
      <c r="J800" s="82"/>
      <c r="K800" s="51"/>
      <c r="L800" s="51"/>
      <c r="M800" s="82"/>
      <c r="N800" s="51"/>
      <c r="O800" s="82"/>
      <c r="P800" s="51"/>
      <c r="Q800" s="338"/>
      <c r="R800" s="51"/>
      <c r="S800" s="51"/>
      <c r="T800" s="35"/>
      <c r="U800" s="51"/>
      <c r="V800" s="51"/>
      <c r="W800" s="51"/>
      <c r="X800" s="331"/>
      <c r="Y800" s="48"/>
      <c r="Z800" s="48"/>
      <c r="AA800" s="48"/>
      <c r="AB800" s="48"/>
      <c r="AC800" s="48"/>
      <c r="AD800" s="48"/>
      <c r="AE800" s="48"/>
      <c r="AF800" s="48"/>
      <c r="AG800" s="61"/>
      <c r="AH800" s="62"/>
      <c r="AI800" s="58"/>
      <c r="AJ800" s="56"/>
    </row>
    <row r="801" spans="1:36" ht="24" customHeight="1" x14ac:dyDescent="0.3">
      <c r="A801" s="59">
        <f t="shared" ref="A801:A817" si="177">A800+1</f>
        <v>557</v>
      </c>
      <c r="B801" s="66" t="s">
        <v>3549</v>
      </c>
      <c r="C801" s="51">
        <f t="shared" si="175"/>
        <v>1493606.71</v>
      </c>
      <c r="D801" s="51">
        <f t="shared" si="176"/>
        <v>0</v>
      </c>
      <c r="E801" s="51"/>
      <c r="F801" s="51"/>
      <c r="G801" s="51"/>
      <c r="H801" s="51"/>
      <c r="I801" s="51"/>
      <c r="J801" s="82"/>
      <c r="K801" s="51"/>
      <c r="L801" s="51"/>
      <c r="M801" s="82"/>
      <c r="N801" s="51"/>
      <c r="O801" s="82"/>
      <c r="P801" s="51"/>
      <c r="Q801" s="338"/>
      <c r="R801" s="399">
        <v>1493606.71</v>
      </c>
      <c r="S801" s="51"/>
      <c r="T801" s="35"/>
      <c r="U801" s="51"/>
      <c r="V801" s="51"/>
      <c r="W801" s="51"/>
      <c r="X801" s="331" t="s">
        <v>3550</v>
      </c>
      <c r="Y801" s="48"/>
      <c r="Z801" s="48"/>
      <c r="AA801" s="48"/>
      <c r="AB801" s="48"/>
      <c r="AC801" s="48"/>
      <c r="AD801" s="48"/>
      <c r="AE801" s="48"/>
      <c r="AF801" s="48"/>
      <c r="AG801" s="61"/>
      <c r="AH801" s="62"/>
      <c r="AI801" s="58"/>
      <c r="AJ801" s="56"/>
    </row>
    <row r="802" spans="1:36" x14ac:dyDescent="0.3">
      <c r="A802" s="59">
        <f t="shared" si="177"/>
        <v>558</v>
      </c>
      <c r="B802" s="66" t="s">
        <v>3547</v>
      </c>
      <c r="C802" s="51">
        <f t="shared" si="175"/>
        <v>182039</v>
      </c>
      <c r="D802" s="51">
        <f t="shared" si="176"/>
        <v>0</v>
      </c>
      <c r="E802" s="51"/>
      <c r="F802" s="51"/>
      <c r="G802" s="51"/>
      <c r="H802" s="51"/>
      <c r="I802" s="51"/>
      <c r="J802" s="82"/>
      <c r="K802" s="51"/>
      <c r="L802" s="51"/>
      <c r="M802" s="82"/>
      <c r="N802" s="51"/>
      <c r="O802" s="82"/>
      <c r="P802" s="51"/>
      <c r="Q802" s="338">
        <v>13</v>
      </c>
      <c r="R802" s="51">
        <v>182039</v>
      </c>
      <c r="S802" s="51"/>
      <c r="T802" s="35"/>
      <c r="U802" s="51"/>
      <c r="V802" s="51"/>
      <c r="W802" s="51"/>
      <c r="X802" s="331"/>
      <c r="Y802" s="48"/>
      <c r="Z802" s="48"/>
      <c r="AA802" s="48"/>
      <c r="AB802" s="48"/>
      <c r="AC802" s="48"/>
      <c r="AD802" s="48"/>
      <c r="AE802" s="48"/>
      <c r="AF802" s="48"/>
      <c r="AG802" s="61"/>
      <c r="AH802" s="62">
        <v>378792.64</v>
      </c>
      <c r="AI802" s="58"/>
      <c r="AJ802" s="56"/>
    </row>
    <row r="803" spans="1:36" x14ac:dyDescent="0.3">
      <c r="A803" s="59">
        <f t="shared" si="177"/>
        <v>559</v>
      </c>
      <c r="B803" s="66" t="s">
        <v>3548</v>
      </c>
      <c r="C803" s="51">
        <f t="shared" si="175"/>
        <v>105222</v>
      </c>
      <c r="D803" s="51">
        <f t="shared" si="176"/>
        <v>0</v>
      </c>
      <c r="E803" s="51"/>
      <c r="F803" s="51"/>
      <c r="G803" s="51"/>
      <c r="H803" s="51"/>
      <c r="I803" s="51"/>
      <c r="J803" s="82"/>
      <c r="K803" s="51"/>
      <c r="L803" s="51"/>
      <c r="M803" s="82">
        <v>13</v>
      </c>
      <c r="N803" s="399">
        <v>105222</v>
      </c>
      <c r="O803" s="82"/>
      <c r="P803" s="51"/>
      <c r="Q803" s="338"/>
      <c r="R803" s="51"/>
      <c r="S803" s="51"/>
      <c r="T803" s="35"/>
      <c r="U803" s="51"/>
      <c r="V803" s="51"/>
      <c r="W803" s="51"/>
      <c r="X803" s="331"/>
      <c r="Y803" s="48"/>
      <c r="Z803" s="48"/>
      <c r="AA803" s="48"/>
      <c r="AB803" s="48"/>
      <c r="AC803" s="48"/>
      <c r="AD803" s="48"/>
      <c r="AE803" s="48"/>
      <c r="AF803" s="48">
        <v>198811.07</v>
      </c>
      <c r="AG803" s="61"/>
      <c r="AH803" s="62"/>
      <c r="AI803" s="58"/>
      <c r="AJ803" s="56"/>
    </row>
    <row r="804" spans="1:36" x14ac:dyDescent="0.3">
      <c r="A804" s="59">
        <f t="shared" si="177"/>
        <v>560</v>
      </c>
      <c r="B804" s="66" t="s">
        <v>3551</v>
      </c>
      <c r="C804" s="51">
        <f t="shared" si="175"/>
        <v>447727.2</v>
      </c>
      <c r="D804" s="51">
        <f t="shared" si="176"/>
        <v>447727.2</v>
      </c>
      <c r="E804" s="51">
        <v>447727.2</v>
      </c>
      <c r="F804" s="51"/>
      <c r="G804" s="51"/>
      <c r="H804" s="51"/>
      <c r="I804" s="51"/>
      <c r="J804" s="82"/>
      <c r="K804" s="51"/>
      <c r="L804" s="51"/>
      <c r="M804" s="82"/>
      <c r="N804" s="51"/>
      <c r="O804" s="82"/>
      <c r="P804" s="51"/>
      <c r="Q804" s="338"/>
      <c r="R804" s="51"/>
      <c r="S804" s="51"/>
      <c r="T804" s="35"/>
      <c r="U804" s="51"/>
      <c r="V804" s="51"/>
      <c r="W804" s="51"/>
      <c r="X804" s="331"/>
      <c r="Y804" s="48"/>
      <c r="Z804" s="48"/>
      <c r="AA804" s="48"/>
      <c r="AB804" s="48"/>
      <c r="AC804" s="48"/>
      <c r="AD804" s="48"/>
      <c r="AE804" s="48"/>
      <c r="AF804" s="48"/>
      <c r="AG804" s="61"/>
      <c r="AH804" s="62"/>
      <c r="AI804" s="58"/>
      <c r="AJ804" s="56"/>
    </row>
    <row r="805" spans="1:36" x14ac:dyDescent="0.3">
      <c r="A805" s="59">
        <f t="shared" si="177"/>
        <v>561</v>
      </c>
      <c r="B805" s="66" t="s">
        <v>3552</v>
      </c>
      <c r="C805" s="51">
        <f t="shared" si="175"/>
        <v>2507983.2000000002</v>
      </c>
      <c r="D805" s="51">
        <f t="shared" si="176"/>
        <v>2507983.2000000002</v>
      </c>
      <c r="E805" s="51">
        <v>466230</v>
      </c>
      <c r="F805" s="51">
        <v>2041753.2</v>
      </c>
      <c r="G805" s="51"/>
      <c r="H805" s="51"/>
      <c r="I805" s="51"/>
      <c r="J805" s="82"/>
      <c r="K805" s="51"/>
      <c r="L805" s="51"/>
      <c r="M805" s="82"/>
      <c r="N805" s="51"/>
      <c r="O805" s="82"/>
      <c r="P805" s="51"/>
      <c r="Q805" s="338"/>
      <c r="R805" s="51"/>
      <c r="S805" s="51"/>
      <c r="T805" s="35"/>
      <c r="U805" s="51"/>
      <c r="V805" s="51"/>
      <c r="W805" s="51"/>
      <c r="X805" s="331"/>
      <c r="Y805" s="48"/>
      <c r="Z805" s="48"/>
      <c r="AA805" s="48"/>
      <c r="AB805" s="48"/>
      <c r="AC805" s="48"/>
      <c r="AD805" s="48"/>
      <c r="AE805" s="48"/>
      <c r="AF805" s="48"/>
      <c r="AG805" s="61"/>
      <c r="AH805" s="62"/>
      <c r="AI805" s="58"/>
      <c r="AJ805" s="56"/>
    </row>
    <row r="806" spans="1:36" x14ac:dyDescent="0.3">
      <c r="A806" s="59">
        <f t="shared" si="177"/>
        <v>562</v>
      </c>
      <c r="B806" s="66" t="s">
        <v>3553</v>
      </c>
      <c r="C806" s="51">
        <f t="shared" si="175"/>
        <v>2820342</v>
      </c>
      <c r="D806" s="51">
        <f t="shared" si="176"/>
        <v>2820342</v>
      </c>
      <c r="E806" s="51">
        <v>399938.4</v>
      </c>
      <c r="F806" s="51">
        <v>1313287.2</v>
      </c>
      <c r="G806" s="51"/>
      <c r="H806" s="51"/>
      <c r="I806" s="51">
        <v>1107116.3999999999</v>
      </c>
      <c r="J806" s="82"/>
      <c r="K806" s="51"/>
      <c r="L806" s="51"/>
      <c r="M806" s="82"/>
      <c r="N806" s="51"/>
      <c r="O806" s="82"/>
      <c r="P806" s="51"/>
      <c r="Q806" s="338"/>
      <c r="R806" s="51"/>
      <c r="S806" s="51"/>
      <c r="T806" s="35"/>
      <c r="U806" s="51"/>
      <c r="V806" s="51"/>
      <c r="W806" s="51"/>
      <c r="X806" s="331"/>
      <c r="Y806" s="48"/>
      <c r="Z806" s="48"/>
      <c r="AA806" s="48"/>
      <c r="AB806" s="48"/>
      <c r="AC806" s="48"/>
      <c r="AD806" s="48"/>
      <c r="AE806" s="48"/>
      <c r="AF806" s="48"/>
      <c r="AG806" s="61"/>
      <c r="AH806" s="62"/>
      <c r="AI806" s="58"/>
      <c r="AJ806" s="56"/>
    </row>
    <row r="807" spans="1:36" x14ac:dyDescent="0.3">
      <c r="A807" s="59">
        <f t="shared" si="177"/>
        <v>563</v>
      </c>
      <c r="B807" s="66" t="s">
        <v>3554</v>
      </c>
      <c r="C807" s="51">
        <f t="shared" si="175"/>
        <v>1393196</v>
      </c>
      <c r="D807" s="51">
        <f t="shared" si="176"/>
        <v>1393196</v>
      </c>
      <c r="E807" s="51"/>
      <c r="F807" s="51"/>
      <c r="G807" s="51"/>
      <c r="H807" s="51"/>
      <c r="I807" s="51">
        <v>1393196</v>
      </c>
      <c r="J807" s="82"/>
      <c r="K807" s="51"/>
      <c r="L807" s="51"/>
      <c r="M807" s="82"/>
      <c r="N807" s="51"/>
      <c r="O807" s="82"/>
      <c r="P807" s="51"/>
      <c r="Q807" s="338"/>
      <c r="R807" s="51"/>
      <c r="S807" s="51"/>
      <c r="T807" s="35"/>
      <c r="U807" s="51"/>
      <c r="V807" s="51"/>
      <c r="W807" s="51"/>
      <c r="X807" s="331"/>
      <c r="Y807" s="48"/>
      <c r="Z807" s="48"/>
      <c r="AA807" s="48"/>
      <c r="AB807" s="48"/>
      <c r="AC807" s="48"/>
      <c r="AD807" s="48"/>
      <c r="AE807" s="48"/>
      <c r="AF807" s="48"/>
      <c r="AG807" s="61"/>
      <c r="AH807" s="62"/>
      <c r="AI807" s="58"/>
      <c r="AJ807" s="56"/>
    </row>
    <row r="808" spans="1:36" x14ac:dyDescent="0.3">
      <c r="A808" s="59">
        <f t="shared" si="177"/>
        <v>564</v>
      </c>
      <c r="B808" s="66" t="s">
        <v>3555</v>
      </c>
      <c r="C808" s="51">
        <f t="shared" si="175"/>
        <v>1429036</v>
      </c>
      <c r="D808" s="51">
        <f t="shared" si="176"/>
        <v>1429036</v>
      </c>
      <c r="E808" s="51"/>
      <c r="F808" s="51"/>
      <c r="G808" s="51"/>
      <c r="H808" s="51"/>
      <c r="I808" s="51">
        <v>1429036</v>
      </c>
      <c r="J808" s="82"/>
      <c r="K808" s="51"/>
      <c r="L808" s="51"/>
      <c r="M808" s="82"/>
      <c r="N808" s="51"/>
      <c r="O808" s="82"/>
      <c r="P808" s="51"/>
      <c r="Q808" s="338"/>
      <c r="R808" s="51"/>
      <c r="S808" s="51"/>
      <c r="T808" s="35"/>
      <c r="U808" s="51"/>
      <c r="V808" s="51"/>
      <c r="W808" s="51"/>
      <c r="X808" s="331"/>
      <c r="Y808" s="48"/>
      <c r="Z808" s="48"/>
      <c r="AA808" s="48"/>
      <c r="AB808" s="48"/>
      <c r="AC808" s="48"/>
      <c r="AD808" s="48"/>
      <c r="AE808" s="48"/>
      <c r="AF808" s="48"/>
      <c r="AG808" s="61"/>
      <c r="AH808" s="62"/>
      <c r="AI808" s="58"/>
      <c r="AJ808" s="56"/>
    </row>
    <row r="809" spans="1:36" x14ac:dyDescent="0.3">
      <c r="A809" s="59">
        <f t="shared" si="177"/>
        <v>565</v>
      </c>
      <c r="B809" s="66" t="s">
        <v>3556</v>
      </c>
      <c r="C809" s="51">
        <f t="shared" si="175"/>
        <v>1429036</v>
      </c>
      <c r="D809" s="51">
        <f t="shared" si="176"/>
        <v>1429036</v>
      </c>
      <c r="E809" s="51"/>
      <c r="F809" s="51"/>
      <c r="G809" s="51"/>
      <c r="H809" s="51"/>
      <c r="I809" s="51">
        <v>1429036</v>
      </c>
      <c r="J809" s="82"/>
      <c r="K809" s="51"/>
      <c r="L809" s="51"/>
      <c r="M809" s="82"/>
      <c r="N809" s="51"/>
      <c r="O809" s="82"/>
      <c r="P809" s="51"/>
      <c r="Q809" s="338"/>
      <c r="R809" s="51"/>
      <c r="S809" s="51"/>
      <c r="T809" s="35"/>
      <c r="U809" s="51"/>
      <c r="V809" s="51"/>
      <c r="W809" s="51"/>
      <c r="X809" s="331"/>
      <c r="Y809" s="48"/>
      <c r="Z809" s="48"/>
      <c r="AA809" s="48"/>
      <c r="AB809" s="48"/>
      <c r="AC809" s="48"/>
      <c r="AD809" s="48"/>
      <c r="AE809" s="48"/>
      <c r="AF809" s="48"/>
      <c r="AG809" s="61"/>
      <c r="AH809" s="62"/>
      <c r="AI809" s="58"/>
      <c r="AJ809" s="56"/>
    </row>
    <row r="810" spans="1:36" x14ac:dyDescent="0.3">
      <c r="A810" s="59">
        <f t="shared" si="177"/>
        <v>566</v>
      </c>
      <c r="B810" s="66" t="s">
        <v>3557</v>
      </c>
      <c r="C810" s="51">
        <f t="shared" si="175"/>
        <v>1429036</v>
      </c>
      <c r="D810" s="51">
        <f t="shared" si="176"/>
        <v>1429036</v>
      </c>
      <c r="E810" s="51"/>
      <c r="F810" s="51"/>
      <c r="G810" s="51"/>
      <c r="H810" s="51"/>
      <c r="I810" s="51">
        <v>1429036</v>
      </c>
      <c r="J810" s="82"/>
      <c r="K810" s="51"/>
      <c r="L810" s="51"/>
      <c r="M810" s="82"/>
      <c r="N810" s="51"/>
      <c r="O810" s="82"/>
      <c r="P810" s="51"/>
      <c r="Q810" s="338"/>
      <c r="R810" s="51"/>
      <c r="S810" s="51"/>
      <c r="T810" s="35"/>
      <c r="U810" s="51"/>
      <c r="V810" s="51"/>
      <c r="W810" s="51"/>
      <c r="X810" s="331"/>
      <c r="Y810" s="48"/>
      <c r="Z810" s="48"/>
      <c r="AA810" s="48"/>
      <c r="AB810" s="48"/>
      <c r="AC810" s="48"/>
      <c r="AD810" s="48"/>
      <c r="AE810" s="48"/>
      <c r="AF810" s="48"/>
      <c r="AG810" s="61"/>
      <c r="AH810" s="62"/>
      <c r="AI810" s="58"/>
      <c r="AJ810" s="56"/>
    </row>
    <row r="811" spans="1:36" x14ac:dyDescent="0.3">
      <c r="A811" s="59">
        <f t="shared" si="177"/>
        <v>567</v>
      </c>
      <c r="B811" s="66" t="s">
        <v>3558</v>
      </c>
      <c r="C811" s="51">
        <f t="shared" si="175"/>
        <v>1429036</v>
      </c>
      <c r="D811" s="51">
        <f t="shared" si="176"/>
        <v>1429036</v>
      </c>
      <c r="E811" s="51"/>
      <c r="F811" s="51"/>
      <c r="G811" s="51"/>
      <c r="H811" s="51"/>
      <c r="I811" s="51">
        <v>1429036</v>
      </c>
      <c r="J811" s="82"/>
      <c r="K811" s="51"/>
      <c r="L811" s="51"/>
      <c r="M811" s="82"/>
      <c r="N811" s="51"/>
      <c r="O811" s="82"/>
      <c r="P811" s="51"/>
      <c r="Q811" s="338"/>
      <c r="R811" s="51"/>
      <c r="S811" s="51"/>
      <c r="T811" s="35"/>
      <c r="U811" s="51"/>
      <c r="V811" s="51"/>
      <c r="W811" s="51"/>
      <c r="X811" s="331"/>
      <c r="Y811" s="48"/>
      <c r="Z811" s="48"/>
      <c r="AA811" s="48"/>
      <c r="AB811" s="48"/>
      <c r="AC811" s="48"/>
      <c r="AD811" s="48"/>
      <c r="AE811" s="48"/>
      <c r="AF811" s="48"/>
      <c r="AG811" s="61"/>
      <c r="AH811" s="62"/>
      <c r="AI811" s="58"/>
      <c r="AJ811" s="56"/>
    </row>
    <row r="812" spans="1:36" x14ac:dyDescent="0.3">
      <c r="A812" s="59">
        <f t="shared" si="177"/>
        <v>568</v>
      </c>
      <c r="B812" s="66" t="s">
        <v>3559</v>
      </c>
      <c r="C812" s="51">
        <f t="shared" si="175"/>
        <v>1965907.2</v>
      </c>
      <c r="D812" s="51">
        <f t="shared" si="176"/>
        <v>1965907.2</v>
      </c>
      <c r="E812" s="51"/>
      <c r="F812" s="51">
        <v>1965907.2</v>
      </c>
      <c r="G812" s="51"/>
      <c r="H812" s="51"/>
      <c r="I812" s="51"/>
      <c r="J812" s="82"/>
      <c r="K812" s="51"/>
      <c r="L812" s="51"/>
      <c r="M812" s="82"/>
      <c r="N812" s="51"/>
      <c r="O812" s="82"/>
      <c r="P812" s="51"/>
      <c r="Q812" s="338"/>
      <c r="R812" s="51"/>
      <c r="S812" s="51"/>
      <c r="T812" s="35"/>
      <c r="U812" s="51"/>
      <c r="V812" s="51"/>
      <c r="W812" s="51"/>
      <c r="X812" s="331"/>
      <c r="Y812" s="48"/>
      <c r="Z812" s="48"/>
      <c r="AA812" s="48"/>
      <c r="AB812" s="48"/>
      <c r="AC812" s="48"/>
      <c r="AD812" s="48"/>
      <c r="AE812" s="48"/>
      <c r="AF812" s="48"/>
      <c r="AG812" s="61"/>
      <c r="AH812" s="62"/>
      <c r="AI812" s="58"/>
      <c r="AJ812" s="56"/>
    </row>
    <row r="813" spans="1:36" x14ac:dyDescent="0.3">
      <c r="A813" s="59">
        <f t="shared" si="177"/>
        <v>569</v>
      </c>
      <c r="B813" s="66" t="s">
        <v>3560</v>
      </c>
      <c r="C813" s="51">
        <f t="shared" si="175"/>
        <v>2208085.2000000002</v>
      </c>
      <c r="D813" s="51">
        <f t="shared" si="176"/>
        <v>2208085.2000000002</v>
      </c>
      <c r="E813" s="51"/>
      <c r="F813" s="51">
        <v>2208085.2000000002</v>
      </c>
      <c r="G813" s="51"/>
      <c r="H813" s="51"/>
      <c r="I813" s="51"/>
      <c r="J813" s="82"/>
      <c r="K813" s="51"/>
      <c r="L813" s="51"/>
      <c r="M813" s="82"/>
      <c r="N813" s="51"/>
      <c r="O813" s="82"/>
      <c r="P813" s="51"/>
      <c r="Q813" s="338"/>
      <c r="R813" s="51"/>
      <c r="S813" s="51"/>
      <c r="T813" s="35"/>
      <c r="U813" s="51"/>
      <c r="V813" s="51"/>
      <c r="W813" s="51"/>
      <c r="X813" s="331"/>
      <c r="Y813" s="48"/>
      <c r="Z813" s="48"/>
      <c r="AA813" s="48"/>
      <c r="AB813" s="48"/>
      <c r="AC813" s="48"/>
      <c r="AD813" s="48"/>
      <c r="AE813" s="48"/>
      <c r="AF813" s="48"/>
      <c r="AG813" s="61"/>
      <c r="AH813" s="62"/>
      <c r="AI813" s="58"/>
      <c r="AJ813" s="56"/>
    </row>
    <row r="814" spans="1:36" x14ac:dyDescent="0.3">
      <c r="A814" s="59">
        <f t="shared" si="177"/>
        <v>570</v>
      </c>
      <c r="B814" s="66" t="s">
        <v>3561</v>
      </c>
      <c r="C814" s="51">
        <f t="shared" si="175"/>
        <v>1214722</v>
      </c>
      <c r="D814" s="51">
        <f t="shared" si="176"/>
        <v>1214722</v>
      </c>
      <c r="E814" s="51"/>
      <c r="F814" s="51">
        <f>E814*5502+2*607361</f>
        <v>1214722</v>
      </c>
      <c r="G814" s="51"/>
      <c r="H814" s="51"/>
      <c r="I814" s="51"/>
      <c r="J814" s="82"/>
      <c r="K814" s="51"/>
      <c r="L814" s="51"/>
      <c r="M814" s="82"/>
      <c r="N814" s="51"/>
      <c r="O814" s="82"/>
      <c r="P814" s="51"/>
      <c r="Q814" s="338"/>
      <c r="R814" s="51"/>
      <c r="S814" s="51"/>
      <c r="T814" s="35"/>
      <c r="U814" s="51"/>
      <c r="V814" s="51"/>
      <c r="W814" s="51"/>
      <c r="X814" s="331"/>
      <c r="Y814" s="48"/>
      <c r="Z814" s="48"/>
      <c r="AA814" s="48"/>
      <c r="AB814" s="48"/>
      <c r="AC814" s="48"/>
      <c r="AD814" s="48"/>
      <c r="AE814" s="48"/>
      <c r="AF814" s="48"/>
      <c r="AG814" s="61"/>
      <c r="AH814" s="62"/>
      <c r="AI814" s="58"/>
      <c r="AJ814" s="56"/>
    </row>
    <row r="815" spans="1:36" x14ac:dyDescent="0.3">
      <c r="A815" s="59">
        <f t="shared" si="177"/>
        <v>571</v>
      </c>
      <c r="B815" s="66" t="s">
        <v>3562</v>
      </c>
      <c r="C815" s="51">
        <f t="shared" si="175"/>
        <v>1214722</v>
      </c>
      <c r="D815" s="51">
        <f t="shared" si="176"/>
        <v>1214722</v>
      </c>
      <c r="E815" s="51"/>
      <c r="F815" s="51">
        <f>E815*5502+2*607361</f>
        <v>1214722</v>
      </c>
      <c r="G815" s="51"/>
      <c r="H815" s="51"/>
      <c r="I815" s="51"/>
      <c r="J815" s="82"/>
      <c r="K815" s="51"/>
      <c r="L815" s="51"/>
      <c r="M815" s="82"/>
      <c r="N815" s="51"/>
      <c r="O815" s="82"/>
      <c r="P815" s="51"/>
      <c r="Q815" s="338"/>
      <c r="R815" s="51"/>
      <c r="S815" s="51"/>
      <c r="T815" s="35"/>
      <c r="U815" s="51"/>
      <c r="V815" s="51"/>
      <c r="W815" s="51"/>
      <c r="X815" s="331"/>
      <c r="Y815" s="48"/>
      <c r="Z815" s="48"/>
      <c r="AA815" s="48"/>
      <c r="AB815" s="48"/>
      <c r="AC815" s="48"/>
      <c r="AD815" s="48"/>
      <c r="AE815" s="48"/>
      <c r="AF815" s="48"/>
      <c r="AG815" s="61"/>
      <c r="AH815" s="62"/>
      <c r="AI815" s="58"/>
      <c r="AJ815" s="56"/>
    </row>
    <row r="816" spans="1:36" x14ac:dyDescent="0.3">
      <c r="A816" s="59">
        <f t="shared" si="177"/>
        <v>572</v>
      </c>
      <c r="B816" s="66" t="s">
        <v>3563</v>
      </c>
      <c r="C816" s="51">
        <f t="shared" si="175"/>
        <v>1214722</v>
      </c>
      <c r="D816" s="51">
        <f t="shared" si="176"/>
        <v>1214722</v>
      </c>
      <c r="E816" s="51"/>
      <c r="F816" s="51">
        <f>E816*5502+2*607361</f>
        <v>1214722</v>
      </c>
      <c r="G816" s="51"/>
      <c r="H816" s="51"/>
      <c r="I816" s="51"/>
      <c r="J816" s="82"/>
      <c r="K816" s="51"/>
      <c r="L816" s="51"/>
      <c r="M816" s="82"/>
      <c r="N816" s="51"/>
      <c r="O816" s="82"/>
      <c r="P816" s="51"/>
      <c r="Q816" s="338"/>
      <c r="R816" s="51"/>
      <c r="S816" s="51"/>
      <c r="T816" s="35"/>
      <c r="U816" s="51"/>
      <c r="V816" s="51"/>
      <c r="W816" s="51"/>
      <c r="X816" s="331"/>
      <c r="Y816" s="48"/>
      <c r="Z816" s="48"/>
      <c r="AA816" s="48"/>
      <c r="AB816" s="48"/>
      <c r="AC816" s="48"/>
      <c r="AD816" s="48"/>
      <c r="AE816" s="48"/>
      <c r="AF816" s="48"/>
      <c r="AG816" s="61"/>
      <c r="AH816" s="62"/>
      <c r="AI816" s="58"/>
      <c r="AJ816" s="56"/>
    </row>
    <row r="817" spans="1:36" x14ac:dyDescent="0.3">
      <c r="A817" s="59">
        <f t="shared" si="177"/>
        <v>573</v>
      </c>
      <c r="B817" s="66" t="s">
        <v>3564</v>
      </c>
      <c r="C817" s="51">
        <f t="shared" si="175"/>
        <v>1214722</v>
      </c>
      <c r="D817" s="51">
        <f t="shared" si="176"/>
        <v>1214722</v>
      </c>
      <c r="E817" s="51"/>
      <c r="F817" s="51">
        <f>E817*5502+2*607361</f>
        <v>1214722</v>
      </c>
      <c r="G817" s="51"/>
      <c r="H817" s="51"/>
      <c r="I817" s="51"/>
      <c r="J817" s="82"/>
      <c r="K817" s="51"/>
      <c r="L817" s="51"/>
      <c r="M817" s="82"/>
      <c r="N817" s="51"/>
      <c r="O817" s="82"/>
      <c r="P817" s="51"/>
      <c r="Q817" s="338"/>
      <c r="R817" s="51"/>
      <c r="S817" s="51"/>
      <c r="T817" s="35"/>
      <c r="U817" s="51"/>
      <c r="V817" s="51"/>
      <c r="W817" s="51"/>
      <c r="X817" s="331"/>
      <c r="Y817" s="48"/>
      <c r="Z817" s="48"/>
      <c r="AA817" s="48"/>
      <c r="AB817" s="48"/>
      <c r="AC817" s="48"/>
      <c r="AD817" s="48"/>
      <c r="AE817" s="48"/>
      <c r="AF817" s="48"/>
      <c r="AG817" s="61"/>
      <c r="AH817" s="62"/>
      <c r="AI817" s="58"/>
      <c r="AJ817" s="56"/>
    </row>
    <row r="818" spans="1:36" x14ac:dyDescent="0.3">
      <c r="A818" s="59"/>
      <c r="B818" s="66" t="s">
        <v>211</v>
      </c>
      <c r="C818" s="51">
        <f t="shared" ref="C818:W818" si="178">SUM(C800:C817)</f>
        <v>23933083.77</v>
      </c>
      <c r="D818" s="51">
        <f t="shared" si="178"/>
        <v>22152216.059999999</v>
      </c>
      <c r="E818" s="51">
        <f t="shared" si="178"/>
        <v>1313895.6000000001</v>
      </c>
      <c r="F818" s="51">
        <f t="shared" si="178"/>
        <v>12387920.800000001</v>
      </c>
      <c r="G818" s="51">
        <f t="shared" si="178"/>
        <v>233943.26</v>
      </c>
      <c r="H818" s="51">
        <f t="shared" si="178"/>
        <v>0</v>
      </c>
      <c r="I818" s="51">
        <f t="shared" si="178"/>
        <v>8216456.4000000004</v>
      </c>
      <c r="J818" s="82">
        <f t="shared" si="178"/>
        <v>0</v>
      </c>
      <c r="K818" s="51">
        <f t="shared" si="178"/>
        <v>0</v>
      </c>
      <c r="L818" s="51">
        <f t="shared" si="178"/>
        <v>0</v>
      </c>
      <c r="M818" s="82">
        <f t="shared" si="178"/>
        <v>13</v>
      </c>
      <c r="N818" s="51">
        <f t="shared" si="178"/>
        <v>105222</v>
      </c>
      <c r="O818" s="82">
        <f t="shared" si="178"/>
        <v>0</v>
      </c>
      <c r="P818" s="51">
        <f t="shared" si="178"/>
        <v>0</v>
      </c>
      <c r="Q818" s="338">
        <f t="shared" si="178"/>
        <v>13</v>
      </c>
      <c r="R818" s="51">
        <f t="shared" si="178"/>
        <v>1675645.71</v>
      </c>
      <c r="S818" s="51">
        <f t="shared" si="178"/>
        <v>0</v>
      </c>
      <c r="T818" s="35">
        <f t="shared" si="178"/>
        <v>0</v>
      </c>
      <c r="U818" s="51">
        <f t="shared" si="178"/>
        <v>0</v>
      </c>
      <c r="V818" s="51">
        <f t="shared" si="178"/>
        <v>0</v>
      </c>
      <c r="W818" s="51">
        <f t="shared" si="178"/>
        <v>0</v>
      </c>
      <c r="X818" s="331"/>
      <c r="Y818" s="48"/>
      <c r="Z818" s="48"/>
      <c r="AA818" s="48"/>
      <c r="AB818" s="48"/>
      <c r="AC818" s="48"/>
      <c r="AD818" s="48"/>
      <c r="AE818" s="48"/>
      <c r="AF818" s="48"/>
      <c r="AG818" s="61"/>
      <c r="AH818" s="62"/>
      <c r="AI818" s="58"/>
      <c r="AJ818" s="56"/>
    </row>
    <row r="819" spans="1:36" ht="15" customHeight="1" x14ac:dyDescent="0.3">
      <c r="A819" s="303" t="s">
        <v>3587</v>
      </c>
      <c r="B819" s="66"/>
      <c r="C819" s="51"/>
      <c r="D819" s="51"/>
      <c r="E819" s="51"/>
      <c r="F819" s="51"/>
      <c r="G819" s="51"/>
      <c r="H819" s="51"/>
      <c r="I819" s="51"/>
      <c r="J819" s="82"/>
      <c r="K819" s="51"/>
      <c r="L819" s="51"/>
      <c r="M819" s="82"/>
      <c r="N819" s="51"/>
      <c r="O819" s="82"/>
      <c r="P819" s="51"/>
      <c r="Q819" s="338"/>
      <c r="R819" s="51"/>
      <c r="S819" s="51"/>
      <c r="T819" s="35"/>
      <c r="U819" s="51"/>
      <c r="V819" s="51"/>
      <c r="W819" s="51"/>
      <c r="X819" s="331"/>
      <c r="Y819" s="48"/>
      <c r="Z819" s="48"/>
      <c r="AA819" s="48"/>
      <c r="AB819" s="48"/>
      <c r="AC819" s="48"/>
      <c r="AD819" s="48"/>
      <c r="AE819" s="48"/>
      <c r="AF819" s="48"/>
      <c r="AG819" s="61"/>
      <c r="AH819" s="62"/>
      <c r="AI819" s="58"/>
      <c r="AJ819" s="56"/>
    </row>
    <row r="820" spans="1:36" x14ac:dyDescent="0.3">
      <c r="A820" s="59">
        <f>A817+1</f>
        <v>574</v>
      </c>
      <c r="B820" s="66" t="s">
        <v>3599</v>
      </c>
      <c r="C820" s="51">
        <f>D820+K820+L820+N820+P820+R820+S820+U820+V820+W820</f>
        <v>394765.46</v>
      </c>
      <c r="D820" s="51">
        <f>E820+F820+G820+H820+I820</f>
        <v>394765.46</v>
      </c>
      <c r="E820" s="51">
        <v>394765.46</v>
      </c>
      <c r="F820" s="51"/>
      <c r="G820" s="51"/>
      <c r="H820" s="51"/>
      <c r="I820" s="51"/>
      <c r="J820" s="82"/>
      <c r="K820" s="51"/>
      <c r="L820" s="51"/>
      <c r="M820" s="82"/>
      <c r="N820" s="51"/>
      <c r="O820" s="82"/>
      <c r="P820" s="51"/>
      <c r="Q820" s="338"/>
      <c r="R820" s="51"/>
      <c r="S820" s="51"/>
      <c r="T820" s="35"/>
      <c r="U820" s="51"/>
      <c r="V820" s="51"/>
      <c r="W820" s="51"/>
      <c r="X820" s="331"/>
      <c r="Y820" s="48"/>
      <c r="Z820" s="48"/>
      <c r="AA820" s="48">
        <v>119174.52</v>
      </c>
      <c r="AB820" s="48"/>
      <c r="AC820" s="48"/>
      <c r="AD820" s="48">
        <v>98895.98</v>
      </c>
      <c r="AE820" s="48">
        <v>98895.98</v>
      </c>
      <c r="AF820" s="48">
        <v>184498.21</v>
      </c>
      <c r="AG820" s="61"/>
      <c r="AH820" s="62">
        <v>466605.18</v>
      </c>
      <c r="AI820" s="58"/>
      <c r="AJ820" s="56"/>
    </row>
    <row r="821" spans="1:36" x14ac:dyDescent="0.3">
      <c r="A821" s="59">
        <f>A820+1</f>
        <v>575</v>
      </c>
      <c r="B821" s="66" t="s">
        <v>3604</v>
      </c>
      <c r="C821" s="51">
        <f>D821+K821+L821+N821+P821+R821+S821+U821+V821+W821</f>
        <v>609809.84</v>
      </c>
      <c r="D821" s="51">
        <f>E821+F821+G821+H821+I821</f>
        <v>609809.84</v>
      </c>
      <c r="E821" s="51">
        <v>609809.84</v>
      </c>
      <c r="F821" s="51"/>
      <c r="G821" s="51"/>
      <c r="H821" s="51"/>
      <c r="I821" s="51"/>
      <c r="J821" s="82"/>
      <c r="K821" s="51"/>
      <c r="L821" s="51"/>
      <c r="M821" s="82"/>
      <c r="N821" s="51"/>
      <c r="O821" s="82"/>
      <c r="P821" s="51"/>
      <c r="Q821" s="338"/>
      <c r="R821" s="51"/>
      <c r="S821" s="51"/>
      <c r="T821" s="35"/>
      <c r="U821" s="51"/>
      <c r="V821" s="51"/>
      <c r="W821" s="51"/>
      <c r="X821" s="331"/>
      <c r="Y821" s="48"/>
      <c r="Z821" s="48"/>
      <c r="AA821" s="48">
        <v>125658.76</v>
      </c>
      <c r="AB821" s="48"/>
      <c r="AC821" s="48"/>
      <c r="AD821" s="48">
        <v>105740.26</v>
      </c>
      <c r="AE821" s="48">
        <v>105740.26</v>
      </c>
      <c r="AF821" s="48"/>
      <c r="AG821" s="61"/>
      <c r="AH821" s="62">
        <v>496441.21</v>
      </c>
      <c r="AI821" s="58"/>
      <c r="AJ821" s="56"/>
    </row>
    <row r="822" spans="1:36" x14ac:dyDescent="0.3">
      <c r="A822" s="59"/>
      <c r="B822" s="66" t="s">
        <v>211</v>
      </c>
      <c r="C822" s="51">
        <f t="shared" ref="C822:W822" si="179">SUM(C820:C821)</f>
        <v>1004575.3</v>
      </c>
      <c r="D822" s="51">
        <f t="shared" si="179"/>
        <v>1004575.3</v>
      </c>
      <c r="E822" s="51">
        <f t="shared" si="179"/>
        <v>1004575.3</v>
      </c>
      <c r="F822" s="51">
        <f t="shared" si="179"/>
        <v>0</v>
      </c>
      <c r="G822" s="51">
        <f t="shared" si="179"/>
        <v>0</v>
      </c>
      <c r="H822" s="51">
        <f t="shared" si="179"/>
        <v>0</v>
      </c>
      <c r="I822" s="51">
        <f t="shared" si="179"/>
        <v>0</v>
      </c>
      <c r="J822" s="82">
        <f t="shared" si="179"/>
        <v>0</v>
      </c>
      <c r="K822" s="51">
        <f t="shared" si="179"/>
        <v>0</v>
      </c>
      <c r="L822" s="51">
        <f t="shared" si="179"/>
        <v>0</v>
      </c>
      <c r="M822" s="82">
        <f t="shared" si="179"/>
        <v>0</v>
      </c>
      <c r="N822" s="51">
        <f t="shared" si="179"/>
        <v>0</v>
      </c>
      <c r="O822" s="82">
        <f t="shared" si="179"/>
        <v>0</v>
      </c>
      <c r="P822" s="51">
        <f t="shared" si="179"/>
        <v>0</v>
      </c>
      <c r="Q822" s="338">
        <f t="shared" si="179"/>
        <v>0</v>
      </c>
      <c r="R822" s="51">
        <f t="shared" si="179"/>
        <v>0</v>
      </c>
      <c r="S822" s="51">
        <f t="shared" si="179"/>
        <v>0</v>
      </c>
      <c r="T822" s="35">
        <f t="shared" si="179"/>
        <v>0</v>
      </c>
      <c r="U822" s="51">
        <f t="shared" si="179"/>
        <v>0</v>
      </c>
      <c r="V822" s="51">
        <f t="shared" si="179"/>
        <v>0</v>
      </c>
      <c r="W822" s="51">
        <f t="shared" si="179"/>
        <v>0</v>
      </c>
      <c r="X822" s="290"/>
      <c r="Y822" s="48"/>
      <c r="Z822" s="48"/>
      <c r="AA822" s="48"/>
      <c r="AB822" s="48"/>
      <c r="AC822" s="48"/>
      <c r="AD822" s="48"/>
      <c r="AE822" s="48"/>
      <c r="AF822" s="48"/>
      <c r="AG822" s="61"/>
      <c r="AH822" s="62"/>
      <c r="AI822" s="58"/>
      <c r="AJ822" s="56"/>
    </row>
    <row r="823" spans="1:36" x14ac:dyDescent="0.3">
      <c r="A823" s="59"/>
      <c r="B823" s="66" t="s">
        <v>3920</v>
      </c>
      <c r="C823" s="51">
        <f>C781+C784+C789+C795+C798+C818+C822</f>
        <v>57458603.530000001</v>
      </c>
      <c r="D823" s="51">
        <f t="shared" ref="D823:W823" si="180">D822+D818+D798+D795+D789+D784+D781</f>
        <v>48684008.620000005</v>
      </c>
      <c r="E823" s="51">
        <f t="shared" si="180"/>
        <v>7801597.7600000007</v>
      </c>
      <c r="F823" s="51">
        <f t="shared" si="180"/>
        <v>31952550.400000002</v>
      </c>
      <c r="G823" s="51">
        <f t="shared" si="180"/>
        <v>233943.26</v>
      </c>
      <c r="H823" s="51">
        <f t="shared" si="180"/>
        <v>437938.8</v>
      </c>
      <c r="I823" s="51">
        <f t="shared" si="180"/>
        <v>8257978.4000000004</v>
      </c>
      <c r="J823" s="82">
        <f t="shared" si="180"/>
        <v>0</v>
      </c>
      <c r="K823" s="51">
        <f t="shared" si="180"/>
        <v>0</v>
      </c>
      <c r="L823" s="51">
        <f t="shared" si="180"/>
        <v>0</v>
      </c>
      <c r="M823" s="82">
        <f t="shared" si="180"/>
        <v>26</v>
      </c>
      <c r="N823" s="51">
        <f t="shared" si="180"/>
        <v>105222</v>
      </c>
      <c r="O823" s="82">
        <f t="shared" si="180"/>
        <v>0</v>
      </c>
      <c r="P823" s="51">
        <f t="shared" si="180"/>
        <v>0</v>
      </c>
      <c r="Q823" s="338">
        <f t="shared" si="180"/>
        <v>13</v>
      </c>
      <c r="R823" s="51">
        <f t="shared" si="180"/>
        <v>1675645.71</v>
      </c>
      <c r="S823" s="51">
        <f t="shared" si="180"/>
        <v>0</v>
      </c>
      <c r="T823" s="35">
        <f t="shared" si="180"/>
        <v>61.2</v>
      </c>
      <c r="U823" s="51">
        <f t="shared" si="180"/>
        <v>3020534.4</v>
      </c>
      <c r="V823" s="51">
        <f t="shared" si="180"/>
        <v>1603332</v>
      </c>
      <c r="W823" s="51">
        <f t="shared" si="180"/>
        <v>390000</v>
      </c>
      <c r="X823" s="290"/>
      <c r="Y823" s="48"/>
      <c r="Z823" s="48"/>
      <c r="AA823" s="48"/>
      <c r="AB823" s="48"/>
      <c r="AC823" s="48"/>
      <c r="AD823" s="48"/>
      <c r="AE823" s="48"/>
      <c r="AF823" s="48"/>
      <c r="AG823" s="61"/>
      <c r="AH823" s="62"/>
      <c r="AI823" s="58"/>
      <c r="AJ823" s="56"/>
    </row>
    <row r="824" spans="1:36" ht="21.75" customHeight="1" x14ac:dyDescent="0.3">
      <c r="A824" s="177"/>
      <c r="B824" s="66" t="s">
        <v>3626</v>
      </c>
      <c r="C824" s="51">
        <f>C823+C775+C738+C707+C697+C668+C657+C577+C541+C520+C432+C408+C385+C291+C220+C185+C101+C68</f>
        <v>1543351890.2253332</v>
      </c>
      <c r="D824" s="51">
        <f t="shared" ref="D824:W824" si="181">D68+D101+D185+D220+D291+D385+D408+D432+D520+D541+D577+D668+D697+D707+D738+D775+D823+D657</f>
        <v>935381434.16000009</v>
      </c>
      <c r="E824" s="51">
        <f t="shared" si="181"/>
        <v>310713291.93000001</v>
      </c>
      <c r="F824" s="51">
        <f t="shared" si="181"/>
        <v>431430330.58999991</v>
      </c>
      <c r="G824" s="51">
        <f t="shared" si="181"/>
        <v>62518971.789999999</v>
      </c>
      <c r="H824" s="35">
        <f t="shared" si="181"/>
        <v>68348338.819999993</v>
      </c>
      <c r="I824" s="51">
        <f t="shared" si="181"/>
        <v>62370501.029999994</v>
      </c>
      <c r="J824" s="82">
        <f t="shared" si="181"/>
        <v>0</v>
      </c>
      <c r="K824" s="51">
        <f t="shared" si="181"/>
        <v>0</v>
      </c>
      <c r="L824" s="51">
        <f t="shared" si="181"/>
        <v>0</v>
      </c>
      <c r="M824" s="82">
        <f t="shared" si="181"/>
        <v>61376.42</v>
      </c>
      <c r="N824" s="51">
        <f t="shared" si="181"/>
        <v>322816959.63999993</v>
      </c>
      <c r="O824" s="82">
        <f t="shared" si="181"/>
        <v>6660.5800000000008</v>
      </c>
      <c r="P824" s="51">
        <f t="shared" si="181"/>
        <v>159001750.93999997</v>
      </c>
      <c r="Q824" s="338">
        <f t="shared" si="181"/>
        <v>11801.46</v>
      </c>
      <c r="R824" s="51">
        <f t="shared" si="181"/>
        <v>34141858.700000003</v>
      </c>
      <c r="S824" s="51">
        <f t="shared" si="181"/>
        <v>1136793.3333333333</v>
      </c>
      <c r="T824" s="35">
        <f t="shared" si="181"/>
        <v>535.79000000000008</v>
      </c>
      <c r="U824" s="51">
        <f t="shared" si="181"/>
        <v>20000901.089999996</v>
      </c>
      <c r="V824" s="51">
        <f t="shared" si="181"/>
        <v>28859449.962000001</v>
      </c>
      <c r="W824" s="51">
        <f t="shared" si="181"/>
        <v>26765024.799999993</v>
      </c>
      <c r="X824" s="290"/>
      <c r="Y824" s="48"/>
      <c r="Z824" s="48"/>
      <c r="AA824" s="48"/>
      <c r="AB824" s="48"/>
      <c r="AC824" s="48"/>
      <c r="AD824" s="48"/>
      <c r="AE824" s="48"/>
      <c r="AF824" s="48"/>
      <c r="AG824" s="61"/>
      <c r="AH824" s="62"/>
      <c r="AI824" s="58"/>
      <c r="AJ824" s="56"/>
    </row>
    <row r="825" spans="1:36" x14ac:dyDescent="0.3">
      <c r="B825" s="165" t="s">
        <v>4183</v>
      </c>
      <c r="C825" s="409">
        <f>(C824-W824)*0.0214</f>
        <v>32454958.920102131</v>
      </c>
      <c r="D825" s="409"/>
      <c r="E825" s="409"/>
      <c r="F825" s="409"/>
      <c r="G825" s="409"/>
      <c r="H825" s="409"/>
      <c r="I825" s="409"/>
      <c r="J825" s="410"/>
      <c r="K825" s="409"/>
      <c r="L825" s="409"/>
      <c r="M825" s="410"/>
      <c r="N825" s="409"/>
      <c r="O825" s="410"/>
      <c r="P825" s="409"/>
      <c r="Q825" s="411"/>
      <c r="R825" s="409"/>
      <c r="S825" s="409"/>
      <c r="T825" s="412"/>
      <c r="U825" s="409"/>
      <c r="V825" s="409"/>
      <c r="W825" s="409"/>
    </row>
    <row r="826" spans="1:36" ht="31.2" x14ac:dyDescent="0.3">
      <c r="B826" s="166" t="s">
        <v>4184</v>
      </c>
      <c r="C826" s="409">
        <f>C824+C825</f>
        <v>1575806849.1454353</v>
      </c>
      <c r="D826" s="409"/>
      <c r="E826" s="409"/>
      <c r="F826" s="409"/>
      <c r="G826" s="409"/>
      <c r="H826" s="409"/>
      <c r="I826" s="409"/>
      <c r="J826" s="410"/>
      <c r="K826" s="409"/>
      <c r="L826" s="409"/>
      <c r="M826" s="410"/>
      <c r="N826" s="409"/>
      <c r="O826" s="410"/>
      <c r="P826" s="409"/>
      <c r="Q826" s="411"/>
      <c r="R826" s="409"/>
      <c r="S826" s="409"/>
      <c r="T826" s="412"/>
      <c r="U826" s="409"/>
      <c r="V826" s="409"/>
      <c r="W826" s="409"/>
    </row>
    <row r="828" spans="1:36" x14ac:dyDescent="0.3">
      <c r="C828" s="152">
        <f>C824-W824</f>
        <v>1516586865.4253333</v>
      </c>
    </row>
  </sheetData>
  <autoFilter ref="A8:AO698"/>
  <mergeCells count="43">
    <mergeCell ref="A1:W1"/>
    <mergeCell ref="S772:T772"/>
    <mergeCell ref="Z704:AA704"/>
    <mergeCell ref="Z287:AA287"/>
    <mergeCell ref="Z289:AA289"/>
    <mergeCell ref="G237:I237"/>
    <mergeCell ref="Z282:AA282"/>
    <mergeCell ref="Z283:AA283"/>
    <mergeCell ref="Z284:AA284"/>
    <mergeCell ref="Z285:AA285"/>
    <mergeCell ref="Z286:AA286"/>
    <mergeCell ref="Z235:AA235"/>
    <mergeCell ref="J5:J7"/>
    <mergeCell ref="K5:K7"/>
    <mergeCell ref="Z230:AA230"/>
    <mergeCell ref="H5:H7"/>
    <mergeCell ref="AD2:AF2"/>
    <mergeCell ref="C3:C6"/>
    <mergeCell ref="D4:I4"/>
    <mergeCell ref="J4:L4"/>
    <mergeCell ref="M4:N7"/>
    <mergeCell ref="O4:P7"/>
    <mergeCell ref="Q4:R7"/>
    <mergeCell ref="T4:U7"/>
    <mergeCell ref="V4:V7"/>
    <mergeCell ref="AD4:AD8"/>
    <mergeCell ref="AE4:AE8"/>
    <mergeCell ref="AF4:AF8"/>
    <mergeCell ref="D5:D7"/>
    <mergeCell ref="L5:L7"/>
    <mergeCell ref="W4:W7"/>
    <mergeCell ref="E5:E7"/>
    <mergeCell ref="X10:X11"/>
    <mergeCell ref="Z208:AA208"/>
    <mergeCell ref="Z209:AA209"/>
    <mergeCell ref="A775:B775"/>
    <mergeCell ref="A707:B707"/>
    <mergeCell ref="D3:I3"/>
    <mergeCell ref="F5:F7"/>
    <mergeCell ref="G5:G7"/>
    <mergeCell ref="A665:B665"/>
    <mergeCell ref="A667:B667"/>
    <mergeCell ref="I5:I7"/>
  </mergeCells>
  <pageMargins left="0.23622047244094491" right="0.23622047244094491" top="0.55118110236220474" bottom="0.39370078740157483" header="0.31496062992125984" footer="0.28000000000000003"/>
  <pageSetup paperSize="9" scale="38" orientation="landscape" r:id="rId1"/>
  <headerFooter>
    <oddFooter>&amp;CСтраница &amp;P&amp;RРаздел II</oddFooter>
  </headerFooter>
  <rowBreaks count="1" manualBreakCount="1">
    <brk id="1332" max="2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2873"/>
  <sheetViews>
    <sheetView view="pageBreakPreview" zoomScale="60" zoomScaleNormal="70" workbookViewId="0">
      <pane xSplit="3" ySplit="8" topLeftCell="D2745" activePane="bottomRight" state="frozen"/>
      <selection pane="topRight" activeCell="D1" sqref="D1"/>
      <selection pane="bottomLeft" activeCell="A9" sqref="A9"/>
      <selection pane="bottomRight" activeCell="B2028" sqref="B2028"/>
    </sheetView>
  </sheetViews>
  <sheetFormatPr defaultColWidth="9.109375" defaultRowHeight="15.6" x14ac:dyDescent="0.3"/>
  <cols>
    <col min="1" max="1" width="6.33203125" style="442" customWidth="1"/>
    <col min="2" max="2" width="54.33203125" style="377" customWidth="1"/>
    <col min="3" max="3" width="20.44140625" style="140" customWidth="1"/>
    <col min="4" max="4" width="19.109375" style="140" customWidth="1"/>
    <col min="5" max="5" width="17.88671875" style="140" customWidth="1"/>
    <col min="6" max="6" width="18" style="140" customWidth="1"/>
    <col min="7" max="7" width="19" style="140" customWidth="1"/>
    <col min="8" max="8" width="16.5546875" style="140" customWidth="1"/>
    <col min="9" max="9" width="16.33203125" style="140" customWidth="1"/>
    <col min="10" max="10" width="8.44140625" style="140" customWidth="1"/>
    <col min="11" max="11" width="13" style="140" customWidth="1"/>
    <col min="12" max="12" width="14.5546875" style="140" customWidth="1"/>
    <col min="13" max="13" width="12.5546875" style="138" bestFit="1" customWidth="1"/>
    <col min="14" max="14" width="19.109375" style="140" customWidth="1"/>
    <col min="15" max="15" width="11.88671875" style="381" customWidth="1"/>
    <col min="16" max="16" width="18.6640625" style="140" customWidth="1"/>
    <col min="17" max="17" width="11.5546875" style="339" customWidth="1"/>
    <col min="18" max="18" width="19.5546875" style="140" customWidth="1"/>
    <col min="19" max="19" width="16.109375" style="140" customWidth="1"/>
    <col min="20" max="20" width="10.88671875" style="445" customWidth="1"/>
    <col min="21" max="21" width="16.6640625" style="140" customWidth="1"/>
    <col min="22" max="22" width="16.33203125" style="138" customWidth="1"/>
    <col min="23" max="23" width="19.6640625" style="140" customWidth="1"/>
    <col min="24" max="24" width="15.109375" style="140" hidden="1" customWidth="1"/>
    <col min="25" max="26" width="14.44140625" style="140" hidden="1" customWidth="1"/>
    <col min="27" max="27" width="16.88671875" style="140" hidden="1" customWidth="1"/>
    <col min="28" max="31" width="14.44140625" style="140" hidden="1" customWidth="1"/>
    <col min="32" max="32" width="16.88671875" style="140" hidden="1" customWidth="1"/>
    <col min="33" max="35" width="14.44140625" style="140" hidden="1" customWidth="1"/>
    <col min="36" max="36" width="12.5546875" style="140" hidden="1" customWidth="1"/>
    <col min="37" max="37" width="9.109375" style="140" hidden="1" customWidth="1"/>
    <col min="38" max="39" width="0" style="140" hidden="1" customWidth="1"/>
    <col min="40" max="40" width="9.33203125" style="140" hidden="1" customWidth="1"/>
    <col min="41" max="47" width="0" style="140" hidden="1" customWidth="1"/>
    <col min="48" max="16384" width="9.109375" style="140"/>
  </cols>
  <sheetData>
    <row r="1" spans="1:33" x14ac:dyDescent="0.3">
      <c r="A1" s="503" t="s">
        <v>4200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185"/>
      <c r="Y1" s="185"/>
      <c r="Z1" s="185"/>
      <c r="AA1" s="185"/>
      <c r="AB1" s="185"/>
      <c r="AC1" s="56"/>
      <c r="AD1" s="56"/>
      <c r="AE1" s="56"/>
      <c r="AF1" s="56"/>
      <c r="AG1" s="56"/>
    </row>
    <row r="2" spans="1:33" x14ac:dyDescent="0.3">
      <c r="A2" s="429"/>
      <c r="B2" s="40"/>
      <c r="C2" s="41"/>
      <c r="D2" s="42"/>
      <c r="E2" s="41"/>
      <c r="F2" s="41"/>
      <c r="G2" s="41"/>
      <c r="H2" s="41"/>
      <c r="I2" s="41"/>
      <c r="J2" s="42"/>
      <c r="K2" s="42"/>
      <c r="L2" s="42"/>
      <c r="M2" s="27"/>
      <c r="N2" s="41"/>
      <c r="O2" s="340"/>
      <c r="P2" s="41"/>
      <c r="Q2" s="332"/>
      <c r="R2" s="41"/>
      <c r="S2" s="41"/>
      <c r="T2" s="332"/>
      <c r="U2" s="41"/>
      <c r="V2" s="27"/>
      <c r="W2" s="9"/>
      <c r="X2" s="9"/>
      <c r="Y2" s="9"/>
      <c r="Z2" s="9"/>
      <c r="AA2" s="40"/>
      <c r="AB2" s="56"/>
      <c r="AC2" s="56"/>
      <c r="AD2" s="56"/>
      <c r="AE2" s="489" t="s">
        <v>0</v>
      </c>
      <c r="AF2" s="489"/>
      <c r="AG2" s="489"/>
    </row>
    <row r="3" spans="1:33" ht="46.8" x14ac:dyDescent="0.3">
      <c r="A3" s="430" t="s">
        <v>1</v>
      </c>
      <c r="B3" s="281" t="s">
        <v>2</v>
      </c>
      <c r="C3" s="348" t="s">
        <v>3</v>
      </c>
      <c r="D3" s="282" t="s">
        <v>4</v>
      </c>
      <c r="E3" s="283"/>
      <c r="F3" s="283"/>
      <c r="G3" s="283"/>
      <c r="H3" s="283"/>
      <c r="I3" s="283"/>
      <c r="J3" s="284"/>
      <c r="K3" s="284"/>
      <c r="L3" s="284"/>
      <c r="M3" s="28"/>
      <c r="N3" s="283"/>
      <c r="O3" s="341"/>
      <c r="P3" s="283"/>
      <c r="Q3" s="333"/>
      <c r="R3" s="283"/>
      <c r="S3" s="283"/>
      <c r="T3" s="333"/>
      <c r="U3" s="283"/>
      <c r="V3" s="28"/>
      <c r="W3" s="283"/>
      <c r="X3" s="285"/>
      <c r="Y3" s="285"/>
      <c r="Z3" s="286"/>
      <c r="AA3" s="40"/>
      <c r="AB3" s="56"/>
      <c r="AC3" s="56"/>
      <c r="AD3" s="56"/>
      <c r="AE3" s="56"/>
      <c r="AF3" s="56"/>
      <c r="AG3" s="56"/>
    </row>
    <row r="4" spans="1:33" ht="15" customHeight="1" x14ac:dyDescent="0.3">
      <c r="A4" s="431"/>
      <c r="B4" s="349"/>
      <c r="C4" s="182"/>
      <c r="D4" s="490" t="s">
        <v>5</v>
      </c>
      <c r="E4" s="491"/>
      <c r="F4" s="491"/>
      <c r="G4" s="491"/>
      <c r="H4" s="491"/>
      <c r="I4" s="492"/>
      <c r="J4" s="490" t="s">
        <v>6</v>
      </c>
      <c r="K4" s="491"/>
      <c r="L4" s="492"/>
      <c r="M4" s="493" t="s">
        <v>7</v>
      </c>
      <c r="N4" s="494"/>
      <c r="O4" s="493" t="s">
        <v>8</v>
      </c>
      <c r="P4" s="494"/>
      <c r="Q4" s="493" t="s">
        <v>9</v>
      </c>
      <c r="R4" s="494"/>
      <c r="S4" s="289"/>
      <c r="T4" s="493" t="s">
        <v>10</v>
      </c>
      <c r="U4" s="494"/>
      <c r="V4" s="510" t="s">
        <v>11</v>
      </c>
      <c r="W4" s="483" t="s">
        <v>12</v>
      </c>
      <c r="X4" s="348"/>
      <c r="Y4" s="187"/>
      <c r="Z4" s="187"/>
      <c r="AA4" s="187"/>
      <c r="AB4" s="187"/>
      <c r="AC4" s="187"/>
      <c r="AD4" s="187"/>
      <c r="AE4" s="502" t="s">
        <v>13</v>
      </c>
      <c r="AF4" s="502" t="s">
        <v>14</v>
      </c>
      <c r="AG4" s="502" t="s">
        <v>15</v>
      </c>
    </row>
    <row r="5" spans="1:33" ht="15" customHeight="1" x14ac:dyDescent="0.3">
      <c r="A5" s="431"/>
      <c r="B5" s="349"/>
      <c r="C5" s="182"/>
      <c r="D5" s="499" t="s">
        <v>16</v>
      </c>
      <c r="E5" s="483" t="s">
        <v>17</v>
      </c>
      <c r="F5" s="483" t="s">
        <v>18</v>
      </c>
      <c r="G5" s="483" t="s">
        <v>19</v>
      </c>
      <c r="H5" s="483" t="s">
        <v>20</v>
      </c>
      <c r="I5" s="483" t="s">
        <v>21</v>
      </c>
      <c r="J5" s="513"/>
      <c r="K5" s="513" t="s">
        <v>22</v>
      </c>
      <c r="L5" s="513" t="s">
        <v>23</v>
      </c>
      <c r="M5" s="495"/>
      <c r="N5" s="496"/>
      <c r="O5" s="495"/>
      <c r="P5" s="496"/>
      <c r="Q5" s="495"/>
      <c r="R5" s="496"/>
      <c r="S5" s="290"/>
      <c r="T5" s="495"/>
      <c r="U5" s="496"/>
      <c r="V5" s="511"/>
      <c r="W5" s="484"/>
      <c r="X5" s="182"/>
      <c r="Y5" s="187"/>
      <c r="Z5" s="187"/>
      <c r="AA5" s="187"/>
      <c r="AB5" s="187"/>
      <c r="AC5" s="187"/>
      <c r="AD5" s="187"/>
      <c r="AE5" s="502"/>
      <c r="AF5" s="502"/>
      <c r="AG5" s="502"/>
    </row>
    <row r="6" spans="1:33" x14ac:dyDescent="0.3">
      <c r="A6" s="431"/>
      <c r="B6" s="349"/>
      <c r="C6" s="182"/>
      <c r="D6" s="500"/>
      <c r="E6" s="484"/>
      <c r="F6" s="484"/>
      <c r="G6" s="484"/>
      <c r="H6" s="484"/>
      <c r="I6" s="484"/>
      <c r="J6" s="514"/>
      <c r="K6" s="514"/>
      <c r="L6" s="514"/>
      <c r="M6" s="495"/>
      <c r="N6" s="496"/>
      <c r="O6" s="495"/>
      <c r="P6" s="496"/>
      <c r="Q6" s="495"/>
      <c r="R6" s="496"/>
      <c r="S6" s="290" t="s">
        <v>24</v>
      </c>
      <c r="T6" s="495"/>
      <c r="U6" s="496"/>
      <c r="V6" s="511"/>
      <c r="W6" s="484"/>
      <c r="X6" s="182"/>
      <c r="Y6" s="187" t="s">
        <v>25</v>
      </c>
      <c r="Z6" s="187" t="s">
        <v>26</v>
      </c>
      <c r="AA6" s="187" t="s">
        <v>27</v>
      </c>
      <c r="AB6" s="187" t="s">
        <v>28</v>
      </c>
      <c r="AC6" s="187" t="s">
        <v>29</v>
      </c>
      <c r="AD6" s="187"/>
      <c r="AE6" s="502"/>
      <c r="AF6" s="502"/>
      <c r="AG6" s="502"/>
    </row>
    <row r="7" spans="1:33" ht="45.75" customHeight="1" x14ac:dyDescent="0.3">
      <c r="A7" s="432"/>
      <c r="B7" s="350"/>
      <c r="C7" s="183"/>
      <c r="D7" s="501"/>
      <c r="E7" s="485"/>
      <c r="F7" s="485"/>
      <c r="G7" s="485"/>
      <c r="H7" s="485"/>
      <c r="I7" s="485"/>
      <c r="J7" s="515"/>
      <c r="K7" s="515"/>
      <c r="L7" s="515"/>
      <c r="M7" s="497"/>
      <c r="N7" s="498"/>
      <c r="O7" s="497"/>
      <c r="P7" s="498"/>
      <c r="Q7" s="497"/>
      <c r="R7" s="498"/>
      <c r="S7" s="293"/>
      <c r="T7" s="497"/>
      <c r="U7" s="498"/>
      <c r="V7" s="512"/>
      <c r="W7" s="485"/>
      <c r="X7" s="183"/>
      <c r="Y7" s="187"/>
      <c r="Z7" s="187"/>
      <c r="AA7" s="187"/>
      <c r="AB7" s="187"/>
      <c r="AC7" s="187"/>
      <c r="AD7" s="187"/>
      <c r="AE7" s="502"/>
      <c r="AF7" s="502"/>
      <c r="AG7" s="502"/>
    </row>
    <row r="8" spans="1:33" x14ac:dyDescent="0.3">
      <c r="A8" s="45"/>
      <c r="B8" s="351"/>
      <c r="C8" s="187" t="s">
        <v>30</v>
      </c>
      <c r="D8" s="186" t="s">
        <v>30</v>
      </c>
      <c r="E8" s="187" t="s">
        <v>30</v>
      </c>
      <c r="F8" s="187" t="s">
        <v>30</v>
      </c>
      <c r="G8" s="187" t="s">
        <v>30</v>
      </c>
      <c r="H8" s="187" t="s">
        <v>30</v>
      </c>
      <c r="I8" s="187" t="s">
        <v>30</v>
      </c>
      <c r="J8" s="186" t="s">
        <v>31</v>
      </c>
      <c r="K8" s="186" t="s">
        <v>30</v>
      </c>
      <c r="L8" s="186" t="s">
        <v>30</v>
      </c>
      <c r="M8" s="30" t="s">
        <v>32</v>
      </c>
      <c r="N8" s="187" t="s">
        <v>30</v>
      </c>
      <c r="O8" s="342" t="s">
        <v>32</v>
      </c>
      <c r="P8" s="187" t="s">
        <v>30</v>
      </c>
      <c r="Q8" s="334" t="s">
        <v>32</v>
      </c>
      <c r="R8" s="187" t="s">
        <v>30</v>
      </c>
      <c r="S8" s="187"/>
      <c r="T8" s="334" t="s">
        <v>33</v>
      </c>
      <c r="U8" s="187" t="s">
        <v>30</v>
      </c>
      <c r="V8" s="30" t="s">
        <v>30</v>
      </c>
      <c r="W8" s="187"/>
      <c r="X8" s="187"/>
      <c r="Y8" s="187"/>
      <c r="Z8" s="187"/>
      <c r="AA8" s="187"/>
      <c r="AB8" s="187"/>
      <c r="AC8" s="187"/>
      <c r="AD8" s="187"/>
      <c r="AE8" s="502"/>
      <c r="AF8" s="502"/>
      <c r="AG8" s="502"/>
    </row>
    <row r="9" spans="1:33" ht="15.75" x14ac:dyDescent="0.25">
      <c r="A9" s="45">
        <v>1</v>
      </c>
      <c r="B9" s="352">
        <v>2</v>
      </c>
      <c r="C9" s="47">
        <v>3</v>
      </c>
      <c r="D9" s="47">
        <v>4</v>
      </c>
      <c r="E9" s="48">
        <v>5</v>
      </c>
      <c r="F9" s="48">
        <v>6</v>
      </c>
      <c r="G9" s="48">
        <v>7</v>
      </c>
      <c r="H9" s="48">
        <v>8</v>
      </c>
      <c r="I9" s="48">
        <v>9</v>
      </c>
      <c r="J9" s="47">
        <v>10</v>
      </c>
      <c r="K9" s="47">
        <v>11</v>
      </c>
      <c r="L9" s="47">
        <v>12</v>
      </c>
      <c r="M9" s="32">
        <v>13</v>
      </c>
      <c r="N9" s="47">
        <v>14</v>
      </c>
      <c r="O9" s="130">
        <v>15</v>
      </c>
      <c r="P9" s="48">
        <v>16</v>
      </c>
      <c r="Q9" s="335">
        <v>17</v>
      </c>
      <c r="R9" s="47">
        <v>18</v>
      </c>
      <c r="S9" s="47">
        <v>19</v>
      </c>
      <c r="T9" s="335">
        <v>20</v>
      </c>
      <c r="U9" s="48">
        <v>21</v>
      </c>
      <c r="V9" s="32">
        <v>24</v>
      </c>
      <c r="W9" s="46">
        <v>25</v>
      </c>
      <c r="X9" s="296"/>
      <c r="Y9" s="295"/>
      <c r="Z9" s="296"/>
      <c r="AA9" s="296"/>
      <c r="AB9" s="297"/>
      <c r="AC9" s="6"/>
      <c r="AD9" s="6"/>
      <c r="AE9" s="6"/>
      <c r="AF9" s="6"/>
      <c r="AG9" s="6"/>
    </row>
    <row r="10" spans="1:33" x14ac:dyDescent="0.3">
      <c r="A10" s="433" t="s">
        <v>34</v>
      </c>
      <c r="B10" s="64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5"/>
      <c r="N10" s="172"/>
      <c r="O10" s="133"/>
      <c r="P10" s="172"/>
      <c r="Q10" s="336"/>
      <c r="R10" s="172"/>
      <c r="S10" s="172"/>
      <c r="T10" s="336"/>
      <c r="U10" s="172"/>
      <c r="V10" s="175"/>
      <c r="W10" s="172"/>
      <c r="X10" s="298"/>
      <c r="Y10" s="516"/>
      <c r="Z10" s="298"/>
      <c r="AA10" s="298"/>
      <c r="AB10" s="298"/>
      <c r="AC10" s="56"/>
      <c r="AD10" s="56"/>
      <c r="AE10" s="56"/>
      <c r="AF10" s="56"/>
      <c r="AG10" s="56"/>
    </row>
    <row r="11" spans="1:33" x14ac:dyDescent="0.3">
      <c r="A11" s="433" t="s">
        <v>35</v>
      </c>
      <c r="B11" s="413"/>
      <c r="C11" s="387"/>
      <c r="D11" s="49"/>
      <c r="E11" s="49"/>
      <c r="F11" s="49"/>
      <c r="G11" s="49"/>
      <c r="H11" s="49"/>
      <c r="I11" s="49"/>
      <c r="J11" s="49"/>
      <c r="K11" s="49"/>
      <c r="L11" s="49"/>
      <c r="M11" s="33"/>
      <c r="N11" s="49"/>
      <c r="O11" s="343"/>
      <c r="P11" s="49"/>
      <c r="Q11" s="337"/>
      <c r="R11" s="49"/>
      <c r="S11" s="49"/>
      <c r="T11" s="337"/>
      <c r="U11" s="49"/>
      <c r="V11" s="33"/>
      <c r="W11" s="49"/>
      <c r="X11" s="299"/>
      <c r="Y11" s="516"/>
      <c r="Z11" s="299"/>
      <c r="AA11" s="300"/>
      <c r="AB11" s="301"/>
      <c r="AC11" s="302"/>
      <c r="AD11" s="56"/>
      <c r="AE11" s="56"/>
      <c r="AF11" s="56"/>
      <c r="AG11" s="56"/>
    </row>
    <row r="12" spans="1:33" ht="20.25" customHeight="1" x14ac:dyDescent="0.3">
      <c r="A12" s="45">
        <v>1</v>
      </c>
      <c r="B12" s="414" t="s">
        <v>36</v>
      </c>
      <c r="C12" s="51">
        <f t="shared" ref="C12:C43" si="0">D12+K12+L12+N12+P12+R12+S12+U12+V12+W12</f>
        <v>1410533.58</v>
      </c>
      <c r="D12" s="51">
        <f t="shared" ref="D12:D43" si="1">E12+F12+G12+H12+I12</f>
        <v>0</v>
      </c>
      <c r="E12" s="51"/>
      <c r="F12" s="51"/>
      <c r="G12" s="51"/>
      <c r="H12" s="51"/>
      <c r="I12" s="51"/>
      <c r="J12" s="51"/>
      <c r="K12" s="51"/>
      <c r="L12" s="51"/>
      <c r="M12" s="35"/>
      <c r="N12" s="51"/>
      <c r="O12" s="82"/>
      <c r="P12" s="51"/>
      <c r="Q12" s="338"/>
      <c r="R12" s="51"/>
      <c r="S12" s="51"/>
      <c r="T12" s="338"/>
      <c r="U12" s="51"/>
      <c r="V12" s="35"/>
      <c r="W12" s="364">
        <f t="shared" ref="W12:W19" si="2">SUM(Y12:AJ12)</f>
        <v>1410533.58</v>
      </c>
      <c r="X12" s="285"/>
      <c r="Y12" s="285"/>
      <c r="Z12" s="285"/>
      <c r="AA12" s="285"/>
      <c r="AB12" s="285"/>
      <c r="AC12" s="285"/>
      <c r="AD12" s="285"/>
      <c r="AE12" s="9"/>
      <c r="AF12" s="40"/>
      <c r="AG12" s="56">
        <v>1410533.58</v>
      </c>
    </row>
    <row r="13" spans="1:33" ht="20.25" customHeight="1" x14ac:dyDescent="0.3">
      <c r="A13" s="45">
        <f t="shared" ref="A13:A44" si="3">A12+1</f>
        <v>2</v>
      </c>
      <c r="B13" s="414" t="s">
        <v>37</v>
      </c>
      <c r="C13" s="51">
        <f t="shared" si="0"/>
        <v>1191050.6599999999</v>
      </c>
      <c r="D13" s="51">
        <f t="shared" si="1"/>
        <v>0</v>
      </c>
      <c r="E13" s="51"/>
      <c r="F13" s="51"/>
      <c r="G13" s="51"/>
      <c r="H13" s="51"/>
      <c r="I13" s="51"/>
      <c r="J13" s="51"/>
      <c r="K13" s="51"/>
      <c r="L13" s="51"/>
      <c r="M13" s="35"/>
      <c r="N13" s="51"/>
      <c r="O13" s="82"/>
      <c r="P13" s="51"/>
      <c r="Q13" s="338"/>
      <c r="R13" s="51"/>
      <c r="S13" s="51"/>
      <c r="T13" s="338"/>
      <c r="U13" s="51"/>
      <c r="V13" s="35"/>
      <c r="W13" s="364">
        <f t="shared" si="2"/>
        <v>1191050.6599999999</v>
      </c>
      <c r="X13" s="285"/>
      <c r="Y13" s="285"/>
      <c r="Z13" s="285"/>
      <c r="AA13" s="285"/>
      <c r="AB13" s="285"/>
      <c r="AC13" s="285"/>
      <c r="AD13" s="285"/>
      <c r="AE13" s="9"/>
      <c r="AF13" s="40"/>
      <c r="AG13" s="56">
        <v>1191050.6599999999</v>
      </c>
    </row>
    <row r="14" spans="1:33" ht="20.25" customHeight="1" x14ac:dyDescent="0.3">
      <c r="A14" s="45">
        <f t="shared" si="3"/>
        <v>3</v>
      </c>
      <c r="B14" s="414" t="s">
        <v>38</v>
      </c>
      <c r="C14" s="51">
        <f t="shared" si="0"/>
        <v>595459.43000000005</v>
      </c>
      <c r="D14" s="51">
        <f t="shared" si="1"/>
        <v>0</v>
      </c>
      <c r="E14" s="51"/>
      <c r="F14" s="51"/>
      <c r="G14" s="51"/>
      <c r="H14" s="51"/>
      <c r="I14" s="51"/>
      <c r="J14" s="51"/>
      <c r="K14" s="51"/>
      <c r="L14" s="51"/>
      <c r="M14" s="35"/>
      <c r="N14" s="51"/>
      <c r="O14" s="82"/>
      <c r="P14" s="51"/>
      <c r="Q14" s="338"/>
      <c r="R14" s="51"/>
      <c r="S14" s="51"/>
      <c r="T14" s="338"/>
      <c r="U14" s="51"/>
      <c r="V14" s="35"/>
      <c r="W14" s="364">
        <f t="shared" si="2"/>
        <v>595459.43000000005</v>
      </c>
      <c r="X14" s="285"/>
      <c r="Y14" s="285"/>
      <c r="Z14" s="285"/>
      <c r="AA14" s="285">
        <v>122608.24</v>
      </c>
      <c r="AB14" s="285"/>
      <c r="AC14" s="285"/>
      <c r="AD14" s="285"/>
      <c r="AE14" s="9"/>
      <c r="AF14" s="40"/>
      <c r="AG14" s="56">
        <v>472851.19</v>
      </c>
    </row>
    <row r="15" spans="1:33" ht="20.25" customHeight="1" x14ac:dyDescent="0.3">
      <c r="A15" s="45">
        <f t="shared" si="3"/>
        <v>4</v>
      </c>
      <c r="B15" s="414" t="s">
        <v>39</v>
      </c>
      <c r="C15" s="51">
        <f t="shared" si="0"/>
        <v>1586900.3399999999</v>
      </c>
      <c r="D15" s="51">
        <f t="shared" si="1"/>
        <v>0</v>
      </c>
      <c r="E15" s="51"/>
      <c r="F15" s="51"/>
      <c r="G15" s="51"/>
      <c r="H15" s="51"/>
      <c r="I15" s="51"/>
      <c r="J15" s="51"/>
      <c r="K15" s="51"/>
      <c r="L15" s="51"/>
      <c r="M15" s="35"/>
      <c r="N15" s="51"/>
      <c r="O15" s="82"/>
      <c r="P15" s="51"/>
      <c r="Q15" s="338"/>
      <c r="R15" s="51"/>
      <c r="S15" s="51"/>
      <c r="T15" s="338"/>
      <c r="U15" s="51"/>
      <c r="V15" s="35"/>
      <c r="W15" s="364">
        <f t="shared" si="2"/>
        <v>1586900.3399999999</v>
      </c>
      <c r="X15" s="285"/>
      <c r="Y15" s="285"/>
      <c r="Z15" s="285"/>
      <c r="AA15" s="285"/>
      <c r="AB15" s="285"/>
      <c r="AC15" s="285"/>
      <c r="AD15" s="285"/>
      <c r="AE15" s="9">
        <v>381945.12</v>
      </c>
      <c r="AF15" s="40"/>
      <c r="AG15" s="56">
        <v>1204955.22</v>
      </c>
    </row>
    <row r="16" spans="1:33" ht="20.25" customHeight="1" x14ac:dyDescent="0.3">
      <c r="A16" s="45">
        <f t="shared" si="3"/>
        <v>5</v>
      </c>
      <c r="B16" s="414" t="s">
        <v>40</v>
      </c>
      <c r="C16" s="51">
        <f t="shared" si="0"/>
        <v>952911.17999999993</v>
      </c>
      <c r="D16" s="51">
        <f t="shared" si="1"/>
        <v>0</v>
      </c>
      <c r="E16" s="51"/>
      <c r="F16" s="51"/>
      <c r="G16" s="51"/>
      <c r="H16" s="51"/>
      <c r="I16" s="51"/>
      <c r="J16" s="51"/>
      <c r="K16" s="51"/>
      <c r="L16" s="51"/>
      <c r="M16" s="35"/>
      <c r="N16" s="51"/>
      <c r="O16" s="82"/>
      <c r="P16" s="51"/>
      <c r="Q16" s="338"/>
      <c r="R16" s="51"/>
      <c r="S16" s="51"/>
      <c r="T16" s="338"/>
      <c r="U16" s="51"/>
      <c r="V16" s="35"/>
      <c r="W16" s="364">
        <f t="shared" si="2"/>
        <v>952911.17999999993</v>
      </c>
      <c r="X16" s="285"/>
      <c r="Y16" s="285"/>
      <c r="Z16" s="285">
        <v>107501.65</v>
      </c>
      <c r="AA16" s="285">
        <v>123182.98</v>
      </c>
      <c r="AB16" s="285"/>
      <c r="AC16" s="285"/>
      <c r="AD16" s="285"/>
      <c r="AE16" s="9">
        <v>247433.69</v>
      </c>
      <c r="AF16" s="40"/>
      <c r="AG16" s="56">
        <v>474792.86</v>
      </c>
    </row>
    <row r="17" spans="1:33" ht="20.25" customHeight="1" x14ac:dyDescent="0.3">
      <c r="A17" s="45">
        <f t="shared" si="3"/>
        <v>6</v>
      </c>
      <c r="B17" s="414" t="s">
        <v>41</v>
      </c>
      <c r="C17" s="51">
        <f t="shared" si="0"/>
        <v>1410011.58</v>
      </c>
      <c r="D17" s="51">
        <f t="shared" si="1"/>
        <v>0</v>
      </c>
      <c r="E17" s="51"/>
      <c r="F17" s="51"/>
      <c r="G17" s="51"/>
      <c r="H17" s="51"/>
      <c r="I17" s="51"/>
      <c r="J17" s="51"/>
      <c r="K17" s="51"/>
      <c r="L17" s="51"/>
      <c r="M17" s="35"/>
      <c r="N17" s="51"/>
      <c r="O17" s="82"/>
      <c r="P17" s="51"/>
      <c r="Q17" s="338"/>
      <c r="R17" s="51"/>
      <c r="S17" s="51"/>
      <c r="T17" s="338"/>
      <c r="U17" s="51"/>
      <c r="V17" s="35"/>
      <c r="W17" s="364">
        <f t="shared" si="2"/>
        <v>1410011.58</v>
      </c>
      <c r="X17" s="285"/>
      <c r="Y17" s="285"/>
      <c r="Z17" s="285"/>
      <c r="AA17" s="285"/>
      <c r="AB17" s="285"/>
      <c r="AC17" s="285"/>
      <c r="AD17" s="285"/>
      <c r="AE17" s="9"/>
      <c r="AF17" s="40"/>
      <c r="AG17" s="56">
        <v>1410011.58</v>
      </c>
    </row>
    <row r="18" spans="1:33" ht="20.25" customHeight="1" x14ac:dyDescent="0.3">
      <c r="A18" s="45">
        <f t="shared" si="3"/>
        <v>7</v>
      </c>
      <c r="B18" s="414" t="s">
        <v>42</v>
      </c>
      <c r="C18" s="51">
        <f t="shared" si="0"/>
        <v>845175.97</v>
      </c>
      <c r="D18" s="51">
        <f t="shared" si="1"/>
        <v>0</v>
      </c>
      <c r="E18" s="51"/>
      <c r="F18" s="51"/>
      <c r="G18" s="51"/>
      <c r="H18" s="51"/>
      <c r="I18" s="51"/>
      <c r="J18" s="51"/>
      <c r="K18" s="51"/>
      <c r="L18" s="51"/>
      <c r="M18" s="35"/>
      <c r="N18" s="51"/>
      <c r="O18" s="82"/>
      <c r="P18" s="51"/>
      <c r="Q18" s="338"/>
      <c r="R18" s="51"/>
      <c r="S18" s="51"/>
      <c r="T18" s="338"/>
      <c r="U18" s="51"/>
      <c r="V18" s="35"/>
      <c r="W18" s="364">
        <f t="shared" si="2"/>
        <v>845175.97</v>
      </c>
      <c r="X18" s="285"/>
      <c r="Y18" s="285"/>
      <c r="Z18" s="285"/>
      <c r="AA18" s="285"/>
      <c r="AB18" s="285"/>
      <c r="AC18" s="285"/>
      <c r="AD18" s="285"/>
      <c r="AE18" s="9"/>
      <c r="AF18" s="40"/>
      <c r="AG18" s="56">
        <v>845175.97</v>
      </c>
    </row>
    <row r="19" spans="1:33" ht="20.25" customHeight="1" x14ac:dyDescent="0.3">
      <c r="A19" s="45">
        <f t="shared" si="3"/>
        <v>8</v>
      </c>
      <c r="B19" s="414" t="s">
        <v>43</v>
      </c>
      <c r="C19" s="51">
        <f t="shared" si="0"/>
        <v>25083101.399999999</v>
      </c>
      <c r="D19" s="51">
        <f t="shared" si="1"/>
        <v>0</v>
      </c>
      <c r="E19" s="51"/>
      <c r="F19" s="51"/>
      <c r="G19" s="51"/>
      <c r="H19" s="51"/>
      <c r="I19" s="51"/>
      <c r="J19" s="51"/>
      <c r="K19" s="51"/>
      <c r="L19" s="51"/>
      <c r="M19" s="35"/>
      <c r="N19" s="51"/>
      <c r="O19" s="82">
        <v>940.4</v>
      </c>
      <c r="P19" s="51">
        <f>940.4*26433</f>
        <v>24857593.199999999</v>
      </c>
      <c r="Q19" s="338"/>
      <c r="R19" s="51"/>
      <c r="S19" s="51"/>
      <c r="T19" s="338"/>
      <c r="U19" s="51"/>
      <c r="V19" s="35"/>
      <c r="W19" s="364">
        <f t="shared" si="2"/>
        <v>225508.2</v>
      </c>
      <c r="X19" s="285"/>
      <c r="Y19" s="285">
        <v>225508.2</v>
      </c>
      <c r="Z19" s="285"/>
      <c r="AA19" s="285"/>
      <c r="AB19" s="285"/>
      <c r="AC19" s="285"/>
      <c r="AD19" s="285"/>
      <c r="AE19" s="9"/>
      <c r="AF19" s="40"/>
      <c r="AG19" s="56"/>
    </row>
    <row r="20" spans="1:33" ht="20.25" customHeight="1" x14ac:dyDescent="0.3">
      <c r="A20" s="45">
        <f t="shared" si="3"/>
        <v>9</v>
      </c>
      <c r="B20" s="414" t="s">
        <v>44</v>
      </c>
      <c r="C20" s="51">
        <f t="shared" si="0"/>
        <v>130000</v>
      </c>
      <c r="D20" s="51">
        <f t="shared" si="1"/>
        <v>0</v>
      </c>
      <c r="E20" s="51"/>
      <c r="F20" s="51"/>
      <c r="G20" s="51"/>
      <c r="H20" s="51"/>
      <c r="I20" s="51"/>
      <c r="J20" s="51"/>
      <c r="K20" s="51"/>
      <c r="L20" s="51"/>
      <c r="M20" s="35"/>
      <c r="N20" s="51"/>
      <c r="O20" s="82"/>
      <c r="P20" s="51"/>
      <c r="Q20" s="338"/>
      <c r="R20" s="51"/>
      <c r="S20" s="51"/>
      <c r="T20" s="338"/>
      <c r="U20" s="51"/>
      <c r="V20" s="35"/>
      <c r="W20" s="364">
        <v>130000</v>
      </c>
      <c r="X20" s="285"/>
      <c r="Y20" s="285"/>
      <c r="Z20" s="285"/>
      <c r="AA20" s="285"/>
      <c r="AB20" s="285"/>
      <c r="AC20" s="285"/>
      <c r="AD20" s="285"/>
      <c r="AE20" s="9"/>
      <c r="AF20" s="40"/>
      <c r="AG20" s="56"/>
    </row>
    <row r="21" spans="1:33" ht="20.25" customHeight="1" x14ac:dyDescent="0.3">
      <c r="A21" s="45">
        <f t="shared" si="3"/>
        <v>10</v>
      </c>
      <c r="B21" s="414" t="s">
        <v>45</v>
      </c>
      <c r="C21" s="51">
        <f t="shared" si="0"/>
        <v>593504.27</v>
      </c>
      <c r="D21" s="51">
        <f t="shared" si="1"/>
        <v>0</v>
      </c>
      <c r="E21" s="51"/>
      <c r="F21" s="51"/>
      <c r="G21" s="51"/>
      <c r="H21" s="51"/>
      <c r="I21" s="51"/>
      <c r="J21" s="51"/>
      <c r="K21" s="51"/>
      <c r="L21" s="51"/>
      <c r="M21" s="35"/>
      <c r="N21" s="51"/>
      <c r="O21" s="82"/>
      <c r="P21" s="51"/>
      <c r="Q21" s="338"/>
      <c r="R21" s="51"/>
      <c r="S21" s="51"/>
      <c r="T21" s="338"/>
      <c r="U21" s="51"/>
      <c r="V21" s="35"/>
      <c r="W21" s="364">
        <f>SUM(Y21:AJ21)</f>
        <v>593504.27</v>
      </c>
      <c r="X21" s="285"/>
      <c r="Y21" s="285"/>
      <c r="Z21" s="285">
        <v>146702.78</v>
      </c>
      <c r="AA21" s="285"/>
      <c r="AB21" s="285">
        <v>220574.47</v>
      </c>
      <c r="AC21" s="285"/>
      <c r="AD21" s="285"/>
      <c r="AE21" s="9"/>
      <c r="AF21" s="40"/>
      <c r="AG21" s="56">
        <v>226227.02</v>
      </c>
    </row>
    <row r="22" spans="1:33" ht="20.25" customHeight="1" x14ac:dyDescent="0.3">
      <c r="A22" s="45">
        <f t="shared" si="3"/>
        <v>11</v>
      </c>
      <c r="B22" s="414" t="s">
        <v>46</v>
      </c>
      <c r="C22" s="51">
        <f t="shared" si="0"/>
        <v>988015.59000000008</v>
      </c>
      <c r="D22" s="51">
        <f t="shared" si="1"/>
        <v>0</v>
      </c>
      <c r="E22" s="51"/>
      <c r="F22" s="51"/>
      <c r="G22" s="51"/>
      <c r="H22" s="51"/>
      <c r="I22" s="51"/>
      <c r="J22" s="51"/>
      <c r="K22" s="51"/>
      <c r="L22" s="51"/>
      <c r="M22" s="35"/>
      <c r="N22" s="51"/>
      <c r="O22" s="82"/>
      <c r="P22" s="51"/>
      <c r="Q22" s="338"/>
      <c r="R22" s="51"/>
      <c r="S22" s="51"/>
      <c r="T22" s="338"/>
      <c r="U22" s="51"/>
      <c r="V22" s="35"/>
      <c r="W22" s="364">
        <f>SUM(Y22:AJ22)</f>
        <v>988015.59000000008</v>
      </c>
      <c r="X22" s="285"/>
      <c r="Y22" s="285"/>
      <c r="Z22" s="285">
        <v>164288.45000000001</v>
      </c>
      <c r="AA22" s="285"/>
      <c r="AB22" s="285"/>
      <c r="AC22" s="285"/>
      <c r="AD22" s="285"/>
      <c r="AE22" s="9"/>
      <c r="AF22" s="40"/>
      <c r="AG22" s="56">
        <v>823727.14</v>
      </c>
    </row>
    <row r="23" spans="1:33" ht="20.25" customHeight="1" x14ac:dyDescent="0.3">
      <c r="A23" s="45">
        <f t="shared" si="3"/>
        <v>12</v>
      </c>
      <c r="B23" s="414" t="s">
        <v>47</v>
      </c>
      <c r="C23" s="51">
        <f t="shared" si="0"/>
        <v>130000</v>
      </c>
      <c r="D23" s="51">
        <f t="shared" si="1"/>
        <v>0</v>
      </c>
      <c r="E23" s="51"/>
      <c r="F23" s="51"/>
      <c r="G23" s="51"/>
      <c r="H23" s="51"/>
      <c r="I23" s="51"/>
      <c r="J23" s="51"/>
      <c r="K23" s="51"/>
      <c r="L23" s="51"/>
      <c r="M23" s="35"/>
      <c r="N23" s="51"/>
      <c r="O23" s="82"/>
      <c r="P23" s="51"/>
      <c r="Q23" s="338"/>
      <c r="R23" s="51"/>
      <c r="S23" s="51"/>
      <c r="T23" s="338"/>
      <c r="U23" s="51"/>
      <c r="V23" s="35"/>
      <c r="W23" s="364">
        <v>130000</v>
      </c>
      <c r="X23" s="285"/>
      <c r="Y23" s="285"/>
      <c r="Z23" s="285"/>
      <c r="AA23" s="285"/>
      <c r="AB23" s="285"/>
      <c r="AC23" s="285"/>
      <c r="AD23" s="285"/>
      <c r="AE23" s="9"/>
      <c r="AF23" s="40"/>
      <c r="AG23" s="56"/>
    </row>
    <row r="24" spans="1:33" ht="20.25" customHeight="1" x14ac:dyDescent="0.3">
      <c r="A24" s="45">
        <f t="shared" si="3"/>
        <v>13</v>
      </c>
      <c r="B24" s="414" t="s">
        <v>48</v>
      </c>
      <c r="C24" s="51">
        <f t="shared" si="0"/>
        <v>559403.44999999995</v>
      </c>
      <c r="D24" s="51">
        <f t="shared" si="1"/>
        <v>0</v>
      </c>
      <c r="E24" s="51"/>
      <c r="F24" s="51"/>
      <c r="G24" s="51"/>
      <c r="H24" s="51"/>
      <c r="I24" s="51"/>
      <c r="J24" s="51"/>
      <c r="K24" s="51"/>
      <c r="L24" s="51"/>
      <c r="M24" s="35"/>
      <c r="N24" s="51"/>
      <c r="O24" s="82"/>
      <c r="P24" s="51"/>
      <c r="Q24" s="338"/>
      <c r="R24" s="51"/>
      <c r="S24" s="51"/>
      <c r="T24" s="338"/>
      <c r="U24" s="51"/>
      <c r="V24" s="35"/>
      <c r="W24" s="364">
        <f>SUM(Y24:AJ24)</f>
        <v>559403.44999999995</v>
      </c>
      <c r="X24" s="285"/>
      <c r="Y24" s="285"/>
      <c r="Z24" s="285">
        <v>289217.69</v>
      </c>
      <c r="AA24" s="285">
        <v>270185.76</v>
      </c>
      <c r="AB24" s="285"/>
      <c r="AC24" s="285"/>
      <c r="AD24" s="285"/>
      <c r="AE24" s="9"/>
      <c r="AF24" s="40"/>
      <c r="AG24" s="56"/>
    </row>
    <row r="25" spans="1:33" ht="20.25" customHeight="1" x14ac:dyDescent="0.3">
      <c r="A25" s="45">
        <f t="shared" si="3"/>
        <v>14</v>
      </c>
      <c r="B25" s="414" t="s">
        <v>49</v>
      </c>
      <c r="C25" s="51">
        <f t="shared" si="0"/>
        <v>130000</v>
      </c>
      <c r="D25" s="51">
        <f t="shared" si="1"/>
        <v>0</v>
      </c>
      <c r="E25" s="51"/>
      <c r="F25" s="51"/>
      <c r="G25" s="51"/>
      <c r="H25" s="51"/>
      <c r="I25" s="51"/>
      <c r="J25" s="51"/>
      <c r="K25" s="51"/>
      <c r="L25" s="51"/>
      <c r="M25" s="35"/>
      <c r="N25" s="51"/>
      <c r="O25" s="82"/>
      <c r="P25" s="51"/>
      <c r="Q25" s="338"/>
      <c r="R25" s="51"/>
      <c r="S25" s="51"/>
      <c r="T25" s="338"/>
      <c r="U25" s="51"/>
      <c r="V25" s="35"/>
      <c r="W25" s="364">
        <v>130000</v>
      </c>
      <c r="X25" s="285"/>
      <c r="Y25" s="285"/>
      <c r="Z25" s="285"/>
      <c r="AA25" s="285"/>
      <c r="AB25" s="285"/>
      <c r="AC25" s="285"/>
      <c r="AD25" s="285"/>
      <c r="AE25" s="9"/>
      <c r="AF25" s="40"/>
      <c r="AG25" s="56"/>
    </row>
    <row r="26" spans="1:33" ht="20.25" customHeight="1" x14ac:dyDescent="0.3">
      <c r="A26" s="45">
        <f t="shared" si="3"/>
        <v>15</v>
      </c>
      <c r="B26" s="414" t="s">
        <v>50</v>
      </c>
      <c r="C26" s="51">
        <f t="shared" si="0"/>
        <v>463456.44999999995</v>
      </c>
      <c r="D26" s="51">
        <f t="shared" si="1"/>
        <v>0</v>
      </c>
      <c r="E26" s="51"/>
      <c r="F26" s="51"/>
      <c r="G26" s="51"/>
      <c r="H26" s="51"/>
      <c r="I26" s="51"/>
      <c r="J26" s="51"/>
      <c r="K26" s="51"/>
      <c r="L26" s="51"/>
      <c r="M26" s="35"/>
      <c r="N26" s="51"/>
      <c r="O26" s="82"/>
      <c r="P26" s="51"/>
      <c r="Q26" s="338"/>
      <c r="R26" s="51"/>
      <c r="S26" s="51"/>
      <c r="T26" s="338"/>
      <c r="U26" s="51"/>
      <c r="V26" s="35"/>
      <c r="W26" s="364">
        <f t="shared" ref="W26:W41" si="4">SUM(Y26:AE26)</f>
        <v>463456.44999999995</v>
      </c>
      <c r="X26" s="285"/>
      <c r="Y26" s="285"/>
      <c r="Z26" s="285">
        <v>124127.1</v>
      </c>
      <c r="AA26" s="285">
        <v>141603.60999999999</v>
      </c>
      <c r="AB26" s="285"/>
      <c r="AC26" s="285">
        <v>197725.74</v>
      </c>
      <c r="AD26" s="285"/>
      <c r="AE26" s="9"/>
      <c r="AF26" s="40"/>
      <c r="AG26" s="56"/>
    </row>
    <row r="27" spans="1:33" ht="20.25" customHeight="1" x14ac:dyDescent="0.3">
      <c r="A27" s="45">
        <f t="shared" si="3"/>
        <v>16</v>
      </c>
      <c r="B27" s="414" t="s">
        <v>51</v>
      </c>
      <c r="C27" s="51">
        <f t="shared" si="0"/>
        <v>128571.41</v>
      </c>
      <c r="D27" s="51">
        <f t="shared" si="1"/>
        <v>0</v>
      </c>
      <c r="E27" s="51"/>
      <c r="F27" s="51"/>
      <c r="G27" s="51"/>
      <c r="H27" s="51"/>
      <c r="I27" s="51"/>
      <c r="J27" s="51"/>
      <c r="K27" s="51"/>
      <c r="L27" s="51"/>
      <c r="M27" s="35"/>
      <c r="N27" s="51"/>
      <c r="O27" s="82"/>
      <c r="P27" s="51"/>
      <c r="Q27" s="338"/>
      <c r="R27" s="51"/>
      <c r="S27" s="51"/>
      <c r="T27" s="338"/>
      <c r="U27" s="51"/>
      <c r="V27" s="35"/>
      <c r="W27" s="364">
        <f t="shared" si="4"/>
        <v>128571.41</v>
      </c>
      <c r="X27" s="285"/>
      <c r="Y27" s="285"/>
      <c r="Z27" s="285"/>
      <c r="AA27" s="285"/>
      <c r="AB27" s="285">
        <v>128571.41</v>
      </c>
      <c r="AC27" s="285"/>
      <c r="AD27" s="285"/>
      <c r="AE27" s="9"/>
      <c r="AF27" s="40"/>
      <c r="AG27" s="56"/>
    </row>
    <row r="28" spans="1:33" ht="20.25" customHeight="1" x14ac:dyDescent="0.3">
      <c r="A28" s="45">
        <f t="shared" si="3"/>
        <v>17</v>
      </c>
      <c r="B28" s="414" t="s">
        <v>52</v>
      </c>
      <c r="C28" s="51">
        <f t="shared" si="0"/>
        <v>142335.74</v>
      </c>
      <c r="D28" s="51">
        <f t="shared" si="1"/>
        <v>0</v>
      </c>
      <c r="E28" s="51"/>
      <c r="F28" s="51"/>
      <c r="G28" s="51"/>
      <c r="H28" s="51"/>
      <c r="I28" s="51"/>
      <c r="J28" s="51"/>
      <c r="K28" s="51"/>
      <c r="L28" s="51"/>
      <c r="M28" s="35"/>
      <c r="N28" s="51"/>
      <c r="O28" s="82"/>
      <c r="P28" s="51"/>
      <c r="Q28" s="338"/>
      <c r="R28" s="51"/>
      <c r="S28" s="51"/>
      <c r="T28" s="338"/>
      <c r="U28" s="51"/>
      <c r="V28" s="35"/>
      <c r="W28" s="364">
        <f t="shared" si="4"/>
        <v>142335.74</v>
      </c>
      <c r="X28" s="285"/>
      <c r="Y28" s="285"/>
      <c r="Z28" s="285">
        <v>142335.74</v>
      </c>
      <c r="AA28" s="285"/>
      <c r="AB28" s="285"/>
      <c r="AC28" s="285"/>
      <c r="AD28" s="285"/>
      <c r="AE28" s="9"/>
      <c r="AF28" s="40"/>
      <c r="AG28" s="56"/>
    </row>
    <row r="29" spans="1:33" ht="20.25" customHeight="1" x14ac:dyDescent="0.3">
      <c r="A29" s="45">
        <f t="shared" si="3"/>
        <v>18</v>
      </c>
      <c r="B29" s="414" t="s">
        <v>53</v>
      </c>
      <c r="C29" s="51">
        <f t="shared" si="0"/>
        <v>5526998.2699999996</v>
      </c>
      <c r="D29" s="51">
        <f t="shared" si="1"/>
        <v>0</v>
      </c>
      <c r="E29" s="51"/>
      <c r="F29" s="51"/>
      <c r="G29" s="51"/>
      <c r="H29" s="51"/>
      <c r="I29" s="51"/>
      <c r="J29" s="51"/>
      <c r="K29" s="51"/>
      <c r="L29" s="51"/>
      <c r="M29" s="35">
        <v>690</v>
      </c>
      <c r="N29" s="51">
        <v>5295959.0199999996</v>
      </c>
      <c r="O29" s="82"/>
      <c r="P29" s="51"/>
      <c r="Q29" s="338"/>
      <c r="R29" s="51"/>
      <c r="S29" s="51"/>
      <c r="T29" s="338"/>
      <c r="U29" s="51"/>
      <c r="V29" s="35"/>
      <c r="W29" s="364">
        <f t="shared" si="4"/>
        <v>231039.25</v>
      </c>
      <c r="X29" s="285"/>
      <c r="Y29" s="285"/>
      <c r="Z29" s="285">
        <v>105766.44</v>
      </c>
      <c r="AA29" s="285">
        <v>125272.81</v>
      </c>
      <c r="AB29" s="285"/>
      <c r="AC29" s="285"/>
      <c r="AD29" s="285"/>
      <c r="AE29" s="9"/>
      <c r="AF29" s="40"/>
      <c r="AG29" s="56"/>
    </row>
    <row r="30" spans="1:33" ht="20.25" customHeight="1" x14ac:dyDescent="0.3">
      <c r="A30" s="45">
        <f t="shared" si="3"/>
        <v>19</v>
      </c>
      <c r="B30" s="414" t="s">
        <v>54</v>
      </c>
      <c r="C30" s="51">
        <f t="shared" si="0"/>
        <v>170914.72999999998</v>
      </c>
      <c r="D30" s="51">
        <f t="shared" si="1"/>
        <v>0</v>
      </c>
      <c r="E30" s="51"/>
      <c r="F30" s="51"/>
      <c r="G30" s="51"/>
      <c r="H30" s="51"/>
      <c r="I30" s="51"/>
      <c r="J30" s="51"/>
      <c r="K30" s="51"/>
      <c r="L30" s="51"/>
      <c r="M30" s="35"/>
      <c r="N30" s="51"/>
      <c r="O30" s="82"/>
      <c r="P30" s="51"/>
      <c r="Q30" s="338"/>
      <c r="R30" s="51"/>
      <c r="S30" s="51"/>
      <c r="T30" s="338"/>
      <c r="U30" s="51"/>
      <c r="V30" s="35"/>
      <c r="W30" s="364">
        <f t="shared" si="4"/>
        <v>170914.72999999998</v>
      </c>
      <c r="X30" s="285"/>
      <c r="Y30" s="285"/>
      <c r="Z30" s="285">
        <v>73709.81</v>
      </c>
      <c r="AA30" s="285">
        <v>97204.92</v>
      </c>
      <c r="AB30" s="285"/>
      <c r="AC30" s="285"/>
      <c r="AD30" s="285"/>
      <c r="AE30" s="9"/>
      <c r="AF30" s="40"/>
      <c r="AG30" s="56"/>
    </row>
    <row r="31" spans="1:33" ht="20.25" customHeight="1" x14ac:dyDescent="0.3">
      <c r="A31" s="45">
        <f t="shared" si="3"/>
        <v>20</v>
      </c>
      <c r="B31" s="414" t="s">
        <v>55</v>
      </c>
      <c r="C31" s="51">
        <f t="shared" si="0"/>
        <v>5175837.17</v>
      </c>
      <c r="D31" s="51">
        <f t="shared" si="1"/>
        <v>0</v>
      </c>
      <c r="E31" s="51"/>
      <c r="F31" s="51"/>
      <c r="G31" s="51"/>
      <c r="H31" s="51"/>
      <c r="I31" s="51"/>
      <c r="J31" s="51"/>
      <c r="K31" s="51"/>
      <c r="L31" s="51"/>
      <c r="M31" s="35">
        <v>707</v>
      </c>
      <c r="N31" s="51">
        <v>4934746.58</v>
      </c>
      <c r="O31" s="82"/>
      <c r="P31" s="51"/>
      <c r="Q31" s="338"/>
      <c r="R31" s="51"/>
      <c r="S31" s="51"/>
      <c r="T31" s="338"/>
      <c r="U31" s="51"/>
      <c r="V31" s="35"/>
      <c r="W31" s="364">
        <f t="shared" si="4"/>
        <v>241090.59</v>
      </c>
      <c r="X31" s="285"/>
      <c r="Y31" s="285"/>
      <c r="Z31" s="285">
        <v>111086.17</v>
      </c>
      <c r="AA31" s="285">
        <v>130004.42</v>
      </c>
      <c r="AB31" s="285"/>
      <c r="AC31" s="285"/>
      <c r="AD31" s="285"/>
      <c r="AE31" s="9"/>
      <c r="AF31" s="40"/>
      <c r="AG31" s="56"/>
    </row>
    <row r="32" spans="1:33" ht="20.25" customHeight="1" x14ac:dyDescent="0.3">
      <c r="A32" s="45">
        <f t="shared" si="3"/>
        <v>21</v>
      </c>
      <c r="B32" s="414" t="s">
        <v>56</v>
      </c>
      <c r="C32" s="51">
        <f t="shared" si="0"/>
        <v>240229.03999999998</v>
      </c>
      <c r="D32" s="51">
        <f t="shared" si="1"/>
        <v>0</v>
      </c>
      <c r="E32" s="51"/>
      <c r="F32" s="51"/>
      <c r="G32" s="51"/>
      <c r="H32" s="51"/>
      <c r="I32" s="51"/>
      <c r="J32" s="51"/>
      <c r="K32" s="51"/>
      <c r="L32" s="51"/>
      <c r="M32" s="35"/>
      <c r="N32" s="51"/>
      <c r="O32" s="82"/>
      <c r="P32" s="51"/>
      <c r="Q32" s="338"/>
      <c r="R32" s="51"/>
      <c r="S32" s="51"/>
      <c r="T32" s="338"/>
      <c r="U32" s="51"/>
      <c r="V32" s="35"/>
      <c r="W32" s="364">
        <f t="shared" si="4"/>
        <v>240229.03999999998</v>
      </c>
      <c r="X32" s="285"/>
      <c r="Y32" s="285"/>
      <c r="Z32" s="285">
        <v>110630.2</v>
      </c>
      <c r="AA32" s="285">
        <v>129598.84</v>
      </c>
      <c r="AB32" s="285"/>
      <c r="AC32" s="285"/>
      <c r="AD32" s="285"/>
      <c r="AE32" s="9"/>
      <c r="AF32" s="40"/>
      <c r="AG32" s="56">
        <v>655368.26</v>
      </c>
    </row>
    <row r="33" spans="1:33" ht="20.25" customHeight="1" x14ac:dyDescent="0.3">
      <c r="A33" s="45">
        <f t="shared" si="3"/>
        <v>22</v>
      </c>
      <c r="B33" s="414" t="s">
        <v>57</v>
      </c>
      <c r="C33" s="51">
        <f t="shared" si="0"/>
        <v>173320.84</v>
      </c>
      <c r="D33" s="51">
        <f t="shared" si="1"/>
        <v>0</v>
      </c>
      <c r="E33" s="51"/>
      <c r="F33" s="51"/>
      <c r="G33" s="51"/>
      <c r="H33" s="51"/>
      <c r="I33" s="51"/>
      <c r="J33" s="51"/>
      <c r="K33" s="51"/>
      <c r="L33" s="51"/>
      <c r="M33" s="35"/>
      <c r="N33" s="51"/>
      <c r="O33" s="82"/>
      <c r="P33" s="51"/>
      <c r="Q33" s="338"/>
      <c r="R33" s="51"/>
      <c r="S33" s="51"/>
      <c r="T33" s="338"/>
      <c r="U33" s="51"/>
      <c r="V33" s="35"/>
      <c r="W33" s="364">
        <f t="shared" si="4"/>
        <v>173320.84</v>
      </c>
      <c r="X33" s="285"/>
      <c r="Y33" s="285"/>
      <c r="Z33" s="285"/>
      <c r="AA33" s="285">
        <v>173320.84</v>
      </c>
      <c r="AB33" s="285"/>
      <c r="AC33" s="285"/>
      <c r="AD33" s="285"/>
      <c r="AE33" s="9"/>
      <c r="AF33" s="40"/>
      <c r="AG33" s="56">
        <v>868175.4</v>
      </c>
    </row>
    <row r="34" spans="1:33" ht="20.25" customHeight="1" x14ac:dyDescent="0.3">
      <c r="A34" s="45">
        <f t="shared" si="3"/>
        <v>23</v>
      </c>
      <c r="B34" s="414" t="s">
        <v>58</v>
      </c>
      <c r="C34" s="51">
        <f t="shared" si="0"/>
        <v>216696.98</v>
      </c>
      <c r="D34" s="51">
        <f t="shared" si="1"/>
        <v>0</v>
      </c>
      <c r="E34" s="51"/>
      <c r="F34" s="51"/>
      <c r="G34" s="51"/>
      <c r="H34" s="51"/>
      <c r="I34" s="51"/>
      <c r="J34" s="51"/>
      <c r="K34" s="51"/>
      <c r="L34" s="51"/>
      <c r="M34" s="35"/>
      <c r="N34" s="51"/>
      <c r="O34" s="82"/>
      <c r="P34" s="51"/>
      <c r="Q34" s="338"/>
      <c r="R34" s="51"/>
      <c r="S34" s="51"/>
      <c r="T34" s="338"/>
      <c r="U34" s="51"/>
      <c r="V34" s="35"/>
      <c r="W34" s="364">
        <f t="shared" si="4"/>
        <v>216696.98</v>
      </c>
      <c r="X34" s="285"/>
      <c r="Y34" s="285"/>
      <c r="Z34" s="285"/>
      <c r="AA34" s="285">
        <v>114674.02</v>
      </c>
      <c r="AB34" s="285"/>
      <c r="AC34" s="285">
        <v>102022.96</v>
      </c>
      <c r="AD34" s="285"/>
      <c r="AE34" s="9"/>
      <c r="AF34" s="40"/>
      <c r="AG34" s="56">
        <v>569624.06000000006</v>
      </c>
    </row>
    <row r="35" spans="1:33" ht="20.25" customHeight="1" x14ac:dyDescent="0.3">
      <c r="A35" s="45">
        <f t="shared" si="3"/>
        <v>24</v>
      </c>
      <c r="B35" s="414" t="s">
        <v>59</v>
      </c>
      <c r="C35" s="51">
        <f t="shared" si="0"/>
        <v>113984.56</v>
      </c>
      <c r="D35" s="51">
        <f t="shared" si="1"/>
        <v>0</v>
      </c>
      <c r="E35" s="51"/>
      <c r="F35" s="51"/>
      <c r="G35" s="51"/>
      <c r="H35" s="51"/>
      <c r="I35" s="51"/>
      <c r="J35" s="51"/>
      <c r="K35" s="51"/>
      <c r="L35" s="51"/>
      <c r="M35" s="35"/>
      <c r="N35" s="51"/>
      <c r="O35" s="82"/>
      <c r="P35" s="51"/>
      <c r="Q35" s="338"/>
      <c r="R35" s="51"/>
      <c r="S35" s="51"/>
      <c r="T35" s="338"/>
      <c r="U35" s="51"/>
      <c r="V35" s="35"/>
      <c r="W35" s="364">
        <f t="shared" si="4"/>
        <v>113984.56</v>
      </c>
      <c r="X35" s="285"/>
      <c r="Y35" s="285"/>
      <c r="Z35" s="285"/>
      <c r="AA35" s="285">
        <v>113984.56</v>
      </c>
      <c r="AB35" s="285"/>
      <c r="AC35" s="285"/>
      <c r="AD35" s="285"/>
      <c r="AE35" s="9"/>
      <c r="AF35" s="40"/>
      <c r="AG35" s="56"/>
    </row>
    <row r="36" spans="1:33" ht="20.25" customHeight="1" x14ac:dyDescent="0.3">
      <c r="A36" s="45">
        <f t="shared" si="3"/>
        <v>25</v>
      </c>
      <c r="B36" s="414" t="s">
        <v>60</v>
      </c>
      <c r="C36" s="51">
        <f t="shared" si="0"/>
        <v>303282.93000000005</v>
      </c>
      <c r="D36" s="51">
        <f t="shared" si="1"/>
        <v>0</v>
      </c>
      <c r="E36" s="51"/>
      <c r="F36" s="51"/>
      <c r="G36" s="51"/>
      <c r="H36" s="51"/>
      <c r="I36" s="51"/>
      <c r="J36" s="51"/>
      <c r="K36" s="51"/>
      <c r="L36" s="51"/>
      <c r="M36" s="35"/>
      <c r="N36" s="51"/>
      <c r="O36" s="82"/>
      <c r="P36" s="51"/>
      <c r="Q36" s="338"/>
      <c r="R36" s="51"/>
      <c r="S36" s="51"/>
      <c r="T36" s="338"/>
      <c r="U36" s="51"/>
      <c r="V36" s="35"/>
      <c r="W36" s="364">
        <f t="shared" si="4"/>
        <v>303282.93000000005</v>
      </c>
      <c r="X36" s="285"/>
      <c r="Y36" s="285"/>
      <c r="Z36" s="285">
        <v>140466.26</v>
      </c>
      <c r="AA36" s="285">
        <v>162816.67000000001</v>
      </c>
      <c r="AB36" s="285"/>
      <c r="AC36" s="285"/>
      <c r="AD36" s="285"/>
      <c r="AE36" s="9"/>
      <c r="AF36" s="40"/>
      <c r="AG36" s="56"/>
    </row>
    <row r="37" spans="1:33" ht="20.25" customHeight="1" x14ac:dyDescent="0.3">
      <c r="A37" s="45">
        <f t="shared" si="3"/>
        <v>26</v>
      </c>
      <c r="B37" s="414" t="s">
        <v>61</v>
      </c>
      <c r="C37" s="51">
        <f t="shared" si="0"/>
        <v>257162.1</v>
      </c>
      <c r="D37" s="51">
        <f t="shared" si="1"/>
        <v>0</v>
      </c>
      <c r="E37" s="51"/>
      <c r="F37" s="51"/>
      <c r="G37" s="51"/>
      <c r="H37" s="51"/>
      <c r="I37" s="51"/>
      <c r="J37" s="51"/>
      <c r="K37" s="51"/>
      <c r="L37" s="51"/>
      <c r="M37" s="35"/>
      <c r="N37" s="51"/>
      <c r="O37" s="82"/>
      <c r="P37" s="51"/>
      <c r="Q37" s="338"/>
      <c r="R37" s="51"/>
      <c r="S37" s="51"/>
      <c r="T37" s="338"/>
      <c r="U37" s="51"/>
      <c r="V37" s="35"/>
      <c r="W37" s="364">
        <f t="shared" si="4"/>
        <v>257162.1</v>
      </c>
      <c r="X37" s="285"/>
      <c r="Y37" s="285"/>
      <c r="Z37" s="285"/>
      <c r="AA37" s="285">
        <v>138075.19</v>
      </c>
      <c r="AB37" s="285"/>
      <c r="AC37" s="285">
        <v>119086.91</v>
      </c>
      <c r="AD37" s="285"/>
      <c r="AE37" s="9"/>
      <c r="AF37" s="40"/>
      <c r="AG37" s="56"/>
    </row>
    <row r="38" spans="1:33" ht="20.25" customHeight="1" x14ac:dyDescent="0.3">
      <c r="A38" s="45">
        <f t="shared" si="3"/>
        <v>27</v>
      </c>
      <c r="B38" s="414" t="s">
        <v>62</v>
      </c>
      <c r="C38" s="51">
        <f t="shared" si="0"/>
        <v>499768.42</v>
      </c>
      <c r="D38" s="51">
        <f t="shared" si="1"/>
        <v>0</v>
      </c>
      <c r="E38" s="51"/>
      <c r="F38" s="51"/>
      <c r="G38" s="51"/>
      <c r="H38" s="51"/>
      <c r="I38" s="51"/>
      <c r="J38" s="51"/>
      <c r="K38" s="51"/>
      <c r="L38" s="51"/>
      <c r="M38" s="35"/>
      <c r="N38" s="51"/>
      <c r="O38" s="82"/>
      <c r="P38" s="51"/>
      <c r="Q38" s="338"/>
      <c r="R38" s="51"/>
      <c r="S38" s="51"/>
      <c r="T38" s="338"/>
      <c r="U38" s="51"/>
      <c r="V38" s="35"/>
      <c r="W38" s="364">
        <f t="shared" si="4"/>
        <v>499768.42</v>
      </c>
      <c r="X38" s="285"/>
      <c r="Y38" s="285"/>
      <c r="Z38" s="285"/>
      <c r="AA38" s="285"/>
      <c r="AB38" s="285">
        <v>499768.42</v>
      </c>
      <c r="AC38" s="285"/>
      <c r="AD38" s="285"/>
      <c r="AE38" s="9"/>
      <c r="AF38" s="40"/>
      <c r="AG38" s="56"/>
    </row>
    <row r="39" spans="1:33" ht="20.25" customHeight="1" x14ac:dyDescent="0.3">
      <c r="A39" s="45">
        <f t="shared" si="3"/>
        <v>28</v>
      </c>
      <c r="B39" s="414" t="s">
        <v>63</v>
      </c>
      <c r="C39" s="51">
        <f t="shared" si="0"/>
        <v>359914.97</v>
      </c>
      <c r="D39" s="51">
        <f t="shared" si="1"/>
        <v>0</v>
      </c>
      <c r="E39" s="51"/>
      <c r="F39" s="51"/>
      <c r="G39" s="51"/>
      <c r="H39" s="51"/>
      <c r="I39" s="51"/>
      <c r="J39" s="51"/>
      <c r="K39" s="51"/>
      <c r="L39" s="51"/>
      <c r="M39" s="35"/>
      <c r="N39" s="51"/>
      <c r="O39" s="82"/>
      <c r="P39" s="51"/>
      <c r="Q39" s="338"/>
      <c r="R39" s="51"/>
      <c r="S39" s="51"/>
      <c r="T39" s="338"/>
      <c r="U39" s="51"/>
      <c r="V39" s="35"/>
      <c r="W39" s="364">
        <f t="shared" si="4"/>
        <v>359914.97</v>
      </c>
      <c r="X39" s="285"/>
      <c r="Y39" s="285"/>
      <c r="Z39" s="285">
        <v>136855.54</v>
      </c>
      <c r="AA39" s="285">
        <v>113212.93</v>
      </c>
      <c r="AB39" s="285"/>
      <c r="AC39" s="285">
        <v>109846.5</v>
      </c>
      <c r="AD39" s="285"/>
      <c r="AE39" s="9"/>
      <c r="AF39" s="40"/>
      <c r="AG39" s="56"/>
    </row>
    <row r="40" spans="1:33" ht="20.25" customHeight="1" x14ac:dyDescent="0.3">
      <c r="A40" s="45">
        <f t="shared" si="3"/>
        <v>29</v>
      </c>
      <c r="B40" s="414" t="s">
        <v>64</v>
      </c>
      <c r="C40" s="51">
        <f t="shared" si="0"/>
        <v>544716.01</v>
      </c>
      <c r="D40" s="51">
        <f t="shared" si="1"/>
        <v>0</v>
      </c>
      <c r="E40" s="51"/>
      <c r="F40" s="51"/>
      <c r="G40" s="51"/>
      <c r="H40" s="51"/>
      <c r="I40" s="51"/>
      <c r="J40" s="51"/>
      <c r="K40" s="51"/>
      <c r="L40" s="51"/>
      <c r="M40" s="35"/>
      <c r="N40" s="51"/>
      <c r="O40" s="82"/>
      <c r="P40" s="51"/>
      <c r="Q40" s="338"/>
      <c r="R40" s="51"/>
      <c r="S40" s="51"/>
      <c r="T40" s="338"/>
      <c r="U40" s="51"/>
      <c r="V40" s="35"/>
      <c r="W40" s="364">
        <f t="shared" si="4"/>
        <v>544716.01</v>
      </c>
      <c r="X40" s="285"/>
      <c r="Y40" s="285"/>
      <c r="Z40" s="285"/>
      <c r="AA40" s="285">
        <v>286519.15999999997</v>
      </c>
      <c r="AB40" s="285"/>
      <c r="AC40" s="285">
        <v>258196.85</v>
      </c>
      <c r="AD40" s="285"/>
      <c r="AE40" s="9"/>
      <c r="AF40" s="40"/>
      <c r="AG40" s="56"/>
    </row>
    <row r="41" spans="1:33" ht="20.25" customHeight="1" x14ac:dyDescent="0.3">
      <c r="A41" s="45">
        <f t="shared" si="3"/>
        <v>30</v>
      </c>
      <c r="B41" s="414" t="s">
        <v>65</v>
      </c>
      <c r="C41" s="51">
        <f t="shared" si="0"/>
        <v>374047.09</v>
      </c>
      <c r="D41" s="51">
        <f t="shared" si="1"/>
        <v>0</v>
      </c>
      <c r="E41" s="51"/>
      <c r="F41" s="51"/>
      <c r="G41" s="51"/>
      <c r="H41" s="51"/>
      <c r="I41" s="51"/>
      <c r="J41" s="51"/>
      <c r="K41" s="51"/>
      <c r="L41" s="51"/>
      <c r="M41" s="35"/>
      <c r="N41" s="51"/>
      <c r="O41" s="82"/>
      <c r="P41" s="51"/>
      <c r="Q41" s="338"/>
      <c r="R41" s="51"/>
      <c r="S41" s="51"/>
      <c r="T41" s="338"/>
      <c r="U41" s="51"/>
      <c r="V41" s="35"/>
      <c r="W41" s="364">
        <f t="shared" si="4"/>
        <v>374047.09</v>
      </c>
      <c r="X41" s="285"/>
      <c r="Y41" s="285"/>
      <c r="Z41" s="285">
        <v>141777.71</v>
      </c>
      <c r="AA41" s="285"/>
      <c r="AB41" s="285">
        <v>117714.86</v>
      </c>
      <c r="AC41" s="285">
        <v>114554.52</v>
      </c>
      <c r="AD41" s="285"/>
      <c r="AE41" s="9"/>
      <c r="AF41" s="40"/>
      <c r="AG41" s="56"/>
    </row>
    <row r="42" spans="1:33" ht="20.25" customHeight="1" x14ac:dyDescent="0.3">
      <c r="A42" s="45">
        <f t="shared" si="3"/>
        <v>31</v>
      </c>
      <c r="B42" s="414" t="s">
        <v>66</v>
      </c>
      <c r="C42" s="51">
        <f t="shared" si="0"/>
        <v>130000</v>
      </c>
      <c r="D42" s="51">
        <f t="shared" si="1"/>
        <v>0</v>
      </c>
      <c r="E42" s="51"/>
      <c r="F42" s="51"/>
      <c r="G42" s="51"/>
      <c r="H42" s="51"/>
      <c r="I42" s="51"/>
      <c r="J42" s="51"/>
      <c r="K42" s="51"/>
      <c r="L42" s="51"/>
      <c r="M42" s="35"/>
      <c r="N42" s="51"/>
      <c r="O42" s="82"/>
      <c r="P42" s="51"/>
      <c r="Q42" s="338"/>
      <c r="R42" s="51"/>
      <c r="S42" s="51"/>
      <c r="T42" s="338"/>
      <c r="U42" s="51"/>
      <c r="V42" s="35"/>
      <c r="W42" s="364">
        <v>130000</v>
      </c>
      <c r="X42" s="285"/>
      <c r="Y42" s="285"/>
      <c r="Z42" s="285"/>
      <c r="AA42" s="285"/>
      <c r="AB42" s="285"/>
      <c r="AC42" s="285"/>
      <c r="AD42" s="285"/>
      <c r="AE42" s="9"/>
      <c r="AF42" s="40"/>
      <c r="AG42" s="56"/>
    </row>
    <row r="43" spans="1:33" ht="20.25" customHeight="1" x14ac:dyDescent="0.3">
      <c r="A43" s="45">
        <f t="shared" si="3"/>
        <v>32</v>
      </c>
      <c r="B43" s="414" t="s">
        <v>67</v>
      </c>
      <c r="C43" s="51">
        <f t="shared" si="0"/>
        <v>562550.81000000006</v>
      </c>
      <c r="D43" s="51">
        <f t="shared" si="1"/>
        <v>0</v>
      </c>
      <c r="E43" s="51"/>
      <c r="F43" s="51"/>
      <c r="G43" s="51"/>
      <c r="H43" s="51"/>
      <c r="I43" s="51"/>
      <c r="J43" s="51"/>
      <c r="K43" s="51"/>
      <c r="L43" s="51"/>
      <c r="M43" s="35"/>
      <c r="N43" s="51"/>
      <c r="O43" s="82"/>
      <c r="P43" s="51"/>
      <c r="Q43" s="338"/>
      <c r="R43" s="51"/>
      <c r="S43" s="51"/>
      <c r="T43" s="338"/>
      <c r="U43" s="51"/>
      <c r="V43" s="35"/>
      <c r="W43" s="364">
        <f>SUM(Y43:AE43)</f>
        <v>562550.81000000006</v>
      </c>
      <c r="X43" s="285"/>
      <c r="Y43" s="285"/>
      <c r="Z43" s="285"/>
      <c r="AA43" s="285"/>
      <c r="AB43" s="285"/>
      <c r="AC43" s="285"/>
      <c r="AD43" s="285"/>
      <c r="AE43" s="9">
        <v>562550.81000000006</v>
      </c>
      <c r="AF43" s="40"/>
      <c r="AG43" s="56"/>
    </row>
    <row r="44" spans="1:33" ht="20.25" customHeight="1" x14ac:dyDescent="0.3">
      <c r="A44" s="45">
        <f t="shared" si="3"/>
        <v>33</v>
      </c>
      <c r="B44" s="414" t="s">
        <v>68</v>
      </c>
      <c r="C44" s="51">
        <f t="shared" ref="C44:C75" si="5">D44+K44+L44+N44+P44+R44+S44+U44+V44+W44</f>
        <v>449891.2</v>
      </c>
      <c r="D44" s="51">
        <f t="shared" ref="D44:D75" si="6">E44+F44+G44+H44+I44</f>
        <v>0</v>
      </c>
      <c r="E44" s="51"/>
      <c r="F44" s="51"/>
      <c r="G44" s="51"/>
      <c r="H44" s="51"/>
      <c r="I44" s="51"/>
      <c r="J44" s="51"/>
      <c r="K44" s="51"/>
      <c r="L44" s="51"/>
      <c r="M44" s="35"/>
      <c r="N44" s="51"/>
      <c r="O44" s="82"/>
      <c r="P44" s="51"/>
      <c r="Q44" s="338"/>
      <c r="R44" s="51"/>
      <c r="S44" s="51"/>
      <c r="T44" s="338"/>
      <c r="U44" s="51"/>
      <c r="V44" s="35"/>
      <c r="W44" s="364">
        <f>SUM(Y44:AE44)</f>
        <v>449891.2</v>
      </c>
      <c r="X44" s="285"/>
      <c r="Y44" s="285"/>
      <c r="Z44" s="285"/>
      <c r="AA44" s="285"/>
      <c r="AB44" s="285"/>
      <c r="AC44" s="285"/>
      <c r="AD44" s="285"/>
      <c r="AE44" s="9">
        <v>449891.2</v>
      </c>
      <c r="AF44" s="40"/>
      <c r="AG44" s="56"/>
    </row>
    <row r="45" spans="1:33" ht="20.25" customHeight="1" x14ac:dyDescent="0.3">
      <c r="A45" s="45">
        <f t="shared" ref="A45:A76" si="7">A44+1</f>
        <v>34</v>
      </c>
      <c r="B45" s="414" t="s">
        <v>69</v>
      </c>
      <c r="C45" s="51">
        <f t="shared" si="5"/>
        <v>130000</v>
      </c>
      <c r="D45" s="51">
        <f t="shared" si="6"/>
        <v>0</v>
      </c>
      <c r="E45" s="51"/>
      <c r="F45" s="51"/>
      <c r="G45" s="51"/>
      <c r="H45" s="51"/>
      <c r="I45" s="51"/>
      <c r="J45" s="51"/>
      <c r="K45" s="51"/>
      <c r="L45" s="51"/>
      <c r="M45" s="35"/>
      <c r="N45" s="51"/>
      <c r="O45" s="82"/>
      <c r="P45" s="51"/>
      <c r="Q45" s="338"/>
      <c r="R45" s="51"/>
      <c r="S45" s="51"/>
      <c r="T45" s="338"/>
      <c r="U45" s="51"/>
      <c r="V45" s="35"/>
      <c r="W45" s="364">
        <v>130000</v>
      </c>
      <c r="X45" s="285"/>
      <c r="Y45" s="285"/>
      <c r="Z45" s="285"/>
      <c r="AA45" s="285"/>
      <c r="AB45" s="285"/>
      <c r="AC45" s="285"/>
      <c r="AD45" s="285"/>
      <c r="AE45" s="9"/>
      <c r="AF45" s="40"/>
      <c r="AG45" s="56"/>
    </row>
    <row r="46" spans="1:33" ht="20.25" customHeight="1" x14ac:dyDescent="0.3">
      <c r="A46" s="45">
        <f t="shared" si="7"/>
        <v>35</v>
      </c>
      <c r="B46" s="414" t="s">
        <v>70</v>
      </c>
      <c r="C46" s="51">
        <f t="shared" si="5"/>
        <v>233078.25</v>
      </c>
      <c r="D46" s="51">
        <f t="shared" si="6"/>
        <v>0</v>
      </c>
      <c r="E46" s="51"/>
      <c r="F46" s="51"/>
      <c r="G46" s="51"/>
      <c r="H46" s="51"/>
      <c r="I46" s="51"/>
      <c r="J46" s="51"/>
      <c r="K46" s="51"/>
      <c r="L46" s="51"/>
      <c r="M46" s="35"/>
      <c r="N46" s="51"/>
      <c r="O46" s="82"/>
      <c r="P46" s="51"/>
      <c r="Q46" s="338"/>
      <c r="R46" s="51"/>
      <c r="S46" s="51"/>
      <c r="T46" s="338"/>
      <c r="U46" s="51"/>
      <c r="V46" s="35"/>
      <c r="W46" s="364">
        <f>SUM(Y46:AE46)</f>
        <v>233078.25</v>
      </c>
      <c r="X46" s="285"/>
      <c r="Y46" s="285"/>
      <c r="Z46" s="285">
        <v>106845.59</v>
      </c>
      <c r="AA46" s="285">
        <v>126232.66</v>
      </c>
      <c r="AB46" s="285"/>
      <c r="AC46" s="285"/>
      <c r="AD46" s="285"/>
      <c r="AE46" s="9"/>
      <c r="AF46" s="40"/>
      <c r="AG46" s="56"/>
    </row>
    <row r="47" spans="1:33" ht="20.25" customHeight="1" x14ac:dyDescent="0.3">
      <c r="A47" s="45">
        <f t="shared" si="7"/>
        <v>36</v>
      </c>
      <c r="B47" s="414" t="s">
        <v>71</v>
      </c>
      <c r="C47" s="51">
        <f t="shared" si="5"/>
        <v>115039.02</v>
      </c>
      <c r="D47" s="51">
        <f t="shared" si="6"/>
        <v>0</v>
      </c>
      <c r="E47" s="51"/>
      <c r="F47" s="51"/>
      <c r="G47" s="51"/>
      <c r="H47" s="51"/>
      <c r="I47" s="51"/>
      <c r="J47" s="51"/>
      <c r="K47" s="51"/>
      <c r="L47" s="51"/>
      <c r="M47" s="35"/>
      <c r="N47" s="51"/>
      <c r="O47" s="82"/>
      <c r="P47" s="51"/>
      <c r="Q47" s="338"/>
      <c r="R47" s="51"/>
      <c r="S47" s="51"/>
      <c r="T47" s="338"/>
      <c r="U47" s="51"/>
      <c r="V47" s="35"/>
      <c r="W47" s="364">
        <f>SUM(Y47:AE47)</f>
        <v>115039.02</v>
      </c>
      <c r="X47" s="285"/>
      <c r="Y47" s="285"/>
      <c r="Z47" s="285"/>
      <c r="AA47" s="285">
        <v>115039.02</v>
      </c>
      <c r="AB47" s="285"/>
      <c r="AC47" s="285"/>
      <c r="AD47" s="285"/>
      <c r="AE47" s="9"/>
      <c r="AF47" s="40"/>
      <c r="AG47" s="56"/>
    </row>
    <row r="48" spans="1:33" ht="20.25" customHeight="1" x14ac:dyDescent="0.3">
      <c r="A48" s="45">
        <f t="shared" si="7"/>
        <v>37</v>
      </c>
      <c r="B48" s="414" t="s">
        <v>72</v>
      </c>
      <c r="C48" s="51">
        <f t="shared" si="5"/>
        <v>250963.03</v>
      </c>
      <c r="D48" s="51">
        <f t="shared" si="6"/>
        <v>0</v>
      </c>
      <c r="E48" s="51"/>
      <c r="F48" s="51"/>
      <c r="G48" s="51"/>
      <c r="H48" s="51"/>
      <c r="I48" s="51"/>
      <c r="J48" s="51"/>
      <c r="K48" s="51"/>
      <c r="L48" s="51"/>
      <c r="M48" s="35"/>
      <c r="N48" s="51"/>
      <c r="O48" s="82"/>
      <c r="P48" s="51"/>
      <c r="Q48" s="338"/>
      <c r="R48" s="51"/>
      <c r="S48" s="51"/>
      <c r="T48" s="338"/>
      <c r="U48" s="51"/>
      <c r="V48" s="35"/>
      <c r="W48" s="364">
        <f>SUM(Y48:AE48)</f>
        <v>250963.03</v>
      </c>
      <c r="X48" s="285"/>
      <c r="Y48" s="285"/>
      <c r="Z48" s="285">
        <v>137758.1</v>
      </c>
      <c r="AA48" s="285">
        <v>113204.93</v>
      </c>
      <c r="AB48" s="285"/>
      <c r="AC48" s="285"/>
      <c r="AD48" s="285"/>
      <c r="AE48" s="9"/>
      <c r="AF48" s="40"/>
      <c r="AG48" s="56"/>
    </row>
    <row r="49" spans="1:33" ht="20.25" customHeight="1" x14ac:dyDescent="0.3">
      <c r="A49" s="45">
        <f t="shared" si="7"/>
        <v>38</v>
      </c>
      <c r="B49" s="414" t="s">
        <v>73</v>
      </c>
      <c r="C49" s="51">
        <f t="shared" si="5"/>
        <v>381181.27</v>
      </c>
      <c r="D49" s="51">
        <f t="shared" si="6"/>
        <v>0</v>
      </c>
      <c r="E49" s="51"/>
      <c r="F49" s="51"/>
      <c r="G49" s="51"/>
      <c r="H49" s="51"/>
      <c r="I49" s="51"/>
      <c r="J49" s="51"/>
      <c r="K49" s="51"/>
      <c r="L49" s="51"/>
      <c r="M49" s="35"/>
      <c r="N49" s="51"/>
      <c r="O49" s="82"/>
      <c r="P49" s="51"/>
      <c r="Q49" s="338"/>
      <c r="R49" s="51"/>
      <c r="S49" s="51"/>
      <c r="T49" s="338"/>
      <c r="U49" s="51"/>
      <c r="V49" s="35"/>
      <c r="W49" s="364">
        <f>SUM(Y49:AE49)</f>
        <v>381181.27</v>
      </c>
      <c r="X49" s="285"/>
      <c r="Y49" s="285"/>
      <c r="Z49" s="285"/>
      <c r="AA49" s="285">
        <v>130261.27</v>
      </c>
      <c r="AB49" s="285"/>
      <c r="AC49" s="285"/>
      <c r="AD49" s="285"/>
      <c r="AE49" s="9">
        <v>250920</v>
      </c>
      <c r="AF49" s="40"/>
      <c r="AG49" s="56"/>
    </row>
    <row r="50" spans="1:33" ht="20.25" customHeight="1" x14ac:dyDescent="0.3">
      <c r="A50" s="45">
        <f t="shared" si="7"/>
        <v>39</v>
      </c>
      <c r="B50" s="414" t="s">
        <v>74</v>
      </c>
      <c r="C50" s="51">
        <f t="shared" si="5"/>
        <v>386206.06</v>
      </c>
      <c r="D50" s="51">
        <f t="shared" si="6"/>
        <v>0</v>
      </c>
      <c r="E50" s="51"/>
      <c r="F50" s="51"/>
      <c r="G50" s="51"/>
      <c r="H50" s="51"/>
      <c r="I50" s="51"/>
      <c r="J50" s="51"/>
      <c r="K50" s="51"/>
      <c r="L50" s="51"/>
      <c r="M50" s="35"/>
      <c r="N50" s="51"/>
      <c r="O50" s="82"/>
      <c r="P50" s="51"/>
      <c r="Q50" s="338"/>
      <c r="R50" s="51"/>
      <c r="S50" s="51"/>
      <c r="T50" s="338"/>
      <c r="U50" s="51"/>
      <c r="V50" s="35"/>
      <c r="W50" s="364">
        <f>SUM(Y50:AE50)</f>
        <v>386206.06</v>
      </c>
      <c r="X50" s="285"/>
      <c r="Y50" s="285"/>
      <c r="Z50" s="285"/>
      <c r="AA50" s="285">
        <v>132005.21</v>
      </c>
      <c r="AB50" s="285"/>
      <c r="AC50" s="285"/>
      <c r="AD50" s="285"/>
      <c r="AE50" s="9">
        <v>254200.85</v>
      </c>
      <c r="AF50" s="40"/>
      <c r="AG50" s="56"/>
    </row>
    <row r="51" spans="1:33" ht="20.25" customHeight="1" x14ac:dyDescent="0.3">
      <c r="A51" s="45">
        <f t="shared" si="7"/>
        <v>40</v>
      </c>
      <c r="B51" s="414" t="s">
        <v>75</v>
      </c>
      <c r="C51" s="51">
        <f t="shared" si="5"/>
        <v>130000</v>
      </c>
      <c r="D51" s="51">
        <f t="shared" si="6"/>
        <v>0</v>
      </c>
      <c r="E51" s="51"/>
      <c r="F51" s="51"/>
      <c r="G51" s="51"/>
      <c r="H51" s="51"/>
      <c r="I51" s="51"/>
      <c r="J51" s="51"/>
      <c r="K51" s="51"/>
      <c r="L51" s="51"/>
      <c r="M51" s="35"/>
      <c r="N51" s="51"/>
      <c r="O51" s="82"/>
      <c r="P51" s="51"/>
      <c r="Q51" s="338"/>
      <c r="R51" s="51"/>
      <c r="S51" s="51"/>
      <c r="T51" s="338"/>
      <c r="U51" s="51"/>
      <c r="V51" s="35"/>
      <c r="W51" s="364">
        <v>130000</v>
      </c>
      <c r="X51" s="285"/>
      <c r="Y51" s="285"/>
      <c r="Z51" s="285"/>
      <c r="AA51" s="285"/>
      <c r="AB51" s="285"/>
      <c r="AC51" s="285"/>
      <c r="AD51" s="285"/>
      <c r="AE51" s="9"/>
      <c r="AF51" s="40"/>
      <c r="AG51" s="56"/>
    </row>
    <row r="52" spans="1:33" ht="20.25" customHeight="1" x14ac:dyDescent="0.3">
      <c r="A52" s="45">
        <f t="shared" si="7"/>
        <v>41</v>
      </c>
      <c r="B52" s="414" t="s">
        <v>76</v>
      </c>
      <c r="C52" s="51">
        <f t="shared" si="5"/>
        <v>423365.79</v>
      </c>
      <c r="D52" s="51">
        <f t="shared" si="6"/>
        <v>0</v>
      </c>
      <c r="E52" s="51"/>
      <c r="F52" s="51"/>
      <c r="G52" s="51"/>
      <c r="H52" s="51"/>
      <c r="I52" s="51"/>
      <c r="J52" s="51"/>
      <c r="K52" s="51"/>
      <c r="L52" s="51"/>
      <c r="M52" s="35"/>
      <c r="N52" s="51"/>
      <c r="O52" s="82"/>
      <c r="P52" s="51"/>
      <c r="Q52" s="338"/>
      <c r="R52" s="51"/>
      <c r="S52" s="51"/>
      <c r="T52" s="338"/>
      <c r="U52" s="51"/>
      <c r="V52" s="35"/>
      <c r="W52" s="364">
        <f>SUM(Y52:AE52)</f>
        <v>423365.79</v>
      </c>
      <c r="X52" s="285"/>
      <c r="Y52" s="285"/>
      <c r="Z52" s="285">
        <v>88982.71</v>
      </c>
      <c r="AA52" s="285">
        <v>115594.4</v>
      </c>
      <c r="AB52" s="285"/>
      <c r="AC52" s="285"/>
      <c r="AD52" s="285"/>
      <c r="AE52" s="9">
        <v>218788.68</v>
      </c>
      <c r="AF52" s="40"/>
      <c r="AG52" s="56">
        <v>492112.57</v>
      </c>
    </row>
    <row r="53" spans="1:33" ht="20.25" customHeight="1" x14ac:dyDescent="0.3">
      <c r="A53" s="45">
        <f t="shared" si="7"/>
        <v>42</v>
      </c>
      <c r="B53" s="414" t="s">
        <v>77</v>
      </c>
      <c r="C53" s="51">
        <f t="shared" si="5"/>
        <v>482361.74</v>
      </c>
      <c r="D53" s="51">
        <f t="shared" si="6"/>
        <v>0</v>
      </c>
      <c r="E53" s="51"/>
      <c r="F53" s="51"/>
      <c r="G53" s="51"/>
      <c r="H53" s="51"/>
      <c r="I53" s="51"/>
      <c r="J53" s="51"/>
      <c r="K53" s="51"/>
      <c r="L53" s="51"/>
      <c r="M53" s="35"/>
      <c r="N53" s="51"/>
      <c r="O53" s="82"/>
      <c r="P53" s="51"/>
      <c r="Q53" s="338"/>
      <c r="R53" s="51"/>
      <c r="S53" s="51"/>
      <c r="T53" s="338"/>
      <c r="U53" s="51"/>
      <c r="V53" s="35"/>
      <c r="W53" s="364">
        <f>SUM(Y53:AE53)</f>
        <v>482361.74</v>
      </c>
      <c r="X53" s="285"/>
      <c r="Y53" s="285"/>
      <c r="Z53" s="285"/>
      <c r="AA53" s="285"/>
      <c r="AB53" s="285"/>
      <c r="AC53" s="285"/>
      <c r="AD53" s="285"/>
      <c r="AE53" s="9">
        <v>482361.74</v>
      </c>
      <c r="AF53" s="40"/>
      <c r="AG53" s="56">
        <v>1482476.53</v>
      </c>
    </row>
    <row r="54" spans="1:33" ht="20.25" customHeight="1" x14ac:dyDescent="0.3">
      <c r="A54" s="45">
        <f t="shared" si="7"/>
        <v>43</v>
      </c>
      <c r="B54" s="414" t="s">
        <v>78</v>
      </c>
      <c r="C54" s="51">
        <f t="shared" si="5"/>
        <v>405555.41</v>
      </c>
      <c r="D54" s="51">
        <f t="shared" si="6"/>
        <v>0</v>
      </c>
      <c r="E54" s="51"/>
      <c r="F54" s="51"/>
      <c r="G54" s="51"/>
      <c r="H54" s="51"/>
      <c r="I54" s="51"/>
      <c r="J54" s="51"/>
      <c r="K54" s="51"/>
      <c r="L54" s="51"/>
      <c r="M54" s="35"/>
      <c r="N54" s="51"/>
      <c r="O54" s="82"/>
      <c r="P54" s="51"/>
      <c r="Q54" s="338"/>
      <c r="R54" s="51"/>
      <c r="S54" s="51"/>
      <c r="T54" s="338"/>
      <c r="U54" s="51"/>
      <c r="V54" s="35"/>
      <c r="W54" s="364">
        <f>SUM(Y54:AE54)</f>
        <v>405555.41</v>
      </c>
      <c r="X54" s="285"/>
      <c r="Y54" s="285"/>
      <c r="Z54" s="285"/>
      <c r="AA54" s="285"/>
      <c r="AB54" s="285"/>
      <c r="AC54" s="285"/>
      <c r="AD54" s="285"/>
      <c r="AE54" s="9">
        <v>405555.41</v>
      </c>
      <c r="AF54" s="40"/>
      <c r="AG54" s="56">
        <v>1270206.8899999999</v>
      </c>
    </row>
    <row r="55" spans="1:33" ht="20.25" customHeight="1" x14ac:dyDescent="0.3">
      <c r="A55" s="45">
        <f t="shared" si="7"/>
        <v>44</v>
      </c>
      <c r="B55" s="414" t="s">
        <v>79</v>
      </c>
      <c r="C55" s="51">
        <f t="shared" si="5"/>
        <v>450372</v>
      </c>
      <c r="D55" s="51">
        <f t="shared" si="6"/>
        <v>0</v>
      </c>
      <c r="E55" s="51"/>
      <c r="F55" s="51"/>
      <c r="G55" s="51"/>
      <c r="H55" s="51"/>
      <c r="I55" s="51"/>
      <c r="J55" s="51"/>
      <c r="K55" s="51"/>
      <c r="L55" s="51"/>
      <c r="M55" s="35"/>
      <c r="N55" s="51"/>
      <c r="O55" s="82"/>
      <c r="P55" s="51"/>
      <c r="Q55" s="338"/>
      <c r="R55" s="51"/>
      <c r="S55" s="51"/>
      <c r="T55" s="338"/>
      <c r="U55" s="51"/>
      <c r="V55" s="35"/>
      <c r="W55" s="364">
        <f>SUM(Y55:AE55)</f>
        <v>450372</v>
      </c>
      <c r="X55" s="285"/>
      <c r="Y55" s="285"/>
      <c r="Z55" s="285"/>
      <c r="AA55" s="285"/>
      <c r="AB55" s="285"/>
      <c r="AC55" s="285"/>
      <c r="AD55" s="285"/>
      <c r="AE55" s="9">
        <v>450372</v>
      </c>
      <c r="AF55" s="40"/>
      <c r="AG55" s="56">
        <v>1394066.42</v>
      </c>
    </row>
    <row r="56" spans="1:33" ht="20.25" customHeight="1" x14ac:dyDescent="0.3">
      <c r="A56" s="45">
        <f t="shared" si="7"/>
        <v>45</v>
      </c>
      <c r="B56" s="414" t="s">
        <v>80</v>
      </c>
      <c r="C56" s="51">
        <f t="shared" si="5"/>
        <v>5090387.57</v>
      </c>
      <c r="D56" s="51">
        <f t="shared" si="6"/>
        <v>0</v>
      </c>
      <c r="E56" s="51"/>
      <c r="F56" s="51"/>
      <c r="G56" s="51"/>
      <c r="H56" s="51"/>
      <c r="I56" s="51"/>
      <c r="J56" s="51"/>
      <c r="K56" s="51"/>
      <c r="L56" s="51"/>
      <c r="M56" s="35">
        <v>734.5</v>
      </c>
      <c r="N56" s="51">
        <v>4960387.57</v>
      </c>
      <c r="O56" s="82"/>
      <c r="P56" s="51"/>
      <c r="Q56" s="338"/>
      <c r="R56" s="51"/>
      <c r="S56" s="51"/>
      <c r="T56" s="338"/>
      <c r="U56" s="51"/>
      <c r="V56" s="35"/>
      <c r="W56" s="364">
        <v>130000</v>
      </c>
      <c r="X56" s="285"/>
      <c r="Y56" s="285"/>
      <c r="Z56" s="285"/>
      <c r="AA56" s="285"/>
      <c r="AB56" s="285"/>
      <c r="AC56" s="285"/>
      <c r="AD56" s="285"/>
      <c r="AE56" s="9"/>
      <c r="AF56" s="40"/>
      <c r="AG56" s="56"/>
    </row>
    <row r="57" spans="1:33" ht="20.25" customHeight="1" x14ac:dyDescent="0.3">
      <c r="A57" s="45">
        <f t="shared" si="7"/>
        <v>46</v>
      </c>
      <c r="B57" s="414" t="s">
        <v>81</v>
      </c>
      <c r="C57" s="51">
        <f t="shared" si="5"/>
        <v>228108.68</v>
      </c>
      <c r="D57" s="51">
        <f t="shared" si="6"/>
        <v>0</v>
      </c>
      <c r="E57" s="51"/>
      <c r="F57" s="51"/>
      <c r="G57" s="51"/>
      <c r="H57" s="51"/>
      <c r="I57" s="51"/>
      <c r="J57" s="51"/>
      <c r="K57" s="51"/>
      <c r="L57" s="51"/>
      <c r="M57" s="35"/>
      <c r="N57" s="51"/>
      <c r="O57" s="82"/>
      <c r="P57" s="51"/>
      <c r="Q57" s="338"/>
      <c r="R57" s="51"/>
      <c r="S57" s="51"/>
      <c r="T57" s="338"/>
      <c r="U57" s="51"/>
      <c r="V57" s="35"/>
      <c r="W57" s="364">
        <f>SUM(Y57:AE57)</f>
        <v>228108.68</v>
      </c>
      <c r="X57" s="285"/>
      <c r="Y57" s="285"/>
      <c r="Z57" s="285"/>
      <c r="AA57" s="285"/>
      <c r="AB57" s="285"/>
      <c r="AC57" s="285">
        <v>228108.68</v>
      </c>
      <c r="AD57" s="285"/>
      <c r="AE57" s="9"/>
      <c r="AF57" s="40"/>
      <c r="AG57" s="56"/>
    </row>
    <row r="58" spans="1:33" ht="20.25" customHeight="1" x14ac:dyDescent="0.3">
      <c r="A58" s="45">
        <f t="shared" si="7"/>
        <v>47</v>
      </c>
      <c r="B58" s="414" t="s">
        <v>82</v>
      </c>
      <c r="C58" s="51">
        <f t="shared" si="5"/>
        <v>130000</v>
      </c>
      <c r="D58" s="51">
        <f t="shared" si="6"/>
        <v>0</v>
      </c>
      <c r="E58" s="51"/>
      <c r="F58" s="51"/>
      <c r="G58" s="51"/>
      <c r="H58" s="51"/>
      <c r="I58" s="51"/>
      <c r="J58" s="51"/>
      <c r="K58" s="51"/>
      <c r="L58" s="51"/>
      <c r="M58" s="35"/>
      <c r="N58" s="51"/>
      <c r="O58" s="82"/>
      <c r="P58" s="51"/>
      <c r="Q58" s="338"/>
      <c r="R58" s="364"/>
      <c r="S58" s="51"/>
      <c r="T58" s="338"/>
      <c r="U58" s="51"/>
      <c r="V58" s="35"/>
      <c r="W58" s="364">
        <v>130000</v>
      </c>
      <c r="X58" s="285"/>
      <c r="Y58" s="285"/>
      <c r="Z58" s="285"/>
      <c r="AA58" s="285"/>
      <c r="AB58" s="285"/>
      <c r="AC58" s="285"/>
      <c r="AD58" s="285"/>
      <c r="AE58" s="9"/>
      <c r="AF58" s="40"/>
      <c r="AG58" s="56"/>
    </row>
    <row r="59" spans="1:33" ht="20.25" customHeight="1" x14ac:dyDescent="0.3">
      <c r="A59" s="45">
        <f t="shared" si="7"/>
        <v>48</v>
      </c>
      <c r="B59" s="414" t="s">
        <v>83</v>
      </c>
      <c r="C59" s="51">
        <f t="shared" si="5"/>
        <v>249456.32</v>
      </c>
      <c r="D59" s="51">
        <f t="shared" si="6"/>
        <v>0</v>
      </c>
      <c r="E59" s="51"/>
      <c r="F59" s="51"/>
      <c r="G59" s="51"/>
      <c r="H59" s="51"/>
      <c r="I59" s="51"/>
      <c r="J59" s="51"/>
      <c r="K59" s="51"/>
      <c r="L59" s="51"/>
      <c r="M59" s="35"/>
      <c r="N59" s="51"/>
      <c r="O59" s="82"/>
      <c r="P59" s="51"/>
      <c r="Q59" s="338"/>
      <c r="R59" s="51"/>
      <c r="S59" s="51"/>
      <c r="T59" s="338"/>
      <c r="U59" s="51"/>
      <c r="V59" s="35"/>
      <c r="W59" s="364">
        <f>SUM(Y59:AE59)</f>
        <v>249456.32</v>
      </c>
      <c r="X59" s="285"/>
      <c r="Y59" s="285"/>
      <c r="Z59" s="285"/>
      <c r="AA59" s="285">
        <v>130653.32</v>
      </c>
      <c r="AB59" s="285"/>
      <c r="AC59" s="285">
        <v>118803</v>
      </c>
      <c r="AD59" s="285"/>
      <c r="AE59" s="9"/>
      <c r="AF59" s="40"/>
      <c r="AG59" s="56"/>
    </row>
    <row r="60" spans="1:33" ht="20.25" customHeight="1" x14ac:dyDescent="0.3">
      <c r="A60" s="45">
        <f t="shared" si="7"/>
        <v>49</v>
      </c>
      <c r="B60" s="414" t="s">
        <v>84</v>
      </c>
      <c r="C60" s="51">
        <f t="shared" si="5"/>
        <v>130000</v>
      </c>
      <c r="D60" s="51">
        <f t="shared" si="6"/>
        <v>0</v>
      </c>
      <c r="E60" s="51"/>
      <c r="F60" s="51"/>
      <c r="G60" s="51"/>
      <c r="H60" s="51"/>
      <c r="I60" s="51"/>
      <c r="J60" s="51"/>
      <c r="K60" s="51"/>
      <c r="L60" s="51"/>
      <c r="M60" s="35"/>
      <c r="N60" s="51"/>
      <c r="O60" s="82"/>
      <c r="P60" s="51"/>
      <c r="Q60" s="338"/>
      <c r="R60" s="51"/>
      <c r="S60" s="51"/>
      <c r="T60" s="338"/>
      <c r="U60" s="51"/>
      <c r="V60" s="35"/>
      <c r="W60" s="364">
        <v>130000</v>
      </c>
      <c r="X60" s="285"/>
      <c r="Y60" s="285"/>
      <c r="Z60" s="285"/>
      <c r="AA60" s="285"/>
      <c r="AB60" s="285"/>
      <c r="AC60" s="285"/>
      <c r="AD60" s="285"/>
      <c r="AE60" s="9"/>
      <c r="AF60" s="40"/>
      <c r="AG60" s="56">
        <v>806495.88</v>
      </c>
    </row>
    <row r="61" spans="1:33" ht="20.25" customHeight="1" x14ac:dyDescent="0.3">
      <c r="A61" s="45">
        <f t="shared" si="7"/>
        <v>50</v>
      </c>
      <c r="B61" s="414" t="s">
        <v>85</v>
      </c>
      <c r="C61" s="51">
        <f t="shared" si="5"/>
        <v>130000</v>
      </c>
      <c r="D61" s="51">
        <f t="shared" si="6"/>
        <v>0</v>
      </c>
      <c r="E61" s="51"/>
      <c r="F61" s="51"/>
      <c r="G61" s="51"/>
      <c r="H61" s="51"/>
      <c r="I61" s="51"/>
      <c r="J61" s="51"/>
      <c r="K61" s="51"/>
      <c r="L61" s="51"/>
      <c r="M61" s="35"/>
      <c r="N61" s="51"/>
      <c r="O61" s="82"/>
      <c r="P61" s="51"/>
      <c r="Q61" s="338"/>
      <c r="R61" s="51"/>
      <c r="S61" s="51"/>
      <c r="T61" s="338"/>
      <c r="U61" s="51"/>
      <c r="V61" s="35"/>
      <c r="W61" s="364">
        <v>130000</v>
      </c>
      <c r="X61" s="285"/>
      <c r="Y61" s="285"/>
      <c r="Z61" s="285"/>
      <c r="AA61" s="285"/>
      <c r="AB61" s="285"/>
      <c r="AC61" s="285"/>
      <c r="AD61" s="285"/>
      <c r="AE61" s="9"/>
      <c r="AF61" s="40"/>
      <c r="AG61" s="56"/>
    </row>
    <row r="62" spans="1:33" ht="20.25" customHeight="1" x14ac:dyDescent="0.3">
      <c r="A62" s="45">
        <f t="shared" si="7"/>
        <v>51</v>
      </c>
      <c r="B62" s="414" t="s">
        <v>86</v>
      </c>
      <c r="C62" s="51">
        <f t="shared" si="5"/>
        <v>113548.45</v>
      </c>
      <c r="D62" s="51">
        <f t="shared" si="6"/>
        <v>0</v>
      </c>
      <c r="E62" s="51"/>
      <c r="F62" s="51"/>
      <c r="G62" s="51"/>
      <c r="H62" s="51"/>
      <c r="I62" s="51"/>
      <c r="J62" s="51"/>
      <c r="K62" s="51"/>
      <c r="L62" s="51"/>
      <c r="M62" s="35"/>
      <c r="N62" s="51"/>
      <c r="O62" s="82"/>
      <c r="P62" s="51"/>
      <c r="Q62" s="338"/>
      <c r="R62" s="51"/>
      <c r="S62" s="51"/>
      <c r="T62" s="338"/>
      <c r="U62" s="51"/>
      <c r="V62" s="35"/>
      <c r="W62" s="364">
        <f t="shared" ref="W62:W68" si="8">SUM(Y62:AE62)</f>
        <v>113548.45</v>
      </c>
      <c r="X62" s="285"/>
      <c r="Y62" s="285"/>
      <c r="Z62" s="285">
        <v>113548.45</v>
      </c>
      <c r="AA62" s="285"/>
      <c r="AB62" s="285"/>
      <c r="AC62" s="285"/>
      <c r="AD62" s="285"/>
      <c r="AE62" s="9"/>
      <c r="AF62" s="40"/>
      <c r="AG62" s="56"/>
    </row>
    <row r="63" spans="1:33" ht="20.25" customHeight="1" x14ac:dyDescent="0.3">
      <c r="A63" s="45">
        <f t="shared" si="7"/>
        <v>52</v>
      </c>
      <c r="B63" s="414" t="s">
        <v>87</v>
      </c>
      <c r="C63" s="51">
        <f t="shared" si="5"/>
        <v>115069.38</v>
      </c>
      <c r="D63" s="51">
        <f t="shared" si="6"/>
        <v>0</v>
      </c>
      <c r="E63" s="51"/>
      <c r="F63" s="51"/>
      <c r="G63" s="51"/>
      <c r="H63" s="51"/>
      <c r="I63" s="51"/>
      <c r="J63" s="51"/>
      <c r="K63" s="51"/>
      <c r="L63" s="51"/>
      <c r="M63" s="35"/>
      <c r="N63" s="51"/>
      <c r="O63" s="82"/>
      <c r="P63" s="51"/>
      <c r="Q63" s="338"/>
      <c r="R63" s="51"/>
      <c r="S63" s="51"/>
      <c r="T63" s="338"/>
      <c r="U63" s="51"/>
      <c r="V63" s="35"/>
      <c r="W63" s="364">
        <f t="shared" si="8"/>
        <v>115069.38</v>
      </c>
      <c r="X63" s="285"/>
      <c r="Y63" s="285"/>
      <c r="Z63" s="285"/>
      <c r="AA63" s="285"/>
      <c r="AB63" s="285"/>
      <c r="AC63" s="285">
        <v>115069.38</v>
      </c>
      <c r="AD63" s="285"/>
      <c r="AE63" s="9"/>
      <c r="AF63" s="40"/>
      <c r="AG63" s="56"/>
    </row>
    <row r="64" spans="1:33" ht="20.25" customHeight="1" x14ac:dyDescent="0.3">
      <c r="A64" s="45">
        <f t="shared" si="7"/>
        <v>53</v>
      </c>
      <c r="B64" s="414" t="s">
        <v>88</v>
      </c>
      <c r="C64" s="51">
        <f t="shared" si="5"/>
        <v>109946.22</v>
      </c>
      <c r="D64" s="51">
        <f t="shared" si="6"/>
        <v>0</v>
      </c>
      <c r="E64" s="51"/>
      <c r="F64" s="51"/>
      <c r="G64" s="51"/>
      <c r="H64" s="51"/>
      <c r="I64" s="51"/>
      <c r="J64" s="51"/>
      <c r="K64" s="51"/>
      <c r="L64" s="51"/>
      <c r="M64" s="35"/>
      <c r="N64" s="51"/>
      <c r="O64" s="82"/>
      <c r="P64" s="51"/>
      <c r="Q64" s="338"/>
      <c r="R64" s="51"/>
      <c r="S64" s="51"/>
      <c r="T64" s="338"/>
      <c r="U64" s="51"/>
      <c r="V64" s="35"/>
      <c r="W64" s="364">
        <f t="shared" si="8"/>
        <v>109946.22</v>
      </c>
      <c r="X64" s="285"/>
      <c r="Y64" s="285"/>
      <c r="Z64" s="285">
        <v>109946.22</v>
      </c>
      <c r="AA64" s="285"/>
      <c r="AB64" s="285"/>
      <c r="AC64" s="285"/>
      <c r="AD64" s="285"/>
      <c r="AE64" s="9"/>
      <c r="AF64" s="40"/>
      <c r="AG64" s="56"/>
    </row>
    <row r="65" spans="1:33" ht="20.25" customHeight="1" x14ac:dyDescent="0.3">
      <c r="A65" s="45">
        <f t="shared" si="7"/>
        <v>54</v>
      </c>
      <c r="B65" s="414" t="s">
        <v>89</v>
      </c>
      <c r="C65" s="51">
        <f t="shared" si="5"/>
        <v>105599.27</v>
      </c>
      <c r="D65" s="51">
        <f t="shared" si="6"/>
        <v>0</v>
      </c>
      <c r="E65" s="51"/>
      <c r="F65" s="51"/>
      <c r="G65" s="51"/>
      <c r="H65" s="51"/>
      <c r="I65" s="51"/>
      <c r="J65" s="51"/>
      <c r="K65" s="51"/>
      <c r="L65" s="51"/>
      <c r="M65" s="35"/>
      <c r="N65" s="51"/>
      <c r="O65" s="82"/>
      <c r="P65" s="51"/>
      <c r="Q65" s="338"/>
      <c r="R65" s="51"/>
      <c r="S65" s="51"/>
      <c r="T65" s="338"/>
      <c r="U65" s="51"/>
      <c r="V65" s="35"/>
      <c r="W65" s="364">
        <f t="shared" si="8"/>
        <v>105599.27</v>
      </c>
      <c r="X65" s="285"/>
      <c r="Y65" s="285"/>
      <c r="Z65" s="285">
        <v>105599.27</v>
      </c>
      <c r="AA65" s="285"/>
      <c r="AB65" s="285"/>
      <c r="AC65" s="285"/>
      <c r="AD65" s="285"/>
      <c r="AE65" s="9"/>
      <c r="AF65" s="40"/>
      <c r="AG65" s="56"/>
    </row>
    <row r="66" spans="1:33" ht="20.25" customHeight="1" x14ac:dyDescent="0.3">
      <c r="A66" s="45">
        <f t="shared" si="7"/>
        <v>55</v>
      </c>
      <c r="B66" s="414" t="s">
        <v>90</v>
      </c>
      <c r="C66" s="51">
        <f t="shared" si="5"/>
        <v>149171.45000000001</v>
      </c>
      <c r="D66" s="51">
        <f t="shared" si="6"/>
        <v>0</v>
      </c>
      <c r="E66" s="51"/>
      <c r="F66" s="51"/>
      <c r="G66" s="51"/>
      <c r="H66" s="51"/>
      <c r="I66" s="51"/>
      <c r="J66" s="51"/>
      <c r="K66" s="51"/>
      <c r="L66" s="51"/>
      <c r="M66" s="35"/>
      <c r="N66" s="51"/>
      <c r="O66" s="82"/>
      <c r="P66" s="51"/>
      <c r="Q66" s="338"/>
      <c r="R66" s="364"/>
      <c r="S66" s="51"/>
      <c r="T66" s="338"/>
      <c r="U66" s="51"/>
      <c r="V66" s="35"/>
      <c r="W66" s="364">
        <f t="shared" si="8"/>
        <v>149171.45000000001</v>
      </c>
      <c r="X66" s="285"/>
      <c r="Y66" s="285"/>
      <c r="Z66" s="285"/>
      <c r="AA66" s="285"/>
      <c r="AB66" s="285"/>
      <c r="AC66" s="285">
        <v>149171.45000000001</v>
      </c>
      <c r="AD66" s="285"/>
      <c r="AE66" s="9"/>
      <c r="AF66" s="40"/>
      <c r="AG66" s="56"/>
    </row>
    <row r="67" spans="1:33" ht="20.25" customHeight="1" x14ac:dyDescent="0.3">
      <c r="A67" s="45">
        <f t="shared" si="7"/>
        <v>56</v>
      </c>
      <c r="B67" s="414" t="s">
        <v>91</v>
      </c>
      <c r="C67" s="51">
        <f t="shared" si="5"/>
        <v>144708.68</v>
      </c>
      <c r="D67" s="51">
        <f t="shared" si="6"/>
        <v>0</v>
      </c>
      <c r="E67" s="51"/>
      <c r="F67" s="51"/>
      <c r="G67" s="51"/>
      <c r="H67" s="51"/>
      <c r="I67" s="51"/>
      <c r="J67" s="51"/>
      <c r="K67" s="51"/>
      <c r="L67" s="51"/>
      <c r="M67" s="35"/>
      <c r="N67" s="51"/>
      <c r="O67" s="82"/>
      <c r="P67" s="51"/>
      <c r="Q67" s="338"/>
      <c r="R67" s="51"/>
      <c r="S67" s="51"/>
      <c r="T67" s="338"/>
      <c r="U67" s="51"/>
      <c r="V67" s="35"/>
      <c r="W67" s="364">
        <f t="shared" si="8"/>
        <v>144708.68</v>
      </c>
      <c r="X67" s="285"/>
      <c r="Y67" s="285"/>
      <c r="Z67" s="285"/>
      <c r="AA67" s="285"/>
      <c r="AB67" s="285">
        <v>144708.68</v>
      </c>
      <c r="AC67" s="285"/>
      <c r="AD67" s="285"/>
      <c r="AE67" s="9"/>
      <c r="AF67" s="40"/>
      <c r="AG67" s="56"/>
    </row>
    <row r="68" spans="1:33" ht="20.25" customHeight="1" x14ac:dyDescent="0.3">
      <c r="A68" s="45">
        <f t="shared" si="7"/>
        <v>57</v>
      </c>
      <c r="B68" s="414" t="s">
        <v>92</v>
      </c>
      <c r="C68" s="51">
        <f t="shared" si="5"/>
        <v>318502.09999999998</v>
      </c>
      <c r="D68" s="51">
        <f t="shared" si="6"/>
        <v>0</v>
      </c>
      <c r="E68" s="51"/>
      <c r="F68" s="51"/>
      <c r="G68" s="51"/>
      <c r="H68" s="51"/>
      <c r="I68" s="51"/>
      <c r="J68" s="51"/>
      <c r="K68" s="51"/>
      <c r="L68" s="51"/>
      <c r="M68" s="35"/>
      <c r="N68" s="51"/>
      <c r="O68" s="82"/>
      <c r="P68" s="51"/>
      <c r="Q68" s="338"/>
      <c r="R68" s="51"/>
      <c r="S68" s="51"/>
      <c r="T68" s="338"/>
      <c r="U68" s="51"/>
      <c r="V68" s="35"/>
      <c r="W68" s="364">
        <f t="shared" si="8"/>
        <v>318502.09999999998</v>
      </c>
      <c r="X68" s="285"/>
      <c r="Y68" s="285"/>
      <c r="Z68" s="285"/>
      <c r="AA68" s="285"/>
      <c r="AB68" s="285"/>
      <c r="AC68" s="285">
        <v>318502.09999999998</v>
      </c>
      <c r="AD68" s="285"/>
      <c r="AE68" s="9"/>
      <c r="AF68" s="40"/>
      <c r="AG68" s="56"/>
    </row>
    <row r="69" spans="1:33" ht="20.25" customHeight="1" x14ac:dyDescent="0.3">
      <c r="A69" s="45">
        <f t="shared" si="7"/>
        <v>58</v>
      </c>
      <c r="B69" s="414" t="s">
        <v>93</v>
      </c>
      <c r="C69" s="51">
        <f t="shared" si="5"/>
        <v>4708671.8</v>
      </c>
      <c r="D69" s="51">
        <f t="shared" si="6"/>
        <v>0</v>
      </c>
      <c r="E69" s="51"/>
      <c r="F69" s="51"/>
      <c r="G69" s="51"/>
      <c r="H69" s="51"/>
      <c r="I69" s="51"/>
      <c r="J69" s="51"/>
      <c r="K69" s="51"/>
      <c r="L69" s="51"/>
      <c r="M69" s="35">
        <v>813.2</v>
      </c>
      <c r="N69" s="51">
        <v>4578671.8</v>
      </c>
      <c r="O69" s="82"/>
      <c r="P69" s="51"/>
      <c r="Q69" s="338"/>
      <c r="R69" s="51"/>
      <c r="S69" s="51"/>
      <c r="T69" s="338"/>
      <c r="U69" s="51"/>
      <c r="V69" s="35"/>
      <c r="W69" s="364">
        <v>130000</v>
      </c>
      <c r="X69" s="285"/>
      <c r="Y69" s="285"/>
      <c r="Z69" s="285"/>
      <c r="AA69" s="285"/>
      <c r="AB69" s="285"/>
      <c r="AC69" s="285"/>
      <c r="AD69" s="285"/>
      <c r="AE69" s="9"/>
      <c r="AF69" s="40"/>
      <c r="AG69" s="56"/>
    </row>
    <row r="70" spans="1:33" ht="20.25" customHeight="1" x14ac:dyDescent="0.3">
      <c r="A70" s="45">
        <f t="shared" si="7"/>
        <v>59</v>
      </c>
      <c r="B70" s="414" t="s">
        <v>94</v>
      </c>
      <c r="C70" s="51">
        <f t="shared" si="5"/>
        <v>130000</v>
      </c>
      <c r="D70" s="51">
        <f t="shared" si="6"/>
        <v>0</v>
      </c>
      <c r="E70" s="51"/>
      <c r="F70" s="51"/>
      <c r="G70" s="51"/>
      <c r="H70" s="51"/>
      <c r="I70" s="51"/>
      <c r="J70" s="51"/>
      <c r="K70" s="51"/>
      <c r="L70" s="51"/>
      <c r="M70" s="35"/>
      <c r="N70" s="51"/>
      <c r="O70" s="82"/>
      <c r="P70" s="51"/>
      <c r="Q70" s="338"/>
      <c r="R70" s="51"/>
      <c r="S70" s="51"/>
      <c r="T70" s="338"/>
      <c r="U70" s="51"/>
      <c r="V70" s="35"/>
      <c r="W70" s="364">
        <v>130000</v>
      </c>
      <c r="X70" s="285"/>
      <c r="Y70" s="285"/>
      <c r="Z70" s="285"/>
      <c r="AA70" s="285"/>
      <c r="AB70" s="285"/>
      <c r="AC70" s="285"/>
      <c r="AD70" s="285"/>
      <c r="AE70" s="9"/>
      <c r="AF70" s="40"/>
      <c r="AG70" s="56">
        <v>1019925.18</v>
      </c>
    </row>
    <row r="71" spans="1:33" ht="20.25" customHeight="1" x14ac:dyDescent="0.3">
      <c r="A71" s="45">
        <f t="shared" si="7"/>
        <v>60</v>
      </c>
      <c r="B71" s="414" t="s">
        <v>95</v>
      </c>
      <c r="C71" s="51">
        <f t="shared" si="5"/>
        <v>343658.2</v>
      </c>
      <c r="D71" s="51">
        <f t="shared" si="6"/>
        <v>0</v>
      </c>
      <c r="E71" s="51"/>
      <c r="F71" s="51"/>
      <c r="G71" s="51"/>
      <c r="H71" s="51"/>
      <c r="I71" s="51"/>
      <c r="J71" s="51"/>
      <c r="K71" s="51"/>
      <c r="L71" s="51"/>
      <c r="M71" s="35"/>
      <c r="N71" s="51"/>
      <c r="O71" s="82"/>
      <c r="P71" s="51"/>
      <c r="Q71" s="338"/>
      <c r="R71" s="51"/>
      <c r="S71" s="51"/>
      <c r="T71" s="338"/>
      <c r="U71" s="51"/>
      <c r="V71" s="35"/>
      <c r="W71" s="364">
        <f>SUM(Y71:AE71)</f>
        <v>343658.2</v>
      </c>
      <c r="X71" s="285"/>
      <c r="Y71" s="285">
        <v>103114.2</v>
      </c>
      <c r="Z71" s="285">
        <v>132291.12</v>
      </c>
      <c r="AA71" s="285">
        <v>108252.88</v>
      </c>
      <c r="AB71" s="285"/>
      <c r="AC71" s="285"/>
      <c r="AD71" s="285"/>
      <c r="AE71" s="9"/>
      <c r="AF71" s="40"/>
      <c r="AG71" s="56"/>
    </row>
    <row r="72" spans="1:33" ht="20.25" customHeight="1" x14ac:dyDescent="0.3">
      <c r="A72" s="45">
        <f t="shared" si="7"/>
        <v>61</v>
      </c>
      <c r="B72" s="414" t="s">
        <v>96</v>
      </c>
      <c r="C72" s="51">
        <f t="shared" si="5"/>
        <v>356378.68000000005</v>
      </c>
      <c r="D72" s="51">
        <f t="shared" si="6"/>
        <v>0</v>
      </c>
      <c r="E72" s="51"/>
      <c r="F72" s="51"/>
      <c r="G72" s="51"/>
      <c r="H72" s="51"/>
      <c r="I72" s="51"/>
      <c r="J72" s="51"/>
      <c r="K72" s="51"/>
      <c r="L72" s="51"/>
      <c r="M72" s="35"/>
      <c r="N72" s="51"/>
      <c r="O72" s="82"/>
      <c r="P72" s="51"/>
      <c r="Q72" s="338"/>
      <c r="R72" s="51"/>
      <c r="S72" s="51"/>
      <c r="T72" s="338"/>
      <c r="U72" s="51"/>
      <c r="V72" s="35"/>
      <c r="W72" s="364">
        <f>SUM(Y72:AE72)</f>
        <v>356378.68000000005</v>
      </c>
      <c r="X72" s="285"/>
      <c r="Y72" s="285">
        <v>107694.79</v>
      </c>
      <c r="Z72" s="285">
        <v>131945.98000000001</v>
      </c>
      <c r="AA72" s="285">
        <v>116737.91</v>
      </c>
      <c r="AB72" s="285"/>
      <c r="AC72" s="285"/>
      <c r="AD72" s="285"/>
      <c r="AE72" s="9"/>
      <c r="AF72" s="40"/>
      <c r="AG72" s="56"/>
    </row>
    <row r="73" spans="1:33" ht="20.25" customHeight="1" x14ac:dyDescent="0.3">
      <c r="A73" s="45">
        <f t="shared" si="7"/>
        <v>62</v>
      </c>
      <c r="B73" s="414" t="s">
        <v>97</v>
      </c>
      <c r="C73" s="51">
        <f t="shared" si="5"/>
        <v>339855.82</v>
      </c>
      <c r="D73" s="51">
        <f t="shared" si="6"/>
        <v>0</v>
      </c>
      <c r="E73" s="51"/>
      <c r="F73" s="51"/>
      <c r="G73" s="51"/>
      <c r="H73" s="51"/>
      <c r="I73" s="51"/>
      <c r="J73" s="51"/>
      <c r="K73" s="51"/>
      <c r="L73" s="51"/>
      <c r="M73" s="35"/>
      <c r="N73" s="51"/>
      <c r="O73" s="82"/>
      <c r="P73" s="51"/>
      <c r="Q73" s="338"/>
      <c r="R73" s="51"/>
      <c r="S73" s="51"/>
      <c r="T73" s="338"/>
      <c r="U73" s="51"/>
      <c r="V73" s="35"/>
      <c r="W73" s="364">
        <f>SUM(Y73:AE73)</f>
        <v>339855.82</v>
      </c>
      <c r="X73" s="285"/>
      <c r="Y73" s="285">
        <v>101889.2</v>
      </c>
      <c r="Z73" s="285">
        <v>130938.74</v>
      </c>
      <c r="AA73" s="285">
        <v>107027.88</v>
      </c>
      <c r="AB73" s="285"/>
      <c r="AC73" s="285"/>
      <c r="AD73" s="285"/>
      <c r="AE73" s="9"/>
      <c r="AF73" s="40"/>
      <c r="AG73" s="56"/>
    </row>
    <row r="74" spans="1:33" ht="20.25" customHeight="1" x14ac:dyDescent="0.3">
      <c r="A74" s="45">
        <f t="shared" si="7"/>
        <v>63</v>
      </c>
      <c r="B74" s="414" t="s">
        <v>98</v>
      </c>
      <c r="C74" s="51">
        <f t="shared" si="5"/>
        <v>482062.48</v>
      </c>
      <c r="D74" s="51">
        <f t="shared" si="6"/>
        <v>0</v>
      </c>
      <c r="E74" s="51"/>
      <c r="F74" s="51"/>
      <c r="G74" s="51"/>
      <c r="H74" s="51"/>
      <c r="I74" s="51"/>
      <c r="J74" s="51"/>
      <c r="K74" s="51"/>
      <c r="L74" s="51"/>
      <c r="M74" s="35"/>
      <c r="N74" s="51"/>
      <c r="O74" s="82"/>
      <c r="P74" s="51"/>
      <c r="Q74" s="338"/>
      <c r="R74" s="51"/>
      <c r="S74" s="51"/>
      <c r="T74" s="338"/>
      <c r="U74" s="51"/>
      <c r="V74" s="35"/>
      <c r="W74" s="364">
        <f>SUM(Y74:AE74)</f>
        <v>482062.48</v>
      </c>
      <c r="X74" s="285"/>
      <c r="Y74" s="285">
        <v>111474.3</v>
      </c>
      <c r="Z74" s="285">
        <v>140572.99</v>
      </c>
      <c r="AA74" s="285">
        <v>116612.98</v>
      </c>
      <c r="AB74" s="285"/>
      <c r="AC74" s="285">
        <v>113402.21</v>
      </c>
      <c r="AD74" s="285"/>
      <c r="AE74" s="9"/>
      <c r="AF74" s="40"/>
      <c r="AG74" s="56"/>
    </row>
    <row r="75" spans="1:33" ht="20.25" customHeight="1" x14ac:dyDescent="0.3">
      <c r="A75" s="45">
        <f t="shared" si="7"/>
        <v>64</v>
      </c>
      <c r="B75" s="414" t="s">
        <v>99</v>
      </c>
      <c r="C75" s="51">
        <f t="shared" si="5"/>
        <v>584966.26</v>
      </c>
      <c r="D75" s="51">
        <f t="shared" si="6"/>
        <v>0</v>
      </c>
      <c r="E75" s="51"/>
      <c r="F75" s="51"/>
      <c r="G75" s="51"/>
      <c r="H75" s="51"/>
      <c r="I75" s="51"/>
      <c r="J75" s="51"/>
      <c r="K75" s="51"/>
      <c r="L75" s="51"/>
      <c r="M75" s="35"/>
      <c r="N75" s="51"/>
      <c r="O75" s="82"/>
      <c r="P75" s="51"/>
      <c r="Q75" s="338"/>
      <c r="R75" s="51"/>
      <c r="S75" s="51"/>
      <c r="T75" s="338"/>
      <c r="U75" s="51"/>
      <c r="V75" s="35"/>
      <c r="W75" s="364">
        <f>SUM(Y75:AE75)</f>
        <v>584966.26</v>
      </c>
      <c r="X75" s="285"/>
      <c r="Y75" s="285"/>
      <c r="Z75" s="285">
        <v>141095.82999999999</v>
      </c>
      <c r="AA75" s="285">
        <v>134683.67000000001</v>
      </c>
      <c r="AB75" s="285"/>
      <c r="AC75" s="285"/>
      <c r="AD75" s="285"/>
      <c r="AE75" s="9">
        <v>309186.76</v>
      </c>
      <c r="AF75" s="40"/>
      <c r="AG75" s="56"/>
    </row>
    <row r="76" spans="1:33" ht="20.25" customHeight="1" x14ac:dyDescent="0.3">
      <c r="A76" s="45">
        <f t="shared" si="7"/>
        <v>65</v>
      </c>
      <c r="B76" s="414" t="s">
        <v>100</v>
      </c>
      <c r="C76" s="51">
        <f t="shared" ref="C76:C107" si="9">D76+K76+L76+N76+P76+R76+S76+U76+V76+W76</f>
        <v>130000</v>
      </c>
      <c r="D76" s="51">
        <f t="shared" ref="D76:D107" si="10">E76+F76+G76+H76+I76</f>
        <v>0</v>
      </c>
      <c r="E76" s="51"/>
      <c r="F76" s="51"/>
      <c r="G76" s="51"/>
      <c r="H76" s="51"/>
      <c r="I76" s="51"/>
      <c r="J76" s="51"/>
      <c r="K76" s="51"/>
      <c r="L76" s="51"/>
      <c r="M76" s="35"/>
      <c r="N76" s="51"/>
      <c r="O76" s="82"/>
      <c r="P76" s="51"/>
      <c r="Q76" s="338"/>
      <c r="R76" s="51"/>
      <c r="S76" s="51"/>
      <c r="T76" s="338"/>
      <c r="U76" s="51"/>
      <c r="V76" s="35"/>
      <c r="W76" s="364">
        <v>130000</v>
      </c>
      <c r="X76" s="285"/>
      <c r="Y76" s="285"/>
      <c r="Z76" s="285"/>
      <c r="AA76" s="285"/>
      <c r="AB76" s="285"/>
      <c r="AC76" s="285"/>
      <c r="AD76" s="285"/>
      <c r="AE76" s="9"/>
      <c r="AF76" s="40"/>
      <c r="AG76" s="56"/>
    </row>
    <row r="77" spans="1:33" ht="20.25" customHeight="1" x14ac:dyDescent="0.3">
      <c r="A77" s="45">
        <f t="shared" ref="A77:A108" si="11">A76+1</f>
        <v>66</v>
      </c>
      <c r="B77" s="414" t="s">
        <v>101</v>
      </c>
      <c r="C77" s="51">
        <f t="shared" si="9"/>
        <v>278336.08</v>
      </c>
      <c r="D77" s="51">
        <f t="shared" si="10"/>
        <v>0</v>
      </c>
      <c r="E77" s="51"/>
      <c r="F77" s="51"/>
      <c r="G77" s="51"/>
      <c r="H77" s="51"/>
      <c r="I77" s="51"/>
      <c r="J77" s="51"/>
      <c r="K77" s="51"/>
      <c r="L77" s="51"/>
      <c r="M77" s="35"/>
      <c r="N77" s="51"/>
      <c r="O77" s="82"/>
      <c r="P77" s="51"/>
      <c r="Q77" s="338"/>
      <c r="R77" s="51"/>
      <c r="S77" s="51"/>
      <c r="T77" s="338"/>
      <c r="U77" s="51"/>
      <c r="V77" s="35"/>
      <c r="W77" s="364">
        <f>SUM(Y77:AE77)</f>
        <v>278336.08</v>
      </c>
      <c r="X77" s="285"/>
      <c r="Y77" s="285">
        <v>278336.08</v>
      </c>
      <c r="Z77" s="285"/>
      <c r="AA77" s="285"/>
      <c r="AB77" s="285"/>
      <c r="AC77" s="285"/>
      <c r="AD77" s="285"/>
      <c r="AE77" s="9"/>
      <c r="AF77" s="40"/>
      <c r="AG77" s="56"/>
    </row>
    <row r="78" spans="1:33" ht="20.25" customHeight="1" x14ac:dyDescent="0.3">
      <c r="A78" s="45">
        <f t="shared" si="11"/>
        <v>67</v>
      </c>
      <c r="B78" s="414" t="s">
        <v>102</v>
      </c>
      <c r="C78" s="51">
        <f t="shared" si="9"/>
        <v>337450.06</v>
      </c>
      <c r="D78" s="51">
        <f t="shared" si="10"/>
        <v>0</v>
      </c>
      <c r="E78" s="51"/>
      <c r="F78" s="51"/>
      <c r="G78" s="51"/>
      <c r="H78" s="51"/>
      <c r="I78" s="51"/>
      <c r="J78" s="51"/>
      <c r="K78" s="51"/>
      <c r="L78" s="51"/>
      <c r="M78" s="35"/>
      <c r="N78" s="51"/>
      <c r="O78" s="82"/>
      <c r="P78" s="51"/>
      <c r="Q78" s="338"/>
      <c r="R78" s="51"/>
      <c r="S78" s="51"/>
      <c r="T78" s="338"/>
      <c r="U78" s="51"/>
      <c r="V78" s="35"/>
      <c r="W78" s="364">
        <f>SUM(Y78:AE78)</f>
        <v>337450.06</v>
      </c>
      <c r="X78" s="285"/>
      <c r="Y78" s="285">
        <v>109112.29</v>
      </c>
      <c r="Z78" s="285"/>
      <c r="AA78" s="285">
        <v>120417.38</v>
      </c>
      <c r="AB78" s="285"/>
      <c r="AC78" s="285">
        <v>107920.39</v>
      </c>
      <c r="AD78" s="285"/>
      <c r="AE78" s="9"/>
      <c r="AF78" s="40"/>
      <c r="AG78" s="56"/>
    </row>
    <row r="79" spans="1:33" ht="20.25" customHeight="1" x14ac:dyDescent="0.3">
      <c r="A79" s="45">
        <f t="shared" si="11"/>
        <v>68</v>
      </c>
      <c r="B79" s="414" t="s">
        <v>103</v>
      </c>
      <c r="C79" s="51">
        <f t="shared" si="9"/>
        <v>436585.00999999995</v>
      </c>
      <c r="D79" s="51">
        <f t="shared" si="10"/>
        <v>0</v>
      </c>
      <c r="E79" s="51"/>
      <c r="F79" s="51"/>
      <c r="G79" s="51"/>
      <c r="H79" s="51"/>
      <c r="I79" s="51"/>
      <c r="J79" s="51"/>
      <c r="K79" s="51"/>
      <c r="L79" s="51"/>
      <c r="M79" s="35"/>
      <c r="N79" s="51"/>
      <c r="O79" s="82"/>
      <c r="P79" s="51"/>
      <c r="Q79" s="338"/>
      <c r="R79" s="51"/>
      <c r="S79" s="51"/>
      <c r="T79" s="338"/>
      <c r="U79" s="51"/>
      <c r="V79" s="35"/>
      <c r="W79" s="364">
        <f>SUM(Y79:AE79)</f>
        <v>436585.00999999995</v>
      </c>
      <c r="X79" s="285"/>
      <c r="Y79" s="285">
        <v>100487.1</v>
      </c>
      <c r="Z79" s="285">
        <v>128560.08</v>
      </c>
      <c r="AA79" s="285">
        <v>105625.78</v>
      </c>
      <c r="AB79" s="285"/>
      <c r="AC79" s="285">
        <v>101912.05</v>
      </c>
      <c r="AD79" s="285"/>
      <c r="AE79" s="9"/>
      <c r="AF79" s="40"/>
      <c r="AG79" s="56"/>
    </row>
    <row r="80" spans="1:33" ht="20.25" customHeight="1" x14ac:dyDescent="0.3">
      <c r="A80" s="45">
        <f t="shared" si="11"/>
        <v>69</v>
      </c>
      <c r="B80" s="414" t="s">
        <v>104</v>
      </c>
      <c r="C80" s="51">
        <f t="shared" si="9"/>
        <v>439023.55000000005</v>
      </c>
      <c r="D80" s="51">
        <f t="shared" si="10"/>
        <v>0</v>
      </c>
      <c r="E80" s="51"/>
      <c r="F80" s="51"/>
      <c r="G80" s="51"/>
      <c r="H80" s="51"/>
      <c r="I80" s="51"/>
      <c r="J80" s="51"/>
      <c r="K80" s="51"/>
      <c r="L80" s="51"/>
      <c r="M80" s="35"/>
      <c r="N80" s="51"/>
      <c r="O80" s="82"/>
      <c r="P80" s="51"/>
      <c r="Q80" s="338"/>
      <c r="R80" s="51"/>
      <c r="S80" s="51"/>
      <c r="T80" s="338"/>
      <c r="U80" s="51"/>
      <c r="V80" s="35"/>
      <c r="W80" s="364">
        <f>SUM(Y80:AE80)</f>
        <v>439023.55000000005</v>
      </c>
      <c r="X80" s="285"/>
      <c r="Y80" s="285">
        <v>130889.94</v>
      </c>
      <c r="Z80" s="285">
        <v>165938.57999999999</v>
      </c>
      <c r="AA80" s="285">
        <v>142195.03</v>
      </c>
      <c r="AB80" s="285"/>
      <c r="AC80" s="285"/>
      <c r="AD80" s="285"/>
      <c r="AE80" s="9"/>
      <c r="AF80" s="40"/>
      <c r="AG80" s="56"/>
    </row>
    <row r="81" spans="1:33" ht="20.25" customHeight="1" x14ac:dyDescent="0.3">
      <c r="A81" s="45">
        <f t="shared" si="11"/>
        <v>70</v>
      </c>
      <c r="B81" s="414" t="s">
        <v>105</v>
      </c>
      <c r="C81" s="51">
        <f t="shared" si="9"/>
        <v>130000</v>
      </c>
      <c r="D81" s="51">
        <f t="shared" si="10"/>
        <v>0</v>
      </c>
      <c r="E81" s="51"/>
      <c r="F81" s="51"/>
      <c r="G81" s="51"/>
      <c r="H81" s="51"/>
      <c r="I81" s="51"/>
      <c r="J81" s="51"/>
      <c r="K81" s="51"/>
      <c r="L81" s="51"/>
      <c r="M81" s="35"/>
      <c r="N81" s="51"/>
      <c r="O81" s="82"/>
      <c r="P81" s="51"/>
      <c r="Q81" s="338"/>
      <c r="R81" s="51"/>
      <c r="S81" s="51"/>
      <c r="T81" s="338"/>
      <c r="U81" s="51"/>
      <c r="V81" s="35"/>
      <c r="W81" s="364">
        <v>130000</v>
      </c>
      <c r="X81" s="285"/>
      <c r="Y81" s="285"/>
      <c r="Z81" s="285"/>
      <c r="AA81" s="285"/>
      <c r="AB81" s="285"/>
      <c r="AC81" s="285"/>
      <c r="AD81" s="285"/>
      <c r="AE81" s="9"/>
      <c r="AF81" s="40"/>
      <c r="AG81" s="56"/>
    </row>
    <row r="82" spans="1:33" ht="20.25" customHeight="1" x14ac:dyDescent="0.3">
      <c r="A82" s="45">
        <f t="shared" si="11"/>
        <v>71</v>
      </c>
      <c r="B82" s="414" t="s">
        <v>106</v>
      </c>
      <c r="C82" s="51">
        <f t="shared" si="9"/>
        <v>7135931.0700000003</v>
      </c>
      <c r="D82" s="51">
        <f t="shared" si="10"/>
        <v>0</v>
      </c>
      <c r="E82" s="51"/>
      <c r="F82" s="51"/>
      <c r="G82" s="51"/>
      <c r="H82" s="51"/>
      <c r="I82" s="51"/>
      <c r="J82" s="51"/>
      <c r="K82" s="51"/>
      <c r="L82" s="51"/>
      <c r="M82" s="35">
        <v>1276</v>
      </c>
      <c r="N82" s="51">
        <v>7005931.0700000003</v>
      </c>
      <c r="O82" s="82"/>
      <c r="P82" s="51"/>
      <c r="Q82" s="338"/>
      <c r="R82" s="51"/>
      <c r="S82" s="51"/>
      <c r="T82" s="338"/>
      <c r="U82" s="51"/>
      <c r="V82" s="35"/>
      <c r="W82" s="364">
        <v>130000</v>
      </c>
      <c r="X82" s="285"/>
      <c r="Y82" s="285"/>
      <c r="Z82" s="285"/>
      <c r="AA82" s="285"/>
      <c r="AB82" s="285"/>
      <c r="AC82" s="285"/>
      <c r="AD82" s="285"/>
      <c r="AE82" s="9"/>
      <c r="AF82" s="40"/>
      <c r="AG82" s="56"/>
    </row>
    <row r="83" spans="1:33" ht="20.25" customHeight="1" x14ac:dyDescent="0.3">
      <c r="A83" s="45">
        <f t="shared" si="11"/>
        <v>72</v>
      </c>
      <c r="B83" s="414" t="s">
        <v>108</v>
      </c>
      <c r="C83" s="51">
        <f t="shared" si="9"/>
        <v>320369.7</v>
      </c>
      <c r="D83" s="51">
        <f t="shared" si="10"/>
        <v>0</v>
      </c>
      <c r="E83" s="51"/>
      <c r="F83" s="51"/>
      <c r="G83" s="51"/>
      <c r="H83" s="51"/>
      <c r="I83" s="51"/>
      <c r="J83" s="51"/>
      <c r="K83" s="51"/>
      <c r="L83" s="51"/>
      <c r="M83" s="35"/>
      <c r="N83" s="51"/>
      <c r="O83" s="82"/>
      <c r="P83" s="51"/>
      <c r="Q83" s="338"/>
      <c r="R83" s="51"/>
      <c r="S83" s="51"/>
      <c r="T83" s="338"/>
      <c r="U83" s="51"/>
      <c r="V83" s="35"/>
      <c r="W83" s="364">
        <f>SUM(Y83:AE83)</f>
        <v>320369.7</v>
      </c>
      <c r="X83" s="285"/>
      <c r="Y83" s="285">
        <v>98188.91</v>
      </c>
      <c r="Z83" s="285">
        <v>126047.36</v>
      </c>
      <c r="AA83" s="285"/>
      <c r="AB83" s="285">
        <v>96133.43</v>
      </c>
      <c r="AC83" s="285"/>
      <c r="AD83" s="285"/>
      <c r="AE83" s="9"/>
      <c r="AF83" s="40"/>
      <c r="AG83" s="56"/>
    </row>
    <row r="84" spans="1:33" ht="20.25" customHeight="1" x14ac:dyDescent="0.3">
      <c r="A84" s="45">
        <f t="shared" si="11"/>
        <v>73</v>
      </c>
      <c r="B84" s="414" t="s">
        <v>109</v>
      </c>
      <c r="C84" s="51">
        <f t="shared" si="9"/>
        <v>148822.67000000001</v>
      </c>
      <c r="D84" s="51">
        <f t="shared" si="10"/>
        <v>0</v>
      </c>
      <c r="E84" s="51"/>
      <c r="F84" s="51"/>
      <c r="G84" s="51"/>
      <c r="H84" s="51"/>
      <c r="I84" s="51"/>
      <c r="J84" s="51"/>
      <c r="K84" s="51"/>
      <c r="L84" s="51"/>
      <c r="M84" s="35"/>
      <c r="N84" s="51"/>
      <c r="O84" s="82"/>
      <c r="P84" s="51"/>
      <c r="Q84" s="338"/>
      <c r="R84" s="51"/>
      <c r="S84" s="51"/>
      <c r="T84" s="338"/>
      <c r="U84" s="51"/>
      <c r="V84" s="35"/>
      <c r="W84" s="364">
        <f>SUM(Y84:AE84)</f>
        <v>148822.67000000001</v>
      </c>
      <c r="X84" s="285"/>
      <c r="Y84" s="285"/>
      <c r="Z84" s="285"/>
      <c r="AA84" s="285">
        <v>148822.67000000001</v>
      </c>
      <c r="AB84" s="285"/>
      <c r="AC84" s="285"/>
      <c r="AD84" s="285"/>
      <c r="AE84" s="9"/>
      <c r="AF84" s="40"/>
      <c r="AG84" s="56"/>
    </row>
    <row r="85" spans="1:33" ht="20.25" customHeight="1" x14ac:dyDescent="0.3">
      <c r="A85" s="45">
        <f t="shared" si="11"/>
        <v>74</v>
      </c>
      <c r="B85" s="414" t="s">
        <v>110</v>
      </c>
      <c r="C85" s="51">
        <f t="shared" si="9"/>
        <v>130000</v>
      </c>
      <c r="D85" s="51">
        <f t="shared" si="10"/>
        <v>0</v>
      </c>
      <c r="E85" s="51"/>
      <c r="F85" s="51"/>
      <c r="G85" s="51"/>
      <c r="H85" s="51"/>
      <c r="I85" s="51"/>
      <c r="J85" s="51"/>
      <c r="K85" s="51"/>
      <c r="L85" s="51"/>
      <c r="M85" s="35"/>
      <c r="N85" s="51"/>
      <c r="O85" s="82"/>
      <c r="P85" s="51"/>
      <c r="Q85" s="338"/>
      <c r="R85" s="51"/>
      <c r="S85" s="51"/>
      <c r="T85" s="338"/>
      <c r="U85" s="51"/>
      <c r="V85" s="35"/>
      <c r="W85" s="364">
        <v>130000</v>
      </c>
      <c r="X85" s="285"/>
      <c r="Y85" s="285"/>
      <c r="Z85" s="285"/>
      <c r="AA85" s="285"/>
      <c r="AB85" s="285"/>
      <c r="AC85" s="285"/>
      <c r="AD85" s="285"/>
      <c r="AE85" s="9"/>
      <c r="AF85" s="40"/>
      <c r="AG85" s="56"/>
    </row>
    <row r="86" spans="1:33" ht="20.25" customHeight="1" x14ac:dyDescent="0.3">
      <c r="A86" s="45">
        <f t="shared" si="11"/>
        <v>75</v>
      </c>
      <c r="B86" s="414" t="s">
        <v>111</v>
      </c>
      <c r="C86" s="51">
        <f t="shared" si="9"/>
        <v>382183.58999999997</v>
      </c>
      <c r="D86" s="51">
        <f t="shared" si="10"/>
        <v>0</v>
      </c>
      <c r="E86" s="51"/>
      <c r="F86" s="51"/>
      <c r="G86" s="51"/>
      <c r="H86" s="51"/>
      <c r="I86" s="51"/>
      <c r="J86" s="51"/>
      <c r="K86" s="51"/>
      <c r="L86" s="51"/>
      <c r="M86" s="35"/>
      <c r="N86" s="51"/>
      <c r="O86" s="82"/>
      <c r="P86" s="51"/>
      <c r="Q86" s="338"/>
      <c r="R86" s="51"/>
      <c r="S86" s="51"/>
      <c r="T86" s="338"/>
      <c r="U86" s="51"/>
      <c r="V86" s="35"/>
      <c r="W86" s="364">
        <f t="shared" ref="W86:W96" si="12">SUM(Y86:AE86)</f>
        <v>382183.58999999997</v>
      </c>
      <c r="X86" s="285"/>
      <c r="Y86" s="285"/>
      <c r="Z86" s="285"/>
      <c r="AA86" s="285"/>
      <c r="AB86" s="285">
        <v>156382.73000000001</v>
      </c>
      <c r="AC86" s="285">
        <v>225800.86</v>
      </c>
      <c r="AD86" s="285"/>
      <c r="AE86" s="9"/>
      <c r="AF86" s="40"/>
      <c r="AG86" s="56"/>
    </row>
    <row r="87" spans="1:33" ht="20.25" customHeight="1" x14ac:dyDescent="0.3">
      <c r="A87" s="45">
        <f t="shared" si="11"/>
        <v>76</v>
      </c>
      <c r="B87" s="414" t="s">
        <v>112</v>
      </c>
      <c r="C87" s="51">
        <f t="shared" si="9"/>
        <v>100487.1</v>
      </c>
      <c r="D87" s="51">
        <f t="shared" si="10"/>
        <v>0</v>
      </c>
      <c r="E87" s="51"/>
      <c r="F87" s="51"/>
      <c r="G87" s="51"/>
      <c r="H87" s="51"/>
      <c r="I87" s="51"/>
      <c r="J87" s="51"/>
      <c r="K87" s="51"/>
      <c r="L87" s="51"/>
      <c r="M87" s="35"/>
      <c r="N87" s="51"/>
      <c r="O87" s="82"/>
      <c r="P87" s="51"/>
      <c r="Q87" s="338"/>
      <c r="R87" s="51"/>
      <c r="S87" s="51"/>
      <c r="T87" s="338"/>
      <c r="U87" s="51"/>
      <c r="V87" s="35"/>
      <c r="W87" s="364">
        <f t="shared" si="12"/>
        <v>100487.1</v>
      </c>
      <c r="X87" s="285"/>
      <c r="Y87" s="285">
        <v>100487.1</v>
      </c>
      <c r="Z87" s="285"/>
      <c r="AA87" s="285"/>
      <c r="AB87" s="285"/>
      <c r="AC87" s="285"/>
      <c r="AD87" s="285"/>
      <c r="AE87" s="9"/>
      <c r="AF87" s="40"/>
      <c r="AG87" s="56"/>
    </row>
    <row r="88" spans="1:33" ht="20.25" customHeight="1" x14ac:dyDescent="0.3">
      <c r="A88" s="45">
        <f t="shared" si="11"/>
        <v>77</v>
      </c>
      <c r="B88" s="414" t="s">
        <v>113</v>
      </c>
      <c r="C88" s="51">
        <f t="shared" si="9"/>
        <v>5255887.16</v>
      </c>
      <c r="D88" s="51">
        <f t="shared" si="10"/>
        <v>0</v>
      </c>
      <c r="E88" s="51"/>
      <c r="F88" s="51"/>
      <c r="G88" s="51"/>
      <c r="H88" s="51"/>
      <c r="I88" s="51"/>
      <c r="J88" s="51"/>
      <c r="K88" s="51"/>
      <c r="L88" s="51"/>
      <c r="M88" s="35">
        <v>794.6</v>
      </c>
      <c r="N88" s="51">
        <v>5083574.54</v>
      </c>
      <c r="O88" s="82"/>
      <c r="P88" s="51"/>
      <c r="Q88" s="338"/>
      <c r="R88" s="51"/>
      <c r="S88" s="51"/>
      <c r="T88" s="338"/>
      <c r="U88" s="51"/>
      <c r="V88" s="35"/>
      <c r="W88" s="364">
        <f t="shared" si="12"/>
        <v>172312.62</v>
      </c>
      <c r="X88" s="285"/>
      <c r="Y88" s="285"/>
      <c r="Z88" s="285"/>
      <c r="AA88" s="285">
        <v>172312.62</v>
      </c>
      <c r="AB88" s="285"/>
      <c r="AC88" s="285"/>
      <c r="AD88" s="285"/>
      <c r="AE88" s="9"/>
      <c r="AF88" s="40"/>
      <c r="AG88" s="56">
        <v>1001227.61</v>
      </c>
    </row>
    <row r="89" spans="1:33" ht="20.25" customHeight="1" x14ac:dyDescent="0.3">
      <c r="A89" s="45">
        <f t="shared" si="11"/>
        <v>78</v>
      </c>
      <c r="B89" s="414" t="s">
        <v>114</v>
      </c>
      <c r="C89" s="51">
        <f t="shared" si="9"/>
        <v>328803.66000000003</v>
      </c>
      <c r="D89" s="51">
        <f t="shared" si="10"/>
        <v>0</v>
      </c>
      <c r="E89" s="51"/>
      <c r="F89" s="51"/>
      <c r="G89" s="51"/>
      <c r="H89" s="51"/>
      <c r="I89" s="51"/>
      <c r="J89" s="51"/>
      <c r="K89" s="51"/>
      <c r="L89" s="51"/>
      <c r="M89" s="35"/>
      <c r="N89" s="51"/>
      <c r="O89" s="82"/>
      <c r="P89" s="51"/>
      <c r="Q89" s="338"/>
      <c r="R89" s="51"/>
      <c r="S89" s="51"/>
      <c r="T89" s="338"/>
      <c r="U89" s="51"/>
      <c r="V89" s="35"/>
      <c r="W89" s="364">
        <f t="shared" si="12"/>
        <v>328803.66000000003</v>
      </c>
      <c r="X89" s="285"/>
      <c r="Y89" s="285"/>
      <c r="Z89" s="285">
        <v>179563.25</v>
      </c>
      <c r="AA89" s="285">
        <v>149240.41</v>
      </c>
      <c r="AB89" s="285"/>
      <c r="AC89" s="285"/>
      <c r="AD89" s="285"/>
      <c r="AE89" s="9"/>
      <c r="AF89" s="40"/>
      <c r="AG89" s="56">
        <v>814792.42</v>
      </c>
    </row>
    <row r="90" spans="1:33" ht="20.25" customHeight="1" x14ac:dyDescent="0.3">
      <c r="A90" s="45">
        <f t="shared" si="11"/>
        <v>79</v>
      </c>
      <c r="B90" s="414" t="s">
        <v>115</v>
      </c>
      <c r="C90" s="51">
        <f t="shared" si="9"/>
        <v>321074.71999999997</v>
      </c>
      <c r="D90" s="51">
        <f t="shared" si="10"/>
        <v>0</v>
      </c>
      <c r="E90" s="51"/>
      <c r="F90" s="51"/>
      <c r="G90" s="51"/>
      <c r="H90" s="51"/>
      <c r="I90" s="51"/>
      <c r="J90" s="51"/>
      <c r="K90" s="51"/>
      <c r="L90" s="51"/>
      <c r="M90" s="35"/>
      <c r="N90" s="51"/>
      <c r="O90" s="82"/>
      <c r="P90" s="51"/>
      <c r="Q90" s="338"/>
      <c r="R90" s="51"/>
      <c r="S90" s="51"/>
      <c r="T90" s="338"/>
      <c r="U90" s="51"/>
      <c r="V90" s="35"/>
      <c r="W90" s="364">
        <f t="shared" si="12"/>
        <v>321074.71999999997</v>
      </c>
      <c r="X90" s="285"/>
      <c r="Y90" s="285"/>
      <c r="Z90" s="285"/>
      <c r="AA90" s="285">
        <v>174240.24</v>
      </c>
      <c r="AB90" s="285"/>
      <c r="AC90" s="285">
        <v>146834.48000000001</v>
      </c>
      <c r="AD90" s="285"/>
      <c r="AE90" s="9"/>
      <c r="AF90" s="40"/>
      <c r="AG90" s="56">
        <v>898076.87</v>
      </c>
    </row>
    <row r="91" spans="1:33" ht="20.25" customHeight="1" x14ac:dyDescent="0.3">
      <c r="A91" s="45">
        <f t="shared" si="11"/>
        <v>80</v>
      </c>
      <c r="B91" s="414" t="s">
        <v>116</v>
      </c>
      <c r="C91" s="51">
        <f t="shared" si="9"/>
        <v>477055.88</v>
      </c>
      <c r="D91" s="51">
        <f t="shared" si="10"/>
        <v>0</v>
      </c>
      <c r="E91" s="51"/>
      <c r="F91" s="51"/>
      <c r="G91" s="51"/>
      <c r="H91" s="51"/>
      <c r="I91" s="51"/>
      <c r="J91" s="51"/>
      <c r="K91" s="51"/>
      <c r="L91" s="51"/>
      <c r="M91" s="35"/>
      <c r="N91" s="51"/>
      <c r="O91" s="82"/>
      <c r="P91" s="51"/>
      <c r="Q91" s="338"/>
      <c r="R91" s="51"/>
      <c r="S91" s="51"/>
      <c r="T91" s="338"/>
      <c r="U91" s="51"/>
      <c r="V91" s="35"/>
      <c r="W91" s="364">
        <f t="shared" si="12"/>
        <v>477055.88</v>
      </c>
      <c r="X91" s="285"/>
      <c r="Y91" s="285"/>
      <c r="Z91" s="285"/>
      <c r="AA91" s="285"/>
      <c r="AB91" s="285"/>
      <c r="AC91" s="285"/>
      <c r="AD91" s="285"/>
      <c r="AE91" s="9">
        <v>477055.88</v>
      </c>
      <c r="AF91" s="40"/>
      <c r="AG91" s="56">
        <v>1467812.7</v>
      </c>
    </row>
    <row r="92" spans="1:33" ht="20.25" customHeight="1" x14ac:dyDescent="0.3">
      <c r="A92" s="45">
        <f t="shared" si="11"/>
        <v>81</v>
      </c>
      <c r="B92" s="414" t="s">
        <v>117</v>
      </c>
      <c r="C92" s="51">
        <f t="shared" si="9"/>
        <v>353130.53</v>
      </c>
      <c r="D92" s="51">
        <f t="shared" si="10"/>
        <v>0</v>
      </c>
      <c r="E92" s="51"/>
      <c r="F92" s="51"/>
      <c r="G92" s="51"/>
      <c r="H92" s="51"/>
      <c r="I92" s="51"/>
      <c r="J92" s="51"/>
      <c r="K92" s="51"/>
      <c r="L92" s="51"/>
      <c r="M92" s="35"/>
      <c r="N92" s="51"/>
      <c r="O92" s="82"/>
      <c r="P92" s="51"/>
      <c r="Q92" s="338"/>
      <c r="R92" s="51"/>
      <c r="S92" s="51"/>
      <c r="T92" s="338"/>
      <c r="U92" s="51"/>
      <c r="V92" s="35"/>
      <c r="W92" s="364">
        <f t="shared" si="12"/>
        <v>353130.53</v>
      </c>
      <c r="X92" s="285"/>
      <c r="Y92" s="285">
        <v>107106.07</v>
      </c>
      <c r="Z92" s="285">
        <v>132751.97</v>
      </c>
      <c r="AA92" s="285">
        <v>113272.49</v>
      </c>
      <c r="AB92" s="285"/>
      <c r="AC92" s="285"/>
      <c r="AD92" s="285"/>
      <c r="AE92" s="9"/>
      <c r="AF92" s="40"/>
      <c r="AG92" s="56"/>
    </row>
    <row r="93" spans="1:33" ht="20.25" customHeight="1" x14ac:dyDescent="0.3">
      <c r="A93" s="45">
        <f t="shared" si="11"/>
        <v>82</v>
      </c>
      <c r="B93" s="414" t="s">
        <v>118</v>
      </c>
      <c r="C93" s="51">
        <f t="shared" si="9"/>
        <v>330595.17000000004</v>
      </c>
      <c r="D93" s="51">
        <f t="shared" si="10"/>
        <v>0</v>
      </c>
      <c r="E93" s="51"/>
      <c r="F93" s="51"/>
      <c r="G93" s="51"/>
      <c r="H93" s="51"/>
      <c r="I93" s="51"/>
      <c r="J93" s="51"/>
      <c r="K93" s="51"/>
      <c r="L93" s="51"/>
      <c r="M93" s="35"/>
      <c r="N93" s="51"/>
      <c r="O93" s="82"/>
      <c r="P93" s="51"/>
      <c r="Q93" s="338"/>
      <c r="R93" s="51"/>
      <c r="S93" s="51"/>
      <c r="T93" s="338"/>
      <c r="U93" s="51"/>
      <c r="V93" s="35"/>
      <c r="W93" s="364">
        <f t="shared" si="12"/>
        <v>330595.17000000004</v>
      </c>
      <c r="X93" s="285"/>
      <c r="Y93" s="285">
        <v>101494.55</v>
      </c>
      <c r="Z93" s="285">
        <v>129661.55</v>
      </c>
      <c r="AA93" s="285"/>
      <c r="AB93" s="285">
        <v>99439.07</v>
      </c>
      <c r="AC93" s="285"/>
      <c r="AD93" s="285"/>
      <c r="AE93" s="9"/>
      <c r="AF93" s="40"/>
      <c r="AG93" s="56"/>
    </row>
    <row r="94" spans="1:33" ht="20.25" customHeight="1" x14ac:dyDescent="0.3">
      <c r="A94" s="45">
        <f t="shared" si="11"/>
        <v>83</v>
      </c>
      <c r="B94" s="414" t="s">
        <v>119</v>
      </c>
      <c r="C94" s="51">
        <f t="shared" si="9"/>
        <v>201101.02</v>
      </c>
      <c r="D94" s="51">
        <f t="shared" si="10"/>
        <v>0</v>
      </c>
      <c r="E94" s="51"/>
      <c r="F94" s="51"/>
      <c r="G94" s="51"/>
      <c r="H94" s="51"/>
      <c r="I94" s="51"/>
      <c r="J94" s="51"/>
      <c r="K94" s="51"/>
      <c r="L94" s="51"/>
      <c r="M94" s="35"/>
      <c r="N94" s="51"/>
      <c r="O94" s="82"/>
      <c r="P94" s="51"/>
      <c r="Q94" s="338"/>
      <c r="R94" s="51"/>
      <c r="S94" s="51"/>
      <c r="T94" s="338"/>
      <c r="U94" s="51"/>
      <c r="V94" s="35"/>
      <c r="W94" s="364">
        <f t="shared" si="12"/>
        <v>201101.02</v>
      </c>
      <c r="X94" s="285"/>
      <c r="Y94" s="285"/>
      <c r="Z94" s="285"/>
      <c r="AA94" s="285"/>
      <c r="AB94" s="285"/>
      <c r="AC94" s="285"/>
      <c r="AD94" s="285"/>
      <c r="AE94" s="9">
        <v>201101.02</v>
      </c>
      <c r="AF94" s="40"/>
      <c r="AG94" s="56"/>
    </row>
    <row r="95" spans="1:33" ht="20.25" customHeight="1" x14ac:dyDescent="0.3">
      <c r="A95" s="45">
        <f t="shared" si="11"/>
        <v>84</v>
      </c>
      <c r="B95" s="414" t="s">
        <v>120</v>
      </c>
      <c r="C95" s="51">
        <f t="shared" si="9"/>
        <v>350583.02999999997</v>
      </c>
      <c r="D95" s="51">
        <f t="shared" si="10"/>
        <v>0</v>
      </c>
      <c r="E95" s="51"/>
      <c r="F95" s="51"/>
      <c r="G95" s="51"/>
      <c r="H95" s="51"/>
      <c r="I95" s="51"/>
      <c r="J95" s="51"/>
      <c r="K95" s="51"/>
      <c r="L95" s="51"/>
      <c r="M95" s="35"/>
      <c r="N95" s="51"/>
      <c r="O95" s="82"/>
      <c r="P95" s="51"/>
      <c r="Q95" s="338"/>
      <c r="R95" s="51"/>
      <c r="S95" s="51"/>
      <c r="T95" s="338"/>
      <c r="U95" s="51"/>
      <c r="V95" s="35"/>
      <c r="W95" s="364">
        <f t="shared" si="12"/>
        <v>350583.02999999997</v>
      </c>
      <c r="X95" s="285"/>
      <c r="Y95" s="285"/>
      <c r="Z95" s="285">
        <v>134858.23999999999</v>
      </c>
      <c r="AA95" s="285"/>
      <c r="AB95" s="285">
        <v>107949.53</v>
      </c>
      <c r="AC95" s="285">
        <v>107775.26</v>
      </c>
      <c r="AD95" s="285"/>
      <c r="AE95" s="9"/>
      <c r="AF95" s="40"/>
      <c r="AG95" s="56"/>
    </row>
    <row r="96" spans="1:33" ht="20.25" customHeight="1" x14ac:dyDescent="0.3">
      <c r="A96" s="45">
        <f t="shared" si="11"/>
        <v>85</v>
      </c>
      <c r="B96" s="414" t="s">
        <v>121</v>
      </c>
      <c r="C96" s="51">
        <f t="shared" si="9"/>
        <v>188370.3</v>
      </c>
      <c r="D96" s="51">
        <f t="shared" si="10"/>
        <v>0</v>
      </c>
      <c r="E96" s="51"/>
      <c r="F96" s="51"/>
      <c r="G96" s="51"/>
      <c r="H96" s="51"/>
      <c r="I96" s="51"/>
      <c r="J96" s="51"/>
      <c r="K96" s="51"/>
      <c r="L96" s="51"/>
      <c r="M96" s="35"/>
      <c r="N96" s="51"/>
      <c r="O96" s="82"/>
      <c r="P96" s="51"/>
      <c r="Q96" s="338"/>
      <c r="R96" s="51"/>
      <c r="S96" s="51"/>
      <c r="T96" s="338"/>
      <c r="U96" s="51"/>
      <c r="V96" s="35"/>
      <c r="W96" s="364">
        <f t="shared" si="12"/>
        <v>188370.3</v>
      </c>
      <c r="X96" s="285"/>
      <c r="Y96" s="285"/>
      <c r="Z96" s="285"/>
      <c r="AA96" s="285"/>
      <c r="AB96" s="285"/>
      <c r="AC96" s="285">
        <v>188370.3</v>
      </c>
      <c r="AD96" s="285"/>
      <c r="AE96" s="9"/>
      <c r="AF96" s="40"/>
      <c r="AG96" s="56"/>
    </row>
    <row r="97" spans="1:33" ht="20.25" customHeight="1" x14ac:dyDescent="0.3">
      <c r="A97" s="45">
        <f t="shared" si="11"/>
        <v>86</v>
      </c>
      <c r="B97" s="414" t="s">
        <v>122</v>
      </c>
      <c r="C97" s="51">
        <f t="shared" si="9"/>
        <v>130000</v>
      </c>
      <c r="D97" s="51">
        <f t="shared" si="10"/>
        <v>0</v>
      </c>
      <c r="E97" s="51"/>
      <c r="F97" s="51"/>
      <c r="G97" s="51"/>
      <c r="H97" s="51"/>
      <c r="I97" s="51"/>
      <c r="J97" s="51"/>
      <c r="K97" s="51"/>
      <c r="L97" s="51"/>
      <c r="M97" s="35"/>
      <c r="N97" s="51"/>
      <c r="O97" s="82"/>
      <c r="P97" s="51"/>
      <c r="Q97" s="338"/>
      <c r="R97" s="51"/>
      <c r="S97" s="51"/>
      <c r="T97" s="338"/>
      <c r="U97" s="51"/>
      <c r="V97" s="35"/>
      <c r="W97" s="364">
        <v>130000</v>
      </c>
      <c r="X97" s="285"/>
      <c r="Y97" s="285"/>
      <c r="Z97" s="285"/>
      <c r="AA97" s="285"/>
      <c r="AB97" s="285"/>
      <c r="AC97" s="285"/>
      <c r="AD97" s="285"/>
      <c r="AE97" s="9"/>
      <c r="AF97" s="40"/>
      <c r="AG97" s="56"/>
    </row>
    <row r="98" spans="1:33" ht="20.25" customHeight="1" x14ac:dyDescent="0.3">
      <c r="A98" s="45">
        <f t="shared" si="11"/>
        <v>87</v>
      </c>
      <c r="B98" s="414" t="s">
        <v>123</v>
      </c>
      <c r="C98" s="51">
        <f t="shared" si="9"/>
        <v>130000</v>
      </c>
      <c r="D98" s="51">
        <f t="shared" si="10"/>
        <v>0</v>
      </c>
      <c r="E98" s="51"/>
      <c r="F98" s="51"/>
      <c r="G98" s="51"/>
      <c r="H98" s="51"/>
      <c r="I98" s="51"/>
      <c r="J98" s="51"/>
      <c r="K98" s="51"/>
      <c r="L98" s="51"/>
      <c r="M98" s="35"/>
      <c r="N98" s="51"/>
      <c r="O98" s="82"/>
      <c r="P98" s="51"/>
      <c r="Q98" s="338"/>
      <c r="R98" s="51"/>
      <c r="S98" s="51"/>
      <c r="T98" s="338"/>
      <c r="U98" s="51"/>
      <c r="V98" s="35"/>
      <c r="W98" s="364">
        <v>130000</v>
      </c>
      <c r="X98" s="285"/>
      <c r="Y98" s="285"/>
      <c r="Z98" s="285"/>
      <c r="AA98" s="285"/>
      <c r="AB98" s="285"/>
      <c r="AC98" s="285"/>
      <c r="AD98" s="285"/>
      <c r="AE98" s="9"/>
      <c r="AF98" s="40"/>
      <c r="AG98" s="56"/>
    </row>
    <row r="99" spans="1:33" ht="20.25" customHeight="1" x14ac:dyDescent="0.3">
      <c r="A99" s="45">
        <f t="shared" si="11"/>
        <v>88</v>
      </c>
      <c r="B99" s="414" t="s">
        <v>124</v>
      </c>
      <c r="C99" s="51">
        <f t="shared" si="9"/>
        <v>130000</v>
      </c>
      <c r="D99" s="51">
        <f t="shared" si="10"/>
        <v>0</v>
      </c>
      <c r="E99" s="51"/>
      <c r="F99" s="51"/>
      <c r="G99" s="51"/>
      <c r="H99" s="51"/>
      <c r="I99" s="51"/>
      <c r="J99" s="51"/>
      <c r="K99" s="51"/>
      <c r="L99" s="51"/>
      <c r="M99" s="35"/>
      <c r="N99" s="51"/>
      <c r="O99" s="82"/>
      <c r="P99" s="51"/>
      <c r="Q99" s="338"/>
      <c r="R99" s="51"/>
      <c r="S99" s="51"/>
      <c r="T99" s="338"/>
      <c r="U99" s="51"/>
      <c r="V99" s="35"/>
      <c r="W99" s="364">
        <v>130000</v>
      </c>
      <c r="X99" s="285"/>
      <c r="Y99" s="285"/>
      <c r="Z99" s="285"/>
      <c r="AA99" s="285"/>
      <c r="AB99" s="285"/>
      <c r="AC99" s="285"/>
      <c r="AD99" s="285"/>
      <c r="AE99" s="9"/>
      <c r="AF99" s="40"/>
      <c r="AG99" s="56"/>
    </row>
    <row r="100" spans="1:33" ht="20.25" customHeight="1" x14ac:dyDescent="0.3">
      <c r="A100" s="45">
        <f t="shared" si="11"/>
        <v>89</v>
      </c>
      <c r="B100" s="414" t="s">
        <v>125</v>
      </c>
      <c r="C100" s="51">
        <f t="shared" si="9"/>
        <v>130001.83</v>
      </c>
      <c r="D100" s="51">
        <f t="shared" si="10"/>
        <v>0</v>
      </c>
      <c r="E100" s="51"/>
      <c r="F100" s="51"/>
      <c r="G100" s="51"/>
      <c r="H100" s="51"/>
      <c r="I100" s="51"/>
      <c r="J100" s="51"/>
      <c r="K100" s="51"/>
      <c r="L100" s="51"/>
      <c r="M100" s="35"/>
      <c r="N100" s="51"/>
      <c r="O100" s="82"/>
      <c r="P100" s="51"/>
      <c r="Q100" s="338"/>
      <c r="R100" s="51"/>
      <c r="S100" s="51"/>
      <c r="T100" s="338"/>
      <c r="U100" s="51"/>
      <c r="V100" s="35"/>
      <c r="W100" s="364">
        <f t="shared" ref="W100:W109" si="13">SUM(Y100:AE100)</f>
        <v>130001.83</v>
      </c>
      <c r="X100" s="285"/>
      <c r="Y100" s="285"/>
      <c r="Z100" s="285"/>
      <c r="AA100" s="285">
        <v>130001.83</v>
      </c>
      <c r="AB100" s="285"/>
      <c r="AC100" s="285"/>
      <c r="AD100" s="285"/>
      <c r="AE100" s="9"/>
      <c r="AF100" s="40"/>
      <c r="AG100" s="56"/>
    </row>
    <row r="101" spans="1:33" ht="20.25" customHeight="1" x14ac:dyDescent="0.3">
      <c r="A101" s="45">
        <f t="shared" si="11"/>
        <v>90</v>
      </c>
      <c r="B101" s="414" t="s">
        <v>126</v>
      </c>
      <c r="C101" s="51">
        <f t="shared" si="9"/>
        <v>363397.92</v>
      </c>
      <c r="D101" s="51">
        <f t="shared" si="10"/>
        <v>0</v>
      </c>
      <c r="E101" s="51"/>
      <c r="F101" s="51"/>
      <c r="G101" s="51"/>
      <c r="H101" s="51"/>
      <c r="I101" s="51"/>
      <c r="J101" s="51"/>
      <c r="K101" s="51"/>
      <c r="L101" s="51"/>
      <c r="M101" s="35"/>
      <c r="N101" s="51"/>
      <c r="O101" s="82"/>
      <c r="P101" s="51"/>
      <c r="Q101" s="338"/>
      <c r="R101" s="51"/>
      <c r="S101" s="51"/>
      <c r="T101" s="338"/>
      <c r="U101" s="51"/>
      <c r="V101" s="35"/>
      <c r="W101" s="364">
        <f t="shared" si="13"/>
        <v>363397.92</v>
      </c>
      <c r="X101" s="285"/>
      <c r="Y101" s="285">
        <v>109473.68</v>
      </c>
      <c r="Z101" s="285">
        <v>139311.88</v>
      </c>
      <c r="AA101" s="285">
        <v>114612.36</v>
      </c>
      <c r="AB101" s="285"/>
      <c r="AC101" s="285"/>
      <c r="AD101" s="285"/>
      <c r="AE101" s="9"/>
      <c r="AF101" s="40"/>
      <c r="AG101" s="56"/>
    </row>
    <row r="102" spans="1:33" ht="20.25" customHeight="1" x14ac:dyDescent="0.3">
      <c r="A102" s="45">
        <f t="shared" si="11"/>
        <v>91</v>
      </c>
      <c r="B102" s="414" t="s">
        <v>127</v>
      </c>
      <c r="C102" s="51">
        <f t="shared" si="9"/>
        <v>114325.67</v>
      </c>
      <c r="D102" s="51">
        <f t="shared" si="10"/>
        <v>0</v>
      </c>
      <c r="E102" s="51"/>
      <c r="F102" s="51"/>
      <c r="G102" s="51"/>
      <c r="H102" s="51"/>
      <c r="I102" s="51"/>
      <c r="J102" s="51"/>
      <c r="K102" s="51"/>
      <c r="L102" s="51"/>
      <c r="M102" s="35"/>
      <c r="N102" s="51"/>
      <c r="O102" s="82"/>
      <c r="P102" s="51"/>
      <c r="Q102" s="338"/>
      <c r="R102" s="51"/>
      <c r="S102" s="51"/>
      <c r="T102" s="338"/>
      <c r="U102" s="51"/>
      <c r="V102" s="35"/>
      <c r="W102" s="364">
        <f t="shared" si="13"/>
        <v>114325.67</v>
      </c>
      <c r="X102" s="285"/>
      <c r="Y102" s="285"/>
      <c r="Z102" s="285"/>
      <c r="AA102" s="285">
        <v>114325.67</v>
      </c>
      <c r="AB102" s="285"/>
      <c r="AC102" s="285"/>
      <c r="AD102" s="285"/>
      <c r="AE102" s="9"/>
      <c r="AF102" s="40"/>
      <c r="AG102" s="56"/>
    </row>
    <row r="103" spans="1:33" ht="20.25" customHeight="1" x14ac:dyDescent="0.3">
      <c r="A103" s="45">
        <f t="shared" si="11"/>
        <v>92</v>
      </c>
      <c r="B103" s="414" t="s">
        <v>128</v>
      </c>
      <c r="C103" s="51">
        <f t="shared" si="9"/>
        <v>114612.36</v>
      </c>
      <c r="D103" s="51">
        <f t="shared" si="10"/>
        <v>0</v>
      </c>
      <c r="E103" s="51"/>
      <c r="F103" s="51"/>
      <c r="G103" s="51"/>
      <c r="H103" s="51"/>
      <c r="I103" s="51"/>
      <c r="J103" s="51"/>
      <c r="K103" s="51"/>
      <c r="L103" s="51"/>
      <c r="M103" s="35"/>
      <c r="N103" s="51"/>
      <c r="O103" s="82"/>
      <c r="P103" s="51"/>
      <c r="Q103" s="338"/>
      <c r="R103" s="51"/>
      <c r="S103" s="51"/>
      <c r="T103" s="338"/>
      <c r="U103" s="51"/>
      <c r="V103" s="35"/>
      <c r="W103" s="364">
        <f t="shared" si="13"/>
        <v>114612.36</v>
      </c>
      <c r="X103" s="285"/>
      <c r="Y103" s="285"/>
      <c r="Z103" s="285"/>
      <c r="AA103" s="285">
        <v>114612.36</v>
      </c>
      <c r="AB103" s="285"/>
      <c r="AC103" s="285"/>
      <c r="AD103" s="285"/>
      <c r="AE103" s="9"/>
      <c r="AF103" s="40"/>
      <c r="AG103" s="56"/>
    </row>
    <row r="104" spans="1:33" ht="20.25" customHeight="1" x14ac:dyDescent="0.3">
      <c r="A104" s="45">
        <f t="shared" si="11"/>
        <v>93</v>
      </c>
      <c r="B104" s="414" t="s">
        <v>129</v>
      </c>
      <c r="C104" s="51">
        <f t="shared" si="9"/>
        <v>526839.39</v>
      </c>
      <c r="D104" s="51">
        <f t="shared" si="10"/>
        <v>0</v>
      </c>
      <c r="E104" s="51"/>
      <c r="F104" s="51"/>
      <c r="G104" s="51"/>
      <c r="H104" s="51"/>
      <c r="I104" s="51"/>
      <c r="J104" s="51"/>
      <c r="K104" s="51"/>
      <c r="L104" s="51"/>
      <c r="M104" s="35"/>
      <c r="N104" s="51"/>
      <c r="O104" s="82"/>
      <c r="P104" s="51"/>
      <c r="Q104" s="338"/>
      <c r="R104" s="51"/>
      <c r="S104" s="51"/>
      <c r="T104" s="338"/>
      <c r="U104" s="51"/>
      <c r="V104" s="35"/>
      <c r="W104" s="364">
        <f t="shared" si="13"/>
        <v>526839.39</v>
      </c>
      <c r="X104" s="285"/>
      <c r="Y104" s="285"/>
      <c r="Z104" s="285"/>
      <c r="AA104" s="285"/>
      <c r="AB104" s="285"/>
      <c r="AC104" s="285">
        <v>191041.84</v>
      </c>
      <c r="AD104" s="285"/>
      <c r="AE104" s="9">
        <v>335797.55</v>
      </c>
      <c r="AF104" s="40"/>
      <c r="AG104" s="56">
        <v>975830.3</v>
      </c>
    </row>
    <row r="105" spans="1:33" ht="20.25" customHeight="1" x14ac:dyDescent="0.3">
      <c r="A105" s="45">
        <f t="shared" si="11"/>
        <v>94</v>
      </c>
      <c r="B105" s="414" t="s">
        <v>130</v>
      </c>
      <c r="C105" s="51">
        <f t="shared" si="9"/>
        <v>109702.2</v>
      </c>
      <c r="D105" s="51">
        <f t="shared" si="10"/>
        <v>0</v>
      </c>
      <c r="E105" s="51"/>
      <c r="F105" s="51"/>
      <c r="G105" s="51"/>
      <c r="H105" s="51"/>
      <c r="I105" s="51"/>
      <c r="J105" s="51"/>
      <c r="K105" s="51"/>
      <c r="L105" s="51"/>
      <c r="M105" s="35"/>
      <c r="N105" s="51"/>
      <c r="O105" s="82"/>
      <c r="P105" s="51"/>
      <c r="Q105" s="338"/>
      <c r="R105" s="51"/>
      <c r="S105" s="51"/>
      <c r="T105" s="338"/>
      <c r="U105" s="51"/>
      <c r="V105" s="35"/>
      <c r="W105" s="364">
        <f t="shared" si="13"/>
        <v>109702.2</v>
      </c>
      <c r="X105" s="285"/>
      <c r="Y105" s="285"/>
      <c r="Z105" s="285"/>
      <c r="AA105" s="285">
        <v>109702.2</v>
      </c>
      <c r="AB105" s="285"/>
      <c r="AC105" s="285"/>
      <c r="AD105" s="285"/>
      <c r="AE105" s="9"/>
      <c r="AF105" s="40"/>
      <c r="AG105" s="56"/>
    </row>
    <row r="106" spans="1:33" ht="20.25" customHeight="1" x14ac:dyDescent="0.3">
      <c r="A106" s="45">
        <f t="shared" si="11"/>
        <v>95</v>
      </c>
      <c r="B106" s="414" t="s">
        <v>131</v>
      </c>
      <c r="C106" s="51">
        <f t="shared" si="9"/>
        <v>249974</v>
      </c>
      <c r="D106" s="51">
        <f t="shared" si="10"/>
        <v>0</v>
      </c>
      <c r="E106" s="51"/>
      <c r="F106" s="51"/>
      <c r="G106" s="51"/>
      <c r="H106" s="51"/>
      <c r="I106" s="51"/>
      <c r="J106" s="51"/>
      <c r="K106" s="51"/>
      <c r="L106" s="51"/>
      <c r="M106" s="35"/>
      <c r="N106" s="51"/>
      <c r="O106" s="82"/>
      <c r="P106" s="51"/>
      <c r="Q106" s="338"/>
      <c r="R106" s="51"/>
      <c r="S106" s="51"/>
      <c r="T106" s="338"/>
      <c r="U106" s="51"/>
      <c r="V106" s="35"/>
      <c r="W106" s="364">
        <f t="shared" si="13"/>
        <v>249974</v>
      </c>
      <c r="X106" s="285"/>
      <c r="Y106" s="285"/>
      <c r="Z106" s="285">
        <v>132122.23999999999</v>
      </c>
      <c r="AA106" s="285">
        <v>117851.76</v>
      </c>
      <c r="AB106" s="285"/>
      <c r="AC106" s="285"/>
      <c r="AD106" s="285"/>
      <c r="AE106" s="9"/>
      <c r="AF106" s="40"/>
      <c r="AG106" s="56"/>
    </row>
    <row r="107" spans="1:33" ht="20.25" customHeight="1" x14ac:dyDescent="0.3">
      <c r="A107" s="45">
        <f t="shared" si="11"/>
        <v>96</v>
      </c>
      <c r="B107" s="414" t="s">
        <v>132</v>
      </c>
      <c r="C107" s="51">
        <f t="shared" si="9"/>
        <v>119830.69</v>
      </c>
      <c r="D107" s="51">
        <f t="shared" si="10"/>
        <v>0</v>
      </c>
      <c r="E107" s="51"/>
      <c r="F107" s="51"/>
      <c r="G107" s="51"/>
      <c r="H107" s="51"/>
      <c r="I107" s="51"/>
      <c r="J107" s="51"/>
      <c r="K107" s="51"/>
      <c r="L107" s="51"/>
      <c r="M107" s="35"/>
      <c r="N107" s="51"/>
      <c r="O107" s="82"/>
      <c r="P107" s="51"/>
      <c r="Q107" s="338"/>
      <c r="R107" s="51"/>
      <c r="S107" s="51"/>
      <c r="T107" s="338"/>
      <c r="U107" s="51"/>
      <c r="V107" s="35"/>
      <c r="W107" s="364">
        <f t="shared" si="13"/>
        <v>119830.69</v>
      </c>
      <c r="X107" s="285"/>
      <c r="Y107" s="285"/>
      <c r="Z107" s="285"/>
      <c r="AA107" s="285">
        <v>119830.69</v>
      </c>
      <c r="AB107" s="285"/>
      <c r="AC107" s="285"/>
      <c r="AD107" s="285"/>
      <c r="AE107" s="9"/>
      <c r="AF107" s="40"/>
      <c r="AG107" s="56"/>
    </row>
    <row r="108" spans="1:33" ht="20.25" customHeight="1" x14ac:dyDescent="0.3">
      <c r="A108" s="45">
        <f t="shared" si="11"/>
        <v>97</v>
      </c>
      <c r="B108" s="414" t="s">
        <v>133</v>
      </c>
      <c r="C108" s="51">
        <f t="shared" ref="C108:C118" si="14">D108+K108+L108+N108+P108+R108+S108+U108+V108+W108</f>
        <v>253321.02999999997</v>
      </c>
      <c r="D108" s="51">
        <f t="shared" ref="D108:D118" si="15">E108+F108+G108+H108+I108</f>
        <v>0</v>
      </c>
      <c r="E108" s="51"/>
      <c r="F108" s="51"/>
      <c r="G108" s="51"/>
      <c r="H108" s="51"/>
      <c r="I108" s="51"/>
      <c r="J108" s="51"/>
      <c r="K108" s="51"/>
      <c r="L108" s="51"/>
      <c r="M108" s="35"/>
      <c r="N108" s="51"/>
      <c r="O108" s="82"/>
      <c r="P108" s="51"/>
      <c r="Q108" s="338"/>
      <c r="R108" s="51"/>
      <c r="S108" s="51"/>
      <c r="T108" s="338"/>
      <c r="U108" s="51"/>
      <c r="V108" s="35"/>
      <c r="W108" s="364">
        <f t="shared" si="13"/>
        <v>253321.02999999997</v>
      </c>
      <c r="X108" s="285"/>
      <c r="Y108" s="285"/>
      <c r="Z108" s="285">
        <v>138995.35999999999</v>
      </c>
      <c r="AA108" s="285">
        <v>114325.67</v>
      </c>
      <c r="AB108" s="285"/>
      <c r="AC108" s="285"/>
      <c r="AD108" s="285"/>
      <c r="AE108" s="9"/>
      <c r="AF108" s="40"/>
      <c r="AG108" s="56"/>
    </row>
    <row r="109" spans="1:33" ht="20.25" customHeight="1" x14ac:dyDescent="0.3">
      <c r="A109" s="45">
        <f t="shared" ref="A109:A118" si="16">A108+1</f>
        <v>98</v>
      </c>
      <c r="B109" s="414" t="s">
        <v>134</v>
      </c>
      <c r="C109" s="51">
        <f t="shared" si="14"/>
        <v>114143.22</v>
      </c>
      <c r="D109" s="51">
        <f t="shared" si="15"/>
        <v>0</v>
      </c>
      <c r="E109" s="51"/>
      <c r="F109" s="51"/>
      <c r="G109" s="51"/>
      <c r="H109" s="51"/>
      <c r="I109" s="51"/>
      <c r="J109" s="51"/>
      <c r="K109" s="51"/>
      <c r="L109" s="51"/>
      <c r="M109" s="35"/>
      <c r="N109" s="51"/>
      <c r="O109" s="82"/>
      <c r="P109" s="51"/>
      <c r="Q109" s="338"/>
      <c r="R109" s="51"/>
      <c r="S109" s="51"/>
      <c r="T109" s="338"/>
      <c r="U109" s="51"/>
      <c r="V109" s="35"/>
      <c r="W109" s="364">
        <f t="shared" si="13"/>
        <v>114143.22</v>
      </c>
      <c r="X109" s="285"/>
      <c r="Y109" s="285"/>
      <c r="Z109" s="285"/>
      <c r="AA109" s="285">
        <v>114143.22</v>
      </c>
      <c r="AB109" s="285"/>
      <c r="AC109" s="285"/>
      <c r="AD109" s="285"/>
      <c r="AE109" s="9"/>
      <c r="AF109" s="40"/>
      <c r="AG109" s="56"/>
    </row>
    <row r="110" spans="1:33" ht="20.25" customHeight="1" x14ac:dyDescent="0.3">
      <c r="A110" s="45">
        <f t="shared" si="16"/>
        <v>99</v>
      </c>
      <c r="B110" s="414" t="s">
        <v>135</v>
      </c>
      <c r="C110" s="51">
        <f t="shared" si="14"/>
        <v>130000</v>
      </c>
      <c r="D110" s="51">
        <f t="shared" si="15"/>
        <v>0</v>
      </c>
      <c r="E110" s="51"/>
      <c r="F110" s="51"/>
      <c r="G110" s="51"/>
      <c r="H110" s="51"/>
      <c r="I110" s="51"/>
      <c r="J110" s="51"/>
      <c r="K110" s="51"/>
      <c r="L110" s="51"/>
      <c r="M110" s="35"/>
      <c r="N110" s="51"/>
      <c r="O110" s="82"/>
      <c r="P110" s="51"/>
      <c r="Q110" s="338"/>
      <c r="R110" s="51"/>
      <c r="S110" s="51"/>
      <c r="T110" s="338"/>
      <c r="U110" s="51"/>
      <c r="V110" s="35"/>
      <c r="W110" s="364">
        <v>130000</v>
      </c>
      <c r="X110" s="285"/>
      <c r="Y110" s="285"/>
      <c r="Z110" s="285"/>
      <c r="AA110" s="285"/>
      <c r="AB110" s="285"/>
      <c r="AC110" s="285"/>
      <c r="AD110" s="285"/>
      <c r="AE110" s="9"/>
      <c r="AF110" s="40"/>
      <c r="AG110" s="56">
        <v>1390649.62</v>
      </c>
    </row>
    <row r="111" spans="1:33" ht="20.25" customHeight="1" x14ac:dyDescent="0.3">
      <c r="A111" s="45">
        <f t="shared" si="16"/>
        <v>100</v>
      </c>
      <c r="B111" s="414" t="s">
        <v>136</v>
      </c>
      <c r="C111" s="51">
        <f t="shared" si="14"/>
        <v>182039</v>
      </c>
      <c r="D111" s="51">
        <f t="shared" si="15"/>
        <v>0</v>
      </c>
      <c r="E111" s="51"/>
      <c r="F111" s="51"/>
      <c r="G111" s="51"/>
      <c r="H111" s="51"/>
      <c r="I111" s="51"/>
      <c r="J111" s="51"/>
      <c r="K111" s="51"/>
      <c r="L111" s="51"/>
      <c r="M111" s="35"/>
      <c r="N111" s="51"/>
      <c r="O111" s="82">
        <v>13</v>
      </c>
      <c r="P111" s="51">
        <f>(10362+3641)*13</f>
        <v>182039</v>
      </c>
      <c r="Q111" s="338"/>
      <c r="R111" s="364"/>
      <c r="S111" s="51"/>
      <c r="T111" s="338"/>
      <c r="U111" s="51"/>
      <c r="V111" s="35"/>
      <c r="W111" s="364"/>
      <c r="X111" s="285"/>
      <c r="Y111" s="285"/>
      <c r="Z111" s="285"/>
      <c r="AA111" s="285"/>
      <c r="AB111" s="285"/>
      <c r="AC111" s="285"/>
      <c r="AD111" s="285"/>
      <c r="AE111" s="9"/>
      <c r="AF111" s="40"/>
      <c r="AG111" s="56"/>
    </row>
    <row r="112" spans="1:33" ht="20.25" customHeight="1" x14ac:dyDescent="0.3">
      <c r="A112" s="45">
        <f t="shared" si="16"/>
        <v>101</v>
      </c>
      <c r="B112" s="414" t="s">
        <v>137</v>
      </c>
      <c r="C112" s="51">
        <f t="shared" si="14"/>
        <v>130000</v>
      </c>
      <c r="D112" s="51">
        <f t="shared" si="15"/>
        <v>0</v>
      </c>
      <c r="E112" s="51"/>
      <c r="F112" s="51"/>
      <c r="G112" s="51"/>
      <c r="H112" s="51"/>
      <c r="I112" s="51"/>
      <c r="J112" s="51"/>
      <c r="K112" s="51"/>
      <c r="L112" s="51"/>
      <c r="M112" s="35"/>
      <c r="N112" s="51"/>
      <c r="O112" s="82"/>
      <c r="P112" s="51"/>
      <c r="Q112" s="338"/>
      <c r="R112" s="51"/>
      <c r="S112" s="51"/>
      <c r="T112" s="338"/>
      <c r="U112" s="51"/>
      <c r="V112" s="35"/>
      <c r="W112" s="364">
        <v>130000</v>
      </c>
      <c r="X112" s="285"/>
      <c r="Y112" s="285"/>
      <c r="Z112" s="285"/>
      <c r="AA112" s="285"/>
      <c r="AB112" s="285"/>
      <c r="AC112" s="285"/>
      <c r="AD112" s="285"/>
      <c r="AE112" s="9"/>
      <c r="AF112" s="40"/>
      <c r="AG112" s="56">
        <v>1404933.8</v>
      </c>
    </row>
    <row r="113" spans="1:33" ht="20.25" customHeight="1" x14ac:dyDescent="0.3">
      <c r="A113" s="45">
        <f t="shared" si="16"/>
        <v>102</v>
      </c>
      <c r="B113" s="414" t="s">
        <v>138</v>
      </c>
      <c r="C113" s="51">
        <f t="shared" si="14"/>
        <v>130000</v>
      </c>
      <c r="D113" s="51">
        <f t="shared" si="15"/>
        <v>0</v>
      </c>
      <c r="E113" s="51"/>
      <c r="F113" s="51"/>
      <c r="G113" s="51"/>
      <c r="H113" s="51"/>
      <c r="I113" s="51"/>
      <c r="J113" s="51"/>
      <c r="K113" s="51"/>
      <c r="L113" s="51"/>
      <c r="M113" s="35"/>
      <c r="N113" s="51"/>
      <c r="O113" s="82"/>
      <c r="P113" s="51"/>
      <c r="Q113" s="338"/>
      <c r="R113" s="51"/>
      <c r="S113" s="51"/>
      <c r="T113" s="338"/>
      <c r="U113" s="51"/>
      <c r="V113" s="35"/>
      <c r="W113" s="364">
        <v>130000</v>
      </c>
      <c r="X113" s="285"/>
      <c r="Y113" s="285"/>
      <c r="Z113" s="285"/>
      <c r="AA113" s="285"/>
      <c r="AB113" s="285"/>
      <c r="AC113" s="285"/>
      <c r="AD113" s="285"/>
      <c r="AE113" s="9"/>
      <c r="AF113" s="40"/>
      <c r="AG113" s="56">
        <v>1685492.29</v>
      </c>
    </row>
    <row r="114" spans="1:33" ht="20.25" customHeight="1" x14ac:dyDescent="0.3">
      <c r="A114" s="45">
        <f t="shared" si="16"/>
        <v>103</v>
      </c>
      <c r="B114" s="414" t="s">
        <v>139</v>
      </c>
      <c r="C114" s="51">
        <f t="shared" si="14"/>
        <v>130000</v>
      </c>
      <c r="D114" s="51">
        <f t="shared" si="15"/>
        <v>0</v>
      </c>
      <c r="E114" s="51"/>
      <c r="F114" s="51"/>
      <c r="G114" s="51"/>
      <c r="H114" s="51"/>
      <c r="I114" s="51"/>
      <c r="J114" s="51"/>
      <c r="K114" s="51"/>
      <c r="L114" s="51"/>
      <c r="M114" s="35"/>
      <c r="N114" s="51"/>
      <c r="O114" s="82"/>
      <c r="P114" s="51"/>
      <c r="Q114" s="338"/>
      <c r="R114" s="51"/>
      <c r="S114" s="51"/>
      <c r="T114" s="338"/>
      <c r="U114" s="51"/>
      <c r="V114" s="35"/>
      <c r="W114" s="364">
        <v>130000</v>
      </c>
      <c r="X114" s="285"/>
      <c r="Y114" s="285"/>
      <c r="Z114" s="285"/>
      <c r="AA114" s="285"/>
      <c r="AB114" s="285"/>
      <c r="AC114" s="285"/>
      <c r="AD114" s="285"/>
      <c r="AE114" s="9"/>
      <c r="AF114" s="40"/>
      <c r="AG114" s="56">
        <v>1404981.25</v>
      </c>
    </row>
    <row r="115" spans="1:33" ht="20.25" customHeight="1" x14ac:dyDescent="0.3">
      <c r="A115" s="45">
        <f t="shared" si="16"/>
        <v>104</v>
      </c>
      <c r="B115" s="414" t="s">
        <v>140</v>
      </c>
      <c r="C115" s="51">
        <f t="shared" si="14"/>
        <v>400264.63</v>
      </c>
      <c r="D115" s="51">
        <f t="shared" si="15"/>
        <v>0</v>
      </c>
      <c r="E115" s="51"/>
      <c r="F115" s="51"/>
      <c r="G115" s="51"/>
      <c r="H115" s="51"/>
      <c r="I115" s="51"/>
      <c r="J115" s="51"/>
      <c r="K115" s="51"/>
      <c r="L115" s="51"/>
      <c r="M115" s="35"/>
      <c r="N115" s="51"/>
      <c r="O115" s="82"/>
      <c r="P115" s="51"/>
      <c r="Q115" s="338"/>
      <c r="R115" s="51"/>
      <c r="S115" s="51"/>
      <c r="T115" s="338"/>
      <c r="U115" s="51"/>
      <c r="V115" s="35"/>
      <c r="W115" s="364">
        <f>SUM(Y115:AE115)</f>
        <v>400264.63</v>
      </c>
      <c r="X115" s="285"/>
      <c r="Y115" s="285"/>
      <c r="Z115" s="285"/>
      <c r="AA115" s="285"/>
      <c r="AB115" s="285"/>
      <c r="AC115" s="285">
        <v>207224.24</v>
      </c>
      <c r="AD115" s="285"/>
      <c r="AE115" s="9">
        <v>193040.39</v>
      </c>
      <c r="AF115" s="40"/>
      <c r="AG115" s="56">
        <v>592205.81999999995</v>
      </c>
    </row>
    <row r="116" spans="1:33" ht="20.25" customHeight="1" x14ac:dyDescent="0.3">
      <c r="A116" s="45">
        <f t="shared" si="16"/>
        <v>105</v>
      </c>
      <c r="B116" s="414" t="s">
        <v>141</v>
      </c>
      <c r="C116" s="51">
        <f t="shared" si="14"/>
        <v>5263073.0600000005</v>
      </c>
      <c r="D116" s="51">
        <f t="shared" si="15"/>
        <v>0</v>
      </c>
      <c r="E116" s="51"/>
      <c r="F116" s="51"/>
      <c r="G116" s="51"/>
      <c r="H116" s="51"/>
      <c r="I116" s="51"/>
      <c r="J116" s="51"/>
      <c r="K116" s="51"/>
      <c r="L116" s="51"/>
      <c r="M116" s="35">
        <v>336.1</v>
      </c>
      <c r="N116" s="51">
        <v>5028625.58</v>
      </c>
      <c r="O116" s="82"/>
      <c r="P116" s="51"/>
      <c r="Q116" s="338"/>
      <c r="R116" s="364"/>
      <c r="S116" s="51"/>
      <c r="T116" s="338"/>
      <c r="U116" s="51"/>
      <c r="V116" s="35"/>
      <c r="W116" s="364">
        <f>SUM(Y116:AE116)</f>
        <v>234447.47999999998</v>
      </c>
      <c r="X116" s="285"/>
      <c r="Y116" s="285">
        <v>114911.34</v>
      </c>
      <c r="Z116" s="285"/>
      <c r="AA116" s="285">
        <v>119536.14</v>
      </c>
      <c r="AB116" s="285"/>
      <c r="AC116" s="285"/>
      <c r="AD116" s="285"/>
      <c r="AE116" s="9"/>
      <c r="AF116" s="40"/>
      <c r="AG116" s="56"/>
    </row>
    <row r="117" spans="1:33" ht="20.25" customHeight="1" x14ac:dyDescent="0.3">
      <c r="A117" s="45">
        <f t="shared" si="16"/>
        <v>106</v>
      </c>
      <c r="B117" s="414" t="s">
        <v>142</v>
      </c>
      <c r="C117" s="51">
        <f t="shared" si="14"/>
        <v>164635.60999999999</v>
      </c>
      <c r="D117" s="51">
        <f t="shared" si="15"/>
        <v>0</v>
      </c>
      <c r="E117" s="51"/>
      <c r="F117" s="51"/>
      <c r="G117" s="51"/>
      <c r="H117" s="51"/>
      <c r="I117" s="51"/>
      <c r="J117" s="51"/>
      <c r="K117" s="51"/>
      <c r="L117" s="51"/>
      <c r="M117" s="35"/>
      <c r="N117" s="51"/>
      <c r="O117" s="82"/>
      <c r="P117" s="51"/>
      <c r="Q117" s="338"/>
      <c r="R117" s="51"/>
      <c r="S117" s="51"/>
      <c r="T117" s="338"/>
      <c r="U117" s="51"/>
      <c r="V117" s="35"/>
      <c r="W117" s="364">
        <f>SUM(Y117:AE117)</f>
        <v>164635.60999999999</v>
      </c>
      <c r="X117" s="285"/>
      <c r="Y117" s="285">
        <v>164635.60999999999</v>
      </c>
      <c r="Z117" s="285"/>
      <c r="AA117" s="285"/>
      <c r="AB117" s="285"/>
      <c r="AC117" s="285"/>
      <c r="AD117" s="285"/>
      <c r="AE117" s="9"/>
      <c r="AF117" s="40"/>
      <c r="AG117" s="56"/>
    </row>
    <row r="118" spans="1:33" ht="20.25" customHeight="1" x14ac:dyDescent="0.3">
      <c r="A118" s="45">
        <f t="shared" si="16"/>
        <v>107</v>
      </c>
      <c r="B118" s="414" t="s">
        <v>143</v>
      </c>
      <c r="C118" s="51">
        <f t="shared" si="14"/>
        <v>130000</v>
      </c>
      <c r="D118" s="51">
        <f t="shared" si="15"/>
        <v>0</v>
      </c>
      <c r="E118" s="51"/>
      <c r="F118" s="51"/>
      <c r="G118" s="51"/>
      <c r="H118" s="51"/>
      <c r="I118" s="51"/>
      <c r="J118" s="51"/>
      <c r="K118" s="51"/>
      <c r="L118" s="51"/>
      <c r="M118" s="35"/>
      <c r="N118" s="51"/>
      <c r="O118" s="82"/>
      <c r="P118" s="51"/>
      <c r="Q118" s="338"/>
      <c r="R118" s="51"/>
      <c r="S118" s="51"/>
      <c r="T118" s="338"/>
      <c r="U118" s="51"/>
      <c r="V118" s="35"/>
      <c r="W118" s="364">
        <v>130000</v>
      </c>
      <c r="X118" s="285"/>
      <c r="Y118" s="285"/>
      <c r="Z118" s="285"/>
      <c r="AA118" s="285"/>
      <c r="AB118" s="285"/>
      <c r="AC118" s="285"/>
      <c r="AD118" s="285"/>
      <c r="AE118" s="9"/>
      <c r="AF118" s="40"/>
      <c r="AG118" s="56"/>
    </row>
    <row r="119" spans="1:33" ht="20.25" customHeight="1" x14ac:dyDescent="0.3">
      <c r="A119" s="45"/>
      <c r="B119" s="414" t="s">
        <v>144</v>
      </c>
      <c r="C119" s="51">
        <f t="shared" ref="C119:W119" si="17">SUM(C12:C118)</f>
        <v>95709911.01000002</v>
      </c>
      <c r="D119" s="51">
        <f t="shared" si="17"/>
        <v>0</v>
      </c>
      <c r="E119" s="51">
        <f t="shared" si="17"/>
        <v>0</v>
      </c>
      <c r="F119" s="51">
        <f t="shared" si="17"/>
        <v>0</v>
      </c>
      <c r="G119" s="51">
        <f t="shared" si="17"/>
        <v>0</v>
      </c>
      <c r="H119" s="51">
        <f t="shared" si="17"/>
        <v>0</v>
      </c>
      <c r="I119" s="51">
        <f t="shared" si="17"/>
        <v>0</v>
      </c>
      <c r="J119" s="51">
        <f t="shared" si="17"/>
        <v>0</v>
      </c>
      <c r="K119" s="51">
        <f t="shared" si="17"/>
        <v>0</v>
      </c>
      <c r="L119" s="51">
        <f t="shared" si="17"/>
        <v>0</v>
      </c>
      <c r="M119" s="35">
        <f t="shared" si="17"/>
        <v>5351.4000000000005</v>
      </c>
      <c r="N119" s="51">
        <f t="shared" si="17"/>
        <v>36887896.159999996</v>
      </c>
      <c r="O119" s="82">
        <f t="shared" si="17"/>
        <v>953.4</v>
      </c>
      <c r="P119" s="51">
        <f t="shared" si="17"/>
        <v>25039632.199999999</v>
      </c>
      <c r="Q119" s="338">
        <f t="shared" si="17"/>
        <v>0</v>
      </c>
      <c r="R119" s="51">
        <f t="shared" si="17"/>
        <v>0</v>
      </c>
      <c r="S119" s="51">
        <f t="shared" si="17"/>
        <v>0</v>
      </c>
      <c r="T119" s="338">
        <f t="shared" si="17"/>
        <v>0</v>
      </c>
      <c r="U119" s="51">
        <f t="shared" si="17"/>
        <v>0</v>
      </c>
      <c r="V119" s="35">
        <f t="shared" si="17"/>
        <v>0</v>
      </c>
      <c r="W119" s="51">
        <f t="shared" si="17"/>
        <v>33782382.649999999</v>
      </c>
      <c r="X119" s="329"/>
      <c r="Y119" s="285"/>
      <c r="Z119" s="285"/>
      <c r="AA119" s="285"/>
      <c r="AB119" s="285"/>
      <c r="AC119" s="285"/>
      <c r="AD119" s="285"/>
      <c r="AE119" s="9"/>
      <c r="AF119" s="40"/>
      <c r="AG119" s="56"/>
    </row>
    <row r="120" spans="1:33" ht="20.25" customHeight="1" x14ac:dyDescent="0.3">
      <c r="A120" s="433" t="s">
        <v>145</v>
      </c>
      <c r="B120" s="414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35"/>
      <c r="N120" s="51"/>
      <c r="O120" s="82"/>
      <c r="P120" s="51"/>
      <c r="Q120" s="338"/>
      <c r="R120" s="51"/>
      <c r="S120" s="51"/>
      <c r="T120" s="338"/>
      <c r="U120" s="51"/>
      <c r="V120" s="35"/>
      <c r="W120" s="364"/>
      <c r="X120" s="285"/>
      <c r="Y120" s="285"/>
      <c r="Z120" s="285"/>
      <c r="AA120" s="285"/>
      <c r="AB120" s="285"/>
      <c r="AC120" s="285"/>
      <c r="AD120" s="285"/>
      <c r="AE120" s="9"/>
      <c r="AF120" s="40"/>
      <c r="AG120" s="56"/>
    </row>
    <row r="121" spans="1:33" ht="20.25" customHeight="1" x14ac:dyDescent="0.3">
      <c r="A121" s="45">
        <f>A118+1</f>
        <v>108</v>
      </c>
      <c r="B121" s="414" t="s">
        <v>146</v>
      </c>
      <c r="C121" s="51">
        <f>D121+K121+L121+N121+P121+R121+S121+U121+V121+W121</f>
        <v>130000</v>
      </c>
      <c r="D121" s="51">
        <f>E121+F121+G121+H121+I121</f>
        <v>0</v>
      </c>
      <c r="E121" s="51"/>
      <c r="F121" s="51"/>
      <c r="G121" s="51"/>
      <c r="H121" s="51"/>
      <c r="I121" s="51"/>
      <c r="J121" s="51"/>
      <c r="K121" s="51"/>
      <c r="L121" s="51"/>
      <c r="M121" s="35"/>
      <c r="N121" s="51"/>
      <c r="O121" s="82"/>
      <c r="P121" s="51"/>
      <c r="Q121" s="338"/>
      <c r="R121" s="51"/>
      <c r="S121" s="51"/>
      <c r="T121" s="338"/>
      <c r="U121" s="51"/>
      <c r="V121" s="35"/>
      <c r="W121" s="364">
        <v>130000</v>
      </c>
      <c r="X121" s="285"/>
      <c r="Y121" s="285"/>
      <c r="Z121" s="9"/>
      <c r="AA121" s="40"/>
      <c r="AB121" s="56"/>
      <c r="AC121" s="56"/>
      <c r="AD121" s="56"/>
      <c r="AE121" s="56"/>
      <c r="AF121" s="9"/>
      <c r="AG121" s="9"/>
    </row>
    <row r="122" spans="1:33" ht="20.25" customHeight="1" x14ac:dyDescent="0.3">
      <c r="A122" s="45"/>
      <c r="B122" s="414" t="s">
        <v>144</v>
      </c>
      <c r="C122" s="51">
        <f t="shared" ref="C122:W122" si="18">C121</f>
        <v>130000</v>
      </c>
      <c r="D122" s="51">
        <f t="shared" si="18"/>
        <v>0</v>
      </c>
      <c r="E122" s="51">
        <f t="shared" si="18"/>
        <v>0</v>
      </c>
      <c r="F122" s="51">
        <f t="shared" si="18"/>
        <v>0</v>
      </c>
      <c r="G122" s="51">
        <f t="shared" si="18"/>
        <v>0</v>
      </c>
      <c r="H122" s="51">
        <f t="shared" si="18"/>
        <v>0</v>
      </c>
      <c r="I122" s="51">
        <f t="shared" si="18"/>
        <v>0</v>
      </c>
      <c r="J122" s="51">
        <f t="shared" si="18"/>
        <v>0</v>
      </c>
      <c r="K122" s="51">
        <f t="shared" si="18"/>
        <v>0</v>
      </c>
      <c r="L122" s="51">
        <f t="shared" si="18"/>
        <v>0</v>
      </c>
      <c r="M122" s="35">
        <f t="shared" si="18"/>
        <v>0</v>
      </c>
      <c r="N122" s="51">
        <f t="shared" si="18"/>
        <v>0</v>
      </c>
      <c r="O122" s="82">
        <f t="shared" si="18"/>
        <v>0</v>
      </c>
      <c r="P122" s="51">
        <f t="shared" si="18"/>
        <v>0</v>
      </c>
      <c r="Q122" s="338">
        <f t="shared" si="18"/>
        <v>0</v>
      </c>
      <c r="R122" s="51">
        <f t="shared" si="18"/>
        <v>0</v>
      </c>
      <c r="S122" s="51">
        <f t="shared" si="18"/>
        <v>0</v>
      </c>
      <c r="T122" s="338">
        <f t="shared" si="18"/>
        <v>0</v>
      </c>
      <c r="U122" s="51">
        <f t="shared" si="18"/>
        <v>0</v>
      </c>
      <c r="V122" s="35">
        <f t="shared" si="18"/>
        <v>0</v>
      </c>
      <c r="W122" s="51">
        <f t="shared" si="18"/>
        <v>130000</v>
      </c>
      <c r="X122" s="329"/>
      <c r="Y122" s="285"/>
      <c r="Z122" s="9"/>
      <c r="AA122" s="40"/>
      <c r="AB122" s="56"/>
      <c r="AC122" s="56"/>
      <c r="AD122" s="56"/>
      <c r="AE122" s="56"/>
      <c r="AF122" s="9"/>
      <c r="AG122" s="9"/>
    </row>
    <row r="123" spans="1:33" ht="20.25" customHeight="1" x14ac:dyDescent="0.3">
      <c r="A123" s="434" t="s">
        <v>147</v>
      </c>
      <c r="B123" s="414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35"/>
      <c r="N123" s="51"/>
      <c r="O123" s="82"/>
      <c r="P123" s="51"/>
      <c r="Q123" s="338"/>
      <c r="R123" s="51"/>
      <c r="S123" s="51"/>
      <c r="T123" s="338"/>
      <c r="U123" s="51"/>
      <c r="V123" s="35"/>
      <c r="W123" s="364"/>
      <c r="X123" s="285"/>
      <c r="Y123" s="285"/>
      <c r="Z123" s="9"/>
      <c r="AA123" s="40"/>
      <c r="AB123" s="56"/>
      <c r="AC123" s="56"/>
      <c r="AD123" s="56"/>
      <c r="AE123" s="56"/>
      <c r="AF123" s="9"/>
      <c r="AG123" s="9"/>
    </row>
    <row r="124" spans="1:33" ht="20.25" customHeight="1" x14ac:dyDescent="0.3">
      <c r="A124" s="45">
        <f>A121+1</f>
        <v>109</v>
      </c>
      <c r="B124" s="414" t="s">
        <v>148</v>
      </c>
      <c r="C124" s="51">
        <f t="shared" ref="C124:C137" si="19">D124+K124+L124+N124+P124+R124+S124+U124+V124+W124</f>
        <v>130000</v>
      </c>
      <c r="D124" s="51">
        <f t="shared" ref="D124:D137" si="20">E124+F124+G124+H124+I124</f>
        <v>0</v>
      </c>
      <c r="E124" s="51"/>
      <c r="F124" s="51"/>
      <c r="G124" s="51"/>
      <c r="H124" s="51"/>
      <c r="I124" s="51"/>
      <c r="J124" s="51"/>
      <c r="K124" s="51"/>
      <c r="L124" s="51"/>
      <c r="M124" s="35"/>
      <c r="N124" s="51"/>
      <c r="O124" s="82"/>
      <c r="P124" s="51"/>
      <c r="Q124" s="338"/>
      <c r="R124" s="51"/>
      <c r="S124" s="51"/>
      <c r="T124" s="338"/>
      <c r="U124" s="51"/>
      <c r="V124" s="35"/>
      <c r="W124" s="364">
        <v>130000</v>
      </c>
      <c r="X124" s="285"/>
      <c r="Y124" s="285"/>
      <c r="Z124" s="285"/>
      <c r="AA124" s="285"/>
      <c r="AB124" s="285"/>
      <c r="AC124" s="285"/>
      <c r="AD124" s="285"/>
      <c r="AE124" s="9"/>
      <c r="AF124" s="40"/>
      <c r="AG124" s="56"/>
    </row>
    <row r="125" spans="1:33" ht="20.25" customHeight="1" x14ac:dyDescent="0.3">
      <c r="A125" s="45">
        <f t="shared" ref="A125:A137" si="21">A124+1</f>
        <v>110</v>
      </c>
      <c r="B125" s="414" t="s">
        <v>149</v>
      </c>
      <c r="C125" s="51">
        <f t="shared" si="19"/>
        <v>130000</v>
      </c>
      <c r="D125" s="51">
        <f t="shared" si="20"/>
        <v>0</v>
      </c>
      <c r="E125" s="51"/>
      <c r="F125" s="51"/>
      <c r="G125" s="51"/>
      <c r="H125" s="51"/>
      <c r="I125" s="51"/>
      <c r="J125" s="51"/>
      <c r="K125" s="51"/>
      <c r="L125" s="51"/>
      <c r="M125" s="35"/>
      <c r="N125" s="51"/>
      <c r="O125" s="82"/>
      <c r="P125" s="51"/>
      <c r="Q125" s="338"/>
      <c r="R125" s="51"/>
      <c r="S125" s="51"/>
      <c r="T125" s="338"/>
      <c r="U125" s="51"/>
      <c r="V125" s="35"/>
      <c r="W125" s="364">
        <v>130000</v>
      </c>
      <c r="X125" s="285"/>
      <c r="Y125" s="285"/>
      <c r="Z125" s="285"/>
      <c r="AA125" s="285"/>
      <c r="AB125" s="285"/>
      <c r="AC125" s="285"/>
      <c r="AD125" s="285"/>
      <c r="AE125" s="9"/>
      <c r="AF125" s="40"/>
      <c r="AG125" s="56"/>
    </row>
    <row r="126" spans="1:33" ht="20.25" customHeight="1" x14ac:dyDescent="0.3">
      <c r="A126" s="45">
        <f t="shared" si="21"/>
        <v>111</v>
      </c>
      <c r="B126" s="414" t="s">
        <v>150</v>
      </c>
      <c r="C126" s="51">
        <f t="shared" si="19"/>
        <v>172012.94</v>
      </c>
      <c r="D126" s="51">
        <f t="shared" si="20"/>
        <v>0</v>
      </c>
      <c r="E126" s="51"/>
      <c r="F126" s="51"/>
      <c r="G126" s="51"/>
      <c r="H126" s="51"/>
      <c r="I126" s="51"/>
      <c r="J126" s="51"/>
      <c r="K126" s="51"/>
      <c r="L126" s="51"/>
      <c r="M126" s="35"/>
      <c r="N126" s="51"/>
      <c r="O126" s="82"/>
      <c r="P126" s="51"/>
      <c r="Q126" s="338"/>
      <c r="R126" s="51"/>
      <c r="S126" s="51"/>
      <c r="T126" s="338"/>
      <c r="U126" s="51"/>
      <c r="V126" s="35"/>
      <c r="W126" s="364">
        <f>SUM(Y126:AE126)</f>
        <v>172012.94</v>
      </c>
      <c r="X126" s="285"/>
      <c r="Y126" s="285">
        <v>85344.25</v>
      </c>
      <c r="Z126" s="285"/>
      <c r="AA126" s="285"/>
      <c r="AB126" s="285"/>
      <c r="AC126" s="285">
        <v>86668.69</v>
      </c>
      <c r="AD126" s="285"/>
      <c r="AE126" s="9"/>
      <c r="AF126" s="40"/>
      <c r="AG126" s="56"/>
    </row>
    <row r="127" spans="1:33" ht="20.25" customHeight="1" x14ac:dyDescent="0.3">
      <c r="A127" s="45">
        <f t="shared" si="21"/>
        <v>112</v>
      </c>
      <c r="B127" s="414" t="s">
        <v>151</v>
      </c>
      <c r="C127" s="51">
        <f t="shared" si="19"/>
        <v>214580.6</v>
      </c>
      <c r="D127" s="51">
        <f t="shared" si="20"/>
        <v>0</v>
      </c>
      <c r="E127" s="51"/>
      <c r="F127" s="51"/>
      <c r="G127" s="51"/>
      <c r="H127" s="51"/>
      <c r="I127" s="51"/>
      <c r="J127" s="51"/>
      <c r="K127" s="51"/>
      <c r="L127" s="51"/>
      <c r="M127" s="35"/>
      <c r="N127" s="51"/>
      <c r="O127" s="82"/>
      <c r="P127" s="51"/>
      <c r="Q127" s="338"/>
      <c r="R127" s="51"/>
      <c r="S127" s="51"/>
      <c r="T127" s="338"/>
      <c r="U127" s="51"/>
      <c r="V127" s="35"/>
      <c r="W127" s="364">
        <f>SUM(Y127:AE127)</f>
        <v>214580.6</v>
      </c>
      <c r="X127" s="285"/>
      <c r="Y127" s="285"/>
      <c r="Z127" s="285"/>
      <c r="AA127" s="285"/>
      <c r="AB127" s="285"/>
      <c r="AC127" s="285"/>
      <c r="AD127" s="285"/>
      <c r="AE127" s="9">
        <v>214580.6</v>
      </c>
      <c r="AF127" s="40"/>
      <c r="AG127" s="56"/>
    </row>
    <row r="128" spans="1:33" ht="20.25" customHeight="1" x14ac:dyDescent="0.3">
      <c r="A128" s="45">
        <f t="shared" si="21"/>
        <v>113</v>
      </c>
      <c r="B128" s="414" t="s">
        <v>152</v>
      </c>
      <c r="C128" s="51">
        <f t="shared" si="19"/>
        <v>213887.41</v>
      </c>
      <c r="D128" s="51">
        <f t="shared" si="20"/>
        <v>0</v>
      </c>
      <c r="E128" s="51"/>
      <c r="F128" s="51"/>
      <c r="G128" s="51"/>
      <c r="H128" s="51"/>
      <c r="I128" s="51"/>
      <c r="J128" s="51"/>
      <c r="K128" s="51"/>
      <c r="L128" s="51"/>
      <c r="M128" s="35"/>
      <c r="N128" s="51"/>
      <c r="O128" s="82"/>
      <c r="P128" s="51"/>
      <c r="Q128" s="338"/>
      <c r="R128" s="51"/>
      <c r="S128" s="51"/>
      <c r="T128" s="338"/>
      <c r="U128" s="51"/>
      <c r="V128" s="35"/>
      <c r="W128" s="364">
        <f>SUM(Y128:AE128)</f>
        <v>213887.41</v>
      </c>
      <c r="X128" s="285"/>
      <c r="Y128" s="285"/>
      <c r="Z128" s="285"/>
      <c r="AA128" s="285"/>
      <c r="AB128" s="285"/>
      <c r="AC128" s="285"/>
      <c r="AD128" s="285"/>
      <c r="AE128" s="9">
        <v>213887.41</v>
      </c>
      <c r="AF128" s="40"/>
      <c r="AG128" s="56"/>
    </row>
    <row r="129" spans="1:33" ht="20.25" customHeight="1" x14ac:dyDescent="0.3">
      <c r="A129" s="45">
        <f t="shared" si="21"/>
        <v>114</v>
      </c>
      <c r="B129" s="414" t="s">
        <v>153</v>
      </c>
      <c r="C129" s="51">
        <f t="shared" si="19"/>
        <v>130000</v>
      </c>
      <c r="D129" s="51">
        <f t="shared" si="20"/>
        <v>0</v>
      </c>
      <c r="E129" s="51"/>
      <c r="F129" s="51"/>
      <c r="G129" s="51"/>
      <c r="H129" s="51"/>
      <c r="I129" s="51"/>
      <c r="J129" s="51"/>
      <c r="K129" s="51"/>
      <c r="L129" s="51"/>
      <c r="M129" s="35"/>
      <c r="N129" s="51"/>
      <c r="O129" s="82"/>
      <c r="P129" s="51"/>
      <c r="Q129" s="338"/>
      <c r="R129" s="51"/>
      <c r="S129" s="51"/>
      <c r="T129" s="338"/>
      <c r="U129" s="51"/>
      <c r="V129" s="35"/>
      <c r="W129" s="364">
        <v>130000</v>
      </c>
      <c r="X129" s="285"/>
      <c r="Y129" s="285"/>
      <c r="Z129" s="285"/>
      <c r="AA129" s="285"/>
      <c r="AB129" s="285"/>
      <c r="AC129" s="285"/>
      <c r="AD129" s="285"/>
      <c r="AE129" s="9"/>
      <c r="AF129" s="40"/>
      <c r="AG129" s="56"/>
    </row>
    <row r="130" spans="1:33" ht="20.25" customHeight="1" x14ac:dyDescent="0.3">
      <c r="A130" s="45">
        <f t="shared" si="21"/>
        <v>115</v>
      </c>
      <c r="B130" s="414" t="s">
        <v>154</v>
      </c>
      <c r="C130" s="51">
        <f t="shared" si="19"/>
        <v>206467.06</v>
      </c>
      <c r="D130" s="51">
        <f t="shared" si="20"/>
        <v>0</v>
      </c>
      <c r="E130" s="51"/>
      <c r="F130" s="51"/>
      <c r="G130" s="51"/>
      <c r="H130" s="51"/>
      <c r="I130" s="51"/>
      <c r="J130" s="51"/>
      <c r="K130" s="51"/>
      <c r="L130" s="51"/>
      <c r="M130" s="35"/>
      <c r="N130" s="51"/>
      <c r="O130" s="82"/>
      <c r="P130" s="51"/>
      <c r="Q130" s="338"/>
      <c r="R130" s="51"/>
      <c r="S130" s="51"/>
      <c r="T130" s="338"/>
      <c r="U130" s="51"/>
      <c r="V130" s="35"/>
      <c r="W130" s="364">
        <f>SUM(Y130:AE130)</f>
        <v>206467.06</v>
      </c>
      <c r="X130" s="285"/>
      <c r="Y130" s="285"/>
      <c r="Z130" s="285"/>
      <c r="AA130" s="285"/>
      <c r="AB130" s="285"/>
      <c r="AC130" s="285"/>
      <c r="AD130" s="285"/>
      <c r="AE130" s="9">
        <v>206467.06</v>
      </c>
      <c r="AF130" s="40"/>
      <c r="AG130" s="56"/>
    </row>
    <row r="131" spans="1:33" ht="20.25" customHeight="1" x14ac:dyDescent="0.3">
      <c r="A131" s="45">
        <f t="shared" si="21"/>
        <v>116</v>
      </c>
      <c r="B131" s="414" t="s">
        <v>155</v>
      </c>
      <c r="C131" s="51">
        <f t="shared" si="19"/>
        <v>206853.66</v>
      </c>
      <c r="D131" s="51">
        <f t="shared" si="20"/>
        <v>0</v>
      </c>
      <c r="E131" s="51"/>
      <c r="F131" s="51"/>
      <c r="G131" s="51"/>
      <c r="H131" s="51"/>
      <c r="I131" s="51"/>
      <c r="J131" s="51"/>
      <c r="K131" s="51"/>
      <c r="L131" s="51"/>
      <c r="M131" s="35"/>
      <c r="N131" s="51"/>
      <c r="O131" s="82"/>
      <c r="P131" s="51"/>
      <c r="Q131" s="338"/>
      <c r="R131" s="51"/>
      <c r="S131" s="51"/>
      <c r="T131" s="338"/>
      <c r="U131" s="51"/>
      <c r="V131" s="35"/>
      <c r="W131" s="364">
        <f>SUM(Y131:AE131)</f>
        <v>206853.66</v>
      </c>
      <c r="X131" s="285"/>
      <c r="Y131" s="285"/>
      <c r="Z131" s="285"/>
      <c r="AA131" s="285"/>
      <c r="AB131" s="285"/>
      <c r="AC131" s="285"/>
      <c r="AD131" s="285"/>
      <c r="AE131" s="9">
        <v>206853.66</v>
      </c>
      <c r="AF131" s="40"/>
      <c r="AG131" s="56"/>
    </row>
    <row r="132" spans="1:33" ht="20.25" customHeight="1" x14ac:dyDescent="0.3">
      <c r="A132" s="45">
        <f t="shared" si="21"/>
        <v>117</v>
      </c>
      <c r="B132" s="414" t="s">
        <v>156</v>
      </c>
      <c r="C132" s="51">
        <f t="shared" si="19"/>
        <v>191165.9</v>
      </c>
      <c r="D132" s="51">
        <f t="shared" si="20"/>
        <v>0</v>
      </c>
      <c r="E132" s="51"/>
      <c r="F132" s="51"/>
      <c r="G132" s="51"/>
      <c r="H132" s="51"/>
      <c r="I132" s="51"/>
      <c r="J132" s="51"/>
      <c r="K132" s="51"/>
      <c r="L132" s="51"/>
      <c r="M132" s="35"/>
      <c r="N132" s="51"/>
      <c r="O132" s="82"/>
      <c r="P132" s="51"/>
      <c r="Q132" s="338"/>
      <c r="R132" s="51"/>
      <c r="S132" s="51"/>
      <c r="T132" s="338"/>
      <c r="U132" s="51"/>
      <c r="V132" s="35"/>
      <c r="W132" s="364">
        <f>SUM(Y132:AE132)</f>
        <v>191165.9</v>
      </c>
      <c r="X132" s="285"/>
      <c r="Y132" s="285"/>
      <c r="Z132" s="285"/>
      <c r="AA132" s="285"/>
      <c r="AB132" s="285"/>
      <c r="AC132" s="285"/>
      <c r="AD132" s="285"/>
      <c r="AE132" s="9">
        <v>191165.9</v>
      </c>
      <c r="AF132" s="40"/>
      <c r="AG132" s="56"/>
    </row>
    <row r="133" spans="1:33" ht="20.25" customHeight="1" x14ac:dyDescent="0.3">
      <c r="A133" s="45">
        <f t="shared" si="21"/>
        <v>118</v>
      </c>
      <c r="B133" s="414" t="s">
        <v>157</v>
      </c>
      <c r="C133" s="51">
        <f t="shared" si="19"/>
        <v>192695.06</v>
      </c>
      <c r="D133" s="51">
        <f t="shared" si="20"/>
        <v>0</v>
      </c>
      <c r="E133" s="51"/>
      <c r="F133" s="51"/>
      <c r="G133" s="51"/>
      <c r="H133" s="51"/>
      <c r="I133" s="51"/>
      <c r="J133" s="51"/>
      <c r="K133" s="51"/>
      <c r="L133" s="51"/>
      <c r="M133" s="35"/>
      <c r="N133" s="51"/>
      <c r="O133" s="82"/>
      <c r="P133" s="51"/>
      <c r="Q133" s="338"/>
      <c r="R133" s="51"/>
      <c r="S133" s="51"/>
      <c r="T133" s="338"/>
      <c r="U133" s="51"/>
      <c r="V133" s="35"/>
      <c r="W133" s="364">
        <f>SUM(Y133:AE133)</f>
        <v>192695.06</v>
      </c>
      <c r="X133" s="285"/>
      <c r="Y133" s="285"/>
      <c r="Z133" s="285"/>
      <c r="AA133" s="285"/>
      <c r="AB133" s="285"/>
      <c r="AC133" s="285"/>
      <c r="AD133" s="285"/>
      <c r="AE133" s="9">
        <v>192695.06</v>
      </c>
      <c r="AF133" s="40"/>
      <c r="AG133" s="56"/>
    </row>
    <row r="134" spans="1:33" ht="20.25" customHeight="1" x14ac:dyDescent="0.3">
      <c r="A134" s="45">
        <f t="shared" si="21"/>
        <v>119</v>
      </c>
      <c r="B134" s="414" t="s">
        <v>158</v>
      </c>
      <c r="C134" s="51">
        <f t="shared" si="19"/>
        <v>217866.32</v>
      </c>
      <c r="D134" s="51">
        <f t="shared" si="20"/>
        <v>0</v>
      </c>
      <c r="E134" s="51"/>
      <c r="F134" s="51"/>
      <c r="G134" s="51"/>
      <c r="H134" s="51"/>
      <c r="I134" s="51"/>
      <c r="J134" s="51"/>
      <c r="K134" s="51"/>
      <c r="L134" s="51"/>
      <c r="M134" s="35"/>
      <c r="N134" s="51"/>
      <c r="O134" s="82"/>
      <c r="P134" s="51"/>
      <c r="Q134" s="338"/>
      <c r="R134" s="51"/>
      <c r="S134" s="51"/>
      <c r="T134" s="338"/>
      <c r="U134" s="51"/>
      <c r="V134" s="35"/>
      <c r="W134" s="364">
        <f>SUM(Y134:AE134)</f>
        <v>217866.32</v>
      </c>
      <c r="X134" s="285"/>
      <c r="Y134" s="285"/>
      <c r="Z134" s="285"/>
      <c r="AA134" s="285"/>
      <c r="AB134" s="285"/>
      <c r="AC134" s="285"/>
      <c r="AD134" s="285"/>
      <c r="AE134" s="9">
        <v>217866.32</v>
      </c>
      <c r="AF134" s="40"/>
      <c r="AG134" s="56"/>
    </row>
    <row r="135" spans="1:33" ht="20.25" customHeight="1" x14ac:dyDescent="0.3">
      <c r="A135" s="45">
        <f t="shared" si="21"/>
        <v>120</v>
      </c>
      <c r="B135" s="414" t="s">
        <v>161</v>
      </c>
      <c r="C135" s="51">
        <f t="shared" si="19"/>
        <v>130000</v>
      </c>
      <c r="D135" s="51">
        <f t="shared" si="20"/>
        <v>0</v>
      </c>
      <c r="E135" s="51"/>
      <c r="F135" s="51"/>
      <c r="G135" s="51"/>
      <c r="H135" s="51"/>
      <c r="I135" s="51"/>
      <c r="J135" s="51"/>
      <c r="K135" s="51"/>
      <c r="L135" s="51"/>
      <c r="M135" s="35"/>
      <c r="N135" s="51"/>
      <c r="O135" s="82"/>
      <c r="P135" s="51"/>
      <c r="Q135" s="338"/>
      <c r="R135" s="51"/>
      <c r="S135" s="51"/>
      <c r="T135" s="338"/>
      <c r="U135" s="51"/>
      <c r="V135" s="35"/>
      <c r="W135" s="364">
        <v>130000</v>
      </c>
      <c r="X135" s="285"/>
      <c r="Y135" s="285"/>
      <c r="Z135" s="285"/>
      <c r="AA135" s="285"/>
      <c r="AB135" s="285"/>
      <c r="AC135" s="285"/>
      <c r="AD135" s="285"/>
      <c r="AE135" s="9"/>
      <c r="AF135" s="40"/>
      <c r="AG135" s="56"/>
    </row>
    <row r="136" spans="1:33" ht="20.25" customHeight="1" x14ac:dyDescent="0.3">
      <c r="A136" s="45">
        <f t="shared" si="21"/>
        <v>121</v>
      </c>
      <c r="B136" s="414" t="s">
        <v>162</v>
      </c>
      <c r="C136" s="51">
        <f t="shared" si="19"/>
        <v>187546.98</v>
      </c>
      <c r="D136" s="51">
        <f t="shared" si="20"/>
        <v>0</v>
      </c>
      <c r="E136" s="51"/>
      <c r="F136" s="51"/>
      <c r="G136" s="51"/>
      <c r="H136" s="51"/>
      <c r="I136" s="51"/>
      <c r="J136" s="51"/>
      <c r="K136" s="51"/>
      <c r="L136" s="51"/>
      <c r="M136" s="35"/>
      <c r="N136" s="51"/>
      <c r="O136" s="82"/>
      <c r="P136" s="51"/>
      <c r="Q136" s="338"/>
      <c r="R136" s="51"/>
      <c r="S136" s="51"/>
      <c r="T136" s="338"/>
      <c r="U136" s="51"/>
      <c r="V136" s="35"/>
      <c r="W136" s="364">
        <f>SUM(Y136:AE136)</f>
        <v>187546.98</v>
      </c>
      <c r="X136" s="285"/>
      <c r="Y136" s="285"/>
      <c r="Z136" s="285"/>
      <c r="AA136" s="285"/>
      <c r="AB136" s="285"/>
      <c r="AC136" s="285"/>
      <c r="AD136" s="285"/>
      <c r="AE136" s="9">
        <v>187546.98</v>
      </c>
      <c r="AF136" s="40"/>
      <c r="AG136" s="56"/>
    </row>
    <row r="137" spans="1:33" ht="20.25" customHeight="1" x14ac:dyDescent="0.3">
      <c r="A137" s="45">
        <f t="shared" si="21"/>
        <v>122</v>
      </c>
      <c r="B137" s="414" t="s">
        <v>163</v>
      </c>
      <c r="C137" s="51">
        <f t="shared" si="19"/>
        <v>634871.56999999995</v>
      </c>
      <c r="D137" s="51">
        <f t="shared" si="20"/>
        <v>0</v>
      </c>
      <c r="E137" s="51"/>
      <c r="F137" s="51"/>
      <c r="G137" s="51"/>
      <c r="H137" s="51"/>
      <c r="I137" s="51"/>
      <c r="J137" s="51"/>
      <c r="K137" s="51"/>
      <c r="L137" s="51"/>
      <c r="M137" s="35"/>
      <c r="N137" s="51"/>
      <c r="O137" s="82"/>
      <c r="P137" s="51"/>
      <c r="Q137" s="338"/>
      <c r="R137" s="51"/>
      <c r="S137" s="51"/>
      <c r="T137" s="338"/>
      <c r="U137" s="51"/>
      <c r="V137" s="35"/>
      <c r="W137" s="364">
        <f>SUM(Y137:AE137)</f>
        <v>634871.56999999995</v>
      </c>
      <c r="X137" s="285"/>
      <c r="Y137" s="285">
        <v>101498.26</v>
      </c>
      <c r="Z137" s="285">
        <v>130507.14</v>
      </c>
      <c r="AA137" s="285">
        <v>106636.93</v>
      </c>
      <c r="AB137" s="285"/>
      <c r="AC137" s="285">
        <v>103723.01</v>
      </c>
      <c r="AD137" s="285"/>
      <c r="AE137" s="9">
        <v>192506.23</v>
      </c>
      <c r="AF137" s="40"/>
      <c r="AG137" s="56"/>
    </row>
    <row r="138" spans="1:33" ht="20.25" customHeight="1" x14ac:dyDescent="0.3">
      <c r="A138" s="45"/>
      <c r="B138" s="414" t="s">
        <v>144</v>
      </c>
      <c r="C138" s="51">
        <f t="shared" ref="C138:W138" si="22">SUM(C124:C137)</f>
        <v>2957947.5</v>
      </c>
      <c r="D138" s="51">
        <f t="shared" si="22"/>
        <v>0</v>
      </c>
      <c r="E138" s="51">
        <f t="shared" si="22"/>
        <v>0</v>
      </c>
      <c r="F138" s="51">
        <f t="shared" si="22"/>
        <v>0</v>
      </c>
      <c r="G138" s="51">
        <f t="shared" si="22"/>
        <v>0</v>
      </c>
      <c r="H138" s="51">
        <f t="shared" si="22"/>
        <v>0</v>
      </c>
      <c r="I138" s="51">
        <f t="shared" si="22"/>
        <v>0</v>
      </c>
      <c r="J138" s="51">
        <f t="shared" si="22"/>
        <v>0</v>
      </c>
      <c r="K138" s="51">
        <f t="shared" si="22"/>
        <v>0</v>
      </c>
      <c r="L138" s="51">
        <f t="shared" si="22"/>
        <v>0</v>
      </c>
      <c r="M138" s="35">
        <f t="shared" si="22"/>
        <v>0</v>
      </c>
      <c r="N138" s="51">
        <f t="shared" si="22"/>
        <v>0</v>
      </c>
      <c r="O138" s="82">
        <f t="shared" si="22"/>
        <v>0</v>
      </c>
      <c r="P138" s="51">
        <f t="shared" si="22"/>
        <v>0</v>
      </c>
      <c r="Q138" s="338">
        <f t="shared" si="22"/>
        <v>0</v>
      </c>
      <c r="R138" s="51">
        <f t="shared" si="22"/>
        <v>0</v>
      </c>
      <c r="S138" s="51">
        <f t="shared" si="22"/>
        <v>0</v>
      </c>
      <c r="T138" s="338">
        <f t="shared" si="22"/>
        <v>0</v>
      </c>
      <c r="U138" s="51">
        <f t="shared" si="22"/>
        <v>0</v>
      </c>
      <c r="V138" s="35">
        <f t="shared" si="22"/>
        <v>0</v>
      </c>
      <c r="W138" s="51">
        <f t="shared" si="22"/>
        <v>2957947.5</v>
      </c>
      <c r="X138" s="329"/>
      <c r="Y138" s="285"/>
      <c r="Z138" s="285"/>
      <c r="AA138" s="285"/>
      <c r="AB138" s="285"/>
      <c r="AC138" s="285"/>
      <c r="AD138" s="285"/>
      <c r="AE138" s="9"/>
      <c r="AF138" s="40"/>
      <c r="AG138" s="56"/>
    </row>
    <row r="139" spans="1:33" ht="20.25" customHeight="1" x14ac:dyDescent="0.3">
      <c r="A139" s="45" t="s">
        <v>166</v>
      </c>
      <c r="B139" s="414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35"/>
      <c r="N139" s="51"/>
      <c r="O139" s="82"/>
      <c r="P139" s="51"/>
      <c r="Q139" s="338"/>
      <c r="R139" s="51"/>
      <c r="S139" s="51"/>
      <c r="T139" s="338"/>
      <c r="U139" s="51"/>
      <c r="V139" s="35"/>
      <c r="W139" s="364"/>
      <c r="X139" s="285"/>
      <c r="Y139" s="285"/>
      <c r="Z139" s="285"/>
      <c r="AA139" s="285"/>
      <c r="AB139" s="285"/>
      <c r="AC139" s="285"/>
      <c r="AD139" s="285"/>
      <c r="AE139" s="9"/>
      <c r="AF139" s="40"/>
      <c r="AG139" s="56"/>
    </row>
    <row r="140" spans="1:33" ht="20.25" customHeight="1" x14ac:dyDescent="0.3">
      <c r="A140" s="45">
        <f>A137+1</f>
        <v>123</v>
      </c>
      <c r="B140" s="414" t="s">
        <v>169</v>
      </c>
      <c r="C140" s="51">
        <f>D140+K140+L140+N140+P140+R140+S140+U140+V140+W140</f>
        <v>130000</v>
      </c>
      <c r="D140" s="51">
        <f>E140+F140+G140+H140+I140</f>
        <v>0</v>
      </c>
      <c r="E140" s="51"/>
      <c r="F140" s="51"/>
      <c r="G140" s="51"/>
      <c r="H140" s="51"/>
      <c r="I140" s="51"/>
      <c r="J140" s="51"/>
      <c r="K140" s="51"/>
      <c r="L140" s="51"/>
      <c r="M140" s="35"/>
      <c r="N140" s="51"/>
      <c r="O140" s="82"/>
      <c r="P140" s="51"/>
      <c r="Q140" s="338"/>
      <c r="R140" s="51"/>
      <c r="S140" s="51"/>
      <c r="T140" s="338"/>
      <c r="U140" s="51"/>
      <c r="V140" s="35"/>
      <c r="W140" s="364">
        <v>130000</v>
      </c>
      <c r="X140" s="285"/>
      <c r="Y140" s="285"/>
      <c r="Z140" s="285"/>
      <c r="AA140" s="285"/>
      <c r="AB140" s="285"/>
      <c r="AC140" s="285"/>
      <c r="AD140" s="285"/>
      <c r="AE140" s="9"/>
      <c r="AF140" s="40"/>
      <c r="AG140" s="56"/>
    </row>
    <row r="141" spans="1:33" ht="20.25" customHeight="1" x14ac:dyDescent="0.3">
      <c r="A141" s="45">
        <f>A140+1</f>
        <v>124</v>
      </c>
      <c r="B141" s="414" t="s">
        <v>170</v>
      </c>
      <c r="C141" s="51">
        <f>D141+K141+L141+N141+P141+R141+S141+U141+V141+W141</f>
        <v>130000</v>
      </c>
      <c r="D141" s="51">
        <f>E141+F141+G141+H141+I141</f>
        <v>0</v>
      </c>
      <c r="E141" s="51"/>
      <c r="F141" s="51"/>
      <c r="G141" s="51"/>
      <c r="H141" s="51"/>
      <c r="I141" s="51"/>
      <c r="J141" s="51"/>
      <c r="K141" s="51"/>
      <c r="L141" s="51"/>
      <c r="M141" s="35"/>
      <c r="N141" s="51"/>
      <c r="O141" s="82"/>
      <c r="P141" s="51"/>
      <c r="Q141" s="338"/>
      <c r="R141" s="51"/>
      <c r="S141" s="51"/>
      <c r="T141" s="338"/>
      <c r="U141" s="51"/>
      <c r="V141" s="35"/>
      <c r="W141" s="364">
        <v>130000</v>
      </c>
      <c r="X141" s="285"/>
      <c r="Y141" s="285"/>
      <c r="Z141" s="285"/>
      <c r="AA141" s="285"/>
      <c r="AB141" s="285"/>
      <c r="AC141" s="285"/>
      <c r="AD141" s="285"/>
      <c r="AE141" s="9"/>
      <c r="AF141" s="40"/>
      <c r="AG141" s="56"/>
    </row>
    <row r="142" spans="1:33" ht="20.25" customHeight="1" x14ac:dyDescent="0.3">
      <c r="A142" s="45"/>
      <c r="B142" s="414" t="s">
        <v>144</v>
      </c>
      <c r="C142" s="51">
        <f t="shared" ref="C142:W142" si="23">SUM(C140:C141)</f>
        <v>260000</v>
      </c>
      <c r="D142" s="51">
        <f t="shared" si="23"/>
        <v>0</v>
      </c>
      <c r="E142" s="51">
        <f t="shared" si="23"/>
        <v>0</v>
      </c>
      <c r="F142" s="51">
        <f t="shared" si="23"/>
        <v>0</v>
      </c>
      <c r="G142" s="51">
        <f t="shared" si="23"/>
        <v>0</v>
      </c>
      <c r="H142" s="51">
        <f t="shared" si="23"/>
        <v>0</v>
      </c>
      <c r="I142" s="51">
        <f t="shared" si="23"/>
        <v>0</v>
      </c>
      <c r="J142" s="51">
        <f t="shared" si="23"/>
        <v>0</v>
      </c>
      <c r="K142" s="51">
        <f t="shared" si="23"/>
        <v>0</v>
      </c>
      <c r="L142" s="51">
        <f t="shared" si="23"/>
        <v>0</v>
      </c>
      <c r="M142" s="35">
        <f t="shared" si="23"/>
        <v>0</v>
      </c>
      <c r="N142" s="51">
        <f t="shared" si="23"/>
        <v>0</v>
      </c>
      <c r="O142" s="82">
        <f t="shared" si="23"/>
        <v>0</v>
      </c>
      <c r="P142" s="51">
        <f t="shared" si="23"/>
        <v>0</v>
      </c>
      <c r="Q142" s="338">
        <f t="shared" si="23"/>
        <v>0</v>
      </c>
      <c r="R142" s="51">
        <f t="shared" si="23"/>
        <v>0</v>
      </c>
      <c r="S142" s="51">
        <f t="shared" si="23"/>
        <v>0</v>
      </c>
      <c r="T142" s="338">
        <f t="shared" si="23"/>
        <v>0</v>
      </c>
      <c r="U142" s="51">
        <f t="shared" si="23"/>
        <v>0</v>
      </c>
      <c r="V142" s="35">
        <f t="shared" si="23"/>
        <v>0</v>
      </c>
      <c r="W142" s="51">
        <f t="shared" si="23"/>
        <v>260000</v>
      </c>
      <c r="X142" s="329"/>
      <c r="Y142" s="285"/>
      <c r="Z142" s="285"/>
      <c r="AA142" s="285"/>
      <c r="AB142" s="285"/>
      <c r="AC142" s="285"/>
      <c r="AD142" s="285"/>
      <c r="AE142" s="9"/>
      <c r="AF142" s="40"/>
      <c r="AG142" s="56"/>
    </row>
    <row r="143" spans="1:33" ht="20.25" customHeight="1" x14ac:dyDescent="0.3">
      <c r="A143" s="45" t="s">
        <v>171</v>
      </c>
      <c r="B143" s="414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35"/>
      <c r="N143" s="51"/>
      <c r="O143" s="82"/>
      <c r="P143" s="51"/>
      <c r="Q143" s="338"/>
      <c r="R143" s="51"/>
      <c r="S143" s="51"/>
      <c r="T143" s="338"/>
      <c r="U143" s="51"/>
      <c r="V143" s="35"/>
      <c r="W143" s="364"/>
      <c r="X143" s="285"/>
      <c r="Y143" s="285"/>
      <c r="Z143" s="285"/>
      <c r="AA143" s="285"/>
      <c r="AB143" s="285"/>
      <c r="AC143" s="285"/>
      <c r="AD143" s="285"/>
      <c r="AE143" s="9"/>
      <c r="AF143" s="40"/>
      <c r="AG143" s="56"/>
    </row>
    <row r="144" spans="1:33" ht="20.25" customHeight="1" x14ac:dyDescent="0.3">
      <c r="A144" s="45">
        <f>A141+1</f>
        <v>125</v>
      </c>
      <c r="B144" s="414" t="s">
        <v>172</v>
      </c>
      <c r="C144" s="51">
        <f>D144+K144+L144+N144+P144+R144+S144+U144+V144+W144</f>
        <v>258253.21</v>
      </c>
      <c r="D144" s="51">
        <f>E144+F144+G144+H144+I144</f>
        <v>101660</v>
      </c>
      <c r="E144" s="51"/>
      <c r="F144" s="51"/>
      <c r="G144" s="51">
        <f>13*3910</f>
        <v>50830</v>
      </c>
      <c r="H144" s="51">
        <f>13*3910</f>
        <v>50830</v>
      </c>
      <c r="I144" s="51"/>
      <c r="J144" s="51"/>
      <c r="K144" s="51"/>
      <c r="L144" s="51"/>
      <c r="M144" s="35"/>
      <c r="N144" s="51"/>
      <c r="O144" s="82"/>
      <c r="P144" s="51"/>
      <c r="Q144" s="338"/>
      <c r="R144" s="51"/>
      <c r="S144" s="51"/>
      <c r="T144" s="338"/>
      <c r="U144" s="51"/>
      <c r="V144" s="35"/>
      <c r="W144" s="364">
        <f>SUM(Y144:AE144)</f>
        <v>156593.21</v>
      </c>
      <c r="X144" s="285"/>
      <c r="Y144" s="285">
        <v>156593.21</v>
      </c>
      <c r="Z144" s="285"/>
      <c r="AA144" s="285"/>
      <c r="AB144" s="285"/>
      <c r="AC144" s="285"/>
      <c r="AD144" s="285"/>
      <c r="AE144" s="9"/>
      <c r="AF144" s="40"/>
      <c r="AG144" s="56"/>
    </row>
    <row r="145" spans="1:33" ht="20.25" customHeight="1" x14ac:dyDescent="0.3">
      <c r="A145" s="45">
        <f>A144+1</f>
        <v>126</v>
      </c>
      <c r="B145" s="414" t="s">
        <v>173</v>
      </c>
      <c r="C145" s="51">
        <f>D145+K145+L145+N145+P145+R145+S145+U145+V145+W145</f>
        <v>146783.99</v>
      </c>
      <c r="D145" s="51">
        <f>E145+F145+G145+H145+I145</f>
        <v>0</v>
      </c>
      <c r="E145" s="51"/>
      <c r="F145" s="51"/>
      <c r="G145" s="51"/>
      <c r="H145" s="51"/>
      <c r="I145" s="51"/>
      <c r="J145" s="51"/>
      <c r="K145" s="51"/>
      <c r="L145" s="51"/>
      <c r="M145" s="35"/>
      <c r="N145" s="51"/>
      <c r="O145" s="129"/>
      <c r="P145" s="51"/>
      <c r="Q145" s="338"/>
      <c r="R145" s="51"/>
      <c r="S145" s="51"/>
      <c r="T145" s="338"/>
      <c r="U145" s="51"/>
      <c r="V145" s="35"/>
      <c r="W145" s="364">
        <f>SUM(Y145:AE145)</f>
        <v>146783.99</v>
      </c>
      <c r="X145" s="285"/>
      <c r="Y145" s="285"/>
      <c r="Z145" s="285"/>
      <c r="AA145" s="285"/>
      <c r="AB145" s="285"/>
      <c r="AC145" s="285">
        <v>146783.99</v>
      </c>
      <c r="AD145" s="285"/>
      <c r="AE145" s="9"/>
      <c r="AF145" s="40"/>
      <c r="AG145" s="56"/>
    </row>
    <row r="146" spans="1:33" ht="20.25" customHeight="1" x14ac:dyDescent="0.3">
      <c r="A146" s="45">
        <f>A145+1</f>
        <v>127</v>
      </c>
      <c r="B146" s="414" t="s">
        <v>174</v>
      </c>
      <c r="C146" s="51">
        <f>D146+K146+L146+N146+P146+R146+S146+U146+V146+W146</f>
        <v>146783.99</v>
      </c>
      <c r="D146" s="51">
        <f>E146+F146+G146+H146+I146</f>
        <v>0</v>
      </c>
      <c r="E146" s="51"/>
      <c r="F146" s="51"/>
      <c r="G146" s="51"/>
      <c r="H146" s="51"/>
      <c r="I146" s="51"/>
      <c r="J146" s="51"/>
      <c r="K146" s="51"/>
      <c r="L146" s="51"/>
      <c r="M146" s="35"/>
      <c r="N146" s="51"/>
      <c r="O146" s="129"/>
      <c r="P146" s="51"/>
      <c r="Q146" s="338"/>
      <c r="R146" s="51"/>
      <c r="S146" s="51"/>
      <c r="T146" s="338"/>
      <c r="U146" s="51"/>
      <c r="V146" s="35"/>
      <c r="W146" s="364">
        <f>SUM(Y146:AE146)</f>
        <v>146783.99</v>
      </c>
      <c r="X146" s="285"/>
      <c r="Y146" s="285"/>
      <c r="Z146" s="285"/>
      <c r="AA146" s="285"/>
      <c r="AB146" s="285"/>
      <c r="AC146" s="285">
        <v>146783.99</v>
      </c>
      <c r="AD146" s="285"/>
      <c r="AE146" s="9"/>
      <c r="AF146" s="40"/>
      <c r="AG146" s="56"/>
    </row>
    <row r="147" spans="1:33" ht="20.25" customHeight="1" x14ac:dyDescent="0.3">
      <c r="A147" s="45">
        <f>A146+1</f>
        <v>128</v>
      </c>
      <c r="B147" s="414" t="s">
        <v>175</v>
      </c>
      <c r="C147" s="51">
        <f>D147+K147+L147+N147+P147+R147+S147+U147+V147+W147</f>
        <v>215227.39</v>
      </c>
      <c r="D147" s="51">
        <f>E147+F147+G147+H147+I147</f>
        <v>0</v>
      </c>
      <c r="E147" s="51"/>
      <c r="F147" s="51"/>
      <c r="G147" s="51"/>
      <c r="H147" s="51"/>
      <c r="I147" s="51"/>
      <c r="J147" s="51"/>
      <c r="K147" s="51"/>
      <c r="L147" s="51"/>
      <c r="M147" s="35"/>
      <c r="N147" s="51"/>
      <c r="O147" s="129"/>
      <c r="P147" s="51"/>
      <c r="Q147" s="338"/>
      <c r="R147" s="51"/>
      <c r="S147" s="51"/>
      <c r="T147" s="338"/>
      <c r="U147" s="51"/>
      <c r="V147" s="35"/>
      <c r="W147" s="364">
        <f>SUM(Y147:AE147)</f>
        <v>215227.39</v>
      </c>
      <c r="X147" s="285"/>
      <c r="Y147" s="285"/>
      <c r="Z147" s="285"/>
      <c r="AA147" s="285"/>
      <c r="AB147" s="285"/>
      <c r="AC147" s="285">
        <v>215227.39</v>
      </c>
      <c r="AD147" s="285"/>
      <c r="AE147" s="9"/>
      <c r="AF147" s="40"/>
      <c r="AG147" s="56"/>
    </row>
    <row r="148" spans="1:33" ht="20.25" customHeight="1" x14ac:dyDescent="0.3">
      <c r="A148" s="45">
        <f>A147+1</f>
        <v>129</v>
      </c>
      <c r="B148" s="414" t="s">
        <v>178</v>
      </c>
      <c r="C148" s="51">
        <f>D148+K148+L148+N148+P148+R148+S148+U148+V148+W148</f>
        <v>148049.4</v>
      </c>
      <c r="D148" s="51">
        <f>E148+F148+G148+H148+I148</f>
        <v>0</v>
      </c>
      <c r="E148" s="51"/>
      <c r="F148" s="51"/>
      <c r="G148" s="51"/>
      <c r="H148" s="51"/>
      <c r="I148" s="51"/>
      <c r="J148" s="51"/>
      <c r="K148" s="51"/>
      <c r="L148" s="51"/>
      <c r="M148" s="35"/>
      <c r="N148" s="51"/>
      <c r="O148" s="129"/>
      <c r="P148" s="51"/>
      <c r="Q148" s="338"/>
      <c r="R148" s="51"/>
      <c r="S148" s="51"/>
      <c r="T148" s="338"/>
      <c r="U148" s="51"/>
      <c r="V148" s="35"/>
      <c r="W148" s="364">
        <f>SUM(Y148:AE148)</f>
        <v>148049.4</v>
      </c>
      <c r="X148" s="285"/>
      <c r="Y148" s="285"/>
      <c r="Z148" s="285"/>
      <c r="AA148" s="285"/>
      <c r="AB148" s="285">
        <v>148049.4</v>
      </c>
      <c r="AC148" s="285"/>
      <c r="AD148" s="285"/>
      <c r="AE148" s="9"/>
      <c r="AF148" s="40"/>
      <c r="AG148" s="56"/>
    </row>
    <row r="149" spans="1:33" ht="20.25" customHeight="1" x14ac:dyDescent="0.3">
      <c r="A149" s="45"/>
      <c r="B149" s="414" t="s">
        <v>144</v>
      </c>
      <c r="C149" s="51">
        <f t="shared" ref="C149:W149" si="24">SUM(C144:C148)</f>
        <v>915097.98</v>
      </c>
      <c r="D149" s="51">
        <f t="shared" si="24"/>
        <v>101660</v>
      </c>
      <c r="E149" s="51">
        <f t="shared" si="24"/>
        <v>0</v>
      </c>
      <c r="F149" s="51">
        <f t="shared" si="24"/>
        <v>0</v>
      </c>
      <c r="G149" s="51">
        <f t="shared" si="24"/>
        <v>50830</v>
      </c>
      <c r="H149" s="51">
        <f t="shared" si="24"/>
        <v>50830</v>
      </c>
      <c r="I149" s="51">
        <f t="shared" si="24"/>
        <v>0</v>
      </c>
      <c r="J149" s="51">
        <f t="shared" si="24"/>
        <v>0</v>
      </c>
      <c r="K149" s="51">
        <f t="shared" si="24"/>
        <v>0</v>
      </c>
      <c r="L149" s="51">
        <f t="shared" si="24"/>
        <v>0</v>
      </c>
      <c r="M149" s="35">
        <f t="shared" si="24"/>
        <v>0</v>
      </c>
      <c r="N149" s="51">
        <f t="shared" si="24"/>
        <v>0</v>
      </c>
      <c r="O149" s="82">
        <f t="shared" si="24"/>
        <v>0</v>
      </c>
      <c r="P149" s="51">
        <f t="shared" si="24"/>
        <v>0</v>
      </c>
      <c r="Q149" s="338">
        <f t="shared" si="24"/>
        <v>0</v>
      </c>
      <c r="R149" s="51">
        <f t="shared" si="24"/>
        <v>0</v>
      </c>
      <c r="S149" s="51">
        <f t="shared" si="24"/>
        <v>0</v>
      </c>
      <c r="T149" s="338">
        <f t="shared" si="24"/>
        <v>0</v>
      </c>
      <c r="U149" s="51">
        <f t="shared" si="24"/>
        <v>0</v>
      </c>
      <c r="V149" s="35">
        <f t="shared" si="24"/>
        <v>0</v>
      </c>
      <c r="W149" s="51">
        <f t="shared" si="24"/>
        <v>813437.98</v>
      </c>
      <c r="X149" s="329"/>
      <c r="Y149" s="285"/>
      <c r="Z149" s="285"/>
      <c r="AA149" s="285"/>
      <c r="AB149" s="285"/>
      <c r="AC149" s="285"/>
      <c r="AD149" s="285"/>
      <c r="AE149" s="9"/>
      <c r="AF149" s="40"/>
      <c r="AG149" s="56"/>
    </row>
    <row r="150" spans="1:33" ht="20.25" customHeight="1" x14ac:dyDescent="0.3">
      <c r="A150" s="45"/>
      <c r="B150" s="416" t="s">
        <v>183</v>
      </c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181"/>
      <c r="N150" s="51"/>
      <c r="O150" s="129"/>
      <c r="P150" s="51"/>
      <c r="Q150" s="338"/>
      <c r="R150" s="51"/>
      <c r="S150" s="51"/>
      <c r="T150" s="338"/>
      <c r="U150" s="51"/>
      <c r="V150" s="35"/>
      <c r="W150" s="364"/>
      <c r="X150" s="285"/>
      <c r="Y150" s="285"/>
      <c r="Z150" s="285"/>
      <c r="AA150" s="285"/>
      <c r="AB150" s="285"/>
      <c r="AC150" s="285"/>
      <c r="AD150" s="285"/>
      <c r="AE150" s="9"/>
      <c r="AF150" s="40"/>
      <c r="AG150" s="56"/>
    </row>
    <row r="151" spans="1:33" ht="20.25" customHeight="1" x14ac:dyDescent="0.3">
      <c r="A151" s="45">
        <f>A148+1</f>
        <v>130</v>
      </c>
      <c r="B151" s="414" t="s">
        <v>184</v>
      </c>
      <c r="C151" s="51">
        <f t="shared" ref="C151:C159" si="25">D151+K151+L151+N151+P151+R151+S151+U151+V151+W151</f>
        <v>104325.36</v>
      </c>
      <c r="D151" s="51">
        <f t="shared" ref="D151:D159" si="26">E151+F151+G151+H151+I151</f>
        <v>0</v>
      </c>
      <c r="E151" s="51"/>
      <c r="F151" s="51"/>
      <c r="G151" s="51"/>
      <c r="H151" s="51"/>
      <c r="I151" s="51"/>
      <c r="J151" s="51"/>
      <c r="K151" s="51"/>
      <c r="L151" s="51"/>
      <c r="M151" s="35"/>
      <c r="N151" s="51"/>
      <c r="O151" s="82"/>
      <c r="P151" s="364"/>
      <c r="Q151" s="338"/>
      <c r="R151" s="51"/>
      <c r="S151" s="51"/>
      <c r="T151" s="338"/>
      <c r="U151" s="51"/>
      <c r="V151" s="35"/>
      <c r="W151" s="364">
        <f>SUM(Y151:AE151)</f>
        <v>104325.36</v>
      </c>
      <c r="X151" s="285"/>
      <c r="Y151" s="285"/>
      <c r="Z151" s="285"/>
      <c r="AA151" s="285"/>
      <c r="AB151" s="285"/>
      <c r="AC151" s="285">
        <v>104325.36</v>
      </c>
      <c r="AD151" s="285"/>
      <c r="AE151" s="9"/>
      <c r="AF151" s="40"/>
      <c r="AG151" s="56"/>
    </row>
    <row r="152" spans="1:33" ht="20.25" customHeight="1" x14ac:dyDescent="0.3">
      <c r="A152" s="45">
        <f t="shared" ref="A152:A159" si="27">A151+1</f>
        <v>131</v>
      </c>
      <c r="B152" s="414" t="s">
        <v>185</v>
      </c>
      <c r="C152" s="51">
        <f t="shared" si="25"/>
        <v>104325.36</v>
      </c>
      <c r="D152" s="51">
        <f t="shared" si="26"/>
        <v>0</v>
      </c>
      <c r="E152" s="51"/>
      <c r="F152" s="51"/>
      <c r="G152" s="51"/>
      <c r="H152" s="51"/>
      <c r="I152" s="51"/>
      <c r="J152" s="51"/>
      <c r="K152" s="51"/>
      <c r="L152" s="51"/>
      <c r="M152" s="35"/>
      <c r="N152" s="51"/>
      <c r="O152" s="82"/>
      <c r="P152" s="51"/>
      <c r="Q152" s="338"/>
      <c r="R152" s="51"/>
      <c r="S152" s="51"/>
      <c r="T152" s="338"/>
      <c r="U152" s="51"/>
      <c r="V152" s="35"/>
      <c r="W152" s="364">
        <f>SUM(Y152:AE152)</f>
        <v>104325.36</v>
      </c>
      <c r="X152" s="285"/>
      <c r="Y152" s="285"/>
      <c r="Z152" s="285"/>
      <c r="AA152" s="285"/>
      <c r="AB152" s="285"/>
      <c r="AC152" s="285">
        <v>104325.36</v>
      </c>
      <c r="AD152" s="285"/>
      <c r="AE152" s="9"/>
      <c r="AF152" s="40"/>
      <c r="AG152" s="56"/>
    </row>
    <row r="153" spans="1:33" ht="20.25" customHeight="1" x14ac:dyDescent="0.3">
      <c r="A153" s="45">
        <f t="shared" si="27"/>
        <v>132</v>
      </c>
      <c r="B153" s="414" t="s">
        <v>186</v>
      </c>
      <c r="C153" s="51">
        <f t="shared" si="25"/>
        <v>130000</v>
      </c>
      <c r="D153" s="51">
        <f t="shared" si="26"/>
        <v>0</v>
      </c>
      <c r="E153" s="51"/>
      <c r="F153" s="51"/>
      <c r="G153" s="51"/>
      <c r="H153" s="51"/>
      <c r="I153" s="51"/>
      <c r="J153" s="51"/>
      <c r="K153" s="51"/>
      <c r="L153" s="51"/>
      <c r="M153" s="35"/>
      <c r="N153" s="51"/>
      <c r="O153" s="82"/>
      <c r="P153" s="51"/>
      <c r="Q153" s="338"/>
      <c r="R153" s="51"/>
      <c r="S153" s="51"/>
      <c r="T153" s="338"/>
      <c r="U153" s="51"/>
      <c r="V153" s="35"/>
      <c r="W153" s="364">
        <v>130000</v>
      </c>
      <c r="X153" s="285"/>
      <c r="Y153" s="285"/>
      <c r="Z153" s="285"/>
      <c r="AA153" s="285"/>
      <c r="AB153" s="285"/>
      <c r="AC153" s="285"/>
      <c r="AD153" s="285"/>
      <c r="AE153" s="9"/>
      <c r="AF153" s="40">
        <v>199820.6</v>
      </c>
      <c r="AG153" s="56"/>
    </row>
    <row r="154" spans="1:33" ht="20.25" customHeight="1" x14ac:dyDescent="0.3">
      <c r="A154" s="45">
        <f t="shared" si="27"/>
        <v>133</v>
      </c>
      <c r="B154" s="414" t="s">
        <v>187</v>
      </c>
      <c r="C154" s="51">
        <f t="shared" si="25"/>
        <v>130000</v>
      </c>
      <c r="D154" s="51">
        <f t="shared" si="26"/>
        <v>0</v>
      </c>
      <c r="E154" s="51"/>
      <c r="F154" s="51"/>
      <c r="G154" s="51"/>
      <c r="H154" s="51"/>
      <c r="I154" s="51"/>
      <c r="J154" s="51"/>
      <c r="K154" s="51"/>
      <c r="L154" s="51"/>
      <c r="M154" s="35"/>
      <c r="N154" s="51"/>
      <c r="O154" s="82"/>
      <c r="P154" s="51"/>
      <c r="Q154" s="338"/>
      <c r="R154" s="51"/>
      <c r="S154" s="51"/>
      <c r="T154" s="338"/>
      <c r="U154" s="51"/>
      <c r="V154" s="35"/>
      <c r="W154" s="364">
        <v>130000</v>
      </c>
      <c r="X154" s="285"/>
      <c r="Y154" s="285"/>
      <c r="Z154" s="285"/>
      <c r="AA154" s="285"/>
      <c r="AB154" s="285"/>
      <c r="AC154" s="285"/>
      <c r="AD154" s="285"/>
      <c r="AE154" s="9"/>
      <c r="AF154" s="40">
        <v>123074.36</v>
      </c>
      <c r="AG154" s="56"/>
    </row>
    <row r="155" spans="1:33" ht="20.25" customHeight="1" x14ac:dyDescent="0.3">
      <c r="A155" s="45">
        <f t="shared" si="27"/>
        <v>134</v>
      </c>
      <c r="B155" s="414" t="s">
        <v>188</v>
      </c>
      <c r="C155" s="51">
        <f t="shared" si="25"/>
        <v>130000</v>
      </c>
      <c r="D155" s="51">
        <f t="shared" si="26"/>
        <v>0</v>
      </c>
      <c r="E155" s="51"/>
      <c r="F155" s="51"/>
      <c r="G155" s="51"/>
      <c r="H155" s="51"/>
      <c r="I155" s="51"/>
      <c r="J155" s="51"/>
      <c r="K155" s="51"/>
      <c r="L155" s="51"/>
      <c r="M155" s="35"/>
      <c r="N155" s="51"/>
      <c r="O155" s="82"/>
      <c r="P155" s="51"/>
      <c r="Q155" s="338"/>
      <c r="R155" s="51"/>
      <c r="S155" s="51"/>
      <c r="T155" s="338"/>
      <c r="U155" s="51"/>
      <c r="V155" s="35"/>
      <c r="W155" s="364">
        <v>130000</v>
      </c>
      <c r="X155" s="285"/>
      <c r="Y155" s="285"/>
      <c r="Z155" s="285"/>
      <c r="AA155" s="285"/>
      <c r="AB155" s="285"/>
      <c r="AC155" s="285"/>
      <c r="AD155" s="285"/>
      <c r="AE155" s="9"/>
      <c r="AF155" s="40"/>
      <c r="AG155" s="56"/>
    </row>
    <row r="156" spans="1:33" ht="20.25" customHeight="1" x14ac:dyDescent="0.3">
      <c r="A156" s="45">
        <f t="shared" si="27"/>
        <v>135</v>
      </c>
      <c r="B156" s="414" t="s">
        <v>189</v>
      </c>
      <c r="C156" s="51">
        <f t="shared" si="25"/>
        <v>199858.07</v>
      </c>
      <c r="D156" s="51">
        <f t="shared" si="26"/>
        <v>0</v>
      </c>
      <c r="E156" s="51"/>
      <c r="F156" s="51"/>
      <c r="G156" s="51"/>
      <c r="H156" s="51"/>
      <c r="I156" s="51"/>
      <c r="J156" s="51"/>
      <c r="K156" s="51"/>
      <c r="L156" s="51"/>
      <c r="M156" s="35">
        <v>376.8</v>
      </c>
      <c r="N156" s="51">
        <f>13*8094</f>
        <v>105222</v>
      </c>
      <c r="O156" s="82"/>
      <c r="P156" s="51"/>
      <c r="Q156" s="338"/>
      <c r="R156" s="51"/>
      <c r="S156" s="51"/>
      <c r="T156" s="338"/>
      <c r="U156" s="51"/>
      <c r="V156" s="35"/>
      <c r="W156" s="364">
        <f>SUM(Y156:AE156)</f>
        <v>94636.07</v>
      </c>
      <c r="X156" s="285"/>
      <c r="Y156" s="285"/>
      <c r="Z156" s="285"/>
      <c r="AA156" s="285"/>
      <c r="AB156" s="285"/>
      <c r="AC156" s="285">
        <v>94636.07</v>
      </c>
      <c r="AD156" s="285"/>
      <c r="AE156" s="9"/>
      <c r="AF156" s="40"/>
      <c r="AG156" s="56"/>
    </row>
    <row r="157" spans="1:33" ht="20.25" customHeight="1" x14ac:dyDescent="0.3">
      <c r="A157" s="45">
        <f t="shared" si="27"/>
        <v>136</v>
      </c>
      <c r="B157" s="414" t="s">
        <v>191</v>
      </c>
      <c r="C157" s="51">
        <f t="shared" si="25"/>
        <v>130000</v>
      </c>
      <c r="D157" s="51">
        <f t="shared" si="26"/>
        <v>0</v>
      </c>
      <c r="E157" s="51"/>
      <c r="F157" s="51"/>
      <c r="G157" s="51"/>
      <c r="H157" s="51"/>
      <c r="I157" s="51"/>
      <c r="J157" s="51"/>
      <c r="K157" s="51"/>
      <c r="L157" s="51"/>
      <c r="M157" s="35"/>
      <c r="N157" s="51"/>
      <c r="O157" s="82"/>
      <c r="P157" s="51"/>
      <c r="Q157" s="338"/>
      <c r="R157" s="51"/>
      <c r="S157" s="51"/>
      <c r="T157" s="338"/>
      <c r="U157" s="51"/>
      <c r="V157" s="35"/>
      <c r="W157" s="364">
        <v>130000</v>
      </c>
      <c r="X157" s="285"/>
      <c r="Y157" s="285"/>
      <c r="Z157" s="285"/>
      <c r="AA157" s="285"/>
      <c r="AB157" s="285"/>
      <c r="AC157" s="285"/>
      <c r="AD157" s="285"/>
      <c r="AE157" s="9"/>
      <c r="AF157" s="40">
        <v>102667.42</v>
      </c>
      <c r="AG157" s="56"/>
    </row>
    <row r="158" spans="1:33" ht="20.25" customHeight="1" x14ac:dyDescent="0.3">
      <c r="A158" s="45">
        <f t="shared" si="27"/>
        <v>137</v>
      </c>
      <c r="B158" s="414" t="s">
        <v>192</v>
      </c>
      <c r="C158" s="51">
        <f t="shared" si="25"/>
        <v>207272</v>
      </c>
      <c r="D158" s="51">
        <f t="shared" si="26"/>
        <v>0</v>
      </c>
      <c r="E158" s="51"/>
      <c r="F158" s="51"/>
      <c r="G158" s="51"/>
      <c r="H158" s="51"/>
      <c r="I158" s="51"/>
      <c r="J158" s="51"/>
      <c r="K158" s="51"/>
      <c r="L158" s="51"/>
      <c r="M158" s="35"/>
      <c r="N158" s="51"/>
      <c r="O158" s="82"/>
      <c r="P158" s="51"/>
      <c r="Q158" s="338"/>
      <c r="R158" s="51"/>
      <c r="S158" s="51"/>
      <c r="T158" s="338"/>
      <c r="U158" s="51"/>
      <c r="V158" s="35"/>
      <c r="W158" s="364">
        <f>SUM(Y158:AE158)</f>
        <v>207272</v>
      </c>
      <c r="X158" s="285"/>
      <c r="Y158" s="285"/>
      <c r="Z158" s="285"/>
      <c r="AA158" s="285"/>
      <c r="AB158" s="285"/>
      <c r="AC158" s="285"/>
      <c r="AD158" s="285"/>
      <c r="AE158" s="9">
        <v>207272</v>
      </c>
      <c r="AF158" s="40"/>
      <c r="AG158" s="56"/>
    </row>
    <row r="159" spans="1:33" ht="20.25" customHeight="1" x14ac:dyDescent="0.3">
      <c r="A159" s="45">
        <f t="shared" si="27"/>
        <v>138</v>
      </c>
      <c r="B159" s="414" t="s">
        <v>193</v>
      </c>
      <c r="C159" s="51">
        <f t="shared" si="25"/>
        <v>207272</v>
      </c>
      <c r="D159" s="51">
        <f t="shared" si="26"/>
        <v>0</v>
      </c>
      <c r="E159" s="51"/>
      <c r="F159" s="51"/>
      <c r="G159" s="51"/>
      <c r="H159" s="51"/>
      <c r="I159" s="51"/>
      <c r="J159" s="51"/>
      <c r="K159" s="51"/>
      <c r="L159" s="51"/>
      <c r="M159" s="35"/>
      <c r="N159" s="51"/>
      <c r="O159" s="82"/>
      <c r="P159" s="51"/>
      <c r="Q159" s="338"/>
      <c r="R159" s="51"/>
      <c r="S159" s="51"/>
      <c r="T159" s="338"/>
      <c r="U159" s="51"/>
      <c r="V159" s="35"/>
      <c r="W159" s="364">
        <f>SUM(Y159:AE159)</f>
        <v>207272</v>
      </c>
      <c r="X159" s="285"/>
      <c r="Y159" s="285"/>
      <c r="Z159" s="285"/>
      <c r="AA159" s="285"/>
      <c r="AB159" s="285"/>
      <c r="AC159" s="285"/>
      <c r="AD159" s="285"/>
      <c r="AE159" s="9">
        <v>207272</v>
      </c>
      <c r="AF159" s="40"/>
      <c r="AG159" s="56"/>
    </row>
    <row r="160" spans="1:33" ht="20.25" customHeight="1" x14ac:dyDescent="0.3">
      <c r="A160" s="45"/>
      <c r="B160" s="414" t="s">
        <v>144</v>
      </c>
      <c r="C160" s="51">
        <f t="shared" ref="C160:W160" si="28">SUM(C151:C159)</f>
        <v>1343052.79</v>
      </c>
      <c r="D160" s="51">
        <f t="shared" si="28"/>
        <v>0</v>
      </c>
      <c r="E160" s="51">
        <f t="shared" si="28"/>
        <v>0</v>
      </c>
      <c r="F160" s="51">
        <f t="shared" si="28"/>
        <v>0</v>
      </c>
      <c r="G160" s="51">
        <f t="shared" si="28"/>
        <v>0</v>
      </c>
      <c r="H160" s="51">
        <f t="shared" si="28"/>
        <v>0</v>
      </c>
      <c r="I160" s="51">
        <f t="shared" si="28"/>
        <v>0</v>
      </c>
      <c r="J160" s="51">
        <f t="shared" si="28"/>
        <v>0</v>
      </c>
      <c r="K160" s="51">
        <f t="shared" si="28"/>
        <v>0</v>
      </c>
      <c r="L160" s="51">
        <f t="shared" si="28"/>
        <v>0</v>
      </c>
      <c r="M160" s="35">
        <f t="shared" si="28"/>
        <v>376.8</v>
      </c>
      <c r="N160" s="51">
        <f t="shared" si="28"/>
        <v>105222</v>
      </c>
      <c r="O160" s="82">
        <f t="shared" si="28"/>
        <v>0</v>
      </c>
      <c r="P160" s="51">
        <f t="shared" si="28"/>
        <v>0</v>
      </c>
      <c r="Q160" s="338">
        <f t="shared" si="28"/>
        <v>0</v>
      </c>
      <c r="R160" s="51">
        <f t="shared" si="28"/>
        <v>0</v>
      </c>
      <c r="S160" s="51">
        <f t="shared" si="28"/>
        <v>0</v>
      </c>
      <c r="T160" s="338">
        <f t="shared" si="28"/>
        <v>0</v>
      </c>
      <c r="U160" s="51">
        <f t="shared" si="28"/>
        <v>0</v>
      </c>
      <c r="V160" s="35">
        <f t="shared" si="28"/>
        <v>0</v>
      </c>
      <c r="W160" s="51">
        <f t="shared" si="28"/>
        <v>1237830.79</v>
      </c>
      <c r="X160" s="329"/>
      <c r="Y160" s="285"/>
      <c r="Z160" s="9"/>
      <c r="AA160" s="40"/>
      <c r="AB160" s="56"/>
      <c r="AC160" s="56"/>
      <c r="AD160" s="56"/>
      <c r="AE160" s="56"/>
      <c r="AF160" s="9"/>
      <c r="AG160" s="9"/>
    </row>
    <row r="161" spans="1:34" ht="20.25" customHeight="1" x14ac:dyDescent="0.3">
      <c r="A161" s="434" t="s">
        <v>194</v>
      </c>
      <c r="B161" s="414"/>
      <c r="C161" s="51">
        <f t="shared" ref="C161:W161" si="29">C119+C122+C138+C142+C149+C160</f>
        <v>101316009.28000003</v>
      </c>
      <c r="D161" s="51">
        <f t="shared" si="29"/>
        <v>101660</v>
      </c>
      <c r="E161" s="51">
        <f t="shared" si="29"/>
        <v>0</v>
      </c>
      <c r="F161" s="51">
        <f t="shared" si="29"/>
        <v>0</v>
      </c>
      <c r="G161" s="51">
        <f t="shared" si="29"/>
        <v>50830</v>
      </c>
      <c r="H161" s="51">
        <f t="shared" si="29"/>
        <v>50830</v>
      </c>
      <c r="I161" s="51">
        <f t="shared" si="29"/>
        <v>0</v>
      </c>
      <c r="J161" s="51">
        <f t="shared" si="29"/>
        <v>0</v>
      </c>
      <c r="K161" s="51">
        <f t="shared" si="29"/>
        <v>0</v>
      </c>
      <c r="L161" s="51">
        <f t="shared" si="29"/>
        <v>0</v>
      </c>
      <c r="M161" s="35">
        <f t="shared" si="29"/>
        <v>5728.2000000000007</v>
      </c>
      <c r="N161" s="51">
        <f t="shared" si="29"/>
        <v>36993118.159999996</v>
      </c>
      <c r="O161" s="82">
        <f t="shared" si="29"/>
        <v>953.4</v>
      </c>
      <c r="P161" s="51">
        <f t="shared" si="29"/>
        <v>25039632.199999999</v>
      </c>
      <c r="Q161" s="338">
        <f t="shared" si="29"/>
        <v>0</v>
      </c>
      <c r="R161" s="51">
        <f t="shared" si="29"/>
        <v>0</v>
      </c>
      <c r="S161" s="51">
        <f t="shared" si="29"/>
        <v>0</v>
      </c>
      <c r="T161" s="338">
        <f t="shared" si="29"/>
        <v>0</v>
      </c>
      <c r="U161" s="51">
        <f t="shared" si="29"/>
        <v>0</v>
      </c>
      <c r="V161" s="35">
        <f t="shared" si="29"/>
        <v>0</v>
      </c>
      <c r="W161" s="51">
        <f t="shared" si="29"/>
        <v>39181598.919999994</v>
      </c>
      <c r="X161" s="329"/>
      <c r="Y161" s="285"/>
      <c r="Z161" s="9"/>
      <c r="AA161" s="40"/>
      <c r="AB161" s="56"/>
      <c r="AC161" s="56"/>
      <c r="AD161" s="56"/>
      <c r="AE161" s="56"/>
      <c r="AF161" s="9"/>
      <c r="AG161" s="9"/>
    </row>
    <row r="162" spans="1:34" x14ac:dyDescent="0.3">
      <c r="A162" s="435" t="s">
        <v>195</v>
      </c>
      <c r="B162" s="363"/>
      <c r="C162" s="363"/>
      <c r="D162" s="363"/>
      <c r="E162" s="363"/>
      <c r="F162" s="363"/>
      <c r="G162" s="363"/>
      <c r="H162" s="363"/>
      <c r="I162" s="363"/>
      <c r="J162" s="363"/>
      <c r="K162" s="363"/>
      <c r="L162" s="363"/>
      <c r="M162" s="393"/>
      <c r="N162" s="363"/>
      <c r="O162" s="391"/>
      <c r="P162" s="363"/>
      <c r="Q162" s="392"/>
      <c r="R162" s="363"/>
      <c r="S162" s="363"/>
      <c r="T162" s="392"/>
      <c r="U162" s="363"/>
      <c r="V162" s="393"/>
      <c r="W162" s="363"/>
      <c r="X162" s="517" t="s">
        <v>196</v>
      </c>
      <c r="Y162" s="179"/>
      <c r="Z162" s="179"/>
      <c r="AA162" s="179"/>
      <c r="AB162" s="179"/>
      <c r="AC162" s="172"/>
      <c r="AD162" s="172"/>
      <c r="AE162" s="172"/>
      <c r="AF162" s="62"/>
      <c r="AG162" s="62"/>
      <c r="AH162" s="56"/>
    </row>
    <row r="163" spans="1:34" x14ac:dyDescent="0.3">
      <c r="A163" s="433" t="s">
        <v>197</v>
      </c>
      <c r="B163" s="413"/>
      <c r="C163" s="387"/>
      <c r="D163" s="49"/>
      <c r="E163" s="49"/>
      <c r="F163" s="49"/>
      <c r="G163" s="49"/>
      <c r="H163" s="49"/>
      <c r="I163" s="49"/>
      <c r="J163" s="49"/>
      <c r="K163" s="49"/>
      <c r="L163" s="49"/>
      <c r="M163" s="33"/>
      <c r="N163" s="49"/>
      <c r="O163" s="343"/>
      <c r="P163" s="49"/>
      <c r="Q163" s="337"/>
      <c r="R163" s="49"/>
      <c r="S163" s="49"/>
      <c r="T163" s="337"/>
      <c r="U163" s="49"/>
      <c r="V163" s="33"/>
      <c r="W163" s="49"/>
      <c r="X163" s="517"/>
      <c r="Y163" s="179"/>
      <c r="Z163" s="179"/>
      <c r="AA163" s="179"/>
      <c r="AB163" s="179"/>
      <c r="AC163" s="314"/>
      <c r="AD163" s="353"/>
      <c r="AE163" s="354"/>
      <c r="AF163" s="62"/>
      <c r="AG163" s="62"/>
      <c r="AH163" s="56"/>
    </row>
    <row r="164" spans="1:34" x14ac:dyDescent="0.3">
      <c r="A164" s="45">
        <f>A159+1</f>
        <v>139</v>
      </c>
      <c r="B164" s="414" t="s">
        <v>198</v>
      </c>
      <c r="C164" s="51">
        <f t="shared" ref="C164:C174" si="30">D164+N164+P164+R164+S164+U164+V164+W164</f>
        <v>323449.03000000003</v>
      </c>
      <c r="D164" s="51">
        <f t="shared" ref="D164:D174" si="31">E164+F164+G164+H164+I164</f>
        <v>0</v>
      </c>
      <c r="E164" s="51"/>
      <c r="F164" s="51"/>
      <c r="G164" s="51"/>
      <c r="H164" s="51"/>
      <c r="I164" s="51"/>
      <c r="J164" s="51"/>
      <c r="K164" s="51"/>
      <c r="L164" s="51"/>
      <c r="M164" s="35"/>
      <c r="N164" s="51"/>
      <c r="O164" s="82"/>
      <c r="P164" s="51"/>
      <c r="Q164" s="338"/>
      <c r="R164" s="51"/>
      <c r="S164" s="51"/>
      <c r="T164" s="338"/>
      <c r="U164" s="51"/>
      <c r="V164" s="35"/>
      <c r="W164" s="364">
        <f>SUM(AB164:AG164)</f>
        <v>323449.03000000003</v>
      </c>
      <c r="X164" s="141"/>
      <c r="Y164" s="48"/>
      <c r="Z164" s="48"/>
      <c r="AA164" s="48"/>
      <c r="AB164" s="48"/>
      <c r="AC164" s="48"/>
      <c r="AD164" s="61">
        <v>323449.03000000003</v>
      </c>
      <c r="AE164" s="62"/>
      <c r="AF164" s="62"/>
      <c r="AG164" s="62"/>
      <c r="AH164" s="56"/>
    </row>
    <row r="165" spans="1:34" x14ac:dyDescent="0.3">
      <c r="A165" s="45">
        <f t="shared" ref="A165:A174" si="32">A164+1</f>
        <v>140</v>
      </c>
      <c r="B165" s="414" t="s">
        <v>199</v>
      </c>
      <c r="C165" s="51">
        <f t="shared" si="30"/>
        <v>841418.02</v>
      </c>
      <c r="D165" s="51">
        <f t="shared" si="31"/>
        <v>0</v>
      </c>
      <c r="E165" s="51"/>
      <c r="F165" s="51"/>
      <c r="G165" s="51"/>
      <c r="H165" s="51"/>
      <c r="I165" s="51"/>
      <c r="J165" s="51"/>
      <c r="K165" s="51"/>
      <c r="L165" s="51"/>
      <c r="M165" s="35"/>
      <c r="N165" s="51"/>
      <c r="O165" s="82"/>
      <c r="P165" s="51"/>
      <c r="Q165" s="338"/>
      <c r="R165" s="51"/>
      <c r="S165" s="51"/>
      <c r="T165" s="338"/>
      <c r="U165" s="51"/>
      <c r="V165" s="35"/>
      <c r="W165" s="364">
        <f>SUM(AB165:AG165)</f>
        <v>841418.02</v>
      </c>
      <c r="X165" s="141" t="s">
        <v>200</v>
      </c>
      <c r="Y165" s="48"/>
      <c r="Z165" s="48"/>
      <c r="AA165" s="48"/>
      <c r="AB165" s="48">
        <v>166893.01</v>
      </c>
      <c r="AC165" s="48">
        <v>377377.61</v>
      </c>
      <c r="AD165" s="61">
        <v>297147.40000000002</v>
      </c>
      <c r="AE165" s="62"/>
      <c r="AF165" s="62"/>
      <c r="AG165" s="62"/>
      <c r="AH165" s="56"/>
    </row>
    <row r="166" spans="1:34" x14ac:dyDescent="0.3">
      <c r="A166" s="45">
        <f t="shared" si="32"/>
        <v>141</v>
      </c>
      <c r="B166" s="414" t="s">
        <v>201</v>
      </c>
      <c r="C166" s="51">
        <f t="shared" si="30"/>
        <v>686891.48</v>
      </c>
      <c r="D166" s="51">
        <f t="shared" si="31"/>
        <v>0</v>
      </c>
      <c r="E166" s="51"/>
      <c r="F166" s="51"/>
      <c r="G166" s="51"/>
      <c r="H166" s="51"/>
      <c r="I166" s="51"/>
      <c r="J166" s="51"/>
      <c r="K166" s="51"/>
      <c r="L166" s="51"/>
      <c r="M166" s="35"/>
      <c r="N166" s="51"/>
      <c r="O166" s="82"/>
      <c r="P166" s="51"/>
      <c r="Q166" s="338"/>
      <c r="R166" s="51"/>
      <c r="S166" s="51"/>
      <c r="T166" s="338"/>
      <c r="U166" s="51"/>
      <c r="V166" s="35"/>
      <c r="W166" s="364">
        <f>SUM(AB166:AG166)</f>
        <v>686891.48</v>
      </c>
      <c r="X166" s="141"/>
      <c r="Y166" s="48"/>
      <c r="Z166" s="48"/>
      <c r="AA166" s="48"/>
      <c r="AB166" s="48"/>
      <c r="AC166" s="48">
        <v>388830.73</v>
      </c>
      <c r="AD166" s="61">
        <v>298060.75</v>
      </c>
      <c r="AE166" s="62"/>
      <c r="AF166" s="62"/>
      <c r="AG166" s="62"/>
      <c r="AH166" s="56"/>
    </row>
    <row r="167" spans="1:34" x14ac:dyDescent="0.3">
      <c r="A167" s="45">
        <f t="shared" si="32"/>
        <v>142</v>
      </c>
      <c r="B167" s="414" t="s">
        <v>202</v>
      </c>
      <c r="C167" s="51">
        <f t="shared" si="30"/>
        <v>948199.15000000014</v>
      </c>
      <c r="D167" s="51">
        <f t="shared" si="31"/>
        <v>0</v>
      </c>
      <c r="E167" s="51"/>
      <c r="F167" s="51"/>
      <c r="G167" s="51"/>
      <c r="H167" s="51"/>
      <c r="I167" s="51"/>
      <c r="J167" s="51"/>
      <c r="K167" s="51"/>
      <c r="L167" s="51"/>
      <c r="M167" s="35"/>
      <c r="N167" s="51"/>
      <c r="O167" s="82"/>
      <c r="P167" s="51"/>
      <c r="Q167" s="338"/>
      <c r="R167" s="51"/>
      <c r="S167" s="51"/>
      <c r="T167" s="338"/>
      <c r="U167" s="51"/>
      <c r="V167" s="35"/>
      <c r="W167" s="364">
        <f>SUM(X167:AG167)</f>
        <v>948199.15000000014</v>
      </c>
      <c r="X167" s="141"/>
      <c r="Y167" s="48">
        <v>133153.22</v>
      </c>
      <c r="Z167" s="48">
        <v>165547.72</v>
      </c>
      <c r="AA167" s="48">
        <v>147946.98000000001</v>
      </c>
      <c r="AB167" s="48"/>
      <c r="AC167" s="48">
        <v>246724.67</v>
      </c>
      <c r="AD167" s="61">
        <v>254826.56</v>
      </c>
      <c r="AE167" s="62"/>
      <c r="AF167" s="62"/>
      <c r="AG167" s="62"/>
      <c r="AH167" s="56"/>
    </row>
    <row r="168" spans="1:34" x14ac:dyDescent="0.3">
      <c r="A168" s="45">
        <f t="shared" si="32"/>
        <v>143</v>
      </c>
      <c r="B168" s="414" t="s">
        <v>203</v>
      </c>
      <c r="C168" s="51">
        <f t="shared" si="30"/>
        <v>390411.08999999997</v>
      </c>
      <c r="D168" s="51">
        <f t="shared" si="31"/>
        <v>0</v>
      </c>
      <c r="E168" s="51"/>
      <c r="F168" s="51"/>
      <c r="G168" s="51"/>
      <c r="H168" s="51"/>
      <c r="I168" s="51"/>
      <c r="J168" s="51"/>
      <c r="K168" s="51"/>
      <c r="L168" s="51"/>
      <c r="M168" s="35"/>
      <c r="N168" s="51"/>
      <c r="O168" s="82"/>
      <c r="P168" s="51"/>
      <c r="Q168" s="338"/>
      <c r="R168" s="51"/>
      <c r="S168" s="51"/>
      <c r="T168" s="338"/>
      <c r="U168" s="51"/>
      <c r="V168" s="35"/>
      <c r="W168" s="364">
        <f t="shared" ref="W168:W174" si="33">SUM(AB168:AG168)</f>
        <v>390411.08999999997</v>
      </c>
      <c r="X168" s="141" t="s">
        <v>200</v>
      </c>
      <c r="Y168" s="48"/>
      <c r="Z168" s="48"/>
      <c r="AA168" s="48"/>
      <c r="AB168" s="48">
        <v>167523.44</v>
      </c>
      <c r="AC168" s="48"/>
      <c r="AD168" s="61">
        <v>222887.65</v>
      </c>
      <c r="AE168" s="62"/>
      <c r="AF168" s="62"/>
      <c r="AG168" s="62"/>
      <c r="AH168" s="56"/>
    </row>
    <row r="169" spans="1:34" x14ac:dyDescent="0.3">
      <c r="A169" s="45">
        <f t="shared" si="32"/>
        <v>144</v>
      </c>
      <c r="B169" s="414" t="s">
        <v>204</v>
      </c>
      <c r="C169" s="51">
        <f t="shared" si="30"/>
        <v>399334.63</v>
      </c>
      <c r="D169" s="51">
        <f t="shared" si="31"/>
        <v>0</v>
      </c>
      <c r="E169" s="51"/>
      <c r="F169" s="51"/>
      <c r="G169" s="51"/>
      <c r="H169" s="51"/>
      <c r="I169" s="51"/>
      <c r="J169" s="51"/>
      <c r="K169" s="51"/>
      <c r="L169" s="51"/>
      <c r="M169" s="35"/>
      <c r="N169" s="51"/>
      <c r="O169" s="82"/>
      <c r="P169" s="51"/>
      <c r="Q169" s="338"/>
      <c r="R169" s="51"/>
      <c r="S169" s="51"/>
      <c r="T169" s="338"/>
      <c r="U169" s="51"/>
      <c r="V169" s="35"/>
      <c r="W169" s="364">
        <f t="shared" si="33"/>
        <v>399334.63</v>
      </c>
      <c r="X169" s="141" t="s">
        <v>200</v>
      </c>
      <c r="Y169" s="48"/>
      <c r="Z169" s="48"/>
      <c r="AA169" s="48"/>
      <c r="AB169" s="48">
        <v>190315.28</v>
      </c>
      <c r="AC169" s="48"/>
      <c r="AD169" s="61">
        <v>209019.35</v>
      </c>
      <c r="AE169" s="62"/>
      <c r="AF169" s="62"/>
      <c r="AG169" s="62"/>
      <c r="AH169" s="56"/>
    </row>
    <row r="170" spans="1:34" x14ac:dyDescent="0.3">
      <c r="A170" s="45">
        <f t="shared" si="32"/>
        <v>145</v>
      </c>
      <c r="B170" s="414" t="s">
        <v>205</v>
      </c>
      <c r="C170" s="51">
        <f t="shared" si="30"/>
        <v>413075.72</v>
      </c>
      <c r="D170" s="51">
        <f t="shared" si="31"/>
        <v>0</v>
      </c>
      <c r="E170" s="51"/>
      <c r="F170" s="51"/>
      <c r="G170" s="51"/>
      <c r="H170" s="51"/>
      <c r="I170" s="51"/>
      <c r="J170" s="51"/>
      <c r="K170" s="51"/>
      <c r="L170" s="51"/>
      <c r="M170" s="35"/>
      <c r="N170" s="51"/>
      <c r="O170" s="82"/>
      <c r="P170" s="51"/>
      <c r="Q170" s="338"/>
      <c r="R170" s="51"/>
      <c r="S170" s="51"/>
      <c r="T170" s="338"/>
      <c r="U170" s="51"/>
      <c r="V170" s="35"/>
      <c r="W170" s="364">
        <f t="shared" si="33"/>
        <v>413075.72</v>
      </c>
      <c r="X170" s="141" t="s">
        <v>200</v>
      </c>
      <c r="Y170" s="48"/>
      <c r="Z170" s="48"/>
      <c r="AA170" s="48"/>
      <c r="AB170" s="48">
        <v>158679.60999999999</v>
      </c>
      <c r="AC170" s="48"/>
      <c r="AD170" s="61">
        <v>254396.11</v>
      </c>
      <c r="AE170" s="62"/>
      <c r="AF170" s="62"/>
      <c r="AG170" s="62"/>
      <c r="AH170" s="56"/>
    </row>
    <row r="171" spans="1:34" x14ac:dyDescent="0.3">
      <c r="A171" s="45">
        <f t="shared" si="32"/>
        <v>146</v>
      </c>
      <c r="B171" s="414" t="s">
        <v>206</v>
      </c>
      <c r="C171" s="51">
        <f t="shared" si="30"/>
        <v>184802.71</v>
      </c>
      <c r="D171" s="51">
        <f t="shared" si="31"/>
        <v>0</v>
      </c>
      <c r="E171" s="51"/>
      <c r="F171" s="51"/>
      <c r="G171" s="51"/>
      <c r="H171" s="51"/>
      <c r="I171" s="51"/>
      <c r="J171" s="51"/>
      <c r="K171" s="51"/>
      <c r="L171" s="51"/>
      <c r="M171" s="35"/>
      <c r="N171" s="51"/>
      <c r="O171" s="82"/>
      <c r="P171" s="51"/>
      <c r="Q171" s="338"/>
      <c r="R171" s="51"/>
      <c r="S171" s="51"/>
      <c r="T171" s="338"/>
      <c r="U171" s="51"/>
      <c r="V171" s="35"/>
      <c r="W171" s="364">
        <f t="shared" si="33"/>
        <v>184802.71</v>
      </c>
      <c r="X171" s="141" t="s">
        <v>200</v>
      </c>
      <c r="Y171" s="48"/>
      <c r="Z171" s="48"/>
      <c r="AA171" s="48"/>
      <c r="AB171" s="48">
        <v>184802.71</v>
      </c>
      <c r="AC171" s="48"/>
      <c r="AD171" s="61"/>
      <c r="AE171" s="62"/>
      <c r="AF171" s="62"/>
      <c r="AG171" s="62"/>
      <c r="AH171" s="56"/>
    </row>
    <row r="172" spans="1:34" x14ac:dyDescent="0.3">
      <c r="A172" s="45">
        <f t="shared" si="32"/>
        <v>147</v>
      </c>
      <c r="B172" s="414" t="s">
        <v>207</v>
      </c>
      <c r="C172" s="51">
        <f t="shared" si="30"/>
        <v>504481.03</v>
      </c>
      <c r="D172" s="51">
        <f t="shared" si="31"/>
        <v>0</v>
      </c>
      <c r="E172" s="51"/>
      <c r="F172" s="51"/>
      <c r="G172" s="51"/>
      <c r="H172" s="51"/>
      <c r="I172" s="51"/>
      <c r="J172" s="51"/>
      <c r="K172" s="51"/>
      <c r="L172" s="51"/>
      <c r="M172" s="35"/>
      <c r="N172" s="51"/>
      <c r="O172" s="82"/>
      <c r="P172" s="51"/>
      <c r="Q172" s="338"/>
      <c r="R172" s="51"/>
      <c r="S172" s="51"/>
      <c r="T172" s="338"/>
      <c r="U172" s="51"/>
      <c r="V172" s="35"/>
      <c r="W172" s="364">
        <f t="shared" si="33"/>
        <v>504481.03</v>
      </c>
      <c r="X172" s="141" t="s">
        <v>200</v>
      </c>
      <c r="Y172" s="48"/>
      <c r="Z172" s="48"/>
      <c r="AA172" s="48"/>
      <c r="AB172" s="48">
        <v>203543.23</v>
      </c>
      <c r="AC172" s="48"/>
      <c r="AD172" s="61">
        <v>300937.8</v>
      </c>
      <c r="AE172" s="62"/>
      <c r="AF172" s="62"/>
      <c r="AG172" s="62"/>
      <c r="AH172" s="56"/>
    </row>
    <row r="173" spans="1:34" x14ac:dyDescent="0.3">
      <c r="A173" s="45">
        <f t="shared" si="32"/>
        <v>148</v>
      </c>
      <c r="B173" s="414" t="s">
        <v>208</v>
      </c>
      <c r="C173" s="51">
        <f t="shared" si="30"/>
        <v>504224.68000000005</v>
      </c>
      <c r="D173" s="51">
        <f t="shared" si="31"/>
        <v>0</v>
      </c>
      <c r="E173" s="51"/>
      <c r="F173" s="51"/>
      <c r="G173" s="51"/>
      <c r="H173" s="51"/>
      <c r="I173" s="51"/>
      <c r="J173" s="51"/>
      <c r="K173" s="51"/>
      <c r="L173" s="51"/>
      <c r="M173" s="35"/>
      <c r="N173" s="51"/>
      <c r="O173" s="82"/>
      <c r="P173" s="51"/>
      <c r="Q173" s="338"/>
      <c r="R173" s="51"/>
      <c r="S173" s="51"/>
      <c r="T173" s="338"/>
      <c r="U173" s="51"/>
      <c r="V173" s="35"/>
      <c r="W173" s="364">
        <f t="shared" si="33"/>
        <v>504224.68000000005</v>
      </c>
      <c r="X173" s="141" t="s">
        <v>200</v>
      </c>
      <c r="Y173" s="48"/>
      <c r="Z173" s="48"/>
      <c r="AA173" s="48"/>
      <c r="AB173" s="48">
        <v>205950.28</v>
      </c>
      <c r="AC173" s="48"/>
      <c r="AD173" s="61">
        <v>298274.40000000002</v>
      </c>
      <c r="AE173" s="62"/>
      <c r="AF173" s="62"/>
      <c r="AG173" s="62"/>
      <c r="AH173" s="56"/>
    </row>
    <row r="174" spans="1:34" x14ac:dyDescent="0.3">
      <c r="A174" s="45">
        <f t="shared" si="32"/>
        <v>149</v>
      </c>
      <c r="B174" s="414" t="s">
        <v>209</v>
      </c>
      <c r="C174" s="51">
        <f t="shared" si="30"/>
        <v>1063819.03</v>
      </c>
      <c r="D174" s="51">
        <f t="shared" si="31"/>
        <v>0</v>
      </c>
      <c r="E174" s="51"/>
      <c r="F174" s="51"/>
      <c r="G174" s="51"/>
      <c r="H174" s="51"/>
      <c r="I174" s="51"/>
      <c r="J174" s="51"/>
      <c r="K174" s="51"/>
      <c r="L174" s="51"/>
      <c r="M174" s="35"/>
      <c r="N174" s="51"/>
      <c r="O174" s="82"/>
      <c r="P174" s="51"/>
      <c r="Q174" s="338"/>
      <c r="R174" s="51"/>
      <c r="S174" s="51"/>
      <c r="T174" s="338"/>
      <c r="U174" s="51"/>
      <c r="V174" s="35"/>
      <c r="W174" s="364">
        <f t="shared" si="33"/>
        <v>1063819.03</v>
      </c>
      <c r="X174" s="141" t="s">
        <v>210</v>
      </c>
      <c r="Y174" s="48"/>
      <c r="Z174" s="48"/>
      <c r="AA174" s="48"/>
      <c r="AB174" s="48">
        <f>241443.9+296682.11+251071.72</f>
        <v>789197.73</v>
      </c>
      <c r="AC174" s="48"/>
      <c r="AD174" s="61">
        <v>274621.3</v>
      </c>
      <c r="AE174" s="62"/>
      <c r="AF174" s="62"/>
      <c r="AG174" s="62"/>
      <c r="AH174" s="56"/>
    </row>
    <row r="175" spans="1:34" x14ac:dyDescent="0.3">
      <c r="A175" s="45" t="s">
        <v>211</v>
      </c>
      <c r="B175" s="414"/>
      <c r="C175" s="51">
        <f t="shared" ref="C175:W175" si="34">SUM(C164:C174)</f>
        <v>6260106.5700000003</v>
      </c>
      <c r="D175" s="51">
        <f t="shared" si="34"/>
        <v>0</v>
      </c>
      <c r="E175" s="51">
        <f t="shared" si="34"/>
        <v>0</v>
      </c>
      <c r="F175" s="51">
        <f t="shared" si="34"/>
        <v>0</v>
      </c>
      <c r="G175" s="51">
        <f t="shared" si="34"/>
        <v>0</v>
      </c>
      <c r="H175" s="51">
        <f t="shared" si="34"/>
        <v>0</v>
      </c>
      <c r="I175" s="51">
        <f t="shared" si="34"/>
        <v>0</v>
      </c>
      <c r="J175" s="51">
        <f t="shared" si="34"/>
        <v>0</v>
      </c>
      <c r="K175" s="51">
        <f t="shared" si="34"/>
        <v>0</v>
      </c>
      <c r="L175" s="51">
        <f t="shared" si="34"/>
        <v>0</v>
      </c>
      <c r="M175" s="35">
        <f t="shared" si="34"/>
        <v>0</v>
      </c>
      <c r="N175" s="51">
        <f t="shared" si="34"/>
        <v>0</v>
      </c>
      <c r="O175" s="82">
        <f t="shared" si="34"/>
        <v>0</v>
      </c>
      <c r="P175" s="51">
        <f t="shared" si="34"/>
        <v>0</v>
      </c>
      <c r="Q175" s="338">
        <f t="shared" si="34"/>
        <v>0</v>
      </c>
      <c r="R175" s="51">
        <f t="shared" si="34"/>
        <v>0</v>
      </c>
      <c r="S175" s="51">
        <f t="shared" si="34"/>
        <v>0</v>
      </c>
      <c r="T175" s="338">
        <f t="shared" si="34"/>
        <v>0</v>
      </c>
      <c r="U175" s="51">
        <f t="shared" si="34"/>
        <v>0</v>
      </c>
      <c r="V175" s="35">
        <f t="shared" si="34"/>
        <v>0</v>
      </c>
      <c r="W175" s="51">
        <f t="shared" si="34"/>
        <v>6260106.5700000003</v>
      </c>
      <c r="X175" s="141"/>
      <c r="Y175" s="48"/>
      <c r="Z175" s="48"/>
      <c r="AA175" s="48"/>
      <c r="AB175" s="48"/>
      <c r="AC175" s="48"/>
      <c r="AD175" s="61"/>
      <c r="AE175" s="62"/>
      <c r="AF175" s="62"/>
      <c r="AG175" s="62"/>
      <c r="AH175" s="56"/>
    </row>
    <row r="176" spans="1:34" x14ac:dyDescent="0.3">
      <c r="A176" s="45" t="s">
        <v>222</v>
      </c>
      <c r="B176" s="414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35"/>
      <c r="N176" s="51"/>
      <c r="O176" s="82"/>
      <c r="P176" s="51"/>
      <c r="Q176" s="338"/>
      <c r="R176" s="51"/>
      <c r="S176" s="51"/>
      <c r="T176" s="338"/>
      <c r="U176" s="51"/>
      <c r="V176" s="35"/>
      <c r="W176" s="364"/>
      <c r="X176" s="141"/>
      <c r="Y176" s="48"/>
      <c r="Z176" s="48"/>
      <c r="AA176" s="48"/>
      <c r="AB176" s="48"/>
      <c r="AC176" s="48"/>
      <c r="AD176" s="61"/>
      <c r="AE176" s="62"/>
      <c r="AF176" s="62"/>
      <c r="AG176" s="62"/>
      <c r="AH176" s="56"/>
    </row>
    <row r="177" spans="1:34" x14ac:dyDescent="0.3">
      <c r="A177" s="45">
        <f>A174+1</f>
        <v>150</v>
      </c>
      <c r="B177" s="414" t="s">
        <v>223</v>
      </c>
      <c r="C177" s="51">
        <f>D177+N177+P177+R177+S177+U177+V177+W177</f>
        <v>130000</v>
      </c>
      <c r="D177" s="51">
        <f>E177+F177+G177+H177+I177</f>
        <v>0</v>
      </c>
      <c r="E177" s="51"/>
      <c r="F177" s="51"/>
      <c r="G177" s="51"/>
      <c r="H177" s="51"/>
      <c r="I177" s="51"/>
      <c r="J177" s="51"/>
      <c r="K177" s="51"/>
      <c r="L177" s="51"/>
      <c r="M177" s="35"/>
      <c r="N177" s="51"/>
      <c r="O177" s="82"/>
      <c r="P177" s="51"/>
      <c r="Q177" s="338"/>
      <c r="R177" s="51"/>
      <c r="S177" s="51"/>
      <c r="T177" s="338"/>
      <c r="U177" s="51"/>
      <c r="V177" s="35"/>
      <c r="W177" s="364">
        <v>130000</v>
      </c>
      <c r="X177" s="141"/>
      <c r="Y177" s="48"/>
      <c r="Z177" s="48"/>
      <c r="AA177" s="48"/>
      <c r="AB177" s="48"/>
      <c r="AC177" s="48"/>
      <c r="AD177" s="61"/>
      <c r="AE177" s="62"/>
      <c r="AF177" s="62"/>
      <c r="AG177" s="62"/>
      <c r="AH177" s="56"/>
    </row>
    <row r="178" spans="1:34" x14ac:dyDescent="0.3">
      <c r="A178" s="45" t="s">
        <v>211</v>
      </c>
      <c r="B178" s="414"/>
      <c r="C178" s="51">
        <f t="shared" ref="C178:W178" si="35">C177</f>
        <v>130000</v>
      </c>
      <c r="D178" s="51">
        <f t="shared" si="35"/>
        <v>0</v>
      </c>
      <c r="E178" s="51">
        <f t="shared" si="35"/>
        <v>0</v>
      </c>
      <c r="F178" s="51">
        <f t="shared" si="35"/>
        <v>0</v>
      </c>
      <c r="G178" s="51">
        <f t="shared" si="35"/>
        <v>0</v>
      </c>
      <c r="H178" s="51">
        <f t="shared" si="35"/>
        <v>0</v>
      </c>
      <c r="I178" s="51">
        <f t="shared" si="35"/>
        <v>0</v>
      </c>
      <c r="J178" s="51">
        <f t="shared" si="35"/>
        <v>0</v>
      </c>
      <c r="K178" s="51">
        <f t="shared" si="35"/>
        <v>0</v>
      </c>
      <c r="L178" s="51">
        <f t="shared" si="35"/>
        <v>0</v>
      </c>
      <c r="M178" s="35">
        <f t="shared" si="35"/>
        <v>0</v>
      </c>
      <c r="N178" s="51">
        <f t="shared" si="35"/>
        <v>0</v>
      </c>
      <c r="O178" s="82">
        <f t="shared" si="35"/>
        <v>0</v>
      </c>
      <c r="P178" s="51">
        <f t="shared" si="35"/>
        <v>0</v>
      </c>
      <c r="Q178" s="338">
        <f t="shared" si="35"/>
        <v>0</v>
      </c>
      <c r="R178" s="51">
        <f t="shared" si="35"/>
        <v>0</v>
      </c>
      <c r="S178" s="51">
        <f t="shared" si="35"/>
        <v>0</v>
      </c>
      <c r="T178" s="338">
        <f t="shared" si="35"/>
        <v>0</v>
      </c>
      <c r="U178" s="51">
        <f t="shared" si="35"/>
        <v>0</v>
      </c>
      <c r="V178" s="35">
        <f t="shared" si="35"/>
        <v>0</v>
      </c>
      <c r="W178" s="51">
        <f t="shared" si="35"/>
        <v>130000</v>
      </c>
      <c r="X178" s="141"/>
      <c r="Y178" s="48"/>
      <c r="Z178" s="48"/>
      <c r="AA178" s="48"/>
      <c r="AB178" s="48"/>
      <c r="AC178" s="48"/>
      <c r="AD178" s="61"/>
      <c r="AE178" s="62"/>
      <c r="AF178" s="62"/>
      <c r="AG178" s="62"/>
      <c r="AH178" s="56"/>
    </row>
    <row r="179" spans="1:34" x14ac:dyDescent="0.3">
      <c r="A179" s="45" t="s">
        <v>224</v>
      </c>
      <c r="B179" s="414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35"/>
      <c r="N179" s="51"/>
      <c r="O179" s="82"/>
      <c r="P179" s="51"/>
      <c r="Q179" s="338"/>
      <c r="R179" s="51"/>
      <c r="S179" s="51"/>
      <c r="T179" s="338"/>
      <c r="U179" s="51"/>
      <c r="V179" s="35"/>
      <c r="W179" s="364"/>
      <c r="X179" s="141"/>
      <c r="Y179" s="48"/>
      <c r="Z179" s="48"/>
      <c r="AA179" s="48"/>
      <c r="AB179" s="48"/>
      <c r="AC179" s="48"/>
      <c r="AD179" s="61"/>
      <c r="AE179" s="62"/>
      <c r="AF179" s="62"/>
      <c r="AG179" s="62"/>
      <c r="AH179" s="56"/>
    </row>
    <row r="180" spans="1:34" x14ac:dyDescent="0.3">
      <c r="A180" s="45">
        <f>A177+1</f>
        <v>151</v>
      </c>
      <c r="B180" s="414" t="s">
        <v>225</v>
      </c>
      <c r="C180" s="51">
        <f t="shared" ref="C180:C189" si="36">D180+N180+P180+R180+S180+U180+V180+W180</f>
        <v>523749.74</v>
      </c>
      <c r="D180" s="51">
        <f t="shared" ref="D180:D189" si="37">E180+F180+G180+H180+I180</f>
        <v>0</v>
      </c>
      <c r="E180" s="51"/>
      <c r="F180" s="51"/>
      <c r="G180" s="51"/>
      <c r="H180" s="51"/>
      <c r="I180" s="51"/>
      <c r="J180" s="51"/>
      <c r="K180" s="51"/>
      <c r="L180" s="51"/>
      <c r="M180" s="35"/>
      <c r="N180" s="51"/>
      <c r="O180" s="82"/>
      <c r="P180" s="51"/>
      <c r="Q180" s="338"/>
      <c r="R180" s="51"/>
      <c r="S180" s="51"/>
      <c r="T180" s="338"/>
      <c r="U180" s="51"/>
      <c r="V180" s="35"/>
      <c r="W180" s="364">
        <f t="shared" ref="W180:W189" si="38">SUM(AB180:AG180)</f>
        <v>523749.74</v>
      </c>
      <c r="X180" s="141" t="s">
        <v>200</v>
      </c>
      <c r="Y180" s="48"/>
      <c r="Z180" s="48"/>
      <c r="AA180" s="48"/>
      <c r="AB180" s="48">
        <v>224691.16</v>
      </c>
      <c r="AC180" s="48"/>
      <c r="AD180" s="61">
        <v>299058.58</v>
      </c>
      <c r="AE180" s="62"/>
      <c r="AF180" s="62"/>
      <c r="AG180" s="62"/>
      <c r="AH180" s="56"/>
    </row>
    <row r="181" spans="1:34" x14ac:dyDescent="0.3">
      <c r="A181" s="45">
        <f t="shared" ref="A181:A189" si="39">A180+1</f>
        <v>152</v>
      </c>
      <c r="B181" s="414" t="s">
        <v>226</v>
      </c>
      <c r="C181" s="51">
        <f t="shared" si="36"/>
        <v>535058.55000000005</v>
      </c>
      <c r="D181" s="51">
        <f t="shared" si="37"/>
        <v>0</v>
      </c>
      <c r="E181" s="51"/>
      <c r="F181" s="51"/>
      <c r="G181" s="51"/>
      <c r="H181" s="51"/>
      <c r="I181" s="51"/>
      <c r="J181" s="51"/>
      <c r="K181" s="51"/>
      <c r="L181" s="51"/>
      <c r="M181" s="35"/>
      <c r="N181" s="51"/>
      <c r="O181" s="82"/>
      <c r="P181" s="51"/>
      <c r="Q181" s="338"/>
      <c r="R181" s="51"/>
      <c r="S181" s="51"/>
      <c r="T181" s="338"/>
      <c r="U181" s="51"/>
      <c r="V181" s="35"/>
      <c r="W181" s="364">
        <f t="shared" si="38"/>
        <v>535058.55000000005</v>
      </c>
      <c r="X181" s="141" t="s">
        <v>200</v>
      </c>
      <c r="Y181" s="48"/>
      <c r="Z181" s="48"/>
      <c r="AA181" s="48"/>
      <c r="AB181" s="48">
        <v>228866.42</v>
      </c>
      <c r="AC181" s="48"/>
      <c r="AD181" s="61">
        <v>306192.13</v>
      </c>
      <c r="AE181" s="62"/>
      <c r="AF181" s="62"/>
      <c r="AG181" s="62"/>
      <c r="AH181" s="56"/>
    </row>
    <row r="182" spans="1:34" x14ac:dyDescent="0.3">
      <c r="A182" s="45">
        <f t="shared" si="39"/>
        <v>153</v>
      </c>
      <c r="B182" s="414" t="s">
        <v>227</v>
      </c>
      <c r="C182" s="51">
        <f t="shared" si="36"/>
        <v>412296.8</v>
      </c>
      <c r="D182" s="51">
        <f t="shared" si="37"/>
        <v>0</v>
      </c>
      <c r="E182" s="51"/>
      <c r="F182" s="51"/>
      <c r="G182" s="51"/>
      <c r="H182" s="51"/>
      <c r="I182" s="51"/>
      <c r="J182" s="51"/>
      <c r="K182" s="51"/>
      <c r="L182" s="51"/>
      <c r="M182" s="35"/>
      <c r="N182" s="51"/>
      <c r="O182" s="82"/>
      <c r="P182" s="51"/>
      <c r="Q182" s="338"/>
      <c r="R182" s="51"/>
      <c r="S182" s="51"/>
      <c r="T182" s="338"/>
      <c r="U182" s="51"/>
      <c r="V182" s="35"/>
      <c r="W182" s="364">
        <f t="shared" si="38"/>
        <v>412296.8</v>
      </c>
      <c r="X182" s="141" t="s">
        <v>200</v>
      </c>
      <c r="Y182" s="48"/>
      <c r="Z182" s="48"/>
      <c r="AA182" s="48"/>
      <c r="AB182" s="48">
        <v>163740.57999999999</v>
      </c>
      <c r="AC182" s="48"/>
      <c r="AD182" s="61">
        <v>248556.22</v>
      </c>
      <c r="AE182" s="62"/>
      <c r="AF182" s="62"/>
      <c r="AG182" s="62"/>
      <c r="AH182" s="56"/>
    </row>
    <row r="183" spans="1:34" x14ac:dyDescent="0.3">
      <c r="A183" s="45">
        <f t="shared" si="39"/>
        <v>154</v>
      </c>
      <c r="B183" s="414" t="s">
        <v>228</v>
      </c>
      <c r="C183" s="51">
        <f t="shared" si="36"/>
        <v>776448.6100000001</v>
      </c>
      <c r="D183" s="51">
        <f t="shared" si="37"/>
        <v>0</v>
      </c>
      <c r="E183" s="51"/>
      <c r="F183" s="51"/>
      <c r="G183" s="51"/>
      <c r="H183" s="51"/>
      <c r="I183" s="51"/>
      <c r="J183" s="51"/>
      <c r="K183" s="51"/>
      <c r="L183" s="51"/>
      <c r="M183" s="35"/>
      <c r="N183" s="51"/>
      <c r="O183" s="82"/>
      <c r="P183" s="51"/>
      <c r="Q183" s="338"/>
      <c r="R183" s="51"/>
      <c r="S183" s="51"/>
      <c r="T183" s="338"/>
      <c r="U183" s="51"/>
      <c r="V183" s="35"/>
      <c r="W183" s="364">
        <f t="shared" si="38"/>
        <v>776448.6100000001</v>
      </c>
      <c r="X183" s="141"/>
      <c r="Y183" s="48"/>
      <c r="Z183" s="48"/>
      <c r="AA183" s="48"/>
      <c r="AB183" s="48"/>
      <c r="AC183" s="48">
        <v>459953.46</v>
      </c>
      <c r="AD183" s="61">
        <v>316495.15000000002</v>
      </c>
      <c r="AE183" s="62"/>
      <c r="AF183" s="62"/>
      <c r="AG183" s="62"/>
      <c r="AH183" s="56"/>
    </row>
    <row r="184" spans="1:34" x14ac:dyDescent="0.3">
      <c r="A184" s="45">
        <f t="shared" si="39"/>
        <v>155</v>
      </c>
      <c r="B184" s="414" t="s">
        <v>229</v>
      </c>
      <c r="C184" s="51">
        <f t="shared" si="36"/>
        <v>427067.86</v>
      </c>
      <c r="D184" s="51">
        <f t="shared" si="37"/>
        <v>0</v>
      </c>
      <c r="E184" s="51"/>
      <c r="F184" s="51"/>
      <c r="G184" s="51"/>
      <c r="H184" s="51"/>
      <c r="I184" s="51"/>
      <c r="J184" s="51"/>
      <c r="K184" s="51"/>
      <c r="L184" s="51"/>
      <c r="M184" s="35"/>
      <c r="N184" s="51"/>
      <c r="O184" s="82"/>
      <c r="P184" s="51"/>
      <c r="Q184" s="338"/>
      <c r="R184" s="51"/>
      <c r="S184" s="51"/>
      <c r="T184" s="338"/>
      <c r="U184" s="51"/>
      <c r="V184" s="35"/>
      <c r="W184" s="364">
        <f t="shared" si="38"/>
        <v>427067.86</v>
      </c>
      <c r="X184" s="141" t="s">
        <v>200</v>
      </c>
      <c r="Y184" s="48"/>
      <c r="Z184" s="48"/>
      <c r="AA184" s="48"/>
      <c r="AB184" s="48">
        <v>168125.21</v>
      </c>
      <c r="AC184" s="48"/>
      <c r="AD184" s="61">
        <v>258942.65</v>
      </c>
      <c r="AE184" s="62"/>
      <c r="AF184" s="62"/>
      <c r="AG184" s="62"/>
      <c r="AH184" s="56"/>
    </row>
    <row r="185" spans="1:34" x14ac:dyDescent="0.3">
      <c r="A185" s="45">
        <f t="shared" si="39"/>
        <v>156</v>
      </c>
      <c r="B185" s="414" t="s">
        <v>230</v>
      </c>
      <c r="C185" s="51">
        <f t="shared" si="36"/>
        <v>728800</v>
      </c>
      <c r="D185" s="51">
        <f t="shared" si="37"/>
        <v>0</v>
      </c>
      <c r="E185" s="51"/>
      <c r="F185" s="51"/>
      <c r="G185" s="51"/>
      <c r="H185" s="51"/>
      <c r="I185" s="51"/>
      <c r="J185" s="51"/>
      <c r="K185" s="51"/>
      <c r="L185" s="51"/>
      <c r="M185" s="35"/>
      <c r="N185" s="51"/>
      <c r="O185" s="82"/>
      <c r="P185" s="51"/>
      <c r="Q185" s="338"/>
      <c r="R185" s="51"/>
      <c r="S185" s="51"/>
      <c r="T185" s="338"/>
      <c r="U185" s="51"/>
      <c r="V185" s="35"/>
      <c r="W185" s="364">
        <f t="shared" si="38"/>
        <v>728800</v>
      </c>
      <c r="X185" s="141" t="s">
        <v>200</v>
      </c>
      <c r="Y185" s="48"/>
      <c r="Z185" s="48"/>
      <c r="AA185" s="48"/>
      <c r="AB185" s="48">
        <v>170983.6</v>
      </c>
      <c r="AC185" s="48">
        <v>318017.11</v>
      </c>
      <c r="AD185" s="61">
        <v>239799.29</v>
      </c>
      <c r="AE185" s="62"/>
      <c r="AF185" s="62"/>
      <c r="AG185" s="62"/>
      <c r="AH185" s="56"/>
    </row>
    <row r="186" spans="1:34" x14ac:dyDescent="0.3">
      <c r="A186" s="45">
        <f t="shared" si="39"/>
        <v>157</v>
      </c>
      <c r="B186" s="414" t="s">
        <v>231</v>
      </c>
      <c r="C186" s="51">
        <f t="shared" si="36"/>
        <v>397061.77</v>
      </c>
      <c r="D186" s="51">
        <f t="shared" si="37"/>
        <v>0</v>
      </c>
      <c r="E186" s="51"/>
      <c r="F186" s="51"/>
      <c r="G186" s="51"/>
      <c r="H186" s="51"/>
      <c r="I186" s="51"/>
      <c r="J186" s="51"/>
      <c r="K186" s="51"/>
      <c r="L186" s="51"/>
      <c r="M186" s="35"/>
      <c r="N186" s="51"/>
      <c r="O186" s="82"/>
      <c r="P186" s="51"/>
      <c r="Q186" s="338"/>
      <c r="R186" s="51"/>
      <c r="S186" s="51"/>
      <c r="T186" s="338"/>
      <c r="U186" s="51"/>
      <c r="V186" s="35"/>
      <c r="W186" s="364">
        <f t="shared" si="38"/>
        <v>397061.77</v>
      </c>
      <c r="X186" s="141" t="s">
        <v>200</v>
      </c>
      <c r="Y186" s="48"/>
      <c r="Z186" s="48"/>
      <c r="AA186" s="48"/>
      <c r="AB186" s="48">
        <v>155036.81</v>
      </c>
      <c r="AC186" s="48"/>
      <c r="AD186" s="61">
        <v>242024.95999999999</v>
      </c>
      <c r="AE186" s="62"/>
      <c r="AF186" s="62"/>
      <c r="AG186" s="62"/>
      <c r="AH186" s="56"/>
    </row>
    <row r="187" spans="1:34" x14ac:dyDescent="0.3">
      <c r="A187" s="45">
        <f t="shared" si="39"/>
        <v>158</v>
      </c>
      <c r="B187" s="414" t="s">
        <v>232</v>
      </c>
      <c r="C187" s="51">
        <f t="shared" si="36"/>
        <v>523008.62</v>
      </c>
      <c r="D187" s="51">
        <f t="shared" si="37"/>
        <v>0</v>
      </c>
      <c r="E187" s="51"/>
      <c r="F187" s="51"/>
      <c r="G187" s="51"/>
      <c r="H187" s="51"/>
      <c r="I187" s="51"/>
      <c r="J187" s="51"/>
      <c r="K187" s="51"/>
      <c r="L187" s="51"/>
      <c r="M187" s="35"/>
      <c r="N187" s="51"/>
      <c r="O187" s="82"/>
      <c r="P187" s="51"/>
      <c r="Q187" s="338"/>
      <c r="R187" s="51"/>
      <c r="S187" s="51"/>
      <c r="T187" s="338"/>
      <c r="U187" s="51"/>
      <c r="V187" s="35"/>
      <c r="W187" s="364">
        <f t="shared" si="38"/>
        <v>523008.62</v>
      </c>
      <c r="X187" s="141" t="s">
        <v>200</v>
      </c>
      <c r="Y187" s="48"/>
      <c r="Z187" s="48"/>
      <c r="AA187" s="48"/>
      <c r="AB187" s="48">
        <v>223399.03</v>
      </c>
      <c r="AC187" s="48"/>
      <c r="AD187" s="61">
        <v>299609.59000000003</v>
      </c>
      <c r="AE187" s="62"/>
      <c r="AF187" s="62"/>
      <c r="AG187" s="62"/>
      <c r="AH187" s="56"/>
    </row>
    <row r="188" spans="1:34" x14ac:dyDescent="0.3">
      <c r="A188" s="45">
        <f t="shared" si="39"/>
        <v>159</v>
      </c>
      <c r="B188" s="414" t="s">
        <v>233</v>
      </c>
      <c r="C188" s="51">
        <f t="shared" si="36"/>
        <v>386599.77</v>
      </c>
      <c r="D188" s="51">
        <f t="shared" si="37"/>
        <v>0</v>
      </c>
      <c r="E188" s="51"/>
      <c r="F188" s="51"/>
      <c r="G188" s="51"/>
      <c r="H188" s="51"/>
      <c r="I188" s="51"/>
      <c r="J188" s="51"/>
      <c r="K188" s="51"/>
      <c r="L188" s="51"/>
      <c r="M188" s="35"/>
      <c r="N188" s="51"/>
      <c r="O188" s="82"/>
      <c r="P188" s="51"/>
      <c r="Q188" s="338"/>
      <c r="R188" s="51"/>
      <c r="S188" s="51"/>
      <c r="T188" s="338"/>
      <c r="U188" s="51"/>
      <c r="V188" s="35"/>
      <c r="W188" s="364">
        <f t="shared" si="38"/>
        <v>386599.77</v>
      </c>
      <c r="X188" s="141" t="s">
        <v>234</v>
      </c>
      <c r="Y188" s="48"/>
      <c r="Z188" s="48"/>
      <c r="AA188" s="48"/>
      <c r="AB188" s="48">
        <f>109099.8+79940.69</f>
        <v>189040.49</v>
      </c>
      <c r="AC188" s="48">
        <v>197559.28</v>
      </c>
      <c r="AD188" s="61"/>
      <c r="AE188" s="62"/>
      <c r="AF188" s="62"/>
      <c r="AG188" s="62"/>
      <c r="AH188" s="56"/>
    </row>
    <row r="189" spans="1:34" x14ac:dyDescent="0.3">
      <c r="A189" s="45">
        <f t="shared" si="39"/>
        <v>160</v>
      </c>
      <c r="B189" s="414" t="s">
        <v>235</v>
      </c>
      <c r="C189" s="51">
        <f t="shared" si="36"/>
        <v>401670.83999999997</v>
      </c>
      <c r="D189" s="51">
        <f t="shared" si="37"/>
        <v>0</v>
      </c>
      <c r="E189" s="51"/>
      <c r="F189" s="51"/>
      <c r="G189" s="51"/>
      <c r="H189" s="51"/>
      <c r="I189" s="51"/>
      <c r="J189" s="51"/>
      <c r="K189" s="51"/>
      <c r="L189" s="51"/>
      <c r="M189" s="35"/>
      <c r="N189" s="51"/>
      <c r="O189" s="82"/>
      <c r="P189" s="51"/>
      <c r="Q189" s="338"/>
      <c r="R189" s="51"/>
      <c r="S189" s="51"/>
      <c r="T189" s="338"/>
      <c r="U189" s="51"/>
      <c r="V189" s="35"/>
      <c r="W189" s="364">
        <f t="shared" si="38"/>
        <v>401670.83999999997</v>
      </c>
      <c r="X189" s="141" t="s">
        <v>234</v>
      </c>
      <c r="Y189" s="48"/>
      <c r="Z189" s="48"/>
      <c r="AA189" s="48"/>
      <c r="AB189" s="48">
        <f>113853.43+83018.29</f>
        <v>196871.71999999997</v>
      </c>
      <c r="AC189" s="48">
        <v>204799.12</v>
      </c>
      <c r="AD189" s="61"/>
      <c r="AE189" s="62"/>
      <c r="AF189" s="62"/>
      <c r="AG189" s="62"/>
      <c r="AH189" s="56"/>
    </row>
    <row r="190" spans="1:34" x14ac:dyDescent="0.3">
      <c r="A190" s="45" t="s">
        <v>211</v>
      </c>
      <c r="B190" s="414"/>
      <c r="C190" s="51">
        <f t="shared" ref="C190:W190" si="40">SUM(C180:C189)</f>
        <v>5111762.5600000005</v>
      </c>
      <c r="D190" s="51">
        <f t="shared" si="40"/>
        <v>0</v>
      </c>
      <c r="E190" s="51">
        <f t="shared" si="40"/>
        <v>0</v>
      </c>
      <c r="F190" s="51">
        <f t="shared" si="40"/>
        <v>0</v>
      </c>
      <c r="G190" s="51">
        <f t="shared" si="40"/>
        <v>0</v>
      </c>
      <c r="H190" s="51">
        <f t="shared" si="40"/>
        <v>0</v>
      </c>
      <c r="I190" s="51">
        <f t="shared" si="40"/>
        <v>0</v>
      </c>
      <c r="J190" s="51">
        <f t="shared" si="40"/>
        <v>0</v>
      </c>
      <c r="K190" s="51">
        <f t="shared" si="40"/>
        <v>0</v>
      </c>
      <c r="L190" s="51">
        <f t="shared" si="40"/>
        <v>0</v>
      </c>
      <c r="M190" s="35">
        <f t="shared" si="40"/>
        <v>0</v>
      </c>
      <c r="N190" s="51">
        <f t="shared" si="40"/>
        <v>0</v>
      </c>
      <c r="O190" s="82">
        <f t="shared" si="40"/>
        <v>0</v>
      </c>
      <c r="P190" s="51">
        <f t="shared" si="40"/>
        <v>0</v>
      </c>
      <c r="Q190" s="338">
        <f t="shared" si="40"/>
        <v>0</v>
      </c>
      <c r="R190" s="51">
        <f t="shared" si="40"/>
        <v>0</v>
      </c>
      <c r="S190" s="51">
        <f t="shared" si="40"/>
        <v>0</v>
      </c>
      <c r="T190" s="338">
        <f t="shared" si="40"/>
        <v>0</v>
      </c>
      <c r="U190" s="51">
        <f t="shared" si="40"/>
        <v>0</v>
      </c>
      <c r="V190" s="35">
        <f t="shared" si="40"/>
        <v>0</v>
      </c>
      <c r="W190" s="51">
        <f t="shared" si="40"/>
        <v>5111762.5600000005</v>
      </c>
      <c r="X190" s="141"/>
      <c r="Y190" s="48"/>
      <c r="Z190" s="48"/>
      <c r="AA190" s="48"/>
      <c r="AB190" s="48"/>
      <c r="AC190" s="48"/>
      <c r="AD190" s="61"/>
      <c r="AE190" s="62"/>
      <c r="AF190" s="62"/>
      <c r="AG190" s="62"/>
      <c r="AH190" s="56"/>
    </row>
    <row r="191" spans="1:34" x14ac:dyDescent="0.3">
      <c r="A191" s="45" t="s">
        <v>236</v>
      </c>
      <c r="B191" s="414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35"/>
      <c r="N191" s="51"/>
      <c r="O191" s="82"/>
      <c r="P191" s="51"/>
      <c r="Q191" s="338"/>
      <c r="R191" s="51"/>
      <c r="S191" s="51"/>
      <c r="T191" s="338"/>
      <c r="U191" s="51"/>
      <c r="V191" s="35"/>
      <c r="W191" s="364"/>
      <c r="X191" s="141"/>
      <c r="Y191" s="48"/>
      <c r="Z191" s="48"/>
      <c r="AA191" s="48"/>
      <c r="AB191" s="48"/>
      <c r="AC191" s="48"/>
      <c r="AD191" s="61"/>
      <c r="AE191" s="62"/>
      <c r="AF191" s="62"/>
      <c r="AG191" s="62"/>
      <c r="AH191" s="56"/>
    </row>
    <row r="192" spans="1:34" x14ac:dyDescent="0.3">
      <c r="A192" s="45">
        <f>A189+1</f>
        <v>161</v>
      </c>
      <c r="B192" s="414" t="s">
        <v>237</v>
      </c>
      <c r="C192" s="51">
        <f t="shared" ref="C192:C199" si="41">D192+N192+P192+R192+S192+U192+V192+W192</f>
        <v>327871.95999999996</v>
      </c>
      <c r="D192" s="51">
        <f t="shared" ref="D192:D199" si="42">E192+F192+G192+H192+I192</f>
        <v>0</v>
      </c>
      <c r="E192" s="51"/>
      <c r="F192" s="51"/>
      <c r="G192" s="51"/>
      <c r="H192" s="51"/>
      <c r="I192" s="51"/>
      <c r="J192" s="51"/>
      <c r="K192" s="51"/>
      <c r="L192" s="51"/>
      <c r="M192" s="35"/>
      <c r="N192" s="51"/>
      <c r="O192" s="82"/>
      <c r="P192" s="51"/>
      <c r="Q192" s="338"/>
      <c r="R192" s="51"/>
      <c r="S192" s="51"/>
      <c r="T192" s="338"/>
      <c r="U192" s="51"/>
      <c r="V192" s="35"/>
      <c r="W192" s="364">
        <f t="shared" ref="W192:W199" si="43">SUM(AB192:AG192)</f>
        <v>327871.95999999996</v>
      </c>
      <c r="X192" s="141" t="s">
        <v>234</v>
      </c>
      <c r="Y192" s="48"/>
      <c r="Z192" s="48"/>
      <c r="AA192" s="48"/>
      <c r="AB192" s="48">
        <f>83010.23+91072.48</f>
        <v>174082.71</v>
      </c>
      <c r="AC192" s="48">
        <v>153789.25</v>
      </c>
      <c r="AD192" s="61"/>
      <c r="AE192" s="62"/>
      <c r="AF192" s="62"/>
      <c r="AG192" s="62"/>
      <c r="AH192" s="56"/>
    </row>
    <row r="193" spans="1:34" x14ac:dyDescent="0.3">
      <c r="A193" s="45">
        <f t="shared" ref="A193:A199" si="44">A192+1</f>
        <v>162</v>
      </c>
      <c r="B193" s="414" t="s">
        <v>238</v>
      </c>
      <c r="C193" s="51">
        <f t="shared" si="41"/>
        <v>320444.21999999997</v>
      </c>
      <c r="D193" s="51">
        <f t="shared" si="42"/>
        <v>0</v>
      </c>
      <c r="E193" s="51"/>
      <c r="F193" s="51"/>
      <c r="G193" s="51"/>
      <c r="H193" s="51"/>
      <c r="I193" s="51"/>
      <c r="J193" s="51"/>
      <c r="K193" s="51"/>
      <c r="L193" s="51"/>
      <c r="M193" s="35"/>
      <c r="N193" s="51"/>
      <c r="O193" s="82"/>
      <c r="P193" s="51"/>
      <c r="Q193" s="338"/>
      <c r="R193" s="51"/>
      <c r="S193" s="51"/>
      <c r="T193" s="338"/>
      <c r="U193" s="51"/>
      <c r="V193" s="35"/>
      <c r="W193" s="364">
        <f t="shared" si="43"/>
        <v>320444.21999999997</v>
      </c>
      <c r="X193" s="141"/>
      <c r="Y193" s="48"/>
      <c r="Z193" s="48"/>
      <c r="AA193" s="48"/>
      <c r="AB193" s="48"/>
      <c r="AC193" s="48">
        <v>320444.21999999997</v>
      </c>
      <c r="AD193" s="61"/>
      <c r="AE193" s="62"/>
      <c r="AF193" s="62"/>
      <c r="AG193" s="62"/>
      <c r="AH193" s="56"/>
    </row>
    <row r="194" spans="1:34" x14ac:dyDescent="0.3">
      <c r="A194" s="45">
        <f t="shared" si="44"/>
        <v>163</v>
      </c>
      <c r="B194" s="414" t="s">
        <v>239</v>
      </c>
      <c r="C194" s="51">
        <f t="shared" si="41"/>
        <v>557974.93999999994</v>
      </c>
      <c r="D194" s="51">
        <f t="shared" si="42"/>
        <v>0</v>
      </c>
      <c r="E194" s="51"/>
      <c r="F194" s="51"/>
      <c r="G194" s="51"/>
      <c r="H194" s="51"/>
      <c r="I194" s="51"/>
      <c r="J194" s="51"/>
      <c r="K194" s="51"/>
      <c r="L194" s="51"/>
      <c r="M194" s="35"/>
      <c r="N194" s="51"/>
      <c r="O194" s="82"/>
      <c r="P194" s="51"/>
      <c r="Q194" s="338"/>
      <c r="R194" s="51"/>
      <c r="S194" s="51"/>
      <c r="T194" s="338"/>
      <c r="U194" s="51"/>
      <c r="V194" s="35"/>
      <c r="W194" s="364">
        <f t="shared" si="43"/>
        <v>557974.93999999994</v>
      </c>
      <c r="X194" s="141" t="s">
        <v>200</v>
      </c>
      <c r="Y194" s="48"/>
      <c r="Z194" s="48"/>
      <c r="AA194" s="48"/>
      <c r="AB194" s="48">
        <v>112444.81</v>
      </c>
      <c r="AC194" s="48"/>
      <c r="AD194" s="61">
        <v>445530.13</v>
      </c>
      <c r="AE194" s="62"/>
      <c r="AF194" s="62"/>
      <c r="AG194" s="62"/>
      <c r="AH194" s="56"/>
    </row>
    <row r="195" spans="1:34" x14ac:dyDescent="0.3">
      <c r="A195" s="45">
        <f t="shared" si="44"/>
        <v>164</v>
      </c>
      <c r="B195" s="414" t="s">
        <v>240</v>
      </c>
      <c r="C195" s="51">
        <f t="shared" si="41"/>
        <v>403591.94</v>
      </c>
      <c r="D195" s="51">
        <f t="shared" si="42"/>
        <v>0</v>
      </c>
      <c r="E195" s="51"/>
      <c r="F195" s="51"/>
      <c r="G195" s="51"/>
      <c r="H195" s="51"/>
      <c r="I195" s="51"/>
      <c r="J195" s="51"/>
      <c r="K195" s="51"/>
      <c r="L195" s="51"/>
      <c r="M195" s="35"/>
      <c r="N195" s="51"/>
      <c r="O195" s="82"/>
      <c r="P195" s="51"/>
      <c r="Q195" s="338"/>
      <c r="R195" s="51"/>
      <c r="S195" s="51"/>
      <c r="T195" s="338"/>
      <c r="U195" s="51"/>
      <c r="V195" s="35"/>
      <c r="W195" s="364">
        <f t="shared" si="43"/>
        <v>403591.94</v>
      </c>
      <c r="X195" s="141" t="s">
        <v>200</v>
      </c>
      <c r="Y195" s="48"/>
      <c r="Z195" s="48"/>
      <c r="AA195" s="48"/>
      <c r="AB195" s="48">
        <v>114551</v>
      </c>
      <c r="AC195" s="48"/>
      <c r="AD195" s="61">
        <v>289040.94</v>
      </c>
      <c r="AE195" s="62"/>
      <c r="AF195" s="62"/>
      <c r="AG195" s="62"/>
      <c r="AH195" s="56"/>
    </row>
    <row r="196" spans="1:34" x14ac:dyDescent="0.3">
      <c r="A196" s="45">
        <f t="shared" si="44"/>
        <v>165</v>
      </c>
      <c r="B196" s="414" t="s">
        <v>241</v>
      </c>
      <c r="C196" s="51">
        <f t="shared" si="41"/>
        <v>443788.14</v>
      </c>
      <c r="D196" s="51">
        <f t="shared" si="42"/>
        <v>0</v>
      </c>
      <c r="E196" s="51"/>
      <c r="F196" s="51"/>
      <c r="G196" s="51"/>
      <c r="H196" s="51"/>
      <c r="I196" s="51"/>
      <c r="J196" s="51"/>
      <c r="K196" s="51"/>
      <c r="L196" s="51"/>
      <c r="M196" s="35"/>
      <c r="N196" s="51"/>
      <c r="O196" s="82"/>
      <c r="P196" s="51"/>
      <c r="Q196" s="338"/>
      <c r="R196" s="51"/>
      <c r="S196" s="51"/>
      <c r="T196" s="338"/>
      <c r="U196" s="51"/>
      <c r="V196" s="35"/>
      <c r="W196" s="364">
        <f t="shared" si="43"/>
        <v>443788.14</v>
      </c>
      <c r="X196" s="141" t="s">
        <v>200</v>
      </c>
      <c r="Y196" s="48"/>
      <c r="Z196" s="48"/>
      <c r="AA196" s="48"/>
      <c r="AB196" s="48">
        <v>117073.88</v>
      </c>
      <c r="AC196" s="48"/>
      <c r="AD196" s="61">
        <v>326714.26</v>
      </c>
      <c r="AE196" s="62"/>
      <c r="AF196" s="62"/>
      <c r="AG196" s="62"/>
      <c r="AH196" s="56"/>
    </row>
    <row r="197" spans="1:34" x14ac:dyDescent="0.3">
      <c r="A197" s="45">
        <f t="shared" si="44"/>
        <v>166</v>
      </c>
      <c r="B197" s="414" t="s">
        <v>242</v>
      </c>
      <c r="C197" s="51">
        <f t="shared" si="41"/>
        <v>345742.95999999996</v>
      </c>
      <c r="D197" s="51">
        <f t="shared" si="42"/>
        <v>0</v>
      </c>
      <c r="E197" s="51"/>
      <c r="F197" s="51"/>
      <c r="G197" s="51"/>
      <c r="H197" s="51"/>
      <c r="I197" s="51"/>
      <c r="J197" s="51"/>
      <c r="K197" s="51"/>
      <c r="L197" s="51"/>
      <c r="M197" s="35"/>
      <c r="N197" s="51"/>
      <c r="O197" s="82"/>
      <c r="P197" s="51"/>
      <c r="Q197" s="338"/>
      <c r="R197" s="51"/>
      <c r="S197" s="51"/>
      <c r="T197" s="338"/>
      <c r="U197" s="51"/>
      <c r="V197" s="35"/>
      <c r="W197" s="364">
        <f t="shared" si="43"/>
        <v>345742.95999999996</v>
      </c>
      <c r="X197" s="141" t="s">
        <v>243</v>
      </c>
      <c r="Y197" s="48"/>
      <c r="Z197" s="48"/>
      <c r="AA197" s="48"/>
      <c r="AB197" s="48">
        <f>90461.77+108207.35+147073.84</f>
        <v>345742.95999999996</v>
      </c>
      <c r="AC197" s="48"/>
      <c r="AD197" s="61"/>
      <c r="AE197" s="62"/>
      <c r="AF197" s="62"/>
      <c r="AG197" s="62"/>
      <c r="AH197" s="56"/>
    </row>
    <row r="198" spans="1:34" x14ac:dyDescent="0.3">
      <c r="A198" s="45">
        <f t="shared" si="44"/>
        <v>167</v>
      </c>
      <c r="B198" s="414" t="s">
        <v>244</v>
      </c>
      <c r="C198" s="51">
        <f t="shared" si="41"/>
        <v>222299.51</v>
      </c>
      <c r="D198" s="51">
        <f t="shared" si="42"/>
        <v>0</v>
      </c>
      <c r="E198" s="51"/>
      <c r="F198" s="51"/>
      <c r="G198" s="51"/>
      <c r="H198" s="51"/>
      <c r="I198" s="51"/>
      <c r="J198" s="51"/>
      <c r="K198" s="51"/>
      <c r="L198" s="51"/>
      <c r="M198" s="35"/>
      <c r="N198" s="51"/>
      <c r="O198" s="82"/>
      <c r="P198" s="51"/>
      <c r="Q198" s="338"/>
      <c r="R198" s="51"/>
      <c r="S198" s="51"/>
      <c r="T198" s="338"/>
      <c r="U198" s="51"/>
      <c r="V198" s="35"/>
      <c r="W198" s="364">
        <f t="shared" si="43"/>
        <v>222299.51</v>
      </c>
      <c r="X198" s="141"/>
      <c r="Y198" s="48"/>
      <c r="Z198" s="48"/>
      <c r="AA198" s="48"/>
      <c r="AB198" s="48"/>
      <c r="AC198" s="48">
        <v>222299.51</v>
      </c>
      <c r="AD198" s="61"/>
      <c r="AE198" s="62"/>
      <c r="AF198" s="62"/>
      <c r="AG198" s="62"/>
      <c r="AH198" s="56"/>
    </row>
    <row r="199" spans="1:34" x14ac:dyDescent="0.3">
      <c r="A199" s="45">
        <f t="shared" si="44"/>
        <v>168</v>
      </c>
      <c r="B199" s="414" t="s">
        <v>245</v>
      </c>
      <c r="C199" s="51">
        <f t="shared" si="41"/>
        <v>364501.45</v>
      </c>
      <c r="D199" s="51">
        <f t="shared" si="42"/>
        <v>0</v>
      </c>
      <c r="E199" s="51"/>
      <c r="F199" s="51"/>
      <c r="G199" s="51"/>
      <c r="H199" s="51"/>
      <c r="I199" s="51"/>
      <c r="J199" s="51"/>
      <c r="K199" s="51"/>
      <c r="L199" s="51"/>
      <c r="M199" s="35"/>
      <c r="N199" s="51"/>
      <c r="O199" s="82"/>
      <c r="P199" s="51"/>
      <c r="Q199" s="338"/>
      <c r="R199" s="51"/>
      <c r="S199" s="51"/>
      <c r="T199" s="338"/>
      <c r="U199" s="51"/>
      <c r="V199" s="35"/>
      <c r="W199" s="364">
        <f t="shared" si="43"/>
        <v>364501.45</v>
      </c>
      <c r="X199" s="141"/>
      <c r="Y199" s="48"/>
      <c r="Z199" s="48"/>
      <c r="AA199" s="48"/>
      <c r="AB199" s="48"/>
      <c r="AC199" s="48"/>
      <c r="AD199" s="61">
        <v>364501.45</v>
      </c>
      <c r="AE199" s="62"/>
      <c r="AF199" s="62"/>
      <c r="AG199" s="62"/>
      <c r="AH199" s="56"/>
    </row>
    <row r="200" spans="1:34" x14ac:dyDescent="0.3">
      <c r="A200" s="45" t="s">
        <v>211</v>
      </c>
      <c r="B200" s="414"/>
      <c r="C200" s="51">
        <f t="shared" ref="C200:W200" si="45">SUM(C192:C199)</f>
        <v>2986215.12</v>
      </c>
      <c r="D200" s="51">
        <f t="shared" si="45"/>
        <v>0</v>
      </c>
      <c r="E200" s="51">
        <f t="shared" si="45"/>
        <v>0</v>
      </c>
      <c r="F200" s="51">
        <f t="shared" si="45"/>
        <v>0</v>
      </c>
      <c r="G200" s="51">
        <f t="shared" si="45"/>
        <v>0</v>
      </c>
      <c r="H200" s="51">
        <f t="shared" si="45"/>
        <v>0</v>
      </c>
      <c r="I200" s="51">
        <f t="shared" si="45"/>
        <v>0</v>
      </c>
      <c r="J200" s="51">
        <f t="shared" si="45"/>
        <v>0</v>
      </c>
      <c r="K200" s="51">
        <f t="shared" si="45"/>
        <v>0</v>
      </c>
      <c r="L200" s="51">
        <f t="shared" si="45"/>
        <v>0</v>
      </c>
      <c r="M200" s="35">
        <f t="shared" si="45"/>
        <v>0</v>
      </c>
      <c r="N200" s="51">
        <f t="shared" si="45"/>
        <v>0</v>
      </c>
      <c r="O200" s="82">
        <f t="shared" si="45"/>
        <v>0</v>
      </c>
      <c r="P200" s="51">
        <f t="shared" si="45"/>
        <v>0</v>
      </c>
      <c r="Q200" s="338">
        <f t="shared" si="45"/>
        <v>0</v>
      </c>
      <c r="R200" s="51">
        <f t="shared" si="45"/>
        <v>0</v>
      </c>
      <c r="S200" s="51">
        <f t="shared" si="45"/>
        <v>0</v>
      </c>
      <c r="T200" s="338">
        <f t="shared" si="45"/>
        <v>0</v>
      </c>
      <c r="U200" s="51">
        <f t="shared" si="45"/>
        <v>0</v>
      </c>
      <c r="V200" s="35">
        <f t="shared" si="45"/>
        <v>0</v>
      </c>
      <c r="W200" s="51">
        <f t="shared" si="45"/>
        <v>2986215.12</v>
      </c>
      <c r="X200" s="141"/>
      <c r="Y200" s="48"/>
      <c r="Z200" s="48"/>
      <c r="AA200" s="48"/>
      <c r="AB200" s="48"/>
      <c r="AC200" s="48"/>
      <c r="AD200" s="61"/>
      <c r="AE200" s="62"/>
      <c r="AF200" s="62"/>
      <c r="AG200" s="62"/>
      <c r="AH200" s="56"/>
    </row>
    <row r="201" spans="1:34" x14ac:dyDescent="0.3">
      <c r="A201" s="45" t="s">
        <v>246</v>
      </c>
      <c r="B201" s="414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35"/>
      <c r="N201" s="51"/>
      <c r="O201" s="82"/>
      <c r="P201" s="51"/>
      <c r="Q201" s="338"/>
      <c r="R201" s="51"/>
      <c r="S201" s="51"/>
      <c r="T201" s="338"/>
      <c r="U201" s="51"/>
      <c r="V201" s="35"/>
      <c r="W201" s="364"/>
      <c r="X201" s="141"/>
      <c r="Y201" s="48"/>
      <c r="Z201" s="48"/>
      <c r="AA201" s="48"/>
      <c r="AB201" s="48"/>
      <c r="AC201" s="48"/>
      <c r="AD201" s="61"/>
      <c r="AE201" s="62"/>
      <c r="AF201" s="62"/>
      <c r="AG201" s="62"/>
      <c r="AH201" s="56"/>
    </row>
    <row r="202" spans="1:34" x14ac:dyDescent="0.3">
      <c r="A202" s="45">
        <f>A199+1</f>
        <v>169</v>
      </c>
      <c r="B202" s="414" t="s">
        <v>248</v>
      </c>
      <c r="C202" s="51">
        <f>D202+N202+P202+R202+S202+U202+V202+W202</f>
        <v>165341.65</v>
      </c>
      <c r="D202" s="51">
        <f>E202+F202+G202+H202+I202</f>
        <v>0</v>
      </c>
      <c r="E202" s="51"/>
      <c r="F202" s="51"/>
      <c r="G202" s="51"/>
      <c r="H202" s="51"/>
      <c r="I202" s="51"/>
      <c r="J202" s="51"/>
      <c r="K202" s="51"/>
      <c r="L202" s="51"/>
      <c r="M202" s="35"/>
      <c r="N202" s="51"/>
      <c r="O202" s="82"/>
      <c r="P202" s="51"/>
      <c r="Q202" s="338"/>
      <c r="R202" s="51"/>
      <c r="S202" s="51"/>
      <c r="T202" s="338"/>
      <c r="U202" s="51"/>
      <c r="V202" s="35"/>
      <c r="W202" s="364">
        <f>SUM(AB202:AG202)</f>
        <v>165341.65</v>
      </c>
      <c r="X202" s="141"/>
      <c r="Y202" s="48"/>
      <c r="Z202" s="48"/>
      <c r="AA202" s="48"/>
      <c r="AB202" s="48"/>
      <c r="AC202" s="48">
        <v>165341.65</v>
      </c>
      <c r="AD202" s="61"/>
      <c r="AE202" s="62"/>
      <c r="AF202" s="62"/>
      <c r="AG202" s="62"/>
      <c r="AH202" s="56"/>
    </row>
    <row r="203" spans="1:34" x14ac:dyDescent="0.3">
      <c r="A203" s="45">
        <f>A202+1</f>
        <v>170</v>
      </c>
      <c r="B203" s="414" t="s">
        <v>251</v>
      </c>
      <c r="C203" s="51">
        <f>D203+N203+P203+R203+S203+U203+V203+W203</f>
        <v>154455.76999999999</v>
      </c>
      <c r="D203" s="51">
        <f>E203+F203+G203+H203+I203</f>
        <v>0</v>
      </c>
      <c r="E203" s="51"/>
      <c r="F203" s="51"/>
      <c r="G203" s="51"/>
      <c r="H203" s="51"/>
      <c r="I203" s="51"/>
      <c r="J203" s="51"/>
      <c r="K203" s="51"/>
      <c r="L203" s="51"/>
      <c r="M203" s="35"/>
      <c r="N203" s="51"/>
      <c r="O203" s="82"/>
      <c r="P203" s="51"/>
      <c r="Q203" s="338"/>
      <c r="R203" s="51"/>
      <c r="S203" s="51"/>
      <c r="T203" s="338"/>
      <c r="U203" s="51"/>
      <c r="V203" s="35"/>
      <c r="W203" s="364">
        <f>SUM(AB203:AG203)</f>
        <v>154455.76999999999</v>
      </c>
      <c r="X203" s="141"/>
      <c r="Y203" s="48"/>
      <c r="Z203" s="48"/>
      <c r="AA203" s="48"/>
      <c r="AB203" s="48"/>
      <c r="AC203" s="48">
        <v>154455.76999999999</v>
      </c>
      <c r="AD203" s="61"/>
      <c r="AE203" s="62"/>
      <c r="AF203" s="62"/>
      <c r="AG203" s="62"/>
      <c r="AH203" s="56"/>
    </row>
    <row r="204" spans="1:34" x14ac:dyDescent="0.3">
      <c r="A204" s="45">
        <f>A203+1</f>
        <v>171</v>
      </c>
      <c r="B204" s="414" t="s">
        <v>252</v>
      </c>
      <c r="C204" s="51">
        <f>D204+N204+P204+R204+S204+U204+V204+W204</f>
        <v>161975.95000000001</v>
      </c>
      <c r="D204" s="51">
        <f>E204+F204+G204+H204+I204</f>
        <v>0</v>
      </c>
      <c r="E204" s="51"/>
      <c r="F204" s="51"/>
      <c r="G204" s="51"/>
      <c r="H204" s="51"/>
      <c r="I204" s="51"/>
      <c r="J204" s="51"/>
      <c r="K204" s="51"/>
      <c r="L204" s="51"/>
      <c r="M204" s="35"/>
      <c r="N204" s="51"/>
      <c r="O204" s="82"/>
      <c r="P204" s="51"/>
      <c r="Q204" s="338"/>
      <c r="R204" s="51"/>
      <c r="S204" s="51"/>
      <c r="T204" s="338"/>
      <c r="U204" s="51"/>
      <c r="V204" s="35"/>
      <c r="W204" s="364">
        <f>SUM(AB204:AG204)</f>
        <v>161975.95000000001</v>
      </c>
      <c r="X204" s="141"/>
      <c r="Y204" s="48"/>
      <c r="Z204" s="48"/>
      <c r="AA204" s="48"/>
      <c r="AB204" s="48"/>
      <c r="AC204" s="48">
        <v>161975.95000000001</v>
      </c>
      <c r="AD204" s="61"/>
      <c r="AE204" s="62"/>
      <c r="AF204" s="62"/>
      <c r="AG204" s="62"/>
      <c r="AH204" s="56"/>
    </row>
    <row r="205" spans="1:34" x14ac:dyDescent="0.3">
      <c r="A205" s="45">
        <f>A204+1</f>
        <v>172</v>
      </c>
      <c r="B205" s="414" t="s">
        <v>253</v>
      </c>
      <c r="C205" s="51">
        <f>D205+N205+P205+R205+S205+U205+V205+W205</f>
        <v>130000</v>
      </c>
      <c r="D205" s="51">
        <f>E205+F205+G205+H205+I205</f>
        <v>0</v>
      </c>
      <c r="E205" s="51"/>
      <c r="F205" s="51"/>
      <c r="G205" s="51"/>
      <c r="H205" s="51"/>
      <c r="I205" s="51"/>
      <c r="J205" s="51"/>
      <c r="K205" s="51"/>
      <c r="L205" s="51"/>
      <c r="M205" s="35"/>
      <c r="N205" s="51"/>
      <c r="O205" s="82"/>
      <c r="P205" s="51"/>
      <c r="Q205" s="338"/>
      <c r="R205" s="51"/>
      <c r="S205" s="51"/>
      <c r="T205" s="338"/>
      <c r="U205" s="51"/>
      <c r="V205" s="35"/>
      <c r="W205" s="364">
        <v>130000</v>
      </c>
      <c r="X205" s="141"/>
      <c r="Y205" s="48"/>
      <c r="Z205" s="48"/>
      <c r="AA205" s="48"/>
      <c r="AB205" s="48"/>
      <c r="AC205" s="48"/>
      <c r="AD205" s="61"/>
      <c r="AE205" s="62"/>
      <c r="AF205" s="62"/>
      <c r="AG205" s="62"/>
      <c r="AH205" s="56"/>
    </row>
    <row r="206" spans="1:34" x14ac:dyDescent="0.3">
      <c r="A206" s="45" t="s">
        <v>211</v>
      </c>
      <c r="B206" s="414"/>
      <c r="C206" s="51">
        <f t="shared" ref="C206:W206" si="46">SUM(C202:C205)</f>
        <v>611773.37</v>
      </c>
      <c r="D206" s="51">
        <f t="shared" si="46"/>
        <v>0</v>
      </c>
      <c r="E206" s="51">
        <f t="shared" si="46"/>
        <v>0</v>
      </c>
      <c r="F206" s="51">
        <f t="shared" si="46"/>
        <v>0</v>
      </c>
      <c r="G206" s="51">
        <f t="shared" si="46"/>
        <v>0</v>
      </c>
      <c r="H206" s="51">
        <f t="shared" si="46"/>
        <v>0</v>
      </c>
      <c r="I206" s="51">
        <f t="shared" si="46"/>
        <v>0</v>
      </c>
      <c r="J206" s="51">
        <f t="shared" si="46"/>
        <v>0</v>
      </c>
      <c r="K206" s="51">
        <f t="shared" si="46"/>
        <v>0</v>
      </c>
      <c r="L206" s="51">
        <f t="shared" si="46"/>
        <v>0</v>
      </c>
      <c r="M206" s="35">
        <f t="shared" si="46"/>
        <v>0</v>
      </c>
      <c r="N206" s="51">
        <f t="shared" si="46"/>
        <v>0</v>
      </c>
      <c r="O206" s="82">
        <f t="shared" si="46"/>
        <v>0</v>
      </c>
      <c r="P206" s="51">
        <f t="shared" si="46"/>
        <v>0</v>
      </c>
      <c r="Q206" s="338">
        <f t="shared" si="46"/>
        <v>0</v>
      </c>
      <c r="R206" s="51">
        <f t="shared" si="46"/>
        <v>0</v>
      </c>
      <c r="S206" s="51">
        <f t="shared" si="46"/>
        <v>0</v>
      </c>
      <c r="T206" s="338">
        <f t="shared" si="46"/>
        <v>0</v>
      </c>
      <c r="U206" s="51">
        <f t="shared" si="46"/>
        <v>0</v>
      </c>
      <c r="V206" s="35">
        <f t="shared" si="46"/>
        <v>0</v>
      </c>
      <c r="W206" s="51">
        <f t="shared" si="46"/>
        <v>611773.37</v>
      </c>
      <c r="X206" s="141"/>
      <c r="Y206" s="48"/>
      <c r="Z206" s="48"/>
      <c r="AA206" s="48"/>
      <c r="AB206" s="48"/>
      <c r="AC206" s="48"/>
      <c r="AD206" s="61"/>
      <c r="AE206" s="62"/>
      <c r="AF206" s="62"/>
      <c r="AG206" s="62"/>
      <c r="AH206" s="56"/>
    </row>
    <row r="207" spans="1:34" x14ac:dyDescent="0.3">
      <c r="A207" s="45" t="s">
        <v>254</v>
      </c>
      <c r="B207" s="414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35"/>
      <c r="N207" s="51"/>
      <c r="O207" s="82"/>
      <c r="P207" s="51"/>
      <c r="Q207" s="338"/>
      <c r="R207" s="51"/>
      <c r="S207" s="51"/>
      <c r="T207" s="338"/>
      <c r="U207" s="51"/>
      <c r="V207" s="35"/>
      <c r="W207" s="364"/>
      <c r="X207" s="141"/>
      <c r="Y207" s="48"/>
      <c r="Z207" s="48"/>
      <c r="AA207" s="48"/>
      <c r="AB207" s="48"/>
      <c r="AC207" s="48"/>
      <c r="AD207" s="61"/>
      <c r="AE207" s="62"/>
      <c r="AF207" s="62"/>
      <c r="AG207" s="62"/>
      <c r="AH207" s="56"/>
    </row>
    <row r="208" spans="1:34" x14ac:dyDescent="0.3">
      <c r="A208" s="45">
        <f>A205+1</f>
        <v>173</v>
      </c>
      <c r="B208" s="414" t="s">
        <v>255</v>
      </c>
      <c r="C208" s="51">
        <f>D208+N208+P208+R208+S208+U208+V208+W208</f>
        <v>15436560</v>
      </c>
      <c r="D208" s="51">
        <f>E208+F208+G208+H208+I208</f>
        <v>0</v>
      </c>
      <c r="E208" s="51"/>
      <c r="F208" s="51"/>
      <c r="G208" s="51"/>
      <c r="H208" s="51"/>
      <c r="I208" s="51"/>
      <c r="J208" s="51"/>
      <c r="K208" s="51"/>
      <c r="L208" s="51"/>
      <c r="M208" s="35"/>
      <c r="N208" s="51"/>
      <c r="O208" s="82"/>
      <c r="P208" s="51"/>
      <c r="Q208" s="338">
        <v>3148.08</v>
      </c>
      <c r="R208" s="51">
        <v>15436560</v>
      </c>
      <c r="S208" s="51"/>
      <c r="T208" s="338"/>
      <c r="U208" s="51"/>
      <c r="V208" s="35"/>
      <c r="W208" s="364">
        <f>SUM(AB208:AG208)</f>
        <v>0</v>
      </c>
      <c r="X208" s="141"/>
      <c r="Y208" s="48"/>
      <c r="Z208" s="48"/>
      <c r="AA208" s="48"/>
      <c r="AB208" s="48"/>
      <c r="AC208" s="48"/>
      <c r="AD208" s="61"/>
      <c r="AE208" s="62"/>
      <c r="AF208" s="62"/>
      <c r="AG208" s="62"/>
      <c r="AH208" s="56"/>
    </row>
    <row r="209" spans="1:35" x14ac:dyDescent="0.3">
      <c r="A209" s="45" t="s">
        <v>211</v>
      </c>
      <c r="B209" s="414"/>
      <c r="C209" s="51">
        <f t="shared" ref="C209:R209" si="47">SUM(C208:C208)</f>
        <v>15436560</v>
      </c>
      <c r="D209" s="51">
        <f t="shared" si="47"/>
        <v>0</v>
      </c>
      <c r="E209" s="51">
        <f t="shared" si="47"/>
        <v>0</v>
      </c>
      <c r="F209" s="51">
        <f t="shared" si="47"/>
        <v>0</v>
      </c>
      <c r="G209" s="51">
        <f t="shared" si="47"/>
        <v>0</v>
      </c>
      <c r="H209" s="51">
        <f t="shared" si="47"/>
        <v>0</v>
      </c>
      <c r="I209" s="51">
        <f t="shared" si="47"/>
        <v>0</v>
      </c>
      <c r="J209" s="51">
        <f t="shared" si="47"/>
        <v>0</v>
      </c>
      <c r="K209" s="51">
        <f t="shared" si="47"/>
        <v>0</v>
      </c>
      <c r="L209" s="51">
        <f t="shared" si="47"/>
        <v>0</v>
      </c>
      <c r="M209" s="35">
        <f t="shared" si="47"/>
        <v>0</v>
      </c>
      <c r="N209" s="51">
        <f t="shared" si="47"/>
        <v>0</v>
      </c>
      <c r="O209" s="82">
        <f t="shared" si="47"/>
        <v>0</v>
      </c>
      <c r="P209" s="51">
        <f t="shared" si="47"/>
        <v>0</v>
      </c>
      <c r="Q209" s="338">
        <f t="shared" si="47"/>
        <v>3148.08</v>
      </c>
      <c r="R209" s="51">
        <f t="shared" si="47"/>
        <v>15436560</v>
      </c>
      <c r="S209" s="51"/>
      <c r="T209" s="338">
        <f>SUM(T208:T208)</f>
        <v>0</v>
      </c>
      <c r="U209" s="51">
        <f>SUM(U208:U208)</f>
        <v>0</v>
      </c>
      <c r="V209" s="35">
        <f>SUM(V208:V208)</f>
        <v>0</v>
      </c>
      <c r="W209" s="51">
        <f>SUM(W208:W208)</f>
        <v>0</v>
      </c>
      <c r="X209" s="141"/>
      <c r="Y209" s="48"/>
      <c r="Z209" s="48"/>
      <c r="AA209" s="48"/>
      <c r="AB209" s="48"/>
      <c r="AC209" s="48"/>
      <c r="AD209" s="61"/>
      <c r="AE209" s="62"/>
      <c r="AF209" s="62"/>
      <c r="AG209" s="62"/>
      <c r="AH209" s="56"/>
    </row>
    <row r="210" spans="1:35" x14ac:dyDescent="0.3">
      <c r="A210" s="45" t="s">
        <v>260</v>
      </c>
      <c r="B210" s="414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35"/>
      <c r="N210" s="51"/>
      <c r="O210" s="82"/>
      <c r="P210" s="51"/>
      <c r="Q210" s="338"/>
      <c r="R210" s="51"/>
      <c r="S210" s="51"/>
      <c r="T210" s="338"/>
      <c r="U210" s="51"/>
      <c r="V210" s="35"/>
      <c r="W210" s="364"/>
      <c r="X210" s="141"/>
      <c r="Y210" s="48"/>
      <c r="Z210" s="48"/>
      <c r="AA210" s="48"/>
      <c r="AB210" s="48"/>
      <c r="AC210" s="48"/>
      <c r="AD210" s="61"/>
      <c r="AE210" s="62"/>
      <c r="AF210" s="62"/>
      <c r="AG210" s="62"/>
      <c r="AH210" s="56"/>
    </row>
    <row r="211" spans="1:35" x14ac:dyDescent="0.3">
      <c r="A211" s="45">
        <f>A208+1</f>
        <v>174</v>
      </c>
      <c r="B211" s="414" t="s">
        <v>261</v>
      </c>
      <c r="C211" s="51">
        <f>D211+N211+P211+R211+S211+U211+V211+W211</f>
        <v>4885392.91</v>
      </c>
      <c r="D211" s="51">
        <f>E211+F211+G211+H211+I211</f>
        <v>0</v>
      </c>
      <c r="E211" s="51"/>
      <c r="F211" s="51"/>
      <c r="G211" s="51"/>
      <c r="H211" s="51"/>
      <c r="I211" s="51"/>
      <c r="J211" s="51"/>
      <c r="K211" s="51"/>
      <c r="L211" s="51"/>
      <c r="M211" s="35">
        <v>480</v>
      </c>
      <c r="N211" s="51">
        <f>8094*M211</f>
        <v>3885120</v>
      </c>
      <c r="O211" s="82"/>
      <c r="P211" s="51"/>
      <c r="Q211" s="338"/>
      <c r="R211" s="51"/>
      <c r="S211" s="51"/>
      <c r="T211" s="338"/>
      <c r="U211" s="51"/>
      <c r="V211" s="35"/>
      <c r="W211" s="364">
        <f>SUM(AB211:AG211)</f>
        <v>1000272.91</v>
      </c>
      <c r="X211" s="141" t="s">
        <v>262</v>
      </c>
      <c r="Y211" s="48"/>
      <c r="Z211" s="48"/>
      <c r="AA211" s="48"/>
      <c r="AB211" s="48">
        <f>102470.89+124006.56+104168.7+104168.7</f>
        <v>434814.85000000003</v>
      </c>
      <c r="AC211" s="48">
        <v>193752.17</v>
      </c>
      <c r="AD211" s="61"/>
      <c r="AE211" s="62">
        <v>371705.89</v>
      </c>
      <c r="AF211" s="62"/>
      <c r="AG211" s="62"/>
      <c r="AH211" s="56"/>
    </row>
    <row r="212" spans="1:35" x14ac:dyDescent="0.3">
      <c r="A212" s="45">
        <f>A211+1</f>
        <v>175</v>
      </c>
      <c r="B212" s="414" t="s">
        <v>263</v>
      </c>
      <c r="C212" s="51">
        <f>D212+N212+P212+R212+S212+U212+V212+W212</f>
        <v>1399684.72</v>
      </c>
      <c r="D212" s="51">
        <f>E212+F212+G212+H212+I212</f>
        <v>0</v>
      </c>
      <c r="E212" s="51"/>
      <c r="F212" s="51"/>
      <c r="G212" s="51"/>
      <c r="H212" s="51"/>
      <c r="I212" s="51"/>
      <c r="J212" s="51"/>
      <c r="K212" s="51"/>
      <c r="L212" s="51"/>
      <c r="M212" s="35"/>
      <c r="N212" s="51"/>
      <c r="O212" s="82"/>
      <c r="P212" s="51"/>
      <c r="Q212" s="338"/>
      <c r="R212" s="51"/>
      <c r="S212" s="51"/>
      <c r="T212" s="338"/>
      <c r="U212" s="51"/>
      <c r="V212" s="35"/>
      <c r="W212" s="364">
        <f>SUM(AB212:AG212)</f>
        <v>1399684.72</v>
      </c>
      <c r="X212" s="141"/>
      <c r="Y212" s="48"/>
      <c r="Z212" s="48"/>
      <c r="AA212" s="48"/>
      <c r="AB212" s="48"/>
      <c r="AC212" s="48">
        <v>349646.27</v>
      </c>
      <c r="AD212" s="61">
        <v>268529.99</v>
      </c>
      <c r="AE212" s="62">
        <v>781508.46</v>
      </c>
      <c r="AF212" s="62"/>
      <c r="AG212" s="62"/>
      <c r="AH212" s="56"/>
    </row>
    <row r="213" spans="1:35" x14ac:dyDescent="0.3">
      <c r="A213" s="45">
        <f>A212+1</f>
        <v>176</v>
      </c>
      <c r="B213" s="414" t="s">
        <v>264</v>
      </c>
      <c r="C213" s="51">
        <f>D213+N213+P213+R213+S213+U213+V213+W213</f>
        <v>1848744.59</v>
      </c>
      <c r="D213" s="51">
        <f>E213+F213+G213+H213+I213</f>
        <v>0</v>
      </c>
      <c r="E213" s="51"/>
      <c r="F213" s="51"/>
      <c r="G213" s="51"/>
      <c r="H213" s="51"/>
      <c r="I213" s="51"/>
      <c r="J213" s="51"/>
      <c r="K213" s="51"/>
      <c r="L213" s="51"/>
      <c r="M213" s="35"/>
      <c r="N213" s="51"/>
      <c r="O213" s="82"/>
      <c r="P213" s="51"/>
      <c r="Q213" s="338"/>
      <c r="R213" s="51"/>
      <c r="S213" s="51"/>
      <c r="T213" s="338"/>
      <c r="U213" s="51"/>
      <c r="V213" s="35"/>
      <c r="W213" s="364">
        <f>SUM(AB213:AG213)</f>
        <v>1848744.59</v>
      </c>
      <c r="X213" s="141"/>
      <c r="Y213" s="48"/>
      <c r="Z213" s="48"/>
      <c r="AA213" s="48"/>
      <c r="AB213" s="48"/>
      <c r="AC213" s="48">
        <v>460588.79</v>
      </c>
      <c r="AD213" s="61">
        <v>380311.28</v>
      </c>
      <c r="AE213" s="62">
        <v>1007844.52</v>
      </c>
      <c r="AF213" s="62"/>
      <c r="AG213" s="62"/>
      <c r="AH213" s="56"/>
    </row>
    <row r="214" spans="1:35" x14ac:dyDescent="0.3">
      <c r="A214" s="45">
        <f>A213+1</f>
        <v>177</v>
      </c>
      <c r="B214" s="414" t="s">
        <v>265</v>
      </c>
      <c r="C214" s="51">
        <f>D214+N214+P214+R214+S214+U214+V214+W214</f>
        <v>4885392.91</v>
      </c>
      <c r="D214" s="51">
        <f>E214+F214+G214+H214+I214</f>
        <v>0</v>
      </c>
      <c r="E214" s="51"/>
      <c r="F214" s="51"/>
      <c r="G214" s="51"/>
      <c r="H214" s="51"/>
      <c r="I214" s="51"/>
      <c r="J214" s="51"/>
      <c r="K214" s="51"/>
      <c r="L214" s="51"/>
      <c r="M214" s="35">
        <v>480</v>
      </c>
      <c r="N214" s="51">
        <f>8094*M214</f>
        <v>3885120</v>
      </c>
      <c r="O214" s="82"/>
      <c r="P214" s="51"/>
      <c r="Q214" s="338"/>
      <c r="R214" s="51"/>
      <c r="S214" s="51"/>
      <c r="T214" s="338"/>
      <c r="U214" s="51"/>
      <c r="V214" s="35"/>
      <c r="W214" s="364">
        <f>SUM(AB214:AG214)</f>
        <v>1000272.91</v>
      </c>
      <c r="X214" s="141" t="s">
        <v>262</v>
      </c>
      <c r="Y214" s="48"/>
      <c r="Z214" s="48"/>
      <c r="AA214" s="48"/>
      <c r="AB214" s="48">
        <f>102470.89+124006.56+104168.7+104168.7</f>
        <v>434814.85000000003</v>
      </c>
      <c r="AC214" s="48">
        <v>193752.17</v>
      </c>
      <c r="AD214" s="61"/>
      <c r="AE214" s="62">
        <v>371705.89</v>
      </c>
      <c r="AF214" s="62"/>
      <c r="AG214" s="62"/>
      <c r="AH214" s="56"/>
    </row>
    <row r="215" spans="1:35" x14ac:dyDescent="0.3">
      <c r="A215" s="45">
        <f>A214+1</f>
        <v>178</v>
      </c>
      <c r="B215" s="414" t="s">
        <v>266</v>
      </c>
      <c r="C215" s="51">
        <f>D215+N215+P215+R215+S215+U215+V215+W215</f>
        <v>1010611.3300000001</v>
      </c>
      <c r="D215" s="51">
        <f>E215+F215+G215+H215+I215</f>
        <v>0</v>
      </c>
      <c r="E215" s="51"/>
      <c r="F215" s="51"/>
      <c r="G215" s="51"/>
      <c r="H215" s="51"/>
      <c r="I215" s="51"/>
      <c r="J215" s="51"/>
      <c r="K215" s="51"/>
      <c r="L215" s="51"/>
      <c r="M215" s="35"/>
      <c r="N215" s="51"/>
      <c r="O215" s="82"/>
      <c r="P215" s="51"/>
      <c r="Q215" s="338"/>
      <c r="R215" s="51"/>
      <c r="S215" s="51"/>
      <c r="T215" s="338"/>
      <c r="U215" s="51"/>
      <c r="V215" s="35"/>
      <c r="W215" s="364">
        <f>SUM(AB215:AG215)</f>
        <v>1010611.3300000001</v>
      </c>
      <c r="X215" s="141" t="s">
        <v>262</v>
      </c>
      <c r="Y215" s="48"/>
      <c r="Z215" s="48"/>
      <c r="AA215" s="48"/>
      <c r="AB215" s="48">
        <f>103687.27+125280.13+105380.11+105380.11</f>
        <v>439727.62</v>
      </c>
      <c r="AC215" s="48">
        <v>195422.39</v>
      </c>
      <c r="AD215" s="61"/>
      <c r="AE215" s="62">
        <v>375461.32</v>
      </c>
      <c r="AF215" s="62"/>
      <c r="AG215" s="62"/>
      <c r="AH215" s="56"/>
    </row>
    <row r="216" spans="1:35" x14ac:dyDescent="0.3">
      <c r="A216" s="45" t="s">
        <v>211</v>
      </c>
      <c r="B216" s="414"/>
      <c r="C216" s="51">
        <f t="shared" ref="C216:W216" si="48">SUM(C211:C215)</f>
        <v>14029826.459999999</v>
      </c>
      <c r="D216" s="51">
        <f t="shared" si="48"/>
        <v>0</v>
      </c>
      <c r="E216" s="51">
        <f t="shared" si="48"/>
        <v>0</v>
      </c>
      <c r="F216" s="51">
        <f t="shared" si="48"/>
        <v>0</v>
      </c>
      <c r="G216" s="51">
        <f t="shared" si="48"/>
        <v>0</v>
      </c>
      <c r="H216" s="51">
        <f t="shared" si="48"/>
        <v>0</v>
      </c>
      <c r="I216" s="51">
        <f t="shared" si="48"/>
        <v>0</v>
      </c>
      <c r="J216" s="51">
        <f t="shared" si="48"/>
        <v>0</v>
      </c>
      <c r="K216" s="51">
        <f t="shared" si="48"/>
        <v>0</v>
      </c>
      <c r="L216" s="51">
        <f t="shared" si="48"/>
        <v>0</v>
      </c>
      <c r="M216" s="35">
        <f t="shared" si="48"/>
        <v>960</v>
      </c>
      <c r="N216" s="51">
        <f t="shared" si="48"/>
        <v>7770240</v>
      </c>
      <c r="O216" s="82">
        <f t="shared" si="48"/>
        <v>0</v>
      </c>
      <c r="P216" s="51">
        <f t="shared" si="48"/>
        <v>0</v>
      </c>
      <c r="Q216" s="338">
        <f t="shared" si="48"/>
        <v>0</v>
      </c>
      <c r="R216" s="51">
        <f t="shared" si="48"/>
        <v>0</v>
      </c>
      <c r="S216" s="51">
        <f t="shared" si="48"/>
        <v>0</v>
      </c>
      <c r="T216" s="338">
        <f t="shared" si="48"/>
        <v>0</v>
      </c>
      <c r="U216" s="51">
        <f t="shared" si="48"/>
        <v>0</v>
      </c>
      <c r="V216" s="35">
        <f t="shared" si="48"/>
        <v>0</v>
      </c>
      <c r="W216" s="51">
        <f t="shared" si="48"/>
        <v>6259586.46</v>
      </c>
      <c r="X216" s="141"/>
      <c r="Y216" s="48"/>
      <c r="Z216" s="48"/>
      <c r="AA216" s="48"/>
      <c r="AB216" s="48"/>
      <c r="AC216" s="48"/>
      <c r="AD216" s="61"/>
      <c r="AE216" s="62"/>
      <c r="AF216" s="62"/>
      <c r="AG216" s="62"/>
      <c r="AH216" s="56"/>
    </row>
    <row r="217" spans="1:35" x14ac:dyDescent="0.3">
      <c r="A217" s="45"/>
      <c r="B217" s="416" t="s">
        <v>272</v>
      </c>
      <c r="C217" s="51">
        <f t="shared" ref="C217:W217" si="49">C175+C190+C200+C206+C209+C216+C178</f>
        <v>44566244.079999998</v>
      </c>
      <c r="D217" s="51">
        <f t="shared" si="49"/>
        <v>0</v>
      </c>
      <c r="E217" s="51">
        <f t="shared" si="49"/>
        <v>0</v>
      </c>
      <c r="F217" s="51">
        <f t="shared" si="49"/>
        <v>0</v>
      </c>
      <c r="G217" s="51">
        <f t="shared" si="49"/>
        <v>0</v>
      </c>
      <c r="H217" s="51">
        <f t="shared" si="49"/>
        <v>0</v>
      </c>
      <c r="I217" s="51">
        <f t="shared" si="49"/>
        <v>0</v>
      </c>
      <c r="J217" s="51">
        <f t="shared" si="49"/>
        <v>0</v>
      </c>
      <c r="K217" s="51">
        <f t="shared" si="49"/>
        <v>0</v>
      </c>
      <c r="L217" s="51">
        <f t="shared" si="49"/>
        <v>0</v>
      </c>
      <c r="M217" s="35">
        <f t="shared" si="49"/>
        <v>960</v>
      </c>
      <c r="N217" s="51">
        <f t="shared" si="49"/>
        <v>7770240</v>
      </c>
      <c r="O217" s="82">
        <f t="shared" si="49"/>
        <v>0</v>
      </c>
      <c r="P217" s="51">
        <f t="shared" si="49"/>
        <v>0</v>
      </c>
      <c r="Q217" s="338">
        <f t="shared" si="49"/>
        <v>3148.08</v>
      </c>
      <c r="R217" s="51">
        <f t="shared" si="49"/>
        <v>15436560</v>
      </c>
      <c r="S217" s="51">
        <f t="shared" si="49"/>
        <v>0</v>
      </c>
      <c r="T217" s="338">
        <f t="shared" si="49"/>
        <v>0</v>
      </c>
      <c r="U217" s="51">
        <f t="shared" si="49"/>
        <v>0</v>
      </c>
      <c r="V217" s="35">
        <f t="shared" si="49"/>
        <v>0</v>
      </c>
      <c r="W217" s="51">
        <f t="shared" si="49"/>
        <v>21359444.079999998</v>
      </c>
      <c r="X217" s="285"/>
      <c r="Y217" s="285"/>
      <c r="Z217" s="285"/>
      <c r="AA217" s="285"/>
      <c r="AB217" s="285"/>
      <c r="AC217" s="9"/>
      <c r="AD217" s="306"/>
      <c r="AE217" s="302"/>
      <c r="AF217" s="302"/>
      <c r="AG217" s="302"/>
      <c r="AH217" s="56"/>
    </row>
    <row r="218" spans="1:35" ht="28.5" customHeight="1" x14ac:dyDescent="0.3">
      <c r="A218" s="519" t="s">
        <v>3734</v>
      </c>
      <c r="B218" s="519"/>
      <c r="C218" s="519"/>
      <c r="D218" s="519"/>
      <c r="E218" s="519"/>
      <c r="F218" s="519"/>
      <c r="G218" s="519"/>
      <c r="H218" s="519"/>
      <c r="I218" s="519"/>
      <c r="J218" s="519"/>
      <c r="K218" s="519"/>
      <c r="L218" s="519"/>
      <c r="M218" s="519"/>
      <c r="N218" s="519"/>
      <c r="O218" s="519"/>
      <c r="P218" s="519"/>
      <c r="Q218" s="519"/>
      <c r="R218" s="519"/>
      <c r="S218" s="519"/>
      <c r="T218" s="519"/>
      <c r="U218" s="519"/>
      <c r="V218" s="519"/>
      <c r="W218" s="519"/>
      <c r="X218" s="307" t="s">
        <v>196</v>
      </c>
      <c r="Y218" s="179"/>
      <c r="Z218" s="179"/>
      <c r="AA218" s="179"/>
      <c r="AB218" s="179"/>
      <c r="AC218" s="179"/>
      <c r="AD218" s="172"/>
      <c r="AE218" s="172"/>
      <c r="AF218" s="172"/>
      <c r="AG218" s="62"/>
      <c r="AH218" s="56"/>
      <c r="AI218" s="56"/>
    </row>
    <row r="219" spans="1:35" ht="31.2" x14ac:dyDescent="0.3">
      <c r="A219" s="45"/>
      <c r="B219" s="414" t="s">
        <v>280</v>
      </c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35"/>
      <c r="N219" s="51"/>
      <c r="O219" s="82"/>
      <c r="P219" s="51"/>
      <c r="Q219" s="338"/>
      <c r="R219" s="51"/>
      <c r="S219" s="51"/>
      <c r="T219" s="338"/>
      <c r="U219" s="51"/>
      <c r="V219" s="35"/>
      <c r="W219" s="364"/>
      <c r="X219" s="141"/>
      <c r="Y219" s="48"/>
      <c r="Z219" s="48"/>
      <c r="AA219" s="48"/>
      <c r="AB219" s="48"/>
      <c r="AC219" s="48"/>
      <c r="AD219" s="48"/>
      <c r="AE219" s="61"/>
      <c r="AF219" s="62"/>
      <c r="AG219" s="62"/>
      <c r="AH219" s="56"/>
      <c r="AI219" s="56"/>
    </row>
    <row r="220" spans="1:35" x14ac:dyDescent="0.3">
      <c r="A220" s="45">
        <f>A215+1</f>
        <v>179</v>
      </c>
      <c r="B220" s="414" t="s">
        <v>282</v>
      </c>
      <c r="C220" s="51">
        <f>D220+K220+L220+N220+P220+R220+S220+U220+V220+W220</f>
        <v>89136.18</v>
      </c>
      <c r="D220" s="51">
        <f>E220+F220+G220+H220+I220</f>
        <v>0</v>
      </c>
      <c r="E220" s="51"/>
      <c r="F220" s="51"/>
      <c r="G220" s="51"/>
      <c r="H220" s="51"/>
      <c r="I220" s="51"/>
      <c r="J220" s="51"/>
      <c r="K220" s="51"/>
      <c r="L220" s="51"/>
      <c r="M220" s="35"/>
      <c r="N220" s="51"/>
      <c r="O220" s="82"/>
      <c r="P220" s="51"/>
      <c r="Q220" s="338"/>
      <c r="R220" s="51"/>
      <c r="S220" s="51"/>
      <c r="T220" s="338"/>
      <c r="U220" s="51"/>
      <c r="V220" s="35"/>
      <c r="W220" s="364">
        <f>SUM(X220:AI220)</f>
        <v>89136.18</v>
      </c>
      <c r="X220" s="141"/>
      <c r="Y220" s="48">
        <v>89136.18</v>
      </c>
      <c r="Z220" s="48"/>
      <c r="AA220" s="48"/>
      <c r="AB220" s="48"/>
      <c r="AC220" s="48"/>
      <c r="AD220" s="48"/>
      <c r="AE220" s="61"/>
      <c r="AF220" s="62"/>
      <c r="AG220" s="62"/>
      <c r="AH220" s="56"/>
      <c r="AI220" s="56"/>
    </row>
    <row r="221" spans="1:35" x14ac:dyDescent="0.3">
      <c r="A221" s="45">
        <f>A220+1</f>
        <v>180</v>
      </c>
      <c r="B221" s="414" t="s">
        <v>283</v>
      </c>
      <c r="C221" s="51">
        <f>D221+K221+L221+N221+P221+R221+S221+U221+V221+W221</f>
        <v>90352.56</v>
      </c>
      <c r="D221" s="51">
        <f>E221+F221+G221+H221+I221</f>
        <v>0</v>
      </c>
      <c r="E221" s="51"/>
      <c r="F221" s="51"/>
      <c r="G221" s="51"/>
      <c r="H221" s="51"/>
      <c r="I221" s="51"/>
      <c r="J221" s="51"/>
      <c r="K221" s="51"/>
      <c r="L221" s="51"/>
      <c r="M221" s="35"/>
      <c r="N221" s="51"/>
      <c r="O221" s="82"/>
      <c r="P221" s="51"/>
      <c r="Q221" s="338"/>
      <c r="R221" s="51"/>
      <c r="S221" s="51"/>
      <c r="T221" s="338"/>
      <c r="U221" s="51"/>
      <c r="V221" s="35"/>
      <c r="W221" s="364">
        <f>SUM(X221:AI221)</f>
        <v>90352.56</v>
      </c>
      <c r="X221" s="141"/>
      <c r="Y221" s="48">
        <v>90352.56</v>
      </c>
      <c r="Z221" s="48"/>
      <c r="AA221" s="48"/>
      <c r="AB221" s="48"/>
      <c r="AC221" s="48"/>
      <c r="AD221" s="48"/>
      <c r="AE221" s="61"/>
      <c r="AF221" s="62"/>
      <c r="AG221" s="62"/>
      <c r="AH221" s="56"/>
      <c r="AI221" s="56"/>
    </row>
    <row r="222" spans="1:35" x14ac:dyDescent="0.3">
      <c r="A222" s="45">
        <f t="shared" ref="A222:A223" si="50">A221+1</f>
        <v>181</v>
      </c>
      <c r="B222" s="417" t="s">
        <v>287</v>
      </c>
      <c r="C222" s="51">
        <f>D222+K222+L222+N222+P222+R222+S222+U222+V222+W222</f>
        <v>130000</v>
      </c>
      <c r="D222" s="51">
        <f>E222+F222+G222+H222+I222</f>
        <v>0</v>
      </c>
      <c r="E222" s="51"/>
      <c r="F222" s="51"/>
      <c r="G222" s="51"/>
      <c r="H222" s="51"/>
      <c r="I222" s="51"/>
      <c r="J222" s="51"/>
      <c r="K222" s="51"/>
      <c r="L222" s="51"/>
      <c r="M222" s="35"/>
      <c r="N222" s="51"/>
      <c r="O222" s="82"/>
      <c r="P222" s="51"/>
      <c r="Q222" s="338"/>
      <c r="R222" s="51"/>
      <c r="S222" s="51"/>
      <c r="T222" s="338"/>
      <c r="U222" s="51"/>
      <c r="V222" s="35"/>
      <c r="W222" s="364">
        <v>130000</v>
      </c>
      <c r="X222" s="355"/>
      <c r="Y222" s="48"/>
      <c r="Z222" s="48"/>
      <c r="AA222" s="48"/>
      <c r="AB222" s="48"/>
      <c r="AC222" s="48"/>
      <c r="AD222" s="48"/>
      <c r="AE222" s="61"/>
      <c r="AF222" s="62"/>
      <c r="AG222" s="62"/>
      <c r="AH222" s="56"/>
      <c r="AI222" s="56"/>
    </row>
    <row r="223" spans="1:35" x14ac:dyDescent="0.3">
      <c r="A223" s="45">
        <f t="shared" si="50"/>
        <v>182</v>
      </c>
      <c r="B223" s="414" t="s">
        <v>288</v>
      </c>
      <c r="C223" s="51">
        <f>D223+K223+L223+N223+P223+R223+S223+U223+V223+W223</f>
        <v>175790.23</v>
      </c>
      <c r="D223" s="51">
        <f>E223+F223+G223+H223+I223</f>
        <v>0</v>
      </c>
      <c r="E223" s="51"/>
      <c r="F223" s="51"/>
      <c r="G223" s="51"/>
      <c r="H223" s="51"/>
      <c r="I223" s="51"/>
      <c r="J223" s="51"/>
      <c r="K223" s="51"/>
      <c r="L223" s="51"/>
      <c r="M223" s="35"/>
      <c r="N223" s="51"/>
      <c r="O223" s="82"/>
      <c r="P223" s="51"/>
      <c r="Q223" s="338"/>
      <c r="R223" s="51"/>
      <c r="S223" s="51"/>
      <c r="T223" s="338"/>
      <c r="U223" s="51"/>
      <c r="V223" s="35"/>
      <c r="W223" s="364">
        <f>SUM(X223:AI223)</f>
        <v>175790.23</v>
      </c>
      <c r="X223" s="141"/>
      <c r="Y223" s="48"/>
      <c r="Z223" s="48"/>
      <c r="AA223" s="48"/>
      <c r="AB223" s="48"/>
      <c r="AC223" s="48"/>
      <c r="AD223" s="48"/>
      <c r="AE223" s="61">
        <v>175790.23</v>
      </c>
      <c r="AF223" s="62"/>
      <c r="AG223" s="62"/>
      <c r="AH223" s="56"/>
      <c r="AI223" s="56"/>
    </row>
    <row r="224" spans="1:35" x14ac:dyDescent="0.3">
      <c r="A224" s="45">
        <f>A223+1</f>
        <v>183</v>
      </c>
      <c r="B224" s="414" t="s">
        <v>289</v>
      </c>
      <c r="C224" s="51">
        <f>D224+K224+L224+N224+P224+R224+S224+U224+V224+W224</f>
        <v>175897.27</v>
      </c>
      <c r="D224" s="51">
        <f>E224+F224+G224+H224+I224</f>
        <v>0</v>
      </c>
      <c r="E224" s="51"/>
      <c r="F224" s="51"/>
      <c r="G224" s="51"/>
      <c r="H224" s="51"/>
      <c r="I224" s="51"/>
      <c r="J224" s="51"/>
      <c r="K224" s="51"/>
      <c r="L224" s="51"/>
      <c r="M224" s="35"/>
      <c r="N224" s="51"/>
      <c r="O224" s="82"/>
      <c r="P224" s="51"/>
      <c r="Q224" s="338"/>
      <c r="R224" s="51"/>
      <c r="S224" s="51"/>
      <c r="T224" s="338"/>
      <c r="U224" s="51"/>
      <c r="V224" s="35"/>
      <c r="W224" s="364">
        <f>SUM(X224:AI224)</f>
        <v>175897.27</v>
      </c>
      <c r="X224" s="141"/>
      <c r="Y224" s="48"/>
      <c r="Z224" s="48"/>
      <c r="AA224" s="48"/>
      <c r="AB224" s="48"/>
      <c r="AC224" s="48"/>
      <c r="AD224" s="48"/>
      <c r="AE224" s="61">
        <v>175897.27</v>
      </c>
      <c r="AF224" s="62"/>
      <c r="AG224" s="62"/>
      <c r="AH224" s="56"/>
      <c r="AI224" s="56"/>
    </row>
    <row r="225" spans="1:35" x14ac:dyDescent="0.3">
      <c r="A225" s="45"/>
      <c r="B225" s="399" t="s">
        <v>211</v>
      </c>
      <c r="C225" s="51">
        <f t="shared" ref="C225:W225" si="51">SUM(C220:C224)</f>
        <v>661176.24</v>
      </c>
      <c r="D225" s="51">
        <f t="shared" si="51"/>
        <v>0</v>
      </c>
      <c r="E225" s="51">
        <f t="shared" si="51"/>
        <v>0</v>
      </c>
      <c r="F225" s="51">
        <f t="shared" si="51"/>
        <v>0</v>
      </c>
      <c r="G225" s="51">
        <f t="shared" si="51"/>
        <v>0</v>
      </c>
      <c r="H225" s="51">
        <f t="shared" si="51"/>
        <v>0</v>
      </c>
      <c r="I225" s="51">
        <f t="shared" si="51"/>
        <v>0</v>
      </c>
      <c r="J225" s="51">
        <f t="shared" si="51"/>
        <v>0</v>
      </c>
      <c r="K225" s="51">
        <f t="shared" si="51"/>
        <v>0</v>
      </c>
      <c r="L225" s="51">
        <f t="shared" si="51"/>
        <v>0</v>
      </c>
      <c r="M225" s="35">
        <f t="shared" si="51"/>
        <v>0</v>
      </c>
      <c r="N225" s="51">
        <f t="shared" si="51"/>
        <v>0</v>
      </c>
      <c r="O225" s="82">
        <f t="shared" si="51"/>
        <v>0</v>
      </c>
      <c r="P225" s="51">
        <f t="shared" si="51"/>
        <v>0</v>
      </c>
      <c r="Q225" s="338">
        <f t="shared" si="51"/>
        <v>0</v>
      </c>
      <c r="R225" s="51">
        <f t="shared" si="51"/>
        <v>0</v>
      </c>
      <c r="S225" s="51">
        <f t="shared" si="51"/>
        <v>0</v>
      </c>
      <c r="T225" s="338">
        <f t="shared" si="51"/>
        <v>0</v>
      </c>
      <c r="U225" s="51">
        <f t="shared" si="51"/>
        <v>0</v>
      </c>
      <c r="V225" s="35">
        <f t="shared" si="51"/>
        <v>0</v>
      </c>
      <c r="W225" s="51">
        <f t="shared" si="51"/>
        <v>661176.24</v>
      </c>
      <c r="X225" s="141"/>
      <c r="Y225" s="48"/>
      <c r="Z225" s="48"/>
      <c r="AA225" s="48"/>
      <c r="AB225" s="48"/>
      <c r="AC225" s="48"/>
      <c r="AD225" s="48"/>
      <c r="AE225" s="61"/>
      <c r="AF225" s="62"/>
      <c r="AG225" s="62"/>
      <c r="AH225" s="56"/>
      <c r="AI225" s="56"/>
    </row>
    <row r="226" spans="1:35" x14ac:dyDescent="0.3">
      <c r="A226" s="45"/>
      <c r="B226" s="414" t="s">
        <v>290</v>
      </c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35"/>
      <c r="N226" s="51"/>
      <c r="O226" s="82"/>
      <c r="P226" s="51"/>
      <c r="Q226" s="338"/>
      <c r="R226" s="51"/>
      <c r="S226" s="51"/>
      <c r="T226" s="338"/>
      <c r="U226" s="51"/>
      <c r="V226" s="35"/>
      <c r="W226" s="364"/>
      <c r="X226" s="141"/>
      <c r="Y226" s="48"/>
      <c r="Z226" s="48"/>
      <c r="AA226" s="48"/>
      <c r="AB226" s="48"/>
      <c r="AC226" s="48"/>
      <c r="AD226" s="48"/>
      <c r="AE226" s="61"/>
      <c r="AF226" s="62"/>
      <c r="AG226" s="62"/>
      <c r="AH226" s="56"/>
      <c r="AI226" s="56"/>
    </row>
    <row r="227" spans="1:35" x14ac:dyDescent="0.3">
      <c r="A227" s="45">
        <f>A224+1</f>
        <v>184</v>
      </c>
      <c r="B227" s="414" t="s">
        <v>291</v>
      </c>
      <c r="C227" s="51">
        <f t="shared" ref="C227:C241" si="52">D227+K227+L227+N227+P227+R227+S227+U227+V227+W227</f>
        <v>1438718.22</v>
      </c>
      <c r="D227" s="51">
        <f t="shared" ref="D227:D241" si="53">E227+F227+G227+H227+I227</f>
        <v>348146</v>
      </c>
      <c r="E227" s="51"/>
      <c r="F227" s="51"/>
      <c r="G227" s="51"/>
      <c r="H227" s="51"/>
      <c r="I227" s="51">
        <f>3194*109</f>
        <v>348146</v>
      </c>
      <c r="J227" s="51"/>
      <c r="K227" s="51"/>
      <c r="L227" s="51"/>
      <c r="M227" s="35"/>
      <c r="N227" s="51"/>
      <c r="O227" s="82"/>
      <c r="P227" s="51"/>
      <c r="Q227" s="338"/>
      <c r="R227" s="51"/>
      <c r="S227" s="51"/>
      <c r="T227" s="338"/>
      <c r="U227" s="51"/>
      <c r="V227" s="35"/>
      <c r="W227" s="364">
        <f>SUM(X227:AI227)</f>
        <v>1090572.22</v>
      </c>
      <c r="X227" s="141"/>
      <c r="Y227" s="48">
        <v>189073.96</v>
      </c>
      <c r="Z227" s="48">
        <v>248164.91</v>
      </c>
      <c r="AA227" s="48">
        <v>211546.15</v>
      </c>
      <c r="AB227" s="48"/>
      <c r="AC227" s="48"/>
      <c r="AD227" s="48">
        <v>347482.72</v>
      </c>
      <c r="AE227" s="61">
        <v>94304.48</v>
      </c>
      <c r="AF227" s="62"/>
      <c r="AG227" s="62"/>
      <c r="AH227" s="56"/>
      <c r="AI227" s="56"/>
    </row>
    <row r="228" spans="1:35" x14ac:dyDescent="0.3">
      <c r="A228" s="45">
        <f t="shared" ref="A228:A241" si="54">A227+1</f>
        <v>185</v>
      </c>
      <c r="B228" s="414" t="s">
        <v>292</v>
      </c>
      <c r="C228" s="51">
        <f t="shared" si="52"/>
        <v>144860.96</v>
      </c>
      <c r="D228" s="51">
        <f t="shared" si="53"/>
        <v>0</v>
      </c>
      <c r="E228" s="51"/>
      <c r="F228" s="51"/>
      <c r="G228" s="51"/>
      <c r="H228" s="51"/>
      <c r="I228" s="51"/>
      <c r="J228" s="51"/>
      <c r="K228" s="51"/>
      <c r="L228" s="51"/>
      <c r="M228" s="35"/>
      <c r="N228" s="51"/>
      <c r="O228" s="82"/>
      <c r="P228" s="51"/>
      <c r="Q228" s="338"/>
      <c r="R228" s="51"/>
      <c r="S228" s="51"/>
      <c r="T228" s="338"/>
      <c r="U228" s="51"/>
      <c r="V228" s="35"/>
      <c r="W228" s="364">
        <f>SUM(X228:AI228)</f>
        <v>144860.96</v>
      </c>
      <c r="X228" s="141"/>
      <c r="Y228" s="48"/>
      <c r="Z228" s="48"/>
      <c r="AA228" s="48"/>
      <c r="AB228" s="48"/>
      <c r="AC228" s="48"/>
      <c r="AD228" s="48">
        <v>144860.96</v>
      </c>
      <c r="AE228" s="61"/>
      <c r="AF228" s="62"/>
      <c r="AG228" s="62"/>
      <c r="AH228" s="56"/>
      <c r="AI228" s="56"/>
    </row>
    <row r="229" spans="1:35" x14ac:dyDescent="0.3">
      <c r="A229" s="45">
        <f t="shared" si="54"/>
        <v>186</v>
      </c>
      <c r="B229" s="414" t="s">
        <v>293</v>
      </c>
      <c r="C229" s="51">
        <f t="shared" si="52"/>
        <v>200018.81</v>
      </c>
      <c r="D229" s="51">
        <f t="shared" si="53"/>
        <v>0</v>
      </c>
      <c r="E229" s="51"/>
      <c r="F229" s="51"/>
      <c r="G229" s="51"/>
      <c r="H229" s="51"/>
      <c r="I229" s="51"/>
      <c r="J229" s="51"/>
      <c r="K229" s="51"/>
      <c r="L229" s="51"/>
      <c r="M229" s="35"/>
      <c r="N229" s="51"/>
      <c r="O229" s="82"/>
      <c r="P229" s="51"/>
      <c r="Q229" s="338"/>
      <c r="R229" s="51"/>
      <c r="S229" s="51"/>
      <c r="T229" s="338"/>
      <c r="U229" s="51"/>
      <c r="V229" s="35"/>
      <c r="W229" s="364">
        <f>SUM(X229:AI229)</f>
        <v>200018.81</v>
      </c>
      <c r="X229" s="141"/>
      <c r="Y229" s="48"/>
      <c r="Z229" s="48"/>
      <c r="AA229" s="48"/>
      <c r="AB229" s="48"/>
      <c r="AC229" s="48"/>
      <c r="AD229" s="48">
        <v>200018.81</v>
      </c>
      <c r="AE229" s="61"/>
      <c r="AF229" s="62"/>
      <c r="AG229" s="62"/>
      <c r="AH229" s="56"/>
      <c r="AI229" s="56"/>
    </row>
    <row r="230" spans="1:35" x14ac:dyDescent="0.3">
      <c r="A230" s="45">
        <f t="shared" si="54"/>
        <v>187</v>
      </c>
      <c r="B230" s="414" t="s">
        <v>294</v>
      </c>
      <c r="C230" s="51">
        <f t="shared" si="52"/>
        <v>448488.56</v>
      </c>
      <c r="D230" s="51">
        <f t="shared" si="53"/>
        <v>0</v>
      </c>
      <c r="E230" s="51"/>
      <c r="F230" s="51"/>
      <c r="G230" s="51"/>
      <c r="H230" s="51"/>
      <c r="I230" s="51"/>
      <c r="J230" s="51"/>
      <c r="K230" s="51"/>
      <c r="L230" s="51"/>
      <c r="M230" s="35"/>
      <c r="N230" s="51"/>
      <c r="O230" s="82"/>
      <c r="P230" s="51"/>
      <c r="Q230" s="338"/>
      <c r="R230" s="51"/>
      <c r="S230" s="51"/>
      <c r="T230" s="338"/>
      <c r="U230" s="51"/>
      <c r="V230" s="35"/>
      <c r="W230" s="364">
        <f>SUM(X230:AI230)</f>
        <v>448488.56</v>
      </c>
      <c r="X230" s="141"/>
      <c r="Y230" s="48"/>
      <c r="Z230" s="48"/>
      <c r="AA230" s="48"/>
      <c r="AB230" s="48"/>
      <c r="AC230" s="48"/>
      <c r="AD230" s="48">
        <v>309644.56</v>
      </c>
      <c r="AE230" s="61">
        <v>138844</v>
      </c>
      <c r="AF230" s="62"/>
      <c r="AG230" s="62"/>
      <c r="AH230" s="56"/>
      <c r="AI230" s="56"/>
    </row>
    <row r="231" spans="1:35" x14ac:dyDescent="0.3">
      <c r="A231" s="45">
        <f t="shared" si="54"/>
        <v>188</v>
      </c>
      <c r="B231" s="414" t="s">
        <v>295</v>
      </c>
      <c r="C231" s="51">
        <f t="shared" si="52"/>
        <v>1696940</v>
      </c>
      <c r="D231" s="51">
        <f t="shared" si="53"/>
        <v>1696940</v>
      </c>
      <c r="E231" s="51"/>
      <c r="F231" s="51"/>
      <c r="G231" s="51">
        <f>3910*434</f>
        <v>1696940</v>
      </c>
      <c r="H231" s="51"/>
      <c r="I231" s="51"/>
      <c r="J231" s="51"/>
      <c r="K231" s="51"/>
      <c r="L231" s="51"/>
      <c r="M231" s="35"/>
      <c r="N231" s="51"/>
      <c r="O231" s="82"/>
      <c r="P231" s="51"/>
      <c r="Q231" s="338"/>
      <c r="R231" s="51"/>
      <c r="S231" s="51"/>
      <c r="T231" s="338"/>
      <c r="U231" s="51"/>
      <c r="V231" s="35"/>
      <c r="W231" s="364"/>
      <c r="X231" s="141"/>
      <c r="Y231" s="48"/>
      <c r="Z231" s="48"/>
      <c r="AA231" s="48"/>
      <c r="AB231" s="48"/>
      <c r="AC231" s="48"/>
      <c r="AD231" s="48"/>
      <c r="AE231" s="61"/>
      <c r="AF231" s="62"/>
      <c r="AG231" s="62"/>
      <c r="AH231" s="56"/>
    </row>
    <row r="232" spans="1:35" x14ac:dyDescent="0.3">
      <c r="A232" s="45">
        <f t="shared" si="54"/>
        <v>189</v>
      </c>
      <c r="B232" s="414" t="s">
        <v>297</v>
      </c>
      <c r="C232" s="51">
        <f t="shared" si="52"/>
        <v>985320</v>
      </c>
      <c r="D232" s="51">
        <f t="shared" si="53"/>
        <v>985320</v>
      </c>
      <c r="E232" s="51"/>
      <c r="F232" s="51"/>
      <c r="G232" s="51">
        <f>3910*252</f>
        <v>985320</v>
      </c>
      <c r="H232" s="51"/>
      <c r="I232" s="51"/>
      <c r="J232" s="51"/>
      <c r="K232" s="51"/>
      <c r="L232" s="51"/>
      <c r="M232" s="35"/>
      <c r="N232" s="51"/>
      <c r="O232" s="82"/>
      <c r="P232" s="51"/>
      <c r="Q232" s="338"/>
      <c r="R232" s="51"/>
      <c r="S232" s="51"/>
      <c r="T232" s="338"/>
      <c r="U232" s="51"/>
      <c r="V232" s="35"/>
      <c r="W232" s="364"/>
      <c r="X232" s="141"/>
      <c r="Y232" s="48"/>
      <c r="Z232" s="48"/>
      <c r="AA232" s="48"/>
      <c r="AB232" s="48"/>
      <c r="AC232" s="48"/>
      <c r="AD232" s="48"/>
      <c r="AE232" s="61"/>
      <c r="AF232" s="62"/>
      <c r="AG232" s="62"/>
      <c r="AH232" s="56"/>
    </row>
    <row r="233" spans="1:35" x14ac:dyDescent="0.3">
      <c r="A233" s="45">
        <f t="shared" si="54"/>
        <v>190</v>
      </c>
      <c r="B233" s="414" t="s">
        <v>300</v>
      </c>
      <c r="C233" s="51">
        <f t="shared" si="52"/>
        <v>2592330</v>
      </c>
      <c r="D233" s="51">
        <f t="shared" si="53"/>
        <v>2592330</v>
      </c>
      <c r="E233" s="51"/>
      <c r="F233" s="51"/>
      <c r="G233" s="51">
        <f>3910*663</f>
        <v>2592330</v>
      </c>
      <c r="H233" s="51"/>
      <c r="I233" s="51"/>
      <c r="J233" s="51"/>
      <c r="K233" s="51"/>
      <c r="L233" s="51"/>
      <c r="M233" s="35"/>
      <c r="N233" s="51"/>
      <c r="O233" s="82"/>
      <c r="P233" s="51"/>
      <c r="Q233" s="338"/>
      <c r="R233" s="51"/>
      <c r="S233" s="51"/>
      <c r="T233" s="338"/>
      <c r="U233" s="51"/>
      <c r="V233" s="35"/>
      <c r="W233" s="364"/>
      <c r="X233" s="141"/>
      <c r="Y233" s="48"/>
      <c r="Z233" s="48"/>
      <c r="AA233" s="48"/>
      <c r="AB233" s="48"/>
      <c r="AC233" s="48"/>
      <c r="AD233" s="48"/>
      <c r="AE233" s="61"/>
      <c r="AF233" s="62"/>
      <c r="AG233" s="62"/>
      <c r="AH233" s="56"/>
    </row>
    <row r="234" spans="1:35" x14ac:dyDescent="0.3">
      <c r="A234" s="45">
        <f t="shared" si="54"/>
        <v>191</v>
      </c>
      <c r="B234" s="414" t="s">
        <v>299</v>
      </c>
      <c r="C234" s="51">
        <f t="shared" si="52"/>
        <v>130000</v>
      </c>
      <c r="D234" s="51">
        <f t="shared" si="53"/>
        <v>0</v>
      </c>
      <c r="E234" s="51"/>
      <c r="F234" s="51"/>
      <c r="G234" s="51"/>
      <c r="H234" s="51"/>
      <c r="I234" s="51"/>
      <c r="J234" s="51"/>
      <c r="K234" s="51"/>
      <c r="L234" s="51"/>
      <c r="M234" s="35"/>
      <c r="N234" s="51"/>
      <c r="O234" s="82"/>
      <c r="P234" s="51"/>
      <c r="Q234" s="338"/>
      <c r="R234" s="51"/>
      <c r="S234" s="51"/>
      <c r="T234" s="338"/>
      <c r="U234" s="51"/>
      <c r="V234" s="35"/>
      <c r="W234" s="364">
        <v>130000</v>
      </c>
      <c r="X234" s="141"/>
      <c r="Y234" s="48"/>
      <c r="Z234" s="48"/>
      <c r="AA234" s="48"/>
      <c r="AB234" s="48"/>
      <c r="AC234" s="48"/>
      <c r="AD234" s="48"/>
      <c r="AE234" s="61"/>
      <c r="AF234" s="62"/>
      <c r="AG234" s="62"/>
      <c r="AH234" s="56"/>
      <c r="AI234" s="56"/>
    </row>
    <row r="235" spans="1:35" x14ac:dyDescent="0.3">
      <c r="A235" s="45">
        <f t="shared" si="54"/>
        <v>192</v>
      </c>
      <c r="B235" s="414" t="s">
        <v>301</v>
      </c>
      <c r="C235" s="51">
        <f t="shared" si="52"/>
        <v>906689.09</v>
      </c>
      <c r="D235" s="51">
        <f t="shared" si="53"/>
        <v>0</v>
      </c>
      <c r="E235" s="51"/>
      <c r="F235" s="51"/>
      <c r="G235" s="51"/>
      <c r="H235" s="51"/>
      <c r="I235" s="51"/>
      <c r="J235" s="51"/>
      <c r="K235" s="51"/>
      <c r="L235" s="51"/>
      <c r="M235" s="35"/>
      <c r="N235" s="51"/>
      <c r="O235" s="82"/>
      <c r="P235" s="51"/>
      <c r="Q235" s="338"/>
      <c r="R235" s="51"/>
      <c r="S235" s="51"/>
      <c r="T235" s="338"/>
      <c r="U235" s="51"/>
      <c r="V235" s="35"/>
      <c r="W235" s="364">
        <f>SUM(X235:AI235)</f>
        <v>906689.09</v>
      </c>
      <c r="X235" s="141"/>
      <c r="Y235" s="48">
        <v>104852.52</v>
      </c>
      <c r="Z235" s="48"/>
      <c r="AA235" s="48"/>
      <c r="AB235" s="48"/>
      <c r="AC235" s="48"/>
      <c r="AD235" s="48">
        <v>221382.06</v>
      </c>
      <c r="AE235" s="61">
        <v>127343.65</v>
      </c>
      <c r="AF235" s="62">
        <v>453110.86</v>
      </c>
      <c r="AG235" s="62"/>
      <c r="AH235" s="56"/>
      <c r="AI235" s="56"/>
    </row>
    <row r="236" spans="1:35" x14ac:dyDescent="0.3">
      <c r="A236" s="45">
        <f t="shared" si="54"/>
        <v>193</v>
      </c>
      <c r="B236" s="414" t="s">
        <v>302</v>
      </c>
      <c r="C236" s="51">
        <f t="shared" si="52"/>
        <v>130000</v>
      </c>
      <c r="D236" s="51">
        <f t="shared" si="53"/>
        <v>0</v>
      </c>
      <c r="E236" s="51"/>
      <c r="F236" s="51"/>
      <c r="G236" s="51"/>
      <c r="H236" s="51"/>
      <c r="I236" s="51"/>
      <c r="J236" s="51"/>
      <c r="K236" s="51"/>
      <c r="L236" s="51"/>
      <c r="M236" s="35"/>
      <c r="N236" s="51"/>
      <c r="O236" s="82"/>
      <c r="P236" s="51"/>
      <c r="Q236" s="338"/>
      <c r="R236" s="51"/>
      <c r="S236" s="51"/>
      <c r="T236" s="338"/>
      <c r="U236" s="51"/>
      <c r="V236" s="35"/>
      <c r="W236" s="364">
        <v>130000</v>
      </c>
      <c r="X236" s="141"/>
      <c r="Y236" s="48"/>
      <c r="Z236" s="48"/>
      <c r="AA236" s="48"/>
      <c r="AB236" s="48"/>
      <c r="AC236" s="48"/>
      <c r="AD236" s="48"/>
      <c r="AE236" s="61"/>
      <c r="AF236" s="62"/>
      <c r="AG236" s="62"/>
      <c r="AH236" s="56"/>
      <c r="AI236" s="56"/>
    </row>
    <row r="237" spans="1:35" ht="15.75" customHeight="1" x14ac:dyDescent="0.3">
      <c r="A237" s="45">
        <f t="shared" si="54"/>
        <v>194</v>
      </c>
      <c r="B237" s="414" t="s">
        <v>303</v>
      </c>
      <c r="C237" s="51">
        <f t="shared" si="52"/>
        <v>130000</v>
      </c>
      <c r="D237" s="51">
        <f t="shared" si="53"/>
        <v>0</v>
      </c>
      <c r="E237" s="51"/>
      <c r="F237" s="51"/>
      <c r="G237" s="51"/>
      <c r="H237" s="51"/>
      <c r="I237" s="51"/>
      <c r="J237" s="51"/>
      <c r="K237" s="51"/>
      <c r="L237" s="51"/>
      <c r="M237" s="35"/>
      <c r="N237" s="51"/>
      <c r="O237" s="82"/>
      <c r="P237" s="51"/>
      <c r="Q237" s="338"/>
      <c r="R237" s="51"/>
      <c r="S237" s="51"/>
      <c r="T237" s="338"/>
      <c r="U237" s="51"/>
      <c r="V237" s="35"/>
      <c r="W237" s="364">
        <v>130000</v>
      </c>
      <c r="X237" s="356" t="s">
        <v>304</v>
      </c>
      <c r="Y237" s="187"/>
      <c r="Z237" s="187"/>
      <c r="AA237" s="187"/>
      <c r="AB237" s="187"/>
      <c r="AC237" s="187"/>
      <c r="AD237" s="48"/>
      <c r="AE237" s="61"/>
      <c r="AF237" s="62"/>
      <c r="AG237" s="62"/>
      <c r="AH237" s="56"/>
      <c r="AI237" s="56"/>
    </row>
    <row r="238" spans="1:35" x14ac:dyDescent="0.3">
      <c r="A238" s="45">
        <f t="shared" si="54"/>
        <v>195</v>
      </c>
      <c r="B238" s="414" t="s">
        <v>305</v>
      </c>
      <c r="C238" s="51">
        <f t="shared" si="52"/>
        <v>188322.9</v>
      </c>
      <c r="D238" s="51">
        <f t="shared" si="53"/>
        <v>0</v>
      </c>
      <c r="E238" s="51"/>
      <c r="F238" s="51"/>
      <c r="G238" s="51"/>
      <c r="H238" s="51"/>
      <c r="I238" s="51"/>
      <c r="J238" s="51"/>
      <c r="K238" s="51"/>
      <c r="L238" s="51"/>
      <c r="M238" s="35"/>
      <c r="N238" s="51"/>
      <c r="O238" s="82"/>
      <c r="P238" s="51"/>
      <c r="Q238" s="338"/>
      <c r="R238" s="51"/>
      <c r="S238" s="51"/>
      <c r="T238" s="338"/>
      <c r="U238" s="51"/>
      <c r="V238" s="35"/>
      <c r="W238" s="364">
        <f>SUM(X238:AI238)</f>
        <v>188322.9</v>
      </c>
      <c r="X238" s="141"/>
      <c r="Y238" s="48"/>
      <c r="Z238" s="48"/>
      <c r="AA238" s="48"/>
      <c r="AB238" s="48"/>
      <c r="AC238" s="48"/>
      <c r="AD238" s="48">
        <v>188322.9</v>
      </c>
      <c r="AE238" s="61"/>
      <c r="AF238" s="62"/>
      <c r="AG238" s="62"/>
      <c r="AH238" s="56"/>
      <c r="AI238" s="56"/>
    </row>
    <row r="239" spans="1:35" x14ac:dyDescent="0.3">
      <c r="A239" s="45">
        <f t="shared" si="54"/>
        <v>196</v>
      </c>
      <c r="B239" s="414" t="s">
        <v>306</v>
      </c>
      <c r="C239" s="51">
        <f t="shared" si="52"/>
        <v>11725384</v>
      </c>
      <c r="D239" s="51">
        <f t="shared" si="53"/>
        <v>11725384</v>
      </c>
      <c r="E239" s="51"/>
      <c r="F239" s="51">
        <f>1248*5502+8*607361</f>
        <v>11725384</v>
      </c>
      <c r="G239" s="51"/>
      <c r="H239" s="51"/>
      <c r="I239" s="51"/>
      <c r="J239" s="51"/>
      <c r="K239" s="51"/>
      <c r="L239" s="51"/>
      <c r="M239" s="35"/>
      <c r="N239" s="51"/>
      <c r="O239" s="82"/>
      <c r="P239" s="51"/>
      <c r="Q239" s="338"/>
      <c r="R239" s="51"/>
      <c r="S239" s="51"/>
      <c r="T239" s="338"/>
      <c r="U239" s="51"/>
      <c r="V239" s="35"/>
      <c r="W239" s="364"/>
      <c r="X239" s="141"/>
      <c r="Y239" s="48"/>
      <c r="Z239" s="48"/>
      <c r="AA239" s="48"/>
      <c r="AB239" s="48"/>
      <c r="AC239" s="48"/>
      <c r="AD239" s="48"/>
      <c r="AE239" s="61"/>
      <c r="AF239" s="62"/>
      <c r="AG239" s="62"/>
      <c r="AH239" s="56"/>
    </row>
    <row r="240" spans="1:35" x14ac:dyDescent="0.3">
      <c r="A240" s="45">
        <f t="shared" si="54"/>
        <v>197</v>
      </c>
      <c r="B240" s="414" t="s">
        <v>307</v>
      </c>
      <c r="C240" s="51">
        <f t="shared" si="52"/>
        <v>627219.15</v>
      </c>
      <c r="D240" s="51">
        <f t="shared" si="53"/>
        <v>0</v>
      </c>
      <c r="E240" s="51"/>
      <c r="F240" s="51"/>
      <c r="G240" s="51"/>
      <c r="H240" s="51"/>
      <c r="I240" s="51"/>
      <c r="J240" s="51"/>
      <c r="K240" s="51"/>
      <c r="L240" s="51"/>
      <c r="M240" s="35"/>
      <c r="N240" s="51"/>
      <c r="O240" s="82"/>
      <c r="P240" s="51"/>
      <c r="Q240" s="338"/>
      <c r="R240" s="51"/>
      <c r="S240" s="51"/>
      <c r="T240" s="338"/>
      <c r="U240" s="51"/>
      <c r="V240" s="35"/>
      <c r="W240" s="364">
        <f>SUM(X240:AI240)</f>
        <v>627219.15</v>
      </c>
      <c r="X240" s="141"/>
      <c r="Y240" s="48">
        <v>120752.29</v>
      </c>
      <c r="Z240" s="48">
        <v>154853.59</v>
      </c>
      <c r="AA240" s="48"/>
      <c r="AB240" s="48">
        <v>104866.26</v>
      </c>
      <c r="AC240" s="48"/>
      <c r="AD240" s="48">
        <v>246747.01</v>
      </c>
      <c r="AE240" s="61"/>
      <c r="AF240" s="62"/>
      <c r="AG240" s="62"/>
      <c r="AH240" s="56"/>
      <c r="AI240" s="56"/>
    </row>
    <row r="241" spans="1:35" x14ac:dyDescent="0.3">
      <c r="A241" s="45">
        <f t="shared" si="54"/>
        <v>198</v>
      </c>
      <c r="B241" s="414" t="s">
        <v>308</v>
      </c>
      <c r="C241" s="51">
        <f t="shared" si="52"/>
        <v>597478.67999999993</v>
      </c>
      <c r="D241" s="51">
        <f t="shared" si="53"/>
        <v>0</v>
      </c>
      <c r="E241" s="51"/>
      <c r="F241" s="51"/>
      <c r="G241" s="51"/>
      <c r="H241" s="51"/>
      <c r="I241" s="51"/>
      <c r="J241" s="51"/>
      <c r="K241" s="51"/>
      <c r="L241" s="51"/>
      <c r="M241" s="35"/>
      <c r="N241" s="51"/>
      <c r="O241" s="82"/>
      <c r="P241" s="51"/>
      <c r="Q241" s="338"/>
      <c r="R241" s="51"/>
      <c r="S241" s="51"/>
      <c r="T241" s="338"/>
      <c r="U241" s="51"/>
      <c r="V241" s="35"/>
      <c r="W241" s="364">
        <f>SUM(X241:AI241)</f>
        <v>597478.67999999993</v>
      </c>
      <c r="X241" s="141"/>
      <c r="Y241" s="48">
        <v>78188.820000000007</v>
      </c>
      <c r="Z241" s="48">
        <v>91892.75</v>
      </c>
      <c r="AA241" s="48">
        <v>50942.51</v>
      </c>
      <c r="AB241" s="48"/>
      <c r="AC241" s="48"/>
      <c r="AD241" s="48"/>
      <c r="AE241" s="61"/>
      <c r="AF241" s="62">
        <v>376454.6</v>
      </c>
      <c r="AG241" s="62"/>
      <c r="AH241" s="56"/>
      <c r="AI241" s="56"/>
    </row>
    <row r="242" spans="1:35" x14ac:dyDescent="0.3">
      <c r="A242" s="45"/>
      <c r="B242" s="399" t="s">
        <v>211</v>
      </c>
      <c r="C242" s="51">
        <f t="shared" ref="C242:W242" si="55">SUM(C227:C241)</f>
        <v>21941770.369999997</v>
      </c>
      <c r="D242" s="51">
        <f t="shared" si="55"/>
        <v>17348120</v>
      </c>
      <c r="E242" s="51">
        <f t="shared" si="55"/>
        <v>0</v>
      </c>
      <c r="F242" s="51">
        <f t="shared" si="55"/>
        <v>11725384</v>
      </c>
      <c r="G242" s="51">
        <f t="shared" si="55"/>
        <v>5274590</v>
      </c>
      <c r="H242" s="51">
        <f t="shared" si="55"/>
        <v>0</v>
      </c>
      <c r="I242" s="51">
        <f t="shared" si="55"/>
        <v>348146</v>
      </c>
      <c r="J242" s="51">
        <f t="shared" si="55"/>
        <v>0</v>
      </c>
      <c r="K242" s="51">
        <f t="shared" si="55"/>
        <v>0</v>
      </c>
      <c r="L242" s="51">
        <f t="shared" si="55"/>
        <v>0</v>
      </c>
      <c r="M242" s="35">
        <f t="shared" si="55"/>
        <v>0</v>
      </c>
      <c r="N242" s="51">
        <f t="shared" si="55"/>
        <v>0</v>
      </c>
      <c r="O242" s="82">
        <f t="shared" si="55"/>
        <v>0</v>
      </c>
      <c r="P242" s="51">
        <f t="shared" si="55"/>
        <v>0</v>
      </c>
      <c r="Q242" s="338">
        <f t="shared" si="55"/>
        <v>0</v>
      </c>
      <c r="R242" s="51">
        <f t="shared" si="55"/>
        <v>0</v>
      </c>
      <c r="S242" s="51">
        <f t="shared" si="55"/>
        <v>0</v>
      </c>
      <c r="T242" s="338">
        <f t="shared" si="55"/>
        <v>0</v>
      </c>
      <c r="U242" s="51">
        <f t="shared" si="55"/>
        <v>0</v>
      </c>
      <c r="V242" s="35">
        <f t="shared" si="55"/>
        <v>0</v>
      </c>
      <c r="W242" s="51">
        <f t="shared" si="55"/>
        <v>4593650.37</v>
      </c>
      <c r="X242" s="141"/>
      <c r="Y242" s="48"/>
      <c r="Z242" s="48"/>
      <c r="AA242" s="48"/>
      <c r="AB242" s="48"/>
      <c r="AC242" s="48"/>
      <c r="AD242" s="48"/>
      <c r="AE242" s="61"/>
      <c r="AF242" s="62"/>
      <c r="AG242" s="62"/>
      <c r="AH242" s="56"/>
      <c r="AI242" s="56"/>
    </row>
    <row r="243" spans="1:35" ht="31.2" x14ac:dyDescent="0.3">
      <c r="A243" s="45"/>
      <c r="B243" s="414" t="s">
        <v>314</v>
      </c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35"/>
      <c r="N243" s="51"/>
      <c r="O243" s="82"/>
      <c r="P243" s="51"/>
      <c r="Q243" s="338"/>
      <c r="R243" s="51"/>
      <c r="S243" s="51"/>
      <c r="T243" s="338"/>
      <c r="U243" s="51"/>
      <c r="V243" s="35"/>
      <c r="W243" s="364"/>
      <c r="X243" s="141"/>
      <c r="Y243" s="48"/>
      <c r="Z243" s="48"/>
      <c r="AA243" s="48"/>
      <c r="AB243" s="48"/>
      <c r="AC243" s="48"/>
      <c r="AD243" s="48"/>
      <c r="AE243" s="61"/>
      <c r="AF243" s="62"/>
      <c r="AG243" s="62"/>
      <c r="AH243" s="56"/>
      <c r="AI243" s="56"/>
    </row>
    <row r="244" spans="1:35" x14ac:dyDescent="0.3">
      <c r="A244" s="45">
        <f>A241+1</f>
        <v>199</v>
      </c>
      <c r="B244" s="414" t="s">
        <v>315</v>
      </c>
      <c r="C244" s="51">
        <f t="shared" ref="C244:C259" si="56">D244+K244+L244+N244+P244+R244+S244+U244+V244+W244</f>
        <v>594982.62</v>
      </c>
      <c r="D244" s="51">
        <f t="shared" ref="D244:D259" si="57">E244+F244+G244+H244+I244</f>
        <v>0</v>
      </c>
      <c r="E244" s="51"/>
      <c r="F244" s="51"/>
      <c r="G244" s="51"/>
      <c r="H244" s="51"/>
      <c r="I244" s="51"/>
      <c r="J244" s="51"/>
      <c r="K244" s="51"/>
      <c r="L244" s="51"/>
      <c r="M244" s="35"/>
      <c r="N244" s="51"/>
      <c r="O244" s="82"/>
      <c r="P244" s="51"/>
      <c r="Q244" s="338"/>
      <c r="R244" s="51"/>
      <c r="S244" s="51"/>
      <c r="T244" s="338"/>
      <c r="U244" s="51"/>
      <c r="V244" s="35"/>
      <c r="W244" s="364">
        <f t="shared" ref="W244:W252" si="58">SUM(X244:AI244)</f>
        <v>594982.62</v>
      </c>
      <c r="X244" s="141"/>
      <c r="Y244" s="48"/>
      <c r="Z244" s="48">
        <v>125727.61</v>
      </c>
      <c r="AA244" s="48">
        <v>110944.39</v>
      </c>
      <c r="AB244" s="48"/>
      <c r="AC244" s="48"/>
      <c r="AD244" s="48"/>
      <c r="AE244" s="61">
        <v>358310.62</v>
      </c>
      <c r="AF244" s="62"/>
      <c r="AG244" s="62"/>
      <c r="AH244" s="56"/>
      <c r="AI244" s="56"/>
    </row>
    <row r="245" spans="1:35" x14ac:dyDescent="0.3">
      <c r="A245" s="45">
        <f t="shared" ref="A245:A259" si="59">A244+1</f>
        <v>200</v>
      </c>
      <c r="B245" s="414" t="s">
        <v>316</v>
      </c>
      <c r="C245" s="51">
        <f t="shared" si="56"/>
        <v>596322.15999999992</v>
      </c>
      <c r="D245" s="51">
        <f t="shared" si="57"/>
        <v>0</v>
      </c>
      <c r="E245" s="51"/>
      <c r="F245" s="51"/>
      <c r="G245" s="51"/>
      <c r="H245" s="51"/>
      <c r="I245" s="51"/>
      <c r="J245" s="51"/>
      <c r="K245" s="51"/>
      <c r="L245" s="51"/>
      <c r="M245" s="35"/>
      <c r="N245" s="51"/>
      <c r="O245" s="82"/>
      <c r="P245" s="51"/>
      <c r="Q245" s="338"/>
      <c r="R245" s="51"/>
      <c r="S245" s="51"/>
      <c r="T245" s="338"/>
      <c r="U245" s="51"/>
      <c r="V245" s="35"/>
      <c r="W245" s="364">
        <f t="shared" si="58"/>
        <v>596322.15999999992</v>
      </c>
      <c r="X245" s="141"/>
      <c r="Y245" s="48"/>
      <c r="Z245" s="48"/>
      <c r="AA245" s="48"/>
      <c r="AB245" s="48"/>
      <c r="AC245" s="48"/>
      <c r="AD245" s="48">
        <v>409692.41</v>
      </c>
      <c r="AE245" s="61">
        <v>186629.75</v>
      </c>
      <c r="AF245" s="62"/>
      <c r="AG245" s="62"/>
      <c r="AH245" s="56"/>
      <c r="AI245" s="56"/>
    </row>
    <row r="246" spans="1:35" x14ac:dyDescent="0.3">
      <c r="A246" s="45">
        <f t="shared" si="59"/>
        <v>201</v>
      </c>
      <c r="B246" s="414" t="s">
        <v>317</v>
      </c>
      <c r="C246" s="51">
        <f t="shared" si="56"/>
        <v>553716.84000000008</v>
      </c>
      <c r="D246" s="51">
        <f t="shared" si="57"/>
        <v>0</v>
      </c>
      <c r="E246" s="51"/>
      <c r="F246" s="51"/>
      <c r="G246" s="51"/>
      <c r="H246" s="51"/>
      <c r="I246" s="51"/>
      <c r="J246" s="51"/>
      <c r="K246" s="51"/>
      <c r="L246" s="51"/>
      <c r="M246" s="35"/>
      <c r="N246" s="51"/>
      <c r="O246" s="82"/>
      <c r="P246" s="51"/>
      <c r="Q246" s="338"/>
      <c r="R246" s="51"/>
      <c r="S246" s="51"/>
      <c r="T246" s="338"/>
      <c r="U246" s="51"/>
      <c r="V246" s="35"/>
      <c r="W246" s="364">
        <f t="shared" si="58"/>
        <v>553716.84000000008</v>
      </c>
      <c r="X246" s="141"/>
      <c r="Y246" s="48"/>
      <c r="Z246" s="48"/>
      <c r="AA246" s="48"/>
      <c r="AB246" s="48"/>
      <c r="AC246" s="48"/>
      <c r="AD246" s="48">
        <v>344465.33</v>
      </c>
      <c r="AE246" s="61">
        <v>209251.51</v>
      </c>
      <c r="AF246" s="62"/>
      <c r="AG246" s="62"/>
      <c r="AH246" s="56"/>
      <c r="AI246" s="56"/>
    </row>
    <row r="247" spans="1:35" x14ac:dyDescent="0.3">
      <c r="A247" s="45">
        <f t="shared" si="59"/>
        <v>202</v>
      </c>
      <c r="B247" s="414" t="s">
        <v>318</v>
      </c>
      <c r="C247" s="51">
        <f t="shared" si="56"/>
        <v>483019.85</v>
      </c>
      <c r="D247" s="51">
        <f t="shared" si="57"/>
        <v>0</v>
      </c>
      <c r="E247" s="51"/>
      <c r="F247" s="51"/>
      <c r="G247" s="51"/>
      <c r="H247" s="51"/>
      <c r="I247" s="51"/>
      <c r="J247" s="51"/>
      <c r="K247" s="51"/>
      <c r="L247" s="51"/>
      <c r="M247" s="35"/>
      <c r="N247" s="51"/>
      <c r="O247" s="82"/>
      <c r="P247" s="51"/>
      <c r="Q247" s="338"/>
      <c r="R247" s="51"/>
      <c r="S247" s="51"/>
      <c r="T247" s="338"/>
      <c r="U247" s="51"/>
      <c r="V247" s="35"/>
      <c r="W247" s="364">
        <f t="shared" si="58"/>
        <v>483019.85</v>
      </c>
      <c r="X247" s="141"/>
      <c r="Y247" s="48"/>
      <c r="Z247" s="48"/>
      <c r="AA247" s="48"/>
      <c r="AB247" s="48"/>
      <c r="AC247" s="48"/>
      <c r="AD247" s="48">
        <v>343788</v>
      </c>
      <c r="AE247" s="61">
        <v>139231.85</v>
      </c>
      <c r="AF247" s="62"/>
      <c r="AG247" s="62"/>
      <c r="AH247" s="56"/>
      <c r="AI247" s="56"/>
    </row>
    <row r="248" spans="1:35" x14ac:dyDescent="0.3">
      <c r="A248" s="45">
        <f t="shared" si="59"/>
        <v>203</v>
      </c>
      <c r="B248" s="414" t="s">
        <v>319</v>
      </c>
      <c r="C248" s="51">
        <f t="shared" si="56"/>
        <v>430663.43</v>
      </c>
      <c r="D248" s="51">
        <f t="shared" si="57"/>
        <v>0</v>
      </c>
      <c r="E248" s="51"/>
      <c r="F248" s="51"/>
      <c r="G248" s="51"/>
      <c r="H248" s="51"/>
      <c r="I248" s="51"/>
      <c r="J248" s="51"/>
      <c r="K248" s="51"/>
      <c r="L248" s="51"/>
      <c r="M248" s="35"/>
      <c r="N248" s="51"/>
      <c r="O248" s="82"/>
      <c r="P248" s="51"/>
      <c r="Q248" s="338"/>
      <c r="R248" s="51"/>
      <c r="S248" s="51"/>
      <c r="T248" s="338"/>
      <c r="U248" s="51"/>
      <c r="V248" s="35"/>
      <c r="W248" s="364">
        <f t="shared" si="58"/>
        <v>430663.43</v>
      </c>
      <c r="X248" s="141"/>
      <c r="Y248" s="48"/>
      <c r="Z248" s="48">
        <v>124867.08</v>
      </c>
      <c r="AA248" s="48">
        <v>110125.9</v>
      </c>
      <c r="AB248" s="48"/>
      <c r="AC248" s="48"/>
      <c r="AD248" s="48"/>
      <c r="AE248" s="61">
        <v>195670.45</v>
      </c>
      <c r="AF248" s="62"/>
      <c r="AG248" s="62"/>
      <c r="AH248" s="56"/>
      <c r="AI248" s="56"/>
    </row>
    <row r="249" spans="1:35" x14ac:dyDescent="0.3">
      <c r="A249" s="45">
        <f t="shared" si="59"/>
        <v>204</v>
      </c>
      <c r="B249" s="414" t="s">
        <v>320</v>
      </c>
      <c r="C249" s="51">
        <f t="shared" si="56"/>
        <v>4323220.1300000008</v>
      </c>
      <c r="D249" s="51">
        <f t="shared" si="57"/>
        <v>0</v>
      </c>
      <c r="E249" s="51"/>
      <c r="F249" s="51"/>
      <c r="G249" s="51"/>
      <c r="H249" s="51"/>
      <c r="I249" s="51"/>
      <c r="J249" s="51"/>
      <c r="K249" s="51"/>
      <c r="L249" s="51"/>
      <c r="M249" s="35">
        <v>480.6</v>
      </c>
      <c r="N249" s="51">
        <f>480.6*8094</f>
        <v>3889976.4000000004</v>
      </c>
      <c r="O249" s="82"/>
      <c r="P249" s="51"/>
      <c r="Q249" s="338"/>
      <c r="R249" s="51"/>
      <c r="S249" s="51"/>
      <c r="T249" s="338"/>
      <c r="U249" s="51"/>
      <c r="V249" s="35"/>
      <c r="W249" s="364">
        <f t="shared" si="58"/>
        <v>433243.73</v>
      </c>
      <c r="X249" s="141"/>
      <c r="Y249" s="48"/>
      <c r="Z249" s="48">
        <v>124350.77</v>
      </c>
      <c r="AA249" s="48">
        <v>109634.78</v>
      </c>
      <c r="AB249" s="48"/>
      <c r="AC249" s="48"/>
      <c r="AD249" s="48"/>
      <c r="AE249" s="61">
        <v>199258.18</v>
      </c>
      <c r="AF249" s="62"/>
      <c r="AG249" s="62"/>
      <c r="AH249" s="56"/>
      <c r="AI249" s="56"/>
    </row>
    <row r="250" spans="1:35" x14ac:dyDescent="0.3">
      <c r="A250" s="45">
        <f t="shared" si="59"/>
        <v>205</v>
      </c>
      <c r="B250" s="414" t="s">
        <v>321</v>
      </c>
      <c r="C250" s="51">
        <f t="shared" si="56"/>
        <v>4279092.37</v>
      </c>
      <c r="D250" s="51">
        <f t="shared" si="57"/>
        <v>0</v>
      </c>
      <c r="E250" s="51"/>
      <c r="F250" s="51"/>
      <c r="G250" s="51"/>
      <c r="H250" s="51"/>
      <c r="I250" s="51"/>
      <c r="J250" s="51"/>
      <c r="K250" s="51"/>
      <c r="L250" s="51"/>
      <c r="M250" s="35">
        <v>475.3</v>
      </c>
      <c r="N250" s="51">
        <f>M250*8094</f>
        <v>3847078.2</v>
      </c>
      <c r="O250" s="82"/>
      <c r="P250" s="51"/>
      <c r="Q250" s="338"/>
      <c r="R250" s="51"/>
      <c r="S250" s="51"/>
      <c r="T250" s="338"/>
      <c r="U250" s="51"/>
      <c r="V250" s="35"/>
      <c r="W250" s="364">
        <f t="shared" si="58"/>
        <v>432014.17000000004</v>
      </c>
      <c r="X250" s="141"/>
      <c r="Y250" s="48"/>
      <c r="Z250" s="48">
        <v>122801.83</v>
      </c>
      <c r="AA250" s="48">
        <v>108161.46</v>
      </c>
      <c r="AB250" s="48"/>
      <c r="AC250" s="48"/>
      <c r="AD250" s="48"/>
      <c r="AE250" s="61">
        <v>201050.88</v>
      </c>
      <c r="AF250" s="62"/>
      <c r="AG250" s="62"/>
      <c r="AH250" s="56"/>
      <c r="AI250" s="56"/>
    </row>
    <row r="251" spans="1:35" x14ac:dyDescent="0.3">
      <c r="A251" s="45">
        <f t="shared" si="59"/>
        <v>206</v>
      </c>
      <c r="B251" s="414" t="s">
        <v>322</v>
      </c>
      <c r="C251" s="51">
        <f t="shared" si="56"/>
        <v>446380.47</v>
      </c>
      <c r="D251" s="51">
        <f t="shared" si="57"/>
        <v>0</v>
      </c>
      <c r="E251" s="51"/>
      <c r="F251" s="51"/>
      <c r="G251" s="51"/>
      <c r="H251" s="51"/>
      <c r="I251" s="51"/>
      <c r="J251" s="51"/>
      <c r="K251" s="51"/>
      <c r="L251" s="51"/>
      <c r="M251" s="35"/>
      <c r="N251" s="51"/>
      <c r="O251" s="82"/>
      <c r="P251" s="51"/>
      <c r="Q251" s="338"/>
      <c r="R251" s="51"/>
      <c r="S251" s="51"/>
      <c r="T251" s="338"/>
      <c r="U251" s="51"/>
      <c r="V251" s="35"/>
      <c r="W251" s="364">
        <f t="shared" si="58"/>
        <v>446380.47</v>
      </c>
      <c r="X251" s="141"/>
      <c r="Y251" s="48"/>
      <c r="Z251" s="48">
        <v>144577.44</v>
      </c>
      <c r="AA251" s="48">
        <v>123013.87</v>
      </c>
      <c r="AB251" s="48"/>
      <c r="AC251" s="48"/>
      <c r="AD251" s="48"/>
      <c r="AE251" s="61">
        <v>178789.16</v>
      </c>
      <c r="AF251" s="62"/>
      <c r="AG251" s="62"/>
      <c r="AH251" s="56"/>
      <c r="AI251" s="56"/>
    </row>
    <row r="252" spans="1:35" x14ac:dyDescent="0.3">
      <c r="A252" s="45">
        <f t="shared" si="59"/>
        <v>207</v>
      </c>
      <c r="B252" s="414" t="s">
        <v>323</v>
      </c>
      <c r="C252" s="51">
        <f t="shared" si="56"/>
        <v>287233.77</v>
      </c>
      <c r="D252" s="51">
        <f t="shared" si="57"/>
        <v>0</v>
      </c>
      <c r="E252" s="51"/>
      <c r="F252" s="51"/>
      <c r="G252" s="51"/>
      <c r="H252" s="51"/>
      <c r="I252" s="51"/>
      <c r="J252" s="51"/>
      <c r="K252" s="51"/>
      <c r="L252" s="51"/>
      <c r="M252" s="35"/>
      <c r="N252" s="51"/>
      <c r="O252" s="82"/>
      <c r="P252" s="51"/>
      <c r="Q252" s="338"/>
      <c r="R252" s="51"/>
      <c r="S252" s="51"/>
      <c r="T252" s="338"/>
      <c r="U252" s="51"/>
      <c r="V252" s="35"/>
      <c r="W252" s="364">
        <f t="shared" si="58"/>
        <v>287233.77</v>
      </c>
      <c r="X252" s="141"/>
      <c r="Y252" s="48"/>
      <c r="Z252" s="48">
        <v>138635.46</v>
      </c>
      <c r="AA252" s="48">
        <v>123222.13</v>
      </c>
      <c r="AB252" s="48"/>
      <c r="AC252" s="48"/>
      <c r="AD252" s="48"/>
      <c r="AE252" s="61">
        <v>25376.18</v>
      </c>
      <c r="AF252" s="62"/>
      <c r="AG252" s="62"/>
      <c r="AH252" s="56"/>
      <c r="AI252" s="56"/>
    </row>
    <row r="253" spans="1:35" x14ac:dyDescent="0.3">
      <c r="A253" s="45">
        <f t="shared" si="59"/>
        <v>208</v>
      </c>
      <c r="B253" s="414" t="s">
        <v>324</v>
      </c>
      <c r="C253" s="51">
        <f t="shared" si="56"/>
        <v>2680265.5</v>
      </c>
      <c r="D253" s="51">
        <f t="shared" si="57"/>
        <v>0</v>
      </c>
      <c r="E253" s="51"/>
      <c r="F253" s="51"/>
      <c r="G253" s="51"/>
      <c r="H253" s="51"/>
      <c r="I253" s="51"/>
      <c r="J253" s="51"/>
      <c r="K253" s="51"/>
      <c r="L253" s="51"/>
      <c r="M253" s="35">
        <v>408.5</v>
      </c>
      <c r="N253" s="51">
        <f>M253*6243</f>
        <v>2550265.5</v>
      </c>
      <c r="O253" s="82"/>
      <c r="P253" s="51"/>
      <c r="Q253" s="338"/>
      <c r="R253" s="51"/>
      <c r="S253" s="51"/>
      <c r="T253" s="338"/>
      <c r="U253" s="51"/>
      <c r="V253" s="35"/>
      <c r="W253" s="364">
        <v>130000</v>
      </c>
      <c r="X253" s="141"/>
      <c r="Y253" s="48"/>
      <c r="Z253" s="48"/>
      <c r="AA253" s="48"/>
      <c r="AB253" s="48"/>
      <c r="AC253" s="48"/>
      <c r="AD253" s="48"/>
      <c r="AE253" s="61"/>
      <c r="AF253" s="62"/>
      <c r="AG253" s="62"/>
      <c r="AH253" s="56"/>
      <c r="AI253" s="56"/>
    </row>
    <row r="254" spans="1:35" x14ac:dyDescent="0.3">
      <c r="A254" s="45">
        <f t="shared" si="59"/>
        <v>209</v>
      </c>
      <c r="B254" s="414" t="s">
        <v>325</v>
      </c>
      <c r="C254" s="51">
        <f t="shared" si="56"/>
        <v>50878.2</v>
      </c>
      <c r="D254" s="51">
        <f t="shared" si="57"/>
        <v>0</v>
      </c>
      <c r="E254" s="51"/>
      <c r="F254" s="51"/>
      <c r="G254" s="51"/>
      <c r="H254" s="51"/>
      <c r="I254" s="51"/>
      <c r="J254" s="51"/>
      <c r="K254" s="51"/>
      <c r="L254" s="51"/>
      <c r="M254" s="35"/>
      <c r="N254" s="51"/>
      <c r="O254" s="82"/>
      <c r="P254" s="51"/>
      <c r="Q254" s="338"/>
      <c r="R254" s="51"/>
      <c r="S254" s="51"/>
      <c r="T254" s="338"/>
      <c r="U254" s="51"/>
      <c r="V254" s="35"/>
      <c r="W254" s="364">
        <f t="shared" ref="W254:W259" si="60">SUM(X254:AI254)</f>
        <v>50878.2</v>
      </c>
      <c r="X254" s="141"/>
      <c r="Y254" s="48"/>
      <c r="Z254" s="48"/>
      <c r="AA254" s="48"/>
      <c r="AB254" s="48"/>
      <c r="AC254" s="48"/>
      <c r="AD254" s="48"/>
      <c r="AE254" s="61">
        <v>50878.2</v>
      </c>
      <c r="AF254" s="62"/>
      <c r="AG254" s="62"/>
      <c r="AH254" s="56"/>
      <c r="AI254" s="56"/>
    </row>
    <row r="255" spans="1:35" x14ac:dyDescent="0.3">
      <c r="A255" s="45">
        <f t="shared" si="59"/>
        <v>210</v>
      </c>
      <c r="B255" s="414" t="s">
        <v>326</v>
      </c>
      <c r="C255" s="51">
        <f t="shared" si="56"/>
        <v>182053.31</v>
      </c>
      <c r="D255" s="51">
        <f t="shared" si="57"/>
        <v>0</v>
      </c>
      <c r="E255" s="51"/>
      <c r="F255" s="51"/>
      <c r="G255" s="51"/>
      <c r="H255" s="51"/>
      <c r="I255" s="51"/>
      <c r="J255" s="51"/>
      <c r="K255" s="51"/>
      <c r="L255" s="51"/>
      <c r="M255" s="35"/>
      <c r="N255" s="51"/>
      <c r="O255" s="82"/>
      <c r="P255" s="51"/>
      <c r="Q255" s="338"/>
      <c r="R255" s="51"/>
      <c r="S255" s="51"/>
      <c r="T255" s="338"/>
      <c r="U255" s="51"/>
      <c r="V255" s="35"/>
      <c r="W255" s="364">
        <f t="shared" si="60"/>
        <v>182053.31</v>
      </c>
      <c r="X255" s="141"/>
      <c r="Y255" s="48"/>
      <c r="Z255" s="48"/>
      <c r="AA255" s="48"/>
      <c r="AB255" s="48"/>
      <c r="AC255" s="48"/>
      <c r="AD255" s="48"/>
      <c r="AE255" s="61">
        <v>182053.31</v>
      </c>
      <c r="AF255" s="62"/>
      <c r="AG255" s="62"/>
      <c r="AH255" s="56"/>
      <c r="AI255" s="56"/>
    </row>
    <row r="256" spans="1:35" x14ac:dyDescent="0.3">
      <c r="A256" s="45">
        <f t="shared" si="59"/>
        <v>211</v>
      </c>
      <c r="B256" s="414" t="s">
        <v>327</v>
      </c>
      <c r="C256" s="51">
        <f t="shared" si="56"/>
        <v>8881488</v>
      </c>
      <c r="D256" s="51">
        <f t="shared" si="57"/>
        <v>0</v>
      </c>
      <c r="E256" s="51"/>
      <c r="F256" s="51"/>
      <c r="G256" s="51"/>
      <c r="H256" s="51"/>
      <c r="I256" s="51"/>
      <c r="J256" s="51"/>
      <c r="K256" s="51"/>
      <c r="L256" s="51"/>
      <c r="M256" s="35"/>
      <c r="N256" s="51"/>
      <c r="O256" s="82">
        <v>336</v>
      </c>
      <c r="P256" s="51">
        <f>O256*26433</f>
        <v>8881488</v>
      </c>
      <c r="Q256" s="338"/>
      <c r="R256" s="51"/>
      <c r="S256" s="51"/>
      <c r="T256" s="338"/>
      <c r="U256" s="51"/>
      <c r="V256" s="35"/>
      <c r="W256" s="364">
        <f t="shared" si="60"/>
        <v>0</v>
      </c>
      <c r="X256" s="141"/>
      <c r="Y256" s="48"/>
      <c r="Z256" s="48"/>
      <c r="AA256" s="48"/>
      <c r="AB256" s="48"/>
      <c r="AC256" s="48"/>
      <c r="AD256" s="48"/>
      <c r="AE256" s="61"/>
      <c r="AF256" s="62"/>
      <c r="AG256" s="62"/>
      <c r="AH256" s="56"/>
      <c r="AI256" s="56"/>
    </row>
    <row r="257" spans="1:35" x14ac:dyDescent="0.3">
      <c r="A257" s="45">
        <f t="shared" si="59"/>
        <v>212</v>
      </c>
      <c r="B257" s="414" t="s">
        <v>328</v>
      </c>
      <c r="C257" s="51">
        <f t="shared" si="56"/>
        <v>61010.45</v>
      </c>
      <c r="D257" s="51">
        <f t="shared" si="57"/>
        <v>0</v>
      </c>
      <c r="E257" s="51"/>
      <c r="F257" s="51"/>
      <c r="G257" s="51"/>
      <c r="H257" s="51"/>
      <c r="I257" s="51"/>
      <c r="J257" s="51"/>
      <c r="K257" s="51"/>
      <c r="L257" s="51"/>
      <c r="M257" s="35"/>
      <c r="N257" s="51"/>
      <c r="O257" s="82"/>
      <c r="P257" s="51"/>
      <c r="Q257" s="338"/>
      <c r="R257" s="51"/>
      <c r="S257" s="51"/>
      <c r="T257" s="338"/>
      <c r="U257" s="51"/>
      <c r="V257" s="35"/>
      <c r="W257" s="364">
        <f t="shared" si="60"/>
        <v>61010.45</v>
      </c>
      <c r="X257" s="141"/>
      <c r="Y257" s="48"/>
      <c r="Z257" s="48"/>
      <c r="AA257" s="48"/>
      <c r="AB257" s="48"/>
      <c r="AC257" s="48"/>
      <c r="AD257" s="48"/>
      <c r="AE257" s="61">
        <v>61010.45</v>
      </c>
      <c r="AF257" s="62"/>
      <c r="AG257" s="62"/>
      <c r="AH257" s="56"/>
      <c r="AI257" s="56"/>
    </row>
    <row r="258" spans="1:35" x14ac:dyDescent="0.3">
      <c r="A258" s="45">
        <f t="shared" si="59"/>
        <v>213</v>
      </c>
      <c r="B258" s="414" t="s">
        <v>329</v>
      </c>
      <c r="C258" s="51">
        <f t="shared" si="56"/>
        <v>61010.45</v>
      </c>
      <c r="D258" s="51">
        <f t="shared" si="57"/>
        <v>0</v>
      </c>
      <c r="E258" s="51"/>
      <c r="F258" s="51"/>
      <c r="G258" s="51"/>
      <c r="H258" s="51"/>
      <c r="I258" s="51"/>
      <c r="J258" s="51"/>
      <c r="K258" s="51"/>
      <c r="L258" s="51"/>
      <c r="M258" s="35"/>
      <c r="N258" s="51"/>
      <c r="O258" s="82"/>
      <c r="P258" s="51"/>
      <c r="Q258" s="338"/>
      <c r="R258" s="51"/>
      <c r="S258" s="51"/>
      <c r="T258" s="338"/>
      <c r="U258" s="51"/>
      <c r="V258" s="35"/>
      <c r="W258" s="364">
        <f t="shared" si="60"/>
        <v>61010.45</v>
      </c>
      <c r="X258" s="141"/>
      <c r="Y258" s="48"/>
      <c r="Z258" s="48"/>
      <c r="AA258" s="48"/>
      <c r="AB258" s="48"/>
      <c r="AC258" s="48"/>
      <c r="AD258" s="48"/>
      <c r="AE258" s="61">
        <v>61010.45</v>
      </c>
      <c r="AF258" s="62"/>
      <c r="AG258" s="62"/>
      <c r="AH258" s="56"/>
      <c r="AI258" s="56"/>
    </row>
    <row r="259" spans="1:35" x14ac:dyDescent="0.3">
      <c r="A259" s="45">
        <f t="shared" si="59"/>
        <v>214</v>
      </c>
      <c r="B259" s="414" t="s">
        <v>330</v>
      </c>
      <c r="C259" s="51">
        <f t="shared" si="56"/>
        <v>63657.58</v>
      </c>
      <c r="D259" s="51">
        <f t="shared" si="57"/>
        <v>0</v>
      </c>
      <c r="E259" s="51"/>
      <c r="F259" s="51"/>
      <c r="G259" s="51"/>
      <c r="H259" s="51"/>
      <c r="I259" s="51"/>
      <c r="J259" s="51"/>
      <c r="K259" s="51"/>
      <c r="L259" s="51"/>
      <c r="M259" s="35"/>
      <c r="N259" s="51"/>
      <c r="O259" s="82"/>
      <c r="P259" s="51"/>
      <c r="Q259" s="338"/>
      <c r="R259" s="51"/>
      <c r="S259" s="51"/>
      <c r="T259" s="338"/>
      <c r="U259" s="51"/>
      <c r="V259" s="35"/>
      <c r="W259" s="364">
        <f t="shared" si="60"/>
        <v>63657.58</v>
      </c>
      <c r="X259" s="141"/>
      <c r="Y259" s="48"/>
      <c r="Z259" s="48"/>
      <c r="AA259" s="48"/>
      <c r="AB259" s="48"/>
      <c r="AC259" s="48"/>
      <c r="AD259" s="48"/>
      <c r="AE259" s="61">
        <v>63657.58</v>
      </c>
      <c r="AF259" s="62"/>
      <c r="AG259" s="62"/>
      <c r="AH259" s="56"/>
      <c r="AI259" s="56"/>
    </row>
    <row r="260" spans="1:35" x14ac:dyDescent="0.3">
      <c r="A260" s="45"/>
      <c r="B260" s="399" t="s">
        <v>211</v>
      </c>
      <c r="C260" s="51">
        <f t="shared" ref="C260:W260" si="61">SUM(C244:C259)</f>
        <v>23974995.129999999</v>
      </c>
      <c r="D260" s="51">
        <f t="shared" si="61"/>
        <v>0</v>
      </c>
      <c r="E260" s="51">
        <f t="shared" si="61"/>
        <v>0</v>
      </c>
      <c r="F260" s="51">
        <f t="shared" si="61"/>
        <v>0</v>
      </c>
      <c r="G260" s="51">
        <f t="shared" si="61"/>
        <v>0</v>
      </c>
      <c r="H260" s="51">
        <f t="shared" si="61"/>
        <v>0</v>
      </c>
      <c r="I260" s="51">
        <f t="shared" si="61"/>
        <v>0</v>
      </c>
      <c r="J260" s="51">
        <f t="shared" si="61"/>
        <v>0</v>
      </c>
      <c r="K260" s="51">
        <f t="shared" si="61"/>
        <v>0</v>
      </c>
      <c r="L260" s="51">
        <f t="shared" si="61"/>
        <v>0</v>
      </c>
      <c r="M260" s="35">
        <f t="shared" si="61"/>
        <v>1364.4</v>
      </c>
      <c r="N260" s="51">
        <f t="shared" si="61"/>
        <v>10287320.100000001</v>
      </c>
      <c r="O260" s="82">
        <f t="shared" si="61"/>
        <v>336</v>
      </c>
      <c r="P260" s="51">
        <f t="shared" si="61"/>
        <v>8881488</v>
      </c>
      <c r="Q260" s="338">
        <f t="shared" si="61"/>
        <v>0</v>
      </c>
      <c r="R260" s="51">
        <f t="shared" si="61"/>
        <v>0</v>
      </c>
      <c r="S260" s="51">
        <f t="shared" si="61"/>
        <v>0</v>
      </c>
      <c r="T260" s="338">
        <f t="shared" si="61"/>
        <v>0</v>
      </c>
      <c r="U260" s="51">
        <f t="shared" si="61"/>
        <v>0</v>
      </c>
      <c r="V260" s="35">
        <f t="shared" si="61"/>
        <v>0</v>
      </c>
      <c r="W260" s="51">
        <f t="shared" si="61"/>
        <v>4806187.0299999993</v>
      </c>
      <c r="X260" s="141"/>
      <c r="Y260" s="48"/>
      <c r="Z260" s="48"/>
      <c r="AA260" s="48"/>
      <c r="AB260" s="48"/>
      <c r="AC260" s="48"/>
      <c r="AD260" s="48"/>
      <c r="AE260" s="61"/>
      <c r="AF260" s="62"/>
      <c r="AG260" s="62"/>
      <c r="AH260" s="56"/>
      <c r="AI260" s="56"/>
    </row>
    <row r="261" spans="1:35" ht="31.2" x14ac:dyDescent="0.3">
      <c r="A261" s="45"/>
      <c r="B261" s="414" t="s">
        <v>331</v>
      </c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35"/>
      <c r="N261" s="51"/>
      <c r="O261" s="82"/>
      <c r="P261" s="51"/>
      <c r="Q261" s="338"/>
      <c r="R261" s="51"/>
      <c r="S261" s="51"/>
      <c r="T261" s="402"/>
      <c r="U261" s="399"/>
      <c r="V261" s="35"/>
      <c r="W261" s="364"/>
      <c r="X261" s="141"/>
      <c r="Y261" s="48"/>
      <c r="Z261" s="48"/>
      <c r="AA261" s="48"/>
      <c r="AB261" s="48"/>
      <c r="AC261" s="48"/>
      <c r="AD261" s="48"/>
      <c r="AE261" s="61"/>
      <c r="AF261" s="62"/>
      <c r="AG261" s="62"/>
      <c r="AH261" s="56"/>
      <c r="AI261" s="56"/>
    </row>
    <row r="262" spans="1:35" x14ac:dyDescent="0.3">
      <c r="A262" s="45">
        <f>A259+1</f>
        <v>215</v>
      </c>
      <c r="B262" s="414" t="s">
        <v>336</v>
      </c>
      <c r="C262" s="51">
        <f t="shared" ref="C262:C275" si="62">D262+K262+L262+N262+P262+R262+S262+U262+V262+W262</f>
        <v>1249846</v>
      </c>
      <c r="D262" s="51">
        <f t="shared" ref="D262:D287" si="63">E262+F262+G262+H262+I262</f>
        <v>1119846</v>
      </c>
      <c r="E262" s="51">
        <f>(358323*2)+2688*150</f>
        <v>1119846</v>
      </c>
      <c r="F262" s="51"/>
      <c r="G262" s="51"/>
      <c r="H262" s="51"/>
      <c r="I262" s="51"/>
      <c r="J262" s="51"/>
      <c r="K262" s="51"/>
      <c r="L262" s="51"/>
      <c r="M262" s="35"/>
      <c r="N262" s="51"/>
      <c r="O262" s="82"/>
      <c r="P262" s="51"/>
      <c r="Q262" s="338"/>
      <c r="R262" s="51"/>
      <c r="S262" s="51"/>
      <c r="T262" s="338"/>
      <c r="U262" s="51"/>
      <c r="V262" s="35"/>
      <c r="W262" s="364">
        <v>130000</v>
      </c>
      <c r="X262" s="141"/>
      <c r="Y262" s="48"/>
      <c r="Z262" s="48"/>
      <c r="AA262" s="48"/>
      <c r="AB262" s="48"/>
      <c r="AC262" s="48"/>
      <c r="AD262" s="48"/>
      <c r="AE262" s="61"/>
      <c r="AF262" s="62"/>
      <c r="AG262" s="62"/>
      <c r="AH262" s="56"/>
    </row>
    <row r="263" spans="1:35" x14ac:dyDescent="0.3">
      <c r="A263" s="45">
        <f>A262+1</f>
        <v>216</v>
      </c>
      <c r="B263" s="414" t="s">
        <v>349</v>
      </c>
      <c r="C263" s="51">
        <f t="shared" si="62"/>
        <v>1853958.2199999997</v>
      </c>
      <c r="D263" s="51">
        <f t="shared" si="63"/>
        <v>1573351.8599999999</v>
      </c>
      <c r="E263" s="51">
        <f>(358323*2)+2688*150</f>
        <v>1119846</v>
      </c>
      <c r="F263" s="51"/>
      <c r="G263" s="51"/>
      <c r="H263" s="51">
        <v>453505.86</v>
      </c>
      <c r="I263" s="51"/>
      <c r="J263" s="51"/>
      <c r="K263" s="51"/>
      <c r="L263" s="51"/>
      <c r="M263" s="35"/>
      <c r="N263" s="51"/>
      <c r="O263" s="82"/>
      <c r="P263" s="51"/>
      <c r="Q263" s="338"/>
      <c r="R263" s="51"/>
      <c r="S263" s="51"/>
      <c r="T263" s="338"/>
      <c r="U263" s="51"/>
      <c r="V263" s="35">
        <v>280606.36</v>
      </c>
      <c r="W263" s="364"/>
      <c r="X263" s="141"/>
      <c r="Y263" s="48"/>
      <c r="Z263" s="48"/>
      <c r="AA263" s="48"/>
      <c r="AB263" s="48"/>
      <c r="AC263" s="48"/>
      <c r="AD263" s="48"/>
      <c r="AE263" s="61"/>
      <c r="AF263" s="62"/>
      <c r="AG263" s="62"/>
      <c r="AH263" s="56"/>
    </row>
    <row r="264" spans="1:35" x14ac:dyDescent="0.3">
      <c r="A264" s="45">
        <f t="shared" ref="A264:A328" si="64">A263+1</f>
        <v>217</v>
      </c>
      <c r="B264" s="414" t="s">
        <v>350</v>
      </c>
      <c r="C264" s="51">
        <f t="shared" si="62"/>
        <v>1119846</v>
      </c>
      <c r="D264" s="51">
        <f t="shared" si="63"/>
        <v>1119846</v>
      </c>
      <c r="E264" s="51">
        <f>(358323*2)+2688*150</f>
        <v>1119846</v>
      </c>
      <c r="F264" s="51"/>
      <c r="G264" s="51"/>
      <c r="H264" s="51"/>
      <c r="I264" s="51"/>
      <c r="J264" s="51"/>
      <c r="K264" s="51"/>
      <c r="L264" s="51"/>
      <c r="M264" s="35"/>
      <c r="N264" s="51"/>
      <c r="O264" s="82"/>
      <c r="P264" s="51"/>
      <c r="Q264" s="338"/>
      <c r="R264" s="51"/>
      <c r="S264" s="51"/>
      <c r="T264" s="338"/>
      <c r="U264" s="51"/>
      <c r="V264" s="35"/>
      <c r="W264" s="364"/>
      <c r="X264" s="141"/>
      <c r="Y264" s="48"/>
      <c r="Z264" s="48"/>
      <c r="AA264" s="48"/>
      <c r="AB264" s="48"/>
      <c r="AC264" s="48"/>
      <c r="AD264" s="48"/>
      <c r="AE264" s="61"/>
      <c r="AF264" s="62"/>
      <c r="AG264" s="62"/>
      <c r="AH264" s="56"/>
    </row>
    <row r="265" spans="1:35" x14ac:dyDescent="0.3">
      <c r="A265" s="45">
        <f t="shared" si="64"/>
        <v>218</v>
      </c>
      <c r="B265" s="414" t="s">
        <v>351</v>
      </c>
      <c r="C265" s="51">
        <f t="shared" si="62"/>
        <v>1119846</v>
      </c>
      <c r="D265" s="51">
        <f t="shared" si="63"/>
        <v>1119846</v>
      </c>
      <c r="E265" s="51">
        <f>(358323*2)+2688*150</f>
        <v>1119846</v>
      </c>
      <c r="F265" s="51"/>
      <c r="G265" s="51"/>
      <c r="H265" s="51"/>
      <c r="I265" s="51"/>
      <c r="J265" s="51"/>
      <c r="K265" s="51"/>
      <c r="L265" s="51"/>
      <c r="M265" s="35"/>
      <c r="N265" s="51"/>
      <c r="O265" s="82"/>
      <c r="P265" s="51"/>
      <c r="Q265" s="338"/>
      <c r="R265" s="51"/>
      <c r="S265" s="51"/>
      <c r="T265" s="338"/>
      <c r="U265" s="51"/>
      <c r="V265" s="35"/>
      <c r="W265" s="364"/>
      <c r="X265" s="141"/>
      <c r="Y265" s="48"/>
      <c r="Z265" s="48"/>
      <c r="AA265" s="48"/>
      <c r="AB265" s="48"/>
      <c r="AC265" s="48"/>
      <c r="AD265" s="48"/>
      <c r="AE265" s="61"/>
      <c r="AF265" s="62"/>
      <c r="AG265" s="62"/>
      <c r="AH265" s="56"/>
    </row>
    <row r="266" spans="1:35" x14ac:dyDescent="0.3">
      <c r="A266" s="45">
        <f t="shared" si="64"/>
        <v>219</v>
      </c>
      <c r="B266" s="414" t="s">
        <v>352</v>
      </c>
      <c r="C266" s="51">
        <f t="shared" si="62"/>
        <v>1119846</v>
      </c>
      <c r="D266" s="51">
        <f t="shared" si="63"/>
        <v>1119846</v>
      </c>
      <c r="E266" s="51">
        <f>(358323*2)+2688*150</f>
        <v>1119846</v>
      </c>
      <c r="F266" s="51"/>
      <c r="G266" s="51"/>
      <c r="H266" s="51"/>
      <c r="I266" s="51"/>
      <c r="J266" s="51"/>
      <c r="K266" s="51"/>
      <c r="L266" s="51"/>
      <c r="M266" s="35"/>
      <c r="N266" s="51"/>
      <c r="O266" s="82"/>
      <c r="P266" s="51"/>
      <c r="Q266" s="338"/>
      <c r="R266" s="51"/>
      <c r="S266" s="51"/>
      <c r="T266" s="338"/>
      <c r="U266" s="51"/>
      <c r="V266" s="35"/>
      <c r="W266" s="364"/>
      <c r="X266" s="141"/>
      <c r="Y266" s="48"/>
      <c r="Z266" s="48"/>
      <c r="AA266" s="48"/>
      <c r="AB266" s="48"/>
      <c r="AC266" s="48"/>
      <c r="AD266" s="48"/>
      <c r="AE266" s="61"/>
      <c r="AF266" s="62"/>
      <c r="AG266" s="62"/>
      <c r="AH266" s="56"/>
    </row>
    <row r="267" spans="1:35" x14ac:dyDescent="0.3">
      <c r="A267" s="45">
        <f t="shared" si="64"/>
        <v>220</v>
      </c>
      <c r="B267" s="414" t="s">
        <v>353</v>
      </c>
      <c r="C267" s="51">
        <f t="shared" si="62"/>
        <v>3870141.92</v>
      </c>
      <c r="D267" s="51">
        <f t="shared" si="63"/>
        <v>1808266</v>
      </c>
      <c r="E267" s="51">
        <f>(358323*1)+2688*50</f>
        <v>492723</v>
      </c>
      <c r="F267" s="51">
        <f>70*5502+1*607361</f>
        <v>992501</v>
      </c>
      <c r="G267" s="51">
        <f>3910*72</f>
        <v>281520</v>
      </c>
      <c r="H267" s="51"/>
      <c r="I267" s="51">
        <f>13*3194</f>
        <v>41522</v>
      </c>
      <c r="J267" s="51"/>
      <c r="K267" s="51"/>
      <c r="L267" s="51"/>
      <c r="M267" s="35">
        <v>238.68</v>
      </c>
      <c r="N267" s="51">
        <f>M267*8094</f>
        <v>1931875.9200000002</v>
      </c>
      <c r="O267" s="82"/>
      <c r="P267" s="51"/>
      <c r="Q267" s="338"/>
      <c r="R267" s="51"/>
      <c r="S267" s="51"/>
      <c r="T267" s="338"/>
      <c r="U267" s="51"/>
      <c r="V267" s="35"/>
      <c r="W267" s="364">
        <v>130000</v>
      </c>
      <c r="X267" s="141"/>
      <c r="Y267" s="48"/>
      <c r="Z267" s="48"/>
      <c r="AA267" s="48"/>
      <c r="AB267" s="48"/>
      <c r="AC267" s="48"/>
      <c r="AD267" s="48"/>
      <c r="AE267" s="61"/>
      <c r="AF267" s="62"/>
      <c r="AG267" s="62"/>
      <c r="AH267" s="56"/>
    </row>
    <row r="268" spans="1:35" x14ac:dyDescent="0.3">
      <c r="A268" s="45">
        <f t="shared" si="64"/>
        <v>221</v>
      </c>
      <c r="B268" s="414" t="s">
        <v>354</v>
      </c>
      <c r="C268" s="51">
        <f t="shared" si="62"/>
        <v>757123</v>
      </c>
      <c r="D268" s="51">
        <f t="shared" si="63"/>
        <v>627123</v>
      </c>
      <c r="E268" s="51">
        <f>(358323*1)+2688*100</f>
        <v>627123</v>
      </c>
      <c r="F268" s="51"/>
      <c r="G268" s="51"/>
      <c r="H268" s="51"/>
      <c r="I268" s="51"/>
      <c r="J268" s="51"/>
      <c r="K268" s="51"/>
      <c r="L268" s="51"/>
      <c r="M268" s="35"/>
      <c r="N268" s="51"/>
      <c r="O268" s="82"/>
      <c r="P268" s="51"/>
      <c r="Q268" s="338"/>
      <c r="R268" s="51"/>
      <c r="S268" s="51"/>
      <c r="T268" s="338"/>
      <c r="U268" s="51"/>
      <c r="V268" s="35"/>
      <c r="W268" s="364">
        <v>130000</v>
      </c>
      <c r="X268" s="141"/>
      <c r="Y268" s="48"/>
      <c r="Z268" s="48"/>
      <c r="AA268" s="48"/>
      <c r="AB268" s="48"/>
      <c r="AC268" s="48"/>
      <c r="AD268" s="48"/>
      <c r="AE268" s="61"/>
      <c r="AF268" s="62"/>
      <c r="AG268" s="62"/>
      <c r="AH268" s="56"/>
    </row>
    <row r="269" spans="1:35" x14ac:dyDescent="0.3">
      <c r="A269" s="45">
        <f t="shared" si="64"/>
        <v>222</v>
      </c>
      <c r="B269" s="414" t="s">
        <v>355</v>
      </c>
      <c r="C269" s="51">
        <f t="shared" si="62"/>
        <v>757123</v>
      </c>
      <c r="D269" s="51">
        <f t="shared" si="63"/>
        <v>627123</v>
      </c>
      <c r="E269" s="51">
        <f>(358323*1)+2688*100</f>
        <v>627123</v>
      </c>
      <c r="F269" s="51"/>
      <c r="G269" s="51"/>
      <c r="H269" s="51"/>
      <c r="I269" s="51"/>
      <c r="J269" s="51"/>
      <c r="K269" s="51"/>
      <c r="L269" s="51"/>
      <c r="M269" s="35"/>
      <c r="N269" s="51"/>
      <c r="O269" s="82"/>
      <c r="P269" s="51"/>
      <c r="Q269" s="338"/>
      <c r="R269" s="51"/>
      <c r="S269" s="51"/>
      <c r="T269" s="338"/>
      <c r="U269" s="51"/>
      <c r="V269" s="35"/>
      <c r="W269" s="364">
        <v>130000</v>
      </c>
      <c r="X269" s="141"/>
      <c r="Y269" s="48"/>
      <c r="Z269" s="48"/>
      <c r="AA269" s="48"/>
      <c r="AB269" s="48"/>
      <c r="AC269" s="48"/>
      <c r="AD269" s="48"/>
      <c r="AE269" s="61"/>
      <c r="AF269" s="62"/>
      <c r="AG269" s="62"/>
      <c r="AH269" s="56"/>
    </row>
    <row r="270" spans="1:35" x14ac:dyDescent="0.3">
      <c r="A270" s="45">
        <f t="shared" si="64"/>
        <v>223</v>
      </c>
      <c r="B270" s="414" t="s">
        <v>357</v>
      </c>
      <c r="C270" s="51">
        <f t="shared" si="62"/>
        <v>1621307.68</v>
      </c>
      <c r="D270" s="51">
        <f t="shared" si="63"/>
        <v>1146726</v>
      </c>
      <c r="E270" s="51">
        <f>(358323*2)+2688*160</f>
        <v>1146726</v>
      </c>
      <c r="F270" s="51"/>
      <c r="G270" s="51"/>
      <c r="H270" s="51"/>
      <c r="I270" s="51"/>
      <c r="J270" s="51"/>
      <c r="K270" s="51"/>
      <c r="L270" s="51"/>
      <c r="M270" s="35"/>
      <c r="N270" s="51"/>
      <c r="O270" s="82"/>
      <c r="P270" s="51"/>
      <c r="Q270" s="338"/>
      <c r="R270" s="51"/>
      <c r="S270" s="51"/>
      <c r="T270" s="338"/>
      <c r="U270" s="51"/>
      <c r="V270" s="35"/>
      <c r="W270" s="364">
        <f>SUM(X270:AI270)</f>
        <v>474581.68</v>
      </c>
      <c r="X270" s="141"/>
      <c r="Y270" s="48"/>
      <c r="Z270" s="48">
        <v>141339.89000000001</v>
      </c>
      <c r="AA270" s="48"/>
      <c r="AB270" s="48">
        <v>120355.61</v>
      </c>
      <c r="AC270" s="48"/>
      <c r="AD270" s="48">
        <v>212886.18</v>
      </c>
      <c r="AE270" s="61"/>
      <c r="AF270" s="62"/>
      <c r="AG270" s="62"/>
      <c r="AH270" s="56"/>
    </row>
    <row r="271" spans="1:35" x14ac:dyDescent="0.3">
      <c r="A271" s="45">
        <f t="shared" si="64"/>
        <v>224</v>
      </c>
      <c r="B271" s="414" t="s">
        <v>358</v>
      </c>
      <c r="C271" s="51">
        <f t="shared" si="62"/>
        <v>2490109</v>
      </c>
      <c r="D271" s="51">
        <f t="shared" si="63"/>
        <v>393267</v>
      </c>
      <c r="E271" s="51">
        <f>(358323*1)+2688*13</f>
        <v>393267</v>
      </c>
      <c r="F271" s="51"/>
      <c r="G271" s="51"/>
      <c r="H271" s="51"/>
      <c r="I271" s="51"/>
      <c r="J271" s="51"/>
      <c r="K271" s="51"/>
      <c r="L271" s="51"/>
      <c r="M271" s="35">
        <v>243</v>
      </c>
      <c r="N271" s="51">
        <f>M271*8094</f>
        <v>1966842</v>
      </c>
      <c r="O271" s="82"/>
      <c r="P271" s="51"/>
      <c r="Q271" s="338"/>
      <c r="R271" s="51"/>
      <c r="S271" s="51"/>
      <c r="T271" s="338"/>
      <c r="U271" s="51"/>
      <c r="V271" s="35"/>
      <c r="W271" s="364">
        <v>130000</v>
      </c>
      <c r="X271" s="141"/>
      <c r="Y271" s="48"/>
      <c r="Z271" s="48"/>
      <c r="AA271" s="48"/>
      <c r="AB271" s="48"/>
      <c r="AC271" s="48"/>
      <c r="AD271" s="48"/>
      <c r="AE271" s="61"/>
      <c r="AF271" s="62"/>
      <c r="AG271" s="62"/>
      <c r="AH271" s="56"/>
    </row>
    <row r="272" spans="1:35" x14ac:dyDescent="0.3">
      <c r="A272" s="45">
        <f t="shared" si="64"/>
        <v>225</v>
      </c>
      <c r="B272" s="414" t="s">
        <v>371</v>
      </c>
      <c r="C272" s="51">
        <f t="shared" si="62"/>
        <v>10943423.649999999</v>
      </c>
      <c r="D272" s="51">
        <f t="shared" si="63"/>
        <v>4882889</v>
      </c>
      <c r="E272" s="51"/>
      <c r="F272" s="51">
        <f>421*5502+3*607361</f>
        <v>4138425</v>
      </c>
      <c r="G272" s="51">
        <f>190.4*3910</f>
        <v>744464</v>
      </c>
      <c r="H272" s="51"/>
      <c r="I272" s="51"/>
      <c r="J272" s="51"/>
      <c r="K272" s="51"/>
      <c r="L272" s="51"/>
      <c r="M272" s="35">
        <v>677.3</v>
      </c>
      <c r="N272" s="51">
        <f>M272*8094</f>
        <v>5482066.1999999993</v>
      </c>
      <c r="O272" s="82"/>
      <c r="P272" s="51"/>
      <c r="Q272" s="338"/>
      <c r="R272" s="51"/>
      <c r="S272" s="51"/>
      <c r="T272" s="338"/>
      <c r="U272" s="51"/>
      <c r="V272" s="35"/>
      <c r="W272" s="364">
        <f>SUM(X272:AI272)</f>
        <v>578468.44999999995</v>
      </c>
      <c r="X272" s="141"/>
      <c r="Y272" s="308"/>
      <c r="Z272" s="308">
        <v>141872.71</v>
      </c>
      <c r="AA272" s="308"/>
      <c r="AB272" s="308">
        <v>115328.41</v>
      </c>
      <c r="AC272" s="308">
        <v>111793.34</v>
      </c>
      <c r="AD272" s="308">
        <v>209473.99</v>
      </c>
      <c r="AE272" s="309"/>
      <c r="AF272" s="308"/>
      <c r="AG272" s="308"/>
      <c r="AH272" s="56"/>
    </row>
    <row r="273" spans="1:35" x14ac:dyDescent="0.3">
      <c r="A273" s="45">
        <f t="shared" si="64"/>
        <v>226</v>
      </c>
      <c r="B273" s="414" t="s">
        <v>332</v>
      </c>
      <c r="C273" s="51">
        <f t="shared" si="62"/>
        <v>226603.88</v>
      </c>
      <c r="D273" s="51">
        <f t="shared" si="63"/>
        <v>0</v>
      </c>
      <c r="E273" s="51"/>
      <c r="F273" s="51"/>
      <c r="G273" s="51"/>
      <c r="H273" s="51"/>
      <c r="I273" s="51"/>
      <c r="J273" s="51"/>
      <c r="K273" s="51"/>
      <c r="L273" s="51"/>
      <c r="M273" s="35"/>
      <c r="N273" s="51"/>
      <c r="O273" s="82"/>
      <c r="P273" s="51"/>
      <c r="Q273" s="338"/>
      <c r="R273" s="51"/>
      <c r="S273" s="51"/>
      <c r="T273" s="338"/>
      <c r="U273" s="51"/>
      <c r="V273" s="35"/>
      <c r="W273" s="364">
        <f>SUM(X273:AI273)</f>
        <v>226603.88</v>
      </c>
      <c r="X273" s="141"/>
      <c r="Y273" s="48">
        <v>226603.88</v>
      </c>
      <c r="Z273" s="48"/>
      <c r="AA273" s="48"/>
      <c r="AB273" s="48"/>
      <c r="AC273" s="48"/>
      <c r="AD273" s="48"/>
      <c r="AE273" s="61"/>
      <c r="AF273" s="62"/>
      <c r="AG273" s="62"/>
      <c r="AH273" s="56"/>
      <c r="AI273" s="56"/>
    </row>
    <row r="274" spans="1:35" x14ac:dyDescent="0.3">
      <c r="A274" s="45">
        <f t="shared" si="64"/>
        <v>227</v>
      </c>
      <c r="B274" s="414" t="s">
        <v>334</v>
      </c>
      <c r="C274" s="51">
        <f t="shared" si="62"/>
        <v>217045.27</v>
      </c>
      <c r="D274" s="51">
        <f t="shared" si="63"/>
        <v>0</v>
      </c>
      <c r="E274" s="51"/>
      <c r="F274" s="51"/>
      <c r="G274" s="51"/>
      <c r="H274" s="51"/>
      <c r="I274" s="51"/>
      <c r="J274" s="51"/>
      <c r="K274" s="51"/>
      <c r="L274" s="51"/>
      <c r="M274" s="35"/>
      <c r="N274" s="51"/>
      <c r="O274" s="82"/>
      <c r="P274" s="51"/>
      <c r="Q274" s="338"/>
      <c r="R274" s="51"/>
      <c r="S274" s="51"/>
      <c r="T274" s="338"/>
      <c r="U274" s="51"/>
      <c r="V274" s="35"/>
      <c r="W274" s="364">
        <f>SUM(X274:AI274)</f>
        <v>217045.27</v>
      </c>
      <c r="X274" s="141"/>
      <c r="Y274" s="48"/>
      <c r="Z274" s="48"/>
      <c r="AA274" s="48"/>
      <c r="AB274" s="48"/>
      <c r="AC274" s="48"/>
      <c r="AD274" s="48"/>
      <c r="AE274" s="61">
        <v>217045.27</v>
      </c>
      <c r="AF274" s="62"/>
      <c r="AG274" s="62"/>
      <c r="AH274" s="56"/>
      <c r="AI274" s="56"/>
    </row>
    <row r="275" spans="1:35" x14ac:dyDescent="0.3">
      <c r="A275" s="45">
        <f t="shared" si="64"/>
        <v>228</v>
      </c>
      <c r="B275" s="414" t="s">
        <v>335</v>
      </c>
      <c r="C275" s="51">
        <f t="shared" si="62"/>
        <v>187004.64</v>
      </c>
      <c r="D275" s="51">
        <f t="shared" si="63"/>
        <v>0</v>
      </c>
      <c r="E275" s="51"/>
      <c r="F275" s="51"/>
      <c r="G275" s="51"/>
      <c r="H275" s="51"/>
      <c r="I275" s="51"/>
      <c r="J275" s="51"/>
      <c r="K275" s="51"/>
      <c r="L275" s="51"/>
      <c r="M275" s="35"/>
      <c r="N275" s="51"/>
      <c r="O275" s="82"/>
      <c r="P275" s="51"/>
      <c r="Q275" s="338"/>
      <c r="R275" s="51"/>
      <c r="S275" s="51"/>
      <c r="T275" s="338"/>
      <c r="U275" s="51"/>
      <c r="V275" s="35"/>
      <c r="W275" s="364">
        <f>SUM(X275:AI275)</f>
        <v>187004.64</v>
      </c>
      <c r="X275" s="141"/>
      <c r="Y275" s="48"/>
      <c r="Z275" s="48"/>
      <c r="AA275" s="48"/>
      <c r="AB275" s="48"/>
      <c r="AC275" s="48"/>
      <c r="AD275" s="48"/>
      <c r="AE275" s="61">
        <v>187004.64</v>
      </c>
      <c r="AF275" s="62"/>
      <c r="AG275" s="62"/>
      <c r="AH275" s="56"/>
      <c r="AI275" s="56"/>
    </row>
    <row r="276" spans="1:35" x14ac:dyDescent="0.3">
      <c r="A276" s="45">
        <f t="shared" si="64"/>
        <v>229</v>
      </c>
      <c r="B276" s="414" t="s">
        <v>333</v>
      </c>
      <c r="C276" s="51">
        <f t="shared" ref="C276:C277" si="65">D276+K276+L276+N276+P276+R276+S276+U276+V276+W276</f>
        <v>130000</v>
      </c>
      <c r="D276" s="51"/>
      <c r="E276" s="51"/>
      <c r="F276" s="51"/>
      <c r="G276" s="51"/>
      <c r="H276" s="51"/>
      <c r="I276" s="51"/>
      <c r="J276" s="51"/>
      <c r="K276" s="51"/>
      <c r="L276" s="51"/>
      <c r="M276" s="35"/>
      <c r="N276" s="51"/>
      <c r="O276" s="82"/>
      <c r="P276" s="51"/>
      <c r="Q276" s="338"/>
      <c r="R276" s="51"/>
      <c r="S276" s="51"/>
      <c r="T276" s="338"/>
      <c r="U276" s="51"/>
      <c r="V276" s="35"/>
      <c r="W276" s="364">
        <v>130000</v>
      </c>
      <c r="X276" s="355"/>
      <c r="Y276" s="48"/>
      <c r="Z276" s="48"/>
      <c r="AA276" s="48"/>
      <c r="AB276" s="48"/>
      <c r="AC276" s="48"/>
      <c r="AD276" s="48"/>
      <c r="AE276" s="61"/>
      <c r="AF276" s="62"/>
      <c r="AG276" s="62"/>
      <c r="AH276" s="56"/>
      <c r="AI276" s="56"/>
    </row>
    <row r="277" spans="1:35" x14ac:dyDescent="0.3">
      <c r="A277" s="45">
        <f t="shared" si="64"/>
        <v>230</v>
      </c>
      <c r="B277" s="414" t="s">
        <v>337</v>
      </c>
      <c r="C277" s="51">
        <f t="shared" si="65"/>
        <v>130000</v>
      </c>
      <c r="D277" s="51">
        <f t="shared" si="63"/>
        <v>0</v>
      </c>
      <c r="E277" s="51"/>
      <c r="F277" s="51"/>
      <c r="G277" s="51"/>
      <c r="H277" s="51"/>
      <c r="I277" s="51"/>
      <c r="J277" s="51"/>
      <c r="K277" s="51"/>
      <c r="L277" s="51"/>
      <c r="M277" s="35"/>
      <c r="N277" s="51"/>
      <c r="O277" s="82"/>
      <c r="P277" s="51"/>
      <c r="Q277" s="338"/>
      <c r="R277" s="51"/>
      <c r="S277" s="51"/>
      <c r="T277" s="338"/>
      <c r="U277" s="51"/>
      <c r="V277" s="35"/>
      <c r="W277" s="364">
        <v>130000</v>
      </c>
      <c r="X277" s="141"/>
      <c r="Y277" s="48"/>
      <c r="Z277" s="48"/>
      <c r="AA277" s="48"/>
      <c r="AB277" s="48"/>
      <c r="AC277" s="48"/>
      <c r="AD277" s="48"/>
      <c r="AE277" s="61"/>
      <c r="AF277" s="62"/>
      <c r="AG277" s="62"/>
      <c r="AH277" s="56"/>
      <c r="AI277" s="56"/>
    </row>
    <row r="278" spans="1:35" x14ac:dyDescent="0.3">
      <c r="A278" s="45">
        <f t="shared" si="64"/>
        <v>231</v>
      </c>
      <c r="B278" s="414" t="s">
        <v>338</v>
      </c>
      <c r="C278" s="51">
        <f t="shared" ref="C278:C309" si="66">D278+K278+L278+N278+P278+R278+S278+U278+V278+W278</f>
        <v>130000</v>
      </c>
      <c r="D278" s="51">
        <f t="shared" si="63"/>
        <v>0</v>
      </c>
      <c r="E278" s="51"/>
      <c r="F278" s="51"/>
      <c r="G278" s="51"/>
      <c r="H278" s="51"/>
      <c r="I278" s="51"/>
      <c r="J278" s="51"/>
      <c r="K278" s="51"/>
      <c r="L278" s="51"/>
      <c r="M278" s="35"/>
      <c r="N278" s="51"/>
      <c r="O278" s="82"/>
      <c r="P278" s="51"/>
      <c r="Q278" s="338"/>
      <c r="R278" s="51"/>
      <c r="S278" s="51"/>
      <c r="T278" s="338"/>
      <c r="U278" s="51"/>
      <c r="V278" s="35"/>
      <c r="W278" s="364">
        <v>130000</v>
      </c>
      <c r="X278" s="141"/>
      <c r="Y278" s="48"/>
      <c r="Z278" s="48"/>
      <c r="AA278" s="48"/>
      <c r="AB278" s="48"/>
      <c r="AC278" s="48"/>
      <c r="AD278" s="48"/>
      <c r="AE278" s="61"/>
      <c r="AF278" s="62"/>
      <c r="AG278" s="62"/>
      <c r="AH278" s="56"/>
      <c r="AI278" s="56"/>
    </row>
    <row r="279" spans="1:35" x14ac:dyDescent="0.3">
      <c r="A279" s="45">
        <f t="shared" si="64"/>
        <v>232</v>
      </c>
      <c r="B279" s="414" t="s">
        <v>339</v>
      </c>
      <c r="C279" s="51">
        <f t="shared" si="66"/>
        <v>130000</v>
      </c>
      <c r="D279" s="51">
        <f t="shared" si="63"/>
        <v>0</v>
      </c>
      <c r="E279" s="51"/>
      <c r="F279" s="51"/>
      <c r="G279" s="51"/>
      <c r="H279" s="51"/>
      <c r="I279" s="51"/>
      <c r="J279" s="51"/>
      <c r="K279" s="51"/>
      <c r="L279" s="51"/>
      <c r="M279" s="35"/>
      <c r="N279" s="51"/>
      <c r="O279" s="82"/>
      <c r="P279" s="51"/>
      <c r="Q279" s="338"/>
      <c r="R279" s="51"/>
      <c r="S279" s="51"/>
      <c r="T279" s="338"/>
      <c r="U279" s="51"/>
      <c r="V279" s="35"/>
      <c r="W279" s="364">
        <v>130000</v>
      </c>
      <c r="X279" s="141"/>
      <c r="Y279" s="48"/>
      <c r="Z279" s="48"/>
      <c r="AA279" s="48"/>
      <c r="AB279" s="48"/>
      <c r="AC279" s="48"/>
      <c r="AD279" s="48"/>
      <c r="AE279" s="61"/>
      <c r="AF279" s="62"/>
      <c r="AG279" s="62"/>
      <c r="AH279" s="56"/>
      <c r="AI279" s="56"/>
    </row>
    <row r="280" spans="1:35" x14ac:dyDescent="0.3">
      <c r="A280" s="45">
        <f t="shared" si="64"/>
        <v>233</v>
      </c>
      <c r="B280" s="414" t="s">
        <v>340</v>
      </c>
      <c r="C280" s="51">
        <f t="shared" si="66"/>
        <v>62430.64</v>
      </c>
      <c r="D280" s="51">
        <f t="shared" si="63"/>
        <v>0</v>
      </c>
      <c r="E280" s="51"/>
      <c r="F280" s="51"/>
      <c r="G280" s="51"/>
      <c r="H280" s="51"/>
      <c r="I280" s="51"/>
      <c r="J280" s="51"/>
      <c r="K280" s="51"/>
      <c r="L280" s="51"/>
      <c r="M280" s="35"/>
      <c r="N280" s="51"/>
      <c r="O280" s="82"/>
      <c r="P280" s="51"/>
      <c r="Q280" s="338"/>
      <c r="R280" s="51"/>
      <c r="S280" s="51"/>
      <c r="T280" s="338"/>
      <c r="U280" s="51"/>
      <c r="V280" s="35"/>
      <c r="W280" s="364">
        <f>SUM(X280:AI280)</f>
        <v>62430.64</v>
      </c>
      <c r="X280" s="141"/>
      <c r="Y280" s="48"/>
      <c r="Z280" s="48"/>
      <c r="AA280" s="48"/>
      <c r="AB280" s="48"/>
      <c r="AC280" s="48"/>
      <c r="AD280" s="48"/>
      <c r="AE280" s="61">
        <v>62430.64</v>
      </c>
      <c r="AF280" s="62"/>
      <c r="AG280" s="62"/>
      <c r="AH280" s="56"/>
      <c r="AI280" s="56"/>
    </row>
    <row r="281" spans="1:35" x14ac:dyDescent="0.3">
      <c r="A281" s="45">
        <f t="shared" si="64"/>
        <v>234</v>
      </c>
      <c r="B281" s="414" t="s">
        <v>341</v>
      </c>
      <c r="C281" s="51">
        <f t="shared" si="66"/>
        <v>130000</v>
      </c>
      <c r="D281" s="51">
        <f t="shared" si="63"/>
        <v>0</v>
      </c>
      <c r="E281" s="51"/>
      <c r="F281" s="51"/>
      <c r="G281" s="51"/>
      <c r="H281" s="51"/>
      <c r="I281" s="51"/>
      <c r="J281" s="51"/>
      <c r="K281" s="51"/>
      <c r="L281" s="51"/>
      <c r="M281" s="35"/>
      <c r="N281" s="51"/>
      <c r="O281" s="82"/>
      <c r="P281" s="51"/>
      <c r="Q281" s="338"/>
      <c r="R281" s="51"/>
      <c r="S281" s="51"/>
      <c r="T281" s="338"/>
      <c r="U281" s="51"/>
      <c r="V281" s="35"/>
      <c r="W281" s="364">
        <v>130000</v>
      </c>
      <c r="X281" s="141"/>
      <c r="Y281" s="48"/>
      <c r="Z281" s="48"/>
      <c r="AA281" s="48"/>
      <c r="AB281" s="48"/>
      <c r="AC281" s="48"/>
      <c r="AD281" s="48"/>
      <c r="AE281" s="61"/>
      <c r="AF281" s="62"/>
      <c r="AG281" s="62"/>
      <c r="AH281" s="56"/>
      <c r="AI281" s="56"/>
    </row>
    <row r="282" spans="1:35" x14ac:dyDescent="0.3">
      <c r="A282" s="45">
        <f t="shared" si="64"/>
        <v>235</v>
      </c>
      <c r="B282" s="414" t="s">
        <v>342</v>
      </c>
      <c r="C282" s="51">
        <f t="shared" si="66"/>
        <v>130000</v>
      </c>
      <c r="D282" s="51">
        <f t="shared" si="63"/>
        <v>0</v>
      </c>
      <c r="E282" s="51"/>
      <c r="F282" s="51"/>
      <c r="G282" s="51"/>
      <c r="H282" s="51"/>
      <c r="I282" s="51"/>
      <c r="J282" s="51"/>
      <c r="K282" s="51"/>
      <c r="L282" s="51"/>
      <c r="M282" s="35"/>
      <c r="N282" s="51"/>
      <c r="O282" s="82"/>
      <c r="P282" s="51"/>
      <c r="Q282" s="338"/>
      <c r="R282" s="51"/>
      <c r="S282" s="51"/>
      <c r="T282" s="338"/>
      <c r="U282" s="51"/>
      <c r="V282" s="35"/>
      <c r="W282" s="364">
        <v>130000</v>
      </c>
      <c r="X282" s="141"/>
      <c r="Y282" s="48"/>
      <c r="Z282" s="48"/>
      <c r="AA282" s="48"/>
      <c r="AB282" s="48"/>
      <c r="AC282" s="48"/>
      <c r="AD282" s="48"/>
      <c r="AE282" s="61"/>
      <c r="AF282" s="62"/>
      <c r="AG282" s="62"/>
      <c r="AH282" s="56"/>
      <c r="AI282" s="56"/>
    </row>
    <row r="283" spans="1:35" x14ac:dyDescent="0.3">
      <c r="A283" s="45">
        <f t="shared" si="64"/>
        <v>236</v>
      </c>
      <c r="B283" s="414" t="s">
        <v>343</v>
      </c>
      <c r="C283" s="51">
        <f t="shared" si="66"/>
        <v>130000</v>
      </c>
      <c r="D283" s="51">
        <f t="shared" si="63"/>
        <v>0</v>
      </c>
      <c r="E283" s="51"/>
      <c r="F283" s="51"/>
      <c r="G283" s="51"/>
      <c r="H283" s="51"/>
      <c r="I283" s="51"/>
      <c r="J283" s="51"/>
      <c r="K283" s="51"/>
      <c r="L283" s="51"/>
      <c r="M283" s="35"/>
      <c r="N283" s="51"/>
      <c r="O283" s="82"/>
      <c r="P283" s="51"/>
      <c r="Q283" s="338"/>
      <c r="R283" s="51"/>
      <c r="S283" s="51"/>
      <c r="T283" s="338"/>
      <c r="U283" s="51"/>
      <c r="V283" s="35"/>
      <c r="W283" s="364">
        <v>130000</v>
      </c>
      <c r="X283" s="141"/>
      <c r="Y283" s="48"/>
      <c r="Z283" s="48"/>
      <c r="AA283" s="48"/>
      <c r="AB283" s="48"/>
      <c r="AC283" s="48"/>
      <c r="AD283" s="48"/>
      <c r="AE283" s="61"/>
      <c r="AF283" s="62"/>
      <c r="AG283" s="62"/>
      <c r="AH283" s="56"/>
      <c r="AI283" s="56"/>
    </row>
    <row r="284" spans="1:35" x14ac:dyDescent="0.3">
      <c r="A284" s="45">
        <f t="shared" si="64"/>
        <v>237</v>
      </c>
      <c r="B284" s="414" t="s">
        <v>344</v>
      </c>
      <c r="C284" s="51">
        <f t="shared" si="66"/>
        <v>130000</v>
      </c>
      <c r="D284" s="51">
        <f t="shared" si="63"/>
        <v>0</v>
      </c>
      <c r="E284" s="51"/>
      <c r="F284" s="51"/>
      <c r="G284" s="51"/>
      <c r="H284" s="51"/>
      <c r="I284" s="51"/>
      <c r="J284" s="51"/>
      <c r="K284" s="51"/>
      <c r="L284" s="51"/>
      <c r="M284" s="35"/>
      <c r="N284" s="51"/>
      <c r="O284" s="82"/>
      <c r="P284" s="51"/>
      <c r="Q284" s="338"/>
      <c r="R284" s="51"/>
      <c r="S284" s="51"/>
      <c r="T284" s="338"/>
      <c r="U284" s="51"/>
      <c r="V284" s="35"/>
      <c r="W284" s="364">
        <v>130000</v>
      </c>
      <c r="X284" s="141"/>
      <c r="Y284" s="48"/>
      <c r="Z284" s="48"/>
      <c r="AA284" s="48"/>
      <c r="AB284" s="48"/>
      <c r="AC284" s="48"/>
      <c r="AD284" s="48"/>
      <c r="AE284" s="61"/>
      <c r="AF284" s="62"/>
      <c r="AG284" s="62"/>
      <c r="AH284" s="56"/>
      <c r="AI284" s="56"/>
    </row>
    <row r="285" spans="1:35" x14ac:dyDescent="0.3">
      <c r="A285" s="45">
        <f t="shared" si="64"/>
        <v>238</v>
      </c>
      <c r="B285" s="414" t="s">
        <v>345</v>
      </c>
      <c r="C285" s="51">
        <f t="shared" si="66"/>
        <v>120421.86</v>
      </c>
      <c r="D285" s="51">
        <f t="shared" si="63"/>
        <v>0</v>
      </c>
      <c r="E285" s="51"/>
      <c r="F285" s="51"/>
      <c r="G285" s="51"/>
      <c r="H285" s="51"/>
      <c r="I285" s="51"/>
      <c r="J285" s="51"/>
      <c r="K285" s="51"/>
      <c r="L285" s="51"/>
      <c r="M285" s="35"/>
      <c r="N285" s="51"/>
      <c r="O285" s="82"/>
      <c r="P285" s="51"/>
      <c r="Q285" s="338"/>
      <c r="R285" s="51"/>
      <c r="S285" s="51"/>
      <c r="T285" s="338"/>
      <c r="U285" s="51"/>
      <c r="V285" s="35"/>
      <c r="W285" s="364">
        <f>SUM(X285:AI285)</f>
        <v>120421.86</v>
      </c>
      <c r="X285" s="141"/>
      <c r="Y285" s="48">
        <v>120421.86</v>
      </c>
      <c r="Z285" s="48"/>
      <c r="AA285" s="48"/>
      <c r="AB285" s="48"/>
      <c r="AC285" s="48"/>
      <c r="AD285" s="48"/>
      <c r="AE285" s="61"/>
      <c r="AF285" s="62"/>
      <c r="AG285" s="62"/>
      <c r="AH285" s="56"/>
      <c r="AI285" s="56"/>
    </row>
    <row r="286" spans="1:35" x14ac:dyDescent="0.3">
      <c r="A286" s="45">
        <f t="shared" si="64"/>
        <v>239</v>
      </c>
      <c r="B286" s="414" t="s">
        <v>346</v>
      </c>
      <c r="C286" s="51">
        <f t="shared" si="66"/>
        <v>90487.78</v>
      </c>
      <c r="D286" s="51">
        <f t="shared" si="63"/>
        <v>0</v>
      </c>
      <c r="E286" s="51"/>
      <c r="F286" s="51"/>
      <c r="G286" s="51"/>
      <c r="H286" s="51"/>
      <c r="I286" s="51"/>
      <c r="J286" s="51"/>
      <c r="K286" s="51"/>
      <c r="L286" s="51"/>
      <c r="M286" s="35"/>
      <c r="N286" s="51"/>
      <c r="O286" s="82"/>
      <c r="P286" s="51"/>
      <c r="Q286" s="338"/>
      <c r="R286" s="51"/>
      <c r="S286" s="51"/>
      <c r="T286" s="338"/>
      <c r="U286" s="51"/>
      <c r="V286" s="35"/>
      <c r="W286" s="364">
        <f>SUM(X286:AI286)</f>
        <v>90487.78</v>
      </c>
      <c r="X286" s="141"/>
      <c r="Y286" s="48">
        <v>90487.78</v>
      </c>
      <c r="Z286" s="48"/>
      <c r="AA286" s="48"/>
      <c r="AB286" s="48"/>
      <c r="AC286" s="48"/>
      <c r="AD286" s="48"/>
      <c r="AE286" s="61"/>
      <c r="AF286" s="62"/>
      <c r="AG286" s="62"/>
      <c r="AH286" s="56"/>
      <c r="AI286" s="56"/>
    </row>
    <row r="287" spans="1:35" x14ac:dyDescent="0.3">
      <c r="A287" s="45">
        <f t="shared" si="64"/>
        <v>240</v>
      </c>
      <c r="B287" s="414" t="s">
        <v>347</v>
      </c>
      <c r="C287" s="51">
        <f t="shared" si="66"/>
        <v>209056.82</v>
      </c>
      <c r="D287" s="51">
        <f t="shared" si="63"/>
        <v>0</v>
      </c>
      <c r="E287" s="51"/>
      <c r="F287" s="51"/>
      <c r="G287" s="51"/>
      <c r="H287" s="51"/>
      <c r="I287" s="51"/>
      <c r="J287" s="51"/>
      <c r="K287" s="51"/>
      <c r="L287" s="51"/>
      <c r="M287" s="35"/>
      <c r="N287" s="51"/>
      <c r="O287" s="82"/>
      <c r="P287" s="51"/>
      <c r="Q287" s="338"/>
      <c r="R287" s="51"/>
      <c r="S287" s="51"/>
      <c r="T287" s="338"/>
      <c r="U287" s="51"/>
      <c r="V287" s="35"/>
      <c r="W287" s="364">
        <f>SUM(X287:AI287)</f>
        <v>209056.82</v>
      </c>
      <c r="X287" s="141"/>
      <c r="Y287" s="48"/>
      <c r="Z287" s="48"/>
      <c r="AA287" s="48"/>
      <c r="AB287" s="48"/>
      <c r="AC287" s="48"/>
      <c r="AD287" s="48">
        <v>209056.82</v>
      </c>
      <c r="AE287" s="61"/>
      <c r="AF287" s="62"/>
      <c r="AG287" s="62"/>
      <c r="AH287" s="56"/>
      <c r="AI287" s="56"/>
    </row>
    <row r="288" spans="1:35" x14ac:dyDescent="0.3">
      <c r="A288" s="45">
        <f t="shared" si="64"/>
        <v>241</v>
      </c>
      <c r="B288" s="414" t="s">
        <v>348</v>
      </c>
      <c r="C288" s="51">
        <f t="shared" si="66"/>
        <v>160697.75</v>
      </c>
      <c r="D288" s="51">
        <f t="shared" ref="D288" si="67">E288+F288+G288+H288+I288</f>
        <v>0</v>
      </c>
      <c r="E288" s="51"/>
      <c r="F288" s="51"/>
      <c r="G288" s="51"/>
      <c r="H288" s="51"/>
      <c r="I288" s="51"/>
      <c r="J288" s="51"/>
      <c r="K288" s="51"/>
      <c r="L288" s="51"/>
      <c r="M288" s="35"/>
      <c r="N288" s="51"/>
      <c r="O288" s="82"/>
      <c r="P288" s="51"/>
      <c r="Q288" s="338"/>
      <c r="R288" s="51"/>
      <c r="S288" s="51"/>
      <c r="T288" s="338"/>
      <c r="U288" s="51"/>
      <c r="V288" s="35"/>
      <c r="W288" s="364">
        <f>SUM(X288:AI288)</f>
        <v>160697.75</v>
      </c>
      <c r="X288" s="141"/>
      <c r="Y288" s="48"/>
      <c r="Z288" s="48"/>
      <c r="AA288" s="48"/>
      <c r="AB288" s="48"/>
      <c r="AC288" s="48"/>
      <c r="AD288" s="48"/>
      <c r="AE288" s="61"/>
      <c r="AF288" s="62"/>
      <c r="AG288" s="62">
        <v>160697.75</v>
      </c>
      <c r="AH288" s="56"/>
      <c r="AI288" s="56"/>
    </row>
    <row r="289" spans="1:35" x14ac:dyDescent="0.3">
      <c r="A289" s="45">
        <f t="shared" si="64"/>
        <v>242</v>
      </c>
      <c r="B289" s="414" t="s">
        <v>356</v>
      </c>
      <c r="C289" s="51">
        <f t="shared" si="66"/>
        <v>10888231</v>
      </c>
      <c r="D289" s="51">
        <f t="shared" ref="D289:D320" si="68">E289+F289+G289+H289+I289</f>
        <v>0</v>
      </c>
      <c r="E289" s="51"/>
      <c r="F289" s="51"/>
      <c r="G289" s="51"/>
      <c r="H289" s="51"/>
      <c r="I289" s="51"/>
      <c r="J289" s="51"/>
      <c r="K289" s="51"/>
      <c r="L289" s="51"/>
      <c r="M289" s="35"/>
      <c r="N289" s="51"/>
      <c r="O289" s="82">
        <v>407</v>
      </c>
      <c r="P289" s="51">
        <f>O289*26433</f>
        <v>10758231</v>
      </c>
      <c r="Q289" s="338"/>
      <c r="R289" s="51"/>
      <c r="S289" s="51"/>
      <c r="T289" s="338"/>
      <c r="U289" s="51"/>
      <c r="V289" s="35"/>
      <c r="W289" s="364">
        <v>130000</v>
      </c>
      <c r="X289" s="141"/>
      <c r="Y289" s="48"/>
      <c r="Z289" s="48"/>
      <c r="AA289" s="48"/>
      <c r="AB289" s="48"/>
      <c r="AC289" s="48"/>
      <c r="AD289" s="48"/>
      <c r="AE289" s="61"/>
      <c r="AF289" s="62"/>
      <c r="AG289" s="62"/>
      <c r="AH289" s="56"/>
      <c r="AI289" s="56"/>
    </row>
    <row r="290" spans="1:35" x14ac:dyDescent="0.3">
      <c r="A290" s="45">
        <f t="shared" si="64"/>
        <v>243</v>
      </c>
      <c r="B290" s="414" t="s">
        <v>359</v>
      </c>
      <c r="C290" s="51">
        <f t="shared" si="66"/>
        <v>194502.40000000002</v>
      </c>
      <c r="D290" s="51">
        <f t="shared" si="68"/>
        <v>0</v>
      </c>
      <c r="E290" s="51"/>
      <c r="F290" s="51"/>
      <c r="G290" s="51"/>
      <c r="H290" s="51"/>
      <c r="I290" s="51"/>
      <c r="J290" s="51"/>
      <c r="K290" s="51"/>
      <c r="L290" s="51"/>
      <c r="M290" s="35"/>
      <c r="N290" s="51"/>
      <c r="O290" s="82"/>
      <c r="P290" s="51"/>
      <c r="Q290" s="338"/>
      <c r="R290" s="51"/>
      <c r="S290" s="51"/>
      <c r="T290" s="338"/>
      <c r="U290" s="51"/>
      <c r="V290" s="35"/>
      <c r="W290" s="364">
        <f>SUM(X290:AI290)</f>
        <v>194502.40000000002</v>
      </c>
      <c r="X290" s="141"/>
      <c r="Y290" s="48"/>
      <c r="Z290" s="48">
        <v>39077.93</v>
      </c>
      <c r="AA290" s="48"/>
      <c r="AB290" s="48">
        <v>30890.51</v>
      </c>
      <c r="AC290" s="48"/>
      <c r="AD290" s="48">
        <v>124533.96</v>
      </c>
      <c r="AE290" s="61"/>
      <c r="AF290" s="62"/>
      <c r="AG290" s="62"/>
      <c r="AH290" s="56"/>
      <c r="AI290" s="56"/>
    </row>
    <row r="291" spans="1:35" x14ac:dyDescent="0.3">
      <c r="A291" s="45">
        <f t="shared" si="64"/>
        <v>244</v>
      </c>
      <c r="B291" s="414" t="s">
        <v>360</v>
      </c>
      <c r="C291" s="51">
        <f t="shared" si="66"/>
        <v>130000</v>
      </c>
      <c r="D291" s="51">
        <f t="shared" si="68"/>
        <v>0</v>
      </c>
      <c r="E291" s="51"/>
      <c r="F291" s="51"/>
      <c r="G291" s="51"/>
      <c r="H291" s="51"/>
      <c r="I291" s="51"/>
      <c r="J291" s="51"/>
      <c r="K291" s="51"/>
      <c r="L291" s="51"/>
      <c r="M291" s="35"/>
      <c r="N291" s="51"/>
      <c r="O291" s="82"/>
      <c r="P291" s="51"/>
      <c r="Q291" s="338"/>
      <c r="R291" s="51"/>
      <c r="S291" s="51"/>
      <c r="T291" s="338"/>
      <c r="U291" s="51"/>
      <c r="V291" s="35"/>
      <c r="W291" s="364">
        <v>130000</v>
      </c>
      <c r="X291" s="141"/>
      <c r="Y291" s="48"/>
      <c r="Z291" s="48"/>
      <c r="AA291" s="48"/>
      <c r="AB291" s="48"/>
      <c r="AC291" s="48"/>
      <c r="AD291" s="48"/>
      <c r="AE291" s="61"/>
      <c r="AF291" s="62"/>
      <c r="AG291" s="62"/>
      <c r="AH291" s="56"/>
      <c r="AI291" s="56"/>
    </row>
    <row r="292" spans="1:35" x14ac:dyDescent="0.3">
      <c r="A292" s="45">
        <f t="shared" si="64"/>
        <v>245</v>
      </c>
      <c r="B292" s="414" t="s">
        <v>361</v>
      </c>
      <c r="C292" s="51">
        <f t="shared" si="66"/>
        <v>233269.6</v>
      </c>
      <c r="D292" s="51">
        <f t="shared" si="68"/>
        <v>0</v>
      </c>
      <c r="E292" s="51"/>
      <c r="F292" s="51"/>
      <c r="G292" s="51"/>
      <c r="H292" s="51"/>
      <c r="I292" s="51"/>
      <c r="J292" s="51"/>
      <c r="K292" s="51"/>
      <c r="L292" s="51"/>
      <c r="M292" s="35"/>
      <c r="N292" s="51"/>
      <c r="O292" s="82"/>
      <c r="P292" s="51"/>
      <c r="Q292" s="338"/>
      <c r="R292" s="51"/>
      <c r="S292" s="51"/>
      <c r="T292" s="338"/>
      <c r="U292" s="51"/>
      <c r="V292" s="35"/>
      <c r="W292" s="364">
        <f t="shared" ref="W292:W298" si="69">SUM(X292:AI292)</f>
        <v>233269.6</v>
      </c>
      <c r="X292" s="141"/>
      <c r="Y292" s="48"/>
      <c r="Z292" s="48"/>
      <c r="AA292" s="48"/>
      <c r="AB292" s="48"/>
      <c r="AC292" s="48"/>
      <c r="AD292" s="48">
        <v>233269.6</v>
      </c>
      <c r="AE292" s="61"/>
      <c r="AF292" s="62"/>
      <c r="AG292" s="62"/>
      <c r="AH292" s="56"/>
      <c r="AI292" s="56"/>
    </row>
    <row r="293" spans="1:35" x14ac:dyDescent="0.3">
      <c r="A293" s="45">
        <f t="shared" si="64"/>
        <v>246</v>
      </c>
      <c r="B293" s="414" t="s">
        <v>362</v>
      </c>
      <c r="C293" s="51">
        <f t="shared" si="66"/>
        <v>1557287.64</v>
      </c>
      <c r="D293" s="51">
        <f t="shared" si="68"/>
        <v>0</v>
      </c>
      <c r="E293" s="51"/>
      <c r="F293" s="51"/>
      <c r="G293" s="51"/>
      <c r="H293" s="51"/>
      <c r="I293" s="51"/>
      <c r="J293" s="51"/>
      <c r="K293" s="51"/>
      <c r="L293" s="51"/>
      <c r="M293" s="35">
        <v>175.76</v>
      </c>
      <c r="N293" s="51">
        <f>M293*8094</f>
        <v>1422601.44</v>
      </c>
      <c r="O293" s="82"/>
      <c r="P293" s="51"/>
      <c r="Q293" s="338"/>
      <c r="R293" s="51"/>
      <c r="S293" s="51"/>
      <c r="T293" s="338"/>
      <c r="U293" s="51"/>
      <c r="V293" s="35"/>
      <c r="W293" s="364">
        <f t="shared" si="69"/>
        <v>134686.20000000001</v>
      </c>
      <c r="X293" s="141"/>
      <c r="Y293" s="48"/>
      <c r="Z293" s="48">
        <v>76772.399999999994</v>
      </c>
      <c r="AA293" s="48"/>
      <c r="AB293" s="48"/>
      <c r="AC293" s="48">
        <v>57913.8</v>
      </c>
      <c r="AD293" s="48"/>
      <c r="AE293" s="61"/>
      <c r="AF293" s="62"/>
      <c r="AG293" s="62"/>
      <c r="AH293" s="56"/>
      <c r="AI293" s="56"/>
    </row>
    <row r="294" spans="1:35" x14ac:dyDescent="0.3">
      <c r="A294" s="45">
        <f t="shared" si="64"/>
        <v>247</v>
      </c>
      <c r="B294" s="414" t="s">
        <v>363</v>
      </c>
      <c r="C294" s="51">
        <f t="shared" si="66"/>
        <v>259520.03</v>
      </c>
      <c r="D294" s="51">
        <f t="shared" si="68"/>
        <v>0</v>
      </c>
      <c r="E294" s="51"/>
      <c r="F294" s="51"/>
      <c r="G294" s="51"/>
      <c r="H294" s="51"/>
      <c r="I294" s="51"/>
      <c r="J294" s="51"/>
      <c r="K294" s="51"/>
      <c r="L294" s="51"/>
      <c r="M294" s="35"/>
      <c r="N294" s="51"/>
      <c r="O294" s="82"/>
      <c r="P294" s="51"/>
      <c r="Q294" s="338"/>
      <c r="R294" s="51"/>
      <c r="S294" s="51"/>
      <c r="T294" s="338"/>
      <c r="U294" s="51"/>
      <c r="V294" s="35"/>
      <c r="W294" s="364">
        <f t="shared" si="69"/>
        <v>259520.03</v>
      </c>
      <c r="X294" s="141"/>
      <c r="Y294" s="48">
        <v>103035.41</v>
      </c>
      <c r="Z294" s="48"/>
      <c r="AA294" s="48"/>
      <c r="AB294" s="48"/>
      <c r="AC294" s="48"/>
      <c r="AD294" s="48"/>
      <c r="AE294" s="61">
        <v>156484.62</v>
      </c>
      <c r="AF294" s="62"/>
      <c r="AG294" s="62"/>
      <c r="AH294" s="56"/>
      <c r="AI294" s="56"/>
    </row>
    <row r="295" spans="1:35" x14ac:dyDescent="0.3">
      <c r="A295" s="45">
        <f t="shared" si="64"/>
        <v>248</v>
      </c>
      <c r="B295" s="414" t="s">
        <v>364</v>
      </c>
      <c r="C295" s="51">
        <f t="shared" si="66"/>
        <v>347916.94999999995</v>
      </c>
      <c r="D295" s="51">
        <f t="shared" si="68"/>
        <v>0</v>
      </c>
      <c r="E295" s="51"/>
      <c r="F295" s="51"/>
      <c r="G295" s="51"/>
      <c r="H295" s="51"/>
      <c r="I295" s="51"/>
      <c r="J295" s="51"/>
      <c r="K295" s="51"/>
      <c r="L295" s="51"/>
      <c r="M295" s="35"/>
      <c r="N295" s="51"/>
      <c r="O295" s="82"/>
      <c r="P295" s="51"/>
      <c r="Q295" s="338"/>
      <c r="R295" s="51"/>
      <c r="S295" s="51"/>
      <c r="T295" s="338"/>
      <c r="U295" s="51"/>
      <c r="V295" s="35"/>
      <c r="W295" s="364">
        <f t="shared" si="69"/>
        <v>347916.94999999995</v>
      </c>
      <c r="X295" s="141"/>
      <c r="Y295" s="48"/>
      <c r="Z295" s="48"/>
      <c r="AA295" s="48"/>
      <c r="AB295" s="48"/>
      <c r="AC295" s="48"/>
      <c r="AD295" s="48">
        <v>191432.33</v>
      </c>
      <c r="AE295" s="61">
        <v>156484.62</v>
      </c>
      <c r="AF295" s="62"/>
      <c r="AG295" s="62"/>
      <c r="AH295" s="56"/>
      <c r="AI295" s="56"/>
    </row>
    <row r="296" spans="1:35" x14ac:dyDescent="0.3">
      <c r="A296" s="45">
        <f t="shared" si="64"/>
        <v>249</v>
      </c>
      <c r="B296" s="414" t="s">
        <v>365</v>
      </c>
      <c r="C296" s="51">
        <f t="shared" si="66"/>
        <v>347916.94999999995</v>
      </c>
      <c r="D296" s="51">
        <f t="shared" si="68"/>
        <v>0</v>
      </c>
      <c r="E296" s="51"/>
      <c r="F296" s="51"/>
      <c r="G296" s="51"/>
      <c r="H296" s="51"/>
      <c r="I296" s="51"/>
      <c r="J296" s="51"/>
      <c r="K296" s="51"/>
      <c r="L296" s="51"/>
      <c r="M296" s="35"/>
      <c r="N296" s="51"/>
      <c r="O296" s="82"/>
      <c r="P296" s="51"/>
      <c r="Q296" s="338"/>
      <c r="R296" s="51"/>
      <c r="S296" s="51"/>
      <c r="T296" s="338"/>
      <c r="U296" s="51"/>
      <c r="V296" s="35"/>
      <c r="W296" s="364">
        <f t="shared" si="69"/>
        <v>347916.94999999995</v>
      </c>
      <c r="X296" s="141"/>
      <c r="Y296" s="48"/>
      <c r="Z296" s="48"/>
      <c r="AA296" s="48"/>
      <c r="AB296" s="48"/>
      <c r="AC296" s="48"/>
      <c r="AD296" s="48">
        <v>191432.33</v>
      </c>
      <c r="AE296" s="61">
        <v>156484.62</v>
      </c>
      <c r="AF296" s="62"/>
      <c r="AG296" s="62"/>
      <c r="AH296" s="56"/>
      <c r="AI296" s="56"/>
    </row>
    <row r="297" spans="1:35" x14ac:dyDescent="0.3">
      <c r="A297" s="45">
        <f t="shared" si="64"/>
        <v>250</v>
      </c>
      <c r="B297" s="414" t="s">
        <v>366</v>
      </c>
      <c r="C297" s="51">
        <f t="shared" si="66"/>
        <v>347916.94999999995</v>
      </c>
      <c r="D297" s="51">
        <f t="shared" si="68"/>
        <v>0</v>
      </c>
      <c r="E297" s="51"/>
      <c r="F297" s="51"/>
      <c r="G297" s="51"/>
      <c r="H297" s="51"/>
      <c r="I297" s="51"/>
      <c r="J297" s="51"/>
      <c r="K297" s="51"/>
      <c r="L297" s="51"/>
      <c r="M297" s="35"/>
      <c r="N297" s="51"/>
      <c r="O297" s="82"/>
      <c r="P297" s="51"/>
      <c r="Q297" s="338"/>
      <c r="R297" s="51"/>
      <c r="S297" s="51"/>
      <c r="T297" s="338"/>
      <c r="U297" s="51"/>
      <c r="V297" s="35"/>
      <c r="W297" s="364">
        <f t="shared" si="69"/>
        <v>347916.94999999995</v>
      </c>
      <c r="X297" s="141"/>
      <c r="Y297" s="48"/>
      <c r="Z297" s="48"/>
      <c r="AA297" s="48"/>
      <c r="AB297" s="48"/>
      <c r="AC297" s="48"/>
      <c r="AD297" s="48">
        <v>191432.33</v>
      </c>
      <c r="AE297" s="61">
        <v>156484.62</v>
      </c>
      <c r="AF297" s="62"/>
      <c r="AG297" s="62"/>
      <c r="AH297" s="56"/>
      <c r="AI297" s="56"/>
    </row>
    <row r="298" spans="1:35" x14ac:dyDescent="0.3">
      <c r="A298" s="45">
        <f t="shared" si="64"/>
        <v>251</v>
      </c>
      <c r="B298" s="414" t="s">
        <v>367</v>
      </c>
      <c r="C298" s="51">
        <f t="shared" si="66"/>
        <v>347916.94999999995</v>
      </c>
      <c r="D298" s="51">
        <f t="shared" si="68"/>
        <v>0</v>
      </c>
      <c r="E298" s="51"/>
      <c r="F298" s="51"/>
      <c r="G298" s="51"/>
      <c r="H298" s="51"/>
      <c r="I298" s="51"/>
      <c r="J298" s="51"/>
      <c r="K298" s="51"/>
      <c r="L298" s="51"/>
      <c r="M298" s="35"/>
      <c r="N298" s="51"/>
      <c r="O298" s="82"/>
      <c r="P298" s="51"/>
      <c r="Q298" s="338"/>
      <c r="R298" s="51"/>
      <c r="S298" s="51"/>
      <c r="T298" s="338"/>
      <c r="U298" s="51"/>
      <c r="V298" s="35"/>
      <c r="W298" s="364">
        <f t="shared" si="69"/>
        <v>347916.94999999995</v>
      </c>
      <c r="X298" s="141"/>
      <c r="Y298" s="48"/>
      <c r="Z298" s="48"/>
      <c r="AA298" s="48"/>
      <c r="AB298" s="48"/>
      <c r="AC298" s="48"/>
      <c r="AD298" s="48">
        <v>191432.33</v>
      </c>
      <c r="AE298" s="61">
        <v>156484.62</v>
      </c>
      <c r="AF298" s="62"/>
      <c r="AG298" s="62"/>
      <c r="AH298" s="56"/>
      <c r="AI298" s="56"/>
    </row>
    <row r="299" spans="1:35" x14ac:dyDescent="0.3">
      <c r="A299" s="45">
        <f t="shared" si="64"/>
        <v>252</v>
      </c>
      <c r="B299" s="414" t="s">
        <v>368</v>
      </c>
      <c r="C299" s="51">
        <f t="shared" si="66"/>
        <v>130000</v>
      </c>
      <c r="D299" s="51">
        <f t="shared" si="68"/>
        <v>0</v>
      </c>
      <c r="E299" s="51"/>
      <c r="F299" s="51"/>
      <c r="G299" s="51"/>
      <c r="H299" s="51"/>
      <c r="I299" s="51"/>
      <c r="J299" s="51"/>
      <c r="K299" s="51"/>
      <c r="L299" s="51"/>
      <c r="M299" s="35"/>
      <c r="N299" s="51"/>
      <c r="O299" s="82"/>
      <c r="P299" s="51"/>
      <c r="Q299" s="338"/>
      <c r="R299" s="51"/>
      <c r="S299" s="51"/>
      <c r="T299" s="338"/>
      <c r="U299" s="51"/>
      <c r="V299" s="35"/>
      <c r="W299" s="364">
        <v>130000</v>
      </c>
      <c r="X299" s="141"/>
      <c r="Y299" s="48"/>
      <c r="Z299" s="48"/>
      <c r="AA299" s="48"/>
      <c r="AB299" s="48"/>
      <c r="AC299" s="48"/>
      <c r="AD299" s="48"/>
      <c r="AE299" s="61"/>
      <c r="AF299" s="62"/>
      <c r="AG299" s="62"/>
      <c r="AH299" s="56"/>
      <c r="AI299" s="56"/>
    </row>
    <row r="300" spans="1:35" x14ac:dyDescent="0.3">
      <c r="A300" s="45">
        <f t="shared" si="64"/>
        <v>253</v>
      </c>
      <c r="B300" s="414" t="s">
        <v>369</v>
      </c>
      <c r="C300" s="51">
        <f t="shared" si="66"/>
        <v>1716234.7500000002</v>
      </c>
      <c r="D300" s="51">
        <f t="shared" si="68"/>
        <v>0</v>
      </c>
      <c r="E300" s="51"/>
      <c r="F300" s="51"/>
      <c r="G300" s="51"/>
      <c r="H300" s="51"/>
      <c r="I300" s="51"/>
      <c r="J300" s="51"/>
      <c r="K300" s="51"/>
      <c r="L300" s="51"/>
      <c r="M300" s="35">
        <v>183.3</v>
      </c>
      <c r="N300" s="51">
        <f>M300*8094</f>
        <v>1483630.2000000002</v>
      </c>
      <c r="O300" s="82"/>
      <c r="P300" s="51"/>
      <c r="Q300" s="338"/>
      <c r="R300" s="51"/>
      <c r="S300" s="51"/>
      <c r="T300" s="338"/>
      <c r="U300" s="51"/>
      <c r="V300" s="35"/>
      <c r="W300" s="364">
        <f>SUM(X300:AI300)</f>
        <v>232604.55</v>
      </c>
      <c r="X300" s="141"/>
      <c r="Y300" s="48"/>
      <c r="Z300" s="48">
        <v>89970.66</v>
      </c>
      <c r="AA300" s="48"/>
      <c r="AB300" s="48">
        <v>72374.710000000006</v>
      </c>
      <c r="AC300" s="48">
        <v>70259.179999999993</v>
      </c>
      <c r="AD300" s="48"/>
      <c r="AE300" s="61"/>
      <c r="AF300" s="62"/>
      <c r="AG300" s="62"/>
      <c r="AH300" s="56"/>
      <c r="AI300" s="56"/>
    </row>
    <row r="301" spans="1:35" x14ac:dyDescent="0.3">
      <c r="A301" s="45">
        <f t="shared" si="64"/>
        <v>254</v>
      </c>
      <c r="B301" s="414" t="s">
        <v>370</v>
      </c>
      <c r="C301" s="51">
        <f t="shared" si="66"/>
        <v>130000</v>
      </c>
      <c r="D301" s="51">
        <f t="shared" si="68"/>
        <v>0</v>
      </c>
      <c r="E301" s="51"/>
      <c r="F301" s="51"/>
      <c r="G301" s="51"/>
      <c r="H301" s="51"/>
      <c r="I301" s="51"/>
      <c r="J301" s="51"/>
      <c r="K301" s="51"/>
      <c r="L301" s="51"/>
      <c r="M301" s="35"/>
      <c r="N301" s="51"/>
      <c r="O301" s="82"/>
      <c r="P301" s="51"/>
      <c r="Q301" s="338"/>
      <c r="R301" s="51"/>
      <c r="S301" s="51"/>
      <c r="T301" s="338"/>
      <c r="U301" s="51"/>
      <c r="V301" s="35"/>
      <c r="W301" s="364">
        <v>130000</v>
      </c>
      <c r="X301" s="141"/>
      <c r="Y301" s="48"/>
      <c r="Z301" s="48"/>
      <c r="AA301" s="48"/>
      <c r="AB301" s="48"/>
      <c r="AC301" s="48"/>
      <c r="AD301" s="48"/>
      <c r="AE301" s="187"/>
      <c r="AF301" s="48"/>
      <c r="AG301" s="48"/>
      <c r="AH301" s="56"/>
      <c r="AI301" s="56"/>
    </row>
    <row r="302" spans="1:35" x14ac:dyDescent="0.3">
      <c r="A302" s="45">
        <f t="shared" si="64"/>
        <v>255</v>
      </c>
      <c r="B302" s="414" t="s">
        <v>372</v>
      </c>
      <c r="C302" s="51">
        <f t="shared" si="66"/>
        <v>3569213.82</v>
      </c>
      <c r="D302" s="51">
        <f t="shared" si="68"/>
        <v>0</v>
      </c>
      <c r="E302" s="51"/>
      <c r="F302" s="51"/>
      <c r="G302" s="51"/>
      <c r="H302" s="51"/>
      <c r="I302" s="51"/>
      <c r="J302" s="51"/>
      <c r="K302" s="51"/>
      <c r="L302" s="51"/>
      <c r="M302" s="35">
        <v>354.2</v>
      </c>
      <c r="N302" s="51">
        <f>M302*8094</f>
        <v>2866894.8</v>
      </c>
      <c r="O302" s="82"/>
      <c r="P302" s="51"/>
      <c r="Q302" s="338"/>
      <c r="R302" s="51"/>
      <c r="S302" s="51"/>
      <c r="T302" s="338"/>
      <c r="U302" s="51"/>
      <c r="V302" s="35"/>
      <c r="W302" s="364">
        <f>SUM(X302:AI302)</f>
        <v>702319.02</v>
      </c>
      <c r="X302" s="141"/>
      <c r="Y302" s="308">
        <v>117743.63</v>
      </c>
      <c r="Z302" s="308">
        <v>139862.18</v>
      </c>
      <c r="AA302" s="308"/>
      <c r="AB302" s="308">
        <v>118924.98</v>
      </c>
      <c r="AC302" s="308">
        <v>115058.62</v>
      </c>
      <c r="AD302" s="308">
        <v>210729.61</v>
      </c>
      <c r="AE302" s="309"/>
      <c r="AF302" s="308"/>
      <c r="AG302" s="308"/>
      <c r="AH302" s="56"/>
      <c r="AI302" s="56"/>
    </row>
    <row r="303" spans="1:35" x14ac:dyDescent="0.3">
      <c r="A303" s="45">
        <f t="shared" si="64"/>
        <v>256</v>
      </c>
      <c r="B303" s="414" t="s">
        <v>373</v>
      </c>
      <c r="C303" s="51">
        <f t="shared" si="66"/>
        <v>263850.05</v>
      </c>
      <c r="D303" s="51">
        <f t="shared" si="68"/>
        <v>0</v>
      </c>
      <c r="E303" s="51"/>
      <c r="F303" s="51"/>
      <c r="G303" s="51"/>
      <c r="H303" s="51"/>
      <c r="I303" s="51"/>
      <c r="J303" s="51"/>
      <c r="K303" s="51"/>
      <c r="L303" s="51"/>
      <c r="M303" s="35"/>
      <c r="N303" s="51"/>
      <c r="O303" s="82"/>
      <c r="P303" s="51"/>
      <c r="Q303" s="338"/>
      <c r="R303" s="51"/>
      <c r="S303" s="51"/>
      <c r="T303" s="338"/>
      <c r="U303" s="51"/>
      <c r="V303" s="35"/>
      <c r="W303" s="364">
        <f>SUM(X303:AI303)</f>
        <v>263850.05</v>
      </c>
      <c r="X303" s="141"/>
      <c r="Y303" s="308">
        <v>87623.45</v>
      </c>
      <c r="Z303" s="308"/>
      <c r="AA303" s="308"/>
      <c r="AB303" s="308">
        <v>89402.7</v>
      </c>
      <c r="AC303" s="308">
        <v>86823.9</v>
      </c>
      <c r="AD303" s="308"/>
      <c r="AE303" s="309"/>
      <c r="AF303" s="308"/>
      <c r="AG303" s="308"/>
      <c r="AH303" s="56"/>
      <c r="AI303" s="56"/>
    </row>
    <row r="304" spans="1:35" x14ac:dyDescent="0.3">
      <c r="A304" s="45">
        <f t="shared" si="64"/>
        <v>257</v>
      </c>
      <c r="B304" s="414" t="s">
        <v>374</v>
      </c>
      <c r="C304" s="51">
        <f t="shared" si="66"/>
        <v>422653.78</v>
      </c>
      <c r="D304" s="51">
        <f t="shared" si="68"/>
        <v>0</v>
      </c>
      <c r="E304" s="51"/>
      <c r="F304" s="51"/>
      <c r="G304" s="51"/>
      <c r="H304" s="51"/>
      <c r="I304" s="51"/>
      <c r="J304" s="51"/>
      <c r="K304" s="51"/>
      <c r="L304" s="51"/>
      <c r="M304" s="35"/>
      <c r="N304" s="51"/>
      <c r="O304" s="82"/>
      <c r="P304" s="51"/>
      <c r="Q304" s="338"/>
      <c r="R304" s="51"/>
      <c r="S304" s="51"/>
      <c r="T304" s="338"/>
      <c r="U304" s="51"/>
      <c r="V304" s="35"/>
      <c r="W304" s="364">
        <f>SUM(X304:AI304)</f>
        <v>422653.78</v>
      </c>
      <c r="X304" s="141"/>
      <c r="Y304" s="308"/>
      <c r="Z304" s="357">
        <v>101442.22</v>
      </c>
      <c r="AA304" s="308"/>
      <c r="AB304" s="357">
        <v>81728.28</v>
      </c>
      <c r="AC304" s="358">
        <v>81728.28</v>
      </c>
      <c r="AD304" s="357">
        <v>157755</v>
      </c>
      <c r="AE304" s="309"/>
      <c r="AF304" s="308"/>
      <c r="AG304" s="358"/>
      <c r="AH304" s="56"/>
      <c r="AI304" s="56"/>
    </row>
    <row r="305" spans="1:35" x14ac:dyDescent="0.3">
      <c r="A305" s="45">
        <f t="shared" si="64"/>
        <v>258</v>
      </c>
      <c r="B305" s="414" t="s">
        <v>375</v>
      </c>
      <c r="C305" s="51">
        <f t="shared" si="66"/>
        <v>2670334</v>
      </c>
      <c r="D305" s="51">
        <f t="shared" si="68"/>
        <v>0</v>
      </c>
      <c r="E305" s="51"/>
      <c r="F305" s="51"/>
      <c r="G305" s="51"/>
      <c r="H305" s="51"/>
      <c r="I305" s="51"/>
      <c r="J305" s="51"/>
      <c r="K305" s="51"/>
      <c r="L305" s="51"/>
      <c r="M305" s="35">
        <v>345.8</v>
      </c>
      <c r="N305" s="51">
        <v>2540334</v>
      </c>
      <c r="O305" s="82"/>
      <c r="P305" s="51"/>
      <c r="Q305" s="338"/>
      <c r="R305" s="51"/>
      <c r="S305" s="51"/>
      <c r="T305" s="338"/>
      <c r="U305" s="51"/>
      <c r="V305" s="35"/>
      <c r="W305" s="364">
        <v>130000</v>
      </c>
      <c r="X305" s="141"/>
      <c r="Y305" s="308"/>
      <c r="Z305" s="308"/>
      <c r="AA305" s="308"/>
      <c r="AB305" s="308"/>
      <c r="AC305" s="308"/>
      <c r="AD305" s="308"/>
      <c r="AE305" s="309"/>
      <c r="AF305" s="308"/>
      <c r="AG305" s="308"/>
      <c r="AH305" s="56"/>
      <c r="AI305" s="56"/>
    </row>
    <row r="306" spans="1:35" x14ac:dyDescent="0.3">
      <c r="A306" s="45">
        <f t="shared" si="64"/>
        <v>259</v>
      </c>
      <c r="B306" s="414" t="s">
        <v>376</v>
      </c>
      <c r="C306" s="51">
        <f t="shared" si="66"/>
        <v>413472.47</v>
      </c>
      <c r="D306" s="51">
        <f t="shared" si="68"/>
        <v>0</v>
      </c>
      <c r="E306" s="51"/>
      <c r="F306" s="51"/>
      <c r="G306" s="51"/>
      <c r="H306" s="51"/>
      <c r="I306" s="51"/>
      <c r="J306" s="51"/>
      <c r="K306" s="51"/>
      <c r="L306" s="51"/>
      <c r="M306" s="35"/>
      <c r="N306" s="51"/>
      <c r="O306" s="82"/>
      <c r="P306" s="51"/>
      <c r="Q306" s="338"/>
      <c r="R306" s="51"/>
      <c r="S306" s="51"/>
      <c r="T306" s="338"/>
      <c r="U306" s="51"/>
      <c r="V306" s="35"/>
      <c r="W306" s="364">
        <f>SUM(X306:AI306)</f>
        <v>413472.47</v>
      </c>
      <c r="X306" s="141"/>
      <c r="Y306" s="358">
        <v>223356.07</v>
      </c>
      <c r="Z306" s="308"/>
      <c r="AA306" s="308"/>
      <c r="AB306" s="308"/>
      <c r="AC306" s="308"/>
      <c r="AD306" s="308"/>
      <c r="AE306" s="357">
        <v>190116.4</v>
      </c>
      <c r="AF306" s="308"/>
      <c r="AG306" s="308"/>
      <c r="AH306" s="56"/>
      <c r="AI306" s="56"/>
    </row>
    <row r="307" spans="1:35" x14ac:dyDescent="0.3">
      <c r="A307" s="45">
        <f t="shared" si="64"/>
        <v>260</v>
      </c>
      <c r="B307" s="414" t="s">
        <v>377</v>
      </c>
      <c r="C307" s="51">
        <f t="shared" si="66"/>
        <v>2600715</v>
      </c>
      <c r="D307" s="51">
        <f t="shared" si="68"/>
        <v>2470715</v>
      </c>
      <c r="E307" s="51">
        <f>(358323*1)+2688*80</f>
        <v>573363</v>
      </c>
      <c r="F307" s="51">
        <f>170.5*5502+1*607361</f>
        <v>1545452</v>
      </c>
      <c r="G307" s="51">
        <f>3910*90</f>
        <v>351900</v>
      </c>
      <c r="H307" s="51"/>
      <c r="I307" s="51"/>
      <c r="J307" s="51"/>
      <c r="K307" s="51"/>
      <c r="L307" s="51"/>
      <c r="M307" s="35"/>
      <c r="N307" s="51"/>
      <c r="O307" s="82"/>
      <c r="P307" s="51"/>
      <c r="Q307" s="338"/>
      <c r="R307" s="51"/>
      <c r="S307" s="51"/>
      <c r="T307" s="338"/>
      <c r="U307" s="51"/>
      <c r="V307" s="35"/>
      <c r="W307" s="364">
        <v>130000</v>
      </c>
      <c r="X307" s="141"/>
      <c r="Y307" s="308"/>
      <c r="Z307" s="308"/>
      <c r="AA307" s="308"/>
      <c r="AB307" s="308"/>
      <c r="AC307" s="308"/>
      <c r="AD307" s="308"/>
      <c r="AE307" s="309"/>
      <c r="AF307" s="308"/>
      <c r="AG307" s="308"/>
      <c r="AH307" s="56"/>
      <c r="AI307" s="56"/>
    </row>
    <row r="308" spans="1:35" x14ac:dyDescent="0.3">
      <c r="A308" s="45">
        <f t="shared" si="64"/>
        <v>261</v>
      </c>
      <c r="B308" s="414" t="s">
        <v>378</v>
      </c>
      <c r="C308" s="51">
        <f t="shared" si="66"/>
        <v>8087871.8299999991</v>
      </c>
      <c r="D308" s="51">
        <f t="shared" si="68"/>
        <v>2363066.6</v>
      </c>
      <c r="E308" s="51">
        <f>(358323*1)+2688*80</f>
        <v>573363</v>
      </c>
      <c r="F308" s="51">
        <f>163.3*5502+1*607361</f>
        <v>1505837.6</v>
      </c>
      <c r="G308" s="51">
        <f>3910*72.6</f>
        <v>283866</v>
      </c>
      <c r="H308" s="51"/>
      <c r="I308" s="51"/>
      <c r="J308" s="51"/>
      <c r="K308" s="51"/>
      <c r="L308" s="51"/>
      <c r="M308" s="35">
        <v>677.3</v>
      </c>
      <c r="N308" s="51">
        <f>M308*8094</f>
        <v>5482066.1999999993</v>
      </c>
      <c r="O308" s="82"/>
      <c r="P308" s="51"/>
      <c r="Q308" s="338"/>
      <c r="R308" s="51"/>
      <c r="S308" s="51"/>
      <c r="T308" s="338"/>
      <c r="U308" s="51"/>
      <c r="V308" s="35"/>
      <c r="W308" s="364">
        <f>SUM(X308:AI308)</f>
        <v>242739.02999999997</v>
      </c>
      <c r="X308" s="141"/>
      <c r="Y308" s="308"/>
      <c r="Z308" s="357">
        <v>93895.43</v>
      </c>
      <c r="AA308" s="308"/>
      <c r="AB308" s="358">
        <v>74421.8</v>
      </c>
      <c r="AC308" s="357">
        <v>74421.8</v>
      </c>
      <c r="AD308" s="308"/>
      <c r="AE308" s="309"/>
      <c r="AF308" s="358"/>
      <c r="AG308" s="308"/>
      <c r="AH308" s="56" t="s">
        <v>379</v>
      </c>
      <c r="AI308" s="56"/>
    </row>
    <row r="309" spans="1:35" x14ac:dyDescent="0.3">
      <c r="A309" s="45">
        <f t="shared" si="64"/>
        <v>262</v>
      </c>
      <c r="B309" s="414" t="s">
        <v>380</v>
      </c>
      <c r="C309" s="51">
        <f t="shared" si="66"/>
        <v>130000</v>
      </c>
      <c r="D309" s="51">
        <f t="shared" si="68"/>
        <v>0</v>
      </c>
      <c r="E309" s="51"/>
      <c r="F309" s="51"/>
      <c r="G309" s="51"/>
      <c r="H309" s="51"/>
      <c r="I309" s="51"/>
      <c r="J309" s="51"/>
      <c r="K309" s="51"/>
      <c r="L309" s="51"/>
      <c r="M309" s="35"/>
      <c r="N309" s="51"/>
      <c r="O309" s="82"/>
      <c r="P309" s="51"/>
      <c r="Q309" s="338"/>
      <c r="R309" s="51"/>
      <c r="S309" s="51"/>
      <c r="T309" s="338"/>
      <c r="U309" s="51"/>
      <c r="V309" s="35"/>
      <c r="W309" s="364">
        <v>130000</v>
      </c>
      <c r="X309" s="141"/>
      <c r="Y309" s="308"/>
      <c r="Z309" s="308"/>
      <c r="AA309" s="308"/>
      <c r="AB309" s="308"/>
      <c r="AC309" s="308"/>
      <c r="AD309" s="308"/>
      <c r="AE309" s="309"/>
      <c r="AF309" s="308"/>
      <c r="AG309" s="308"/>
      <c r="AH309" s="56"/>
      <c r="AI309" s="56"/>
    </row>
    <row r="310" spans="1:35" x14ac:dyDescent="0.3">
      <c r="A310" s="45">
        <f t="shared" si="64"/>
        <v>263</v>
      </c>
      <c r="B310" s="414" t="s">
        <v>381</v>
      </c>
      <c r="C310" s="51">
        <f t="shared" ref="C310:C341" si="70">D310+K310+L310+N310+P310+R310+S310+U310+V310+W310</f>
        <v>91349.09</v>
      </c>
      <c r="D310" s="51">
        <f t="shared" si="68"/>
        <v>0</v>
      </c>
      <c r="E310" s="51"/>
      <c r="F310" s="51"/>
      <c r="G310" s="51"/>
      <c r="H310" s="51"/>
      <c r="I310" s="51"/>
      <c r="J310" s="51"/>
      <c r="K310" s="51"/>
      <c r="L310" s="51"/>
      <c r="M310" s="35"/>
      <c r="N310" s="51"/>
      <c r="O310" s="82"/>
      <c r="P310" s="51"/>
      <c r="Q310" s="338"/>
      <c r="R310" s="51"/>
      <c r="S310" s="51"/>
      <c r="T310" s="338"/>
      <c r="U310" s="51"/>
      <c r="V310" s="35"/>
      <c r="W310" s="364">
        <f>SUM(X310:AI310)</f>
        <v>91349.09</v>
      </c>
      <c r="X310" s="141"/>
      <c r="Y310" s="308"/>
      <c r="Z310" s="308"/>
      <c r="AA310" s="308"/>
      <c r="AB310" s="308"/>
      <c r="AC310" s="308"/>
      <c r="AD310" s="357">
        <v>91349.09</v>
      </c>
      <c r="AE310" s="309"/>
      <c r="AF310" s="357"/>
      <c r="AG310" s="308"/>
      <c r="AH310" s="56"/>
      <c r="AI310" s="56"/>
    </row>
    <row r="311" spans="1:35" x14ac:dyDescent="0.3">
      <c r="A311" s="45">
        <f t="shared" si="64"/>
        <v>264</v>
      </c>
      <c r="B311" s="414" t="s">
        <v>382</v>
      </c>
      <c r="C311" s="51">
        <f t="shared" si="70"/>
        <v>3031026.6</v>
      </c>
      <c r="D311" s="51">
        <f t="shared" si="68"/>
        <v>2901026.6</v>
      </c>
      <c r="E311" s="51"/>
      <c r="F311" s="51">
        <f>163.3*5502+2*607361</f>
        <v>2113198.6</v>
      </c>
      <c r="G311" s="51">
        <f>110*3910</f>
        <v>430100</v>
      </c>
      <c r="H311" s="51"/>
      <c r="I311" s="51">
        <f>3194*112</f>
        <v>357728</v>
      </c>
      <c r="J311" s="51"/>
      <c r="K311" s="51"/>
      <c r="L311" s="51"/>
      <c r="M311" s="35"/>
      <c r="N311" s="51"/>
      <c r="O311" s="82"/>
      <c r="P311" s="51"/>
      <c r="Q311" s="338"/>
      <c r="R311" s="51"/>
      <c r="S311" s="51"/>
      <c r="T311" s="338"/>
      <c r="U311" s="51"/>
      <c r="V311" s="35"/>
      <c r="W311" s="364">
        <v>130000</v>
      </c>
      <c r="X311" s="141"/>
      <c r="Y311" s="308"/>
      <c r="Z311" s="308"/>
      <c r="AA311" s="308"/>
      <c r="AB311" s="308"/>
      <c r="AC311" s="308"/>
      <c r="AD311" s="308"/>
      <c r="AE311" s="309"/>
      <c r="AF311" s="308"/>
      <c r="AG311" s="308"/>
      <c r="AH311" s="56"/>
    </row>
    <row r="312" spans="1:35" x14ac:dyDescent="0.3">
      <c r="A312" s="45">
        <f t="shared" si="64"/>
        <v>265</v>
      </c>
      <c r="B312" s="414" t="s">
        <v>383</v>
      </c>
      <c r="C312" s="51">
        <f t="shared" si="70"/>
        <v>130000</v>
      </c>
      <c r="D312" s="51">
        <f t="shared" si="68"/>
        <v>0</v>
      </c>
      <c r="E312" s="51"/>
      <c r="F312" s="51"/>
      <c r="G312" s="51"/>
      <c r="H312" s="51"/>
      <c r="I312" s="51"/>
      <c r="J312" s="51"/>
      <c r="K312" s="51"/>
      <c r="L312" s="51"/>
      <c r="M312" s="35"/>
      <c r="N312" s="51"/>
      <c r="O312" s="82"/>
      <c r="P312" s="51"/>
      <c r="Q312" s="338"/>
      <c r="R312" s="51"/>
      <c r="S312" s="51"/>
      <c r="T312" s="338"/>
      <c r="U312" s="51"/>
      <c r="V312" s="35"/>
      <c r="W312" s="364">
        <v>130000</v>
      </c>
      <c r="X312" s="141"/>
      <c r="Y312" s="308"/>
      <c r="Z312" s="308"/>
      <c r="AA312" s="308"/>
      <c r="AB312" s="308"/>
      <c r="AC312" s="308"/>
      <c r="AD312" s="308"/>
      <c r="AE312" s="309"/>
      <c r="AF312" s="308"/>
      <c r="AG312" s="308"/>
      <c r="AH312" s="56"/>
      <c r="AI312" s="56"/>
    </row>
    <row r="313" spans="1:35" x14ac:dyDescent="0.3">
      <c r="A313" s="45">
        <f t="shared" si="64"/>
        <v>266</v>
      </c>
      <c r="B313" s="414" t="s">
        <v>384</v>
      </c>
      <c r="C313" s="51">
        <f t="shared" si="70"/>
        <v>118196.66</v>
      </c>
      <c r="D313" s="51">
        <f t="shared" si="68"/>
        <v>0</v>
      </c>
      <c r="E313" s="51"/>
      <c r="F313" s="51"/>
      <c r="G313" s="51"/>
      <c r="H313" s="51"/>
      <c r="I313" s="51"/>
      <c r="J313" s="51"/>
      <c r="K313" s="51"/>
      <c r="L313" s="51"/>
      <c r="M313" s="35"/>
      <c r="N313" s="51"/>
      <c r="O313" s="82"/>
      <c r="P313" s="51"/>
      <c r="Q313" s="338"/>
      <c r="R313" s="51"/>
      <c r="S313" s="51"/>
      <c r="T313" s="338"/>
      <c r="U313" s="51"/>
      <c r="V313" s="35"/>
      <c r="W313" s="364">
        <f t="shared" ref="W313:W342" si="71">SUM(X313:AI313)</f>
        <v>118196.66</v>
      </c>
      <c r="X313" s="141"/>
      <c r="Y313" s="357">
        <v>118196.66</v>
      </c>
      <c r="Z313" s="308"/>
      <c r="AA313" s="308"/>
      <c r="AB313" s="308"/>
      <c r="AC313" s="308"/>
      <c r="AD313" s="308"/>
      <c r="AE313" s="309"/>
      <c r="AF313" s="308"/>
      <c r="AG313" s="308"/>
      <c r="AH313" s="56"/>
      <c r="AI313" s="56"/>
    </row>
    <row r="314" spans="1:35" x14ac:dyDescent="0.3">
      <c r="A314" s="45">
        <f t="shared" si="64"/>
        <v>267</v>
      </c>
      <c r="B314" s="414" t="s">
        <v>385</v>
      </c>
      <c r="C314" s="51">
        <f t="shared" si="70"/>
        <v>591079.13</v>
      </c>
      <c r="D314" s="51">
        <f t="shared" si="68"/>
        <v>0</v>
      </c>
      <c r="E314" s="51"/>
      <c r="F314" s="51"/>
      <c r="G314" s="51"/>
      <c r="H314" s="51"/>
      <c r="I314" s="51"/>
      <c r="J314" s="51"/>
      <c r="K314" s="51"/>
      <c r="L314" s="51"/>
      <c r="M314" s="35"/>
      <c r="N314" s="51"/>
      <c r="O314" s="82"/>
      <c r="P314" s="51"/>
      <c r="Q314" s="338"/>
      <c r="R314" s="51"/>
      <c r="S314" s="51"/>
      <c r="T314" s="338"/>
      <c r="U314" s="51"/>
      <c r="V314" s="35"/>
      <c r="W314" s="364">
        <f t="shared" si="71"/>
        <v>591079.13</v>
      </c>
      <c r="X314" s="141"/>
      <c r="Y314" s="357">
        <v>98501.59</v>
      </c>
      <c r="Z314" s="357">
        <v>116502.79</v>
      </c>
      <c r="AA314" s="308"/>
      <c r="AB314" s="358">
        <v>97031.24</v>
      </c>
      <c r="AC314" s="357">
        <v>97031.24</v>
      </c>
      <c r="AD314" s="357">
        <v>182012.27</v>
      </c>
      <c r="AE314" s="309"/>
      <c r="AF314" s="308"/>
      <c r="AG314" s="308"/>
      <c r="AH314" s="56"/>
      <c r="AI314" s="56"/>
    </row>
    <row r="315" spans="1:35" x14ac:dyDescent="0.3">
      <c r="A315" s="45">
        <f t="shared" si="64"/>
        <v>268</v>
      </c>
      <c r="B315" s="414" t="s">
        <v>386</v>
      </c>
      <c r="C315" s="51">
        <f t="shared" si="70"/>
        <v>309986.14</v>
      </c>
      <c r="D315" s="51">
        <f t="shared" si="68"/>
        <v>0</v>
      </c>
      <c r="E315" s="51"/>
      <c r="F315" s="51"/>
      <c r="G315" s="51"/>
      <c r="H315" s="51"/>
      <c r="I315" s="51"/>
      <c r="J315" s="51"/>
      <c r="K315" s="51"/>
      <c r="L315" s="51"/>
      <c r="M315" s="35"/>
      <c r="N315" s="51"/>
      <c r="O315" s="82"/>
      <c r="P315" s="51"/>
      <c r="Q315" s="338"/>
      <c r="R315" s="51"/>
      <c r="S315" s="51"/>
      <c r="T315" s="338"/>
      <c r="U315" s="51"/>
      <c r="V315" s="35"/>
      <c r="W315" s="364">
        <f t="shared" si="71"/>
        <v>309986.14</v>
      </c>
      <c r="X315" s="141"/>
      <c r="Y315" s="308"/>
      <c r="Z315" s="358">
        <v>90803.56</v>
      </c>
      <c r="AA315" s="308"/>
      <c r="AB315" s="308"/>
      <c r="AC315" s="357">
        <v>73185.77</v>
      </c>
      <c r="AD315" s="358">
        <v>145996.81</v>
      </c>
      <c r="AE315" s="309"/>
      <c r="AF315" s="357"/>
      <c r="AG315" s="308"/>
      <c r="AH315" s="56"/>
      <c r="AI315" s="56"/>
    </row>
    <row r="316" spans="1:35" x14ac:dyDescent="0.3">
      <c r="A316" s="45">
        <f t="shared" si="64"/>
        <v>269</v>
      </c>
      <c r="B316" s="414" t="s">
        <v>387</v>
      </c>
      <c r="C316" s="51">
        <f t="shared" si="70"/>
        <v>1149074.6499999999</v>
      </c>
      <c r="D316" s="51">
        <f t="shared" si="68"/>
        <v>627123</v>
      </c>
      <c r="E316" s="51">
        <f>(358323*1)+2688*100</f>
        <v>627123</v>
      </c>
      <c r="F316" s="51"/>
      <c r="G316" s="51"/>
      <c r="H316" s="51"/>
      <c r="I316" s="51"/>
      <c r="J316" s="51"/>
      <c r="K316" s="51"/>
      <c r="L316" s="51"/>
      <c r="M316" s="35"/>
      <c r="N316" s="51"/>
      <c r="O316" s="82"/>
      <c r="P316" s="51"/>
      <c r="Q316" s="338"/>
      <c r="R316" s="51"/>
      <c r="S316" s="51"/>
      <c r="T316" s="338"/>
      <c r="U316" s="51"/>
      <c r="V316" s="35"/>
      <c r="W316" s="364">
        <f t="shared" si="71"/>
        <v>521951.64999999997</v>
      </c>
      <c r="X316" s="141"/>
      <c r="Y316" s="357">
        <v>86397.24</v>
      </c>
      <c r="Z316" s="357">
        <v>104344.82</v>
      </c>
      <c r="AA316" s="308"/>
      <c r="AB316" s="357">
        <v>84538.49</v>
      </c>
      <c r="AC316" s="357">
        <v>84538.49</v>
      </c>
      <c r="AD316" s="357">
        <v>162132.60999999999</v>
      </c>
      <c r="AE316" s="309"/>
      <c r="AF316" s="357"/>
      <c r="AG316" s="357"/>
      <c r="AH316" s="56"/>
      <c r="AI316" s="56"/>
    </row>
    <row r="317" spans="1:35" x14ac:dyDescent="0.3">
      <c r="A317" s="45">
        <f t="shared" si="64"/>
        <v>270</v>
      </c>
      <c r="B317" s="414" t="s">
        <v>388</v>
      </c>
      <c r="C317" s="51">
        <f t="shared" si="70"/>
        <v>1418253.73</v>
      </c>
      <c r="D317" s="51">
        <f t="shared" si="68"/>
        <v>1150679.6000000001</v>
      </c>
      <c r="E317" s="51">
        <v>351111.6</v>
      </c>
      <c r="F317" s="51"/>
      <c r="G317" s="51"/>
      <c r="H317" s="51"/>
      <c r="I317" s="51">
        <f>142.78*5600</f>
        <v>799568</v>
      </c>
      <c r="J317" s="51"/>
      <c r="K317" s="51"/>
      <c r="L317" s="51"/>
      <c r="M317" s="35"/>
      <c r="N317" s="51"/>
      <c r="O317" s="82"/>
      <c r="P317" s="51"/>
      <c r="Q317" s="338"/>
      <c r="R317" s="51"/>
      <c r="S317" s="51"/>
      <c r="T317" s="338"/>
      <c r="U317" s="51"/>
      <c r="V317" s="35"/>
      <c r="W317" s="364">
        <f t="shared" si="71"/>
        <v>267574.13</v>
      </c>
      <c r="X317" s="141"/>
      <c r="Y317" s="357">
        <v>68057.929999999993</v>
      </c>
      <c r="Z317" s="308"/>
      <c r="AA317" s="308"/>
      <c r="AB317" s="308"/>
      <c r="AC317" s="357">
        <v>65449.54</v>
      </c>
      <c r="AD317" s="357">
        <v>134066.66</v>
      </c>
      <c r="AE317" s="309"/>
      <c r="AF317" s="357"/>
      <c r="AG317" s="308"/>
      <c r="AH317" s="56"/>
    </row>
    <row r="318" spans="1:35" x14ac:dyDescent="0.3">
      <c r="A318" s="45">
        <f t="shared" si="64"/>
        <v>271</v>
      </c>
      <c r="B318" s="414" t="s">
        <v>389</v>
      </c>
      <c r="C318" s="51">
        <f t="shared" si="70"/>
        <v>226319.57</v>
      </c>
      <c r="D318" s="51">
        <f t="shared" si="68"/>
        <v>0</v>
      </c>
      <c r="E318" s="51"/>
      <c r="F318" s="51"/>
      <c r="G318" s="51"/>
      <c r="H318" s="51"/>
      <c r="I318" s="51"/>
      <c r="J318" s="51"/>
      <c r="K318" s="51"/>
      <c r="L318" s="51"/>
      <c r="M318" s="35"/>
      <c r="N318" s="51"/>
      <c r="O318" s="82"/>
      <c r="P318" s="51"/>
      <c r="Q318" s="338"/>
      <c r="R318" s="51"/>
      <c r="S318" s="51"/>
      <c r="T318" s="338"/>
      <c r="U318" s="51"/>
      <c r="V318" s="35"/>
      <c r="W318" s="364">
        <f t="shared" si="71"/>
        <v>226319.57</v>
      </c>
      <c r="X318" s="141"/>
      <c r="Y318" s="308"/>
      <c r="Z318" s="308"/>
      <c r="AA318" s="308"/>
      <c r="AB318" s="357">
        <v>75993.279999999999</v>
      </c>
      <c r="AC318" s="308"/>
      <c r="AD318" s="357">
        <v>150326.29</v>
      </c>
      <c r="AE318" s="309"/>
      <c r="AF318" s="357"/>
      <c r="AG318" s="357"/>
      <c r="AH318" s="56"/>
      <c r="AI318" s="56"/>
    </row>
    <row r="319" spans="1:35" x14ac:dyDescent="0.3">
      <c r="A319" s="45">
        <f t="shared" si="64"/>
        <v>272</v>
      </c>
      <c r="B319" s="414" t="s">
        <v>390</v>
      </c>
      <c r="C319" s="51">
        <f t="shared" si="70"/>
        <v>130122.04</v>
      </c>
      <c r="D319" s="51">
        <f t="shared" si="68"/>
        <v>0</v>
      </c>
      <c r="E319" s="51"/>
      <c r="F319" s="51"/>
      <c r="G319" s="51"/>
      <c r="H319" s="51"/>
      <c r="I319" s="51"/>
      <c r="J319" s="51"/>
      <c r="K319" s="51"/>
      <c r="L319" s="51"/>
      <c r="M319" s="35"/>
      <c r="N319" s="51"/>
      <c r="O319" s="82"/>
      <c r="P319" s="51"/>
      <c r="Q319" s="338"/>
      <c r="R319" s="51"/>
      <c r="S319" s="51"/>
      <c r="T319" s="338"/>
      <c r="U319" s="51"/>
      <c r="V319" s="35"/>
      <c r="W319" s="364">
        <f t="shared" si="71"/>
        <v>130122.04</v>
      </c>
      <c r="X319" s="141"/>
      <c r="Y319" s="357"/>
      <c r="Z319" s="357"/>
      <c r="AA319" s="357"/>
      <c r="AB319" s="357"/>
      <c r="AC319" s="357"/>
      <c r="AD319" s="357">
        <v>130122.04</v>
      </c>
      <c r="AE319" s="357"/>
      <c r="AF319" s="357"/>
      <c r="AG319" s="357"/>
      <c r="AH319" s="56"/>
      <c r="AI319" s="56"/>
    </row>
    <row r="320" spans="1:35" x14ac:dyDescent="0.3">
      <c r="A320" s="45">
        <f t="shared" si="64"/>
        <v>273</v>
      </c>
      <c r="B320" s="414" t="s">
        <v>391</v>
      </c>
      <c r="C320" s="51">
        <f t="shared" si="70"/>
        <v>4562508.33</v>
      </c>
      <c r="D320" s="51">
        <f t="shared" si="68"/>
        <v>0</v>
      </c>
      <c r="E320" s="51"/>
      <c r="F320" s="51"/>
      <c r="G320" s="51"/>
      <c r="H320" s="51"/>
      <c r="I320" s="51"/>
      <c r="J320" s="51"/>
      <c r="K320" s="51"/>
      <c r="L320" s="51"/>
      <c r="M320" s="35">
        <v>610</v>
      </c>
      <c r="N320" s="51">
        <v>4217118</v>
      </c>
      <c r="O320" s="82"/>
      <c r="P320" s="51"/>
      <c r="Q320" s="338"/>
      <c r="R320" s="51"/>
      <c r="S320" s="51"/>
      <c r="T320" s="338"/>
      <c r="U320" s="51"/>
      <c r="V320" s="35"/>
      <c r="W320" s="364">
        <f t="shared" si="71"/>
        <v>345390.32999999996</v>
      </c>
      <c r="X320" s="141"/>
      <c r="Y320" s="357">
        <v>108301.24</v>
      </c>
      <c r="Z320" s="357">
        <v>131514.23999999999</v>
      </c>
      <c r="AA320" s="357"/>
      <c r="AB320" s="357">
        <v>105574.85</v>
      </c>
      <c r="AC320" s="357"/>
      <c r="AD320" s="357"/>
      <c r="AE320" s="357"/>
      <c r="AF320" s="357"/>
      <c r="AG320" s="357"/>
      <c r="AH320" s="56"/>
      <c r="AI320" s="56"/>
    </row>
    <row r="321" spans="1:35" x14ac:dyDescent="0.3">
      <c r="A321" s="45">
        <f t="shared" si="64"/>
        <v>274</v>
      </c>
      <c r="B321" s="414" t="s">
        <v>392</v>
      </c>
      <c r="C321" s="51">
        <f t="shared" si="70"/>
        <v>871797.04</v>
      </c>
      <c r="D321" s="51">
        <f t="shared" ref="D321:D352" si="72">E321+F321+G321+H321+I321</f>
        <v>0</v>
      </c>
      <c r="E321" s="51"/>
      <c r="F321" s="51"/>
      <c r="G321" s="51"/>
      <c r="H321" s="51"/>
      <c r="I321" s="51"/>
      <c r="J321" s="51"/>
      <c r="K321" s="51"/>
      <c r="L321" s="51"/>
      <c r="M321" s="35"/>
      <c r="N321" s="51"/>
      <c r="O321" s="82"/>
      <c r="P321" s="51"/>
      <c r="Q321" s="338"/>
      <c r="R321" s="51"/>
      <c r="S321" s="51"/>
      <c r="T321" s="338"/>
      <c r="U321" s="51"/>
      <c r="V321" s="35"/>
      <c r="W321" s="364">
        <f t="shared" si="71"/>
        <v>871797.04</v>
      </c>
      <c r="X321" s="141"/>
      <c r="Y321" s="357"/>
      <c r="Z321" s="357">
        <v>269066.3</v>
      </c>
      <c r="AA321" s="357">
        <v>221550.91</v>
      </c>
      <c r="AB321" s="357"/>
      <c r="AC321" s="357">
        <v>220523.17</v>
      </c>
      <c r="AD321" s="357"/>
      <c r="AE321" s="357">
        <v>160656.66</v>
      </c>
      <c r="AF321" s="357"/>
      <c r="AG321" s="357"/>
      <c r="AH321" s="56"/>
      <c r="AI321" s="56"/>
    </row>
    <row r="322" spans="1:35" x14ac:dyDescent="0.3">
      <c r="A322" s="45">
        <f t="shared" si="64"/>
        <v>275</v>
      </c>
      <c r="B322" s="414" t="s">
        <v>393</v>
      </c>
      <c r="C322" s="51">
        <f t="shared" si="70"/>
        <v>72561.89</v>
      </c>
      <c r="D322" s="51">
        <f t="shared" si="72"/>
        <v>0</v>
      </c>
      <c r="E322" s="51"/>
      <c r="F322" s="51"/>
      <c r="G322" s="51"/>
      <c r="H322" s="51"/>
      <c r="I322" s="51"/>
      <c r="J322" s="51"/>
      <c r="K322" s="51"/>
      <c r="L322" s="51"/>
      <c r="M322" s="35"/>
      <c r="N322" s="51"/>
      <c r="O322" s="82"/>
      <c r="P322" s="51"/>
      <c r="Q322" s="338"/>
      <c r="R322" s="51"/>
      <c r="S322" s="51"/>
      <c r="T322" s="338"/>
      <c r="U322" s="51"/>
      <c r="V322" s="35"/>
      <c r="W322" s="364">
        <f t="shared" si="71"/>
        <v>72561.89</v>
      </c>
      <c r="X322" s="141"/>
      <c r="Y322" s="357"/>
      <c r="Z322" s="357"/>
      <c r="AA322" s="357"/>
      <c r="AB322" s="357"/>
      <c r="AC322" s="357">
        <v>72561.89</v>
      </c>
      <c r="AD322" s="357"/>
      <c r="AE322" s="357"/>
      <c r="AF322" s="357"/>
      <c r="AG322" s="357"/>
      <c r="AH322" s="56"/>
      <c r="AI322" s="56"/>
    </row>
    <row r="323" spans="1:35" x14ac:dyDescent="0.3">
      <c r="A323" s="45">
        <f t="shared" si="64"/>
        <v>276</v>
      </c>
      <c r="B323" s="414" t="s">
        <v>394</v>
      </c>
      <c r="C323" s="51">
        <f t="shared" si="70"/>
        <v>248555.45</v>
      </c>
      <c r="D323" s="51">
        <f t="shared" si="72"/>
        <v>0</v>
      </c>
      <c r="E323" s="51"/>
      <c r="F323" s="51"/>
      <c r="G323" s="51"/>
      <c r="H323" s="51"/>
      <c r="I323" s="51"/>
      <c r="J323" s="51"/>
      <c r="K323" s="51"/>
      <c r="L323" s="51"/>
      <c r="M323" s="35"/>
      <c r="N323" s="51"/>
      <c r="O323" s="82"/>
      <c r="P323" s="51"/>
      <c r="Q323" s="338"/>
      <c r="R323" s="51"/>
      <c r="S323" s="51"/>
      <c r="T323" s="338"/>
      <c r="U323" s="51"/>
      <c r="V323" s="35"/>
      <c r="W323" s="364">
        <f t="shared" si="71"/>
        <v>248555.45</v>
      </c>
      <c r="X323" s="141"/>
      <c r="Y323" s="357"/>
      <c r="Z323" s="357"/>
      <c r="AA323" s="357"/>
      <c r="AB323" s="357"/>
      <c r="AC323" s="357"/>
      <c r="AD323" s="357"/>
      <c r="AE323" s="357">
        <v>248555.45</v>
      </c>
      <c r="AF323" s="357"/>
      <c r="AG323" s="357"/>
      <c r="AH323" s="56"/>
      <c r="AI323" s="56"/>
    </row>
    <row r="324" spans="1:35" x14ac:dyDescent="0.3">
      <c r="A324" s="45">
        <f t="shared" si="64"/>
        <v>277</v>
      </c>
      <c r="B324" s="414" t="s">
        <v>395</v>
      </c>
      <c r="C324" s="51">
        <f t="shared" si="70"/>
        <v>67866.740000000005</v>
      </c>
      <c r="D324" s="51">
        <f t="shared" si="72"/>
        <v>0</v>
      </c>
      <c r="E324" s="51"/>
      <c r="F324" s="51"/>
      <c r="G324" s="51"/>
      <c r="H324" s="51"/>
      <c r="I324" s="51"/>
      <c r="J324" s="51"/>
      <c r="K324" s="51"/>
      <c r="L324" s="51"/>
      <c r="M324" s="35"/>
      <c r="N324" s="51"/>
      <c r="O324" s="82"/>
      <c r="P324" s="51"/>
      <c r="Q324" s="338"/>
      <c r="R324" s="51"/>
      <c r="S324" s="51"/>
      <c r="T324" s="338"/>
      <c r="U324" s="51"/>
      <c r="V324" s="35"/>
      <c r="W324" s="364">
        <f t="shared" si="71"/>
        <v>67866.740000000005</v>
      </c>
      <c r="X324" s="141"/>
      <c r="Y324" s="357"/>
      <c r="Z324" s="357">
        <v>67866.740000000005</v>
      </c>
      <c r="AA324" s="357"/>
      <c r="AB324" s="357"/>
      <c r="AC324" s="357"/>
      <c r="AD324" s="357"/>
      <c r="AE324" s="357"/>
      <c r="AF324" s="357"/>
      <c r="AG324" s="357"/>
      <c r="AH324" s="56"/>
      <c r="AI324" s="56"/>
    </row>
    <row r="325" spans="1:35" x14ac:dyDescent="0.3">
      <c r="A325" s="45">
        <f t="shared" si="64"/>
        <v>278</v>
      </c>
      <c r="B325" s="414" t="s">
        <v>396</v>
      </c>
      <c r="C325" s="51">
        <f t="shared" si="70"/>
        <v>277699.17000000004</v>
      </c>
      <c r="D325" s="51">
        <f t="shared" si="72"/>
        <v>0</v>
      </c>
      <c r="E325" s="51"/>
      <c r="F325" s="51"/>
      <c r="G325" s="51"/>
      <c r="H325" s="51"/>
      <c r="I325" s="51"/>
      <c r="J325" s="51"/>
      <c r="K325" s="51"/>
      <c r="L325" s="51"/>
      <c r="M325" s="35"/>
      <c r="N325" s="51"/>
      <c r="O325" s="82"/>
      <c r="P325" s="51"/>
      <c r="Q325" s="338"/>
      <c r="R325" s="51"/>
      <c r="S325" s="51"/>
      <c r="T325" s="338"/>
      <c r="U325" s="51"/>
      <c r="V325" s="35"/>
      <c r="W325" s="364">
        <f t="shared" si="71"/>
        <v>277699.17000000004</v>
      </c>
      <c r="X325" s="141"/>
      <c r="Y325" s="357"/>
      <c r="Z325" s="357">
        <v>81513.53</v>
      </c>
      <c r="AA325" s="357"/>
      <c r="AB325" s="357">
        <v>64139.38</v>
      </c>
      <c r="AC325" s="357"/>
      <c r="AD325" s="357">
        <v>132046.26</v>
      </c>
      <c r="AE325" s="357"/>
      <c r="AF325" s="357"/>
      <c r="AG325" s="357"/>
      <c r="AH325" s="56"/>
      <c r="AI325" s="56"/>
    </row>
    <row r="326" spans="1:35" x14ac:dyDescent="0.3">
      <c r="A326" s="45">
        <f t="shared" si="64"/>
        <v>279</v>
      </c>
      <c r="B326" s="414" t="s">
        <v>397</v>
      </c>
      <c r="C326" s="51">
        <f t="shared" si="70"/>
        <v>162562.47</v>
      </c>
      <c r="D326" s="51">
        <f t="shared" si="72"/>
        <v>0</v>
      </c>
      <c r="E326" s="51"/>
      <c r="F326" s="51"/>
      <c r="G326" s="51"/>
      <c r="H326" s="51"/>
      <c r="I326" s="51"/>
      <c r="J326" s="51"/>
      <c r="K326" s="51"/>
      <c r="L326" s="51"/>
      <c r="M326" s="35"/>
      <c r="N326" s="51"/>
      <c r="O326" s="82"/>
      <c r="P326" s="51"/>
      <c r="Q326" s="338"/>
      <c r="R326" s="51"/>
      <c r="S326" s="51"/>
      <c r="T326" s="338"/>
      <c r="U326" s="51"/>
      <c r="V326" s="35"/>
      <c r="W326" s="364">
        <f t="shared" si="71"/>
        <v>162562.47</v>
      </c>
      <c r="X326" s="141"/>
      <c r="Y326" s="357"/>
      <c r="Z326" s="357"/>
      <c r="AA326" s="357"/>
      <c r="AB326" s="357">
        <v>50912.9</v>
      </c>
      <c r="AC326" s="357"/>
      <c r="AD326" s="357">
        <v>111649.57</v>
      </c>
      <c r="AE326" s="357"/>
      <c r="AF326" s="357"/>
      <c r="AG326" s="357"/>
      <c r="AH326" s="56"/>
      <c r="AI326" s="56"/>
    </row>
    <row r="327" spans="1:35" x14ac:dyDescent="0.3">
      <c r="A327" s="45">
        <f t="shared" si="64"/>
        <v>280</v>
      </c>
      <c r="B327" s="414" t="s">
        <v>398</v>
      </c>
      <c r="C327" s="51">
        <f t="shared" si="70"/>
        <v>605842.21</v>
      </c>
      <c r="D327" s="51">
        <f t="shared" si="72"/>
        <v>0</v>
      </c>
      <c r="E327" s="51"/>
      <c r="F327" s="51"/>
      <c r="G327" s="51"/>
      <c r="H327" s="51"/>
      <c r="I327" s="51"/>
      <c r="J327" s="51"/>
      <c r="K327" s="51"/>
      <c r="L327" s="51"/>
      <c r="M327" s="35"/>
      <c r="N327" s="51"/>
      <c r="O327" s="82"/>
      <c r="P327" s="51"/>
      <c r="Q327" s="338"/>
      <c r="R327" s="51"/>
      <c r="S327" s="51"/>
      <c r="T327" s="338"/>
      <c r="U327" s="51"/>
      <c r="V327" s="35"/>
      <c r="W327" s="364">
        <f t="shared" si="71"/>
        <v>605842.21</v>
      </c>
      <c r="X327" s="141"/>
      <c r="Y327" s="357"/>
      <c r="Z327" s="357">
        <v>142659.25</v>
      </c>
      <c r="AA327" s="357"/>
      <c r="AB327" s="357">
        <v>121632.97</v>
      </c>
      <c r="AC327" s="357">
        <v>121632.97</v>
      </c>
      <c r="AD327" s="357">
        <v>219917.02</v>
      </c>
      <c r="AE327" s="357"/>
      <c r="AF327" s="357"/>
      <c r="AG327" s="357"/>
      <c r="AH327" s="56"/>
      <c r="AI327" s="56"/>
    </row>
    <row r="328" spans="1:35" x14ac:dyDescent="0.3">
      <c r="A328" s="45">
        <f t="shared" si="64"/>
        <v>281</v>
      </c>
      <c r="B328" s="414" t="s">
        <v>399</v>
      </c>
      <c r="C328" s="51">
        <f t="shared" si="70"/>
        <v>446277.28</v>
      </c>
      <c r="D328" s="51">
        <f t="shared" si="72"/>
        <v>0</v>
      </c>
      <c r="E328" s="51"/>
      <c r="F328" s="51"/>
      <c r="G328" s="51"/>
      <c r="H328" s="51"/>
      <c r="I328" s="51"/>
      <c r="J328" s="51"/>
      <c r="K328" s="51"/>
      <c r="L328" s="51"/>
      <c r="M328" s="35"/>
      <c r="N328" s="51"/>
      <c r="O328" s="82"/>
      <c r="P328" s="51"/>
      <c r="Q328" s="338"/>
      <c r="R328" s="51"/>
      <c r="S328" s="51"/>
      <c r="T328" s="338"/>
      <c r="U328" s="51"/>
      <c r="V328" s="35"/>
      <c r="W328" s="364">
        <f t="shared" si="71"/>
        <v>446277.28</v>
      </c>
      <c r="X328" s="141"/>
      <c r="Y328" s="357"/>
      <c r="Z328" s="357"/>
      <c r="AA328" s="357"/>
      <c r="AB328" s="357">
        <v>116881.2</v>
      </c>
      <c r="AC328" s="357">
        <v>116881.2</v>
      </c>
      <c r="AD328" s="357">
        <v>212514.88</v>
      </c>
      <c r="AE328" s="357"/>
      <c r="AF328" s="357"/>
      <c r="AG328" s="357"/>
      <c r="AH328" s="56"/>
      <c r="AI328" s="56"/>
    </row>
    <row r="329" spans="1:35" x14ac:dyDescent="0.3">
      <c r="A329" s="45">
        <f t="shared" ref="A329:A389" si="73">A328+1</f>
        <v>282</v>
      </c>
      <c r="B329" s="414" t="s">
        <v>400</v>
      </c>
      <c r="C329" s="51">
        <f t="shared" si="70"/>
        <v>99142.18</v>
      </c>
      <c r="D329" s="51">
        <f t="shared" si="72"/>
        <v>0</v>
      </c>
      <c r="E329" s="51"/>
      <c r="F329" s="51"/>
      <c r="G329" s="51"/>
      <c r="H329" s="51"/>
      <c r="I329" s="51"/>
      <c r="J329" s="51"/>
      <c r="K329" s="51"/>
      <c r="L329" s="51"/>
      <c r="M329" s="35"/>
      <c r="N329" s="51"/>
      <c r="O329" s="82"/>
      <c r="P329" s="51"/>
      <c r="Q329" s="338"/>
      <c r="R329" s="51"/>
      <c r="S329" s="51"/>
      <c r="T329" s="338"/>
      <c r="U329" s="51"/>
      <c r="V329" s="35"/>
      <c r="W329" s="364">
        <f t="shared" si="71"/>
        <v>99142.18</v>
      </c>
      <c r="X329" s="141"/>
      <c r="Y329" s="357"/>
      <c r="Z329" s="357"/>
      <c r="AA329" s="357"/>
      <c r="AB329" s="357"/>
      <c r="AC329" s="357"/>
      <c r="AD329" s="357">
        <v>99142.18</v>
      </c>
      <c r="AE329" s="357"/>
      <c r="AF329" s="357"/>
      <c r="AG329" s="357"/>
      <c r="AH329" s="56"/>
      <c r="AI329" s="56"/>
    </row>
    <row r="330" spans="1:35" x14ac:dyDescent="0.3">
      <c r="A330" s="45">
        <f t="shared" si="73"/>
        <v>283</v>
      </c>
      <c r="B330" s="414" t="s">
        <v>401</v>
      </c>
      <c r="C330" s="51">
        <f t="shared" si="70"/>
        <v>139299.56</v>
      </c>
      <c r="D330" s="51">
        <f t="shared" si="72"/>
        <v>0</v>
      </c>
      <c r="E330" s="51"/>
      <c r="F330" s="51"/>
      <c r="G330" s="51"/>
      <c r="H330" s="51"/>
      <c r="I330" s="51"/>
      <c r="J330" s="51"/>
      <c r="K330" s="51"/>
      <c r="L330" s="51"/>
      <c r="M330" s="35"/>
      <c r="N330" s="51"/>
      <c r="O330" s="82"/>
      <c r="P330" s="51"/>
      <c r="Q330" s="338"/>
      <c r="R330" s="51"/>
      <c r="S330" s="51"/>
      <c r="T330" s="338"/>
      <c r="U330" s="51"/>
      <c r="V330" s="35"/>
      <c r="W330" s="364">
        <f t="shared" si="71"/>
        <v>139299.56</v>
      </c>
      <c r="X330" s="141"/>
      <c r="Y330" s="357"/>
      <c r="Z330" s="357"/>
      <c r="AA330" s="357"/>
      <c r="AB330" s="357"/>
      <c r="AC330" s="357"/>
      <c r="AD330" s="357">
        <v>139299.56</v>
      </c>
      <c r="AE330" s="357"/>
      <c r="AF330" s="357"/>
      <c r="AG330" s="357"/>
      <c r="AH330" s="56"/>
      <c r="AI330" s="56"/>
    </row>
    <row r="331" spans="1:35" x14ac:dyDescent="0.3">
      <c r="A331" s="45">
        <f t="shared" si="73"/>
        <v>284</v>
      </c>
      <c r="B331" s="414" t="s">
        <v>402</v>
      </c>
      <c r="C331" s="51">
        <f t="shared" si="70"/>
        <v>181553.27</v>
      </c>
      <c r="D331" s="51">
        <f t="shared" si="72"/>
        <v>0</v>
      </c>
      <c r="E331" s="51"/>
      <c r="F331" s="51"/>
      <c r="G331" s="51"/>
      <c r="H331" s="51"/>
      <c r="I331" s="51"/>
      <c r="J331" s="51"/>
      <c r="K331" s="51"/>
      <c r="L331" s="51"/>
      <c r="M331" s="35"/>
      <c r="N331" s="51"/>
      <c r="O331" s="82"/>
      <c r="P331" s="51"/>
      <c r="Q331" s="338"/>
      <c r="R331" s="51"/>
      <c r="S331" s="51"/>
      <c r="T331" s="338"/>
      <c r="U331" s="51"/>
      <c r="V331" s="35"/>
      <c r="W331" s="364">
        <f t="shared" si="71"/>
        <v>181553.27</v>
      </c>
      <c r="X331" s="141"/>
      <c r="Y331" s="357"/>
      <c r="Z331" s="357"/>
      <c r="AA331" s="357"/>
      <c r="AB331" s="357"/>
      <c r="AC331" s="357"/>
      <c r="AD331" s="357">
        <v>181553.27</v>
      </c>
      <c r="AE331" s="357"/>
      <c r="AF331" s="357"/>
      <c r="AG331" s="357"/>
      <c r="AH331" s="56"/>
      <c r="AI331" s="56"/>
    </row>
    <row r="332" spans="1:35" x14ac:dyDescent="0.3">
      <c r="A332" s="45">
        <f t="shared" si="73"/>
        <v>285</v>
      </c>
      <c r="B332" s="414" t="s">
        <v>403</v>
      </c>
      <c r="C332" s="51">
        <f t="shared" si="70"/>
        <v>181553.27</v>
      </c>
      <c r="D332" s="51">
        <f t="shared" si="72"/>
        <v>0</v>
      </c>
      <c r="E332" s="51"/>
      <c r="F332" s="51"/>
      <c r="G332" s="51"/>
      <c r="H332" s="51"/>
      <c r="I332" s="51"/>
      <c r="J332" s="51"/>
      <c r="K332" s="51"/>
      <c r="L332" s="51"/>
      <c r="M332" s="35"/>
      <c r="N332" s="51"/>
      <c r="O332" s="82"/>
      <c r="P332" s="51"/>
      <c r="Q332" s="338"/>
      <c r="R332" s="51"/>
      <c r="S332" s="51"/>
      <c r="T332" s="338"/>
      <c r="U332" s="51"/>
      <c r="V332" s="35"/>
      <c r="W332" s="364">
        <f t="shared" si="71"/>
        <v>181553.27</v>
      </c>
      <c r="X332" s="141"/>
      <c r="Y332" s="357"/>
      <c r="Z332" s="357"/>
      <c r="AA332" s="357"/>
      <c r="AB332" s="357"/>
      <c r="AC332" s="357"/>
      <c r="AD332" s="357">
        <v>181553.27</v>
      </c>
      <c r="AE332" s="357"/>
      <c r="AF332" s="357"/>
      <c r="AG332" s="357"/>
      <c r="AH332" s="56"/>
      <c r="AI332" s="56"/>
    </row>
    <row r="333" spans="1:35" x14ac:dyDescent="0.3">
      <c r="A333" s="45">
        <f t="shared" si="73"/>
        <v>286</v>
      </c>
      <c r="B333" s="414" t="s">
        <v>404</v>
      </c>
      <c r="C333" s="51">
        <f t="shared" si="70"/>
        <v>198904.5</v>
      </c>
      <c r="D333" s="51">
        <f t="shared" si="72"/>
        <v>0</v>
      </c>
      <c r="E333" s="51"/>
      <c r="F333" s="51"/>
      <c r="G333" s="51"/>
      <c r="H333" s="51"/>
      <c r="I333" s="51"/>
      <c r="J333" s="51"/>
      <c r="K333" s="51"/>
      <c r="L333" s="51"/>
      <c r="M333" s="35"/>
      <c r="N333" s="51"/>
      <c r="O333" s="82"/>
      <c r="P333" s="51"/>
      <c r="Q333" s="338"/>
      <c r="R333" s="51"/>
      <c r="S333" s="51"/>
      <c r="T333" s="338"/>
      <c r="U333" s="51"/>
      <c r="V333" s="35"/>
      <c r="W333" s="364">
        <f t="shared" si="71"/>
        <v>198904.5</v>
      </c>
      <c r="X333" s="141"/>
      <c r="Y333" s="357"/>
      <c r="Z333" s="357"/>
      <c r="AA333" s="357"/>
      <c r="AB333" s="357"/>
      <c r="AC333" s="357"/>
      <c r="AD333" s="357">
        <v>198904.5</v>
      </c>
      <c r="AE333" s="357"/>
      <c r="AF333" s="357"/>
      <c r="AG333" s="357"/>
      <c r="AH333" s="56"/>
      <c r="AI333" s="56"/>
    </row>
    <row r="334" spans="1:35" x14ac:dyDescent="0.3">
      <c r="A334" s="45">
        <f t="shared" si="73"/>
        <v>287</v>
      </c>
      <c r="B334" s="414" t="s">
        <v>405</v>
      </c>
      <c r="C334" s="51">
        <f t="shared" si="70"/>
        <v>182349.19</v>
      </c>
      <c r="D334" s="51">
        <f t="shared" si="72"/>
        <v>0</v>
      </c>
      <c r="E334" s="51"/>
      <c r="F334" s="51"/>
      <c r="G334" s="51"/>
      <c r="H334" s="51"/>
      <c r="I334" s="51"/>
      <c r="J334" s="51"/>
      <c r="K334" s="51"/>
      <c r="L334" s="51"/>
      <c r="M334" s="35"/>
      <c r="N334" s="51"/>
      <c r="O334" s="82"/>
      <c r="P334" s="51"/>
      <c r="Q334" s="338"/>
      <c r="R334" s="51"/>
      <c r="S334" s="51"/>
      <c r="T334" s="338"/>
      <c r="U334" s="51"/>
      <c r="V334" s="35"/>
      <c r="W334" s="364">
        <f t="shared" si="71"/>
        <v>182349.19</v>
      </c>
      <c r="X334" s="141"/>
      <c r="Y334" s="357"/>
      <c r="Z334" s="357"/>
      <c r="AA334" s="357"/>
      <c r="AB334" s="357"/>
      <c r="AC334" s="357"/>
      <c r="AD334" s="357">
        <v>182349.19</v>
      </c>
      <c r="AE334" s="357"/>
      <c r="AF334" s="357"/>
      <c r="AG334" s="357"/>
      <c r="AH334" s="56"/>
      <c r="AI334" s="56"/>
    </row>
    <row r="335" spans="1:35" x14ac:dyDescent="0.3">
      <c r="A335" s="45">
        <f t="shared" si="73"/>
        <v>288</v>
      </c>
      <c r="B335" s="414" t="s">
        <v>406</v>
      </c>
      <c r="C335" s="51">
        <f t="shared" si="70"/>
        <v>181314.49</v>
      </c>
      <c r="D335" s="51">
        <f t="shared" si="72"/>
        <v>0</v>
      </c>
      <c r="E335" s="51"/>
      <c r="F335" s="51"/>
      <c r="G335" s="51"/>
      <c r="H335" s="51"/>
      <c r="I335" s="51"/>
      <c r="J335" s="51"/>
      <c r="K335" s="51"/>
      <c r="L335" s="51"/>
      <c r="M335" s="35"/>
      <c r="N335" s="51"/>
      <c r="O335" s="82"/>
      <c r="P335" s="51"/>
      <c r="Q335" s="338"/>
      <c r="R335" s="51"/>
      <c r="S335" s="51"/>
      <c r="T335" s="338"/>
      <c r="U335" s="51"/>
      <c r="V335" s="35"/>
      <c r="W335" s="364">
        <f t="shared" si="71"/>
        <v>181314.49</v>
      </c>
      <c r="X335" s="141"/>
      <c r="Y335" s="357"/>
      <c r="Z335" s="357"/>
      <c r="AA335" s="357"/>
      <c r="AB335" s="357"/>
      <c r="AC335" s="357"/>
      <c r="AD335" s="357">
        <v>181314.49</v>
      </c>
      <c r="AE335" s="357"/>
      <c r="AF335" s="357"/>
      <c r="AG335" s="357"/>
      <c r="AH335" s="56"/>
      <c r="AI335" s="56"/>
    </row>
    <row r="336" spans="1:35" x14ac:dyDescent="0.3">
      <c r="A336" s="45">
        <f t="shared" si="73"/>
        <v>289</v>
      </c>
      <c r="B336" s="414" t="s">
        <v>407</v>
      </c>
      <c r="C336" s="51">
        <f t="shared" si="70"/>
        <v>182110.42</v>
      </c>
      <c r="D336" s="51">
        <f t="shared" si="72"/>
        <v>0</v>
      </c>
      <c r="E336" s="51"/>
      <c r="F336" s="51"/>
      <c r="G336" s="51"/>
      <c r="H336" s="51"/>
      <c r="I336" s="51"/>
      <c r="J336" s="51"/>
      <c r="K336" s="51"/>
      <c r="L336" s="51"/>
      <c r="M336" s="35"/>
      <c r="N336" s="51"/>
      <c r="O336" s="82"/>
      <c r="P336" s="51"/>
      <c r="Q336" s="338"/>
      <c r="R336" s="51"/>
      <c r="S336" s="51"/>
      <c r="T336" s="338"/>
      <c r="U336" s="51"/>
      <c r="V336" s="35"/>
      <c r="W336" s="364">
        <f t="shared" si="71"/>
        <v>182110.42</v>
      </c>
      <c r="X336" s="141"/>
      <c r="Y336" s="48"/>
      <c r="Z336" s="357"/>
      <c r="AA336" s="357"/>
      <c r="AB336" s="357"/>
      <c r="AC336" s="357"/>
      <c r="AD336" s="357">
        <v>182110.42</v>
      </c>
      <c r="AE336" s="357"/>
      <c r="AF336" s="357"/>
      <c r="AG336" s="357"/>
      <c r="AH336" s="56"/>
      <c r="AI336" s="56"/>
    </row>
    <row r="337" spans="1:35" x14ac:dyDescent="0.3">
      <c r="A337" s="45">
        <f t="shared" si="73"/>
        <v>290</v>
      </c>
      <c r="B337" s="414" t="s">
        <v>408</v>
      </c>
      <c r="C337" s="51">
        <f t="shared" si="70"/>
        <v>314583.57</v>
      </c>
      <c r="D337" s="51">
        <f t="shared" si="72"/>
        <v>0</v>
      </c>
      <c r="E337" s="51"/>
      <c r="F337" s="51"/>
      <c r="G337" s="51"/>
      <c r="H337" s="51"/>
      <c r="I337" s="51"/>
      <c r="J337" s="51"/>
      <c r="K337" s="51"/>
      <c r="L337" s="51"/>
      <c r="M337" s="35"/>
      <c r="N337" s="51"/>
      <c r="O337" s="82"/>
      <c r="P337" s="51"/>
      <c r="Q337" s="338"/>
      <c r="R337" s="51"/>
      <c r="S337" s="51"/>
      <c r="T337" s="338"/>
      <c r="U337" s="51"/>
      <c r="V337" s="35"/>
      <c r="W337" s="364">
        <f t="shared" si="71"/>
        <v>314583.57</v>
      </c>
      <c r="X337" s="141"/>
      <c r="Y337" s="357">
        <v>115553.48</v>
      </c>
      <c r="Z337" s="357"/>
      <c r="AA337" s="357"/>
      <c r="AB337" s="357"/>
      <c r="AC337" s="357"/>
      <c r="AD337" s="357">
        <v>199030.09</v>
      </c>
      <c r="AE337" s="357"/>
      <c r="AF337" s="357"/>
      <c r="AG337" s="357"/>
      <c r="AH337" s="56"/>
      <c r="AI337" s="56"/>
    </row>
    <row r="338" spans="1:35" x14ac:dyDescent="0.3">
      <c r="A338" s="45">
        <f t="shared" si="73"/>
        <v>291</v>
      </c>
      <c r="B338" s="414" t="s">
        <v>409</v>
      </c>
      <c r="C338" s="51">
        <f t="shared" si="70"/>
        <v>556128.15999999992</v>
      </c>
      <c r="D338" s="51">
        <f t="shared" si="72"/>
        <v>0</v>
      </c>
      <c r="E338" s="51"/>
      <c r="F338" s="51"/>
      <c r="G338" s="51"/>
      <c r="H338" s="51"/>
      <c r="I338" s="51"/>
      <c r="J338" s="51"/>
      <c r="K338" s="51"/>
      <c r="L338" s="51"/>
      <c r="M338" s="35"/>
      <c r="N338" s="51"/>
      <c r="O338" s="82"/>
      <c r="P338" s="51"/>
      <c r="Q338" s="338"/>
      <c r="R338" s="51"/>
      <c r="S338" s="51"/>
      <c r="T338" s="338"/>
      <c r="U338" s="51"/>
      <c r="V338" s="35"/>
      <c r="W338" s="364">
        <f t="shared" si="71"/>
        <v>556128.15999999992</v>
      </c>
      <c r="X338" s="141"/>
      <c r="Y338" s="48"/>
      <c r="Z338" s="357">
        <v>140590.87</v>
      </c>
      <c r="AA338" s="357"/>
      <c r="AB338" s="357">
        <v>117409.13</v>
      </c>
      <c r="AC338" s="357"/>
      <c r="AD338" s="357">
        <v>298128.15999999997</v>
      </c>
      <c r="AE338" s="357"/>
      <c r="AF338" s="357"/>
      <c r="AG338" s="357"/>
      <c r="AH338" s="56"/>
      <c r="AI338" s="56"/>
    </row>
    <row r="339" spans="1:35" x14ac:dyDescent="0.3">
      <c r="A339" s="45">
        <f t="shared" si="73"/>
        <v>292</v>
      </c>
      <c r="B339" s="414" t="s">
        <v>410</v>
      </c>
      <c r="C339" s="51">
        <f t="shared" si="70"/>
        <v>225149.22999999998</v>
      </c>
      <c r="D339" s="51">
        <f t="shared" si="72"/>
        <v>0</v>
      </c>
      <c r="E339" s="51"/>
      <c r="F339" s="51"/>
      <c r="G339" s="51"/>
      <c r="H339" s="51"/>
      <c r="I339" s="51"/>
      <c r="J339" s="51"/>
      <c r="K339" s="51"/>
      <c r="L339" s="51"/>
      <c r="M339" s="35"/>
      <c r="N339" s="51"/>
      <c r="O339" s="82"/>
      <c r="P339" s="51"/>
      <c r="Q339" s="338"/>
      <c r="R339" s="51"/>
      <c r="S339" s="51"/>
      <c r="T339" s="338"/>
      <c r="U339" s="51"/>
      <c r="V339" s="35"/>
      <c r="W339" s="364">
        <f t="shared" si="71"/>
        <v>225149.22999999998</v>
      </c>
      <c r="X339" s="141"/>
      <c r="Y339" s="48"/>
      <c r="Z339" s="357">
        <v>66393.16</v>
      </c>
      <c r="AA339" s="357"/>
      <c r="AB339" s="357">
        <v>49415.56</v>
      </c>
      <c r="AC339" s="357"/>
      <c r="AD339" s="357">
        <v>109340.51</v>
      </c>
      <c r="AE339" s="357"/>
      <c r="AF339" s="357"/>
      <c r="AG339" s="357"/>
      <c r="AH339" s="56"/>
      <c r="AI339" s="56"/>
    </row>
    <row r="340" spans="1:35" x14ac:dyDescent="0.3">
      <c r="A340" s="45">
        <f t="shared" si="73"/>
        <v>293</v>
      </c>
      <c r="B340" s="414" t="s">
        <v>411</v>
      </c>
      <c r="C340" s="51">
        <f t="shared" si="70"/>
        <v>553301.64</v>
      </c>
      <c r="D340" s="51">
        <f t="shared" si="72"/>
        <v>0</v>
      </c>
      <c r="E340" s="51"/>
      <c r="F340" s="51"/>
      <c r="G340" s="51"/>
      <c r="H340" s="51"/>
      <c r="I340" s="51"/>
      <c r="J340" s="51"/>
      <c r="K340" s="51"/>
      <c r="L340" s="51"/>
      <c r="M340" s="35"/>
      <c r="N340" s="51"/>
      <c r="O340" s="82"/>
      <c r="P340" s="51"/>
      <c r="Q340" s="338"/>
      <c r="R340" s="51"/>
      <c r="S340" s="51"/>
      <c r="T340" s="338"/>
      <c r="U340" s="51"/>
      <c r="V340" s="35"/>
      <c r="W340" s="364">
        <f t="shared" si="71"/>
        <v>553301.64</v>
      </c>
      <c r="X340" s="141"/>
      <c r="Y340" s="357"/>
      <c r="Z340" s="357">
        <v>130837.72</v>
      </c>
      <c r="AA340" s="357"/>
      <c r="AB340" s="357">
        <v>110187.85</v>
      </c>
      <c r="AC340" s="357">
        <v>110187.85</v>
      </c>
      <c r="AD340" s="357">
        <v>202088.22</v>
      </c>
      <c r="AE340" s="357"/>
      <c r="AF340" s="357"/>
      <c r="AG340" s="357"/>
      <c r="AH340" s="56"/>
      <c r="AI340" s="56"/>
    </row>
    <row r="341" spans="1:35" x14ac:dyDescent="0.3">
      <c r="A341" s="45">
        <f t="shared" si="73"/>
        <v>294</v>
      </c>
      <c r="B341" s="414" t="s">
        <v>412</v>
      </c>
      <c r="C341" s="51">
        <f t="shared" si="70"/>
        <v>672629.63000000012</v>
      </c>
      <c r="D341" s="51">
        <f t="shared" si="72"/>
        <v>0</v>
      </c>
      <c r="E341" s="51"/>
      <c r="F341" s="51"/>
      <c r="G341" s="51"/>
      <c r="H341" s="51"/>
      <c r="I341" s="51"/>
      <c r="J341" s="51"/>
      <c r="K341" s="51"/>
      <c r="L341" s="51"/>
      <c r="M341" s="35"/>
      <c r="N341" s="51"/>
      <c r="O341" s="82"/>
      <c r="P341" s="51"/>
      <c r="Q341" s="338"/>
      <c r="R341" s="51"/>
      <c r="S341" s="51"/>
      <c r="T341" s="338"/>
      <c r="U341" s="51"/>
      <c r="V341" s="35"/>
      <c r="W341" s="364">
        <f t="shared" si="71"/>
        <v>672629.63000000012</v>
      </c>
      <c r="X341" s="141"/>
      <c r="Y341" s="357">
        <v>102630.89</v>
      </c>
      <c r="Z341" s="357">
        <v>120770.99</v>
      </c>
      <c r="AA341" s="357"/>
      <c r="AB341" s="357">
        <f>AB339+AB340</f>
        <v>159603.41</v>
      </c>
      <c r="AC341" s="357">
        <v>101091.08</v>
      </c>
      <c r="AD341" s="357">
        <v>188533.26</v>
      </c>
      <c r="AE341" s="357"/>
      <c r="AF341" s="357"/>
      <c r="AG341" s="357"/>
      <c r="AH341" s="56"/>
      <c r="AI341" s="56"/>
    </row>
    <row r="342" spans="1:35" x14ac:dyDescent="0.3">
      <c r="A342" s="45">
        <f t="shared" si="73"/>
        <v>295</v>
      </c>
      <c r="B342" s="414" t="s">
        <v>413</v>
      </c>
      <c r="C342" s="51">
        <f t="shared" ref="C342:C373" si="74">D342+K342+L342+N342+P342+R342+S342+U342+V342+W342</f>
        <v>245850.44</v>
      </c>
      <c r="D342" s="51">
        <f t="shared" si="72"/>
        <v>0</v>
      </c>
      <c r="E342" s="51"/>
      <c r="F342" s="51"/>
      <c r="G342" s="51"/>
      <c r="H342" s="51"/>
      <c r="I342" s="51"/>
      <c r="J342" s="51"/>
      <c r="K342" s="51"/>
      <c r="L342" s="51"/>
      <c r="M342" s="35"/>
      <c r="N342" s="51"/>
      <c r="O342" s="82"/>
      <c r="P342" s="51"/>
      <c r="Q342" s="338"/>
      <c r="R342" s="51"/>
      <c r="S342" s="51"/>
      <c r="T342" s="338"/>
      <c r="U342" s="51"/>
      <c r="V342" s="35"/>
      <c r="W342" s="364">
        <f t="shared" si="71"/>
        <v>245850.44</v>
      </c>
      <c r="X342" s="359"/>
      <c r="Y342" s="357"/>
      <c r="Z342" s="357"/>
      <c r="AA342" s="357"/>
      <c r="AB342" s="357">
        <v>84295.18</v>
      </c>
      <c r="AC342" s="357"/>
      <c r="AD342" s="357">
        <v>161555.26</v>
      </c>
      <c r="AE342" s="357"/>
      <c r="AF342" s="357"/>
      <c r="AG342" s="357"/>
      <c r="AH342" s="56"/>
      <c r="AI342" s="56"/>
    </row>
    <row r="343" spans="1:35" x14ac:dyDescent="0.3">
      <c r="A343" s="45">
        <f t="shared" si="73"/>
        <v>296</v>
      </c>
      <c r="B343" s="414" t="s">
        <v>414</v>
      </c>
      <c r="C343" s="51">
        <f t="shared" si="74"/>
        <v>130000</v>
      </c>
      <c r="D343" s="51">
        <f t="shared" si="72"/>
        <v>0</v>
      </c>
      <c r="E343" s="51"/>
      <c r="F343" s="51"/>
      <c r="G343" s="51"/>
      <c r="H343" s="51"/>
      <c r="I343" s="51"/>
      <c r="J343" s="51"/>
      <c r="K343" s="51"/>
      <c r="L343" s="51"/>
      <c r="M343" s="35"/>
      <c r="N343" s="51"/>
      <c r="O343" s="82"/>
      <c r="P343" s="51"/>
      <c r="Q343" s="338"/>
      <c r="R343" s="51"/>
      <c r="S343" s="51"/>
      <c r="T343" s="338"/>
      <c r="U343" s="51"/>
      <c r="V343" s="35"/>
      <c r="W343" s="364">
        <v>130000</v>
      </c>
      <c r="X343" s="359"/>
      <c r="Y343" s="357"/>
      <c r="Z343" s="357"/>
      <c r="AA343" s="357"/>
      <c r="AB343" s="357"/>
      <c r="AC343" s="357"/>
      <c r="AD343" s="357"/>
      <c r="AE343" s="357"/>
      <c r="AF343" s="357"/>
      <c r="AG343" s="357"/>
      <c r="AH343" s="56"/>
      <c r="AI343" s="56"/>
    </row>
    <row r="344" spans="1:35" x14ac:dyDescent="0.3">
      <c r="A344" s="45">
        <f t="shared" si="73"/>
        <v>297</v>
      </c>
      <c r="B344" s="414" t="s">
        <v>415</v>
      </c>
      <c r="C344" s="51">
        <f t="shared" si="74"/>
        <v>184126.56</v>
      </c>
      <c r="D344" s="51">
        <f t="shared" si="72"/>
        <v>0</v>
      </c>
      <c r="E344" s="51"/>
      <c r="F344" s="51"/>
      <c r="G344" s="51"/>
      <c r="H344" s="51"/>
      <c r="I344" s="51"/>
      <c r="J344" s="51"/>
      <c r="K344" s="51"/>
      <c r="L344" s="51"/>
      <c r="M344" s="35"/>
      <c r="N344" s="51"/>
      <c r="O344" s="82"/>
      <c r="P344" s="51"/>
      <c r="Q344" s="338"/>
      <c r="R344" s="51"/>
      <c r="S344" s="51"/>
      <c r="T344" s="338"/>
      <c r="U344" s="51"/>
      <c r="V344" s="35"/>
      <c r="W344" s="364">
        <f t="shared" ref="W344:W349" si="75">SUM(X344:AI344)</f>
        <v>184126.56</v>
      </c>
      <c r="X344" s="359"/>
      <c r="Y344" s="357">
        <v>63084.959999999999</v>
      </c>
      <c r="Z344" s="357"/>
      <c r="AA344" s="357"/>
      <c r="AB344" s="357">
        <v>60520.800000000003</v>
      </c>
      <c r="AC344" s="357">
        <v>60520.800000000003</v>
      </c>
      <c r="AD344" s="357"/>
      <c r="AE344" s="357"/>
      <c r="AF344" s="357"/>
      <c r="AG344" s="357"/>
      <c r="AH344" s="56"/>
      <c r="AI344" s="56"/>
    </row>
    <row r="345" spans="1:35" x14ac:dyDescent="0.3">
      <c r="A345" s="45">
        <f t="shared" si="73"/>
        <v>298</v>
      </c>
      <c r="B345" s="414" t="s">
        <v>416</v>
      </c>
      <c r="C345" s="51">
        <f t="shared" si="74"/>
        <v>184126.56</v>
      </c>
      <c r="D345" s="51">
        <f t="shared" si="72"/>
        <v>0</v>
      </c>
      <c r="E345" s="51"/>
      <c r="F345" s="51"/>
      <c r="G345" s="51"/>
      <c r="H345" s="51"/>
      <c r="I345" s="51"/>
      <c r="J345" s="51"/>
      <c r="K345" s="51"/>
      <c r="L345" s="51"/>
      <c r="M345" s="35"/>
      <c r="N345" s="51"/>
      <c r="O345" s="82"/>
      <c r="P345" s="51"/>
      <c r="Q345" s="338"/>
      <c r="R345" s="51"/>
      <c r="S345" s="51"/>
      <c r="T345" s="338"/>
      <c r="U345" s="51"/>
      <c r="V345" s="35"/>
      <c r="W345" s="364">
        <f t="shared" si="75"/>
        <v>184126.56</v>
      </c>
      <c r="X345" s="359"/>
      <c r="Y345" s="357">
        <v>63084.959999999999</v>
      </c>
      <c r="Z345" s="357"/>
      <c r="AA345" s="357"/>
      <c r="AB345" s="357">
        <v>60520.800000000003</v>
      </c>
      <c r="AC345" s="357">
        <v>60520.800000000003</v>
      </c>
      <c r="AD345" s="357"/>
      <c r="AE345" s="357"/>
      <c r="AF345" s="357"/>
      <c r="AG345" s="357"/>
      <c r="AH345" s="56"/>
      <c r="AI345" s="56"/>
    </row>
    <row r="346" spans="1:35" x14ac:dyDescent="0.3">
      <c r="A346" s="45">
        <f t="shared" si="73"/>
        <v>299</v>
      </c>
      <c r="B346" s="414" t="s">
        <v>417</v>
      </c>
      <c r="C346" s="51">
        <f t="shared" si="74"/>
        <v>184877.46000000002</v>
      </c>
      <c r="D346" s="51">
        <f t="shared" si="72"/>
        <v>0</v>
      </c>
      <c r="E346" s="51"/>
      <c r="F346" s="51"/>
      <c r="G346" s="51"/>
      <c r="H346" s="51"/>
      <c r="I346" s="51"/>
      <c r="J346" s="51"/>
      <c r="K346" s="51"/>
      <c r="L346" s="51"/>
      <c r="M346" s="35"/>
      <c r="N346" s="51"/>
      <c r="O346" s="82"/>
      <c r="P346" s="51"/>
      <c r="Q346" s="338"/>
      <c r="R346" s="51"/>
      <c r="S346" s="51"/>
      <c r="T346" s="338"/>
      <c r="U346" s="51"/>
      <c r="V346" s="35"/>
      <c r="W346" s="364">
        <f t="shared" si="75"/>
        <v>184877.46000000002</v>
      </c>
      <c r="X346" s="359"/>
      <c r="Y346" s="357">
        <v>63336.74</v>
      </c>
      <c r="Z346" s="357"/>
      <c r="AA346" s="357"/>
      <c r="AB346" s="357">
        <v>60770.36</v>
      </c>
      <c r="AC346" s="357">
        <v>60770.36</v>
      </c>
      <c r="AD346" s="357"/>
      <c r="AE346" s="357"/>
      <c r="AF346" s="357"/>
      <c r="AG346" s="357"/>
      <c r="AH346" s="56"/>
      <c r="AI346" s="56"/>
    </row>
    <row r="347" spans="1:35" x14ac:dyDescent="0.3">
      <c r="A347" s="45">
        <f t="shared" si="73"/>
        <v>300</v>
      </c>
      <c r="B347" s="414" t="s">
        <v>418</v>
      </c>
      <c r="C347" s="51">
        <f t="shared" si="74"/>
        <v>75548.88</v>
      </c>
      <c r="D347" s="51">
        <f t="shared" si="72"/>
        <v>0</v>
      </c>
      <c r="E347" s="51"/>
      <c r="F347" s="51"/>
      <c r="G347" s="51"/>
      <c r="H347" s="51"/>
      <c r="I347" s="51"/>
      <c r="J347" s="51"/>
      <c r="K347" s="51"/>
      <c r="L347" s="51"/>
      <c r="M347" s="35"/>
      <c r="N347" s="51"/>
      <c r="O347" s="82"/>
      <c r="P347" s="51"/>
      <c r="Q347" s="338"/>
      <c r="R347" s="51"/>
      <c r="S347" s="51"/>
      <c r="T347" s="338"/>
      <c r="U347" s="51"/>
      <c r="V347" s="35"/>
      <c r="W347" s="364">
        <f t="shared" si="75"/>
        <v>75548.88</v>
      </c>
      <c r="X347" s="359"/>
      <c r="Y347" s="357">
        <v>75548.88</v>
      </c>
      <c r="Z347" s="357"/>
      <c r="AA347" s="357"/>
      <c r="AB347" s="357"/>
      <c r="AC347" s="357"/>
      <c r="AD347" s="357"/>
      <c r="AE347" s="357"/>
      <c r="AF347" s="357"/>
      <c r="AG347" s="357"/>
      <c r="AH347" s="56"/>
      <c r="AI347" s="56"/>
    </row>
    <row r="348" spans="1:35" x14ac:dyDescent="0.3">
      <c r="A348" s="45">
        <f t="shared" si="73"/>
        <v>301</v>
      </c>
      <c r="B348" s="414" t="s">
        <v>419</v>
      </c>
      <c r="C348" s="51">
        <f t="shared" si="74"/>
        <v>344661.4</v>
      </c>
      <c r="D348" s="51">
        <f t="shared" si="72"/>
        <v>0</v>
      </c>
      <c r="E348" s="51"/>
      <c r="F348" s="51"/>
      <c r="G348" s="51"/>
      <c r="H348" s="51"/>
      <c r="I348" s="51"/>
      <c r="J348" s="51"/>
      <c r="K348" s="51"/>
      <c r="L348" s="51"/>
      <c r="M348" s="35"/>
      <c r="N348" s="51"/>
      <c r="O348" s="82"/>
      <c r="P348" s="51"/>
      <c r="Q348" s="338"/>
      <c r="R348" s="51"/>
      <c r="S348" s="51"/>
      <c r="T348" s="338"/>
      <c r="U348" s="51"/>
      <c r="V348" s="35"/>
      <c r="W348" s="364">
        <f t="shared" si="75"/>
        <v>344661.4</v>
      </c>
      <c r="X348" s="359"/>
      <c r="Y348" s="357"/>
      <c r="Z348" s="357"/>
      <c r="AA348" s="357"/>
      <c r="AB348" s="357">
        <v>88319.46</v>
      </c>
      <c r="AC348" s="357">
        <v>88319.46</v>
      </c>
      <c r="AD348" s="357">
        <v>168022.48</v>
      </c>
      <c r="AE348" s="357"/>
      <c r="AF348" s="357"/>
      <c r="AG348" s="357"/>
      <c r="AH348" s="56"/>
      <c r="AI348" s="56"/>
    </row>
    <row r="349" spans="1:35" x14ac:dyDescent="0.3">
      <c r="A349" s="45">
        <f t="shared" si="73"/>
        <v>302</v>
      </c>
      <c r="B349" s="414" t="s">
        <v>420</v>
      </c>
      <c r="C349" s="51">
        <f t="shared" si="74"/>
        <v>189323.07</v>
      </c>
      <c r="D349" s="51">
        <f t="shared" si="72"/>
        <v>0</v>
      </c>
      <c r="E349" s="51"/>
      <c r="F349" s="51"/>
      <c r="G349" s="51"/>
      <c r="H349" s="51"/>
      <c r="I349" s="51"/>
      <c r="J349" s="51"/>
      <c r="K349" s="51"/>
      <c r="L349" s="51"/>
      <c r="M349" s="35"/>
      <c r="N349" s="51"/>
      <c r="O349" s="82"/>
      <c r="P349" s="51"/>
      <c r="Q349" s="338"/>
      <c r="R349" s="51"/>
      <c r="S349" s="51"/>
      <c r="T349" s="338"/>
      <c r="U349" s="51"/>
      <c r="V349" s="35"/>
      <c r="W349" s="364">
        <f t="shared" si="75"/>
        <v>189323.07</v>
      </c>
      <c r="X349" s="141"/>
      <c r="Y349" s="48">
        <v>61894.93</v>
      </c>
      <c r="Z349" s="48"/>
      <c r="AA349" s="48"/>
      <c r="AB349" s="48"/>
      <c r="AC349" s="48"/>
      <c r="AD349" s="48">
        <v>127428.14</v>
      </c>
      <c r="AE349" s="61"/>
      <c r="AF349" s="62"/>
      <c r="AG349" s="62"/>
      <c r="AH349" s="56"/>
      <c r="AI349" s="56"/>
    </row>
    <row r="350" spans="1:35" x14ac:dyDescent="0.3">
      <c r="A350" s="45">
        <f t="shared" si="73"/>
        <v>303</v>
      </c>
      <c r="B350" s="414" t="s">
        <v>421</v>
      </c>
      <c r="C350" s="51">
        <f t="shared" si="74"/>
        <v>2477260</v>
      </c>
      <c r="D350" s="51">
        <f t="shared" si="72"/>
        <v>0</v>
      </c>
      <c r="E350" s="51"/>
      <c r="F350" s="51"/>
      <c r="G350" s="51"/>
      <c r="H350" s="51"/>
      <c r="I350" s="51"/>
      <c r="J350" s="51"/>
      <c r="K350" s="51"/>
      <c r="L350" s="51"/>
      <c r="M350" s="35">
        <v>290</v>
      </c>
      <c r="N350" s="51">
        <f>M350*8094</f>
        <v>2347260</v>
      </c>
      <c r="O350" s="82"/>
      <c r="P350" s="51"/>
      <c r="Q350" s="338"/>
      <c r="R350" s="51"/>
      <c r="S350" s="51"/>
      <c r="T350" s="338"/>
      <c r="U350" s="51"/>
      <c r="V350" s="35"/>
      <c r="W350" s="364">
        <v>130000</v>
      </c>
      <c r="X350" s="141"/>
      <c r="Y350" s="48"/>
      <c r="Z350" s="48"/>
      <c r="AA350" s="48"/>
      <c r="AB350" s="48"/>
      <c r="AC350" s="48"/>
      <c r="AD350" s="48"/>
      <c r="AE350" s="61"/>
      <c r="AF350" s="62"/>
      <c r="AG350" s="62"/>
      <c r="AH350" s="56"/>
      <c r="AI350" s="56"/>
    </row>
    <row r="351" spans="1:35" x14ac:dyDescent="0.3">
      <c r="A351" s="45">
        <f t="shared" si="73"/>
        <v>304</v>
      </c>
      <c r="B351" s="414" t="s">
        <v>422</v>
      </c>
      <c r="C351" s="51">
        <f t="shared" si="74"/>
        <v>5147689.2</v>
      </c>
      <c r="D351" s="51">
        <f t="shared" si="72"/>
        <v>3104277</v>
      </c>
      <c r="E351" s="51">
        <f>(140*2688)+(1*358323)</f>
        <v>734643</v>
      </c>
      <c r="F351" s="51">
        <f>146*5502+2*607361</f>
        <v>2018014</v>
      </c>
      <c r="G351" s="51">
        <f>45*3910</f>
        <v>175950</v>
      </c>
      <c r="H351" s="51"/>
      <c r="I351" s="51">
        <f>55*3194</f>
        <v>175670</v>
      </c>
      <c r="J351" s="51"/>
      <c r="K351" s="51"/>
      <c r="L351" s="51"/>
      <c r="M351" s="35">
        <v>204.23</v>
      </c>
      <c r="N351" s="51">
        <v>1188229.2</v>
      </c>
      <c r="O351" s="82"/>
      <c r="P351" s="51"/>
      <c r="Q351" s="338"/>
      <c r="R351" s="51"/>
      <c r="S351" s="51"/>
      <c r="T351" s="338"/>
      <c r="U351" s="51"/>
      <c r="V351" s="35">
        <f>214531+117656+392996</f>
        <v>725183</v>
      </c>
      <c r="W351" s="364">
        <v>130000</v>
      </c>
      <c r="X351" s="141"/>
      <c r="Y351" s="48"/>
      <c r="Z351" s="48"/>
      <c r="AA351" s="48"/>
      <c r="AB351" s="48"/>
      <c r="AC351" s="48"/>
      <c r="AD351" s="48"/>
      <c r="AE351" s="61"/>
      <c r="AF351" s="62"/>
      <c r="AG351" s="62"/>
      <c r="AH351" s="56"/>
    </row>
    <row r="352" spans="1:35" x14ac:dyDescent="0.3">
      <c r="A352" s="45">
        <f t="shared" si="73"/>
        <v>305</v>
      </c>
      <c r="B352" s="414" t="s">
        <v>423</v>
      </c>
      <c r="C352" s="51">
        <f t="shared" si="74"/>
        <v>462783.06999999995</v>
      </c>
      <c r="D352" s="51">
        <f t="shared" si="72"/>
        <v>0</v>
      </c>
      <c r="E352" s="51"/>
      <c r="F352" s="51"/>
      <c r="G352" s="51"/>
      <c r="H352" s="51"/>
      <c r="I352" s="51"/>
      <c r="J352" s="51"/>
      <c r="K352" s="51"/>
      <c r="L352" s="51"/>
      <c r="M352" s="35"/>
      <c r="N352" s="51"/>
      <c r="O352" s="82"/>
      <c r="P352" s="51"/>
      <c r="Q352" s="338"/>
      <c r="R352" s="51"/>
      <c r="S352" s="51"/>
      <c r="T352" s="338"/>
      <c r="U352" s="51"/>
      <c r="V352" s="35"/>
      <c r="W352" s="364">
        <f t="shared" ref="W352:W364" si="76">SUM(X352:AI352)</f>
        <v>462783.06999999995</v>
      </c>
      <c r="X352" s="141"/>
      <c r="Y352" s="48">
        <v>108445.5</v>
      </c>
      <c r="Z352" s="48">
        <v>135290.32999999999</v>
      </c>
      <c r="AA352" s="48"/>
      <c r="AB352" s="48">
        <v>109523.62</v>
      </c>
      <c r="AC352" s="48">
        <v>109523.62</v>
      </c>
      <c r="AD352" s="48"/>
      <c r="AE352" s="61"/>
      <c r="AF352" s="62"/>
      <c r="AG352" s="62"/>
      <c r="AH352" s="56"/>
      <c r="AI352" s="56"/>
    </row>
    <row r="353" spans="1:35" x14ac:dyDescent="0.3">
      <c r="A353" s="45">
        <f t="shared" si="73"/>
        <v>306</v>
      </c>
      <c r="B353" s="414" t="s">
        <v>424</v>
      </c>
      <c r="C353" s="51">
        <f t="shared" si="74"/>
        <v>311577.15999999997</v>
      </c>
      <c r="D353" s="51">
        <f t="shared" ref="D353:D384" si="77">E353+F353+G353+H353+I353</f>
        <v>0</v>
      </c>
      <c r="E353" s="51"/>
      <c r="F353" s="51"/>
      <c r="G353" s="51"/>
      <c r="H353" s="51"/>
      <c r="I353" s="51"/>
      <c r="J353" s="51"/>
      <c r="K353" s="51"/>
      <c r="L353" s="51"/>
      <c r="M353" s="35"/>
      <c r="N353" s="51"/>
      <c r="O353" s="82"/>
      <c r="P353" s="51"/>
      <c r="Q353" s="338"/>
      <c r="R353" s="51"/>
      <c r="S353" s="51"/>
      <c r="T353" s="338"/>
      <c r="U353" s="51"/>
      <c r="V353" s="35"/>
      <c r="W353" s="364">
        <f t="shared" si="76"/>
        <v>311577.15999999997</v>
      </c>
      <c r="X353" s="141"/>
      <c r="Y353" s="48"/>
      <c r="Z353" s="48"/>
      <c r="AA353" s="48"/>
      <c r="AB353" s="48">
        <v>79020.289999999994</v>
      </c>
      <c r="AC353" s="48">
        <v>79020.289999999994</v>
      </c>
      <c r="AD353" s="48">
        <v>153536.57999999999</v>
      </c>
      <c r="AE353" s="61"/>
      <c r="AF353" s="62"/>
      <c r="AG353" s="62"/>
      <c r="AH353" s="56"/>
      <c r="AI353" s="56"/>
    </row>
    <row r="354" spans="1:35" x14ac:dyDescent="0.3">
      <c r="A354" s="45">
        <f t="shared" si="73"/>
        <v>307</v>
      </c>
      <c r="B354" s="414" t="s">
        <v>425</v>
      </c>
      <c r="C354" s="51">
        <f t="shared" si="74"/>
        <v>191024.81</v>
      </c>
      <c r="D354" s="51">
        <f t="shared" si="77"/>
        <v>0</v>
      </c>
      <c r="E354" s="51"/>
      <c r="F354" s="51"/>
      <c r="G354" s="51"/>
      <c r="H354" s="51"/>
      <c r="I354" s="51"/>
      <c r="J354" s="51"/>
      <c r="K354" s="51"/>
      <c r="L354" s="51"/>
      <c r="M354" s="35"/>
      <c r="N354" s="51"/>
      <c r="O354" s="82"/>
      <c r="P354" s="51"/>
      <c r="Q354" s="338"/>
      <c r="R354" s="51"/>
      <c r="S354" s="51"/>
      <c r="T354" s="338"/>
      <c r="U354" s="51"/>
      <c r="V354" s="35"/>
      <c r="W354" s="364">
        <f t="shared" si="76"/>
        <v>191024.81</v>
      </c>
      <c r="X354" s="141"/>
      <c r="Y354" s="48"/>
      <c r="Z354" s="48"/>
      <c r="AA354" s="48"/>
      <c r="AB354" s="48"/>
      <c r="AC354" s="48"/>
      <c r="AD354" s="48">
        <v>191024.81</v>
      </c>
      <c r="AE354" s="61"/>
      <c r="AF354" s="62"/>
      <c r="AG354" s="62"/>
      <c r="AH354" s="56"/>
      <c r="AI354" s="56"/>
    </row>
    <row r="355" spans="1:35" x14ac:dyDescent="0.3">
      <c r="A355" s="45">
        <f t="shared" si="73"/>
        <v>308</v>
      </c>
      <c r="B355" s="414" t="s">
        <v>426</v>
      </c>
      <c r="C355" s="51">
        <f t="shared" si="74"/>
        <v>199630.41999999998</v>
      </c>
      <c r="D355" s="51">
        <f t="shared" si="77"/>
        <v>0</v>
      </c>
      <c r="E355" s="51"/>
      <c r="F355" s="51"/>
      <c r="G355" s="51"/>
      <c r="H355" s="51"/>
      <c r="I355" s="51"/>
      <c r="J355" s="51"/>
      <c r="K355" s="51"/>
      <c r="L355" s="51"/>
      <c r="M355" s="35"/>
      <c r="N355" s="51"/>
      <c r="O355" s="82"/>
      <c r="P355" s="51"/>
      <c r="Q355" s="338"/>
      <c r="R355" s="51"/>
      <c r="S355" s="51"/>
      <c r="T355" s="338"/>
      <c r="U355" s="51"/>
      <c r="V355" s="35"/>
      <c r="W355" s="364">
        <f t="shared" si="76"/>
        <v>199630.41999999998</v>
      </c>
      <c r="X355" s="141"/>
      <c r="Y355" s="48"/>
      <c r="Z355" s="48"/>
      <c r="AA355" s="48"/>
      <c r="AB355" s="48">
        <v>66429.64</v>
      </c>
      <c r="AC355" s="48"/>
      <c r="AD355" s="48">
        <v>133200.78</v>
      </c>
      <c r="AE355" s="61"/>
      <c r="AF355" s="62"/>
      <c r="AG355" s="62"/>
      <c r="AH355" s="56"/>
      <c r="AI355" s="56"/>
    </row>
    <row r="356" spans="1:35" x14ac:dyDescent="0.3">
      <c r="A356" s="45">
        <f t="shared" si="73"/>
        <v>309</v>
      </c>
      <c r="B356" s="414" t="s">
        <v>427</v>
      </c>
      <c r="C356" s="51">
        <f t="shared" si="74"/>
        <v>697915.73</v>
      </c>
      <c r="D356" s="51">
        <f t="shared" si="77"/>
        <v>0</v>
      </c>
      <c r="E356" s="51"/>
      <c r="F356" s="51"/>
      <c r="G356" s="51"/>
      <c r="H356" s="51"/>
      <c r="I356" s="51"/>
      <c r="J356" s="51"/>
      <c r="K356" s="51"/>
      <c r="L356" s="51"/>
      <c r="M356" s="35"/>
      <c r="N356" s="51"/>
      <c r="O356" s="82"/>
      <c r="P356" s="51"/>
      <c r="Q356" s="338"/>
      <c r="R356" s="51"/>
      <c r="S356" s="51"/>
      <c r="T356" s="338"/>
      <c r="U356" s="51"/>
      <c r="V356" s="35"/>
      <c r="W356" s="364">
        <f t="shared" si="76"/>
        <v>697915.73</v>
      </c>
      <c r="X356" s="141"/>
      <c r="Y356" s="48"/>
      <c r="Z356" s="48"/>
      <c r="AA356" s="48"/>
      <c r="AB356" s="48"/>
      <c r="AC356" s="48"/>
      <c r="AD356" s="48">
        <v>697915.73</v>
      </c>
      <c r="AE356" s="61"/>
      <c r="AF356" s="62"/>
      <c r="AG356" s="62"/>
      <c r="AH356" s="56"/>
      <c r="AI356" s="56"/>
    </row>
    <row r="357" spans="1:35" x14ac:dyDescent="0.3">
      <c r="A357" s="45">
        <f t="shared" si="73"/>
        <v>310</v>
      </c>
      <c r="B357" s="414" t="s">
        <v>428</v>
      </c>
      <c r="C357" s="51">
        <f t="shared" si="74"/>
        <v>155974.20000000001</v>
      </c>
      <c r="D357" s="51">
        <f t="shared" si="77"/>
        <v>0</v>
      </c>
      <c r="E357" s="51"/>
      <c r="F357" s="51"/>
      <c r="G357" s="51"/>
      <c r="H357" s="51"/>
      <c r="I357" s="51"/>
      <c r="J357" s="51"/>
      <c r="K357" s="51"/>
      <c r="L357" s="51"/>
      <c r="M357" s="35"/>
      <c r="N357" s="51"/>
      <c r="O357" s="82"/>
      <c r="P357" s="51"/>
      <c r="Q357" s="338"/>
      <c r="R357" s="51"/>
      <c r="S357" s="51"/>
      <c r="T357" s="338"/>
      <c r="U357" s="51"/>
      <c r="V357" s="35"/>
      <c r="W357" s="364">
        <f t="shared" si="76"/>
        <v>155974.20000000001</v>
      </c>
      <c r="X357" s="141"/>
      <c r="Y357" s="48"/>
      <c r="Z357" s="48"/>
      <c r="AA357" s="48"/>
      <c r="AB357" s="48"/>
      <c r="AC357" s="48"/>
      <c r="AD357" s="48">
        <v>155974.20000000001</v>
      </c>
      <c r="AE357" s="61"/>
      <c r="AF357" s="62"/>
      <c r="AG357" s="62"/>
      <c r="AH357" s="56"/>
      <c r="AI357" s="56"/>
    </row>
    <row r="358" spans="1:35" x14ac:dyDescent="0.3">
      <c r="A358" s="45">
        <f t="shared" si="73"/>
        <v>311</v>
      </c>
      <c r="B358" s="414" t="s">
        <v>429</v>
      </c>
      <c r="C358" s="51">
        <f t="shared" si="74"/>
        <v>326816.39</v>
      </c>
      <c r="D358" s="51">
        <f t="shared" si="77"/>
        <v>0</v>
      </c>
      <c r="E358" s="51"/>
      <c r="F358" s="51"/>
      <c r="G358" s="51"/>
      <c r="H358" s="51"/>
      <c r="I358" s="51"/>
      <c r="J358" s="51"/>
      <c r="K358" s="51"/>
      <c r="L358" s="51"/>
      <c r="M358" s="35"/>
      <c r="N358" s="51"/>
      <c r="O358" s="82"/>
      <c r="P358" s="51"/>
      <c r="Q358" s="338"/>
      <c r="R358" s="51"/>
      <c r="S358" s="51"/>
      <c r="T358" s="338"/>
      <c r="U358" s="51"/>
      <c r="V358" s="35"/>
      <c r="W358" s="364">
        <f t="shared" si="76"/>
        <v>326816.39</v>
      </c>
      <c r="X358" s="141"/>
      <c r="Y358" s="48">
        <v>61404.86</v>
      </c>
      <c r="Z358" s="48">
        <v>86147.520000000004</v>
      </c>
      <c r="AA358" s="48"/>
      <c r="AB358" s="48">
        <v>118618.42</v>
      </c>
      <c r="AC358" s="48">
        <v>60645.59</v>
      </c>
      <c r="AD358" s="48"/>
      <c r="AE358" s="61"/>
      <c r="AF358" s="62"/>
      <c r="AG358" s="62"/>
      <c r="AH358" s="56"/>
      <c r="AI358" s="56"/>
    </row>
    <row r="359" spans="1:35" x14ac:dyDescent="0.3">
      <c r="A359" s="45">
        <f t="shared" si="73"/>
        <v>312</v>
      </c>
      <c r="B359" s="414" t="s">
        <v>430</v>
      </c>
      <c r="C359" s="51">
        <f t="shared" si="74"/>
        <v>380743.06</v>
      </c>
      <c r="D359" s="51">
        <f t="shared" si="77"/>
        <v>0</v>
      </c>
      <c r="E359" s="51"/>
      <c r="F359" s="51"/>
      <c r="G359" s="51"/>
      <c r="H359" s="51"/>
      <c r="I359" s="51"/>
      <c r="J359" s="51"/>
      <c r="K359" s="51"/>
      <c r="L359" s="51"/>
      <c r="M359" s="35"/>
      <c r="N359" s="51"/>
      <c r="O359" s="82"/>
      <c r="P359" s="51"/>
      <c r="Q359" s="338"/>
      <c r="R359" s="51"/>
      <c r="S359" s="51"/>
      <c r="T359" s="338"/>
      <c r="U359" s="51"/>
      <c r="V359" s="35"/>
      <c r="W359" s="364">
        <f t="shared" si="76"/>
        <v>380743.06</v>
      </c>
      <c r="X359" s="141"/>
      <c r="Y359" s="48">
        <v>117440.41</v>
      </c>
      <c r="Z359" s="48">
        <v>144684.23000000001</v>
      </c>
      <c r="AA359" s="48"/>
      <c r="AB359" s="48"/>
      <c r="AC359" s="48">
        <v>118618.42</v>
      </c>
      <c r="AD359" s="48"/>
      <c r="AE359" s="61"/>
      <c r="AF359" s="62"/>
      <c r="AG359" s="62"/>
      <c r="AH359" s="56"/>
      <c r="AI359" s="56"/>
    </row>
    <row r="360" spans="1:35" x14ac:dyDescent="0.3">
      <c r="A360" s="45">
        <f t="shared" si="73"/>
        <v>313</v>
      </c>
      <c r="B360" s="414" t="s">
        <v>431</v>
      </c>
      <c r="C360" s="51">
        <f t="shared" si="74"/>
        <v>233366.96000000002</v>
      </c>
      <c r="D360" s="51">
        <f t="shared" si="77"/>
        <v>0</v>
      </c>
      <c r="E360" s="51"/>
      <c r="F360" s="51"/>
      <c r="G360" s="51"/>
      <c r="H360" s="51"/>
      <c r="I360" s="51"/>
      <c r="J360" s="51"/>
      <c r="K360" s="51"/>
      <c r="L360" s="51"/>
      <c r="M360" s="35"/>
      <c r="N360" s="51"/>
      <c r="O360" s="82"/>
      <c r="P360" s="51"/>
      <c r="Q360" s="338"/>
      <c r="R360" s="51"/>
      <c r="S360" s="51"/>
      <c r="T360" s="338"/>
      <c r="U360" s="51"/>
      <c r="V360" s="35"/>
      <c r="W360" s="364">
        <f t="shared" si="76"/>
        <v>233366.96000000002</v>
      </c>
      <c r="X360" s="141"/>
      <c r="Y360" s="48">
        <v>69628.44</v>
      </c>
      <c r="Z360" s="48">
        <v>94732.81</v>
      </c>
      <c r="AA360" s="48"/>
      <c r="AB360" s="48"/>
      <c r="AC360" s="48">
        <v>69005.710000000006</v>
      </c>
      <c r="AD360" s="48"/>
      <c r="AE360" s="61"/>
      <c r="AF360" s="62"/>
      <c r="AG360" s="62"/>
      <c r="AH360" s="56"/>
      <c r="AI360" s="56"/>
    </row>
    <row r="361" spans="1:35" x14ac:dyDescent="0.3">
      <c r="A361" s="45">
        <f t="shared" si="73"/>
        <v>314</v>
      </c>
      <c r="B361" s="414" t="s">
        <v>432</v>
      </c>
      <c r="C361" s="51">
        <f t="shared" si="74"/>
        <v>147634.45000000001</v>
      </c>
      <c r="D361" s="51">
        <f t="shared" si="77"/>
        <v>0</v>
      </c>
      <c r="E361" s="51"/>
      <c r="F361" s="51"/>
      <c r="G361" s="51"/>
      <c r="H361" s="51"/>
      <c r="I361" s="51"/>
      <c r="J361" s="51"/>
      <c r="K361" s="51"/>
      <c r="L361" s="51"/>
      <c r="M361" s="35"/>
      <c r="N361" s="51"/>
      <c r="O361" s="82"/>
      <c r="P361" s="51"/>
      <c r="Q361" s="338"/>
      <c r="R361" s="51"/>
      <c r="S361" s="51"/>
      <c r="T361" s="338"/>
      <c r="U361" s="51"/>
      <c r="V361" s="35"/>
      <c r="W361" s="364">
        <f t="shared" si="76"/>
        <v>147634.45000000001</v>
      </c>
      <c r="X361" s="141"/>
      <c r="Y361" s="48"/>
      <c r="Z361" s="48"/>
      <c r="AA361" s="48"/>
      <c r="AB361" s="48"/>
      <c r="AC361" s="48"/>
      <c r="AD361" s="48">
        <v>147634.45000000001</v>
      </c>
      <c r="AE361" s="61"/>
      <c r="AF361" s="62"/>
      <c r="AG361" s="62"/>
      <c r="AH361" s="56"/>
      <c r="AI361" s="56"/>
    </row>
    <row r="362" spans="1:35" x14ac:dyDescent="0.3">
      <c r="A362" s="45">
        <f t="shared" si="73"/>
        <v>315</v>
      </c>
      <c r="B362" s="414" t="s">
        <v>433</v>
      </c>
      <c r="C362" s="51">
        <f t="shared" si="74"/>
        <v>113085.6</v>
      </c>
      <c r="D362" s="51">
        <f t="shared" si="77"/>
        <v>0</v>
      </c>
      <c r="E362" s="51"/>
      <c r="F362" s="51"/>
      <c r="G362" s="51"/>
      <c r="H362" s="51"/>
      <c r="I362" s="51"/>
      <c r="J362" s="51"/>
      <c r="K362" s="51"/>
      <c r="L362" s="51"/>
      <c r="M362" s="35"/>
      <c r="N362" s="51"/>
      <c r="O362" s="82"/>
      <c r="P362" s="51"/>
      <c r="Q362" s="338"/>
      <c r="R362" s="51"/>
      <c r="S362" s="51"/>
      <c r="T362" s="338"/>
      <c r="U362" s="51"/>
      <c r="V362" s="35"/>
      <c r="W362" s="364">
        <f t="shared" si="76"/>
        <v>113085.6</v>
      </c>
      <c r="X362" s="141"/>
      <c r="Y362" s="48"/>
      <c r="Z362" s="48"/>
      <c r="AA362" s="48"/>
      <c r="AB362" s="48"/>
      <c r="AC362" s="48"/>
      <c r="AD362" s="48">
        <v>113085.6</v>
      </c>
      <c r="AE362" s="61"/>
      <c r="AF362" s="62"/>
      <c r="AG362" s="62"/>
      <c r="AH362" s="56"/>
      <c r="AI362" s="56"/>
    </row>
    <row r="363" spans="1:35" x14ac:dyDescent="0.3">
      <c r="A363" s="45">
        <f t="shared" si="73"/>
        <v>316</v>
      </c>
      <c r="B363" s="414" t="s">
        <v>434</v>
      </c>
      <c r="C363" s="51">
        <f t="shared" si="74"/>
        <v>425233.95000000007</v>
      </c>
      <c r="D363" s="51">
        <f t="shared" si="77"/>
        <v>0</v>
      </c>
      <c r="E363" s="51"/>
      <c r="F363" s="51"/>
      <c r="G363" s="51"/>
      <c r="H363" s="51"/>
      <c r="I363" s="51"/>
      <c r="J363" s="51"/>
      <c r="K363" s="51"/>
      <c r="L363" s="51"/>
      <c r="M363" s="35"/>
      <c r="N363" s="51"/>
      <c r="O363" s="82"/>
      <c r="P363" s="51"/>
      <c r="Q363" s="338"/>
      <c r="R363" s="51"/>
      <c r="S363" s="51"/>
      <c r="T363" s="338"/>
      <c r="U363" s="51"/>
      <c r="V363" s="35"/>
      <c r="W363" s="364">
        <f t="shared" si="76"/>
        <v>425233.95000000007</v>
      </c>
      <c r="X363" s="141"/>
      <c r="Y363" s="48"/>
      <c r="Z363" s="48">
        <v>102022.74</v>
      </c>
      <c r="AA363" s="48"/>
      <c r="AB363" s="48">
        <v>82290.34</v>
      </c>
      <c r="AC363" s="48">
        <v>82290.34</v>
      </c>
      <c r="AD363" s="48">
        <v>158630.53</v>
      </c>
      <c r="AE363" s="61"/>
      <c r="AF363" s="62"/>
      <c r="AG363" s="62"/>
      <c r="AH363" s="56"/>
      <c r="AI363" s="56"/>
    </row>
    <row r="364" spans="1:35" x14ac:dyDescent="0.3">
      <c r="A364" s="45">
        <f t="shared" si="73"/>
        <v>317</v>
      </c>
      <c r="B364" s="414" t="s">
        <v>435</v>
      </c>
      <c r="C364" s="51">
        <f t="shared" si="74"/>
        <v>426172.13</v>
      </c>
      <c r="D364" s="51">
        <f t="shared" si="77"/>
        <v>0</v>
      </c>
      <c r="E364" s="51"/>
      <c r="F364" s="51"/>
      <c r="G364" s="51"/>
      <c r="H364" s="51"/>
      <c r="I364" s="51"/>
      <c r="J364" s="51"/>
      <c r="K364" s="51"/>
      <c r="L364" s="51"/>
      <c r="M364" s="35"/>
      <c r="N364" s="51"/>
      <c r="O364" s="82"/>
      <c r="P364" s="51"/>
      <c r="Q364" s="338"/>
      <c r="R364" s="51"/>
      <c r="S364" s="51"/>
      <c r="T364" s="338"/>
      <c r="U364" s="51"/>
      <c r="V364" s="35"/>
      <c r="W364" s="364">
        <f t="shared" si="76"/>
        <v>426172.13</v>
      </c>
      <c r="X364" s="141"/>
      <c r="Y364" s="48"/>
      <c r="Z364" s="48">
        <v>102233.83</v>
      </c>
      <c r="AA364" s="48"/>
      <c r="AB364" s="48">
        <v>82494.710000000006</v>
      </c>
      <c r="AC364" s="48">
        <v>82494.710000000006</v>
      </c>
      <c r="AD364" s="48">
        <v>158948.88</v>
      </c>
      <c r="AE364" s="61"/>
      <c r="AF364" s="62"/>
      <c r="AG364" s="62"/>
      <c r="AH364" s="56"/>
      <c r="AI364" s="56"/>
    </row>
    <row r="365" spans="1:35" x14ac:dyDescent="0.3">
      <c r="A365" s="45">
        <f t="shared" si="73"/>
        <v>318</v>
      </c>
      <c r="B365" s="414" t="s">
        <v>436</v>
      </c>
      <c r="C365" s="51">
        <f t="shared" si="74"/>
        <v>130000</v>
      </c>
      <c r="D365" s="51">
        <f t="shared" si="77"/>
        <v>0</v>
      </c>
      <c r="E365" s="51"/>
      <c r="F365" s="51"/>
      <c r="G365" s="51"/>
      <c r="H365" s="51"/>
      <c r="I365" s="51"/>
      <c r="J365" s="51"/>
      <c r="K365" s="51"/>
      <c r="L365" s="51"/>
      <c r="M365" s="35"/>
      <c r="N365" s="51"/>
      <c r="O365" s="82"/>
      <c r="P365" s="51"/>
      <c r="Q365" s="338"/>
      <c r="R365" s="51"/>
      <c r="S365" s="51"/>
      <c r="T365" s="338"/>
      <c r="U365" s="51"/>
      <c r="V365" s="35"/>
      <c r="W365" s="364">
        <v>130000</v>
      </c>
      <c r="X365" s="141"/>
      <c r="Y365" s="48"/>
      <c r="Z365" s="48"/>
      <c r="AA365" s="48"/>
      <c r="AB365" s="48"/>
      <c r="AC365" s="48"/>
      <c r="AD365" s="48"/>
      <c r="AE365" s="61"/>
      <c r="AF365" s="62"/>
      <c r="AG365" s="62"/>
      <c r="AH365" s="56"/>
      <c r="AI365" s="56"/>
    </row>
    <row r="366" spans="1:35" x14ac:dyDescent="0.3">
      <c r="A366" s="45">
        <f t="shared" si="73"/>
        <v>319</v>
      </c>
      <c r="B366" s="414" t="s">
        <v>437</v>
      </c>
      <c r="C366" s="51">
        <f t="shared" si="74"/>
        <v>130000</v>
      </c>
      <c r="D366" s="51">
        <f t="shared" si="77"/>
        <v>0</v>
      </c>
      <c r="E366" s="51"/>
      <c r="F366" s="51"/>
      <c r="G366" s="51"/>
      <c r="H366" s="51"/>
      <c r="I366" s="51"/>
      <c r="J366" s="51"/>
      <c r="K366" s="51"/>
      <c r="L366" s="51"/>
      <c r="M366" s="35"/>
      <c r="N366" s="51"/>
      <c r="O366" s="82"/>
      <c r="P366" s="51"/>
      <c r="Q366" s="338"/>
      <c r="R366" s="51"/>
      <c r="S366" s="51"/>
      <c r="T366" s="338"/>
      <c r="U366" s="51"/>
      <c r="V366" s="35"/>
      <c r="W366" s="364">
        <v>130000</v>
      </c>
      <c r="X366" s="141"/>
      <c r="Y366" s="48"/>
      <c r="Z366" s="48"/>
      <c r="AA366" s="48"/>
      <c r="AB366" s="48"/>
      <c r="AC366" s="48"/>
      <c r="AD366" s="48"/>
      <c r="AE366" s="61"/>
      <c r="AF366" s="62"/>
      <c r="AG366" s="62"/>
      <c r="AH366" s="56"/>
      <c r="AI366" s="56"/>
    </row>
    <row r="367" spans="1:35" x14ac:dyDescent="0.3">
      <c r="A367" s="45">
        <f t="shared" si="73"/>
        <v>320</v>
      </c>
      <c r="B367" s="414" t="s">
        <v>438</v>
      </c>
      <c r="C367" s="51">
        <f t="shared" si="74"/>
        <v>130000</v>
      </c>
      <c r="D367" s="51">
        <f t="shared" si="77"/>
        <v>0</v>
      </c>
      <c r="E367" s="51"/>
      <c r="F367" s="51"/>
      <c r="G367" s="51"/>
      <c r="H367" s="51"/>
      <c r="I367" s="51"/>
      <c r="J367" s="51"/>
      <c r="K367" s="51"/>
      <c r="L367" s="51"/>
      <c r="M367" s="35"/>
      <c r="N367" s="51"/>
      <c r="O367" s="82"/>
      <c r="P367" s="51"/>
      <c r="Q367" s="338"/>
      <c r="R367" s="51"/>
      <c r="S367" s="51"/>
      <c r="T367" s="338"/>
      <c r="U367" s="51"/>
      <c r="V367" s="35"/>
      <c r="W367" s="364">
        <v>130000</v>
      </c>
      <c r="X367" s="141"/>
      <c r="Y367" s="48"/>
      <c r="Z367" s="48"/>
      <c r="AA367" s="48"/>
      <c r="AB367" s="48"/>
      <c r="AC367" s="48"/>
      <c r="AD367" s="48"/>
      <c r="AE367" s="61"/>
      <c r="AF367" s="62"/>
      <c r="AG367" s="62"/>
      <c r="AH367" s="56"/>
      <c r="AI367" s="56"/>
    </row>
    <row r="368" spans="1:35" x14ac:dyDescent="0.3">
      <c r="A368" s="45">
        <f t="shared" si="73"/>
        <v>321</v>
      </c>
      <c r="B368" s="414" t="s">
        <v>439</v>
      </c>
      <c r="C368" s="51">
        <f t="shared" si="74"/>
        <v>223887.15</v>
      </c>
      <c r="D368" s="51">
        <f t="shared" si="77"/>
        <v>0</v>
      </c>
      <c r="E368" s="51"/>
      <c r="F368" s="51"/>
      <c r="G368" s="51"/>
      <c r="H368" s="51"/>
      <c r="I368" s="51"/>
      <c r="J368" s="51"/>
      <c r="K368" s="51"/>
      <c r="L368" s="51"/>
      <c r="M368" s="35"/>
      <c r="N368" s="51"/>
      <c r="O368" s="82"/>
      <c r="P368" s="51"/>
      <c r="Q368" s="338"/>
      <c r="R368" s="51"/>
      <c r="S368" s="51"/>
      <c r="T368" s="338"/>
      <c r="U368" s="51"/>
      <c r="V368" s="35"/>
      <c r="W368" s="364">
        <f t="shared" ref="W368:W389" si="78">SUM(X368:AI368)</f>
        <v>223887.15</v>
      </c>
      <c r="X368" s="141"/>
      <c r="Y368" s="48"/>
      <c r="Z368" s="48">
        <v>122129.89</v>
      </c>
      <c r="AA368" s="48"/>
      <c r="AB368" s="48">
        <v>101757.26</v>
      </c>
      <c r="AC368" s="48"/>
      <c r="AD368" s="48"/>
      <c r="AE368" s="61"/>
      <c r="AF368" s="62"/>
      <c r="AG368" s="62"/>
      <c r="AH368" s="56"/>
      <c r="AI368" s="56"/>
    </row>
    <row r="369" spans="1:35" x14ac:dyDescent="0.3">
      <c r="A369" s="45">
        <f t="shared" si="73"/>
        <v>322</v>
      </c>
      <c r="B369" s="414" t="s">
        <v>440</v>
      </c>
      <c r="C369" s="51">
        <f t="shared" si="74"/>
        <v>362539.06</v>
      </c>
      <c r="D369" s="51">
        <f t="shared" si="77"/>
        <v>0</v>
      </c>
      <c r="E369" s="51"/>
      <c r="F369" s="51"/>
      <c r="G369" s="51"/>
      <c r="H369" s="51"/>
      <c r="I369" s="51"/>
      <c r="J369" s="51"/>
      <c r="K369" s="51"/>
      <c r="L369" s="51"/>
      <c r="M369" s="35"/>
      <c r="N369" s="51"/>
      <c r="O369" s="82"/>
      <c r="P369" s="51"/>
      <c r="Q369" s="338"/>
      <c r="R369" s="51"/>
      <c r="S369" s="51"/>
      <c r="T369" s="338"/>
      <c r="U369" s="51"/>
      <c r="V369" s="35"/>
      <c r="W369" s="364">
        <f t="shared" si="78"/>
        <v>362539.06</v>
      </c>
      <c r="X369" s="141"/>
      <c r="Y369" s="48">
        <v>100759.2</v>
      </c>
      <c r="Z369" s="48"/>
      <c r="AA369" s="48"/>
      <c r="AB369" s="48"/>
      <c r="AC369" s="48"/>
      <c r="AD369" s="48">
        <v>261779.86</v>
      </c>
      <c r="AE369" s="61"/>
      <c r="AF369" s="62"/>
      <c r="AG369" s="62"/>
      <c r="AH369" s="56"/>
      <c r="AI369" s="56"/>
    </row>
    <row r="370" spans="1:35" x14ac:dyDescent="0.3">
      <c r="A370" s="45">
        <f t="shared" si="73"/>
        <v>323</v>
      </c>
      <c r="B370" s="414" t="s">
        <v>441</v>
      </c>
      <c r="C370" s="51">
        <f t="shared" si="74"/>
        <v>729692.3</v>
      </c>
      <c r="D370" s="51">
        <f t="shared" si="77"/>
        <v>0</v>
      </c>
      <c r="E370" s="51"/>
      <c r="F370" s="51"/>
      <c r="G370" s="51"/>
      <c r="H370" s="51"/>
      <c r="I370" s="51"/>
      <c r="J370" s="51"/>
      <c r="K370" s="51"/>
      <c r="L370" s="51"/>
      <c r="M370" s="35"/>
      <c r="N370" s="51"/>
      <c r="O370" s="82"/>
      <c r="P370" s="51"/>
      <c r="Q370" s="338"/>
      <c r="R370" s="51"/>
      <c r="S370" s="51"/>
      <c r="T370" s="338"/>
      <c r="U370" s="51"/>
      <c r="V370" s="35"/>
      <c r="W370" s="364">
        <f t="shared" si="78"/>
        <v>729692.3</v>
      </c>
      <c r="X370" s="141"/>
      <c r="Y370" s="48"/>
      <c r="Z370" s="48"/>
      <c r="AA370" s="48"/>
      <c r="AB370" s="48"/>
      <c r="AC370" s="48"/>
      <c r="AD370" s="48">
        <v>261779.86</v>
      </c>
      <c r="AE370" s="61">
        <v>467912.44</v>
      </c>
      <c r="AF370" s="62"/>
      <c r="AG370" s="62"/>
      <c r="AH370" s="56"/>
      <c r="AI370" s="56"/>
    </row>
    <row r="371" spans="1:35" x14ac:dyDescent="0.3">
      <c r="A371" s="45">
        <f t="shared" si="73"/>
        <v>324</v>
      </c>
      <c r="B371" s="414" t="s">
        <v>442</v>
      </c>
      <c r="C371" s="51">
        <f t="shared" si="74"/>
        <v>94298.880000000005</v>
      </c>
      <c r="D371" s="51">
        <f t="shared" si="77"/>
        <v>0</v>
      </c>
      <c r="E371" s="51"/>
      <c r="F371" s="51"/>
      <c r="G371" s="51"/>
      <c r="H371" s="51"/>
      <c r="I371" s="51"/>
      <c r="J371" s="51"/>
      <c r="K371" s="51"/>
      <c r="L371" s="51"/>
      <c r="M371" s="35"/>
      <c r="N371" s="51"/>
      <c r="O371" s="82"/>
      <c r="P371" s="51"/>
      <c r="Q371" s="338"/>
      <c r="R371" s="51"/>
      <c r="S371" s="51"/>
      <c r="T371" s="338"/>
      <c r="U371" s="51"/>
      <c r="V371" s="35"/>
      <c r="W371" s="364">
        <f t="shared" si="78"/>
        <v>94298.880000000005</v>
      </c>
      <c r="X371" s="141"/>
      <c r="Y371" s="48">
        <v>94298.880000000005</v>
      </c>
      <c r="Z371" s="48"/>
      <c r="AA371" s="48"/>
      <c r="AB371" s="48"/>
      <c r="AC371" s="48"/>
      <c r="AD371" s="48"/>
      <c r="AE371" s="61"/>
      <c r="AF371" s="62"/>
      <c r="AG371" s="62"/>
      <c r="AH371" s="56"/>
      <c r="AI371" s="56"/>
    </row>
    <row r="372" spans="1:35" x14ac:dyDescent="0.3">
      <c r="A372" s="45">
        <f t="shared" si="73"/>
        <v>325</v>
      </c>
      <c r="B372" s="414" t="s">
        <v>443</v>
      </c>
      <c r="C372" s="51">
        <f t="shared" si="74"/>
        <v>99096</v>
      </c>
      <c r="D372" s="51">
        <f t="shared" si="77"/>
        <v>0</v>
      </c>
      <c r="E372" s="51"/>
      <c r="F372" s="51"/>
      <c r="G372" s="51"/>
      <c r="H372" s="51"/>
      <c r="I372" s="51"/>
      <c r="J372" s="51"/>
      <c r="K372" s="51"/>
      <c r="L372" s="51"/>
      <c r="M372" s="35"/>
      <c r="N372" s="51"/>
      <c r="O372" s="82"/>
      <c r="P372" s="51"/>
      <c r="Q372" s="338"/>
      <c r="R372" s="51"/>
      <c r="S372" s="51"/>
      <c r="T372" s="338"/>
      <c r="U372" s="51"/>
      <c r="V372" s="35"/>
      <c r="W372" s="364">
        <f t="shared" si="78"/>
        <v>99096</v>
      </c>
      <c r="X372" s="141"/>
      <c r="Y372" s="48">
        <v>99096</v>
      </c>
      <c r="Z372" s="48"/>
      <c r="AA372" s="48"/>
      <c r="AB372" s="48"/>
      <c r="AC372" s="48"/>
      <c r="AD372" s="48"/>
      <c r="AE372" s="61"/>
      <c r="AF372" s="62"/>
      <c r="AG372" s="62"/>
      <c r="AH372" s="56"/>
      <c r="AI372" s="56"/>
    </row>
    <row r="373" spans="1:35" x14ac:dyDescent="0.3">
      <c r="A373" s="45">
        <f t="shared" si="73"/>
        <v>326</v>
      </c>
      <c r="B373" s="414" t="s">
        <v>444</v>
      </c>
      <c r="C373" s="51">
        <f t="shared" si="74"/>
        <v>146381.64000000001</v>
      </c>
      <c r="D373" s="51">
        <f t="shared" si="77"/>
        <v>0</v>
      </c>
      <c r="E373" s="51"/>
      <c r="F373" s="51"/>
      <c r="G373" s="51"/>
      <c r="H373" s="51"/>
      <c r="I373" s="51"/>
      <c r="J373" s="51"/>
      <c r="K373" s="51"/>
      <c r="L373" s="51"/>
      <c r="M373" s="35"/>
      <c r="N373" s="51"/>
      <c r="O373" s="82"/>
      <c r="P373" s="51"/>
      <c r="Q373" s="338"/>
      <c r="R373" s="51"/>
      <c r="S373" s="51"/>
      <c r="T373" s="338"/>
      <c r="U373" s="51"/>
      <c r="V373" s="35"/>
      <c r="W373" s="364">
        <f t="shared" si="78"/>
        <v>146381.64000000001</v>
      </c>
      <c r="X373" s="141"/>
      <c r="Y373" s="48"/>
      <c r="Z373" s="48"/>
      <c r="AA373" s="48"/>
      <c r="AB373" s="48"/>
      <c r="AC373" s="48"/>
      <c r="AD373" s="48">
        <v>146381.64000000001</v>
      </c>
      <c r="AE373" s="61"/>
      <c r="AF373" s="62"/>
      <c r="AG373" s="62"/>
      <c r="AH373" s="56"/>
      <c r="AI373" s="56"/>
    </row>
    <row r="374" spans="1:35" x14ac:dyDescent="0.3">
      <c r="A374" s="45">
        <f t="shared" si="73"/>
        <v>327</v>
      </c>
      <c r="B374" s="414" t="s">
        <v>445</v>
      </c>
      <c r="C374" s="51">
        <f t="shared" ref="C374:C389" si="79">D374+K374+L374+N374+P374+R374+S374+U374+V374+W374</f>
        <v>454084.34</v>
      </c>
      <c r="D374" s="51">
        <f t="shared" si="77"/>
        <v>0</v>
      </c>
      <c r="E374" s="51"/>
      <c r="F374" s="51"/>
      <c r="G374" s="51"/>
      <c r="H374" s="51"/>
      <c r="I374" s="51"/>
      <c r="J374" s="51"/>
      <c r="K374" s="51"/>
      <c r="L374" s="51"/>
      <c r="M374" s="35"/>
      <c r="N374" s="51"/>
      <c r="O374" s="82"/>
      <c r="P374" s="51"/>
      <c r="Q374" s="338"/>
      <c r="R374" s="51"/>
      <c r="S374" s="51"/>
      <c r="T374" s="338"/>
      <c r="U374" s="51"/>
      <c r="V374" s="35"/>
      <c r="W374" s="364">
        <f t="shared" si="78"/>
        <v>454084.34</v>
      </c>
      <c r="X374" s="141"/>
      <c r="Y374" s="48"/>
      <c r="Z374" s="48">
        <v>108514.02</v>
      </c>
      <c r="AA374" s="48"/>
      <c r="AB374" s="48">
        <v>88574.94</v>
      </c>
      <c r="AC374" s="48">
        <v>88574.94</v>
      </c>
      <c r="AD374" s="48">
        <v>168420.44</v>
      </c>
      <c r="AE374" s="61"/>
      <c r="AF374" s="62"/>
      <c r="AG374" s="62"/>
      <c r="AH374" s="56"/>
      <c r="AI374" s="56"/>
    </row>
    <row r="375" spans="1:35" x14ac:dyDescent="0.3">
      <c r="A375" s="45">
        <f t="shared" si="73"/>
        <v>328</v>
      </c>
      <c r="B375" s="414" t="s">
        <v>446</v>
      </c>
      <c r="C375" s="51">
        <f t="shared" si="79"/>
        <v>88574.94</v>
      </c>
      <c r="D375" s="51">
        <f t="shared" si="77"/>
        <v>0</v>
      </c>
      <c r="E375" s="51"/>
      <c r="F375" s="51"/>
      <c r="G375" s="51"/>
      <c r="H375" s="51"/>
      <c r="I375" s="51"/>
      <c r="J375" s="51"/>
      <c r="K375" s="51"/>
      <c r="L375" s="51"/>
      <c r="M375" s="35"/>
      <c r="N375" s="51"/>
      <c r="O375" s="82"/>
      <c r="P375" s="51"/>
      <c r="Q375" s="338"/>
      <c r="R375" s="51"/>
      <c r="S375" s="51"/>
      <c r="T375" s="338"/>
      <c r="U375" s="51"/>
      <c r="V375" s="35"/>
      <c r="W375" s="364">
        <f t="shared" si="78"/>
        <v>88574.94</v>
      </c>
      <c r="X375" s="141"/>
      <c r="Y375" s="48"/>
      <c r="Z375" s="48"/>
      <c r="AA375" s="48"/>
      <c r="AB375" s="48">
        <v>88574.94</v>
      </c>
      <c r="AC375" s="48"/>
      <c r="AD375" s="48"/>
      <c r="AE375" s="61"/>
      <c r="AF375" s="62"/>
      <c r="AG375" s="62"/>
      <c r="AH375" s="56"/>
      <c r="AI375" s="56"/>
    </row>
    <row r="376" spans="1:35" x14ac:dyDescent="0.3">
      <c r="A376" s="45">
        <f t="shared" si="73"/>
        <v>329</v>
      </c>
      <c r="B376" s="414" t="s">
        <v>447</v>
      </c>
      <c r="C376" s="51">
        <f t="shared" si="79"/>
        <v>488094.97</v>
      </c>
      <c r="D376" s="51">
        <f t="shared" si="77"/>
        <v>0</v>
      </c>
      <c r="E376" s="51"/>
      <c r="F376" s="51"/>
      <c r="G376" s="51"/>
      <c r="H376" s="51"/>
      <c r="I376" s="51"/>
      <c r="J376" s="51"/>
      <c r="K376" s="51"/>
      <c r="L376" s="51"/>
      <c r="M376" s="35"/>
      <c r="N376" s="51"/>
      <c r="O376" s="82"/>
      <c r="P376" s="51"/>
      <c r="Q376" s="338"/>
      <c r="R376" s="51"/>
      <c r="S376" s="51"/>
      <c r="T376" s="338"/>
      <c r="U376" s="51"/>
      <c r="V376" s="35"/>
      <c r="W376" s="364">
        <f t="shared" si="78"/>
        <v>488094.97</v>
      </c>
      <c r="X376" s="141"/>
      <c r="Y376" s="48"/>
      <c r="Z376" s="48">
        <v>116166.34</v>
      </c>
      <c r="AA376" s="48"/>
      <c r="AB376" s="48">
        <v>95983.61</v>
      </c>
      <c r="AC376" s="48">
        <v>95983.61</v>
      </c>
      <c r="AD376" s="48">
        <v>179961.41</v>
      </c>
      <c r="AE376" s="61"/>
      <c r="AF376" s="62"/>
      <c r="AG376" s="62"/>
      <c r="AH376" s="56"/>
      <c r="AI376" s="56"/>
    </row>
    <row r="377" spans="1:35" x14ac:dyDescent="0.3">
      <c r="A377" s="45">
        <f t="shared" si="73"/>
        <v>330</v>
      </c>
      <c r="B377" s="414" t="s">
        <v>448</v>
      </c>
      <c r="C377" s="51">
        <f t="shared" si="79"/>
        <v>205762.68</v>
      </c>
      <c r="D377" s="51">
        <f t="shared" si="77"/>
        <v>0</v>
      </c>
      <c r="E377" s="51"/>
      <c r="F377" s="51"/>
      <c r="G377" s="51"/>
      <c r="H377" s="51"/>
      <c r="I377" s="51"/>
      <c r="J377" s="51"/>
      <c r="K377" s="51"/>
      <c r="L377" s="51"/>
      <c r="M377" s="35"/>
      <c r="N377" s="51"/>
      <c r="O377" s="82"/>
      <c r="P377" s="51"/>
      <c r="Q377" s="338"/>
      <c r="R377" s="51"/>
      <c r="S377" s="51"/>
      <c r="T377" s="338"/>
      <c r="U377" s="51"/>
      <c r="V377" s="35"/>
      <c r="W377" s="364">
        <f t="shared" si="78"/>
        <v>205762.68</v>
      </c>
      <c r="X377" s="141"/>
      <c r="Y377" s="48"/>
      <c r="Z377" s="48"/>
      <c r="AA377" s="48"/>
      <c r="AB377" s="48">
        <v>102881.34</v>
      </c>
      <c r="AC377" s="48">
        <v>102881.34</v>
      </c>
      <c r="AD377" s="48"/>
      <c r="AE377" s="61"/>
      <c r="AF377" s="62"/>
      <c r="AG377" s="62"/>
      <c r="AH377" s="56"/>
      <c r="AI377" s="56"/>
    </row>
    <row r="378" spans="1:35" x14ac:dyDescent="0.3">
      <c r="A378" s="45">
        <f t="shared" si="73"/>
        <v>331</v>
      </c>
      <c r="B378" s="414" t="s">
        <v>449</v>
      </c>
      <c r="C378" s="51">
        <f t="shared" si="79"/>
        <v>369201.91999999998</v>
      </c>
      <c r="D378" s="51">
        <f t="shared" si="77"/>
        <v>0</v>
      </c>
      <c r="E378" s="51"/>
      <c r="F378" s="51"/>
      <c r="G378" s="51"/>
      <c r="H378" s="51"/>
      <c r="I378" s="51"/>
      <c r="J378" s="51"/>
      <c r="K378" s="51"/>
      <c r="L378" s="51"/>
      <c r="M378" s="35"/>
      <c r="N378" s="51"/>
      <c r="O378" s="82"/>
      <c r="P378" s="51"/>
      <c r="Q378" s="338"/>
      <c r="R378" s="51"/>
      <c r="S378" s="51"/>
      <c r="T378" s="338"/>
      <c r="U378" s="51"/>
      <c r="V378" s="35"/>
      <c r="W378" s="364">
        <f t="shared" si="78"/>
        <v>369201.91999999998</v>
      </c>
      <c r="X378" s="141"/>
      <c r="Y378" s="48"/>
      <c r="Z378" s="48"/>
      <c r="AA378" s="48"/>
      <c r="AB378" s="48">
        <v>95217.2</v>
      </c>
      <c r="AC378" s="48">
        <v>95217.2</v>
      </c>
      <c r="AD378" s="48">
        <v>178767.52</v>
      </c>
      <c r="AE378" s="61"/>
      <c r="AF378" s="62"/>
      <c r="AG378" s="62"/>
      <c r="AH378" s="56"/>
      <c r="AI378" s="56"/>
    </row>
    <row r="379" spans="1:35" x14ac:dyDescent="0.3">
      <c r="A379" s="45">
        <f t="shared" si="73"/>
        <v>332</v>
      </c>
      <c r="B379" s="414" t="s">
        <v>450</v>
      </c>
      <c r="C379" s="51">
        <f t="shared" si="79"/>
        <v>157445.89000000001</v>
      </c>
      <c r="D379" s="51">
        <f t="shared" si="77"/>
        <v>0</v>
      </c>
      <c r="E379" s="51"/>
      <c r="F379" s="51"/>
      <c r="G379" s="51"/>
      <c r="H379" s="51"/>
      <c r="I379" s="51"/>
      <c r="J379" s="51"/>
      <c r="K379" s="51"/>
      <c r="L379" s="51"/>
      <c r="M379" s="35"/>
      <c r="N379" s="51"/>
      <c r="O379" s="82"/>
      <c r="P379" s="51"/>
      <c r="Q379" s="338"/>
      <c r="R379" s="51"/>
      <c r="S379" s="51"/>
      <c r="T379" s="338"/>
      <c r="U379" s="51"/>
      <c r="V379" s="35"/>
      <c r="W379" s="364">
        <f t="shared" si="78"/>
        <v>157445.89000000001</v>
      </c>
      <c r="X379" s="141"/>
      <c r="Y379" s="48"/>
      <c r="Z379" s="48"/>
      <c r="AA379" s="48"/>
      <c r="AB379" s="48"/>
      <c r="AC379" s="48"/>
      <c r="AD379" s="48">
        <v>157445.89000000001</v>
      </c>
      <c r="AE379" s="61"/>
      <c r="AF379" s="62"/>
      <c r="AG379" s="62"/>
      <c r="AH379" s="56"/>
      <c r="AI379" s="56"/>
    </row>
    <row r="380" spans="1:35" x14ac:dyDescent="0.3">
      <c r="A380" s="45">
        <f t="shared" si="73"/>
        <v>333</v>
      </c>
      <c r="B380" s="414" t="s">
        <v>451</v>
      </c>
      <c r="C380" s="51">
        <f t="shared" si="79"/>
        <v>1366188.5</v>
      </c>
      <c r="D380" s="51">
        <f t="shared" si="77"/>
        <v>822521.6</v>
      </c>
      <c r="E380" s="51">
        <v>503121.6</v>
      </c>
      <c r="F380" s="51"/>
      <c r="G380" s="51"/>
      <c r="H380" s="51"/>
      <c r="I380" s="51">
        <f>100*3194</f>
        <v>319400</v>
      </c>
      <c r="J380" s="51"/>
      <c r="K380" s="51"/>
      <c r="L380" s="51"/>
      <c r="M380" s="35"/>
      <c r="N380" s="51"/>
      <c r="O380" s="82"/>
      <c r="P380" s="51"/>
      <c r="Q380" s="338"/>
      <c r="R380" s="51"/>
      <c r="S380" s="51"/>
      <c r="T380" s="338"/>
      <c r="U380" s="51"/>
      <c r="V380" s="35"/>
      <c r="W380" s="364">
        <f t="shared" si="78"/>
        <v>543666.89999999991</v>
      </c>
      <c r="X380" s="141"/>
      <c r="Y380" s="48"/>
      <c r="Z380" s="48">
        <v>132176</v>
      </c>
      <c r="AA380" s="48"/>
      <c r="AB380" s="48">
        <v>106197.98</v>
      </c>
      <c r="AC380" s="48">
        <v>106197.98</v>
      </c>
      <c r="AD380" s="48">
        <v>199094.94</v>
      </c>
      <c r="AE380" s="61"/>
      <c r="AF380" s="62"/>
      <c r="AG380" s="62"/>
      <c r="AH380" s="56"/>
      <c r="AI380" s="56"/>
    </row>
    <row r="381" spans="1:35" x14ac:dyDescent="0.3">
      <c r="A381" s="45">
        <f t="shared" si="73"/>
        <v>334</v>
      </c>
      <c r="B381" s="414" t="s">
        <v>452</v>
      </c>
      <c r="C381" s="51">
        <f t="shared" si="79"/>
        <v>1384712.7000000002</v>
      </c>
      <c r="D381" s="51">
        <f t="shared" si="77"/>
        <v>830357.6</v>
      </c>
      <c r="E381" s="51">
        <v>510957.6</v>
      </c>
      <c r="F381" s="51"/>
      <c r="G381" s="51"/>
      <c r="H381" s="51"/>
      <c r="I381" s="51">
        <f>100*3194</f>
        <v>319400</v>
      </c>
      <c r="J381" s="51"/>
      <c r="K381" s="51"/>
      <c r="L381" s="51"/>
      <c r="M381" s="35"/>
      <c r="N381" s="51"/>
      <c r="O381" s="82"/>
      <c r="P381" s="51"/>
      <c r="Q381" s="338"/>
      <c r="R381" s="51"/>
      <c r="S381" s="51"/>
      <c r="T381" s="338"/>
      <c r="U381" s="51"/>
      <c r="V381" s="35"/>
      <c r="W381" s="364">
        <f t="shared" si="78"/>
        <v>554355.10000000009</v>
      </c>
      <c r="X381" s="141"/>
      <c r="Y381" s="48"/>
      <c r="Z381" s="48">
        <v>134593.01</v>
      </c>
      <c r="AA381" s="48"/>
      <c r="AB381" s="48">
        <v>108473.82</v>
      </c>
      <c r="AC381" s="48">
        <v>108473.82</v>
      </c>
      <c r="AD381" s="48">
        <v>202814.45</v>
      </c>
      <c r="AE381" s="61"/>
      <c r="AF381" s="62"/>
      <c r="AG381" s="62"/>
      <c r="AH381" s="56"/>
      <c r="AI381" s="56"/>
    </row>
    <row r="382" spans="1:35" x14ac:dyDescent="0.3">
      <c r="A382" s="45">
        <f t="shared" si="73"/>
        <v>335</v>
      </c>
      <c r="B382" s="414" t="s">
        <v>453</v>
      </c>
      <c r="C382" s="51">
        <f t="shared" si="79"/>
        <v>893218.52</v>
      </c>
      <c r="D382" s="51">
        <f t="shared" si="77"/>
        <v>409790.4</v>
      </c>
      <c r="E382" s="51">
        <v>409790.4</v>
      </c>
      <c r="F382" s="51"/>
      <c r="G382" s="51"/>
      <c r="H382" s="51"/>
      <c r="I382" s="51"/>
      <c r="J382" s="51"/>
      <c r="K382" s="51"/>
      <c r="L382" s="51"/>
      <c r="M382" s="35"/>
      <c r="N382" s="51"/>
      <c r="O382" s="82"/>
      <c r="P382" s="51"/>
      <c r="Q382" s="338"/>
      <c r="R382" s="51"/>
      <c r="S382" s="51"/>
      <c r="T382" s="338"/>
      <c r="U382" s="51"/>
      <c r="V382" s="35"/>
      <c r="W382" s="364">
        <f t="shared" si="78"/>
        <v>483428.12</v>
      </c>
      <c r="X382" s="141"/>
      <c r="Y382" s="48"/>
      <c r="Z382" s="48">
        <v>114437.54</v>
      </c>
      <c r="AA382" s="48"/>
      <c r="AB382" s="48">
        <v>95066.82</v>
      </c>
      <c r="AC382" s="48">
        <v>95066.82</v>
      </c>
      <c r="AD382" s="48">
        <v>178856.94</v>
      </c>
      <c r="AE382" s="61"/>
      <c r="AF382" s="62"/>
      <c r="AG382" s="62"/>
      <c r="AH382" s="56"/>
      <c r="AI382" s="56"/>
    </row>
    <row r="383" spans="1:35" x14ac:dyDescent="0.3">
      <c r="A383" s="45">
        <f t="shared" si="73"/>
        <v>336</v>
      </c>
      <c r="B383" s="414" t="s">
        <v>454</v>
      </c>
      <c r="C383" s="51">
        <f t="shared" si="79"/>
        <v>2009081.96</v>
      </c>
      <c r="D383" s="51">
        <f t="shared" si="77"/>
        <v>1658121.5999999999</v>
      </c>
      <c r="E383" s="51">
        <v>244359.6</v>
      </c>
      <c r="F383" s="51">
        <v>743593.2</v>
      </c>
      <c r="G383" s="51">
        <v>157542</v>
      </c>
      <c r="H383" s="51"/>
      <c r="I383" s="51">
        <v>512626.8</v>
      </c>
      <c r="J383" s="51"/>
      <c r="K383" s="51"/>
      <c r="L383" s="51"/>
      <c r="M383" s="35"/>
      <c r="N383" s="51"/>
      <c r="O383" s="82"/>
      <c r="P383" s="51"/>
      <c r="Q383" s="338"/>
      <c r="R383" s="51"/>
      <c r="S383" s="51"/>
      <c r="T383" s="338"/>
      <c r="U383" s="51"/>
      <c r="V383" s="35"/>
      <c r="W383" s="364">
        <f t="shared" si="78"/>
        <v>350960.36</v>
      </c>
      <c r="X383" s="141"/>
      <c r="Y383" s="48"/>
      <c r="Z383" s="48">
        <v>83563.73</v>
      </c>
      <c r="AA383" s="48"/>
      <c r="AB383" s="48">
        <v>66135.820000000007</v>
      </c>
      <c r="AC383" s="48">
        <v>66135.820000000007</v>
      </c>
      <c r="AD383" s="48">
        <v>135124.99</v>
      </c>
      <c r="AE383" s="61"/>
      <c r="AF383" s="62"/>
      <c r="AG383" s="62"/>
      <c r="AH383" s="56"/>
      <c r="AI383" s="56"/>
    </row>
    <row r="384" spans="1:35" x14ac:dyDescent="0.3">
      <c r="A384" s="45">
        <f t="shared" si="73"/>
        <v>337</v>
      </c>
      <c r="B384" s="414" t="s">
        <v>455</v>
      </c>
      <c r="C384" s="51">
        <f t="shared" si="79"/>
        <v>391093.45</v>
      </c>
      <c r="D384" s="51">
        <f t="shared" si="77"/>
        <v>0</v>
      </c>
      <c r="E384" s="51"/>
      <c r="F384" s="51"/>
      <c r="G384" s="51"/>
      <c r="H384" s="51"/>
      <c r="I384" s="51"/>
      <c r="J384" s="51"/>
      <c r="K384" s="51"/>
      <c r="L384" s="51"/>
      <c r="M384" s="35"/>
      <c r="N384" s="51"/>
      <c r="O384" s="82"/>
      <c r="P384" s="51"/>
      <c r="Q384" s="338"/>
      <c r="R384" s="51"/>
      <c r="S384" s="51"/>
      <c r="T384" s="338"/>
      <c r="U384" s="51"/>
      <c r="V384" s="35"/>
      <c r="W384" s="364">
        <f t="shared" si="78"/>
        <v>391093.45</v>
      </c>
      <c r="X384" s="141"/>
      <c r="Y384" s="48">
        <v>62082.58</v>
      </c>
      <c r="Z384" s="48">
        <v>78630.38</v>
      </c>
      <c r="AA384" s="48"/>
      <c r="AB384" s="48">
        <v>61331.86</v>
      </c>
      <c r="AC384" s="48">
        <v>61331.86</v>
      </c>
      <c r="AD384" s="48">
        <v>127716.77</v>
      </c>
      <c r="AE384" s="61"/>
      <c r="AF384" s="62"/>
      <c r="AG384" s="62"/>
      <c r="AH384" s="56"/>
      <c r="AI384" s="56"/>
    </row>
    <row r="385" spans="1:35" x14ac:dyDescent="0.3">
      <c r="A385" s="45">
        <f t="shared" si="73"/>
        <v>338</v>
      </c>
      <c r="B385" s="414" t="s">
        <v>456</v>
      </c>
      <c r="C385" s="51">
        <f t="shared" si="79"/>
        <v>1422336.52</v>
      </c>
      <c r="D385" s="51">
        <f t="shared" ref="D385:D389" si="80">E385+F385+G385+H385+I385</f>
        <v>778022.8</v>
      </c>
      <c r="E385" s="51">
        <v>474592.8</v>
      </c>
      <c r="F385" s="51"/>
      <c r="G385" s="51"/>
      <c r="H385" s="51"/>
      <c r="I385" s="51">
        <f>95*3194</f>
        <v>303430</v>
      </c>
      <c r="J385" s="51"/>
      <c r="K385" s="51"/>
      <c r="L385" s="51"/>
      <c r="M385" s="35"/>
      <c r="N385" s="51"/>
      <c r="O385" s="82"/>
      <c r="P385" s="51"/>
      <c r="Q385" s="338"/>
      <c r="R385" s="51"/>
      <c r="S385" s="51"/>
      <c r="T385" s="338"/>
      <c r="U385" s="51"/>
      <c r="V385" s="35"/>
      <c r="W385" s="364">
        <f t="shared" si="78"/>
        <v>644313.72</v>
      </c>
      <c r="X385" s="141"/>
      <c r="Y385" s="48"/>
      <c r="Z385" s="48">
        <v>154935.96</v>
      </c>
      <c r="AA385" s="48"/>
      <c r="AB385" s="48">
        <v>127628.77</v>
      </c>
      <c r="AC385" s="48">
        <v>127628.77</v>
      </c>
      <c r="AD385" s="48">
        <v>234120.22</v>
      </c>
      <c r="AE385" s="61"/>
      <c r="AF385" s="62"/>
      <c r="AG385" s="62"/>
      <c r="AH385" s="56"/>
      <c r="AI385" s="56"/>
    </row>
    <row r="386" spans="1:35" x14ac:dyDescent="0.3">
      <c r="A386" s="45">
        <f t="shared" si="73"/>
        <v>339</v>
      </c>
      <c r="B386" s="414" t="s">
        <v>457</v>
      </c>
      <c r="C386" s="51">
        <f t="shared" si="79"/>
        <v>301649.89</v>
      </c>
      <c r="D386" s="51">
        <f t="shared" si="80"/>
        <v>0</v>
      </c>
      <c r="E386" s="51"/>
      <c r="F386" s="51"/>
      <c r="G386" s="51"/>
      <c r="H386" s="51"/>
      <c r="I386" s="51"/>
      <c r="J386" s="51"/>
      <c r="K386" s="51"/>
      <c r="L386" s="51"/>
      <c r="M386" s="35"/>
      <c r="N386" s="51"/>
      <c r="O386" s="82"/>
      <c r="P386" s="51"/>
      <c r="Q386" s="338"/>
      <c r="R386" s="51"/>
      <c r="S386" s="51"/>
      <c r="T386" s="338"/>
      <c r="U386" s="51"/>
      <c r="V386" s="35"/>
      <c r="W386" s="364">
        <f t="shared" si="78"/>
        <v>301649.89</v>
      </c>
      <c r="X386" s="141"/>
      <c r="Y386" s="48"/>
      <c r="Z386" s="48"/>
      <c r="AA386" s="48"/>
      <c r="AB386" s="48">
        <v>75806.11</v>
      </c>
      <c r="AC386" s="48">
        <v>75806.11</v>
      </c>
      <c r="AD386" s="48">
        <v>150037.67000000001</v>
      </c>
      <c r="AE386" s="61"/>
      <c r="AF386" s="62"/>
      <c r="AG386" s="62"/>
      <c r="AH386" s="56"/>
      <c r="AI386" s="56"/>
    </row>
    <row r="387" spans="1:35" x14ac:dyDescent="0.3">
      <c r="A387" s="45">
        <f t="shared" si="73"/>
        <v>340</v>
      </c>
      <c r="B387" s="414" t="s">
        <v>458</v>
      </c>
      <c r="C387" s="51">
        <f t="shared" si="79"/>
        <v>331807.70999999996</v>
      </c>
      <c r="D387" s="51">
        <f t="shared" si="80"/>
        <v>0</v>
      </c>
      <c r="E387" s="51"/>
      <c r="F387" s="51"/>
      <c r="G387" s="51"/>
      <c r="H387" s="51"/>
      <c r="I387" s="51"/>
      <c r="J387" s="51"/>
      <c r="K387" s="51"/>
      <c r="L387" s="51"/>
      <c r="M387" s="35"/>
      <c r="N387" s="51"/>
      <c r="O387" s="82"/>
      <c r="P387" s="51"/>
      <c r="Q387" s="338"/>
      <c r="R387" s="51"/>
      <c r="S387" s="51"/>
      <c r="T387" s="338"/>
      <c r="U387" s="51"/>
      <c r="V387" s="35"/>
      <c r="W387" s="364">
        <f t="shared" si="78"/>
        <v>331807.70999999996</v>
      </c>
      <c r="X387" s="141"/>
      <c r="Y387" s="48"/>
      <c r="Z387" s="48">
        <v>97082.35</v>
      </c>
      <c r="AA387" s="48"/>
      <c r="AB387" s="48">
        <v>79299.899999999994</v>
      </c>
      <c r="AC387" s="48"/>
      <c r="AD387" s="48">
        <v>155425.46</v>
      </c>
      <c r="AE387" s="61"/>
      <c r="AF387" s="62"/>
      <c r="AG387" s="62"/>
      <c r="AH387" s="56"/>
      <c r="AI387" s="56"/>
    </row>
    <row r="388" spans="1:35" x14ac:dyDescent="0.3">
      <c r="A388" s="45">
        <f t="shared" si="73"/>
        <v>341</v>
      </c>
      <c r="B388" s="414" t="s">
        <v>459</v>
      </c>
      <c r="C388" s="51">
        <f t="shared" si="79"/>
        <v>423607.87</v>
      </c>
      <c r="D388" s="51">
        <f t="shared" si="80"/>
        <v>0</v>
      </c>
      <c r="E388" s="51"/>
      <c r="F388" s="51"/>
      <c r="G388" s="51"/>
      <c r="H388" s="51"/>
      <c r="I388" s="51"/>
      <c r="J388" s="51"/>
      <c r="K388" s="51"/>
      <c r="L388" s="51"/>
      <c r="M388" s="35"/>
      <c r="N388" s="51"/>
      <c r="O388" s="82"/>
      <c r="P388" s="51"/>
      <c r="Q388" s="338"/>
      <c r="R388" s="51"/>
      <c r="S388" s="51"/>
      <c r="T388" s="338"/>
      <c r="U388" s="51"/>
      <c r="V388" s="35"/>
      <c r="W388" s="364">
        <f t="shared" si="78"/>
        <v>423607.87</v>
      </c>
      <c r="X388" s="141"/>
      <c r="Y388" s="48"/>
      <c r="Z388" s="48"/>
      <c r="AA388" s="48"/>
      <c r="AB388" s="48"/>
      <c r="AC388" s="48"/>
      <c r="AD388" s="48">
        <v>245426.52</v>
      </c>
      <c r="AE388" s="61">
        <v>178181.35</v>
      </c>
      <c r="AF388" s="62"/>
      <c r="AG388" s="62"/>
      <c r="AH388" s="56"/>
      <c r="AI388" s="56"/>
    </row>
    <row r="389" spans="1:35" x14ac:dyDescent="0.3">
      <c r="A389" s="45">
        <f t="shared" si="73"/>
        <v>342</v>
      </c>
      <c r="B389" s="414" t="s">
        <v>460</v>
      </c>
      <c r="C389" s="51">
        <f t="shared" si="79"/>
        <v>721985.99</v>
      </c>
      <c r="D389" s="51">
        <f t="shared" si="80"/>
        <v>0</v>
      </c>
      <c r="E389" s="51"/>
      <c r="F389" s="51"/>
      <c r="G389" s="51"/>
      <c r="H389" s="51"/>
      <c r="I389" s="51"/>
      <c r="J389" s="51"/>
      <c r="K389" s="51"/>
      <c r="L389" s="51"/>
      <c r="M389" s="35"/>
      <c r="N389" s="51"/>
      <c r="O389" s="82"/>
      <c r="P389" s="51"/>
      <c r="Q389" s="338"/>
      <c r="R389" s="51"/>
      <c r="S389" s="51"/>
      <c r="T389" s="338"/>
      <c r="U389" s="51"/>
      <c r="V389" s="35"/>
      <c r="W389" s="364">
        <f t="shared" si="78"/>
        <v>721985.99</v>
      </c>
      <c r="X389" s="141"/>
      <c r="Y389" s="48">
        <v>119662.09</v>
      </c>
      <c r="Z389" s="48">
        <v>141867.64000000001</v>
      </c>
      <c r="AA389" s="48"/>
      <c r="AB389" s="48">
        <v>120866.56</v>
      </c>
      <c r="AC389" s="48">
        <v>120866.56</v>
      </c>
      <c r="AD389" s="48">
        <v>218723.14</v>
      </c>
      <c r="AE389" s="61"/>
      <c r="AF389" s="62"/>
      <c r="AG389" s="62"/>
      <c r="AH389" s="56"/>
      <c r="AI389" s="56"/>
    </row>
    <row r="390" spans="1:35" x14ac:dyDescent="0.3">
      <c r="A390" s="45"/>
      <c r="B390" s="399" t="s">
        <v>211</v>
      </c>
      <c r="C390" s="51">
        <f t="shared" ref="C390:W390" si="81">SUM(C262:C389)</f>
        <v>108474404.95999998</v>
      </c>
      <c r="D390" s="51">
        <f t="shared" si="81"/>
        <v>32653831.660000008</v>
      </c>
      <c r="E390" s="51">
        <f t="shared" si="81"/>
        <v>13888617.6</v>
      </c>
      <c r="F390" s="51">
        <f t="shared" si="81"/>
        <v>13057021.399999999</v>
      </c>
      <c r="G390" s="51">
        <f t="shared" si="81"/>
        <v>2425342</v>
      </c>
      <c r="H390" s="51">
        <f t="shared" si="81"/>
        <v>453505.86</v>
      </c>
      <c r="I390" s="51">
        <f t="shared" si="81"/>
        <v>2829344.8</v>
      </c>
      <c r="J390" s="51">
        <f t="shared" si="81"/>
        <v>0</v>
      </c>
      <c r="K390" s="51">
        <f t="shared" si="81"/>
        <v>0</v>
      </c>
      <c r="L390" s="51">
        <f t="shared" si="81"/>
        <v>0</v>
      </c>
      <c r="M390" s="35">
        <f t="shared" si="81"/>
        <v>3999.57</v>
      </c>
      <c r="N390" s="51">
        <f t="shared" si="81"/>
        <v>30928917.959999997</v>
      </c>
      <c r="O390" s="82">
        <f t="shared" si="81"/>
        <v>407</v>
      </c>
      <c r="P390" s="51">
        <f t="shared" si="81"/>
        <v>10758231</v>
      </c>
      <c r="Q390" s="338">
        <f t="shared" si="81"/>
        <v>0</v>
      </c>
      <c r="R390" s="51">
        <f t="shared" si="81"/>
        <v>0</v>
      </c>
      <c r="S390" s="51">
        <f t="shared" si="81"/>
        <v>0</v>
      </c>
      <c r="T390" s="338">
        <f t="shared" si="81"/>
        <v>0</v>
      </c>
      <c r="U390" s="51">
        <f t="shared" si="81"/>
        <v>0</v>
      </c>
      <c r="V390" s="35">
        <f t="shared" si="81"/>
        <v>1005789.36</v>
      </c>
      <c r="W390" s="51">
        <f t="shared" si="81"/>
        <v>33127634.979999997</v>
      </c>
      <c r="X390" s="141"/>
      <c r="Y390" s="48"/>
      <c r="Z390" s="48"/>
      <c r="AA390" s="48"/>
      <c r="AB390" s="48"/>
      <c r="AC390" s="48"/>
      <c r="AD390" s="48"/>
      <c r="AE390" s="61"/>
      <c r="AF390" s="62"/>
      <c r="AG390" s="62"/>
      <c r="AH390" s="56"/>
      <c r="AI390" s="56"/>
    </row>
    <row r="391" spans="1:35" ht="31.2" x14ac:dyDescent="0.3">
      <c r="A391" s="45"/>
      <c r="B391" s="414" t="s">
        <v>461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35"/>
      <c r="N391" s="51"/>
      <c r="O391" s="82"/>
      <c r="P391" s="51"/>
      <c r="Q391" s="338"/>
      <c r="R391" s="51"/>
      <c r="S391" s="51"/>
      <c r="T391" s="338"/>
      <c r="U391" s="51"/>
      <c r="V391" s="35"/>
      <c r="W391" s="364"/>
      <c r="X391" s="141"/>
      <c r="Y391" s="48"/>
      <c r="Z391" s="48"/>
      <c r="AA391" s="48"/>
      <c r="AB391" s="48"/>
      <c r="AC391" s="48"/>
      <c r="AD391" s="48"/>
      <c r="AE391" s="61"/>
      <c r="AF391" s="62"/>
      <c r="AG391" s="62"/>
      <c r="AH391" s="56"/>
    </row>
    <row r="392" spans="1:35" x14ac:dyDescent="0.3">
      <c r="A392" s="45">
        <f>A389+1</f>
        <v>343</v>
      </c>
      <c r="B392" s="414" t="s">
        <v>472</v>
      </c>
      <c r="C392" s="51">
        <f>D392+K392+L392+N392+P392+R392+S392+U392+V392+W392</f>
        <v>4451700</v>
      </c>
      <c r="D392" s="51">
        <f>E392+F392+G392+H392+I392</f>
        <v>0</v>
      </c>
      <c r="E392" s="51"/>
      <c r="F392" s="51"/>
      <c r="G392" s="51"/>
      <c r="H392" s="51"/>
      <c r="I392" s="51"/>
      <c r="J392" s="51"/>
      <c r="K392" s="51"/>
      <c r="L392" s="51"/>
      <c r="M392" s="35">
        <v>550</v>
      </c>
      <c r="N392" s="51">
        <f>M392*8094</f>
        <v>4451700</v>
      </c>
      <c r="O392" s="82"/>
      <c r="P392" s="51"/>
      <c r="Q392" s="338"/>
      <c r="R392" s="51"/>
      <c r="S392" s="51"/>
      <c r="T392" s="338"/>
      <c r="U392" s="51"/>
      <c r="V392" s="35"/>
      <c r="W392" s="364"/>
      <c r="X392" s="141"/>
      <c r="Y392" s="48">
        <v>113725.54</v>
      </c>
      <c r="Z392" s="48">
        <v>141201.1</v>
      </c>
      <c r="AA392" s="48"/>
      <c r="AB392" s="48">
        <v>117301.66</v>
      </c>
      <c r="AC392" s="48">
        <v>115246.18</v>
      </c>
      <c r="AD392" s="48">
        <v>209967.91</v>
      </c>
      <c r="AE392" s="61"/>
      <c r="AF392" s="62"/>
      <c r="AG392" s="62"/>
      <c r="AH392" s="56"/>
    </row>
    <row r="393" spans="1:35" x14ac:dyDescent="0.3">
      <c r="A393" s="45">
        <f t="shared" ref="A393" si="82">A392+1</f>
        <v>344</v>
      </c>
      <c r="B393" s="414" t="s">
        <v>473</v>
      </c>
      <c r="C393" s="51">
        <f>D393+K393+L393+N393+P393+R393+S393+U393+V393+W393</f>
        <v>2676119.2199999997</v>
      </c>
      <c r="D393" s="51">
        <f>E393+F393+G393+H393+I393</f>
        <v>0</v>
      </c>
      <c r="E393" s="51"/>
      <c r="F393" s="51"/>
      <c r="G393" s="51"/>
      <c r="H393" s="51"/>
      <c r="I393" s="51"/>
      <c r="J393" s="51"/>
      <c r="K393" s="51"/>
      <c r="L393" s="51"/>
      <c r="M393" s="35">
        <v>330.63</v>
      </c>
      <c r="N393" s="51">
        <f>M393*8094</f>
        <v>2676119.2199999997</v>
      </c>
      <c r="O393" s="82"/>
      <c r="P393" s="51"/>
      <c r="Q393" s="338"/>
      <c r="R393" s="51"/>
      <c r="S393" s="51"/>
      <c r="T393" s="338"/>
      <c r="U393" s="51"/>
      <c r="V393" s="35"/>
      <c r="W393" s="364"/>
      <c r="X393" s="141"/>
      <c r="Y393" s="48">
        <v>113747.95</v>
      </c>
      <c r="Z393" s="48">
        <v>140831.66</v>
      </c>
      <c r="AA393" s="48"/>
      <c r="AB393" s="48">
        <v>116944</v>
      </c>
      <c r="AC393" s="48">
        <v>114888.52</v>
      </c>
      <c r="AD393" s="48">
        <v>209410.78</v>
      </c>
      <c r="AE393" s="61"/>
      <c r="AF393" s="62"/>
      <c r="AG393" s="62"/>
      <c r="AH393" s="56"/>
    </row>
    <row r="394" spans="1:35" x14ac:dyDescent="0.3">
      <c r="A394" s="45"/>
      <c r="B394" s="399" t="s">
        <v>211</v>
      </c>
      <c r="C394" s="51">
        <f t="shared" ref="C394:W394" si="83">SUM(C392:C393)</f>
        <v>7127819.2199999997</v>
      </c>
      <c r="D394" s="51">
        <f t="shared" si="83"/>
        <v>0</v>
      </c>
      <c r="E394" s="51">
        <f t="shared" si="83"/>
        <v>0</v>
      </c>
      <c r="F394" s="51">
        <f t="shared" si="83"/>
        <v>0</v>
      </c>
      <c r="G394" s="51">
        <f t="shared" si="83"/>
        <v>0</v>
      </c>
      <c r="H394" s="51">
        <f t="shared" si="83"/>
        <v>0</v>
      </c>
      <c r="I394" s="51">
        <f t="shared" si="83"/>
        <v>0</v>
      </c>
      <c r="J394" s="51">
        <f t="shared" si="83"/>
        <v>0</v>
      </c>
      <c r="K394" s="51">
        <f t="shared" si="83"/>
        <v>0</v>
      </c>
      <c r="L394" s="51">
        <f t="shared" si="83"/>
        <v>0</v>
      </c>
      <c r="M394" s="35">
        <f t="shared" si="83"/>
        <v>880.63</v>
      </c>
      <c r="N394" s="51">
        <f t="shared" si="83"/>
        <v>7127819.2199999997</v>
      </c>
      <c r="O394" s="82">
        <f t="shared" si="83"/>
        <v>0</v>
      </c>
      <c r="P394" s="51">
        <f t="shared" si="83"/>
        <v>0</v>
      </c>
      <c r="Q394" s="338">
        <f t="shared" si="83"/>
        <v>0</v>
      </c>
      <c r="R394" s="51">
        <f t="shared" si="83"/>
        <v>0</v>
      </c>
      <c r="S394" s="51">
        <f t="shared" si="83"/>
        <v>0</v>
      </c>
      <c r="T394" s="338">
        <f t="shared" si="83"/>
        <v>0</v>
      </c>
      <c r="U394" s="51">
        <f t="shared" si="83"/>
        <v>0</v>
      </c>
      <c r="V394" s="35">
        <f t="shared" si="83"/>
        <v>0</v>
      </c>
      <c r="W394" s="51">
        <f t="shared" si="83"/>
        <v>0</v>
      </c>
      <c r="X394" s="141"/>
      <c r="Y394" s="48"/>
      <c r="Z394" s="48"/>
      <c r="AA394" s="48"/>
      <c r="AB394" s="48"/>
      <c r="AC394" s="48"/>
      <c r="AD394" s="48"/>
      <c r="AE394" s="61"/>
      <c r="AF394" s="62"/>
      <c r="AG394" s="62"/>
      <c r="AH394" s="56"/>
    </row>
    <row r="395" spans="1:35" ht="31.2" x14ac:dyDescent="0.3">
      <c r="A395" s="45"/>
      <c r="B395" s="414" t="s">
        <v>479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35"/>
      <c r="N395" s="51"/>
      <c r="O395" s="82"/>
      <c r="P395" s="51"/>
      <c r="Q395" s="338"/>
      <c r="R395" s="51"/>
      <c r="S395" s="51"/>
      <c r="T395" s="338"/>
      <c r="U395" s="51"/>
      <c r="V395" s="35"/>
      <c r="W395" s="364"/>
      <c r="X395" s="141"/>
      <c r="Y395" s="48"/>
      <c r="Z395" s="48"/>
      <c r="AA395" s="48"/>
      <c r="AB395" s="48"/>
      <c r="AC395" s="48"/>
      <c r="AD395" s="48"/>
      <c r="AE395" s="61"/>
      <c r="AF395" s="62"/>
      <c r="AG395" s="62"/>
      <c r="AH395" s="56"/>
      <c r="AI395" s="56"/>
    </row>
    <row r="396" spans="1:35" x14ac:dyDescent="0.3">
      <c r="A396" s="45">
        <f>A393+1</f>
        <v>345</v>
      </c>
      <c r="B396" s="414" t="s">
        <v>480</v>
      </c>
      <c r="C396" s="51">
        <f>D396+K396+L396+N396+P396+R396+S396+U396+V396+W396</f>
        <v>2969564.4</v>
      </c>
      <c r="D396" s="51">
        <f>E396+F396+G396+H396+I396</f>
        <v>0</v>
      </c>
      <c r="E396" s="51"/>
      <c r="F396" s="51"/>
      <c r="G396" s="51"/>
      <c r="H396" s="51"/>
      <c r="I396" s="51"/>
      <c r="J396" s="51"/>
      <c r="K396" s="51"/>
      <c r="L396" s="51"/>
      <c r="M396" s="35">
        <v>537.1</v>
      </c>
      <c r="N396" s="51">
        <v>2969564.4</v>
      </c>
      <c r="O396" s="82"/>
      <c r="P396" s="51"/>
      <c r="Q396" s="338"/>
      <c r="R396" s="51"/>
      <c r="S396" s="51"/>
      <c r="T396" s="338"/>
      <c r="U396" s="51"/>
      <c r="V396" s="35"/>
      <c r="W396" s="364"/>
      <c r="X396" s="141"/>
      <c r="Y396" s="48"/>
      <c r="Z396" s="48"/>
      <c r="AA396" s="48"/>
      <c r="AB396" s="48"/>
      <c r="AC396" s="48"/>
      <c r="AD396" s="48"/>
      <c r="AE396" s="61"/>
      <c r="AF396" s="62"/>
      <c r="AG396" s="62"/>
      <c r="AH396" s="56"/>
      <c r="AI396" s="56"/>
    </row>
    <row r="397" spans="1:35" x14ac:dyDescent="0.3">
      <c r="A397" s="45">
        <f t="shared" ref="A397:A398" si="84">A396+1</f>
        <v>346</v>
      </c>
      <c r="B397" s="414" t="s">
        <v>481</v>
      </c>
      <c r="C397" s="51">
        <f>D397+K397+L397+N397+P397+R397+S397+U397+V397+W397</f>
        <v>2990902.8</v>
      </c>
      <c r="D397" s="51">
        <f>E397+F397+G397+H397+I397</f>
        <v>0</v>
      </c>
      <c r="E397" s="51"/>
      <c r="F397" s="51"/>
      <c r="G397" s="51"/>
      <c r="H397" s="51"/>
      <c r="I397" s="51"/>
      <c r="J397" s="51"/>
      <c r="K397" s="51"/>
      <c r="L397" s="51"/>
      <c r="M397" s="35">
        <v>537.1</v>
      </c>
      <c r="N397" s="51">
        <v>2990902.8</v>
      </c>
      <c r="O397" s="82"/>
      <c r="P397" s="51"/>
      <c r="Q397" s="338"/>
      <c r="R397" s="51"/>
      <c r="S397" s="51"/>
      <c r="T397" s="338"/>
      <c r="U397" s="51"/>
      <c r="V397" s="35"/>
      <c r="W397" s="364"/>
      <c r="X397" s="141"/>
      <c r="Y397" s="48"/>
      <c r="Z397" s="48"/>
      <c r="AA397" s="48"/>
      <c r="AB397" s="48"/>
      <c r="AC397" s="48"/>
      <c r="AD397" s="48"/>
      <c r="AE397" s="61"/>
      <c r="AF397" s="62"/>
      <c r="AG397" s="62"/>
      <c r="AH397" s="56"/>
      <c r="AI397" s="56"/>
    </row>
    <row r="398" spans="1:35" x14ac:dyDescent="0.3">
      <c r="A398" s="45">
        <f t="shared" si="84"/>
        <v>347</v>
      </c>
      <c r="B398" s="414" t="s">
        <v>482</v>
      </c>
      <c r="C398" s="51">
        <f>D398+K398+L398+N398+P398+R398+S398+U398+V398+W398</f>
        <v>2898813.6</v>
      </c>
      <c r="D398" s="51">
        <f>E398+F398+G398+H398+I398</f>
        <v>0</v>
      </c>
      <c r="E398" s="51"/>
      <c r="F398" s="51"/>
      <c r="G398" s="51"/>
      <c r="H398" s="51"/>
      <c r="I398" s="51"/>
      <c r="J398" s="51"/>
      <c r="K398" s="51"/>
      <c r="L398" s="51"/>
      <c r="M398" s="35">
        <v>687.78</v>
      </c>
      <c r="N398" s="51">
        <v>2898813.6</v>
      </c>
      <c r="O398" s="82"/>
      <c r="P398" s="51"/>
      <c r="Q398" s="338"/>
      <c r="R398" s="51"/>
      <c r="S398" s="51"/>
      <c r="T398" s="338"/>
      <c r="U398" s="51"/>
      <c r="V398" s="35"/>
      <c r="W398" s="364"/>
      <c r="X398" s="141"/>
      <c r="Y398" s="48"/>
      <c r="Z398" s="48"/>
      <c r="AA398" s="48"/>
      <c r="AB398" s="48"/>
      <c r="AC398" s="48"/>
      <c r="AD398" s="48"/>
      <c r="AE398" s="61"/>
      <c r="AF398" s="62"/>
      <c r="AG398" s="62"/>
      <c r="AH398" s="56"/>
      <c r="AI398" s="56"/>
    </row>
    <row r="399" spans="1:35" x14ac:dyDescent="0.3">
      <c r="A399" s="45"/>
      <c r="B399" s="399" t="s">
        <v>211</v>
      </c>
      <c r="C399" s="51">
        <f t="shared" ref="C399:W399" si="85">SUM(C396:C398)</f>
        <v>8859280.7999999989</v>
      </c>
      <c r="D399" s="51">
        <f t="shared" si="85"/>
        <v>0</v>
      </c>
      <c r="E399" s="51">
        <f t="shared" si="85"/>
        <v>0</v>
      </c>
      <c r="F399" s="51">
        <f t="shared" si="85"/>
        <v>0</v>
      </c>
      <c r="G399" s="51">
        <f t="shared" si="85"/>
        <v>0</v>
      </c>
      <c r="H399" s="51">
        <f t="shared" si="85"/>
        <v>0</v>
      </c>
      <c r="I399" s="51">
        <f t="shared" si="85"/>
        <v>0</v>
      </c>
      <c r="J399" s="51">
        <f t="shared" si="85"/>
        <v>0</v>
      </c>
      <c r="K399" s="51">
        <f t="shared" si="85"/>
        <v>0</v>
      </c>
      <c r="L399" s="51">
        <f t="shared" si="85"/>
        <v>0</v>
      </c>
      <c r="M399" s="35">
        <f t="shared" si="85"/>
        <v>1761.98</v>
      </c>
      <c r="N399" s="51">
        <f t="shared" si="85"/>
        <v>8859280.7999999989</v>
      </c>
      <c r="O399" s="82">
        <f t="shared" si="85"/>
        <v>0</v>
      </c>
      <c r="P399" s="51">
        <f t="shared" si="85"/>
        <v>0</v>
      </c>
      <c r="Q399" s="338">
        <f t="shared" si="85"/>
        <v>0</v>
      </c>
      <c r="R399" s="51">
        <f t="shared" si="85"/>
        <v>0</v>
      </c>
      <c r="S399" s="51">
        <f t="shared" si="85"/>
        <v>0</v>
      </c>
      <c r="T399" s="338">
        <f t="shared" si="85"/>
        <v>0</v>
      </c>
      <c r="U399" s="51">
        <f t="shared" si="85"/>
        <v>0</v>
      </c>
      <c r="V399" s="35">
        <f t="shared" si="85"/>
        <v>0</v>
      </c>
      <c r="W399" s="51">
        <f t="shared" si="85"/>
        <v>0</v>
      </c>
      <c r="X399" s="141"/>
      <c r="Y399" s="48"/>
      <c r="Z399" s="48"/>
      <c r="AA399" s="48"/>
      <c r="AB399" s="48"/>
      <c r="AC399" s="48"/>
      <c r="AD399" s="48"/>
      <c r="AE399" s="61"/>
      <c r="AF399" s="62"/>
      <c r="AG399" s="62"/>
      <c r="AH399" s="56"/>
      <c r="AI399" s="56"/>
    </row>
    <row r="400" spans="1:35" ht="31.2" x14ac:dyDescent="0.3">
      <c r="A400" s="45"/>
      <c r="B400" s="414" t="s">
        <v>490</v>
      </c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35"/>
      <c r="N400" s="51"/>
      <c r="O400" s="82"/>
      <c r="P400" s="51"/>
      <c r="Q400" s="338"/>
      <c r="R400" s="51"/>
      <c r="S400" s="51"/>
      <c r="T400" s="338"/>
      <c r="U400" s="51"/>
      <c r="V400" s="35"/>
      <c r="W400" s="364"/>
      <c r="X400" s="141"/>
      <c r="Y400" s="48"/>
      <c r="Z400" s="48"/>
      <c r="AA400" s="48"/>
      <c r="AB400" s="48"/>
      <c r="AC400" s="48"/>
      <c r="AD400" s="48"/>
      <c r="AE400" s="61"/>
      <c r="AF400" s="62"/>
      <c r="AG400" s="62"/>
      <c r="AH400" s="56"/>
      <c r="AI400" s="56"/>
    </row>
    <row r="401" spans="1:35" x14ac:dyDescent="0.3">
      <c r="A401" s="45">
        <f>A398+1</f>
        <v>348</v>
      </c>
      <c r="B401" s="414" t="s">
        <v>491</v>
      </c>
      <c r="C401" s="51">
        <f>D401+K401+L401+N401+P401+R401+S401+V401+W401</f>
        <v>130000</v>
      </c>
      <c r="D401" s="51">
        <f>E401+F401+G401+H401+I401</f>
        <v>0</v>
      </c>
      <c r="E401" s="51"/>
      <c r="F401" s="51"/>
      <c r="G401" s="51"/>
      <c r="H401" s="51"/>
      <c r="I401" s="51"/>
      <c r="J401" s="51"/>
      <c r="K401" s="51"/>
      <c r="L401" s="51"/>
      <c r="M401" s="35"/>
      <c r="N401" s="51"/>
      <c r="O401" s="82"/>
      <c r="P401" s="51"/>
      <c r="Q401" s="338"/>
      <c r="R401" s="51"/>
      <c r="S401" s="51"/>
      <c r="T401" s="338"/>
      <c r="U401" s="51"/>
      <c r="V401" s="35"/>
      <c r="W401" s="364">
        <v>130000</v>
      </c>
      <c r="X401" s="141"/>
      <c r="Y401" s="48"/>
      <c r="Z401" s="48"/>
      <c r="AA401" s="48"/>
      <c r="AB401" s="48"/>
      <c r="AC401" s="48"/>
      <c r="AD401" s="48"/>
      <c r="AE401" s="61"/>
      <c r="AF401" s="62"/>
      <c r="AG401" s="62"/>
      <c r="AH401" s="56"/>
      <c r="AI401" s="56"/>
    </row>
    <row r="402" spans="1:35" x14ac:dyDescent="0.3">
      <c r="A402" s="45">
        <f t="shared" ref="A402:A403" si="86">A401+1</f>
        <v>349</v>
      </c>
      <c r="B402" s="414" t="s">
        <v>492</v>
      </c>
      <c r="C402" s="51">
        <f>D402+K402+L402+N402+P402+R402+S402+V402+W402</f>
        <v>130000</v>
      </c>
      <c r="D402" s="51">
        <f>E402+F402+G402+H402+I402</f>
        <v>0</v>
      </c>
      <c r="E402" s="51"/>
      <c r="F402" s="51"/>
      <c r="G402" s="51"/>
      <c r="H402" s="51"/>
      <c r="I402" s="51"/>
      <c r="J402" s="51"/>
      <c r="K402" s="51"/>
      <c r="L402" s="51"/>
      <c r="M402" s="35"/>
      <c r="N402" s="51"/>
      <c r="O402" s="82"/>
      <c r="P402" s="51"/>
      <c r="Q402" s="338"/>
      <c r="R402" s="51"/>
      <c r="S402" s="51"/>
      <c r="T402" s="338"/>
      <c r="U402" s="51"/>
      <c r="V402" s="35"/>
      <c r="W402" s="364">
        <v>130000</v>
      </c>
      <c r="X402" s="141"/>
      <c r="Y402" s="48"/>
      <c r="Z402" s="48"/>
      <c r="AA402" s="48"/>
      <c r="AB402" s="48"/>
      <c r="AC402" s="48"/>
      <c r="AD402" s="48"/>
      <c r="AE402" s="61"/>
      <c r="AF402" s="62"/>
      <c r="AG402" s="62"/>
      <c r="AH402" s="56"/>
      <c r="AI402" s="56"/>
    </row>
    <row r="403" spans="1:35" x14ac:dyDescent="0.3">
      <c r="A403" s="45">
        <f t="shared" si="86"/>
        <v>350</v>
      </c>
      <c r="B403" s="414" t="s">
        <v>494</v>
      </c>
      <c r="C403" s="51">
        <f>D403+K403+L403+N403+P403+R403+S403+V403+W403</f>
        <v>130000</v>
      </c>
      <c r="D403" s="51">
        <f>E403+F403+G403+H403+I403</f>
        <v>0</v>
      </c>
      <c r="E403" s="51"/>
      <c r="F403" s="51"/>
      <c r="G403" s="51"/>
      <c r="H403" s="51"/>
      <c r="I403" s="51"/>
      <c r="J403" s="51"/>
      <c r="K403" s="51"/>
      <c r="L403" s="51"/>
      <c r="M403" s="35"/>
      <c r="N403" s="51"/>
      <c r="O403" s="82"/>
      <c r="P403" s="51"/>
      <c r="Q403" s="338"/>
      <c r="R403" s="51"/>
      <c r="S403" s="51"/>
      <c r="T403" s="338"/>
      <c r="U403" s="51"/>
      <c r="V403" s="35"/>
      <c r="W403" s="364">
        <v>130000</v>
      </c>
      <c r="X403" s="141"/>
      <c r="Y403" s="48"/>
      <c r="Z403" s="48"/>
      <c r="AA403" s="48"/>
      <c r="AB403" s="48"/>
      <c r="AC403" s="48"/>
      <c r="AD403" s="48"/>
      <c r="AE403" s="61"/>
      <c r="AF403" s="62"/>
      <c r="AG403" s="62"/>
      <c r="AH403" s="56"/>
      <c r="AI403" s="56"/>
    </row>
    <row r="404" spans="1:35" x14ac:dyDescent="0.3">
      <c r="A404" s="45"/>
      <c r="B404" s="399" t="s">
        <v>211</v>
      </c>
      <c r="C404" s="51">
        <f t="shared" ref="C404:W404" si="87">SUM(C401:C403)</f>
        <v>390000</v>
      </c>
      <c r="D404" s="51">
        <f t="shared" si="87"/>
        <v>0</v>
      </c>
      <c r="E404" s="51">
        <f t="shared" si="87"/>
        <v>0</v>
      </c>
      <c r="F404" s="51">
        <f t="shared" si="87"/>
        <v>0</v>
      </c>
      <c r="G404" s="51">
        <f t="shared" si="87"/>
        <v>0</v>
      </c>
      <c r="H404" s="51">
        <f t="shared" si="87"/>
        <v>0</v>
      </c>
      <c r="I404" s="51">
        <f t="shared" si="87"/>
        <v>0</v>
      </c>
      <c r="J404" s="51">
        <f t="shared" si="87"/>
        <v>0</v>
      </c>
      <c r="K404" s="51">
        <f t="shared" si="87"/>
        <v>0</v>
      </c>
      <c r="L404" s="51">
        <f t="shared" si="87"/>
        <v>0</v>
      </c>
      <c r="M404" s="35">
        <f t="shared" si="87"/>
        <v>0</v>
      </c>
      <c r="N404" s="51">
        <f t="shared" si="87"/>
        <v>0</v>
      </c>
      <c r="O404" s="82">
        <f t="shared" si="87"/>
        <v>0</v>
      </c>
      <c r="P404" s="51">
        <f t="shared" si="87"/>
        <v>0</v>
      </c>
      <c r="Q404" s="338">
        <f t="shared" si="87"/>
        <v>0</v>
      </c>
      <c r="R404" s="51">
        <f t="shared" si="87"/>
        <v>0</v>
      </c>
      <c r="S404" s="51">
        <f t="shared" si="87"/>
        <v>0</v>
      </c>
      <c r="T404" s="338">
        <f t="shared" si="87"/>
        <v>0</v>
      </c>
      <c r="U404" s="51">
        <f t="shared" si="87"/>
        <v>0</v>
      </c>
      <c r="V404" s="35">
        <f t="shared" si="87"/>
        <v>0</v>
      </c>
      <c r="W404" s="51">
        <f t="shared" si="87"/>
        <v>390000</v>
      </c>
      <c r="X404" s="141"/>
      <c r="Y404" s="48"/>
      <c r="Z404" s="48"/>
      <c r="AA404" s="48"/>
      <c r="AB404" s="48"/>
      <c r="AC404" s="48"/>
      <c r="AD404" s="48"/>
      <c r="AE404" s="61"/>
      <c r="AF404" s="62"/>
      <c r="AG404" s="62"/>
      <c r="AH404" s="56"/>
      <c r="AI404" s="56"/>
    </row>
    <row r="405" spans="1:35" ht="31.2" x14ac:dyDescent="0.3">
      <c r="A405" s="45"/>
      <c r="B405" s="414" t="s">
        <v>508</v>
      </c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35"/>
      <c r="N405" s="51"/>
      <c r="O405" s="82"/>
      <c r="P405" s="51"/>
      <c r="Q405" s="338"/>
      <c r="R405" s="51"/>
      <c r="S405" s="51"/>
      <c r="T405" s="338"/>
      <c r="U405" s="51"/>
      <c r="V405" s="35"/>
      <c r="W405" s="364"/>
      <c r="X405" s="141"/>
      <c r="Y405" s="48"/>
      <c r="Z405" s="48"/>
      <c r="AA405" s="48"/>
      <c r="AB405" s="48"/>
      <c r="AC405" s="48"/>
      <c r="AD405" s="48"/>
      <c r="AE405" s="61"/>
      <c r="AF405" s="62"/>
      <c r="AG405" s="62"/>
      <c r="AH405" s="56"/>
      <c r="AI405" s="56"/>
    </row>
    <row r="406" spans="1:35" x14ac:dyDescent="0.3">
      <c r="A406" s="45">
        <f>A403+1</f>
        <v>351</v>
      </c>
      <c r="B406" s="414" t="s">
        <v>509</v>
      </c>
      <c r="C406" s="51">
        <f t="shared" ref="C406:C412" si="88">D406+K406+L406+N406+P406+R406+S406+U406+V406+W406</f>
        <v>833258.45</v>
      </c>
      <c r="D406" s="51">
        <f t="shared" ref="D406:D412" si="89">E406+F406+G406+H406+I406</f>
        <v>0</v>
      </c>
      <c r="E406" s="51"/>
      <c r="F406" s="51"/>
      <c r="G406" s="51"/>
      <c r="H406" s="51"/>
      <c r="I406" s="51"/>
      <c r="J406" s="51"/>
      <c r="K406" s="51"/>
      <c r="L406" s="51"/>
      <c r="M406" s="35"/>
      <c r="N406" s="51"/>
      <c r="O406" s="82"/>
      <c r="P406" s="51"/>
      <c r="Q406" s="338"/>
      <c r="R406" s="51"/>
      <c r="S406" s="51"/>
      <c r="T406" s="338"/>
      <c r="U406" s="51"/>
      <c r="V406" s="35"/>
      <c r="W406" s="364">
        <f>SUM(X406:AI406)</f>
        <v>833258.45</v>
      </c>
      <c r="X406" s="141"/>
      <c r="Y406" s="48"/>
      <c r="Z406" s="48"/>
      <c r="AA406" s="48"/>
      <c r="AB406" s="48"/>
      <c r="AC406" s="48"/>
      <c r="AD406" s="48">
        <v>352050.24</v>
      </c>
      <c r="AE406" s="61">
        <v>481208.21</v>
      </c>
      <c r="AF406" s="62"/>
      <c r="AG406" s="62"/>
      <c r="AH406" s="56"/>
      <c r="AI406" s="56"/>
    </row>
    <row r="407" spans="1:35" x14ac:dyDescent="0.3">
      <c r="A407" s="45">
        <f t="shared" ref="A407:A412" si="90">A406+1</f>
        <v>352</v>
      </c>
      <c r="B407" s="414" t="s">
        <v>510</v>
      </c>
      <c r="C407" s="51">
        <f t="shared" si="88"/>
        <v>481208.21</v>
      </c>
      <c r="D407" s="51">
        <f t="shared" si="89"/>
        <v>0</v>
      </c>
      <c r="E407" s="51"/>
      <c r="F407" s="51"/>
      <c r="G407" s="51"/>
      <c r="H407" s="51"/>
      <c r="I407" s="51"/>
      <c r="J407" s="51"/>
      <c r="K407" s="51"/>
      <c r="L407" s="51"/>
      <c r="M407" s="35"/>
      <c r="N407" s="51"/>
      <c r="O407" s="82"/>
      <c r="P407" s="51"/>
      <c r="Q407" s="338"/>
      <c r="R407" s="51"/>
      <c r="S407" s="51"/>
      <c r="T407" s="338"/>
      <c r="U407" s="51"/>
      <c r="V407" s="35"/>
      <c r="W407" s="364">
        <f>SUM(X407:AI407)</f>
        <v>481208.21</v>
      </c>
      <c r="X407" s="141"/>
      <c r="Y407" s="48"/>
      <c r="Z407" s="48"/>
      <c r="AA407" s="48"/>
      <c r="AB407" s="48"/>
      <c r="AC407" s="48"/>
      <c r="AD407" s="48"/>
      <c r="AE407" s="61">
        <v>481208.21</v>
      </c>
      <c r="AF407" s="62"/>
      <c r="AG407" s="62"/>
      <c r="AH407" s="56"/>
      <c r="AI407" s="56"/>
    </row>
    <row r="408" spans="1:35" x14ac:dyDescent="0.3">
      <c r="A408" s="45">
        <f t="shared" si="90"/>
        <v>353</v>
      </c>
      <c r="B408" s="414" t="s">
        <v>512</v>
      </c>
      <c r="C408" s="51">
        <f t="shared" si="88"/>
        <v>110076.12</v>
      </c>
      <c r="D408" s="51">
        <f t="shared" si="89"/>
        <v>0</v>
      </c>
      <c r="E408" s="51"/>
      <c r="F408" s="51"/>
      <c r="G408" s="51"/>
      <c r="H408" s="51"/>
      <c r="I408" s="51"/>
      <c r="J408" s="51"/>
      <c r="K408" s="51"/>
      <c r="L408" s="51"/>
      <c r="M408" s="35"/>
      <c r="N408" s="51"/>
      <c r="O408" s="82"/>
      <c r="P408" s="51"/>
      <c r="Q408" s="338"/>
      <c r="R408" s="51"/>
      <c r="S408" s="51"/>
      <c r="T408" s="338"/>
      <c r="U408" s="51"/>
      <c r="V408" s="35"/>
      <c r="W408" s="364">
        <f>SUM(X408:AI408)</f>
        <v>110076.12</v>
      </c>
      <c r="X408" s="141"/>
      <c r="Y408" s="48">
        <v>110076.12</v>
      </c>
      <c r="Z408" s="48"/>
      <c r="AA408" s="48"/>
      <c r="AB408" s="48"/>
      <c r="AC408" s="48"/>
      <c r="AD408" s="48"/>
      <c r="AE408" s="61"/>
      <c r="AF408" s="62"/>
      <c r="AG408" s="62"/>
      <c r="AH408" s="56"/>
      <c r="AI408" s="56"/>
    </row>
    <row r="409" spans="1:35" x14ac:dyDescent="0.3">
      <c r="A409" s="45">
        <f t="shared" si="90"/>
        <v>354</v>
      </c>
      <c r="B409" s="414" t="s">
        <v>513</v>
      </c>
      <c r="C409" s="51">
        <f t="shared" si="88"/>
        <v>130000</v>
      </c>
      <c r="D409" s="51">
        <f t="shared" si="89"/>
        <v>0</v>
      </c>
      <c r="E409" s="51"/>
      <c r="F409" s="51"/>
      <c r="G409" s="51"/>
      <c r="H409" s="51"/>
      <c r="I409" s="51"/>
      <c r="J409" s="51"/>
      <c r="K409" s="51"/>
      <c r="L409" s="51"/>
      <c r="M409" s="35"/>
      <c r="N409" s="51"/>
      <c r="O409" s="82"/>
      <c r="P409" s="51"/>
      <c r="Q409" s="338"/>
      <c r="R409" s="51"/>
      <c r="S409" s="51"/>
      <c r="T409" s="338"/>
      <c r="U409" s="51"/>
      <c r="V409" s="35"/>
      <c r="W409" s="364">
        <v>130000</v>
      </c>
      <c r="X409" s="141"/>
      <c r="Y409" s="48"/>
      <c r="Z409" s="48"/>
      <c r="AA409" s="48"/>
      <c r="AB409" s="48"/>
      <c r="AC409" s="48"/>
      <c r="AD409" s="48"/>
      <c r="AE409" s="61"/>
      <c r="AF409" s="62"/>
      <c r="AG409" s="62"/>
      <c r="AH409" s="56"/>
      <c r="AI409" s="56"/>
    </row>
    <row r="410" spans="1:35" x14ac:dyDescent="0.3">
      <c r="A410" s="45">
        <f t="shared" si="90"/>
        <v>355</v>
      </c>
      <c r="B410" s="414" t="s">
        <v>511</v>
      </c>
      <c r="C410" s="51">
        <f t="shared" si="88"/>
        <v>1723302</v>
      </c>
      <c r="D410" s="51">
        <f t="shared" si="89"/>
        <v>1723302</v>
      </c>
      <c r="E410" s="51">
        <f>(374.5*2688)+(2*358323)</f>
        <v>1723302</v>
      </c>
      <c r="F410" s="51"/>
      <c r="G410" s="51"/>
      <c r="H410" s="51"/>
      <c r="I410" s="51"/>
      <c r="J410" s="51"/>
      <c r="K410" s="51"/>
      <c r="L410" s="51"/>
      <c r="M410" s="35"/>
      <c r="N410" s="51"/>
      <c r="O410" s="82"/>
      <c r="P410" s="51"/>
      <c r="Q410" s="338"/>
      <c r="R410" s="51"/>
      <c r="S410" s="51"/>
      <c r="T410" s="338"/>
      <c r="U410" s="51"/>
      <c r="V410" s="35"/>
      <c r="W410" s="364"/>
      <c r="X410" s="141"/>
      <c r="Y410" s="48"/>
      <c r="Z410" s="48"/>
      <c r="AA410" s="48"/>
      <c r="AB410" s="48"/>
      <c r="AC410" s="48"/>
      <c r="AD410" s="48"/>
      <c r="AE410" s="61"/>
      <c r="AF410" s="62"/>
      <c r="AG410" s="62"/>
      <c r="AH410" s="56"/>
    </row>
    <row r="411" spans="1:35" x14ac:dyDescent="0.3">
      <c r="A411" s="45">
        <f t="shared" si="90"/>
        <v>356</v>
      </c>
      <c r="B411" s="414" t="s">
        <v>514</v>
      </c>
      <c r="C411" s="51">
        <f t="shared" si="88"/>
        <v>110370.66</v>
      </c>
      <c r="D411" s="51">
        <f t="shared" si="89"/>
        <v>0</v>
      </c>
      <c r="E411" s="51"/>
      <c r="F411" s="51"/>
      <c r="G411" s="51"/>
      <c r="H411" s="51"/>
      <c r="I411" s="51"/>
      <c r="J411" s="51"/>
      <c r="K411" s="51"/>
      <c r="L411" s="51"/>
      <c r="M411" s="35"/>
      <c r="N411" s="51"/>
      <c r="O411" s="82"/>
      <c r="P411" s="51"/>
      <c r="Q411" s="338"/>
      <c r="R411" s="51"/>
      <c r="S411" s="51"/>
      <c r="T411" s="338"/>
      <c r="U411" s="51"/>
      <c r="V411" s="35"/>
      <c r="W411" s="364">
        <f>SUM(X411:AI411)</f>
        <v>110370.66</v>
      </c>
      <c r="X411" s="141"/>
      <c r="Y411" s="48">
        <v>110370.66</v>
      </c>
      <c r="Z411" s="48"/>
      <c r="AA411" s="48"/>
      <c r="AB411" s="48"/>
      <c r="AC411" s="48"/>
      <c r="AD411" s="48"/>
      <c r="AE411" s="61"/>
      <c r="AF411" s="62"/>
      <c r="AG411" s="62"/>
      <c r="AH411" s="56"/>
      <c r="AI411" s="56"/>
    </row>
    <row r="412" spans="1:35" x14ac:dyDescent="0.3">
      <c r="A412" s="45">
        <f t="shared" si="90"/>
        <v>357</v>
      </c>
      <c r="B412" s="414" t="s">
        <v>515</v>
      </c>
      <c r="C412" s="51">
        <f t="shared" si="88"/>
        <v>112250.08</v>
      </c>
      <c r="D412" s="51">
        <f t="shared" si="89"/>
        <v>0</v>
      </c>
      <c r="E412" s="51"/>
      <c r="F412" s="51"/>
      <c r="G412" s="51"/>
      <c r="H412" s="51"/>
      <c r="I412" s="51"/>
      <c r="J412" s="51"/>
      <c r="K412" s="51"/>
      <c r="L412" s="51"/>
      <c r="M412" s="35"/>
      <c r="N412" s="51"/>
      <c r="O412" s="82"/>
      <c r="P412" s="51"/>
      <c r="Q412" s="338"/>
      <c r="R412" s="51"/>
      <c r="S412" s="51"/>
      <c r="T412" s="338"/>
      <c r="U412" s="51"/>
      <c r="V412" s="35"/>
      <c r="W412" s="364">
        <f>SUM(X412:AI412)</f>
        <v>112250.08</v>
      </c>
      <c r="X412" s="141"/>
      <c r="Y412" s="48">
        <v>112250.08</v>
      </c>
      <c r="Z412" s="48"/>
      <c r="AA412" s="48"/>
      <c r="AB412" s="48"/>
      <c r="AC412" s="48"/>
      <c r="AD412" s="48"/>
      <c r="AE412" s="61"/>
      <c r="AF412" s="62"/>
      <c r="AG412" s="62"/>
      <c r="AH412" s="56"/>
      <c r="AI412" s="56"/>
    </row>
    <row r="413" spans="1:35" x14ac:dyDescent="0.3">
      <c r="A413" s="45"/>
      <c r="B413" s="399" t="s">
        <v>211</v>
      </c>
      <c r="C413" s="51">
        <f t="shared" ref="C413:W413" si="91">SUM(C406:C412)</f>
        <v>3500465.52</v>
      </c>
      <c r="D413" s="51">
        <f t="shared" si="91"/>
        <v>1723302</v>
      </c>
      <c r="E413" s="51">
        <f t="shared" si="91"/>
        <v>1723302</v>
      </c>
      <c r="F413" s="51">
        <f t="shared" si="91"/>
        <v>0</v>
      </c>
      <c r="G413" s="51">
        <f t="shared" si="91"/>
        <v>0</v>
      </c>
      <c r="H413" s="51">
        <f t="shared" si="91"/>
        <v>0</v>
      </c>
      <c r="I413" s="51">
        <f t="shared" si="91"/>
        <v>0</v>
      </c>
      <c r="J413" s="51">
        <f t="shared" si="91"/>
        <v>0</v>
      </c>
      <c r="K413" s="51">
        <f t="shared" si="91"/>
        <v>0</v>
      </c>
      <c r="L413" s="51">
        <f t="shared" si="91"/>
        <v>0</v>
      </c>
      <c r="M413" s="35">
        <f t="shared" si="91"/>
        <v>0</v>
      </c>
      <c r="N413" s="51">
        <f t="shared" si="91"/>
        <v>0</v>
      </c>
      <c r="O413" s="82">
        <f t="shared" si="91"/>
        <v>0</v>
      </c>
      <c r="P413" s="51">
        <f t="shared" si="91"/>
        <v>0</v>
      </c>
      <c r="Q413" s="338">
        <f t="shared" si="91"/>
        <v>0</v>
      </c>
      <c r="R413" s="51">
        <f t="shared" si="91"/>
        <v>0</v>
      </c>
      <c r="S413" s="51">
        <f t="shared" si="91"/>
        <v>0</v>
      </c>
      <c r="T413" s="338">
        <f t="shared" si="91"/>
        <v>0</v>
      </c>
      <c r="U413" s="51">
        <f t="shared" si="91"/>
        <v>0</v>
      </c>
      <c r="V413" s="35">
        <f t="shared" si="91"/>
        <v>0</v>
      </c>
      <c r="W413" s="51">
        <f t="shared" si="91"/>
        <v>1777163.5199999998</v>
      </c>
      <c r="X413" s="285"/>
      <c r="Y413" s="285"/>
      <c r="Z413" s="285"/>
      <c r="AA413" s="285"/>
      <c r="AB413" s="285"/>
      <c r="AC413" s="285"/>
      <c r="AD413" s="285"/>
      <c r="AE413" s="360"/>
      <c r="AF413" s="361"/>
      <c r="AG413" s="361"/>
      <c r="AH413" s="56"/>
      <c r="AI413" s="56"/>
    </row>
    <row r="414" spans="1:35" x14ac:dyDescent="0.3">
      <c r="A414" s="45"/>
      <c r="B414" s="399" t="s">
        <v>3921</v>
      </c>
      <c r="C414" s="51">
        <f>C413+C404+C399+C394+C390+C260+C242+C225</f>
        <v>174929912.23999998</v>
      </c>
      <c r="D414" s="51">
        <f t="shared" ref="D414:W414" si="92">D413+D404+D399+D394+D390+D260+D242+D225</f>
        <v>51725253.660000011</v>
      </c>
      <c r="E414" s="51">
        <f t="shared" si="92"/>
        <v>15611919.6</v>
      </c>
      <c r="F414" s="51">
        <f t="shared" si="92"/>
        <v>24782405.399999999</v>
      </c>
      <c r="G414" s="51">
        <f t="shared" si="92"/>
        <v>7699932</v>
      </c>
      <c r="H414" s="51">
        <f t="shared" si="92"/>
        <v>453505.86</v>
      </c>
      <c r="I414" s="51">
        <f t="shared" si="92"/>
        <v>3177490.8</v>
      </c>
      <c r="J414" s="51">
        <f t="shared" si="92"/>
        <v>0</v>
      </c>
      <c r="K414" s="51">
        <f t="shared" si="92"/>
        <v>0</v>
      </c>
      <c r="L414" s="51">
        <f t="shared" si="92"/>
        <v>0</v>
      </c>
      <c r="M414" s="35">
        <f t="shared" si="92"/>
        <v>8006.58</v>
      </c>
      <c r="N414" s="51">
        <f t="shared" si="92"/>
        <v>57203338.079999998</v>
      </c>
      <c r="O414" s="82">
        <f t="shared" si="92"/>
        <v>743</v>
      </c>
      <c r="P414" s="51">
        <f t="shared" si="92"/>
        <v>19639719</v>
      </c>
      <c r="Q414" s="338">
        <f t="shared" si="92"/>
        <v>0</v>
      </c>
      <c r="R414" s="51">
        <f t="shared" si="92"/>
        <v>0</v>
      </c>
      <c r="S414" s="51">
        <f t="shared" si="92"/>
        <v>0</v>
      </c>
      <c r="T414" s="338">
        <f t="shared" si="92"/>
        <v>0</v>
      </c>
      <c r="U414" s="51">
        <f t="shared" si="92"/>
        <v>0</v>
      </c>
      <c r="V414" s="35">
        <f t="shared" si="92"/>
        <v>1005789.36</v>
      </c>
      <c r="W414" s="51">
        <f t="shared" si="92"/>
        <v>45355812.140000001</v>
      </c>
      <c r="X414" s="329" t="e">
        <f>X413+#REF!+#REF!+X404+#REF!+X399+#REF!+X390+X260+X225+#REF!+#REF!+X242</f>
        <v>#REF!</v>
      </c>
      <c r="Y414" s="285"/>
      <c r="Z414" s="285"/>
      <c r="AA414" s="285"/>
      <c r="AB414" s="285"/>
      <c r="AC414" s="285"/>
      <c r="AD414" s="285"/>
      <c r="AE414" s="360"/>
      <c r="AF414" s="361"/>
      <c r="AG414" s="361"/>
      <c r="AH414" s="56"/>
      <c r="AI414" s="56"/>
    </row>
    <row r="415" spans="1:35" x14ac:dyDescent="0.3">
      <c r="A415" s="436"/>
      <c r="B415" s="363" t="s">
        <v>517</v>
      </c>
      <c r="C415" s="363"/>
      <c r="D415" s="363"/>
      <c r="E415" s="363"/>
      <c r="F415" s="363"/>
      <c r="G415" s="363"/>
      <c r="H415" s="363"/>
      <c r="I415" s="363"/>
      <c r="J415" s="363"/>
      <c r="K415" s="363"/>
      <c r="L415" s="363"/>
      <c r="M415" s="393"/>
      <c r="N415" s="363"/>
      <c r="O415" s="391"/>
      <c r="P415" s="363"/>
      <c r="Q415" s="392"/>
      <c r="R415" s="363"/>
      <c r="S415" s="363"/>
      <c r="T415" s="392"/>
      <c r="U415" s="363"/>
      <c r="V415" s="393"/>
      <c r="W415" s="363"/>
      <c r="X415" s="141"/>
      <c r="Y415" s="48"/>
      <c r="Z415" s="57"/>
      <c r="AA415" s="58"/>
      <c r="AB415" s="58"/>
      <c r="AC415" s="58"/>
      <c r="AD415" s="58"/>
      <c r="AE415" s="58"/>
      <c r="AF415" s="58"/>
      <c r="AG415" s="58"/>
    </row>
    <row r="416" spans="1:35" ht="15.75" x14ac:dyDescent="0.25">
      <c r="A416" s="437"/>
      <c r="B416" s="363"/>
      <c r="C416" s="387"/>
      <c r="D416" s="387"/>
      <c r="E416" s="387"/>
      <c r="F416" s="387"/>
      <c r="G416" s="387"/>
      <c r="H416" s="387"/>
      <c r="I416" s="387"/>
      <c r="J416" s="387"/>
      <c r="K416" s="387"/>
      <c r="L416" s="387"/>
      <c r="M416" s="390"/>
      <c r="N416" s="387"/>
      <c r="O416" s="388"/>
      <c r="P416" s="387"/>
      <c r="Q416" s="389"/>
      <c r="R416" s="387"/>
      <c r="S416" s="387"/>
      <c r="T416" s="389"/>
      <c r="U416" s="387"/>
      <c r="V416" s="390"/>
      <c r="W416" s="387"/>
      <c r="X416" s="141"/>
      <c r="Y416" s="48"/>
      <c r="Z416" s="57"/>
      <c r="AA416" s="58"/>
      <c r="AB416" s="58"/>
      <c r="AC416" s="58"/>
      <c r="AD416" s="58"/>
      <c r="AE416" s="58"/>
      <c r="AF416" s="58"/>
      <c r="AG416" s="58"/>
    </row>
    <row r="417" spans="1:33" x14ac:dyDescent="0.3">
      <c r="A417" s="437"/>
      <c r="B417" s="414" t="s">
        <v>518</v>
      </c>
      <c r="C417" s="387"/>
      <c r="D417" s="387"/>
      <c r="E417" s="387"/>
      <c r="F417" s="387"/>
      <c r="G417" s="387"/>
      <c r="H417" s="387"/>
      <c r="I417" s="387"/>
      <c r="J417" s="387"/>
      <c r="K417" s="387"/>
      <c r="L417" s="387"/>
      <c r="M417" s="390"/>
      <c r="N417" s="387"/>
      <c r="O417" s="388"/>
      <c r="P417" s="387"/>
      <c r="Q417" s="389"/>
      <c r="R417" s="387"/>
      <c r="S417" s="387"/>
      <c r="T417" s="389"/>
      <c r="U417" s="387"/>
      <c r="V417" s="390"/>
      <c r="W417" s="387"/>
      <c r="X417" s="141"/>
      <c r="Y417" s="48"/>
      <c r="Z417" s="57"/>
      <c r="AA417" s="58"/>
      <c r="AB417" s="58"/>
      <c r="AC417" s="58"/>
      <c r="AD417" s="58"/>
      <c r="AE417" s="58"/>
      <c r="AF417" s="58"/>
      <c r="AG417" s="58"/>
    </row>
    <row r="418" spans="1:33" x14ac:dyDescent="0.3">
      <c r="A418" s="45">
        <f>A412+1</f>
        <v>358</v>
      </c>
      <c r="B418" s="414" t="s">
        <v>519</v>
      </c>
      <c r="C418" s="51">
        <f t="shared" ref="C418:C462" si="93">D418+K418+L418+N418+R418+S418+U418+V418+W418</f>
        <v>772694.05</v>
      </c>
      <c r="D418" s="51">
        <f t="shared" ref="D418:D449" si="94">E418+F418+G418+H418+I418</f>
        <v>0</v>
      </c>
      <c r="E418" s="51"/>
      <c r="F418" s="51"/>
      <c r="G418" s="51"/>
      <c r="H418" s="51"/>
      <c r="I418" s="51"/>
      <c r="J418" s="51"/>
      <c r="K418" s="51"/>
      <c r="L418" s="51"/>
      <c r="M418" s="35"/>
      <c r="N418" s="51"/>
      <c r="O418" s="82"/>
      <c r="P418" s="51"/>
      <c r="Q418" s="338"/>
      <c r="R418" s="51"/>
      <c r="S418" s="51"/>
      <c r="T418" s="338"/>
      <c r="U418" s="51"/>
      <c r="V418" s="35"/>
      <c r="W418" s="364">
        <f t="shared" ref="W418:W433" si="95">SUM(X418:AF418)</f>
        <v>772694.05</v>
      </c>
      <c r="X418" s="141"/>
      <c r="Y418" s="172">
        <v>189467.62</v>
      </c>
      <c r="Z418" s="520">
        <v>159550.51</v>
      </c>
      <c r="AA418" s="518"/>
      <c r="AB418" s="63">
        <v>145162.22</v>
      </c>
      <c r="AC418" s="63"/>
      <c r="AD418" s="63"/>
      <c r="AE418" s="63"/>
      <c r="AF418" s="63">
        <v>278513.7</v>
      </c>
      <c r="AG418" s="62"/>
    </row>
    <row r="419" spans="1:33" x14ac:dyDescent="0.3">
      <c r="A419" s="45">
        <f t="shared" ref="A419:A423" si="96">A418+1</f>
        <v>359</v>
      </c>
      <c r="B419" s="414" t="s">
        <v>520</v>
      </c>
      <c r="C419" s="51">
        <f t="shared" si="93"/>
        <v>420740.41</v>
      </c>
      <c r="D419" s="51">
        <f t="shared" si="94"/>
        <v>0</v>
      </c>
      <c r="E419" s="51"/>
      <c r="F419" s="51"/>
      <c r="G419" s="51"/>
      <c r="H419" s="51"/>
      <c r="I419" s="51"/>
      <c r="J419" s="51"/>
      <c r="K419" s="51"/>
      <c r="L419" s="51"/>
      <c r="M419" s="35"/>
      <c r="N419" s="51"/>
      <c r="O419" s="82"/>
      <c r="P419" s="51"/>
      <c r="Q419" s="338"/>
      <c r="R419" s="51"/>
      <c r="S419" s="51"/>
      <c r="T419" s="338"/>
      <c r="U419" s="51"/>
      <c r="V419" s="35"/>
      <c r="W419" s="364">
        <f t="shared" si="95"/>
        <v>420740.41</v>
      </c>
      <c r="X419" s="141"/>
      <c r="Y419" s="48"/>
      <c r="Z419" s="61"/>
      <c r="AA419" s="62"/>
      <c r="AB419" s="62"/>
      <c r="AC419" s="62"/>
      <c r="AD419" s="63">
        <v>137512.37</v>
      </c>
      <c r="AE419" s="63"/>
      <c r="AF419" s="63">
        <v>283228.03999999998</v>
      </c>
      <c r="AG419" s="62"/>
    </row>
    <row r="420" spans="1:33" x14ac:dyDescent="0.3">
      <c r="A420" s="45">
        <f t="shared" si="96"/>
        <v>360</v>
      </c>
      <c r="B420" s="414" t="s">
        <v>521</v>
      </c>
      <c r="C420" s="51">
        <f t="shared" si="93"/>
        <v>495662.11</v>
      </c>
      <c r="D420" s="51">
        <f t="shared" si="94"/>
        <v>0</v>
      </c>
      <c r="E420" s="51"/>
      <c r="F420" s="51"/>
      <c r="G420" s="51"/>
      <c r="H420" s="51"/>
      <c r="I420" s="51"/>
      <c r="J420" s="51"/>
      <c r="K420" s="51"/>
      <c r="L420" s="51"/>
      <c r="M420" s="35"/>
      <c r="N420" s="51"/>
      <c r="O420" s="82"/>
      <c r="P420" s="51"/>
      <c r="Q420" s="338"/>
      <c r="R420" s="51"/>
      <c r="S420" s="51"/>
      <c r="T420" s="338"/>
      <c r="U420" s="51"/>
      <c r="V420" s="35"/>
      <c r="W420" s="364">
        <f t="shared" si="95"/>
        <v>495662.11</v>
      </c>
      <c r="X420" s="144">
        <v>112746.8</v>
      </c>
      <c r="Y420" s="172">
        <v>260867.82</v>
      </c>
      <c r="Z420" s="520">
        <v>122047.49</v>
      </c>
      <c r="AA420" s="518"/>
      <c r="AB420" s="62"/>
      <c r="AC420" s="62"/>
      <c r="AD420" s="62"/>
      <c r="AE420" s="62"/>
      <c r="AF420" s="62"/>
      <c r="AG420" s="62"/>
    </row>
    <row r="421" spans="1:33" x14ac:dyDescent="0.3">
      <c r="A421" s="45">
        <f t="shared" si="96"/>
        <v>361</v>
      </c>
      <c r="B421" s="414" t="s">
        <v>522</v>
      </c>
      <c r="C421" s="51">
        <f t="shared" si="93"/>
        <v>178143.18</v>
      </c>
      <c r="D421" s="51">
        <f t="shared" si="94"/>
        <v>0</v>
      </c>
      <c r="E421" s="51"/>
      <c r="F421" s="51"/>
      <c r="G421" s="51"/>
      <c r="H421" s="51"/>
      <c r="I421" s="51"/>
      <c r="J421" s="51"/>
      <c r="K421" s="51"/>
      <c r="L421" s="51"/>
      <c r="M421" s="35"/>
      <c r="N421" s="51"/>
      <c r="O421" s="82">
        <v>555</v>
      </c>
      <c r="P421" s="51">
        <v>4615897.2</v>
      </c>
      <c r="Q421" s="338"/>
      <c r="R421" s="51"/>
      <c r="S421" s="51"/>
      <c r="T421" s="338"/>
      <c r="U421" s="51"/>
      <c r="V421" s="35"/>
      <c r="W421" s="364">
        <f t="shared" si="95"/>
        <v>178143.18</v>
      </c>
      <c r="X421" s="144">
        <v>178143.18</v>
      </c>
      <c r="Y421" s="48"/>
      <c r="Z421" s="61"/>
      <c r="AA421" s="62"/>
      <c r="AB421" s="62"/>
      <c r="AC421" s="62"/>
      <c r="AD421" s="62"/>
      <c r="AE421" s="62"/>
      <c r="AF421" s="62"/>
      <c r="AG421" s="62"/>
    </row>
    <row r="422" spans="1:33" x14ac:dyDescent="0.3">
      <c r="A422" s="45">
        <f t="shared" si="96"/>
        <v>362</v>
      </c>
      <c r="B422" s="414" t="s">
        <v>523</v>
      </c>
      <c r="C422" s="51">
        <f t="shared" si="93"/>
        <v>419989.04000000004</v>
      </c>
      <c r="D422" s="51">
        <f t="shared" si="94"/>
        <v>0</v>
      </c>
      <c r="E422" s="51"/>
      <c r="F422" s="51"/>
      <c r="G422" s="51"/>
      <c r="H422" s="51"/>
      <c r="I422" s="51"/>
      <c r="J422" s="51"/>
      <c r="K422" s="51"/>
      <c r="L422" s="51"/>
      <c r="M422" s="35"/>
      <c r="N422" s="51"/>
      <c r="O422" s="82"/>
      <c r="P422" s="51"/>
      <c r="Q422" s="338"/>
      <c r="R422" s="51"/>
      <c r="S422" s="51"/>
      <c r="T422" s="338"/>
      <c r="U422" s="51"/>
      <c r="V422" s="35"/>
      <c r="W422" s="364">
        <f t="shared" si="95"/>
        <v>419989.04000000004</v>
      </c>
      <c r="X422" s="144">
        <v>218426.29</v>
      </c>
      <c r="Y422" s="172"/>
      <c r="Z422" s="64"/>
      <c r="AA422" s="63"/>
      <c r="AB422" s="63"/>
      <c r="AC422" s="63"/>
      <c r="AD422" s="63">
        <v>201562.75</v>
      </c>
      <c r="AE422" s="62"/>
      <c r="AF422" s="62"/>
      <c r="AG422" s="62"/>
    </row>
    <row r="423" spans="1:33" x14ac:dyDescent="0.3">
      <c r="A423" s="45">
        <f t="shared" si="96"/>
        <v>363</v>
      </c>
      <c r="B423" s="414" t="s">
        <v>524</v>
      </c>
      <c r="C423" s="51">
        <f t="shared" si="93"/>
        <v>674464.84000000008</v>
      </c>
      <c r="D423" s="51">
        <f t="shared" si="94"/>
        <v>0</v>
      </c>
      <c r="E423" s="51"/>
      <c r="F423" s="51"/>
      <c r="G423" s="51"/>
      <c r="H423" s="51"/>
      <c r="I423" s="51"/>
      <c r="J423" s="51"/>
      <c r="K423" s="51"/>
      <c r="L423" s="51"/>
      <c r="M423" s="35"/>
      <c r="N423" s="51"/>
      <c r="O423" s="82"/>
      <c r="P423" s="51"/>
      <c r="Q423" s="338"/>
      <c r="R423" s="51"/>
      <c r="S423" s="51"/>
      <c r="T423" s="338"/>
      <c r="U423" s="51"/>
      <c r="V423" s="35"/>
      <c r="W423" s="364">
        <f t="shared" si="95"/>
        <v>674464.84000000008</v>
      </c>
      <c r="X423" s="144">
        <v>179260.85</v>
      </c>
      <c r="Y423" s="63"/>
      <c r="Z423" s="63"/>
      <c r="AA423" s="63"/>
      <c r="AB423" s="63"/>
      <c r="AC423" s="63">
        <v>334185.3</v>
      </c>
      <c r="AD423" s="63">
        <v>161018.69</v>
      </c>
      <c r="AE423" s="62"/>
      <c r="AF423" s="62"/>
      <c r="AG423" s="62"/>
    </row>
    <row r="424" spans="1:33" x14ac:dyDescent="0.3">
      <c r="A424" s="47">
        <f t="shared" ref="A424:A468" si="97">A423+1</f>
        <v>364</v>
      </c>
      <c r="B424" s="414" t="s">
        <v>525</v>
      </c>
      <c r="C424" s="51">
        <f t="shared" si="93"/>
        <v>527450.81999999995</v>
      </c>
      <c r="D424" s="51">
        <f t="shared" si="94"/>
        <v>0</v>
      </c>
      <c r="E424" s="51"/>
      <c r="F424" s="51"/>
      <c r="G424" s="51"/>
      <c r="H424" s="51"/>
      <c r="I424" s="51"/>
      <c r="J424" s="51"/>
      <c r="K424" s="51"/>
      <c r="L424" s="51"/>
      <c r="M424" s="35"/>
      <c r="N424" s="51"/>
      <c r="O424" s="82"/>
      <c r="P424" s="51"/>
      <c r="Q424" s="338"/>
      <c r="R424" s="51"/>
      <c r="S424" s="51"/>
      <c r="T424" s="338"/>
      <c r="U424" s="51"/>
      <c r="V424" s="35"/>
      <c r="W424" s="364">
        <f t="shared" si="95"/>
        <v>527450.81999999995</v>
      </c>
      <c r="X424" s="141"/>
      <c r="Y424" s="62"/>
      <c r="Z424" s="62"/>
      <c r="AA424" s="62"/>
      <c r="AB424" s="62"/>
      <c r="AC424" s="63">
        <v>357327.04</v>
      </c>
      <c r="AD424" s="63">
        <v>170123.78</v>
      </c>
      <c r="AE424" s="62"/>
      <c r="AF424" s="62"/>
      <c r="AG424" s="62"/>
    </row>
    <row r="425" spans="1:33" x14ac:dyDescent="0.3">
      <c r="A425" s="47">
        <f t="shared" si="97"/>
        <v>365</v>
      </c>
      <c r="B425" s="414" t="s">
        <v>526</v>
      </c>
      <c r="C425" s="51">
        <f t="shared" si="93"/>
        <v>582225.44999999995</v>
      </c>
      <c r="D425" s="51">
        <f t="shared" si="94"/>
        <v>0</v>
      </c>
      <c r="E425" s="51"/>
      <c r="F425" s="51"/>
      <c r="G425" s="51"/>
      <c r="H425" s="51"/>
      <c r="I425" s="51"/>
      <c r="J425" s="51"/>
      <c r="K425" s="51"/>
      <c r="L425" s="51"/>
      <c r="M425" s="35"/>
      <c r="N425" s="51"/>
      <c r="O425" s="82"/>
      <c r="P425" s="51"/>
      <c r="Q425" s="338"/>
      <c r="R425" s="51"/>
      <c r="S425" s="51"/>
      <c r="T425" s="338"/>
      <c r="U425" s="51"/>
      <c r="V425" s="35"/>
      <c r="W425" s="364">
        <f t="shared" si="95"/>
        <v>582225.44999999995</v>
      </c>
      <c r="X425" s="141"/>
      <c r="Y425" s="62"/>
      <c r="Z425" s="62"/>
      <c r="AA425" s="62"/>
      <c r="AB425" s="62"/>
      <c r="AC425" s="63">
        <v>394652.93</v>
      </c>
      <c r="AD425" s="63">
        <v>187572.52</v>
      </c>
      <c r="AE425" s="62"/>
      <c r="AF425" s="62"/>
      <c r="AG425" s="62"/>
    </row>
    <row r="426" spans="1:33" x14ac:dyDescent="0.3">
      <c r="A426" s="47">
        <f t="shared" si="97"/>
        <v>366</v>
      </c>
      <c r="B426" s="414" t="s">
        <v>527</v>
      </c>
      <c r="C426" s="51">
        <f t="shared" si="93"/>
        <v>273658.63</v>
      </c>
      <c r="D426" s="51">
        <f t="shared" si="94"/>
        <v>0</v>
      </c>
      <c r="E426" s="51"/>
      <c r="F426" s="51"/>
      <c r="G426" s="51"/>
      <c r="H426" s="51"/>
      <c r="I426" s="51"/>
      <c r="J426" s="51"/>
      <c r="K426" s="51"/>
      <c r="L426" s="51"/>
      <c r="M426" s="35"/>
      <c r="N426" s="51"/>
      <c r="O426" s="82"/>
      <c r="P426" s="51"/>
      <c r="Q426" s="338"/>
      <c r="R426" s="51"/>
      <c r="S426" s="51"/>
      <c r="T426" s="338"/>
      <c r="U426" s="51"/>
      <c r="V426" s="35"/>
      <c r="W426" s="364">
        <f t="shared" si="95"/>
        <v>273658.63</v>
      </c>
      <c r="X426" s="141"/>
      <c r="Y426" s="62"/>
      <c r="Z426" s="62"/>
      <c r="AA426" s="62"/>
      <c r="AB426" s="62"/>
      <c r="AC426" s="62"/>
      <c r="AD426" s="62"/>
      <c r="AE426" s="62"/>
      <c r="AF426" s="63">
        <v>273658.63</v>
      </c>
      <c r="AG426" s="62"/>
    </row>
    <row r="427" spans="1:33" x14ac:dyDescent="0.3">
      <c r="A427" s="47">
        <f t="shared" si="97"/>
        <v>367</v>
      </c>
      <c r="B427" s="414" t="s">
        <v>528</v>
      </c>
      <c r="C427" s="51">
        <f t="shared" si="93"/>
        <v>521026.28</v>
      </c>
      <c r="D427" s="51">
        <f t="shared" si="94"/>
        <v>0</v>
      </c>
      <c r="E427" s="51"/>
      <c r="F427" s="51"/>
      <c r="G427" s="51"/>
      <c r="H427" s="51"/>
      <c r="I427" s="51"/>
      <c r="J427" s="51"/>
      <c r="K427" s="51"/>
      <c r="L427" s="51"/>
      <c r="M427" s="35"/>
      <c r="N427" s="51"/>
      <c r="O427" s="82"/>
      <c r="P427" s="51"/>
      <c r="Q427" s="338"/>
      <c r="R427" s="51"/>
      <c r="S427" s="51"/>
      <c r="T427" s="338"/>
      <c r="U427" s="51"/>
      <c r="V427" s="35"/>
      <c r="W427" s="364">
        <f t="shared" si="95"/>
        <v>521026.28</v>
      </c>
      <c r="X427" s="141"/>
      <c r="Y427" s="63">
        <v>201319.78</v>
      </c>
      <c r="Z427" s="521">
        <v>167047.4</v>
      </c>
      <c r="AA427" s="522"/>
      <c r="AB427" s="63">
        <v>152659.1</v>
      </c>
      <c r="AC427" s="63"/>
      <c r="AD427" s="63"/>
      <c r="AE427" s="63"/>
      <c r="AF427" s="63"/>
      <c r="AG427" s="62"/>
    </row>
    <row r="428" spans="1:33" x14ac:dyDescent="0.3">
      <c r="A428" s="47">
        <f t="shared" si="97"/>
        <v>368</v>
      </c>
      <c r="B428" s="414" t="s">
        <v>529</v>
      </c>
      <c r="C428" s="51">
        <f t="shared" si="93"/>
        <v>565240.44000000006</v>
      </c>
      <c r="D428" s="51">
        <f t="shared" si="94"/>
        <v>0</v>
      </c>
      <c r="E428" s="51"/>
      <c r="F428" s="51"/>
      <c r="G428" s="51"/>
      <c r="H428" s="51"/>
      <c r="I428" s="51"/>
      <c r="J428" s="51"/>
      <c r="K428" s="51"/>
      <c r="L428" s="51"/>
      <c r="M428" s="35"/>
      <c r="N428" s="51"/>
      <c r="O428" s="82"/>
      <c r="P428" s="51"/>
      <c r="Q428" s="338"/>
      <c r="R428" s="51"/>
      <c r="S428" s="51"/>
      <c r="T428" s="338"/>
      <c r="U428" s="51"/>
      <c r="V428" s="35"/>
      <c r="W428" s="364">
        <f t="shared" si="95"/>
        <v>565240.44000000006</v>
      </c>
      <c r="X428" s="141"/>
      <c r="Y428" s="63">
        <v>218236.08</v>
      </c>
      <c r="Z428" s="172">
        <v>178982.57</v>
      </c>
      <c r="AA428" s="362"/>
      <c r="AB428" s="63">
        <v>168021.79</v>
      </c>
      <c r="AC428" s="63"/>
      <c r="AD428" s="63"/>
      <c r="AE428" s="63"/>
      <c r="AF428" s="63"/>
      <c r="AG428" s="62"/>
    </row>
    <row r="429" spans="1:33" x14ac:dyDescent="0.3">
      <c r="A429" s="47">
        <f t="shared" si="97"/>
        <v>369</v>
      </c>
      <c r="B429" s="414" t="s">
        <v>530</v>
      </c>
      <c r="C429" s="51">
        <f t="shared" si="93"/>
        <v>334416.72000000003</v>
      </c>
      <c r="D429" s="51">
        <f t="shared" si="94"/>
        <v>0</v>
      </c>
      <c r="E429" s="51"/>
      <c r="F429" s="51"/>
      <c r="G429" s="51"/>
      <c r="H429" s="51"/>
      <c r="I429" s="51"/>
      <c r="J429" s="51"/>
      <c r="K429" s="51"/>
      <c r="L429" s="51"/>
      <c r="M429" s="35"/>
      <c r="N429" s="51"/>
      <c r="O429" s="82"/>
      <c r="P429" s="51"/>
      <c r="Q429" s="338"/>
      <c r="R429" s="51"/>
      <c r="S429" s="51"/>
      <c r="T429" s="338"/>
      <c r="U429" s="51"/>
      <c r="V429" s="35"/>
      <c r="W429" s="364">
        <f t="shared" si="95"/>
        <v>334416.72000000003</v>
      </c>
      <c r="X429" s="144">
        <v>104070.96</v>
      </c>
      <c r="Y429" s="63">
        <v>122651.87</v>
      </c>
      <c r="Z429" s="478">
        <v>107693.89</v>
      </c>
      <c r="AA429" s="518"/>
      <c r="AB429" s="62"/>
      <c r="AC429" s="62"/>
      <c r="AD429" s="62"/>
      <c r="AE429" s="62"/>
      <c r="AF429" s="62"/>
      <c r="AG429" s="62"/>
    </row>
    <row r="430" spans="1:33" x14ac:dyDescent="0.3">
      <c r="A430" s="47">
        <f t="shared" si="97"/>
        <v>370</v>
      </c>
      <c r="B430" s="414" t="s">
        <v>531</v>
      </c>
      <c r="C430" s="51">
        <f t="shared" si="93"/>
        <v>334322.5</v>
      </c>
      <c r="D430" s="51">
        <f t="shared" si="94"/>
        <v>0</v>
      </c>
      <c r="E430" s="51"/>
      <c r="F430" s="51"/>
      <c r="G430" s="51"/>
      <c r="H430" s="51"/>
      <c r="I430" s="51"/>
      <c r="J430" s="51"/>
      <c r="K430" s="51"/>
      <c r="L430" s="51"/>
      <c r="M430" s="35"/>
      <c r="N430" s="51"/>
      <c r="O430" s="82"/>
      <c r="P430" s="51"/>
      <c r="Q430" s="338"/>
      <c r="R430" s="51"/>
      <c r="S430" s="51"/>
      <c r="T430" s="338"/>
      <c r="U430" s="51"/>
      <c r="V430" s="35"/>
      <c r="W430" s="364">
        <f t="shared" si="95"/>
        <v>334322.5</v>
      </c>
      <c r="X430" s="144">
        <v>104038.93</v>
      </c>
      <c r="Y430" s="63">
        <v>122619.92</v>
      </c>
      <c r="Z430" s="478">
        <v>107663.65</v>
      </c>
      <c r="AA430" s="518"/>
      <c r="AB430" s="62"/>
      <c r="AC430" s="62"/>
      <c r="AD430" s="62"/>
      <c r="AE430" s="62"/>
      <c r="AF430" s="62"/>
      <c r="AG430" s="62"/>
    </row>
    <row r="431" spans="1:33" x14ac:dyDescent="0.3">
      <c r="A431" s="47">
        <f t="shared" si="97"/>
        <v>371</v>
      </c>
      <c r="B431" s="414" t="s">
        <v>532</v>
      </c>
      <c r="C431" s="51">
        <f t="shared" si="93"/>
        <v>421325.91000000003</v>
      </c>
      <c r="D431" s="51">
        <f t="shared" si="94"/>
        <v>0</v>
      </c>
      <c r="E431" s="51"/>
      <c r="F431" s="51"/>
      <c r="G431" s="51"/>
      <c r="H431" s="51"/>
      <c r="I431" s="51"/>
      <c r="J431" s="51"/>
      <c r="K431" s="51"/>
      <c r="L431" s="51"/>
      <c r="M431" s="35"/>
      <c r="N431" s="51"/>
      <c r="O431" s="82"/>
      <c r="P431" s="51"/>
      <c r="Q431" s="338"/>
      <c r="R431" s="51"/>
      <c r="S431" s="51"/>
      <c r="T431" s="338"/>
      <c r="U431" s="51"/>
      <c r="V431" s="35"/>
      <c r="W431" s="364">
        <f t="shared" si="95"/>
        <v>421325.91000000003</v>
      </c>
      <c r="X431" s="144">
        <v>111603.7</v>
      </c>
      <c r="Y431" s="63">
        <v>188723.75</v>
      </c>
      <c r="Z431" s="478">
        <v>120998.46</v>
      </c>
      <c r="AA431" s="518"/>
      <c r="AB431" s="62"/>
      <c r="AC431" s="62"/>
      <c r="AD431" s="62"/>
      <c r="AE431" s="62"/>
      <c r="AF431" s="62"/>
      <c r="AG431" s="62"/>
    </row>
    <row r="432" spans="1:33" x14ac:dyDescent="0.3">
      <c r="A432" s="47">
        <f t="shared" si="97"/>
        <v>372</v>
      </c>
      <c r="B432" s="414" t="s">
        <v>533</v>
      </c>
      <c r="C432" s="51">
        <f t="shared" si="93"/>
        <v>725627.93</v>
      </c>
      <c r="D432" s="51">
        <f t="shared" si="94"/>
        <v>0</v>
      </c>
      <c r="E432" s="51"/>
      <c r="F432" s="51"/>
      <c r="G432" s="51"/>
      <c r="H432" s="51"/>
      <c r="I432" s="51"/>
      <c r="J432" s="51"/>
      <c r="K432" s="51"/>
      <c r="L432" s="51"/>
      <c r="M432" s="35"/>
      <c r="N432" s="51"/>
      <c r="O432" s="82"/>
      <c r="P432" s="51"/>
      <c r="Q432" s="338"/>
      <c r="R432" s="51"/>
      <c r="S432" s="51"/>
      <c r="T432" s="338"/>
      <c r="U432" s="51"/>
      <c r="V432" s="35"/>
      <c r="W432" s="364">
        <f t="shared" si="95"/>
        <v>725627.93</v>
      </c>
      <c r="X432" s="144">
        <v>145396.67000000001</v>
      </c>
      <c r="Y432" s="63">
        <v>233806.72</v>
      </c>
      <c r="Z432" s="478">
        <v>158696.51999999999</v>
      </c>
      <c r="AA432" s="518"/>
      <c r="AB432" s="62"/>
      <c r="AC432" s="62"/>
      <c r="AD432" s="63">
        <v>187728.02</v>
      </c>
      <c r="AE432" s="62"/>
      <c r="AF432" s="62"/>
      <c r="AG432" s="62"/>
    </row>
    <row r="433" spans="1:33" x14ac:dyDescent="0.3">
      <c r="A433" s="47">
        <f t="shared" si="97"/>
        <v>373</v>
      </c>
      <c r="B433" s="414" t="s">
        <v>534</v>
      </c>
      <c r="C433" s="51">
        <f t="shared" si="93"/>
        <v>736774.91</v>
      </c>
      <c r="D433" s="51">
        <f t="shared" si="94"/>
        <v>0</v>
      </c>
      <c r="E433" s="51"/>
      <c r="F433" s="51"/>
      <c r="G433" s="51"/>
      <c r="H433" s="51"/>
      <c r="I433" s="51"/>
      <c r="J433" s="51"/>
      <c r="K433" s="51"/>
      <c r="L433" s="51"/>
      <c r="M433" s="35"/>
      <c r="N433" s="51"/>
      <c r="O433" s="82"/>
      <c r="P433" s="51"/>
      <c r="Q433" s="338"/>
      <c r="R433" s="51"/>
      <c r="S433" s="51"/>
      <c r="T433" s="338"/>
      <c r="U433" s="51"/>
      <c r="V433" s="35"/>
      <c r="W433" s="364">
        <f t="shared" si="95"/>
        <v>736774.91</v>
      </c>
      <c r="X433" s="144">
        <v>147922.45000000001</v>
      </c>
      <c r="Y433" s="63">
        <v>237176.2</v>
      </c>
      <c r="Z433" s="521">
        <v>161014.78</v>
      </c>
      <c r="AA433" s="522"/>
      <c r="AB433" s="62"/>
      <c r="AC433" s="62"/>
      <c r="AD433" s="63">
        <v>190661.48</v>
      </c>
      <c r="AE433" s="62"/>
      <c r="AF433" s="62"/>
      <c r="AG433" s="62"/>
    </row>
    <row r="434" spans="1:33" ht="31.2" x14ac:dyDescent="0.3">
      <c r="A434" s="47">
        <f t="shared" si="97"/>
        <v>374</v>
      </c>
      <c r="B434" s="414" t="s">
        <v>535</v>
      </c>
      <c r="C434" s="51">
        <f t="shared" si="93"/>
        <v>622718.4</v>
      </c>
      <c r="D434" s="51">
        <f t="shared" si="94"/>
        <v>0</v>
      </c>
      <c r="E434" s="51"/>
      <c r="F434" s="51"/>
      <c r="G434" s="51"/>
      <c r="H434" s="51"/>
      <c r="I434" s="51"/>
      <c r="J434" s="51"/>
      <c r="K434" s="51"/>
      <c r="L434" s="51"/>
      <c r="M434" s="35"/>
      <c r="N434" s="51"/>
      <c r="O434" s="82"/>
      <c r="P434" s="51"/>
      <c r="Q434" s="338"/>
      <c r="R434" s="51"/>
      <c r="S434" s="51"/>
      <c r="T434" s="338">
        <v>650.1</v>
      </c>
      <c r="U434" s="51">
        <v>622718.4</v>
      </c>
      <c r="V434" s="35"/>
      <c r="W434" s="364"/>
      <c r="X434" s="141"/>
      <c r="Y434" s="62"/>
      <c r="Z434" s="62"/>
      <c r="AA434" s="62"/>
      <c r="AB434" s="62"/>
      <c r="AC434" s="62"/>
      <c r="AD434" s="62"/>
      <c r="AE434" s="62"/>
      <c r="AF434" s="62"/>
      <c r="AG434" s="62"/>
    </row>
    <row r="435" spans="1:33" ht="31.2" x14ac:dyDescent="0.3">
      <c r="A435" s="47">
        <f t="shared" si="97"/>
        <v>375</v>
      </c>
      <c r="B435" s="414" t="s">
        <v>536</v>
      </c>
      <c r="C435" s="51">
        <f t="shared" si="93"/>
        <v>801879.75</v>
      </c>
      <c r="D435" s="51">
        <f t="shared" si="94"/>
        <v>0</v>
      </c>
      <c r="E435" s="51"/>
      <c r="F435" s="51"/>
      <c r="G435" s="51"/>
      <c r="H435" s="51"/>
      <c r="I435" s="51"/>
      <c r="J435" s="51"/>
      <c r="K435" s="51"/>
      <c r="L435" s="51"/>
      <c r="M435" s="35"/>
      <c r="N435" s="51"/>
      <c r="O435" s="82"/>
      <c r="P435" s="51"/>
      <c r="Q435" s="338"/>
      <c r="R435" s="51"/>
      <c r="S435" s="51"/>
      <c r="T435" s="338"/>
      <c r="U435" s="51"/>
      <c r="V435" s="35"/>
      <c r="W435" s="364">
        <f t="shared" ref="W435:W446" si="98">SUM(X435:AF435)</f>
        <v>801879.75</v>
      </c>
      <c r="X435" s="144">
        <v>211748.96</v>
      </c>
      <c r="Y435" s="63"/>
      <c r="Z435" s="63"/>
      <c r="AA435" s="63"/>
      <c r="AB435" s="63"/>
      <c r="AC435" s="63">
        <v>386911.62</v>
      </c>
      <c r="AD435" s="63">
        <v>203219.17</v>
      </c>
      <c r="AE435" s="63"/>
      <c r="AF435" s="62"/>
      <c r="AG435" s="62"/>
    </row>
    <row r="436" spans="1:33" ht="31.2" x14ac:dyDescent="0.3">
      <c r="A436" s="47">
        <f t="shared" si="97"/>
        <v>376</v>
      </c>
      <c r="B436" s="414" t="s">
        <v>537</v>
      </c>
      <c r="C436" s="51">
        <f t="shared" si="93"/>
        <v>449278.06</v>
      </c>
      <c r="D436" s="51">
        <f t="shared" si="94"/>
        <v>0</v>
      </c>
      <c r="E436" s="51"/>
      <c r="F436" s="51"/>
      <c r="G436" s="51"/>
      <c r="H436" s="51"/>
      <c r="I436" s="51"/>
      <c r="J436" s="51"/>
      <c r="K436" s="51"/>
      <c r="L436" s="51"/>
      <c r="M436" s="35"/>
      <c r="N436" s="51"/>
      <c r="O436" s="82"/>
      <c r="P436" s="51"/>
      <c r="Q436" s="338"/>
      <c r="R436" s="51"/>
      <c r="S436" s="51"/>
      <c r="T436" s="338"/>
      <c r="U436" s="51"/>
      <c r="V436" s="35"/>
      <c r="W436" s="364">
        <f t="shared" si="98"/>
        <v>449278.06</v>
      </c>
      <c r="X436" s="141"/>
      <c r="Y436" s="62"/>
      <c r="Z436" s="62"/>
      <c r="AA436" s="62"/>
      <c r="AB436" s="62"/>
      <c r="AC436" s="63">
        <v>356793.56</v>
      </c>
      <c r="AD436" s="63">
        <v>92484.5</v>
      </c>
      <c r="AE436" s="63"/>
      <c r="AF436" s="62"/>
      <c r="AG436" s="62"/>
    </row>
    <row r="437" spans="1:33" ht="31.2" x14ac:dyDescent="0.3">
      <c r="A437" s="47">
        <f t="shared" si="97"/>
        <v>377</v>
      </c>
      <c r="B437" s="414" t="s">
        <v>538</v>
      </c>
      <c r="C437" s="51">
        <f t="shared" si="93"/>
        <v>908716.28</v>
      </c>
      <c r="D437" s="51">
        <f t="shared" si="94"/>
        <v>0</v>
      </c>
      <c r="E437" s="51"/>
      <c r="F437" s="51"/>
      <c r="G437" s="51"/>
      <c r="H437" s="51"/>
      <c r="I437" s="51"/>
      <c r="J437" s="51"/>
      <c r="K437" s="51"/>
      <c r="L437" s="51"/>
      <c r="M437" s="35"/>
      <c r="N437" s="51"/>
      <c r="O437" s="82"/>
      <c r="P437" s="51"/>
      <c r="Q437" s="338"/>
      <c r="R437" s="51"/>
      <c r="S437" s="51"/>
      <c r="T437" s="338"/>
      <c r="U437" s="51"/>
      <c r="V437" s="35"/>
      <c r="W437" s="364">
        <f t="shared" si="98"/>
        <v>908716.28</v>
      </c>
      <c r="X437" s="144">
        <v>332085.14</v>
      </c>
      <c r="Y437" s="63"/>
      <c r="Z437" s="63"/>
      <c r="AA437" s="63"/>
      <c r="AB437" s="63"/>
      <c r="AC437" s="63">
        <v>576631.14</v>
      </c>
      <c r="AD437" s="62"/>
      <c r="AE437" s="62"/>
      <c r="AF437" s="62"/>
      <c r="AG437" s="62"/>
    </row>
    <row r="438" spans="1:33" ht="31.2" x14ac:dyDescent="0.3">
      <c r="A438" s="47">
        <f t="shared" si="97"/>
        <v>378</v>
      </c>
      <c r="B438" s="414" t="s">
        <v>539</v>
      </c>
      <c r="C438" s="51">
        <f t="shared" si="93"/>
        <v>944897.66</v>
      </c>
      <c r="D438" s="51">
        <f t="shared" si="94"/>
        <v>0</v>
      </c>
      <c r="E438" s="51"/>
      <c r="F438" s="51"/>
      <c r="G438" s="51"/>
      <c r="H438" s="51"/>
      <c r="I438" s="51"/>
      <c r="J438" s="51"/>
      <c r="K438" s="51"/>
      <c r="L438" s="51"/>
      <c r="M438" s="35"/>
      <c r="N438" s="51"/>
      <c r="O438" s="82"/>
      <c r="P438" s="51"/>
      <c r="Q438" s="338"/>
      <c r="R438" s="51"/>
      <c r="S438" s="51"/>
      <c r="T438" s="338"/>
      <c r="U438" s="51"/>
      <c r="V438" s="35"/>
      <c r="W438" s="364">
        <f t="shared" si="98"/>
        <v>944897.66</v>
      </c>
      <c r="X438" s="144">
        <v>256694.94</v>
      </c>
      <c r="Y438" s="63"/>
      <c r="Z438" s="63"/>
      <c r="AA438" s="63"/>
      <c r="AB438" s="63"/>
      <c r="AC438" s="63">
        <v>455832.38</v>
      </c>
      <c r="AD438" s="63">
        <v>232370.34</v>
      </c>
      <c r="AE438" s="62"/>
      <c r="AF438" s="62"/>
      <c r="AG438" s="62"/>
    </row>
    <row r="439" spans="1:33" ht="31.2" x14ac:dyDescent="0.3">
      <c r="A439" s="47">
        <f t="shared" si="97"/>
        <v>379</v>
      </c>
      <c r="B439" s="414" t="s">
        <v>540</v>
      </c>
      <c r="C439" s="51">
        <f t="shared" si="93"/>
        <v>688202.72</v>
      </c>
      <c r="D439" s="51">
        <f t="shared" si="94"/>
        <v>0</v>
      </c>
      <c r="E439" s="51"/>
      <c r="F439" s="51"/>
      <c r="G439" s="51"/>
      <c r="H439" s="51"/>
      <c r="I439" s="51"/>
      <c r="J439" s="51"/>
      <c r="K439" s="51"/>
      <c r="L439" s="51"/>
      <c r="M439" s="35"/>
      <c r="N439" s="51"/>
      <c r="O439" s="82"/>
      <c r="P439" s="51"/>
      <c r="Q439" s="338"/>
      <c r="R439" s="51"/>
      <c r="S439" s="51"/>
      <c r="T439" s="338"/>
      <c r="U439" s="51"/>
      <c r="V439" s="35"/>
      <c r="W439" s="364">
        <f t="shared" si="98"/>
        <v>688202.72</v>
      </c>
      <c r="X439" s="141"/>
      <c r="Y439" s="62"/>
      <c r="Z439" s="62"/>
      <c r="AA439" s="62"/>
      <c r="AB439" s="62"/>
      <c r="AC439" s="63">
        <v>455832.38</v>
      </c>
      <c r="AD439" s="63">
        <v>232370.34</v>
      </c>
      <c r="AE439" s="63"/>
      <c r="AF439" s="62"/>
      <c r="AG439" s="62"/>
    </row>
    <row r="440" spans="1:33" ht="31.2" x14ac:dyDescent="0.3">
      <c r="A440" s="47">
        <f t="shared" si="97"/>
        <v>380</v>
      </c>
      <c r="B440" s="414" t="s">
        <v>541</v>
      </c>
      <c r="C440" s="51">
        <f t="shared" si="93"/>
        <v>817473.49000000011</v>
      </c>
      <c r="D440" s="51">
        <f t="shared" si="94"/>
        <v>0</v>
      </c>
      <c r="E440" s="51"/>
      <c r="F440" s="51"/>
      <c r="G440" s="51"/>
      <c r="H440" s="51"/>
      <c r="I440" s="51"/>
      <c r="J440" s="51"/>
      <c r="K440" s="51"/>
      <c r="L440" s="51"/>
      <c r="M440" s="35"/>
      <c r="N440" s="51"/>
      <c r="O440" s="82"/>
      <c r="P440" s="51"/>
      <c r="Q440" s="338"/>
      <c r="R440" s="51"/>
      <c r="S440" s="51"/>
      <c r="T440" s="338"/>
      <c r="U440" s="51"/>
      <c r="V440" s="35"/>
      <c r="W440" s="364">
        <f t="shared" si="98"/>
        <v>817473.49000000011</v>
      </c>
      <c r="X440" s="144">
        <v>219538.88</v>
      </c>
      <c r="Y440" s="63"/>
      <c r="Z440" s="63"/>
      <c r="AA440" s="63"/>
      <c r="AB440" s="63"/>
      <c r="AC440" s="63">
        <v>395750.7</v>
      </c>
      <c r="AD440" s="63">
        <v>202183.91</v>
      </c>
      <c r="AE440" s="62"/>
      <c r="AF440" s="62"/>
      <c r="AG440" s="62"/>
    </row>
    <row r="441" spans="1:33" ht="31.2" x14ac:dyDescent="0.3">
      <c r="A441" s="47">
        <f t="shared" si="97"/>
        <v>381</v>
      </c>
      <c r="B441" s="414" t="s">
        <v>542</v>
      </c>
      <c r="C441" s="51">
        <f t="shared" si="93"/>
        <v>73814.42</v>
      </c>
      <c r="D441" s="51">
        <f t="shared" si="94"/>
        <v>0</v>
      </c>
      <c r="E441" s="51"/>
      <c r="F441" s="51"/>
      <c r="G441" s="51"/>
      <c r="H441" s="51"/>
      <c r="I441" s="51"/>
      <c r="J441" s="51"/>
      <c r="K441" s="51"/>
      <c r="L441" s="51"/>
      <c r="M441" s="35"/>
      <c r="N441" s="51"/>
      <c r="O441" s="82"/>
      <c r="P441" s="51"/>
      <c r="Q441" s="338"/>
      <c r="R441" s="51"/>
      <c r="S441" s="51"/>
      <c r="T441" s="338"/>
      <c r="U441" s="51"/>
      <c r="V441" s="35"/>
      <c r="W441" s="364">
        <f t="shared" si="98"/>
        <v>73814.42</v>
      </c>
      <c r="X441" s="141"/>
      <c r="Y441" s="62"/>
      <c r="Z441" s="62"/>
      <c r="AA441" s="62"/>
      <c r="AB441" s="62"/>
      <c r="AC441" s="62"/>
      <c r="AD441" s="63">
        <v>73814.42</v>
      </c>
      <c r="AE441" s="63"/>
      <c r="AF441" s="62"/>
      <c r="AG441" s="62"/>
    </row>
    <row r="442" spans="1:33" ht="31.2" x14ac:dyDescent="0.3">
      <c r="A442" s="47">
        <f t="shared" si="97"/>
        <v>382</v>
      </c>
      <c r="B442" s="414" t="s">
        <v>543</v>
      </c>
      <c r="C442" s="51">
        <f t="shared" si="93"/>
        <v>171654.52</v>
      </c>
      <c r="D442" s="51">
        <f t="shared" si="94"/>
        <v>0</v>
      </c>
      <c r="E442" s="51"/>
      <c r="F442" s="51"/>
      <c r="G442" s="51"/>
      <c r="H442" s="51"/>
      <c r="I442" s="51"/>
      <c r="J442" s="51"/>
      <c r="K442" s="51"/>
      <c r="L442" s="51"/>
      <c r="M442" s="35"/>
      <c r="N442" s="51"/>
      <c r="O442" s="82"/>
      <c r="P442" s="51"/>
      <c r="Q442" s="338"/>
      <c r="R442" s="51"/>
      <c r="S442" s="51"/>
      <c r="T442" s="338"/>
      <c r="U442" s="51"/>
      <c r="V442" s="35"/>
      <c r="W442" s="364">
        <f t="shared" si="98"/>
        <v>171654.52</v>
      </c>
      <c r="X442" s="141"/>
      <c r="Y442" s="62"/>
      <c r="Z442" s="62"/>
      <c r="AA442" s="62"/>
      <c r="AB442" s="62"/>
      <c r="AC442" s="62"/>
      <c r="AD442" s="63">
        <v>171654.52</v>
      </c>
      <c r="AE442" s="58"/>
      <c r="AF442" s="62"/>
      <c r="AG442" s="62"/>
    </row>
    <row r="443" spans="1:33" ht="31.2" x14ac:dyDescent="0.3">
      <c r="A443" s="47">
        <f t="shared" si="97"/>
        <v>383</v>
      </c>
      <c r="B443" s="414" t="s">
        <v>544</v>
      </c>
      <c r="C443" s="51">
        <f t="shared" si="93"/>
        <v>73846.820000000007</v>
      </c>
      <c r="D443" s="51">
        <f t="shared" si="94"/>
        <v>0</v>
      </c>
      <c r="E443" s="51"/>
      <c r="F443" s="51"/>
      <c r="G443" s="51"/>
      <c r="H443" s="51"/>
      <c r="I443" s="51"/>
      <c r="J443" s="51"/>
      <c r="K443" s="51"/>
      <c r="L443" s="51"/>
      <c r="M443" s="35"/>
      <c r="N443" s="51"/>
      <c r="O443" s="82"/>
      <c r="P443" s="51"/>
      <c r="Q443" s="338"/>
      <c r="R443" s="51"/>
      <c r="S443" s="51"/>
      <c r="T443" s="338"/>
      <c r="U443" s="51"/>
      <c r="V443" s="35"/>
      <c r="W443" s="364">
        <f t="shared" si="98"/>
        <v>73846.820000000007</v>
      </c>
      <c r="X443" s="141"/>
      <c r="Y443" s="62"/>
      <c r="Z443" s="62"/>
      <c r="AA443" s="62"/>
      <c r="AB443" s="62"/>
      <c r="AC443" s="62"/>
      <c r="AD443" s="63">
        <v>73846.820000000007</v>
      </c>
      <c r="AE443" s="63"/>
      <c r="AF443" s="62"/>
      <c r="AG443" s="62"/>
    </row>
    <row r="444" spans="1:33" ht="31.2" x14ac:dyDescent="0.3">
      <c r="A444" s="47">
        <f t="shared" si="97"/>
        <v>384</v>
      </c>
      <c r="B444" s="414" t="s">
        <v>545</v>
      </c>
      <c r="C444" s="51">
        <f t="shared" si="93"/>
        <v>168980.62</v>
      </c>
      <c r="D444" s="51">
        <f t="shared" si="94"/>
        <v>0</v>
      </c>
      <c r="E444" s="51"/>
      <c r="F444" s="51"/>
      <c r="G444" s="51"/>
      <c r="H444" s="51"/>
      <c r="I444" s="51"/>
      <c r="J444" s="51"/>
      <c r="K444" s="51"/>
      <c r="L444" s="51"/>
      <c r="M444" s="35"/>
      <c r="N444" s="51"/>
      <c r="O444" s="82"/>
      <c r="P444" s="51"/>
      <c r="Q444" s="338"/>
      <c r="R444" s="51"/>
      <c r="S444" s="51"/>
      <c r="T444" s="338"/>
      <c r="U444" s="51"/>
      <c r="V444" s="35"/>
      <c r="W444" s="364">
        <f t="shared" si="98"/>
        <v>168980.62</v>
      </c>
      <c r="X444" s="144">
        <v>168980.62</v>
      </c>
      <c r="Y444" s="62"/>
      <c r="Z444" s="523"/>
      <c r="AA444" s="524"/>
      <c r="AB444" s="62"/>
      <c r="AC444" s="62"/>
      <c r="AD444" s="62"/>
      <c r="AE444" s="62"/>
      <c r="AF444" s="62"/>
      <c r="AG444" s="62"/>
    </row>
    <row r="445" spans="1:33" ht="31.2" x14ac:dyDescent="0.3">
      <c r="A445" s="47">
        <f t="shared" si="97"/>
        <v>385</v>
      </c>
      <c r="B445" s="414" t="s">
        <v>546</v>
      </c>
      <c r="C445" s="51">
        <f t="shared" si="93"/>
        <v>96492.79</v>
      </c>
      <c r="D445" s="51">
        <f t="shared" si="94"/>
        <v>0</v>
      </c>
      <c r="E445" s="51"/>
      <c r="F445" s="51"/>
      <c r="G445" s="51"/>
      <c r="H445" s="51"/>
      <c r="I445" s="51"/>
      <c r="J445" s="51"/>
      <c r="K445" s="51"/>
      <c r="L445" s="51"/>
      <c r="M445" s="35"/>
      <c r="N445" s="51"/>
      <c r="O445" s="82"/>
      <c r="P445" s="51"/>
      <c r="Q445" s="338"/>
      <c r="R445" s="51"/>
      <c r="S445" s="51"/>
      <c r="T445" s="338"/>
      <c r="U445" s="51"/>
      <c r="V445" s="35"/>
      <c r="W445" s="364">
        <f t="shared" si="98"/>
        <v>96492.79</v>
      </c>
      <c r="X445" s="141"/>
      <c r="Y445" s="62"/>
      <c r="Z445" s="62"/>
      <c r="AA445" s="62"/>
      <c r="AB445" s="62"/>
      <c r="AC445" s="62"/>
      <c r="AD445" s="63">
        <v>96492.79</v>
      </c>
      <c r="AE445" s="63"/>
      <c r="AF445" s="62"/>
      <c r="AG445" s="62"/>
    </row>
    <row r="446" spans="1:33" ht="31.2" x14ac:dyDescent="0.3">
      <c r="A446" s="47">
        <f t="shared" si="97"/>
        <v>386</v>
      </c>
      <c r="B446" s="414" t="s">
        <v>547</v>
      </c>
      <c r="C446" s="51">
        <f t="shared" si="93"/>
        <v>350637.03</v>
      </c>
      <c r="D446" s="51">
        <f t="shared" si="94"/>
        <v>0</v>
      </c>
      <c r="E446" s="51"/>
      <c r="F446" s="51"/>
      <c r="G446" s="51"/>
      <c r="H446" s="51"/>
      <c r="I446" s="51"/>
      <c r="J446" s="51"/>
      <c r="K446" s="51"/>
      <c r="L446" s="51"/>
      <c r="M446" s="35"/>
      <c r="N446" s="51"/>
      <c r="O446" s="82"/>
      <c r="P446" s="51"/>
      <c r="Q446" s="338"/>
      <c r="R446" s="51"/>
      <c r="S446" s="51"/>
      <c r="T446" s="338"/>
      <c r="U446" s="51"/>
      <c r="V446" s="35"/>
      <c r="W446" s="364">
        <f t="shared" si="98"/>
        <v>350637.03</v>
      </c>
      <c r="X446" s="144">
        <v>166860.38</v>
      </c>
      <c r="Y446" s="63"/>
      <c r="Z446" s="63"/>
      <c r="AA446" s="63"/>
      <c r="AB446" s="63"/>
      <c r="AC446" s="63"/>
      <c r="AD446" s="63">
        <v>183776.65</v>
      </c>
      <c r="AE446" s="63"/>
      <c r="AF446" s="62"/>
      <c r="AG446" s="62"/>
    </row>
    <row r="447" spans="1:33" ht="31.2" x14ac:dyDescent="0.3">
      <c r="A447" s="47">
        <f t="shared" si="97"/>
        <v>387</v>
      </c>
      <c r="B447" s="414" t="s">
        <v>548</v>
      </c>
      <c r="C447" s="51">
        <f t="shared" si="93"/>
        <v>130000</v>
      </c>
      <c r="D447" s="51">
        <f t="shared" si="94"/>
        <v>0</v>
      </c>
      <c r="E447" s="51"/>
      <c r="F447" s="51"/>
      <c r="G447" s="51"/>
      <c r="H447" s="51"/>
      <c r="I447" s="51"/>
      <c r="J447" s="51"/>
      <c r="K447" s="51"/>
      <c r="L447" s="51"/>
      <c r="M447" s="35"/>
      <c r="N447" s="51"/>
      <c r="O447" s="82"/>
      <c r="P447" s="51"/>
      <c r="Q447" s="338"/>
      <c r="R447" s="51"/>
      <c r="S447" s="51"/>
      <c r="T447" s="338"/>
      <c r="U447" s="51"/>
      <c r="V447" s="35"/>
      <c r="W447" s="364">
        <v>130000</v>
      </c>
      <c r="X447" s="141"/>
      <c r="Y447" s="62"/>
      <c r="Z447" s="62"/>
      <c r="AA447" s="62"/>
      <c r="AB447" s="62"/>
      <c r="AC447" s="62"/>
      <c r="AD447" s="62"/>
      <c r="AE447" s="62"/>
      <c r="AF447" s="62"/>
      <c r="AG447" s="62"/>
    </row>
    <row r="448" spans="1:33" ht="31.2" x14ac:dyDescent="0.3">
      <c r="A448" s="47">
        <f t="shared" si="97"/>
        <v>388</v>
      </c>
      <c r="B448" s="414" t="s">
        <v>549</v>
      </c>
      <c r="C448" s="51">
        <f t="shared" si="93"/>
        <v>130000</v>
      </c>
      <c r="D448" s="51">
        <f t="shared" si="94"/>
        <v>0</v>
      </c>
      <c r="E448" s="51"/>
      <c r="F448" s="51"/>
      <c r="G448" s="51"/>
      <c r="H448" s="51"/>
      <c r="I448" s="51"/>
      <c r="J448" s="51"/>
      <c r="K448" s="51"/>
      <c r="L448" s="51"/>
      <c r="M448" s="35"/>
      <c r="N448" s="51"/>
      <c r="O448" s="82"/>
      <c r="P448" s="51"/>
      <c r="Q448" s="338"/>
      <c r="R448" s="51"/>
      <c r="S448" s="51"/>
      <c r="T448" s="338"/>
      <c r="U448" s="51"/>
      <c r="V448" s="35"/>
      <c r="W448" s="364">
        <v>130000</v>
      </c>
      <c r="X448" s="141"/>
      <c r="Y448" s="62"/>
      <c r="Z448" s="62"/>
      <c r="AA448" s="62"/>
      <c r="AB448" s="62"/>
      <c r="AC448" s="62"/>
      <c r="AD448" s="62"/>
      <c r="AE448" s="62"/>
      <c r="AF448" s="62"/>
      <c r="AG448" s="62"/>
    </row>
    <row r="449" spans="1:33" ht="31.2" x14ac:dyDescent="0.3">
      <c r="A449" s="47">
        <f t="shared" si="97"/>
        <v>389</v>
      </c>
      <c r="B449" s="414" t="s">
        <v>550</v>
      </c>
      <c r="C449" s="51">
        <f t="shared" si="93"/>
        <v>891675.99</v>
      </c>
      <c r="D449" s="51">
        <f t="shared" si="94"/>
        <v>0</v>
      </c>
      <c r="E449" s="51"/>
      <c r="F449" s="51"/>
      <c r="G449" s="51"/>
      <c r="H449" s="51"/>
      <c r="I449" s="51"/>
      <c r="J449" s="51"/>
      <c r="K449" s="51"/>
      <c r="L449" s="51"/>
      <c r="M449" s="35"/>
      <c r="N449" s="51"/>
      <c r="O449" s="82"/>
      <c r="P449" s="51"/>
      <c r="Q449" s="338"/>
      <c r="R449" s="51"/>
      <c r="S449" s="51"/>
      <c r="T449" s="338"/>
      <c r="U449" s="51"/>
      <c r="V449" s="35"/>
      <c r="W449" s="364">
        <f>SUM(X449:AF449)</f>
        <v>891675.99</v>
      </c>
      <c r="X449" s="144">
        <v>170806.51</v>
      </c>
      <c r="Y449" s="63">
        <v>223468.39</v>
      </c>
      <c r="Z449" s="478">
        <v>181014.37</v>
      </c>
      <c r="AA449" s="518"/>
      <c r="AB449" s="63"/>
      <c r="AC449" s="63"/>
      <c r="AD449" s="63"/>
      <c r="AE449" s="63"/>
      <c r="AF449" s="63">
        <v>316386.71999999997</v>
      </c>
      <c r="AG449" s="62"/>
    </row>
    <row r="450" spans="1:33" ht="31.2" x14ac:dyDescent="0.3">
      <c r="A450" s="47">
        <f t="shared" si="97"/>
        <v>390</v>
      </c>
      <c r="B450" s="414" t="s">
        <v>551</v>
      </c>
      <c r="C450" s="51">
        <f t="shared" si="93"/>
        <v>1284382.3899999999</v>
      </c>
      <c r="D450" s="51">
        <f t="shared" ref="D450:D468" si="99">E450+F450+G450+H450+I450</f>
        <v>0</v>
      </c>
      <c r="E450" s="51"/>
      <c r="F450" s="51"/>
      <c r="G450" s="51"/>
      <c r="H450" s="51"/>
      <c r="I450" s="51"/>
      <c r="J450" s="51"/>
      <c r="K450" s="51"/>
      <c r="L450" s="51"/>
      <c r="M450" s="35"/>
      <c r="N450" s="51"/>
      <c r="O450" s="82"/>
      <c r="P450" s="51"/>
      <c r="Q450" s="338"/>
      <c r="R450" s="51"/>
      <c r="S450" s="51"/>
      <c r="T450" s="338"/>
      <c r="U450" s="51"/>
      <c r="V450" s="35"/>
      <c r="W450" s="364">
        <f>SUM(X450:AF450)</f>
        <v>1284382.3899999999</v>
      </c>
      <c r="X450" s="144">
        <v>176860.82</v>
      </c>
      <c r="Y450" s="63">
        <v>210008.16</v>
      </c>
      <c r="Z450" s="478">
        <v>175497.88</v>
      </c>
      <c r="AA450" s="518"/>
      <c r="AB450" s="63">
        <v>161109.57999999999</v>
      </c>
      <c r="AC450" s="63">
        <v>338115.38</v>
      </c>
      <c r="AD450" s="63">
        <v>222790.57</v>
      </c>
      <c r="AE450" s="62"/>
      <c r="AF450" s="62"/>
      <c r="AG450" s="62"/>
    </row>
    <row r="451" spans="1:33" ht="31.2" x14ac:dyDescent="0.3">
      <c r="A451" s="47">
        <f t="shared" si="97"/>
        <v>391</v>
      </c>
      <c r="B451" s="414" t="s">
        <v>552</v>
      </c>
      <c r="C451" s="51">
        <f t="shared" si="93"/>
        <v>130000</v>
      </c>
      <c r="D451" s="51">
        <f t="shared" si="99"/>
        <v>0</v>
      </c>
      <c r="E451" s="51"/>
      <c r="F451" s="51"/>
      <c r="G451" s="51"/>
      <c r="H451" s="51"/>
      <c r="I451" s="51"/>
      <c r="J451" s="51"/>
      <c r="K451" s="51"/>
      <c r="L451" s="51"/>
      <c r="M451" s="35"/>
      <c r="N451" s="51"/>
      <c r="O451" s="82"/>
      <c r="P451" s="51"/>
      <c r="Q451" s="338"/>
      <c r="R451" s="51"/>
      <c r="S451" s="51"/>
      <c r="T451" s="338"/>
      <c r="U451" s="51"/>
      <c r="V451" s="35"/>
      <c r="W451" s="364">
        <v>130000</v>
      </c>
      <c r="X451" s="141"/>
      <c r="Y451" s="62"/>
      <c r="Z451" s="62"/>
      <c r="AA451" s="62"/>
      <c r="AB451" s="62"/>
      <c r="AC451" s="62"/>
      <c r="AD451" s="58"/>
      <c r="AE451" s="62"/>
      <c r="AF451" s="62"/>
      <c r="AG451" s="62"/>
    </row>
    <row r="452" spans="1:33" ht="31.2" x14ac:dyDescent="0.3">
      <c r="A452" s="47">
        <f t="shared" si="97"/>
        <v>392</v>
      </c>
      <c r="B452" s="414" t="s">
        <v>553</v>
      </c>
      <c r="C452" s="51">
        <f t="shared" si="93"/>
        <v>1697831.23</v>
      </c>
      <c r="D452" s="51">
        <f t="shared" si="99"/>
        <v>0</v>
      </c>
      <c r="E452" s="51"/>
      <c r="F452" s="51"/>
      <c r="G452" s="51"/>
      <c r="H452" s="51"/>
      <c r="I452" s="51"/>
      <c r="J452" s="51"/>
      <c r="K452" s="51"/>
      <c r="L452" s="51"/>
      <c r="M452" s="35"/>
      <c r="N452" s="51"/>
      <c r="O452" s="82"/>
      <c r="P452" s="51"/>
      <c r="Q452" s="338"/>
      <c r="R452" s="51"/>
      <c r="S452" s="51"/>
      <c r="T452" s="338"/>
      <c r="U452" s="51"/>
      <c r="V452" s="35"/>
      <c r="W452" s="364">
        <f>SUM(X452:AF452)</f>
        <v>1697831.23</v>
      </c>
      <c r="X452" s="144">
        <v>477668.3</v>
      </c>
      <c r="Y452" s="63"/>
      <c r="Z452" s="63"/>
      <c r="AA452" s="63"/>
      <c r="AB452" s="63"/>
      <c r="AC452" s="63">
        <v>809900.59</v>
      </c>
      <c r="AD452" s="63">
        <v>410262.34</v>
      </c>
      <c r="AE452" s="63"/>
      <c r="AF452" s="62"/>
      <c r="AG452" s="62"/>
    </row>
    <row r="453" spans="1:33" ht="31.2" x14ac:dyDescent="0.3">
      <c r="A453" s="47">
        <f t="shared" si="97"/>
        <v>393</v>
      </c>
      <c r="B453" s="414" t="s">
        <v>554</v>
      </c>
      <c r="C453" s="51">
        <f t="shared" si="93"/>
        <v>708072.39</v>
      </c>
      <c r="D453" s="51">
        <f t="shared" si="99"/>
        <v>0</v>
      </c>
      <c r="E453" s="51"/>
      <c r="F453" s="51"/>
      <c r="G453" s="51"/>
      <c r="H453" s="51"/>
      <c r="I453" s="51"/>
      <c r="J453" s="51"/>
      <c r="K453" s="51"/>
      <c r="L453" s="51"/>
      <c r="M453" s="35"/>
      <c r="N453" s="51"/>
      <c r="O453" s="82"/>
      <c r="P453" s="51"/>
      <c r="Q453" s="338"/>
      <c r="R453" s="51"/>
      <c r="S453" s="51"/>
      <c r="T453" s="338"/>
      <c r="U453" s="51"/>
      <c r="V453" s="35"/>
      <c r="W453" s="364">
        <f>SUM(X453:AF453)</f>
        <v>708072.39</v>
      </c>
      <c r="X453" s="144">
        <v>170181.05</v>
      </c>
      <c r="Y453" s="63">
        <v>186265.64</v>
      </c>
      <c r="Z453" s="478">
        <v>152208.04</v>
      </c>
      <c r="AA453" s="518"/>
      <c r="AB453" s="63"/>
      <c r="AC453" s="63"/>
      <c r="AD453" s="63">
        <v>199417.66</v>
      </c>
      <c r="AE453" s="62"/>
      <c r="AF453" s="62"/>
      <c r="AG453" s="62"/>
    </row>
    <row r="454" spans="1:33" ht="31.2" x14ac:dyDescent="0.3">
      <c r="A454" s="47">
        <f t="shared" si="97"/>
        <v>394</v>
      </c>
      <c r="B454" s="414" t="s">
        <v>555</v>
      </c>
      <c r="C454" s="51">
        <f t="shared" si="93"/>
        <v>176601.82</v>
      </c>
      <c r="D454" s="51">
        <f t="shared" si="99"/>
        <v>0</v>
      </c>
      <c r="E454" s="51"/>
      <c r="F454" s="51"/>
      <c r="G454" s="51"/>
      <c r="H454" s="51"/>
      <c r="I454" s="51"/>
      <c r="J454" s="51"/>
      <c r="K454" s="51"/>
      <c r="L454" s="51"/>
      <c r="M454" s="35"/>
      <c r="N454" s="51"/>
      <c r="O454" s="82"/>
      <c r="P454" s="51"/>
      <c r="Q454" s="338"/>
      <c r="R454" s="51"/>
      <c r="S454" s="51"/>
      <c r="T454" s="338"/>
      <c r="U454" s="51"/>
      <c r="V454" s="35"/>
      <c r="W454" s="364">
        <f>SUM(X454:AF454)</f>
        <v>176601.82</v>
      </c>
      <c r="X454" s="141"/>
      <c r="Y454" s="62"/>
      <c r="Z454" s="478">
        <v>176601.82</v>
      </c>
      <c r="AA454" s="518"/>
      <c r="AB454" s="62"/>
      <c r="AC454" s="62"/>
      <c r="AD454" s="62"/>
      <c r="AE454" s="62"/>
      <c r="AF454" s="62"/>
      <c r="AG454" s="62"/>
    </row>
    <row r="455" spans="1:33" ht="31.2" x14ac:dyDescent="0.3">
      <c r="A455" s="47">
        <f t="shared" si="97"/>
        <v>395</v>
      </c>
      <c r="B455" s="414" t="s">
        <v>556</v>
      </c>
      <c r="C455" s="51">
        <f t="shared" si="93"/>
        <v>130000</v>
      </c>
      <c r="D455" s="51">
        <f t="shared" si="99"/>
        <v>0</v>
      </c>
      <c r="E455" s="51"/>
      <c r="F455" s="51"/>
      <c r="G455" s="51"/>
      <c r="H455" s="51"/>
      <c r="I455" s="51"/>
      <c r="J455" s="51"/>
      <c r="K455" s="51"/>
      <c r="L455" s="51"/>
      <c r="M455" s="35"/>
      <c r="N455" s="51"/>
      <c r="O455" s="82"/>
      <c r="P455" s="51"/>
      <c r="Q455" s="338"/>
      <c r="R455" s="51"/>
      <c r="S455" s="51"/>
      <c r="T455" s="338"/>
      <c r="U455" s="51"/>
      <c r="V455" s="35"/>
      <c r="W455" s="364">
        <v>130000</v>
      </c>
      <c r="X455" s="141"/>
      <c r="Y455" s="48"/>
      <c r="Z455" s="61"/>
      <c r="AA455" s="62"/>
      <c r="AB455" s="62"/>
      <c r="AC455" s="62"/>
      <c r="AD455" s="62"/>
      <c r="AE455" s="62"/>
      <c r="AF455" s="62"/>
      <c r="AG455" s="62"/>
    </row>
    <row r="456" spans="1:33" ht="31.2" x14ac:dyDescent="0.3">
      <c r="A456" s="47">
        <f t="shared" si="97"/>
        <v>396</v>
      </c>
      <c r="B456" s="414" t="s">
        <v>557</v>
      </c>
      <c r="C456" s="51">
        <f t="shared" si="93"/>
        <v>762014.92</v>
      </c>
      <c r="D456" s="51">
        <f t="shared" si="99"/>
        <v>0</v>
      </c>
      <c r="E456" s="51"/>
      <c r="F456" s="51"/>
      <c r="G456" s="51"/>
      <c r="H456" s="51"/>
      <c r="I456" s="51"/>
      <c r="J456" s="51"/>
      <c r="K456" s="51"/>
      <c r="L456" s="51"/>
      <c r="M456" s="35"/>
      <c r="N456" s="51"/>
      <c r="O456" s="82"/>
      <c r="P456" s="51"/>
      <c r="Q456" s="338"/>
      <c r="R456" s="51"/>
      <c r="S456" s="51"/>
      <c r="T456" s="338"/>
      <c r="U456" s="51"/>
      <c r="V456" s="35"/>
      <c r="W456" s="364">
        <f t="shared" ref="W456:W461" si="100">SUM(X456:AF456)</f>
        <v>762014.92</v>
      </c>
      <c r="X456" s="144">
        <v>177468.04</v>
      </c>
      <c r="Y456" s="172">
        <v>231651.47</v>
      </c>
      <c r="Z456" s="520">
        <v>184305.66</v>
      </c>
      <c r="AA456" s="518"/>
      <c r="AB456" s="63"/>
      <c r="AC456" s="63"/>
      <c r="AD456" s="63">
        <v>168589.75</v>
      </c>
      <c r="AE456" s="62"/>
      <c r="AF456" s="62"/>
      <c r="AG456" s="62"/>
    </row>
    <row r="457" spans="1:33" ht="31.2" x14ac:dyDescent="0.3">
      <c r="A457" s="47">
        <f t="shared" si="97"/>
        <v>397</v>
      </c>
      <c r="B457" s="414" t="s">
        <v>558</v>
      </c>
      <c r="C457" s="51">
        <f t="shared" si="93"/>
        <v>351783.92</v>
      </c>
      <c r="D457" s="51">
        <f t="shared" si="99"/>
        <v>0</v>
      </c>
      <c r="E457" s="51"/>
      <c r="F457" s="51"/>
      <c r="G457" s="51"/>
      <c r="H457" s="51"/>
      <c r="I457" s="51"/>
      <c r="J457" s="51"/>
      <c r="K457" s="51"/>
      <c r="L457" s="51"/>
      <c r="M457" s="35"/>
      <c r="N457" s="51"/>
      <c r="O457" s="82">
        <f>660</f>
        <v>660</v>
      </c>
      <c r="P457" s="51">
        <v>3608196</v>
      </c>
      <c r="Q457" s="338"/>
      <c r="R457" s="51"/>
      <c r="S457" s="51"/>
      <c r="T457" s="338"/>
      <c r="U457" s="51"/>
      <c r="V457" s="35"/>
      <c r="W457" s="364">
        <f t="shared" si="100"/>
        <v>351783.92</v>
      </c>
      <c r="X457" s="144">
        <v>180640.52</v>
      </c>
      <c r="Y457" s="172"/>
      <c r="Z457" s="64"/>
      <c r="AA457" s="63"/>
      <c r="AB457" s="63"/>
      <c r="AC457" s="63"/>
      <c r="AD457" s="63">
        <v>171143.4</v>
      </c>
      <c r="AE457" s="62"/>
      <c r="AF457" s="62"/>
      <c r="AG457" s="62"/>
    </row>
    <row r="458" spans="1:33" ht="31.2" x14ac:dyDescent="0.3">
      <c r="A458" s="47">
        <f t="shared" si="97"/>
        <v>398</v>
      </c>
      <c r="B458" s="414" t="s">
        <v>559</v>
      </c>
      <c r="C458" s="51">
        <f t="shared" si="93"/>
        <v>175448.34</v>
      </c>
      <c r="D458" s="51">
        <f t="shared" si="99"/>
        <v>0</v>
      </c>
      <c r="E458" s="51"/>
      <c r="F458" s="51"/>
      <c r="G458" s="51"/>
      <c r="H458" s="51"/>
      <c r="I458" s="51"/>
      <c r="J458" s="51"/>
      <c r="K458" s="51"/>
      <c r="L458" s="51"/>
      <c r="M458" s="35"/>
      <c r="N458" s="51"/>
      <c r="O458" s="82"/>
      <c r="P458" s="51"/>
      <c r="Q458" s="338"/>
      <c r="R458" s="51"/>
      <c r="S458" s="51"/>
      <c r="T458" s="338"/>
      <c r="U458" s="51"/>
      <c r="V458" s="35"/>
      <c r="W458" s="364">
        <f t="shared" si="100"/>
        <v>175448.34</v>
      </c>
      <c r="X458" s="141"/>
      <c r="Y458" s="48"/>
      <c r="Z458" s="61"/>
      <c r="AA458" s="62"/>
      <c r="AB458" s="62"/>
      <c r="AC458" s="62"/>
      <c r="AD458" s="63">
        <v>175448.34</v>
      </c>
      <c r="AE458" s="63"/>
      <c r="AF458" s="62"/>
      <c r="AG458" s="62"/>
    </row>
    <row r="459" spans="1:33" ht="31.2" x14ac:dyDescent="0.3">
      <c r="A459" s="47">
        <f t="shared" si="97"/>
        <v>399</v>
      </c>
      <c r="B459" s="414" t="s">
        <v>560</v>
      </c>
      <c r="C459" s="51">
        <f t="shared" si="93"/>
        <v>233166.07</v>
      </c>
      <c r="D459" s="51">
        <f t="shared" si="99"/>
        <v>0</v>
      </c>
      <c r="E459" s="51"/>
      <c r="F459" s="51"/>
      <c r="G459" s="51"/>
      <c r="H459" s="51"/>
      <c r="I459" s="51"/>
      <c r="J459" s="51"/>
      <c r="K459" s="51"/>
      <c r="L459" s="51"/>
      <c r="M459" s="35"/>
      <c r="N459" s="51"/>
      <c r="O459" s="82"/>
      <c r="P459" s="51"/>
      <c r="Q459" s="404"/>
      <c r="R459" s="51"/>
      <c r="S459" s="264"/>
      <c r="T459" s="404"/>
      <c r="U459" s="264"/>
      <c r="V459" s="38"/>
      <c r="W459" s="364">
        <f t="shared" si="100"/>
        <v>233166.07</v>
      </c>
      <c r="X459" s="144">
        <v>233166.07</v>
      </c>
      <c r="Y459" s="172"/>
      <c r="Z459" s="64"/>
      <c r="AA459" s="63"/>
      <c r="AB459" s="63"/>
      <c r="AC459" s="63"/>
      <c r="AD459" s="63"/>
      <c r="AE459" s="62"/>
      <c r="AF459" s="62"/>
      <c r="AG459" s="62"/>
    </row>
    <row r="460" spans="1:33" ht="31.2" x14ac:dyDescent="0.3">
      <c r="A460" s="47">
        <f t="shared" si="97"/>
        <v>400</v>
      </c>
      <c r="B460" s="414" t="s">
        <v>561</v>
      </c>
      <c r="C460" s="51">
        <f t="shared" si="93"/>
        <v>383679</v>
      </c>
      <c r="D460" s="51">
        <f t="shared" si="99"/>
        <v>0</v>
      </c>
      <c r="E460" s="51"/>
      <c r="F460" s="51"/>
      <c r="G460" s="51"/>
      <c r="H460" s="51"/>
      <c r="I460" s="51"/>
      <c r="J460" s="51"/>
      <c r="K460" s="51"/>
      <c r="L460" s="51"/>
      <c r="M460" s="35"/>
      <c r="N460" s="51"/>
      <c r="O460" s="82"/>
      <c r="P460" s="51"/>
      <c r="Q460" s="338"/>
      <c r="R460" s="51"/>
      <c r="S460" s="51"/>
      <c r="T460" s="338"/>
      <c r="U460" s="51"/>
      <c r="V460" s="35"/>
      <c r="W460" s="364">
        <f t="shared" si="100"/>
        <v>383679</v>
      </c>
      <c r="X460" s="141"/>
      <c r="Y460" s="48"/>
      <c r="Z460" s="61"/>
      <c r="AA460" s="62"/>
      <c r="AB460" s="62"/>
      <c r="AC460" s="63">
        <v>383679</v>
      </c>
      <c r="AD460" s="63"/>
      <c r="AE460" s="63"/>
      <c r="AF460" s="62"/>
      <c r="AG460" s="62"/>
    </row>
    <row r="461" spans="1:33" ht="31.2" x14ac:dyDescent="0.3">
      <c r="A461" s="47">
        <f t="shared" si="97"/>
        <v>401</v>
      </c>
      <c r="B461" s="414" t="s">
        <v>562</v>
      </c>
      <c r="C461" s="51">
        <f t="shared" si="93"/>
        <v>384552.83</v>
      </c>
      <c r="D461" s="51">
        <f t="shared" si="99"/>
        <v>0</v>
      </c>
      <c r="E461" s="51"/>
      <c r="F461" s="51"/>
      <c r="G461" s="51"/>
      <c r="H461" s="51"/>
      <c r="I461" s="51"/>
      <c r="J461" s="51"/>
      <c r="K461" s="51"/>
      <c r="L461" s="51"/>
      <c r="M461" s="35"/>
      <c r="N461" s="51"/>
      <c r="O461" s="82"/>
      <c r="P461" s="51"/>
      <c r="Q461" s="338"/>
      <c r="R461" s="51"/>
      <c r="S461" s="51"/>
      <c r="T461" s="338"/>
      <c r="U461" s="51"/>
      <c r="V461" s="35"/>
      <c r="W461" s="364">
        <f t="shared" si="100"/>
        <v>384552.83</v>
      </c>
      <c r="X461" s="141"/>
      <c r="Y461" s="48"/>
      <c r="Z461" s="61"/>
      <c r="AA461" s="62"/>
      <c r="AB461" s="62"/>
      <c r="AC461" s="63">
        <v>384552.83</v>
      </c>
      <c r="AD461" s="63"/>
      <c r="AE461" s="63"/>
      <c r="AF461" s="63"/>
      <c r="AG461" s="62"/>
    </row>
    <row r="462" spans="1:33" ht="31.2" x14ac:dyDescent="0.3">
      <c r="A462" s="47">
        <f t="shared" si="97"/>
        <v>402</v>
      </c>
      <c r="B462" s="414" t="s">
        <v>563</v>
      </c>
      <c r="C462" s="51">
        <f t="shared" si="93"/>
        <v>8864768.4000000004</v>
      </c>
      <c r="D462" s="51">
        <f t="shared" si="99"/>
        <v>0</v>
      </c>
      <c r="E462" s="51"/>
      <c r="F462" s="51"/>
      <c r="G462" s="51"/>
      <c r="H462" s="51"/>
      <c r="I462" s="51"/>
      <c r="J462" s="51"/>
      <c r="K462" s="51"/>
      <c r="L462" s="51"/>
      <c r="M462" s="35"/>
      <c r="N462" s="51"/>
      <c r="O462" s="82"/>
      <c r="P462" s="51"/>
      <c r="Q462" s="338"/>
      <c r="R462" s="51"/>
      <c r="S462" s="51"/>
      <c r="T462" s="338">
        <v>7800</v>
      </c>
      <c r="U462" s="51">
        <v>8864768.4000000004</v>
      </c>
      <c r="V462" s="35"/>
      <c r="W462" s="364"/>
      <c r="X462" s="141"/>
      <c r="Y462" s="48"/>
      <c r="Z462" s="61"/>
      <c r="AA462" s="62"/>
      <c r="AB462" s="62"/>
      <c r="AC462" s="62"/>
      <c r="AD462" s="62"/>
      <c r="AE462" s="62"/>
      <c r="AF462" s="62"/>
      <c r="AG462" s="62"/>
    </row>
    <row r="463" spans="1:33" ht="31.2" x14ac:dyDescent="0.3">
      <c r="A463" s="47">
        <f t="shared" si="97"/>
        <v>403</v>
      </c>
      <c r="B463" s="414" t="s">
        <v>564</v>
      </c>
      <c r="C463" s="51">
        <f>D463+K463+L463+N463+Q463+S463+U463+V463+W463</f>
        <v>280663.42</v>
      </c>
      <c r="D463" s="51">
        <f t="shared" si="99"/>
        <v>0</v>
      </c>
      <c r="E463" s="51"/>
      <c r="F463" s="51"/>
      <c r="G463" s="51"/>
      <c r="H463" s="51"/>
      <c r="I463" s="51"/>
      <c r="J463" s="51"/>
      <c r="K463" s="51"/>
      <c r="L463" s="51"/>
      <c r="M463" s="35"/>
      <c r="N463" s="51"/>
      <c r="O463" s="82">
        <v>1150</v>
      </c>
      <c r="P463" s="51">
        <v>3876914.4</v>
      </c>
      <c r="Q463" s="338"/>
      <c r="R463" s="51"/>
      <c r="S463" s="51"/>
      <c r="T463" s="338"/>
      <c r="U463" s="51"/>
      <c r="V463" s="35"/>
      <c r="W463" s="364">
        <f t="shared" ref="W463:W468" si="101">SUM(X463:AF463)</f>
        <v>280663.42</v>
      </c>
      <c r="X463" s="144">
        <v>280663.42</v>
      </c>
      <c r="Y463" s="172"/>
      <c r="Z463" s="64"/>
      <c r="AA463" s="63"/>
      <c r="AB463" s="63"/>
      <c r="AC463" s="63"/>
      <c r="AD463" s="63"/>
      <c r="AE463" s="63"/>
      <c r="AF463" s="62"/>
      <c r="AG463" s="62"/>
    </row>
    <row r="464" spans="1:33" ht="31.2" x14ac:dyDescent="0.3">
      <c r="A464" s="47">
        <f t="shared" si="97"/>
        <v>404</v>
      </c>
      <c r="B464" s="414" t="s">
        <v>565</v>
      </c>
      <c r="C464" s="51">
        <f>D464+K464+L464+N464+R464+S464+U464+V464+W464</f>
        <v>336215.96</v>
      </c>
      <c r="D464" s="51">
        <f t="shared" si="99"/>
        <v>0</v>
      </c>
      <c r="E464" s="51"/>
      <c r="F464" s="51"/>
      <c r="G464" s="51"/>
      <c r="H464" s="51"/>
      <c r="I464" s="51"/>
      <c r="J464" s="51"/>
      <c r="K464" s="51"/>
      <c r="L464" s="51"/>
      <c r="M464" s="35"/>
      <c r="N464" s="51"/>
      <c r="O464" s="82"/>
      <c r="P464" s="51"/>
      <c r="Q464" s="338"/>
      <c r="R464" s="51"/>
      <c r="S464" s="51"/>
      <c r="T464" s="338"/>
      <c r="U464" s="51"/>
      <c r="V464" s="35"/>
      <c r="W464" s="364">
        <f t="shared" si="101"/>
        <v>336215.96</v>
      </c>
      <c r="X464" s="144">
        <v>106410.07</v>
      </c>
      <c r="Y464" s="172">
        <v>125013.43</v>
      </c>
      <c r="Z464" s="64">
        <v>104792.46</v>
      </c>
      <c r="AA464" s="62"/>
      <c r="AB464" s="62"/>
      <c r="AC464" s="62"/>
      <c r="AD464" s="62"/>
      <c r="AE464" s="62"/>
      <c r="AF464" s="62"/>
      <c r="AG464" s="62"/>
    </row>
    <row r="465" spans="1:33" ht="31.2" x14ac:dyDescent="0.3">
      <c r="A465" s="47">
        <f t="shared" si="97"/>
        <v>405</v>
      </c>
      <c r="B465" s="414" t="s">
        <v>566</v>
      </c>
      <c r="C465" s="51">
        <f>D465+K465+L465+N465+R465+S465+U465+V465+W465</f>
        <v>336215.96</v>
      </c>
      <c r="D465" s="51">
        <f t="shared" si="99"/>
        <v>0</v>
      </c>
      <c r="E465" s="51"/>
      <c r="F465" s="51"/>
      <c r="G465" s="51"/>
      <c r="H465" s="51"/>
      <c r="I465" s="51"/>
      <c r="J465" s="51"/>
      <c r="K465" s="51"/>
      <c r="L465" s="51"/>
      <c r="M465" s="35"/>
      <c r="N465" s="51"/>
      <c r="O465" s="82"/>
      <c r="P465" s="51"/>
      <c r="Q465" s="338"/>
      <c r="R465" s="51"/>
      <c r="S465" s="51"/>
      <c r="T465" s="338"/>
      <c r="U465" s="51"/>
      <c r="V465" s="35"/>
      <c r="W465" s="364">
        <f t="shared" si="101"/>
        <v>336215.96</v>
      </c>
      <c r="X465" s="144">
        <v>106410.07</v>
      </c>
      <c r="Y465" s="172">
        <v>125013.43</v>
      </c>
      <c r="Z465" s="64">
        <v>104792.46</v>
      </c>
      <c r="AA465" s="62"/>
      <c r="AB465" s="62"/>
      <c r="AC465" s="62"/>
      <c r="AD465" s="62"/>
      <c r="AE465" s="62"/>
      <c r="AF465" s="62"/>
      <c r="AG465" s="62"/>
    </row>
    <row r="466" spans="1:33" ht="31.2" x14ac:dyDescent="0.3">
      <c r="A466" s="47">
        <f t="shared" si="97"/>
        <v>406</v>
      </c>
      <c r="B466" s="414" t="s">
        <v>567</v>
      </c>
      <c r="C466" s="51">
        <f>D466+K466+L466+N466+R466+S466+U466+V466+W466</f>
        <v>294410.77</v>
      </c>
      <c r="D466" s="51">
        <f t="shared" si="99"/>
        <v>0</v>
      </c>
      <c r="E466" s="51"/>
      <c r="F466" s="51"/>
      <c r="G466" s="51"/>
      <c r="H466" s="51"/>
      <c r="I466" s="51"/>
      <c r="J466" s="51"/>
      <c r="K466" s="51"/>
      <c r="L466" s="51"/>
      <c r="M466" s="35"/>
      <c r="N466" s="51"/>
      <c r="O466" s="82"/>
      <c r="P466" s="51"/>
      <c r="Q466" s="338"/>
      <c r="R466" s="51"/>
      <c r="S466" s="51"/>
      <c r="T466" s="338"/>
      <c r="U466" s="51"/>
      <c r="V466" s="35"/>
      <c r="W466" s="364">
        <f t="shared" si="101"/>
        <v>294410.77</v>
      </c>
      <c r="X466" s="144">
        <v>92384.17</v>
      </c>
      <c r="Y466" s="172">
        <v>110748.23</v>
      </c>
      <c r="Z466" s="64">
        <v>91278.37</v>
      </c>
      <c r="AA466" s="62"/>
      <c r="AB466" s="62"/>
      <c r="AC466" s="62"/>
      <c r="AD466" s="62"/>
      <c r="AE466" s="62"/>
      <c r="AF466" s="62"/>
      <c r="AG466" s="62"/>
    </row>
    <row r="467" spans="1:33" ht="31.2" x14ac:dyDescent="0.3">
      <c r="A467" s="47">
        <f t="shared" si="97"/>
        <v>407</v>
      </c>
      <c r="B467" s="414" t="s">
        <v>568</v>
      </c>
      <c r="C467" s="51">
        <f>D467+K467+L467+N467+R467+S467+U467+V467+W467</f>
        <v>290752.25</v>
      </c>
      <c r="D467" s="51">
        <f t="shared" si="99"/>
        <v>0</v>
      </c>
      <c r="E467" s="51"/>
      <c r="F467" s="51"/>
      <c r="G467" s="51"/>
      <c r="H467" s="51"/>
      <c r="I467" s="51"/>
      <c r="J467" s="51"/>
      <c r="K467" s="51"/>
      <c r="L467" s="51"/>
      <c r="M467" s="35"/>
      <c r="N467" s="51"/>
      <c r="O467" s="82"/>
      <c r="P467" s="51"/>
      <c r="Q467" s="338"/>
      <c r="R467" s="51"/>
      <c r="S467" s="51"/>
      <c r="T467" s="338"/>
      <c r="U467" s="51"/>
      <c r="V467" s="35"/>
      <c r="W467" s="364">
        <f t="shared" si="101"/>
        <v>290752.25</v>
      </c>
      <c r="X467" s="144">
        <v>91149.34</v>
      </c>
      <c r="Y467" s="172">
        <v>109503.61</v>
      </c>
      <c r="Z467" s="64">
        <v>90099.3</v>
      </c>
      <c r="AA467" s="62"/>
      <c r="AB467" s="62"/>
      <c r="AC467" s="62"/>
      <c r="AD467" s="62"/>
      <c r="AE467" s="62"/>
      <c r="AF467" s="62"/>
      <c r="AG467" s="62"/>
    </row>
    <row r="468" spans="1:33" ht="31.2" x14ac:dyDescent="0.3">
      <c r="A468" s="47">
        <f t="shared" si="97"/>
        <v>408</v>
      </c>
      <c r="B468" s="414" t="s">
        <v>569</v>
      </c>
      <c r="C468" s="51">
        <f>D468+K468+L468+N468+R468+S468+U468+V468+W468</f>
        <v>409251.32</v>
      </c>
      <c r="D468" s="51">
        <f t="shared" si="99"/>
        <v>0</v>
      </c>
      <c r="E468" s="51"/>
      <c r="F468" s="51"/>
      <c r="G468" s="51"/>
      <c r="H468" s="51"/>
      <c r="I468" s="51"/>
      <c r="J468" s="51"/>
      <c r="K468" s="51"/>
      <c r="L468" s="51"/>
      <c r="M468" s="35"/>
      <c r="N468" s="51"/>
      <c r="O468" s="82"/>
      <c r="P468" s="51"/>
      <c r="Q468" s="338"/>
      <c r="R468" s="51"/>
      <c r="S468" s="51"/>
      <c r="T468" s="338"/>
      <c r="U468" s="51"/>
      <c r="V468" s="35"/>
      <c r="W468" s="364">
        <f t="shared" si="101"/>
        <v>409251.32</v>
      </c>
      <c r="X468" s="144">
        <v>69235.33</v>
      </c>
      <c r="Y468" s="172"/>
      <c r="Z468" s="64"/>
      <c r="AA468" s="63"/>
      <c r="AB468" s="63">
        <v>58934.69</v>
      </c>
      <c r="AC468" s="63">
        <v>127384.18</v>
      </c>
      <c r="AD468" s="63"/>
      <c r="AE468" s="63"/>
      <c r="AF468" s="63">
        <v>153697.12</v>
      </c>
      <c r="AG468" s="62"/>
    </row>
    <row r="469" spans="1:33" x14ac:dyDescent="0.3">
      <c r="A469" s="47"/>
      <c r="B469" s="414" t="s">
        <v>211</v>
      </c>
      <c r="C469" s="51">
        <f t="shared" ref="C469:W469" si="102">SUM(C418:C468)</f>
        <v>32533842.760000002</v>
      </c>
      <c r="D469" s="51">
        <f t="shared" si="102"/>
        <v>0</v>
      </c>
      <c r="E469" s="51">
        <f t="shared" si="102"/>
        <v>0</v>
      </c>
      <c r="F469" s="51">
        <f t="shared" si="102"/>
        <v>0</v>
      </c>
      <c r="G469" s="51">
        <f t="shared" si="102"/>
        <v>0</v>
      </c>
      <c r="H469" s="51">
        <f t="shared" si="102"/>
        <v>0</v>
      </c>
      <c r="I469" s="51">
        <f t="shared" si="102"/>
        <v>0</v>
      </c>
      <c r="J469" s="51">
        <f t="shared" si="102"/>
        <v>0</v>
      </c>
      <c r="K469" s="51">
        <f t="shared" si="102"/>
        <v>0</v>
      </c>
      <c r="L469" s="51">
        <f t="shared" si="102"/>
        <v>0</v>
      </c>
      <c r="M469" s="35">
        <f t="shared" si="102"/>
        <v>0</v>
      </c>
      <c r="N469" s="51">
        <f t="shared" si="102"/>
        <v>0</v>
      </c>
      <c r="O469" s="82">
        <f t="shared" si="102"/>
        <v>2365</v>
      </c>
      <c r="P469" s="51">
        <f t="shared" si="102"/>
        <v>12101007.6</v>
      </c>
      <c r="Q469" s="338">
        <f t="shared" si="102"/>
        <v>0</v>
      </c>
      <c r="R469" s="51">
        <f t="shared" si="102"/>
        <v>0</v>
      </c>
      <c r="S469" s="51">
        <f t="shared" si="102"/>
        <v>0</v>
      </c>
      <c r="T469" s="338">
        <f t="shared" si="102"/>
        <v>8450.1</v>
      </c>
      <c r="U469" s="51">
        <f t="shared" si="102"/>
        <v>9487486.8000000007</v>
      </c>
      <c r="V469" s="35">
        <f t="shared" si="102"/>
        <v>0</v>
      </c>
      <c r="W469" s="51">
        <f t="shared" si="102"/>
        <v>23046355.960000005</v>
      </c>
      <c r="X469" s="144"/>
      <c r="Y469" s="172"/>
      <c r="Z469" s="64"/>
      <c r="AA469" s="63"/>
      <c r="AB469" s="63"/>
      <c r="AC469" s="63"/>
      <c r="AD469" s="63"/>
      <c r="AE469" s="63"/>
      <c r="AF469" s="63"/>
      <c r="AG469" s="62"/>
    </row>
    <row r="470" spans="1:33" ht="31.2" x14ac:dyDescent="0.3">
      <c r="A470" s="47"/>
      <c r="B470" s="414" t="s">
        <v>570</v>
      </c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35"/>
      <c r="N470" s="51"/>
      <c r="O470" s="82"/>
      <c r="P470" s="51"/>
      <c r="Q470" s="338"/>
      <c r="R470" s="51"/>
      <c r="S470" s="51"/>
      <c r="T470" s="338"/>
      <c r="U470" s="51"/>
      <c r="V470" s="35"/>
      <c r="W470" s="364"/>
      <c r="X470" s="144"/>
      <c r="Y470" s="172"/>
      <c r="Z470" s="64"/>
      <c r="AA470" s="63"/>
      <c r="AB470" s="63"/>
      <c r="AC470" s="63"/>
      <c r="AD470" s="63"/>
      <c r="AE470" s="63"/>
      <c r="AF470" s="63"/>
      <c r="AG470" s="62"/>
    </row>
    <row r="471" spans="1:33" x14ac:dyDescent="0.3">
      <c r="A471" s="47">
        <f>A468+1</f>
        <v>409</v>
      </c>
      <c r="B471" s="414" t="s">
        <v>571</v>
      </c>
      <c r="C471" s="51">
        <f t="shared" ref="C471:C497" si="103">D471+K471+L471+N471+R471+S471+U471+V471+W471</f>
        <v>161782.78</v>
      </c>
      <c r="D471" s="51">
        <f t="shared" ref="D471:D489" si="104">E471+F471+G471+H471+I471</f>
        <v>0</v>
      </c>
      <c r="E471" s="51"/>
      <c r="F471" s="51"/>
      <c r="G471" s="51"/>
      <c r="H471" s="51"/>
      <c r="I471" s="51"/>
      <c r="J471" s="51"/>
      <c r="K471" s="51"/>
      <c r="L471" s="51"/>
      <c r="M471" s="35"/>
      <c r="N471" s="51"/>
      <c r="O471" s="82"/>
      <c r="P471" s="51"/>
      <c r="Q471" s="338"/>
      <c r="R471" s="51"/>
      <c r="S471" s="51"/>
      <c r="T471" s="338"/>
      <c r="U471" s="51"/>
      <c r="V471" s="35"/>
      <c r="W471" s="364">
        <f t="shared" ref="W471:W478" si="105">SUM(X471:AF471)</f>
        <v>161782.78</v>
      </c>
      <c r="X471" s="141"/>
      <c r="Y471" s="48"/>
      <c r="Z471" s="61"/>
      <c r="AA471" s="62"/>
      <c r="AB471" s="62"/>
      <c r="AC471" s="62"/>
      <c r="AD471" s="63">
        <v>161782.78</v>
      </c>
      <c r="AE471" s="62"/>
      <c r="AF471" s="62"/>
      <c r="AG471" s="62"/>
    </row>
    <row r="472" spans="1:33" x14ac:dyDescent="0.3">
      <c r="A472" s="47">
        <f t="shared" ref="A472:A489" si="106">A471+1</f>
        <v>410</v>
      </c>
      <c r="B472" s="414" t="s">
        <v>572</v>
      </c>
      <c r="C472" s="51">
        <f t="shared" si="103"/>
        <v>586827.06999999995</v>
      </c>
      <c r="D472" s="51">
        <f t="shared" si="104"/>
        <v>0</v>
      </c>
      <c r="E472" s="51"/>
      <c r="F472" s="51"/>
      <c r="G472" s="51"/>
      <c r="H472" s="51"/>
      <c r="I472" s="51"/>
      <c r="J472" s="51"/>
      <c r="K472" s="51"/>
      <c r="L472" s="51"/>
      <c r="M472" s="35"/>
      <c r="N472" s="51"/>
      <c r="O472" s="82"/>
      <c r="P472" s="51"/>
      <c r="Q472" s="338"/>
      <c r="R472" s="51"/>
      <c r="S472" s="51"/>
      <c r="T472" s="338"/>
      <c r="U472" s="51"/>
      <c r="V472" s="35"/>
      <c r="W472" s="364">
        <f t="shared" si="105"/>
        <v>586827.06999999995</v>
      </c>
      <c r="X472" s="144">
        <v>114807.52</v>
      </c>
      <c r="Y472" s="172">
        <v>142102.91</v>
      </c>
      <c r="Z472" s="172">
        <v>115545.18</v>
      </c>
      <c r="AA472" s="48"/>
      <c r="AB472" s="48"/>
      <c r="AC472" s="172">
        <v>214371.46</v>
      </c>
      <c r="AD472" s="61"/>
      <c r="AE472" s="63"/>
      <c r="AF472" s="62"/>
      <c r="AG472" s="58"/>
    </row>
    <row r="473" spans="1:33" x14ac:dyDescent="0.3">
      <c r="A473" s="47">
        <f t="shared" si="106"/>
        <v>411</v>
      </c>
      <c r="B473" s="414" t="s">
        <v>573</v>
      </c>
      <c r="C473" s="51">
        <f t="shared" si="103"/>
        <v>587391.91999999993</v>
      </c>
      <c r="D473" s="51">
        <f t="shared" si="104"/>
        <v>0</v>
      </c>
      <c r="E473" s="51"/>
      <c r="F473" s="51"/>
      <c r="G473" s="51"/>
      <c r="H473" s="51"/>
      <c r="I473" s="51"/>
      <c r="J473" s="51"/>
      <c r="K473" s="51"/>
      <c r="L473" s="51"/>
      <c r="M473" s="35"/>
      <c r="N473" s="51"/>
      <c r="O473" s="82"/>
      <c r="P473" s="51"/>
      <c r="Q473" s="338"/>
      <c r="R473" s="51"/>
      <c r="S473" s="51"/>
      <c r="T473" s="338"/>
      <c r="U473" s="51"/>
      <c r="V473" s="35"/>
      <c r="W473" s="364">
        <f t="shared" si="105"/>
        <v>587391.91999999993</v>
      </c>
      <c r="X473" s="144">
        <v>115372.37</v>
      </c>
      <c r="Y473" s="172">
        <v>142102.91</v>
      </c>
      <c r="Z473" s="172">
        <v>115545.18</v>
      </c>
      <c r="AA473" s="48"/>
      <c r="AB473" s="48"/>
      <c r="AC473" s="172">
        <v>214371.46</v>
      </c>
      <c r="AD473" s="61"/>
      <c r="AE473" s="63"/>
      <c r="AF473" s="62"/>
      <c r="AG473" s="58"/>
    </row>
    <row r="474" spans="1:33" x14ac:dyDescent="0.3">
      <c r="A474" s="47">
        <f t="shared" si="106"/>
        <v>412</v>
      </c>
      <c r="B474" s="414" t="s">
        <v>574</v>
      </c>
      <c r="C474" s="51">
        <f t="shared" si="103"/>
        <v>706480.41</v>
      </c>
      <c r="D474" s="51">
        <f t="shared" si="104"/>
        <v>0</v>
      </c>
      <c r="E474" s="51"/>
      <c r="F474" s="51"/>
      <c r="G474" s="51"/>
      <c r="H474" s="51"/>
      <c r="I474" s="51"/>
      <c r="J474" s="51"/>
      <c r="K474" s="51"/>
      <c r="L474" s="51"/>
      <c r="M474" s="35"/>
      <c r="N474" s="51"/>
      <c r="O474" s="82"/>
      <c r="P474" s="51"/>
      <c r="Q474" s="338"/>
      <c r="R474" s="51"/>
      <c r="S474" s="51"/>
      <c r="T474" s="338"/>
      <c r="U474" s="264"/>
      <c r="V474" s="38"/>
      <c r="W474" s="387">
        <f t="shared" si="105"/>
        <v>706480.41</v>
      </c>
      <c r="X474" s="144">
        <v>118915.68</v>
      </c>
      <c r="Y474" s="172">
        <v>142102.91</v>
      </c>
      <c r="Z474" s="172">
        <v>115545.18</v>
      </c>
      <c r="AA474" s="172"/>
      <c r="AB474" s="172">
        <v>115545.18</v>
      </c>
      <c r="AC474" s="172">
        <v>214371.46</v>
      </c>
      <c r="AD474" s="64"/>
      <c r="AE474" s="63"/>
      <c r="AF474" s="62"/>
      <c r="AG474" s="58"/>
    </row>
    <row r="475" spans="1:33" x14ac:dyDescent="0.3">
      <c r="A475" s="47">
        <f t="shared" si="106"/>
        <v>413</v>
      </c>
      <c r="B475" s="414" t="s">
        <v>575</v>
      </c>
      <c r="C475" s="51">
        <f t="shared" si="103"/>
        <v>706480.41</v>
      </c>
      <c r="D475" s="51">
        <f t="shared" si="104"/>
        <v>0</v>
      </c>
      <c r="E475" s="51"/>
      <c r="F475" s="51"/>
      <c r="G475" s="51"/>
      <c r="H475" s="51"/>
      <c r="I475" s="51"/>
      <c r="J475" s="51"/>
      <c r="K475" s="51"/>
      <c r="L475" s="51"/>
      <c r="M475" s="35"/>
      <c r="N475" s="51"/>
      <c r="O475" s="82"/>
      <c r="P475" s="51"/>
      <c r="Q475" s="338"/>
      <c r="R475" s="51"/>
      <c r="S475" s="51"/>
      <c r="T475" s="338"/>
      <c r="U475" s="51"/>
      <c r="V475" s="35"/>
      <c r="W475" s="364">
        <f t="shared" si="105"/>
        <v>706480.41</v>
      </c>
      <c r="X475" s="144">
        <v>118915.68</v>
      </c>
      <c r="Y475" s="172">
        <v>142102.91</v>
      </c>
      <c r="Z475" s="172">
        <v>115545.18</v>
      </c>
      <c r="AA475" s="172"/>
      <c r="AB475" s="172">
        <v>115545.18</v>
      </c>
      <c r="AC475" s="172">
        <v>214371.46</v>
      </c>
      <c r="AD475" s="64"/>
      <c r="AE475" s="63"/>
      <c r="AF475" s="62"/>
      <c r="AG475" s="58"/>
    </row>
    <row r="476" spans="1:33" x14ac:dyDescent="0.3">
      <c r="A476" s="47">
        <f t="shared" si="106"/>
        <v>414</v>
      </c>
      <c r="B476" s="414" t="s">
        <v>576</v>
      </c>
      <c r="C476" s="51">
        <f t="shared" si="103"/>
        <v>197855.65</v>
      </c>
      <c r="D476" s="51">
        <f t="shared" si="104"/>
        <v>0</v>
      </c>
      <c r="E476" s="51"/>
      <c r="F476" s="51"/>
      <c r="G476" s="51"/>
      <c r="H476" s="51"/>
      <c r="I476" s="51"/>
      <c r="J476" s="51"/>
      <c r="K476" s="51"/>
      <c r="L476" s="51"/>
      <c r="M476" s="35"/>
      <c r="N476" s="51"/>
      <c r="O476" s="82"/>
      <c r="P476" s="51"/>
      <c r="Q476" s="338"/>
      <c r="R476" s="51"/>
      <c r="S476" s="51"/>
      <c r="T476" s="338"/>
      <c r="U476" s="51"/>
      <c r="V476" s="35"/>
      <c r="W476" s="364">
        <f t="shared" si="105"/>
        <v>197855.65</v>
      </c>
      <c r="X476" s="141"/>
      <c r="Y476" s="48"/>
      <c r="Z476" s="48"/>
      <c r="AA476" s="48"/>
      <c r="AB476" s="48"/>
      <c r="AC476" s="48"/>
      <c r="AD476" s="64">
        <v>197855.65</v>
      </c>
      <c r="AE476" s="62"/>
      <c r="AF476" s="62"/>
      <c r="AG476" s="58"/>
    </row>
    <row r="477" spans="1:33" x14ac:dyDescent="0.3">
      <c r="A477" s="47">
        <f t="shared" si="106"/>
        <v>415</v>
      </c>
      <c r="B477" s="414" t="s">
        <v>577</v>
      </c>
      <c r="C477" s="51">
        <f t="shared" si="103"/>
        <v>132160.5</v>
      </c>
      <c r="D477" s="51">
        <f t="shared" si="104"/>
        <v>0</v>
      </c>
      <c r="E477" s="51"/>
      <c r="F477" s="51"/>
      <c r="G477" s="51"/>
      <c r="H477" s="51"/>
      <c r="I477" s="51"/>
      <c r="J477" s="51"/>
      <c r="K477" s="51"/>
      <c r="L477" s="51"/>
      <c r="M477" s="35"/>
      <c r="N477" s="51"/>
      <c r="O477" s="82"/>
      <c r="P477" s="51"/>
      <c r="Q477" s="338"/>
      <c r="R477" s="51"/>
      <c r="S477" s="51"/>
      <c r="T477" s="338"/>
      <c r="U477" s="51"/>
      <c r="V477" s="35"/>
      <c r="W477" s="364">
        <f t="shared" si="105"/>
        <v>132160.5</v>
      </c>
      <c r="X477" s="141"/>
      <c r="Y477" s="48"/>
      <c r="Z477" s="48"/>
      <c r="AA477" s="48"/>
      <c r="AB477" s="48"/>
      <c r="AC477" s="48"/>
      <c r="AD477" s="64">
        <v>132160.5</v>
      </c>
      <c r="AE477" s="63"/>
      <c r="AF477" s="62"/>
      <c r="AG477" s="58"/>
    </row>
    <row r="478" spans="1:33" x14ac:dyDescent="0.3">
      <c r="A478" s="47">
        <f t="shared" si="106"/>
        <v>416</v>
      </c>
      <c r="B478" s="414" t="s">
        <v>578</v>
      </c>
      <c r="C478" s="51">
        <f t="shared" si="103"/>
        <v>316174.2</v>
      </c>
      <c r="D478" s="51">
        <f t="shared" si="104"/>
        <v>0</v>
      </c>
      <c r="E478" s="51"/>
      <c r="F478" s="51"/>
      <c r="G478" s="51"/>
      <c r="H478" s="51"/>
      <c r="I478" s="51"/>
      <c r="J478" s="51"/>
      <c r="K478" s="51"/>
      <c r="L478" s="51"/>
      <c r="M478" s="35"/>
      <c r="N478" s="51"/>
      <c r="O478" s="82"/>
      <c r="P478" s="51"/>
      <c r="Q478" s="338"/>
      <c r="R478" s="51"/>
      <c r="S478" s="51"/>
      <c r="T478" s="338"/>
      <c r="U478" s="51"/>
      <c r="V478" s="35"/>
      <c r="W478" s="364">
        <f t="shared" si="105"/>
        <v>316174.2</v>
      </c>
      <c r="X478" s="141"/>
      <c r="Y478" s="172">
        <v>181147.56</v>
      </c>
      <c r="Z478" s="478">
        <v>135026.64000000001</v>
      </c>
      <c r="AA478" s="478"/>
      <c r="AB478" s="48"/>
      <c r="AC478" s="48"/>
      <c r="AD478" s="64"/>
      <c r="AE478" s="63"/>
      <c r="AF478" s="62"/>
      <c r="AG478" s="58"/>
    </row>
    <row r="479" spans="1:33" x14ac:dyDescent="0.3">
      <c r="A479" s="47">
        <f t="shared" si="106"/>
        <v>417</v>
      </c>
      <c r="B479" s="414" t="s">
        <v>579</v>
      </c>
      <c r="C479" s="51">
        <f t="shared" si="103"/>
        <v>130000</v>
      </c>
      <c r="D479" s="51">
        <f t="shared" si="104"/>
        <v>0</v>
      </c>
      <c r="E479" s="51"/>
      <c r="F479" s="51"/>
      <c r="G479" s="51"/>
      <c r="H479" s="51"/>
      <c r="I479" s="51"/>
      <c r="J479" s="51"/>
      <c r="K479" s="51"/>
      <c r="L479" s="51"/>
      <c r="M479" s="35"/>
      <c r="N479" s="51"/>
      <c r="O479" s="82"/>
      <c r="P479" s="51"/>
      <c r="Q479" s="338"/>
      <c r="R479" s="51"/>
      <c r="S479" s="51"/>
      <c r="T479" s="338"/>
      <c r="U479" s="51"/>
      <c r="V479" s="35"/>
      <c r="W479" s="364">
        <v>130000</v>
      </c>
      <c r="X479" s="141"/>
      <c r="Y479" s="48"/>
      <c r="Z479" s="48"/>
      <c r="AA479" s="48"/>
      <c r="AB479" s="48"/>
      <c r="AC479" s="48"/>
      <c r="AD479" s="61"/>
      <c r="AE479" s="62"/>
      <c r="AF479" s="62"/>
      <c r="AG479" s="58"/>
    </row>
    <row r="480" spans="1:33" x14ac:dyDescent="0.3">
      <c r="A480" s="47">
        <f t="shared" si="106"/>
        <v>418</v>
      </c>
      <c r="B480" s="414" t="s">
        <v>580</v>
      </c>
      <c r="C480" s="51">
        <f t="shared" si="103"/>
        <v>706673.42</v>
      </c>
      <c r="D480" s="51">
        <f t="shared" si="104"/>
        <v>0</v>
      </c>
      <c r="E480" s="51"/>
      <c r="F480" s="51"/>
      <c r="G480" s="51"/>
      <c r="H480" s="51"/>
      <c r="I480" s="51"/>
      <c r="J480" s="51"/>
      <c r="K480" s="51"/>
      <c r="L480" s="51"/>
      <c r="M480" s="35"/>
      <c r="N480" s="51"/>
      <c r="O480" s="82"/>
      <c r="P480" s="51"/>
      <c r="Q480" s="338"/>
      <c r="R480" s="51"/>
      <c r="S480" s="51"/>
      <c r="T480" s="338"/>
      <c r="U480" s="51"/>
      <c r="V480" s="35"/>
      <c r="W480" s="364">
        <f t="shared" ref="W480:W489" si="107">SUM(X480:AF480)</f>
        <v>706673.42</v>
      </c>
      <c r="X480" s="144">
        <v>119108.69</v>
      </c>
      <c r="Y480" s="172">
        <v>142102.91</v>
      </c>
      <c r="Z480" s="172">
        <v>115545.18</v>
      </c>
      <c r="AA480" s="172"/>
      <c r="AB480" s="172">
        <v>115545.18</v>
      </c>
      <c r="AC480" s="172">
        <v>214371.46</v>
      </c>
      <c r="AD480" s="64"/>
      <c r="AE480" s="63"/>
      <c r="AF480" s="62"/>
      <c r="AG480" s="58"/>
    </row>
    <row r="481" spans="1:33" x14ac:dyDescent="0.3">
      <c r="A481" s="47">
        <f t="shared" si="106"/>
        <v>419</v>
      </c>
      <c r="B481" s="414" t="s">
        <v>581</v>
      </c>
      <c r="C481" s="51">
        <f t="shared" si="103"/>
        <v>706673.42</v>
      </c>
      <c r="D481" s="51">
        <f t="shared" si="104"/>
        <v>0</v>
      </c>
      <c r="E481" s="51"/>
      <c r="F481" s="51"/>
      <c r="G481" s="51"/>
      <c r="H481" s="51"/>
      <c r="I481" s="51"/>
      <c r="J481" s="51"/>
      <c r="K481" s="51"/>
      <c r="L481" s="51"/>
      <c r="M481" s="35"/>
      <c r="N481" s="51"/>
      <c r="O481" s="82"/>
      <c r="P481" s="51"/>
      <c r="Q481" s="338"/>
      <c r="R481" s="51"/>
      <c r="S481" s="51"/>
      <c r="T481" s="338"/>
      <c r="U481" s="51"/>
      <c r="V481" s="35"/>
      <c r="W481" s="364">
        <f t="shared" si="107"/>
        <v>706673.42</v>
      </c>
      <c r="X481" s="144">
        <v>119108.69</v>
      </c>
      <c r="Y481" s="172">
        <v>142102.91</v>
      </c>
      <c r="Z481" s="172">
        <v>115545.18</v>
      </c>
      <c r="AA481" s="172"/>
      <c r="AB481" s="172">
        <v>115545.18</v>
      </c>
      <c r="AC481" s="172">
        <v>214371.46</v>
      </c>
      <c r="AD481" s="64"/>
      <c r="AE481" s="63"/>
      <c r="AF481" s="62"/>
      <c r="AG481" s="58"/>
    </row>
    <row r="482" spans="1:33" x14ac:dyDescent="0.3">
      <c r="A482" s="47">
        <f t="shared" si="106"/>
        <v>420</v>
      </c>
      <c r="B482" s="414" t="s">
        <v>582</v>
      </c>
      <c r="C482" s="51">
        <f t="shared" si="103"/>
        <v>706673.42</v>
      </c>
      <c r="D482" s="51">
        <f t="shared" si="104"/>
        <v>0</v>
      </c>
      <c r="E482" s="51"/>
      <c r="F482" s="51"/>
      <c r="G482" s="51"/>
      <c r="H482" s="51"/>
      <c r="I482" s="51"/>
      <c r="J482" s="51"/>
      <c r="K482" s="51"/>
      <c r="L482" s="51"/>
      <c r="M482" s="35"/>
      <c r="N482" s="51"/>
      <c r="O482" s="82"/>
      <c r="P482" s="51"/>
      <c r="Q482" s="338"/>
      <c r="R482" s="51"/>
      <c r="S482" s="51"/>
      <c r="T482" s="338"/>
      <c r="U482" s="51"/>
      <c r="V482" s="35"/>
      <c r="W482" s="364">
        <f t="shared" si="107"/>
        <v>706673.42</v>
      </c>
      <c r="X482" s="144">
        <v>119108.69</v>
      </c>
      <c r="Y482" s="172">
        <v>142102.91</v>
      </c>
      <c r="Z482" s="172">
        <v>115545.18</v>
      </c>
      <c r="AA482" s="172"/>
      <c r="AB482" s="172">
        <v>115545.18</v>
      </c>
      <c r="AC482" s="172">
        <v>214371.46</v>
      </c>
      <c r="AD482" s="64"/>
      <c r="AE482" s="63"/>
      <c r="AF482" s="62"/>
      <c r="AG482" s="58"/>
    </row>
    <row r="483" spans="1:33" x14ac:dyDescent="0.3">
      <c r="A483" s="47">
        <f t="shared" si="106"/>
        <v>421</v>
      </c>
      <c r="B483" s="414" t="s">
        <v>583</v>
      </c>
      <c r="C483" s="51">
        <f t="shared" si="103"/>
        <v>706673.42</v>
      </c>
      <c r="D483" s="51">
        <f t="shared" si="104"/>
        <v>0</v>
      </c>
      <c r="E483" s="51"/>
      <c r="F483" s="51"/>
      <c r="G483" s="51"/>
      <c r="H483" s="51"/>
      <c r="I483" s="51"/>
      <c r="J483" s="51"/>
      <c r="K483" s="51"/>
      <c r="L483" s="51"/>
      <c r="M483" s="35"/>
      <c r="N483" s="51"/>
      <c r="O483" s="82"/>
      <c r="P483" s="51"/>
      <c r="Q483" s="338"/>
      <c r="R483" s="51"/>
      <c r="S483" s="51"/>
      <c r="T483" s="338"/>
      <c r="U483" s="51"/>
      <c r="V483" s="35"/>
      <c r="W483" s="364">
        <f t="shared" si="107"/>
        <v>706673.42</v>
      </c>
      <c r="X483" s="144">
        <v>119108.69</v>
      </c>
      <c r="Y483" s="172">
        <v>142102.91</v>
      </c>
      <c r="Z483" s="172">
        <v>115545.18</v>
      </c>
      <c r="AA483" s="172"/>
      <c r="AB483" s="172">
        <v>115545.18</v>
      </c>
      <c r="AC483" s="172">
        <v>214371.46</v>
      </c>
      <c r="AD483" s="64"/>
      <c r="AE483" s="63"/>
      <c r="AF483" s="62"/>
      <c r="AG483" s="58"/>
    </row>
    <row r="484" spans="1:33" x14ac:dyDescent="0.3">
      <c r="A484" s="47">
        <f t="shared" si="106"/>
        <v>422</v>
      </c>
      <c r="B484" s="414" t="s">
        <v>584</v>
      </c>
      <c r="C484" s="51">
        <f t="shared" si="103"/>
        <v>706673.42</v>
      </c>
      <c r="D484" s="51">
        <f t="shared" si="104"/>
        <v>0</v>
      </c>
      <c r="E484" s="51"/>
      <c r="F484" s="51"/>
      <c r="G484" s="51"/>
      <c r="H484" s="51"/>
      <c r="I484" s="51"/>
      <c r="J484" s="51"/>
      <c r="K484" s="51"/>
      <c r="L484" s="51"/>
      <c r="M484" s="35"/>
      <c r="N484" s="51"/>
      <c r="O484" s="82"/>
      <c r="P484" s="51"/>
      <c r="Q484" s="338"/>
      <c r="R484" s="51"/>
      <c r="S484" s="51"/>
      <c r="T484" s="338"/>
      <c r="U484" s="51"/>
      <c r="V484" s="35"/>
      <c r="W484" s="364">
        <f t="shared" si="107"/>
        <v>706673.42</v>
      </c>
      <c r="X484" s="144">
        <v>119108.69</v>
      </c>
      <c r="Y484" s="172">
        <v>142102.91</v>
      </c>
      <c r="Z484" s="172">
        <v>115545.18</v>
      </c>
      <c r="AA484" s="172"/>
      <c r="AB484" s="172">
        <v>115545.18</v>
      </c>
      <c r="AC484" s="172">
        <v>214371.46</v>
      </c>
      <c r="AD484" s="64"/>
      <c r="AE484" s="63"/>
      <c r="AF484" s="62"/>
      <c r="AG484" s="58"/>
    </row>
    <row r="485" spans="1:33" x14ac:dyDescent="0.3">
      <c r="A485" s="47">
        <f t="shared" si="106"/>
        <v>423</v>
      </c>
      <c r="B485" s="414" t="s">
        <v>585</v>
      </c>
      <c r="C485" s="51">
        <f t="shared" si="103"/>
        <v>706673.42</v>
      </c>
      <c r="D485" s="51">
        <f t="shared" si="104"/>
        <v>0</v>
      </c>
      <c r="E485" s="51"/>
      <c r="F485" s="51"/>
      <c r="G485" s="51"/>
      <c r="H485" s="51"/>
      <c r="I485" s="51"/>
      <c r="J485" s="51"/>
      <c r="K485" s="51"/>
      <c r="L485" s="51"/>
      <c r="M485" s="35"/>
      <c r="N485" s="51"/>
      <c r="O485" s="82"/>
      <c r="P485" s="51"/>
      <c r="Q485" s="338"/>
      <c r="R485" s="51"/>
      <c r="S485" s="51"/>
      <c r="T485" s="338"/>
      <c r="U485" s="51"/>
      <c r="V485" s="35"/>
      <c r="W485" s="364">
        <f t="shared" si="107"/>
        <v>706673.42</v>
      </c>
      <c r="X485" s="144">
        <v>119108.69</v>
      </c>
      <c r="Y485" s="172">
        <v>142102.91</v>
      </c>
      <c r="Z485" s="172">
        <v>115545.18</v>
      </c>
      <c r="AA485" s="172"/>
      <c r="AB485" s="172">
        <v>115545.18</v>
      </c>
      <c r="AC485" s="172">
        <v>214371.46</v>
      </c>
      <c r="AD485" s="64"/>
      <c r="AE485" s="63"/>
      <c r="AF485" s="62"/>
      <c r="AG485" s="58"/>
    </row>
    <row r="486" spans="1:33" x14ac:dyDescent="0.3">
      <c r="A486" s="47">
        <f t="shared" si="106"/>
        <v>424</v>
      </c>
      <c r="B486" s="414" t="s">
        <v>586</v>
      </c>
      <c r="C486" s="51">
        <f t="shared" si="103"/>
        <v>128856.23</v>
      </c>
      <c r="D486" s="51">
        <f t="shared" si="104"/>
        <v>0</v>
      </c>
      <c r="E486" s="51"/>
      <c r="F486" s="51"/>
      <c r="G486" s="51"/>
      <c r="H486" s="51"/>
      <c r="I486" s="51"/>
      <c r="J486" s="51"/>
      <c r="K486" s="51"/>
      <c r="L486" s="51"/>
      <c r="M486" s="35"/>
      <c r="N486" s="51"/>
      <c r="O486" s="82"/>
      <c r="P486" s="51"/>
      <c r="Q486" s="338"/>
      <c r="R486" s="51"/>
      <c r="S486" s="51"/>
      <c r="T486" s="338"/>
      <c r="U486" s="51"/>
      <c r="V486" s="35"/>
      <c r="W486" s="364">
        <f t="shared" si="107"/>
        <v>128856.23</v>
      </c>
      <c r="X486" s="144">
        <v>128856.23</v>
      </c>
      <c r="Y486" s="48"/>
      <c r="Z486" s="48"/>
      <c r="AA486" s="48"/>
      <c r="AB486" s="48"/>
      <c r="AC486" s="48"/>
      <c r="AD486" s="64"/>
      <c r="AE486" s="63"/>
      <c r="AF486" s="62"/>
      <c r="AG486" s="58"/>
    </row>
    <row r="487" spans="1:33" x14ac:dyDescent="0.3">
      <c r="A487" s="47">
        <f t="shared" si="106"/>
        <v>425</v>
      </c>
      <c r="B487" s="414" t="s">
        <v>587</v>
      </c>
      <c r="C487" s="51">
        <f t="shared" si="103"/>
        <v>345868.64</v>
      </c>
      <c r="D487" s="51">
        <f t="shared" si="104"/>
        <v>0</v>
      </c>
      <c r="E487" s="51"/>
      <c r="F487" s="51"/>
      <c r="G487" s="51"/>
      <c r="H487" s="51"/>
      <c r="I487" s="51"/>
      <c r="J487" s="51"/>
      <c r="K487" s="51"/>
      <c r="L487" s="51"/>
      <c r="M487" s="35"/>
      <c r="N487" s="51"/>
      <c r="O487" s="82"/>
      <c r="P487" s="51"/>
      <c r="Q487" s="338"/>
      <c r="R487" s="51"/>
      <c r="S487" s="51"/>
      <c r="T487" s="338"/>
      <c r="U487" s="51"/>
      <c r="V487" s="35"/>
      <c r="W487" s="364">
        <f t="shared" si="107"/>
        <v>345868.64</v>
      </c>
      <c r="X487" s="141"/>
      <c r="Y487" s="48"/>
      <c r="Z487" s="48"/>
      <c r="AA487" s="48"/>
      <c r="AB487" s="48"/>
      <c r="AC487" s="172">
        <v>345868.64</v>
      </c>
      <c r="AD487" s="64"/>
      <c r="AE487" s="63"/>
      <c r="AF487" s="62"/>
      <c r="AG487" s="58"/>
    </row>
    <row r="488" spans="1:33" x14ac:dyDescent="0.3">
      <c r="A488" s="47">
        <f t="shared" si="106"/>
        <v>426</v>
      </c>
      <c r="B488" s="414" t="s">
        <v>588</v>
      </c>
      <c r="C488" s="51">
        <f t="shared" si="103"/>
        <v>429673.41000000003</v>
      </c>
      <c r="D488" s="51">
        <f t="shared" si="104"/>
        <v>0</v>
      </c>
      <c r="E488" s="51"/>
      <c r="F488" s="51"/>
      <c r="G488" s="51"/>
      <c r="H488" s="51"/>
      <c r="I488" s="51"/>
      <c r="J488" s="51"/>
      <c r="K488" s="51"/>
      <c r="L488" s="51"/>
      <c r="M488" s="35"/>
      <c r="N488" s="51"/>
      <c r="O488" s="82"/>
      <c r="P488" s="51"/>
      <c r="Q488" s="338"/>
      <c r="R488" s="51"/>
      <c r="S488" s="51"/>
      <c r="T488" s="338"/>
      <c r="U488" s="51"/>
      <c r="V488" s="35"/>
      <c r="W488" s="364">
        <f t="shared" si="107"/>
        <v>429673.41000000003</v>
      </c>
      <c r="X488" s="144">
        <v>107839.76</v>
      </c>
      <c r="Y488" s="172">
        <v>125727.61</v>
      </c>
      <c r="Z488" s="48"/>
      <c r="AA488" s="48"/>
      <c r="AB488" s="48"/>
      <c r="AC488" s="172">
        <v>196106.04</v>
      </c>
      <c r="AD488" s="61"/>
      <c r="AE488" s="63"/>
      <c r="AF488" s="62"/>
      <c r="AG488" s="58"/>
    </row>
    <row r="489" spans="1:33" x14ac:dyDescent="0.3">
      <c r="A489" s="47">
        <f t="shared" si="106"/>
        <v>427</v>
      </c>
      <c r="B489" s="414" t="s">
        <v>589</v>
      </c>
      <c r="C489" s="51">
        <f t="shared" si="103"/>
        <v>303945.8</v>
      </c>
      <c r="D489" s="51">
        <f t="shared" si="104"/>
        <v>0</v>
      </c>
      <c r="E489" s="51"/>
      <c r="F489" s="51"/>
      <c r="G489" s="51"/>
      <c r="H489" s="51"/>
      <c r="I489" s="51"/>
      <c r="J489" s="51"/>
      <c r="K489" s="51"/>
      <c r="L489" s="51"/>
      <c r="M489" s="35"/>
      <c r="N489" s="51"/>
      <c r="O489" s="82"/>
      <c r="P489" s="51"/>
      <c r="Q489" s="338"/>
      <c r="R489" s="51"/>
      <c r="S489" s="51"/>
      <c r="T489" s="338"/>
      <c r="U489" s="51"/>
      <c r="V489" s="35"/>
      <c r="W489" s="364">
        <f t="shared" si="107"/>
        <v>303945.8</v>
      </c>
      <c r="X489" s="144">
        <v>107839.76</v>
      </c>
      <c r="Y489" s="172"/>
      <c r="Z489" s="172"/>
      <c r="AA489" s="172"/>
      <c r="AB489" s="172"/>
      <c r="AC489" s="172">
        <v>196106.04</v>
      </c>
      <c r="AD489" s="64"/>
      <c r="AE489" s="63"/>
      <c r="AF489" s="62"/>
      <c r="AG489" s="58"/>
    </row>
    <row r="490" spans="1:33" x14ac:dyDescent="0.3">
      <c r="A490" s="47">
        <f t="shared" ref="A490:A497" si="108">A489+1</f>
        <v>428</v>
      </c>
      <c r="B490" s="414" t="s">
        <v>590</v>
      </c>
      <c r="C490" s="51">
        <f t="shared" si="103"/>
        <v>251062.25</v>
      </c>
      <c r="D490" s="51">
        <f t="shared" ref="D490" si="109">E490+F490+G490+H490+I490</f>
        <v>0</v>
      </c>
      <c r="E490" s="51"/>
      <c r="F490" s="51"/>
      <c r="G490" s="51"/>
      <c r="H490" s="51"/>
      <c r="I490" s="51"/>
      <c r="J490" s="51"/>
      <c r="K490" s="51"/>
      <c r="L490" s="51"/>
      <c r="M490" s="35"/>
      <c r="N490" s="51"/>
      <c r="O490" s="82"/>
      <c r="P490" s="51"/>
      <c r="Q490" s="338"/>
      <c r="R490" s="51"/>
      <c r="S490" s="51"/>
      <c r="T490" s="338"/>
      <c r="U490" s="51"/>
      <c r="V490" s="35"/>
      <c r="W490" s="364">
        <f t="shared" ref="W490" si="110">SUM(X490:AF490)</f>
        <v>251062.25</v>
      </c>
      <c r="X490" s="141"/>
      <c r="Y490" s="48"/>
      <c r="Z490" s="48"/>
      <c r="AA490" s="48"/>
      <c r="AB490" s="48"/>
      <c r="AC490" s="48"/>
      <c r="AD490" s="64">
        <v>251062.25</v>
      </c>
      <c r="AE490" s="62"/>
      <c r="AF490" s="62"/>
      <c r="AG490" s="58"/>
    </row>
    <row r="491" spans="1:33" x14ac:dyDescent="0.3">
      <c r="A491" s="47">
        <f t="shared" si="108"/>
        <v>429</v>
      </c>
      <c r="B491" s="414" t="s">
        <v>591</v>
      </c>
      <c r="C491" s="51">
        <f t="shared" si="103"/>
        <v>925237.58</v>
      </c>
      <c r="D491" s="51">
        <f t="shared" ref="D491:D497" si="111">E491+F491+G491+H491+I491</f>
        <v>0</v>
      </c>
      <c r="E491" s="51"/>
      <c r="F491" s="51"/>
      <c r="G491" s="51"/>
      <c r="H491" s="51"/>
      <c r="I491" s="51"/>
      <c r="J491" s="51"/>
      <c r="K491" s="51"/>
      <c r="L491" s="51"/>
      <c r="M491" s="35"/>
      <c r="N491" s="51"/>
      <c r="O491" s="82"/>
      <c r="P491" s="51"/>
      <c r="Q491" s="338"/>
      <c r="R491" s="51"/>
      <c r="S491" s="51"/>
      <c r="T491" s="338"/>
      <c r="U491" s="51"/>
      <c r="V491" s="35"/>
      <c r="W491" s="364">
        <f t="shared" ref="W491:W497" si="112">SUM(X491:AF491)</f>
        <v>925237.58</v>
      </c>
      <c r="X491" s="144">
        <v>122999.59</v>
      </c>
      <c r="Y491" s="172">
        <v>140970.46</v>
      </c>
      <c r="Z491" s="172">
        <v>119997.95</v>
      </c>
      <c r="AA491" s="172"/>
      <c r="AB491" s="172">
        <v>119322.61</v>
      </c>
      <c r="AC491" s="172">
        <v>217370.05</v>
      </c>
      <c r="AD491" s="64"/>
      <c r="AE491" s="63"/>
      <c r="AF491" s="63">
        <v>204576.92</v>
      </c>
      <c r="AG491" s="58"/>
    </row>
    <row r="492" spans="1:33" x14ac:dyDescent="0.3">
      <c r="A492" s="47">
        <f t="shared" si="108"/>
        <v>430</v>
      </c>
      <c r="B492" s="414" t="s">
        <v>592</v>
      </c>
      <c r="C492" s="51">
        <f t="shared" si="103"/>
        <v>809691.67</v>
      </c>
      <c r="D492" s="51">
        <f t="shared" si="111"/>
        <v>0</v>
      </c>
      <c r="E492" s="51"/>
      <c r="F492" s="51"/>
      <c r="G492" s="51"/>
      <c r="H492" s="51"/>
      <c r="I492" s="51"/>
      <c r="J492" s="51"/>
      <c r="K492" s="51"/>
      <c r="L492" s="51"/>
      <c r="M492" s="35"/>
      <c r="N492" s="51"/>
      <c r="O492" s="82"/>
      <c r="P492" s="51"/>
      <c r="Q492" s="338"/>
      <c r="R492" s="51"/>
      <c r="S492" s="51"/>
      <c r="T492" s="338"/>
      <c r="U492" s="51"/>
      <c r="V492" s="35"/>
      <c r="W492" s="364">
        <f t="shared" si="112"/>
        <v>809691.67</v>
      </c>
      <c r="X492" s="144">
        <v>121913.60000000001</v>
      </c>
      <c r="Y492" s="172">
        <v>139977.88</v>
      </c>
      <c r="Z492" s="172">
        <v>164961.22</v>
      </c>
      <c r="AA492" s="172"/>
      <c r="AB492" s="172">
        <v>164961.22</v>
      </c>
      <c r="AC492" s="172">
        <v>217877.75</v>
      </c>
      <c r="AD492" s="64"/>
      <c r="AE492" s="63"/>
      <c r="AF492" s="62"/>
      <c r="AG492" s="58"/>
    </row>
    <row r="493" spans="1:33" x14ac:dyDescent="0.3">
      <c r="A493" s="47">
        <f t="shared" si="108"/>
        <v>431</v>
      </c>
      <c r="B493" s="414" t="s">
        <v>593</v>
      </c>
      <c r="C493" s="51">
        <f t="shared" si="103"/>
        <v>816470.17</v>
      </c>
      <c r="D493" s="51">
        <f t="shared" si="111"/>
        <v>0</v>
      </c>
      <c r="E493" s="51"/>
      <c r="F493" s="51"/>
      <c r="G493" s="51"/>
      <c r="H493" s="51"/>
      <c r="I493" s="51"/>
      <c r="J493" s="51"/>
      <c r="K493" s="51"/>
      <c r="L493" s="51"/>
      <c r="M493" s="35"/>
      <c r="N493" s="51"/>
      <c r="O493" s="82"/>
      <c r="P493" s="51"/>
      <c r="Q493" s="338"/>
      <c r="R493" s="51"/>
      <c r="S493" s="51"/>
      <c r="T493" s="338"/>
      <c r="U493" s="51"/>
      <c r="V493" s="35"/>
      <c r="W493" s="364">
        <f t="shared" si="112"/>
        <v>816470.17</v>
      </c>
      <c r="X493" s="144">
        <v>123011.92</v>
      </c>
      <c r="Y493" s="172">
        <v>141079.32999999999</v>
      </c>
      <c r="Z493" s="172">
        <v>166409.16</v>
      </c>
      <c r="AA493" s="172"/>
      <c r="AB493" s="172">
        <v>166409.16</v>
      </c>
      <c r="AC493" s="172">
        <v>219560.6</v>
      </c>
      <c r="AD493" s="64"/>
      <c r="AE493" s="63"/>
      <c r="AF493" s="62"/>
      <c r="AG493" s="58"/>
    </row>
    <row r="494" spans="1:33" x14ac:dyDescent="0.3">
      <c r="A494" s="47">
        <f t="shared" si="108"/>
        <v>432</v>
      </c>
      <c r="B494" s="414" t="s">
        <v>594</v>
      </c>
      <c r="C494" s="51">
        <f t="shared" si="103"/>
        <v>849132.77</v>
      </c>
      <c r="D494" s="51">
        <f t="shared" si="111"/>
        <v>0</v>
      </c>
      <c r="E494" s="51"/>
      <c r="F494" s="51"/>
      <c r="G494" s="51"/>
      <c r="H494" s="51"/>
      <c r="I494" s="51"/>
      <c r="J494" s="51"/>
      <c r="K494" s="51"/>
      <c r="L494" s="51"/>
      <c r="M494" s="35"/>
      <c r="N494" s="51"/>
      <c r="O494" s="82"/>
      <c r="P494" s="51"/>
      <c r="Q494" s="338"/>
      <c r="R494" s="51"/>
      <c r="S494" s="51"/>
      <c r="T494" s="338"/>
      <c r="U494" s="51"/>
      <c r="V494" s="35"/>
      <c r="W494" s="364">
        <f t="shared" si="112"/>
        <v>849132.77</v>
      </c>
      <c r="X494" s="144">
        <v>100561.13</v>
      </c>
      <c r="Y494" s="172">
        <v>118568.05</v>
      </c>
      <c r="Z494" s="172">
        <v>136816.39000000001</v>
      </c>
      <c r="AA494" s="172"/>
      <c r="AB494" s="172">
        <v>136816.39000000001</v>
      </c>
      <c r="AC494" s="172">
        <v>185167.6</v>
      </c>
      <c r="AD494" s="64"/>
      <c r="AE494" s="63"/>
      <c r="AF494" s="63">
        <v>171203.21</v>
      </c>
      <c r="AG494" s="58"/>
    </row>
    <row r="495" spans="1:33" x14ac:dyDescent="0.3">
      <c r="A495" s="47">
        <f t="shared" si="108"/>
        <v>433</v>
      </c>
      <c r="B495" s="414" t="s">
        <v>595</v>
      </c>
      <c r="C495" s="51">
        <f t="shared" si="103"/>
        <v>996488.19</v>
      </c>
      <c r="D495" s="51">
        <f t="shared" si="111"/>
        <v>0</v>
      </c>
      <c r="E495" s="51"/>
      <c r="F495" s="51"/>
      <c r="G495" s="51"/>
      <c r="H495" s="51"/>
      <c r="I495" s="51"/>
      <c r="J495" s="51"/>
      <c r="K495" s="51"/>
      <c r="L495" s="51"/>
      <c r="M495" s="35"/>
      <c r="N495" s="51"/>
      <c r="O495" s="82"/>
      <c r="P495" s="51"/>
      <c r="Q495" s="338"/>
      <c r="R495" s="51"/>
      <c r="S495" s="51"/>
      <c r="T495" s="338"/>
      <c r="U495" s="51"/>
      <c r="V495" s="35"/>
      <c r="W495" s="364">
        <f t="shared" si="112"/>
        <v>996488.19</v>
      </c>
      <c r="X495" s="144">
        <v>107300.27</v>
      </c>
      <c r="Y495" s="172">
        <v>130602.22</v>
      </c>
      <c r="Z495" s="172">
        <v>188844.95</v>
      </c>
      <c r="AA495" s="172"/>
      <c r="AB495" s="172">
        <v>188844.95</v>
      </c>
      <c r="AC495" s="172">
        <v>198595.82</v>
      </c>
      <c r="AD495" s="64"/>
      <c r="AE495" s="63"/>
      <c r="AF495" s="63">
        <v>182299.98</v>
      </c>
      <c r="AG495" s="58"/>
    </row>
    <row r="496" spans="1:33" x14ac:dyDescent="0.3">
      <c r="A496" s="47">
        <f t="shared" si="108"/>
        <v>434</v>
      </c>
      <c r="B496" s="414" t="s">
        <v>596</v>
      </c>
      <c r="C496" s="51">
        <f t="shared" si="103"/>
        <v>996488.8</v>
      </c>
      <c r="D496" s="51">
        <f t="shared" si="111"/>
        <v>0</v>
      </c>
      <c r="E496" s="51"/>
      <c r="F496" s="51"/>
      <c r="G496" s="51"/>
      <c r="H496" s="51"/>
      <c r="I496" s="51"/>
      <c r="J496" s="51"/>
      <c r="K496" s="51"/>
      <c r="L496" s="51"/>
      <c r="M496" s="35"/>
      <c r="N496" s="51"/>
      <c r="O496" s="82"/>
      <c r="P496" s="51"/>
      <c r="Q496" s="338"/>
      <c r="R496" s="51"/>
      <c r="S496" s="51"/>
      <c r="T496" s="338"/>
      <c r="U496" s="51"/>
      <c r="V496" s="35"/>
      <c r="W496" s="364">
        <f t="shared" si="112"/>
        <v>996488.8</v>
      </c>
      <c r="X496" s="144">
        <v>107300.88</v>
      </c>
      <c r="Y496" s="172">
        <v>130602.22</v>
      </c>
      <c r="Z496" s="172">
        <v>188844.95</v>
      </c>
      <c r="AA496" s="172"/>
      <c r="AB496" s="172">
        <v>188844.95</v>
      </c>
      <c r="AC496" s="172">
        <v>198595.82</v>
      </c>
      <c r="AD496" s="64"/>
      <c r="AE496" s="63"/>
      <c r="AF496" s="63">
        <v>182299.98</v>
      </c>
      <c r="AG496" s="58"/>
    </row>
    <row r="497" spans="1:33" x14ac:dyDescent="0.3">
      <c r="A497" s="47">
        <f t="shared" si="108"/>
        <v>435</v>
      </c>
      <c r="B497" s="414" t="s">
        <v>597</v>
      </c>
      <c r="C497" s="51">
        <f t="shared" si="103"/>
        <v>476391.88</v>
      </c>
      <c r="D497" s="51">
        <f t="shared" si="111"/>
        <v>0</v>
      </c>
      <c r="E497" s="51"/>
      <c r="F497" s="51"/>
      <c r="G497" s="51"/>
      <c r="H497" s="51"/>
      <c r="I497" s="51"/>
      <c r="J497" s="51"/>
      <c r="K497" s="51"/>
      <c r="L497" s="51"/>
      <c r="M497" s="35"/>
      <c r="N497" s="51"/>
      <c r="O497" s="82"/>
      <c r="P497" s="51"/>
      <c r="Q497" s="338"/>
      <c r="R497" s="51"/>
      <c r="S497" s="51"/>
      <c r="T497" s="338"/>
      <c r="U497" s="51"/>
      <c r="V497" s="35"/>
      <c r="W497" s="364">
        <f t="shared" si="112"/>
        <v>476391.88</v>
      </c>
      <c r="X497" s="144">
        <v>165699.41</v>
      </c>
      <c r="Y497" s="172"/>
      <c r="Z497" s="172"/>
      <c r="AA497" s="172"/>
      <c r="AB497" s="172"/>
      <c r="AC497" s="172">
        <v>310692.46999999997</v>
      </c>
      <c r="AD497" s="64"/>
      <c r="AE497" s="63"/>
      <c r="AF497" s="62"/>
      <c r="AG497" s="58"/>
    </row>
    <row r="498" spans="1:33" x14ac:dyDescent="0.3">
      <c r="A498" s="47"/>
      <c r="B498" s="414" t="s">
        <v>211</v>
      </c>
      <c r="C498" s="51">
        <f t="shared" ref="C498:W498" si="113">SUM(C471:C497)</f>
        <v>15094500.850000001</v>
      </c>
      <c r="D498" s="51">
        <f t="shared" si="113"/>
        <v>0</v>
      </c>
      <c r="E498" s="51">
        <f t="shared" si="113"/>
        <v>0</v>
      </c>
      <c r="F498" s="51">
        <f t="shared" si="113"/>
        <v>0</v>
      </c>
      <c r="G498" s="51">
        <f t="shared" si="113"/>
        <v>0</v>
      </c>
      <c r="H498" s="51">
        <f t="shared" si="113"/>
        <v>0</v>
      </c>
      <c r="I498" s="51">
        <f t="shared" si="113"/>
        <v>0</v>
      </c>
      <c r="J498" s="51">
        <f t="shared" si="113"/>
        <v>0</v>
      </c>
      <c r="K498" s="51">
        <f t="shared" si="113"/>
        <v>0</v>
      </c>
      <c r="L498" s="51">
        <f t="shared" si="113"/>
        <v>0</v>
      </c>
      <c r="M498" s="35">
        <f t="shared" si="113"/>
        <v>0</v>
      </c>
      <c r="N498" s="51">
        <f t="shared" si="113"/>
        <v>0</v>
      </c>
      <c r="O498" s="82">
        <f t="shared" si="113"/>
        <v>0</v>
      </c>
      <c r="P498" s="51">
        <f t="shared" si="113"/>
        <v>0</v>
      </c>
      <c r="Q498" s="338">
        <f t="shared" si="113"/>
        <v>0</v>
      </c>
      <c r="R498" s="51">
        <f t="shared" si="113"/>
        <v>0</v>
      </c>
      <c r="S498" s="51">
        <f t="shared" si="113"/>
        <v>0</v>
      </c>
      <c r="T498" s="338">
        <f t="shared" si="113"/>
        <v>0</v>
      </c>
      <c r="U498" s="51">
        <f t="shared" si="113"/>
        <v>0</v>
      </c>
      <c r="V498" s="35">
        <f t="shared" si="113"/>
        <v>0</v>
      </c>
      <c r="W498" s="51">
        <f t="shared" si="113"/>
        <v>15094500.850000001</v>
      </c>
      <c r="X498" s="144"/>
      <c r="Y498" s="172"/>
      <c r="Z498" s="172"/>
      <c r="AA498" s="172"/>
      <c r="AB498" s="172"/>
      <c r="AC498" s="172"/>
      <c r="AD498" s="64"/>
      <c r="AE498" s="63"/>
      <c r="AF498" s="62"/>
      <c r="AG498" s="58"/>
    </row>
    <row r="499" spans="1:33" ht="31.2" x14ac:dyDescent="0.3">
      <c r="A499" s="47"/>
      <c r="B499" s="414" t="s">
        <v>610</v>
      </c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35"/>
      <c r="N499" s="51"/>
      <c r="O499" s="82"/>
      <c r="P499" s="51"/>
      <c r="Q499" s="338"/>
      <c r="R499" s="51"/>
      <c r="S499" s="51"/>
      <c r="T499" s="338"/>
      <c r="U499" s="51"/>
      <c r="V499" s="35"/>
      <c r="W499" s="364"/>
      <c r="X499" s="144"/>
      <c r="Y499" s="63"/>
      <c r="Z499" s="63"/>
      <c r="AA499" s="63"/>
      <c r="AB499" s="63"/>
      <c r="AC499" s="63"/>
      <c r="AD499" s="63"/>
      <c r="AE499" s="63"/>
      <c r="AF499" s="63"/>
      <c r="AG499" s="58"/>
    </row>
    <row r="500" spans="1:33" x14ac:dyDescent="0.3">
      <c r="A500" s="47">
        <f>A497+1</f>
        <v>436</v>
      </c>
      <c r="B500" s="414" t="s">
        <v>611</v>
      </c>
      <c r="C500" s="51">
        <f t="shared" ref="C500:C516" si="114">D500+K500+L500+N500+R500+S500+U500+V500+W500</f>
        <v>268456.09999999998</v>
      </c>
      <c r="D500" s="51">
        <f t="shared" ref="D500:D516" si="115">E500+F500+G500+H500+I500</f>
        <v>0</v>
      </c>
      <c r="E500" s="51"/>
      <c r="F500" s="51"/>
      <c r="G500" s="51"/>
      <c r="H500" s="51"/>
      <c r="I500" s="51"/>
      <c r="J500" s="51"/>
      <c r="K500" s="51"/>
      <c r="L500" s="51"/>
      <c r="M500" s="35"/>
      <c r="N500" s="51"/>
      <c r="O500" s="82"/>
      <c r="P500" s="51"/>
      <c r="Q500" s="338"/>
      <c r="R500" s="51"/>
      <c r="S500" s="51"/>
      <c r="T500" s="338"/>
      <c r="U500" s="51"/>
      <c r="V500" s="35"/>
      <c r="W500" s="364">
        <f t="shared" ref="W500:W516" si="116">SUM(X500:AF500)</f>
        <v>268456.09999999998</v>
      </c>
      <c r="X500" s="144"/>
      <c r="Y500" s="63">
        <v>152888.82999999999</v>
      </c>
      <c r="Z500" s="63">
        <v>115567.27</v>
      </c>
      <c r="AA500" s="63"/>
      <c r="AB500" s="63"/>
      <c r="AC500" s="63"/>
      <c r="AD500" s="63"/>
      <c r="AE500" s="63"/>
      <c r="AF500" s="63"/>
      <c r="AG500" s="58"/>
    </row>
    <row r="501" spans="1:33" x14ac:dyDescent="0.3">
      <c r="A501" s="47">
        <f t="shared" ref="A501:A507" si="117">A500+1</f>
        <v>437</v>
      </c>
      <c r="B501" s="414" t="s">
        <v>612</v>
      </c>
      <c r="C501" s="51">
        <f t="shared" si="114"/>
        <v>267665.78000000003</v>
      </c>
      <c r="D501" s="51">
        <f t="shared" si="115"/>
        <v>0</v>
      </c>
      <c r="E501" s="51"/>
      <c r="F501" s="51"/>
      <c r="G501" s="51"/>
      <c r="H501" s="51"/>
      <c r="I501" s="51"/>
      <c r="J501" s="51"/>
      <c r="K501" s="51"/>
      <c r="L501" s="51"/>
      <c r="M501" s="35"/>
      <c r="N501" s="51"/>
      <c r="O501" s="82"/>
      <c r="P501" s="51"/>
      <c r="Q501" s="338"/>
      <c r="R501" s="51"/>
      <c r="S501" s="51"/>
      <c r="T501" s="338"/>
      <c r="U501" s="51"/>
      <c r="V501" s="35"/>
      <c r="W501" s="364">
        <f t="shared" si="116"/>
        <v>267665.78000000003</v>
      </c>
      <c r="X501" s="144"/>
      <c r="Y501" s="63">
        <v>152470.54</v>
      </c>
      <c r="Z501" s="63">
        <v>115195.24</v>
      </c>
      <c r="AA501" s="63"/>
      <c r="AB501" s="63"/>
      <c r="AC501" s="63"/>
      <c r="AD501" s="63"/>
      <c r="AE501" s="63"/>
      <c r="AF501" s="63"/>
      <c r="AG501" s="58"/>
    </row>
    <row r="502" spans="1:33" x14ac:dyDescent="0.3">
      <c r="A502" s="47">
        <f t="shared" si="117"/>
        <v>438</v>
      </c>
      <c r="B502" s="414" t="s">
        <v>613</v>
      </c>
      <c r="C502" s="51">
        <f t="shared" si="114"/>
        <v>313872.03000000003</v>
      </c>
      <c r="D502" s="51">
        <f t="shared" si="115"/>
        <v>0</v>
      </c>
      <c r="E502" s="51"/>
      <c r="F502" s="51"/>
      <c r="G502" s="51"/>
      <c r="H502" s="51"/>
      <c r="I502" s="51"/>
      <c r="J502" s="51"/>
      <c r="K502" s="51"/>
      <c r="L502" s="51"/>
      <c r="M502" s="35"/>
      <c r="N502" s="51"/>
      <c r="O502" s="82"/>
      <c r="P502" s="51"/>
      <c r="Q502" s="338"/>
      <c r="R502" s="51"/>
      <c r="S502" s="51"/>
      <c r="T502" s="338"/>
      <c r="U502" s="51"/>
      <c r="V502" s="35"/>
      <c r="W502" s="364">
        <f t="shared" si="116"/>
        <v>313872.03000000003</v>
      </c>
      <c r="X502" s="144"/>
      <c r="Y502" s="63">
        <v>196297.15</v>
      </c>
      <c r="Z502" s="63">
        <v>117574.88</v>
      </c>
      <c r="AA502" s="63"/>
      <c r="AB502" s="63"/>
      <c r="AC502" s="63"/>
      <c r="AD502" s="63"/>
      <c r="AE502" s="63"/>
      <c r="AF502" s="63"/>
      <c r="AG502" s="58"/>
    </row>
    <row r="503" spans="1:33" x14ac:dyDescent="0.3">
      <c r="A503" s="47">
        <f t="shared" si="117"/>
        <v>439</v>
      </c>
      <c r="B503" s="414" t="s">
        <v>614</v>
      </c>
      <c r="C503" s="51">
        <f t="shared" si="114"/>
        <v>1394257.67</v>
      </c>
      <c r="D503" s="51">
        <f t="shared" si="115"/>
        <v>0</v>
      </c>
      <c r="E503" s="51"/>
      <c r="F503" s="51"/>
      <c r="G503" s="51"/>
      <c r="H503" s="51"/>
      <c r="I503" s="51"/>
      <c r="J503" s="51"/>
      <c r="K503" s="51"/>
      <c r="L503" s="51"/>
      <c r="M503" s="35"/>
      <c r="N503" s="51"/>
      <c r="O503" s="82"/>
      <c r="P503" s="51"/>
      <c r="Q503" s="338"/>
      <c r="R503" s="51"/>
      <c r="S503" s="51"/>
      <c r="T503" s="338"/>
      <c r="U503" s="51"/>
      <c r="V503" s="35"/>
      <c r="W503" s="364">
        <f t="shared" si="116"/>
        <v>1394257.67</v>
      </c>
      <c r="X503" s="144"/>
      <c r="Y503" s="63"/>
      <c r="Z503" s="63"/>
      <c r="AA503" s="63"/>
      <c r="AB503" s="63"/>
      <c r="AC503" s="63"/>
      <c r="AD503" s="63"/>
      <c r="AE503" s="63">
        <v>1394257.67</v>
      </c>
      <c r="AF503" s="63"/>
      <c r="AG503" s="58"/>
    </row>
    <row r="504" spans="1:33" x14ac:dyDescent="0.3">
      <c r="A504" s="47">
        <f t="shared" si="117"/>
        <v>440</v>
      </c>
      <c r="B504" s="414" t="s">
        <v>615</v>
      </c>
      <c r="C504" s="51">
        <f t="shared" si="114"/>
        <v>119148.73</v>
      </c>
      <c r="D504" s="51">
        <f t="shared" si="115"/>
        <v>0</v>
      </c>
      <c r="E504" s="51"/>
      <c r="F504" s="51"/>
      <c r="G504" s="51"/>
      <c r="H504" s="51"/>
      <c r="I504" s="51"/>
      <c r="J504" s="51"/>
      <c r="K504" s="51"/>
      <c r="L504" s="51"/>
      <c r="M504" s="35"/>
      <c r="N504" s="51"/>
      <c r="O504" s="82"/>
      <c r="P504" s="51"/>
      <c r="Q504" s="338"/>
      <c r="R504" s="51"/>
      <c r="S504" s="51"/>
      <c r="T504" s="338"/>
      <c r="U504" s="51"/>
      <c r="V504" s="35"/>
      <c r="W504" s="364">
        <f t="shared" si="116"/>
        <v>119148.73</v>
      </c>
      <c r="X504" s="144">
        <v>119148.73</v>
      </c>
      <c r="Y504" s="63"/>
      <c r="Z504" s="63"/>
      <c r="AA504" s="63"/>
      <c r="AB504" s="63"/>
      <c r="AC504" s="63"/>
      <c r="AD504" s="63"/>
      <c r="AE504" s="63"/>
      <c r="AF504" s="63"/>
      <c r="AG504" s="58"/>
    </row>
    <row r="505" spans="1:33" x14ac:dyDescent="0.3">
      <c r="A505" s="47">
        <f t="shared" si="117"/>
        <v>441</v>
      </c>
      <c r="B505" s="414" t="s">
        <v>616</v>
      </c>
      <c r="C505" s="51">
        <f t="shared" si="114"/>
        <v>803195.9</v>
      </c>
      <c r="D505" s="51">
        <f t="shared" si="115"/>
        <v>0</v>
      </c>
      <c r="E505" s="51"/>
      <c r="F505" s="51"/>
      <c r="G505" s="51"/>
      <c r="H505" s="51"/>
      <c r="I505" s="51"/>
      <c r="J505" s="51"/>
      <c r="K505" s="51"/>
      <c r="L505" s="51"/>
      <c r="M505" s="35"/>
      <c r="N505" s="51"/>
      <c r="O505" s="82"/>
      <c r="P505" s="51"/>
      <c r="Q505" s="338"/>
      <c r="R505" s="51"/>
      <c r="S505" s="51"/>
      <c r="T505" s="338"/>
      <c r="U505" s="51"/>
      <c r="V505" s="35"/>
      <c r="W505" s="364">
        <f t="shared" si="116"/>
        <v>803195.9</v>
      </c>
      <c r="X505" s="144"/>
      <c r="Y505" s="63"/>
      <c r="Z505" s="63"/>
      <c r="AA505" s="63"/>
      <c r="AB505" s="63"/>
      <c r="AC505" s="63"/>
      <c r="AD505" s="63"/>
      <c r="AE505" s="63">
        <v>803195.9</v>
      </c>
      <c r="AF505" s="63"/>
      <c r="AG505" s="58"/>
    </row>
    <row r="506" spans="1:33" x14ac:dyDescent="0.3">
      <c r="A506" s="47">
        <f t="shared" si="117"/>
        <v>442</v>
      </c>
      <c r="B506" s="414" t="s">
        <v>617</v>
      </c>
      <c r="C506" s="51">
        <f t="shared" si="114"/>
        <v>118650.11</v>
      </c>
      <c r="D506" s="51">
        <f t="shared" si="115"/>
        <v>0</v>
      </c>
      <c r="E506" s="51"/>
      <c r="F506" s="51"/>
      <c r="G506" s="51"/>
      <c r="H506" s="51"/>
      <c r="I506" s="51"/>
      <c r="J506" s="51"/>
      <c r="K506" s="51"/>
      <c r="L506" s="51"/>
      <c r="M506" s="35"/>
      <c r="N506" s="51"/>
      <c r="O506" s="82"/>
      <c r="P506" s="51"/>
      <c r="Q506" s="338"/>
      <c r="R506" s="51"/>
      <c r="S506" s="51"/>
      <c r="T506" s="338"/>
      <c r="U506" s="51"/>
      <c r="V506" s="35"/>
      <c r="W506" s="364">
        <f t="shared" si="116"/>
        <v>118650.11</v>
      </c>
      <c r="X506" s="144">
        <v>118650.11</v>
      </c>
      <c r="Y506" s="63"/>
      <c r="Z506" s="63"/>
      <c r="AA506" s="63"/>
      <c r="AB506" s="63"/>
      <c r="AC506" s="63"/>
      <c r="AD506" s="63"/>
      <c r="AE506" s="63"/>
      <c r="AF506" s="63"/>
      <c r="AG506" s="58"/>
    </row>
    <row r="507" spans="1:33" x14ac:dyDescent="0.3">
      <c r="A507" s="47">
        <f t="shared" si="117"/>
        <v>443</v>
      </c>
      <c r="B507" s="414" t="s">
        <v>618</v>
      </c>
      <c r="C507" s="51">
        <f t="shared" si="114"/>
        <v>116445.05</v>
      </c>
      <c r="D507" s="51">
        <f t="shared" si="115"/>
        <v>0</v>
      </c>
      <c r="E507" s="51"/>
      <c r="F507" s="51"/>
      <c r="G507" s="51"/>
      <c r="H507" s="51"/>
      <c r="I507" s="51"/>
      <c r="J507" s="51"/>
      <c r="K507" s="51"/>
      <c r="L507" s="51"/>
      <c r="M507" s="35"/>
      <c r="N507" s="51"/>
      <c r="O507" s="82"/>
      <c r="P507" s="51"/>
      <c r="Q507" s="338"/>
      <c r="R507" s="51"/>
      <c r="S507" s="51"/>
      <c r="T507" s="338"/>
      <c r="U507" s="51"/>
      <c r="V507" s="35"/>
      <c r="W507" s="364">
        <f t="shared" si="116"/>
        <v>116445.05</v>
      </c>
      <c r="X507" s="144">
        <v>116445.05</v>
      </c>
      <c r="Y507" s="63"/>
      <c r="Z507" s="63"/>
      <c r="AA507" s="63"/>
      <c r="AB507" s="63"/>
      <c r="AC507" s="63"/>
      <c r="AD507" s="63"/>
      <c r="AE507" s="63"/>
      <c r="AF507" s="63"/>
      <c r="AG507" s="58"/>
    </row>
    <row r="508" spans="1:33" x14ac:dyDescent="0.3">
      <c r="A508" s="47">
        <f t="shared" ref="A508:A516" si="118">A507+1</f>
        <v>444</v>
      </c>
      <c r="B508" s="414" t="s">
        <v>619</v>
      </c>
      <c r="C508" s="51">
        <f t="shared" si="114"/>
        <v>110992.5</v>
      </c>
      <c r="D508" s="51">
        <f t="shared" si="115"/>
        <v>0</v>
      </c>
      <c r="E508" s="51"/>
      <c r="F508" s="51"/>
      <c r="G508" s="51"/>
      <c r="H508" s="51"/>
      <c r="I508" s="51"/>
      <c r="J508" s="51"/>
      <c r="K508" s="51"/>
      <c r="L508" s="51"/>
      <c r="M508" s="35"/>
      <c r="N508" s="51"/>
      <c r="O508" s="82"/>
      <c r="P508" s="51"/>
      <c r="Q508" s="338"/>
      <c r="R508" s="51"/>
      <c r="S508" s="51"/>
      <c r="T508" s="338"/>
      <c r="U508" s="51"/>
      <c r="V508" s="35"/>
      <c r="W508" s="364">
        <f t="shared" si="116"/>
        <v>110992.5</v>
      </c>
      <c r="X508" s="144">
        <v>110992.5</v>
      </c>
      <c r="Y508" s="63"/>
      <c r="Z508" s="63"/>
      <c r="AA508" s="63"/>
      <c r="AB508" s="63"/>
      <c r="AC508" s="63"/>
      <c r="AD508" s="63"/>
      <c r="AE508" s="63"/>
      <c r="AF508" s="63"/>
      <c r="AG508" s="58"/>
    </row>
    <row r="509" spans="1:33" x14ac:dyDescent="0.3">
      <c r="A509" s="47">
        <f t="shared" si="118"/>
        <v>445</v>
      </c>
      <c r="B509" s="414" t="s">
        <v>620</v>
      </c>
      <c r="C509" s="51">
        <f t="shared" si="114"/>
        <v>115004.78</v>
      </c>
      <c r="D509" s="51">
        <f t="shared" si="115"/>
        <v>0</v>
      </c>
      <c r="E509" s="51"/>
      <c r="F509" s="51"/>
      <c r="G509" s="51"/>
      <c r="H509" s="51"/>
      <c r="I509" s="51"/>
      <c r="J509" s="51"/>
      <c r="K509" s="51"/>
      <c r="L509" s="51"/>
      <c r="M509" s="35"/>
      <c r="N509" s="51"/>
      <c r="O509" s="82"/>
      <c r="P509" s="51"/>
      <c r="Q509" s="338"/>
      <c r="R509" s="51"/>
      <c r="S509" s="51"/>
      <c r="T509" s="338"/>
      <c r="U509" s="51"/>
      <c r="V509" s="35"/>
      <c r="W509" s="364">
        <f t="shared" si="116"/>
        <v>115004.78</v>
      </c>
      <c r="X509" s="144">
        <v>115004.78</v>
      </c>
      <c r="Y509" s="63"/>
      <c r="Z509" s="63"/>
      <c r="AA509" s="63"/>
      <c r="AB509" s="63"/>
      <c r="AC509" s="63"/>
      <c r="AD509" s="63"/>
      <c r="AE509" s="63"/>
      <c r="AF509" s="63"/>
      <c r="AG509" s="58"/>
    </row>
    <row r="510" spans="1:33" x14ac:dyDescent="0.3">
      <c r="A510" s="47">
        <f t="shared" si="118"/>
        <v>446</v>
      </c>
      <c r="B510" s="414" t="s">
        <v>621</v>
      </c>
      <c r="C510" s="51">
        <f t="shared" si="114"/>
        <v>111953.23</v>
      </c>
      <c r="D510" s="51">
        <f t="shared" si="115"/>
        <v>0</v>
      </c>
      <c r="E510" s="51"/>
      <c r="F510" s="51"/>
      <c r="G510" s="51"/>
      <c r="H510" s="51"/>
      <c r="I510" s="51"/>
      <c r="J510" s="51"/>
      <c r="K510" s="51"/>
      <c r="L510" s="51"/>
      <c r="M510" s="35"/>
      <c r="N510" s="51"/>
      <c r="O510" s="82"/>
      <c r="P510" s="51"/>
      <c r="Q510" s="338"/>
      <c r="R510" s="51"/>
      <c r="S510" s="51"/>
      <c r="T510" s="338"/>
      <c r="U510" s="51"/>
      <c r="V510" s="35"/>
      <c r="W510" s="364">
        <f t="shared" si="116"/>
        <v>111953.23</v>
      </c>
      <c r="X510" s="144">
        <v>111953.23</v>
      </c>
      <c r="Y510" s="63"/>
      <c r="Z510" s="63"/>
      <c r="AA510" s="63"/>
      <c r="AB510" s="63"/>
      <c r="AC510" s="63"/>
      <c r="AD510" s="63"/>
      <c r="AE510" s="63"/>
      <c r="AF510" s="63"/>
      <c r="AG510" s="58"/>
    </row>
    <row r="511" spans="1:33" x14ac:dyDescent="0.3">
      <c r="A511" s="47">
        <f t="shared" si="118"/>
        <v>447</v>
      </c>
      <c r="B511" s="414" t="s">
        <v>622</v>
      </c>
      <c r="C511" s="51">
        <f t="shared" si="114"/>
        <v>453446.11</v>
      </c>
      <c r="D511" s="51">
        <f t="shared" si="115"/>
        <v>0</v>
      </c>
      <c r="E511" s="51"/>
      <c r="F511" s="51"/>
      <c r="G511" s="51"/>
      <c r="H511" s="51"/>
      <c r="I511" s="51"/>
      <c r="J511" s="51"/>
      <c r="K511" s="51"/>
      <c r="L511" s="51"/>
      <c r="M511" s="35"/>
      <c r="N511" s="51"/>
      <c r="O511" s="82"/>
      <c r="P511" s="51"/>
      <c r="Q511" s="338"/>
      <c r="R511" s="51"/>
      <c r="S511" s="51"/>
      <c r="T511" s="338"/>
      <c r="U511" s="51"/>
      <c r="V511" s="35"/>
      <c r="W511" s="364">
        <f t="shared" si="116"/>
        <v>453446.11</v>
      </c>
      <c r="X511" s="144"/>
      <c r="Y511" s="63"/>
      <c r="Z511" s="63"/>
      <c r="AA511" s="63"/>
      <c r="AB511" s="63"/>
      <c r="AC511" s="63"/>
      <c r="AD511" s="63"/>
      <c r="AE511" s="63">
        <v>453446.11</v>
      </c>
      <c r="AF511" s="63"/>
      <c r="AG511" s="58"/>
    </row>
    <row r="512" spans="1:33" x14ac:dyDescent="0.3">
      <c r="A512" s="47">
        <f t="shared" si="118"/>
        <v>448</v>
      </c>
      <c r="B512" s="414" t="s">
        <v>623</v>
      </c>
      <c r="C512" s="51">
        <f t="shared" si="114"/>
        <v>564504.1</v>
      </c>
      <c r="D512" s="51">
        <f t="shared" si="115"/>
        <v>0</v>
      </c>
      <c r="E512" s="51"/>
      <c r="F512" s="51"/>
      <c r="G512" s="51"/>
      <c r="H512" s="51"/>
      <c r="I512" s="51"/>
      <c r="J512" s="51"/>
      <c r="K512" s="51"/>
      <c r="L512" s="51"/>
      <c r="M512" s="35"/>
      <c r="N512" s="51"/>
      <c r="O512" s="82"/>
      <c r="P512" s="51"/>
      <c r="Q512" s="338"/>
      <c r="R512" s="51"/>
      <c r="S512" s="51"/>
      <c r="T512" s="338"/>
      <c r="U512" s="51"/>
      <c r="V512" s="35"/>
      <c r="W512" s="364">
        <f t="shared" si="116"/>
        <v>564504.1</v>
      </c>
      <c r="X512" s="144"/>
      <c r="Y512" s="63"/>
      <c r="Z512" s="63"/>
      <c r="AA512" s="63"/>
      <c r="AB512" s="63"/>
      <c r="AC512" s="63"/>
      <c r="AD512" s="63"/>
      <c r="AE512" s="172">
        <v>564504.1</v>
      </c>
      <c r="AF512" s="63"/>
      <c r="AG512" s="58"/>
    </row>
    <row r="513" spans="1:33" x14ac:dyDescent="0.3">
      <c r="A513" s="47">
        <f t="shared" si="118"/>
        <v>449</v>
      </c>
      <c r="B513" s="414" t="s">
        <v>624</v>
      </c>
      <c r="C513" s="51">
        <f t="shared" si="114"/>
        <v>423629.6</v>
      </c>
      <c r="D513" s="51">
        <f t="shared" si="115"/>
        <v>0</v>
      </c>
      <c r="E513" s="51"/>
      <c r="F513" s="51"/>
      <c r="G513" s="51"/>
      <c r="H513" s="51"/>
      <c r="I513" s="51"/>
      <c r="J513" s="51"/>
      <c r="K513" s="51"/>
      <c r="L513" s="51"/>
      <c r="M513" s="35"/>
      <c r="N513" s="51"/>
      <c r="O513" s="82"/>
      <c r="P513" s="51"/>
      <c r="Q513" s="338"/>
      <c r="R513" s="51"/>
      <c r="S513" s="51"/>
      <c r="T513" s="338"/>
      <c r="U513" s="51"/>
      <c r="V513" s="35"/>
      <c r="W513" s="364">
        <f t="shared" si="116"/>
        <v>423629.6</v>
      </c>
      <c r="X513" s="144"/>
      <c r="Y513" s="63"/>
      <c r="Z513" s="63"/>
      <c r="AA513" s="63"/>
      <c r="AB513" s="63"/>
      <c r="AC513" s="63"/>
      <c r="AD513" s="63"/>
      <c r="AE513" s="63">
        <v>423629.6</v>
      </c>
      <c r="AF513" s="63"/>
      <c r="AG513" s="58"/>
    </row>
    <row r="514" spans="1:33" x14ac:dyDescent="0.3">
      <c r="A514" s="47">
        <f t="shared" si="118"/>
        <v>450</v>
      </c>
      <c r="B514" s="414" t="s">
        <v>625</v>
      </c>
      <c r="C514" s="51">
        <f t="shared" si="114"/>
        <v>249451.4</v>
      </c>
      <c r="D514" s="51">
        <f t="shared" si="115"/>
        <v>0</v>
      </c>
      <c r="E514" s="51"/>
      <c r="F514" s="51"/>
      <c r="G514" s="51"/>
      <c r="H514" s="51"/>
      <c r="I514" s="51"/>
      <c r="J514" s="51"/>
      <c r="K514" s="51"/>
      <c r="L514" s="51"/>
      <c r="M514" s="35"/>
      <c r="N514" s="51"/>
      <c r="O514" s="82"/>
      <c r="P514" s="51"/>
      <c r="Q514" s="338"/>
      <c r="R514" s="51"/>
      <c r="S514" s="51"/>
      <c r="T514" s="338"/>
      <c r="U514" s="51"/>
      <c r="V514" s="35"/>
      <c r="W514" s="364">
        <f t="shared" si="116"/>
        <v>249451.4</v>
      </c>
      <c r="X514" s="144"/>
      <c r="Y514" s="63">
        <v>135118.79999999999</v>
      </c>
      <c r="Z514" s="63">
        <v>114332.6</v>
      </c>
      <c r="AA514" s="63"/>
      <c r="AB514" s="63"/>
      <c r="AC514" s="63"/>
      <c r="AD514" s="63"/>
      <c r="AE514" s="63"/>
      <c r="AF514" s="63"/>
      <c r="AG514" s="58"/>
    </row>
    <row r="515" spans="1:33" x14ac:dyDescent="0.3">
      <c r="A515" s="47">
        <f t="shared" si="118"/>
        <v>451</v>
      </c>
      <c r="B515" s="414" t="s">
        <v>626</v>
      </c>
      <c r="C515" s="51">
        <f t="shared" si="114"/>
        <v>90520.43</v>
      </c>
      <c r="D515" s="51">
        <f t="shared" si="115"/>
        <v>0</v>
      </c>
      <c r="E515" s="51"/>
      <c r="F515" s="51"/>
      <c r="G515" s="51"/>
      <c r="H515" s="51"/>
      <c r="I515" s="51"/>
      <c r="J515" s="51"/>
      <c r="K515" s="51"/>
      <c r="L515" s="51"/>
      <c r="M515" s="35"/>
      <c r="N515" s="51"/>
      <c r="O515" s="82"/>
      <c r="P515" s="51"/>
      <c r="Q515" s="338"/>
      <c r="R515" s="51"/>
      <c r="S515" s="51"/>
      <c r="T515" s="338"/>
      <c r="U515" s="51"/>
      <c r="V515" s="35"/>
      <c r="W515" s="364">
        <f t="shared" si="116"/>
        <v>90520.43</v>
      </c>
      <c r="X515" s="144">
        <v>90520.43</v>
      </c>
      <c r="Y515" s="63"/>
      <c r="Z515" s="63"/>
      <c r="AA515" s="63"/>
      <c r="AB515" s="63"/>
      <c r="AC515" s="63"/>
      <c r="AD515" s="63"/>
      <c r="AE515" s="63"/>
      <c r="AF515" s="63"/>
      <c r="AG515" s="58"/>
    </row>
    <row r="516" spans="1:33" x14ac:dyDescent="0.3">
      <c r="A516" s="47">
        <f t="shared" si="118"/>
        <v>452</v>
      </c>
      <c r="B516" s="414" t="s">
        <v>627</v>
      </c>
      <c r="C516" s="51">
        <f t="shared" si="114"/>
        <v>248489.28</v>
      </c>
      <c r="D516" s="51">
        <f t="shared" si="115"/>
        <v>0</v>
      </c>
      <c r="E516" s="51"/>
      <c r="F516" s="51"/>
      <c r="G516" s="51"/>
      <c r="H516" s="51"/>
      <c r="I516" s="51"/>
      <c r="J516" s="51"/>
      <c r="K516" s="51"/>
      <c r="L516" s="51"/>
      <c r="M516" s="35"/>
      <c r="N516" s="51"/>
      <c r="O516" s="82"/>
      <c r="P516" s="51"/>
      <c r="Q516" s="338"/>
      <c r="R516" s="51"/>
      <c r="S516" s="51"/>
      <c r="T516" s="338"/>
      <c r="U516" s="51"/>
      <c r="V516" s="35"/>
      <c r="W516" s="364">
        <f t="shared" si="116"/>
        <v>248489.28</v>
      </c>
      <c r="X516" s="144"/>
      <c r="Y516" s="63">
        <v>137385.78</v>
      </c>
      <c r="Z516" s="63">
        <v>111103.5</v>
      </c>
      <c r="AA516" s="63"/>
      <c r="AB516" s="63"/>
      <c r="AC516" s="63"/>
      <c r="AD516" s="63"/>
      <c r="AE516" s="63"/>
      <c r="AF516" s="63"/>
      <c r="AG516" s="58"/>
    </row>
    <row r="517" spans="1:33" x14ac:dyDescent="0.3">
      <c r="A517" s="47"/>
      <c r="B517" s="414" t="s">
        <v>211</v>
      </c>
      <c r="C517" s="51">
        <f t="shared" ref="C517:W517" si="119">SUM(C500:C516)</f>
        <v>5769682.7999999989</v>
      </c>
      <c r="D517" s="51">
        <f t="shared" si="119"/>
        <v>0</v>
      </c>
      <c r="E517" s="51">
        <f t="shared" si="119"/>
        <v>0</v>
      </c>
      <c r="F517" s="51">
        <f t="shared" si="119"/>
        <v>0</v>
      </c>
      <c r="G517" s="51">
        <f t="shared" si="119"/>
        <v>0</v>
      </c>
      <c r="H517" s="51">
        <f t="shared" si="119"/>
        <v>0</v>
      </c>
      <c r="I517" s="51">
        <f t="shared" si="119"/>
        <v>0</v>
      </c>
      <c r="J517" s="51">
        <f t="shared" si="119"/>
        <v>0</v>
      </c>
      <c r="K517" s="51">
        <f t="shared" si="119"/>
        <v>0</v>
      </c>
      <c r="L517" s="51">
        <f t="shared" si="119"/>
        <v>0</v>
      </c>
      <c r="M517" s="35">
        <f t="shared" si="119"/>
        <v>0</v>
      </c>
      <c r="N517" s="51">
        <f t="shared" si="119"/>
        <v>0</v>
      </c>
      <c r="O517" s="82">
        <f t="shared" si="119"/>
        <v>0</v>
      </c>
      <c r="P517" s="51">
        <f t="shared" si="119"/>
        <v>0</v>
      </c>
      <c r="Q517" s="338">
        <f t="shared" si="119"/>
        <v>0</v>
      </c>
      <c r="R517" s="51">
        <f t="shared" si="119"/>
        <v>0</v>
      </c>
      <c r="S517" s="51">
        <f t="shared" si="119"/>
        <v>0</v>
      </c>
      <c r="T517" s="338">
        <f t="shared" si="119"/>
        <v>0</v>
      </c>
      <c r="U517" s="51">
        <f t="shared" si="119"/>
        <v>0</v>
      </c>
      <c r="V517" s="35">
        <f t="shared" si="119"/>
        <v>0</v>
      </c>
      <c r="W517" s="51">
        <f t="shared" si="119"/>
        <v>5769682.7999999989</v>
      </c>
      <c r="X517" s="144"/>
      <c r="Y517" s="63"/>
      <c r="Z517" s="63"/>
      <c r="AA517" s="63"/>
      <c r="AB517" s="63"/>
      <c r="AC517" s="63"/>
      <c r="AD517" s="63"/>
      <c r="AE517" s="63"/>
      <c r="AF517" s="63"/>
      <c r="AG517" s="58"/>
    </row>
    <row r="518" spans="1:33" ht="31.2" x14ac:dyDescent="0.3">
      <c r="A518" s="47"/>
      <c r="B518" s="414" t="s">
        <v>643</v>
      </c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35"/>
      <c r="N518" s="51"/>
      <c r="O518" s="82"/>
      <c r="P518" s="51"/>
      <c r="Q518" s="338"/>
      <c r="R518" s="51"/>
      <c r="S518" s="51"/>
      <c r="T518" s="338"/>
      <c r="U518" s="51"/>
      <c r="V518" s="35"/>
      <c r="W518" s="364"/>
      <c r="X518" s="141"/>
      <c r="Y518" s="58"/>
      <c r="Z518" s="58"/>
      <c r="AA518" s="58"/>
      <c r="AB518" s="58"/>
      <c r="AC518" s="58"/>
      <c r="AD518" s="58"/>
      <c r="AE518" s="58"/>
      <c r="AF518" s="58"/>
      <c r="AG518" s="58"/>
    </row>
    <row r="519" spans="1:33" x14ac:dyDescent="0.3">
      <c r="A519" s="47">
        <f>A516+1</f>
        <v>453</v>
      </c>
      <c r="B519" s="414" t="s">
        <v>678</v>
      </c>
      <c r="C519" s="51">
        <f t="shared" ref="C519:C526" si="120">D519+K519+L519+N519+R519+S519+U519+V519+W519</f>
        <v>685213.01</v>
      </c>
      <c r="D519" s="51">
        <f t="shared" ref="D519:D526" si="121">E519+F519+G519+H519+I519</f>
        <v>0</v>
      </c>
      <c r="E519" s="51"/>
      <c r="F519" s="51"/>
      <c r="G519" s="51"/>
      <c r="H519" s="51"/>
      <c r="I519" s="51"/>
      <c r="J519" s="51"/>
      <c r="K519" s="51"/>
      <c r="L519" s="51"/>
      <c r="M519" s="35"/>
      <c r="N519" s="51"/>
      <c r="O519" s="82"/>
      <c r="P519" s="51"/>
      <c r="Q519" s="338"/>
      <c r="R519" s="51"/>
      <c r="S519" s="51"/>
      <c r="T519" s="338"/>
      <c r="U519" s="51"/>
      <c r="V519" s="35"/>
      <c r="W519" s="364">
        <f>SUM(X519:AE519)</f>
        <v>685213.01</v>
      </c>
      <c r="X519" s="144">
        <v>110425.28</v>
      </c>
      <c r="Y519" s="65">
        <v>246578.71</v>
      </c>
      <c r="Z519" s="65">
        <v>106103.71</v>
      </c>
      <c r="AA519" s="65"/>
      <c r="AB519" s="65"/>
      <c r="AC519" s="65">
        <v>222105.31</v>
      </c>
      <c r="AD519" s="65"/>
      <c r="AE519" s="65"/>
      <c r="AF519" s="58"/>
      <c r="AG519" s="58"/>
    </row>
    <row r="520" spans="1:33" x14ac:dyDescent="0.3">
      <c r="A520" s="47">
        <f t="shared" ref="A520:A526" si="122">A519+1</f>
        <v>454</v>
      </c>
      <c r="B520" s="414" t="s">
        <v>679</v>
      </c>
      <c r="C520" s="51">
        <f t="shared" si="120"/>
        <v>538483.79</v>
      </c>
      <c r="D520" s="51">
        <f t="shared" si="121"/>
        <v>0</v>
      </c>
      <c r="E520" s="51"/>
      <c r="F520" s="51"/>
      <c r="G520" s="51"/>
      <c r="H520" s="51"/>
      <c r="I520" s="51"/>
      <c r="J520" s="51"/>
      <c r="K520" s="51"/>
      <c r="L520" s="51"/>
      <c r="M520" s="35"/>
      <c r="N520" s="51"/>
      <c r="O520" s="82"/>
      <c r="P520" s="51"/>
      <c r="Q520" s="338"/>
      <c r="R520" s="51"/>
      <c r="S520" s="51"/>
      <c r="T520" s="338"/>
      <c r="U520" s="51"/>
      <c r="V520" s="35"/>
      <c r="W520" s="364">
        <f t="shared" ref="W520:W525" si="123">SUM(X520:AF520)</f>
        <v>538483.79</v>
      </c>
      <c r="X520" s="141"/>
      <c r="Y520" s="58"/>
      <c r="Z520" s="58"/>
      <c r="AA520" s="58"/>
      <c r="AB520" s="58"/>
      <c r="AC520" s="65">
        <v>538483.79</v>
      </c>
      <c r="AD520" s="65"/>
      <c r="AE520" s="65"/>
      <c r="AF520" s="58"/>
      <c r="AG520" s="58"/>
    </row>
    <row r="521" spans="1:33" x14ac:dyDescent="0.3">
      <c r="A521" s="47">
        <f t="shared" si="122"/>
        <v>455</v>
      </c>
      <c r="B521" s="414" t="s">
        <v>680</v>
      </c>
      <c r="C521" s="51">
        <f t="shared" si="120"/>
        <v>940455.78</v>
      </c>
      <c r="D521" s="51">
        <f t="shared" si="121"/>
        <v>0</v>
      </c>
      <c r="E521" s="51"/>
      <c r="F521" s="51"/>
      <c r="G521" s="51"/>
      <c r="H521" s="51"/>
      <c r="I521" s="51"/>
      <c r="J521" s="51"/>
      <c r="K521" s="51"/>
      <c r="L521" s="51"/>
      <c r="M521" s="35"/>
      <c r="N521" s="51"/>
      <c r="O521" s="82"/>
      <c r="P521" s="51"/>
      <c r="Q521" s="338"/>
      <c r="R521" s="51"/>
      <c r="S521" s="51"/>
      <c r="T521" s="338"/>
      <c r="U521" s="51"/>
      <c r="V521" s="35"/>
      <c r="W521" s="364">
        <f t="shared" si="123"/>
        <v>940455.78</v>
      </c>
      <c r="X521" s="144">
        <v>154247.24</v>
      </c>
      <c r="Y521" s="65">
        <v>334907.99</v>
      </c>
      <c r="Z521" s="65">
        <v>152541.28</v>
      </c>
      <c r="AA521" s="65"/>
      <c r="AB521" s="65"/>
      <c r="AC521" s="65">
        <v>298759.27</v>
      </c>
      <c r="AD521" s="65"/>
      <c r="AE521" s="65"/>
      <c r="AF521" s="58"/>
      <c r="AG521" s="58"/>
    </row>
    <row r="522" spans="1:33" x14ac:dyDescent="0.3">
      <c r="A522" s="47">
        <f t="shared" si="122"/>
        <v>456</v>
      </c>
      <c r="B522" s="414" t="s">
        <v>681</v>
      </c>
      <c r="C522" s="51">
        <f t="shared" si="120"/>
        <v>709319.13</v>
      </c>
      <c r="D522" s="51">
        <f t="shared" si="121"/>
        <v>0</v>
      </c>
      <c r="E522" s="51"/>
      <c r="F522" s="51"/>
      <c r="G522" s="51"/>
      <c r="H522" s="51"/>
      <c r="I522" s="51"/>
      <c r="J522" s="51"/>
      <c r="K522" s="51"/>
      <c r="L522" s="51"/>
      <c r="M522" s="35"/>
      <c r="N522" s="51"/>
      <c r="O522" s="82"/>
      <c r="P522" s="51"/>
      <c r="Q522" s="338"/>
      <c r="R522" s="51"/>
      <c r="S522" s="51"/>
      <c r="T522" s="338"/>
      <c r="U522" s="51"/>
      <c r="V522" s="35"/>
      <c r="W522" s="364">
        <f t="shared" si="123"/>
        <v>709319.13</v>
      </c>
      <c r="X522" s="144">
        <v>120171.41</v>
      </c>
      <c r="Y522" s="65">
        <v>269895.53000000003</v>
      </c>
      <c r="Z522" s="65">
        <v>118329.67</v>
      </c>
      <c r="AA522" s="65"/>
      <c r="AB522" s="65"/>
      <c r="AC522" s="65">
        <v>200922.52</v>
      </c>
      <c r="AD522" s="65"/>
      <c r="AE522" s="65"/>
      <c r="AF522" s="58"/>
      <c r="AG522" s="58"/>
    </row>
    <row r="523" spans="1:33" x14ac:dyDescent="0.3">
      <c r="A523" s="47">
        <f t="shared" si="122"/>
        <v>457</v>
      </c>
      <c r="B523" s="414" t="s">
        <v>682</v>
      </c>
      <c r="C523" s="51">
        <f t="shared" si="120"/>
        <v>742278.4</v>
      </c>
      <c r="D523" s="51">
        <f t="shared" si="121"/>
        <v>0</v>
      </c>
      <c r="E523" s="51"/>
      <c r="F523" s="51"/>
      <c r="G523" s="51"/>
      <c r="H523" s="51"/>
      <c r="I523" s="51"/>
      <c r="J523" s="51"/>
      <c r="K523" s="51"/>
      <c r="L523" s="51"/>
      <c r="M523" s="35"/>
      <c r="N523" s="51"/>
      <c r="O523" s="82"/>
      <c r="P523" s="51"/>
      <c r="Q523" s="338"/>
      <c r="R523" s="51"/>
      <c r="S523" s="51"/>
      <c r="T523" s="338"/>
      <c r="U523" s="51"/>
      <c r="V523" s="35"/>
      <c r="W523" s="364">
        <f t="shared" si="123"/>
        <v>742278.4</v>
      </c>
      <c r="X523" s="144">
        <v>122675.06</v>
      </c>
      <c r="Y523" s="65">
        <v>273899.7</v>
      </c>
      <c r="Z523" s="65">
        <v>120604.68</v>
      </c>
      <c r="AA523" s="65"/>
      <c r="AB523" s="65"/>
      <c r="AC523" s="65">
        <v>225098.96</v>
      </c>
      <c r="AD523" s="65"/>
      <c r="AE523" s="65"/>
      <c r="AF523" s="58"/>
      <c r="AG523" s="58"/>
    </row>
    <row r="524" spans="1:33" x14ac:dyDescent="0.3">
      <c r="A524" s="47">
        <f t="shared" si="122"/>
        <v>458</v>
      </c>
      <c r="B524" s="414" t="s">
        <v>683</v>
      </c>
      <c r="C524" s="51">
        <f t="shared" si="120"/>
        <v>539974.5</v>
      </c>
      <c r="D524" s="51">
        <f t="shared" si="121"/>
        <v>0</v>
      </c>
      <c r="E524" s="51"/>
      <c r="F524" s="51"/>
      <c r="G524" s="51"/>
      <c r="H524" s="51"/>
      <c r="I524" s="51"/>
      <c r="J524" s="51"/>
      <c r="K524" s="51"/>
      <c r="L524" s="51"/>
      <c r="M524" s="35"/>
      <c r="N524" s="51"/>
      <c r="O524" s="82"/>
      <c r="P524" s="51"/>
      <c r="Q524" s="338"/>
      <c r="R524" s="51"/>
      <c r="S524" s="51"/>
      <c r="T524" s="338"/>
      <c r="U524" s="51"/>
      <c r="V524" s="35"/>
      <c r="W524" s="364">
        <f t="shared" si="123"/>
        <v>539974.5</v>
      </c>
      <c r="X524" s="141"/>
      <c r="Y524" s="62"/>
      <c r="Z524" s="58"/>
      <c r="AA524" s="58"/>
      <c r="AB524" s="58"/>
      <c r="AC524" s="65">
        <v>539974.5</v>
      </c>
      <c r="AD524" s="65"/>
      <c r="AE524" s="65"/>
      <c r="AF524" s="58"/>
      <c r="AG524" s="58"/>
    </row>
    <row r="525" spans="1:33" x14ac:dyDescent="0.3">
      <c r="A525" s="47">
        <f t="shared" si="122"/>
        <v>459</v>
      </c>
      <c r="B525" s="414" t="s">
        <v>684</v>
      </c>
      <c r="C525" s="51">
        <f t="shared" si="120"/>
        <v>314445.46999999997</v>
      </c>
      <c r="D525" s="51">
        <f t="shared" si="121"/>
        <v>0</v>
      </c>
      <c r="E525" s="51"/>
      <c r="F525" s="51"/>
      <c r="G525" s="51"/>
      <c r="H525" s="51"/>
      <c r="I525" s="51"/>
      <c r="J525" s="51"/>
      <c r="K525" s="51"/>
      <c r="L525" s="51"/>
      <c r="M525" s="35"/>
      <c r="N525" s="51"/>
      <c r="O525" s="82"/>
      <c r="P525" s="51"/>
      <c r="Q525" s="338"/>
      <c r="R525" s="51"/>
      <c r="S525" s="51"/>
      <c r="T525" s="338"/>
      <c r="U525" s="51"/>
      <c r="V525" s="35"/>
      <c r="W525" s="364">
        <f t="shared" si="123"/>
        <v>314445.46999999997</v>
      </c>
      <c r="X525" s="144">
        <v>119929.51</v>
      </c>
      <c r="Y525" s="65"/>
      <c r="Z525" s="65"/>
      <c r="AA525" s="65"/>
      <c r="AB525" s="65"/>
      <c r="AC525" s="65">
        <v>194515.96</v>
      </c>
      <c r="AD525" s="65"/>
      <c r="AE525" s="65"/>
      <c r="AF525" s="58"/>
      <c r="AG525" s="58"/>
    </row>
    <row r="526" spans="1:33" x14ac:dyDescent="0.3">
      <c r="A526" s="47">
        <f t="shared" si="122"/>
        <v>460</v>
      </c>
      <c r="B526" s="414" t="s">
        <v>685</v>
      </c>
      <c r="C526" s="51">
        <f t="shared" si="120"/>
        <v>130000</v>
      </c>
      <c r="D526" s="51">
        <f t="shared" si="121"/>
        <v>0</v>
      </c>
      <c r="E526" s="51"/>
      <c r="F526" s="51"/>
      <c r="G526" s="51"/>
      <c r="H526" s="51"/>
      <c r="I526" s="51"/>
      <c r="J526" s="51"/>
      <c r="K526" s="51"/>
      <c r="L526" s="51"/>
      <c r="M526" s="35"/>
      <c r="N526" s="51"/>
      <c r="O526" s="82"/>
      <c r="P526" s="51"/>
      <c r="Q526" s="338"/>
      <c r="R526" s="51"/>
      <c r="S526" s="51"/>
      <c r="T526" s="338"/>
      <c r="U526" s="51"/>
      <c r="V526" s="35"/>
      <c r="W526" s="364">
        <v>130000</v>
      </c>
      <c r="X526" s="141"/>
      <c r="Y526" s="58"/>
      <c r="Z526" s="58"/>
      <c r="AA526" s="58"/>
      <c r="AB526" s="58"/>
      <c r="AC526" s="58"/>
      <c r="AD526" s="58"/>
      <c r="AE526" s="58"/>
      <c r="AF526" s="58"/>
      <c r="AG526" s="58"/>
    </row>
    <row r="527" spans="1:33" x14ac:dyDescent="0.3">
      <c r="A527" s="47"/>
      <c r="B527" s="414" t="s">
        <v>211</v>
      </c>
      <c r="C527" s="51">
        <f t="shared" ref="C527:W527" si="124">SUM(C519:C526)</f>
        <v>4600170.08</v>
      </c>
      <c r="D527" s="51">
        <f t="shared" si="124"/>
        <v>0</v>
      </c>
      <c r="E527" s="51">
        <f t="shared" si="124"/>
        <v>0</v>
      </c>
      <c r="F527" s="51">
        <f t="shared" si="124"/>
        <v>0</v>
      </c>
      <c r="G527" s="51">
        <f t="shared" si="124"/>
        <v>0</v>
      </c>
      <c r="H527" s="51">
        <f t="shared" si="124"/>
        <v>0</v>
      </c>
      <c r="I527" s="51">
        <f t="shared" si="124"/>
        <v>0</v>
      </c>
      <c r="J527" s="51">
        <f t="shared" si="124"/>
        <v>0</v>
      </c>
      <c r="K527" s="51">
        <f t="shared" si="124"/>
        <v>0</v>
      </c>
      <c r="L527" s="51">
        <f t="shared" si="124"/>
        <v>0</v>
      </c>
      <c r="M527" s="35">
        <f t="shared" si="124"/>
        <v>0</v>
      </c>
      <c r="N527" s="51">
        <f t="shared" si="124"/>
        <v>0</v>
      </c>
      <c r="O527" s="82">
        <f t="shared" si="124"/>
        <v>0</v>
      </c>
      <c r="P527" s="51">
        <f t="shared" si="124"/>
        <v>0</v>
      </c>
      <c r="Q527" s="338">
        <f t="shared" si="124"/>
        <v>0</v>
      </c>
      <c r="R527" s="51">
        <f t="shared" si="124"/>
        <v>0</v>
      </c>
      <c r="S527" s="51">
        <f t="shared" si="124"/>
        <v>0</v>
      </c>
      <c r="T527" s="338">
        <f t="shared" si="124"/>
        <v>0</v>
      </c>
      <c r="U527" s="51">
        <f t="shared" si="124"/>
        <v>0</v>
      </c>
      <c r="V527" s="35">
        <f t="shared" si="124"/>
        <v>0</v>
      </c>
      <c r="W527" s="51">
        <f t="shared" si="124"/>
        <v>4600170.08</v>
      </c>
      <c r="X527" s="141"/>
      <c r="Y527" s="58"/>
      <c r="Z527" s="58"/>
      <c r="AA527" s="58"/>
      <c r="AB527" s="58"/>
      <c r="AC527" s="58"/>
      <c r="AD527" s="58"/>
      <c r="AE527" s="58"/>
      <c r="AF527" s="58"/>
      <c r="AG527" s="58"/>
    </row>
    <row r="528" spans="1:33" ht="31.2" x14ac:dyDescent="0.3">
      <c r="A528" s="47"/>
      <c r="B528" s="414" t="s">
        <v>686</v>
      </c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35"/>
      <c r="N528" s="51"/>
      <c r="O528" s="82"/>
      <c r="P528" s="51"/>
      <c r="Q528" s="338"/>
      <c r="R528" s="51"/>
      <c r="S528" s="51"/>
      <c r="T528" s="338"/>
      <c r="U528" s="51"/>
      <c r="V528" s="35"/>
      <c r="W528" s="364"/>
      <c r="X528" s="141"/>
      <c r="Y528" s="58"/>
      <c r="Z528" s="58"/>
      <c r="AA528" s="58"/>
      <c r="AB528" s="58"/>
      <c r="AC528" s="58"/>
      <c r="AD528" s="58"/>
      <c r="AE528" s="58"/>
      <c r="AF528" s="58"/>
      <c r="AG528" s="58"/>
    </row>
    <row r="529" spans="1:33" x14ac:dyDescent="0.3">
      <c r="A529" s="47">
        <f>A526+1</f>
        <v>461</v>
      </c>
      <c r="B529" s="414" t="s">
        <v>687</v>
      </c>
      <c r="C529" s="51">
        <f>D529+K529+L529+N529+R529+S529+U529+V529+W529</f>
        <v>6441327.5999999996</v>
      </c>
      <c r="D529" s="51">
        <f>E529+F529+G529+H529+I529</f>
        <v>0</v>
      </c>
      <c r="E529" s="51"/>
      <c r="F529" s="51"/>
      <c r="G529" s="51"/>
      <c r="H529" s="51"/>
      <c r="I529" s="51"/>
      <c r="J529" s="51"/>
      <c r="K529" s="51"/>
      <c r="L529" s="51"/>
      <c r="M529" s="35"/>
      <c r="N529" s="51"/>
      <c r="O529" s="82"/>
      <c r="P529" s="51"/>
      <c r="Q529" s="338">
        <v>1178.08</v>
      </c>
      <c r="R529" s="51">
        <v>6441327.5999999996</v>
      </c>
      <c r="S529" s="51"/>
      <c r="T529" s="338"/>
      <c r="U529" s="51"/>
      <c r="V529" s="35"/>
      <c r="W529" s="364"/>
      <c r="X529" s="141"/>
      <c r="Y529" s="58"/>
      <c r="Z529" s="58"/>
      <c r="AA529" s="58"/>
      <c r="AB529" s="58"/>
      <c r="AC529" s="58"/>
      <c r="AD529" s="58"/>
      <c r="AE529" s="58"/>
      <c r="AF529" s="58"/>
      <c r="AG529" s="58"/>
    </row>
    <row r="530" spans="1:33" x14ac:dyDescent="0.3">
      <c r="A530" s="47">
        <f>A529+1</f>
        <v>462</v>
      </c>
      <c r="B530" s="414" t="s">
        <v>688</v>
      </c>
      <c r="C530" s="51">
        <f>D530+K530+L530+N530+R530+S530+U530+V530+W530</f>
        <v>5213906.2</v>
      </c>
      <c r="D530" s="51">
        <f>E530+F530+G530+H530+I530</f>
        <v>0</v>
      </c>
      <c r="E530" s="51"/>
      <c r="F530" s="51"/>
      <c r="G530" s="51"/>
      <c r="H530" s="51"/>
      <c r="I530" s="51"/>
      <c r="J530" s="51"/>
      <c r="K530" s="51"/>
      <c r="L530" s="51"/>
      <c r="M530" s="35"/>
      <c r="N530" s="51"/>
      <c r="O530" s="82"/>
      <c r="P530" s="51"/>
      <c r="Q530" s="338">
        <v>1178.08</v>
      </c>
      <c r="R530" s="51">
        <v>5213906.2</v>
      </c>
      <c r="S530" s="51"/>
      <c r="T530" s="338"/>
      <c r="U530" s="51"/>
      <c r="V530" s="35"/>
      <c r="W530" s="364"/>
      <c r="X530" s="141"/>
      <c r="Y530" s="58"/>
      <c r="Z530" s="58"/>
      <c r="AA530" s="58"/>
      <c r="AB530" s="58"/>
      <c r="AC530" s="58"/>
      <c r="AD530" s="58"/>
      <c r="AE530" s="58"/>
      <c r="AF530" s="58"/>
      <c r="AG530" s="58"/>
    </row>
    <row r="531" spans="1:33" x14ac:dyDescent="0.3">
      <c r="A531" s="47">
        <f>A530+1</f>
        <v>463</v>
      </c>
      <c r="B531" s="414" t="s">
        <v>689</v>
      </c>
      <c r="C531" s="51">
        <f>D531+K531+L531+N531+R531+S531+U531+V531+W531</f>
        <v>6817283.6600000001</v>
      </c>
      <c r="D531" s="51">
        <f>E531+F531+G531+H531+I531</f>
        <v>0</v>
      </c>
      <c r="E531" s="51"/>
      <c r="F531" s="51"/>
      <c r="G531" s="51"/>
      <c r="H531" s="51"/>
      <c r="I531" s="51"/>
      <c r="J531" s="51"/>
      <c r="K531" s="51"/>
      <c r="L531" s="51"/>
      <c r="M531" s="35"/>
      <c r="N531" s="51"/>
      <c r="O531" s="82"/>
      <c r="P531" s="51"/>
      <c r="Q531" s="338">
        <v>1216.9000000000001</v>
      </c>
      <c r="R531" s="51">
        <v>6817283.6600000001</v>
      </c>
      <c r="S531" s="51"/>
      <c r="T531" s="338"/>
      <c r="U531" s="51"/>
      <c r="V531" s="35"/>
      <c r="W531" s="364"/>
      <c r="X531" s="141"/>
      <c r="Y531" s="58"/>
      <c r="Z531" s="58"/>
      <c r="AA531" s="58"/>
      <c r="AB531" s="58"/>
      <c r="AC531" s="58"/>
      <c r="AD531" s="58"/>
      <c r="AE531" s="58"/>
      <c r="AF531" s="58"/>
      <c r="AG531" s="58"/>
    </row>
    <row r="532" spans="1:33" x14ac:dyDescent="0.3">
      <c r="A532" s="47">
        <f>A531+1</f>
        <v>464</v>
      </c>
      <c r="B532" s="414" t="s">
        <v>690</v>
      </c>
      <c r="C532" s="51">
        <f>D532+K532+L532+N532+R532+S532+U532+V532+W532</f>
        <v>7943744.1699999999</v>
      </c>
      <c r="D532" s="51">
        <f>E532+F532+G532+H532+I532</f>
        <v>0</v>
      </c>
      <c r="E532" s="51"/>
      <c r="F532" s="51"/>
      <c r="G532" s="51"/>
      <c r="H532" s="51"/>
      <c r="I532" s="51"/>
      <c r="J532" s="51"/>
      <c r="K532" s="51"/>
      <c r="L532" s="51"/>
      <c r="M532" s="35"/>
      <c r="N532" s="51"/>
      <c r="O532" s="82"/>
      <c r="P532" s="51"/>
      <c r="Q532" s="338">
        <v>1175.04</v>
      </c>
      <c r="R532" s="51">
        <v>7943744.1699999999</v>
      </c>
      <c r="S532" s="51"/>
      <c r="T532" s="338"/>
      <c r="U532" s="51"/>
      <c r="V532" s="35"/>
      <c r="W532" s="364"/>
      <c r="X532" s="141"/>
      <c r="Y532" s="58"/>
      <c r="Z532" s="58"/>
      <c r="AA532" s="58"/>
      <c r="AB532" s="58"/>
      <c r="AC532" s="58"/>
      <c r="AD532" s="58"/>
      <c r="AE532" s="58"/>
      <c r="AF532" s="58"/>
      <c r="AG532" s="58"/>
    </row>
    <row r="533" spans="1:33" x14ac:dyDescent="0.3">
      <c r="A533" s="47">
        <f>A532+1</f>
        <v>465</v>
      </c>
      <c r="B533" s="414" t="s">
        <v>691</v>
      </c>
      <c r="C533" s="51">
        <f>D533+K533+L533+N533+R533+S533+U533+V533+W533</f>
        <v>6575808</v>
      </c>
      <c r="D533" s="51">
        <f>E533+F533+G533+H533+I533</f>
        <v>0</v>
      </c>
      <c r="E533" s="51"/>
      <c r="F533" s="51"/>
      <c r="G533" s="51"/>
      <c r="H533" s="51"/>
      <c r="I533" s="51"/>
      <c r="J533" s="51"/>
      <c r="K533" s="51"/>
      <c r="L533" s="51"/>
      <c r="M533" s="35"/>
      <c r="N533" s="51"/>
      <c r="O533" s="82"/>
      <c r="P533" s="51"/>
      <c r="Q533" s="338">
        <v>1320</v>
      </c>
      <c r="R533" s="51">
        <v>6575808</v>
      </c>
      <c r="S533" s="51"/>
      <c r="T533" s="338"/>
      <c r="U533" s="51"/>
      <c r="V533" s="35"/>
      <c r="W533" s="364"/>
      <c r="X533" s="141"/>
      <c r="Y533" s="58"/>
      <c r="Z533" s="58"/>
      <c r="AA533" s="58"/>
      <c r="AB533" s="58"/>
      <c r="AC533" s="58"/>
      <c r="AD533" s="58"/>
      <c r="AE533" s="58"/>
      <c r="AF533" s="58"/>
      <c r="AG533" s="58"/>
    </row>
    <row r="534" spans="1:33" x14ac:dyDescent="0.3">
      <c r="A534" s="47"/>
      <c r="B534" s="414" t="s">
        <v>211</v>
      </c>
      <c r="C534" s="51">
        <f t="shared" ref="C534:W534" si="125">SUM(C529:C533)</f>
        <v>32992069.630000003</v>
      </c>
      <c r="D534" s="51">
        <f t="shared" si="125"/>
        <v>0</v>
      </c>
      <c r="E534" s="51">
        <f t="shared" si="125"/>
        <v>0</v>
      </c>
      <c r="F534" s="51">
        <f t="shared" si="125"/>
        <v>0</v>
      </c>
      <c r="G534" s="51">
        <f t="shared" si="125"/>
        <v>0</v>
      </c>
      <c r="H534" s="51">
        <f t="shared" si="125"/>
        <v>0</v>
      </c>
      <c r="I534" s="51">
        <f t="shared" si="125"/>
        <v>0</v>
      </c>
      <c r="J534" s="51">
        <f t="shared" si="125"/>
        <v>0</v>
      </c>
      <c r="K534" s="51">
        <f t="shared" si="125"/>
        <v>0</v>
      </c>
      <c r="L534" s="51">
        <f t="shared" si="125"/>
        <v>0</v>
      </c>
      <c r="M534" s="35">
        <f t="shared" si="125"/>
        <v>0</v>
      </c>
      <c r="N534" s="51">
        <f t="shared" si="125"/>
        <v>0</v>
      </c>
      <c r="O534" s="82">
        <f t="shared" si="125"/>
        <v>0</v>
      </c>
      <c r="P534" s="51">
        <f t="shared" si="125"/>
        <v>0</v>
      </c>
      <c r="Q534" s="338">
        <f t="shared" si="125"/>
        <v>6068.1</v>
      </c>
      <c r="R534" s="51">
        <f t="shared" si="125"/>
        <v>32992069.630000003</v>
      </c>
      <c r="S534" s="51">
        <f t="shared" si="125"/>
        <v>0</v>
      </c>
      <c r="T534" s="338">
        <f t="shared" si="125"/>
        <v>0</v>
      </c>
      <c r="U534" s="51">
        <f t="shared" si="125"/>
        <v>0</v>
      </c>
      <c r="V534" s="35">
        <f t="shared" si="125"/>
        <v>0</v>
      </c>
      <c r="W534" s="51">
        <f t="shared" si="125"/>
        <v>0</v>
      </c>
      <c r="X534" s="141"/>
      <c r="Y534" s="65"/>
      <c r="Z534" s="65"/>
      <c r="AA534" s="65"/>
      <c r="AB534" s="65"/>
      <c r="AC534" s="58"/>
      <c r="AD534" s="58"/>
      <c r="AE534" s="58"/>
      <c r="AF534" s="58"/>
      <c r="AG534" s="58"/>
    </row>
    <row r="535" spans="1:33" ht="31.2" x14ac:dyDescent="0.3">
      <c r="A535" s="47"/>
      <c r="B535" s="414" t="s">
        <v>693</v>
      </c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35"/>
      <c r="N535" s="51"/>
      <c r="O535" s="82"/>
      <c r="P535" s="51"/>
      <c r="Q535" s="338"/>
      <c r="R535" s="51"/>
      <c r="S535" s="51"/>
      <c r="T535" s="338"/>
      <c r="U535" s="51"/>
      <c r="V535" s="35"/>
      <c r="W535" s="364"/>
      <c r="X535" s="141"/>
      <c r="Y535" s="65"/>
      <c r="Z535" s="65"/>
      <c r="AA535" s="65"/>
      <c r="AB535" s="65"/>
      <c r="AC535" s="58"/>
      <c r="AD535" s="58"/>
      <c r="AE535" s="58"/>
      <c r="AF535" s="58"/>
      <c r="AG535" s="58"/>
    </row>
    <row r="536" spans="1:33" x14ac:dyDescent="0.3">
      <c r="A536" s="47">
        <f>A533+1</f>
        <v>466</v>
      </c>
      <c r="B536" s="414" t="s">
        <v>694</v>
      </c>
      <c r="C536" s="51">
        <f>D536+K536+L536+N536+R536+S536+U536+V536+W536</f>
        <v>882747.78999999992</v>
      </c>
      <c r="D536" s="51">
        <f>E536+F536+G536+H536+I536</f>
        <v>0</v>
      </c>
      <c r="E536" s="51"/>
      <c r="F536" s="51"/>
      <c r="G536" s="51"/>
      <c r="H536" s="51"/>
      <c r="I536" s="51"/>
      <c r="J536" s="51"/>
      <c r="K536" s="51"/>
      <c r="L536" s="51"/>
      <c r="M536" s="35"/>
      <c r="N536" s="51"/>
      <c r="O536" s="82"/>
      <c r="P536" s="51"/>
      <c r="Q536" s="338"/>
      <c r="R536" s="51"/>
      <c r="S536" s="51"/>
      <c r="T536" s="338"/>
      <c r="U536" s="51"/>
      <c r="V536" s="35"/>
      <c r="W536" s="364">
        <f>SUM(X536:AF536)</f>
        <v>882747.78999999992</v>
      </c>
      <c r="X536" s="144">
        <v>160618.85999999999</v>
      </c>
      <c r="Y536" s="65">
        <v>206336.48</v>
      </c>
      <c r="Z536" s="363">
        <v>157215.1</v>
      </c>
      <c r="AA536" s="65"/>
      <c r="AB536" s="65"/>
      <c r="AC536" s="65">
        <v>358577.35</v>
      </c>
      <c r="AD536" s="65"/>
      <c r="AE536" s="65"/>
      <c r="AF536" s="58"/>
      <c r="AG536" s="58"/>
    </row>
    <row r="537" spans="1:33" x14ac:dyDescent="0.3">
      <c r="A537" s="47">
        <f>A536+1</f>
        <v>467</v>
      </c>
      <c r="B537" s="414" t="s">
        <v>695</v>
      </c>
      <c r="C537" s="51">
        <f>D537+K537+L537+N537+R537+S537+U537+V537+W537</f>
        <v>881600.06</v>
      </c>
      <c r="D537" s="51">
        <f>E537+F537+G537+H537+I537</f>
        <v>0</v>
      </c>
      <c r="E537" s="51"/>
      <c r="F537" s="51"/>
      <c r="G537" s="51"/>
      <c r="H537" s="51"/>
      <c r="I537" s="51"/>
      <c r="J537" s="51"/>
      <c r="K537" s="51"/>
      <c r="L537" s="51"/>
      <c r="M537" s="35"/>
      <c r="N537" s="51"/>
      <c r="O537" s="82"/>
      <c r="P537" s="51"/>
      <c r="Q537" s="338"/>
      <c r="R537" s="51"/>
      <c r="S537" s="51"/>
      <c r="T537" s="338"/>
      <c r="U537" s="51"/>
      <c r="V537" s="35"/>
      <c r="W537" s="364">
        <f>SUM(X537:AF537)</f>
        <v>881600.06</v>
      </c>
      <c r="X537" s="144">
        <v>160381.67000000001</v>
      </c>
      <c r="Y537" s="65">
        <v>206094.98</v>
      </c>
      <c r="Z537" s="65">
        <v>156995.76</v>
      </c>
      <c r="AA537" s="65"/>
      <c r="AB537" s="65"/>
      <c r="AC537" s="65">
        <v>358127.65</v>
      </c>
      <c r="AD537" s="65"/>
      <c r="AE537" s="65"/>
      <c r="AF537" s="58"/>
      <c r="AG537" s="58"/>
    </row>
    <row r="538" spans="1:33" x14ac:dyDescent="0.3">
      <c r="A538" s="47"/>
      <c r="B538" s="414" t="s">
        <v>211</v>
      </c>
      <c r="C538" s="51">
        <f t="shared" ref="C538:W538" si="126">SUM(C536:C537)</f>
        <v>1764347.85</v>
      </c>
      <c r="D538" s="51">
        <f t="shared" si="126"/>
        <v>0</v>
      </c>
      <c r="E538" s="51">
        <f t="shared" si="126"/>
        <v>0</v>
      </c>
      <c r="F538" s="51">
        <f t="shared" si="126"/>
        <v>0</v>
      </c>
      <c r="G538" s="51">
        <f t="shared" si="126"/>
        <v>0</v>
      </c>
      <c r="H538" s="51">
        <f t="shared" si="126"/>
        <v>0</v>
      </c>
      <c r="I538" s="51">
        <f t="shared" si="126"/>
        <v>0</v>
      </c>
      <c r="J538" s="51">
        <f t="shared" si="126"/>
        <v>0</v>
      </c>
      <c r="K538" s="51">
        <f t="shared" si="126"/>
        <v>0</v>
      </c>
      <c r="L538" s="51">
        <f t="shared" si="126"/>
        <v>0</v>
      </c>
      <c r="M538" s="35">
        <f t="shared" si="126"/>
        <v>0</v>
      </c>
      <c r="N538" s="51">
        <f t="shared" si="126"/>
        <v>0</v>
      </c>
      <c r="O538" s="82">
        <f t="shared" si="126"/>
        <v>0</v>
      </c>
      <c r="P538" s="51">
        <f t="shared" si="126"/>
        <v>0</v>
      </c>
      <c r="Q538" s="338">
        <f t="shared" si="126"/>
        <v>0</v>
      </c>
      <c r="R538" s="51">
        <f t="shared" si="126"/>
        <v>0</v>
      </c>
      <c r="S538" s="51">
        <f t="shared" si="126"/>
        <v>0</v>
      </c>
      <c r="T538" s="338">
        <f t="shared" si="126"/>
        <v>0</v>
      </c>
      <c r="U538" s="51">
        <f t="shared" si="126"/>
        <v>0</v>
      </c>
      <c r="V538" s="35">
        <f t="shared" si="126"/>
        <v>0</v>
      </c>
      <c r="W538" s="51">
        <f t="shared" si="126"/>
        <v>1764347.85</v>
      </c>
      <c r="X538" s="144"/>
      <c r="Y538" s="65"/>
      <c r="Z538" s="65"/>
      <c r="AA538" s="65"/>
      <c r="AB538" s="65"/>
      <c r="AC538" s="65"/>
      <c r="AD538" s="65"/>
      <c r="AE538" s="65"/>
      <c r="AF538" s="58"/>
      <c r="AG538" s="58"/>
    </row>
    <row r="539" spans="1:33" ht="31.2" x14ac:dyDescent="0.3">
      <c r="A539" s="47"/>
      <c r="B539" s="414" t="s">
        <v>696</v>
      </c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35"/>
      <c r="N539" s="51"/>
      <c r="O539" s="82"/>
      <c r="P539" s="51"/>
      <c r="Q539" s="338"/>
      <c r="R539" s="51"/>
      <c r="S539" s="51"/>
      <c r="T539" s="338"/>
      <c r="U539" s="51"/>
      <c r="V539" s="35"/>
      <c r="W539" s="364"/>
      <c r="X539" s="144"/>
      <c r="Y539" s="65"/>
      <c r="Z539" s="65"/>
      <c r="AA539" s="65"/>
      <c r="AB539" s="65"/>
      <c r="AC539" s="65"/>
      <c r="AD539" s="65"/>
      <c r="AE539" s="65"/>
      <c r="AF539" s="58"/>
      <c r="AG539" s="58"/>
    </row>
    <row r="540" spans="1:33" x14ac:dyDescent="0.3">
      <c r="A540" s="47">
        <f>A537+1</f>
        <v>468</v>
      </c>
      <c r="B540" s="414" t="s">
        <v>697</v>
      </c>
      <c r="C540" s="51">
        <f t="shared" ref="C540:C545" si="127">D540+K540+L540+N540+R540+S540+U540+V540+W540</f>
        <v>3737983.2</v>
      </c>
      <c r="D540" s="51">
        <f t="shared" ref="D540:D545" si="128">E540+F540+G540+H540+I540</f>
        <v>0</v>
      </c>
      <c r="E540" s="51"/>
      <c r="F540" s="51"/>
      <c r="G540" s="51"/>
      <c r="H540" s="51"/>
      <c r="I540" s="51"/>
      <c r="J540" s="51"/>
      <c r="K540" s="51"/>
      <c r="L540" s="51"/>
      <c r="M540" s="35"/>
      <c r="N540" s="51"/>
      <c r="O540" s="82"/>
      <c r="P540" s="51"/>
      <c r="Q540" s="338"/>
      <c r="R540" s="51"/>
      <c r="S540" s="51"/>
      <c r="T540" s="338">
        <v>3114.4</v>
      </c>
      <c r="U540" s="51">
        <v>3737983.2</v>
      </c>
      <c r="V540" s="35"/>
      <c r="W540" s="364"/>
      <c r="X540" s="141"/>
      <c r="Y540" s="58"/>
      <c r="Z540" s="58"/>
      <c r="AA540" s="58"/>
      <c r="AB540" s="58"/>
      <c r="AC540" s="58"/>
      <c r="AD540" s="58"/>
      <c r="AE540" s="58"/>
      <c r="AF540" s="58"/>
      <c r="AG540" s="58"/>
    </row>
    <row r="541" spans="1:33" x14ac:dyDescent="0.3">
      <c r="A541" s="47">
        <f>A540+1</f>
        <v>469</v>
      </c>
      <c r="B541" s="414" t="s">
        <v>698</v>
      </c>
      <c r="C541" s="51">
        <f t="shared" si="127"/>
        <v>4217968.8</v>
      </c>
      <c r="D541" s="51">
        <f t="shared" si="128"/>
        <v>0</v>
      </c>
      <c r="E541" s="51"/>
      <c r="F541" s="51"/>
      <c r="G541" s="51"/>
      <c r="H541" s="51"/>
      <c r="I541" s="51"/>
      <c r="J541" s="51"/>
      <c r="K541" s="51"/>
      <c r="L541" s="51"/>
      <c r="M541" s="35"/>
      <c r="N541" s="51"/>
      <c r="O541" s="82"/>
      <c r="P541" s="51"/>
      <c r="Q541" s="338"/>
      <c r="R541" s="51"/>
      <c r="S541" s="51"/>
      <c r="T541" s="338">
        <v>4364.8999999999996</v>
      </c>
      <c r="U541" s="51">
        <v>4217968.8</v>
      </c>
      <c r="V541" s="35"/>
      <c r="W541" s="364"/>
      <c r="X541" s="141"/>
      <c r="Y541" s="58"/>
      <c r="Z541" s="58"/>
      <c r="AA541" s="58"/>
      <c r="AB541" s="58"/>
      <c r="AC541" s="58"/>
      <c r="AD541" s="58"/>
      <c r="AE541" s="58"/>
      <c r="AF541" s="58"/>
      <c r="AG541" s="58"/>
    </row>
    <row r="542" spans="1:33" x14ac:dyDescent="0.3">
      <c r="A542" s="47">
        <f>A541+1</f>
        <v>470</v>
      </c>
      <c r="B542" s="414" t="s">
        <v>700</v>
      </c>
      <c r="C542" s="51">
        <f t="shared" si="127"/>
        <v>4211682</v>
      </c>
      <c r="D542" s="51">
        <f t="shared" si="128"/>
        <v>0</v>
      </c>
      <c r="E542" s="51"/>
      <c r="F542" s="51"/>
      <c r="G542" s="51"/>
      <c r="H542" s="51"/>
      <c r="I542" s="51"/>
      <c r="J542" s="51"/>
      <c r="K542" s="51"/>
      <c r="L542" s="51"/>
      <c r="M542" s="35"/>
      <c r="N542" s="51"/>
      <c r="O542" s="82"/>
      <c r="P542" s="51"/>
      <c r="Q542" s="338"/>
      <c r="R542" s="51"/>
      <c r="S542" s="51"/>
      <c r="T542" s="338">
        <v>4029.9</v>
      </c>
      <c r="U542" s="51">
        <v>4211682</v>
      </c>
      <c r="V542" s="35"/>
      <c r="W542" s="364"/>
      <c r="X542" s="141"/>
      <c r="Y542" s="58"/>
      <c r="Z542" s="58"/>
      <c r="AA542" s="58"/>
      <c r="AB542" s="58"/>
      <c r="AC542" s="58"/>
      <c r="AD542" s="58"/>
      <c r="AE542" s="58"/>
      <c r="AF542" s="58"/>
      <c r="AG542" s="58"/>
    </row>
    <row r="543" spans="1:33" x14ac:dyDescent="0.3">
      <c r="A543" s="47">
        <f>A542+1</f>
        <v>471</v>
      </c>
      <c r="B543" s="414" t="s">
        <v>701</v>
      </c>
      <c r="C543" s="51">
        <f t="shared" si="127"/>
        <v>130000</v>
      </c>
      <c r="D543" s="51">
        <f t="shared" si="128"/>
        <v>0</v>
      </c>
      <c r="E543" s="51"/>
      <c r="F543" s="51"/>
      <c r="G543" s="51"/>
      <c r="H543" s="51"/>
      <c r="I543" s="51"/>
      <c r="J543" s="51"/>
      <c r="K543" s="51"/>
      <c r="L543" s="51"/>
      <c r="M543" s="35"/>
      <c r="N543" s="51"/>
      <c r="O543" s="82"/>
      <c r="P543" s="51"/>
      <c r="Q543" s="338"/>
      <c r="R543" s="51"/>
      <c r="S543" s="51"/>
      <c r="T543" s="338"/>
      <c r="U543" s="51"/>
      <c r="V543" s="35"/>
      <c r="W543" s="364">
        <v>130000</v>
      </c>
      <c r="X543" s="141"/>
      <c r="Y543" s="58"/>
      <c r="Z543" s="58"/>
      <c r="AA543" s="58"/>
      <c r="AB543" s="58"/>
      <c r="AC543" s="58"/>
      <c r="AD543" s="58"/>
      <c r="AE543" s="58"/>
      <c r="AF543" s="58"/>
      <c r="AG543" s="58"/>
    </row>
    <row r="544" spans="1:33" x14ac:dyDescent="0.3">
      <c r="A544" s="47">
        <f>A543+1</f>
        <v>472</v>
      </c>
      <c r="B544" s="414" t="s">
        <v>702</v>
      </c>
      <c r="C544" s="51">
        <f t="shared" si="127"/>
        <v>444026.45000000007</v>
      </c>
      <c r="D544" s="51">
        <f t="shared" si="128"/>
        <v>0</v>
      </c>
      <c r="E544" s="51"/>
      <c r="F544" s="51"/>
      <c r="G544" s="51"/>
      <c r="H544" s="51"/>
      <c r="I544" s="51"/>
      <c r="J544" s="51"/>
      <c r="K544" s="51"/>
      <c r="L544" s="51"/>
      <c r="M544" s="35"/>
      <c r="N544" s="51"/>
      <c r="O544" s="82"/>
      <c r="P544" s="51"/>
      <c r="Q544" s="338"/>
      <c r="R544" s="51"/>
      <c r="S544" s="51"/>
      <c r="T544" s="338"/>
      <c r="U544" s="51"/>
      <c r="V544" s="35"/>
      <c r="W544" s="364">
        <f>SUM(X544:AF544)</f>
        <v>444026.45000000007</v>
      </c>
      <c r="X544" s="144">
        <v>155933.92000000001</v>
      </c>
      <c r="Y544" s="65"/>
      <c r="Z544" s="65"/>
      <c r="AA544" s="65"/>
      <c r="AB544" s="65"/>
      <c r="AC544" s="65">
        <v>288092.53000000003</v>
      </c>
      <c r="AD544" s="65"/>
      <c r="AE544" s="65"/>
      <c r="AF544" s="58"/>
      <c r="AG544" s="58"/>
    </row>
    <row r="545" spans="1:33" x14ac:dyDescent="0.3">
      <c r="A545" s="47">
        <f>A544+1</f>
        <v>473</v>
      </c>
      <c r="B545" s="414" t="s">
        <v>703</v>
      </c>
      <c r="C545" s="51">
        <f t="shared" si="127"/>
        <v>504169.01</v>
      </c>
      <c r="D545" s="51">
        <f t="shared" si="128"/>
        <v>0</v>
      </c>
      <c r="E545" s="51"/>
      <c r="F545" s="51"/>
      <c r="G545" s="51"/>
      <c r="H545" s="51"/>
      <c r="I545" s="51"/>
      <c r="J545" s="51"/>
      <c r="K545" s="51"/>
      <c r="L545" s="51"/>
      <c r="M545" s="35"/>
      <c r="N545" s="51"/>
      <c r="O545" s="82"/>
      <c r="P545" s="51"/>
      <c r="Q545" s="338"/>
      <c r="R545" s="51"/>
      <c r="S545" s="51"/>
      <c r="T545" s="338"/>
      <c r="U545" s="51"/>
      <c r="V545" s="35"/>
      <c r="W545" s="364">
        <f>SUM(X545:AF545)</f>
        <v>504169.01</v>
      </c>
      <c r="X545" s="144"/>
      <c r="Y545" s="65"/>
      <c r="Z545" s="65"/>
      <c r="AA545" s="65">
        <v>161888.01999999999</v>
      </c>
      <c r="AB545" s="65"/>
      <c r="AC545" s="65">
        <v>342280.99</v>
      </c>
      <c r="AD545" s="65"/>
      <c r="AE545" s="65"/>
      <c r="AF545" s="58"/>
      <c r="AG545" s="58"/>
    </row>
    <row r="546" spans="1:33" x14ac:dyDescent="0.3">
      <c r="A546" s="47"/>
      <c r="B546" s="414" t="s">
        <v>211</v>
      </c>
      <c r="C546" s="51">
        <f t="shared" ref="C546:W546" si="129">SUM(C540:C545)</f>
        <v>13245829.459999999</v>
      </c>
      <c r="D546" s="51">
        <f t="shared" si="129"/>
        <v>0</v>
      </c>
      <c r="E546" s="51">
        <f t="shared" si="129"/>
        <v>0</v>
      </c>
      <c r="F546" s="51">
        <f t="shared" si="129"/>
        <v>0</v>
      </c>
      <c r="G546" s="51">
        <f t="shared" si="129"/>
        <v>0</v>
      </c>
      <c r="H546" s="51">
        <f t="shared" si="129"/>
        <v>0</v>
      </c>
      <c r="I546" s="51">
        <f t="shared" si="129"/>
        <v>0</v>
      </c>
      <c r="J546" s="51">
        <f t="shared" si="129"/>
        <v>0</v>
      </c>
      <c r="K546" s="51">
        <f t="shared" si="129"/>
        <v>0</v>
      </c>
      <c r="L546" s="51">
        <f t="shared" si="129"/>
        <v>0</v>
      </c>
      <c r="M546" s="35">
        <f t="shared" si="129"/>
        <v>0</v>
      </c>
      <c r="N546" s="51">
        <f t="shared" si="129"/>
        <v>0</v>
      </c>
      <c r="O546" s="82">
        <f t="shared" si="129"/>
        <v>0</v>
      </c>
      <c r="P546" s="51">
        <f t="shared" si="129"/>
        <v>0</v>
      </c>
      <c r="Q546" s="338">
        <f t="shared" si="129"/>
        <v>0</v>
      </c>
      <c r="R546" s="51">
        <f t="shared" si="129"/>
        <v>0</v>
      </c>
      <c r="S546" s="51">
        <f t="shared" si="129"/>
        <v>0</v>
      </c>
      <c r="T546" s="338">
        <f t="shared" si="129"/>
        <v>11509.199999999999</v>
      </c>
      <c r="U546" s="51">
        <f t="shared" si="129"/>
        <v>12167634</v>
      </c>
      <c r="V546" s="35">
        <f t="shared" si="129"/>
        <v>0</v>
      </c>
      <c r="W546" s="51">
        <f t="shared" si="129"/>
        <v>1078195.46</v>
      </c>
      <c r="X546" s="144"/>
      <c r="Y546" s="65"/>
      <c r="Z546" s="65"/>
      <c r="AA546" s="65"/>
      <c r="AB546" s="65"/>
      <c r="AC546" s="65"/>
      <c r="AD546" s="65"/>
      <c r="AE546" s="65"/>
      <c r="AF546" s="58"/>
      <c r="AG546" s="58"/>
    </row>
    <row r="547" spans="1:33" ht="31.2" x14ac:dyDescent="0.3">
      <c r="A547" s="47"/>
      <c r="B547" s="414" t="s">
        <v>704</v>
      </c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35"/>
      <c r="N547" s="51"/>
      <c r="O547" s="82"/>
      <c r="P547" s="51"/>
      <c r="Q547" s="338"/>
      <c r="R547" s="51"/>
      <c r="S547" s="51"/>
      <c r="T547" s="338"/>
      <c r="U547" s="51"/>
      <c r="V547" s="35"/>
      <c r="W547" s="364"/>
      <c r="X547" s="144"/>
      <c r="Y547" s="65"/>
      <c r="Z547" s="65"/>
      <c r="AA547" s="65"/>
      <c r="AB547" s="65"/>
      <c r="AC547" s="65"/>
      <c r="AD547" s="65"/>
      <c r="AE547" s="65"/>
      <c r="AF547" s="58"/>
      <c r="AG547" s="58"/>
    </row>
    <row r="548" spans="1:33" x14ac:dyDescent="0.3">
      <c r="A548" s="47">
        <f>A545+1</f>
        <v>474</v>
      </c>
      <c r="B548" s="414" t="s">
        <v>705</v>
      </c>
      <c r="C548" s="51">
        <f t="shared" ref="C548:C579" si="130">D548+K548+L548+N548+R548+S548+U548+V548+W548</f>
        <v>606587.30000000005</v>
      </c>
      <c r="D548" s="51">
        <f t="shared" ref="D548:D579" si="131">E548+F548+G548+H548+I548</f>
        <v>0</v>
      </c>
      <c r="E548" s="51"/>
      <c r="F548" s="51"/>
      <c r="G548" s="51"/>
      <c r="H548" s="51"/>
      <c r="I548" s="51"/>
      <c r="J548" s="51"/>
      <c r="K548" s="51"/>
      <c r="L548" s="51"/>
      <c r="M548" s="35"/>
      <c r="N548" s="51"/>
      <c r="O548" s="82"/>
      <c r="P548" s="51"/>
      <c r="Q548" s="338"/>
      <c r="R548" s="51"/>
      <c r="S548" s="51"/>
      <c r="T548" s="338"/>
      <c r="U548" s="51"/>
      <c r="V548" s="35"/>
      <c r="W548" s="364">
        <f t="shared" ref="W548:W579" si="132">SUM(X548:AF548)</f>
        <v>606587.30000000005</v>
      </c>
      <c r="X548" s="144">
        <v>95393.35</v>
      </c>
      <c r="Y548" s="63">
        <v>109997.24</v>
      </c>
      <c r="Z548" s="476">
        <v>95981.96</v>
      </c>
      <c r="AA548" s="525"/>
      <c r="AB548" s="63">
        <v>90843.29</v>
      </c>
      <c r="AC548" s="63">
        <v>214371.46</v>
      </c>
      <c r="AD548" s="63"/>
      <c r="AE548" s="63"/>
      <c r="AF548" s="63"/>
      <c r="AG548" s="58"/>
    </row>
    <row r="549" spans="1:33" x14ac:dyDescent="0.3">
      <c r="A549" s="47">
        <f t="shared" ref="A549:A580" si="133">A548+1</f>
        <v>475</v>
      </c>
      <c r="B549" s="414" t="s">
        <v>706</v>
      </c>
      <c r="C549" s="51">
        <f t="shared" si="130"/>
        <v>483382.1</v>
      </c>
      <c r="D549" s="51">
        <f t="shared" si="131"/>
        <v>0</v>
      </c>
      <c r="E549" s="51"/>
      <c r="F549" s="51"/>
      <c r="G549" s="51"/>
      <c r="H549" s="51"/>
      <c r="I549" s="51"/>
      <c r="J549" s="51"/>
      <c r="K549" s="51"/>
      <c r="L549" s="51"/>
      <c r="M549" s="35"/>
      <c r="N549" s="51"/>
      <c r="O549" s="82"/>
      <c r="P549" s="51"/>
      <c r="Q549" s="338"/>
      <c r="R549" s="51"/>
      <c r="S549" s="51"/>
      <c r="T549" s="338"/>
      <c r="U549" s="51"/>
      <c r="V549" s="35"/>
      <c r="W549" s="364">
        <f t="shared" si="132"/>
        <v>483382.1</v>
      </c>
      <c r="X549" s="144"/>
      <c r="Y549" s="63">
        <v>113267.22</v>
      </c>
      <c r="Z549" s="478">
        <v>99092.32</v>
      </c>
      <c r="AA549" s="518"/>
      <c r="AB549" s="63">
        <v>93953.64</v>
      </c>
      <c r="AC549" s="63">
        <v>177068.92</v>
      </c>
      <c r="AD549" s="63"/>
      <c r="AE549" s="63"/>
      <c r="AF549" s="63"/>
      <c r="AG549" s="58"/>
    </row>
    <row r="550" spans="1:33" x14ac:dyDescent="0.3">
      <c r="A550" s="47">
        <f t="shared" si="133"/>
        <v>476</v>
      </c>
      <c r="B550" s="414" t="s">
        <v>707</v>
      </c>
      <c r="C550" s="51">
        <f t="shared" si="130"/>
        <v>1125914.0699999998</v>
      </c>
      <c r="D550" s="51">
        <f t="shared" si="131"/>
        <v>0</v>
      </c>
      <c r="E550" s="51"/>
      <c r="F550" s="51"/>
      <c r="G550" s="51"/>
      <c r="H550" s="51"/>
      <c r="I550" s="51"/>
      <c r="J550" s="51"/>
      <c r="K550" s="51"/>
      <c r="L550" s="51"/>
      <c r="M550" s="35"/>
      <c r="N550" s="51"/>
      <c r="O550" s="82"/>
      <c r="P550" s="51"/>
      <c r="Q550" s="338"/>
      <c r="R550" s="51"/>
      <c r="S550" s="51"/>
      <c r="T550" s="338"/>
      <c r="U550" s="51"/>
      <c r="V550" s="35"/>
      <c r="W550" s="364">
        <f t="shared" si="132"/>
        <v>1125914.0699999998</v>
      </c>
      <c r="X550" s="144">
        <v>174120.37</v>
      </c>
      <c r="Y550" s="63">
        <v>225469.19</v>
      </c>
      <c r="Z550" s="478">
        <v>190699.78</v>
      </c>
      <c r="AA550" s="518"/>
      <c r="AB550" s="63">
        <v>176311.48</v>
      </c>
      <c r="AC550" s="63">
        <v>359313.25</v>
      </c>
      <c r="AD550" s="63"/>
      <c r="AE550" s="63"/>
      <c r="AF550" s="63"/>
      <c r="AG550" s="58"/>
    </row>
    <row r="551" spans="1:33" x14ac:dyDescent="0.3">
      <c r="A551" s="47">
        <f t="shared" si="133"/>
        <v>477</v>
      </c>
      <c r="B551" s="414" t="s">
        <v>708</v>
      </c>
      <c r="C551" s="51">
        <f t="shared" si="130"/>
        <v>2009036</v>
      </c>
      <c r="D551" s="51">
        <f t="shared" si="131"/>
        <v>0</v>
      </c>
      <c r="E551" s="51"/>
      <c r="F551" s="51"/>
      <c r="G551" s="51"/>
      <c r="H551" s="51"/>
      <c r="I551" s="51"/>
      <c r="J551" s="51"/>
      <c r="K551" s="51"/>
      <c r="L551" s="51"/>
      <c r="M551" s="35"/>
      <c r="N551" s="51"/>
      <c r="O551" s="82"/>
      <c r="P551" s="51"/>
      <c r="Q551" s="338"/>
      <c r="R551" s="51"/>
      <c r="S551" s="51"/>
      <c r="T551" s="338"/>
      <c r="U551" s="51"/>
      <c r="V551" s="35"/>
      <c r="W551" s="364">
        <f t="shared" si="132"/>
        <v>2009036</v>
      </c>
      <c r="X551" s="144">
        <v>332918.23</v>
      </c>
      <c r="Y551" s="63">
        <v>404689.32</v>
      </c>
      <c r="Z551" s="478">
        <v>352578.5</v>
      </c>
      <c r="AA551" s="518"/>
      <c r="AB551" s="63">
        <v>326371.26</v>
      </c>
      <c r="AC551" s="63">
        <v>592478.68999999994</v>
      </c>
      <c r="AD551" s="63"/>
      <c r="AE551" s="63"/>
      <c r="AF551" s="63"/>
      <c r="AG551" s="58"/>
    </row>
    <row r="552" spans="1:33" x14ac:dyDescent="0.3">
      <c r="A552" s="47">
        <f t="shared" si="133"/>
        <v>478</v>
      </c>
      <c r="B552" s="414" t="s">
        <v>709</v>
      </c>
      <c r="C552" s="51">
        <f t="shared" si="130"/>
        <v>2051025.13</v>
      </c>
      <c r="D552" s="51">
        <f t="shared" si="131"/>
        <v>0</v>
      </c>
      <c r="E552" s="51"/>
      <c r="F552" s="51"/>
      <c r="G552" s="51"/>
      <c r="H552" s="51"/>
      <c r="I552" s="51"/>
      <c r="J552" s="51"/>
      <c r="K552" s="51"/>
      <c r="L552" s="51"/>
      <c r="M552" s="35"/>
      <c r="N552" s="51"/>
      <c r="O552" s="82"/>
      <c r="P552" s="51"/>
      <c r="Q552" s="338"/>
      <c r="R552" s="51"/>
      <c r="S552" s="51"/>
      <c r="T552" s="338"/>
      <c r="U552" s="51"/>
      <c r="V552" s="35"/>
      <c r="W552" s="364">
        <f t="shared" si="132"/>
        <v>2051025.13</v>
      </c>
      <c r="X552" s="144">
        <v>343487.41</v>
      </c>
      <c r="Y552" s="63">
        <v>412951.93</v>
      </c>
      <c r="Z552" s="478">
        <v>363400.96000000002</v>
      </c>
      <c r="AA552" s="518"/>
      <c r="AB552" s="63">
        <v>337193.71</v>
      </c>
      <c r="AC552" s="63">
        <v>593991.12</v>
      </c>
      <c r="AD552" s="63"/>
      <c r="AE552" s="63"/>
      <c r="AF552" s="63"/>
      <c r="AG552" s="58"/>
    </row>
    <row r="553" spans="1:33" x14ac:dyDescent="0.3">
      <c r="A553" s="47">
        <f t="shared" si="133"/>
        <v>479</v>
      </c>
      <c r="B553" s="414" t="s">
        <v>710</v>
      </c>
      <c r="C553" s="51">
        <f t="shared" si="130"/>
        <v>866119.42</v>
      </c>
      <c r="D553" s="51">
        <f t="shared" si="131"/>
        <v>0</v>
      </c>
      <c r="E553" s="51"/>
      <c r="F553" s="51"/>
      <c r="G553" s="51"/>
      <c r="H553" s="51"/>
      <c r="I553" s="51"/>
      <c r="J553" s="51"/>
      <c r="K553" s="51"/>
      <c r="L553" s="51"/>
      <c r="M553" s="35"/>
      <c r="N553" s="51"/>
      <c r="O553" s="82"/>
      <c r="P553" s="51"/>
      <c r="Q553" s="338"/>
      <c r="R553" s="51"/>
      <c r="S553" s="51"/>
      <c r="T553" s="338"/>
      <c r="U553" s="51"/>
      <c r="V553" s="35"/>
      <c r="W553" s="364">
        <f t="shared" si="132"/>
        <v>866119.42</v>
      </c>
      <c r="X553" s="144">
        <v>121987.74</v>
      </c>
      <c r="Y553" s="63">
        <v>201625.81</v>
      </c>
      <c r="Z553" s="478">
        <v>129427.31</v>
      </c>
      <c r="AA553" s="518"/>
      <c r="AB553" s="63">
        <v>164231.94</v>
      </c>
      <c r="AC553" s="63">
        <v>248846.62</v>
      </c>
      <c r="AD553" s="63"/>
      <c r="AE553" s="63"/>
      <c r="AF553" s="63"/>
      <c r="AG553" s="58"/>
    </row>
    <row r="554" spans="1:33" x14ac:dyDescent="0.3">
      <c r="A554" s="47">
        <f t="shared" si="133"/>
        <v>480</v>
      </c>
      <c r="B554" s="414" t="s">
        <v>711</v>
      </c>
      <c r="C554" s="51">
        <f t="shared" si="130"/>
        <v>881987.27</v>
      </c>
      <c r="D554" s="51">
        <f t="shared" si="131"/>
        <v>0</v>
      </c>
      <c r="E554" s="51"/>
      <c r="F554" s="51"/>
      <c r="G554" s="51"/>
      <c r="H554" s="51"/>
      <c r="I554" s="51"/>
      <c r="J554" s="51"/>
      <c r="K554" s="51"/>
      <c r="L554" s="51"/>
      <c r="M554" s="35"/>
      <c r="N554" s="51"/>
      <c r="O554" s="82"/>
      <c r="P554" s="51"/>
      <c r="Q554" s="338"/>
      <c r="R554" s="51"/>
      <c r="S554" s="51"/>
      <c r="T554" s="338"/>
      <c r="U554" s="51"/>
      <c r="V554" s="35"/>
      <c r="W554" s="364">
        <f t="shared" si="132"/>
        <v>881987.27</v>
      </c>
      <c r="X554" s="144">
        <v>130724.92</v>
      </c>
      <c r="Y554" s="63">
        <v>215219.59</v>
      </c>
      <c r="Z554" s="478">
        <v>138729.89000000001</v>
      </c>
      <c r="AA554" s="518"/>
      <c r="AB554" s="63">
        <v>131021.88</v>
      </c>
      <c r="AC554" s="63">
        <v>266290.99</v>
      </c>
      <c r="AD554" s="63"/>
      <c r="AE554" s="63"/>
      <c r="AF554" s="63"/>
      <c r="AG554" s="58"/>
    </row>
    <row r="555" spans="1:33" x14ac:dyDescent="0.3">
      <c r="A555" s="47">
        <f t="shared" si="133"/>
        <v>481</v>
      </c>
      <c r="B555" s="414" t="s">
        <v>712</v>
      </c>
      <c r="C555" s="51">
        <f t="shared" si="130"/>
        <v>1272852.31</v>
      </c>
      <c r="D555" s="51">
        <f t="shared" si="131"/>
        <v>0</v>
      </c>
      <c r="E555" s="51"/>
      <c r="F555" s="51"/>
      <c r="G555" s="51"/>
      <c r="H555" s="51"/>
      <c r="I555" s="51"/>
      <c r="J555" s="51"/>
      <c r="K555" s="51"/>
      <c r="L555" s="51"/>
      <c r="M555" s="35"/>
      <c r="N555" s="51"/>
      <c r="O555" s="82"/>
      <c r="P555" s="51"/>
      <c r="Q555" s="338"/>
      <c r="R555" s="51"/>
      <c r="S555" s="51"/>
      <c r="T555" s="338"/>
      <c r="U555" s="51"/>
      <c r="V555" s="35"/>
      <c r="W555" s="364">
        <f t="shared" si="132"/>
        <v>1272852.31</v>
      </c>
      <c r="X555" s="144">
        <v>208262.27</v>
      </c>
      <c r="Y555" s="63">
        <v>263156.88</v>
      </c>
      <c r="Z555" s="478">
        <v>220625.52</v>
      </c>
      <c r="AA555" s="518"/>
      <c r="AB555" s="63">
        <v>202640.16</v>
      </c>
      <c r="AC555" s="63">
        <v>378167.48</v>
      </c>
      <c r="AD555" s="63"/>
      <c r="AE555" s="63"/>
      <c r="AF555" s="63"/>
      <c r="AG555" s="58"/>
    </row>
    <row r="556" spans="1:33" x14ac:dyDescent="0.3">
      <c r="A556" s="47">
        <f t="shared" si="133"/>
        <v>482</v>
      </c>
      <c r="B556" s="414" t="s">
        <v>713</v>
      </c>
      <c r="C556" s="51">
        <f t="shared" si="130"/>
        <v>1507637.5299999998</v>
      </c>
      <c r="D556" s="51">
        <f t="shared" si="131"/>
        <v>0</v>
      </c>
      <c r="E556" s="51"/>
      <c r="F556" s="51"/>
      <c r="G556" s="51"/>
      <c r="H556" s="51"/>
      <c r="I556" s="51"/>
      <c r="J556" s="51"/>
      <c r="K556" s="51"/>
      <c r="L556" s="51"/>
      <c r="M556" s="35"/>
      <c r="N556" s="51"/>
      <c r="O556" s="82"/>
      <c r="P556" s="51"/>
      <c r="Q556" s="338"/>
      <c r="R556" s="51"/>
      <c r="S556" s="51"/>
      <c r="T556" s="338"/>
      <c r="U556" s="51"/>
      <c r="V556" s="35"/>
      <c r="W556" s="364">
        <f t="shared" si="132"/>
        <v>1507637.5299999998</v>
      </c>
      <c r="X556" s="144">
        <v>245931.77</v>
      </c>
      <c r="Y556" s="63">
        <v>307932.94</v>
      </c>
      <c r="Z556" s="478">
        <v>263568.13</v>
      </c>
      <c r="AA556" s="518"/>
      <c r="AB556" s="63">
        <v>241471.82</v>
      </c>
      <c r="AC556" s="63">
        <v>448732.87</v>
      </c>
      <c r="AD556" s="63"/>
      <c r="AE556" s="63"/>
      <c r="AF556" s="63"/>
      <c r="AG556" s="58"/>
    </row>
    <row r="557" spans="1:33" x14ac:dyDescent="0.3">
      <c r="A557" s="47">
        <f t="shared" si="133"/>
        <v>483</v>
      </c>
      <c r="B557" s="414" t="s">
        <v>714</v>
      </c>
      <c r="C557" s="51">
        <f t="shared" si="130"/>
        <v>1728418.89</v>
      </c>
      <c r="D557" s="51">
        <f t="shared" si="131"/>
        <v>0</v>
      </c>
      <c r="E557" s="51"/>
      <c r="F557" s="51"/>
      <c r="G557" s="51"/>
      <c r="H557" s="51"/>
      <c r="I557" s="51"/>
      <c r="J557" s="51"/>
      <c r="K557" s="51"/>
      <c r="L557" s="51"/>
      <c r="M557" s="35"/>
      <c r="N557" s="51"/>
      <c r="O557" s="82"/>
      <c r="P557" s="51"/>
      <c r="Q557" s="338"/>
      <c r="R557" s="51"/>
      <c r="S557" s="51"/>
      <c r="T557" s="338"/>
      <c r="U557" s="51"/>
      <c r="V557" s="35"/>
      <c r="W557" s="364">
        <f t="shared" si="132"/>
        <v>1728418.89</v>
      </c>
      <c r="X557" s="144">
        <v>285298.78999999998</v>
      </c>
      <c r="Y557" s="63">
        <v>351965.24</v>
      </c>
      <c r="Z557" s="478">
        <v>299810.23</v>
      </c>
      <c r="AA557" s="518"/>
      <c r="AB557" s="63">
        <v>277713.91999999998</v>
      </c>
      <c r="AC557" s="63">
        <v>513630.71</v>
      </c>
      <c r="AD557" s="63"/>
      <c r="AE557" s="63"/>
      <c r="AF557" s="63"/>
      <c r="AG557" s="58"/>
    </row>
    <row r="558" spans="1:33" x14ac:dyDescent="0.3">
      <c r="A558" s="47">
        <f t="shared" si="133"/>
        <v>484</v>
      </c>
      <c r="B558" s="414" t="s">
        <v>715</v>
      </c>
      <c r="C558" s="51">
        <f t="shared" si="130"/>
        <v>1303215.33</v>
      </c>
      <c r="D558" s="51">
        <f t="shared" si="131"/>
        <v>0</v>
      </c>
      <c r="E558" s="51"/>
      <c r="F558" s="51"/>
      <c r="G558" s="51"/>
      <c r="H558" s="51"/>
      <c r="I558" s="51"/>
      <c r="J558" s="51"/>
      <c r="K558" s="51"/>
      <c r="L558" s="51"/>
      <c r="M558" s="35"/>
      <c r="N558" s="51"/>
      <c r="O558" s="82"/>
      <c r="P558" s="51"/>
      <c r="Q558" s="338"/>
      <c r="R558" s="51"/>
      <c r="S558" s="51"/>
      <c r="T558" s="338"/>
      <c r="U558" s="51"/>
      <c r="V558" s="35"/>
      <c r="W558" s="364">
        <f t="shared" si="132"/>
        <v>1303215.33</v>
      </c>
      <c r="X558" s="144">
        <v>211566.49</v>
      </c>
      <c r="Y558" s="63">
        <v>272300.53999999998</v>
      </c>
      <c r="Z558" s="478">
        <v>222895.08</v>
      </c>
      <c r="AA558" s="518"/>
      <c r="AB558" s="63">
        <v>204909.72</v>
      </c>
      <c r="AC558" s="63">
        <v>391543.5</v>
      </c>
      <c r="AD558" s="63"/>
      <c r="AE558" s="63"/>
      <c r="AF558" s="63"/>
      <c r="AG558" s="58"/>
    </row>
    <row r="559" spans="1:33" x14ac:dyDescent="0.3">
      <c r="A559" s="47">
        <f t="shared" si="133"/>
        <v>485</v>
      </c>
      <c r="B559" s="414" t="s">
        <v>716</v>
      </c>
      <c r="C559" s="51">
        <f t="shared" si="130"/>
        <v>1056494.76</v>
      </c>
      <c r="D559" s="51">
        <f t="shared" si="131"/>
        <v>0</v>
      </c>
      <c r="E559" s="51"/>
      <c r="F559" s="51"/>
      <c r="G559" s="51"/>
      <c r="H559" s="51"/>
      <c r="I559" s="51"/>
      <c r="J559" s="51"/>
      <c r="K559" s="51"/>
      <c r="L559" s="51"/>
      <c r="M559" s="35"/>
      <c r="N559" s="51"/>
      <c r="O559" s="82"/>
      <c r="P559" s="51"/>
      <c r="Q559" s="338"/>
      <c r="R559" s="51"/>
      <c r="S559" s="51"/>
      <c r="T559" s="338"/>
      <c r="U559" s="51"/>
      <c r="V559" s="35"/>
      <c r="W559" s="364">
        <f t="shared" si="132"/>
        <v>1056494.76</v>
      </c>
      <c r="X559" s="144">
        <v>169923.94</v>
      </c>
      <c r="Y559" s="63">
        <v>224780.74</v>
      </c>
      <c r="Z559" s="478">
        <v>176740.28</v>
      </c>
      <c r="AA559" s="518"/>
      <c r="AB559" s="63">
        <v>162352</v>
      </c>
      <c r="AC559" s="63">
        <v>322697.8</v>
      </c>
      <c r="AD559" s="63"/>
      <c r="AE559" s="63"/>
      <c r="AF559" s="63"/>
      <c r="AG559" s="58"/>
    </row>
    <row r="560" spans="1:33" x14ac:dyDescent="0.3">
      <c r="A560" s="47">
        <f t="shared" si="133"/>
        <v>486</v>
      </c>
      <c r="B560" s="414" t="s">
        <v>717</v>
      </c>
      <c r="C560" s="51">
        <f t="shared" si="130"/>
        <v>1057250.6599999999</v>
      </c>
      <c r="D560" s="51">
        <f t="shared" si="131"/>
        <v>0</v>
      </c>
      <c r="E560" s="51"/>
      <c r="F560" s="51"/>
      <c r="G560" s="51"/>
      <c r="H560" s="51"/>
      <c r="I560" s="51"/>
      <c r="J560" s="51"/>
      <c r="K560" s="51"/>
      <c r="L560" s="51"/>
      <c r="M560" s="35"/>
      <c r="N560" s="51"/>
      <c r="O560" s="82"/>
      <c r="P560" s="51"/>
      <c r="Q560" s="338"/>
      <c r="R560" s="51"/>
      <c r="S560" s="51"/>
      <c r="T560" s="338"/>
      <c r="U560" s="51"/>
      <c r="V560" s="35"/>
      <c r="W560" s="364">
        <f t="shared" si="132"/>
        <v>1057250.6599999999</v>
      </c>
      <c r="X560" s="144">
        <v>170083.96</v>
      </c>
      <c r="Y560" s="63">
        <v>224815.03</v>
      </c>
      <c r="Z560" s="478">
        <v>176888.45</v>
      </c>
      <c r="AA560" s="518"/>
      <c r="AB560" s="63">
        <v>162500.15</v>
      </c>
      <c r="AC560" s="63">
        <v>322963.07</v>
      </c>
      <c r="AD560" s="63"/>
      <c r="AE560" s="63"/>
      <c r="AF560" s="63"/>
      <c r="AG560" s="58"/>
    </row>
    <row r="561" spans="1:33" x14ac:dyDescent="0.3">
      <c r="A561" s="47">
        <f t="shared" si="133"/>
        <v>487</v>
      </c>
      <c r="B561" s="414" t="s">
        <v>718</v>
      </c>
      <c r="C561" s="51">
        <f t="shared" si="130"/>
        <v>1736641.91</v>
      </c>
      <c r="D561" s="51">
        <f t="shared" si="131"/>
        <v>0</v>
      </c>
      <c r="E561" s="51"/>
      <c r="F561" s="51"/>
      <c r="G561" s="51"/>
      <c r="H561" s="51"/>
      <c r="I561" s="51"/>
      <c r="J561" s="51"/>
      <c r="K561" s="51"/>
      <c r="L561" s="51"/>
      <c r="M561" s="35"/>
      <c r="N561" s="51"/>
      <c r="O561" s="82"/>
      <c r="P561" s="51"/>
      <c r="Q561" s="338"/>
      <c r="R561" s="51"/>
      <c r="S561" s="51"/>
      <c r="T561" s="338"/>
      <c r="U561" s="51"/>
      <c r="V561" s="35"/>
      <c r="W561" s="364">
        <f t="shared" si="132"/>
        <v>1736641.91</v>
      </c>
      <c r="X561" s="144">
        <v>289142.48</v>
      </c>
      <c r="Y561" s="63">
        <v>353863.63</v>
      </c>
      <c r="Z561" s="478">
        <v>304270.46000000002</v>
      </c>
      <c r="AA561" s="518"/>
      <c r="AB561" s="63">
        <v>282174.15999999997</v>
      </c>
      <c r="AC561" s="63">
        <v>507191.18</v>
      </c>
      <c r="AD561" s="63"/>
      <c r="AE561" s="63"/>
      <c r="AF561" s="63"/>
      <c r="AG561" s="58"/>
    </row>
    <row r="562" spans="1:33" x14ac:dyDescent="0.3">
      <c r="A562" s="47">
        <f t="shared" si="133"/>
        <v>488</v>
      </c>
      <c r="B562" s="414" t="s">
        <v>719</v>
      </c>
      <c r="C562" s="51">
        <f t="shared" si="130"/>
        <v>1761491.2599999998</v>
      </c>
      <c r="D562" s="51">
        <f t="shared" si="131"/>
        <v>0</v>
      </c>
      <c r="E562" s="51"/>
      <c r="F562" s="51"/>
      <c r="G562" s="51"/>
      <c r="H562" s="51"/>
      <c r="I562" s="51"/>
      <c r="J562" s="51"/>
      <c r="K562" s="51"/>
      <c r="L562" s="51"/>
      <c r="M562" s="35"/>
      <c r="N562" s="51"/>
      <c r="O562" s="82"/>
      <c r="P562" s="51"/>
      <c r="Q562" s="338"/>
      <c r="R562" s="51"/>
      <c r="S562" s="51"/>
      <c r="T562" s="338"/>
      <c r="U562" s="51"/>
      <c r="V562" s="35"/>
      <c r="W562" s="364">
        <f t="shared" si="132"/>
        <v>1761491.2599999998</v>
      </c>
      <c r="X562" s="144">
        <v>194211.59</v>
      </c>
      <c r="Y562" s="63">
        <v>373684.75</v>
      </c>
      <c r="Z562" s="478">
        <v>324789.12</v>
      </c>
      <c r="AA562" s="518"/>
      <c r="AB562" s="63">
        <v>326088.88</v>
      </c>
      <c r="AC562" s="63">
        <v>542716.92000000004</v>
      </c>
      <c r="AD562" s="63"/>
      <c r="AE562" s="63"/>
      <c r="AF562" s="63"/>
      <c r="AG562" s="58"/>
    </row>
    <row r="563" spans="1:33" x14ac:dyDescent="0.3">
      <c r="A563" s="47">
        <f t="shared" si="133"/>
        <v>489</v>
      </c>
      <c r="B563" s="414" t="s">
        <v>720</v>
      </c>
      <c r="C563" s="51">
        <f t="shared" si="130"/>
        <v>1275278.1400000001</v>
      </c>
      <c r="D563" s="51">
        <f t="shared" si="131"/>
        <v>0</v>
      </c>
      <c r="E563" s="51"/>
      <c r="F563" s="51"/>
      <c r="G563" s="51"/>
      <c r="H563" s="51"/>
      <c r="I563" s="51"/>
      <c r="J563" s="51"/>
      <c r="K563" s="51"/>
      <c r="L563" s="51"/>
      <c r="M563" s="35"/>
      <c r="N563" s="51"/>
      <c r="O563" s="82"/>
      <c r="P563" s="51"/>
      <c r="Q563" s="338"/>
      <c r="R563" s="51"/>
      <c r="S563" s="51"/>
      <c r="T563" s="338"/>
      <c r="U563" s="51"/>
      <c r="V563" s="35"/>
      <c r="W563" s="364">
        <f t="shared" si="132"/>
        <v>1275278.1400000001</v>
      </c>
      <c r="X563" s="144">
        <v>198797.8</v>
      </c>
      <c r="Y563" s="63">
        <v>301337.63</v>
      </c>
      <c r="Z563" s="478">
        <v>201450.48</v>
      </c>
      <c r="AA563" s="518"/>
      <c r="AB563" s="63">
        <v>193742.47</v>
      </c>
      <c r="AC563" s="63">
        <v>379949.76</v>
      </c>
      <c r="AD563" s="63"/>
      <c r="AE563" s="63"/>
      <c r="AF563" s="63"/>
      <c r="AG563" s="58"/>
    </row>
    <row r="564" spans="1:33" x14ac:dyDescent="0.3">
      <c r="A564" s="47">
        <f t="shared" si="133"/>
        <v>490</v>
      </c>
      <c r="B564" s="414" t="s">
        <v>721</v>
      </c>
      <c r="C564" s="51">
        <f t="shared" si="130"/>
        <v>2229261.1999999997</v>
      </c>
      <c r="D564" s="51">
        <f t="shared" si="131"/>
        <v>0</v>
      </c>
      <c r="E564" s="51"/>
      <c r="F564" s="51"/>
      <c r="G564" s="51"/>
      <c r="H564" s="51"/>
      <c r="I564" s="51"/>
      <c r="J564" s="51"/>
      <c r="K564" s="51"/>
      <c r="L564" s="51"/>
      <c r="M564" s="35"/>
      <c r="N564" s="51"/>
      <c r="O564" s="82"/>
      <c r="P564" s="51"/>
      <c r="Q564" s="338"/>
      <c r="R564" s="51"/>
      <c r="S564" s="51"/>
      <c r="T564" s="338"/>
      <c r="U564" s="51"/>
      <c r="V564" s="35"/>
      <c r="W564" s="364">
        <f t="shared" si="132"/>
        <v>2229261.1999999997</v>
      </c>
      <c r="X564" s="144">
        <v>390640.01</v>
      </c>
      <c r="Y564" s="63">
        <v>465431.77</v>
      </c>
      <c r="Z564" s="478">
        <v>407794.18</v>
      </c>
      <c r="AA564" s="518"/>
      <c r="AB564" s="63">
        <v>343050.11</v>
      </c>
      <c r="AC564" s="63">
        <v>622345.13</v>
      </c>
      <c r="AD564" s="63"/>
      <c r="AE564" s="63"/>
      <c r="AF564" s="63"/>
      <c r="AG564" s="58"/>
    </row>
    <row r="565" spans="1:33" x14ac:dyDescent="0.3">
      <c r="A565" s="47">
        <f t="shared" si="133"/>
        <v>491</v>
      </c>
      <c r="B565" s="414" t="s">
        <v>722</v>
      </c>
      <c r="C565" s="51">
        <f t="shared" si="130"/>
        <v>1781774.68</v>
      </c>
      <c r="D565" s="51">
        <f t="shared" si="131"/>
        <v>0</v>
      </c>
      <c r="E565" s="51"/>
      <c r="F565" s="51"/>
      <c r="G565" s="51"/>
      <c r="H565" s="51"/>
      <c r="I565" s="51"/>
      <c r="J565" s="51"/>
      <c r="K565" s="51"/>
      <c r="L565" s="51"/>
      <c r="M565" s="35"/>
      <c r="N565" s="51"/>
      <c r="O565" s="82"/>
      <c r="P565" s="51"/>
      <c r="Q565" s="338"/>
      <c r="R565" s="51"/>
      <c r="S565" s="51"/>
      <c r="T565" s="338"/>
      <c r="U565" s="51"/>
      <c r="V565" s="35"/>
      <c r="W565" s="364">
        <f t="shared" si="132"/>
        <v>1781774.68</v>
      </c>
      <c r="X565" s="144">
        <v>332918.23</v>
      </c>
      <c r="Y565" s="63">
        <v>373684.75</v>
      </c>
      <c r="Z565" s="478">
        <v>352578.5</v>
      </c>
      <c r="AA565" s="518"/>
      <c r="AB565" s="63">
        <v>130114.51</v>
      </c>
      <c r="AC565" s="63">
        <v>592478.68999999994</v>
      </c>
      <c r="AD565" s="63"/>
      <c r="AE565" s="63"/>
      <c r="AF565" s="63"/>
      <c r="AG565" s="58"/>
    </row>
    <row r="566" spans="1:33" x14ac:dyDescent="0.3">
      <c r="A566" s="47">
        <f t="shared" si="133"/>
        <v>492</v>
      </c>
      <c r="B566" s="414" t="s">
        <v>723</v>
      </c>
      <c r="C566" s="51">
        <f t="shared" si="130"/>
        <v>1956326.31</v>
      </c>
      <c r="D566" s="51">
        <f t="shared" si="131"/>
        <v>0</v>
      </c>
      <c r="E566" s="51"/>
      <c r="F566" s="51"/>
      <c r="G566" s="51"/>
      <c r="H566" s="51"/>
      <c r="I566" s="51"/>
      <c r="J566" s="51"/>
      <c r="K566" s="51"/>
      <c r="L566" s="51"/>
      <c r="M566" s="35"/>
      <c r="N566" s="51"/>
      <c r="O566" s="82"/>
      <c r="P566" s="51"/>
      <c r="Q566" s="338"/>
      <c r="R566" s="51"/>
      <c r="S566" s="51"/>
      <c r="T566" s="338"/>
      <c r="U566" s="51"/>
      <c r="V566" s="35"/>
      <c r="W566" s="364">
        <f t="shared" si="132"/>
        <v>1956326.31</v>
      </c>
      <c r="X566" s="144">
        <v>323476.40000000002</v>
      </c>
      <c r="Y566" s="63">
        <v>394850.28</v>
      </c>
      <c r="Z566" s="478">
        <v>343759.81</v>
      </c>
      <c r="AA566" s="518"/>
      <c r="AB566" s="63">
        <v>317552.57</v>
      </c>
      <c r="AC566" s="63">
        <v>576687.25</v>
      </c>
      <c r="AD566" s="63"/>
      <c r="AE566" s="63"/>
      <c r="AF566" s="63"/>
      <c r="AG566" s="58"/>
    </row>
    <row r="567" spans="1:33" x14ac:dyDescent="0.3">
      <c r="A567" s="47">
        <f t="shared" si="133"/>
        <v>493</v>
      </c>
      <c r="B567" s="414" t="s">
        <v>724</v>
      </c>
      <c r="C567" s="51">
        <f t="shared" si="130"/>
        <v>961644.70000000007</v>
      </c>
      <c r="D567" s="51">
        <f t="shared" si="131"/>
        <v>0</v>
      </c>
      <c r="E567" s="51"/>
      <c r="F567" s="51"/>
      <c r="G567" s="51"/>
      <c r="H567" s="51"/>
      <c r="I567" s="51"/>
      <c r="J567" s="51"/>
      <c r="K567" s="51"/>
      <c r="L567" s="51"/>
      <c r="M567" s="35"/>
      <c r="N567" s="51"/>
      <c r="O567" s="82"/>
      <c r="P567" s="51"/>
      <c r="Q567" s="338"/>
      <c r="R567" s="51"/>
      <c r="S567" s="51"/>
      <c r="T567" s="338"/>
      <c r="U567" s="51"/>
      <c r="V567" s="35"/>
      <c r="W567" s="364">
        <f t="shared" si="132"/>
        <v>961644.70000000007</v>
      </c>
      <c r="X567" s="144">
        <v>146140.04</v>
      </c>
      <c r="Y567" s="63">
        <v>234056.53</v>
      </c>
      <c r="Z567" s="478">
        <v>152701.25</v>
      </c>
      <c r="AA567" s="518"/>
      <c r="AB567" s="63">
        <v>141396.16</v>
      </c>
      <c r="AC567" s="63">
        <v>287350.71999999997</v>
      </c>
      <c r="AD567" s="63"/>
      <c r="AE567" s="63"/>
      <c r="AF567" s="63"/>
      <c r="AG567" s="58"/>
    </row>
    <row r="568" spans="1:33" x14ac:dyDescent="0.3">
      <c r="A568" s="47">
        <f t="shared" si="133"/>
        <v>494</v>
      </c>
      <c r="B568" s="414" t="s">
        <v>725</v>
      </c>
      <c r="C568" s="51">
        <f t="shared" si="130"/>
        <v>671350.09000000008</v>
      </c>
      <c r="D568" s="51">
        <f t="shared" si="131"/>
        <v>0</v>
      </c>
      <c r="E568" s="51"/>
      <c r="F568" s="51"/>
      <c r="G568" s="51"/>
      <c r="H568" s="51"/>
      <c r="I568" s="51"/>
      <c r="J568" s="51"/>
      <c r="K568" s="51"/>
      <c r="L568" s="51"/>
      <c r="M568" s="35"/>
      <c r="N568" s="51"/>
      <c r="O568" s="82"/>
      <c r="P568" s="51"/>
      <c r="Q568" s="338"/>
      <c r="R568" s="51"/>
      <c r="S568" s="51"/>
      <c r="T568" s="338"/>
      <c r="U568" s="51"/>
      <c r="V568" s="35"/>
      <c r="W568" s="364">
        <f t="shared" si="132"/>
        <v>671350.09000000008</v>
      </c>
      <c r="X568" s="144">
        <v>106596.14</v>
      </c>
      <c r="Y568" s="63">
        <v>130500.01</v>
      </c>
      <c r="Z568" s="478">
        <v>109366.62</v>
      </c>
      <c r="AA568" s="518"/>
      <c r="AB568" s="63">
        <v>104227.94</v>
      </c>
      <c r="AC568" s="63">
        <v>220659.38</v>
      </c>
      <c r="AD568" s="63"/>
      <c r="AE568" s="63"/>
      <c r="AF568" s="63"/>
      <c r="AG568" s="58"/>
    </row>
    <row r="569" spans="1:33" x14ac:dyDescent="0.3">
      <c r="A569" s="47">
        <f t="shared" si="133"/>
        <v>495</v>
      </c>
      <c r="B569" s="414" t="s">
        <v>726</v>
      </c>
      <c r="C569" s="51">
        <f t="shared" si="130"/>
        <v>637810.30000000005</v>
      </c>
      <c r="D569" s="51">
        <f t="shared" si="131"/>
        <v>0</v>
      </c>
      <c r="E569" s="51"/>
      <c r="F569" s="51"/>
      <c r="G569" s="51"/>
      <c r="H569" s="51"/>
      <c r="I569" s="51"/>
      <c r="J569" s="51"/>
      <c r="K569" s="51"/>
      <c r="L569" s="51"/>
      <c r="M569" s="35"/>
      <c r="N569" s="51"/>
      <c r="O569" s="82"/>
      <c r="P569" s="51"/>
      <c r="Q569" s="338"/>
      <c r="R569" s="51"/>
      <c r="S569" s="51"/>
      <c r="T569" s="338"/>
      <c r="U569" s="51"/>
      <c r="V569" s="35"/>
      <c r="W569" s="364">
        <f t="shared" si="132"/>
        <v>637810.30000000005</v>
      </c>
      <c r="X569" s="144">
        <v>104588.14</v>
      </c>
      <c r="Y569" s="63">
        <v>128469.16</v>
      </c>
      <c r="Z569" s="478">
        <v>107463.46</v>
      </c>
      <c r="AA569" s="518"/>
      <c r="AB569" s="63">
        <v>102324.78</v>
      </c>
      <c r="AC569" s="63">
        <v>194964.76</v>
      </c>
      <c r="AD569" s="63"/>
      <c r="AE569" s="63"/>
      <c r="AF569" s="63"/>
      <c r="AG569" s="58"/>
    </row>
    <row r="570" spans="1:33" x14ac:dyDescent="0.3">
      <c r="A570" s="47">
        <f t="shared" si="133"/>
        <v>496</v>
      </c>
      <c r="B570" s="414" t="s">
        <v>727</v>
      </c>
      <c r="C570" s="51">
        <f t="shared" si="130"/>
        <v>645776.47</v>
      </c>
      <c r="D570" s="51">
        <f t="shared" si="131"/>
        <v>0</v>
      </c>
      <c r="E570" s="51"/>
      <c r="F570" s="51"/>
      <c r="G570" s="51"/>
      <c r="H570" s="51"/>
      <c r="I570" s="51"/>
      <c r="J570" s="51"/>
      <c r="K570" s="51"/>
      <c r="L570" s="51"/>
      <c r="M570" s="35"/>
      <c r="N570" s="51"/>
      <c r="O570" s="82"/>
      <c r="P570" s="51"/>
      <c r="Q570" s="338"/>
      <c r="R570" s="51"/>
      <c r="S570" s="51"/>
      <c r="T570" s="338"/>
      <c r="U570" s="51"/>
      <c r="V570" s="35"/>
      <c r="W570" s="364">
        <f t="shared" si="132"/>
        <v>645776.47</v>
      </c>
      <c r="X570" s="144">
        <v>106041.24</v>
      </c>
      <c r="Y570" s="63">
        <v>129938.86</v>
      </c>
      <c r="Z570" s="478">
        <v>108840.74</v>
      </c>
      <c r="AA570" s="518"/>
      <c r="AB570" s="63">
        <v>103702.07</v>
      </c>
      <c r="AC570" s="63">
        <v>197253.56</v>
      </c>
      <c r="AD570" s="63"/>
      <c r="AE570" s="63"/>
      <c r="AF570" s="63"/>
      <c r="AG570" s="58"/>
    </row>
    <row r="571" spans="1:33" x14ac:dyDescent="0.3">
      <c r="A571" s="47">
        <f t="shared" si="133"/>
        <v>497</v>
      </c>
      <c r="B571" s="414" t="s">
        <v>728</v>
      </c>
      <c r="C571" s="51">
        <f t="shared" si="130"/>
        <v>650411.64</v>
      </c>
      <c r="D571" s="51">
        <f t="shared" si="131"/>
        <v>0</v>
      </c>
      <c r="E571" s="51"/>
      <c r="F571" s="51"/>
      <c r="G571" s="51"/>
      <c r="H571" s="51"/>
      <c r="I571" s="51"/>
      <c r="J571" s="51"/>
      <c r="K571" s="51"/>
      <c r="L571" s="51"/>
      <c r="M571" s="35"/>
      <c r="N571" s="51"/>
      <c r="O571" s="82"/>
      <c r="P571" s="51"/>
      <c r="Q571" s="338"/>
      <c r="R571" s="51"/>
      <c r="S571" s="51"/>
      <c r="T571" s="338"/>
      <c r="U571" s="51"/>
      <c r="V571" s="35"/>
      <c r="W571" s="364">
        <f t="shared" si="132"/>
        <v>650411.64</v>
      </c>
      <c r="X571" s="144">
        <v>106887</v>
      </c>
      <c r="Y571" s="63">
        <v>130793.95</v>
      </c>
      <c r="Z571" s="478">
        <v>109642.06</v>
      </c>
      <c r="AA571" s="518"/>
      <c r="AB571" s="63">
        <v>104503.38</v>
      </c>
      <c r="AC571" s="63">
        <v>198585.25</v>
      </c>
      <c r="AD571" s="63"/>
      <c r="AE571" s="63"/>
      <c r="AF571" s="63"/>
      <c r="AG571" s="58"/>
    </row>
    <row r="572" spans="1:33" x14ac:dyDescent="0.3">
      <c r="A572" s="47">
        <f t="shared" si="133"/>
        <v>498</v>
      </c>
      <c r="B572" s="414" t="s">
        <v>729</v>
      </c>
      <c r="C572" s="51">
        <f t="shared" si="130"/>
        <v>777422.59</v>
      </c>
      <c r="D572" s="51">
        <f t="shared" si="131"/>
        <v>0</v>
      </c>
      <c r="E572" s="51"/>
      <c r="F572" s="51"/>
      <c r="G572" s="51"/>
      <c r="H572" s="51"/>
      <c r="I572" s="51"/>
      <c r="J572" s="51"/>
      <c r="K572" s="51"/>
      <c r="L572" s="51"/>
      <c r="M572" s="35"/>
      <c r="N572" s="51"/>
      <c r="O572" s="82"/>
      <c r="P572" s="51"/>
      <c r="Q572" s="338"/>
      <c r="R572" s="51"/>
      <c r="S572" s="51"/>
      <c r="T572" s="338"/>
      <c r="U572" s="51"/>
      <c r="V572" s="35"/>
      <c r="W572" s="364">
        <f t="shared" si="132"/>
        <v>777422.59</v>
      </c>
      <c r="X572" s="144">
        <v>117234.64</v>
      </c>
      <c r="Y572" s="63">
        <v>191364.72</v>
      </c>
      <c r="Z572" s="478">
        <v>122815.49</v>
      </c>
      <c r="AA572" s="518"/>
      <c r="AB572" s="63">
        <v>111510.39999999999</v>
      </c>
      <c r="AC572" s="63">
        <v>234497.34</v>
      </c>
      <c r="AD572" s="63"/>
      <c r="AE572" s="63"/>
      <c r="AF572" s="63"/>
      <c r="AG572" s="58"/>
    </row>
    <row r="573" spans="1:33" x14ac:dyDescent="0.3">
      <c r="A573" s="47">
        <f t="shared" si="133"/>
        <v>499</v>
      </c>
      <c r="B573" s="414" t="s">
        <v>730</v>
      </c>
      <c r="C573" s="51">
        <f t="shared" si="130"/>
        <v>924937.8600000001</v>
      </c>
      <c r="D573" s="51">
        <f t="shared" si="131"/>
        <v>0</v>
      </c>
      <c r="E573" s="51"/>
      <c r="F573" s="51"/>
      <c r="G573" s="51"/>
      <c r="H573" s="51"/>
      <c r="I573" s="51"/>
      <c r="J573" s="51"/>
      <c r="K573" s="51"/>
      <c r="L573" s="51"/>
      <c r="M573" s="35"/>
      <c r="N573" s="51"/>
      <c r="O573" s="82"/>
      <c r="P573" s="51"/>
      <c r="Q573" s="338"/>
      <c r="R573" s="51"/>
      <c r="S573" s="51"/>
      <c r="T573" s="338"/>
      <c r="U573" s="51"/>
      <c r="V573" s="35"/>
      <c r="W573" s="364">
        <f t="shared" si="132"/>
        <v>924937.8600000001</v>
      </c>
      <c r="X573" s="144">
        <v>128457.13</v>
      </c>
      <c r="Y573" s="63">
        <v>227602.91</v>
      </c>
      <c r="Z573" s="478">
        <v>203705.1</v>
      </c>
      <c r="AA573" s="518"/>
      <c r="AB573" s="63">
        <v>126417.18</v>
      </c>
      <c r="AC573" s="63">
        <v>238755.54</v>
      </c>
      <c r="AD573" s="63"/>
      <c r="AE573" s="63"/>
      <c r="AF573" s="63"/>
      <c r="AG573" s="58"/>
    </row>
    <row r="574" spans="1:33" x14ac:dyDescent="0.3">
      <c r="A574" s="47">
        <f t="shared" si="133"/>
        <v>500</v>
      </c>
      <c r="B574" s="414" t="s">
        <v>731</v>
      </c>
      <c r="C574" s="51">
        <f t="shared" si="130"/>
        <v>1423675.51</v>
      </c>
      <c r="D574" s="51">
        <f t="shared" si="131"/>
        <v>0</v>
      </c>
      <c r="E574" s="51"/>
      <c r="F574" s="51"/>
      <c r="G574" s="51"/>
      <c r="H574" s="51"/>
      <c r="I574" s="51"/>
      <c r="J574" s="51"/>
      <c r="K574" s="51"/>
      <c r="L574" s="51"/>
      <c r="M574" s="35"/>
      <c r="N574" s="51"/>
      <c r="O574" s="82"/>
      <c r="P574" s="51"/>
      <c r="Q574" s="338"/>
      <c r="R574" s="51"/>
      <c r="S574" s="51"/>
      <c r="T574" s="338"/>
      <c r="U574" s="51"/>
      <c r="V574" s="35"/>
      <c r="W574" s="364">
        <f t="shared" si="132"/>
        <v>1423675.51</v>
      </c>
      <c r="X574" s="144">
        <v>230779.33</v>
      </c>
      <c r="Y574" s="63">
        <v>292285.78000000003</v>
      </c>
      <c r="Z574" s="478">
        <v>249543.6</v>
      </c>
      <c r="AA574" s="518"/>
      <c r="AB574" s="63">
        <v>227447.3</v>
      </c>
      <c r="AC574" s="63">
        <v>423619.5</v>
      </c>
      <c r="AD574" s="63"/>
      <c r="AE574" s="63"/>
      <c r="AF574" s="63"/>
      <c r="AG574" s="58"/>
    </row>
    <row r="575" spans="1:33" x14ac:dyDescent="0.3">
      <c r="A575" s="47">
        <f t="shared" si="133"/>
        <v>501</v>
      </c>
      <c r="B575" s="414" t="s">
        <v>732</v>
      </c>
      <c r="C575" s="51">
        <f t="shared" si="130"/>
        <v>1686311.3199999998</v>
      </c>
      <c r="D575" s="51">
        <f t="shared" si="131"/>
        <v>0</v>
      </c>
      <c r="E575" s="51"/>
      <c r="F575" s="51"/>
      <c r="G575" s="51"/>
      <c r="H575" s="51"/>
      <c r="I575" s="51"/>
      <c r="J575" s="51"/>
      <c r="K575" s="51"/>
      <c r="L575" s="51"/>
      <c r="M575" s="35"/>
      <c r="N575" s="51"/>
      <c r="O575" s="82"/>
      <c r="P575" s="51"/>
      <c r="Q575" s="338"/>
      <c r="R575" s="51"/>
      <c r="S575" s="51"/>
      <c r="T575" s="338"/>
      <c r="U575" s="51"/>
      <c r="V575" s="35"/>
      <c r="W575" s="364">
        <f t="shared" si="132"/>
        <v>1686311.3199999998</v>
      </c>
      <c r="X575" s="144">
        <v>261105.68</v>
      </c>
      <c r="Y575" s="63">
        <v>398987.76</v>
      </c>
      <c r="Z575" s="478">
        <v>281517.78000000003</v>
      </c>
      <c r="AA575" s="518"/>
      <c r="AB575" s="63">
        <v>259421.47</v>
      </c>
      <c r="AC575" s="63">
        <v>485278.63</v>
      </c>
      <c r="AD575" s="63"/>
      <c r="AE575" s="63"/>
      <c r="AF575" s="63"/>
      <c r="AG575" s="58"/>
    </row>
    <row r="576" spans="1:33" x14ac:dyDescent="0.3">
      <c r="A576" s="47">
        <f t="shared" si="133"/>
        <v>502</v>
      </c>
      <c r="B576" s="414" t="s">
        <v>733</v>
      </c>
      <c r="C576" s="51">
        <f t="shared" si="130"/>
        <v>706477</v>
      </c>
      <c r="D576" s="51">
        <f t="shared" si="131"/>
        <v>0</v>
      </c>
      <c r="E576" s="51"/>
      <c r="F576" s="51"/>
      <c r="G576" s="51"/>
      <c r="H576" s="51"/>
      <c r="I576" s="51"/>
      <c r="J576" s="51"/>
      <c r="K576" s="51"/>
      <c r="L576" s="51"/>
      <c r="M576" s="35"/>
      <c r="N576" s="51"/>
      <c r="O576" s="82"/>
      <c r="P576" s="51"/>
      <c r="Q576" s="338"/>
      <c r="R576" s="51"/>
      <c r="S576" s="51"/>
      <c r="T576" s="338"/>
      <c r="U576" s="51"/>
      <c r="V576" s="35"/>
      <c r="W576" s="364">
        <f t="shared" si="132"/>
        <v>706477</v>
      </c>
      <c r="X576" s="144">
        <v>108872.83</v>
      </c>
      <c r="Y576" s="63">
        <v>137239.03</v>
      </c>
      <c r="Z576" s="478">
        <v>146084.66</v>
      </c>
      <c r="AA576" s="518"/>
      <c r="AB576" s="63">
        <v>110013.56</v>
      </c>
      <c r="AC576" s="63">
        <v>204266.92</v>
      </c>
      <c r="AD576" s="63"/>
      <c r="AE576" s="63"/>
      <c r="AF576" s="63"/>
      <c r="AG576" s="58"/>
    </row>
    <row r="577" spans="1:33" x14ac:dyDescent="0.3">
      <c r="A577" s="47">
        <f t="shared" si="133"/>
        <v>503</v>
      </c>
      <c r="B577" s="414" t="s">
        <v>734</v>
      </c>
      <c r="C577" s="51">
        <f t="shared" si="130"/>
        <v>1034712.19</v>
      </c>
      <c r="D577" s="51">
        <f t="shared" si="131"/>
        <v>0</v>
      </c>
      <c r="E577" s="51"/>
      <c r="F577" s="51"/>
      <c r="G577" s="51"/>
      <c r="H577" s="51"/>
      <c r="I577" s="51"/>
      <c r="J577" s="51"/>
      <c r="K577" s="51"/>
      <c r="L577" s="51"/>
      <c r="M577" s="35"/>
      <c r="N577" s="51"/>
      <c r="O577" s="82"/>
      <c r="P577" s="51"/>
      <c r="Q577" s="338"/>
      <c r="R577" s="51"/>
      <c r="S577" s="51"/>
      <c r="T577" s="338"/>
      <c r="U577" s="51"/>
      <c r="V577" s="35"/>
      <c r="W577" s="364">
        <f t="shared" si="132"/>
        <v>1034712.19</v>
      </c>
      <c r="X577" s="144">
        <v>161977.85</v>
      </c>
      <c r="Y577" s="63">
        <v>248922.25</v>
      </c>
      <c r="Z577" s="478">
        <v>149617.21</v>
      </c>
      <c r="AA577" s="518"/>
      <c r="AB577" s="63">
        <v>159797.75</v>
      </c>
      <c r="AC577" s="63">
        <v>314397.13</v>
      </c>
      <c r="AD577" s="63"/>
      <c r="AE577" s="63"/>
      <c r="AF577" s="63"/>
      <c r="AG577" s="58"/>
    </row>
    <row r="578" spans="1:33" x14ac:dyDescent="0.3">
      <c r="A578" s="47">
        <f t="shared" si="133"/>
        <v>504</v>
      </c>
      <c r="B578" s="414" t="s">
        <v>735</v>
      </c>
      <c r="C578" s="51">
        <f t="shared" si="130"/>
        <v>633971.85999999987</v>
      </c>
      <c r="D578" s="51">
        <f t="shared" si="131"/>
        <v>0</v>
      </c>
      <c r="E578" s="51"/>
      <c r="F578" s="51"/>
      <c r="G578" s="51"/>
      <c r="H578" s="51"/>
      <c r="I578" s="51"/>
      <c r="J578" s="51"/>
      <c r="K578" s="51"/>
      <c r="L578" s="51"/>
      <c r="M578" s="35"/>
      <c r="N578" s="51"/>
      <c r="O578" s="82"/>
      <c r="P578" s="51"/>
      <c r="Q578" s="338"/>
      <c r="R578" s="51"/>
      <c r="S578" s="51"/>
      <c r="T578" s="338"/>
      <c r="U578" s="51"/>
      <c r="V578" s="35"/>
      <c r="W578" s="364">
        <f t="shared" si="132"/>
        <v>633971.85999999987</v>
      </c>
      <c r="X578" s="144">
        <v>105036.65</v>
      </c>
      <c r="Y578" s="63">
        <v>123443.51</v>
      </c>
      <c r="Z578" s="478">
        <v>108613.4</v>
      </c>
      <c r="AA578" s="518"/>
      <c r="AB578" s="63">
        <v>103474.73</v>
      </c>
      <c r="AC578" s="63">
        <v>193403.57</v>
      </c>
      <c r="AD578" s="63"/>
      <c r="AE578" s="63"/>
      <c r="AF578" s="63"/>
      <c r="AG578" s="58"/>
    </row>
    <row r="579" spans="1:33" x14ac:dyDescent="0.3">
      <c r="A579" s="47">
        <f t="shared" si="133"/>
        <v>505</v>
      </c>
      <c r="B579" s="414" t="s">
        <v>736</v>
      </c>
      <c r="C579" s="51">
        <f t="shared" si="130"/>
        <v>723954.71</v>
      </c>
      <c r="D579" s="51">
        <f t="shared" si="131"/>
        <v>0</v>
      </c>
      <c r="E579" s="51"/>
      <c r="F579" s="51"/>
      <c r="G579" s="51"/>
      <c r="H579" s="51"/>
      <c r="I579" s="51"/>
      <c r="J579" s="51"/>
      <c r="K579" s="51"/>
      <c r="L579" s="51"/>
      <c r="M579" s="35"/>
      <c r="N579" s="51"/>
      <c r="O579" s="82"/>
      <c r="P579" s="51"/>
      <c r="Q579" s="338"/>
      <c r="R579" s="51"/>
      <c r="S579" s="51"/>
      <c r="T579" s="338"/>
      <c r="U579" s="51"/>
      <c r="V579" s="35"/>
      <c r="W579" s="364">
        <f t="shared" si="132"/>
        <v>723954.71</v>
      </c>
      <c r="X579" s="144">
        <v>108215.28</v>
      </c>
      <c r="Y579" s="63">
        <v>148263.22</v>
      </c>
      <c r="Z579" s="478">
        <v>116251.15</v>
      </c>
      <c r="AA579" s="518"/>
      <c r="AB579" s="63">
        <v>110329.55</v>
      </c>
      <c r="AC579" s="63">
        <v>240895.51</v>
      </c>
      <c r="AD579" s="63"/>
      <c r="AE579" s="63"/>
      <c r="AF579" s="63"/>
      <c r="AG579" s="58"/>
    </row>
    <row r="580" spans="1:33" x14ac:dyDescent="0.3">
      <c r="A580" s="47">
        <f t="shared" si="133"/>
        <v>506</v>
      </c>
      <c r="B580" s="414" t="s">
        <v>737</v>
      </c>
      <c r="C580" s="51">
        <f t="shared" ref="C580:C610" si="134">D580+K580+L580+N580+R580+S580+U580+V580+W580</f>
        <v>1115169.3999999999</v>
      </c>
      <c r="D580" s="51">
        <f t="shared" ref="D580:D610" si="135">E580+F580+G580+H580+I580</f>
        <v>0</v>
      </c>
      <c r="E580" s="51"/>
      <c r="F580" s="51"/>
      <c r="G580" s="51"/>
      <c r="H580" s="51"/>
      <c r="I580" s="51"/>
      <c r="J580" s="51"/>
      <c r="K580" s="51"/>
      <c r="L580" s="51"/>
      <c r="M580" s="35"/>
      <c r="N580" s="51"/>
      <c r="O580" s="82"/>
      <c r="P580" s="51"/>
      <c r="Q580" s="338"/>
      <c r="R580" s="51"/>
      <c r="S580" s="51"/>
      <c r="T580" s="338"/>
      <c r="U580" s="51"/>
      <c r="V580" s="35"/>
      <c r="W580" s="364">
        <f t="shared" ref="W580:W610" si="136">SUM(X580:AF580)</f>
        <v>1115169.3999999999</v>
      </c>
      <c r="X580" s="144">
        <v>188593.08</v>
      </c>
      <c r="Y580" s="63">
        <v>214229.29</v>
      </c>
      <c r="Z580" s="478">
        <v>185410.75</v>
      </c>
      <c r="AA580" s="518"/>
      <c r="AB580" s="63">
        <v>171022.46</v>
      </c>
      <c r="AC580" s="63">
        <v>355913.82</v>
      </c>
      <c r="AD580" s="63"/>
      <c r="AE580" s="63"/>
      <c r="AF580" s="63"/>
      <c r="AG580" s="58"/>
    </row>
    <row r="581" spans="1:33" x14ac:dyDescent="0.3">
      <c r="A581" s="47">
        <f t="shared" ref="A581:A610" si="137">A580+1</f>
        <v>507</v>
      </c>
      <c r="B581" s="414" t="s">
        <v>738</v>
      </c>
      <c r="C581" s="51">
        <f t="shared" si="134"/>
        <v>1173727.26</v>
      </c>
      <c r="D581" s="51">
        <f t="shared" si="135"/>
        <v>0</v>
      </c>
      <c r="E581" s="51"/>
      <c r="F581" s="51"/>
      <c r="G581" s="51"/>
      <c r="H581" s="51"/>
      <c r="I581" s="51"/>
      <c r="J581" s="51"/>
      <c r="K581" s="51"/>
      <c r="L581" s="51"/>
      <c r="M581" s="35"/>
      <c r="N581" s="51"/>
      <c r="O581" s="82"/>
      <c r="P581" s="51"/>
      <c r="Q581" s="338"/>
      <c r="R581" s="51"/>
      <c r="S581" s="51"/>
      <c r="T581" s="338"/>
      <c r="U581" s="51"/>
      <c r="V581" s="35"/>
      <c r="W581" s="364">
        <f t="shared" si="136"/>
        <v>1173727.26</v>
      </c>
      <c r="X581" s="144">
        <v>185283.35</v>
      </c>
      <c r="Y581" s="63">
        <v>240680.68</v>
      </c>
      <c r="Z581" s="478">
        <v>198699.41</v>
      </c>
      <c r="AA581" s="518"/>
      <c r="AB581" s="63">
        <v>180714.05</v>
      </c>
      <c r="AC581" s="63">
        <v>368349.77</v>
      </c>
      <c r="AD581" s="63"/>
      <c r="AE581" s="63"/>
      <c r="AF581" s="63"/>
      <c r="AG581" s="58"/>
    </row>
    <row r="582" spans="1:33" x14ac:dyDescent="0.3">
      <c r="A582" s="47">
        <f t="shared" si="137"/>
        <v>508</v>
      </c>
      <c r="B582" s="414" t="s">
        <v>739</v>
      </c>
      <c r="C582" s="51">
        <f t="shared" si="134"/>
        <v>654412.07999999996</v>
      </c>
      <c r="D582" s="51">
        <f t="shared" si="135"/>
        <v>0</v>
      </c>
      <c r="E582" s="51"/>
      <c r="F582" s="51"/>
      <c r="G582" s="51"/>
      <c r="H582" s="51"/>
      <c r="I582" s="51"/>
      <c r="J582" s="51"/>
      <c r="K582" s="51"/>
      <c r="L582" s="51"/>
      <c r="M582" s="35"/>
      <c r="N582" s="51"/>
      <c r="O582" s="82"/>
      <c r="P582" s="51"/>
      <c r="Q582" s="338"/>
      <c r="R582" s="51"/>
      <c r="S582" s="51"/>
      <c r="T582" s="338"/>
      <c r="U582" s="51"/>
      <c r="V582" s="35"/>
      <c r="W582" s="364">
        <f t="shared" si="136"/>
        <v>654412.07999999996</v>
      </c>
      <c r="X582" s="144">
        <v>107909.1</v>
      </c>
      <c r="Y582" s="63">
        <v>126526.1</v>
      </c>
      <c r="Z582" s="478">
        <v>111364.16</v>
      </c>
      <c r="AA582" s="518"/>
      <c r="AB582" s="63">
        <v>109692.44</v>
      </c>
      <c r="AC582" s="63">
        <v>198920.28</v>
      </c>
      <c r="AD582" s="63"/>
      <c r="AE582" s="63"/>
      <c r="AF582" s="63"/>
      <c r="AG582" s="58"/>
    </row>
    <row r="583" spans="1:33" x14ac:dyDescent="0.3">
      <c r="A583" s="47">
        <f t="shared" si="137"/>
        <v>509</v>
      </c>
      <c r="B583" s="414" t="s">
        <v>740</v>
      </c>
      <c r="C583" s="51">
        <f t="shared" si="134"/>
        <v>1528035.7399999998</v>
      </c>
      <c r="D583" s="51">
        <f t="shared" si="135"/>
        <v>0</v>
      </c>
      <c r="E583" s="51"/>
      <c r="F583" s="51"/>
      <c r="G583" s="51"/>
      <c r="H583" s="51"/>
      <c r="I583" s="51"/>
      <c r="J583" s="51"/>
      <c r="K583" s="51"/>
      <c r="L583" s="51"/>
      <c r="M583" s="35"/>
      <c r="N583" s="51"/>
      <c r="O583" s="82"/>
      <c r="P583" s="51"/>
      <c r="Q583" s="338"/>
      <c r="R583" s="51"/>
      <c r="S583" s="51"/>
      <c r="T583" s="338"/>
      <c r="U583" s="51"/>
      <c r="V583" s="35"/>
      <c r="W583" s="364">
        <f t="shared" si="136"/>
        <v>1528035.7399999998</v>
      </c>
      <c r="X583" s="144">
        <v>249612.83</v>
      </c>
      <c r="Y583" s="63">
        <v>311734.37</v>
      </c>
      <c r="Z583" s="478">
        <v>266975.35999999999</v>
      </c>
      <c r="AA583" s="518"/>
      <c r="AB583" s="63">
        <v>244879.06</v>
      </c>
      <c r="AC583" s="63">
        <v>454834.12</v>
      </c>
      <c r="AD583" s="63"/>
      <c r="AE583" s="63"/>
      <c r="AF583" s="63"/>
      <c r="AG583" s="58"/>
    </row>
    <row r="584" spans="1:33" x14ac:dyDescent="0.3">
      <c r="A584" s="47">
        <f t="shared" si="137"/>
        <v>510</v>
      </c>
      <c r="B584" s="414" t="s">
        <v>741</v>
      </c>
      <c r="C584" s="51">
        <f t="shared" si="134"/>
        <v>1237620.1800000002</v>
      </c>
      <c r="D584" s="51">
        <f t="shared" si="135"/>
        <v>0</v>
      </c>
      <c r="E584" s="51"/>
      <c r="F584" s="51"/>
      <c r="G584" s="51"/>
      <c r="H584" s="51"/>
      <c r="I584" s="51"/>
      <c r="J584" s="51"/>
      <c r="K584" s="51"/>
      <c r="L584" s="51"/>
      <c r="M584" s="35"/>
      <c r="N584" s="51"/>
      <c r="O584" s="82"/>
      <c r="P584" s="51"/>
      <c r="Q584" s="338"/>
      <c r="R584" s="51"/>
      <c r="S584" s="51"/>
      <c r="T584" s="338"/>
      <c r="U584" s="51"/>
      <c r="V584" s="35"/>
      <c r="W584" s="364">
        <f t="shared" si="136"/>
        <v>1237620.1800000002</v>
      </c>
      <c r="X584" s="144">
        <v>208179.68</v>
      </c>
      <c r="Y584" s="63">
        <v>261233.51</v>
      </c>
      <c r="Z584" s="478">
        <v>199574.11</v>
      </c>
      <c r="AA584" s="518"/>
      <c r="AB584" s="63">
        <v>198635.38</v>
      </c>
      <c r="AC584" s="63">
        <v>369997.5</v>
      </c>
      <c r="AD584" s="63"/>
      <c r="AE584" s="63"/>
      <c r="AF584" s="63"/>
      <c r="AG584" s="58"/>
    </row>
    <row r="585" spans="1:33" x14ac:dyDescent="0.3">
      <c r="A585" s="47">
        <f t="shared" si="137"/>
        <v>511</v>
      </c>
      <c r="B585" s="414" t="s">
        <v>742</v>
      </c>
      <c r="C585" s="51">
        <f t="shared" si="134"/>
        <v>1649172.03</v>
      </c>
      <c r="D585" s="51">
        <f t="shared" si="135"/>
        <v>0</v>
      </c>
      <c r="E585" s="51"/>
      <c r="F585" s="51"/>
      <c r="G585" s="51"/>
      <c r="H585" s="51"/>
      <c r="I585" s="51"/>
      <c r="J585" s="51"/>
      <c r="K585" s="51"/>
      <c r="L585" s="51"/>
      <c r="M585" s="35"/>
      <c r="N585" s="51"/>
      <c r="O585" s="82"/>
      <c r="P585" s="51"/>
      <c r="Q585" s="338"/>
      <c r="R585" s="51"/>
      <c r="S585" s="51"/>
      <c r="T585" s="338"/>
      <c r="U585" s="51"/>
      <c r="V585" s="35"/>
      <c r="W585" s="364">
        <f t="shared" si="136"/>
        <v>1649172.03</v>
      </c>
      <c r="X585" s="144">
        <v>280921.73</v>
      </c>
      <c r="Y585" s="63">
        <v>341269.31</v>
      </c>
      <c r="Z585" s="478">
        <v>261668.46</v>
      </c>
      <c r="AA585" s="518"/>
      <c r="AB585" s="63">
        <v>275028</v>
      </c>
      <c r="AC585" s="63">
        <v>490284.53</v>
      </c>
      <c r="AD585" s="63"/>
      <c r="AE585" s="63"/>
      <c r="AF585" s="63"/>
      <c r="AG585" s="58"/>
    </row>
    <row r="586" spans="1:33" x14ac:dyDescent="0.3">
      <c r="A586" s="47">
        <f t="shared" si="137"/>
        <v>512</v>
      </c>
      <c r="B586" s="414" t="s">
        <v>743</v>
      </c>
      <c r="C586" s="51">
        <f t="shared" si="134"/>
        <v>1524664.7</v>
      </c>
      <c r="D586" s="51">
        <f t="shared" si="135"/>
        <v>0</v>
      </c>
      <c r="E586" s="51"/>
      <c r="F586" s="51"/>
      <c r="G586" s="51"/>
      <c r="H586" s="51"/>
      <c r="I586" s="51"/>
      <c r="J586" s="51"/>
      <c r="K586" s="51"/>
      <c r="L586" s="51"/>
      <c r="M586" s="35"/>
      <c r="N586" s="51"/>
      <c r="O586" s="82"/>
      <c r="P586" s="51"/>
      <c r="Q586" s="338"/>
      <c r="R586" s="51"/>
      <c r="S586" s="51"/>
      <c r="T586" s="338"/>
      <c r="U586" s="51"/>
      <c r="V586" s="35"/>
      <c r="W586" s="364">
        <f t="shared" si="136"/>
        <v>1524664.7</v>
      </c>
      <c r="X586" s="144">
        <v>249149.12</v>
      </c>
      <c r="Y586" s="63">
        <v>311073.25</v>
      </c>
      <c r="Z586" s="478">
        <v>266382.8</v>
      </c>
      <c r="AA586" s="518"/>
      <c r="AB586" s="63">
        <v>244286.5</v>
      </c>
      <c r="AC586" s="63">
        <v>453773.03</v>
      </c>
      <c r="AD586" s="63"/>
      <c r="AE586" s="63"/>
      <c r="AF586" s="63"/>
      <c r="AG586" s="58"/>
    </row>
    <row r="587" spans="1:33" x14ac:dyDescent="0.3">
      <c r="A587" s="47">
        <f t="shared" si="137"/>
        <v>513</v>
      </c>
      <c r="B587" s="414" t="s">
        <v>744</v>
      </c>
      <c r="C587" s="51">
        <f t="shared" si="134"/>
        <v>1419720.9</v>
      </c>
      <c r="D587" s="51">
        <f t="shared" si="135"/>
        <v>0</v>
      </c>
      <c r="E587" s="51"/>
      <c r="F587" s="51"/>
      <c r="G587" s="51"/>
      <c r="H587" s="51"/>
      <c r="I587" s="51"/>
      <c r="J587" s="51"/>
      <c r="K587" s="51"/>
      <c r="L587" s="51"/>
      <c r="M587" s="35"/>
      <c r="N587" s="51"/>
      <c r="O587" s="82"/>
      <c r="P587" s="51"/>
      <c r="Q587" s="338"/>
      <c r="R587" s="51"/>
      <c r="S587" s="51"/>
      <c r="T587" s="338"/>
      <c r="U587" s="51"/>
      <c r="V587" s="35"/>
      <c r="W587" s="364">
        <f t="shared" si="136"/>
        <v>1419720.9</v>
      </c>
      <c r="X587" s="144">
        <v>230065.56</v>
      </c>
      <c r="Y587" s="63">
        <v>291548.84000000003</v>
      </c>
      <c r="Z587" s="478">
        <v>248883.06</v>
      </c>
      <c r="AA587" s="518"/>
      <c r="AB587" s="63">
        <v>226786.76</v>
      </c>
      <c r="AC587" s="63">
        <v>422436.68</v>
      </c>
      <c r="AD587" s="63"/>
      <c r="AE587" s="63"/>
      <c r="AF587" s="63"/>
      <c r="AG587" s="58"/>
    </row>
    <row r="588" spans="1:33" x14ac:dyDescent="0.3">
      <c r="A588" s="47">
        <f t="shared" si="137"/>
        <v>514</v>
      </c>
      <c r="B588" s="414" t="s">
        <v>745</v>
      </c>
      <c r="C588" s="51">
        <f t="shared" si="134"/>
        <v>956075.97</v>
      </c>
      <c r="D588" s="51">
        <f t="shared" si="135"/>
        <v>0</v>
      </c>
      <c r="E588" s="51"/>
      <c r="F588" s="51"/>
      <c r="G588" s="51"/>
      <c r="H588" s="51"/>
      <c r="I588" s="51"/>
      <c r="J588" s="51"/>
      <c r="K588" s="51"/>
      <c r="L588" s="51"/>
      <c r="M588" s="35"/>
      <c r="N588" s="51"/>
      <c r="O588" s="82"/>
      <c r="P588" s="51"/>
      <c r="Q588" s="338"/>
      <c r="R588" s="51"/>
      <c r="S588" s="51"/>
      <c r="T588" s="338"/>
      <c r="U588" s="51"/>
      <c r="V588" s="35"/>
      <c r="W588" s="364">
        <f t="shared" si="136"/>
        <v>956075.97</v>
      </c>
      <c r="X588" s="144">
        <v>152489.32999999999</v>
      </c>
      <c r="Y588" s="63">
        <v>203131.24</v>
      </c>
      <c r="Z588" s="478">
        <v>160559.88</v>
      </c>
      <c r="AA588" s="518"/>
      <c r="AB588" s="63">
        <v>146171.59</v>
      </c>
      <c r="AC588" s="63">
        <v>293723.93</v>
      </c>
      <c r="AD588" s="63"/>
      <c r="AE588" s="63"/>
      <c r="AF588" s="63"/>
      <c r="AG588" s="58"/>
    </row>
    <row r="589" spans="1:33" x14ac:dyDescent="0.3">
      <c r="A589" s="47">
        <f t="shared" si="137"/>
        <v>515</v>
      </c>
      <c r="B589" s="414" t="s">
        <v>746</v>
      </c>
      <c r="C589" s="51">
        <f t="shared" si="134"/>
        <v>953223.33000000007</v>
      </c>
      <c r="D589" s="51">
        <f t="shared" si="135"/>
        <v>0</v>
      </c>
      <c r="E589" s="51"/>
      <c r="F589" s="51"/>
      <c r="G589" s="51"/>
      <c r="H589" s="51"/>
      <c r="I589" s="51"/>
      <c r="J589" s="51"/>
      <c r="K589" s="51"/>
      <c r="L589" s="51"/>
      <c r="M589" s="35"/>
      <c r="N589" s="51"/>
      <c r="O589" s="82"/>
      <c r="P589" s="51"/>
      <c r="Q589" s="338"/>
      <c r="R589" s="51"/>
      <c r="S589" s="51"/>
      <c r="T589" s="338"/>
      <c r="U589" s="51"/>
      <c r="V589" s="35"/>
      <c r="W589" s="364">
        <f t="shared" si="136"/>
        <v>953223.33000000007</v>
      </c>
      <c r="X589" s="144">
        <v>151856.47</v>
      </c>
      <c r="Y589" s="63">
        <v>203131.24</v>
      </c>
      <c r="Z589" s="478">
        <v>159974.29</v>
      </c>
      <c r="AA589" s="518"/>
      <c r="AB589" s="63">
        <v>145586</v>
      </c>
      <c r="AC589" s="63">
        <v>292675.33</v>
      </c>
      <c r="AD589" s="63"/>
      <c r="AE589" s="63"/>
      <c r="AF589" s="63"/>
      <c r="AG589" s="58"/>
    </row>
    <row r="590" spans="1:33" x14ac:dyDescent="0.3">
      <c r="A590" s="47">
        <f t="shared" si="137"/>
        <v>516</v>
      </c>
      <c r="B590" s="414" t="s">
        <v>747</v>
      </c>
      <c r="C590" s="51">
        <f t="shared" si="134"/>
        <v>1228635.3899999999</v>
      </c>
      <c r="D590" s="51">
        <f t="shared" si="135"/>
        <v>0</v>
      </c>
      <c r="E590" s="51"/>
      <c r="F590" s="51"/>
      <c r="G590" s="51"/>
      <c r="H590" s="51"/>
      <c r="I590" s="51"/>
      <c r="J590" s="51"/>
      <c r="K590" s="51"/>
      <c r="L590" s="51"/>
      <c r="M590" s="35"/>
      <c r="N590" s="51"/>
      <c r="O590" s="82"/>
      <c r="P590" s="51"/>
      <c r="Q590" s="338"/>
      <c r="R590" s="51"/>
      <c r="S590" s="51"/>
      <c r="T590" s="338"/>
      <c r="U590" s="51"/>
      <c r="V590" s="35"/>
      <c r="W590" s="364">
        <f t="shared" si="136"/>
        <v>1228635.3899999999</v>
      </c>
      <c r="X590" s="144">
        <v>186416.83</v>
      </c>
      <c r="Y590" s="63">
        <v>300743.78000000003</v>
      </c>
      <c r="Z590" s="478">
        <v>196698.06</v>
      </c>
      <c r="AA590" s="518"/>
      <c r="AB590" s="63">
        <v>182309.77</v>
      </c>
      <c r="AC590" s="63">
        <v>362466.95</v>
      </c>
      <c r="AD590" s="63"/>
      <c r="AE590" s="63"/>
      <c r="AF590" s="63"/>
      <c r="AG590" s="58"/>
    </row>
    <row r="591" spans="1:33" x14ac:dyDescent="0.3">
      <c r="A591" s="47">
        <f t="shared" si="137"/>
        <v>517</v>
      </c>
      <c r="B591" s="414" t="s">
        <v>748</v>
      </c>
      <c r="C591" s="51">
        <f t="shared" si="134"/>
        <v>1057135.8900000001</v>
      </c>
      <c r="D591" s="51">
        <f t="shared" si="135"/>
        <v>0</v>
      </c>
      <c r="E591" s="51"/>
      <c r="F591" s="51"/>
      <c r="G591" s="51"/>
      <c r="H591" s="51"/>
      <c r="I591" s="51"/>
      <c r="J591" s="51"/>
      <c r="K591" s="51"/>
      <c r="L591" s="51"/>
      <c r="M591" s="35"/>
      <c r="N591" s="51"/>
      <c r="O591" s="82"/>
      <c r="P591" s="51"/>
      <c r="Q591" s="338"/>
      <c r="R591" s="51"/>
      <c r="S591" s="51"/>
      <c r="T591" s="338"/>
      <c r="U591" s="51"/>
      <c r="V591" s="35"/>
      <c r="W591" s="364">
        <f t="shared" si="136"/>
        <v>1057135.8900000001</v>
      </c>
      <c r="X591" s="144">
        <v>170741.7</v>
      </c>
      <c r="Y591" s="63">
        <v>221961.47</v>
      </c>
      <c r="Z591" s="478">
        <v>177437.44</v>
      </c>
      <c r="AA591" s="518"/>
      <c r="AB591" s="63">
        <v>163049.15</v>
      </c>
      <c r="AC591" s="63">
        <v>323946.13</v>
      </c>
      <c r="AD591" s="63"/>
      <c r="AE591" s="63"/>
      <c r="AF591" s="63"/>
      <c r="AG591" s="58"/>
    </row>
    <row r="592" spans="1:33" x14ac:dyDescent="0.3">
      <c r="A592" s="47">
        <f t="shared" si="137"/>
        <v>518</v>
      </c>
      <c r="B592" s="414" t="s">
        <v>749</v>
      </c>
      <c r="C592" s="51">
        <f t="shared" si="134"/>
        <v>2053804.15</v>
      </c>
      <c r="D592" s="51">
        <f t="shared" si="135"/>
        <v>0</v>
      </c>
      <c r="E592" s="51"/>
      <c r="F592" s="51"/>
      <c r="G592" s="51"/>
      <c r="H592" s="51"/>
      <c r="I592" s="51"/>
      <c r="J592" s="51"/>
      <c r="K592" s="51"/>
      <c r="L592" s="51"/>
      <c r="M592" s="35"/>
      <c r="N592" s="51"/>
      <c r="O592" s="82"/>
      <c r="P592" s="51"/>
      <c r="Q592" s="338"/>
      <c r="R592" s="51"/>
      <c r="S592" s="51"/>
      <c r="T592" s="338"/>
      <c r="U592" s="51"/>
      <c r="V592" s="35"/>
      <c r="W592" s="364">
        <f t="shared" si="136"/>
        <v>2053804.15</v>
      </c>
      <c r="X592" s="144">
        <v>340789</v>
      </c>
      <c r="Y592" s="63">
        <v>413079.68</v>
      </c>
      <c r="Z592" s="478">
        <v>360098.8</v>
      </c>
      <c r="AA592" s="518"/>
      <c r="AB592" s="63">
        <v>333891.55</v>
      </c>
      <c r="AC592" s="63">
        <v>605945.12</v>
      </c>
      <c r="AD592" s="63"/>
      <c r="AE592" s="63"/>
      <c r="AF592" s="63"/>
      <c r="AG592" s="58"/>
    </row>
    <row r="593" spans="1:33" x14ac:dyDescent="0.3">
      <c r="A593" s="47">
        <f t="shared" si="137"/>
        <v>519</v>
      </c>
      <c r="B593" s="414" t="s">
        <v>750</v>
      </c>
      <c r="C593" s="51">
        <f t="shared" si="134"/>
        <v>743066.37000000011</v>
      </c>
      <c r="D593" s="51">
        <f t="shared" si="135"/>
        <v>0</v>
      </c>
      <c r="E593" s="51"/>
      <c r="F593" s="51"/>
      <c r="G593" s="51"/>
      <c r="H593" s="51"/>
      <c r="I593" s="51"/>
      <c r="J593" s="51"/>
      <c r="K593" s="51"/>
      <c r="L593" s="51"/>
      <c r="M593" s="35"/>
      <c r="N593" s="51"/>
      <c r="O593" s="82"/>
      <c r="P593" s="51"/>
      <c r="Q593" s="338"/>
      <c r="R593" s="51"/>
      <c r="S593" s="51"/>
      <c r="T593" s="338"/>
      <c r="U593" s="51"/>
      <c r="V593" s="35"/>
      <c r="W593" s="364">
        <f t="shared" si="136"/>
        <v>743066.37000000011</v>
      </c>
      <c r="X593" s="144">
        <v>119646.65</v>
      </c>
      <c r="Y593" s="63">
        <v>163835.14000000001</v>
      </c>
      <c r="Z593" s="478">
        <v>122031.94</v>
      </c>
      <c r="AA593" s="518"/>
      <c r="AB593" s="63">
        <v>116893.26</v>
      </c>
      <c r="AC593" s="63">
        <v>220659.38</v>
      </c>
      <c r="AD593" s="63"/>
      <c r="AE593" s="63"/>
      <c r="AF593" s="63"/>
      <c r="AG593" s="58"/>
    </row>
    <row r="594" spans="1:33" x14ac:dyDescent="0.3">
      <c r="A594" s="47">
        <f t="shared" si="137"/>
        <v>520</v>
      </c>
      <c r="B594" s="414" t="s">
        <v>751</v>
      </c>
      <c r="C594" s="51">
        <f t="shared" si="134"/>
        <v>1594928.6</v>
      </c>
      <c r="D594" s="51">
        <f t="shared" si="135"/>
        <v>0</v>
      </c>
      <c r="E594" s="51"/>
      <c r="F594" s="51"/>
      <c r="G594" s="51"/>
      <c r="H594" s="51"/>
      <c r="I594" s="51"/>
      <c r="J594" s="51"/>
      <c r="K594" s="51"/>
      <c r="L594" s="51"/>
      <c r="M594" s="35"/>
      <c r="N594" s="51"/>
      <c r="O594" s="82"/>
      <c r="P594" s="51"/>
      <c r="Q594" s="338"/>
      <c r="R594" s="51"/>
      <c r="S594" s="51"/>
      <c r="T594" s="338"/>
      <c r="U594" s="51"/>
      <c r="V594" s="35"/>
      <c r="W594" s="364">
        <f t="shared" si="136"/>
        <v>1594928.6</v>
      </c>
      <c r="X594" s="144">
        <v>260009.60000000001</v>
      </c>
      <c r="Y594" s="63">
        <v>332918.77</v>
      </c>
      <c r="Z594" s="478">
        <v>276290.77</v>
      </c>
      <c r="AA594" s="518"/>
      <c r="AB594" s="63">
        <v>254194.48</v>
      </c>
      <c r="AC594" s="63">
        <v>471514.98</v>
      </c>
      <c r="AD594" s="63"/>
      <c r="AE594" s="63"/>
      <c r="AF594" s="63"/>
      <c r="AG594" s="58"/>
    </row>
    <row r="595" spans="1:33" x14ac:dyDescent="0.3">
      <c r="A595" s="47">
        <f t="shared" si="137"/>
        <v>521</v>
      </c>
      <c r="B595" s="414" t="s">
        <v>752</v>
      </c>
      <c r="C595" s="51">
        <f t="shared" si="134"/>
        <v>835194.96</v>
      </c>
      <c r="D595" s="51">
        <f t="shared" si="135"/>
        <v>0</v>
      </c>
      <c r="E595" s="51"/>
      <c r="F595" s="51"/>
      <c r="G595" s="51"/>
      <c r="H595" s="51"/>
      <c r="I595" s="51"/>
      <c r="J595" s="51"/>
      <c r="K595" s="51"/>
      <c r="L595" s="51"/>
      <c r="M595" s="35"/>
      <c r="N595" s="51"/>
      <c r="O595" s="82"/>
      <c r="P595" s="51"/>
      <c r="Q595" s="338"/>
      <c r="R595" s="51"/>
      <c r="S595" s="51"/>
      <c r="T595" s="338"/>
      <c r="U595" s="51"/>
      <c r="V595" s="35"/>
      <c r="W595" s="364">
        <f t="shared" si="136"/>
        <v>835194.96</v>
      </c>
      <c r="X595" s="144">
        <v>123375.85</v>
      </c>
      <c r="Y595" s="63">
        <v>205403.86</v>
      </c>
      <c r="Z595" s="478">
        <v>132012.73000000001</v>
      </c>
      <c r="AA595" s="518"/>
      <c r="AB595" s="63">
        <v>120707.65</v>
      </c>
      <c r="AC595" s="63">
        <v>253694.87</v>
      </c>
      <c r="AD595" s="63"/>
      <c r="AE595" s="63"/>
      <c r="AF595" s="63"/>
      <c r="AG595" s="58"/>
    </row>
    <row r="596" spans="1:33" x14ac:dyDescent="0.3">
      <c r="A596" s="47">
        <f t="shared" si="137"/>
        <v>522</v>
      </c>
      <c r="B596" s="414" t="s">
        <v>753</v>
      </c>
      <c r="C596" s="51">
        <f t="shared" si="134"/>
        <v>728056</v>
      </c>
      <c r="D596" s="51">
        <f t="shared" si="135"/>
        <v>0</v>
      </c>
      <c r="E596" s="51"/>
      <c r="F596" s="51"/>
      <c r="G596" s="51"/>
      <c r="H596" s="51"/>
      <c r="I596" s="51"/>
      <c r="J596" s="51"/>
      <c r="K596" s="51"/>
      <c r="L596" s="51"/>
      <c r="M596" s="35"/>
      <c r="N596" s="51"/>
      <c r="O596" s="82"/>
      <c r="P596" s="51"/>
      <c r="Q596" s="338"/>
      <c r="R596" s="51"/>
      <c r="S596" s="51"/>
      <c r="T596" s="338"/>
      <c r="U596" s="51"/>
      <c r="V596" s="35"/>
      <c r="W596" s="364">
        <f t="shared" si="136"/>
        <v>728056</v>
      </c>
      <c r="X596" s="144">
        <v>109712.75</v>
      </c>
      <c r="Y596" s="63">
        <v>179954.7</v>
      </c>
      <c r="Z596" s="478">
        <v>105197.28</v>
      </c>
      <c r="AA596" s="518"/>
      <c r="AB596" s="63">
        <v>109359.23</v>
      </c>
      <c r="AC596" s="63">
        <v>223832.04</v>
      </c>
      <c r="AD596" s="63"/>
      <c r="AE596" s="63"/>
      <c r="AF596" s="63"/>
      <c r="AG596" s="58"/>
    </row>
    <row r="597" spans="1:33" x14ac:dyDescent="0.3">
      <c r="A597" s="47">
        <f t="shared" si="137"/>
        <v>523</v>
      </c>
      <c r="B597" s="414" t="s">
        <v>754</v>
      </c>
      <c r="C597" s="51">
        <f t="shared" si="134"/>
        <v>919324.85000000009</v>
      </c>
      <c r="D597" s="51">
        <f t="shared" si="135"/>
        <v>0</v>
      </c>
      <c r="E597" s="51"/>
      <c r="F597" s="51"/>
      <c r="G597" s="51"/>
      <c r="H597" s="51"/>
      <c r="I597" s="51"/>
      <c r="J597" s="51"/>
      <c r="K597" s="51"/>
      <c r="L597" s="51"/>
      <c r="M597" s="35"/>
      <c r="N597" s="51"/>
      <c r="O597" s="82"/>
      <c r="P597" s="51"/>
      <c r="Q597" s="338"/>
      <c r="R597" s="51"/>
      <c r="S597" s="51"/>
      <c r="T597" s="338"/>
      <c r="U597" s="51"/>
      <c r="V597" s="35"/>
      <c r="W597" s="364">
        <f t="shared" si="136"/>
        <v>919324.85000000009</v>
      </c>
      <c r="X597" s="144">
        <v>136084.57</v>
      </c>
      <c r="Y597" s="63">
        <v>221234.33</v>
      </c>
      <c r="Z597" s="478">
        <v>147620.85999999999</v>
      </c>
      <c r="AA597" s="518"/>
      <c r="AB597" s="63">
        <v>136315.76</v>
      </c>
      <c r="AC597" s="63">
        <v>278069.33</v>
      </c>
      <c r="AD597" s="63"/>
      <c r="AE597" s="63"/>
      <c r="AF597" s="63"/>
      <c r="AG597" s="58"/>
    </row>
    <row r="598" spans="1:33" x14ac:dyDescent="0.3">
      <c r="A598" s="47">
        <f t="shared" si="137"/>
        <v>524</v>
      </c>
      <c r="B598" s="414" t="s">
        <v>755</v>
      </c>
      <c r="C598" s="51">
        <f t="shared" si="134"/>
        <v>596526.12</v>
      </c>
      <c r="D598" s="51">
        <f t="shared" si="135"/>
        <v>0</v>
      </c>
      <c r="E598" s="51"/>
      <c r="F598" s="51"/>
      <c r="G598" s="51"/>
      <c r="H598" s="51"/>
      <c r="I598" s="51"/>
      <c r="J598" s="51"/>
      <c r="K598" s="51"/>
      <c r="L598" s="51"/>
      <c r="M598" s="35"/>
      <c r="N598" s="51"/>
      <c r="O598" s="82"/>
      <c r="P598" s="51"/>
      <c r="Q598" s="338"/>
      <c r="R598" s="51"/>
      <c r="S598" s="51"/>
      <c r="T598" s="338"/>
      <c r="U598" s="51"/>
      <c r="V598" s="35"/>
      <c r="W598" s="364">
        <f t="shared" si="136"/>
        <v>596526.12</v>
      </c>
      <c r="X598" s="144">
        <v>98319.61</v>
      </c>
      <c r="Y598" s="63">
        <v>116515.88</v>
      </c>
      <c r="Z598" s="478">
        <v>102036.82</v>
      </c>
      <c r="AA598" s="518"/>
      <c r="AB598" s="63">
        <v>96898.14</v>
      </c>
      <c r="AC598" s="63">
        <v>182755.67</v>
      </c>
      <c r="AD598" s="63"/>
      <c r="AE598" s="63"/>
      <c r="AF598" s="63"/>
      <c r="AG598" s="58"/>
    </row>
    <row r="599" spans="1:33" x14ac:dyDescent="0.3">
      <c r="A599" s="47">
        <f t="shared" si="137"/>
        <v>525</v>
      </c>
      <c r="B599" s="414" t="s">
        <v>756</v>
      </c>
      <c r="C599" s="51">
        <f t="shared" si="134"/>
        <v>1182241.04</v>
      </c>
      <c r="D599" s="51">
        <f t="shared" si="135"/>
        <v>0</v>
      </c>
      <c r="E599" s="51"/>
      <c r="F599" s="51"/>
      <c r="G599" s="51"/>
      <c r="H599" s="51"/>
      <c r="I599" s="51"/>
      <c r="J599" s="51"/>
      <c r="K599" s="51"/>
      <c r="L599" s="51"/>
      <c r="M599" s="35"/>
      <c r="N599" s="51"/>
      <c r="O599" s="82"/>
      <c r="P599" s="51"/>
      <c r="Q599" s="338"/>
      <c r="R599" s="51"/>
      <c r="S599" s="51"/>
      <c r="T599" s="338"/>
      <c r="U599" s="51"/>
      <c r="V599" s="35"/>
      <c r="W599" s="364">
        <f t="shared" si="136"/>
        <v>1182241.04</v>
      </c>
      <c r="X599" s="144">
        <v>190445.05</v>
      </c>
      <c r="Y599" s="63">
        <v>246010.45</v>
      </c>
      <c r="Z599" s="478">
        <v>203476.49</v>
      </c>
      <c r="AA599" s="518"/>
      <c r="AB599" s="63">
        <v>185491.13</v>
      </c>
      <c r="AC599" s="63">
        <v>356817.91999999998</v>
      </c>
      <c r="AD599" s="63"/>
      <c r="AE599" s="63"/>
      <c r="AF599" s="63"/>
      <c r="AG599" s="58"/>
    </row>
    <row r="600" spans="1:33" x14ac:dyDescent="0.3">
      <c r="A600" s="47">
        <f t="shared" si="137"/>
        <v>526</v>
      </c>
      <c r="B600" s="414" t="s">
        <v>757</v>
      </c>
      <c r="C600" s="51">
        <f t="shared" si="134"/>
        <v>836431.23</v>
      </c>
      <c r="D600" s="51">
        <f t="shared" si="135"/>
        <v>0</v>
      </c>
      <c r="E600" s="51"/>
      <c r="F600" s="51"/>
      <c r="G600" s="51"/>
      <c r="H600" s="51"/>
      <c r="I600" s="51"/>
      <c r="J600" s="51"/>
      <c r="K600" s="51"/>
      <c r="L600" s="51"/>
      <c r="M600" s="35"/>
      <c r="N600" s="51"/>
      <c r="O600" s="82"/>
      <c r="P600" s="51"/>
      <c r="Q600" s="338"/>
      <c r="R600" s="51"/>
      <c r="S600" s="51"/>
      <c r="T600" s="338"/>
      <c r="U600" s="51"/>
      <c r="V600" s="35"/>
      <c r="W600" s="364">
        <f t="shared" si="136"/>
        <v>836431.23</v>
      </c>
      <c r="X600" s="144">
        <v>127835.78</v>
      </c>
      <c r="Y600" s="63">
        <v>172701.37</v>
      </c>
      <c r="Z600" s="478">
        <v>150497.06</v>
      </c>
      <c r="AA600" s="518"/>
      <c r="AB600" s="63">
        <v>124181.33</v>
      </c>
      <c r="AC600" s="63">
        <v>261215.69</v>
      </c>
      <c r="AD600" s="63"/>
      <c r="AE600" s="63"/>
      <c r="AF600" s="63"/>
      <c r="AG600" s="58"/>
    </row>
    <row r="601" spans="1:33" x14ac:dyDescent="0.3">
      <c r="A601" s="47">
        <f t="shared" si="137"/>
        <v>527</v>
      </c>
      <c r="B601" s="414" t="s">
        <v>758</v>
      </c>
      <c r="C601" s="51">
        <f t="shared" si="134"/>
        <v>1542301.7799999998</v>
      </c>
      <c r="D601" s="51">
        <f t="shared" si="135"/>
        <v>0</v>
      </c>
      <c r="E601" s="51"/>
      <c r="F601" s="51"/>
      <c r="G601" s="51"/>
      <c r="H601" s="51"/>
      <c r="I601" s="51"/>
      <c r="J601" s="51"/>
      <c r="K601" s="51"/>
      <c r="L601" s="51"/>
      <c r="M601" s="35"/>
      <c r="N601" s="51"/>
      <c r="O601" s="82"/>
      <c r="P601" s="51"/>
      <c r="Q601" s="338"/>
      <c r="R601" s="51"/>
      <c r="S601" s="51"/>
      <c r="T601" s="338"/>
      <c r="U601" s="51"/>
      <c r="V601" s="35"/>
      <c r="W601" s="364">
        <f t="shared" si="136"/>
        <v>1542301.7799999998</v>
      </c>
      <c r="X601" s="144">
        <v>259044.94</v>
      </c>
      <c r="Y601" s="63">
        <v>317091.01</v>
      </c>
      <c r="Z601" s="478">
        <v>267899.28000000003</v>
      </c>
      <c r="AA601" s="518"/>
      <c r="AB601" s="63">
        <v>249913.92</v>
      </c>
      <c r="AC601" s="63">
        <v>448352.63</v>
      </c>
      <c r="AD601" s="63"/>
      <c r="AE601" s="63"/>
      <c r="AF601" s="63"/>
      <c r="AG601" s="58"/>
    </row>
    <row r="602" spans="1:33" x14ac:dyDescent="0.3">
      <c r="A602" s="47">
        <f t="shared" si="137"/>
        <v>528</v>
      </c>
      <c r="B602" s="414" t="s">
        <v>759</v>
      </c>
      <c r="C602" s="51">
        <f t="shared" si="134"/>
        <v>1440492.71</v>
      </c>
      <c r="D602" s="51">
        <f t="shared" si="135"/>
        <v>0</v>
      </c>
      <c r="E602" s="51"/>
      <c r="F602" s="51"/>
      <c r="G602" s="51"/>
      <c r="H602" s="51"/>
      <c r="I602" s="51"/>
      <c r="J602" s="51"/>
      <c r="K602" s="51"/>
      <c r="L602" s="51"/>
      <c r="M602" s="35"/>
      <c r="N602" s="51"/>
      <c r="O602" s="82"/>
      <c r="P602" s="51"/>
      <c r="Q602" s="338"/>
      <c r="R602" s="51"/>
      <c r="S602" s="51"/>
      <c r="T602" s="338"/>
      <c r="U602" s="51"/>
      <c r="V602" s="35"/>
      <c r="W602" s="364">
        <f t="shared" si="136"/>
        <v>1440492.71</v>
      </c>
      <c r="X602" s="144">
        <v>235453.45</v>
      </c>
      <c r="Y602" s="63">
        <v>288628.78000000003</v>
      </c>
      <c r="Z602" s="478">
        <v>245953.27</v>
      </c>
      <c r="AA602" s="518"/>
      <c r="AB602" s="63">
        <v>227967.9</v>
      </c>
      <c r="AC602" s="63">
        <v>442489.31</v>
      </c>
      <c r="AD602" s="63"/>
      <c r="AE602" s="63"/>
      <c r="AF602" s="63"/>
      <c r="AG602" s="58"/>
    </row>
    <row r="603" spans="1:33" x14ac:dyDescent="0.3">
      <c r="A603" s="47">
        <f t="shared" si="137"/>
        <v>529</v>
      </c>
      <c r="B603" s="414" t="s">
        <v>760</v>
      </c>
      <c r="C603" s="51">
        <f t="shared" si="134"/>
        <v>1394982.68</v>
      </c>
      <c r="D603" s="51">
        <f t="shared" si="135"/>
        <v>0</v>
      </c>
      <c r="E603" s="51"/>
      <c r="F603" s="51"/>
      <c r="G603" s="51"/>
      <c r="H603" s="51"/>
      <c r="I603" s="51"/>
      <c r="J603" s="51"/>
      <c r="K603" s="51"/>
      <c r="L603" s="51"/>
      <c r="M603" s="35"/>
      <c r="N603" s="51"/>
      <c r="O603" s="82"/>
      <c r="P603" s="51"/>
      <c r="Q603" s="338"/>
      <c r="R603" s="51"/>
      <c r="S603" s="51"/>
      <c r="T603" s="338"/>
      <c r="U603" s="51"/>
      <c r="V603" s="35"/>
      <c r="W603" s="364">
        <f t="shared" si="136"/>
        <v>1394982.68</v>
      </c>
      <c r="X603" s="144">
        <v>232699.51999999999</v>
      </c>
      <c r="Y603" s="63">
        <v>285846.03999999998</v>
      </c>
      <c r="Z603" s="478">
        <v>243391.33</v>
      </c>
      <c r="AA603" s="518"/>
      <c r="AB603" s="63">
        <v>225405.96</v>
      </c>
      <c r="AC603" s="63">
        <v>407639.83</v>
      </c>
      <c r="AD603" s="63"/>
      <c r="AE603" s="63"/>
      <c r="AF603" s="63"/>
      <c r="AG603" s="58"/>
    </row>
    <row r="604" spans="1:33" x14ac:dyDescent="0.3">
      <c r="A604" s="47">
        <f t="shared" si="137"/>
        <v>530</v>
      </c>
      <c r="B604" s="414" t="s">
        <v>761</v>
      </c>
      <c r="C604" s="51">
        <f t="shared" si="134"/>
        <v>1291770.03</v>
      </c>
      <c r="D604" s="51">
        <f t="shared" si="135"/>
        <v>0</v>
      </c>
      <c r="E604" s="51"/>
      <c r="F604" s="51"/>
      <c r="G604" s="51"/>
      <c r="H604" s="51"/>
      <c r="I604" s="51"/>
      <c r="J604" s="51"/>
      <c r="K604" s="51"/>
      <c r="L604" s="51"/>
      <c r="M604" s="35"/>
      <c r="N604" s="51"/>
      <c r="O604" s="82"/>
      <c r="P604" s="51"/>
      <c r="Q604" s="338"/>
      <c r="R604" s="51"/>
      <c r="S604" s="51"/>
      <c r="T604" s="338"/>
      <c r="U604" s="51"/>
      <c r="V604" s="35"/>
      <c r="W604" s="364">
        <f t="shared" si="136"/>
        <v>1291770.03</v>
      </c>
      <c r="X604" s="144">
        <v>211014.26</v>
      </c>
      <c r="Y604" s="63">
        <v>270416.27</v>
      </c>
      <c r="Z604" s="478">
        <v>223018.16</v>
      </c>
      <c r="AA604" s="518"/>
      <c r="AB604" s="63">
        <v>205032.79</v>
      </c>
      <c r="AC604" s="63">
        <v>382288.55</v>
      </c>
      <c r="AD604" s="63"/>
      <c r="AE604" s="63"/>
      <c r="AF604" s="63"/>
      <c r="AG604" s="58"/>
    </row>
    <row r="605" spans="1:33" x14ac:dyDescent="0.3">
      <c r="A605" s="47">
        <f t="shared" si="137"/>
        <v>531</v>
      </c>
      <c r="B605" s="414" t="s">
        <v>762</v>
      </c>
      <c r="C605" s="51">
        <f t="shared" si="134"/>
        <v>1292709.8599999999</v>
      </c>
      <c r="D605" s="51">
        <f t="shared" si="135"/>
        <v>0</v>
      </c>
      <c r="E605" s="51"/>
      <c r="F605" s="51"/>
      <c r="G605" s="51"/>
      <c r="H605" s="51"/>
      <c r="I605" s="51"/>
      <c r="J605" s="51"/>
      <c r="K605" s="51"/>
      <c r="L605" s="51"/>
      <c r="M605" s="35"/>
      <c r="N605" s="51"/>
      <c r="O605" s="82"/>
      <c r="P605" s="51"/>
      <c r="Q605" s="338"/>
      <c r="R605" s="51"/>
      <c r="S605" s="51"/>
      <c r="T605" s="338"/>
      <c r="U605" s="51"/>
      <c r="V605" s="35"/>
      <c r="W605" s="364">
        <f t="shared" si="136"/>
        <v>1292709.8599999999</v>
      </c>
      <c r="X605" s="144">
        <v>211102.96</v>
      </c>
      <c r="Y605" s="63">
        <v>270610.57</v>
      </c>
      <c r="Z605" s="478">
        <v>223194.61</v>
      </c>
      <c r="AA605" s="518"/>
      <c r="AB605" s="63">
        <v>205209.24</v>
      </c>
      <c r="AC605" s="63">
        <v>382592.48</v>
      </c>
      <c r="AD605" s="63"/>
      <c r="AE605" s="63"/>
      <c r="AF605" s="63"/>
      <c r="AG605" s="58"/>
    </row>
    <row r="606" spans="1:33" x14ac:dyDescent="0.3">
      <c r="A606" s="47">
        <f t="shared" si="137"/>
        <v>532</v>
      </c>
      <c r="B606" s="414" t="s">
        <v>763</v>
      </c>
      <c r="C606" s="51">
        <f t="shared" si="134"/>
        <v>1511917.4900000002</v>
      </c>
      <c r="D606" s="51">
        <f t="shared" si="135"/>
        <v>0</v>
      </c>
      <c r="E606" s="51"/>
      <c r="F606" s="51"/>
      <c r="G606" s="51"/>
      <c r="H606" s="51"/>
      <c r="I606" s="51"/>
      <c r="J606" s="51"/>
      <c r="K606" s="51"/>
      <c r="L606" s="51"/>
      <c r="M606" s="35"/>
      <c r="N606" s="51"/>
      <c r="O606" s="82"/>
      <c r="P606" s="51"/>
      <c r="Q606" s="338"/>
      <c r="R606" s="51"/>
      <c r="S606" s="51"/>
      <c r="T606" s="338"/>
      <c r="U606" s="51"/>
      <c r="V606" s="35"/>
      <c r="W606" s="364">
        <f t="shared" si="136"/>
        <v>1511917.4900000002</v>
      </c>
      <c r="X606" s="144">
        <v>246958.07999999999</v>
      </c>
      <c r="Y606" s="63">
        <v>308672.8</v>
      </c>
      <c r="Z606" s="478">
        <v>264231.28000000003</v>
      </c>
      <c r="AA606" s="518"/>
      <c r="AB606" s="63">
        <v>242134.97</v>
      </c>
      <c r="AC606" s="63">
        <v>449920.36</v>
      </c>
      <c r="AD606" s="63"/>
      <c r="AE606" s="63"/>
      <c r="AF606" s="63"/>
      <c r="AG606" s="58"/>
    </row>
    <row r="607" spans="1:33" x14ac:dyDescent="0.3">
      <c r="A607" s="47">
        <f t="shared" si="137"/>
        <v>533</v>
      </c>
      <c r="B607" s="414" t="s">
        <v>764</v>
      </c>
      <c r="C607" s="51">
        <f t="shared" si="134"/>
        <v>1189260.45</v>
      </c>
      <c r="D607" s="51">
        <f t="shared" si="135"/>
        <v>0</v>
      </c>
      <c r="E607" s="51"/>
      <c r="F607" s="51"/>
      <c r="G607" s="51"/>
      <c r="H607" s="51"/>
      <c r="I607" s="51"/>
      <c r="J607" s="51"/>
      <c r="K607" s="51"/>
      <c r="L607" s="51"/>
      <c r="M607" s="35"/>
      <c r="N607" s="51"/>
      <c r="O607" s="82"/>
      <c r="P607" s="51"/>
      <c r="Q607" s="338"/>
      <c r="R607" s="51"/>
      <c r="S607" s="51"/>
      <c r="T607" s="338"/>
      <c r="U607" s="51"/>
      <c r="V607" s="35"/>
      <c r="W607" s="364">
        <f t="shared" si="136"/>
        <v>1189260.45</v>
      </c>
      <c r="X607" s="144">
        <v>191807.75</v>
      </c>
      <c r="Y607" s="63">
        <v>247307.42</v>
      </c>
      <c r="Z607" s="478">
        <v>204638.96</v>
      </c>
      <c r="AA607" s="518"/>
      <c r="AB607" s="63">
        <v>186653.6</v>
      </c>
      <c r="AC607" s="63">
        <v>358852.72</v>
      </c>
      <c r="AD607" s="63"/>
      <c r="AE607" s="63"/>
      <c r="AF607" s="63"/>
      <c r="AG607" s="58"/>
    </row>
    <row r="608" spans="1:33" x14ac:dyDescent="0.3">
      <c r="A608" s="47">
        <f t="shared" si="137"/>
        <v>534</v>
      </c>
      <c r="B608" s="414" t="s">
        <v>765</v>
      </c>
      <c r="C608" s="51">
        <f t="shared" si="134"/>
        <v>1415132.3800000001</v>
      </c>
      <c r="D608" s="51">
        <f t="shared" si="135"/>
        <v>0</v>
      </c>
      <c r="E608" s="51"/>
      <c r="F608" s="51"/>
      <c r="G608" s="51"/>
      <c r="H608" s="51"/>
      <c r="I608" s="51"/>
      <c r="J608" s="51"/>
      <c r="K608" s="51"/>
      <c r="L608" s="51"/>
      <c r="M608" s="35"/>
      <c r="N608" s="51"/>
      <c r="O608" s="82"/>
      <c r="P608" s="51"/>
      <c r="Q608" s="338"/>
      <c r="R608" s="51"/>
      <c r="S608" s="51"/>
      <c r="T608" s="338"/>
      <c r="U608" s="51"/>
      <c r="V608" s="35"/>
      <c r="W608" s="364">
        <f t="shared" si="136"/>
        <v>1415132.3800000001</v>
      </c>
      <c r="X608" s="144">
        <v>230136.04</v>
      </c>
      <c r="Y608" s="63">
        <v>286916.27</v>
      </c>
      <c r="Z608" s="478">
        <v>248876.09</v>
      </c>
      <c r="AA608" s="518"/>
      <c r="AB608" s="63">
        <v>226779.78</v>
      </c>
      <c r="AC608" s="63">
        <v>422424.2</v>
      </c>
      <c r="AD608" s="63"/>
      <c r="AE608" s="63"/>
      <c r="AF608" s="63"/>
      <c r="AG608" s="58"/>
    </row>
    <row r="609" spans="1:33" x14ac:dyDescent="0.3">
      <c r="A609" s="47">
        <f t="shared" si="137"/>
        <v>535</v>
      </c>
      <c r="B609" s="414" t="s">
        <v>766</v>
      </c>
      <c r="C609" s="51">
        <f t="shared" si="134"/>
        <v>676937.33000000007</v>
      </c>
      <c r="D609" s="51">
        <f t="shared" si="135"/>
        <v>0</v>
      </c>
      <c r="E609" s="51"/>
      <c r="F609" s="51"/>
      <c r="G609" s="51"/>
      <c r="H609" s="51"/>
      <c r="I609" s="51"/>
      <c r="J609" s="51"/>
      <c r="K609" s="51"/>
      <c r="L609" s="51"/>
      <c r="M609" s="35"/>
      <c r="N609" s="51"/>
      <c r="O609" s="82"/>
      <c r="P609" s="51"/>
      <c r="Q609" s="338"/>
      <c r="R609" s="51"/>
      <c r="S609" s="51"/>
      <c r="T609" s="338"/>
      <c r="U609" s="51"/>
      <c r="V609" s="35"/>
      <c r="W609" s="364">
        <f t="shared" si="136"/>
        <v>676937.33000000007</v>
      </c>
      <c r="X609" s="144">
        <v>115260.12</v>
      </c>
      <c r="Y609" s="63">
        <v>164774.65</v>
      </c>
      <c r="Z609" s="478">
        <v>99805.6</v>
      </c>
      <c r="AA609" s="518"/>
      <c r="AB609" s="63">
        <v>88500.52</v>
      </c>
      <c r="AC609" s="63">
        <v>208596.44</v>
      </c>
      <c r="AD609" s="63"/>
      <c r="AE609" s="63"/>
      <c r="AF609" s="63"/>
      <c r="AG609" s="58"/>
    </row>
    <row r="610" spans="1:33" x14ac:dyDescent="0.3">
      <c r="A610" s="47">
        <f t="shared" si="137"/>
        <v>536</v>
      </c>
      <c r="B610" s="414" t="s">
        <v>767</v>
      </c>
      <c r="C610" s="51">
        <f t="shared" si="134"/>
        <v>1181233.3999999999</v>
      </c>
      <c r="D610" s="51">
        <f t="shared" si="135"/>
        <v>0</v>
      </c>
      <c r="E610" s="51"/>
      <c r="F610" s="51"/>
      <c r="G610" s="51"/>
      <c r="H610" s="51"/>
      <c r="I610" s="51"/>
      <c r="J610" s="51"/>
      <c r="K610" s="51"/>
      <c r="L610" s="51"/>
      <c r="M610" s="35"/>
      <c r="N610" s="51"/>
      <c r="O610" s="82"/>
      <c r="P610" s="51"/>
      <c r="Q610" s="338"/>
      <c r="R610" s="51"/>
      <c r="S610" s="51"/>
      <c r="T610" s="338"/>
      <c r="U610" s="51"/>
      <c r="V610" s="35"/>
      <c r="W610" s="364">
        <f t="shared" si="136"/>
        <v>1181233.3999999999</v>
      </c>
      <c r="X610" s="144">
        <v>194202.6</v>
      </c>
      <c r="Y610" s="63">
        <v>248257.66</v>
      </c>
      <c r="Z610" s="478">
        <v>200006.5</v>
      </c>
      <c r="AA610" s="518"/>
      <c r="AB610" s="63">
        <v>185618.2</v>
      </c>
      <c r="AC610" s="63">
        <v>353148.44</v>
      </c>
      <c r="AD610" s="63"/>
      <c r="AE610" s="63"/>
      <c r="AF610" s="63"/>
      <c r="AG610" s="58"/>
    </row>
    <row r="611" spans="1:33" x14ac:dyDescent="0.3">
      <c r="A611" s="47"/>
      <c r="B611" s="414" t="s">
        <v>211</v>
      </c>
      <c r="C611" s="51">
        <f t="shared" ref="C611:W611" si="138">SUM(C548:C610)</f>
        <v>75093054.809999973</v>
      </c>
      <c r="D611" s="51">
        <f t="shared" si="138"/>
        <v>0</v>
      </c>
      <c r="E611" s="51">
        <f t="shared" si="138"/>
        <v>0</v>
      </c>
      <c r="F611" s="51">
        <f t="shared" si="138"/>
        <v>0</v>
      </c>
      <c r="G611" s="51">
        <f t="shared" si="138"/>
        <v>0</v>
      </c>
      <c r="H611" s="51">
        <f t="shared" si="138"/>
        <v>0</v>
      </c>
      <c r="I611" s="51">
        <f t="shared" si="138"/>
        <v>0</v>
      </c>
      <c r="J611" s="51">
        <f t="shared" si="138"/>
        <v>0</v>
      </c>
      <c r="K611" s="51">
        <f t="shared" si="138"/>
        <v>0</v>
      </c>
      <c r="L611" s="51">
        <f t="shared" si="138"/>
        <v>0</v>
      </c>
      <c r="M611" s="35">
        <f t="shared" si="138"/>
        <v>0</v>
      </c>
      <c r="N611" s="51">
        <f t="shared" si="138"/>
        <v>0</v>
      </c>
      <c r="O611" s="82">
        <f t="shared" si="138"/>
        <v>0</v>
      </c>
      <c r="P611" s="51">
        <f t="shared" si="138"/>
        <v>0</v>
      </c>
      <c r="Q611" s="338">
        <f t="shared" si="138"/>
        <v>0</v>
      </c>
      <c r="R611" s="51">
        <f t="shared" si="138"/>
        <v>0</v>
      </c>
      <c r="S611" s="51">
        <f t="shared" si="138"/>
        <v>0</v>
      </c>
      <c r="T611" s="338">
        <f t="shared" si="138"/>
        <v>0</v>
      </c>
      <c r="U611" s="51">
        <f t="shared" si="138"/>
        <v>0</v>
      </c>
      <c r="V611" s="35">
        <f t="shared" si="138"/>
        <v>0</v>
      </c>
      <c r="W611" s="51">
        <f t="shared" si="138"/>
        <v>75093054.809999973</v>
      </c>
      <c r="X611" s="144"/>
      <c r="Y611" s="63"/>
      <c r="Z611" s="172"/>
      <c r="AA611" s="362"/>
      <c r="AB611" s="63"/>
      <c r="AC611" s="63"/>
      <c r="AD611" s="63"/>
      <c r="AE611" s="63"/>
      <c r="AF611" s="63"/>
      <c r="AG611" s="58"/>
    </row>
    <row r="612" spans="1:33" ht="31.2" x14ac:dyDescent="0.3">
      <c r="A612" s="47"/>
      <c r="B612" s="414" t="s">
        <v>768</v>
      </c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35"/>
      <c r="N612" s="51"/>
      <c r="O612" s="82"/>
      <c r="P612" s="51"/>
      <c r="Q612" s="338"/>
      <c r="R612" s="51"/>
      <c r="S612" s="51"/>
      <c r="T612" s="338"/>
      <c r="U612" s="51"/>
      <c r="V612" s="35"/>
      <c r="W612" s="364"/>
      <c r="X612" s="144"/>
      <c r="Y612" s="63"/>
      <c r="Z612" s="172"/>
      <c r="AA612" s="362"/>
      <c r="AB612" s="63"/>
      <c r="AC612" s="63"/>
      <c r="AD612" s="63"/>
      <c r="AE612" s="63"/>
      <c r="AF612" s="63"/>
      <c r="AG612" s="58"/>
    </row>
    <row r="613" spans="1:33" x14ac:dyDescent="0.3">
      <c r="A613" s="47">
        <f>A610+1</f>
        <v>537</v>
      </c>
      <c r="B613" s="414" t="s">
        <v>770</v>
      </c>
      <c r="C613" s="51">
        <f>D613+K613+L613+N613+R613+S613+U613+V613+W613</f>
        <v>4105213.2</v>
      </c>
      <c r="D613" s="51">
        <f>E613+F613+G613+H613+I613</f>
        <v>0</v>
      </c>
      <c r="E613" s="51"/>
      <c r="F613" s="51"/>
      <c r="G613" s="51"/>
      <c r="H613" s="51"/>
      <c r="I613" s="51"/>
      <c r="J613" s="51"/>
      <c r="K613" s="51"/>
      <c r="L613" s="51"/>
      <c r="M613" s="35">
        <f>1814.8</f>
        <v>1814.8</v>
      </c>
      <c r="N613" s="51">
        <v>4105213.2</v>
      </c>
      <c r="O613" s="82"/>
      <c r="P613" s="51"/>
      <c r="Q613" s="338"/>
      <c r="R613" s="51"/>
      <c r="S613" s="51"/>
      <c r="T613" s="338"/>
      <c r="U613" s="51"/>
      <c r="V613" s="35"/>
      <c r="W613" s="364"/>
      <c r="X613" s="141"/>
      <c r="Y613" s="62"/>
      <c r="Z613" s="62"/>
      <c r="AA613" s="62"/>
      <c r="AB613" s="62"/>
      <c r="AC613" s="62"/>
      <c r="AD613" s="62"/>
      <c r="AE613" s="62"/>
      <c r="AF613" s="62"/>
      <c r="AG613" s="58"/>
    </row>
    <row r="614" spans="1:33" x14ac:dyDescent="0.3">
      <c r="A614" s="47"/>
      <c r="B614" s="414" t="s">
        <v>211</v>
      </c>
      <c r="C614" s="51">
        <f t="shared" ref="C614:W614" si="139">SUM(C613:C613)</f>
        <v>4105213.2</v>
      </c>
      <c r="D614" s="51">
        <f t="shared" si="139"/>
        <v>0</v>
      </c>
      <c r="E614" s="51">
        <f t="shared" si="139"/>
        <v>0</v>
      </c>
      <c r="F614" s="51">
        <f t="shared" si="139"/>
        <v>0</v>
      </c>
      <c r="G614" s="51">
        <f t="shared" si="139"/>
        <v>0</v>
      </c>
      <c r="H614" s="51">
        <f t="shared" si="139"/>
        <v>0</v>
      </c>
      <c r="I614" s="51">
        <f t="shared" si="139"/>
        <v>0</v>
      </c>
      <c r="J614" s="51">
        <f t="shared" si="139"/>
        <v>0</v>
      </c>
      <c r="K614" s="51">
        <f t="shared" si="139"/>
        <v>0</v>
      </c>
      <c r="L614" s="51">
        <f t="shared" si="139"/>
        <v>0</v>
      </c>
      <c r="M614" s="35">
        <f t="shared" si="139"/>
        <v>1814.8</v>
      </c>
      <c r="N614" s="51">
        <f t="shared" si="139"/>
        <v>4105213.2</v>
      </c>
      <c r="O614" s="82">
        <f t="shared" si="139"/>
        <v>0</v>
      </c>
      <c r="P614" s="51">
        <f t="shared" si="139"/>
        <v>0</v>
      </c>
      <c r="Q614" s="338">
        <f t="shared" si="139"/>
        <v>0</v>
      </c>
      <c r="R614" s="51">
        <f t="shared" si="139"/>
        <v>0</v>
      </c>
      <c r="S614" s="51">
        <f t="shared" si="139"/>
        <v>0</v>
      </c>
      <c r="T614" s="338">
        <f t="shared" si="139"/>
        <v>0</v>
      </c>
      <c r="U614" s="51">
        <f t="shared" si="139"/>
        <v>0</v>
      </c>
      <c r="V614" s="35">
        <f t="shared" si="139"/>
        <v>0</v>
      </c>
      <c r="W614" s="51">
        <f t="shared" si="139"/>
        <v>0</v>
      </c>
      <c r="X614" s="141"/>
      <c r="Y614" s="62"/>
      <c r="Z614" s="62"/>
      <c r="AA614" s="62"/>
      <c r="AB614" s="62"/>
      <c r="AC614" s="62"/>
      <c r="AD614" s="62"/>
      <c r="AE614" s="63"/>
      <c r="AF614" s="62"/>
      <c r="AG614" s="58"/>
    </row>
    <row r="615" spans="1:33" ht="31.2" x14ac:dyDescent="0.3">
      <c r="A615" s="47"/>
      <c r="B615" s="414" t="s">
        <v>772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35"/>
      <c r="N615" s="51"/>
      <c r="O615" s="82"/>
      <c r="P615" s="51"/>
      <c r="Q615" s="338"/>
      <c r="R615" s="51"/>
      <c r="S615" s="51"/>
      <c r="T615" s="338"/>
      <c r="U615" s="51"/>
      <c r="V615" s="35"/>
      <c r="W615" s="364"/>
      <c r="X615" s="141"/>
      <c r="Y615" s="62"/>
      <c r="Z615" s="62"/>
      <c r="AA615" s="62"/>
      <c r="AB615" s="62"/>
      <c r="AC615" s="62"/>
      <c r="AD615" s="62"/>
      <c r="AE615" s="63"/>
      <c r="AF615" s="62"/>
      <c r="AG615" s="58"/>
    </row>
    <row r="616" spans="1:33" x14ac:dyDescent="0.3">
      <c r="A616" s="47">
        <f>A613+1</f>
        <v>538</v>
      </c>
      <c r="B616" s="414" t="s">
        <v>773</v>
      </c>
      <c r="C616" s="51">
        <f>D616+K616+L616+N616+R616+S616+U616+V616+W616</f>
        <v>146491.6</v>
      </c>
      <c r="D616" s="51">
        <f>E616+F616+G616+H616+I616</f>
        <v>0</v>
      </c>
      <c r="E616" s="51"/>
      <c r="F616" s="51"/>
      <c r="G616" s="51"/>
      <c r="H616" s="51"/>
      <c r="I616" s="51"/>
      <c r="J616" s="51"/>
      <c r="K616" s="51"/>
      <c r="L616" s="51"/>
      <c r="M616" s="35"/>
      <c r="N616" s="51"/>
      <c r="O616" s="82"/>
      <c r="P616" s="51"/>
      <c r="Q616" s="338"/>
      <c r="R616" s="51"/>
      <c r="S616" s="51"/>
      <c r="T616" s="338"/>
      <c r="U616" s="51"/>
      <c r="V616" s="35">
        <v>16491.599999999999</v>
      </c>
      <c r="W616" s="364">
        <v>130000</v>
      </c>
      <c r="X616" s="141"/>
      <c r="Y616" s="58"/>
      <c r="Z616" s="58"/>
      <c r="AA616" s="58"/>
      <c r="AB616" s="58"/>
      <c r="AC616" s="58"/>
      <c r="AD616" s="58"/>
      <c r="AE616" s="58"/>
      <c r="AF616" s="58"/>
      <c r="AG616" s="58"/>
    </row>
    <row r="617" spans="1:33" x14ac:dyDescent="0.3">
      <c r="A617" s="47">
        <f>A616+1</f>
        <v>539</v>
      </c>
      <c r="B617" s="414" t="s">
        <v>774</v>
      </c>
      <c r="C617" s="51">
        <f>D617+K617+L617+N617+R617+S617+U617+V617+W617</f>
        <v>152584</v>
      </c>
      <c r="D617" s="51">
        <f>E617+F617+G617+H617+I617</f>
        <v>0</v>
      </c>
      <c r="E617" s="51"/>
      <c r="F617" s="51"/>
      <c r="G617" s="51"/>
      <c r="H617" s="51"/>
      <c r="I617" s="51"/>
      <c r="J617" s="51"/>
      <c r="K617" s="51"/>
      <c r="L617" s="51"/>
      <c r="M617" s="35"/>
      <c r="N617" s="51"/>
      <c r="O617" s="82"/>
      <c r="P617" s="51"/>
      <c r="Q617" s="338"/>
      <c r="R617" s="51"/>
      <c r="S617" s="51"/>
      <c r="T617" s="338"/>
      <c r="U617" s="51"/>
      <c r="V617" s="35">
        <v>22584</v>
      </c>
      <c r="W617" s="364">
        <v>130000</v>
      </c>
      <c r="X617" s="141"/>
      <c r="Y617" s="58"/>
      <c r="Z617" s="58"/>
      <c r="AA617" s="58"/>
      <c r="AB617" s="58"/>
      <c r="AC617" s="58"/>
      <c r="AD617" s="58"/>
      <c r="AE617" s="58"/>
      <c r="AF617" s="58"/>
      <c r="AG617" s="58"/>
    </row>
    <row r="618" spans="1:33" x14ac:dyDescent="0.3">
      <c r="A618" s="47">
        <f>A617+1</f>
        <v>540</v>
      </c>
      <c r="B618" s="414" t="s">
        <v>775</v>
      </c>
      <c r="C618" s="51">
        <f>D618+K618+L618+N618+R618+S618+U618+V618+W618</f>
        <v>167213.20000000001</v>
      </c>
      <c r="D618" s="51">
        <f>E618+F618+G618+H618+I618</f>
        <v>0</v>
      </c>
      <c r="E618" s="51"/>
      <c r="F618" s="51"/>
      <c r="G618" s="51"/>
      <c r="H618" s="51"/>
      <c r="I618" s="51"/>
      <c r="J618" s="51"/>
      <c r="K618" s="51"/>
      <c r="L618" s="51"/>
      <c r="M618" s="35"/>
      <c r="N618" s="51"/>
      <c r="O618" s="82"/>
      <c r="P618" s="51"/>
      <c r="Q618" s="338"/>
      <c r="R618" s="51"/>
      <c r="S618" s="51"/>
      <c r="T618" s="338"/>
      <c r="U618" s="51"/>
      <c r="V618" s="35">
        <v>37213.199999999997</v>
      </c>
      <c r="W618" s="364">
        <v>130000</v>
      </c>
      <c r="X618" s="141"/>
      <c r="Y618" s="58"/>
      <c r="Z618" s="58"/>
      <c r="AA618" s="58"/>
      <c r="AB618" s="58"/>
      <c r="AC618" s="58"/>
      <c r="AD618" s="58"/>
      <c r="AE618" s="58"/>
      <c r="AF618" s="58"/>
      <c r="AG618" s="58"/>
    </row>
    <row r="619" spans="1:33" x14ac:dyDescent="0.3">
      <c r="A619" s="47">
        <f>A618+1</f>
        <v>541</v>
      </c>
      <c r="B619" s="414" t="s">
        <v>776</v>
      </c>
      <c r="C619" s="51">
        <f>D619+K619+L619+N619+R619+S619+U619+V619+W619</f>
        <v>130000</v>
      </c>
      <c r="D619" s="51">
        <f>E619+F619+G619+H619+I619</f>
        <v>0</v>
      </c>
      <c r="E619" s="51"/>
      <c r="F619" s="51"/>
      <c r="G619" s="51"/>
      <c r="H619" s="51"/>
      <c r="I619" s="51"/>
      <c r="J619" s="51"/>
      <c r="K619" s="51"/>
      <c r="L619" s="51"/>
      <c r="M619" s="35"/>
      <c r="N619" s="51"/>
      <c r="O619" s="82"/>
      <c r="P619" s="51"/>
      <c r="Q619" s="338"/>
      <c r="R619" s="51"/>
      <c r="S619" s="51"/>
      <c r="T619" s="338"/>
      <c r="U619" s="51"/>
      <c r="V619" s="35">
        <v>0</v>
      </c>
      <c r="W619" s="364">
        <v>130000</v>
      </c>
      <c r="X619" s="141"/>
      <c r="Y619" s="58"/>
      <c r="Z619" s="58"/>
      <c r="AA619" s="58"/>
      <c r="AB619" s="58"/>
      <c r="AC619" s="58"/>
      <c r="AD619" s="58"/>
      <c r="AE619" s="58"/>
      <c r="AF619" s="58"/>
      <c r="AG619" s="58"/>
    </row>
    <row r="620" spans="1:33" x14ac:dyDescent="0.3">
      <c r="A620" s="47">
        <f>A619+1</f>
        <v>542</v>
      </c>
      <c r="B620" s="414" t="s">
        <v>777</v>
      </c>
      <c r="C620" s="51">
        <f>D620+K620+L620+N620+R620+S620+U620+V620+W620</f>
        <v>145532.79999999999</v>
      </c>
      <c r="D620" s="51">
        <f>E620+F620+G620+H620+I620</f>
        <v>0</v>
      </c>
      <c r="E620" s="51"/>
      <c r="F620" s="51"/>
      <c r="G620" s="51"/>
      <c r="H620" s="51"/>
      <c r="I620" s="51"/>
      <c r="J620" s="51"/>
      <c r="K620" s="51"/>
      <c r="L620" s="51"/>
      <c r="M620" s="35"/>
      <c r="N620" s="51"/>
      <c r="O620" s="82"/>
      <c r="P620" s="51"/>
      <c r="Q620" s="338"/>
      <c r="R620" s="51"/>
      <c r="S620" s="51"/>
      <c r="T620" s="338"/>
      <c r="U620" s="51"/>
      <c r="V620" s="35">
        <v>15532.8</v>
      </c>
      <c r="W620" s="364">
        <v>130000</v>
      </c>
      <c r="X620" s="141"/>
      <c r="Y620" s="58"/>
      <c r="Z620" s="58"/>
      <c r="AA620" s="58"/>
      <c r="AB620" s="58"/>
      <c r="AC620" s="58"/>
      <c r="AD620" s="58"/>
      <c r="AE620" s="58"/>
      <c r="AF620" s="58"/>
      <c r="AG620" s="58"/>
    </row>
    <row r="621" spans="1:33" x14ac:dyDescent="0.3">
      <c r="A621" s="47"/>
      <c r="B621" s="414" t="s">
        <v>211</v>
      </c>
      <c r="C621" s="51">
        <f t="shared" ref="C621:W621" si="140">SUM(C616:C620)</f>
        <v>741821.60000000009</v>
      </c>
      <c r="D621" s="51">
        <f t="shared" si="140"/>
        <v>0</v>
      </c>
      <c r="E621" s="51">
        <f t="shared" si="140"/>
        <v>0</v>
      </c>
      <c r="F621" s="51">
        <f t="shared" si="140"/>
        <v>0</v>
      </c>
      <c r="G621" s="51">
        <f t="shared" si="140"/>
        <v>0</v>
      </c>
      <c r="H621" s="51">
        <f t="shared" si="140"/>
        <v>0</v>
      </c>
      <c r="I621" s="51">
        <f t="shared" si="140"/>
        <v>0</v>
      </c>
      <c r="J621" s="51">
        <f t="shared" si="140"/>
        <v>0</v>
      </c>
      <c r="K621" s="51">
        <f t="shared" si="140"/>
        <v>0</v>
      </c>
      <c r="L621" s="51">
        <f t="shared" si="140"/>
        <v>0</v>
      </c>
      <c r="M621" s="35">
        <f t="shared" si="140"/>
        <v>0</v>
      </c>
      <c r="N621" s="51">
        <f t="shared" si="140"/>
        <v>0</v>
      </c>
      <c r="O621" s="82">
        <f t="shared" si="140"/>
        <v>0</v>
      </c>
      <c r="P621" s="51">
        <f t="shared" si="140"/>
        <v>0</v>
      </c>
      <c r="Q621" s="338">
        <f t="shared" si="140"/>
        <v>0</v>
      </c>
      <c r="R621" s="51">
        <f t="shared" si="140"/>
        <v>0</v>
      </c>
      <c r="S621" s="51">
        <f t="shared" si="140"/>
        <v>0</v>
      </c>
      <c r="T621" s="338">
        <f t="shared" si="140"/>
        <v>0</v>
      </c>
      <c r="U621" s="51">
        <f t="shared" si="140"/>
        <v>0</v>
      </c>
      <c r="V621" s="35">
        <f t="shared" si="140"/>
        <v>91821.599999999991</v>
      </c>
      <c r="W621" s="51">
        <f t="shared" si="140"/>
        <v>650000</v>
      </c>
      <c r="X621" s="141"/>
      <c r="Y621" s="58"/>
      <c r="Z621" s="58"/>
      <c r="AA621" s="58"/>
      <c r="AB621" s="58"/>
      <c r="AC621" s="58"/>
      <c r="AD621" s="58"/>
      <c r="AE621" s="58"/>
      <c r="AF621" s="58"/>
      <c r="AG621" s="58"/>
    </row>
    <row r="622" spans="1:33" ht="31.2" x14ac:dyDescent="0.3">
      <c r="A622" s="47"/>
      <c r="B622" s="414" t="s">
        <v>778</v>
      </c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35"/>
      <c r="N622" s="51"/>
      <c r="O622" s="82"/>
      <c r="P622" s="51"/>
      <c r="Q622" s="338"/>
      <c r="R622" s="51"/>
      <c r="S622" s="51"/>
      <c r="T622" s="338"/>
      <c r="U622" s="51"/>
      <c r="V622" s="35"/>
      <c r="W622" s="364"/>
      <c r="X622" s="141"/>
      <c r="Y622" s="58"/>
      <c r="Z622" s="58"/>
      <c r="AA622" s="58"/>
      <c r="AB622" s="58"/>
      <c r="AC622" s="58"/>
      <c r="AD622" s="58"/>
      <c r="AE622" s="58"/>
      <c r="AF622" s="58"/>
      <c r="AG622" s="58"/>
    </row>
    <row r="623" spans="1:33" x14ac:dyDescent="0.3">
      <c r="A623" s="47">
        <f>A620+1</f>
        <v>543</v>
      </c>
      <c r="B623" s="414" t="s">
        <v>779</v>
      </c>
      <c r="C623" s="51">
        <f t="shared" ref="C623:C646" si="141">D623+K623+L623+N623+R623+S623+U623+V623+W623</f>
        <v>188905.06</v>
      </c>
      <c r="D623" s="51">
        <f t="shared" ref="D623:D646" si="142">E623+F623+G623+H623+I623</f>
        <v>0</v>
      </c>
      <c r="E623" s="51"/>
      <c r="F623" s="51"/>
      <c r="G623" s="51"/>
      <c r="H623" s="51"/>
      <c r="I623" s="51"/>
      <c r="J623" s="51"/>
      <c r="K623" s="51"/>
      <c r="L623" s="51"/>
      <c r="M623" s="35"/>
      <c r="N623" s="51"/>
      <c r="O623" s="82"/>
      <c r="P623" s="51"/>
      <c r="Q623" s="338"/>
      <c r="R623" s="51"/>
      <c r="S623" s="51"/>
      <c r="T623" s="338"/>
      <c r="U623" s="51"/>
      <c r="V623" s="35"/>
      <c r="W623" s="364">
        <f t="shared" ref="W623:W633" si="143">SUM(X623:AF623)</f>
        <v>188905.06</v>
      </c>
      <c r="X623" s="141"/>
      <c r="Y623" s="62"/>
      <c r="Z623" s="62"/>
      <c r="AA623" s="62"/>
      <c r="AB623" s="62"/>
      <c r="AC623" s="62"/>
      <c r="AD623" s="63">
        <v>188905.06</v>
      </c>
      <c r="AE623" s="62"/>
      <c r="AF623" s="62"/>
      <c r="AG623" s="62"/>
    </row>
    <row r="624" spans="1:33" x14ac:dyDescent="0.3">
      <c r="A624" s="47">
        <f t="shared" ref="A624:A646" si="144">A623+1</f>
        <v>544</v>
      </c>
      <c r="B624" s="414" t="s">
        <v>780</v>
      </c>
      <c r="C624" s="51">
        <f t="shared" si="141"/>
        <v>127773.2</v>
      </c>
      <c r="D624" s="51">
        <f t="shared" si="142"/>
        <v>0</v>
      </c>
      <c r="E624" s="51"/>
      <c r="F624" s="51"/>
      <c r="G624" s="51"/>
      <c r="H624" s="51"/>
      <c r="I624" s="51"/>
      <c r="J624" s="51"/>
      <c r="K624" s="51"/>
      <c r="L624" s="51"/>
      <c r="M624" s="35"/>
      <c r="N624" s="51"/>
      <c r="O624" s="82"/>
      <c r="P624" s="51"/>
      <c r="Q624" s="338"/>
      <c r="R624" s="51"/>
      <c r="S624" s="51"/>
      <c r="T624" s="338"/>
      <c r="U624" s="51"/>
      <c r="V624" s="35"/>
      <c r="W624" s="364">
        <f t="shared" si="143"/>
        <v>127773.2</v>
      </c>
      <c r="X624" s="144">
        <v>127773.2</v>
      </c>
      <c r="Y624" s="62"/>
      <c r="Z624" s="62"/>
      <c r="AA624" s="62"/>
      <c r="AB624" s="62"/>
      <c r="AC624" s="62"/>
      <c r="AD624" s="62"/>
      <c r="AE624" s="62"/>
      <c r="AF624" s="62"/>
      <c r="AG624" s="62"/>
    </row>
    <row r="625" spans="1:33" x14ac:dyDescent="0.3">
      <c r="A625" s="47">
        <f t="shared" si="144"/>
        <v>545</v>
      </c>
      <c r="B625" s="414" t="s">
        <v>781</v>
      </c>
      <c r="C625" s="51">
        <f t="shared" si="141"/>
        <v>607446.57000000007</v>
      </c>
      <c r="D625" s="51">
        <f t="shared" si="142"/>
        <v>0</v>
      </c>
      <c r="E625" s="51"/>
      <c r="F625" s="51"/>
      <c r="G625" s="51"/>
      <c r="H625" s="51"/>
      <c r="I625" s="51"/>
      <c r="J625" s="51"/>
      <c r="K625" s="51"/>
      <c r="L625" s="51"/>
      <c r="M625" s="35"/>
      <c r="N625" s="51"/>
      <c r="O625" s="82"/>
      <c r="P625" s="51"/>
      <c r="Q625" s="338"/>
      <c r="R625" s="51"/>
      <c r="S625" s="51"/>
      <c r="T625" s="338"/>
      <c r="U625" s="51"/>
      <c r="V625" s="35"/>
      <c r="W625" s="364">
        <f t="shared" si="143"/>
        <v>607446.57000000007</v>
      </c>
      <c r="X625" s="144">
        <v>123289.78</v>
      </c>
      <c r="Y625" s="62"/>
      <c r="Z625" s="62"/>
      <c r="AA625" s="62"/>
      <c r="AB625" s="62"/>
      <c r="AC625" s="63">
        <v>220969.14</v>
      </c>
      <c r="AD625" s="63">
        <v>263187.65000000002</v>
      </c>
      <c r="AE625" s="63"/>
      <c r="AF625" s="62"/>
      <c r="AG625" s="62"/>
    </row>
    <row r="626" spans="1:33" x14ac:dyDescent="0.3">
      <c r="A626" s="47">
        <f t="shared" si="144"/>
        <v>546</v>
      </c>
      <c r="B626" s="414" t="s">
        <v>782</v>
      </c>
      <c r="C626" s="51">
        <f t="shared" si="141"/>
        <v>481704.61</v>
      </c>
      <c r="D626" s="51">
        <f t="shared" si="142"/>
        <v>0</v>
      </c>
      <c r="E626" s="51"/>
      <c r="F626" s="51"/>
      <c r="G626" s="51"/>
      <c r="H626" s="51"/>
      <c r="I626" s="51"/>
      <c r="J626" s="51"/>
      <c r="K626" s="51"/>
      <c r="L626" s="51"/>
      <c r="M626" s="35"/>
      <c r="N626" s="51"/>
      <c r="O626" s="82"/>
      <c r="P626" s="51"/>
      <c r="Q626" s="338"/>
      <c r="R626" s="51"/>
      <c r="S626" s="51"/>
      <c r="T626" s="338"/>
      <c r="U626" s="51"/>
      <c r="V626" s="35"/>
      <c r="W626" s="364">
        <f t="shared" si="143"/>
        <v>481704.61</v>
      </c>
      <c r="X626" s="141"/>
      <c r="Y626" s="62"/>
      <c r="Z626" s="62"/>
      <c r="AA626" s="62"/>
      <c r="AB626" s="62"/>
      <c r="AC626" s="63">
        <v>216364.04</v>
      </c>
      <c r="AD626" s="63">
        <v>265340.57</v>
      </c>
      <c r="AE626" s="63"/>
      <c r="AF626" s="62"/>
      <c r="AG626" s="62"/>
    </row>
    <row r="627" spans="1:33" x14ac:dyDescent="0.3">
      <c r="A627" s="47">
        <f t="shared" si="144"/>
        <v>547</v>
      </c>
      <c r="B627" s="414" t="s">
        <v>783</v>
      </c>
      <c r="C627" s="51">
        <f t="shared" si="141"/>
        <v>261346.7</v>
      </c>
      <c r="D627" s="51">
        <f t="shared" si="142"/>
        <v>0</v>
      </c>
      <c r="E627" s="51"/>
      <c r="F627" s="51"/>
      <c r="G627" s="51"/>
      <c r="H627" s="51"/>
      <c r="I627" s="51"/>
      <c r="J627" s="51"/>
      <c r="K627" s="51"/>
      <c r="L627" s="51"/>
      <c r="M627" s="35"/>
      <c r="N627" s="51"/>
      <c r="O627" s="82"/>
      <c r="P627" s="51"/>
      <c r="Q627" s="338"/>
      <c r="R627" s="51"/>
      <c r="S627" s="51"/>
      <c r="T627" s="338"/>
      <c r="U627" s="51"/>
      <c r="V627" s="35"/>
      <c r="W627" s="364">
        <f t="shared" si="143"/>
        <v>261346.7</v>
      </c>
      <c r="X627" s="141"/>
      <c r="Y627" s="62"/>
      <c r="Z627" s="62"/>
      <c r="AA627" s="62"/>
      <c r="AB627" s="62"/>
      <c r="AC627" s="62"/>
      <c r="AD627" s="63">
        <v>261346.7</v>
      </c>
      <c r="AE627" s="62"/>
      <c r="AF627" s="62"/>
      <c r="AG627" s="62"/>
    </row>
    <row r="628" spans="1:33" x14ac:dyDescent="0.3">
      <c r="A628" s="47">
        <f t="shared" si="144"/>
        <v>548</v>
      </c>
      <c r="B628" s="414" t="s">
        <v>784</v>
      </c>
      <c r="C628" s="51">
        <f t="shared" si="141"/>
        <v>398259.3</v>
      </c>
      <c r="D628" s="51">
        <f t="shared" si="142"/>
        <v>0</v>
      </c>
      <c r="E628" s="51"/>
      <c r="F628" s="51"/>
      <c r="G628" s="51"/>
      <c r="H628" s="51"/>
      <c r="I628" s="51"/>
      <c r="J628" s="51"/>
      <c r="K628" s="51"/>
      <c r="L628" s="51"/>
      <c r="M628" s="35"/>
      <c r="N628" s="51"/>
      <c r="O628" s="82"/>
      <c r="P628" s="51"/>
      <c r="Q628" s="338"/>
      <c r="R628" s="51"/>
      <c r="S628" s="51"/>
      <c r="T628" s="338"/>
      <c r="U628" s="51"/>
      <c r="V628" s="35"/>
      <c r="W628" s="364">
        <f t="shared" si="143"/>
        <v>398259.3</v>
      </c>
      <c r="X628" s="141"/>
      <c r="Y628" s="62"/>
      <c r="Z628" s="62"/>
      <c r="AA628" s="62"/>
      <c r="AB628" s="62"/>
      <c r="AC628" s="63">
        <v>211982.69</v>
      </c>
      <c r="AD628" s="63">
        <v>186276.61</v>
      </c>
      <c r="AE628" s="63"/>
      <c r="AF628" s="62"/>
      <c r="AG628" s="62"/>
    </row>
    <row r="629" spans="1:33" x14ac:dyDescent="0.3">
      <c r="A629" s="47">
        <f t="shared" si="144"/>
        <v>549</v>
      </c>
      <c r="B629" s="414" t="s">
        <v>785</v>
      </c>
      <c r="C629" s="51">
        <f t="shared" si="141"/>
        <v>227138.35</v>
      </c>
      <c r="D629" s="51">
        <f t="shared" si="142"/>
        <v>0</v>
      </c>
      <c r="E629" s="51"/>
      <c r="F629" s="51"/>
      <c r="G629" s="51"/>
      <c r="H629" s="51"/>
      <c r="I629" s="51"/>
      <c r="J629" s="51"/>
      <c r="K629" s="51"/>
      <c r="L629" s="51"/>
      <c r="M629" s="35"/>
      <c r="N629" s="51"/>
      <c r="O629" s="82"/>
      <c r="P629" s="51"/>
      <c r="Q629" s="338"/>
      <c r="R629" s="51"/>
      <c r="S629" s="51"/>
      <c r="T629" s="338"/>
      <c r="U629" s="51"/>
      <c r="V629" s="35"/>
      <c r="W629" s="364">
        <f t="shared" si="143"/>
        <v>227138.35</v>
      </c>
      <c r="X629" s="141"/>
      <c r="Y629" s="62"/>
      <c r="Z629" s="62"/>
      <c r="AA629" s="62"/>
      <c r="AB629" s="62"/>
      <c r="AC629" s="62"/>
      <c r="AD629" s="63">
        <v>227138.35</v>
      </c>
      <c r="AE629" s="62"/>
      <c r="AF629" s="62"/>
      <c r="AG629" s="62"/>
    </row>
    <row r="630" spans="1:33" x14ac:dyDescent="0.3">
      <c r="A630" s="47">
        <f t="shared" si="144"/>
        <v>550</v>
      </c>
      <c r="B630" s="414" t="s">
        <v>786</v>
      </c>
      <c r="C630" s="51">
        <f t="shared" si="141"/>
        <v>304994.81</v>
      </c>
      <c r="D630" s="51">
        <f t="shared" si="142"/>
        <v>0</v>
      </c>
      <c r="E630" s="51"/>
      <c r="F630" s="51"/>
      <c r="G630" s="51"/>
      <c r="H630" s="51"/>
      <c r="I630" s="51"/>
      <c r="J630" s="51"/>
      <c r="K630" s="51"/>
      <c r="L630" s="51"/>
      <c r="M630" s="35"/>
      <c r="N630" s="51"/>
      <c r="O630" s="82"/>
      <c r="P630" s="51"/>
      <c r="Q630" s="338"/>
      <c r="R630" s="51"/>
      <c r="S630" s="51"/>
      <c r="T630" s="338"/>
      <c r="U630" s="51"/>
      <c r="V630" s="35"/>
      <c r="W630" s="364">
        <f t="shared" si="143"/>
        <v>304994.81</v>
      </c>
      <c r="X630" s="144">
        <v>98364.53</v>
      </c>
      <c r="Y630" s="63"/>
      <c r="Z630" s="63"/>
      <c r="AA630" s="63"/>
      <c r="AB630" s="63"/>
      <c r="AC630" s="63"/>
      <c r="AD630" s="63">
        <v>206630.28</v>
      </c>
      <c r="AE630" s="62"/>
      <c r="AF630" s="62"/>
      <c r="AG630" s="62"/>
    </row>
    <row r="631" spans="1:33" x14ac:dyDescent="0.3">
      <c r="A631" s="47">
        <f t="shared" si="144"/>
        <v>551</v>
      </c>
      <c r="B631" s="414" t="s">
        <v>787</v>
      </c>
      <c r="C631" s="51">
        <f t="shared" si="141"/>
        <v>478246.27</v>
      </c>
      <c r="D631" s="51">
        <f t="shared" si="142"/>
        <v>0</v>
      </c>
      <c r="E631" s="51"/>
      <c r="F631" s="51"/>
      <c r="G631" s="51"/>
      <c r="H631" s="51"/>
      <c r="I631" s="51"/>
      <c r="J631" s="51"/>
      <c r="K631" s="51"/>
      <c r="L631" s="51"/>
      <c r="M631" s="35"/>
      <c r="N631" s="51"/>
      <c r="O631" s="82"/>
      <c r="P631" s="51"/>
      <c r="Q631" s="338"/>
      <c r="R631" s="51"/>
      <c r="S631" s="51"/>
      <c r="T631" s="338"/>
      <c r="U631" s="51"/>
      <c r="V631" s="35"/>
      <c r="W631" s="364">
        <f t="shared" si="143"/>
        <v>478246.27</v>
      </c>
      <c r="X631" s="144">
        <v>93302.21</v>
      </c>
      <c r="Y631" s="63"/>
      <c r="Z631" s="63"/>
      <c r="AA631" s="63"/>
      <c r="AB631" s="63"/>
      <c r="AC631" s="63">
        <v>173808.43</v>
      </c>
      <c r="AD631" s="63">
        <v>211135.63</v>
      </c>
      <c r="AE631" s="63"/>
      <c r="AF631" s="62"/>
      <c r="AG631" s="62"/>
    </row>
    <row r="632" spans="1:33" x14ac:dyDescent="0.3">
      <c r="A632" s="47">
        <f t="shared" si="144"/>
        <v>552</v>
      </c>
      <c r="B632" s="414" t="s">
        <v>788</v>
      </c>
      <c r="C632" s="51">
        <f t="shared" si="141"/>
        <v>482414.72</v>
      </c>
      <c r="D632" s="51">
        <f t="shared" si="142"/>
        <v>0</v>
      </c>
      <c r="E632" s="51"/>
      <c r="F632" s="51"/>
      <c r="G632" s="51"/>
      <c r="H632" s="51"/>
      <c r="I632" s="51"/>
      <c r="J632" s="51"/>
      <c r="K632" s="51"/>
      <c r="L632" s="51"/>
      <c r="M632" s="35"/>
      <c r="N632" s="51"/>
      <c r="O632" s="82"/>
      <c r="P632" s="51"/>
      <c r="Q632" s="338"/>
      <c r="R632" s="51"/>
      <c r="S632" s="51"/>
      <c r="T632" s="338"/>
      <c r="U632" s="51"/>
      <c r="V632" s="35"/>
      <c r="W632" s="364">
        <f t="shared" si="143"/>
        <v>482414.72</v>
      </c>
      <c r="X632" s="141"/>
      <c r="Y632" s="62"/>
      <c r="Z632" s="62"/>
      <c r="AA632" s="62"/>
      <c r="AB632" s="62"/>
      <c r="AC632" s="63">
        <v>216674</v>
      </c>
      <c r="AD632" s="63">
        <v>265740.71999999997</v>
      </c>
      <c r="AE632" s="63"/>
      <c r="AF632" s="62"/>
      <c r="AG632" s="62"/>
    </row>
    <row r="633" spans="1:33" x14ac:dyDescent="0.3">
      <c r="A633" s="47">
        <f t="shared" si="144"/>
        <v>553</v>
      </c>
      <c r="B633" s="414" t="s">
        <v>789</v>
      </c>
      <c r="C633" s="51">
        <f t="shared" si="141"/>
        <v>408750.82</v>
      </c>
      <c r="D633" s="51">
        <f t="shared" si="142"/>
        <v>0</v>
      </c>
      <c r="E633" s="51"/>
      <c r="F633" s="51"/>
      <c r="G633" s="51"/>
      <c r="H633" s="51"/>
      <c r="I633" s="51"/>
      <c r="J633" s="51"/>
      <c r="K633" s="51"/>
      <c r="L633" s="51"/>
      <c r="M633" s="35"/>
      <c r="N633" s="51"/>
      <c r="O633" s="82"/>
      <c r="P633" s="51"/>
      <c r="Q633" s="338"/>
      <c r="R633" s="51"/>
      <c r="S633" s="51"/>
      <c r="T633" s="338"/>
      <c r="U633" s="51"/>
      <c r="V633" s="35"/>
      <c r="W633" s="364">
        <f t="shared" si="143"/>
        <v>408750.82</v>
      </c>
      <c r="X633" s="141"/>
      <c r="Y633" s="62"/>
      <c r="Z633" s="62"/>
      <c r="AA633" s="62"/>
      <c r="AB633" s="62"/>
      <c r="AC633" s="63">
        <v>212532.42</v>
      </c>
      <c r="AD633" s="63">
        <v>196218.4</v>
      </c>
      <c r="AE633" s="63"/>
      <c r="AF633" s="62"/>
      <c r="AG633" s="62"/>
    </row>
    <row r="634" spans="1:33" x14ac:dyDescent="0.3">
      <c r="A634" s="47">
        <f t="shared" si="144"/>
        <v>554</v>
      </c>
      <c r="B634" s="414" t="s">
        <v>790</v>
      </c>
      <c r="C634" s="51">
        <f t="shared" si="141"/>
        <v>130000</v>
      </c>
      <c r="D634" s="51">
        <f t="shared" si="142"/>
        <v>0</v>
      </c>
      <c r="E634" s="51"/>
      <c r="F634" s="51"/>
      <c r="G634" s="51"/>
      <c r="H634" s="51"/>
      <c r="I634" s="51"/>
      <c r="J634" s="51"/>
      <c r="K634" s="51"/>
      <c r="L634" s="51"/>
      <c r="M634" s="35"/>
      <c r="N634" s="51"/>
      <c r="O634" s="82"/>
      <c r="P634" s="51"/>
      <c r="Q634" s="338"/>
      <c r="R634" s="51"/>
      <c r="S634" s="51"/>
      <c r="T634" s="338"/>
      <c r="U634" s="51"/>
      <c r="V634" s="35"/>
      <c r="W634" s="364">
        <v>130000</v>
      </c>
      <c r="X634" s="141"/>
      <c r="Y634" s="62"/>
      <c r="Z634" s="62"/>
      <c r="AA634" s="62"/>
      <c r="AB634" s="62"/>
      <c r="AC634" s="62"/>
      <c r="AD634" s="62"/>
      <c r="AE634" s="62"/>
      <c r="AF634" s="62"/>
      <c r="AG634" s="62"/>
    </row>
    <row r="635" spans="1:33" x14ac:dyDescent="0.3">
      <c r="A635" s="47">
        <f t="shared" si="144"/>
        <v>555</v>
      </c>
      <c r="B635" s="414" t="s">
        <v>791</v>
      </c>
      <c r="C635" s="51">
        <f t="shared" si="141"/>
        <v>475216.70000000007</v>
      </c>
      <c r="D635" s="51">
        <f t="shared" si="142"/>
        <v>0</v>
      </c>
      <c r="E635" s="51"/>
      <c r="F635" s="51"/>
      <c r="G635" s="51"/>
      <c r="H635" s="51"/>
      <c r="I635" s="51"/>
      <c r="J635" s="51"/>
      <c r="K635" s="51"/>
      <c r="L635" s="51"/>
      <c r="M635" s="35"/>
      <c r="N635" s="51"/>
      <c r="O635" s="82"/>
      <c r="P635" s="51"/>
      <c r="Q635" s="338"/>
      <c r="R635" s="51"/>
      <c r="S635" s="51"/>
      <c r="T635" s="338"/>
      <c r="U635" s="51"/>
      <c r="V635" s="35"/>
      <c r="W635" s="364">
        <f t="shared" ref="W635:W646" si="145">SUM(X635:AF635)</f>
        <v>475216.70000000007</v>
      </c>
      <c r="X635" s="141"/>
      <c r="Y635" s="48"/>
      <c r="Z635" s="61"/>
      <c r="AA635" s="62"/>
      <c r="AB635" s="63">
        <v>98944.49</v>
      </c>
      <c r="AC635" s="63">
        <v>190005.73</v>
      </c>
      <c r="AD635" s="63">
        <v>186266.48</v>
      </c>
      <c r="AE635" s="62"/>
      <c r="AF635" s="62"/>
      <c r="AG635" s="62"/>
    </row>
    <row r="636" spans="1:33" x14ac:dyDescent="0.3">
      <c r="A636" s="47">
        <f t="shared" si="144"/>
        <v>556</v>
      </c>
      <c r="B636" s="414" t="s">
        <v>792</v>
      </c>
      <c r="C636" s="51">
        <f t="shared" si="141"/>
        <v>144156.19</v>
      </c>
      <c r="D636" s="51">
        <f t="shared" si="142"/>
        <v>0</v>
      </c>
      <c r="E636" s="51"/>
      <c r="F636" s="51"/>
      <c r="G636" s="51"/>
      <c r="H636" s="51"/>
      <c r="I636" s="51"/>
      <c r="J636" s="51"/>
      <c r="K636" s="51"/>
      <c r="L636" s="51"/>
      <c r="M636" s="35"/>
      <c r="N636" s="51"/>
      <c r="O636" s="82"/>
      <c r="P636" s="51"/>
      <c r="Q636" s="338"/>
      <c r="R636" s="51"/>
      <c r="S636" s="51"/>
      <c r="T636" s="338"/>
      <c r="U636" s="51"/>
      <c r="V636" s="35"/>
      <c r="W636" s="364">
        <f t="shared" si="145"/>
        <v>144156.19</v>
      </c>
      <c r="X636" s="141"/>
      <c r="Y636" s="48"/>
      <c r="Z636" s="61"/>
      <c r="AA636" s="62"/>
      <c r="AB636" s="63">
        <v>39682.879999999997</v>
      </c>
      <c r="AC636" s="63"/>
      <c r="AD636" s="63">
        <v>104473.31</v>
      </c>
      <c r="AE636" s="62"/>
      <c r="AF636" s="62"/>
      <c r="AG636" s="62"/>
    </row>
    <row r="637" spans="1:33" x14ac:dyDescent="0.3">
      <c r="A637" s="47">
        <f t="shared" si="144"/>
        <v>557</v>
      </c>
      <c r="B637" s="414" t="s">
        <v>793</v>
      </c>
      <c r="C637" s="51">
        <f t="shared" si="141"/>
        <v>239727.02000000002</v>
      </c>
      <c r="D637" s="51">
        <f t="shared" si="142"/>
        <v>0</v>
      </c>
      <c r="E637" s="51"/>
      <c r="F637" s="51"/>
      <c r="G637" s="51"/>
      <c r="H637" s="51"/>
      <c r="I637" s="51"/>
      <c r="J637" s="51"/>
      <c r="K637" s="51"/>
      <c r="L637" s="51"/>
      <c r="M637" s="35"/>
      <c r="N637" s="51"/>
      <c r="O637" s="82"/>
      <c r="P637" s="51"/>
      <c r="Q637" s="338"/>
      <c r="R637" s="51"/>
      <c r="S637" s="51"/>
      <c r="T637" s="338"/>
      <c r="U637" s="51"/>
      <c r="V637" s="35"/>
      <c r="W637" s="364">
        <f t="shared" si="145"/>
        <v>239727.02000000002</v>
      </c>
      <c r="X637" s="141"/>
      <c r="Y637" s="172">
        <v>129926.95</v>
      </c>
      <c r="Z637" s="64">
        <v>109800.07</v>
      </c>
      <c r="AA637" s="62"/>
      <c r="AB637" s="62"/>
      <c r="AC637" s="62"/>
      <c r="AD637" s="62"/>
      <c r="AE637" s="62"/>
      <c r="AF637" s="62"/>
      <c r="AG637" s="62"/>
    </row>
    <row r="638" spans="1:33" x14ac:dyDescent="0.3">
      <c r="A638" s="47">
        <f t="shared" si="144"/>
        <v>558</v>
      </c>
      <c r="B638" s="414" t="s">
        <v>794</v>
      </c>
      <c r="C638" s="51">
        <f t="shared" si="141"/>
        <v>428324.15</v>
      </c>
      <c r="D638" s="51">
        <f t="shared" si="142"/>
        <v>0</v>
      </c>
      <c r="E638" s="51"/>
      <c r="F638" s="51"/>
      <c r="G638" s="51"/>
      <c r="H638" s="51"/>
      <c r="I638" s="51"/>
      <c r="J638" s="51"/>
      <c r="K638" s="51"/>
      <c r="L638" s="51"/>
      <c r="M638" s="35"/>
      <c r="N638" s="51"/>
      <c r="O638" s="82"/>
      <c r="P638" s="51"/>
      <c r="Q638" s="338"/>
      <c r="R638" s="51"/>
      <c r="S638" s="51"/>
      <c r="T638" s="338"/>
      <c r="U638" s="51"/>
      <c r="V638" s="35"/>
      <c r="W638" s="364">
        <f t="shared" si="145"/>
        <v>428324.15</v>
      </c>
      <c r="X638" s="141"/>
      <c r="Y638" s="48"/>
      <c r="Z638" s="61"/>
      <c r="AA638" s="62"/>
      <c r="AB638" s="62"/>
      <c r="AC638" s="63">
        <v>193844.71</v>
      </c>
      <c r="AD638" s="63">
        <v>234479.44</v>
      </c>
      <c r="AE638" s="62"/>
      <c r="AF638" s="62"/>
      <c r="AG638" s="62"/>
    </row>
    <row r="639" spans="1:33" x14ac:dyDescent="0.3">
      <c r="A639" s="47">
        <f t="shared" si="144"/>
        <v>559</v>
      </c>
      <c r="B639" s="414" t="s">
        <v>795</v>
      </c>
      <c r="C639" s="51">
        <f t="shared" si="141"/>
        <v>462098.1</v>
      </c>
      <c r="D639" s="51">
        <f t="shared" si="142"/>
        <v>0</v>
      </c>
      <c r="E639" s="51"/>
      <c r="F639" s="51"/>
      <c r="G639" s="51"/>
      <c r="H639" s="51"/>
      <c r="I639" s="51"/>
      <c r="J639" s="51"/>
      <c r="K639" s="51"/>
      <c r="L639" s="51"/>
      <c r="M639" s="35"/>
      <c r="N639" s="51"/>
      <c r="O639" s="82"/>
      <c r="P639" s="51"/>
      <c r="Q639" s="338"/>
      <c r="R639" s="51"/>
      <c r="S639" s="51"/>
      <c r="T639" s="338"/>
      <c r="U639" s="51"/>
      <c r="V639" s="35"/>
      <c r="W639" s="364">
        <f t="shared" si="145"/>
        <v>462098.1</v>
      </c>
      <c r="X639" s="141"/>
      <c r="Y639" s="172">
        <v>126233.59</v>
      </c>
      <c r="Z639" s="64">
        <v>106287.01</v>
      </c>
      <c r="AA639" s="62"/>
      <c r="AB639" s="62"/>
      <c r="AC639" s="62"/>
      <c r="AD639" s="63">
        <v>229577.5</v>
      </c>
      <c r="AE639" s="62"/>
      <c r="AF639" s="62"/>
      <c r="AG639" s="62"/>
    </row>
    <row r="640" spans="1:33" x14ac:dyDescent="0.3">
      <c r="A640" s="47">
        <f t="shared" si="144"/>
        <v>560</v>
      </c>
      <c r="B640" s="414" t="s">
        <v>796</v>
      </c>
      <c r="C640" s="51">
        <f t="shared" si="141"/>
        <v>234479.44</v>
      </c>
      <c r="D640" s="51">
        <f t="shared" si="142"/>
        <v>0</v>
      </c>
      <c r="E640" s="51"/>
      <c r="F640" s="51"/>
      <c r="G640" s="51"/>
      <c r="H640" s="51"/>
      <c r="I640" s="51"/>
      <c r="J640" s="51"/>
      <c r="K640" s="51"/>
      <c r="L640" s="51"/>
      <c r="M640" s="35"/>
      <c r="N640" s="51"/>
      <c r="O640" s="82"/>
      <c r="P640" s="51"/>
      <c r="Q640" s="338"/>
      <c r="R640" s="51"/>
      <c r="S640" s="51"/>
      <c r="T640" s="338"/>
      <c r="U640" s="51"/>
      <c r="V640" s="35"/>
      <c r="W640" s="364">
        <f t="shared" si="145"/>
        <v>234479.44</v>
      </c>
      <c r="X640" s="141"/>
      <c r="Y640" s="48"/>
      <c r="Z640" s="61"/>
      <c r="AA640" s="62"/>
      <c r="AB640" s="62"/>
      <c r="AC640" s="62"/>
      <c r="AD640" s="63">
        <v>234479.44</v>
      </c>
      <c r="AE640" s="62"/>
      <c r="AF640" s="62"/>
      <c r="AG640" s="62"/>
    </row>
    <row r="641" spans="1:33" x14ac:dyDescent="0.3">
      <c r="A641" s="47">
        <f t="shared" si="144"/>
        <v>561</v>
      </c>
      <c r="B641" s="414" t="s">
        <v>797</v>
      </c>
      <c r="C641" s="51">
        <f t="shared" si="141"/>
        <v>499484.41000000003</v>
      </c>
      <c r="D641" s="51">
        <f t="shared" si="142"/>
        <v>0</v>
      </c>
      <c r="E641" s="51"/>
      <c r="F641" s="51"/>
      <c r="G641" s="51"/>
      <c r="H641" s="51"/>
      <c r="I641" s="51"/>
      <c r="J641" s="51"/>
      <c r="K641" s="51"/>
      <c r="L641" s="51"/>
      <c r="M641" s="35"/>
      <c r="N641" s="51"/>
      <c r="O641" s="82"/>
      <c r="P641" s="51"/>
      <c r="Q641" s="338"/>
      <c r="R641" s="51"/>
      <c r="S641" s="51"/>
      <c r="T641" s="338"/>
      <c r="U641" s="51"/>
      <c r="V641" s="35"/>
      <c r="W641" s="364">
        <f t="shared" si="145"/>
        <v>499484.41000000003</v>
      </c>
      <c r="X641" s="141"/>
      <c r="Y641" s="172">
        <v>149071.67999999999</v>
      </c>
      <c r="Z641" s="64">
        <v>121631.76</v>
      </c>
      <c r="AA641" s="62"/>
      <c r="AB641" s="62"/>
      <c r="AC641" s="62"/>
      <c r="AD641" s="63">
        <v>228780.97</v>
      </c>
      <c r="AE641" s="62"/>
      <c r="AF641" s="62"/>
      <c r="AG641" s="62"/>
    </row>
    <row r="642" spans="1:33" x14ac:dyDescent="0.3">
      <c r="A642" s="47">
        <f t="shared" si="144"/>
        <v>562</v>
      </c>
      <c r="B642" s="414" t="s">
        <v>798</v>
      </c>
      <c r="C642" s="51">
        <f t="shared" si="141"/>
        <v>629179.93000000005</v>
      </c>
      <c r="D642" s="51">
        <f t="shared" si="142"/>
        <v>0</v>
      </c>
      <c r="E642" s="51"/>
      <c r="F642" s="51"/>
      <c r="G642" s="51"/>
      <c r="H642" s="51"/>
      <c r="I642" s="51"/>
      <c r="J642" s="51"/>
      <c r="K642" s="51"/>
      <c r="L642" s="51"/>
      <c r="M642" s="35"/>
      <c r="N642" s="51"/>
      <c r="O642" s="82"/>
      <c r="P642" s="51"/>
      <c r="Q642" s="338"/>
      <c r="R642" s="51"/>
      <c r="S642" s="51"/>
      <c r="T642" s="338"/>
      <c r="U642" s="51"/>
      <c r="V642" s="35"/>
      <c r="W642" s="364">
        <f t="shared" si="145"/>
        <v>629179.93000000005</v>
      </c>
      <c r="X642" s="141"/>
      <c r="Y642" s="48"/>
      <c r="Z642" s="61"/>
      <c r="AA642" s="62"/>
      <c r="AB642" s="62"/>
      <c r="AC642" s="63">
        <v>429586.52</v>
      </c>
      <c r="AD642" s="63">
        <v>199593.41</v>
      </c>
      <c r="AE642" s="63"/>
      <c r="AF642" s="62"/>
      <c r="AG642" s="62"/>
    </row>
    <row r="643" spans="1:33" x14ac:dyDescent="0.3">
      <c r="A643" s="47">
        <f t="shared" si="144"/>
        <v>563</v>
      </c>
      <c r="B643" s="414" t="s">
        <v>799</v>
      </c>
      <c r="C643" s="51">
        <f t="shared" si="141"/>
        <v>1155963.1299999999</v>
      </c>
      <c r="D643" s="51">
        <f t="shared" si="142"/>
        <v>0</v>
      </c>
      <c r="E643" s="51"/>
      <c r="F643" s="51"/>
      <c r="G643" s="51"/>
      <c r="H643" s="51"/>
      <c r="I643" s="51"/>
      <c r="J643" s="51"/>
      <c r="K643" s="51"/>
      <c r="L643" s="51"/>
      <c r="M643" s="35"/>
      <c r="N643" s="51"/>
      <c r="O643" s="82"/>
      <c r="P643" s="51"/>
      <c r="Q643" s="338"/>
      <c r="R643" s="51"/>
      <c r="S643" s="51"/>
      <c r="T643" s="338"/>
      <c r="U643" s="51"/>
      <c r="V643" s="35"/>
      <c r="W643" s="364">
        <f t="shared" si="145"/>
        <v>1155963.1299999999</v>
      </c>
      <c r="X643" s="141"/>
      <c r="Y643" s="172">
        <v>296003.62</v>
      </c>
      <c r="Z643" s="64">
        <v>230779.58</v>
      </c>
      <c r="AA643" s="63"/>
      <c r="AB643" s="63"/>
      <c r="AC643" s="63">
        <v>429586.52</v>
      </c>
      <c r="AD643" s="63">
        <v>199593.41</v>
      </c>
      <c r="AE643" s="63"/>
      <c r="AF643" s="62"/>
      <c r="AG643" s="62"/>
    </row>
    <row r="644" spans="1:33" x14ac:dyDescent="0.3">
      <c r="A644" s="47">
        <f t="shared" si="144"/>
        <v>564</v>
      </c>
      <c r="B644" s="414" t="s">
        <v>800</v>
      </c>
      <c r="C644" s="51">
        <f t="shared" si="141"/>
        <v>188970.86</v>
      </c>
      <c r="D644" s="51">
        <f t="shared" si="142"/>
        <v>0</v>
      </c>
      <c r="E644" s="51"/>
      <c r="F644" s="51"/>
      <c r="G644" s="51"/>
      <c r="H644" s="51"/>
      <c r="I644" s="51"/>
      <c r="J644" s="51"/>
      <c r="K644" s="51"/>
      <c r="L644" s="51"/>
      <c r="M644" s="35"/>
      <c r="N644" s="51"/>
      <c r="O644" s="82"/>
      <c r="P644" s="51"/>
      <c r="Q644" s="338"/>
      <c r="R644" s="51"/>
      <c r="S644" s="51"/>
      <c r="T644" s="338"/>
      <c r="U644" s="51"/>
      <c r="V644" s="35"/>
      <c r="W644" s="364">
        <f t="shared" si="145"/>
        <v>188970.86</v>
      </c>
      <c r="X644" s="141"/>
      <c r="Y644" s="48"/>
      <c r="Z644" s="61"/>
      <c r="AA644" s="62"/>
      <c r="AB644" s="62"/>
      <c r="AC644" s="62"/>
      <c r="AD644" s="63">
        <v>188970.86</v>
      </c>
      <c r="AE644" s="63"/>
      <c r="AF644" s="62"/>
      <c r="AG644" s="62"/>
    </row>
    <row r="645" spans="1:33" x14ac:dyDescent="0.3">
      <c r="A645" s="47">
        <f t="shared" si="144"/>
        <v>565</v>
      </c>
      <c r="B645" s="414" t="s">
        <v>801</v>
      </c>
      <c r="C645" s="51">
        <f t="shared" si="141"/>
        <v>586295.06000000006</v>
      </c>
      <c r="D645" s="51">
        <f t="shared" si="142"/>
        <v>0</v>
      </c>
      <c r="E645" s="51"/>
      <c r="F645" s="51"/>
      <c r="G645" s="51"/>
      <c r="H645" s="51"/>
      <c r="I645" s="51"/>
      <c r="J645" s="51"/>
      <c r="K645" s="51"/>
      <c r="L645" s="51"/>
      <c r="M645" s="35"/>
      <c r="N645" s="51"/>
      <c r="O645" s="82"/>
      <c r="P645" s="51"/>
      <c r="Q645" s="338"/>
      <c r="R645" s="51"/>
      <c r="S645" s="51"/>
      <c r="T645" s="338"/>
      <c r="U645" s="51"/>
      <c r="V645" s="35"/>
      <c r="W645" s="364">
        <f t="shared" si="145"/>
        <v>586295.06000000006</v>
      </c>
      <c r="X645" s="141"/>
      <c r="Y645" s="48"/>
      <c r="Z645" s="61"/>
      <c r="AA645" s="62"/>
      <c r="AB645" s="62"/>
      <c r="AC645" s="63">
        <v>398768.24</v>
      </c>
      <c r="AD645" s="63">
        <v>187526.82</v>
      </c>
      <c r="AE645" s="63"/>
      <c r="AF645" s="62"/>
      <c r="AG645" s="62"/>
    </row>
    <row r="646" spans="1:33" x14ac:dyDescent="0.3">
      <c r="A646" s="47">
        <f t="shared" si="144"/>
        <v>566</v>
      </c>
      <c r="B646" s="414" t="s">
        <v>802</v>
      </c>
      <c r="C646" s="51">
        <f t="shared" si="141"/>
        <v>188121.68</v>
      </c>
      <c r="D646" s="51">
        <f t="shared" si="142"/>
        <v>0</v>
      </c>
      <c r="E646" s="51"/>
      <c r="F646" s="51"/>
      <c r="G646" s="51"/>
      <c r="H646" s="51"/>
      <c r="I646" s="51"/>
      <c r="J646" s="51"/>
      <c r="K646" s="51"/>
      <c r="L646" s="51"/>
      <c r="M646" s="35"/>
      <c r="N646" s="51"/>
      <c r="O646" s="82"/>
      <c r="P646" s="51"/>
      <c r="Q646" s="338"/>
      <c r="R646" s="51"/>
      <c r="S646" s="51"/>
      <c r="T646" s="338"/>
      <c r="U646" s="51"/>
      <c r="V646" s="35"/>
      <c r="W646" s="364">
        <f t="shared" si="145"/>
        <v>188121.68</v>
      </c>
      <c r="X646" s="144">
        <v>60536.86</v>
      </c>
      <c r="Y646" s="48"/>
      <c r="Z646" s="61"/>
      <c r="AA646" s="62"/>
      <c r="AB646" s="62"/>
      <c r="AC646" s="62">
        <v>127584.82</v>
      </c>
      <c r="AD646" s="62"/>
      <c r="AE646" s="63"/>
      <c r="AF646" s="62"/>
      <c r="AG646" s="62"/>
    </row>
    <row r="647" spans="1:33" x14ac:dyDescent="0.3">
      <c r="A647" s="45"/>
      <c r="B647" s="414" t="s">
        <v>211</v>
      </c>
      <c r="C647" s="51">
        <f t="shared" ref="C647:W647" si="146">SUM(C623:C646)</f>
        <v>9328997.0800000001</v>
      </c>
      <c r="D647" s="51">
        <f t="shared" si="146"/>
        <v>0</v>
      </c>
      <c r="E647" s="51">
        <f t="shared" si="146"/>
        <v>0</v>
      </c>
      <c r="F647" s="51">
        <f t="shared" si="146"/>
        <v>0</v>
      </c>
      <c r="G647" s="51">
        <f t="shared" si="146"/>
        <v>0</v>
      </c>
      <c r="H647" s="51">
        <f t="shared" si="146"/>
        <v>0</v>
      </c>
      <c r="I647" s="51">
        <f t="shared" si="146"/>
        <v>0</v>
      </c>
      <c r="J647" s="51">
        <f t="shared" si="146"/>
        <v>0</v>
      </c>
      <c r="K647" s="51">
        <f t="shared" si="146"/>
        <v>0</v>
      </c>
      <c r="L647" s="51">
        <f t="shared" si="146"/>
        <v>0</v>
      </c>
      <c r="M647" s="35">
        <f t="shared" si="146"/>
        <v>0</v>
      </c>
      <c r="N647" s="51">
        <f t="shared" si="146"/>
        <v>0</v>
      </c>
      <c r="O647" s="82">
        <f t="shared" si="146"/>
        <v>0</v>
      </c>
      <c r="P647" s="51">
        <f t="shared" si="146"/>
        <v>0</v>
      </c>
      <c r="Q647" s="338">
        <f t="shared" si="146"/>
        <v>0</v>
      </c>
      <c r="R647" s="51">
        <f t="shared" si="146"/>
        <v>0</v>
      </c>
      <c r="S647" s="51">
        <f t="shared" si="146"/>
        <v>0</v>
      </c>
      <c r="T647" s="338">
        <f t="shared" si="146"/>
        <v>0</v>
      </c>
      <c r="U647" s="51">
        <f t="shared" si="146"/>
        <v>0</v>
      </c>
      <c r="V647" s="35">
        <f t="shared" si="146"/>
        <v>0</v>
      </c>
      <c r="W647" s="51">
        <f t="shared" si="146"/>
        <v>9328997.0800000001</v>
      </c>
      <c r="X647" s="9"/>
      <c r="Y647" s="9"/>
      <c r="Z647" s="40"/>
      <c r="AA647" s="56"/>
      <c r="AB647" s="56"/>
      <c r="AC647" s="56"/>
      <c r="AD647" s="56"/>
      <c r="AE647" s="56"/>
      <c r="AF647" s="56"/>
      <c r="AG647" s="56"/>
    </row>
    <row r="648" spans="1:33" x14ac:dyDescent="0.3">
      <c r="A648" s="45"/>
      <c r="B648" s="416" t="s">
        <v>3766</v>
      </c>
      <c r="C648" s="51">
        <f>C647+C621+C614+C611+C546+C538+C534+C527+C517+C498+C469</f>
        <v>195269530.11999997</v>
      </c>
      <c r="D648" s="51">
        <f t="shared" ref="D648:W648" si="147">D647+D621+D614+D611+D546+D538+D534+D527+D517+D498+D469</f>
        <v>0</v>
      </c>
      <c r="E648" s="51">
        <f t="shared" si="147"/>
        <v>0</v>
      </c>
      <c r="F648" s="51">
        <f t="shared" si="147"/>
        <v>0</v>
      </c>
      <c r="G648" s="51">
        <f t="shared" si="147"/>
        <v>0</v>
      </c>
      <c r="H648" s="51">
        <f t="shared" si="147"/>
        <v>0</v>
      </c>
      <c r="I648" s="51">
        <f t="shared" si="147"/>
        <v>0</v>
      </c>
      <c r="J648" s="51">
        <f t="shared" si="147"/>
        <v>0</v>
      </c>
      <c r="K648" s="51">
        <f t="shared" si="147"/>
        <v>0</v>
      </c>
      <c r="L648" s="51">
        <f t="shared" si="147"/>
        <v>0</v>
      </c>
      <c r="M648" s="35">
        <f t="shared" si="147"/>
        <v>1814.8</v>
      </c>
      <c r="N648" s="51">
        <f t="shared" si="147"/>
        <v>4105213.2</v>
      </c>
      <c r="O648" s="82">
        <f t="shared" si="147"/>
        <v>2365</v>
      </c>
      <c r="P648" s="51">
        <f t="shared" si="147"/>
        <v>12101007.6</v>
      </c>
      <c r="Q648" s="338">
        <f t="shared" si="147"/>
        <v>6068.1</v>
      </c>
      <c r="R648" s="51">
        <f t="shared" si="147"/>
        <v>32992069.630000003</v>
      </c>
      <c r="S648" s="51">
        <f t="shared" si="147"/>
        <v>0</v>
      </c>
      <c r="T648" s="338">
        <f t="shared" si="147"/>
        <v>19959.3</v>
      </c>
      <c r="U648" s="51">
        <f t="shared" si="147"/>
        <v>21655120.800000001</v>
      </c>
      <c r="V648" s="35">
        <f t="shared" si="147"/>
        <v>91821.599999999991</v>
      </c>
      <c r="W648" s="51">
        <f t="shared" si="147"/>
        <v>136425304.88999996</v>
      </c>
      <c r="X648" s="9"/>
      <c r="Y648" s="9"/>
      <c r="Z648" s="40"/>
      <c r="AA648" s="56"/>
      <c r="AB648" s="56"/>
      <c r="AC648" s="56"/>
      <c r="AD648" s="56"/>
      <c r="AE648" s="56"/>
      <c r="AF648" s="56"/>
      <c r="AG648" s="56"/>
    </row>
    <row r="649" spans="1:33" x14ac:dyDescent="0.3">
      <c r="A649" s="435" t="s">
        <v>803</v>
      </c>
      <c r="B649" s="363"/>
      <c r="C649" s="363"/>
      <c r="D649" s="363"/>
      <c r="E649" s="363"/>
      <c r="F649" s="363"/>
      <c r="G649" s="363"/>
      <c r="H649" s="363"/>
      <c r="I649" s="363"/>
      <c r="J649" s="363"/>
      <c r="K649" s="363"/>
      <c r="L649" s="363"/>
      <c r="M649" s="393"/>
      <c r="N649" s="363"/>
      <c r="O649" s="391"/>
      <c r="P649" s="363"/>
      <c r="Q649" s="392"/>
      <c r="R649" s="363"/>
      <c r="S649" s="363"/>
      <c r="T649" s="392"/>
      <c r="U649" s="363"/>
      <c r="V649" s="393"/>
      <c r="W649" s="363"/>
      <c r="X649" s="313"/>
      <c r="Y649" s="314"/>
      <c r="Z649" s="314"/>
      <c r="AA649" s="314"/>
      <c r="AB649" s="314"/>
      <c r="AC649" s="172"/>
      <c r="AD649" s="172"/>
      <c r="AE649" s="172"/>
      <c r="AF649" s="315"/>
      <c r="AG649" s="56"/>
    </row>
    <row r="650" spans="1:33" ht="31.2" x14ac:dyDescent="0.3">
      <c r="A650" s="437"/>
      <c r="B650" s="416" t="s">
        <v>804</v>
      </c>
      <c r="C650" s="387"/>
      <c r="D650" s="387"/>
      <c r="E650" s="387"/>
      <c r="F650" s="387"/>
      <c r="G650" s="387"/>
      <c r="H650" s="387"/>
      <c r="I650" s="387"/>
      <c r="J650" s="387"/>
      <c r="K650" s="387"/>
      <c r="L650" s="387"/>
      <c r="M650" s="390"/>
      <c r="N650" s="387"/>
      <c r="O650" s="388"/>
      <c r="P650" s="387"/>
      <c r="Q650" s="389"/>
      <c r="R650" s="387"/>
      <c r="S650" s="387"/>
      <c r="T650" s="389"/>
      <c r="U650" s="387"/>
      <c r="V650" s="390"/>
      <c r="W650" s="387"/>
      <c r="X650" s="299"/>
      <c r="Y650" s="299"/>
      <c r="Z650" s="299"/>
      <c r="AA650" s="299"/>
      <c r="AB650" s="299"/>
      <c r="AC650" s="298"/>
      <c r="AD650" s="298"/>
      <c r="AE650" s="298"/>
      <c r="AF650" s="301"/>
      <c r="AG650" s="56"/>
    </row>
    <row r="651" spans="1:33" x14ac:dyDescent="0.3">
      <c r="A651" s="47">
        <f>A646+1</f>
        <v>567</v>
      </c>
      <c r="B651" s="414" t="s">
        <v>805</v>
      </c>
      <c r="C651" s="51">
        <f>D651+K651+L651+N651+P651+R651+S651+U651+W651</f>
        <v>242802.9</v>
      </c>
      <c r="D651" s="51">
        <f>E651+F651+G651+H651+I651</f>
        <v>0</v>
      </c>
      <c r="E651" s="51"/>
      <c r="F651" s="51"/>
      <c r="G651" s="51"/>
      <c r="H651" s="51"/>
      <c r="I651" s="51"/>
      <c r="J651" s="51"/>
      <c r="K651" s="51"/>
      <c r="L651" s="51"/>
      <c r="M651" s="35"/>
      <c r="N651" s="51"/>
      <c r="O651" s="82"/>
      <c r="P651" s="51"/>
      <c r="Q651" s="338"/>
      <c r="R651" s="51"/>
      <c r="S651" s="51"/>
      <c r="T651" s="338"/>
      <c r="U651" s="51"/>
      <c r="V651" s="35"/>
      <c r="W651" s="364">
        <f>SUM(X651:AH651)</f>
        <v>242802.9</v>
      </c>
      <c r="X651" s="285"/>
      <c r="Y651" s="285"/>
      <c r="Z651" s="285"/>
      <c r="AA651" s="285"/>
      <c r="AB651" s="285"/>
      <c r="AC651" s="9">
        <v>242802.9</v>
      </c>
      <c r="AD651" s="306"/>
      <c r="AE651" s="302"/>
      <c r="AF651" s="56"/>
      <c r="AG651" s="56"/>
    </row>
    <row r="652" spans="1:33" x14ac:dyDescent="0.3">
      <c r="A652" s="47">
        <f>A651+1</f>
        <v>568</v>
      </c>
      <c r="B652" s="414" t="s">
        <v>806</v>
      </c>
      <c r="C652" s="51">
        <f>D652+K652+L652+N652+P652+R652+S652+U652+W652</f>
        <v>211350.53</v>
      </c>
      <c r="D652" s="51">
        <f>E652+F652+G652+H652+I652</f>
        <v>0</v>
      </c>
      <c r="E652" s="51"/>
      <c r="F652" s="51"/>
      <c r="G652" s="51"/>
      <c r="H652" s="51"/>
      <c r="I652" s="51"/>
      <c r="J652" s="51"/>
      <c r="K652" s="51"/>
      <c r="L652" s="51"/>
      <c r="M652" s="35"/>
      <c r="N652" s="51"/>
      <c r="O652" s="82"/>
      <c r="P652" s="51"/>
      <c r="Q652" s="338"/>
      <c r="R652" s="51"/>
      <c r="S652" s="51"/>
      <c r="T652" s="338"/>
      <c r="U652" s="51"/>
      <c r="V652" s="35"/>
      <c r="W652" s="364">
        <f>SUM(X652:AH652)</f>
        <v>211350.53</v>
      </c>
      <c r="X652" s="285"/>
      <c r="Y652" s="285"/>
      <c r="Z652" s="285"/>
      <c r="AA652" s="285"/>
      <c r="AB652" s="285"/>
      <c r="AC652" s="9">
        <v>211350.53</v>
      </c>
      <c r="AD652" s="306"/>
      <c r="AE652" s="302"/>
      <c r="AF652" s="302"/>
      <c r="AG652" s="56"/>
    </row>
    <row r="653" spans="1:33" x14ac:dyDescent="0.3">
      <c r="A653" s="47"/>
      <c r="B653" s="414" t="s">
        <v>211</v>
      </c>
      <c r="C653" s="51">
        <f t="shared" ref="C653:W653" si="148">SUM(C651:C652)</f>
        <v>454153.43</v>
      </c>
      <c r="D653" s="51">
        <f t="shared" si="148"/>
        <v>0</v>
      </c>
      <c r="E653" s="51">
        <f t="shared" si="148"/>
        <v>0</v>
      </c>
      <c r="F653" s="51">
        <f t="shared" si="148"/>
        <v>0</v>
      </c>
      <c r="G653" s="51">
        <f t="shared" si="148"/>
        <v>0</v>
      </c>
      <c r="H653" s="51">
        <f t="shared" si="148"/>
        <v>0</v>
      </c>
      <c r="I653" s="51">
        <f t="shared" si="148"/>
        <v>0</v>
      </c>
      <c r="J653" s="51">
        <f t="shared" si="148"/>
        <v>0</v>
      </c>
      <c r="K653" s="51">
        <f t="shared" si="148"/>
        <v>0</v>
      </c>
      <c r="L653" s="51">
        <f t="shared" si="148"/>
        <v>0</v>
      </c>
      <c r="M653" s="35">
        <f t="shared" si="148"/>
        <v>0</v>
      </c>
      <c r="N653" s="51">
        <f t="shared" si="148"/>
        <v>0</v>
      </c>
      <c r="O653" s="82">
        <f t="shared" si="148"/>
        <v>0</v>
      </c>
      <c r="P653" s="51">
        <f t="shared" si="148"/>
        <v>0</v>
      </c>
      <c r="Q653" s="338">
        <f t="shared" si="148"/>
        <v>0</v>
      </c>
      <c r="R653" s="51">
        <f t="shared" si="148"/>
        <v>0</v>
      </c>
      <c r="S653" s="51">
        <f t="shared" si="148"/>
        <v>0</v>
      </c>
      <c r="T653" s="338">
        <f t="shared" si="148"/>
        <v>0</v>
      </c>
      <c r="U653" s="51">
        <f t="shared" si="148"/>
        <v>0</v>
      </c>
      <c r="V653" s="35">
        <f t="shared" si="148"/>
        <v>0</v>
      </c>
      <c r="W653" s="51">
        <f t="shared" si="148"/>
        <v>454153.43</v>
      </c>
      <c r="X653" s="285"/>
      <c r="Y653" s="285"/>
      <c r="Z653" s="285"/>
      <c r="AA653" s="285"/>
      <c r="AB653" s="285"/>
      <c r="AC653" s="9"/>
      <c r="AD653" s="306"/>
      <c r="AE653" s="302"/>
      <c r="AF653" s="302"/>
      <c r="AG653" s="56"/>
    </row>
    <row r="654" spans="1:33" x14ac:dyDescent="0.3">
      <c r="A654" s="47"/>
      <c r="B654" s="363" t="s">
        <v>807</v>
      </c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35"/>
      <c r="N654" s="51"/>
      <c r="O654" s="82"/>
      <c r="P654" s="51"/>
      <c r="Q654" s="338"/>
      <c r="R654" s="51"/>
      <c r="S654" s="51"/>
      <c r="T654" s="338"/>
      <c r="U654" s="51"/>
      <c r="V654" s="35"/>
      <c r="W654" s="364"/>
      <c r="X654" s="285"/>
      <c r="Y654" s="285"/>
      <c r="Z654" s="285"/>
      <c r="AA654" s="285"/>
      <c r="AB654" s="285"/>
      <c r="AC654" s="9"/>
      <c r="AD654" s="306"/>
      <c r="AE654" s="302"/>
      <c r="AF654" s="302"/>
      <c r="AG654" s="56"/>
    </row>
    <row r="655" spans="1:33" x14ac:dyDescent="0.3">
      <c r="A655" s="47">
        <f>A652+1</f>
        <v>569</v>
      </c>
      <c r="B655" s="414" t="s">
        <v>808</v>
      </c>
      <c r="C655" s="51">
        <f t="shared" ref="C655:C686" si="149">D655+K655+L655+N655+P655+R655+S655+U655+W655</f>
        <v>397657.22</v>
      </c>
      <c r="D655" s="51">
        <f t="shared" ref="D655:D718" si="150">E655+F655+G655+H655+I655</f>
        <v>0</v>
      </c>
      <c r="E655" s="51"/>
      <c r="F655" s="51"/>
      <c r="G655" s="51"/>
      <c r="H655" s="51"/>
      <c r="I655" s="51"/>
      <c r="J655" s="51"/>
      <c r="K655" s="51"/>
      <c r="L655" s="51"/>
      <c r="M655" s="35"/>
      <c r="N655" s="51"/>
      <c r="O655" s="82"/>
      <c r="P655" s="51"/>
      <c r="Q655" s="338"/>
      <c r="R655" s="51"/>
      <c r="S655" s="51"/>
      <c r="T655" s="338"/>
      <c r="U655" s="51"/>
      <c r="V655" s="35"/>
      <c r="W655" s="364">
        <f>SUM(X655:AH655)</f>
        <v>397657.22</v>
      </c>
      <c r="X655" s="285"/>
      <c r="Y655" s="285"/>
      <c r="Z655" s="285"/>
      <c r="AA655" s="285"/>
      <c r="AB655" s="285"/>
      <c r="AC655" s="9">
        <v>397657.22</v>
      </c>
      <c r="AD655" s="306"/>
      <c r="AE655" s="302"/>
      <c r="AF655" s="302"/>
      <c r="AG655" s="56"/>
    </row>
    <row r="656" spans="1:33" x14ac:dyDescent="0.3">
      <c r="A656" s="47">
        <f t="shared" ref="A656:A675" si="151">A655+1</f>
        <v>570</v>
      </c>
      <c r="B656" s="414" t="s">
        <v>809</v>
      </c>
      <c r="C656" s="51">
        <f t="shared" si="149"/>
        <v>130000</v>
      </c>
      <c r="D656" s="51">
        <f t="shared" si="150"/>
        <v>0</v>
      </c>
      <c r="E656" s="51"/>
      <c r="F656" s="51"/>
      <c r="G656" s="51"/>
      <c r="H656" s="51"/>
      <c r="I656" s="51"/>
      <c r="J656" s="51"/>
      <c r="K656" s="51"/>
      <c r="L656" s="51"/>
      <c r="M656" s="35"/>
      <c r="N656" s="51"/>
      <c r="O656" s="82"/>
      <c r="P656" s="51"/>
      <c r="Q656" s="338"/>
      <c r="R656" s="51"/>
      <c r="S656" s="51"/>
      <c r="T656" s="338"/>
      <c r="U656" s="51"/>
      <c r="V656" s="35"/>
      <c r="W656" s="364">
        <v>130000</v>
      </c>
      <c r="X656" s="285"/>
      <c r="Y656" s="285"/>
      <c r="Z656" s="285"/>
      <c r="AA656" s="285"/>
      <c r="AB656" s="285"/>
      <c r="AC656" s="9"/>
      <c r="AD656" s="306"/>
      <c r="AE656" s="302"/>
      <c r="AF656" s="302"/>
      <c r="AG656" s="56"/>
    </row>
    <row r="657" spans="1:33" x14ac:dyDescent="0.3">
      <c r="A657" s="47">
        <f t="shared" si="151"/>
        <v>571</v>
      </c>
      <c r="B657" s="414" t="s">
        <v>810</v>
      </c>
      <c r="C657" s="51">
        <f t="shared" si="149"/>
        <v>536418.6</v>
      </c>
      <c r="D657" s="51">
        <f t="shared" si="150"/>
        <v>0</v>
      </c>
      <c r="E657" s="51"/>
      <c r="F657" s="51"/>
      <c r="G657" s="51"/>
      <c r="H657" s="51"/>
      <c r="I657" s="51"/>
      <c r="J657" s="51"/>
      <c r="K657" s="51"/>
      <c r="L657" s="51"/>
      <c r="M657" s="35"/>
      <c r="N657" s="51"/>
      <c r="O657" s="82"/>
      <c r="P657" s="51"/>
      <c r="Q657" s="338"/>
      <c r="R657" s="51"/>
      <c r="S657" s="51"/>
      <c r="T657" s="338"/>
      <c r="U657" s="51"/>
      <c r="V657" s="35"/>
      <c r="W657" s="364">
        <f t="shared" ref="W657:W677" si="152">SUM(X657:AH657)</f>
        <v>536418.6</v>
      </c>
      <c r="X657" s="285"/>
      <c r="Y657" s="285"/>
      <c r="Z657" s="285"/>
      <c r="AA657" s="285"/>
      <c r="AB657" s="285"/>
      <c r="AC657" s="9">
        <v>397653.68</v>
      </c>
      <c r="AD657" s="306">
        <v>138764.92000000001</v>
      </c>
      <c r="AE657" s="302"/>
      <c r="AF657" s="302"/>
      <c r="AG657" s="56"/>
    </row>
    <row r="658" spans="1:33" x14ac:dyDescent="0.3">
      <c r="A658" s="47">
        <f t="shared" si="151"/>
        <v>572</v>
      </c>
      <c r="B658" s="414" t="s">
        <v>811</v>
      </c>
      <c r="C658" s="51">
        <f t="shared" si="149"/>
        <v>834617.62000000011</v>
      </c>
      <c r="D658" s="51">
        <f t="shared" si="150"/>
        <v>0</v>
      </c>
      <c r="E658" s="51"/>
      <c r="F658" s="51"/>
      <c r="G658" s="51"/>
      <c r="H658" s="51"/>
      <c r="I658" s="51"/>
      <c r="J658" s="51"/>
      <c r="K658" s="51"/>
      <c r="L658" s="51"/>
      <c r="M658" s="35"/>
      <c r="N658" s="51"/>
      <c r="O658" s="82"/>
      <c r="P658" s="51"/>
      <c r="Q658" s="338"/>
      <c r="R658" s="51"/>
      <c r="S658" s="51"/>
      <c r="T658" s="338"/>
      <c r="U658" s="51"/>
      <c r="V658" s="35"/>
      <c r="W658" s="364">
        <f t="shared" si="152"/>
        <v>834617.62000000011</v>
      </c>
      <c r="X658" s="285">
        <v>195848.35</v>
      </c>
      <c r="Y658" s="285"/>
      <c r="Z658" s="285"/>
      <c r="AA658" s="285"/>
      <c r="AB658" s="285"/>
      <c r="AC658" s="9">
        <v>492747.46</v>
      </c>
      <c r="AD658" s="306">
        <v>146021.81</v>
      </c>
      <c r="AE658" s="302"/>
      <c r="AF658" s="302"/>
      <c r="AG658" s="56"/>
    </row>
    <row r="659" spans="1:33" x14ac:dyDescent="0.3">
      <c r="A659" s="47">
        <f t="shared" si="151"/>
        <v>573</v>
      </c>
      <c r="B659" s="414" t="s">
        <v>812</v>
      </c>
      <c r="C659" s="51">
        <f t="shared" si="149"/>
        <v>885535.72</v>
      </c>
      <c r="D659" s="51">
        <f t="shared" si="150"/>
        <v>0</v>
      </c>
      <c r="E659" s="51"/>
      <c r="F659" s="51"/>
      <c r="G659" s="51"/>
      <c r="H659" s="51"/>
      <c r="I659" s="51"/>
      <c r="J659" s="51"/>
      <c r="K659" s="51"/>
      <c r="L659" s="51"/>
      <c r="M659" s="35"/>
      <c r="N659" s="51"/>
      <c r="O659" s="82"/>
      <c r="P659" s="51"/>
      <c r="Q659" s="338"/>
      <c r="R659" s="51"/>
      <c r="S659" s="51"/>
      <c r="T659" s="338"/>
      <c r="U659" s="51"/>
      <c r="V659" s="35"/>
      <c r="W659" s="364">
        <f t="shared" si="152"/>
        <v>885535.72</v>
      </c>
      <c r="X659" s="285">
        <v>198267.1</v>
      </c>
      <c r="Y659" s="285"/>
      <c r="Z659" s="285"/>
      <c r="AA659" s="285"/>
      <c r="AB659" s="285"/>
      <c r="AC659" s="9">
        <v>497519.98</v>
      </c>
      <c r="AD659" s="306">
        <v>189748.64</v>
      </c>
      <c r="AE659" s="302"/>
      <c r="AF659" s="302"/>
      <c r="AG659" s="56"/>
    </row>
    <row r="660" spans="1:33" x14ac:dyDescent="0.3">
      <c r="A660" s="47">
        <f t="shared" si="151"/>
        <v>574</v>
      </c>
      <c r="B660" s="414" t="s">
        <v>813</v>
      </c>
      <c r="C660" s="51">
        <f t="shared" si="149"/>
        <v>927828.54</v>
      </c>
      <c r="D660" s="51">
        <f t="shared" si="150"/>
        <v>0</v>
      </c>
      <c r="E660" s="51"/>
      <c r="F660" s="51"/>
      <c r="G660" s="51"/>
      <c r="H660" s="51"/>
      <c r="I660" s="51"/>
      <c r="J660" s="51"/>
      <c r="K660" s="51"/>
      <c r="L660" s="51"/>
      <c r="M660" s="35"/>
      <c r="N660" s="51"/>
      <c r="O660" s="82"/>
      <c r="P660" s="51"/>
      <c r="Q660" s="338"/>
      <c r="R660" s="51"/>
      <c r="S660" s="51"/>
      <c r="T660" s="338"/>
      <c r="U660" s="51"/>
      <c r="V660" s="35"/>
      <c r="W660" s="364">
        <f t="shared" si="152"/>
        <v>927828.54</v>
      </c>
      <c r="X660" s="285">
        <v>262677.59000000003</v>
      </c>
      <c r="Y660" s="285"/>
      <c r="Z660" s="285"/>
      <c r="AA660" s="285"/>
      <c r="AB660" s="285"/>
      <c r="AC660" s="9">
        <v>478835.05</v>
      </c>
      <c r="AD660" s="306">
        <v>186315.9</v>
      </c>
      <c r="AE660" s="302"/>
      <c r="AF660" s="302"/>
      <c r="AG660" s="56"/>
    </row>
    <row r="661" spans="1:33" x14ac:dyDescent="0.3">
      <c r="A661" s="47">
        <f t="shared" si="151"/>
        <v>575</v>
      </c>
      <c r="B661" s="414" t="s">
        <v>814</v>
      </c>
      <c r="C661" s="51">
        <f t="shared" si="149"/>
        <v>340010.91000000003</v>
      </c>
      <c r="D661" s="51">
        <f t="shared" si="150"/>
        <v>0</v>
      </c>
      <c r="E661" s="51"/>
      <c r="F661" s="51"/>
      <c r="G661" s="51"/>
      <c r="H661" s="51"/>
      <c r="I661" s="51"/>
      <c r="J661" s="51"/>
      <c r="K661" s="51"/>
      <c r="L661" s="51"/>
      <c r="M661" s="35"/>
      <c r="N661" s="51"/>
      <c r="O661" s="82"/>
      <c r="P661" s="51"/>
      <c r="Q661" s="338"/>
      <c r="R661" s="51"/>
      <c r="S661" s="51"/>
      <c r="T661" s="338"/>
      <c r="U661" s="51"/>
      <c r="V661" s="35"/>
      <c r="W661" s="364">
        <f t="shared" si="152"/>
        <v>340010.91000000003</v>
      </c>
      <c r="X661" s="285">
        <v>84363.06</v>
      </c>
      <c r="Y661" s="285"/>
      <c r="Z661" s="285"/>
      <c r="AA661" s="285"/>
      <c r="AB661" s="285"/>
      <c r="AC661" s="9">
        <v>176341.73</v>
      </c>
      <c r="AD661" s="306">
        <v>79306.12</v>
      </c>
      <c r="AE661" s="302"/>
      <c r="AF661" s="302"/>
      <c r="AG661" s="56"/>
    </row>
    <row r="662" spans="1:33" x14ac:dyDescent="0.3">
      <c r="A662" s="47">
        <f t="shared" si="151"/>
        <v>576</v>
      </c>
      <c r="B662" s="414" t="s">
        <v>815</v>
      </c>
      <c r="C662" s="51">
        <f t="shared" si="149"/>
        <v>315227.3</v>
      </c>
      <c r="D662" s="51">
        <f t="shared" si="150"/>
        <v>0</v>
      </c>
      <c r="E662" s="51"/>
      <c r="F662" s="51"/>
      <c r="G662" s="51"/>
      <c r="H662" s="51"/>
      <c r="I662" s="51"/>
      <c r="J662" s="51"/>
      <c r="K662" s="51"/>
      <c r="L662" s="51"/>
      <c r="M662" s="35"/>
      <c r="N662" s="51"/>
      <c r="O662" s="82"/>
      <c r="P662" s="51"/>
      <c r="Q662" s="338"/>
      <c r="R662" s="51"/>
      <c r="S662" s="51"/>
      <c r="T662" s="338"/>
      <c r="U662" s="51"/>
      <c r="V662" s="35"/>
      <c r="W662" s="364">
        <f t="shared" si="152"/>
        <v>315227.3</v>
      </c>
      <c r="X662" s="285">
        <v>111624.4</v>
      </c>
      <c r="Y662" s="285"/>
      <c r="Z662" s="285"/>
      <c r="AA662" s="285"/>
      <c r="AB662" s="285"/>
      <c r="AC662" s="9">
        <v>203602.9</v>
      </c>
      <c r="AD662" s="306"/>
      <c r="AE662" s="302"/>
      <c r="AF662" s="302"/>
      <c r="AG662" s="56"/>
    </row>
    <row r="663" spans="1:33" x14ac:dyDescent="0.3">
      <c r="A663" s="47">
        <f t="shared" si="151"/>
        <v>577</v>
      </c>
      <c r="B663" s="414" t="s">
        <v>816</v>
      </c>
      <c r="C663" s="51">
        <f t="shared" si="149"/>
        <v>701432.56</v>
      </c>
      <c r="D663" s="51">
        <f t="shared" si="150"/>
        <v>0</v>
      </c>
      <c r="E663" s="51"/>
      <c r="F663" s="51"/>
      <c r="G663" s="51"/>
      <c r="H663" s="51"/>
      <c r="I663" s="51"/>
      <c r="J663" s="51"/>
      <c r="K663" s="51"/>
      <c r="L663" s="51"/>
      <c r="M663" s="35"/>
      <c r="N663" s="51"/>
      <c r="O663" s="82"/>
      <c r="P663" s="51"/>
      <c r="Q663" s="338"/>
      <c r="R663" s="51"/>
      <c r="S663" s="51"/>
      <c r="T663" s="338"/>
      <c r="U663" s="51"/>
      <c r="V663" s="35"/>
      <c r="W663" s="364">
        <f t="shared" si="152"/>
        <v>701432.56</v>
      </c>
      <c r="X663" s="285">
        <v>163339.46</v>
      </c>
      <c r="Y663" s="285"/>
      <c r="Z663" s="285"/>
      <c r="AA663" s="285"/>
      <c r="AB663" s="285"/>
      <c r="AC663" s="9">
        <v>430403.78</v>
      </c>
      <c r="AD663" s="306">
        <v>107689.32</v>
      </c>
      <c r="AE663" s="302"/>
      <c r="AF663" s="302"/>
      <c r="AG663" s="56"/>
    </row>
    <row r="664" spans="1:33" x14ac:dyDescent="0.3">
      <c r="A664" s="47">
        <f t="shared" si="151"/>
        <v>578</v>
      </c>
      <c r="B664" s="414" t="s">
        <v>817</v>
      </c>
      <c r="C664" s="51">
        <f t="shared" si="149"/>
        <v>450515.52</v>
      </c>
      <c r="D664" s="51">
        <f t="shared" si="150"/>
        <v>0</v>
      </c>
      <c r="E664" s="51"/>
      <c r="F664" s="51"/>
      <c r="G664" s="51"/>
      <c r="H664" s="51"/>
      <c r="I664" s="51"/>
      <c r="J664" s="51"/>
      <c r="K664" s="51"/>
      <c r="L664" s="51"/>
      <c r="M664" s="35"/>
      <c r="N664" s="51"/>
      <c r="O664" s="82"/>
      <c r="P664" s="51"/>
      <c r="Q664" s="338"/>
      <c r="R664" s="51"/>
      <c r="S664" s="51"/>
      <c r="T664" s="338"/>
      <c r="U664" s="51"/>
      <c r="V664" s="35"/>
      <c r="W664" s="364">
        <f t="shared" si="152"/>
        <v>450515.52</v>
      </c>
      <c r="X664" s="285">
        <v>105972.07</v>
      </c>
      <c r="Y664" s="285"/>
      <c r="Z664" s="285"/>
      <c r="AA664" s="285"/>
      <c r="AB664" s="285"/>
      <c r="AC664" s="9">
        <v>217673.8</v>
      </c>
      <c r="AD664" s="306">
        <v>126869.65</v>
      </c>
      <c r="AE664" s="302"/>
      <c r="AF664" s="302"/>
      <c r="AG664" s="56"/>
    </row>
    <row r="665" spans="1:33" x14ac:dyDescent="0.3">
      <c r="A665" s="47">
        <f t="shared" si="151"/>
        <v>579</v>
      </c>
      <c r="B665" s="414" t="s">
        <v>818</v>
      </c>
      <c r="C665" s="51">
        <f t="shared" si="149"/>
        <v>8245157.5300000003</v>
      </c>
      <c r="D665" s="51">
        <f t="shared" si="150"/>
        <v>0</v>
      </c>
      <c r="E665" s="51"/>
      <c r="F665" s="51"/>
      <c r="G665" s="51"/>
      <c r="H665" s="51"/>
      <c r="I665" s="51"/>
      <c r="J665" s="51"/>
      <c r="K665" s="51"/>
      <c r="L665" s="51"/>
      <c r="M665" s="35">
        <v>1298.9100000000001</v>
      </c>
      <c r="N665" s="51">
        <v>7614764.4000000004</v>
      </c>
      <c r="O665" s="82"/>
      <c r="P665" s="51"/>
      <c r="Q665" s="338"/>
      <c r="R665" s="51"/>
      <c r="S665" s="51"/>
      <c r="T665" s="338"/>
      <c r="U665" s="51"/>
      <c r="V665" s="35"/>
      <c r="W665" s="364">
        <f t="shared" si="152"/>
        <v>630393.13</v>
      </c>
      <c r="X665" s="285"/>
      <c r="Y665" s="285"/>
      <c r="Z665" s="285"/>
      <c r="AA665" s="285"/>
      <c r="AB665" s="285"/>
      <c r="AC665" s="9">
        <v>630393.13</v>
      </c>
      <c r="AD665" s="306"/>
      <c r="AE665" s="302"/>
      <c r="AF665" s="302"/>
      <c r="AG665" s="56"/>
    </row>
    <row r="666" spans="1:33" x14ac:dyDescent="0.3">
      <c r="A666" s="47">
        <f t="shared" si="151"/>
        <v>580</v>
      </c>
      <c r="B666" s="414" t="s">
        <v>819</v>
      </c>
      <c r="C666" s="51">
        <f t="shared" si="149"/>
        <v>672502.64</v>
      </c>
      <c r="D666" s="51">
        <f t="shared" si="150"/>
        <v>0</v>
      </c>
      <c r="E666" s="51"/>
      <c r="F666" s="51"/>
      <c r="G666" s="51"/>
      <c r="H666" s="51"/>
      <c r="I666" s="51"/>
      <c r="J666" s="51"/>
      <c r="K666" s="51"/>
      <c r="L666" s="51"/>
      <c r="M666" s="35"/>
      <c r="N666" s="51"/>
      <c r="O666" s="82"/>
      <c r="P666" s="51"/>
      <c r="Q666" s="338"/>
      <c r="R666" s="51"/>
      <c r="S666" s="51"/>
      <c r="T666" s="338"/>
      <c r="U666" s="51"/>
      <c r="V666" s="35">
        <v>0</v>
      </c>
      <c r="W666" s="364">
        <f t="shared" si="152"/>
        <v>672502.64</v>
      </c>
      <c r="X666" s="285">
        <v>167348.59</v>
      </c>
      <c r="Y666" s="285"/>
      <c r="Z666" s="285"/>
      <c r="AA666" s="285"/>
      <c r="AB666" s="285"/>
      <c r="AC666" s="9">
        <v>348862.01</v>
      </c>
      <c r="AD666" s="306">
        <v>156292.04</v>
      </c>
      <c r="AE666" s="302"/>
      <c r="AF666" s="302"/>
      <c r="AG666" s="56"/>
    </row>
    <row r="667" spans="1:33" x14ac:dyDescent="0.3">
      <c r="A667" s="47">
        <f t="shared" si="151"/>
        <v>581</v>
      </c>
      <c r="B667" s="414" t="s">
        <v>820</v>
      </c>
      <c r="C667" s="51">
        <f t="shared" si="149"/>
        <v>273654.53999999998</v>
      </c>
      <c r="D667" s="51">
        <f t="shared" si="150"/>
        <v>0</v>
      </c>
      <c r="E667" s="51"/>
      <c r="F667" s="51"/>
      <c r="G667" s="51"/>
      <c r="H667" s="51"/>
      <c r="I667" s="51"/>
      <c r="J667" s="51"/>
      <c r="K667" s="51"/>
      <c r="L667" s="51"/>
      <c r="M667" s="35"/>
      <c r="N667" s="51"/>
      <c r="O667" s="82"/>
      <c r="P667" s="51"/>
      <c r="Q667" s="338"/>
      <c r="R667" s="51"/>
      <c r="S667" s="51"/>
      <c r="T667" s="338"/>
      <c r="U667" s="51"/>
      <c r="V667" s="35"/>
      <c r="W667" s="364">
        <f t="shared" si="152"/>
        <v>273654.53999999998</v>
      </c>
      <c r="X667" s="285">
        <v>88933.08</v>
      </c>
      <c r="Y667" s="285"/>
      <c r="Z667" s="285"/>
      <c r="AA667" s="285"/>
      <c r="AB667" s="285"/>
      <c r="AC667" s="9">
        <v>184721.46</v>
      </c>
      <c r="AD667" s="306"/>
      <c r="AE667" s="302"/>
      <c r="AF667" s="302"/>
      <c r="AG667" s="56"/>
    </row>
    <row r="668" spans="1:33" x14ac:dyDescent="0.3">
      <c r="A668" s="47">
        <f t="shared" si="151"/>
        <v>582</v>
      </c>
      <c r="B668" s="414" t="s">
        <v>821</v>
      </c>
      <c r="C668" s="51">
        <f t="shared" si="149"/>
        <v>965232.27999999991</v>
      </c>
      <c r="D668" s="51">
        <f t="shared" si="150"/>
        <v>0</v>
      </c>
      <c r="E668" s="51"/>
      <c r="F668" s="51"/>
      <c r="G668" s="51"/>
      <c r="H668" s="51"/>
      <c r="I668" s="51"/>
      <c r="J668" s="51"/>
      <c r="K668" s="51"/>
      <c r="L668" s="51"/>
      <c r="M668" s="35"/>
      <c r="N668" s="51"/>
      <c r="O668" s="82"/>
      <c r="P668" s="51"/>
      <c r="Q668" s="338"/>
      <c r="R668" s="51"/>
      <c r="S668" s="51"/>
      <c r="T668" s="338"/>
      <c r="U668" s="51"/>
      <c r="V668" s="35"/>
      <c r="W668" s="364">
        <f t="shared" si="152"/>
        <v>965232.27999999991</v>
      </c>
      <c r="X668" s="285">
        <v>209553.28</v>
      </c>
      <c r="Y668" s="285"/>
      <c r="Z668" s="285"/>
      <c r="AA668" s="285"/>
      <c r="AB668" s="285"/>
      <c r="AC668" s="9">
        <v>519235.66</v>
      </c>
      <c r="AD668" s="306">
        <v>236443.34</v>
      </c>
      <c r="AE668" s="302"/>
      <c r="AF668" s="302"/>
      <c r="AG668" s="56"/>
    </row>
    <row r="669" spans="1:33" x14ac:dyDescent="0.3">
      <c r="A669" s="47">
        <f t="shared" si="151"/>
        <v>583</v>
      </c>
      <c r="B669" s="414" t="s">
        <v>822</v>
      </c>
      <c r="C669" s="51">
        <f t="shared" si="149"/>
        <v>872530.79</v>
      </c>
      <c r="D669" s="51">
        <f t="shared" si="150"/>
        <v>0</v>
      </c>
      <c r="E669" s="51"/>
      <c r="F669" s="51"/>
      <c r="G669" s="51"/>
      <c r="H669" s="51"/>
      <c r="I669" s="51"/>
      <c r="J669" s="51"/>
      <c r="K669" s="51"/>
      <c r="L669" s="51"/>
      <c r="M669" s="35"/>
      <c r="N669" s="51"/>
      <c r="O669" s="82"/>
      <c r="P669" s="51"/>
      <c r="Q669" s="338"/>
      <c r="R669" s="51"/>
      <c r="S669" s="51"/>
      <c r="T669" s="338"/>
      <c r="U669" s="51"/>
      <c r="V669" s="35"/>
      <c r="W669" s="364">
        <f t="shared" si="152"/>
        <v>872530.79</v>
      </c>
      <c r="X669" s="285">
        <v>200484.49</v>
      </c>
      <c r="Y669" s="285"/>
      <c r="Z669" s="285"/>
      <c r="AA669" s="285"/>
      <c r="AB669" s="285"/>
      <c r="AC669" s="9">
        <v>501786.53</v>
      </c>
      <c r="AD669" s="306">
        <v>170259.77</v>
      </c>
      <c r="AE669" s="302"/>
      <c r="AF669" s="302"/>
      <c r="AG669" s="56"/>
    </row>
    <row r="670" spans="1:33" x14ac:dyDescent="0.3">
      <c r="A670" s="47">
        <f t="shared" si="151"/>
        <v>584</v>
      </c>
      <c r="B670" s="414" t="s">
        <v>823</v>
      </c>
      <c r="C670" s="51">
        <f t="shared" si="149"/>
        <v>771238.42999999993</v>
      </c>
      <c r="D670" s="51">
        <f t="shared" si="150"/>
        <v>0</v>
      </c>
      <c r="E670" s="51"/>
      <c r="F670" s="51"/>
      <c r="G670" s="51"/>
      <c r="H670" s="51"/>
      <c r="I670" s="51"/>
      <c r="J670" s="51"/>
      <c r="K670" s="51"/>
      <c r="L670" s="51"/>
      <c r="M670" s="35"/>
      <c r="N670" s="51"/>
      <c r="O670" s="82"/>
      <c r="P670" s="51"/>
      <c r="Q670" s="338"/>
      <c r="R670" s="51"/>
      <c r="S670" s="51"/>
      <c r="T670" s="338"/>
      <c r="U670" s="51"/>
      <c r="V670" s="35"/>
      <c r="W670" s="364">
        <f t="shared" si="152"/>
        <v>771238.42999999993</v>
      </c>
      <c r="X670" s="285">
        <v>167704.79</v>
      </c>
      <c r="Y670" s="285"/>
      <c r="Z670" s="285"/>
      <c r="AA670" s="285"/>
      <c r="AB670" s="285"/>
      <c r="AC670" s="9">
        <v>438567.67999999999</v>
      </c>
      <c r="AD670" s="306">
        <v>164965.96</v>
      </c>
      <c r="AE670" s="302"/>
      <c r="AF670" s="302"/>
      <c r="AG670" s="56"/>
    </row>
    <row r="671" spans="1:33" x14ac:dyDescent="0.3">
      <c r="A671" s="47">
        <f t="shared" si="151"/>
        <v>585</v>
      </c>
      <c r="B671" s="414" t="s">
        <v>824</v>
      </c>
      <c r="C671" s="51">
        <f t="shared" si="149"/>
        <v>884332.48</v>
      </c>
      <c r="D671" s="51">
        <f t="shared" si="150"/>
        <v>0</v>
      </c>
      <c r="E671" s="51"/>
      <c r="F671" s="51"/>
      <c r="G671" s="51"/>
      <c r="H671" s="51"/>
      <c r="I671" s="51"/>
      <c r="J671" s="51"/>
      <c r="K671" s="51"/>
      <c r="L671" s="51"/>
      <c r="M671" s="35"/>
      <c r="N671" s="51"/>
      <c r="O671" s="82"/>
      <c r="P671" s="51"/>
      <c r="Q671" s="338"/>
      <c r="R671" s="51"/>
      <c r="S671" s="51"/>
      <c r="T671" s="338"/>
      <c r="U671" s="51"/>
      <c r="V671" s="35"/>
      <c r="W671" s="364">
        <f t="shared" si="152"/>
        <v>884332.48</v>
      </c>
      <c r="X671" s="285">
        <v>231385.42</v>
      </c>
      <c r="Y671" s="285"/>
      <c r="Z671" s="285"/>
      <c r="AA671" s="285"/>
      <c r="AB671" s="285"/>
      <c r="AC671" s="9">
        <v>481891.94</v>
      </c>
      <c r="AD671" s="306">
        <v>171055.12</v>
      </c>
      <c r="AE671" s="302"/>
      <c r="AF671" s="302"/>
      <c r="AG671" s="56"/>
    </row>
    <row r="672" spans="1:33" x14ac:dyDescent="0.3">
      <c r="A672" s="47">
        <f t="shared" si="151"/>
        <v>586</v>
      </c>
      <c r="B672" s="414" t="s">
        <v>825</v>
      </c>
      <c r="C672" s="51">
        <f t="shared" si="149"/>
        <v>485884.96</v>
      </c>
      <c r="D672" s="51">
        <f t="shared" si="150"/>
        <v>0</v>
      </c>
      <c r="E672" s="51"/>
      <c r="F672" s="51"/>
      <c r="G672" s="51"/>
      <c r="H672" s="51"/>
      <c r="I672" s="51"/>
      <c r="J672" s="51"/>
      <c r="K672" s="51"/>
      <c r="L672" s="51"/>
      <c r="M672" s="35"/>
      <c r="N672" s="51"/>
      <c r="O672" s="82"/>
      <c r="P672" s="51"/>
      <c r="Q672" s="338"/>
      <c r="R672" s="51"/>
      <c r="S672" s="51"/>
      <c r="T672" s="338"/>
      <c r="U672" s="51"/>
      <c r="V672" s="35"/>
      <c r="W672" s="364">
        <f t="shared" si="152"/>
        <v>485884.96</v>
      </c>
      <c r="X672" s="285">
        <v>88324.28</v>
      </c>
      <c r="Y672" s="285"/>
      <c r="Z672" s="285"/>
      <c r="AA672" s="285"/>
      <c r="AB672" s="285"/>
      <c r="AC672" s="9">
        <v>164759.17000000001</v>
      </c>
      <c r="AD672" s="306">
        <v>232801.51</v>
      </c>
      <c r="AE672" s="302"/>
      <c r="AF672" s="302"/>
      <c r="AG672" s="56"/>
    </row>
    <row r="673" spans="1:33" x14ac:dyDescent="0.3">
      <c r="A673" s="47">
        <f t="shared" si="151"/>
        <v>587</v>
      </c>
      <c r="B673" s="414" t="s">
        <v>826</v>
      </c>
      <c r="C673" s="51">
        <f t="shared" si="149"/>
        <v>507596.74</v>
      </c>
      <c r="D673" s="51">
        <f t="shared" si="150"/>
        <v>0</v>
      </c>
      <c r="E673" s="51"/>
      <c r="F673" s="51"/>
      <c r="G673" s="51"/>
      <c r="H673" s="51"/>
      <c r="I673" s="51"/>
      <c r="J673" s="51"/>
      <c r="K673" s="51"/>
      <c r="L673" s="51"/>
      <c r="M673" s="35"/>
      <c r="N673" s="51"/>
      <c r="O673" s="82"/>
      <c r="P673" s="51"/>
      <c r="Q673" s="338"/>
      <c r="R673" s="51"/>
      <c r="S673" s="51"/>
      <c r="T673" s="338"/>
      <c r="U673" s="51"/>
      <c r="V673" s="35"/>
      <c r="W673" s="364">
        <f t="shared" si="152"/>
        <v>507596.74</v>
      </c>
      <c r="X673" s="285">
        <v>92713.68</v>
      </c>
      <c r="Y673" s="285"/>
      <c r="Z673" s="285"/>
      <c r="AA673" s="285"/>
      <c r="AB673" s="285"/>
      <c r="AC673" s="9">
        <v>172296.84</v>
      </c>
      <c r="AD673" s="306">
        <v>242586.22</v>
      </c>
      <c r="AE673" s="302"/>
      <c r="AF673" s="302"/>
      <c r="AG673" s="56"/>
    </row>
    <row r="674" spans="1:33" x14ac:dyDescent="0.3">
      <c r="A674" s="47">
        <f t="shared" si="151"/>
        <v>588</v>
      </c>
      <c r="B674" s="414" t="s">
        <v>827</v>
      </c>
      <c r="C674" s="51">
        <f t="shared" si="149"/>
        <v>279949.39</v>
      </c>
      <c r="D674" s="51">
        <f t="shared" si="150"/>
        <v>0</v>
      </c>
      <c r="E674" s="51"/>
      <c r="F674" s="51"/>
      <c r="G674" s="51"/>
      <c r="H674" s="51"/>
      <c r="I674" s="51"/>
      <c r="J674" s="51"/>
      <c r="K674" s="51"/>
      <c r="L674" s="51"/>
      <c r="M674" s="35"/>
      <c r="N674" s="51"/>
      <c r="O674" s="82"/>
      <c r="P674" s="51"/>
      <c r="Q674" s="338"/>
      <c r="R674" s="51"/>
      <c r="S674" s="51"/>
      <c r="T674" s="338"/>
      <c r="U674" s="51"/>
      <c r="V674" s="35"/>
      <c r="W674" s="364">
        <f t="shared" si="152"/>
        <v>279949.39</v>
      </c>
      <c r="X674" s="285">
        <v>98641.26</v>
      </c>
      <c r="Y674" s="285"/>
      <c r="Z674" s="285"/>
      <c r="AA674" s="285"/>
      <c r="AB674" s="285"/>
      <c r="AC674" s="9">
        <v>181308.13</v>
      </c>
      <c r="AD674" s="306"/>
      <c r="AE674" s="302"/>
      <c r="AF674" s="302"/>
      <c r="AG674" s="56"/>
    </row>
    <row r="675" spans="1:33" x14ac:dyDescent="0.3">
      <c r="A675" s="47">
        <f t="shared" si="151"/>
        <v>589</v>
      </c>
      <c r="B675" s="414" t="s">
        <v>828</v>
      </c>
      <c r="C675" s="51">
        <f t="shared" si="149"/>
        <v>792639.46</v>
      </c>
      <c r="D675" s="51">
        <f t="shared" si="150"/>
        <v>0</v>
      </c>
      <c r="E675" s="51"/>
      <c r="F675" s="51"/>
      <c r="G675" s="51"/>
      <c r="H675" s="51"/>
      <c r="I675" s="51"/>
      <c r="J675" s="51"/>
      <c r="K675" s="51"/>
      <c r="L675" s="51"/>
      <c r="M675" s="35"/>
      <c r="N675" s="51"/>
      <c r="O675" s="82"/>
      <c r="P675" s="51"/>
      <c r="Q675" s="338"/>
      <c r="R675" s="51"/>
      <c r="S675" s="51"/>
      <c r="T675" s="338"/>
      <c r="U675" s="51"/>
      <c r="V675" s="35"/>
      <c r="W675" s="364">
        <f t="shared" si="152"/>
        <v>792639.46</v>
      </c>
      <c r="X675" s="285">
        <v>210037.24</v>
      </c>
      <c r="Y675" s="285"/>
      <c r="Z675" s="285"/>
      <c r="AA675" s="285"/>
      <c r="AB675" s="285"/>
      <c r="AC675" s="9">
        <v>445119.79</v>
      </c>
      <c r="AD675" s="306">
        <v>137482.43</v>
      </c>
      <c r="AE675" s="302"/>
      <c r="AF675" s="302"/>
      <c r="AG675" s="56"/>
    </row>
    <row r="676" spans="1:33" x14ac:dyDescent="0.3">
      <c r="A676" s="47">
        <f t="shared" ref="A676:A695" si="153">A675+1</f>
        <v>590</v>
      </c>
      <c r="B676" s="414" t="s">
        <v>830</v>
      </c>
      <c r="C676" s="51">
        <f t="shared" si="149"/>
        <v>416620.55000000005</v>
      </c>
      <c r="D676" s="51">
        <f t="shared" si="150"/>
        <v>0</v>
      </c>
      <c r="E676" s="51"/>
      <c r="F676" s="51"/>
      <c r="G676" s="51"/>
      <c r="H676" s="51"/>
      <c r="I676" s="51"/>
      <c r="J676" s="51"/>
      <c r="K676" s="51"/>
      <c r="L676" s="51"/>
      <c r="M676" s="35"/>
      <c r="N676" s="51"/>
      <c r="O676" s="82"/>
      <c r="P676" s="51"/>
      <c r="Q676" s="338"/>
      <c r="R676" s="51"/>
      <c r="S676" s="51"/>
      <c r="T676" s="338"/>
      <c r="U676" s="51"/>
      <c r="V676" s="35"/>
      <c r="W676" s="364">
        <f t="shared" si="152"/>
        <v>416620.55000000005</v>
      </c>
      <c r="X676" s="285">
        <v>99932.83</v>
      </c>
      <c r="Y676" s="285"/>
      <c r="Z676" s="285"/>
      <c r="AA676" s="285"/>
      <c r="AB676" s="285"/>
      <c r="AC676" s="9">
        <v>183310.64</v>
      </c>
      <c r="AD676" s="306">
        <v>133377.07999999999</v>
      </c>
      <c r="AE676" s="302"/>
      <c r="AF676" s="302"/>
      <c r="AG676" s="56"/>
    </row>
    <row r="677" spans="1:33" x14ac:dyDescent="0.3">
      <c r="A677" s="47">
        <f t="shared" si="153"/>
        <v>591</v>
      </c>
      <c r="B677" s="414" t="s">
        <v>831</v>
      </c>
      <c r="C677" s="51">
        <f t="shared" si="149"/>
        <v>523392.46</v>
      </c>
      <c r="D677" s="51">
        <f t="shared" si="150"/>
        <v>0</v>
      </c>
      <c r="E677" s="51"/>
      <c r="F677" s="51"/>
      <c r="G677" s="51"/>
      <c r="H677" s="51"/>
      <c r="I677" s="51"/>
      <c r="J677" s="51"/>
      <c r="K677" s="51"/>
      <c r="L677" s="51"/>
      <c r="M677" s="35"/>
      <c r="N677" s="51"/>
      <c r="O677" s="82"/>
      <c r="P677" s="51"/>
      <c r="Q677" s="338"/>
      <c r="R677" s="51"/>
      <c r="S677" s="51"/>
      <c r="T677" s="338"/>
      <c r="U677" s="51"/>
      <c r="V677" s="35"/>
      <c r="W677" s="364">
        <f t="shared" si="152"/>
        <v>523392.46</v>
      </c>
      <c r="X677" s="285">
        <v>87900.71</v>
      </c>
      <c r="Y677" s="285"/>
      <c r="Z677" s="285"/>
      <c r="AA677" s="285"/>
      <c r="AB677" s="285"/>
      <c r="AC677" s="9">
        <v>164980</v>
      </c>
      <c r="AD677" s="306">
        <v>270511.75</v>
      </c>
      <c r="AE677" s="302"/>
      <c r="AF677" s="302"/>
      <c r="AG677" s="56"/>
    </row>
    <row r="678" spans="1:33" x14ac:dyDescent="0.3">
      <c r="A678" s="47">
        <f t="shared" si="153"/>
        <v>592</v>
      </c>
      <c r="B678" s="414" t="s">
        <v>832</v>
      </c>
      <c r="C678" s="51">
        <f t="shared" si="149"/>
        <v>130000</v>
      </c>
      <c r="D678" s="51">
        <f t="shared" si="150"/>
        <v>0</v>
      </c>
      <c r="E678" s="51"/>
      <c r="F678" s="51"/>
      <c r="G678" s="51"/>
      <c r="H678" s="51"/>
      <c r="I678" s="51"/>
      <c r="J678" s="51"/>
      <c r="K678" s="51"/>
      <c r="L678" s="51"/>
      <c r="M678" s="35"/>
      <c r="N678" s="51"/>
      <c r="O678" s="82"/>
      <c r="P678" s="51"/>
      <c r="Q678" s="338"/>
      <c r="R678" s="51"/>
      <c r="S678" s="51"/>
      <c r="T678" s="338"/>
      <c r="U678" s="51"/>
      <c r="V678" s="35"/>
      <c r="W678" s="364">
        <v>130000</v>
      </c>
      <c r="X678" s="285"/>
      <c r="Y678" s="285"/>
      <c r="Z678" s="285"/>
      <c r="AA678" s="285"/>
      <c r="AB678" s="285"/>
      <c r="AC678" s="9"/>
      <c r="AD678" s="306"/>
      <c r="AE678" s="302"/>
      <c r="AF678" s="302"/>
      <c r="AG678" s="56"/>
    </row>
    <row r="679" spans="1:33" x14ac:dyDescent="0.3">
      <c r="A679" s="47">
        <f t="shared" si="153"/>
        <v>593</v>
      </c>
      <c r="B679" s="414" t="s">
        <v>833</v>
      </c>
      <c r="C679" s="51">
        <f t="shared" si="149"/>
        <v>407173.24</v>
      </c>
      <c r="D679" s="51">
        <f t="shared" si="150"/>
        <v>0</v>
      </c>
      <c r="E679" s="51"/>
      <c r="F679" s="51"/>
      <c r="G679" s="51"/>
      <c r="H679" s="51"/>
      <c r="I679" s="51"/>
      <c r="J679" s="51"/>
      <c r="K679" s="51"/>
      <c r="L679" s="51"/>
      <c r="M679" s="35"/>
      <c r="N679" s="51"/>
      <c r="O679" s="82"/>
      <c r="P679" s="51"/>
      <c r="Q679" s="338"/>
      <c r="R679" s="51"/>
      <c r="S679" s="51"/>
      <c r="T679" s="338"/>
      <c r="U679" s="51"/>
      <c r="V679" s="35"/>
      <c r="W679" s="364">
        <f t="shared" ref="W679:W687" si="154">SUM(X679:AH679)</f>
        <v>407173.24</v>
      </c>
      <c r="X679" s="285">
        <v>73849.78</v>
      </c>
      <c r="Y679" s="285"/>
      <c r="Z679" s="285"/>
      <c r="AA679" s="285"/>
      <c r="AB679" s="285"/>
      <c r="AC679" s="9">
        <v>143645.56</v>
      </c>
      <c r="AD679" s="306">
        <v>189677.9</v>
      </c>
      <c r="AE679" s="302"/>
      <c r="AF679" s="302"/>
      <c r="AG679" s="56"/>
    </row>
    <row r="680" spans="1:33" x14ac:dyDescent="0.3">
      <c r="A680" s="47">
        <f t="shared" si="153"/>
        <v>594</v>
      </c>
      <c r="B680" s="414" t="s">
        <v>834</v>
      </c>
      <c r="C680" s="51">
        <f t="shared" si="149"/>
        <v>381183.66000000003</v>
      </c>
      <c r="D680" s="51">
        <f t="shared" si="150"/>
        <v>0</v>
      </c>
      <c r="E680" s="51"/>
      <c r="F680" s="51"/>
      <c r="G680" s="51"/>
      <c r="H680" s="51"/>
      <c r="I680" s="51"/>
      <c r="J680" s="51"/>
      <c r="K680" s="51"/>
      <c r="L680" s="51"/>
      <c r="M680" s="35"/>
      <c r="N680" s="51"/>
      <c r="O680" s="82"/>
      <c r="P680" s="51"/>
      <c r="Q680" s="338"/>
      <c r="R680" s="51"/>
      <c r="S680" s="51"/>
      <c r="T680" s="338"/>
      <c r="U680" s="51"/>
      <c r="V680" s="35"/>
      <c r="W680" s="364">
        <f t="shared" si="154"/>
        <v>381183.66000000003</v>
      </c>
      <c r="X680" s="285">
        <v>65775.649999999994</v>
      </c>
      <c r="Y680" s="285"/>
      <c r="Z680" s="285"/>
      <c r="AA680" s="285"/>
      <c r="AB680" s="285"/>
      <c r="AC680" s="9">
        <v>130410.67</v>
      </c>
      <c r="AD680" s="306">
        <v>184997.34</v>
      </c>
      <c r="AE680" s="302"/>
      <c r="AF680" s="302"/>
      <c r="AG680" s="56"/>
    </row>
    <row r="681" spans="1:33" x14ac:dyDescent="0.3">
      <c r="A681" s="47">
        <f t="shared" si="153"/>
        <v>595</v>
      </c>
      <c r="B681" s="414" t="s">
        <v>835</v>
      </c>
      <c r="C681" s="51">
        <f t="shared" si="149"/>
        <v>1340851.1299999999</v>
      </c>
      <c r="D681" s="51">
        <f t="shared" si="150"/>
        <v>0</v>
      </c>
      <c r="E681" s="51"/>
      <c r="F681" s="51"/>
      <c r="G681" s="51"/>
      <c r="H681" s="51"/>
      <c r="I681" s="51"/>
      <c r="J681" s="51"/>
      <c r="K681" s="51"/>
      <c r="L681" s="51"/>
      <c r="M681" s="35"/>
      <c r="N681" s="51"/>
      <c r="O681" s="82"/>
      <c r="P681" s="51"/>
      <c r="Q681" s="338"/>
      <c r="R681" s="51"/>
      <c r="S681" s="51"/>
      <c r="T681" s="338"/>
      <c r="U681" s="51"/>
      <c r="V681" s="35"/>
      <c r="W681" s="364">
        <f t="shared" si="154"/>
        <v>1340851.1299999999</v>
      </c>
      <c r="X681" s="285">
        <v>311383.75</v>
      </c>
      <c r="Y681" s="285"/>
      <c r="Z681" s="285"/>
      <c r="AA681" s="285"/>
      <c r="AB681" s="285"/>
      <c r="AC681" s="9">
        <v>703397.08</v>
      </c>
      <c r="AD681" s="306">
        <v>326070.3</v>
      </c>
      <c r="AE681" s="302"/>
      <c r="AF681" s="302"/>
      <c r="AG681" s="56"/>
    </row>
    <row r="682" spans="1:33" x14ac:dyDescent="0.3">
      <c r="A682" s="47">
        <f t="shared" si="153"/>
        <v>596</v>
      </c>
      <c r="B682" s="414" t="s">
        <v>836</v>
      </c>
      <c r="C682" s="51">
        <f t="shared" si="149"/>
        <v>461224.83999999997</v>
      </c>
      <c r="D682" s="51">
        <f t="shared" si="150"/>
        <v>0</v>
      </c>
      <c r="E682" s="51"/>
      <c r="F682" s="51"/>
      <c r="G682" s="51"/>
      <c r="H682" s="51"/>
      <c r="I682" s="51"/>
      <c r="J682" s="51"/>
      <c r="K682" s="51"/>
      <c r="L682" s="51"/>
      <c r="M682" s="35"/>
      <c r="N682" s="51"/>
      <c r="O682" s="82"/>
      <c r="P682" s="51"/>
      <c r="Q682" s="338"/>
      <c r="R682" s="51"/>
      <c r="S682" s="51"/>
      <c r="T682" s="338"/>
      <c r="U682" s="51"/>
      <c r="V682" s="35"/>
      <c r="W682" s="364">
        <f t="shared" si="154"/>
        <v>461224.83999999997</v>
      </c>
      <c r="X682" s="285">
        <v>81325.98</v>
      </c>
      <c r="Y682" s="285"/>
      <c r="Z682" s="285"/>
      <c r="AA682" s="285"/>
      <c r="AB682" s="285"/>
      <c r="AC682" s="9">
        <v>153982.31</v>
      </c>
      <c r="AD682" s="306">
        <v>225916.55</v>
      </c>
      <c r="AE682" s="302"/>
      <c r="AF682" s="302"/>
      <c r="AG682" s="56"/>
    </row>
    <row r="683" spans="1:33" x14ac:dyDescent="0.3">
      <c r="A683" s="47">
        <f t="shared" si="153"/>
        <v>597</v>
      </c>
      <c r="B683" s="414" t="s">
        <v>837</v>
      </c>
      <c r="C683" s="51">
        <f t="shared" si="149"/>
        <v>1319051.27</v>
      </c>
      <c r="D683" s="51">
        <f t="shared" si="150"/>
        <v>0</v>
      </c>
      <c r="E683" s="51"/>
      <c r="F683" s="51"/>
      <c r="G683" s="51"/>
      <c r="H683" s="51"/>
      <c r="I683" s="51"/>
      <c r="J683" s="51"/>
      <c r="K683" s="51"/>
      <c r="L683" s="51"/>
      <c r="M683" s="35"/>
      <c r="N683" s="51"/>
      <c r="O683" s="82"/>
      <c r="P683" s="51"/>
      <c r="Q683" s="338"/>
      <c r="R683" s="51"/>
      <c r="S683" s="51"/>
      <c r="T683" s="338"/>
      <c r="U683" s="51"/>
      <c r="V683" s="35"/>
      <c r="W683" s="364">
        <f t="shared" si="154"/>
        <v>1319051.27</v>
      </c>
      <c r="X683" s="285">
        <v>390747.34</v>
      </c>
      <c r="Y683" s="285"/>
      <c r="Z683" s="285"/>
      <c r="AA683" s="285"/>
      <c r="AB683" s="285"/>
      <c r="AC683" s="9">
        <v>756392.27</v>
      </c>
      <c r="AD683" s="306">
        <v>171911.66</v>
      </c>
      <c r="AE683" s="302"/>
      <c r="AF683" s="302"/>
      <c r="AG683" s="56"/>
    </row>
    <row r="684" spans="1:33" x14ac:dyDescent="0.3">
      <c r="A684" s="47">
        <f t="shared" si="153"/>
        <v>598</v>
      </c>
      <c r="B684" s="414" t="s">
        <v>838</v>
      </c>
      <c r="C684" s="51">
        <f t="shared" si="149"/>
        <v>644927.16999999993</v>
      </c>
      <c r="D684" s="51">
        <f t="shared" si="150"/>
        <v>0</v>
      </c>
      <c r="E684" s="51"/>
      <c r="F684" s="51"/>
      <c r="G684" s="51"/>
      <c r="H684" s="51"/>
      <c r="I684" s="51"/>
      <c r="J684" s="51"/>
      <c r="K684" s="51"/>
      <c r="L684" s="51"/>
      <c r="M684" s="35"/>
      <c r="N684" s="51"/>
      <c r="O684" s="82"/>
      <c r="P684" s="51"/>
      <c r="Q684" s="338"/>
      <c r="R684" s="51"/>
      <c r="S684" s="51"/>
      <c r="T684" s="338"/>
      <c r="U684" s="51"/>
      <c r="V684" s="35"/>
      <c r="W684" s="364">
        <f t="shared" si="154"/>
        <v>644927.16999999993</v>
      </c>
      <c r="X684" s="285">
        <v>151218.35999999999</v>
      </c>
      <c r="Y684" s="285"/>
      <c r="Z684" s="285"/>
      <c r="AA684" s="285"/>
      <c r="AB684" s="285"/>
      <c r="AC684" s="9">
        <v>343804.49</v>
      </c>
      <c r="AD684" s="306">
        <v>149904.32000000001</v>
      </c>
      <c r="AE684" s="302"/>
      <c r="AF684" s="302"/>
      <c r="AG684" s="56"/>
    </row>
    <row r="685" spans="1:33" x14ac:dyDescent="0.3">
      <c r="A685" s="47">
        <f t="shared" si="153"/>
        <v>599</v>
      </c>
      <c r="B685" s="414" t="s">
        <v>839</v>
      </c>
      <c r="C685" s="51">
        <f t="shared" si="149"/>
        <v>1267559.6099999999</v>
      </c>
      <c r="D685" s="51">
        <f t="shared" si="150"/>
        <v>0</v>
      </c>
      <c r="E685" s="51"/>
      <c r="F685" s="51"/>
      <c r="G685" s="51"/>
      <c r="H685" s="51"/>
      <c r="I685" s="51"/>
      <c r="J685" s="51"/>
      <c r="K685" s="51"/>
      <c r="L685" s="51"/>
      <c r="M685" s="35"/>
      <c r="N685" s="51"/>
      <c r="O685" s="82"/>
      <c r="P685" s="51"/>
      <c r="Q685" s="338"/>
      <c r="R685" s="51"/>
      <c r="S685" s="51"/>
      <c r="T685" s="338"/>
      <c r="U685" s="51"/>
      <c r="V685" s="35"/>
      <c r="W685" s="364">
        <f t="shared" si="154"/>
        <v>1267559.6099999999</v>
      </c>
      <c r="X685" s="285">
        <v>346714.31</v>
      </c>
      <c r="Y685" s="285"/>
      <c r="Z685" s="285"/>
      <c r="AA685" s="285"/>
      <c r="AB685" s="285"/>
      <c r="AC685" s="9">
        <v>783146.69</v>
      </c>
      <c r="AD685" s="306">
        <v>137698.60999999999</v>
      </c>
      <c r="AE685" s="302"/>
      <c r="AF685" s="302"/>
      <c r="AG685" s="56"/>
    </row>
    <row r="686" spans="1:33" x14ac:dyDescent="0.3">
      <c r="A686" s="47">
        <f t="shared" si="153"/>
        <v>600</v>
      </c>
      <c r="B686" s="414" t="s">
        <v>840</v>
      </c>
      <c r="C686" s="51">
        <f t="shared" si="149"/>
        <v>414148.08999999997</v>
      </c>
      <c r="D686" s="51">
        <f t="shared" si="150"/>
        <v>0</v>
      </c>
      <c r="E686" s="51"/>
      <c r="F686" s="51"/>
      <c r="G686" s="51"/>
      <c r="H686" s="51"/>
      <c r="I686" s="51"/>
      <c r="J686" s="51"/>
      <c r="K686" s="51"/>
      <c r="L686" s="51"/>
      <c r="M686" s="35"/>
      <c r="N686" s="51"/>
      <c r="O686" s="82"/>
      <c r="P686" s="51"/>
      <c r="Q686" s="338"/>
      <c r="R686" s="51"/>
      <c r="S686" s="51"/>
      <c r="T686" s="338"/>
      <c r="U686" s="51"/>
      <c r="V686" s="35"/>
      <c r="W686" s="364">
        <f t="shared" si="154"/>
        <v>414148.08999999997</v>
      </c>
      <c r="X686" s="285">
        <v>127908.17</v>
      </c>
      <c r="Y686" s="285"/>
      <c r="Z686" s="285"/>
      <c r="AA686" s="285"/>
      <c r="AB686" s="285"/>
      <c r="AC686" s="9">
        <v>233425.18</v>
      </c>
      <c r="AD686" s="306">
        <v>52814.74</v>
      </c>
      <c r="AE686" s="302"/>
      <c r="AF686" s="302"/>
      <c r="AG686" s="56"/>
    </row>
    <row r="687" spans="1:33" x14ac:dyDescent="0.3">
      <c r="A687" s="47">
        <f t="shared" si="153"/>
        <v>601</v>
      </c>
      <c r="B687" s="414" t="s">
        <v>841</v>
      </c>
      <c r="C687" s="51">
        <f t="shared" ref="C687:C718" si="155">D687+K687+L687+N687+P687+R687+S687+U687+W687</f>
        <v>783189.21</v>
      </c>
      <c r="D687" s="51">
        <f t="shared" si="150"/>
        <v>0</v>
      </c>
      <c r="E687" s="51"/>
      <c r="F687" s="51"/>
      <c r="G687" s="51"/>
      <c r="H687" s="51"/>
      <c r="I687" s="51"/>
      <c r="J687" s="51"/>
      <c r="K687" s="51"/>
      <c r="L687" s="51"/>
      <c r="M687" s="35"/>
      <c r="N687" s="51"/>
      <c r="O687" s="82"/>
      <c r="P687" s="51"/>
      <c r="Q687" s="338"/>
      <c r="R687" s="51"/>
      <c r="S687" s="51"/>
      <c r="T687" s="338"/>
      <c r="U687" s="51"/>
      <c r="V687" s="35"/>
      <c r="W687" s="364">
        <f t="shared" si="154"/>
        <v>783189.21</v>
      </c>
      <c r="X687" s="285">
        <v>137693.32</v>
      </c>
      <c r="Y687" s="285"/>
      <c r="Z687" s="285"/>
      <c r="AA687" s="285"/>
      <c r="AB687" s="285"/>
      <c r="AC687" s="9">
        <v>285479.40000000002</v>
      </c>
      <c r="AD687" s="306">
        <v>360016.49</v>
      </c>
      <c r="AE687" s="302"/>
      <c r="AF687" s="302"/>
      <c r="AG687" s="56"/>
    </row>
    <row r="688" spans="1:33" x14ac:dyDescent="0.3">
      <c r="A688" s="47">
        <f t="shared" si="153"/>
        <v>602</v>
      </c>
      <c r="B688" s="414" t="s">
        <v>842</v>
      </c>
      <c r="C688" s="51">
        <f t="shared" si="155"/>
        <v>92576.9</v>
      </c>
      <c r="D688" s="51">
        <f t="shared" si="150"/>
        <v>0</v>
      </c>
      <c r="E688" s="51"/>
      <c r="F688" s="51"/>
      <c r="G688" s="51"/>
      <c r="H688" s="51"/>
      <c r="I688" s="51"/>
      <c r="J688" s="51"/>
      <c r="K688" s="51"/>
      <c r="L688" s="51"/>
      <c r="M688" s="35"/>
      <c r="N688" s="51"/>
      <c r="O688" s="82"/>
      <c r="P688" s="51"/>
      <c r="Q688" s="338"/>
      <c r="R688" s="51"/>
      <c r="S688" s="51"/>
      <c r="T688" s="338"/>
      <c r="U688" s="51"/>
      <c r="V688" s="35"/>
      <c r="W688" s="364">
        <f>SUM(Y688:AH688)</f>
        <v>92576.9</v>
      </c>
      <c r="X688" s="9"/>
      <c r="Y688" s="285"/>
      <c r="Z688" s="285"/>
      <c r="AA688" s="285"/>
      <c r="AB688" s="285"/>
      <c r="AC688" s="9"/>
      <c r="AD688" s="316">
        <v>92576.9</v>
      </c>
      <c r="AE688" s="302"/>
      <c r="AF688" s="302"/>
      <c r="AG688" s="56"/>
    </row>
    <row r="689" spans="1:33" x14ac:dyDescent="0.3">
      <c r="A689" s="47">
        <f t="shared" si="153"/>
        <v>603</v>
      </c>
      <c r="B689" s="414" t="s">
        <v>843</v>
      </c>
      <c r="C689" s="51">
        <f t="shared" si="155"/>
        <v>847127.99</v>
      </c>
      <c r="D689" s="51">
        <f t="shared" si="150"/>
        <v>0</v>
      </c>
      <c r="E689" s="51"/>
      <c r="F689" s="51"/>
      <c r="G689" s="51"/>
      <c r="H689" s="51"/>
      <c r="I689" s="51"/>
      <c r="J689" s="51"/>
      <c r="K689" s="51"/>
      <c r="L689" s="51"/>
      <c r="M689" s="35"/>
      <c r="N689" s="51"/>
      <c r="O689" s="82"/>
      <c r="P689" s="51"/>
      <c r="Q689" s="338"/>
      <c r="R689" s="51"/>
      <c r="S689" s="51"/>
      <c r="T689" s="338"/>
      <c r="U689" s="51"/>
      <c r="V689" s="35"/>
      <c r="W689" s="364">
        <f t="shared" ref="W689:W720" si="156">SUM(X689:AH689)</f>
        <v>847127.99</v>
      </c>
      <c r="X689" s="285">
        <v>427159.87</v>
      </c>
      <c r="Y689" s="285"/>
      <c r="Z689" s="285"/>
      <c r="AA689" s="285"/>
      <c r="AB689" s="285"/>
      <c r="AC689" s="9">
        <v>261035.87</v>
      </c>
      <c r="AD689" s="306">
        <v>158932.25</v>
      </c>
      <c r="AE689" s="302"/>
      <c r="AF689" s="302"/>
      <c r="AG689" s="56"/>
    </row>
    <row r="690" spans="1:33" x14ac:dyDescent="0.3">
      <c r="A690" s="47">
        <f t="shared" si="153"/>
        <v>604</v>
      </c>
      <c r="B690" s="414" t="s">
        <v>844</v>
      </c>
      <c r="C690" s="51">
        <f t="shared" si="155"/>
        <v>965856.32000000007</v>
      </c>
      <c r="D690" s="51">
        <f t="shared" si="150"/>
        <v>0</v>
      </c>
      <c r="E690" s="51"/>
      <c r="F690" s="51"/>
      <c r="G690" s="51"/>
      <c r="H690" s="51"/>
      <c r="I690" s="51"/>
      <c r="J690" s="51"/>
      <c r="K690" s="51"/>
      <c r="L690" s="51"/>
      <c r="M690" s="35"/>
      <c r="N690" s="51"/>
      <c r="O690" s="82"/>
      <c r="P690" s="51"/>
      <c r="Q690" s="338"/>
      <c r="R690" s="51"/>
      <c r="S690" s="51"/>
      <c r="T690" s="338"/>
      <c r="U690" s="51"/>
      <c r="V690" s="35"/>
      <c r="W690" s="364">
        <f t="shared" si="156"/>
        <v>965856.32000000007</v>
      </c>
      <c r="X690" s="285">
        <v>195849.36</v>
      </c>
      <c r="Y690" s="285"/>
      <c r="Z690" s="285"/>
      <c r="AA690" s="285"/>
      <c r="AB690" s="285"/>
      <c r="AC690" s="9">
        <v>447134.42</v>
      </c>
      <c r="AD690" s="306">
        <v>322872.53999999998</v>
      </c>
      <c r="AE690" s="302"/>
      <c r="AF690" s="302"/>
      <c r="AG690" s="56"/>
    </row>
    <row r="691" spans="1:33" x14ac:dyDescent="0.3">
      <c r="A691" s="47">
        <f t="shared" si="153"/>
        <v>605</v>
      </c>
      <c r="B691" s="414" t="s">
        <v>845</v>
      </c>
      <c r="C691" s="51">
        <f t="shared" si="155"/>
        <v>668111.81000000006</v>
      </c>
      <c r="D691" s="51">
        <f t="shared" si="150"/>
        <v>0</v>
      </c>
      <c r="E691" s="51"/>
      <c r="F691" s="51"/>
      <c r="G691" s="51"/>
      <c r="H691" s="51"/>
      <c r="I691" s="51"/>
      <c r="J691" s="51"/>
      <c r="K691" s="51"/>
      <c r="L691" s="51"/>
      <c r="M691" s="35"/>
      <c r="N691" s="51"/>
      <c r="O691" s="82"/>
      <c r="P691" s="51"/>
      <c r="Q691" s="338"/>
      <c r="R691" s="51"/>
      <c r="S691" s="51"/>
      <c r="T691" s="338"/>
      <c r="U691" s="51"/>
      <c r="V691" s="35"/>
      <c r="W691" s="364">
        <f t="shared" si="156"/>
        <v>668111.81000000006</v>
      </c>
      <c r="X691" s="285">
        <v>182805.17</v>
      </c>
      <c r="Y691" s="285"/>
      <c r="Z691" s="285"/>
      <c r="AA691" s="285"/>
      <c r="AB691" s="285"/>
      <c r="AC691" s="9">
        <v>398212.62</v>
      </c>
      <c r="AD691" s="306">
        <v>87094.02</v>
      </c>
      <c r="AE691" s="302"/>
      <c r="AF691" s="302"/>
      <c r="AG691" s="56"/>
    </row>
    <row r="692" spans="1:33" x14ac:dyDescent="0.3">
      <c r="A692" s="47">
        <f t="shared" si="153"/>
        <v>606</v>
      </c>
      <c r="B692" s="414" t="s">
        <v>846</v>
      </c>
      <c r="C692" s="51">
        <f t="shared" si="155"/>
        <v>448942.95</v>
      </c>
      <c r="D692" s="51">
        <f t="shared" si="150"/>
        <v>0</v>
      </c>
      <c r="E692" s="51"/>
      <c r="F692" s="51"/>
      <c r="G692" s="51"/>
      <c r="H692" s="51"/>
      <c r="I692" s="51"/>
      <c r="J692" s="51"/>
      <c r="K692" s="51"/>
      <c r="L692" s="51"/>
      <c r="M692" s="35"/>
      <c r="N692" s="51"/>
      <c r="O692" s="82"/>
      <c r="P692" s="51"/>
      <c r="Q692" s="338"/>
      <c r="R692" s="51"/>
      <c r="S692" s="51"/>
      <c r="T692" s="338"/>
      <c r="U692" s="51"/>
      <c r="V692" s="35"/>
      <c r="W692" s="364">
        <f t="shared" si="156"/>
        <v>448942.95</v>
      </c>
      <c r="X692" s="285">
        <v>236552.39</v>
      </c>
      <c r="Y692" s="285"/>
      <c r="Z692" s="285"/>
      <c r="AA692" s="285"/>
      <c r="AB692" s="285"/>
      <c r="AC692" s="9"/>
      <c r="AD692" s="306">
        <v>212390.56</v>
      </c>
      <c r="AE692" s="302"/>
      <c r="AF692" s="302"/>
      <c r="AG692" s="56"/>
    </row>
    <row r="693" spans="1:33" x14ac:dyDescent="0.3">
      <c r="A693" s="47">
        <f t="shared" si="153"/>
        <v>607</v>
      </c>
      <c r="B693" s="414" t="s">
        <v>847</v>
      </c>
      <c r="C693" s="51">
        <f t="shared" si="155"/>
        <v>530547.05000000005</v>
      </c>
      <c r="D693" s="51">
        <f t="shared" si="150"/>
        <v>0</v>
      </c>
      <c r="E693" s="51"/>
      <c r="F693" s="51"/>
      <c r="G693" s="51"/>
      <c r="H693" s="51"/>
      <c r="I693" s="51"/>
      <c r="J693" s="51"/>
      <c r="K693" s="51"/>
      <c r="L693" s="51"/>
      <c r="M693" s="35"/>
      <c r="N693" s="51"/>
      <c r="O693" s="82"/>
      <c r="P693" s="51"/>
      <c r="Q693" s="338"/>
      <c r="R693" s="51"/>
      <c r="S693" s="51"/>
      <c r="T693" s="338"/>
      <c r="U693" s="51"/>
      <c r="V693" s="35"/>
      <c r="W693" s="364">
        <f t="shared" si="156"/>
        <v>530547.05000000005</v>
      </c>
      <c r="X693" s="285">
        <v>136744.87</v>
      </c>
      <c r="Y693" s="285"/>
      <c r="Z693" s="285"/>
      <c r="AA693" s="285"/>
      <c r="AB693" s="285"/>
      <c r="AC693" s="9">
        <v>252893.5</v>
      </c>
      <c r="AD693" s="306">
        <v>140908.68</v>
      </c>
      <c r="AE693" s="302"/>
      <c r="AF693" s="302"/>
      <c r="AG693" s="56"/>
    </row>
    <row r="694" spans="1:33" x14ac:dyDescent="0.3">
      <c r="A694" s="47">
        <f t="shared" si="153"/>
        <v>608</v>
      </c>
      <c r="B694" s="414" t="s">
        <v>848</v>
      </c>
      <c r="C694" s="51">
        <f t="shared" si="155"/>
        <v>605879.25</v>
      </c>
      <c r="D694" s="51">
        <f t="shared" si="150"/>
        <v>0</v>
      </c>
      <c r="E694" s="51"/>
      <c r="F694" s="51"/>
      <c r="G694" s="51"/>
      <c r="H694" s="51"/>
      <c r="I694" s="51"/>
      <c r="J694" s="51"/>
      <c r="K694" s="51"/>
      <c r="L694" s="51"/>
      <c r="M694" s="35"/>
      <c r="N694" s="51"/>
      <c r="O694" s="82"/>
      <c r="P694" s="51"/>
      <c r="Q694" s="338"/>
      <c r="R694" s="51"/>
      <c r="S694" s="51"/>
      <c r="T694" s="338"/>
      <c r="U694" s="51"/>
      <c r="V694" s="35"/>
      <c r="W694" s="364">
        <f t="shared" si="156"/>
        <v>605879.25</v>
      </c>
      <c r="X694" s="285">
        <v>74032.5</v>
      </c>
      <c r="Y694" s="285"/>
      <c r="Z694" s="285"/>
      <c r="AA694" s="285"/>
      <c r="AB694" s="285"/>
      <c r="AC694" s="9">
        <v>144107.69</v>
      </c>
      <c r="AD694" s="306">
        <v>387739.06</v>
      </c>
      <c r="AE694" s="302"/>
      <c r="AF694" s="302"/>
      <c r="AG694" s="56"/>
    </row>
    <row r="695" spans="1:33" x14ac:dyDescent="0.3">
      <c r="A695" s="47">
        <f t="shared" si="153"/>
        <v>609</v>
      </c>
      <c r="B695" s="414" t="s">
        <v>849</v>
      </c>
      <c r="C695" s="51">
        <f t="shared" si="155"/>
        <v>310992.12</v>
      </c>
      <c r="D695" s="51">
        <f t="shared" si="150"/>
        <v>0</v>
      </c>
      <c r="E695" s="51"/>
      <c r="F695" s="51"/>
      <c r="G695" s="51"/>
      <c r="H695" s="51"/>
      <c r="I695" s="51"/>
      <c r="J695" s="51"/>
      <c r="K695" s="51"/>
      <c r="L695" s="51"/>
      <c r="M695" s="35"/>
      <c r="N695" s="51"/>
      <c r="O695" s="82"/>
      <c r="P695" s="51"/>
      <c r="Q695" s="338"/>
      <c r="R695" s="51"/>
      <c r="S695" s="51"/>
      <c r="T695" s="338"/>
      <c r="U695" s="51"/>
      <c r="V695" s="35"/>
      <c r="W695" s="364">
        <f t="shared" si="156"/>
        <v>310992.12</v>
      </c>
      <c r="X695" s="285"/>
      <c r="Y695" s="285"/>
      <c r="Z695" s="285"/>
      <c r="AA695" s="285"/>
      <c r="AB695" s="285"/>
      <c r="AC695" s="9"/>
      <c r="AD695" s="306"/>
      <c r="AE695" s="302"/>
      <c r="AF695" s="302">
        <v>310992.12</v>
      </c>
      <c r="AG695" s="56"/>
    </row>
    <row r="696" spans="1:33" x14ac:dyDescent="0.3">
      <c r="A696" s="47">
        <f t="shared" ref="A696:A727" si="157">A695+1</f>
        <v>610</v>
      </c>
      <c r="B696" s="414" t="s">
        <v>850</v>
      </c>
      <c r="C696" s="51">
        <f t="shared" si="155"/>
        <v>734769.91</v>
      </c>
      <c r="D696" s="51">
        <f t="shared" si="150"/>
        <v>0</v>
      </c>
      <c r="E696" s="51"/>
      <c r="F696" s="51"/>
      <c r="G696" s="51"/>
      <c r="H696" s="51"/>
      <c r="I696" s="51"/>
      <c r="J696" s="51"/>
      <c r="K696" s="51"/>
      <c r="L696" s="51"/>
      <c r="M696" s="35"/>
      <c r="N696" s="51"/>
      <c r="O696" s="82"/>
      <c r="P696" s="51"/>
      <c r="Q696" s="338"/>
      <c r="R696" s="51"/>
      <c r="S696" s="51"/>
      <c r="T696" s="338"/>
      <c r="U696" s="51"/>
      <c r="V696" s="35"/>
      <c r="W696" s="364">
        <f t="shared" si="156"/>
        <v>734769.91</v>
      </c>
      <c r="X696" s="285">
        <v>188434.78</v>
      </c>
      <c r="Y696" s="285"/>
      <c r="Z696" s="285"/>
      <c r="AA696" s="285"/>
      <c r="AB696" s="285"/>
      <c r="AC696" s="9">
        <v>405677.98</v>
      </c>
      <c r="AD696" s="306">
        <v>140657.15</v>
      </c>
      <c r="AE696" s="302"/>
      <c r="AF696" s="302"/>
      <c r="AG696" s="56"/>
    </row>
    <row r="697" spans="1:33" x14ac:dyDescent="0.3">
      <c r="A697" s="47">
        <f t="shared" si="157"/>
        <v>611</v>
      </c>
      <c r="B697" s="414" t="s">
        <v>851</v>
      </c>
      <c r="C697" s="51">
        <f t="shared" si="155"/>
        <v>138241.57</v>
      </c>
      <c r="D697" s="51">
        <f t="shared" si="150"/>
        <v>0</v>
      </c>
      <c r="E697" s="51"/>
      <c r="F697" s="51"/>
      <c r="G697" s="51"/>
      <c r="H697" s="51"/>
      <c r="I697" s="51"/>
      <c r="J697" s="51"/>
      <c r="K697" s="51"/>
      <c r="L697" s="51"/>
      <c r="M697" s="35"/>
      <c r="N697" s="51"/>
      <c r="O697" s="82"/>
      <c r="P697" s="51"/>
      <c r="Q697" s="338"/>
      <c r="R697" s="51"/>
      <c r="S697" s="51"/>
      <c r="T697" s="338"/>
      <c r="U697" s="51"/>
      <c r="V697" s="35"/>
      <c r="W697" s="364">
        <f t="shared" si="156"/>
        <v>138241.57</v>
      </c>
      <c r="X697" s="285"/>
      <c r="Y697" s="285"/>
      <c r="Z697" s="285"/>
      <c r="AA697" s="285"/>
      <c r="AB697" s="285"/>
      <c r="AC697" s="9"/>
      <c r="AD697" s="306">
        <v>138241.57</v>
      </c>
      <c r="AE697" s="302"/>
      <c r="AF697" s="302"/>
      <c r="AG697" s="56"/>
    </row>
    <row r="698" spans="1:33" x14ac:dyDescent="0.3">
      <c r="A698" s="47">
        <f t="shared" si="157"/>
        <v>612</v>
      </c>
      <c r="B698" s="414" t="s">
        <v>852</v>
      </c>
      <c r="C698" s="51">
        <f t="shared" si="155"/>
        <v>677854.45</v>
      </c>
      <c r="D698" s="51">
        <f t="shared" si="150"/>
        <v>0</v>
      </c>
      <c r="E698" s="51"/>
      <c r="F698" s="51"/>
      <c r="G698" s="51"/>
      <c r="H698" s="51"/>
      <c r="I698" s="51"/>
      <c r="J698" s="51"/>
      <c r="K698" s="51"/>
      <c r="L698" s="51"/>
      <c r="M698" s="35"/>
      <c r="N698" s="51"/>
      <c r="O698" s="82"/>
      <c r="P698" s="51"/>
      <c r="Q698" s="338"/>
      <c r="R698" s="51"/>
      <c r="S698" s="51"/>
      <c r="T698" s="338"/>
      <c r="U698" s="51"/>
      <c r="V698" s="35"/>
      <c r="W698" s="364">
        <f t="shared" si="156"/>
        <v>677854.45</v>
      </c>
      <c r="X698" s="285">
        <v>172938.94</v>
      </c>
      <c r="Y698" s="285"/>
      <c r="Z698" s="285"/>
      <c r="AA698" s="285"/>
      <c r="AB698" s="285"/>
      <c r="AC698" s="9">
        <v>342376.06</v>
      </c>
      <c r="AD698" s="306">
        <v>162539.45000000001</v>
      </c>
      <c r="AE698" s="302"/>
      <c r="AF698" s="302"/>
      <c r="AG698" s="56"/>
    </row>
    <row r="699" spans="1:33" x14ac:dyDescent="0.3">
      <c r="A699" s="47">
        <f t="shared" si="157"/>
        <v>613</v>
      </c>
      <c r="B699" s="414" t="s">
        <v>853</v>
      </c>
      <c r="C699" s="51">
        <f t="shared" si="155"/>
        <v>1450360.88</v>
      </c>
      <c r="D699" s="51">
        <f t="shared" si="150"/>
        <v>0</v>
      </c>
      <c r="E699" s="51"/>
      <c r="F699" s="51"/>
      <c r="G699" s="51"/>
      <c r="H699" s="51"/>
      <c r="I699" s="51"/>
      <c r="J699" s="51"/>
      <c r="K699" s="51"/>
      <c r="L699" s="51"/>
      <c r="M699" s="35"/>
      <c r="N699" s="51"/>
      <c r="O699" s="82"/>
      <c r="P699" s="51"/>
      <c r="Q699" s="338"/>
      <c r="R699" s="51"/>
      <c r="S699" s="51"/>
      <c r="T699" s="338"/>
      <c r="U699" s="51"/>
      <c r="V699" s="35"/>
      <c r="W699" s="364">
        <f t="shared" si="156"/>
        <v>1450360.88</v>
      </c>
      <c r="X699" s="285">
        <v>385997.68</v>
      </c>
      <c r="Y699" s="285"/>
      <c r="Z699" s="285"/>
      <c r="AA699" s="285"/>
      <c r="AB699" s="285"/>
      <c r="AC699" s="9">
        <v>748210.97</v>
      </c>
      <c r="AD699" s="306">
        <v>316152.23</v>
      </c>
      <c r="AE699" s="302"/>
      <c r="AF699" s="302"/>
      <c r="AG699" s="56"/>
    </row>
    <row r="700" spans="1:33" x14ac:dyDescent="0.3">
      <c r="A700" s="47">
        <f t="shared" si="157"/>
        <v>614</v>
      </c>
      <c r="B700" s="414" t="s">
        <v>854</v>
      </c>
      <c r="C700" s="51">
        <f t="shared" si="155"/>
        <v>1390693.52</v>
      </c>
      <c r="D700" s="51">
        <f t="shared" si="150"/>
        <v>0</v>
      </c>
      <c r="E700" s="51"/>
      <c r="F700" s="51"/>
      <c r="G700" s="51"/>
      <c r="H700" s="51"/>
      <c r="I700" s="51"/>
      <c r="J700" s="51"/>
      <c r="K700" s="506"/>
      <c r="L700" s="506"/>
      <c r="M700" s="35"/>
      <c r="N700" s="51"/>
      <c r="O700" s="82"/>
      <c r="P700" s="51"/>
      <c r="Q700" s="338"/>
      <c r="R700" s="51"/>
      <c r="S700" s="51"/>
      <c r="T700" s="338"/>
      <c r="U700" s="51"/>
      <c r="V700" s="35"/>
      <c r="W700" s="364">
        <f t="shared" si="156"/>
        <v>1390693.52</v>
      </c>
      <c r="X700" s="285">
        <v>234817.69</v>
      </c>
      <c r="Y700" s="285">
        <v>318043.84999999998</v>
      </c>
      <c r="Z700" s="505">
        <v>244955.54</v>
      </c>
      <c r="AA700" s="505"/>
      <c r="AB700" s="285"/>
      <c r="AC700" s="9">
        <v>568478.81000000006</v>
      </c>
      <c r="AD700" s="306">
        <v>24397.63</v>
      </c>
      <c r="AE700" s="302"/>
      <c r="AF700" s="302"/>
      <c r="AG700" s="56"/>
    </row>
    <row r="701" spans="1:33" x14ac:dyDescent="0.3">
      <c r="A701" s="47">
        <f t="shared" si="157"/>
        <v>615</v>
      </c>
      <c r="B701" s="414" t="s">
        <v>855</v>
      </c>
      <c r="C701" s="51">
        <f t="shared" si="155"/>
        <v>738008.8899999999</v>
      </c>
      <c r="D701" s="51">
        <f t="shared" si="150"/>
        <v>0</v>
      </c>
      <c r="E701" s="51"/>
      <c r="F701" s="51"/>
      <c r="G701" s="51"/>
      <c r="H701" s="51"/>
      <c r="I701" s="51"/>
      <c r="J701" s="51"/>
      <c r="K701" s="51"/>
      <c r="L701" s="51"/>
      <c r="M701" s="35"/>
      <c r="N701" s="51"/>
      <c r="O701" s="82"/>
      <c r="P701" s="51"/>
      <c r="Q701" s="338"/>
      <c r="R701" s="51"/>
      <c r="S701" s="51"/>
      <c r="T701" s="338"/>
      <c r="U701" s="51"/>
      <c r="V701" s="35"/>
      <c r="W701" s="364">
        <f t="shared" si="156"/>
        <v>738008.8899999999</v>
      </c>
      <c r="X701" s="285">
        <v>176696.86</v>
      </c>
      <c r="Y701" s="285"/>
      <c r="Z701" s="285"/>
      <c r="AA701" s="285"/>
      <c r="AB701" s="285"/>
      <c r="AC701" s="9">
        <v>456016.79</v>
      </c>
      <c r="AD701" s="306">
        <v>105295.24</v>
      </c>
      <c r="AE701" s="302"/>
      <c r="AF701" s="302"/>
      <c r="AG701" s="56"/>
    </row>
    <row r="702" spans="1:33" x14ac:dyDescent="0.3">
      <c r="A702" s="47">
        <f t="shared" si="157"/>
        <v>616</v>
      </c>
      <c r="B702" s="414" t="s">
        <v>856</v>
      </c>
      <c r="C702" s="51">
        <f t="shared" si="155"/>
        <v>550284.11</v>
      </c>
      <c r="D702" s="51">
        <f t="shared" si="150"/>
        <v>0</v>
      </c>
      <c r="E702" s="51"/>
      <c r="F702" s="51"/>
      <c r="G702" s="51"/>
      <c r="H702" s="51"/>
      <c r="I702" s="51"/>
      <c r="J702" s="51"/>
      <c r="K702" s="51"/>
      <c r="L702" s="51"/>
      <c r="M702" s="35"/>
      <c r="N702" s="51"/>
      <c r="O702" s="82"/>
      <c r="P702" s="51"/>
      <c r="Q702" s="338"/>
      <c r="R702" s="51"/>
      <c r="S702" s="51"/>
      <c r="T702" s="338"/>
      <c r="U702" s="51"/>
      <c r="V702" s="35"/>
      <c r="W702" s="364">
        <f t="shared" si="156"/>
        <v>550284.11</v>
      </c>
      <c r="X702" s="285">
        <v>145495.04000000001</v>
      </c>
      <c r="Y702" s="285"/>
      <c r="Z702" s="285"/>
      <c r="AA702" s="285"/>
      <c r="AB702" s="285"/>
      <c r="AC702" s="9">
        <v>284237.08</v>
      </c>
      <c r="AD702" s="306">
        <v>120551.99</v>
      </c>
      <c r="AE702" s="302"/>
      <c r="AF702" s="302"/>
      <c r="AG702" s="56"/>
    </row>
    <row r="703" spans="1:33" x14ac:dyDescent="0.3">
      <c r="A703" s="47">
        <f t="shared" si="157"/>
        <v>617</v>
      </c>
      <c r="B703" s="414" t="s">
        <v>857</v>
      </c>
      <c r="C703" s="51">
        <f t="shared" si="155"/>
        <v>942685.12999999989</v>
      </c>
      <c r="D703" s="51">
        <f t="shared" si="150"/>
        <v>0</v>
      </c>
      <c r="E703" s="51"/>
      <c r="F703" s="51"/>
      <c r="G703" s="51"/>
      <c r="H703" s="51"/>
      <c r="I703" s="51"/>
      <c r="J703" s="51"/>
      <c r="K703" s="51"/>
      <c r="L703" s="51"/>
      <c r="M703" s="35"/>
      <c r="N703" s="51"/>
      <c r="O703" s="82"/>
      <c r="P703" s="51"/>
      <c r="Q703" s="338"/>
      <c r="R703" s="51"/>
      <c r="S703" s="51"/>
      <c r="T703" s="338"/>
      <c r="U703" s="51"/>
      <c r="V703" s="35"/>
      <c r="W703" s="364">
        <f t="shared" si="156"/>
        <v>942685.12999999989</v>
      </c>
      <c r="X703" s="285">
        <v>168454.79</v>
      </c>
      <c r="Y703" s="285">
        <v>239500.02</v>
      </c>
      <c r="Z703" s="285">
        <v>153262.56</v>
      </c>
      <c r="AA703" s="285"/>
      <c r="AB703" s="285">
        <v>153262.56</v>
      </c>
      <c r="AC703" s="9"/>
      <c r="AD703" s="306">
        <v>228205.2</v>
      </c>
      <c r="AE703" s="302"/>
      <c r="AF703" s="302"/>
      <c r="AG703" s="56"/>
    </row>
    <row r="704" spans="1:33" x14ac:dyDescent="0.3">
      <c r="A704" s="47">
        <f t="shared" si="157"/>
        <v>618</v>
      </c>
      <c r="B704" s="414" t="s">
        <v>858</v>
      </c>
      <c r="C704" s="51">
        <f t="shared" si="155"/>
        <v>521791.82</v>
      </c>
      <c r="D704" s="51">
        <f t="shared" si="150"/>
        <v>0</v>
      </c>
      <c r="E704" s="51"/>
      <c r="F704" s="51"/>
      <c r="G704" s="51"/>
      <c r="H704" s="51"/>
      <c r="I704" s="51"/>
      <c r="J704" s="51"/>
      <c r="K704" s="51"/>
      <c r="L704" s="51"/>
      <c r="M704" s="35"/>
      <c r="N704" s="51"/>
      <c r="O704" s="82"/>
      <c r="P704" s="51"/>
      <c r="Q704" s="338"/>
      <c r="R704" s="51"/>
      <c r="S704" s="51"/>
      <c r="T704" s="338"/>
      <c r="U704" s="51"/>
      <c r="V704" s="35"/>
      <c r="W704" s="364">
        <f t="shared" si="156"/>
        <v>521791.82</v>
      </c>
      <c r="X704" s="285">
        <v>127963.87</v>
      </c>
      <c r="Y704" s="285"/>
      <c r="Z704" s="285"/>
      <c r="AA704" s="285"/>
      <c r="AB704" s="9"/>
      <c r="AC704" s="285">
        <v>281021.93</v>
      </c>
      <c r="AD704" s="306">
        <v>112806.02</v>
      </c>
      <c r="AE704" s="302"/>
      <c r="AF704" s="302"/>
      <c r="AG704" s="56"/>
    </row>
    <row r="705" spans="1:33" x14ac:dyDescent="0.3">
      <c r="A705" s="47">
        <f t="shared" si="157"/>
        <v>619</v>
      </c>
      <c r="B705" s="414" t="s">
        <v>859</v>
      </c>
      <c r="C705" s="51">
        <f t="shared" si="155"/>
        <v>2344103.3199999998</v>
      </c>
      <c r="D705" s="51">
        <f t="shared" si="150"/>
        <v>0</v>
      </c>
      <c r="E705" s="51"/>
      <c r="F705" s="51"/>
      <c r="G705" s="51"/>
      <c r="H705" s="51"/>
      <c r="I705" s="51"/>
      <c r="J705" s="51"/>
      <c r="K705" s="51"/>
      <c r="L705" s="51"/>
      <c r="M705" s="35"/>
      <c r="N705" s="51"/>
      <c r="O705" s="82"/>
      <c r="P705" s="51"/>
      <c r="Q705" s="338"/>
      <c r="R705" s="51"/>
      <c r="S705" s="51"/>
      <c r="T705" s="338"/>
      <c r="U705" s="51"/>
      <c r="V705" s="35"/>
      <c r="W705" s="364">
        <f t="shared" si="156"/>
        <v>2344103.3199999998</v>
      </c>
      <c r="X705" s="285">
        <v>380506.13</v>
      </c>
      <c r="Y705" s="285">
        <v>486819.73</v>
      </c>
      <c r="Z705" s="285">
        <v>363669.85</v>
      </c>
      <c r="AA705" s="285"/>
      <c r="AB705" s="285"/>
      <c r="AC705" s="9">
        <v>850208.2</v>
      </c>
      <c r="AD705" s="306">
        <v>262899.40999999997</v>
      </c>
      <c r="AE705" s="302"/>
      <c r="AF705" s="302"/>
      <c r="AG705" s="56"/>
    </row>
    <row r="706" spans="1:33" x14ac:dyDescent="0.3">
      <c r="A706" s="47">
        <f t="shared" si="157"/>
        <v>620</v>
      </c>
      <c r="B706" s="414" t="s">
        <v>860</v>
      </c>
      <c r="C706" s="51">
        <f t="shared" si="155"/>
        <v>527941.06999999995</v>
      </c>
      <c r="D706" s="51">
        <f t="shared" si="150"/>
        <v>0</v>
      </c>
      <c r="E706" s="51"/>
      <c r="F706" s="51"/>
      <c r="G706" s="51"/>
      <c r="H706" s="51"/>
      <c r="I706" s="51"/>
      <c r="J706" s="51"/>
      <c r="K706" s="51"/>
      <c r="L706" s="51"/>
      <c r="M706" s="35"/>
      <c r="N706" s="51"/>
      <c r="O706" s="82"/>
      <c r="P706" s="51"/>
      <c r="Q706" s="338"/>
      <c r="R706" s="51"/>
      <c r="S706" s="51"/>
      <c r="T706" s="338"/>
      <c r="U706" s="51"/>
      <c r="V706" s="35"/>
      <c r="W706" s="364">
        <f t="shared" si="156"/>
        <v>527941.06999999995</v>
      </c>
      <c r="X706" s="285">
        <v>126646.62</v>
      </c>
      <c r="Y706" s="285"/>
      <c r="Z706" s="285"/>
      <c r="AA706" s="285"/>
      <c r="AB706" s="285"/>
      <c r="AC706" s="9">
        <v>282050.56</v>
      </c>
      <c r="AD706" s="306">
        <v>119243.89</v>
      </c>
      <c r="AE706" s="302"/>
      <c r="AF706" s="302"/>
      <c r="AG706" s="56"/>
    </row>
    <row r="707" spans="1:33" x14ac:dyDescent="0.3">
      <c r="A707" s="47">
        <f t="shared" si="157"/>
        <v>621</v>
      </c>
      <c r="B707" s="414" t="s">
        <v>861</v>
      </c>
      <c r="C707" s="51">
        <f t="shared" si="155"/>
        <v>725843.96</v>
      </c>
      <c r="D707" s="51">
        <f t="shared" si="150"/>
        <v>0</v>
      </c>
      <c r="E707" s="51"/>
      <c r="F707" s="51"/>
      <c r="G707" s="51"/>
      <c r="H707" s="51"/>
      <c r="I707" s="51"/>
      <c r="J707" s="51"/>
      <c r="K707" s="51"/>
      <c r="L707" s="51"/>
      <c r="M707" s="35"/>
      <c r="N707" s="51"/>
      <c r="O707" s="82"/>
      <c r="P707" s="51"/>
      <c r="Q707" s="338"/>
      <c r="R707" s="51"/>
      <c r="S707" s="51"/>
      <c r="T707" s="338"/>
      <c r="U707" s="51"/>
      <c r="V707" s="35"/>
      <c r="W707" s="364">
        <f t="shared" si="156"/>
        <v>725843.96</v>
      </c>
      <c r="X707" s="316"/>
      <c r="Y707" s="285"/>
      <c r="Z707" s="285"/>
      <c r="AA707" s="285"/>
      <c r="AB707" s="285"/>
      <c r="AC707" s="9"/>
      <c r="AD707" s="306"/>
      <c r="AE707" s="302">
        <v>725843.96</v>
      </c>
      <c r="AF707" s="302"/>
      <c r="AG707" s="56"/>
    </row>
    <row r="708" spans="1:33" x14ac:dyDescent="0.3">
      <c r="A708" s="47">
        <f t="shared" si="157"/>
        <v>622</v>
      </c>
      <c r="B708" s="414" t="s">
        <v>862</v>
      </c>
      <c r="C708" s="51">
        <f t="shared" si="155"/>
        <v>262615.86</v>
      </c>
      <c r="D708" s="51">
        <f t="shared" si="150"/>
        <v>0</v>
      </c>
      <c r="E708" s="51"/>
      <c r="F708" s="51"/>
      <c r="G708" s="51"/>
      <c r="H708" s="51"/>
      <c r="I708" s="51"/>
      <c r="J708" s="51"/>
      <c r="K708" s="51"/>
      <c r="L708" s="51"/>
      <c r="M708" s="35"/>
      <c r="N708" s="51"/>
      <c r="O708" s="82"/>
      <c r="P708" s="51"/>
      <c r="Q708" s="338"/>
      <c r="R708" s="51"/>
      <c r="S708" s="51"/>
      <c r="T708" s="338"/>
      <c r="U708" s="51"/>
      <c r="V708" s="35"/>
      <c r="W708" s="364">
        <f t="shared" si="156"/>
        <v>262615.86</v>
      </c>
      <c r="X708" s="316"/>
      <c r="Y708" s="285"/>
      <c r="Z708" s="285"/>
      <c r="AA708" s="285"/>
      <c r="AB708" s="285"/>
      <c r="AC708" s="9"/>
      <c r="AD708" s="306">
        <v>262615.86</v>
      </c>
      <c r="AE708" s="302"/>
      <c r="AF708" s="302"/>
      <c r="AG708" s="56"/>
    </row>
    <row r="709" spans="1:33" x14ac:dyDescent="0.3">
      <c r="A709" s="47">
        <f t="shared" si="157"/>
        <v>623</v>
      </c>
      <c r="B709" s="414" t="s">
        <v>863</v>
      </c>
      <c r="C709" s="51">
        <f t="shared" si="155"/>
        <v>118244.45999999999</v>
      </c>
      <c r="D709" s="51">
        <f t="shared" si="150"/>
        <v>0</v>
      </c>
      <c r="E709" s="51"/>
      <c r="F709" s="51"/>
      <c r="G709" s="51"/>
      <c r="H709" s="51"/>
      <c r="I709" s="51"/>
      <c r="J709" s="51"/>
      <c r="K709" s="51"/>
      <c r="L709" s="51"/>
      <c r="M709" s="35"/>
      <c r="N709" s="51"/>
      <c r="O709" s="82"/>
      <c r="P709" s="51"/>
      <c r="Q709" s="338"/>
      <c r="R709" s="51"/>
      <c r="S709" s="51"/>
      <c r="T709" s="338"/>
      <c r="U709" s="51"/>
      <c r="V709" s="35"/>
      <c r="W709" s="364">
        <f t="shared" si="156"/>
        <v>118244.45999999999</v>
      </c>
      <c r="X709" s="317">
        <v>39503.74</v>
      </c>
      <c r="Y709" s="285"/>
      <c r="Z709" s="285"/>
      <c r="AA709" s="285"/>
      <c r="AB709" s="285"/>
      <c r="AC709" s="9">
        <v>78740.72</v>
      </c>
      <c r="AD709" s="40"/>
      <c r="AE709" s="302"/>
      <c r="AF709" s="302"/>
      <c r="AG709" s="56"/>
    </row>
    <row r="710" spans="1:33" x14ac:dyDescent="0.3">
      <c r="A710" s="47">
        <f t="shared" si="157"/>
        <v>624</v>
      </c>
      <c r="B710" s="414" t="s">
        <v>864</v>
      </c>
      <c r="C710" s="51">
        <f t="shared" si="155"/>
        <v>494648.69</v>
      </c>
      <c r="D710" s="51">
        <f t="shared" si="150"/>
        <v>0</v>
      </c>
      <c r="E710" s="51"/>
      <c r="F710" s="51"/>
      <c r="G710" s="51"/>
      <c r="H710" s="51"/>
      <c r="I710" s="51"/>
      <c r="J710" s="51"/>
      <c r="K710" s="51"/>
      <c r="L710" s="51"/>
      <c r="M710" s="35"/>
      <c r="N710" s="51"/>
      <c r="O710" s="82"/>
      <c r="P710" s="51"/>
      <c r="Q710" s="338"/>
      <c r="R710" s="51"/>
      <c r="S710" s="51"/>
      <c r="T710" s="338"/>
      <c r="U710" s="51"/>
      <c r="V710" s="35"/>
      <c r="W710" s="364">
        <f t="shared" si="156"/>
        <v>494648.69</v>
      </c>
      <c r="X710" s="316">
        <v>92411.199999999997</v>
      </c>
      <c r="Y710" s="285"/>
      <c r="Z710" s="285"/>
      <c r="AA710" s="285"/>
      <c r="AB710" s="285"/>
      <c r="AC710" s="9">
        <v>172952.18</v>
      </c>
      <c r="AD710" s="306">
        <v>229285.31</v>
      </c>
      <c r="AE710" s="302"/>
      <c r="AF710" s="302"/>
      <c r="AG710" s="56"/>
    </row>
    <row r="711" spans="1:33" x14ac:dyDescent="0.3">
      <c r="A711" s="47">
        <f t="shared" si="157"/>
        <v>625</v>
      </c>
      <c r="B711" s="414" t="s">
        <v>865</v>
      </c>
      <c r="C711" s="51">
        <f t="shared" si="155"/>
        <v>143042.82</v>
      </c>
      <c r="D711" s="51">
        <f t="shared" si="150"/>
        <v>0</v>
      </c>
      <c r="E711" s="51"/>
      <c r="F711" s="51"/>
      <c r="G711" s="51"/>
      <c r="H711" s="51"/>
      <c r="I711" s="51"/>
      <c r="J711" s="51"/>
      <c r="K711" s="51"/>
      <c r="L711" s="51"/>
      <c r="M711" s="35"/>
      <c r="N711" s="51"/>
      <c r="O711" s="82"/>
      <c r="P711" s="51"/>
      <c r="Q711" s="338"/>
      <c r="R711" s="51"/>
      <c r="S711" s="51"/>
      <c r="T711" s="338"/>
      <c r="U711" s="51"/>
      <c r="V711" s="35"/>
      <c r="W711" s="364">
        <f t="shared" si="156"/>
        <v>143042.82</v>
      </c>
      <c r="X711" s="316">
        <v>32330.92</v>
      </c>
      <c r="Y711" s="285"/>
      <c r="Z711" s="285"/>
      <c r="AA711" s="285"/>
      <c r="AB711" s="285"/>
      <c r="AC711" s="9">
        <v>73866.78</v>
      </c>
      <c r="AD711" s="306">
        <v>36845.120000000003</v>
      </c>
      <c r="AE711" s="302"/>
      <c r="AF711" s="302"/>
      <c r="AG711" s="56"/>
    </row>
    <row r="712" spans="1:33" x14ac:dyDescent="0.3">
      <c r="A712" s="47">
        <f t="shared" si="157"/>
        <v>626</v>
      </c>
      <c r="B712" s="414" t="s">
        <v>866</v>
      </c>
      <c r="C712" s="51">
        <f t="shared" si="155"/>
        <v>434327.39</v>
      </c>
      <c r="D712" s="51">
        <f t="shared" si="150"/>
        <v>0</v>
      </c>
      <c r="E712" s="51"/>
      <c r="F712" s="51"/>
      <c r="G712" s="51"/>
      <c r="H712" s="51"/>
      <c r="I712" s="51"/>
      <c r="J712" s="51"/>
      <c r="K712" s="51"/>
      <c r="L712" s="51"/>
      <c r="M712" s="35"/>
      <c r="N712" s="51"/>
      <c r="O712" s="82"/>
      <c r="P712" s="51"/>
      <c r="Q712" s="338"/>
      <c r="R712" s="51"/>
      <c r="S712" s="51"/>
      <c r="T712" s="338"/>
      <c r="U712" s="51"/>
      <c r="V712" s="35"/>
      <c r="W712" s="364">
        <f t="shared" si="156"/>
        <v>434327.39</v>
      </c>
      <c r="X712" s="316">
        <v>84879.32</v>
      </c>
      <c r="Y712" s="285"/>
      <c r="Z712" s="285"/>
      <c r="AA712" s="285"/>
      <c r="AB712" s="285"/>
      <c r="AC712" s="9">
        <v>159744.82999999999</v>
      </c>
      <c r="AD712" s="306">
        <v>189703.24</v>
      </c>
      <c r="AE712" s="302"/>
      <c r="AF712" s="302"/>
      <c r="AG712" s="56"/>
    </row>
    <row r="713" spans="1:33" x14ac:dyDescent="0.3">
      <c r="A713" s="47">
        <f t="shared" si="157"/>
        <v>627</v>
      </c>
      <c r="B713" s="414" t="s">
        <v>867</v>
      </c>
      <c r="C713" s="51">
        <f t="shared" si="155"/>
        <v>112483.59</v>
      </c>
      <c r="D713" s="51">
        <f t="shared" si="150"/>
        <v>0</v>
      </c>
      <c r="E713" s="51"/>
      <c r="F713" s="51"/>
      <c r="G713" s="51"/>
      <c r="H713" s="51"/>
      <c r="I713" s="51"/>
      <c r="J713" s="51"/>
      <c r="K713" s="51"/>
      <c r="L713" s="51"/>
      <c r="M713" s="35"/>
      <c r="N713" s="51"/>
      <c r="O713" s="82"/>
      <c r="P713" s="51"/>
      <c r="Q713" s="338"/>
      <c r="R713" s="51"/>
      <c r="S713" s="51"/>
      <c r="T713" s="338"/>
      <c r="U713" s="51"/>
      <c r="V713" s="35"/>
      <c r="W713" s="364">
        <f t="shared" si="156"/>
        <v>112483.59</v>
      </c>
      <c r="X713" s="316">
        <v>35831.71</v>
      </c>
      <c r="Y713" s="285"/>
      <c r="Z713" s="285"/>
      <c r="AA713" s="285"/>
      <c r="AB713" s="285"/>
      <c r="AC713" s="9">
        <v>76651.88</v>
      </c>
      <c r="AD713" s="306"/>
      <c r="AE713" s="302"/>
      <c r="AF713" s="302"/>
      <c r="AG713" s="56"/>
    </row>
    <row r="714" spans="1:33" x14ac:dyDescent="0.3">
      <c r="A714" s="47">
        <f t="shared" si="157"/>
        <v>628</v>
      </c>
      <c r="B714" s="414" t="s">
        <v>868</v>
      </c>
      <c r="C714" s="51">
        <f t="shared" si="155"/>
        <v>275306.38</v>
      </c>
      <c r="D714" s="51">
        <f t="shared" si="150"/>
        <v>0</v>
      </c>
      <c r="E714" s="51"/>
      <c r="F714" s="51"/>
      <c r="G714" s="51"/>
      <c r="H714" s="51"/>
      <c r="I714" s="51"/>
      <c r="J714" s="51"/>
      <c r="K714" s="51"/>
      <c r="L714" s="51"/>
      <c r="M714" s="35"/>
      <c r="N714" s="51"/>
      <c r="O714" s="82"/>
      <c r="P714" s="51"/>
      <c r="Q714" s="338"/>
      <c r="R714" s="51"/>
      <c r="S714" s="51"/>
      <c r="T714" s="338"/>
      <c r="U714" s="51"/>
      <c r="V714" s="35"/>
      <c r="W714" s="364">
        <f t="shared" si="156"/>
        <v>275306.38</v>
      </c>
      <c r="X714" s="316">
        <v>60864.53</v>
      </c>
      <c r="Y714" s="285"/>
      <c r="Z714" s="285"/>
      <c r="AA714" s="285"/>
      <c r="AB714" s="285"/>
      <c r="AC714" s="9">
        <v>123194.86</v>
      </c>
      <c r="AD714" s="306">
        <v>91246.99</v>
      </c>
      <c r="AE714" s="302"/>
      <c r="AF714" s="302"/>
      <c r="AG714" s="56"/>
    </row>
    <row r="715" spans="1:33" x14ac:dyDescent="0.3">
      <c r="A715" s="47">
        <f t="shared" si="157"/>
        <v>629</v>
      </c>
      <c r="B715" s="414" t="s">
        <v>869</v>
      </c>
      <c r="C715" s="51">
        <f t="shared" si="155"/>
        <v>389167.78</v>
      </c>
      <c r="D715" s="51">
        <f t="shared" si="150"/>
        <v>0</v>
      </c>
      <c r="E715" s="51"/>
      <c r="F715" s="51"/>
      <c r="G715" s="51"/>
      <c r="H715" s="51"/>
      <c r="I715" s="51"/>
      <c r="J715" s="51"/>
      <c r="K715" s="51"/>
      <c r="L715" s="51"/>
      <c r="M715" s="35"/>
      <c r="N715" s="51"/>
      <c r="O715" s="82"/>
      <c r="P715" s="51"/>
      <c r="Q715" s="338"/>
      <c r="R715" s="51"/>
      <c r="S715" s="51"/>
      <c r="T715" s="338"/>
      <c r="U715" s="51"/>
      <c r="V715" s="35"/>
      <c r="W715" s="364">
        <f t="shared" si="156"/>
        <v>389167.78</v>
      </c>
      <c r="X715" s="316">
        <v>67462.48</v>
      </c>
      <c r="Y715" s="285"/>
      <c r="Z715" s="285"/>
      <c r="AA715" s="285"/>
      <c r="AB715" s="285"/>
      <c r="AC715" s="9">
        <v>133104.57999999999</v>
      </c>
      <c r="AD715" s="306">
        <v>188600.72</v>
      </c>
      <c r="AE715" s="302"/>
      <c r="AF715" s="302"/>
      <c r="AG715" s="56"/>
    </row>
    <row r="716" spans="1:33" x14ac:dyDescent="0.3">
      <c r="A716" s="47">
        <f t="shared" si="157"/>
        <v>630</v>
      </c>
      <c r="B716" s="414" t="s">
        <v>870</v>
      </c>
      <c r="C716" s="51">
        <f t="shared" si="155"/>
        <v>427099.18</v>
      </c>
      <c r="D716" s="51">
        <f t="shared" si="150"/>
        <v>0</v>
      </c>
      <c r="E716" s="51"/>
      <c r="F716" s="51"/>
      <c r="G716" s="51"/>
      <c r="H716" s="51"/>
      <c r="I716" s="51"/>
      <c r="J716" s="51"/>
      <c r="K716" s="51"/>
      <c r="L716" s="51"/>
      <c r="M716" s="35"/>
      <c r="N716" s="51"/>
      <c r="O716" s="82"/>
      <c r="P716" s="51"/>
      <c r="Q716" s="338"/>
      <c r="R716" s="51"/>
      <c r="S716" s="51"/>
      <c r="T716" s="338"/>
      <c r="U716" s="51"/>
      <c r="V716" s="35"/>
      <c r="W716" s="364">
        <f t="shared" si="156"/>
        <v>427099.18</v>
      </c>
      <c r="X716" s="316">
        <v>77525.78</v>
      </c>
      <c r="Y716" s="285"/>
      <c r="Z716" s="285"/>
      <c r="AA716" s="285"/>
      <c r="AB716" s="285"/>
      <c r="AC716" s="9">
        <v>148209.66</v>
      </c>
      <c r="AD716" s="306">
        <v>201363.74</v>
      </c>
      <c r="AE716" s="302"/>
      <c r="AF716" s="302"/>
      <c r="AG716" s="56"/>
    </row>
    <row r="717" spans="1:33" x14ac:dyDescent="0.3">
      <c r="A717" s="47">
        <f t="shared" si="157"/>
        <v>631</v>
      </c>
      <c r="B717" s="414" t="s">
        <v>871</v>
      </c>
      <c r="C717" s="51">
        <f t="shared" si="155"/>
        <v>433239.92000000004</v>
      </c>
      <c r="D717" s="51">
        <f t="shared" si="150"/>
        <v>0</v>
      </c>
      <c r="E717" s="51"/>
      <c r="F717" s="51"/>
      <c r="G717" s="51"/>
      <c r="H717" s="51"/>
      <c r="I717" s="51"/>
      <c r="J717" s="51"/>
      <c r="K717" s="51"/>
      <c r="L717" s="51"/>
      <c r="M717" s="35"/>
      <c r="N717" s="51"/>
      <c r="O717" s="82"/>
      <c r="P717" s="51"/>
      <c r="Q717" s="338"/>
      <c r="R717" s="51"/>
      <c r="S717" s="51"/>
      <c r="T717" s="338"/>
      <c r="U717" s="51"/>
      <c r="V717" s="35"/>
      <c r="W717" s="364">
        <f t="shared" si="156"/>
        <v>433239.92000000004</v>
      </c>
      <c r="X717" s="316">
        <v>80560.66</v>
      </c>
      <c r="Y717" s="285"/>
      <c r="Z717" s="285"/>
      <c r="AA717" s="285"/>
      <c r="AB717" s="285"/>
      <c r="AC717" s="9">
        <v>152979.44</v>
      </c>
      <c r="AD717" s="306">
        <v>199699.82</v>
      </c>
      <c r="AE717" s="302"/>
      <c r="AF717" s="302"/>
      <c r="AG717" s="56"/>
    </row>
    <row r="718" spans="1:33" x14ac:dyDescent="0.3">
      <c r="A718" s="47">
        <f t="shared" si="157"/>
        <v>632</v>
      </c>
      <c r="B718" s="414" t="s">
        <v>872</v>
      </c>
      <c r="C718" s="51">
        <f t="shared" si="155"/>
        <v>401406</v>
      </c>
      <c r="D718" s="51">
        <f t="shared" si="150"/>
        <v>0</v>
      </c>
      <c r="E718" s="51"/>
      <c r="F718" s="51"/>
      <c r="G718" s="51"/>
      <c r="H718" s="51"/>
      <c r="I718" s="51"/>
      <c r="J718" s="51"/>
      <c r="K718" s="51"/>
      <c r="L718" s="51"/>
      <c r="M718" s="35"/>
      <c r="N718" s="51"/>
      <c r="O718" s="82"/>
      <c r="P718" s="51"/>
      <c r="Q718" s="338"/>
      <c r="R718" s="51"/>
      <c r="S718" s="51"/>
      <c r="T718" s="338"/>
      <c r="U718" s="51"/>
      <c r="V718" s="35"/>
      <c r="W718" s="364">
        <f t="shared" si="156"/>
        <v>401406</v>
      </c>
      <c r="X718" s="316">
        <v>75962.53</v>
      </c>
      <c r="Y718" s="285"/>
      <c r="Z718" s="285"/>
      <c r="AA718" s="285"/>
      <c r="AB718" s="285"/>
      <c r="AC718" s="9">
        <v>145900.6</v>
      </c>
      <c r="AD718" s="306">
        <v>179542.87</v>
      </c>
      <c r="AE718" s="302"/>
      <c r="AF718" s="302"/>
      <c r="AG718" s="56"/>
    </row>
    <row r="719" spans="1:33" x14ac:dyDescent="0.3">
      <c r="A719" s="47">
        <f t="shared" si="157"/>
        <v>633</v>
      </c>
      <c r="B719" s="414" t="s">
        <v>873</v>
      </c>
      <c r="C719" s="51">
        <f t="shared" ref="C719:C750" si="158">D719+K719+L719+N719+P719+R719+S719+U719+W719</f>
        <v>403601.52</v>
      </c>
      <c r="D719" s="51">
        <f t="shared" ref="D719:D782" si="159">E719+F719+G719+H719+I719</f>
        <v>0</v>
      </c>
      <c r="E719" s="51"/>
      <c r="F719" s="51"/>
      <c r="G719" s="51"/>
      <c r="H719" s="51"/>
      <c r="I719" s="51"/>
      <c r="J719" s="51"/>
      <c r="K719" s="51"/>
      <c r="L719" s="51"/>
      <c r="M719" s="35"/>
      <c r="N719" s="51"/>
      <c r="O719" s="82"/>
      <c r="P719" s="51"/>
      <c r="Q719" s="338"/>
      <c r="R719" s="51"/>
      <c r="S719" s="51"/>
      <c r="T719" s="338"/>
      <c r="U719" s="51"/>
      <c r="V719" s="35"/>
      <c r="W719" s="364">
        <f t="shared" si="156"/>
        <v>403601.52</v>
      </c>
      <c r="X719" s="316">
        <v>75578.62</v>
      </c>
      <c r="Y719" s="285"/>
      <c r="Z719" s="285"/>
      <c r="AA719" s="285"/>
      <c r="AB719" s="285"/>
      <c r="AC719" s="9">
        <v>145323.34</v>
      </c>
      <c r="AD719" s="306">
        <v>182699.56</v>
      </c>
      <c r="AE719" s="302"/>
      <c r="AF719" s="302"/>
      <c r="AG719" s="56"/>
    </row>
    <row r="720" spans="1:33" x14ac:dyDescent="0.3">
      <c r="A720" s="47">
        <f t="shared" si="157"/>
        <v>634</v>
      </c>
      <c r="B720" s="414" t="s">
        <v>874</v>
      </c>
      <c r="C720" s="51">
        <f t="shared" si="158"/>
        <v>596199.09</v>
      </c>
      <c r="D720" s="51">
        <f t="shared" si="159"/>
        <v>0</v>
      </c>
      <c r="E720" s="51"/>
      <c r="F720" s="51"/>
      <c r="G720" s="51"/>
      <c r="H720" s="51"/>
      <c r="I720" s="51"/>
      <c r="J720" s="51"/>
      <c r="K720" s="51"/>
      <c r="L720" s="51"/>
      <c r="M720" s="35"/>
      <c r="N720" s="51"/>
      <c r="O720" s="82"/>
      <c r="P720" s="51"/>
      <c r="Q720" s="338"/>
      <c r="R720" s="51"/>
      <c r="S720" s="51"/>
      <c r="T720" s="338"/>
      <c r="U720" s="51"/>
      <c r="V720" s="35"/>
      <c r="W720" s="364">
        <f t="shared" si="156"/>
        <v>596199.09</v>
      </c>
      <c r="X720" s="316">
        <v>138767.79999999999</v>
      </c>
      <c r="Y720" s="285"/>
      <c r="Z720" s="285"/>
      <c r="AA720" s="285"/>
      <c r="AB720" s="285"/>
      <c r="AC720" s="9">
        <v>297075.61</v>
      </c>
      <c r="AD720" s="306">
        <v>160355.68</v>
      </c>
      <c r="AE720" s="302"/>
      <c r="AF720" s="302"/>
      <c r="AG720" s="56"/>
    </row>
    <row r="721" spans="1:33" x14ac:dyDescent="0.3">
      <c r="A721" s="47">
        <f t="shared" si="157"/>
        <v>635</v>
      </c>
      <c r="B721" s="414" t="s">
        <v>875</v>
      </c>
      <c r="C721" s="51">
        <f t="shared" si="158"/>
        <v>130000</v>
      </c>
      <c r="D721" s="51">
        <f t="shared" si="159"/>
        <v>0</v>
      </c>
      <c r="E721" s="51"/>
      <c r="F721" s="51"/>
      <c r="G721" s="51"/>
      <c r="H721" s="51"/>
      <c r="I721" s="51"/>
      <c r="J721" s="51"/>
      <c r="K721" s="51"/>
      <c r="L721" s="51"/>
      <c r="M721" s="35"/>
      <c r="N721" s="51"/>
      <c r="O721" s="82"/>
      <c r="P721" s="51"/>
      <c r="Q721" s="338"/>
      <c r="R721" s="51"/>
      <c r="S721" s="51"/>
      <c r="T721" s="338"/>
      <c r="U721" s="51"/>
      <c r="V721" s="35"/>
      <c r="W721" s="364">
        <v>130000</v>
      </c>
      <c r="X721" s="316"/>
      <c r="Y721" s="285"/>
      <c r="Z721" s="285"/>
      <c r="AA721" s="285"/>
      <c r="AB721" s="285"/>
      <c r="AC721" s="9"/>
      <c r="AD721" s="306"/>
      <c r="AE721" s="302"/>
      <c r="AF721" s="302"/>
      <c r="AG721" s="56"/>
    </row>
    <row r="722" spans="1:33" x14ac:dyDescent="0.3">
      <c r="A722" s="47">
        <f t="shared" si="157"/>
        <v>636</v>
      </c>
      <c r="B722" s="414" t="s">
        <v>876</v>
      </c>
      <c r="C722" s="51">
        <f t="shared" si="158"/>
        <v>227761.88</v>
      </c>
      <c r="D722" s="51">
        <f t="shared" si="159"/>
        <v>0</v>
      </c>
      <c r="E722" s="51"/>
      <c r="F722" s="51"/>
      <c r="G722" s="51"/>
      <c r="H722" s="51"/>
      <c r="I722" s="51"/>
      <c r="J722" s="51"/>
      <c r="K722" s="51"/>
      <c r="L722" s="51"/>
      <c r="M722" s="35"/>
      <c r="N722" s="51"/>
      <c r="O722" s="82"/>
      <c r="P722" s="51"/>
      <c r="Q722" s="338"/>
      <c r="R722" s="51"/>
      <c r="S722" s="51"/>
      <c r="T722" s="338"/>
      <c r="U722" s="51"/>
      <c r="V722" s="35"/>
      <c r="W722" s="364">
        <f>SUM(X722:AH722)</f>
        <v>227761.88</v>
      </c>
      <c r="X722" s="316"/>
      <c r="Y722" s="285"/>
      <c r="Z722" s="285"/>
      <c r="AA722" s="285"/>
      <c r="AB722" s="285"/>
      <c r="AC722" s="9">
        <v>169216.38</v>
      </c>
      <c r="AD722" s="306">
        <v>58545.5</v>
      </c>
      <c r="AE722" s="302"/>
      <c r="AF722" s="302"/>
      <c r="AG722" s="56"/>
    </row>
    <row r="723" spans="1:33" x14ac:dyDescent="0.3">
      <c r="A723" s="47">
        <f t="shared" si="157"/>
        <v>637</v>
      </c>
      <c r="B723" s="414" t="s">
        <v>877</v>
      </c>
      <c r="C723" s="51">
        <f t="shared" si="158"/>
        <v>293674.75</v>
      </c>
      <c r="D723" s="51">
        <f t="shared" si="159"/>
        <v>0</v>
      </c>
      <c r="E723" s="51"/>
      <c r="F723" s="51"/>
      <c r="G723" s="51"/>
      <c r="H723" s="51"/>
      <c r="I723" s="51"/>
      <c r="J723" s="51"/>
      <c r="K723" s="51"/>
      <c r="L723" s="51"/>
      <c r="M723" s="35"/>
      <c r="N723" s="51"/>
      <c r="O723" s="82"/>
      <c r="P723" s="51"/>
      <c r="Q723" s="338"/>
      <c r="R723" s="51"/>
      <c r="S723" s="51"/>
      <c r="T723" s="338"/>
      <c r="U723" s="51"/>
      <c r="V723" s="35"/>
      <c r="W723" s="364">
        <f>SUM(X723:AH723)</f>
        <v>293674.75</v>
      </c>
      <c r="X723" s="316">
        <v>82169.47</v>
      </c>
      <c r="Y723" s="285"/>
      <c r="Z723" s="285"/>
      <c r="AA723" s="285"/>
      <c r="AB723" s="285"/>
      <c r="AC723" s="9">
        <v>155233.04</v>
      </c>
      <c r="AD723" s="306">
        <v>56272.24</v>
      </c>
      <c r="AE723" s="302"/>
      <c r="AF723" s="302"/>
      <c r="AG723" s="56"/>
    </row>
    <row r="724" spans="1:33" x14ac:dyDescent="0.3">
      <c r="A724" s="47">
        <f t="shared" si="157"/>
        <v>638</v>
      </c>
      <c r="B724" s="414" t="s">
        <v>878</v>
      </c>
      <c r="C724" s="51">
        <f t="shared" si="158"/>
        <v>487490.54000000004</v>
      </c>
      <c r="D724" s="51">
        <f t="shared" si="159"/>
        <v>0</v>
      </c>
      <c r="E724" s="51"/>
      <c r="F724" s="51"/>
      <c r="G724" s="51"/>
      <c r="H724" s="51"/>
      <c r="I724" s="51"/>
      <c r="J724" s="51"/>
      <c r="K724" s="51"/>
      <c r="L724" s="51"/>
      <c r="M724" s="35"/>
      <c r="N724" s="51"/>
      <c r="O724" s="82"/>
      <c r="P724" s="51"/>
      <c r="Q724" s="338"/>
      <c r="R724" s="51"/>
      <c r="S724" s="51"/>
      <c r="T724" s="338"/>
      <c r="U724" s="51"/>
      <c r="V724" s="35"/>
      <c r="W724" s="364">
        <f>SUM(X724:AH724)</f>
        <v>487490.54000000004</v>
      </c>
      <c r="X724" s="316">
        <v>83629.16</v>
      </c>
      <c r="Y724" s="285"/>
      <c r="Z724" s="285"/>
      <c r="AA724" s="285"/>
      <c r="AB724" s="285"/>
      <c r="AC724" s="9">
        <v>157445.89000000001</v>
      </c>
      <c r="AD724" s="306">
        <v>246415.49</v>
      </c>
      <c r="AE724" s="302"/>
      <c r="AF724" s="302"/>
      <c r="AG724" s="56"/>
    </row>
    <row r="725" spans="1:33" x14ac:dyDescent="0.3">
      <c r="A725" s="47">
        <f t="shared" si="157"/>
        <v>639</v>
      </c>
      <c r="B725" s="414" t="s">
        <v>879</v>
      </c>
      <c r="C725" s="51">
        <f t="shared" si="158"/>
        <v>130000</v>
      </c>
      <c r="D725" s="51">
        <f t="shared" si="159"/>
        <v>0</v>
      </c>
      <c r="E725" s="51"/>
      <c r="F725" s="51"/>
      <c r="G725" s="51"/>
      <c r="H725" s="51"/>
      <c r="I725" s="51"/>
      <c r="J725" s="51"/>
      <c r="K725" s="51"/>
      <c r="L725" s="51"/>
      <c r="M725" s="35"/>
      <c r="N725" s="51"/>
      <c r="O725" s="82"/>
      <c r="P725" s="51"/>
      <c r="Q725" s="338"/>
      <c r="R725" s="51"/>
      <c r="S725" s="51"/>
      <c r="T725" s="338"/>
      <c r="U725" s="51"/>
      <c r="V725" s="35"/>
      <c r="W725" s="364">
        <v>130000</v>
      </c>
      <c r="X725" s="285"/>
      <c r="Y725" s="9"/>
      <c r="Z725" s="285"/>
      <c r="AA725" s="285"/>
      <c r="AB725" s="285"/>
      <c r="AC725" s="9"/>
      <c r="AD725" s="306"/>
      <c r="AE725" s="302"/>
      <c r="AF725" s="302"/>
      <c r="AG725" s="56"/>
    </row>
    <row r="726" spans="1:33" x14ac:dyDescent="0.3">
      <c r="A726" s="47">
        <f t="shared" si="157"/>
        <v>640</v>
      </c>
      <c r="B726" s="414" t="s">
        <v>880</v>
      </c>
      <c r="C726" s="51">
        <f t="shared" si="158"/>
        <v>130000</v>
      </c>
      <c r="D726" s="51">
        <f t="shared" si="159"/>
        <v>0</v>
      </c>
      <c r="E726" s="51"/>
      <c r="F726" s="51"/>
      <c r="G726" s="51"/>
      <c r="H726" s="51"/>
      <c r="I726" s="51"/>
      <c r="J726" s="51"/>
      <c r="K726" s="51"/>
      <c r="L726" s="51"/>
      <c r="M726" s="35"/>
      <c r="N726" s="51"/>
      <c r="O726" s="82"/>
      <c r="P726" s="51"/>
      <c r="Q726" s="338"/>
      <c r="R726" s="51"/>
      <c r="S726" s="51"/>
      <c r="T726" s="338"/>
      <c r="U726" s="51"/>
      <c r="V726" s="35"/>
      <c r="W726" s="364">
        <v>130000</v>
      </c>
      <c r="X726" s="285"/>
      <c r="Y726" s="285"/>
      <c r="Z726" s="285"/>
      <c r="AA726" s="285"/>
      <c r="AB726" s="285"/>
      <c r="AC726" s="9"/>
      <c r="AD726" s="306"/>
      <c r="AE726" s="302"/>
      <c r="AF726" s="302"/>
      <c r="AG726" s="56"/>
    </row>
    <row r="727" spans="1:33" x14ac:dyDescent="0.3">
      <c r="A727" s="47">
        <f t="shared" si="157"/>
        <v>641</v>
      </c>
      <c r="B727" s="414" t="s">
        <v>881</v>
      </c>
      <c r="C727" s="51">
        <f t="shared" si="158"/>
        <v>130000</v>
      </c>
      <c r="D727" s="51">
        <f t="shared" si="159"/>
        <v>0</v>
      </c>
      <c r="E727" s="51"/>
      <c r="F727" s="51"/>
      <c r="G727" s="51"/>
      <c r="H727" s="51"/>
      <c r="I727" s="51"/>
      <c r="J727" s="51"/>
      <c r="K727" s="51"/>
      <c r="L727" s="51"/>
      <c r="M727" s="35"/>
      <c r="N727" s="51"/>
      <c r="O727" s="82"/>
      <c r="P727" s="51"/>
      <c r="Q727" s="338"/>
      <c r="R727" s="51"/>
      <c r="S727" s="51"/>
      <c r="T727" s="338"/>
      <c r="U727" s="51"/>
      <c r="V727" s="35"/>
      <c r="W727" s="364">
        <v>130000</v>
      </c>
      <c r="X727" s="285"/>
      <c r="Y727" s="285"/>
      <c r="Z727" s="285"/>
      <c r="AA727" s="285"/>
      <c r="AB727" s="285"/>
      <c r="AC727" s="9"/>
      <c r="AD727" s="306"/>
      <c r="AE727" s="302"/>
      <c r="AF727" s="302"/>
      <c r="AG727" s="56"/>
    </row>
    <row r="728" spans="1:33" x14ac:dyDescent="0.3">
      <c r="A728" s="47">
        <f t="shared" ref="A728:A759" si="160">A727+1</f>
        <v>642</v>
      </c>
      <c r="B728" s="414" t="s">
        <v>882</v>
      </c>
      <c r="C728" s="51">
        <f t="shared" si="158"/>
        <v>211587.64</v>
      </c>
      <c r="D728" s="51">
        <f t="shared" si="159"/>
        <v>0</v>
      </c>
      <c r="E728" s="51"/>
      <c r="F728" s="51"/>
      <c r="G728" s="51"/>
      <c r="H728" s="51"/>
      <c r="I728" s="51"/>
      <c r="J728" s="51"/>
      <c r="K728" s="51"/>
      <c r="L728" s="51"/>
      <c r="M728" s="35"/>
      <c r="N728" s="51"/>
      <c r="O728" s="82"/>
      <c r="P728" s="51"/>
      <c r="Q728" s="338"/>
      <c r="R728" s="51"/>
      <c r="S728" s="51"/>
      <c r="T728" s="338"/>
      <c r="U728" s="51"/>
      <c r="V728" s="35"/>
      <c r="W728" s="364">
        <f>SUM(X728:AH728)</f>
        <v>211587.64</v>
      </c>
      <c r="X728" s="285">
        <v>96594.94</v>
      </c>
      <c r="Y728" s="285">
        <v>114992.7</v>
      </c>
      <c r="Z728" s="285"/>
      <c r="AA728" s="285"/>
      <c r="AB728" s="285"/>
      <c r="AC728" s="9"/>
      <c r="AD728" s="306"/>
      <c r="AE728" s="302"/>
      <c r="AF728" s="302"/>
      <c r="AG728" s="56"/>
    </row>
    <row r="729" spans="1:33" x14ac:dyDescent="0.3">
      <c r="A729" s="47">
        <f t="shared" si="160"/>
        <v>643</v>
      </c>
      <c r="B729" s="414" t="s">
        <v>883</v>
      </c>
      <c r="C729" s="51">
        <f t="shared" si="158"/>
        <v>352425.77</v>
      </c>
      <c r="D729" s="51">
        <f t="shared" si="159"/>
        <v>0</v>
      </c>
      <c r="E729" s="51"/>
      <c r="F729" s="51"/>
      <c r="G729" s="51"/>
      <c r="H729" s="51"/>
      <c r="I729" s="51"/>
      <c r="J729" s="51"/>
      <c r="K729" s="51"/>
      <c r="L729" s="51"/>
      <c r="M729" s="35"/>
      <c r="N729" s="51"/>
      <c r="O729" s="82"/>
      <c r="P729" s="51"/>
      <c r="Q729" s="338"/>
      <c r="R729" s="51"/>
      <c r="S729" s="51"/>
      <c r="T729" s="338"/>
      <c r="U729" s="51"/>
      <c r="V729" s="35"/>
      <c r="W729" s="364">
        <f>SUM(X729:AH729)</f>
        <v>352425.77</v>
      </c>
      <c r="X729" s="285">
        <v>113074.97</v>
      </c>
      <c r="Y729" s="285"/>
      <c r="Z729" s="285"/>
      <c r="AA729" s="285"/>
      <c r="AB729" s="285"/>
      <c r="AC729" s="9">
        <v>205488.84</v>
      </c>
      <c r="AD729" s="306">
        <v>33861.96</v>
      </c>
      <c r="AE729" s="302"/>
      <c r="AF729" s="302"/>
      <c r="AG729" s="56"/>
    </row>
    <row r="730" spans="1:33" x14ac:dyDescent="0.3">
      <c r="A730" s="47">
        <f t="shared" si="160"/>
        <v>644</v>
      </c>
      <c r="B730" s="414" t="s">
        <v>884</v>
      </c>
      <c r="C730" s="51">
        <f t="shared" si="158"/>
        <v>130000</v>
      </c>
      <c r="D730" s="51">
        <f t="shared" si="159"/>
        <v>0</v>
      </c>
      <c r="E730" s="51"/>
      <c r="F730" s="51"/>
      <c r="G730" s="51"/>
      <c r="H730" s="51"/>
      <c r="I730" s="51"/>
      <c r="J730" s="51"/>
      <c r="K730" s="51"/>
      <c r="L730" s="51"/>
      <c r="M730" s="35"/>
      <c r="N730" s="51"/>
      <c r="O730" s="82"/>
      <c r="P730" s="51"/>
      <c r="Q730" s="338"/>
      <c r="R730" s="51"/>
      <c r="S730" s="51"/>
      <c r="T730" s="338"/>
      <c r="U730" s="51"/>
      <c r="V730" s="35"/>
      <c r="W730" s="364">
        <v>130000</v>
      </c>
      <c r="X730" s="9"/>
      <c r="Y730" s="285"/>
      <c r="Z730" s="285"/>
      <c r="AA730" s="285"/>
      <c r="AB730" s="285"/>
      <c r="AC730" s="9"/>
      <c r="AD730" s="40"/>
      <c r="AE730" s="56"/>
      <c r="AF730" s="302"/>
      <c r="AG730" s="56"/>
    </row>
    <row r="731" spans="1:33" x14ac:dyDescent="0.3">
      <c r="A731" s="47">
        <f t="shared" si="160"/>
        <v>645</v>
      </c>
      <c r="B731" s="414" t="s">
        <v>885</v>
      </c>
      <c r="C731" s="51">
        <f t="shared" si="158"/>
        <v>753712.41</v>
      </c>
      <c r="D731" s="51">
        <f t="shared" si="159"/>
        <v>0</v>
      </c>
      <c r="E731" s="51"/>
      <c r="F731" s="51"/>
      <c r="G731" s="51"/>
      <c r="H731" s="51"/>
      <c r="I731" s="51"/>
      <c r="J731" s="51"/>
      <c r="K731" s="51"/>
      <c r="L731" s="51"/>
      <c r="M731" s="35"/>
      <c r="N731" s="51"/>
      <c r="O731" s="82"/>
      <c r="P731" s="51"/>
      <c r="Q731" s="338"/>
      <c r="R731" s="51"/>
      <c r="S731" s="51"/>
      <c r="T731" s="338"/>
      <c r="U731" s="51"/>
      <c r="V731" s="35"/>
      <c r="W731" s="364">
        <f t="shared" ref="W731:W741" si="161">SUM(X731:AH731)</f>
        <v>753712.41</v>
      </c>
      <c r="X731" s="285">
        <v>202832.16</v>
      </c>
      <c r="Y731" s="285"/>
      <c r="Z731" s="285"/>
      <c r="AA731" s="285"/>
      <c r="AB731" s="285"/>
      <c r="AC731" s="9">
        <v>403956.01</v>
      </c>
      <c r="AD731" s="306">
        <v>146924.24</v>
      </c>
      <c r="AE731" s="302"/>
      <c r="AF731" s="302"/>
      <c r="AG731" s="56"/>
    </row>
    <row r="732" spans="1:33" x14ac:dyDescent="0.3">
      <c r="A732" s="47">
        <f t="shared" si="160"/>
        <v>646</v>
      </c>
      <c r="B732" s="414" t="s">
        <v>886</v>
      </c>
      <c r="C732" s="51">
        <f t="shared" si="158"/>
        <v>405671.81</v>
      </c>
      <c r="D732" s="51">
        <f t="shared" si="159"/>
        <v>0</v>
      </c>
      <c r="E732" s="51"/>
      <c r="F732" s="51"/>
      <c r="G732" s="51"/>
      <c r="H732" s="51"/>
      <c r="I732" s="51"/>
      <c r="J732" s="51"/>
      <c r="K732" s="51"/>
      <c r="L732" s="51"/>
      <c r="M732" s="35"/>
      <c r="N732" s="51"/>
      <c r="O732" s="82"/>
      <c r="P732" s="51"/>
      <c r="Q732" s="338"/>
      <c r="R732" s="51"/>
      <c r="S732" s="51"/>
      <c r="T732" s="338"/>
      <c r="U732" s="51"/>
      <c r="V732" s="35"/>
      <c r="W732" s="364">
        <f t="shared" si="161"/>
        <v>405671.81</v>
      </c>
      <c r="X732" s="285">
        <v>77073.37</v>
      </c>
      <c r="Y732" s="285"/>
      <c r="Z732" s="285"/>
      <c r="AA732" s="285"/>
      <c r="AB732" s="285"/>
      <c r="AC732" s="9">
        <v>148574.82</v>
      </c>
      <c r="AD732" s="316">
        <v>180023.62</v>
      </c>
      <c r="AE732" s="302"/>
      <c r="AF732" s="302"/>
      <c r="AG732" s="56"/>
    </row>
    <row r="733" spans="1:33" x14ac:dyDescent="0.3">
      <c r="A733" s="47">
        <f t="shared" si="160"/>
        <v>647</v>
      </c>
      <c r="B733" s="414" t="s">
        <v>887</v>
      </c>
      <c r="C733" s="51">
        <f t="shared" si="158"/>
        <v>528992.54</v>
      </c>
      <c r="D733" s="51">
        <f t="shared" si="159"/>
        <v>0</v>
      </c>
      <c r="E733" s="51"/>
      <c r="F733" s="51"/>
      <c r="G733" s="51"/>
      <c r="H733" s="51"/>
      <c r="I733" s="51"/>
      <c r="J733" s="51"/>
      <c r="K733" s="51"/>
      <c r="L733" s="51"/>
      <c r="M733" s="35"/>
      <c r="N733" s="51"/>
      <c r="O733" s="82"/>
      <c r="P733" s="51"/>
      <c r="Q733" s="338"/>
      <c r="R733" s="51"/>
      <c r="S733" s="51"/>
      <c r="T733" s="338"/>
      <c r="U733" s="51"/>
      <c r="V733" s="35"/>
      <c r="W733" s="364">
        <f t="shared" si="161"/>
        <v>528992.54</v>
      </c>
      <c r="X733" s="285">
        <v>98844.74</v>
      </c>
      <c r="Y733" s="285"/>
      <c r="Z733" s="285"/>
      <c r="AA733" s="285"/>
      <c r="AB733" s="285"/>
      <c r="AC733" s="9">
        <v>181693.25</v>
      </c>
      <c r="AD733" s="306">
        <v>248454.55</v>
      </c>
      <c r="AE733" s="302"/>
      <c r="AF733" s="302"/>
      <c r="AG733" s="56"/>
    </row>
    <row r="734" spans="1:33" x14ac:dyDescent="0.3">
      <c r="A734" s="47">
        <f t="shared" si="160"/>
        <v>648</v>
      </c>
      <c r="B734" s="414" t="s">
        <v>888</v>
      </c>
      <c r="C734" s="51">
        <f t="shared" si="158"/>
        <v>490536</v>
      </c>
      <c r="D734" s="51">
        <f t="shared" si="159"/>
        <v>0</v>
      </c>
      <c r="E734" s="51"/>
      <c r="F734" s="51"/>
      <c r="G734" s="51"/>
      <c r="H734" s="51"/>
      <c r="I734" s="51"/>
      <c r="J734" s="51"/>
      <c r="K734" s="51"/>
      <c r="L734" s="51"/>
      <c r="M734" s="35"/>
      <c r="N734" s="51"/>
      <c r="O734" s="82"/>
      <c r="P734" s="51"/>
      <c r="Q734" s="338"/>
      <c r="R734" s="51"/>
      <c r="S734" s="51"/>
      <c r="T734" s="338"/>
      <c r="U734" s="51"/>
      <c r="V734" s="35"/>
      <c r="W734" s="364">
        <f t="shared" si="161"/>
        <v>490536</v>
      </c>
      <c r="X734" s="285">
        <v>90302.65</v>
      </c>
      <c r="Y734" s="285"/>
      <c r="Z734" s="285"/>
      <c r="AA734" s="285"/>
      <c r="AB734" s="285"/>
      <c r="AC734" s="9">
        <v>167942.89</v>
      </c>
      <c r="AD734" s="306">
        <v>232290.46</v>
      </c>
      <c r="AE734" s="302"/>
      <c r="AF734" s="302"/>
      <c r="AG734" s="56"/>
    </row>
    <row r="735" spans="1:33" x14ac:dyDescent="0.3">
      <c r="A735" s="47">
        <f t="shared" si="160"/>
        <v>649</v>
      </c>
      <c r="B735" s="414" t="s">
        <v>889</v>
      </c>
      <c r="C735" s="51">
        <f t="shared" si="158"/>
        <v>472410</v>
      </c>
      <c r="D735" s="51">
        <f t="shared" si="159"/>
        <v>0</v>
      </c>
      <c r="E735" s="51"/>
      <c r="F735" s="51"/>
      <c r="G735" s="51"/>
      <c r="H735" s="51"/>
      <c r="I735" s="51"/>
      <c r="J735" s="51"/>
      <c r="K735" s="51"/>
      <c r="L735" s="51"/>
      <c r="M735" s="35"/>
      <c r="N735" s="51"/>
      <c r="O735" s="82"/>
      <c r="P735" s="51"/>
      <c r="Q735" s="338"/>
      <c r="R735" s="51"/>
      <c r="S735" s="51"/>
      <c r="T735" s="338"/>
      <c r="U735" s="51"/>
      <c r="V735" s="35"/>
      <c r="W735" s="364">
        <f t="shared" si="161"/>
        <v>472410</v>
      </c>
      <c r="X735" s="285">
        <v>82623.899999999994</v>
      </c>
      <c r="Y735" s="285"/>
      <c r="Z735" s="285"/>
      <c r="AA735" s="285"/>
      <c r="AB735" s="285"/>
      <c r="AC735" s="9">
        <v>157740.16</v>
      </c>
      <c r="AD735" s="306">
        <v>232045.94</v>
      </c>
      <c r="AE735" s="302"/>
      <c r="AF735" s="302"/>
      <c r="AG735" s="56"/>
    </row>
    <row r="736" spans="1:33" x14ac:dyDescent="0.3">
      <c r="A736" s="47">
        <f t="shared" si="160"/>
        <v>650</v>
      </c>
      <c r="B736" s="414" t="s">
        <v>890</v>
      </c>
      <c r="C736" s="51">
        <f t="shared" si="158"/>
        <v>118158.12</v>
      </c>
      <c r="D736" s="51">
        <f t="shared" si="159"/>
        <v>0</v>
      </c>
      <c r="E736" s="51"/>
      <c r="F736" s="51"/>
      <c r="G736" s="51"/>
      <c r="H736" s="51"/>
      <c r="I736" s="51"/>
      <c r="J736" s="51"/>
      <c r="K736" s="51"/>
      <c r="L736" s="51"/>
      <c r="M736" s="35"/>
      <c r="N736" s="51"/>
      <c r="O736" s="82"/>
      <c r="P736" s="51"/>
      <c r="Q736" s="338"/>
      <c r="R736" s="51"/>
      <c r="S736" s="51"/>
      <c r="T736" s="338"/>
      <c r="U736" s="51"/>
      <c r="V736" s="35"/>
      <c r="W736" s="364">
        <f t="shared" si="161"/>
        <v>118158.12</v>
      </c>
      <c r="X736" s="285">
        <v>39417.4</v>
      </c>
      <c r="Y736" s="285"/>
      <c r="Z736" s="285"/>
      <c r="AA736" s="285"/>
      <c r="AB736" s="285"/>
      <c r="AC736" s="9">
        <v>78740.72</v>
      </c>
      <c r="AD736" s="306"/>
      <c r="AE736" s="302"/>
      <c r="AF736" s="302"/>
      <c r="AG736" s="56"/>
    </row>
    <row r="737" spans="1:33" x14ac:dyDescent="0.3">
      <c r="A737" s="47">
        <f t="shared" si="160"/>
        <v>651</v>
      </c>
      <c r="B737" s="414" t="s">
        <v>891</v>
      </c>
      <c r="C737" s="51">
        <f t="shared" si="158"/>
        <v>541115.19999999995</v>
      </c>
      <c r="D737" s="51">
        <f t="shared" si="159"/>
        <v>0</v>
      </c>
      <c r="E737" s="51"/>
      <c r="F737" s="51"/>
      <c r="G737" s="51"/>
      <c r="H737" s="51"/>
      <c r="I737" s="51"/>
      <c r="J737" s="51"/>
      <c r="K737" s="51"/>
      <c r="L737" s="51"/>
      <c r="M737" s="35"/>
      <c r="N737" s="51"/>
      <c r="O737" s="82"/>
      <c r="P737" s="51"/>
      <c r="Q737" s="338"/>
      <c r="R737" s="51"/>
      <c r="S737" s="51"/>
      <c r="T737" s="338"/>
      <c r="U737" s="51"/>
      <c r="V737" s="35"/>
      <c r="W737" s="364">
        <f t="shared" si="161"/>
        <v>541115.19999999995</v>
      </c>
      <c r="X737" s="285">
        <v>81426.320000000007</v>
      </c>
      <c r="Y737" s="285"/>
      <c r="Z737" s="285"/>
      <c r="AA737" s="285"/>
      <c r="AB737" s="285"/>
      <c r="AC737" s="9">
        <v>154491.70000000001</v>
      </c>
      <c r="AD737" s="306">
        <v>305197.18</v>
      </c>
      <c r="AE737" s="302"/>
      <c r="AF737" s="302"/>
      <c r="AG737" s="56"/>
    </row>
    <row r="738" spans="1:33" x14ac:dyDescent="0.3">
      <c r="A738" s="47">
        <f t="shared" si="160"/>
        <v>652</v>
      </c>
      <c r="B738" s="414" t="s">
        <v>892</v>
      </c>
      <c r="C738" s="51">
        <f t="shared" si="158"/>
        <v>598165.37</v>
      </c>
      <c r="D738" s="51">
        <f t="shared" si="159"/>
        <v>0</v>
      </c>
      <c r="E738" s="51"/>
      <c r="F738" s="51"/>
      <c r="G738" s="51"/>
      <c r="H738" s="51"/>
      <c r="I738" s="51"/>
      <c r="J738" s="51"/>
      <c r="K738" s="51"/>
      <c r="L738" s="51"/>
      <c r="M738" s="35"/>
      <c r="N738" s="51"/>
      <c r="O738" s="82"/>
      <c r="P738" s="51"/>
      <c r="Q738" s="338"/>
      <c r="R738" s="51"/>
      <c r="S738" s="51"/>
      <c r="T738" s="338"/>
      <c r="U738" s="51"/>
      <c r="V738" s="35"/>
      <c r="W738" s="364">
        <f t="shared" si="161"/>
        <v>598165.37</v>
      </c>
      <c r="X738" s="285">
        <v>78295.259999999995</v>
      </c>
      <c r="Y738" s="285"/>
      <c r="Z738" s="285"/>
      <c r="AA738" s="285"/>
      <c r="AB738" s="285"/>
      <c r="AC738" s="9">
        <v>154600.62</v>
      </c>
      <c r="AD738" s="306">
        <v>365269.49</v>
      </c>
      <c r="AE738" s="302"/>
      <c r="AF738" s="302"/>
      <c r="AG738" s="56"/>
    </row>
    <row r="739" spans="1:33" x14ac:dyDescent="0.3">
      <c r="A739" s="47">
        <f t="shared" si="160"/>
        <v>653</v>
      </c>
      <c r="B739" s="414" t="s">
        <v>893</v>
      </c>
      <c r="C739" s="51">
        <f t="shared" si="158"/>
        <v>196453.13</v>
      </c>
      <c r="D739" s="51">
        <f t="shared" si="159"/>
        <v>0</v>
      </c>
      <c r="E739" s="51"/>
      <c r="F739" s="51"/>
      <c r="G739" s="51"/>
      <c r="H739" s="51"/>
      <c r="I739" s="51"/>
      <c r="J739" s="51"/>
      <c r="K739" s="51"/>
      <c r="L739" s="51"/>
      <c r="M739" s="35"/>
      <c r="N739" s="51"/>
      <c r="O739" s="82"/>
      <c r="P739" s="51"/>
      <c r="Q739" s="338"/>
      <c r="R739" s="51"/>
      <c r="S739" s="51"/>
      <c r="T739" s="338"/>
      <c r="U739" s="51"/>
      <c r="V739" s="35"/>
      <c r="W739" s="364">
        <f t="shared" si="161"/>
        <v>196453.13</v>
      </c>
      <c r="X739" s="285">
        <v>49927.39</v>
      </c>
      <c r="Y739" s="285"/>
      <c r="Z739" s="285"/>
      <c r="AA739" s="285"/>
      <c r="AB739" s="285"/>
      <c r="AC739" s="9">
        <v>88072.37</v>
      </c>
      <c r="AD739" s="306">
        <v>58453.37</v>
      </c>
      <c r="AE739" s="302"/>
      <c r="AF739" s="302"/>
      <c r="AG739" s="56"/>
    </row>
    <row r="740" spans="1:33" x14ac:dyDescent="0.3">
      <c r="A740" s="47">
        <f t="shared" si="160"/>
        <v>654</v>
      </c>
      <c r="B740" s="414" t="s">
        <v>894</v>
      </c>
      <c r="C740" s="51">
        <f t="shared" si="158"/>
        <v>527411.94999999995</v>
      </c>
      <c r="D740" s="51">
        <f t="shared" si="159"/>
        <v>0</v>
      </c>
      <c r="E740" s="51"/>
      <c r="F740" s="51"/>
      <c r="G740" s="51"/>
      <c r="H740" s="51"/>
      <c r="I740" s="51"/>
      <c r="J740" s="51"/>
      <c r="K740" s="51"/>
      <c r="L740" s="51"/>
      <c r="M740" s="35"/>
      <c r="N740" s="51"/>
      <c r="O740" s="82"/>
      <c r="P740" s="51"/>
      <c r="Q740" s="338"/>
      <c r="R740" s="51"/>
      <c r="S740" s="51"/>
      <c r="T740" s="338"/>
      <c r="U740" s="51"/>
      <c r="V740" s="35"/>
      <c r="W740" s="364">
        <f t="shared" si="161"/>
        <v>527411.94999999995</v>
      </c>
      <c r="X740" s="285">
        <v>115711.49</v>
      </c>
      <c r="Y740" s="285"/>
      <c r="Z740" s="285"/>
      <c r="AA740" s="285"/>
      <c r="AB740" s="285"/>
      <c r="AC740" s="9">
        <v>254784.49</v>
      </c>
      <c r="AD740" s="306">
        <v>156915.97</v>
      </c>
      <c r="AE740" s="302"/>
      <c r="AF740" s="302"/>
      <c r="AG740" s="56"/>
    </row>
    <row r="741" spans="1:33" x14ac:dyDescent="0.3">
      <c r="A741" s="47">
        <f t="shared" si="160"/>
        <v>655</v>
      </c>
      <c r="B741" s="414" t="s">
        <v>895</v>
      </c>
      <c r="C741" s="51">
        <f t="shared" si="158"/>
        <v>1628439.6300000001</v>
      </c>
      <c r="D741" s="51">
        <f t="shared" si="159"/>
        <v>0</v>
      </c>
      <c r="E741" s="51"/>
      <c r="F741" s="51"/>
      <c r="G741" s="51"/>
      <c r="H741" s="51"/>
      <c r="I741" s="51"/>
      <c r="J741" s="51"/>
      <c r="K741" s="51"/>
      <c r="L741" s="51"/>
      <c r="M741" s="35"/>
      <c r="N741" s="51"/>
      <c r="O741" s="82"/>
      <c r="P741" s="51"/>
      <c r="Q741" s="338"/>
      <c r="R741" s="51"/>
      <c r="S741" s="51"/>
      <c r="T741" s="338"/>
      <c r="U741" s="51"/>
      <c r="V741" s="35"/>
      <c r="W741" s="364">
        <f t="shared" si="161"/>
        <v>1628439.6300000001</v>
      </c>
      <c r="X741" s="285">
        <v>417281.27</v>
      </c>
      <c r="Y741" s="285"/>
      <c r="Z741" s="285"/>
      <c r="AA741" s="285"/>
      <c r="AB741" s="285"/>
      <c r="AC741" s="9">
        <v>875808.54</v>
      </c>
      <c r="AD741" s="306">
        <v>335349.82</v>
      </c>
      <c r="AE741" s="302"/>
      <c r="AF741" s="302"/>
      <c r="AG741" s="56"/>
    </row>
    <row r="742" spans="1:33" x14ac:dyDescent="0.3">
      <c r="A742" s="47">
        <f t="shared" si="160"/>
        <v>656</v>
      </c>
      <c r="B742" s="414" t="s">
        <v>896</v>
      </c>
      <c r="C742" s="51">
        <f t="shared" si="158"/>
        <v>130000</v>
      </c>
      <c r="D742" s="51">
        <f t="shared" si="159"/>
        <v>0</v>
      </c>
      <c r="E742" s="51"/>
      <c r="F742" s="51"/>
      <c r="G742" s="51"/>
      <c r="H742" s="51"/>
      <c r="I742" s="51"/>
      <c r="J742" s="51"/>
      <c r="K742" s="51"/>
      <c r="L742" s="51"/>
      <c r="M742" s="35"/>
      <c r="N742" s="51"/>
      <c r="O742" s="82"/>
      <c r="P742" s="51"/>
      <c r="Q742" s="338"/>
      <c r="R742" s="51"/>
      <c r="S742" s="51"/>
      <c r="T742" s="338"/>
      <c r="U742" s="51"/>
      <c r="V742" s="35"/>
      <c r="W742" s="364">
        <v>130000</v>
      </c>
      <c r="X742" s="285"/>
      <c r="Y742" s="285"/>
      <c r="Z742" s="285"/>
      <c r="AA742" s="285"/>
      <c r="AB742" s="285"/>
      <c r="AC742" s="9"/>
      <c r="AD742" s="306"/>
      <c r="AE742" s="302"/>
      <c r="AF742" s="302"/>
      <c r="AG742" s="56"/>
    </row>
    <row r="743" spans="1:33" x14ac:dyDescent="0.3">
      <c r="A743" s="47">
        <f t="shared" si="160"/>
        <v>657</v>
      </c>
      <c r="B743" s="414" t="s">
        <v>897</v>
      </c>
      <c r="C743" s="51">
        <f t="shared" si="158"/>
        <v>130000</v>
      </c>
      <c r="D743" s="51">
        <f t="shared" si="159"/>
        <v>0</v>
      </c>
      <c r="E743" s="51"/>
      <c r="F743" s="51"/>
      <c r="G743" s="51"/>
      <c r="H743" s="51"/>
      <c r="I743" s="51"/>
      <c r="J743" s="51"/>
      <c r="K743" s="51"/>
      <c r="L743" s="51"/>
      <c r="M743" s="35"/>
      <c r="N743" s="51"/>
      <c r="O743" s="82"/>
      <c r="P743" s="51"/>
      <c r="Q743" s="338"/>
      <c r="R743" s="51"/>
      <c r="S743" s="51"/>
      <c r="T743" s="338"/>
      <c r="U743" s="51"/>
      <c r="V743" s="35"/>
      <c r="W743" s="364">
        <v>130000</v>
      </c>
      <c r="X743" s="285"/>
      <c r="Y743" s="285"/>
      <c r="Z743" s="285"/>
      <c r="AA743" s="285"/>
      <c r="AB743" s="285"/>
      <c r="AC743" s="9"/>
      <c r="AD743" s="306"/>
      <c r="AE743" s="302"/>
      <c r="AF743" s="302"/>
      <c r="AG743" s="56"/>
    </row>
    <row r="744" spans="1:33" x14ac:dyDescent="0.3">
      <c r="A744" s="47">
        <f t="shared" si="160"/>
        <v>658</v>
      </c>
      <c r="B744" s="414" t="s">
        <v>898</v>
      </c>
      <c r="C744" s="51">
        <f t="shared" si="158"/>
        <v>275483.71999999997</v>
      </c>
      <c r="D744" s="51">
        <f t="shared" si="159"/>
        <v>0</v>
      </c>
      <c r="E744" s="51"/>
      <c r="F744" s="51"/>
      <c r="G744" s="51"/>
      <c r="H744" s="51"/>
      <c r="I744" s="51"/>
      <c r="J744" s="51"/>
      <c r="K744" s="51"/>
      <c r="L744" s="51"/>
      <c r="M744" s="35"/>
      <c r="N744" s="51"/>
      <c r="O744" s="82"/>
      <c r="P744" s="51"/>
      <c r="Q744" s="338"/>
      <c r="R744" s="51"/>
      <c r="S744" s="51"/>
      <c r="T744" s="338"/>
      <c r="U744" s="51"/>
      <c r="V744" s="35"/>
      <c r="W744" s="364">
        <f t="shared" ref="W744:W753" si="162">SUM(X744:AH744)</f>
        <v>275483.71999999997</v>
      </c>
      <c r="X744" s="285">
        <v>96143.12</v>
      </c>
      <c r="Y744" s="285"/>
      <c r="Z744" s="285"/>
      <c r="AA744" s="285"/>
      <c r="AB744" s="285"/>
      <c r="AC744" s="9">
        <v>179340.6</v>
      </c>
      <c r="AD744" s="306"/>
      <c r="AE744" s="302"/>
      <c r="AF744" s="302"/>
      <c r="AG744" s="56"/>
    </row>
    <row r="745" spans="1:33" x14ac:dyDescent="0.3">
      <c r="A745" s="47">
        <f t="shared" si="160"/>
        <v>659</v>
      </c>
      <c r="B745" s="414" t="s">
        <v>899</v>
      </c>
      <c r="C745" s="51">
        <f t="shared" si="158"/>
        <v>403994.74</v>
      </c>
      <c r="D745" s="51">
        <f t="shared" si="159"/>
        <v>0</v>
      </c>
      <c r="E745" s="51"/>
      <c r="F745" s="51"/>
      <c r="G745" s="51"/>
      <c r="H745" s="51"/>
      <c r="I745" s="51"/>
      <c r="J745" s="51"/>
      <c r="K745" s="51"/>
      <c r="L745" s="51"/>
      <c r="M745" s="35"/>
      <c r="N745" s="51"/>
      <c r="O745" s="82"/>
      <c r="P745" s="51"/>
      <c r="Q745" s="338"/>
      <c r="R745" s="51"/>
      <c r="S745" s="51"/>
      <c r="T745" s="338"/>
      <c r="U745" s="51"/>
      <c r="V745" s="35"/>
      <c r="W745" s="364">
        <f t="shared" si="162"/>
        <v>403994.74</v>
      </c>
      <c r="X745" s="285">
        <v>101070.46</v>
      </c>
      <c r="Y745" s="285"/>
      <c r="Z745" s="285"/>
      <c r="AA745" s="285"/>
      <c r="AB745" s="285"/>
      <c r="AC745" s="9">
        <v>210996.43</v>
      </c>
      <c r="AD745" s="306">
        <v>91927.85</v>
      </c>
      <c r="AE745" s="302"/>
      <c r="AF745" s="302"/>
      <c r="AG745" s="56"/>
    </row>
    <row r="746" spans="1:33" x14ac:dyDescent="0.3">
      <c r="A746" s="47">
        <f t="shared" si="160"/>
        <v>660</v>
      </c>
      <c r="B746" s="414" t="s">
        <v>900</v>
      </c>
      <c r="C746" s="51">
        <f t="shared" si="158"/>
        <v>120194.72</v>
      </c>
      <c r="D746" s="51">
        <f t="shared" si="159"/>
        <v>0</v>
      </c>
      <c r="E746" s="51"/>
      <c r="F746" s="51"/>
      <c r="G746" s="51"/>
      <c r="H746" s="51"/>
      <c r="I746" s="51"/>
      <c r="J746" s="51"/>
      <c r="K746" s="51"/>
      <c r="L746" s="51"/>
      <c r="M746" s="35"/>
      <c r="N746" s="51"/>
      <c r="O746" s="82"/>
      <c r="P746" s="51"/>
      <c r="Q746" s="338"/>
      <c r="R746" s="51"/>
      <c r="S746" s="51"/>
      <c r="T746" s="338"/>
      <c r="U746" s="51"/>
      <c r="V746" s="35"/>
      <c r="W746" s="364">
        <f t="shared" si="162"/>
        <v>120194.72</v>
      </c>
      <c r="X746" s="285">
        <v>40380.6</v>
      </c>
      <c r="Y746" s="285"/>
      <c r="Z746" s="285"/>
      <c r="AA746" s="285"/>
      <c r="AB746" s="285"/>
      <c r="AC746" s="9">
        <v>79814.12</v>
      </c>
      <c r="AD746" s="306"/>
      <c r="AE746" s="302"/>
      <c r="AF746" s="302"/>
      <c r="AG746" s="56"/>
    </row>
    <row r="747" spans="1:33" x14ac:dyDescent="0.3">
      <c r="A747" s="47">
        <f t="shared" si="160"/>
        <v>661</v>
      </c>
      <c r="B747" s="414" t="s">
        <v>901</v>
      </c>
      <c r="C747" s="51">
        <f t="shared" si="158"/>
        <v>407490.67</v>
      </c>
      <c r="D747" s="51">
        <f t="shared" si="159"/>
        <v>0</v>
      </c>
      <c r="E747" s="51"/>
      <c r="F747" s="51"/>
      <c r="G747" s="51"/>
      <c r="H747" s="51"/>
      <c r="I747" s="51"/>
      <c r="J747" s="51"/>
      <c r="K747" s="51"/>
      <c r="L747" s="51"/>
      <c r="M747" s="35"/>
      <c r="N747" s="51"/>
      <c r="O747" s="82"/>
      <c r="P747" s="51"/>
      <c r="Q747" s="338"/>
      <c r="R747" s="51"/>
      <c r="S747" s="51"/>
      <c r="T747" s="338"/>
      <c r="U747" s="51"/>
      <c r="V747" s="35"/>
      <c r="W747" s="364">
        <f t="shared" si="162"/>
        <v>407490.67</v>
      </c>
      <c r="X747" s="285">
        <v>93007.09</v>
      </c>
      <c r="Y747" s="285"/>
      <c r="Z747" s="285"/>
      <c r="AA747" s="285"/>
      <c r="AB747" s="285"/>
      <c r="AC747" s="9">
        <v>215472.84</v>
      </c>
      <c r="AD747" s="306">
        <v>99010.74</v>
      </c>
      <c r="AE747" s="302"/>
      <c r="AF747" s="302"/>
      <c r="AG747" s="56"/>
    </row>
    <row r="748" spans="1:33" x14ac:dyDescent="0.3">
      <c r="A748" s="47">
        <f t="shared" si="160"/>
        <v>662</v>
      </c>
      <c r="B748" s="414" t="s">
        <v>902</v>
      </c>
      <c r="C748" s="51">
        <f t="shared" si="158"/>
        <v>120194.72</v>
      </c>
      <c r="D748" s="51">
        <f t="shared" si="159"/>
        <v>0</v>
      </c>
      <c r="E748" s="51"/>
      <c r="F748" s="51"/>
      <c r="G748" s="51"/>
      <c r="H748" s="51"/>
      <c r="I748" s="51"/>
      <c r="J748" s="51"/>
      <c r="K748" s="51"/>
      <c r="L748" s="51"/>
      <c r="M748" s="35"/>
      <c r="N748" s="51"/>
      <c r="O748" s="82"/>
      <c r="P748" s="51"/>
      <c r="Q748" s="338"/>
      <c r="R748" s="51"/>
      <c r="S748" s="51"/>
      <c r="T748" s="338"/>
      <c r="U748" s="51"/>
      <c r="V748" s="35"/>
      <c r="W748" s="364">
        <f t="shared" si="162"/>
        <v>120194.72</v>
      </c>
      <c r="X748" s="285">
        <v>40380.6</v>
      </c>
      <c r="Y748" s="285"/>
      <c r="Z748" s="285"/>
      <c r="AA748" s="285"/>
      <c r="AB748" s="285"/>
      <c r="AC748" s="9">
        <v>79814.12</v>
      </c>
      <c r="AD748" s="306"/>
      <c r="AE748" s="302"/>
      <c r="AF748" s="302"/>
      <c r="AG748" s="56"/>
    </row>
    <row r="749" spans="1:33" x14ac:dyDescent="0.3">
      <c r="A749" s="47">
        <f t="shared" si="160"/>
        <v>663</v>
      </c>
      <c r="B749" s="414" t="s">
        <v>903</v>
      </c>
      <c r="C749" s="51">
        <f t="shared" si="158"/>
        <v>397285.27</v>
      </c>
      <c r="D749" s="51">
        <f t="shared" si="159"/>
        <v>0</v>
      </c>
      <c r="E749" s="51"/>
      <c r="F749" s="51"/>
      <c r="G749" s="51"/>
      <c r="H749" s="51"/>
      <c r="I749" s="51"/>
      <c r="J749" s="51"/>
      <c r="K749" s="51"/>
      <c r="L749" s="51"/>
      <c r="M749" s="35"/>
      <c r="N749" s="51"/>
      <c r="O749" s="82"/>
      <c r="P749" s="51"/>
      <c r="Q749" s="338"/>
      <c r="R749" s="51"/>
      <c r="S749" s="51"/>
      <c r="T749" s="338"/>
      <c r="U749" s="51"/>
      <c r="V749" s="35"/>
      <c r="W749" s="364">
        <f t="shared" si="162"/>
        <v>397285.27</v>
      </c>
      <c r="X749" s="285">
        <v>96229.18</v>
      </c>
      <c r="Y749" s="285"/>
      <c r="Z749" s="285"/>
      <c r="AA749" s="285"/>
      <c r="AB749" s="285"/>
      <c r="AC749" s="9">
        <v>195166.6</v>
      </c>
      <c r="AD749" s="306">
        <v>105889.49</v>
      </c>
      <c r="AE749" s="302"/>
      <c r="AF749" s="302"/>
      <c r="AG749" s="56"/>
    </row>
    <row r="750" spans="1:33" x14ac:dyDescent="0.3">
      <c r="A750" s="47">
        <f t="shared" si="160"/>
        <v>664</v>
      </c>
      <c r="B750" s="414" t="s">
        <v>904</v>
      </c>
      <c r="C750" s="51">
        <f t="shared" si="158"/>
        <v>355747.80000000005</v>
      </c>
      <c r="D750" s="51">
        <f t="shared" si="159"/>
        <v>0</v>
      </c>
      <c r="E750" s="51"/>
      <c r="F750" s="51"/>
      <c r="G750" s="51"/>
      <c r="H750" s="51"/>
      <c r="I750" s="51"/>
      <c r="J750" s="51"/>
      <c r="K750" s="51"/>
      <c r="L750" s="51"/>
      <c r="M750" s="35"/>
      <c r="N750" s="51"/>
      <c r="O750" s="82"/>
      <c r="P750" s="51"/>
      <c r="Q750" s="338"/>
      <c r="R750" s="51"/>
      <c r="S750" s="51"/>
      <c r="T750" s="338"/>
      <c r="U750" s="51"/>
      <c r="V750" s="35"/>
      <c r="W750" s="364">
        <f t="shared" si="162"/>
        <v>355747.80000000005</v>
      </c>
      <c r="X750" s="285">
        <v>100263.02</v>
      </c>
      <c r="Y750" s="285"/>
      <c r="Z750" s="285"/>
      <c r="AA750" s="285"/>
      <c r="AB750" s="285"/>
      <c r="AC750" s="9">
        <v>183926.82</v>
      </c>
      <c r="AD750" s="306">
        <v>71557.960000000006</v>
      </c>
      <c r="AE750" s="302"/>
      <c r="AF750" s="302"/>
      <c r="AG750" s="56"/>
    </row>
    <row r="751" spans="1:33" x14ac:dyDescent="0.3">
      <c r="A751" s="47">
        <f t="shared" si="160"/>
        <v>665</v>
      </c>
      <c r="B751" s="414" t="s">
        <v>905</v>
      </c>
      <c r="C751" s="51">
        <f t="shared" ref="C751:C782" si="163">D751+K751+L751+N751+P751+R751+S751+U751+W751</f>
        <v>470197.43</v>
      </c>
      <c r="D751" s="51">
        <f t="shared" si="159"/>
        <v>0</v>
      </c>
      <c r="E751" s="51"/>
      <c r="F751" s="51"/>
      <c r="G751" s="51"/>
      <c r="H751" s="51"/>
      <c r="I751" s="51"/>
      <c r="J751" s="51"/>
      <c r="K751" s="51"/>
      <c r="L751" s="51"/>
      <c r="M751" s="35"/>
      <c r="N751" s="51"/>
      <c r="O751" s="82"/>
      <c r="P751" s="51"/>
      <c r="Q751" s="338"/>
      <c r="R751" s="51"/>
      <c r="S751" s="51"/>
      <c r="T751" s="338"/>
      <c r="U751" s="51"/>
      <c r="V751" s="35"/>
      <c r="W751" s="364">
        <f t="shared" si="162"/>
        <v>470197.43</v>
      </c>
      <c r="X751" s="285">
        <v>113468.8</v>
      </c>
      <c r="Y751" s="285"/>
      <c r="Z751" s="285"/>
      <c r="AA751" s="285"/>
      <c r="AB751" s="285"/>
      <c r="AC751" s="9">
        <v>222996.5</v>
      </c>
      <c r="AD751" s="306">
        <v>133732.13</v>
      </c>
      <c r="AE751" s="302"/>
      <c r="AF751" s="302"/>
      <c r="AG751" s="56"/>
    </row>
    <row r="752" spans="1:33" x14ac:dyDescent="0.3">
      <c r="A752" s="47">
        <f t="shared" si="160"/>
        <v>666</v>
      </c>
      <c r="B752" s="414" t="s">
        <v>906</v>
      </c>
      <c r="C752" s="51">
        <f t="shared" si="163"/>
        <v>6605808.0999999996</v>
      </c>
      <c r="D752" s="51">
        <f t="shared" si="159"/>
        <v>0</v>
      </c>
      <c r="E752" s="51"/>
      <c r="F752" s="51"/>
      <c r="G752" s="51"/>
      <c r="H752" s="51"/>
      <c r="I752" s="51"/>
      <c r="J752" s="51"/>
      <c r="K752" s="51"/>
      <c r="L752" s="51"/>
      <c r="M752" s="35">
        <v>1110</v>
      </c>
      <c r="N752" s="51">
        <v>6189022.7999999998</v>
      </c>
      <c r="O752" s="82"/>
      <c r="P752" s="51"/>
      <c r="Q752" s="338"/>
      <c r="R752" s="51"/>
      <c r="S752" s="51"/>
      <c r="T752" s="338"/>
      <c r="U752" s="51"/>
      <c r="V752" s="35"/>
      <c r="W752" s="364">
        <f t="shared" si="162"/>
        <v>416785.3</v>
      </c>
      <c r="X752" s="285"/>
      <c r="Y752" s="285"/>
      <c r="Z752" s="285"/>
      <c r="AA752" s="285"/>
      <c r="AB752" s="285"/>
      <c r="AC752" s="9">
        <v>416785.3</v>
      </c>
      <c r="AD752" s="306"/>
      <c r="AE752" s="302"/>
      <c r="AF752" s="302"/>
      <c r="AG752" s="56"/>
    </row>
    <row r="753" spans="1:33" x14ac:dyDescent="0.3">
      <c r="A753" s="47">
        <f t="shared" si="160"/>
        <v>667</v>
      </c>
      <c r="B753" s="414" t="s">
        <v>907</v>
      </c>
      <c r="C753" s="51">
        <f t="shared" si="163"/>
        <v>4719641.3</v>
      </c>
      <c r="D753" s="51">
        <f t="shared" si="159"/>
        <v>0</v>
      </c>
      <c r="E753" s="51"/>
      <c r="F753" s="51"/>
      <c r="G753" s="51"/>
      <c r="H753" s="51"/>
      <c r="I753" s="51"/>
      <c r="J753" s="51"/>
      <c r="K753" s="51"/>
      <c r="L753" s="51"/>
      <c r="M753" s="35">
        <v>701.2</v>
      </c>
      <c r="N753" s="51">
        <v>4490677.2</v>
      </c>
      <c r="O753" s="82"/>
      <c r="P753" s="51"/>
      <c r="Q753" s="338"/>
      <c r="R753" s="51"/>
      <c r="S753" s="51"/>
      <c r="T753" s="338"/>
      <c r="U753" s="51"/>
      <c r="V753" s="35"/>
      <c r="W753" s="364">
        <f t="shared" si="162"/>
        <v>228964.1</v>
      </c>
      <c r="X753" s="285"/>
      <c r="Y753" s="285"/>
      <c r="Z753" s="285"/>
      <c r="AA753" s="285"/>
      <c r="AB753" s="285"/>
      <c r="AC753" s="9">
        <v>228964.1</v>
      </c>
      <c r="AD753" s="306"/>
      <c r="AE753" s="302"/>
      <c r="AF753" s="302"/>
      <c r="AG753" s="56"/>
    </row>
    <row r="754" spans="1:33" x14ac:dyDescent="0.3">
      <c r="A754" s="47">
        <f t="shared" si="160"/>
        <v>668</v>
      </c>
      <c r="B754" s="414" t="s">
        <v>908</v>
      </c>
      <c r="C754" s="51">
        <f t="shared" si="163"/>
        <v>130000</v>
      </c>
      <c r="D754" s="51">
        <f t="shared" si="159"/>
        <v>0</v>
      </c>
      <c r="E754" s="51"/>
      <c r="F754" s="51"/>
      <c r="G754" s="51"/>
      <c r="H754" s="51"/>
      <c r="I754" s="51"/>
      <c r="J754" s="51"/>
      <c r="K754" s="51"/>
      <c r="L754" s="51"/>
      <c r="M754" s="35"/>
      <c r="N754" s="51"/>
      <c r="O754" s="82"/>
      <c r="P754" s="51"/>
      <c r="Q754" s="338"/>
      <c r="R754" s="51"/>
      <c r="S754" s="51"/>
      <c r="T754" s="338"/>
      <c r="U754" s="51"/>
      <c r="V754" s="35"/>
      <c r="W754" s="364">
        <v>130000</v>
      </c>
      <c r="X754" s="285"/>
      <c r="Y754" s="285"/>
      <c r="Z754" s="285"/>
      <c r="AA754" s="285"/>
      <c r="AB754" s="285"/>
      <c r="AC754" s="9"/>
      <c r="AD754" s="306"/>
      <c r="AE754" s="302"/>
      <c r="AF754" s="302"/>
      <c r="AG754" s="56"/>
    </row>
    <row r="755" spans="1:33" x14ac:dyDescent="0.3">
      <c r="A755" s="47">
        <f t="shared" si="160"/>
        <v>669</v>
      </c>
      <c r="B755" s="414" t="s">
        <v>909</v>
      </c>
      <c r="C755" s="51">
        <f t="shared" si="163"/>
        <v>310772.21999999997</v>
      </c>
      <c r="D755" s="51">
        <f t="shared" si="159"/>
        <v>0</v>
      </c>
      <c r="E755" s="51"/>
      <c r="F755" s="51"/>
      <c r="G755" s="51"/>
      <c r="H755" s="51"/>
      <c r="I755" s="51"/>
      <c r="J755" s="51"/>
      <c r="K755" s="51"/>
      <c r="L755" s="51"/>
      <c r="M755" s="35"/>
      <c r="N755" s="51"/>
      <c r="O755" s="82"/>
      <c r="P755" s="51"/>
      <c r="Q755" s="338"/>
      <c r="R755" s="51"/>
      <c r="S755" s="51"/>
      <c r="T755" s="338"/>
      <c r="U755" s="51"/>
      <c r="V755" s="35"/>
      <c r="W755" s="364">
        <f t="shared" ref="W755:W762" si="164">SUM(X755:AH755)</f>
        <v>310772.21999999997</v>
      </c>
      <c r="X755" s="285">
        <v>76812.47</v>
      </c>
      <c r="Y755" s="285"/>
      <c r="Z755" s="285"/>
      <c r="AA755" s="285"/>
      <c r="AB755" s="285"/>
      <c r="AC755" s="9">
        <v>147567.12</v>
      </c>
      <c r="AD755" s="306">
        <v>86392.63</v>
      </c>
      <c r="AE755" s="302"/>
      <c r="AF755" s="302"/>
      <c r="AG755" s="56"/>
    </row>
    <row r="756" spans="1:33" x14ac:dyDescent="0.3">
      <c r="A756" s="47">
        <f t="shared" si="160"/>
        <v>670</v>
      </c>
      <c r="B756" s="414" t="s">
        <v>910</v>
      </c>
      <c r="C756" s="51">
        <f t="shared" si="163"/>
        <v>424232.26</v>
      </c>
      <c r="D756" s="51">
        <f t="shared" si="159"/>
        <v>0</v>
      </c>
      <c r="E756" s="51"/>
      <c r="F756" s="51"/>
      <c r="G756" s="51"/>
      <c r="H756" s="51"/>
      <c r="I756" s="51"/>
      <c r="J756" s="51"/>
      <c r="K756" s="51"/>
      <c r="L756" s="51"/>
      <c r="M756" s="35"/>
      <c r="N756" s="51"/>
      <c r="O756" s="82"/>
      <c r="P756" s="51"/>
      <c r="Q756" s="338"/>
      <c r="R756" s="51"/>
      <c r="S756" s="51"/>
      <c r="T756" s="338"/>
      <c r="U756" s="51"/>
      <c r="V756" s="35"/>
      <c r="W756" s="364">
        <f t="shared" si="164"/>
        <v>424232.26</v>
      </c>
      <c r="X756" s="285">
        <v>78364.399999999994</v>
      </c>
      <c r="Y756" s="285"/>
      <c r="Z756" s="285"/>
      <c r="AA756" s="285"/>
      <c r="AB756" s="285"/>
      <c r="AC756" s="9">
        <v>149875.32</v>
      </c>
      <c r="AD756" s="306">
        <v>195992.54</v>
      </c>
      <c r="AE756" s="302"/>
      <c r="AF756" s="302"/>
      <c r="AG756" s="56"/>
    </row>
    <row r="757" spans="1:33" x14ac:dyDescent="0.3">
      <c r="A757" s="47">
        <f t="shared" si="160"/>
        <v>671</v>
      </c>
      <c r="B757" s="414" t="s">
        <v>911</v>
      </c>
      <c r="C757" s="51">
        <f t="shared" si="163"/>
        <v>397910.43</v>
      </c>
      <c r="D757" s="51">
        <f t="shared" si="159"/>
        <v>0</v>
      </c>
      <c r="E757" s="51"/>
      <c r="F757" s="51"/>
      <c r="G757" s="51"/>
      <c r="H757" s="51"/>
      <c r="I757" s="51"/>
      <c r="J757" s="51"/>
      <c r="K757" s="51"/>
      <c r="L757" s="51"/>
      <c r="M757" s="35"/>
      <c r="N757" s="51"/>
      <c r="O757" s="82"/>
      <c r="P757" s="51"/>
      <c r="Q757" s="338"/>
      <c r="R757" s="51"/>
      <c r="S757" s="51"/>
      <c r="T757" s="338"/>
      <c r="U757" s="51"/>
      <c r="V757" s="35"/>
      <c r="W757" s="364">
        <f t="shared" si="164"/>
        <v>397910.43</v>
      </c>
      <c r="X757" s="285">
        <v>110047.36</v>
      </c>
      <c r="Y757" s="285"/>
      <c r="Z757" s="285"/>
      <c r="AA757" s="285"/>
      <c r="AB757" s="285"/>
      <c r="AC757" s="9">
        <v>225912.28</v>
      </c>
      <c r="AD757" s="306">
        <v>61950.79</v>
      </c>
      <c r="AE757" s="302"/>
      <c r="AF757" s="302"/>
      <c r="AG757" s="56"/>
    </row>
    <row r="758" spans="1:33" x14ac:dyDescent="0.3">
      <c r="A758" s="47">
        <f t="shared" si="160"/>
        <v>672</v>
      </c>
      <c r="B758" s="414" t="s">
        <v>912</v>
      </c>
      <c r="C758" s="51">
        <f t="shared" si="163"/>
        <v>493219.9</v>
      </c>
      <c r="D758" s="51">
        <f t="shared" si="159"/>
        <v>0</v>
      </c>
      <c r="E758" s="51"/>
      <c r="F758" s="51"/>
      <c r="G758" s="51"/>
      <c r="H758" s="51"/>
      <c r="I758" s="51"/>
      <c r="J758" s="51"/>
      <c r="K758" s="51"/>
      <c r="L758" s="51"/>
      <c r="M758" s="35"/>
      <c r="N758" s="51"/>
      <c r="O758" s="82"/>
      <c r="P758" s="51"/>
      <c r="Q758" s="338"/>
      <c r="R758" s="51"/>
      <c r="S758" s="51"/>
      <c r="T758" s="338"/>
      <c r="U758" s="51"/>
      <c r="V758" s="35"/>
      <c r="W758" s="364">
        <f t="shared" si="164"/>
        <v>493219.9</v>
      </c>
      <c r="X758" s="285">
        <v>120004.32</v>
      </c>
      <c r="Y758" s="285"/>
      <c r="Z758" s="285"/>
      <c r="AA758" s="285"/>
      <c r="AB758" s="285"/>
      <c r="AC758" s="9">
        <v>261695.57</v>
      </c>
      <c r="AD758" s="306">
        <v>111520.01</v>
      </c>
      <c r="AE758" s="302"/>
      <c r="AF758" s="302"/>
      <c r="AG758" s="56"/>
    </row>
    <row r="759" spans="1:33" x14ac:dyDescent="0.3">
      <c r="A759" s="47">
        <f t="shared" si="160"/>
        <v>673</v>
      </c>
      <c r="B759" s="414" t="s">
        <v>913</v>
      </c>
      <c r="C759" s="51">
        <f t="shared" si="163"/>
        <v>6032470.2000000002</v>
      </c>
      <c r="D759" s="51">
        <f t="shared" si="159"/>
        <v>0</v>
      </c>
      <c r="E759" s="51"/>
      <c r="F759" s="51"/>
      <c r="G759" s="51"/>
      <c r="H759" s="51"/>
      <c r="I759" s="51"/>
      <c r="J759" s="51"/>
      <c r="K759" s="51"/>
      <c r="L759" s="51"/>
      <c r="M759" s="35">
        <v>941.3</v>
      </c>
      <c r="N759" s="51">
        <v>4311278.4000000004</v>
      </c>
      <c r="O759" s="82"/>
      <c r="P759" s="51"/>
      <c r="Q759" s="338"/>
      <c r="R759" s="51"/>
      <c r="S759" s="51"/>
      <c r="T759" s="338"/>
      <c r="U759" s="51"/>
      <c r="V759" s="35"/>
      <c r="W759" s="364">
        <f t="shared" si="164"/>
        <v>1721191.8</v>
      </c>
      <c r="X759" s="285">
        <v>281044.40000000002</v>
      </c>
      <c r="Y759" s="285">
        <v>348294.5</v>
      </c>
      <c r="Z759" s="505">
        <v>304026.32</v>
      </c>
      <c r="AA759" s="505"/>
      <c r="AB759" s="285">
        <v>277819.08</v>
      </c>
      <c r="AC759" s="9">
        <v>510007.5</v>
      </c>
      <c r="AD759" s="306"/>
      <c r="AE759" s="302"/>
      <c r="AF759" s="302"/>
      <c r="AG759" s="56"/>
    </row>
    <row r="760" spans="1:33" x14ac:dyDescent="0.3">
      <c r="A760" s="47">
        <f t="shared" ref="A760:A791" si="165">A759+1</f>
        <v>674</v>
      </c>
      <c r="B760" s="414" t="s">
        <v>914</v>
      </c>
      <c r="C760" s="51">
        <f t="shared" si="163"/>
        <v>381632.86</v>
      </c>
      <c r="D760" s="51">
        <f t="shared" si="159"/>
        <v>0</v>
      </c>
      <c r="E760" s="51"/>
      <c r="F760" s="51"/>
      <c r="G760" s="51"/>
      <c r="H760" s="51"/>
      <c r="I760" s="51"/>
      <c r="J760" s="51"/>
      <c r="K760" s="51"/>
      <c r="L760" s="51"/>
      <c r="M760" s="35"/>
      <c r="N760" s="51"/>
      <c r="O760" s="82"/>
      <c r="P760" s="51"/>
      <c r="Q760" s="338"/>
      <c r="R760" s="51"/>
      <c r="S760" s="51"/>
      <c r="T760" s="338"/>
      <c r="U760" s="51"/>
      <c r="V760" s="35"/>
      <c r="W760" s="364">
        <f t="shared" si="164"/>
        <v>381632.86</v>
      </c>
      <c r="X760" s="285"/>
      <c r="Y760" s="285"/>
      <c r="Z760" s="285"/>
      <c r="AA760" s="285"/>
      <c r="AB760" s="285"/>
      <c r="AC760" s="9">
        <v>381632.86</v>
      </c>
      <c r="AD760" s="306"/>
      <c r="AE760" s="302"/>
      <c r="AF760" s="302"/>
      <c r="AG760" s="56"/>
    </row>
    <row r="761" spans="1:33" x14ac:dyDescent="0.3">
      <c r="A761" s="47">
        <f t="shared" si="165"/>
        <v>675</v>
      </c>
      <c r="B761" s="414" t="s">
        <v>915</v>
      </c>
      <c r="C761" s="51">
        <f t="shared" si="163"/>
        <v>432316.98</v>
      </c>
      <c r="D761" s="51">
        <f t="shared" si="159"/>
        <v>0</v>
      </c>
      <c r="E761" s="51"/>
      <c r="F761" s="51"/>
      <c r="G761" s="51"/>
      <c r="H761" s="51"/>
      <c r="I761" s="51"/>
      <c r="J761" s="51"/>
      <c r="K761" s="51"/>
      <c r="L761" s="51"/>
      <c r="M761" s="35"/>
      <c r="N761" s="51"/>
      <c r="O761" s="82"/>
      <c r="P761" s="51"/>
      <c r="Q761" s="338"/>
      <c r="R761" s="51"/>
      <c r="S761" s="51"/>
      <c r="T761" s="338"/>
      <c r="U761" s="51"/>
      <c r="V761" s="35"/>
      <c r="W761" s="364">
        <f t="shared" si="164"/>
        <v>432316.98</v>
      </c>
      <c r="X761" s="285">
        <v>107983.61</v>
      </c>
      <c r="Y761" s="285"/>
      <c r="Z761" s="285"/>
      <c r="AA761" s="285"/>
      <c r="AB761" s="285"/>
      <c r="AC761" s="9">
        <v>241887.77</v>
      </c>
      <c r="AD761" s="306">
        <v>82445.600000000006</v>
      </c>
      <c r="AE761" s="302"/>
      <c r="AF761" s="302"/>
      <c r="AG761" s="56"/>
    </row>
    <row r="762" spans="1:33" x14ac:dyDescent="0.3">
      <c r="A762" s="47">
        <f t="shared" si="165"/>
        <v>676</v>
      </c>
      <c r="B762" s="414" t="s">
        <v>916</v>
      </c>
      <c r="C762" s="51">
        <f t="shared" si="163"/>
        <v>315842.38</v>
      </c>
      <c r="D762" s="51">
        <f t="shared" si="159"/>
        <v>0</v>
      </c>
      <c r="E762" s="51"/>
      <c r="F762" s="51"/>
      <c r="G762" s="51"/>
      <c r="H762" s="51"/>
      <c r="I762" s="51"/>
      <c r="J762" s="51"/>
      <c r="K762" s="51"/>
      <c r="L762" s="51"/>
      <c r="M762" s="35"/>
      <c r="N762" s="51"/>
      <c r="O762" s="82"/>
      <c r="P762" s="51"/>
      <c r="Q762" s="338"/>
      <c r="R762" s="51"/>
      <c r="S762" s="51"/>
      <c r="T762" s="338"/>
      <c r="U762" s="51"/>
      <c r="V762" s="35"/>
      <c r="W762" s="364">
        <f t="shared" si="164"/>
        <v>315842.38</v>
      </c>
      <c r="X762" s="285">
        <v>100910.21</v>
      </c>
      <c r="Y762" s="285"/>
      <c r="Z762" s="285"/>
      <c r="AA762" s="285"/>
      <c r="AB762" s="285"/>
      <c r="AC762" s="9">
        <v>214932.17</v>
      </c>
      <c r="AD762" s="306"/>
      <c r="AE762" s="302"/>
      <c r="AF762" s="302"/>
      <c r="AG762" s="56"/>
    </row>
    <row r="763" spans="1:33" x14ac:dyDescent="0.3">
      <c r="A763" s="47">
        <f t="shared" si="165"/>
        <v>677</v>
      </c>
      <c r="B763" s="414" t="s">
        <v>917</v>
      </c>
      <c r="C763" s="51">
        <f t="shared" si="163"/>
        <v>130000</v>
      </c>
      <c r="D763" s="51">
        <f t="shared" si="159"/>
        <v>0</v>
      </c>
      <c r="E763" s="51"/>
      <c r="F763" s="51"/>
      <c r="G763" s="51"/>
      <c r="H763" s="51"/>
      <c r="I763" s="51"/>
      <c r="J763" s="51"/>
      <c r="K763" s="51"/>
      <c r="L763" s="51"/>
      <c r="M763" s="35"/>
      <c r="N763" s="51"/>
      <c r="O763" s="82"/>
      <c r="P763" s="51"/>
      <c r="Q763" s="338"/>
      <c r="R763" s="51"/>
      <c r="S763" s="51"/>
      <c r="T763" s="338"/>
      <c r="U763" s="51"/>
      <c r="V763" s="35"/>
      <c r="W763" s="364">
        <v>130000</v>
      </c>
      <c r="X763" s="285"/>
      <c r="Y763" s="285"/>
      <c r="Z763" s="285"/>
      <c r="AA763" s="285"/>
      <c r="AB763" s="285"/>
      <c r="AC763" s="9"/>
      <c r="AD763" s="306"/>
      <c r="AE763" s="302"/>
      <c r="AF763" s="302"/>
      <c r="AG763" s="56"/>
    </row>
    <row r="764" spans="1:33" x14ac:dyDescent="0.3">
      <c r="A764" s="47">
        <f t="shared" si="165"/>
        <v>678</v>
      </c>
      <c r="B764" s="414" t="s">
        <v>918</v>
      </c>
      <c r="C764" s="51">
        <f t="shared" si="163"/>
        <v>130000</v>
      </c>
      <c r="D764" s="51">
        <f t="shared" si="159"/>
        <v>0</v>
      </c>
      <c r="E764" s="51"/>
      <c r="F764" s="51"/>
      <c r="G764" s="51"/>
      <c r="H764" s="51"/>
      <c r="I764" s="51"/>
      <c r="J764" s="51"/>
      <c r="K764" s="51"/>
      <c r="L764" s="51"/>
      <c r="M764" s="35"/>
      <c r="N764" s="51"/>
      <c r="O764" s="82"/>
      <c r="P764" s="51"/>
      <c r="Q764" s="338"/>
      <c r="R764" s="51"/>
      <c r="S764" s="51"/>
      <c r="T764" s="338"/>
      <c r="U764" s="51"/>
      <c r="V764" s="35"/>
      <c r="W764" s="364">
        <v>130000</v>
      </c>
      <c r="X764" s="285"/>
      <c r="Y764" s="285"/>
      <c r="Z764" s="285"/>
      <c r="AA764" s="285"/>
      <c r="AB764" s="285"/>
      <c r="AC764" s="9"/>
      <c r="AD764" s="306"/>
      <c r="AE764" s="302"/>
      <c r="AF764" s="302"/>
      <c r="AG764" s="56"/>
    </row>
    <row r="765" spans="1:33" x14ac:dyDescent="0.3">
      <c r="A765" s="47">
        <f t="shared" si="165"/>
        <v>679</v>
      </c>
      <c r="B765" s="414" t="s">
        <v>919</v>
      </c>
      <c r="C765" s="51">
        <f t="shared" si="163"/>
        <v>625823.22</v>
      </c>
      <c r="D765" s="51">
        <f t="shared" si="159"/>
        <v>0</v>
      </c>
      <c r="E765" s="51"/>
      <c r="F765" s="51"/>
      <c r="G765" s="51"/>
      <c r="H765" s="51"/>
      <c r="I765" s="51"/>
      <c r="J765" s="51"/>
      <c r="K765" s="51"/>
      <c r="L765" s="51"/>
      <c r="M765" s="35"/>
      <c r="N765" s="51"/>
      <c r="O765" s="82"/>
      <c r="P765" s="51"/>
      <c r="Q765" s="338"/>
      <c r="R765" s="51"/>
      <c r="S765" s="51"/>
      <c r="T765" s="338"/>
      <c r="U765" s="51"/>
      <c r="V765" s="35"/>
      <c r="W765" s="364">
        <f t="shared" ref="W765:W796" si="166">SUM(X765:AH765)</f>
        <v>625823.22</v>
      </c>
      <c r="X765" s="285">
        <v>257795.21</v>
      </c>
      <c r="Y765" s="285"/>
      <c r="Z765" s="285"/>
      <c r="AA765" s="285"/>
      <c r="AB765" s="285"/>
      <c r="AC765" s="9"/>
      <c r="AD765" s="306">
        <v>368028.01</v>
      </c>
      <c r="AE765" s="302"/>
      <c r="AF765" s="302"/>
      <c r="AG765" s="56"/>
    </row>
    <row r="766" spans="1:33" x14ac:dyDescent="0.3">
      <c r="A766" s="47">
        <f t="shared" si="165"/>
        <v>680</v>
      </c>
      <c r="B766" s="414" t="s">
        <v>920</v>
      </c>
      <c r="C766" s="51">
        <f t="shared" si="163"/>
        <v>228919.55</v>
      </c>
      <c r="D766" s="51">
        <f t="shared" si="159"/>
        <v>0</v>
      </c>
      <c r="E766" s="51"/>
      <c r="F766" s="51"/>
      <c r="G766" s="51"/>
      <c r="H766" s="51"/>
      <c r="I766" s="51"/>
      <c r="J766" s="51"/>
      <c r="K766" s="51"/>
      <c r="L766" s="51"/>
      <c r="M766" s="35"/>
      <c r="N766" s="51"/>
      <c r="O766" s="82"/>
      <c r="P766" s="51"/>
      <c r="Q766" s="338"/>
      <c r="R766" s="51"/>
      <c r="S766" s="51"/>
      <c r="T766" s="338"/>
      <c r="U766" s="51"/>
      <c r="V766" s="35"/>
      <c r="W766" s="364">
        <f t="shared" si="166"/>
        <v>228919.55</v>
      </c>
      <c r="X766" s="285">
        <v>163030.84</v>
      </c>
      <c r="Y766" s="285"/>
      <c r="Z766" s="285"/>
      <c r="AA766" s="285"/>
      <c r="AB766" s="285"/>
      <c r="AC766" s="9"/>
      <c r="AD766" s="306">
        <v>65888.710000000006</v>
      </c>
      <c r="AE766" s="302"/>
      <c r="AF766" s="302"/>
      <c r="AG766" s="56"/>
    </row>
    <row r="767" spans="1:33" x14ac:dyDescent="0.3">
      <c r="A767" s="47">
        <f t="shared" si="165"/>
        <v>681</v>
      </c>
      <c r="B767" s="414" t="s">
        <v>921</v>
      </c>
      <c r="C767" s="51">
        <f t="shared" si="163"/>
        <v>495423.45999999996</v>
      </c>
      <c r="D767" s="51">
        <f t="shared" si="159"/>
        <v>0</v>
      </c>
      <c r="E767" s="51"/>
      <c r="F767" s="51"/>
      <c r="G767" s="51"/>
      <c r="H767" s="51"/>
      <c r="I767" s="51"/>
      <c r="J767" s="51"/>
      <c r="K767" s="51"/>
      <c r="L767" s="51"/>
      <c r="M767" s="35"/>
      <c r="N767" s="51"/>
      <c r="O767" s="82"/>
      <c r="P767" s="51"/>
      <c r="Q767" s="338"/>
      <c r="R767" s="51"/>
      <c r="S767" s="51"/>
      <c r="T767" s="338"/>
      <c r="U767" s="51"/>
      <c r="V767" s="35"/>
      <c r="W767" s="364">
        <f t="shared" si="166"/>
        <v>495423.45999999996</v>
      </c>
      <c r="X767" s="285">
        <v>81632.899999999994</v>
      </c>
      <c r="Y767" s="285"/>
      <c r="Z767" s="285"/>
      <c r="AA767" s="285"/>
      <c r="AB767" s="285"/>
      <c r="AC767" s="9">
        <v>154810.07999999999</v>
      </c>
      <c r="AD767" s="306">
        <v>258980.48000000001</v>
      </c>
      <c r="AE767" s="302"/>
      <c r="AF767" s="302"/>
      <c r="AG767" s="56"/>
    </row>
    <row r="768" spans="1:33" x14ac:dyDescent="0.3">
      <c r="A768" s="47">
        <f t="shared" si="165"/>
        <v>682</v>
      </c>
      <c r="B768" s="414" t="s">
        <v>922</v>
      </c>
      <c r="C768" s="51">
        <f t="shared" si="163"/>
        <v>122918.04000000001</v>
      </c>
      <c r="D768" s="51">
        <f t="shared" si="159"/>
        <v>0</v>
      </c>
      <c r="E768" s="51"/>
      <c r="F768" s="51"/>
      <c r="G768" s="51"/>
      <c r="H768" s="51"/>
      <c r="I768" s="51"/>
      <c r="J768" s="51"/>
      <c r="K768" s="51"/>
      <c r="L768" s="51"/>
      <c r="M768" s="35"/>
      <c r="N768" s="51"/>
      <c r="O768" s="82"/>
      <c r="P768" s="51"/>
      <c r="Q768" s="338"/>
      <c r="R768" s="51"/>
      <c r="S768" s="51"/>
      <c r="T768" s="338"/>
      <c r="U768" s="51"/>
      <c r="V768" s="35"/>
      <c r="W768" s="364">
        <f t="shared" si="166"/>
        <v>122918.04000000001</v>
      </c>
      <c r="X768" s="285">
        <v>32219.75</v>
      </c>
      <c r="Y768" s="285"/>
      <c r="Z768" s="285"/>
      <c r="AA768" s="285"/>
      <c r="AB768" s="285"/>
      <c r="AC768" s="9">
        <v>73953.83</v>
      </c>
      <c r="AD768" s="306">
        <v>16744.46</v>
      </c>
      <c r="AE768" s="302"/>
      <c r="AF768" s="302"/>
      <c r="AG768" s="56"/>
    </row>
    <row r="769" spans="1:33" x14ac:dyDescent="0.3">
      <c r="A769" s="47">
        <f t="shared" si="165"/>
        <v>683</v>
      </c>
      <c r="B769" s="414" t="s">
        <v>923</v>
      </c>
      <c r="C769" s="51">
        <f t="shared" si="163"/>
        <v>347197.29</v>
      </c>
      <c r="D769" s="51">
        <f t="shared" si="159"/>
        <v>0</v>
      </c>
      <c r="E769" s="51"/>
      <c r="F769" s="51"/>
      <c r="G769" s="51"/>
      <c r="H769" s="51"/>
      <c r="I769" s="51"/>
      <c r="J769" s="51"/>
      <c r="K769" s="51"/>
      <c r="L769" s="51"/>
      <c r="M769" s="35"/>
      <c r="N769" s="51"/>
      <c r="O769" s="82"/>
      <c r="P769" s="51"/>
      <c r="Q769" s="338"/>
      <c r="R769" s="51"/>
      <c r="S769" s="51"/>
      <c r="T769" s="338"/>
      <c r="U769" s="51"/>
      <c r="V769" s="35"/>
      <c r="W769" s="364">
        <f t="shared" si="166"/>
        <v>347197.29</v>
      </c>
      <c r="X769" s="285">
        <v>100927.58</v>
      </c>
      <c r="Y769" s="285"/>
      <c r="Z769" s="285"/>
      <c r="AA769" s="285"/>
      <c r="AB769" s="285"/>
      <c r="AC769" s="9">
        <v>183941.04</v>
      </c>
      <c r="AD769" s="306">
        <v>62328.67</v>
      </c>
      <c r="AE769" s="302"/>
      <c r="AF769" s="302"/>
      <c r="AG769" s="56"/>
    </row>
    <row r="770" spans="1:33" x14ac:dyDescent="0.3">
      <c r="A770" s="47">
        <f t="shared" si="165"/>
        <v>684</v>
      </c>
      <c r="B770" s="414" t="s">
        <v>924</v>
      </c>
      <c r="C770" s="51">
        <f t="shared" si="163"/>
        <v>510529.53</v>
      </c>
      <c r="D770" s="51">
        <f t="shared" si="159"/>
        <v>0</v>
      </c>
      <c r="E770" s="51"/>
      <c r="F770" s="51"/>
      <c r="G770" s="51"/>
      <c r="H770" s="51"/>
      <c r="I770" s="51"/>
      <c r="J770" s="51"/>
      <c r="K770" s="51"/>
      <c r="L770" s="51"/>
      <c r="M770" s="35"/>
      <c r="N770" s="51"/>
      <c r="O770" s="82"/>
      <c r="P770" s="51"/>
      <c r="Q770" s="338"/>
      <c r="R770" s="51"/>
      <c r="S770" s="51"/>
      <c r="T770" s="338"/>
      <c r="U770" s="51"/>
      <c r="V770" s="35"/>
      <c r="W770" s="364">
        <f t="shared" si="166"/>
        <v>510529.53</v>
      </c>
      <c r="X770" s="285">
        <v>103118.41</v>
      </c>
      <c r="Y770" s="285"/>
      <c r="Z770" s="285"/>
      <c r="AA770" s="285"/>
      <c r="AB770" s="285"/>
      <c r="AC770" s="9">
        <v>235086.07999999999</v>
      </c>
      <c r="AD770" s="306">
        <v>172325.04</v>
      </c>
      <c r="AE770" s="302"/>
      <c r="AF770" s="302"/>
      <c r="AG770" s="56"/>
    </row>
    <row r="771" spans="1:33" x14ac:dyDescent="0.3">
      <c r="A771" s="47">
        <f t="shared" si="165"/>
        <v>685</v>
      </c>
      <c r="B771" s="414" t="s">
        <v>925</v>
      </c>
      <c r="C771" s="51">
        <f t="shared" si="163"/>
        <v>644698.81000000006</v>
      </c>
      <c r="D771" s="51">
        <f t="shared" si="159"/>
        <v>0</v>
      </c>
      <c r="E771" s="51"/>
      <c r="F771" s="51"/>
      <c r="G771" s="51"/>
      <c r="H771" s="51"/>
      <c r="I771" s="51"/>
      <c r="J771" s="51"/>
      <c r="K771" s="51"/>
      <c r="L771" s="51"/>
      <c r="M771" s="35"/>
      <c r="N771" s="51"/>
      <c r="O771" s="82"/>
      <c r="P771" s="51"/>
      <c r="Q771" s="338"/>
      <c r="R771" s="51"/>
      <c r="S771" s="51"/>
      <c r="T771" s="338"/>
      <c r="U771" s="51"/>
      <c r="V771" s="35"/>
      <c r="W771" s="364">
        <f t="shared" si="166"/>
        <v>644698.81000000006</v>
      </c>
      <c r="X771" s="285">
        <v>104930.88</v>
      </c>
      <c r="Y771" s="285"/>
      <c r="Z771" s="285"/>
      <c r="AA771" s="285"/>
      <c r="AB771" s="285"/>
      <c r="AC771" s="9">
        <v>198160.81</v>
      </c>
      <c r="AD771" s="306">
        <v>341607.12</v>
      </c>
      <c r="AE771" s="302"/>
      <c r="AF771" s="302"/>
      <c r="AG771" s="56"/>
    </row>
    <row r="772" spans="1:33" x14ac:dyDescent="0.3">
      <c r="A772" s="47">
        <f t="shared" si="165"/>
        <v>686</v>
      </c>
      <c r="B772" s="414" t="s">
        <v>926</v>
      </c>
      <c r="C772" s="51">
        <f t="shared" si="163"/>
        <v>602301.46</v>
      </c>
      <c r="D772" s="51">
        <f t="shared" si="159"/>
        <v>0</v>
      </c>
      <c r="E772" s="51"/>
      <c r="F772" s="51"/>
      <c r="G772" s="51"/>
      <c r="H772" s="51"/>
      <c r="I772" s="51"/>
      <c r="J772" s="51"/>
      <c r="K772" s="51"/>
      <c r="L772" s="51"/>
      <c r="M772" s="35"/>
      <c r="N772" s="51"/>
      <c r="O772" s="82"/>
      <c r="P772" s="51"/>
      <c r="Q772" s="338"/>
      <c r="R772" s="51"/>
      <c r="S772" s="51"/>
      <c r="T772" s="338"/>
      <c r="U772" s="51"/>
      <c r="V772" s="35"/>
      <c r="W772" s="364">
        <f t="shared" si="166"/>
        <v>602301.46</v>
      </c>
      <c r="X772" s="285">
        <v>94026.64</v>
      </c>
      <c r="Y772" s="285"/>
      <c r="Z772" s="285"/>
      <c r="AA772" s="285"/>
      <c r="AB772" s="285"/>
      <c r="AC772" s="9">
        <v>178404</v>
      </c>
      <c r="AD772" s="306">
        <v>329870.82</v>
      </c>
      <c r="AE772" s="302"/>
      <c r="AF772" s="302"/>
      <c r="AG772" s="56"/>
    </row>
    <row r="773" spans="1:33" x14ac:dyDescent="0.3">
      <c r="A773" s="47">
        <f t="shared" si="165"/>
        <v>687</v>
      </c>
      <c r="B773" s="414" t="s">
        <v>927</v>
      </c>
      <c r="C773" s="51">
        <f t="shared" si="163"/>
        <v>478439.23</v>
      </c>
      <c r="D773" s="51">
        <f t="shared" si="159"/>
        <v>0</v>
      </c>
      <c r="E773" s="51"/>
      <c r="F773" s="51"/>
      <c r="G773" s="51"/>
      <c r="H773" s="51"/>
      <c r="I773" s="51"/>
      <c r="J773" s="51"/>
      <c r="K773" s="51"/>
      <c r="L773" s="51"/>
      <c r="M773" s="35"/>
      <c r="N773" s="51"/>
      <c r="O773" s="82"/>
      <c r="P773" s="51"/>
      <c r="Q773" s="338"/>
      <c r="R773" s="51"/>
      <c r="S773" s="51"/>
      <c r="T773" s="338"/>
      <c r="U773" s="51"/>
      <c r="V773" s="35"/>
      <c r="W773" s="364">
        <f t="shared" si="166"/>
        <v>478439.23</v>
      </c>
      <c r="X773" s="285">
        <v>166741.09</v>
      </c>
      <c r="Y773" s="285"/>
      <c r="Z773" s="285"/>
      <c r="AA773" s="285"/>
      <c r="AB773" s="285"/>
      <c r="AC773" s="9">
        <v>311698.14</v>
      </c>
      <c r="AD773" s="306"/>
      <c r="AE773" s="302"/>
      <c r="AF773" s="302"/>
      <c r="AG773" s="56"/>
    </row>
    <row r="774" spans="1:33" x14ac:dyDescent="0.3">
      <c r="A774" s="47">
        <f t="shared" si="165"/>
        <v>688</v>
      </c>
      <c r="B774" s="414" t="s">
        <v>928</v>
      </c>
      <c r="C774" s="51">
        <f t="shared" si="163"/>
        <v>752308.52</v>
      </c>
      <c r="D774" s="51">
        <f t="shared" si="159"/>
        <v>0</v>
      </c>
      <c r="E774" s="51"/>
      <c r="F774" s="51"/>
      <c r="G774" s="51"/>
      <c r="H774" s="51"/>
      <c r="I774" s="51"/>
      <c r="J774" s="51"/>
      <c r="K774" s="51"/>
      <c r="L774" s="51"/>
      <c r="M774" s="35"/>
      <c r="N774" s="51"/>
      <c r="O774" s="82"/>
      <c r="P774" s="51"/>
      <c r="Q774" s="338"/>
      <c r="R774" s="51"/>
      <c r="S774" s="51"/>
      <c r="T774" s="338"/>
      <c r="U774" s="51"/>
      <c r="V774" s="35"/>
      <c r="W774" s="364">
        <f t="shared" si="166"/>
        <v>752308.52</v>
      </c>
      <c r="X774" s="285">
        <v>175221.14</v>
      </c>
      <c r="Y774" s="285"/>
      <c r="Z774" s="285"/>
      <c r="AA774" s="285"/>
      <c r="AB774" s="285"/>
      <c r="AC774" s="9">
        <v>453432.24</v>
      </c>
      <c r="AD774" s="306">
        <v>123655.14</v>
      </c>
      <c r="AE774" s="302"/>
      <c r="AF774" s="302"/>
      <c r="AG774" s="56"/>
    </row>
    <row r="775" spans="1:33" x14ac:dyDescent="0.3">
      <c r="A775" s="47">
        <f t="shared" si="165"/>
        <v>689</v>
      </c>
      <c r="B775" s="414" t="s">
        <v>929</v>
      </c>
      <c r="C775" s="51">
        <f t="shared" si="163"/>
        <v>565107.5</v>
      </c>
      <c r="D775" s="51">
        <f t="shared" si="159"/>
        <v>0</v>
      </c>
      <c r="E775" s="51"/>
      <c r="F775" s="51"/>
      <c r="G775" s="51"/>
      <c r="H775" s="51"/>
      <c r="I775" s="51"/>
      <c r="J775" s="51"/>
      <c r="K775" s="51"/>
      <c r="L775" s="51"/>
      <c r="M775" s="35"/>
      <c r="N775" s="51"/>
      <c r="O775" s="82"/>
      <c r="P775" s="51"/>
      <c r="Q775" s="338"/>
      <c r="R775" s="51"/>
      <c r="S775" s="51"/>
      <c r="T775" s="338"/>
      <c r="U775" s="51"/>
      <c r="V775" s="35"/>
      <c r="W775" s="364">
        <f t="shared" si="166"/>
        <v>565107.5</v>
      </c>
      <c r="X775" s="285">
        <v>93497.78</v>
      </c>
      <c r="Y775" s="285">
        <v>111416.64</v>
      </c>
      <c r="Z775" s="505">
        <v>96009.919999999998</v>
      </c>
      <c r="AA775" s="505"/>
      <c r="AB775" s="285">
        <v>91385.12</v>
      </c>
      <c r="AC775" s="9">
        <v>172798.04</v>
      </c>
      <c r="AD775" s="306"/>
      <c r="AE775" s="302"/>
      <c r="AF775" s="302"/>
      <c r="AG775" s="56"/>
    </row>
    <row r="776" spans="1:33" x14ac:dyDescent="0.3">
      <c r="A776" s="47">
        <f t="shared" si="165"/>
        <v>690</v>
      </c>
      <c r="B776" s="414" t="s">
        <v>930</v>
      </c>
      <c r="C776" s="51">
        <f t="shared" si="163"/>
        <v>133642.66999999998</v>
      </c>
      <c r="D776" s="51">
        <f t="shared" si="159"/>
        <v>0</v>
      </c>
      <c r="E776" s="51"/>
      <c r="F776" s="51"/>
      <c r="G776" s="51"/>
      <c r="H776" s="51"/>
      <c r="I776" s="51"/>
      <c r="J776" s="51"/>
      <c r="K776" s="51"/>
      <c r="L776" s="51"/>
      <c r="M776" s="35"/>
      <c r="N776" s="51"/>
      <c r="O776" s="82"/>
      <c r="P776" s="51"/>
      <c r="Q776" s="338"/>
      <c r="R776" s="51"/>
      <c r="S776" s="51"/>
      <c r="T776" s="338"/>
      <c r="U776" s="51"/>
      <c r="V776" s="35"/>
      <c r="W776" s="364">
        <f t="shared" si="166"/>
        <v>133642.66999999998</v>
      </c>
      <c r="X776" s="285">
        <v>48345.36</v>
      </c>
      <c r="Y776" s="285"/>
      <c r="Z776" s="285"/>
      <c r="AA776" s="285"/>
      <c r="AB776" s="285"/>
      <c r="AC776" s="9">
        <v>85297.31</v>
      </c>
      <c r="AD776" s="306"/>
      <c r="AE776" s="302"/>
      <c r="AF776" s="302"/>
      <c r="AG776" s="56"/>
    </row>
    <row r="777" spans="1:33" x14ac:dyDescent="0.3">
      <c r="A777" s="47">
        <f t="shared" si="165"/>
        <v>691</v>
      </c>
      <c r="B777" s="414" t="s">
        <v>931</v>
      </c>
      <c r="C777" s="51">
        <f t="shared" si="163"/>
        <v>160296.98000000001</v>
      </c>
      <c r="D777" s="51">
        <f t="shared" si="159"/>
        <v>0</v>
      </c>
      <c r="E777" s="51"/>
      <c r="F777" s="51"/>
      <c r="G777" s="51"/>
      <c r="H777" s="51"/>
      <c r="I777" s="51"/>
      <c r="J777" s="51"/>
      <c r="K777" s="51"/>
      <c r="L777" s="51"/>
      <c r="M777" s="35"/>
      <c r="N777" s="51"/>
      <c r="O777" s="82"/>
      <c r="P777" s="51"/>
      <c r="Q777" s="338"/>
      <c r="R777" s="51"/>
      <c r="S777" s="51"/>
      <c r="T777" s="338"/>
      <c r="U777" s="51"/>
      <c r="V777" s="35"/>
      <c r="W777" s="364">
        <f t="shared" si="166"/>
        <v>160296.98000000001</v>
      </c>
      <c r="X777" s="285">
        <v>52400.51</v>
      </c>
      <c r="Y777" s="285"/>
      <c r="Z777" s="285"/>
      <c r="AA777" s="285"/>
      <c r="AB777" s="285"/>
      <c r="AC777" s="9">
        <v>89856.65</v>
      </c>
      <c r="AD777" s="306">
        <v>18039.82</v>
      </c>
      <c r="AE777" s="302"/>
      <c r="AF777" s="302"/>
      <c r="AG777" s="56"/>
    </row>
    <row r="778" spans="1:33" x14ac:dyDescent="0.3">
      <c r="A778" s="47">
        <f t="shared" si="165"/>
        <v>692</v>
      </c>
      <c r="B778" s="414" t="s">
        <v>932</v>
      </c>
      <c r="C778" s="51">
        <f t="shared" si="163"/>
        <v>321146.03000000003</v>
      </c>
      <c r="D778" s="51">
        <f t="shared" si="159"/>
        <v>0</v>
      </c>
      <c r="E778" s="51"/>
      <c r="F778" s="51"/>
      <c r="G778" s="51"/>
      <c r="H778" s="51"/>
      <c r="I778" s="51"/>
      <c r="J778" s="51"/>
      <c r="K778" s="51"/>
      <c r="L778" s="51"/>
      <c r="M778" s="35"/>
      <c r="N778" s="51"/>
      <c r="O778" s="82"/>
      <c r="P778" s="51"/>
      <c r="Q778" s="338"/>
      <c r="R778" s="51"/>
      <c r="S778" s="51"/>
      <c r="T778" s="338"/>
      <c r="U778" s="51"/>
      <c r="V778" s="35"/>
      <c r="W778" s="364">
        <f t="shared" si="166"/>
        <v>321146.03000000003</v>
      </c>
      <c r="X778" s="285">
        <v>111187.84</v>
      </c>
      <c r="Y778" s="285"/>
      <c r="Z778" s="285"/>
      <c r="AA778" s="285"/>
      <c r="AB778" s="285"/>
      <c r="AC778" s="9">
        <v>209958.19</v>
      </c>
      <c r="AD778" s="306"/>
      <c r="AE778" s="302"/>
      <c r="AF778" s="302"/>
      <c r="AG778" s="56"/>
    </row>
    <row r="779" spans="1:33" x14ac:dyDescent="0.3">
      <c r="A779" s="47">
        <f t="shared" si="165"/>
        <v>693</v>
      </c>
      <c r="B779" s="414" t="s">
        <v>933</v>
      </c>
      <c r="C779" s="51">
        <f t="shared" si="163"/>
        <v>446045.85</v>
      </c>
      <c r="D779" s="51">
        <f t="shared" si="159"/>
        <v>0</v>
      </c>
      <c r="E779" s="51"/>
      <c r="F779" s="51"/>
      <c r="G779" s="51"/>
      <c r="H779" s="51"/>
      <c r="I779" s="51"/>
      <c r="J779" s="51"/>
      <c r="K779" s="51"/>
      <c r="L779" s="51"/>
      <c r="M779" s="35"/>
      <c r="N779" s="51"/>
      <c r="O779" s="82"/>
      <c r="P779" s="51"/>
      <c r="Q779" s="338"/>
      <c r="R779" s="51"/>
      <c r="S779" s="51"/>
      <c r="T779" s="338"/>
      <c r="U779" s="51"/>
      <c r="V779" s="35"/>
      <c r="W779" s="364">
        <f t="shared" si="166"/>
        <v>446045.85</v>
      </c>
      <c r="X779" s="285">
        <v>130326.67</v>
      </c>
      <c r="Y779" s="285"/>
      <c r="Z779" s="285"/>
      <c r="AA779" s="285"/>
      <c r="AB779" s="285"/>
      <c r="AC779" s="9">
        <v>235693.44</v>
      </c>
      <c r="AD779" s="306">
        <v>80025.740000000005</v>
      </c>
      <c r="AE779" s="302"/>
      <c r="AF779" s="302"/>
      <c r="AG779" s="56"/>
    </row>
    <row r="780" spans="1:33" x14ac:dyDescent="0.3">
      <c r="A780" s="47">
        <f t="shared" si="165"/>
        <v>694</v>
      </c>
      <c r="B780" s="414" t="s">
        <v>934</v>
      </c>
      <c r="C780" s="51">
        <f t="shared" si="163"/>
        <v>349306.14</v>
      </c>
      <c r="D780" s="51">
        <f t="shared" si="159"/>
        <v>0</v>
      </c>
      <c r="E780" s="51"/>
      <c r="F780" s="51"/>
      <c r="G780" s="51"/>
      <c r="H780" s="51"/>
      <c r="I780" s="51"/>
      <c r="J780" s="51"/>
      <c r="K780" s="51"/>
      <c r="L780" s="51"/>
      <c r="M780" s="35"/>
      <c r="N780" s="51"/>
      <c r="O780" s="82"/>
      <c r="P780" s="51"/>
      <c r="Q780" s="338"/>
      <c r="R780" s="51"/>
      <c r="S780" s="51"/>
      <c r="T780" s="338"/>
      <c r="U780" s="51"/>
      <c r="V780" s="35"/>
      <c r="W780" s="364">
        <f t="shared" si="166"/>
        <v>349306.14</v>
      </c>
      <c r="X780" s="285">
        <v>100096.08</v>
      </c>
      <c r="Y780" s="285"/>
      <c r="Z780" s="285"/>
      <c r="AA780" s="285"/>
      <c r="AB780" s="285"/>
      <c r="AC780" s="9">
        <v>187890.22</v>
      </c>
      <c r="AD780" s="306">
        <v>61319.839999999997</v>
      </c>
      <c r="AE780" s="302"/>
      <c r="AF780" s="302"/>
      <c r="AG780" s="56"/>
    </row>
    <row r="781" spans="1:33" x14ac:dyDescent="0.3">
      <c r="A781" s="47">
        <f t="shared" si="165"/>
        <v>695</v>
      </c>
      <c r="B781" s="414" t="s">
        <v>935</v>
      </c>
      <c r="C781" s="51">
        <f t="shared" si="163"/>
        <v>341949.79000000004</v>
      </c>
      <c r="D781" s="51">
        <f t="shared" si="159"/>
        <v>0</v>
      </c>
      <c r="E781" s="51"/>
      <c r="F781" s="51"/>
      <c r="G781" s="51"/>
      <c r="H781" s="51"/>
      <c r="I781" s="51"/>
      <c r="J781" s="51"/>
      <c r="K781" s="51"/>
      <c r="L781" s="51"/>
      <c r="M781" s="35"/>
      <c r="N781" s="51"/>
      <c r="O781" s="82"/>
      <c r="P781" s="51"/>
      <c r="Q781" s="338"/>
      <c r="R781" s="51"/>
      <c r="S781" s="51"/>
      <c r="T781" s="338"/>
      <c r="U781" s="51"/>
      <c r="V781" s="35"/>
      <c r="W781" s="364">
        <f t="shared" si="166"/>
        <v>341949.79000000004</v>
      </c>
      <c r="X781" s="285">
        <v>96065.08</v>
      </c>
      <c r="Y781" s="285"/>
      <c r="Z781" s="285"/>
      <c r="AA781" s="285"/>
      <c r="AB781" s="285"/>
      <c r="AC781" s="9">
        <v>179187.68</v>
      </c>
      <c r="AD781" s="306">
        <v>66697.03</v>
      </c>
      <c r="AE781" s="302"/>
      <c r="AF781" s="302"/>
      <c r="AG781" s="56"/>
    </row>
    <row r="782" spans="1:33" x14ac:dyDescent="0.3">
      <c r="A782" s="47">
        <f t="shared" si="165"/>
        <v>696</v>
      </c>
      <c r="B782" s="414" t="s">
        <v>936</v>
      </c>
      <c r="C782" s="51">
        <f t="shared" si="163"/>
        <v>153108.62</v>
      </c>
      <c r="D782" s="51">
        <f t="shared" si="159"/>
        <v>0</v>
      </c>
      <c r="E782" s="51"/>
      <c r="F782" s="51"/>
      <c r="G782" s="51"/>
      <c r="H782" s="51"/>
      <c r="I782" s="51"/>
      <c r="J782" s="51"/>
      <c r="K782" s="51"/>
      <c r="L782" s="51"/>
      <c r="M782" s="35"/>
      <c r="N782" s="51"/>
      <c r="O782" s="82"/>
      <c r="P782" s="51"/>
      <c r="Q782" s="338"/>
      <c r="R782" s="51"/>
      <c r="S782" s="51"/>
      <c r="T782" s="338"/>
      <c r="U782" s="51"/>
      <c r="V782" s="35"/>
      <c r="W782" s="364">
        <f t="shared" si="166"/>
        <v>153108.62</v>
      </c>
      <c r="X782" s="285">
        <v>42662.5</v>
      </c>
      <c r="Y782" s="285"/>
      <c r="Z782" s="285"/>
      <c r="AA782" s="285"/>
      <c r="AB782" s="285"/>
      <c r="AC782" s="9">
        <v>81380.759999999995</v>
      </c>
      <c r="AD782" s="306">
        <v>29065.360000000001</v>
      </c>
      <c r="AE782" s="302"/>
      <c r="AF782" s="302"/>
      <c r="AG782" s="56"/>
    </row>
    <row r="783" spans="1:33" x14ac:dyDescent="0.3">
      <c r="A783" s="47">
        <f t="shared" si="165"/>
        <v>697</v>
      </c>
      <c r="B783" s="414" t="s">
        <v>937</v>
      </c>
      <c r="C783" s="51">
        <f t="shared" ref="C783:C814" si="167">D783+K783+L783+N783+P783+R783+S783+U783+W783</f>
        <v>374091.16</v>
      </c>
      <c r="D783" s="51">
        <f t="shared" ref="D783:D846" si="168">E783+F783+G783+H783+I783</f>
        <v>0</v>
      </c>
      <c r="E783" s="51"/>
      <c r="F783" s="51"/>
      <c r="G783" s="51"/>
      <c r="H783" s="51"/>
      <c r="I783" s="51"/>
      <c r="J783" s="51"/>
      <c r="K783" s="51"/>
      <c r="L783" s="51"/>
      <c r="M783" s="35"/>
      <c r="N783" s="51"/>
      <c r="O783" s="82"/>
      <c r="P783" s="51"/>
      <c r="Q783" s="338"/>
      <c r="R783" s="51"/>
      <c r="S783" s="51"/>
      <c r="T783" s="338"/>
      <c r="U783" s="51"/>
      <c r="V783" s="35"/>
      <c r="W783" s="364">
        <f t="shared" si="166"/>
        <v>374091.16</v>
      </c>
      <c r="X783" s="285">
        <v>125383.08</v>
      </c>
      <c r="Y783" s="285"/>
      <c r="Z783" s="285"/>
      <c r="AA783" s="285"/>
      <c r="AB783" s="285"/>
      <c r="AC783" s="9">
        <v>248708.08</v>
      </c>
      <c r="AD783" s="306"/>
      <c r="AE783" s="302"/>
      <c r="AF783" s="302"/>
      <c r="AG783" s="56"/>
    </row>
    <row r="784" spans="1:33" x14ac:dyDescent="0.3">
      <c r="A784" s="47">
        <f t="shared" si="165"/>
        <v>698</v>
      </c>
      <c r="B784" s="414" t="s">
        <v>938</v>
      </c>
      <c r="C784" s="51">
        <f t="shared" si="167"/>
        <v>780640.52</v>
      </c>
      <c r="D784" s="51">
        <f t="shared" si="168"/>
        <v>0</v>
      </c>
      <c r="E784" s="51"/>
      <c r="F784" s="51"/>
      <c r="G784" s="51"/>
      <c r="H784" s="51"/>
      <c r="I784" s="51"/>
      <c r="J784" s="51"/>
      <c r="K784" s="51"/>
      <c r="L784" s="51"/>
      <c r="M784" s="35"/>
      <c r="N784" s="51"/>
      <c r="O784" s="82"/>
      <c r="P784" s="51"/>
      <c r="Q784" s="338"/>
      <c r="R784" s="51"/>
      <c r="S784" s="51"/>
      <c r="T784" s="338"/>
      <c r="U784" s="51"/>
      <c r="V784" s="35"/>
      <c r="W784" s="364">
        <f t="shared" si="166"/>
        <v>780640.52</v>
      </c>
      <c r="X784" s="285">
        <v>210712.07</v>
      </c>
      <c r="Y784" s="285"/>
      <c r="Z784" s="285"/>
      <c r="AA784" s="285"/>
      <c r="AB784" s="285"/>
      <c r="AC784" s="9">
        <v>415046.23</v>
      </c>
      <c r="AD784" s="306">
        <v>154882.22</v>
      </c>
      <c r="AE784" s="302"/>
      <c r="AF784" s="302"/>
      <c r="AG784" s="56"/>
    </row>
    <row r="785" spans="1:33" x14ac:dyDescent="0.3">
      <c r="A785" s="47">
        <f t="shared" si="165"/>
        <v>699</v>
      </c>
      <c r="B785" s="414" t="s">
        <v>939</v>
      </c>
      <c r="C785" s="51">
        <f t="shared" si="167"/>
        <v>359249.15</v>
      </c>
      <c r="D785" s="51">
        <f t="shared" si="168"/>
        <v>0</v>
      </c>
      <c r="E785" s="51"/>
      <c r="F785" s="51"/>
      <c r="G785" s="51"/>
      <c r="H785" s="51"/>
      <c r="I785" s="51"/>
      <c r="J785" s="51"/>
      <c r="K785" s="51"/>
      <c r="L785" s="51"/>
      <c r="M785" s="35"/>
      <c r="N785" s="51"/>
      <c r="O785" s="82"/>
      <c r="P785" s="51"/>
      <c r="Q785" s="338"/>
      <c r="R785" s="51"/>
      <c r="S785" s="51"/>
      <c r="T785" s="338"/>
      <c r="U785" s="51"/>
      <c r="V785" s="35"/>
      <c r="W785" s="364">
        <f t="shared" si="166"/>
        <v>359249.15</v>
      </c>
      <c r="X785" s="285">
        <v>120746.15</v>
      </c>
      <c r="Y785" s="285"/>
      <c r="Z785" s="285"/>
      <c r="AA785" s="285"/>
      <c r="AB785" s="285"/>
      <c r="AC785" s="9">
        <v>238503</v>
      </c>
      <c r="AD785" s="306"/>
      <c r="AE785" s="302"/>
      <c r="AF785" s="302"/>
      <c r="AG785" s="56"/>
    </row>
    <row r="786" spans="1:33" x14ac:dyDescent="0.3">
      <c r="A786" s="47">
        <f t="shared" si="165"/>
        <v>700</v>
      </c>
      <c r="B786" s="414" t="s">
        <v>940</v>
      </c>
      <c r="C786" s="51">
        <f t="shared" si="167"/>
        <v>358125.09</v>
      </c>
      <c r="D786" s="51">
        <f t="shared" si="168"/>
        <v>0</v>
      </c>
      <c r="E786" s="51"/>
      <c r="F786" s="51"/>
      <c r="G786" s="51"/>
      <c r="H786" s="51"/>
      <c r="I786" s="51"/>
      <c r="J786" s="51"/>
      <c r="K786" s="51"/>
      <c r="L786" s="51"/>
      <c r="M786" s="35"/>
      <c r="N786" s="51"/>
      <c r="O786" s="82"/>
      <c r="P786" s="51"/>
      <c r="Q786" s="338"/>
      <c r="R786" s="51"/>
      <c r="S786" s="51"/>
      <c r="T786" s="338"/>
      <c r="U786" s="51"/>
      <c r="V786" s="35"/>
      <c r="W786" s="364">
        <f t="shared" si="166"/>
        <v>358125.09</v>
      </c>
      <c r="X786" s="285">
        <v>111121.24</v>
      </c>
      <c r="Y786" s="285"/>
      <c r="Z786" s="285"/>
      <c r="AA786" s="285"/>
      <c r="AB786" s="285"/>
      <c r="AC786" s="9">
        <v>199302.47</v>
      </c>
      <c r="AD786" s="306">
        <v>47701.38</v>
      </c>
      <c r="AE786" s="302"/>
      <c r="AF786" s="302"/>
      <c r="AG786" s="56"/>
    </row>
    <row r="787" spans="1:33" x14ac:dyDescent="0.3">
      <c r="A787" s="47">
        <f t="shared" si="165"/>
        <v>701</v>
      </c>
      <c r="B787" s="414" t="s">
        <v>941</v>
      </c>
      <c r="C787" s="51">
        <f t="shared" si="167"/>
        <v>284498.09000000003</v>
      </c>
      <c r="D787" s="51">
        <f t="shared" si="168"/>
        <v>0</v>
      </c>
      <c r="E787" s="51"/>
      <c r="F787" s="51"/>
      <c r="G787" s="51"/>
      <c r="H787" s="51"/>
      <c r="I787" s="51"/>
      <c r="J787" s="51"/>
      <c r="K787" s="51"/>
      <c r="L787" s="51"/>
      <c r="M787" s="35"/>
      <c r="N787" s="51"/>
      <c r="O787" s="82"/>
      <c r="P787" s="51"/>
      <c r="Q787" s="338"/>
      <c r="R787" s="51"/>
      <c r="S787" s="51"/>
      <c r="T787" s="338"/>
      <c r="U787" s="51"/>
      <c r="V787" s="35"/>
      <c r="W787" s="364">
        <f t="shared" si="166"/>
        <v>284498.09000000003</v>
      </c>
      <c r="X787" s="285">
        <v>81946.73</v>
      </c>
      <c r="Y787" s="285"/>
      <c r="Z787" s="285"/>
      <c r="AA787" s="285"/>
      <c r="AB787" s="285"/>
      <c r="AC787" s="9">
        <v>154848.22</v>
      </c>
      <c r="AD787" s="306">
        <v>47703.14</v>
      </c>
      <c r="AE787" s="302"/>
      <c r="AF787" s="302"/>
      <c r="AG787" s="56"/>
    </row>
    <row r="788" spans="1:33" x14ac:dyDescent="0.3">
      <c r="A788" s="47">
        <f t="shared" si="165"/>
        <v>702</v>
      </c>
      <c r="B788" s="414" t="s">
        <v>942</v>
      </c>
      <c r="C788" s="51">
        <f t="shared" si="167"/>
        <v>580667.22</v>
      </c>
      <c r="D788" s="51">
        <f t="shared" si="168"/>
        <v>0</v>
      </c>
      <c r="E788" s="51"/>
      <c r="F788" s="51"/>
      <c r="G788" s="51"/>
      <c r="H788" s="51"/>
      <c r="I788" s="51"/>
      <c r="J788" s="51"/>
      <c r="K788" s="51"/>
      <c r="L788" s="51"/>
      <c r="M788" s="35"/>
      <c r="N788" s="51"/>
      <c r="O788" s="82"/>
      <c r="P788" s="51"/>
      <c r="Q788" s="338"/>
      <c r="R788" s="51"/>
      <c r="S788" s="51"/>
      <c r="T788" s="338"/>
      <c r="U788" s="51"/>
      <c r="V788" s="35"/>
      <c r="W788" s="364">
        <f t="shared" si="166"/>
        <v>580667.22</v>
      </c>
      <c r="X788" s="285">
        <v>169116.49</v>
      </c>
      <c r="Y788" s="285"/>
      <c r="Z788" s="285"/>
      <c r="AA788" s="285"/>
      <c r="AB788" s="285"/>
      <c r="AC788" s="9">
        <v>348159.49</v>
      </c>
      <c r="AD788" s="306">
        <v>63391.24</v>
      </c>
      <c r="AE788" s="302"/>
      <c r="AF788" s="302"/>
      <c r="AG788" s="56"/>
    </row>
    <row r="789" spans="1:33" x14ac:dyDescent="0.3">
      <c r="A789" s="47">
        <f t="shared" si="165"/>
        <v>703</v>
      </c>
      <c r="B789" s="414" t="s">
        <v>943</v>
      </c>
      <c r="C789" s="51">
        <f t="shared" si="167"/>
        <v>488421.19</v>
      </c>
      <c r="D789" s="51">
        <f t="shared" si="168"/>
        <v>0</v>
      </c>
      <c r="E789" s="51"/>
      <c r="F789" s="51"/>
      <c r="G789" s="51"/>
      <c r="H789" s="51"/>
      <c r="I789" s="51"/>
      <c r="J789" s="51"/>
      <c r="K789" s="51"/>
      <c r="L789" s="51"/>
      <c r="M789" s="35"/>
      <c r="N789" s="51"/>
      <c r="O789" s="82"/>
      <c r="P789" s="51"/>
      <c r="Q789" s="338"/>
      <c r="R789" s="51"/>
      <c r="S789" s="51"/>
      <c r="T789" s="338"/>
      <c r="U789" s="51"/>
      <c r="V789" s="35"/>
      <c r="W789" s="364">
        <f t="shared" si="166"/>
        <v>488421.19</v>
      </c>
      <c r="X789" s="285">
        <v>130338.94</v>
      </c>
      <c r="Y789" s="285"/>
      <c r="Z789" s="285"/>
      <c r="AA789" s="285"/>
      <c r="AB789" s="285"/>
      <c r="AC789" s="9">
        <v>301304.05</v>
      </c>
      <c r="AD789" s="306">
        <v>56778.2</v>
      </c>
      <c r="AE789" s="302"/>
      <c r="AF789" s="302"/>
      <c r="AG789" s="56"/>
    </row>
    <row r="790" spans="1:33" x14ac:dyDescent="0.3">
      <c r="A790" s="47">
        <f t="shared" si="165"/>
        <v>704</v>
      </c>
      <c r="B790" s="414" t="s">
        <v>944</v>
      </c>
      <c r="C790" s="51">
        <f t="shared" si="167"/>
        <v>410221.4</v>
      </c>
      <c r="D790" s="51">
        <f t="shared" si="168"/>
        <v>0</v>
      </c>
      <c r="E790" s="51"/>
      <c r="F790" s="51"/>
      <c r="G790" s="51"/>
      <c r="H790" s="51"/>
      <c r="I790" s="51"/>
      <c r="J790" s="51"/>
      <c r="K790" s="51"/>
      <c r="L790" s="51"/>
      <c r="M790" s="35"/>
      <c r="N790" s="51"/>
      <c r="O790" s="82"/>
      <c r="P790" s="51"/>
      <c r="Q790" s="338"/>
      <c r="R790" s="51"/>
      <c r="S790" s="51"/>
      <c r="T790" s="338"/>
      <c r="U790" s="51"/>
      <c r="V790" s="35"/>
      <c r="W790" s="364">
        <f t="shared" si="166"/>
        <v>410221.4</v>
      </c>
      <c r="X790" s="285">
        <v>64929.84</v>
      </c>
      <c r="Y790" s="285"/>
      <c r="Z790" s="285"/>
      <c r="AA790" s="285"/>
      <c r="AB790" s="285"/>
      <c r="AC790" s="9">
        <v>129256.14</v>
      </c>
      <c r="AD790" s="306">
        <v>216035.42</v>
      </c>
      <c r="AE790" s="302"/>
      <c r="AF790" s="302"/>
      <c r="AG790" s="56"/>
    </row>
    <row r="791" spans="1:33" x14ac:dyDescent="0.3">
      <c r="A791" s="47">
        <f t="shared" si="165"/>
        <v>705</v>
      </c>
      <c r="B791" s="414" t="s">
        <v>945</v>
      </c>
      <c r="C791" s="51">
        <f t="shared" si="167"/>
        <v>464375.17</v>
      </c>
      <c r="D791" s="51">
        <f t="shared" si="168"/>
        <v>0</v>
      </c>
      <c r="E791" s="51"/>
      <c r="F791" s="51"/>
      <c r="G791" s="51"/>
      <c r="H791" s="51"/>
      <c r="I791" s="51"/>
      <c r="J791" s="51"/>
      <c r="K791" s="51"/>
      <c r="L791" s="51"/>
      <c r="M791" s="35"/>
      <c r="N791" s="51"/>
      <c r="O791" s="82"/>
      <c r="P791" s="51"/>
      <c r="Q791" s="338"/>
      <c r="R791" s="51"/>
      <c r="S791" s="51"/>
      <c r="T791" s="338"/>
      <c r="U791" s="51"/>
      <c r="V791" s="35"/>
      <c r="W791" s="364">
        <f t="shared" si="166"/>
        <v>464375.17</v>
      </c>
      <c r="X791" s="285">
        <v>147870.88</v>
      </c>
      <c r="Y791" s="285"/>
      <c r="Z791" s="285"/>
      <c r="AA791" s="285"/>
      <c r="AB791" s="285"/>
      <c r="AC791" s="9">
        <v>288179.18</v>
      </c>
      <c r="AD791" s="306">
        <v>28325.11</v>
      </c>
      <c r="AE791" s="302"/>
      <c r="AF791" s="302"/>
      <c r="AG791" s="56"/>
    </row>
    <row r="792" spans="1:33" x14ac:dyDescent="0.3">
      <c r="A792" s="47">
        <f t="shared" ref="A792:A823" si="169">A791+1</f>
        <v>706</v>
      </c>
      <c r="B792" s="414" t="s">
        <v>946</v>
      </c>
      <c r="C792" s="51">
        <f t="shared" si="167"/>
        <v>993248.72000000009</v>
      </c>
      <c r="D792" s="51">
        <f t="shared" si="168"/>
        <v>0</v>
      </c>
      <c r="E792" s="51"/>
      <c r="F792" s="51"/>
      <c r="G792" s="51"/>
      <c r="H792" s="51"/>
      <c r="I792" s="51"/>
      <c r="J792" s="51"/>
      <c r="K792" s="51"/>
      <c r="L792" s="51"/>
      <c r="M792" s="35"/>
      <c r="N792" s="51"/>
      <c r="O792" s="82"/>
      <c r="P792" s="51"/>
      <c r="Q792" s="338"/>
      <c r="R792" s="51"/>
      <c r="S792" s="51"/>
      <c r="T792" s="338"/>
      <c r="U792" s="51"/>
      <c r="V792" s="35"/>
      <c r="W792" s="364">
        <f t="shared" si="166"/>
        <v>993248.72000000009</v>
      </c>
      <c r="X792" s="285">
        <v>270329.65000000002</v>
      </c>
      <c r="Y792" s="285"/>
      <c r="Z792" s="285"/>
      <c r="AA792" s="285"/>
      <c r="AB792" s="285"/>
      <c r="AC792" s="9">
        <v>514679.53</v>
      </c>
      <c r="AD792" s="306">
        <v>208239.54</v>
      </c>
      <c r="AE792" s="302"/>
      <c r="AF792" s="302"/>
      <c r="AG792" s="56"/>
    </row>
    <row r="793" spans="1:33" x14ac:dyDescent="0.3">
      <c r="A793" s="47">
        <f t="shared" si="169"/>
        <v>707</v>
      </c>
      <c r="B793" s="414" t="s">
        <v>947</v>
      </c>
      <c r="C793" s="51">
        <f t="shared" si="167"/>
        <v>333672.13</v>
      </c>
      <c r="D793" s="51">
        <f t="shared" si="168"/>
        <v>0</v>
      </c>
      <c r="E793" s="51"/>
      <c r="F793" s="51"/>
      <c r="G793" s="51"/>
      <c r="H793" s="51"/>
      <c r="I793" s="51"/>
      <c r="J793" s="51"/>
      <c r="K793" s="51"/>
      <c r="L793" s="51"/>
      <c r="M793" s="35"/>
      <c r="N793" s="51"/>
      <c r="O793" s="82"/>
      <c r="P793" s="51"/>
      <c r="Q793" s="338"/>
      <c r="R793" s="51"/>
      <c r="S793" s="51"/>
      <c r="T793" s="338"/>
      <c r="U793" s="51"/>
      <c r="V793" s="35"/>
      <c r="W793" s="364">
        <f t="shared" si="166"/>
        <v>333672.13</v>
      </c>
      <c r="X793" s="285">
        <v>119167.85</v>
      </c>
      <c r="Y793" s="285"/>
      <c r="Z793" s="285"/>
      <c r="AA793" s="285"/>
      <c r="AB793" s="285"/>
      <c r="AC793" s="9">
        <v>214504.28</v>
      </c>
      <c r="AD793" s="306"/>
      <c r="AE793" s="302"/>
      <c r="AF793" s="302"/>
      <c r="AG793" s="56"/>
    </row>
    <row r="794" spans="1:33" x14ac:dyDescent="0.3">
      <c r="A794" s="47">
        <f t="shared" si="169"/>
        <v>708</v>
      </c>
      <c r="B794" s="414" t="s">
        <v>948</v>
      </c>
      <c r="C794" s="51">
        <f t="shared" si="167"/>
        <v>818237.33000000007</v>
      </c>
      <c r="D794" s="51">
        <f t="shared" si="168"/>
        <v>0</v>
      </c>
      <c r="E794" s="51"/>
      <c r="F794" s="51"/>
      <c r="G794" s="51"/>
      <c r="H794" s="51"/>
      <c r="I794" s="51"/>
      <c r="J794" s="51"/>
      <c r="K794" s="51"/>
      <c r="L794" s="51"/>
      <c r="M794" s="35"/>
      <c r="N794" s="51"/>
      <c r="O794" s="82"/>
      <c r="P794" s="51"/>
      <c r="Q794" s="338"/>
      <c r="R794" s="51"/>
      <c r="S794" s="51"/>
      <c r="T794" s="338"/>
      <c r="U794" s="51"/>
      <c r="V794" s="35"/>
      <c r="W794" s="364">
        <f t="shared" si="166"/>
        <v>818237.33000000007</v>
      </c>
      <c r="X794" s="285">
        <v>176200.09</v>
      </c>
      <c r="Y794" s="285"/>
      <c r="Z794" s="285"/>
      <c r="AA794" s="285"/>
      <c r="AB794" s="285"/>
      <c r="AC794" s="9">
        <v>456235.58</v>
      </c>
      <c r="AD794" s="306">
        <v>185801.66</v>
      </c>
      <c r="AE794" s="302"/>
      <c r="AF794" s="302"/>
      <c r="AG794" s="56"/>
    </row>
    <row r="795" spans="1:33" x14ac:dyDescent="0.3">
      <c r="A795" s="47">
        <f t="shared" si="169"/>
        <v>709</v>
      </c>
      <c r="B795" s="414" t="s">
        <v>949</v>
      </c>
      <c r="C795" s="51">
        <f t="shared" si="167"/>
        <v>562431.57999999996</v>
      </c>
      <c r="D795" s="51">
        <f t="shared" si="168"/>
        <v>0</v>
      </c>
      <c r="E795" s="51"/>
      <c r="F795" s="51"/>
      <c r="G795" s="51"/>
      <c r="H795" s="51"/>
      <c r="I795" s="51"/>
      <c r="J795" s="51"/>
      <c r="K795" s="51"/>
      <c r="L795" s="51"/>
      <c r="M795" s="35"/>
      <c r="N795" s="51"/>
      <c r="O795" s="82"/>
      <c r="P795" s="51"/>
      <c r="Q795" s="338"/>
      <c r="R795" s="51"/>
      <c r="S795" s="51"/>
      <c r="T795" s="338"/>
      <c r="U795" s="51"/>
      <c r="V795" s="35"/>
      <c r="W795" s="364">
        <f t="shared" si="166"/>
        <v>562431.57999999996</v>
      </c>
      <c r="X795" s="285">
        <v>135672.76</v>
      </c>
      <c r="Y795" s="285"/>
      <c r="Z795" s="285"/>
      <c r="AA795" s="285"/>
      <c r="AB795" s="285"/>
      <c r="AC795" s="9">
        <v>316870.8</v>
      </c>
      <c r="AD795" s="306">
        <v>109888.02</v>
      </c>
      <c r="AE795" s="302"/>
      <c r="AF795" s="302"/>
      <c r="AG795" s="56"/>
    </row>
    <row r="796" spans="1:33" x14ac:dyDescent="0.3">
      <c r="A796" s="47">
        <f t="shared" si="169"/>
        <v>710</v>
      </c>
      <c r="B796" s="414" t="s">
        <v>950</v>
      </c>
      <c r="C796" s="51">
        <f t="shared" si="167"/>
        <v>296791.39</v>
      </c>
      <c r="D796" s="51">
        <f t="shared" si="168"/>
        <v>0</v>
      </c>
      <c r="E796" s="51"/>
      <c r="F796" s="51"/>
      <c r="G796" s="51"/>
      <c r="H796" s="51"/>
      <c r="I796" s="51"/>
      <c r="J796" s="51"/>
      <c r="K796" s="51"/>
      <c r="L796" s="51"/>
      <c r="M796" s="35"/>
      <c r="N796" s="51"/>
      <c r="O796" s="82"/>
      <c r="P796" s="51"/>
      <c r="Q796" s="338"/>
      <c r="R796" s="51"/>
      <c r="S796" s="51"/>
      <c r="T796" s="338"/>
      <c r="U796" s="51"/>
      <c r="V796" s="35"/>
      <c r="W796" s="364">
        <f t="shared" si="166"/>
        <v>296791.39</v>
      </c>
      <c r="X796" s="285">
        <v>171625.34</v>
      </c>
      <c r="Y796" s="285"/>
      <c r="Z796" s="285"/>
      <c r="AA796" s="285"/>
      <c r="AB796" s="285"/>
      <c r="AC796" s="9"/>
      <c r="AD796" s="306">
        <v>125166.05</v>
      </c>
      <c r="AE796" s="302"/>
      <c r="AF796" s="302"/>
      <c r="AG796" s="56"/>
    </row>
    <row r="797" spans="1:33" x14ac:dyDescent="0.3">
      <c r="A797" s="47">
        <f t="shared" si="169"/>
        <v>711</v>
      </c>
      <c r="B797" s="414" t="s">
        <v>951</v>
      </c>
      <c r="C797" s="51">
        <f t="shared" si="167"/>
        <v>130000</v>
      </c>
      <c r="D797" s="51">
        <f t="shared" si="168"/>
        <v>0</v>
      </c>
      <c r="E797" s="51"/>
      <c r="F797" s="51"/>
      <c r="G797" s="51"/>
      <c r="H797" s="51"/>
      <c r="I797" s="51"/>
      <c r="J797" s="51"/>
      <c r="K797" s="51"/>
      <c r="L797" s="51"/>
      <c r="M797" s="35"/>
      <c r="N797" s="51"/>
      <c r="O797" s="82"/>
      <c r="P797" s="51"/>
      <c r="Q797" s="338"/>
      <c r="R797" s="51"/>
      <c r="S797" s="51"/>
      <c r="T797" s="338"/>
      <c r="U797" s="51"/>
      <c r="V797" s="35"/>
      <c r="W797" s="364">
        <v>130000</v>
      </c>
      <c r="X797" s="285"/>
      <c r="Y797" s="285"/>
      <c r="Z797" s="285"/>
      <c r="AA797" s="285"/>
      <c r="AB797" s="285"/>
      <c r="AC797" s="9"/>
      <c r="AD797" s="306"/>
      <c r="AE797" s="302"/>
      <c r="AF797" s="302"/>
      <c r="AG797" s="56"/>
    </row>
    <row r="798" spans="1:33" x14ac:dyDescent="0.3">
      <c r="A798" s="47">
        <f t="shared" si="169"/>
        <v>712</v>
      </c>
      <c r="B798" s="414" t="s">
        <v>952</v>
      </c>
      <c r="C798" s="51">
        <f t="shared" si="167"/>
        <v>313740.40000000002</v>
      </c>
      <c r="D798" s="51">
        <f t="shared" si="168"/>
        <v>0</v>
      </c>
      <c r="E798" s="51"/>
      <c r="F798" s="51"/>
      <c r="G798" s="51"/>
      <c r="H798" s="51"/>
      <c r="I798" s="51"/>
      <c r="J798" s="51"/>
      <c r="K798" s="51"/>
      <c r="L798" s="51"/>
      <c r="M798" s="35"/>
      <c r="N798" s="51"/>
      <c r="O798" s="82"/>
      <c r="P798" s="51"/>
      <c r="Q798" s="338"/>
      <c r="R798" s="51"/>
      <c r="S798" s="51"/>
      <c r="T798" s="338"/>
      <c r="U798" s="51"/>
      <c r="V798" s="35"/>
      <c r="W798" s="364">
        <f t="shared" ref="W798:W803" si="170">SUM(X798:AH798)</f>
        <v>313740.40000000002</v>
      </c>
      <c r="X798" s="285">
        <v>103199.39</v>
      </c>
      <c r="Y798" s="285"/>
      <c r="Z798" s="285"/>
      <c r="AA798" s="285"/>
      <c r="AB798" s="285"/>
      <c r="AC798" s="9">
        <v>210541.01</v>
      </c>
      <c r="AD798" s="306"/>
      <c r="AE798" s="302"/>
      <c r="AF798" s="302"/>
      <c r="AG798" s="56"/>
    </row>
    <row r="799" spans="1:33" x14ac:dyDescent="0.3">
      <c r="A799" s="47">
        <f t="shared" si="169"/>
        <v>713</v>
      </c>
      <c r="B799" s="414" t="s">
        <v>953</v>
      </c>
      <c r="C799" s="51">
        <f t="shared" si="167"/>
        <v>547899.69999999995</v>
      </c>
      <c r="D799" s="51">
        <f t="shared" si="168"/>
        <v>0</v>
      </c>
      <c r="E799" s="51"/>
      <c r="F799" s="51"/>
      <c r="G799" s="51"/>
      <c r="H799" s="51"/>
      <c r="I799" s="51"/>
      <c r="J799" s="51"/>
      <c r="K799" s="51"/>
      <c r="L799" s="51"/>
      <c r="M799" s="35"/>
      <c r="N799" s="51"/>
      <c r="O799" s="82"/>
      <c r="P799" s="51"/>
      <c r="Q799" s="338"/>
      <c r="R799" s="51"/>
      <c r="S799" s="51"/>
      <c r="T799" s="338"/>
      <c r="U799" s="51"/>
      <c r="V799" s="35"/>
      <c r="W799" s="364">
        <f t="shared" si="170"/>
        <v>547899.69999999995</v>
      </c>
      <c r="X799" s="285">
        <v>159703.35999999999</v>
      </c>
      <c r="Y799" s="285"/>
      <c r="Z799" s="285"/>
      <c r="AA799" s="285"/>
      <c r="AB799" s="285"/>
      <c r="AC799" s="9">
        <v>327281.84000000003</v>
      </c>
      <c r="AD799" s="306">
        <v>60914.5</v>
      </c>
      <c r="AE799" s="302"/>
      <c r="AF799" s="302"/>
      <c r="AG799" s="56"/>
    </row>
    <row r="800" spans="1:33" x14ac:dyDescent="0.3">
      <c r="A800" s="47">
        <f t="shared" si="169"/>
        <v>714</v>
      </c>
      <c r="B800" s="414" t="s">
        <v>954</v>
      </c>
      <c r="C800" s="51">
        <f t="shared" si="167"/>
        <v>681233.52</v>
      </c>
      <c r="D800" s="51">
        <f t="shared" si="168"/>
        <v>0</v>
      </c>
      <c r="E800" s="51"/>
      <c r="F800" s="51"/>
      <c r="G800" s="51"/>
      <c r="H800" s="51"/>
      <c r="I800" s="51"/>
      <c r="J800" s="51"/>
      <c r="K800" s="51"/>
      <c r="L800" s="51"/>
      <c r="M800" s="35"/>
      <c r="N800" s="51"/>
      <c r="O800" s="82"/>
      <c r="P800" s="51"/>
      <c r="Q800" s="338"/>
      <c r="R800" s="51"/>
      <c r="S800" s="51"/>
      <c r="T800" s="338"/>
      <c r="U800" s="51"/>
      <c r="V800" s="35"/>
      <c r="W800" s="364">
        <f t="shared" si="170"/>
        <v>681233.52</v>
      </c>
      <c r="X800" s="285">
        <v>167717.07999999999</v>
      </c>
      <c r="Y800" s="285"/>
      <c r="Z800" s="285"/>
      <c r="AA800" s="285"/>
      <c r="AB800" s="285"/>
      <c r="AC800" s="9">
        <v>342924.76</v>
      </c>
      <c r="AD800" s="306">
        <v>170591.68</v>
      </c>
      <c r="AE800" s="302"/>
      <c r="AF800" s="302"/>
      <c r="AG800" s="56"/>
    </row>
    <row r="801" spans="1:33" x14ac:dyDescent="0.3">
      <c r="A801" s="47">
        <f t="shared" si="169"/>
        <v>715</v>
      </c>
      <c r="B801" s="414" t="s">
        <v>955</v>
      </c>
      <c r="C801" s="51">
        <f t="shared" si="167"/>
        <v>394135.05000000005</v>
      </c>
      <c r="D801" s="51">
        <f t="shared" si="168"/>
        <v>0</v>
      </c>
      <c r="E801" s="51"/>
      <c r="F801" s="51"/>
      <c r="G801" s="51"/>
      <c r="H801" s="51"/>
      <c r="I801" s="51"/>
      <c r="J801" s="51"/>
      <c r="K801" s="51"/>
      <c r="L801" s="51"/>
      <c r="M801" s="35"/>
      <c r="N801" s="51"/>
      <c r="O801" s="82"/>
      <c r="P801" s="51"/>
      <c r="Q801" s="338"/>
      <c r="R801" s="51"/>
      <c r="S801" s="51"/>
      <c r="T801" s="338"/>
      <c r="U801" s="51"/>
      <c r="V801" s="35"/>
      <c r="W801" s="364">
        <f t="shared" si="170"/>
        <v>394135.05000000005</v>
      </c>
      <c r="X801" s="285">
        <v>98713.46</v>
      </c>
      <c r="Y801" s="285"/>
      <c r="Z801" s="285"/>
      <c r="AA801" s="285"/>
      <c r="AB801" s="285"/>
      <c r="AC801" s="9">
        <v>180598.14</v>
      </c>
      <c r="AD801" s="306">
        <v>114823.45</v>
      </c>
      <c r="AE801" s="302"/>
      <c r="AF801" s="302"/>
      <c r="AG801" s="56"/>
    </row>
    <row r="802" spans="1:33" x14ac:dyDescent="0.3">
      <c r="A802" s="47">
        <f t="shared" si="169"/>
        <v>716</v>
      </c>
      <c r="B802" s="414" t="s">
        <v>956</v>
      </c>
      <c r="C802" s="51">
        <f t="shared" si="167"/>
        <v>256041.51</v>
      </c>
      <c r="D802" s="51">
        <f t="shared" si="168"/>
        <v>0</v>
      </c>
      <c r="E802" s="51"/>
      <c r="F802" s="51"/>
      <c r="G802" s="51"/>
      <c r="H802" s="51"/>
      <c r="I802" s="51"/>
      <c r="J802" s="51"/>
      <c r="K802" s="51"/>
      <c r="L802" s="51"/>
      <c r="M802" s="35"/>
      <c r="N802" s="51"/>
      <c r="O802" s="82"/>
      <c r="P802" s="51"/>
      <c r="Q802" s="338"/>
      <c r="R802" s="51"/>
      <c r="S802" s="51"/>
      <c r="T802" s="338"/>
      <c r="U802" s="51"/>
      <c r="V802" s="35"/>
      <c r="W802" s="364">
        <f t="shared" si="170"/>
        <v>256041.51</v>
      </c>
      <c r="X802" s="285">
        <v>77610.19</v>
      </c>
      <c r="Y802" s="285"/>
      <c r="Z802" s="285"/>
      <c r="AA802" s="285"/>
      <c r="AB802" s="285"/>
      <c r="AC802" s="9">
        <v>148305.88</v>
      </c>
      <c r="AD802" s="306">
        <v>30125.439999999999</v>
      </c>
      <c r="AE802" s="302"/>
      <c r="AF802" s="302"/>
      <c r="AG802" s="56"/>
    </row>
    <row r="803" spans="1:33" x14ac:dyDescent="0.3">
      <c r="A803" s="47">
        <f t="shared" si="169"/>
        <v>717</v>
      </c>
      <c r="B803" s="414" t="s">
        <v>957</v>
      </c>
      <c r="C803" s="51">
        <f t="shared" si="167"/>
        <v>674715.06</v>
      </c>
      <c r="D803" s="51">
        <f t="shared" si="168"/>
        <v>0</v>
      </c>
      <c r="E803" s="51"/>
      <c r="F803" s="51"/>
      <c r="G803" s="51"/>
      <c r="H803" s="51"/>
      <c r="I803" s="51"/>
      <c r="J803" s="51"/>
      <c r="K803" s="51"/>
      <c r="L803" s="51"/>
      <c r="M803" s="35"/>
      <c r="N803" s="51"/>
      <c r="O803" s="82"/>
      <c r="P803" s="51"/>
      <c r="Q803" s="338"/>
      <c r="R803" s="51"/>
      <c r="S803" s="51"/>
      <c r="T803" s="338"/>
      <c r="U803" s="51"/>
      <c r="V803" s="35"/>
      <c r="W803" s="364">
        <f t="shared" si="170"/>
        <v>674715.06</v>
      </c>
      <c r="X803" s="285">
        <v>108796.55</v>
      </c>
      <c r="Y803" s="285"/>
      <c r="Z803" s="285"/>
      <c r="AA803" s="285"/>
      <c r="AB803" s="285"/>
      <c r="AC803" s="9">
        <v>200372.17</v>
      </c>
      <c r="AD803" s="306">
        <v>365546.34</v>
      </c>
      <c r="AE803" s="302"/>
      <c r="AF803" s="302"/>
      <c r="AG803" s="56"/>
    </row>
    <row r="804" spans="1:33" x14ac:dyDescent="0.3">
      <c r="A804" s="47">
        <f t="shared" si="169"/>
        <v>718</v>
      </c>
      <c r="B804" s="414" t="s">
        <v>958</v>
      </c>
      <c r="C804" s="51">
        <f t="shared" si="167"/>
        <v>130000</v>
      </c>
      <c r="D804" s="51">
        <f t="shared" si="168"/>
        <v>0</v>
      </c>
      <c r="E804" s="51"/>
      <c r="F804" s="51"/>
      <c r="G804" s="51"/>
      <c r="H804" s="51"/>
      <c r="I804" s="51"/>
      <c r="J804" s="51"/>
      <c r="K804" s="51"/>
      <c r="L804" s="51"/>
      <c r="M804" s="35"/>
      <c r="N804" s="51"/>
      <c r="O804" s="82"/>
      <c r="P804" s="51"/>
      <c r="Q804" s="338"/>
      <c r="R804" s="51"/>
      <c r="S804" s="51"/>
      <c r="T804" s="338"/>
      <c r="U804" s="51"/>
      <c r="V804" s="35"/>
      <c r="W804" s="364">
        <v>130000</v>
      </c>
      <c r="X804" s="285"/>
      <c r="Y804" s="285"/>
      <c r="Z804" s="285"/>
      <c r="AA804" s="285"/>
      <c r="AB804" s="285"/>
      <c r="AC804" s="9"/>
      <c r="AD804" s="306"/>
      <c r="AE804" s="302"/>
      <c r="AF804" s="302"/>
      <c r="AG804" s="56"/>
    </row>
    <row r="805" spans="1:33" x14ac:dyDescent="0.3">
      <c r="A805" s="47">
        <f t="shared" si="169"/>
        <v>719</v>
      </c>
      <c r="B805" s="414" t="s">
        <v>959</v>
      </c>
      <c r="C805" s="51">
        <f t="shared" si="167"/>
        <v>588875.87</v>
      </c>
      <c r="D805" s="51">
        <f t="shared" si="168"/>
        <v>0</v>
      </c>
      <c r="E805" s="51"/>
      <c r="F805" s="51"/>
      <c r="G805" s="51"/>
      <c r="H805" s="51"/>
      <c r="I805" s="51"/>
      <c r="J805" s="51"/>
      <c r="K805" s="51"/>
      <c r="L805" s="51"/>
      <c r="M805" s="35"/>
      <c r="N805" s="51"/>
      <c r="O805" s="82"/>
      <c r="P805" s="51"/>
      <c r="Q805" s="338"/>
      <c r="R805" s="51"/>
      <c r="S805" s="51"/>
      <c r="T805" s="338"/>
      <c r="U805" s="51"/>
      <c r="V805" s="35"/>
      <c r="W805" s="364">
        <f>SUM(X805:AH805)</f>
        <v>588875.87</v>
      </c>
      <c r="X805" s="285">
        <v>146486.51999999999</v>
      </c>
      <c r="Y805" s="285"/>
      <c r="Z805" s="285"/>
      <c r="AA805" s="285"/>
      <c r="AB805" s="285"/>
      <c r="AC805" s="9">
        <v>312927.19</v>
      </c>
      <c r="AD805" s="306">
        <v>129462.16</v>
      </c>
      <c r="AE805" s="302"/>
      <c r="AF805" s="302"/>
      <c r="AG805" s="56"/>
    </row>
    <row r="806" spans="1:33" x14ac:dyDescent="0.3">
      <c r="A806" s="47">
        <f t="shared" si="169"/>
        <v>720</v>
      </c>
      <c r="B806" s="414" t="s">
        <v>960</v>
      </c>
      <c r="C806" s="51">
        <f t="shared" si="167"/>
        <v>901035.64000000013</v>
      </c>
      <c r="D806" s="51">
        <f t="shared" si="168"/>
        <v>0</v>
      </c>
      <c r="E806" s="51"/>
      <c r="F806" s="51"/>
      <c r="G806" s="51"/>
      <c r="H806" s="51"/>
      <c r="I806" s="51"/>
      <c r="J806" s="51"/>
      <c r="K806" s="51"/>
      <c r="L806" s="51"/>
      <c r="M806" s="35"/>
      <c r="N806" s="51"/>
      <c r="O806" s="82"/>
      <c r="P806" s="51"/>
      <c r="Q806" s="338"/>
      <c r="R806" s="51"/>
      <c r="S806" s="51"/>
      <c r="T806" s="338"/>
      <c r="U806" s="51"/>
      <c r="V806" s="35"/>
      <c r="W806" s="364">
        <f>SUM(X806:AH806)</f>
        <v>901035.64000000013</v>
      </c>
      <c r="X806" s="285">
        <v>214412.2</v>
      </c>
      <c r="Y806" s="285"/>
      <c r="Z806" s="285"/>
      <c r="AA806" s="285"/>
      <c r="AB806" s="285"/>
      <c r="AC806" s="9">
        <v>452655.65</v>
      </c>
      <c r="AD806" s="306">
        <v>233967.79</v>
      </c>
      <c r="AE806" s="302"/>
      <c r="AF806" s="302"/>
      <c r="AG806" s="56"/>
    </row>
    <row r="807" spans="1:33" x14ac:dyDescent="0.3">
      <c r="A807" s="47">
        <f t="shared" si="169"/>
        <v>721</v>
      </c>
      <c r="B807" s="414" t="s">
        <v>961</v>
      </c>
      <c r="C807" s="51">
        <f t="shared" si="167"/>
        <v>812837.34</v>
      </c>
      <c r="D807" s="51">
        <f t="shared" si="168"/>
        <v>0</v>
      </c>
      <c r="E807" s="51"/>
      <c r="F807" s="51"/>
      <c r="G807" s="51"/>
      <c r="H807" s="51"/>
      <c r="I807" s="51"/>
      <c r="J807" s="51"/>
      <c r="K807" s="51"/>
      <c r="L807" s="51"/>
      <c r="M807" s="35"/>
      <c r="N807" s="51"/>
      <c r="O807" s="82"/>
      <c r="P807" s="51"/>
      <c r="Q807" s="338"/>
      <c r="R807" s="51"/>
      <c r="S807" s="51"/>
      <c r="T807" s="338"/>
      <c r="U807" s="51"/>
      <c r="V807" s="35"/>
      <c r="W807" s="364">
        <f>SUM(X807:AH807)</f>
        <v>812837.34</v>
      </c>
      <c r="X807" s="285"/>
      <c r="Y807" s="285"/>
      <c r="Z807" s="285"/>
      <c r="AA807" s="285"/>
      <c r="AB807" s="285"/>
      <c r="AC807" s="9">
        <v>615186.98</v>
      </c>
      <c r="AD807" s="306">
        <v>197650.36</v>
      </c>
      <c r="AE807" s="302"/>
      <c r="AF807" s="302"/>
      <c r="AG807" s="56"/>
    </row>
    <row r="808" spans="1:33" x14ac:dyDescent="0.3">
      <c r="A808" s="47">
        <f t="shared" si="169"/>
        <v>722</v>
      </c>
      <c r="B808" s="414" t="s">
        <v>962</v>
      </c>
      <c r="C808" s="51">
        <f t="shared" si="167"/>
        <v>130000</v>
      </c>
      <c r="D808" s="51">
        <f t="shared" si="168"/>
        <v>0</v>
      </c>
      <c r="E808" s="51"/>
      <c r="F808" s="51"/>
      <c r="G808" s="51"/>
      <c r="H808" s="51"/>
      <c r="I808" s="51"/>
      <c r="J808" s="51"/>
      <c r="K808" s="51"/>
      <c r="L808" s="51"/>
      <c r="M808" s="35"/>
      <c r="N808" s="51"/>
      <c r="O808" s="82"/>
      <c r="P808" s="51"/>
      <c r="Q808" s="338"/>
      <c r="R808" s="51"/>
      <c r="S808" s="51"/>
      <c r="T808" s="338"/>
      <c r="U808" s="51"/>
      <c r="V808" s="35"/>
      <c r="W808" s="364">
        <v>130000</v>
      </c>
      <c r="X808" s="285"/>
      <c r="Y808" s="285"/>
      <c r="Z808" s="285"/>
      <c r="AA808" s="285"/>
      <c r="AB808" s="285"/>
      <c r="AC808" s="9"/>
      <c r="AD808" s="306"/>
      <c r="AE808" s="302"/>
      <c r="AF808" s="302"/>
      <c r="AG808" s="56"/>
    </row>
    <row r="809" spans="1:33" x14ac:dyDescent="0.3">
      <c r="A809" s="47">
        <f t="shared" si="169"/>
        <v>723</v>
      </c>
      <c r="B809" s="414" t="s">
        <v>963</v>
      </c>
      <c r="C809" s="51">
        <f t="shared" si="167"/>
        <v>2902809</v>
      </c>
      <c r="D809" s="51">
        <f t="shared" si="168"/>
        <v>2902809</v>
      </c>
      <c r="E809" s="51">
        <v>2902809</v>
      </c>
      <c r="F809" s="51"/>
      <c r="G809" s="51"/>
      <c r="H809" s="51"/>
      <c r="I809" s="51"/>
      <c r="J809" s="51"/>
      <c r="K809" s="51"/>
      <c r="L809" s="51"/>
      <c r="M809" s="35"/>
      <c r="N809" s="51"/>
      <c r="O809" s="82"/>
      <c r="P809" s="51"/>
      <c r="Q809" s="338"/>
      <c r="R809" s="51"/>
      <c r="S809" s="51"/>
      <c r="T809" s="338"/>
      <c r="U809" s="51"/>
      <c r="V809" s="35"/>
      <c r="W809" s="364"/>
      <c r="X809" s="285">
        <v>157917.82</v>
      </c>
      <c r="Y809" s="285"/>
      <c r="Z809" s="285"/>
      <c r="AA809" s="285"/>
      <c r="AB809" s="285"/>
      <c r="AC809" s="9"/>
      <c r="AD809" s="306"/>
      <c r="AE809" s="302"/>
      <c r="AF809" s="302"/>
      <c r="AG809" s="56"/>
    </row>
    <row r="810" spans="1:33" x14ac:dyDescent="0.3">
      <c r="A810" s="47">
        <f t="shared" si="169"/>
        <v>724</v>
      </c>
      <c r="B810" s="414" t="s">
        <v>964</v>
      </c>
      <c r="C810" s="51">
        <f t="shared" si="167"/>
        <v>486864.5</v>
      </c>
      <c r="D810" s="51">
        <f t="shared" si="168"/>
        <v>0</v>
      </c>
      <c r="E810" s="51"/>
      <c r="F810" s="51"/>
      <c r="G810" s="51"/>
      <c r="H810" s="51"/>
      <c r="I810" s="51"/>
      <c r="J810" s="51"/>
      <c r="K810" s="51"/>
      <c r="L810" s="51"/>
      <c r="M810" s="35"/>
      <c r="N810" s="51"/>
      <c r="O810" s="82"/>
      <c r="P810" s="51"/>
      <c r="Q810" s="338"/>
      <c r="R810" s="51"/>
      <c r="S810" s="51"/>
      <c r="T810" s="338"/>
      <c r="U810" s="51"/>
      <c r="V810" s="35"/>
      <c r="W810" s="364">
        <f>SUM(X810:AH810)</f>
        <v>486864.5</v>
      </c>
      <c r="X810" s="285">
        <v>116485.19</v>
      </c>
      <c r="Y810" s="285"/>
      <c r="Z810" s="285"/>
      <c r="AA810" s="285"/>
      <c r="AB810" s="285"/>
      <c r="AC810" s="9">
        <v>235045.82</v>
      </c>
      <c r="AD810" s="306">
        <v>135333.49</v>
      </c>
      <c r="AE810" s="302"/>
      <c r="AF810" s="302"/>
      <c r="AG810" s="56"/>
    </row>
    <row r="811" spans="1:33" x14ac:dyDescent="0.3">
      <c r="A811" s="47">
        <f t="shared" si="169"/>
        <v>725</v>
      </c>
      <c r="B811" s="414" t="s">
        <v>965</v>
      </c>
      <c r="C811" s="51">
        <f t="shared" si="167"/>
        <v>1159566.2099999997</v>
      </c>
      <c r="D811" s="51">
        <f t="shared" si="168"/>
        <v>0</v>
      </c>
      <c r="E811" s="51"/>
      <c r="F811" s="51"/>
      <c r="G811" s="51"/>
      <c r="H811" s="51"/>
      <c r="I811" s="51"/>
      <c r="J811" s="51"/>
      <c r="K811" s="51"/>
      <c r="L811" s="51"/>
      <c r="M811" s="35"/>
      <c r="N811" s="51"/>
      <c r="O811" s="82"/>
      <c r="P811" s="51"/>
      <c r="Q811" s="338"/>
      <c r="R811" s="51"/>
      <c r="S811" s="51"/>
      <c r="T811" s="338"/>
      <c r="U811" s="51"/>
      <c r="V811" s="35"/>
      <c r="W811" s="364">
        <f>SUM(X811:AH811)</f>
        <v>1159566.2099999997</v>
      </c>
      <c r="X811" s="285">
        <v>158281.03</v>
      </c>
      <c r="Y811" s="285">
        <v>215159.47</v>
      </c>
      <c r="Z811" s="505">
        <v>172673.48</v>
      </c>
      <c r="AA811" s="505"/>
      <c r="AB811" s="285">
        <v>154688.12</v>
      </c>
      <c r="AC811" s="9">
        <v>375929.47</v>
      </c>
      <c r="AD811" s="306">
        <v>82834.64</v>
      </c>
      <c r="AE811" s="302"/>
      <c r="AF811" s="302"/>
      <c r="AG811" s="56"/>
    </row>
    <row r="812" spans="1:33" x14ac:dyDescent="0.3">
      <c r="A812" s="47">
        <f t="shared" si="169"/>
        <v>726</v>
      </c>
      <c r="B812" s="414" t="s">
        <v>966</v>
      </c>
      <c r="C812" s="51">
        <f t="shared" si="167"/>
        <v>511038.97700000001</v>
      </c>
      <c r="D812" s="51">
        <f t="shared" si="168"/>
        <v>0</v>
      </c>
      <c r="E812" s="51"/>
      <c r="F812" s="51"/>
      <c r="G812" s="51"/>
      <c r="H812" s="51"/>
      <c r="I812" s="51"/>
      <c r="J812" s="51"/>
      <c r="K812" s="51"/>
      <c r="L812" s="51"/>
      <c r="M812" s="35"/>
      <c r="N812" s="51"/>
      <c r="O812" s="82"/>
      <c r="P812" s="51"/>
      <c r="Q812" s="338"/>
      <c r="R812" s="51"/>
      <c r="S812" s="51"/>
      <c r="T812" s="338"/>
      <c r="U812" s="51"/>
      <c r="V812" s="35"/>
      <c r="W812" s="364">
        <f>SUM(X812:AH812)</f>
        <v>511038.97700000001</v>
      </c>
      <c r="X812" s="285">
        <v>104775.947</v>
      </c>
      <c r="Y812" s="285"/>
      <c r="Z812" s="285"/>
      <c r="AA812" s="285"/>
      <c r="AB812" s="285"/>
      <c r="AC812" s="9">
        <v>220109.41</v>
      </c>
      <c r="AD812" s="306">
        <v>186153.62</v>
      </c>
      <c r="AE812" s="302"/>
      <c r="AF812" s="302"/>
      <c r="AG812" s="56"/>
    </row>
    <row r="813" spans="1:33" x14ac:dyDescent="0.3">
      <c r="A813" s="47">
        <f t="shared" si="169"/>
        <v>727</v>
      </c>
      <c r="B813" s="414" t="s">
        <v>967</v>
      </c>
      <c r="C813" s="51">
        <f t="shared" si="167"/>
        <v>464405.01</v>
      </c>
      <c r="D813" s="51">
        <f t="shared" si="168"/>
        <v>0</v>
      </c>
      <c r="E813" s="51"/>
      <c r="F813" s="51"/>
      <c r="G813" s="51"/>
      <c r="H813" s="51"/>
      <c r="I813" s="51"/>
      <c r="J813" s="51"/>
      <c r="K813" s="51"/>
      <c r="L813" s="51"/>
      <c r="M813" s="35"/>
      <c r="N813" s="51"/>
      <c r="O813" s="82"/>
      <c r="P813" s="51"/>
      <c r="Q813" s="338"/>
      <c r="R813" s="51"/>
      <c r="S813" s="51"/>
      <c r="T813" s="338"/>
      <c r="U813" s="51"/>
      <c r="V813" s="35"/>
      <c r="W813" s="364">
        <f>SUM(X813:AH813)</f>
        <v>464405.01</v>
      </c>
      <c r="X813" s="285">
        <v>97984.52</v>
      </c>
      <c r="Y813" s="285"/>
      <c r="Z813" s="285"/>
      <c r="AA813" s="285"/>
      <c r="AB813" s="285"/>
      <c r="AC813" s="9">
        <v>214849.39</v>
      </c>
      <c r="AD813" s="306">
        <v>151571.1</v>
      </c>
      <c r="AE813" s="302"/>
      <c r="AF813" s="302"/>
      <c r="AG813" s="56"/>
    </row>
    <row r="814" spans="1:33" x14ac:dyDescent="0.3">
      <c r="A814" s="47">
        <f t="shared" si="169"/>
        <v>728</v>
      </c>
      <c r="B814" s="414" t="s">
        <v>968</v>
      </c>
      <c r="C814" s="51">
        <f t="shared" si="167"/>
        <v>1996992.4</v>
      </c>
      <c r="D814" s="51">
        <f t="shared" si="168"/>
        <v>0</v>
      </c>
      <c r="E814" s="51"/>
      <c r="F814" s="51"/>
      <c r="G814" s="51"/>
      <c r="H814" s="51"/>
      <c r="I814" s="51"/>
      <c r="J814" s="51"/>
      <c r="K814" s="51"/>
      <c r="L814" s="51"/>
      <c r="M814" s="35"/>
      <c r="N814" s="51"/>
      <c r="O814" s="82">
        <v>239.7</v>
      </c>
      <c r="P814" s="51">
        <v>1866992.4</v>
      </c>
      <c r="Q814" s="338"/>
      <c r="R814" s="51"/>
      <c r="S814" s="51"/>
      <c r="T814" s="338"/>
      <c r="U814" s="51"/>
      <c r="V814" s="35">
        <v>116175.6</v>
      </c>
      <c r="W814" s="364">
        <v>130000</v>
      </c>
      <c r="X814" s="285"/>
      <c r="Y814" s="285"/>
      <c r="Z814" s="285"/>
      <c r="AA814" s="285"/>
      <c r="AB814" s="285"/>
      <c r="AC814" s="9"/>
      <c r="AD814" s="306"/>
      <c r="AE814" s="302"/>
      <c r="AF814" s="302"/>
      <c r="AG814" s="56"/>
    </row>
    <row r="815" spans="1:33" x14ac:dyDescent="0.3">
      <c r="A815" s="47">
        <f t="shared" si="169"/>
        <v>729</v>
      </c>
      <c r="B815" s="414" t="s">
        <v>969</v>
      </c>
      <c r="C815" s="51">
        <f t="shared" ref="C815:C817" si="171">D815+K815+L815+N815+P815+R815+S815+U815+W815</f>
        <v>408569.12</v>
      </c>
      <c r="D815" s="51">
        <f t="shared" si="168"/>
        <v>0</v>
      </c>
      <c r="E815" s="51"/>
      <c r="F815" s="51"/>
      <c r="G815" s="51"/>
      <c r="H815" s="51"/>
      <c r="I815" s="51"/>
      <c r="J815" s="51"/>
      <c r="K815" s="51"/>
      <c r="L815" s="51"/>
      <c r="M815" s="35"/>
      <c r="N815" s="51"/>
      <c r="O815" s="82"/>
      <c r="P815" s="51"/>
      <c r="Q815" s="338"/>
      <c r="R815" s="51"/>
      <c r="S815" s="51"/>
      <c r="T815" s="338"/>
      <c r="U815" s="51"/>
      <c r="V815" s="35"/>
      <c r="W815" s="364">
        <f>SUM(X815:AH815)</f>
        <v>408569.12</v>
      </c>
      <c r="X815" s="285">
        <v>45396.88</v>
      </c>
      <c r="Y815" s="285"/>
      <c r="Z815" s="285"/>
      <c r="AA815" s="285"/>
      <c r="AB815" s="285"/>
      <c r="AC815" s="9">
        <v>99911.87</v>
      </c>
      <c r="AD815" s="306">
        <v>263260.37</v>
      </c>
      <c r="AE815" s="302"/>
      <c r="AF815" s="302"/>
      <c r="AG815" s="56"/>
    </row>
    <row r="816" spans="1:33" x14ac:dyDescent="0.3">
      <c r="A816" s="47">
        <f t="shared" si="169"/>
        <v>730</v>
      </c>
      <c r="B816" s="414" t="s">
        <v>970</v>
      </c>
      <c r="C816" s="51">
        <f t="shared" si="171"/>
        <v>360139.83</v>
      </c>
      <c r="D816" s="51">
        <f t="shared" si="168"/>
        <v>0</v>
      </c>
      <c r="E816" s="51"/>
      <c r="F816" s="51"/>
      <c r="G816" s="51"/>
      <c r="H816" s="51"/>
      <c r="I816" s="51"/>
      <c r="J816" s="51"/>
      <c r="K816" s="51"/>
      <c r="L816" s="51"/>
      <c r="M816" s="35"/>
      <c r="N816" s="51"/>
      <c r="O816" s="82"/>
      <c r="P816" s="51"/>
      <c r="Q816" s="338"/>
      <c r="R816" s="51"/>
      <c r="S816" s="51"/>
      <c r="T816" s="338"/>
      <c r="U816" s="51"/>
      <c r="V816" s="35"/>
      <c r="W816" s="364">
        <f>SUM(X816:AH816)</f>
        <v>360139.83</v>
      </c>
      <c r="X816" s="285">
        <v>59114.239999999998</v>
      </c>
      <c r="Y816" s="285"/>
      <c r="Z816" s="285"/>
      <c r="AA816" s="285"/>
      <c r="AB816" s="285"/>
      <c r="AC816" s="9">
        <v>207569.23</v>
      </c>
      <c r="AD816" s="306">
        <v>93456.36</v>
      </c>
      <c r="AE816" s="302"/>
      <c r="AF816" s="302"/>
      <c r="AG816" s="56"/>
    </row>
    <row r="817" spans="1:33" x14ac:dyDescent="0.3">
      <c r="A817" s="47">
        <f t="shared" si="169"/>
        <v>731</v>
      </c>
      <c r="B817" s="414" t="s">
        <v>971</v>
      </c>
      <c r="C817" s="51">
        <f t="shared" si="171"/>
        <v>472207.94000000006</v>
      </c>
      <c r="D817" s="51">
        <f t="shared" si="168"/>
        <v>0</v>
      </c>
      <c r="E817" s="51"/>
      <c r="F817" s="51"/>
      <c r="G817" s="51"/>
      <c r="H817" s="51"/>
      <c r="I817" s="51"/>
      <c r="J817" s="51"/>
      <c r="K817" s="51"/>
      <c r="L817" s="51"/>
      <c r="M817" s="35"/>
      <c r="N817" s="51"/>
      <c r="O817" s="82"/>
      <c r="P817" s="51"/>
      <c r="Q817" s="338"/>
      <c r="R817" s="51"/>
      <c r="S817" s="51"/>
      <c r="T817" s="338"/>
      <c r="U817" s="51"/>
      <c r="V817" s="35"/>
      <c r="W817" s="364">
        <f>SUM(X817:AH817)</f>
        <v>472207.94000000006</v>
      </c>
      <c r="X817" s="285">
        <v>312388.46000000002</v>
      </c>
      <c r="Y817" s="285"/>
      <c r="Z817" s="285"/>
      <c r="AA817" s="285"/>
      <c r="AB817" s="285"/>
      <c r="AC817" s="9"/>
      <c r="AD817" s="306">
        <v>159819.48000000001</v>
      </c>
      <c r="AE817" s="302"/>
      <c r="AF817" s="302"/>
      <c r="AG817" s="56"/>
    </row>
    <row r="818" spans="1:33" x14ac:dyDescent="0.3">
      <c r="A818" s="47">
        <f t="shared" si="169"/>
        <v>732</v>
      </c>
      <c r="B818" s="414" t="s">
        <v>972</v>
      </c>
      <c r="C818" s="51">
        <f t="shared" ref="C818:C821" si="172">D818+K818+L818+N818+P818+R818+S818+U818+W818</f>
        <v>18558117</v>
      </c>
      <c r="D818" s="51">
        <f t="shared" si="168"/>
        <v>0</v>
      </c>
      <c r="E818" s="51"/>
      <c r="F818" s="51"/>
      <c r="G818" s="51"/>
      <c r="H818" s="51"/>
      <c r="I818" s="51"/>
      <c r="J818" s="51"/>
      <c r="K818" s="51"/>
      <c r="L818" s="51"/>
      <c r="M818" s="35">
        <v>305</v>
      </c>
      <c r="N818" s="51">
        <v>2468670</v>
      </c>
      <c r="O818" s="82"/>
      <c r="P818" s="51"/>
      <c r="Q818" s="338">
        <v>1149</v>
      </c>
      <c r="R818" s="51">
        <v>16089447</v>
      </c>
      <c r="S818" s="51"/>
      <c r="T818" s="443"/>
      <c r="U818" s="51"/>
      <c r="V818" s="35"/>
      <c r="W818" s="418"/>
      <c r="X818" s="285">
        <v>110618.6</v>
      </c>
      <c r="Y818" s="285"/>
      <c r="Z818" s="285"/>
      <c r="AA818" s="285"/>
      <c r="AB818" s="285"/>
      <c r="AC818" s="9">
        <v>244609.07</v>
      </c>
      <c r="AD818" s="306">
        <v>69200.759999999995</v>
      </c>
      <c r="AE818" s="302"/>
      <c r="AF818" s="302"/>
      <c r="AG818" s="56"/>
    </row>
    <row r="819" spans="1:33" x14ac:dyDescent="0.3">
      <c r="A819" s="47">
        <f t="shared" si="169"/>
        <v>733</v>
      </c>
      <c r="B819" s="414" t="s">
        <v>973</v>
      </c>
      <c r="C819" s="51">
        <f t="shared" si="172"/>
        <v>492734.36</v>
      </c>
      <c r="D819" s="51">
        <f t="shared" si="168"/>
        <v>0</v>
      </c>
      <c r="E819" s="51"/>
      <c r="F819" s="51"/>
      <c r="G819" s="51"/>
      <c r="H819" s="51"/>
      <c r="I819" s="51"/>
      <c r="J819" s="51"/>
      <c r="K819" s="51"/>
      <c r="L819" s="51"/>
      <c r="M819" s="35"/>
      <c r="N819" s="51"/>
      <c r="O819" s="82"/>
      <c r="P819" s="51"/>
      <c r="Q819" s="338"/>
      <c r="R819" s="51"/>
      <c r="S819" s="51"/>
      <c r="T819" s="338"/>
      <c r="U819" s="51"/>
      <c r="V819" s="35"/>
      <c r="W819" s="364">
        <f>SUM(X819:AH819)</f>
        <v>492734.36</v>
      </c>
      <c r="X819" s="285">
        <v>130161.61</v>
      </c>
      <c r="Y819" s="285"/>
      <c r="Z819" s="285"/>
      <c r="AA819" s="285"/>
      <c r="AB819" s="285"/>
      <c r="AC819" s="9">
        <v>282368.53000000003</v>
      </c>
      <c r="AD819" s="306">
        <v>80204.22</v>
      </c>
      <c r="AE819" s="302"/>
      <c r="AF819" s="302"/>
      <c r="AG819" s="56"/>
    </row>
    <row r="820" spans="1:33" x14ac:dyDescent="0.3">
      <c r="A820" s="47">
        <f t="shared" si="169"/>
        <v>734</v>
      </c>
      <c r="B820" s="414" t="s">
        <v>974</v>
      </c>
      <c r="C820" s="51">
        <f t="shared" si="172"/>
        <v>130000</v>
      </c>
      <c r="D820" s="51">
        <f t="shared" si="168"/>
        <v>0</v>
      </c>
      <c r="E820" s="51"/>
      <c r="F820" s="51"/>
      <c r="G820" s="51"/>
      <c r="H820" s="51"/>
      <c r="I820" s="51"/>
      <c r="J820" s="51"/>
      <c r="K820" s="51"/>
      <c r="L820" s="51"/>
      <c r="M820" s="35"/>
      <c r="N820" s="51"/>
      <c r="O820" s="82"/>
      <c r="P820" s="51"/>
      <c r="Q820" s="338"/>
      <c r="R820" s="51"/>
      <c r="S820" s="51"/>
      <c r="T820" s="338"/>
      <c r="U820" s="51"/>
      <c r="V820" s="35"/>
      <c r="W820" s="364">
        <v>130000</v>
      </c>
      <c r="X820" s="9"/>
      <c r="Y820" s="9"/>
      <c r="Z820" s="9"/>
      <c r="AA820" s="9"/>
      <c r="AB820" s="9"/>
      <c r="AC820" s="9"/>
      <c r="AD820" s="40"/>
      <c r="AE820" s="56"/>
      <c r="AF820" s="302"/>
      <c r="AG820" s="56"/>
    </row>
    <row r="821" spans="1:33" x14ac:dyDescent="0.3">
      <c r="A821" s="47">
        <f t="shared" si="169"/>
        <v>735</v>
      </c>
      <c r="B821" s="414" t="s">
        <v>975</v>
      </c>
      <c r="C821" s="51">
        <f t="shared" si="172"/>
        <v>498696.32999999996</v>
      </c>
      <c r="D821" s="51">
        <f t="shared" si="168"/>
        <v>0</v>
      </c>
      <c r="E821" s="51"/>
      <c r="F821" s="51"/>
      <c r="G821" s="51"/>
      <c r="H821" s="51"/>
      <c r="I821" s="51"/>
      <c r="J821" s="51"/>
      <c r="K821" s="51"/>
      <c r="L821" s="51"/>
      <c r="M821" s="35"/>
      <c r="N821" s="51"/>
      <c r="O821" s="82"/>
      <c r="P821" s="51"/>
      <c r="Q821" s="338"/>
      <c r="R821" s="51"/>
      <c r="S821" s="51"/>
      <c r="T821" s="338"/>
      <c r="U821" s="51"/>
      <c r="V821" s="35"/>
      <c r="W821" s="364">
        <f>SUM(X821:AH821)</f>
        <v>498696.32999999996</v>
      </c>
      <c r="X821" s="285">
        <v>128334.19</v>
      </c>
      <c r="Y821" s="285"/>
      <c r="Z821" s="285"/>
      <c r="AA821" s="285"/>
      <c r="AB821" s="285"/>
      <c r="AC821" s="9">
        <v>301040.09999999998</v>
      </c>
      <c r="AD821" s="306">
        <v>69322.039999999994</v>
      </c>
      <c r="AE821" s="302"/>
      <c r="AF821" s="302"/>
      <c r="AG821" s="56"/>
    </row>
    <row r="822" spans="1:33" x14ac:dyDescent="0.3">
      <c r="A822" s="47">
        <f t="shared" si="169"/>
        <v>736</v>
      </c>
      <c r="B822" s="414" t="s">
        <v>976</v>
      </c>
      <c r="C822" s="51">
        <f t="shared" ref="C822:C853" si="173">D822+K822+L822+N822+P822+R822+S822+U822+W822</f>
        <v>795574.34</v>
      </c>
      <c r="D822" s="51">
        <f t="shared" si="168"/>
        <v>0</v>
      </c>
      <c r="E822" s="51"/>
      <c r="F822" s="51"/>
      <c r="G822" s="51"/>
      <c r="H822" s="51"/>
      <c r="I822" s="51"/>
      <c r="J822" s="51"/>
      <c r="K822" s="51"/>
      <c r="L822" s="51"/>
      <c r="M822" s="35"/>
      <c r="N822" s="51"/>
      <c r="O822" s="82"/>
      <c r="P822" s="51"/>
      <c r="Q822" s="338"/>
      <c r="R822" s="51"/>
      <c r="S822" s="51"/>
      <c r="T822" s="338"/>
      <c r="U822" s="51"/>
      <c r="V822" s="35"/>
      <c r="W822" s="364">
        <f>SUM(X822:AH822)</f>
        <v>795574.34</v>
      </c>
      <c r="X822" s="285">
        <v>185816.76</v>
      </c>
      <c r="Y822" s="285">
        <v>239719.37</v>
      </c>
      <c r="Z822" s="505">
        <v>192213.25</v>
      </c>
      <c r="AA822" s="505"/>
      <c r="AB822" s="285">
        <v>177824.96</v>
      </c>
      <c r="AC822" s="9"/>
      <c r="AD822" s="306"/>
      <c r="AE822" s="302"/>
      <c r="AF822" s="302"/>
      <c r="AG822" s="56"/>
    </row>
    <row r="823" spans="1:33" x14ac:dyDescent="0.3">
      <c r="A823" s="47">
        <f t="shared" si="169"/>
        <v>737</v>
      </c>
      <c r="B823" s="414" t="s">
        <v>977</v>
      </c>
      <c r="C823" s="51">
        <f t="shared" si="173"/>
        <v>544999.52</v>
      </c>
      <c r="D823" s="51">
        <f t="shared" si="168"/>
        <v>0</v>
      </c>
      <c r="E823" s="51"/>
      <c r="F823" s="51"/>
      <c r="G823" s="51"/>
      <c r="H823" s="51"/>
      <c r="I823" s="51"/>
      <c r="J823" s="51"/>
      <c r="K823" s="51"/>
      <c r="L823" s="51"/>
      <c r="M823" s="35"/>
      <c r="N823" s="51"/>
      <c r="O823" s="82"/>
      <c r="P823" s="51"/>
      <c r="Q823" s="338"/>
      <c r="R823" s="51"/>
      <c r="S823" s="51"/>
      <c r="T823" s="338"/>
      <c r="U823" s="51"/>
      <c r="V823" s="35"/>
      <c r="W823" s="364">
        <f>SUM(X823:AH823)</f>
        <v>544999.52</v>
      </c>
      <c r="X823" s="285">
        <v>139624.57999999999</v>
      </c>
      <c r="Y823" s="285"/>
      <c r="Z823" s="285"/>
      <c r="AA823" s="285"/>
      <c r="AB823" s="285"/>
      <c r="AC823" s="9">
        <v>274496.32</v>
      </c>
      <c r="AD823" s="306">
        <v>130878.62</v>
      </c>
      <c r="AE823" s="302"/>
      <c r="AF823" s="302"/>
      <c r="AG823" s="56"/>
    </row>
    <row r="824" spans="1:33" x14ac:dyDescent="0.3">
      <c r="A824" s="47">
        <f t="shared" ref="A824:A855" si="174">A823+1</f>
        <v>738</v>
      </c>
      <c r="B824" s="414" t="s">
        <v>978</v>
      </c>
      <c r="C824" s="51">
        <f t="shared" si="173"/>
        <v>130000</v>
      </c>
      <c r="D824" s="51">
        <f t="shared" si="168"/>
        <v>0</v>
      </c>
      <c r="E824" s="51"/>
      <c r="F824" s="51"/>
      <c r="G824" s="51"/>
      <c r="H824" s="51"/>
      <c r="I824" s="51"/>
      <c r="J824" s="51"/>
      <c r="K824" s="51"/>
      <c r="L824" s="51"/>
      <c r="M824" s="35"/>
      <c r="N824" s="51"/>
      <c r="O824" s="82"/>
      <c r="P824" s="51"/>
      <c r="Q824" s="338"/>
      <c r="R824" s="51"/>
      <c r="S824" s="51"/>
      <c r="T824" s="338"/>
      <c r="U824" s="51"/>
      <c r="V824" s="35"/>
      <c r="W824" s="364">
        <v>130000</v>
      </c>
      <c r="X824" s="285"/>
      <c r="Y824" s="285"/>
      <c r="Z824" s="285"/>
      <c r="AA824" s="285"/>
      <c r="AB824" s="285"/>
      <c r="AC824" s="9"/>
      <c r="AD824" s="306"/>
      <c r="AE824" s="302"/>
      <c r="AF824" s="302"/>
      <c r="AG824" s="56"/>
    </row>
    <row r="825" spans="1:33" x14ac:dyDescent="0.3">
      <c r="A825" s="47">
        <f t="shared" si="174"/>
        <v>739</v>
      </c>
      <c r="B825" s="414" t="s">
        <v>979</v>
      </c>
      <c r="C825" s="51">
        <f t="shared" si="173"/>
        <v>130000</v>
      </c>
      <c r="D825" s="51">
        <f t="shared" si="168"/>
        <v>0</v>
      </c>
      <c r="E825" s="51"/>
      <c r="F825" s="51"/>
      <c r="G825" s="51"/>
      <c r="H825" s="51"/>
      <c r="I825" s="51"/>
      <c r="J825" s="51"/>
      <c r="K825" s="51"/>
      <c r="L825" s="51"/>
      <c r="M825" s="35"/>
      <c r="N825" s="51"/>
      <c r="O825" s="82"/>
      <c r="P825" s="51"/>
      <c r="Q825" s="338"/>
      <c r="R825" s="51"/>
      <c r="S825" s="51"/>
      <c r="T825" s="338"/>
      <c r="U825" s="51"/>
      <c r="V825" s="35"/>
      <c r="W825" s="364">
        <v>130000</v>
      </c>
      <c r="X825" s="285"/>
      <c r="Y825" s="285"/>
      <c r="Z825" s="285"/>
      <c r="AA825" s="285"/>
      <c r="AB825" s="285"/>
      <c r="AC825" s="9"/>
      <c r="AD825" s="306"/>
      <c r="AE825" s="302"/>
      <c r="AF825" s="302"/>
      <c r="AG825" s="56"/>
    </row>
    <row r="826" spans="1:33" x14ac:dyDescent="0.3">
      <c r="A826" s="47">
        <f t="shared" si="174"/>
        <v>740</v>
      </c>
      <c r="B826" s="414" t="s">
        <v>980</v>
      </c>
      <c r="C826" s="51">
        <f t="shared" si="173"/>
        <v>440704.20999999996</v>
      </c>
      <c r="D826" s="51">
        <f t="shared" si="168"/>
        <v>0</v>
      </c>
      <c r="E826" s="51"/>
      <c r="F826" s="51"/>
      <c r="G826" s="51"/>
      <c r="H826" s="51"/>
      <c r="I826" s="51"/>
      <c r="J826" s="51"/>
      <c r="K826" s="51"/>
      <c r="L826" s="51"/>
      <c r="M826" s="35"/>
      <c r="N826" s="51"/>
      <c r="O826" s="82"/>
      <c r="P826" s="51"/>
      <c r="Q826" s="338"/>
      <c r="R826" s="51"/>
      <c r="S826" s="51"/>
      <c r="T826" s="338"/>
      <c r="U826" s="51"/>
      <c r="V826" s="35"/>
      <c r="W826" s="364">
        <f t="shared" ref="W826:W842" si="175">SUM(X826:AH826)</f>
        <v>440704.20999999996</v>
      </c>
      <c r="X826" s="285">
        <v>42906.94</v>
      </c>
      <c r="Y826" s="285"/>
      <c r="Z826" s="285"/>
      <c r="AA826" s="285"/>
      <c r="AB826" s="285"/>
      <c r="AC826" s="9">
        <v>164560.54999999999</v>
      </c>
      <c r="AD826" s="306">
        <v>233236.72</v>
      </c>
      <c r="AE826" s="302"/>
      <c r="AF826" s="302"/>
      <c r="AG826" s="56"/>
    </row>
    <row r="827" spans="1:33" x14ac:dyDescent="0.3">
      <c r="A827" s="47">
        <f t="shared" si="174"/>
        <v>741</v>
      </c>
      <c r="B827" s="414" t="s">
        <v>981</v>
      </c>
      <c r="C827" s="51">
        <f t="shared" si="173"/>
        <v>421830.81000000006</v>
      </c>
      <c r="D827" s="51">
        <f t="shared" si="168"/>
        <v>0</v>
      </c>
      <c r="E827" s="51"/>
      <c r="F827" s="51"/>
      <c r="G827" s="51"/>
      <c r="H827" s="51"/>
      <c r="I827" s="51"/>
      <c r="J827" s="51"/>
      <c r="K827" s="51"/>
      <c r="L827" s="51"/>
      <c r="M827" s="35"/>
      <c r="N827" s="51"/>
      <c r="O827" s="82"/>
      <c r="P827" s="51"/>
      <c r="Q827" s="338"/>
      <c r="R827" s="51"/>
      <c r="S827" s="51"/>
      <c r="T827" s="338"/>
      <c r="U827" s="51"/>
      <c r="V827" s="35"/>
      <c r="W827" s="364">
        <f t="shared" si="175"/>
        <v>421830.81000000006</v>
      </c>
      <c r="X827" s="285">
        <v>99427.48</v>
      </c>
      <c r="Y827" s="285"/>
      <c r="Z827" s="285"/>
      <c r="AA827" s="285"/>
      <c r="AB827" s="285"/>
      <c r="AC827" s="9">
        <v>202205.98</v>
      </c>
      <c r="AD827" s="306">
        <v>120197.35</v>
      </c>
      <c r="AE827" s="302"/>
      <c r="AF827" s="302"/>
      <c r="AG827" s="56"/>
    </row>
    <row r="828" spans="1:33" x14ac:dyDescent="0.3">
      <c r="A828" s="47">
        <f t="shared" si="174"/>
        <v>742</v>
      </c>
      <c r="B828" s="414" t="s">
        <v>982</v>
      </c>
      <c r="C828" s="51">
        <f t="shared" si="173"/>
        <v>225640.44</v>
      </c>
      <c r="D828" s="51">
        <f t="shared" si="168"/>
        <v>0</v>
      </c>
      <c r="E828" s="51"/>
      <c r="F828" s="51"/>
      <c r="G828" s="51"/>
      <c r="H828" s="51"/>
      <c r="I828" s="51"/>
      <c r="J828" s="51"/>
      <c r="K828" s="51"/>
      <c r="L828" s="51"/>
      <c r="M828" s="35"/>
      <c r="N828" s="51"/>
      <c r="O828" s="82"/>
      <c r="P828" s="51"/>
      <c r="Q828" s="338"/>
      <c r="R828" s="51"/>
      <c r="S828" s="51"/>
      <c r="T828" s="338"/>
      <c r="U828" s="51"/>
      <c r="V828" s="35"/>
      <c r="W828" s="364">
        <f t="shared" si="175"/>
        <v>225640.44</v>
      </c>
      <c r="X828" s="285">
        <v>116511.55</v>
      </c>
      <c r="Y828" s="285"/>
      <c r="Z828" s="285"/>
      <c r="AA828" s="285"/>
      <c r="AB828" s="285"/>
      <c r="AC828" s="9"/>
      <c r="AD828" s="306">
        <v>109128.89</v>
      </c>
      <c r="AE828" s="302"/>
      <c r="AF828" s="302"/>
      <c r="AG828" s="56"/>
    </row>
    <row r="829" spans="1:33" x14ac:dyDescent="0.3">
      <c r="A829" s="47">
        <f t="shared" si="174"/>
        <v>743</v>
      </c>
      <c r="B829" s="414" t="s">
        <v>983</v>
      </c>
      <c r="C829" s="51">
        <f t="shared" si="173"/>
        <v>177702.00999999998</v>
      </c>
      <c r="D829" s="51">
        <f t="shared" si="168"/>
        <v>0</v>
      </c>
      <c r="E829" s="51"/>
      <c r="F829" s="51"/>
      <c r="G829" s="51"/>
      <c r="H829" s="51"/>
      <c r="I829" s="51"/>
      <c r="J829" s="51"/>
      <c r="K829" s="51"/>
      <c r="L829" s="51"/>
      <c r="M829" s="35"/>
      <c r="N829" s="51"/>
      <c r="O829" s="82"/>
      <c r="P829" s="51"/>
      <c r="Q829" s="338"/>
      <c r="R829" s="51"/>
      <c r="S829" s="51"/>
      <c r="T829" s="338"/>
      <c r="U829" s="51"/>
      <c r="V829" s="35"/>
      <c r="W829" s="364">
        <f t="shared" si="175"/>
        <v>177702.00999999998</v>
      </c>
      <c r="X829" s="285">
        <v>52464.55</v>
      </c>
      <c r="Y829" s="285"/>
      <c r="Z829" s="285"/>
      <c r="AA829" s="285"/>
      <c r="AB829" s="285"/>
      <c r="AC829" s="9">
        <v>88169.44</v>
      </c>
      <c r="AD829" s="306">
        <v>37068.019999999997</v>
      </c>
      <c r="AE829" s="302"/>
      <c r="AF829" s="302"/>
      <c r="AG829" s="56"/>
    </row>
    <row r="830" spans="1:33" x14ac:dyDescent="0.3">
      <c r="A830" s="47">
        <f t="shared" si="174"/>
        <v>744</v>
      </c>
      <c r="B830" s="414" t="s">
        <v>984</v>
      </c>
      <c r="C830" s="51">
        <f t="shared" si="173"/>
        <v>385430.68</v>
      </c>
      <c r="D830" s="51">
        <f t="shared" si="168"/>
        <v>0</v>
      </c>
      <c r="E830" s="51"/>
      <c r="F830" s="51"/>
      <c r="G830" s="51"/>
      <c r="H830" s="51"/>
      <c r="I830" s="51"/>
      <c r="J830" s="51"/>
      <c r="K830" s="51"/>
      <c r="L830" s="51"/>
      <c r="M830" s="35"/>
      <c r="N830" s="51"/>
      <c r="O830" s="82"/>
      <c r="P830" s="51"/>
      <c r="Q830" s="338"/>
      <c r="R830" s="51"/>
      <c r="S830" s="51"/>
      <c r="T830" s="338"/>
      <c r="U830" s="51"/>
      <c r="V830" s="35"/>
      <c r="W830" s="364">
        <f t="shared" si="175"/>
        <v>385430.68</v>
      </c>
      <c r="X830" s="285">
        <v>59931.97</v>
      </c>
      <c r="Y830" s="285"/>
      <c r="Z830" s="285"/>
      <c r="AA830" s="285"/>
      <c r="AB830" s="285"/>
      <c r="AC830" s="9">
        <v>122300.77</v>
      </c>
      <c r="AD830" s="306">
        <v>203197.94</v>
      </c>
      <c r="AE830" s="302"/>
      <c r="AF830" s="302"/>
      <c r="AG830" s="56"/>
    </row>
    <row r="831" spans="1:33" x14ac:dyDescent="0.3">
      <c r="A831" s="47">
        <f t="shared" si="174"/>
        <v>745</v>
      </c>
      <c r="B831" s="414" t="s">
        <v>985</v>
      </c>
      <c r="C831" s="51">
        <f t="shared" si="173"/>
        <v>160099.33999999997</v>
      </c>
      <c r="D831" s="51">
        <f t="shared" si="168"/>
        <v>0</v>
      </c>
      <c r="E831" s="51"/>
      <c r="F831" s="51"/>
      <c r="G831" s="51"/>
      <c r="H831" s="51"/>
      <c r="I831" s="51"/>
      <c r="J831" s="51"/>
      <c r="K831" s="51"/>
      <c r="L831" s="51"/>
      <c r="M831" s="35"/>
      <c r="N831" s="51"/>
      <c r="O831" s="82"/>
      <c r="P831" s="51"/>
      <c r="Q831" s="338"/>
      <c r="R831" s="51"/>
      <c r="S831" s="51"/>
      <c r="T831" s="338"/>
      <c r="U831" s="51"/>
      <c r="V831" s="35"/>
      <c r="W831" s="364">
        <f t="shared" si="175"/>
        <v>160099.33999999997</v>
      </c>
      <c r="X831" s="285">
        <v>52839</v>
      </c>
      <c r="Y831" s="285"/>
      <c r="Z831" s="285"/>
      <c r="AA831" s="285"/>
      <c r="AB831" s="285"/>
      <c r="AC831" s="9">
        <v>88430.54</v>
      </c>
      <c r="AD831" s="306">
        <v>18829.8</v>
      </c>
      <c r="AE831" s="302"/>
      <c r="AF831" s="302"/>
      <c r="AG831" s="56"/>
    </row>
    <row r="832" spans="1:33" x14ac:dyDescent="0.3">
      <c r="A832" s="47">
        <f t="shared" si="174"/>
        <v>746</v>
      </c>
      <c r="B832" s="414" t="s">
        <v>986</v>
      </c>
      <c r="C832" s="51">
        <f t="shared" si="173"/>
        <v>502405.69999999995</v>
      </c>
      <c r="D832" s="51">
        <f t="shared" si="168"/>
        <v>0</v>
      </c>
      <c r="E832" s="51"/>
      <c r="F832" s="51"/>
      <c r="G832" s="51"/>
      <c r="H832" s="51"/>
      <c r="I832" s="51"/>
      <c r="J832" s="51"/>
      <c r="K832" s="51"/>
      <c r="L832" s="51"/>
      <c r="M832" s="35"/>
      <c r="N832" s="51"/>
      <c r="O832" s="82"/>
      <c r="P832" s="51"/>
      <c r="Q832" s="338"/>
      <c r="R832" s="51"/>
      <c r="S832" s="51"/>
      <c r="T832" s="338"/>
      <c r="U832" s="51"/>
      <c r="V832" s="35"/>
      <c r="W832" s="364">
        <f t="shared" si="175"/>
        <v>502405.69999999995</v>
      </c>
      <c r="X832" s="285">
        <v>85705.63</v>
      </c>
      <c r="Y832" s="285"/>
      <c r="Z832" s="285"/>
      <c r="AA832" s="285"/>
      <c r="AB832" s="285"/>
      <c r="AC832" s="9">
        <v>161899.21</v>
      </c>
      <c r="AD832" s="306">
        <v>254800.86</v>
      </c>
      <c r="AE832" s="302"/>
      <c r="AF832" s="302"/>
      <c r="AG832" s="56"/>
    </row>
    <row r="833" spans="1:33" x14ac:dyDescent="0.3">
      <c r="A833" s="47">
        <f t="shared" si="174"/>
        <v>747</v>
      </c>
      <c r="B833" s="414" t="s">
        <v>987</v>
      </c>
      <c r="C833" s="51">
        <f t="shared" si="173"/>
        <v>254591.46999999997</v>
      </c>
      <c r="D833" s="51">
        <f t="shared" si="168"/>
        <v>0</v>
      </c>
      <c r="E833" s="51"/>
      <c r="F833" s="51"/>
      <c r="G833" s="51"/>
      <c r="H833" s="51"/>
      <c r="I833" s="51"/>
      <c r="J833" s="51"/>
      <c r="K833" s="51"/>
      <c r="L833" s="51"/>
      <c r="M833" s="35"/>
      <c r="N833" s="51"/>
      <c r="O833" s="82"/>
      <c r="P833" s="51"/>
      <c r="Q833" s="338"/>
      <c r="R833" s="51"/>
      <c r="S833" s="51"/>
      <c r="T833" s="338"/>
      <c r="U833" s="51"/>
      <c r="V833" s="35"/>
      <c r="W833" s="364">
        <f t="shared" si="175"/>
        <v>254591.46999999997</v>
      </c>
      <c r="X833" s="285">
        <v>82825.2</v>
      </c>
      <c r="Y833" s="285"/>
      <c r="Z833" s="285"/>
      <c r="AA833" s="285"/>
      <c r="AB833" s="285"/>
      <c r="AC833" s="9">
        <v>157509.07999999999</v>
      </c>
      <c r="AD833" s="306">
        <v>14257.19</v>
      </c>
      <c r="AE833" s="302"/>
      <c r="AF833" s="302"/>
      <c r="AG833" s="56"/>
    </row>
    <row r="834" spans="1:33" x14ac:dyDescent="0.3">
      <c r="A834" s="47">
        <f t="shared" si="174"/>
        <v>748</v>
      </c>
      <c r="B834" s="414" t="s">
        <v>988</v>
      </c>
      <c r="C834" s="51">
        <f t="shared" si="173"/>
        <v>300434.08</v>
      </c>
      <c r="D834" s="51">
        <f t="shared" si="168"/>
        <v>0</v>
      </c>
      <c r="E834" s="51"/>
      <c r="F834" s="51"/>
      <c r="G834" s="51"/>
      <c r="H834" s="51"/>
      <c r="I834" s="51"/>
      <c r="J834" s="51"/>
      <c r="K834" s="51"/>
      <c r="L834" s="51"/>
      <c r="M834" s="35"/>
      <c r="N834" s="51"/>
      <c r="O834" s="82"/>
      <c r="P834" s="51"/>
      <c r="Q834" s="338"/>
      <c r="R834" s="51"/>
      <c r="S834" s="51"/>
      <c r="T834" s="338"/>
      <c r="U834" s="51"/>
      <c r="V834" s="35"/>
      <c r="W834" s="364">
        <f t="shared" si="175"/>
        <v>300434.08</v>
      </c>
      <c r="X834" s="285">
        <v>97401.600000000006</v>
      </c>
      <c r="Y834" s="285"/>
      <c r="Z834" s="285"/>
      <c r="AA834" s="285"/>
      <c r="AB834" s="285"/>
      <c r="AC834" s="9">
        <v>181583.33</v>
      </c>
      <c r="AD834" s="306">
        <v>21449.15</v>
      </c>
      <c r="AE834" s="302"/>
      <c r="AF834" s="302"/>
      <c r="AG834" s="56"/>
    </row>
    <row r="835" spans="1:33" x14ac:dyDescent="0.3">
      <c r="A835" s="47">
        <f t="shared" si="174"/>
        <v>749</v>
      </c>
      <c r="B835" s="414" t="s">
        <v>989</v>
      </c>
      <c r="C835" s="51">
        <f t="shared" si="173"/>
        <v>425659.4</v>
      </c>
      <c r="D835" s="51">
        <f t="shared" si="168"/>
        <v>0</v>
      </c>
      <c r="E835" s="51"/>
      <c r="F835" s="51"/>
      <c r="G835" s="51"/>
      <c r="H835" s="51"/>
      <c r="I835" s="51"/>
      <c r="J835" s="51"/>
      <c r="K835" s="51"/>
      <c r="L835" s="51"/>
      <c r="M835" s="35"/>
      <c r="N835" s="51"/>
      <c r="O835" s="82"/>
      <c r="P835" s="51"/>
      <c r="Q835" s="338"/>
      <c r="R835" s="51"/>
      <c r="S835" s="51"/>
      <c r="T835" s="338"/>
      <c r="U835" s="51"/>
      <c r="V835" s="35"/>
      <c r="W835" s="364">
        <f t="shared" si="175"/>
        <v>425659.4</v>
      </c>
      <c r="X835" s="285">
        <v>73577.66</v>
      </c>
      <c r="Y835" s="285"/>
      <c r="Z835" s="285"/>
      <c r="AA835" s="285"/>
      <c r="AB835" s="285"/>
      <c r="AC835" s="9">
        <v>143414.51</v>
      </c>
      <c r="AD835" s="306">
        <v>208667.23</v>
      </c>
      <c r="AE835" s="302"/>
      <c r="AF835" s="302"/>
      <c r="AG835" s="56"/>
    </row>
    <row r="836" spans="1:33" x14ac:dyDescent="0.3">
      <c r="A836" s="47">
        <f t="shared" si="174"/>
        <v>750</v>
      </c>
      <c r="B836" s="414" t="s">
        <v>990</v>
      </c>
      <c r="C836" s="51">
        <f t="shared" si="173"/>
        <v>126227.63</v>
      </c>
      <c r="D836" s="51">
        <f t="shared" si="168"/>
        <v>0</v>
      </c>
      <c r="E836" s="51"/>
      <c r="F836" s="51"/>
      <c r="G836" s="51"/>
      <c r="H836" s="51"/>
      <c r="I836" s="51"/>
      <c r="J836" s="51"/>
      <c r="K836" s="51"/>
      <c r="L836" s="51"/>
      <c r="M836" s="35"/>
      <c r="N836" s="51"/>
      <c r="O836" s="82"/>
      <c r="P836" s="51"/>
      <c r="Q836" s="338"/>
      <c r="R836" s="51"/>
      <c r="S836" s="51"/>
      <c r="T836" s="338"/>
      <c r="U836" s="51"/>
      <c r="V836" s="35"/>
      <c r="W836" s="364">
        <f t="shared" si="175"/>
        <v>126227.63</v>
      </c>
      <c r="X836" s="285">
        <v>43976.52</v>
      </c>
      <c r="Y836" s="285"/>
      <c r="Z836" s="285"/>
      <c r="AA836" s="285"/>
      <c r="AB836" s="285"/>
      <c r="AC836" s="9">
        <v>82251.11</v>
      </c>
      <c r="AD836" s="306"/>
      <c r="AE836" s="302"/>
      <c r="AF836" s="302"/>
      <c r="AG836" s="56"/>
    </row>
    <row r="837" spans="1:33" x14ac:dyDescent="0.3">
      <c r="A837" s="47">
        <f t="shared" si="174"/>
        <v>751</v>
      </c>
      <c r="B837" s="414" t="s">
        <v>991</v>
      </c>
      <c r="C837" s="51">
        <f t="shared" si="173"/>
        <v>564554.17999999993</v>
      </c>
      <c r="D837" s="51">
        <f t="shared" si="168"/>
        <v>0</v>
      </c>
      <c r="E837" s="51"/>
      <c r="F837" s="51"/>
      <c r="G837" s="51"/>
      <c r="H837" s="51"/>
      <c r="I837" s="51"/>
      <c r="J837" s="51"/>
      <c r="K837" s="51"/>
      <c r="L837" s="51"/>
      <c r="M837" s="35"/>
      <c r="N837" s="51"/>
      <c r="O837" s="82"/>
      <c r="P837" s="51"/>
      <c r="Q837" s="338"/>
      <c r="R837" s="51"/>
      <c r="S837" s="51"/>
      <c r="T837" s="338"/>
      <c r="U837" s="51"/>
      <c r="V837" s="35"/>
      <c r="W837" s="364">
        <f t="shared" si="175"/>
        <v>564554.17999999993</v>
      </c>
      <c r="X837" s="285">
        <v>108496.03</v>
      </c>
      <c r="Y837" s="285"/>
      <c r="Z837" s="285"/>
      <c r="AA837" s="285"/>
      <c r="AB837" s="285"/>
      <c r="AC837" s="9">
        <v>196635.05</v>
      </c>
      <c r="AD837" s="306">
        <v>259423.1</v>
      </c>
      <c r="AE837" s="302"/>
      <c r="AF837" s="302"/>
      <c r="AG837" s="56"/>
    </row>
    <row r="838" spans="1:33" x14ac:dyDescent="0.3">
      <c r="A838" s="47">
        <f t="shared" si="174"/>
        <v>752</v>
      </c>
      <c r="B838" s="414" t="s">
        <v>992</v>
      </c>
      <c r="C838" s="51">
        <f t="shared" si="173"/>
        <v>433332.18</v>
      </c>
      <c r="D838" s="51">
        <f t="shared" si="168"/>
        <v>0</v>
      </c>
      <c r="E838" s="51"/>
      <c r="F838" s="51"/>
      <c r="G838" s="51"/>
      <c r="H838" s="51"/>
      <c r="I838" s="51"/>
      <c r="J838" s="51"/>
      <c r="K838" s="51"/>
      <c r="L838" s="51"/>
      <c r="M838" s="35"/>
      <c r="N838" s="51"/>
      <c r="O838" s="82"/>
      <c r="P838" s="51"/>
      <c r="Q838" s="338"/>
      <c r="R838" s="51"/>
      <c r="S838" s="51"/>
      <c r="T838" s="338"/>
      <c r="U838" s="51"/>
      <c r="V838" s="35"/>
      <c r="W838" s="364">
        <f t="shared" si="175"/>
        <v>433332.18</v>
      </c>
      <c r="X838" s="285">
        <v>77405.53</v>
      </c>
      <c r="Y838" s="285"/>
      <c r="Z838" s="285"/>
      <c r="AA838" s="285"/>
      <c r="AB838" s="285"/>
      <c r="AC838" s="9">
        <v>148633.74</v>
      </c>
      <c r="AD838" s="306">
        <v>207292.91</v>
      </c>
      <c r="AE838" s="302"/>
      <c r="AF838" s="302"/>
      <c r="AG838" s="56"/>
    </row>
    <row r="839" spans="1:33" x14ac:dyDescent="0.3">
      <c r="A839" s="47">
        <f t="shared" si="174"/>
        <v>753</v>
      </c>
      <c r="B839" s="414" t="s">
        <v>993</v>
      </c>
      <c r="C839" s="51">
        <f t="shared" si="173"/>
        <v>379617.31</v>
      </c>
      <c r="D839" s="51">
        <f t="shared" si="168"/>
        <v>0</v>
      </c>
      <c r="E839" s="51"/>
      <c r="F839" s="51"/>
      <c r="G839" s="51"/>
      <c r="H839" s="51"/>
      <c r="I839" s="51"/>
      <c r="J839" s="51"/>
      <c r="K839" s="51"/>
      <c r="L839" s="51"/>
      <c r="M839" s="35"/>
      <c r="N839" s="51"/>
      <c r="O839" s="82"/>
      <c r="P839" s="51"/>
      <c r="Q839" s="338"/>
      <c r="R839" s="51"/>
      <c r="S839" s="51"/>
      <c r="T839" s="338"/>
      <c r="U839" s="51"/>
      <c r="V839" s="35"/>
      <c r="W839" s="364">
        <f t="shared" si="175"/>
        <v>379617.31</v>
      </c>
      <c r="X839" s="285">
        <v>112301.63</v>
      </c>
      <c r="Y839" s="285"/>
      <c r="Z839" s="285"/>
      <c r="AA839" s="285"/>
      <c r="AB839" s="285"/>
      <c r="AC839" s="9">
        <v>203152.93</v>
      </c>
      <c r="AD839" s="306">
        <v>64162.75</v>
      </c>
      <c r="AE839" s="302"/>
      <c r="AF839" s="302"/>
      <c r="AG839" s="56"/>
    </row>
    <row r="840" spans="1:33" x14ac:dyDescent="0.3">
      <c r="A840" s="47">
        <f t="shared" si="174"/>
        <v>754</v>
      </c>
      <c r="B840" s="414" t="s">
        <v>994</v>
      </c>
      <c r="C840" s="51">
        <f t="shared" si="173"/>
        <v>322628.45</v>
      </c>
      <c r="D840" s="51">
        <f t="shared" si="168"/>
        <v>0</v>
      </c>
      <c r="E840" s="51"/>
      <c r="F840" s="51"/>
      <c r="G840" s="51"/>
      <c r="H840" s="51"/>
      <c r="I840" s="51"/>
      <c r="J840" s="51"/>
      <c r="K840" s="51"/>
      <c r="L840" s="51"/>
      <c r="M840" s="35"/>
      <c r="N840" s="51"/>
      <c r="O840" s="82"/>
      <c r="P840" s="51"/>
      <c r="Q840" s="338"/>
      <c r="R840" s="51"/>
      <c r="S840" s="51"/>
      <c r="T840" s="338"/>
      <c r="U840" s="51"/>
      <c r="V840" s="35"/>
      <c r="W840" s="364">
        <f t="shared" si="175"/>
        <v>322628.45</v>
      </c>
      <c r="X840" s="285">
        <v>91764.53</v>
      </c>
      <c r="Y840" s="285"/>
      <c r="Z840" s="285"/>
      <c r="AA840" s="285"/>
      <c r="AB840" s="285"/>
      <c r="AC840" s="9">
        <v>172918.22</v>
      </c>
      <c r="AD840" s="306">
        <v>57945.7</v>
      </c>
      <c r="AE840" s="302"/>
      <c r="AF840" s="302"/>
      <c r="AG840" s="56"/>
    </row>
    <row r="841" spans="1:33" x14ac:dyDescent="0.3">
      <c r="A841" s="47">
        <f t="shared" si="174"/>
        <v>755</v>
      </c>
      <c r="B841" s="414" t="s">
        <v>995</v>
      </c>
      <c r="C841" s="51">
        <f t="shared" si="173"/>
        <v>304586.15999999997</v>
      </c>
      <c r="D841" s="51">
        <f t="shared" si="168"/>
        <v>0</v>
      </c>
      <c r="E841" s="51"/>
      <c r="F841" s="51"/>
      <c r="G841" s="51"/>
      <c r="H841" s="51"/>
      <c r="I841" s="51"/>
      <c r="J841" s="51"/>
      <c r="K841" s="51"/>
      <c r="L841" s="51"/>
      <c r="M841" s="35"/>
      <c r="N841" s="51"/>
      <c r="O841" s="82"/>
      <c r="P841" s="51"/>
      <c r="Q841" s="338"/>
      <c r="R841" s="51"/>
      <c r="S841" s="51"/>
      <c r="T841" s="338"/>
      <c r="U841" s="51"/>
      <c r="V841" s="35"/>
      <c r="W841" s="364">
        <f t="shared" si="175"/>
        <v>304586.15999999997</v>
      </c>
      <c r="X841" s="285">
        <v>95341.62</v>
      </c>
      <c r="Y841" s="285"/>
      <c r="Z841" s="285"/>
      <c r="AA841" s="285"/>
      <c r="AB841" s="285"/>
      <c r="AC841" s="9">
        <v>175583.8</v>
      </c>
      <c r="AD841" s="306">
        <v>33660.74</v>
      </c>
      <c r="AE841" s="302"/>
      <c r="AF841" s="302"/>
      <c r="AG841" s="56"/>
    </row>
    <row r="842" spans="1:33" x14ac:dyDescent="0.3">
      <c r="A842" s="47">
        <f t="shared" si="174"/>
        <v>756</v>
      </c>
      <c r="B842" s="414" t="s">
        <v>996</v>
      </c>
      <c r="C842" s="51">
        <f t="shared" si="173"/>
        <v>494093.81</v>
      </c>
      <c r="D842" s="51">
        <f t="shared" si="168"/>
        <v>0</v>
      </c>
      <c r="E842" s="51"/>
      <c r="F842" s="51"/>
      <c r="G842" s="51"/>
      <c r="H842" s="51"/>
      <c r="I842" s="51"/>
      <c r="J842" s="51"/>
      <c r="K842" s="51"/>
      <c r="L842" s="51"/>
      <c r="M842" s="35"/>
      <c r="N842" s="51"/>
      <c r="O842" s="82"/>
      <c r="P842" s="51"/>
      <c r="Q842" s="338"/>
      <c r="R842" s="51"/>
      <c r="S842" s="51"/>
      <c r="T842" s="338"/>
      <c r="U842" s="51"/>
      <c r="V842" s="35"/>
      <c r="W842" s="364">
        <f t="shared" si="175"/>
        <v>494093.81</v>
      </c>
      <c r="X842" s="285">
        <v>125364.76</v>
      </c>
      <c r="Y842" s="285"/>
      <c r="Z842" s="285"/>
      <c r="AA842" s="285"/>
      <c r="AB842" s="285"/>
      <c r="AC842" s="9">
        <v>270713.42</v>
      </c>
      <c r="AD842" s="306">
        <v>98015.63</v>
      </c>
      <c r="AE842" s="302"/>
      <c r="AF842" s="302"/>
      <c r="AG842" s="56"/>
    </row>
    <row r="843" spans="1:33" x14ac:dyDescent="0.3">
      <c r="A843" s="47">
        <f t="shared" si="174"/>
        <v>757</v>
      </c>
      <c r="B843" s="414" t="s">
        <v>997</v>
      </c>
      <c r="C843" s="51">
        <f t="shared" si="173"/>
        <v>130000</v>
      </c>
      <c r="D843" s="51">
        <f t="shared" si="168"/>
        <v>0</v>
      </c>
      <c r="E843" s="51"/>
      <c r="F843" s="51"/>
      <c r="G843" s="51"/>
      <c r="H843" s="51"/>
      <c r="I843" s="51"/>
      <c r="J843" s="51"/>
      <c r="K843" s="51"/>
      <c r="L843" s="51"/>
      <c r="M843" s="35"/>
      <c r="N843" s="51"/>
      <c r="O843" s="82"/>
      <c r="P843" s="51"/>
      <c r="Q843" s="338"/>
      <c r="R843" s="51"/>
      <c r="S843" s="51"/>
      <c r="T843" s="338"/>
      <c r="U843" s="51"/>
      <c r="V843" s="35"/>
      <c r="W843" s="364">
        <v>130000</v>
      </c>
      <c r="X843" s="285"/>
      <c r="Y843" s="285"/>
      <c r="Z843" s="285"/>
      <c r="AA843" s="285"/>
      <c r="AB843" s="285"/>
      <c r="AC843" s="9"/>
      <c r="AD843" s="306"/>
      <c r="AE843" s="302"/>
      <c r="AF843" s="302"/>
      <c r="AG843" s="56"/>
    </row>
    <row r="844" spans="1:33" x14ac:dyDescent="0.3">
      <c r="A844" s="47">
        <f t="shared" si="174"/>
        <v>758</v>
      </c>
      <c r="B844" s="414" t="s">
        <v>998</v>
      </c>
      <c r="C844" s="51">
        <f t="shared" si="173"/>
        <v>130000</v>
      </c>
      <c r="D844" s="51">
        <f t="shared" si="168"/>
        <v>0</v>
      </c>
      <c r="E844" s="51"/>
      <c r="F844" s="51"/>
      <c r="G844" s="51"/>
      <c r="H844" s="51"/>
      <c r="I844" s="51"/>
      <c r="J844" s="51"/>
      <c r="K844" s="51"/>
      <c r="L844" s="51"/>
      <c r="M844" s="35"/>
      <c r="N844" s="51"/>
      <c r="O844" s="82"/>
      <c r="P844" s="51"/>
      <c r="Q844" s="338"/>
      <c r="R844" s="51"/>
      <c r="S844" s="51"/>
      <c r="T844" s="338"/>
      <c r="U844" s="51"/>
      <c r="V844" s="35"/>
      <c r="W844" s="364">
        <v>130000</v>
      </c>
      <c r="X844" s="285"/>
      <c r="Y844" s="285"/>
      <c r="Z844" s="285"/>
      <c r="AA844" s="285"/>
      <c r="AB844" s="285"/>
      <c r="AC844" s="9"/>
      <c r="AD844" s="306"/>
      <c r="AE844" s="302"/>
      <c r="AF844" s="302"/>
      <c r="AG844" s="56"/>
    </row>
    <row r="845" spans="1:33" x14ac:dyDescent="0.3">
      <c r="A845" s="47">
        <f t="shared" si="174"/>
        <v>759</v>
      </c>
      <c r="B845" s="414" t="s">
        <v>999</v>
      </c>
      <c r="C845" s="51">
        <f t="shared" si="173"/>
        <v>568890.93999999994</v>
      </c>
      <c r="D845" s="51">
        <f t="shared" si="168"/>
        <v>0</v>
      </c>
      <c r="E845" s="51"/>
      <c r="F845" s="51"/>
      <c r="G845" s="51"/>
      <c r="H845" s="51"/>
      <c r="I845" s="51"/>
      <c r="J845" s="51"/>
      <c r="K845" s="51"/>
      <c r="L845" s="51"/>
      <c r="M845" s="35"/>
      <c r="N845" s="51"/>
      <c r="O845" s="82"/>
      <c r="P845" s="51"/>
      <c r="Q845" s="338"/>
      <c r="R845" s="51"/>
      <c r="S845" s="51"/>
      <c r="T845" s="338"/>
      <c r="U845" s="51"/>
      <c r="V845" s="35"/>
      <c r="W845" s="364">
        <f>SUM(X845:AH845)</f>
        <v>568890.93999999994</v>
      </c>
      <c r="X845" s="285">
        <v>138670.72</v>
      </c>
      <c r="Y845" s="285"/>
      <c r="Z845" s="285"/>
      <c r="AA845" s="285"/>
      <c r="AB845" s="285"/>
      <c r="AC845" s="9">
        <v>207313.72</v>
      </c>
      <c r="AD845" s="306">
        <v>222906.5</v>
      </c>
      <c r="AE845" s="302"/>
      <c r="AF845" s="302"/>
      <c r="AG845" s="56"/>
    </row>
    <row r="846" spans="1:33" x14ac:dyDescent="0.3">
      <c r="A846" s="47">
        <f t="shared" si="174"/>
        <v>760</v>
      </c>
      <c r="B846" s="414" t="s">
        <v>1000</v>
      </c>
      <c r="C846" s="51">
        <f t="shared" si="173"/>
        <v>398417.83</v>
      </c>
      <c r="D846" s="51">
        <f t="shared" si="168"/>
        <v>0</v>
      </c>
      <c r="E846" s="51"/>
      <c r="F846" s="51"/>
      <c r="G846" s="51"/>
      <c r="H846" s="51"/>
      <c r="I846" s="51"/>
      <c r="J846" s="51"/>
      <c r="K846" s="51"/>
      <c r="L846" s="51"/>
      <c r="M846" s="35"/>
      <c r="N846" s="51"/>
      <c r="O846" s="82"/>
      <c r="P846" s="51"/>
      <c r="Q846" s="338"/>
      <c r="R846" s="51"/>
      <c r="S846" s="51"/>
      <c r="T846" s="338"/>
      <c r="U846" s="51"/>
      <c r="V846" s="35"/>
      <c r="W846" s="364">
        <f>SUM(X846:AH846)</f>
        <v>398417.83</v>
      </c>
      <c r="X846" s="285">
        <v>109795.69</v>
      </c>
      <c r="Y846" s="285"/>
      <c r="Z846" s="285"/>
      <c r="AA846" s="285"/>
      <c r="AB846" s="285"/>
      <c r="AC846" s="9">
        <v>199313.95</v>
      </c>
      <c r="AD846" s="306">
        <v>89308.19</v>
      </c>
      <c r="AE846" s="302"/>
      <c r="AF846" s="302"/>
      <c r="AG846" s="56"/>
    </row>
    <row r="847" spans="1:33" x14ac:dyDescent="0.3">
      <c r="A847" s="47">
        <f t="shared" si="174"/>
        <v>761</v>
      </c>
      <c r="B847" s="414" t="s">
        <v>1001</v>
      </c>
      <c r="C847" s="51">
        <f t="shared" si="173"/>
        <v>130000</v>
      </c>
      <c r="D847" s="51">
        <f t="shared" ref="D847:D910" si="176">E847+F847+G847+H847+I847</f>
        <v>0</v>
      </c>
      <c r="E847" s="51"/>
      <c r="F847" s="51"/>
      <c r="G847" s="51"/>
      <c r="H847" s="51"/>
      <c r="I847" s="51"/>
      <c r="J847" s="51"/>
      <c r="K847" s="51"/>
      <c r="L847" s="51"/>
      <c r="M847" s="35"/>
      <c r="N847" s="51"/>
      <c r="O847" s="82"/>
      <c r="P847" s="51"/>
      <c r="Q847" s="338"/>
      <c r="R847" s="51"/>
      <c r="S847" s="51"/>
      <c r="T847" s="338"/>
      <c r="U847" s="51"/>
      <c r="V847" s="35"/>
      <c r="W847" s="364">
        <v>130000</v>
      </c>
      <c r="X847" s="285"/>
      <c r="Y847" s="285"/>
      <c r="Z847" s="285"/>
      <c r="AA847" s="285"/>
      <c r="AB847" s="285"/>
      <c r="AC847" s="9"/>
      <c r="AD847" s="306"/>
      <c r="AE847" s="302"/>
      <c r="AF847" s="302"/>
      <c r="AG847" s="56"/>
    </row>
    <row r="848" spans="1:33" x14ac:dyDescent="0.3">
      <c r="A848" s="47">
        <f t="shared" si="174"/>
        <v>762</v>
      </c>
      <c r="B848" s="414" t="s">
        <v>1002</v>
      </c>
      <c r="C848" s="51">
        <f t="shared" si="173"/>
        <v>130000</v>
      </c>
      <c r="D848" s="51">
        <f t="shared" si="176"/>
        <v>0</v>
      </c>
      <c r="E848" s="51"/>
      <c r="F848" s="51"/>
      <c r="G848" s="51"/>
      <c r="H848" s="51"/>
      <c r="I848" s="51"/>
      <c r="J848" s="51"/>
      <c r="K848" s="51"/>
      <c r="L848" s="51"/>
      <c r="M848" s="35"/>
      <c r="N848" s="51"/>
      <c r="O848" s="82"/>
      <c r="P848" s="51"/>
      <c r="Q848" s="338"/>
      <c r="R848" s="51"/>
      <c r="S848" s="51"/>
      <c r="T848" s="338"/>
      <c r="U848" s="51"/>
      <c r="V848" s="35"/>
      <c r="W848" s="364">
        <v>130000</v>
      </c>
      <c r="X848" s="285"/>
      <c r="Y848" s="285"/>
      <c r="Z848" s="285"/>
      <c r="AA848" s="285"/>
      <c r="AB848" s="285"/>
      <c r="AC848" s="9"/>
      <c r="AD848" s="306"/>
      <c r="AE848" s="302"/>
      <c r="AF848" s="302"/>
      <c r="AG848" s="56"/>
    </row>
    <row r="849" spans="1:33" x14ac:dyDescent="0.3">
      <c r="A849" s="47">
        <f t="shared" si="174"/>
        <v>763</v>
      </c>
      <c r="B849" s="414" t="s">
        <v>1003</v>
      </c>
      <c r="C849" s="51">
        <f t="shared" si="173"/>
        <v>328767.83</v>
      </c>
      <c r="D849" s="51">
        <f t="shared" si="176"/>
        <v>0</v>
      </c>
      <c r="E849" s="51"/>
      <c r="F849" s="51"/>
      <c r="G849" s="51"/>
      <c r="H849" s="51"/>
      <c r="I849" s="51"/>
      <c r="J849" s="51"/>
      <c r="K849" s="51"/>
      <c r="L849" s="51"/>
      <c r="M849" s="35"/>
      <c r="N849" s="51"/>
      <c r="O849" s="82"/>
      <c r="P849" s="51"/>
      <c r="Q849" s="338"/>
      <c r="R849" s="51"/>
      <c r="S849" s="51"/>
      <c r="T849" s="338"/>
      <c r="U849" s="51"/>
      <c r="V849" s="35"/>
      <c r="W849" s="364">
        <f>SUM(X849:AH849)</f>
        <v>328767.83</v>
      </c>
      <c r="X849" s="285"/>
      <c r="Y849" s="285"/>
      <c r="Z849" s="285"/>
      <c r="AA849" s="285"/>
      <c r="AB849" s="285"/>
      <c r="AC849" s="9">
        <v>328767.83</v>
      </c>
      <c r="AD849" s="306"/>
      <c r="AE849" s="302"/>
      <c r="AF849" s="302"/>
      <c r="AG849" s="56"/>
    </row>
    <row r="850" spans="1:33" x14ac:dyDescent="0.3">
      <c r="A850" s="47">
        <f t="shared" si="174"/>
        <v>764</v>
      </c>
      <c r="B850" s="414" t="s">
        <v>1004</v>
      </c>
      <c r="C850" s="51">
        <f t="shared" si="173"/>
        <v>130000</v>
      </c>
      <c r="D850" s="51">
        <f t="shared" si="176"/>
        <v>0</v>
      </c>
      <c r="E850" s="51"/>
      <c r="F850" s="51"/>
      <c r="G850" s="51"/>
      <c r="H850" s="51"/>
      <c r="I850" s="51"/>
      <c r="J850" s="51"/>
      <c r="K850" s="51"/>
      <c r="L850" s="51"/>
      <c r="M850" s="35"/>
      <c r="N850" s="51"/>
      <c r="O850" s="82"/>
      <c r="P850" s="51"/>
      <c r="Q850" s="338"/>
      <c r="R850" s="51"/>
      <c r="S850" s="51"/>
      <c r="T850" s="338"/>
      <c r="U850" s="51"/>
      <c r="V850" s="35"/>
      <c r="W850" s="364">
        <v>130000</v>
      </c>
      <c r="X850" s="285"/>
      <c r="Y850" s="285"/>
      <c r="Z850" s="285"/>
      <c r="AA850" s="285"/>
      <c r="AB850" s="285"/>
      <c r="AC850" s="9"/>
      <c r="AD850" s="306"/>
      <c r="AE850" s="302"/>
      <c r="AF850" s="302"/>
      <c r="AG850" s="56"/>
    </row>
    <row r="851" spans="1:33" x14ac:dyDescent="0.3">
      <c r="A851" s="47">
        <f t="shared" si="174"/>
        <v>765</v>
      </c>
      <c r="B851" s="414" t="s">
        <v>1005</v>
      </c>
      <c r="C851" s="51">
        <f t="shared" si="173"/>
        <v>389049.08999999997</v>
      </c>
      <c r="D851" s="51">
        <f t="shared" si="176"/>
        <v>0</v>
      </c>
      <c r="E851" s="51"/>
      <c r="F851" s="51"/>
      <c r="G851" s="51"/>
      <c r="H851" s="51"/>
      <c r="I851" s="51"/>
      <c r="J851" s="51"/>
      <c r="K851" s="51"/>
      <c r="L851" s="51"/>
      <c r="M851" s="35"/>
      <c r="N851" s="51"/>
      <c r="O851" s="82"/>
      <c r="P851" s="51"/>
      <c r="Q851" s="338"/>
      <c r="R851" s="51"/>
      <c r="S851" s="51"/>
      <c r="T851" s="338"/>
      <c r="U851" s="51"/>
      <c r="V851" s="35"/>
      <c r="W851" s="364">
        <f>SUM(X851:AH851)</f>
        <v>389049.08999999997</v>
      </c>
      <c r="X851" s="285">
        <v>113690.15</v>
      </c>
      <c r="Y851" s="285"/>
      <c r="Z851" s="285"/>
      <c r="AA851" s="285"/>
      <c r="AB851" s="285"/>
      <c r="AC851" s="9">
        <v>231463.85</v>
      </c>
      <c r="AD851" s="306">
        <v>43895.09</v>
      </c>
      <c r="AE851" s="302"/>
      <c r="AF851" s="302"/>
      <c r="AG851" s="56"/>
    </row>
    <row r="852" spans="1:33" x14ac:dyDescent="0.3">
      <c r="A852" s="47">
        <f t="shared" si="174"/>
        <v>766</v>
      </c>
      <c r="B852" s="414" t="s">
        <v>1006</v>
      </c>
      <c r="C852" s="51">
        <f t="shared" si="173"/>
        <v>333455.69</v>
      </c>
      <c r="D852" s="51">
        <f t="shared" si="176"/>
        <v>0</v>
      </c>
      <c r="E852" s="51"/>
      <c r="F852" s="51"/>
      <c r="G852" s="51"/>
      <c r="H852" s="51"/>
      <c r="I852" s="51"/>
      <c r="J852" s="51"/>
      <c r="K852" s="51"/>
      <c r="L852" s="51"/>
      <c r="M852" s="35"/>
      <c r="N852" s="51"/>
      <c r="O852" s="82"/>
      <c r="P852" s="51"/>
      <c r="Q852" s="338"/>
      <c r="R852" s="51"/>
      <c r="S852" s="51"/>
      <c r="T852" s="338"/>
      <c r="U852" s="51"/>
      <c r="V852" s="35"/>
      <c r="W852" s="364">
        <f>SUM(X852:AH852)</f>
        <v>333455.69</v>
      </c>
      <c r="X852" s="285">
        <v>109291.08</v>
      </c>
      <c r="Y852" s="285"/>
      <c r="Z852" s="285"/>
      <c r="AA852" s="285"/>
      <c r="AB852" s="285"/>
      <c r="AC852" s="9">
        <v>224164.61</v>
      </c>
      <c r="AD852" s="306"/>
      <c r="AE852" s="302"/>
      <c r="AF852" s="302"/>
      <c r="AG852" s="56"/>
    </row>
    <row r="853" spans="1:33" x14ac:dyDescent="0.3">
      <c r="A853" s="47">
        <f t="shared" si="174"/>
        <v>767</v>
      </c>
      <c r="B853" s="414" t="s">
        <v>1007</v>
      </c>
      <c r="C853" s="51">
        <f t="shared" si="173"/>
        <v>392845.33</v>
      </c>
      <c r="D853" s="51">
        <f t="shared" si="176"/>
        <v>0</v>
      </c>
      <c r="E853" s="51"/>
      <c r="F853" s="51"/>
      <c r="G853" s="51"/>
      <c r="H853" s="51"/>
      <c r="I853" s="51"/>
      <c r="J853" s="51"/>
      <c r="K853" s="51"/>
      <c r="L853" s="51"/>
      <c r="M853" s="35"/>
      <c r="N853" s="51"/>
      <c r="O853" s="82"/>
      <c r="P853" s="51"/>
      <c r="Q853" s="338"/>
      <c r="R853" s="51"/>
      <c r="S853" s="51"/>
      <c r="T853" s="338"/>
      <c r="U853" s="51"/>
      <c r="V853" s="35"/>
      <c r="W853" s="364">
        <f>SUM(X853:AH853)</f>
        <v>392845.33</v>
      </c>
      <c r="X853" s="285">
        <v>103282.61</v>
      </c>
      <c r="Y853" s="285"/>
      <c r="Z853" s="285"/>
      <c r="AA853" s="285"/>
      <c r="AB853" s="285"/>
      <c r="AC853" s="9">
        <v>240702.82</v>
      </c>
      <c r="AD853" s="306">
        <v>48859.9</v>
      </c>
      <c r="AE853" s="302"/>
      <c r="AF853" s="302"/>
      <c r="AG853" s="56"/>
    </row>
    <row r="854" spans="1:33" x14ac:dyDescent="0.3">
      <c r="A854" s="47">
        <f t="shared" si="174"/>
        <v>768</v>
      </c>
      <c r="B854" s="414" t="s">
        <v>1008</v>
      </c>
      <c r="C854" s="51">
        <f t="shared" ref="C854:C876" si="177">D854+K854+L854+N854+P854+R854+S854+U854+W854</f>
        <v>9215652</v>
      </c>
      <c r="D854" s="51">
        <f t="shared" si="176"/>
        <v>0</v>
      </c>
      <c r="E854" s="51"/>
      <c r="F854" s="51"/>
      <c r="G854" s="51"/>
      <c r="H854" s="51"/>
      <c r="I854" s="51"/>
      <c r="J854" s="51"/>
      <c r="K854" s="51"/>
      <c r="L854" s="51"/>
      <c r="M854" s="35">
        <v>2021</v>
      </c>
      <c r="N854" s="51">
        <v>9215652</v>
      </c>
      <c r="O854" s="82"/>
      <c r="P854" s="51"/>
      <c r="Q854" s="338"/>
      <c r="R854" s="51"/>
      <c r="S854" s="51"/>
      <c r="T854" s="338"/>
      <c r="U854" s="51"/>
      <c r="V854" s="35"/>
      <c r="W854" s="364"/>
      <c r="X854" s="285"/>
      <c r="Y854" s="285"/>
      <c r="Z854" s="285"/>
      <c r="AA854" s="285"/>
      <c r="AB854" s="285"/>
      <c r="AC854" s="9"/>
      <c r="AD854" s="306"/>
      <c r="AE854" s="302"/>
      <c r="AF854" s="302"/>
      <c r="AG854" s="56"/>
    </row>
    <row r="855" spans="1:33" x14ac:dyDescent="0.3">
      <c r="A855" s="47">
        <f t="shared" si="174"/>
        <v>769</v>
      </c>
      <c r="B855" s="414" t="s">
        <v>1009</v>
      </c>
      <c r="C855" s="51">
        <f t="shared" si="177"/>
        <v>518930.41000000003</v>
      </c>
      <c r="D855" s="51">
        <f t="shared" si="176"/>
        <v>0</v>
      </c>
      <c r="E855" s="51"/>
      <c r="F855" s="51"/>
      <c r="G855" s="51"/>
      <c r="H855" s="51"/>
      <c r="I855" s="51"/>
      <c r="J855" s="51"/>
      <c r="K855" s="51"/>
      <c r="L855" s="51"/>
      <c r="M855" s="35"/>
      <c r="N855" s="51"/>
      <c r="O855" s="82"/>
      <c r="P855" s="51"/>
      <c r="Q855" s="338"/>
      <c r="R855" s="51"/>
      <c r="S855" s="51"/>
      <c r="T855" s="338"/>
      <c r="U855" s="51"/>
      <c r="V855" s="35"/>
      <c r="W855" s="364">
        <f t="shared" ref="W855:W867" si="178">SUM(X855:AH855)</f>
        <v>518930.41000000003</v>
      </c>
      <c r="X855" s="285">
        <v>129346.13</v>
      </c>
      <c r="Y855" s="285"/>
      <c r="Z855" s="285"/>
      <c r="AA855" s="285"/>
      <c r="AB855" s="285"/>
      <c r="AC855" s="9">
        <v>263530.52</v>
      </c>
      <c r="AD855" s="306">
        <v>126053.75999999999</v>
      </c>
      <c r="AE855" s="302"/>
      <c r="AF855" s="302"/>
      <c r="AG855" s="56"/>
    </row>
    <row r="856" spans="1:33" x14ac:dyDescent="0.3">
      <c r="A856" s="47">
        <f t="shared" ref="A856:A887" si="179">A855+1</f>
        <v>770</v>
      </c>
      <c r="B856" s="414" t="s">
        <v>1010</v>
      </c>
      <c r="C856" s="51">
        <f t="shared" si="177"/>
        <v>627571.53</v>
      </c>
      <c r="D856" s="51">
        <f t="shared" si="176"/>
        <v>0</v>
      </c>
      <c r="E856" s="51"/>
      <c r="F856" s="51"/>
      <c r="G856" s="51"/>
      <c r="H856" s="51"/>
      <c r="I856" s="51"/>
      <c r="J856" s="51"/>
      <c r="K856" s="51"/>
      <c r="L856" s="51"/>
      <c r="M856" s="35"/>
      <c r="N856" s="51"/>
      <c r="O856" s="82"/>
      <c r="P856" s="51"/>
      <c r="Q856" s="338"/>
      <c r="R856" s="51"/>
      <c r="S856" s="51"/>
      <c r="T856" s="338"/>
      <c r="U856" s="51"/>
      <c r="V856" s="35"/>
      <c r="W856" s="364">
        <f t="shared" si="178"/>
        <v>627571.53</v>
      </c>
      <c r="X856" s="285">
        <v>179765.63</v>
      </c>
      <c r="Y856" s="285"/>
      <c r="Z856" s="285"/>
      <c r="AA856" s="285"/>
      <c r="AB856" s="285"/>
      <c r="AC856" s="9">
        <v>350288.39</v>
      </c>
      <c r="AD856" s="306">
        <v>97517.51</v>
      </c>
      <c r="AE856" s="302"/>
      <c r="AF856" s="302"/>
      <c r="AG856" s="56"/>
    </row>
    <row r="857" spans="1:33" x14ac:dyDescent="0.3">
      <c r="A857" s="47">
        <f t="shared" si="179"/>
        <v>771</v>
      </c>
      <c r="B857" s="414" t="s">
        <v>1011</v>
      </c>
      <c r="C857" s="51">
        <f t="shared" si="177"/>
        <v>243510.76</v>
      </c>
      <c r="D857" s="51">
        <f t="shared" si="176"/>
        <v>0</v>
      </c>
      <c r="E857" s="51"/>
      <c r="F857" s="51"/>
      <c r="G857" s="51"/>
      <c r="H857" s="51"/>
      <c r="I857" s="51"/>
      <c r="J857" s="51"/>
      <c r="K857" s="51"/>
      <c r="L857" s="51"/>
      <c r="M857" s="35"/>
      <c r="N857" s="51"/>
      <c r="O857" s="82"/>
      <c r="P857" s="51"/>
      <c r="Q857" s="338"/>
      <c r="R857" s="51"/>
      <c r="S857" s="51"/>
      <c r="T857" s="338"/>
      <c r="U857" s="51"/>
      <c r="V857" s="35"/>
      <c r="W857" s="364">
        <f t="shared" si="178"/>
        <v>243510.76</v>
      </c>
      <c r="X857" s="285">
        <v>55025.440000000002</v>
      </c>
      <c r="Y857" s="285"/>
      <c r="Z857" s="285"/>
      <c r="AA857" s="285"/>
      <c r="AB857" s="285"/>
      <c r="AC857" s="9">
        <v>114763.8</v>
      </c>
      <c r="AD857" s="306">
        <v>73721.52</v>
      </c>
      <c r="AE857" s="302"/>
      <c r="AF857" s="302"/>
      <c r="AG857" s="56"/>
    </row>
    <row r="858" spans="1:33" x14ac:dyDescent="0.3">
      <c r="A858" s="47">
        <f t="shared" si="179"/>
        <v>772</v>
      </c>
      <c r="B858" s="414" t="s">
        <v>1012</v>
      </c>
      <c r="C858" s="51">
        <f t="shared" si="177"/>
        <v>274313.8</v>
      </c>
      <c r="D858" s="51">
        <f t="shared" si="176"/>
        <v>0</v>
      </c>
      <c r="E858" s="51"/>
      <c r="F858" s="51"/>
      <c r="G858" s="51"/>
      <c r="H858" s="51"/>
      <c r="I858" s="51"/>
      <c r="J858" s="51"/>
      <c r="K858" s="51"/>
      <c r="L858" s="51"/>
      <c r="M858" s="35"/>
      <c r="N858" s="51"/>
      <c r="O858" s="82"/>
      <c r="P858" s="51"/>
      <c r="Q858" s="338"/>
      <c r="R858" s="51"/>
      <c r="S858" s="51"/>
      <c r="T858" s="338"/>
      <c r="U858" s="51"/>
      <c r="V858" s="35"/>
      <c r="W858" s="364">
        <f t="shared" si="178"/>
        <v>274313.8</v>
      </c>
      <c r="X858" s="285">
        <v>71626.06</v>
      </c>
      <c r="Y858" s="285"/>
      <c r="Z858" s="285"/>
      <c r="AA858" s="285"/>
      <c r="AB858" s="285"/>
      <c r="AC858" s="9">
        <v>139887.10999999999</v>
      </c>
      <c r="AD858" s="306">
        <v>62800.63</v>
      </c>
      <c r="AE858" s="302"/>
      <c r="AF858" s="302"/>
      <c r="AG858" s="56"/>
    </row>
    <row r="859" spans="1:33" x14ac:dyDescent="0.3">
      <c r="A859" s="47">
        <f t="shared" si="179"/>
        <v>773</v>
      </c>
      <c r="B859" s="414" t="s">
        <v>1013</v>
      </c>
      <c r="C859" s="51">
        <f t="shared" si="177"/>
        <v>1419305.5399999998</v>
      </c>
      <c r="D859" s="51">
        <f t="shared" si="176"/>
        <v>0</v>
      </c>
      <c r="E859" s="51"/>
      <c r="F859" s="51"/>
      <c r="G859" s="51"/>
      <c r="H859" s="51"/>
      <c r="I859" s="51"/>
      <c r="J859" s="51"/>
      <c r="K859" s="51"/>
      <c r="L859" s="51"/>
      <c r="M859" s="35"/>
      <c r="N859" s="51"/>
      <c r="O859" s="82"/>
      <c r="P859" s="51"/>
      <c r="Q859" s="338"/>
      <c r="R859" s="51"/>
      <c r="S859" s="51"/>
      <c r="T859" s="338"/>
      <c r="U859" s="51"/>
      <c r="V859" s="35"/>
      <c r="W859" s="364">
        <f t="shared" si="178"/>
        <v>1419305.5399999998</v>
      </c>
      <c r="X859" s="285">
        <v>138322.04</v>
      </c>
      <c r="Y859" s="285">
        <v>188923.21</v>
      </c>
      <c r="Z859" s="489">
        <v>147394.57</v>
      </c>
      <c r="AA859" s="489"/>
      <c r="AB859" s="285">
        <v>133006.26999999999</v>
      </c>
      <c r="AC859" s="9">
        <v>326604.05</v>
      </c>
      <c r="AD859" s="306">
        <v>243541.16</v>
      </c>
      <c r="AE859" s="302"/>
      <c r="AF859" s="302">
        <v>241514.23999999999</v>
      </c>
      <c r="AG859" s="56"/>
    </row>
    <row r="860" spans="1:33" x14ac:dyDescent="0.3">
      <c r="A860" s="47">
        <f t="shared" si="179"/>
        <v>774</v>
      </c>
      <c r="B860" s="414" t="s">
        <v>1014</v>
      </c>
      <c r="C860" s="51">
        <f t="shared" si="177"/>
        <v>5847162.6799999997</v>
      </c>
      <c r="D860" s="51">
        <f t="shared" si="176"/>
        <v>0</v>
      </c>
      <c r="E860" s="51"/>
      <c r="F860" s="51"/>
      <c r="G860" s="51"/>
      <c r="H860" s="51"/>
      <c r="I860" s="51"/>
      <c r="J860" s="51"/>
      <c r="K860" s="51"/>
      <c r="L860" s="51"/>
      <c r="M860" s="35">
        <v>1284.7</v>
      </c>
      <c r="N860" s="51">
        <v>5260614</v>
      </c>
      <c r="O860" s="82"/>
      <c r="P860" s="51"/>
      <c r="Q860" s="338"/>
      <c r="R860" s="51"/>
      <c r="S860" s="51"/>
      <c r="T860" s="338"/>
      <c r="U860" s="51"/>
      <c r="V860" s="35"/>
      <c r="W860" s="364">
        <f t="shared" si="178"/>
        <v>586548.68000000005</v>
      </c>
      <c r="X860" s="285"/>
      <c r="Y860" s="285"/>
      <c r="Z860" s="285"/>
      <c r="AA860" s="285"/>
      <c r="AB860" s="285"/>
      <c r="AC860" s="9">
        <v>586548.68000000005</v>
      </c>
      <c r="AD860" s="306"/>
      <c r="AE860" s="302"/>
      <c r="AF860" s="302"/>
      <c r="AG860" s="56"/>
    </row>
    <row r="861" spans="1:33" x14ac:dyDescent="0.3">
      <c r="A861" s="47">
        <f t="shared" si="179"/>
        <v>775</v>
      </c>
      <c r="B861" s="414" t="s">
        <v>1015</v>
      </c>
      <c r="C861" s="51">
        <f t="shared" si="177"/>
        <v>1676564.84</v>
      </c>
      <c r="D861" s="51">
        <f t="shared" si="176"/>
        <v>0</v>
      </c>
      <c r="E861" s="51"/>
      <c r="F861" s="51"/>
      <c r="G861" s="51"/>
      <c r="H861" s="51"/>
      <c r="I861" s="51"/>
      <c r="J861" s="51"/>
      <c r="K861" s="51"/>
      <c r="L861" s="51"/>
      <c r="M861" s="35"/>
      <c r="N861" s="51"/>
      <c r="O861" s="82"/>
      <c r="P861" s="51"/>
      <c r="Q861" s="338"/>
      <c r="R861" s="51"/>
      <c r="S861" s="51"/>
      <c r="T861" s="338"/>
      <c r="U861" s="51"/>
      <c r="V861" s="35"/>
      <c r="W861" s="364">
        <f t="shared" si="178"/>
        <v>1676564.84</v>
      </c>
      <c r="X861" s="285">
        <v>393695.02</v>
      </c>
      <c r="Y861" s="285">
        <v>546287.18000000005</v>
      </c>
      <c r="Z861" s="505">
        <v>381394.94</v>
      </c>
      <c r="AA861" s="505"/>
      <c r="AB861" s="285">
        <v>355187.7</v>
      </c>
      <c r="AC861" s="9"/>
      <c r="AD861" s="306"/>
      <c r="AE861" s="302"/>
      <c r="AF861" s="302"/>
      <c r="AG861" s="56"/>
    </row>
    <row r="862" spans="1:33" x14ac:dyDescent="0.3">
      <c r="A862" s="47">
        <f t="shared" si="179"/>
        <v>776</v>
      </c>
      <c r="B862" s="414" t="s">
        <v>1016</v>
      </c>
      <c r="C862" s="51">
        <f t="shared" si="177"/>
        <v>481390.49</v>
      </c>
      <c r="D862" s="51">
        <f t="shared" si="176"/>
        <v>0</v>
      </c>
      <c r="E862" s="51"/>
      <c r="F862" s="51"/>
      <c r="G862" s="51"/>
      <c r="H862" s="51"/>
      <c r="I862" s="51"/>
      <c r="J862" s="51"/>
      <c r="K862" s="51"/>
      <c r="L862" s="51"/>
      <c r="M862" s="35"/>
      <c r="N862" s="51"/>
      <c r="O862" s="82"/>
      <c r="P862" s="51"/>
      <c r="Q862" s="338"/>
      <c r="R862" s="51"/>
      <c r="S862" s="51"/>
      <c r="T862" s="338"/>
      <c r="U862" s="51"/>
      <c r="V862" s="35"/>
      <c r="W862" s="364">
        <f t="shared" si="178"/>
        <v>481390.49</v>
      </c>
      <c r="X862" s="285">
        <v>116797.32</v>
      </c>
      <c r="Y862" s="285"/>
      <c r="Z862" s="285"/>
      <c r="AA862" s="285"/>
      <c r="AB862" s="285"/>
      <c r="AC862" s="9">
        <v>256576.27</v>
      </c>
      <c r="AD862" s="306">
        <v>108016.9</v>
      </c>
      <c r="AE862" s="302"/>
      <c r="AF862" s="302"/>
      <c r="AG862" s="56"/>
    </row>
    <row r="863" spans="1:33" x14ac:dyDescent="0.3">
      <c r="A863" s="47">
        <f t="shared" si="179"/>
        <v>777</v>
      </c>
      <c r="B863" s="414" t="s">
        <v>1017</v>
      </c>
      <c r="C863" s="51">
        <f t="shared" si="177"/>
        <v>1434884.74</v>
      </c>
      <c r="D863" s="51">
        <f t="shared" si="176"/>
        <v>0</v>
      </c>
      <c r="E863" s="51"/>
      <c r="F863" s="51"/>
      <c r="G863" s="51"/>
      <c r="H863" s="51"/>
      <c r="I863" s="51"/>
      <c r="J863" s="51"/>
      <c r="K863" s="51"/>
      <c r="L863" s="51"/>
      <c r="M863" s="35"/>
      <c r="N863" s="51"/>
      <c r="O863" s="82"/>
      <c r="P863" s="51"/>
      <c r="Q863" s="338"/>
      <c r="R863" s="51"/>
      <c r="S863" s="51"/>
      <c r="T863" s="338"/>
      <c r="U863" s="51"/>
      <c r="V863" s="35"/>
      <c r="W863" s="364">
        <f t="shared" si="178"/>
        <v>1434884.74</v>
      </c>
      <c r="X863" s="285">
        <v>355837.18</v>
      </c>
      <c r="Y863" s="285"/>
      <c r="Z863" s="285"/>
      <c r="AA863" s="285"/>
      <c r="AB863" s="285"/>
      <c r="AC863" s="9">
        <v>803221.37</v>
      </c>
      <c r="AD863" s="306">
        <v>275826.19</v>
      </c>
      <c r="AE863" s="302"/>
      <c r="AF863" s="302"/>
      <c r="AG863" s="56"/>
    </row>
    <row r="864" spans="1:33" x14ac:dyDescent="0.3">
      <c r="A864" s="47">
        <f t="shared" si="179"/>
        <v>778</v>
      </c>
      <c r="B864" s="414" t="s">
        <v>1018</v>
      </c>
      <c r="C864" s="51">
        <f t="shared" si="177"/>
        <v>1339759.0000000002</v>
      </c>
      <c r="D864" s="51">
        <f t="shared" si="176"/>
        <v>0</v>
      </c>
      <c r="E864" s="51"/>
      <c r="F864" s="51"/>
      <c r="G864" s="51"/>
      <c r="H864" s="51"/>
      <c r="I864" s="51"/>
      <c r="J864" s="51"/>
      <c r="K864" s="51"/>
      <c r="L864" s="51"/>
      <c r="M864" s="35"/>
      <c r="N864" s="51"/>
      <c r="O864" s="82"/>
      <c r="P864" s="51"/>
      <c r="Q864" s="338"/>
      <c r="R864" s="51"/>
      <c r="S864" s="51"/>
      <c r="T864" s="338"/>
      <c r="U864" s="51"/>
      <c r="V864" s="35"/>
      <c r="W864" s="364">
        <f t="shared" si="178"/>
        <v>1339759.0000000002</v>
      </c>
      <c r="X864" s="285">
        <v>179342.56</v>
      </c>
      <c r="Y864" s="285">
        <v>254435.23</v>
      </c>
      <c r="Z864" s="505">
        <v>177463.57</v>
      </c>
      <c r="AA864" s="505"/>
      <c r="AB864" s="285">
        <v>163075.28</v>
      </c>
      <c r="AC864" s="9">
        <v>460844</v>
      </c>
      <c r="AD864" s="306">
        <v>104598.36</v>
      </c>
      <c r="AE864" s="302"/>
      <c r="AF864" s="302"/>
      <c r="AG864" s="56"/>
    </row>
    <row r="865" spans="1:33" x14ac:dyDescent="0.3">
      <c r="A865" s="47">
        <f t="shared" si="179"/>
        <v>779</v>
      </c>
      <c r="B865" s="414" t="s">
        <v>1019</v>
      </c>
      <c r="C865" s="51">
        <f t="shared" si="177"/>
        <v>311478.44</v>
      </c>
      <c r="D865" s="51">
        <f t="shared" si="176"/>
        <v>0</v>
      </c>
      <c r="E865" s="51"/>
      <c r="F865" s="51"/>
      <c r="G865" s="51"/>
      <c r="H865" s="51"/>
      <c r="I865" s="51"/>
      <c r="J865" s="51"/>
      <c r="K865" s="51"/>
      <c r="L865" s="51"/>
      <c r="M865" s="35"/>
      <c r="N865" s="51"/>
      <c r="O865" s="82"/>
      <c r="P865" s="51"/>
      <c r="Q865" s="338"/>
      <c r="R865" s="51"/>
      <c r="S865" s="51"/>
      <c r="T865" s="338"/>
      <c r="U865" s="51"/>
      <c r="V865" s="35"/>
      <c r="W865" s="364">
        <f t="shared" si="178"/>
        <v>311478.44</v>
      </c>
      <c r="X865" s="285">
        <v>108536.82</v>
      </c>
      <c r="Y865" s="285"/>
      <c r="Z865" s="285"/>
      <c r="AA865" s="285"/>
      <c r="AB865" s="285"/>
      <c r="AC865" s="9">
        <v>202941.62</v>
      </c>
      <c r="AD865" s="306"/>
      <c r="AE865" s="302"/>
      <c r="AF865" s="302"/>
      <c r="AG865" s="56"/>
    </row>
    <row r="866" spans="1:33" x14ac:dyDescent="0.3">
      <c r="A866" s="47">
        <f t="shared" si="179"/>
        <v>780</v>
      </c>
      <c r="B866" s="414" t="s">
        <v>1020</v>
      </c>
      <c r="C866" s="51">
        <f t="shared" si="177"/>
        <v>855213.16</v>
      </c>
      <c r="D866" s="51">
        <f t="shared" si="176"/>
        <v>0</v>
      </c>
      <c r="E866" s="51"/>
      <c r="F866" s="51"/>
      <c r="G866" s="51"/>
      <c r="H866" s="51"/>
      <c r="I866" s="51"/>
      <c r="J866" s="51"/>
      <c r="K866" s="51"/>
      <c r="L866" s="51"/>
      <c r="M866" s="35"/>
      <c r="N866" s="51"/>
      <c r="O866" s="82"/>
      <c r="P866" s="51"/>
      <c r="Q866" s="338"/>
      <c r="R866" s="51"/>
      <c r="S866" s="51"/>
      <c r="T866" s="338"/>
      <c r="U866" s="51"/>
      <c r="V866" s="35"/>
      <c r="W866" s="364">
        <f t="shared" si="178"/>
        <v>855213.16</v>
      </c>
      <c r="X866" s="285"/>
      <c r="Y866" s="285"/>
      <c r="Z866" s="285"/>
      <c r="AA866" s="285"/>
      <c r="AB866" s="285"/>
      <c r="AC866" s="9">
        <v>855213.16</v>
      </c>
      <c r="AD866" s="306"/>
      <c r="AE866" s="302"/>
      <c r="AF866" s="302"/>
      <c r="AG866" s="56"/>
    </row>
    <row r="867" spans="1:33" x14ac:dyDescent="0.3">
      <c r="A867" s="47">
        <f t="shared" si="179"/>
        <v>781</v>
      </c>
      <c r="B867" s="414" t="s">
        <v>1021</v>
      </c>
      <c r="C867" s="51">
        <f t="shared" si="177"/>
        <v>567102.76</v>
      </c>
      <c r="D867" s="51">
        <f t="shared" si="176"/>
        <v>0</v>
      </c>
      <c r="E867" s="51"/>
      <c r="F867" s="51"/>
      <c r="G867" s="51"/>
      <c r="H867" s="51"/>
      <c r="I867" s="51"/>
      <c r="J867" s="51"/>
      <c r="K867" s="51"/>
      <c r="L867" s="51"/>
      <c r="M867" s="35"/>
      <c r="N867" s="51"/>
      <c r="O867" s="82"/>
      <c r="P867" s="51"/>
      <c r="Q867" s="338"/>
      <c r="R867" s="51"/>
      <c r="S867" s="51"/>
      <c r="T867" s="338"/>
      <c r="U867" s="51"/>
      <c r="V867" s="35"/>
      <c r="W867" s="364">
        <f t="shared" si="178"/>
        <v>567102.76</v>
      </c>
      <c r="X867" s="285">
        <v>150346.67000000001</v>
      </c>
      <c r="Y867" s="285"/>
      <c r="Z867" s="285"/>
      <c r="AA867" s="285"/>
      <c r="AB867" s="285"/>
      <c r="AC867" s="9">
        <v>314163.25</v>
      </c>
      <c r="AD867" s="306">
        <v>102592.84</v>
      </c>
      <c r="AE867" s="302"/>
      <c r="AF867" s="302"/>
      <c r="AG867" s="56"/>
    </row>
    <row r="868" spans="1:33" x14ac:dyDescent="0.3">
      <c r="A868" s="47">
        <f t="shared" si="179"/>
        <v>782</v>
      </c>
      <c r="B868" s="414" t="s">
        <v>1022</v>
      </c>
      <c r="C868" s="51">
        <f t="shared" si="177"/>
        <v>130000</v>
      </c>
      <c r="D868" s="51">
        <f t="shared" si="176"/>
        <v>0</v>
      </c>
      <c r="E868" s="51"/>
      <c r="F868" s="51"/>
      <c r="G868" s="51"/>
      <c r="H868" s="51"/>
      <c r="I868" s="51"/>
      <c r="J868" s="51"/>
      <c r="K868" s="51"/>
      <c r="L868" s="51"/>
      <c r="M868" s="35"/>
      <c r="N868" s="51"/>
      <c r="O868" s="82"/>
      <c r="P868" s="51"/>
      <c r="Q868" s="338"/>
      <c r="R868" s="51"/>
      <c r="S868" s="51"/>
      <c r="T868" s="338"/>
      <c r="U868" s="51"/>
      <c r="V868" s="35"/>
      <c r="W868" s="364">
        <v>130000</v>
      </c>
      <c r="X868" s="285"/>
      <c r="Y868" s="285"/>
      <c r="Z868" s="285"/>
      <c r="AA868" s="285"/>
      <c r="AB868" s="285"/>
      <c r="AC868" s="9"/>
      <c r="AD868" s="306"/>
      <c r="AE868" s="302"/>
      <c r="AF868" s="302"/>
      <c r="AG868" s="56"/>
    </row>
    <row r="869" spans="1:33" x14ac:dyDescent="0.3">
      <c r="A869" s="47">
        <f t="shared" si="179"/>
        <v>783</v>
      </c>
      <c r="B869" s="414" t="s">
        <v>1023</v>
      </c>
      <c r="C869" s="51">
        <f t="shared" si="177"/>
        <v>130000</v>
      </c>
      <c r="D869" s="51">
        <f t="shared" si="176"/>
        <v>0</v>
      </c>
      <c r="E869" s="51"/>
      <c r="F869" s="51"/>
      <c r="G869" s="51"/>
      <c r="H869" s="51"/>
      <c r="I869" s="51"/>
      <c r="J869" s="51"/>
      <c r="K869" s="51"/>
      <c r="L869" s="51"/>
      <c r="M869" s="35"/>
      <c r="N869" s="51"/>
      <c r="O869" s="82"/>
      <c r="P869" s="51"/>
      <c r="Q869" s="338"/>
      <c r="R869" s="51"/>
      <c r="S869" s="51"/>
      <c r="T869" s="338"/>
      <c r="U869" s="51"/>
      <c r="V869" s="35"/>
      <c r="W869" s="364">
        <v>130000</v>
      </c>
      <c r="X869" s="285"/>
      <c r="Y869" s="285"/>
      <c r="Z869" s="285"/>
      <c r="AA869" s="285"/>
      <c r="AB869" s="285"/>
      <c r="AC869" s="9"/>
      <c r="AD869" s="306"/>
      <c r="AE869" s="302"/>
      <c r="AF869" s="302"/>
      <c r="AG869" s="56"/>
    </row>
    <row r="870" spans="1:33" x14ac:dyDescent="0.3">
      <c r="A870" s="47">
        <f t="shared" si="179"/>
        <v>784</v>
      </c>
      <c r="B870" s="414" t="s">
        <v>1024</v>
      </c>
      <c r="C870" s="51">
        <f t="shared" si="177"/>
        <v>130000</v>
      </c>
      <c r="D870" s="51">
        <f t="shared" si="176"/>
        <v>0</v>
      </c>
      <c r="E870" s="51"/>
      <c r="F870" s="51"/>
      <c r="G870" s="51"/>
      <c r="H870" s="51"/>
      <c r="I870" s="51"/>
      <c r="J870" s="51"/>
      <c r="K870" s="51"/>
      <c r="L870" s="51"/>
      <c r="M870" s="35"/>
      <c r="N870" s="51"/>
      <c r="O870" s="82"/>
      <c r="P870" s="51"/>
      <c r="Q870" s="338"/>
      <c r="R870" s="51"/>
      <c r="S870" s="51"/>
      <c r="T870" s="338"/>
      <c r="U870" s="51"/>
      <c r="V870" s="35"/>
      <c r="W870" s="364">
        <v>130000</v>
      </c>
      <c r="X870" s="285"/>
      <c r="Y870" s="285"/>
      <c r="Z870" s="285"/>
      <c r="AA870" s="285"/>
      <c r="AB870" s="285"/>
      <c r="AC870" s="9"/>
      <c r="AD870" s="306"/>
      <c r="AE870" s="302"/>
      <c r="AF870" s="302"/>
      <c r="AG870" s="56"/>
    </row>
    <row r="871" spans="1:33" x14ac:dyDescent="0.3">
      <c r="A871" s="47">
        <f t="shared" si="179"/>
        <v>785</v>
      </c>
      <c r="B871" s="414" t="s">
        <v>1025</v>
      </c>
      <c r="C871" s="51">
        <f t="shared" si="177"/>
        <v>599494.02</v>
      </c>
      <c r="D871" s="51">
        <f t="shared" si="176"/>
        <v>0</v>
      </c>
      <c r="E871" s="51"/>
      <c r="F871" s="51"/>
      <c r="G871" s="51"/>
      <c r="H871" s="51"/>
      <c r="I871" s="51"/>
      <c r="J871" s="51"/>
      <c r="K871" s="51"/>
      <c r="L871" s="51"/>
      <c r="M871" s="35"/>
      <c r="N871" s="51"/>
      <c r="O871" s="82"/>
      <c r="P871" s="51"/>
      <c r="Q871" s="338"/>
      <c r="R871" s="51"/>
      <c r="S871" s="51"/>
      <c r="T871" s="338"/>
      <c r="U871" s="51"/>
      <c r="V871" s="35"/>
      <c r="W871" s="364">
        <f>SUM(X871:AH871)</f>
        <v>599494.02</v>
      </c>
      <c r="X871" s="285">
        <v>162562.13</v>
      </c>
      <c r="Y871" s="285"/>
      <c r="Z871" s="285"/>
      <c r="AA871" s="285"/>
      <c r="AB871" s="285"/>
      <c r="AC871" s="9">
        <v>334574.65000000002</v>
      </c>
      <c r="AD871" s="306">
        <v>102357.24</v>
      </c>
      <c r="AE871" s="302"/>
      <c r="AF871" s="302"/>
      <c r="AG871" s="56"/>
    </row>
    <row r="872" spans="1:33" x14ac:dyDescent="0.3">
      <c r="A872" s="47">
        <f t="shared" si="179"/>
        <v>786</v>
      </c>
      <c r="B872" s="414" t="s">
        <v>1026</v>
      </c>
      <c r="C872" s="51">
        <f t="shared" si="177"/>
        <v>416761.75</v>
      </c>
      <c r="D872" s="51">
        <f t="shared" si="176"/>
        <v>0</v>
      </c>
      <c r="E872" s="51"/>
      <c r="F872" s="51"/>
      <c r="G872" s="51"/>
      <c r="H872" s="51"/>
      <c r="I872" s="51"/>
      <c r="J872" s="51"/>
      <c r="K872" s="51"/>
      <c r="L872" s="51"/>
      <c r="M872" s="35"/>
      <c r="N872" s="51"/>
      <c r="O872" s="82"/>
      <c r="P872" s="51"/>
      <c r="Q872" s="338"/>
      <c r="R872" s="51"/>
      <c r="S872" s="51"/>
      <c r="T872" s="338"/>
      <c r="U872" s="51"/>
      <c r="V872" s="35"/>
      <c r="W872" s="364">
        <f>SUM(X872:AH872)</f>
        <v>416761.75</v>
      </c>
      <c r="X872" s="285">
        <v>104723.92</v>
      </c>
      <c r="Y872" s="285"/>
      <c r="Z872" s="285"/>
      <c r="AA872" s="285"/>
      <c r="AB872" s="285"/>
      <c r="AC872" s="9">
        <v>236476.63</v>
      </c>
      <c r="AD872" s="306">
        <v>75561.2</v>
      </c>
      <c r="AE872" s="302"/>
      <c r="AF872" s="302"/>
      <c r="AG872" s="56"/>
    </row>
    <row r="873" spans="1:33" x14ac:dyDescent="0.3">
      <c r="A873" s="47">
        <f t="shared" si="179"/>
        <v>787</v>
      </c>
      <c r="B873" s="414" t="s">
        <v>1027</v>
      </c>
      <c r="C873" s="51">
        <f t="shared" si="177"/>
        <v>130000</v>
      </c>
      <c r="D873" s="51">
        <f t="shared" si="176"/>
        <v>0</v>
      </c>
      <c r="E873" s="51"/>
      <c r="F873" s="51"/>
      <c r="G873" s="51"/>
      <c r="H873" s="51"/>
      <c r="I873" s="51"/>
      <c r="J873" s="51"/>
      <c r="K873" s="51"/>
      <c r="L873" s="51"/>
      <c r="M873" s="35"/>
      <c r="N873" s="51"/>
      <c r="O873" s="82"/>
      <c r="P873" s="51"/>
      <c r="Q873" s="338"/>
      <c r="R873" s="51"/>
      <c r="S873" s="51"/>
      <c r="T873" s="338"/>
      <c r="U873" s="51"/>
      <c r="V873" s="35"/>
      <c r="W873" s="364">
        <v>130000</v>
      </c>
      <c r="X873" s="285"/>
      <c r="Y873" s="285"/>
      <c r="Z873" s="285"/>
      <c r="AA873" s="285"/>
      <c r="AB873" s="285"/>
      <c r="AC873" s="9"/>
      <c r="AD873" s="306"/>
      <c r="AE873" s="302"/>
      <c r="AF873" s="302"/>
      <c r="AG873" s="56"/>
    </row>
    <row r="874" spans="1:33" x14ac:dyDescent="0.3">
      <c r="A874" s="47">
        <f t="shared" si="179"/>
        <v>788</v>
      </c>
      <c r="B874" s="414" t="s">
        <v>1028</v>
      </c>
      <c r="C874" s="51">
        <f t="shared" si="177"/>
        <v>418129.35000000003</v>
      </c>
      <c r="D874" s="51">
        <f t="shared" si="176"/>
        <v>0</v>
      </c>
      <c r="E874" s="51"/>
      <c r="F874" s="51"/>
      <c r="G874" s="51"/>
      <c r="H874" s="51"/>
      <c r="I874" s="51"/>
      <c r="J874" s="51"/>
      <c r="K874" s="51"/>
      <c r="L874" s="51"/>
      <c r="M874" s="35"/>
      <c r="N874" s="51"/>
      <c r="O874" s="82"/>
      <c r="P874" s="51"/>
      <c r="Q874" s="338"/>
      <c r="R874" s="51"/>
      <c r="S874" s="51"/>
      <c r="T874" s="338"/>
      <c r="U874" s="51"/>
      <c r="V874" s="35"/>
      <c r="W874" s="364">
        <f>SUM(X874:AH874)</f>
        <v>418129.35000000003</v>
      </c>
      <c r="X874" s="285">
        <v>117931.54</v>
      </c>
      <c r="Y874" s="285"/>
      <c r="Z874" s="285"/>
      <c r="AA874" s="285"/>
      <c r="AB874" s="285"/>
      <c r="AC874" s="9">
        <v>211777.48</v>
      </c>
      <c r="AD874" s="306">
        <v>88420.33</v>
      </c>
      <c r="AE874" s="302"/>
      <c r="AF874" s="302"/>
      <c r="AG874" s="56"/>
    </row>
    <row r="875" spans="1:33" x14ac:dyDescent="0.3">
      <c r="A875" s="47">
        <f t="shared" si="179"/>
        <v>789</v>
      </c>
      <c r="B875" s="414" t="s">
        <v>1029</v>
      </c>
      <c r="C875" s="51">
        <f t="shared" si="177"/>
        <v>721486.12</v>
      </c>
      <c r="D875" s="51">
        <f t="shared" si="176"/>
        <v>0</v>
      </c>
      <c r="E875" s="51"/>
      <c r="F875" s="51"/>
      <c r="G875" s="506"/>
      <c r="H875" s="506"/>
      <c r="I875" s="506"/>
      <c r="J875" s="51"/>
      <c r="K875" s="51"/>
      <c r="L875" s="51"/>
      <c r="M875" s="35"/>
      <c r="N875" s="51"/>
      <c r="O875" s="82"/>
      <c r="P875" s="51"/>
      <c r="Q875" s="338"/>
      <c r="R875" s="51"/>
      <c r="S875" s="51"/>
      <c r="T875" s="338"/>
      <c r="U875" s="51"/>
      <c r="V875" s="35"/>
      <c r="W875" s="364">
        <f>SUM(X875:AH875)</f>
        <v>721486.12</v>
      </c>
      <c r="X875" s="285">
        <v>148169.14000000001</v>
      </c>
      <c r="Y875" s="285">
        <v>184270.33</v>
      </c>
      <c r="Z875" s="285">
        <v>147076.5</v>
      </c>
      <c r="AA875" s="285"/>
      <c r="AB875" s="285">
        <v>147076.5</v>
      </c>
      <c r="AC875" s="9"/>
      <c r="AD875" s="306">
        <v>94893.65</v>
      </c>
      <c r="AE875" s="302"/>
      <c r="AF875" s="302"/>
      <c r="AG875" s="56"/>
    </row>
    <row r="876" spans="1:33" x14ac:dyDescent="0.3">
      <c r="A876" s="47">
        <f t="shared" si="179"/>
        <v>790</v>
      </c>
      <c r="B876" s="414" t="s">
        <v>1030</v>
      </c>
      <c r="C876" s="51">
        <f t="shared" si="177"/>
        <v>273415.25</v>
      </c>
      <c r="D876" s="51">
        <f t="shared" si="176"/>
        <v>0</v>
      </c>
      <c r="E876" s="51"/>
      <c r="F876" s="51"/>
      <c r="G876" s="51"/>
      <c r="H876" s="51"/>
      <c r="I876" s="51"/>
      <c r="J876" s="51"/>
      <c r="K876" s="51"/>
      <c r="L876" s="51"/>
      <c r="M876" s="35"/>
      <c r="N876" s="51"/>
      <c r="O876" s="82"/>
      <c r="P876" s="51"/>
      <c r="Q876" s="338"/>
      <c r="R876" s="51"/>
      <c r="S876" s="51"/>
      <c r="T876" s="338"/>
      <c r="U876" s="51"/>
      <c r="V876" s="35"/>
      <c r="W876" s="364">
        <f>SUM(X876:AH876)</f>
        <v>273415.25</v>
      </c>
      <c r="X876" s="285">
        <v>79818.11</v>
      </c>
      <c r="Y876" s="285"/>
      <c r="Z876" s="285"/>
      <c r="AA876" s="285"/>
      <c r="AB876" s="285"/>
      <c r="AC876" s="9">
        <v>110171.99</v>
      </c>
      <c r="AD876" s="306">
        <v>83425.149999999994</v>
      </c>
      <c r="AE876" s="302"/>
      <c r="AF876" s="302"/>
      <c r="AG876" s="56"/>
    </row>
    <row r="877" spans="1:33" x14ac:dyDescent="0.3">
      <c r="A877" s="47">
        <f t="shared" si="179"/>
        <v>791</v>
      </c>
      <c r="B877" s="414" t="s">
        <v>1031</v>
      </c>
      <c r="C877" s="51">
        <f>D877+K877+L877+N877+P877+R877+S877+U877+'2020'!W238</f>
        <v>16319618.129999999</v>
      </c>
      <c r="D877" s="51">
        <f t="shared" si="176"/>
        <v>3583923</v>
      </c>
      <c r="E877" s="51">
        <v>3583923</v>
      </c>
      <c r="F877" s="51"/>
      <c r="G877" s="51"/>
      <c r="H877" s="51"/>
      <c r="I877" s="51"/>
      <c r="J877" s="51"/>
      <c r="K877" s="51"/>
      <c r="L877" s="51"/>
      <c r="M877" s="35">
        <v>1474</v>
      </c>
      <c r="N877" s="51">
        <v>11930556</v>
      </c>
      <c r="O877" s="82"/>
      <c r="P877" s="51"/>
      <c r="Q877" s="338"/>
      <c r="R877" s="51"/>
      <c r="S877" s="51"/>
      <c r="T877" s="338"/>
      <c r="U877" s="51"/>
      <c r="V877" s="35"/>
      <c r="W877" s="418"/>
      <c r="X877" s="285">
        <v>189256.57</v>
      </c>
      <c r="Y877" s="285"/>
      <c r="Z877" s="285"/>
      <c r="AA877" s="285"/>
      <c r="AB877" s="285">
        <v>187863.4</v>
      </c>
      <c r="AC877" s="9">
        <v>428019.16</v>
      </c>
      <c r="AD877" s="306"/>
      <c r="AE877" s="302"/>
      <c r="AF877" s="302"/>
      <c r="AG877" s="56"/>
    </row>
    <row r="878" spans="1:33" x14ac:dyDescent="0.3">
      <c r="A878" s="47">
        <f t="shared" si="179"/>
        <v>792</v>
      </c>
      <c r="B878" s="414" t="s">
        <v>1032</v>
      </c>
      <c r="C878" s="51">
        <f t="shared" ref="C878:C916" si="180">D878+K878+L878+N878+P878+R878+S878+U878+W878</f>
        <v>320035.43</v>
      </c>
      <c r="D878" s="51">
        <f t="shared" si="176"/>
        <v>0</v>
      </c>
      <c r="E878" s="51"/>
      <c r="F878" s="51"/>
      <c r="G878" s="51"/>
      <c r="H878" s="51"/>
      <c r="I878" s="51"/>
      <c r="J878" s="51"/>
      <c r="K878" s="51"/>
      <c r="L878" s="51"/>
      <c r="M878" s="35"/>
      <c r="N878" s="51"/>
      <c r="O878" s="82"/>
      <c r="P878" s="51"/>
      <c r="Q878" s="338"/>
      <c r="R878" s="51"/>
      <c r="S878" s="51"/>
      <c r="T878" s="338"/>
      <c r="U878" s="51"/>
      <c r="V878" s="35"/>
      <c r="W878" s="364">
        <f>SUM(X878:AH878)</f>
        <v>320035.43</v>
      </c>
      <c r="X878" s="285">
        <v>99345.5</v>
      </c>
      <c r="Y878" s="285"/>
      <c r="Z878" s="285"/>
      <c r="AA878" s="285"/>
      <c r="AB878" s="285"/>
      <c r="AC878" s="9">
        <v>181632.85</v>
      </c>
      <c r="AD878" s="306">
        <v>39057.08</v>
      </c>
      <c r="AE878" s="302"/>
      <c r="AF878" s="302"/>
      <c r="AG878" s="56"/>
    </row>
    <row r="879" spans="1:33" x14ac:dyDescent="0.3">
      <c r="A879" s="47">
        <f t="shared" si="179"/>
        <v>793</v>
      </c>
      <c r="B879" s="414" t="s">
        <v>1033</v>
      </c>
      <c r="C879" s="51">
        <f t="shared" si="180"/>
        <v>203711.11000000002</v>
      </c>
      <c r="D879" s="51">
        <f t="shared" si="176"/>
        <v>0</v>
      </c>
      <c r="E879" s="51"/>
      <c r="F879" s="51"/>
      <c r="G879" s="51"/>
      <c r="H879" s="51"/>
      <c r="I879" s="51"/>
      <c r="J879" s="51"/>
      <c r="K879" s="51"/>
      <c r="L879" s="51"/>
      <c r="M879" s="35"/>
      <c r="N879" s="51"/>
      <c r="O879" s="82"/>
      <c r="P879" s="51"/>
      <c r="Q879" s="338"/>
      <c r="R879" s="51"/>
      <c r="S879" s="51"/>
      <c r="T879" s="338"/>
      <c r="U879" s="51"/>
      <c r="V879" s="35"/>
      <c r="W879" s="364">
        <f>SUM(X879:AH879)</f>
        <v>203711.11000000002</v>
      </c>
      <c r="X879" s="285">
        <v>72635.3</v>
      </c>
      <c r="Y879" s="285"/>
      <c r="Z879" s="285"/>
      <c r="AA879" s="285"/>
      <c r="AB879" s="285"/>
      <c r="AC879" s="9">
        <v>104997.55</v>
      </c>
      <c r="AD879" s="306">
        <v>26078.26</v>
      </c>
      <c r="AE879" s="302"/>
      <c r="AF879" s="302"/>
      <c r="AG879" s="56"/>
    </row>
    <row r="880" spans="1:33" x14ac:dyDescent="0.3">
      <c r="A880" s="47">
        <f t="shared" si="179"/>
        <v>794</v>
      </c>
      <c r="B880" s="414" t="s">
        <v>1034</v>
      </c>
      <c r="C880" s="51">
        <f t="shared" si="180"/>
        <v>362426.43</v>
      </c>
      <c r="D880" s="51">
        <f t="shared" si="176"/>
        <v>0</v>
      </c>
      <c r="E880" s="51"/>
      <c r="F880" s="51"/>
      <c r="G880" s="51"/>
      <c r="H880" s="51"/>
      <c r="I880" s="51"/>
      <c r="J880" s="51"/>
      <c r="K880" s="51"/>
      <c r="L880" s="51"/>
      <c r="M880" s="35"/>
      <c r="N880" s="51"/>
      <c r="O880" s="82"/>
      <c r="P880" s="51"/>
      <c r="Q880" s="338"/>
      <c r="R880" s="51"/>
      <c r="S880" s="51"/>
      <c r="T880" s="338"/>
      <c r="U880" s="51"/>
      <c r="V880" s="35"/>
      <c r="W880" s="364">
        <f>SUM(X880:AH880)</f>
        <v>362426.43</v>
      </c>
      <c r="X880" s="285">
        <v>62976.31</v>
      </c>
      <c r="Y880" s="285"/>
      <c r="Z880" s="285"/>
      <c r="AA880" s="285"/>
      <c r="AB880" s="285"/>
      <c r="AC880" s="9">
        <v>126369.8</v>
      </c>
      <c r="AD880" s="306">
        <v>173080.32000000001</v>
      </c>
      <c r="AE880" s="302"/>
      <c r="AF880" s="302"/>
      <c r="AG880" s="56"/>
    </row>
    <row r="881" spans="1:33" x14ac:dyDescent="0.3">
      <c r="A881" s="47">
        <f t="shared" si="179"/>
        <v>795</v>
      </c>
      <c r="B881" s="414" t="s">
        <v>1035</v>
      </c>
      <c r="C881" s="51">
        <f t="shared" si="180"/>
        <v>427899.9</v>
      </c>
      <c r="D881" s="51">
        <f t="shared" si="176"/>
        <v>0</v>
      </c>
      <c r="E881" s="51"/>
      <c r="F881" s="51"/>
      <c r="G881" s="51"/>
      <c r="H881" s="51"/>
      <c r="I881" s="51"/>
      <c r="J881" s="51"/>
      <c r="K881" s="51"/>
      <c r="L881" s="51"/>
      <c r="M881" s="35"/>
      <c r="N881" s="51"/>
      <c r="O881" s="82"/>
      <c r="P881" s="51"/>
      <c r="Q881" s="338"/>
      <c r="R881" s="51"/>
      <c r="S881" s="51"/>
      <c r="T881" s="338"/>
      <c r="U881" s="51"/>
      <c r="V881" s="35"/>
      <c r="W881" s="364">
        <f>SUM(X881:AH881)</f>
        <v>427899.9</v>
      </c>
      <c r="X881" s="285">
        <v>72621.3</v>
      </c>
      <c r="Y881" s="285"/>
      <c r="Z881" s="285"/>
      <c r="AA881" s="285"/>
      <c r="AB881" s="285"/>
      <c r="AC881" s="9">
        <v>140801.44</v>
      </c>
      <c r="AD881" s="306">
        <v>214477.16</v>
      </c>
      <c r="AE881" s="302"/>
      <c r="AF881" s="302"/>
      <c r="AG881" s="56"/>
    </row>
    <row r="882" spans="1:33" x14ac:dyDescent="0.3">
      <c r="A882" s="47">
        <f t="shared" si="179"/>
        <v>796</v>
      </c>
      <c r="B882" s="414" t="s">
        <v>1036</v>
      </c>
      <c r="C882" s="51">
        <f t="shared" si="180"/>
        <v>130000</v>
      </c>
      <c r="D882" s="51">
        <f t="shared" si="176"/>
        <v>0</v>
      </c>
      <c r="E882" s="51"/>
      <c r="F882" s="51"/>
      <c r="G882" s="51"/>
      <c r="H882" s="51"/>
      <c r="I882" s="51"/>
      <c r="J882" s="51"/>
      <c r="K882" s="51"/>
      <c r="L882" s="51"/>
      <c r="M882" s="35"/>
      <c r="N882" s="51"/>
      <c r="O882" s="82"/>
      <c r="P882" s="51"/>
      <c r="Q882" s="338"/>
      <c r="R882" s="51"/>
      <c r="S882" s="51"/>
      <c r="T882" s="338"/>
      <c r="U882" s="51"/>
      <c r="V882" s="35"/>
      <c r="W882" s="364">
        <v>130000</v>
      </c>
      <c r="X882" s="285"/>
      <c r="Y882" s="285"/>
      <c r="Z882" s="285"/>
      <c r="AA882" s="285"/>
      <c r="AB882" s="285"/>
      <c r="AC882" s="9"/>
      <c r="AD882" s="306"/>
      <c r="AE882" s="302"/>
      <c r="AF882" s="302"/>
      <c r="AG882" s="56"/>
    </row>
    <row r="883" spans="1:33" x14ac:dyDescent="0.3">
      <c r="A883" s="47">
        <f t="shared" si="179"/>
        <v>797</v>
      </c>
      <c r="B883" s="414" t="s">
        <v>1037</v>
      </c>
      <c r="C883" s="51">
        <f t="shared" si="180"/>
        <v>477868.55</v>
      </c>
      <c r="D883" s="51">
        <f t="shared" si="176"/>
        <v>0</v>
      </c>
      <c r="E883" s="51"/>
      <c r="F883" s="51"/>
      <c r="G883" s="51"/>
      <c r="H883" s="51"/>
      <c r="I883" s="51"/>
      <c r="J883" s="51"/>
      <c r="K883" s="51"/>
      <c r="L883" s="51"/>
      <c r="M883" s="35"/>
      <c r="N883" s="51"/>
      <c r="O883" s="82"/>
      <c r="P883" s="51"/>
      <c r="Q883" s="338"/>
      <c r="R883" s="51"/>
      <c r="S883" s="51"/>
      <c r="T883" s="338"/>
      <c r="U883" s="51"/>
      <c r="V883" s="35"/>
      <c r="W883" s="364">
        <f>SUM(X883:AH883)</f>
        <v>477868.55</v>
      </c>
      <c r="X883" s="285">
        <v>112514.59</v>
      </c>
      <c r="Y883" s="285"/>
      <c r="Z883" s="285"/>
      <c r="AA883" s="285"/>
      <c r="AB883" s="285"/>
      <c r="AC883" s="9">
        <v>247686.58</v>
      </c>
      <c r="AD883" s="306">
        <v>117667.38</v>
      </c>
      <c r="AE883" s="302"/>
      <c r="AF883" s="302"/>
      <c r="AG883" s="56"/>
    </row>
    <row r="884" spans="1:33" x14ac:dyDescent="0.3">
      <c r="A884" s="47">
        <f t="shared" si="179"/>
        <v>798</v>
      </c>
      <c r="B884" s="414" t="s">
        <v>1038</v>
      </c>
      <c r="C884" s="51">
        <f t="shared" si="180"/>
        <v>512398.12</v>
      </c>
      <c r="D884" s="51">
        <f t="shared" si="176"/>
        <v>0</v>
      </c>
      <c r="E884" s="51"/>
      <c r="F884" s="51"/>
      <c r="G884" s="51"/>
      <c r="H884" s="51"/>
      <c r="I884" s="51"/>
      <c r="J884" s="51"/>
      <c r="K884" s="51"/>
      <c r="L884" s="51"/>
      <c r="M884" s="35"/>
      <c r="N884" s="51"/>
      <c r="O884" s="82"/>
      <c r="P884" s="51"/>
      <c r="Q884" s="338"/>
      <c r="R884" s="51"/>
      <c r="S884" s="51"/>
      <c r="T884" s="338"/>
      <c r="U884" s="51"/>
      <c r="V884" s="35"/>
      <c r="W884" s="364">
        <f>SUM(X884:AH884)</f>
        <v>512398.12</v>
      </c>
      <c r="X884" s="285">
        <v>127641.68</v>
      </c>
      <c r="Y884" s="285"/>
      <c r="Z884" s="285"/>
      <c r="AA884" s="285"/>
      <c r="AB884" s="285"/>
      <c r="AC884" s="9">
        <v>276218.53000000003</v>
      </c>
      <c r="AD884" s="306">
        <v>108537.91</v>
      </c>
      <c r="AE884" s="302"/>
      <c r="AF884" s="302"/>
      <c r="AG884" s="56"/>
    </row>
    <row r="885" spans="1:33" x14ac:dyDescent="0.3">
      <c r="A885" s="47">
        <f t="shared" si="179"/>
        <v>799</v>
      </c>
      <c r="B885" s="414" t="s">
        <v>1039</v>
      </c>
      <c r="C885" s="51">
        <f t="shared" si="180"/>
        <v>130000</v>
      </c>
      <c r="D885" s="51">
        <f t="shared" si="176"/>
        <v>0</v>
      </c>
      <c r="E885" s="51"/>
      <c r="F885" s="51"/>
      <c r="G885" s="51"/>
      <c r="H885" s="51"/>
      <c r="I885" s="51"/>
      <c r="J885" s="51"/>
      <c r="K885" s="51"/>
      <c r="L885" s="51"/>
      <c r="M885" s="35"/>
      <c r="N885" s="51"/>
      <c r="O885" s="82"/>
      <c r="P885" s="51"/>
      <c r="Q885" s="338"/>
      <c r="R885" s="51"/>
      <c r="S885" s="51"/>
      <c r="T885" s="338"/>
      <c r="U885" s="51"/>
      <c r="V885" s="35"/>
      <c r="W885" s="364">
        <v>130000</v>
      </c>
      <c r="X885" s="285"/>
      <c r="Y885" s="285"/>
      <c r="Z885" s="285"/>
      <c r="AA885" s="285"/>
      <c r="AB885" s="285"/>
      <c r="AC885" s="9"/>
      <c r="AD885" s="306"/>
      <c r="AE885" s="302"/>
      <c r="AF885" s="302"/>
      <c r="AG885" s="56"/>
    </row>
    <row r="886" spans="1:33" x14ac:dyDescent="0.3">
      <c r="A886" s="47">
        <f t="shared" si="179"/>
        <v>800</v>
      </c>
      <c r="B886" s="414" t="s">
        <v>1040</v>
      </c>
      <c r="C886" s="51">
        <f t="shared" si="180"/>
        <v>305635.05000000005</v>
      </c>
      <c r="D886" s="51">
        <f t="shared" si="176"/>
        <v>0</v>
      </c>
      <c r="E886" s="51"/>
      <c r="F886" s="51"/>
      <c r="G886" s="51"/>
      <c r="H886" s="51"/>
      <c r="I886" s="51"/>
      <c r="J886" s="51"/>
      <c r="K886" s="51"/>
      <c r="L886" s="51"/>
      <c r="M886" s="35"/>
      <c r="N886" s="51"/>
      <c r="O886" s="82"/>
      <c r="P886" s="51"/>
      <c r="Q886" s="338"/>
      <c r="R886" s="51"/>
      <c r="S886" s="51"/>
      <c r="T886" s="338"/>
      <c r="U886" s="51"/>
      <c r="V886" s="35"/>
      <c r="W886" s="364">
        <f>SUM(X886:AH886)</f>
        <v>305635.05000000005</v>
      </c>
      <c r="X886" s="285">
        <v>92631.44</v>
      </c>
      <c r="Y886" s="285"/>
      <c r="Z886" s="285"/>
      <c r="AA886" s="285"/>
      <c r="AB886" s="285"/>
      <c r="AC886" s="9">
        <v>173019.6</v>
      </c>
      <c r="AD886" s="306">
        <v>39984.01</v>
      </c>
      <c r="AE886" s="302"/>
      <c r="AF886" s="302"/>
      <c r="AG886" s="56"/>
    </row>
    <row r="887" spans="1:33" x14ac:dyDescent="0.3">
      <c r="A887" s="47">
        <f t="shared" si="179"/>
        <v>801</v>
      </c>
      <c r="B887" s="414" t="s">
        <v>1041</v>
      </c>
      <c r="C887" s="51">
        <f t="shared" si="180"/>
        <v>314930.98</v>
      </c>
      <c r="D887" s="51">
        <f t="shared" si="176"/>
        <v>0</v>
      </c>
      <c r="E887" s="51"/>
      <c r="F887" s="51"/>
      <c r="G887" s="51"/>
      <c r="H887" s="51"/>
      <c r="I887" s="51"/>
      <c r="J887" s="51"/>
      <c r="K887" s="51"/>
      <c r="L887" s="51"/>
      <c r="M887" s="35"/>
      <c r="N887" s="51"/>
      <c r="O887" s="82"/>
      <c r="P887" s="51"/>
      <c r="Q887" s="338"/>
      <c r="R887" s="51"/>
      <c r="S887" s="51"/>
      <c r="T887" s="338"/>
      <c r="U887" s="51"/>
      <c r="V887" s="35"/>
      <c r="W887" s="364">
        <f>SUM(X887:AH887)</f>
        <v>314930.98</v>
      </c>
      <c r="X887" s="285">
        <v>95868.479999999996</v>
      </c>
      <c r="Y887" s="285"/>
      <c r="Z887" s="285"/>
      <c r="AA887" s="285"/>
      <c r="AB887" s="285"/>
      <c r="AC887" s="9">
        <v>176379.74</v>
      </c>
      <c r="AD887" s="306">
        <v>42682.76</v>
      </c>
      <c r="AE887" s="302"/>
      <c r="AF887" s="302"/>
      <c r="AG887" s="56"/>
    </row>
    <row r="888" spans="1:33" x14ac:dyDescent="0.3">
      <c r="A888" s="47">
        <f t="shared" ref="A888:A894" si="181">A887+1</f>
        <v>802</v>
      </c>
      <c r="B888" s="414" t="s">
        <v>1042</v>
      </c>
      <c r="C888" s="51">
        <f t="shared" si="180"/>
        <v>281231.49</v>
      </c>
      <c r="D888" s="51">
        <f t="shared" si="176"/>
        <v>0</v>
      </c>
      <c r="E888" s="51"/>
      <c r="F888" s="51"/>
      <c r="G888" s="51"/>
      <c r="H888" s="51"/>
      <c r="I888" s="51"/>
      <c r="J888" s="51"/>
      <c r="K888" s="51"/>
      <c r="L888" s="51"/>
      <c r="M888" s="35"/>
      <c r="N888" s="51"/>
      <c r="O888" s="82"/>
      <c r="P888" s="51"/>
      <c r="Q888" s="338"/>
      <c r="R888" s="51"/>
      <c r="S888" s="51"/>
      <c r="T888" s="338"/>
      <c r="U888" s="51"/>
      <c r="V888" s="35"/>
      <c r="W888" s="364">
        <f>SUM(X888:AH888)</f>
        <v>281231.49</v>
      </c>
      <c r="X888" s="285">
        <v>89757.37</v>
      </c>
      <c r="Y888" s="285"/>
      <c r="Z888" s="285"/>
      <c r="AA888" s="285"/>
      <c r="AB888" s="285"/>
      <c r="AC888" s="9">
        <v>167146.94</v>
      </c>
      <c r="AD888" s="306">
        <v>24327.18</v>
      </c>
      <c r="AE888" s="302"/>
      <c r="AF888" s="302"/>
      <c r="AG888" s="56"/>
    </row>
    <row r="889" spans="1:33" x14ac:dyDescent="0.3">
      <c r="A889" s="47">
        <f t="shared" si="181"/>
        <v>803</v>
      </c>
      <c r="B889" s="414" t="s">
        <v>1043</v>
      </c>
      <c r="C889" s="51">
        <f t="shared" si="180"/>
        <v>130000</v>
      </c>
      <c r="D889" s="51">
        <f t="shared" si="176"/>
        <v>0</v>
      </c>
      <c r="E889" s="51"/>
      <c r="F889" s="51"/>
      <c r="G889" s="51"/>
      <c r="H889" s="51"/>
      <c r="I889" s="51"/>
      <c r="J889" s="51"/>
      <c r="K889" s="51"/>
      <c r="L889" s="51"/>
      <c r="M889" s="35"/>
      <c r="N889" s="51"/>
      <c r="O889" s="82"/>
      <c r="P889" s="51"/>
      <c r="Q889" s="338"/>
      <c r="R889" s="51"/>
      <c r="S889" s="51"/>
      <c r="T889" s="338"/>
      <c r="U889" s="51"/>
      <c r="V889" s="35"/>
      <c r="W889" s="364">
        <v>130000</v>
      </c>
      <c r="X889" s="285"/>
      <c r="Y889" s="285"/>
      <c r="Z889" s="285"/>
      <c r="AA889" s="285"/>
      <c r="AB889" s="285"/>
      <c r="AC889" s="9"/>
      <c r="AD889" s="306"/>
      <c r="AE889" s="302"/>
      <c r="AF889" s="302"/>
      <c r="AG889" s="56"/>
    </row>
    <row r="890" spans="1:33" x14ac:dyDescent="0.3">
      <c r="A890" s="47">
        <f t="shared" si="181"/>
        <v>804</v>
      </c>
      <c r="B890" s="414" t="s">
        <v>1044</v>
      </c>
      <c r="C890" s="51">
        <f t="shared" si="180"/>
        <v>430559.2</v>
      </c>
      <c r="D890" s="51">
        <f t="shared" si="176"/>
        <v>0</v>
      </c>
      <c r="E890" s="51"/>
      <c r="F890" s="51"/>
      <c r="G890" s="51"/>
      <c r="H890" s="51"/>
      <c r="I890" s="51"/>
      <c r="J890" s="51"/>
      <c r="K890" s="51"/>
      <c r="L890" s="51"/>
      <c r="M890" s="35"/>
      <c r="N890" s="51"/>
      <c r="O890" s="82"/>
      <c r="P890" s="51"/>
      <c r="Q890" s="338"/>
      <c r="R890" s="51"/>
      <c r="S890" s="51"/>
      <c r="T890" s="338"/>
      <c r="U890" s="51"/>
      <c r="V890" s="35"/>
      <c r="W890" s="364">
        <f t="shared" ref="W890:W895" si="182">SUM(X890:AH890)</f>
        <v>430559.2</v>
      </c>
      <c r="X890" s="285">
        <v>69682.2</v>
      </c>
      <c r="Y890" s="285"/>
      <c r="Z890" s="285"/>
      <c r="AA890" s="285"/>
      <c r="AB890" s="285"/>
      <c r="AC890" s="9">
        <v>136471.94</v>
      </c>
      <c r="AD890" s="306">
        <v>224405.06</v>
      </c>
      <c r="AE890" s="302"/>
      <c r="AF890" s="302"/>
      <c r="AG890" s="56"/>
    </row>
    <row r="891" spans="1:33" x14ac:dyDescent="0.3">
      <c r="A891" s="47">
        <f t="shared" si="181"/>
        <v>805</v>
      </c>
      <c r="B891" s="414" t="s">
        <v>1045</v>
      </c>
      <c r="C891" s="51">
        <f t="shared" si="180"/>
        <v>481568.13</v>
      </c>
      <c r="D891" s="51">
        <f t="shared" si="176"/>
        <v>0</v>
      </c>
      <c r="E891" s="51"/>
      <c r="F891" s="51"/>
      <c r="G891" s="51"/>
      <c r="H891" s="51"/>
      <c r="I891" s="51"/>
      <c r="J891" s="51"/>
      <c r="K891" s="51"/>
      <c r="L891" s="51"/>
      <c r="M891" s="35"/>
      <c r="N891" s="51"/>
      <c r="O891" s="82"/>
      <c r="P891" s="51"/>
      <c r="Q891" s="338"/>
      <c r="R891" s="51"/>
      <c r="S891" s="51"/>
      <c r="T891" s="338"/>
      <c r="U891" s="51"/>
      <c r="V891" s="35"/>
      <c r="W891" s="364">
        <f t="shared" si="182"/>
        <v>481568.13</v>
      </c>
      <c r="X891" s="285">
        <v>85490.11</v>
      </c>
      <c r="Y891" s="285"/>
      <c r="Z891" s="285"/>
      <c r="AA891" s="285"/>
      <c r="AB891" s="285"/>
      <c r="AC891" s="9">
        <v>160699.93</v>
      </c>
      <c r="AD891" s="306">
        <v>235378.09</v>
      </c>
      <c r="AE891" s="302"/>
      <c r="AF891" s="302"/>
      <c r="AG891" s="56"/>
    </row>
    <row r="892" spans="1:33" x14ac:dyDescent="0.3">
      <c r="A892" s="47">
        <f t="shared" si="181"/>
        <v>806</v>
      </c>
      <c r="B892" s="414" t="s">
        <v>1046</v>
      </c>
      <c r="C892" s="51">
        <f t="shared" si="180"/>
        <v>475242.63</v>
      </c>
      <c r="D892" s="51">
        <f t="shared" si="176"/>
        <v>0</v>
      </c>
      <c r="E892" s="51"/>
      <c r="F892" s="51"/>
      <c r="G892" s="51"/>
      <c r="H892" s="51"/>
      <c r="I892" s="51"/>
      <c r="J892" s="51"/>
      <c r="K892" s="51"/>
      <c r="L892" s="51"/>
      <c r="M892" s="35"/>
      <c r="N892" s="51"/>
      <c r="O892" s="82"/>
      <c r="P892" s="51"/>
      <c r="Q892" s="338"/>
      <c r="R892" s="51"/>
      <c r="S892" s="51"/>
      <c r="T892" s="338"/>
      <c r="U892" s="51"/>
      <c r="V892" s="35"/>
      <c r="W892" s="364">
        <f t="shared" si="182"/>
        <v>475242.63</v>
      </c>
      <c r="X892" s="285">
        <v>88492.99</v>
      </c>
      <c r="Y892" s="285"/>
      <c r="Z892" s="285"/>
      <c r="AA892" s="285"/>
      <c r="AB892" s="285"/>
      <c r="AC892" s="9">
        <v>165236.72</v>
      </c>
      <c r="AD892" s="306">
        <v>221512.92</v>
      </c>
      <c r="AE892" s="302"/>
      <c r="AF892" s="302"/>
      <c r="AG892" s="56"/>
    </row>
    <row r="893" spans="1:33" x14ac:dyDescent="0.3">
      <c r="A893" s="47">
        <f t="shared" si="181"/>
        <v>807</v>
      </c>
      <c r="B893" s="414" t="s">
        <v>1047</v>
      </c>
      <c r="C893" s="51">
        <f t="shared" si="180"/>
        <v>963233.95</v>
      </c>
      <c r="D893" s="51">
        <f t="shared" si="176"/>
        <v>0</v>
      </c>
      <c r="E893" s="51"/>
      <c r="F893" s="51"/>
      <c r="G893" s="51"/>
      <c r="H893" s="51"/>
      <c r="I893" s="51"/>
      <c r="J893" s="51"/>
      <c r="K893" s="51"/>
      <c r="L893" s="51"/>
      <c r="M893" s="35"/>
      <c r="N893" s="51"/>
      <c r="O893" s="82"/>
      <c r="P893" s="51"/>
      <c r="Q893" s="338"/>
      <c r="R893" s="51"/>
      <c r="S893" s="51"/>
      <c r="T893" s="338"/>
      <c r="U893" s="51"/>
      <c r="V893" s="35"/>
      <c r="W893" s="364">
        <f t="shared" si="182"/>
        <v>963233.95</v>
      </c>
      <c r="X893" s="285">
        <v>119755.31</v>
      </c>
      <c r="Y893" s="285">
        <v>137823.62</v>
      </c>
      <c r="Z893" s="505">
        <v>121450.74</v>
      </c>
      <c r="AA893" s="505"/>
      <c r="AB893" s="285">
        <v>116825.93</v>
      </c>
      <c r="AC893" s="9">
        <v>213502.33</v>
      </c>
      <c r="AD893" s="306">
        <v>53258.96</v>
      </c>
      <c r="AE893" s="302"/>
      <c r="AF893" s="302">
        <v>200617.06</v>
      </c>
      <c r="AG893" s="56"/>
    </row>
    <row r="894" spans="1:33" x14ac:dyDescent="0.3">
      <c r="A894" s="47">
        <f t="shared" si="181"/>
        <v>808</v>
      </c>
      <c r="B894" s="414" t="s">
        <v>1048</v>
      </c>
      <c r="C894" s="51">
        <f t="shared" si="180"/>
        <v>284499.51</v>
      </c>
      <c r="D894" s="51">
        <f t="shared" si="176"/>
        <v>0</v>
      </c>
      <c r="E894" s="51"/>
      <c r="F894" s="51"/>
      <c r="G894" s="51"/>
      <c r="H894" s="51"/>
      <c r="I894" s="51"/>
      <c r="J894" s="51"/>
      <c r="K894" s="51"/>
      <c r="L894" s="51"/>
      <c r="M894" s="35"/>
      <c r="N894" s="51"/>
      <c r="O894" s="82"/>
      <c r="P894" s="51"/>
      <c r="Q894" s="338"/>
      <c r="R894" s="51"/>
      <c r="S894" s="51"/>
      <c r="T894" s="338"/>
      <c r="U894" s="51"/>
      <c r="V894" s="35"/>
      <c r="W894" s="364">
        <f t="shared" si="182"/>
        <v>284499.51</v>
      </c>
      <c r="X894" s="285">
        <v>91498.61</v>
      </c>
      <c r="Y894" s="285"/>
      <c r="Z894" s="285"/>
      <c r="AA894" s="285"/>
      <c r="AB894" s="285"/>
      <c r="AC894" s="9">
        <v>171284.15</v>
      </c>
      <c r="AD894" s="306">
        <v>21716.75</v>
      </c>
      <c r="AE894" s="302"/>
      <c r="AF894" s="302"/>
      <c r="AG894" s="56"/>
    </row>
    <row r="895" spans="1:33" x14ac:dyDescent="0.3">
      <c r="A895" s="47">
        <f t="shared" ref="A895:A916" si="183">A894+1</f>
        <v>809</v>
      </c>
      <c r="B895" s="414" t="s">
        <v>1049</v>
      </c>
      <c r="C895" s="51">
        <f t="shared" si="180"/>
        <v>963233.95</v>
      </c>
      <c r="D895" s="51">
        <f t="shared" si="176"/>
        <v>0</v>
      </c>
      <c r="E895" s="51"/>
      <c r="F895" s="51"/>
      <c r="G895" s="51"/>
      <c r="H895" s="51"/>
      <c r="I895" s="51"/>
      <c r="J895" s="51"/>
      <c r="K895" s="51"/>
      <c r="L895" s="51"/>
      <c r="M895" s="35"/>
      <c r="N895" s="51"/>
      <c r="O895" s="82"/>
      <c r="P895" s="51"/>
      <c r="Q895" s="338"/>
      <c r="R895" s="51"/>
      <c r="S895" s="51"/>
      <c r="T895" s="338"/>
      <c r="U895" s="51"/>
      <c r="V895" s="35"/>
      <c r="W895" s="364">
        <f t="shared" si="182"/>
        <v>963233.95</v>
      </c>
      <c r="X895" s="285">
        <v>119755.31</v>
      </c>
      <c r="Y895" s="285">
        <v>137823.62</v>
      </c>
      <c r="Z895" s="505">
        <v>121450.74</v>
      </c>
      <c r="AA895" s="505"/>
      <c r="AB895" s="285">
        <v>116825.93</v>
      </c>
      <c r="AC895" s="9">
        <v>213502.33</v>
      </c>
      <c r="AD895" s="306">
        <v>53258.96</v>
      </c>
      <c r="AE895" s="302"/>
      <c r="AF895" s="302">
        <v>200617.06</v>
      </c>
      <c r="AG895" s="56"/>
    </row>
    <row r="896" spans="1:33" x14ac:dyDescent="0.3">
      <c r="A896" s="47">
        <f t="shared" si="183"/>
        <v>810</v>
      </c>
      <c r="B896" s="414" t="s">
        <v>1050</v>
      </c>
      <c r="C896" s="51">
        <f t="shared" si="180"/>
        <v>130000</v>
      </c>
      <c r="D896" s="51">
        <f t="shared" si="176"/>
        <v>0</v>
      </c>
      <c r="E896" s="51"/>
      <c r="F896" s="51"/>
      <c r="G896" s="51"/>
      <c r="H896" s="51"/>
      <c r="I896" s="51"/>
      <c r="J896" s="51"/>
      <c r="K896" s="51"/>
      <c r="L896" s="51"/>
      <c r="M896" s="35"/>
      <c r="N896" s="51"/>
      <c r="O896" s="82"/>
      <c r="P896" s="51"/>
      <c r="Q896" s="338"/>
      <c r="R896" s="51"/>
      <c r="S896" s="51"/>
      <c r="T896" s="338"/>
      <c r="U896" s="51"/>
      <c r="V896" s="35"/>
      <c r="W896" s="364">
        <v>130000</v>
      </c>
      <c r="X896" s="285"/>
      <c r="Y896" s="285"/>
      <c r="Z896" s="285"/>
      <c r="AA896" s="285"/>
      <c r="AB896" s="285"/>
      <c r="AC896" s="9"/>
      <c r="AD896" s="306"/>
      <c r="AE896" s="302"/>
      <c r="AF896" s="302"/>
      <c r="AG896" s="56"/>
    </row>
    <row r="897" spans="1:33" x14ac:dyDescent="0.3">
      <c r="A897" s="47">
        <f t="shared" si="183"/>
        <v>811</v>
      </c>
      <c r="B897" s="414" t="s">
        <v>1051</v>
      </c>
      <c r="C897" s="51">
        <f t="shared" si="180"/>
        <v>221169.04</v>
      </c>
      <c r="D897" s="51">
        <f t="shared" si="176"/>
        <v>0</v>
      </c>
      <c r="E897" s="51"/>
      <c r="F897" s="51"/>
      <c r="G897" s="51"/>
      <c r="H897" s="51"/>
      <c r="I897" s="51"/>
      <c r="J897" s="51"/>
      <c r="K897" s="51"/>
      <c r="L897" s="51"/>
      <c r="M897" s="35"/>
      <c r="N897" s="51"/>
      <c r="O897" s="82"/>
      <c r="P897" s="51"/>
      <c r="Q897" s="338"/>
      <c r="R897" s="51"/>
      <c r="S897" s="51"/>
      <c r="T897" s="338"/>
      <c r="U897" s="51"/>
      <c r="V897" s="35"/>
      <c r="W897" s="364">
        <f t="shared" ref="W897:W908" si="184">SUM(X897:AH897)</f>
        <v>221169.04</v>
      </c>
      <c r="X897" s="285"/>
      <c r="Y897" s="285"/>
      <c r="Z897" s="285"/>
      <c r="AA897" s="285"/>
      <c r="AB897" s="285"/>
      <c r="AC897" s="9">
        <v>180691.98</v>
      </c>
      <c r="AD897" s="306">
        <v>40477.06</v>
      </c>
      <c r="AE897" s="302"/>
      <c r="AF897" s="302"/>
      <c r="AG897" s="56"/>
    </row>
    <row r="898" spans="1:33" x14ac:dyDescent="0.3">
      <c r="A898" s="47">
        <f t="shared" si="183"/>
        <v>812</v>
      </c>
      <c r="B898" s="414" t="s">
        <v>1052</v>
      </c>
      <c r="C898" s="51">
        <f t="shared" si="180"/>
        <v>237351.56</v>
      </c>
      <c r="D898" s="51">
        <f t="shared" si="176"/>
        <v>0</v>
      </c>
      <c r="E898" s="51"/>
      <c r="F898" s="51"/>
      <c r="G898" s="51"/>
      <c r="H898" s="51"/>
      <c r="I898" s="51"/>
      <c r="J898" s="51"/>
      <c r="K898" s="51"/>
      <c r="L898" s="51"/>
      <c r="M898" s="35"/>
      <c r="N898" s="51"/>
      <c r="O898" s="82"/>
      <c r="P898" s="51"/>
      <c r="Q898" s="338"/>
      <c r="R898" s="51"/>
      <c r="S898" s="51"/>
      <c r="T898" s="338"/>
      <c r="U898" s="51"/>
      <c r="V898" s="35"/>
      <c r="W898" s="364">
        <f t="shared" si="184"/>
        <v>237351.56</v>
      </c>
      <c r="X898" s="285">
        <v>72334.16</v>
      </c>
      <c r="Y898" s="285"/>
      <c r="Z898" s="285"/>
      <c r="AA898" s="285"/>
      <c r="AB898" s="285"/>
      <c r="AC898" s="9">
        <v>140416.57999999999</v>
      </c>
      <c r="AD898" s="306">
        <v>24600.82</v>
      </c>
      <c r="AE898" s="302"/>
      <c r="AF898" s="302"/>
      <c r="AG898" s="56"/>
    </row>
    <row r="899" spans="1:33" x14ac:dyDescent="0.3">
      <c r="A899" s="47">
        <f t="shared" si="183"/>
        <v>813</v>
      </c>
      <c r="B899" s="414" t="s">
        <v>1053</v>
      </c>
      <c r="C899" s="51">
        <f t="shared" si="180"/>
        <v>509604.04000000004</v>
      </c>
      <c r="D899" s="51">
        <f t="shared" si="176"/>
        <v>0</v>
      </c>
      <c r="E899" s="51"/>
      <c r="F899" s="51"/>
      <c r="G899" s="51"/>
      <c r="H899" s="51"/>
      <c r="I899" s="51"/>
      <c r="J899" s="51"/>
      <c r="K899" s="51"/>
      <c r="L899" s="51"/>
      <c r="M899" s="35"/>
      <c r="N899" s="51"/>
      <c r="O899" s="82"/>
      <c r="P899" s="51"/>
      <c r="Q899" s="338"/>
      <c r="R899" s="51"/>
      <c r="S899" s="51"/>
      <c r="T899" s="338"/>
      <c r="U899" s="51"/>
      <c r="V899" s="35"/>
      <c r="W899" s="364">
        <f t="shared" si="184"/>
        <v>509604.04000000004</v>
      </c>
      <c r="X899" s="285">
        <v>116843.06</v>
      </c>
      <c r="Y899" s="285"/>
      <c r="Z899" s="285"/>
      <c r="AA899" s="285"/>
      <c r="AB899" s="285"/>
      <c r="AC899" s="9">
        <v>255016.2</v>
      </c>
      <c r="AD899" s="306">
        <v>137744.78</v>
      </c>
      <c r="AE899" s="302"/>
      <c r="AF899" s="302"/>
      <c r="AG899" s="56"/>
    </row>
    <row r="900" spans="1:33" x14ac:dyDescent="0.3">
      <c r="A900" s="47">
        <f t="shared" si="183"/>
        <v>814</v>
      </c>
      <c r="B900" s="414" t="s">
        <v>1054</v>
      </c>
      <c r="C900" s="51">
        <f t="shared" si="180"/>
        <v>607370.65999999992</v>
      </c>
      <c r="D900" s="51">
        <f t="shared" si="176"/>
        <v>0</v>
      </c>
      <c r="E900" s="51"/>
      <c r="F900" s="51"/>
      <c r="G900" s="51"/>
      <c r="H900" s="51"/>
      <c r="I900" s="51"/>
      <c r="J900" s="51"/>
      <c r="K900" s="51"/>
      <c r="L900" s="51"/>
      <c r="M900" s="35"/>
      <c r="N900" s="51"/>
      <c r="O900" s="82"/>
      <c r="P900" s="51"/>
      <c r="Q900" s="338"/>
      <c r="R900" s="51"/>
      <c r="S900" s="51"/>
      <c r="T900" s="338"/>
      <c r="U900" s="51"/>
      <c r="V900" s="35"/>
      <c r="W900" s="364">
        <f t="shared" si="184"/>
        <v>607370.65999999992</v>
      </c>
      <c r="X900" s="285">
        <v>113056.87</v>
      </c>
      <c r="Y900" s="285"/>
      <c r="Z900" s="285"/>
      <c r="AA900" s="285"/>
      <c r="AB900" s="285"/>
      <c r="AC900" s="9">
        <v>204309.86</v>
      </c>
      <c r="AD900" s="306">
        <v>290003.93</v>
      </c>
      <c r="AE900" s="302"/>
      <c r="AF900" s="302"/>
      <c r="AG900" s="56"/>
    </row>
    <row r="901" spans="1:33" x14ac:dyDescent="0.3">
      <c r="A901" s="47">
        <f t="shared" si="183"/>
        <v>815</v>
      </c>
      <c r="B901" s="414" t="s">
        <v>1055</v>
      </c>
      <c r="C901" s="51">
        <f t="shared" si="180"/>
        <v>756372.66</v>
      </c>
      <c r="D901" s="51">
        <f t="shared" si="176"/>
        <v>0</v>
      </c>
      <c r="E901" s="51"/>
      <c r="F901" s="51"/>
      <c r="G901" s="51"/>
      <c r="H901" s="51"/>
      <c r="I901" s="51"/>
      <c r="J901" s="51"/>
      <c r="K901" s="51"/>
      <c r="L901" s="51"/>
      <c r="M901" s="35"/>
      <c r="N901" s="51"/>
      <c r="O901" s="82"/>
      <c r="P901" s="51"/>
      <c r="Q901" s="338"/>
      <c r="R901" s="51"/>
      <c r="S901" s="51"/>
      <c r="T901" s="338"/>
      <c r="U901" s="51"/>
      <c r="V901" s="35"/>
      <c r="W901" s="364">
        <f t="shared" si="184"/>
        <v>756372.66</v>
      </c>
      <c r="X901" s="285">
        <v>88304.16</v>
      </c>
      <c r="Y901" s="285"/>
      <c r="Z901" s="285"/>
      <c r="AA901" s="285"/>
      <c r="AB901" s="285"/>
      <c r="AC901" s="9">
        <v>165750.18</v>
      </c>
      <c r="AD901" s="306">
        <v>502318.32</v>
      </c>
      <c r="AE901" s="302"/>
      <c r="AF901" s="302"/>
      <c r="AG901" s="56"/>
    </row>
    <row r="902" spans="1:33" x14ac:dyDescent="0.3">
      <c r="A902" s="47">
        <f t="shared" si="183"/>
        <v>816</v>
      </c>
      <c r="B902" s="414" t="s">
        <v>1056</v>
      </c>
      <c r="C902" s="51">
        <f t="shared" si="180"/>
        <v>259199.32</v>
      </c>
      <c r="D902" s="51">
        <f t="shared" si="176"/>
        <v>0</v>
      </c>
      <c r="E902" s="51"/>
      <c r="F902" s="51"/>
      <c r="G902" s="51"/>
      <c r="H902" s="51"/>
      <c r="I902" s="51"/>
      <c r="J902" s="51"/>
      <c r="K902" s="51"/>
      <c r="L902" s="51"/>
      <c r="M902" s="35"/>
      <c r="N902" s="51"/>
      <c r="O902" s="82"/>
      <c r="P902" s="51"/>
      <c r="Q902" s="338"/>
      <c r="R902" s="51"/>
      <c r="S902" s="51"/>
      <c r="T902" s="338"/>
      <c r="U902" s="51"/>
      <c r="V902" s="35"/>
      <c r="W902" s="364">
        <f t="shared" si="184"/>
        <v>259199.32</v>
      </c>
      <c r="X902" s="285">
        <v>66099.539999999994</v>
      </c>
      <c r="Y902" s="285"/>
      <c r="Z902" s="285"/>
      <c r="AA902" s="285"/>
      <c r="AB902" s="285"/>
      <c r="AC902" s="9">
        <v>131084.14000000001</v>
      </c>
      <c r="AD902" s="306">
        <v>62015.64</v>
      </c>
      <c r="AE902" s="302"/>
      <c r="AF902" s="302"/>
      <c r="AG902" s="56"/>
    </row>
    <row r="903" spans="1:33" x14ac:dyDescent="0.3">
      <c r="A903" s="47">
        <f t="shared" si="183"/>
        <v>817</v>
      </c>
      <c r="B903" s="414" t="s">
        <v>1057</v>
      </c>
      <c r="C903" s="51">
        <f t="shared" si="180"/>
        <v>347627.14</v>
      </c>
      <c r="D903" s="51">
        <f t="shared" si="176"/>
        <v>0</v>
      </c>
      <c r="E903" s="51"/>
      <c r="F903" s="51"/>
      <c r="G903" s="51"/>
      <c r="H903" s="51"/>
      <c r="I903" s="51"/>
      <c r="J903" s="51"/>
      <c r="K903" s="51"/>
      <c r="L903" s="51"/>
      <c r="M903" s="35"/>
      <c r="N903" s="51"/>
      <c r="O903" s="82"/>
      <c r="P903" s="51"/>
      <c r="Q903" s="338"/>
      <c r="R903" s="51"/>
      <c r="S903" s="51"/>
      <c r="T903" s="338"/>
      <c r="U903" s="51"/>
      <c r="V903" s="35"/>
      <c r="W903" s="364">
        <f t="shared" si="184"/>
        <v>347627.14</v>
      </c>
      <c r="X903" s="285">
        <v>74032.63</v>
      </c>
      <c r="Y903" s="285"/>
      <c r="Z903" s="285"/>
      <c r="AA903" s="285"/>
      <c r="AB903" s="285"/>
      <c r="AC903" s="9">
        <v>143014.29999999999</v>
      </c>
      <c r="AD903" s="306"/>
      <c r="AE903" s="302"/>
      <c r="AF903" s="302">
        <v>130580.21</v>
      </c>
      <c r="AG903" s="56"/>
    </row>
    <row r="904" spans="1:33" x14ac:dyDescent="0.3">
      <c r="A904" s="47">
        <f t="shared" si="183"/>
        <v>818</v>
      </c>
      <c r="B904" s="414" t="s">
        <v>1058</v>
      </c>
      <c r="C904" s="51">
        <f t="shared" si="180"/>
        <v>615222.17999999993</v>
      </c>
      <c r="D904" s="51">
        <f t="shared" si="176"/>
        <v>0</v>
      </c>
      <c r="E904" s="51"/>
      <c r="F904" s="51"/>
      <c r="G904" s="51"/>
      <c r="H904" s="51"/>
      <c r="I904" s="51"/>
      <c r="J904" s="51"/>
      <c r="K904" s="51"/>
      <c r="L904" s="51"/>
      <c r="M904" s="35"/>
      <c r="N904" s="51"/>
      <c r="O904" s="82"/>
      <c r="P904" s="51"/>
      <c r="Q904" s="338"/>
      <c r="R904" s="51"/>
      <c r="S904" s="51"/>
      <c r="T904" s="338"/>
      <c r="U904" s="51"/>
      <c r="V904" s="35"/>
      <c r="W904" s="364">
        <f t="shared" si="184"/>
        <v>615222.17999999993</v>
      </c>
      <c r="X904" s="285">
        <v>154311.97</v>
      </c>
      <c r="Y904" s="285"/>
      <c r="Z904" s="285"/>
      <c r="AA904" s="285"/>
      <c r="AB904" s="285"/>
      <c r="AC904" s="9">
        <v>304392.34999999998</v>
      </c>
      <c r="AD904" s="306">
        <v>156517.85999999999</v>
      </c>
      <c r="AE904" s="302"/>
      <c r="AF904" s="302"/>
      <c r="AG904" s="56"/>
    </row>
    <row r="905" spans="1:33" x14ac:dyDescent="0.3">
      <c r="A905" s="47">
        <f t="shared" si="183"/>
        <v>819</v>
      </c>
      <c r="B905" s="414" t="s">
        <v>1059</v>
      </c>
      <c r="C905" s="51">
        <f t="shared" si="180"/>
        <v>475990.72</v>
      </c>
      <c r="D905" s="51">
        <f t="shared" si="176"/>
        <v>0</v>
      </c>
      <c r="E905" s="51"/>
      <c r="F905" s="51"/>
      <c r="G905" s="51"/>
      <c r="H905" s="51"/>
      <c r="I905" s="51"/>
      <c r="J905" s="51"/>
      <c r="K905" s="51"/>
      <c r="L905" s="51"/>
      <c r="M905" s="35"/>
      <c r="N905" s="51"/>
      <c r="O905" s="82"/>
      <c r="P905" s="51"/>
      <c r="Q905" s="338"/>
      <c r="R905" s="51"/>
      <c r="S905" s="51"/>
      <c r="T905" s="338"/>
      <c r="U905" s="51"/>
      <c r="V905" s="35"/>
      <c r="W905" s="364">
        <f t="shared" si="184"/>
        <v>475990.72</v>
      </c>
      <c r="X905" s="285">
        <v>118962.86</v>
      </c>
      <c r="Y905" s="285"/>
      <c r="Z905" s="285"/>
      <c r="AA905" s="285"/>
      <c r="AB905" s="285"/>
      <c r="AC905" s="9">
        <v>240212.77</v>
      </c>
      <c r="AD905" s="306">
        <v>116815.09</v>
      </c>
      <c r="AE905" s="302"/>
      <c r="AF905" s="302"/>
      <c r="AG905" s="56"/>
    </row>
    <row r="906" spans="1:33" x14ac:dyDescent="0.3">
      <c r="A906" s="47">
        <f t="shared" si="183"/>
        <v>820</v>
      </c>
      <c r="B906" s="414" t="s">
        <v>1060</v>
      </c>
      <c r="C906" s="51">
        <f t="shared" si="180"/>
        <v>681687.34</v>
      </c>
      <c r="D906" s="51">
        <f t="shared" si="176"/>
        <v>0</v>
      </c>
      <c r="E906" s="51"/>
      <c r="F906" s="51"/>
      <c r="G906" s="51"/>
      <c r="H906" s="51"/>
      <c r="I906" s="51"/>
      <c r="J906" s="51"/>
      <c r="K906" s="51"/>
      <c r="L906" s="51"/>
      <c r="M906" s="35"/>
      <c r="N906" s="51"/>
      <c r="O906" s="82"/>
      <c r="P906" s="51"/>
      <c r="Q906" s="338"/>
      <c r="R906" s="51"/>
      <c r="S906" s="51"/>
      <c r="T906" s="338"/>
      <c r="U906" s="51"/>
      <c r="V906" s="35"/>
      <c r="W906" s="364">
        <f t="shared" si="184"/>
        <v>681687.34</v>
      </c>
      <c r="X906" s="285">
        <v>174498.1</v>
      </c>
      <c r="Y906" s="285"/>
      <c r="Z906" s="285"/>
      <c r="AA906" s="285"/>
      <c r="AB906" s="285"/>
      <c r="AC906" s="9">
        <v>391281.5</v>
      </c>
      <c r="AD906" s="306">
        <v>115907.74</v>
      </c>
      <c r="AE906" s="302"/>
      <c r="AF906" s="302"/>
      <c r="AG906" s="56"/>
    </row>
    <row r="907" spans="1:33" x14ac:dyDescent="0.3">
      <c r="A907" s="47">
        <f t="shared" si="183"/>
        <v>821</v>
      </c>
      <c r="B907" s="414" t="s">
        <v>1061</v>
      </c>
      <c r="C907" s="51">
        <f t="shared" si="180"/>
        <v>479451.23</v>
      </c>
      <c r="D907" s="51">
        <f t="shared" si="176"/>
        <v>0</v>
      </c>
      <c r="E907" s="51"/>
      <c r="F907" s="51"/>
      <c r="G907" s="51"/>
      <c r="H907" s="51"/>
      <c r="I907" s="51"/>
      <c r="J907" s="51"/>
      <c r="K907" s="51"/>
      <c r="L907" s="51"/>
      <c r="M907" s="35"/>
      <c r="N907" s="51"/>
      <c r="O907" s="82"/>
      <c r="P907" s="51"/>
      <c r="Q907" s="338"/>
      <c r="R907" s="51"/>
      <c r="S907" s="51"/>
      <c r="T907" s="338"/>
      <c r="U907" s="51"/>
      <c r="V907" s="35"/>
      <c r="W907" s="364">
        <f t="shared" si="184"/>
        <v>479451.23</v>
      </c>
      <c r="X907" s="285">
        <v>133030.78</v>
      </c>
      <c r="Y907" s="285"/>
      <c r="Z907" s="285"/>
      <c r="AA907" s="285"/>
      <c r="AB907" s="285"/>
      <c r="AC907" s="9">
        <v>243759.44</v>
      </c>
      <c r="AD907" s="306">
        <v>102661.01</v>
      </c>
      <c r="AE907" s="302"/>
      <c r="AF907" s="302"/>
      <c r="AG907" s="56"/>
    </row>
    <row r="908" spans="1:33" x14ac:dyDescent="0.3">
      <c r="A908" s="47">
        <f t="shared" si="183"/>
        <v>822</v>
      </c>
      <c r="B908" s="414" t="s">
        <v>1062</v>
      </c>
      <c r="C908" s="51">
        <f t="shared" si="180"/>
        <v>871718.24</v>
      </c>
      <c r="D908" s="51">
        <f t="shared" si="176"/>
        <v>0</v>
      </c>
      <c r="E908" s="51"/>
      <c r="F908" s="51"/>
      <c r="G908" s="51"/>
      <c r="H908" s="51"/>
      <c r="I908" s="51"/>
      <c r="J908" s="51"/>
      <c r="K908" s="51"/>
      <c r="L908" s="51"/>
      <c r="M908" s="35"/>
      <c r="N908" s="51"/>
      <c r="O908" s="82"/>
      <c r="P908" s="51"/>
      <c r="Q908" s="338"/>
      <c r="R908" s="51"/>
      <c r="S908" s="51"/>
      <c r="T908" s="338"/>
      <c r="U908" s="51"/>
      <c r="V908" s="35"/>
      <c r="W908" s="364">
        <f t="shared" si="184"/>
        <v>871718.24</v>
      </c>
      <c r="X908" s="285"/>
      <c r="Y908" s="285"/>
      <c r="Z908" s="285"/>
      <c r="AA908" s="285"/>
      <c r="AB908" s="285"/>
      <c r="AC908" s="9">
        <v>709670.26</v>
      </c>
      <c r="AD908" s="306">
        <v>162047.98000000001</v>
      </c>
      <c r="AE908" s="302"/>
      <c r="AF908" s="302"/>
      <c r="AG908" s="56"/>
    </row>
    <row r="909" spans="1:33" x14ac:dyDescent="0.3">
      <c r="A909" s="47">
        <f t="shared" si="183"/>
        <v>823</v>
      </c>
      <c r="B909" s="414" t="s">
        <v>1063</v>
      </c>
      <c r="C909" s="51">
        <f t="shared" si="180"/>
        <v>130000</v>
      </c>
      <c r="D909" s="51">
        <f t="shared" si="176"/>
        <v>0</v>
      </c>
      <c r="E909" s="51"/>
      <c r="F909" s="51"/>
      <c r="G909" s="51"/>
      <c r="H909" s="51"/>
      <c r="I909" s="51"/>
      <c r="J909" s="51"/>
      <c r="K909" s="51"/>
      <c r="L909" s="51"/>
      <c r="M909" s="35"/>
      <c r="N909" s="51"/>
      <c r="O909" s="82"/>
      <c r="P909" s="51"/>
      <c r="Q909" s="338"/>
      <c r="R909" s="51"/>
      <c r="S909" s="51"/>
      <c r="T909" s="338"/>
      <c r="U909" s="51"/>
      <c r="V909" s="35"/>
      <c r="W909" s="364">
        <v>130000</v>
      </c>
      <c r="X909" s="285"/>
      <c r="Y909" s="285"/>
      <c r="Z909" s="285"/>
      <c r="AA909" s="285"/>
      <c r="AB909" s="285"/>
      <c r="AC909" s="9"/>
      <c r="AD909" s="306"/>
      <c r="AE909" s="302"/>
      <c r="AF909" s="302"/>
      <c r="AG909" s="56"/>
    </row>
    <row r="910" spans="1:33" x14ac:dyDescent="0.3">
      <c r="A910" s="47">
        <f t="shared" si="183"/>
        <v>824</v>
      </c>
      <c r="B910" s="414" t="s">
        <v>1064</v>
      </c>
      <c r="C910" s="51">
        <f t="shared" si="180"/>
        <v>1611006.36</v>
      </c>
      <c r="D910" s="51">
        <f t="shared" si="176"/>
        <v>0</v>
      </c>
      <c r="E910" s="51"/>
      <c r="F910" s="51"/>
      <c r="G910" s="51"/>
      <c r="H910" s="51"/>
      <c r="I910" s="51"/>
      <c r="J910" s="51"/>
      <c r="K910" s="51"/>
      <c r="L910" s="51"/>
      <c r="M910" s="35"/>
      <c r="N910" s="51"/>
      <c r="O910" s="82"/>
      <c r="P910" s="51"/>
      <c r="Q910" s="338"/>
      <c r="R910" s="51"/>
      <c r="S910" s="51"/>
      <c r="T910" s="338"/>
      <c r="U910" s="51"/>
      <c r="V910" s="35"/>
      <c r="W910" s="364">
        <f>SUM(X910:AH910)</f>
        <v>1611006.36</v>
      </c>
      <c r="X910" s="285">
        <v>459569.88</v>
      </c>
      <c r="Y910" s="285"/>
      <c r="Z910" s="285"/>
      <c r="AA910" s="285"/>
      <c r="AB910" s="285"/>
      <c r="AC910" s="9">
        <v>951414.28</v>
      </c>
      <c r="AD910" s="306">
        <v>200022.2</v>
      </c>
      <c r="AE910" s="302"/>
      <c r="AF910" s="302"/>
      <c r="AG910" s="56"/>
    </row>
    <row r="911" spans="1:33" x14ac:dyDescent="0.3">
      <c r="A911" s="47">
        <f t="shared" si="183"/>
        <v>825</v>
      </c>
      <c r="B911" s="414" t="s">
        <v>1065</v>
      </c>
      <c r="C911" s="51">
        <f t="shared" si="180"/>
        <v>657594.15</v>
      </c>
      <c r="D911" s="51">
        <f t="shared" ref="D911:D916" si="185">E911+F911+G911+H911+I911</f>
        <v>0</v>
      </c>
      <c r="E911" s="51"/>
      <c r="F911" s="51"/>
      <c r="G911" s="51"/>
      <c r="H911" s="51"/>
      <c r="I911" s="51"/>
      <c r="J911" s="51"/>
      <c r="K911" s="51"/>
      <c r="L911" s="51"/>
      <c r="M911" s="35"/>
      <c r="N911" s="51"/>
      <c r="O911" s="82"/>
      <c r="P911" s="51"/>
      <c r="Q911" s="338"/>
      <c r="R911" s="51"/>
      <c r="S911" s="51"/>
      <c r="T911" s="338"/>
      <c r="U911" s="51"/>
      <c r="V911" s="35"/>
      <c r="W911" s="364">
        <f>SUM(X911:AH911)</f>
        <v>657594.15</v>
      </c>
      <c r="X911" s="285">
        <v>183497.78</v>
      </c>
      <c r="Y911" s="285"/>
      <c r="Z911" s="285"/>
      <c r="AA911" s="285"/>
      <c r="AB911" s="285"/>
      <c r="AC911" s="9">
        <v>372683.36</v>
      </c>
      <c r="AD911" s="306">
        <v>101413.01</v>
      </c>
      <c r="AE911" s="302"/>
      <c r="AF911" s="302"/>
      <c r="AG911" s="56"/>
    </row>
    <row r="912" spans="1:33" x14ac:dyDescent="0.3">
      <c r="A912" s="47">
        <f t="shared" si="183"/>
        <v>826</v>
      </c>
      <c r="B912" s="414" t="s">
        <v>1066</v>
      </c>
      <c r="C912" s="51">
        <f t="shared" si="180"/>
        <v>581548.37</v>
      </c>
      <c r="D912" s="51">
        <f t="shared" si="185"/>
        <v>0</v>
      </c>
      <c r="E912" s="51"/>
      <c r="F912" s="51"/>
      <c r="G912" s="51"/>
      <c r="H912" s="51"/>
      <c r="I912" s="51"/>
      <c r="J912" s="51"/>
      <c r="K912" s="51"/>
      <c r="L912" s="51"/>
      <c r="M912" s="35"/>
      <c r="N912" s="51"/>
      <c r="O912" s="82"/>
      <c r="P912" s="51"/>
      <c r="Q912" s="338"/>
      <c r="R912" s="51"/>
      <c r="S912" s="51"/>
      <c r="T912" s="338"/>
      <c r="U912" s="51"/>
      <c r="V912" s="35"/>
      <c r="W912" s="364">
        <f>SUM(X912:AH912)</f>
        <v>581548.37</v>
      </c>
      <c r="X912" s="285">
        <v>145791.31</v>
      </c>
      <c r="Y912" s="285"/>
      <c r="Z912" s="285"/>
      <c r="AA912" s="285"/>
      <c r="AB912" s="285"/>
      <c r="AC912" s="9">
        <v>306267.59000000003</v>
      </c>
      <c r="AD912" s="306">
        <v>129489.47</v>
      </c>
      <c r="AE912" s="302"/>
      <c r="AF912" s="302"/>
      <c r="AG912" s="56"/>
    </row>
    <row r="913" spans="1:33" x14ac:dyDescent="0.3">
      <c r="A913" s="47">
        <f t="shared" si="183"/>
        <v>827</v>
      </c>
      <c r="B913" s="414" t="s">
        <v>1067</v>
      </c>
      <c r="C913" s="51">
        <f t="shared" si="180"/>
        <v>403668.37</v>
      </c>
      <c r="D913" s="51">
        <f t="shared" si="185"/>
        <v>0</v>
      </c>
      <c r="E913" s="51"/>
      <c r="F913" s="51"/>
      <c r="G913" s="51"/>
      <c r="H913" s="51"/>
      <c r="I913" s="51"/>
      <c r="J913" s="51"/>
      <c r="K913" s="51"/>
      <c r="L913" s="51"/>
      <c r="M913" s="35"/>
      <c r="N913" s="51"/>
      <c r="O913" s="82"/>
      <c r="P913" s="51"/>
      <c r="Q913" s="338"/>
      <c r="R913" s="51"/>
      <c r="S913" s="51"/>
      <c r="T913" s="338"/>
      <c r="U913" s="51"/>
      <c r="V913" s="35"/>
      <c r="W913" s="364">
        <f>SUM(X913:AH913)</f>
        <v>403668.37</v>
      </c>
      <c r="X913" s="285"/>
      <c r="Y913" s="285"/>
      <c r="Z913" s="285"/>
      <c r="AA913" s="285"/>
      <c r="AB913" s="285"/>
      <c r="AC913" s="9">
        <v>333584.28000000003</v>
      </c>
      <c r="AD913" s="306">
        <v>70084.09</v>
      </c>
      <c r="AE913" s="302"/>
      <c r="AF913" s="302"/>
      <c r="AG913" s="56"/>
    </row>
    <row r="914" spans="1:33" x14ac:dyDescent="0.3">
      <c r="A914" s="47">
        <f t="shared" si="183"/>
        <v>828</v>
      </c>
      <c r="B914" s="414" t="s">
        <v>1068</v>
      </c>
      <c r="C914" s="51">
        <f t="shared" si="180"/>
        <v>870516.7</v>
      </c>
      <c r="D914" s="51">
        <f t="shared" si="185"/>
        <v>0</v>
      </c>
      <c r="E914" s="51"/>
      <c r="F914" s="51"/>
      <c r="G914" s="51"/>
      <c r="H914" s="51"/>
      <c r="I914" s="51"/>
      <c r="J914" s="51"/>
      <c r="K914" s="51"/>
      <c r="L914" s="51"/>
      <c r="M914" s="35"/>
      <c r="N914" s="51"/>
      <c r="O914" s="82"/>
      <c r="P914" s="51"/>
      <c r="Q914" s="338"/>
      <c r="R914" s="51"/>
      <c r="S914" s="51"/>
      <c r="T914" s="338"/>
      <c r="U914" s="51"/>
      <c r="V914" s="35"/>
      <c r="W914" s="364">
        <f>SUM(X914:AH914)</f>
        <v>870516.7</v>
      </c>
      <c r="X914" s="285">
        <v>227499.59</v>
      </c>
      <c r="Y914" s="285"/>
      <c r="Z914" s="285"/>
      <c r="AA914" s="285"/>
      <c r="AB914" s="285"/>
      <c r="AC914" s="9">
        <v>470465.62</v>
      </c>
      <c r="AD914" s="306">
        <v>172551.49</v>
      </c>
      <c r="AE914" s="302"/>
      <c r="AF914" s="302"/>
      <c r="AG914" s="56"/>
    </row>
    <row r="915" spans="1:33" x14ac:dyDescent="0.3">
      <c r="A915" s="47">
        <f t="shared" si="183"/>
        <v>829</v>
      </c>
      <c r="B915" s="414" t="s">
        <v>1069</v>
      </c>
      <c r="C915" s="51">
        <f t="shared" si="180"/>
        <v>2404747.6</v>
      </c>
      <c r="D915" s="51">
        <f t="shared" si="185"/>
        <v>0</v>
      </c>
      <c r="E915" s="51"/>
      <c r="F915" s="51"/>
      <c r="G915" s="51"/>
      <c r="H915" s="51"/>
      <c r="I915" s="51"/>
      <c r="J915" s="51"/>
      <c r="K915" s="51"/>
      <c r="L915" s="51"/>
      <c r="M915" s="35">
        <v>267.39999999999998</v>
      </c>
      <c r="N915" s="51">
        <v>2274747.6</v>
      </c>
      <c r="O915" s="82"/>
      <c r="P915" s="51"/>
      <c r="Q915" s="338"/>
      <c r="R915" s="51"/>
      <c r="S915" s="51"/>
      <c r="T915" s="338"/>
      <c r="U915" s="51"/>
      <c r="V915" s="35"/>
      <c r="W915" s="364">
        <v>130000</v>
      </c>
      <c r="X915" s="285"/>
      <c r="Y915" s="285"/>
      <c r="Z915" s="285"/>
      <c r="AA915" s="285"/>
      <c r="AB915" s="285"/>
      <c r="AC915" s="9"/>
      <c r="AD915" s="306"/>
      <c r="AE915" s="302"/>
      <c r="AF915" s="302"/>
      <c r="AG915" s="56"/>
    </row>
    <row r="916" spans="1:33" x14ac:dyDescent="0.3">
      <c r="A916" s="47">
        <f t="shared" si="183"/>
        <v>830</v>
      </c>
      <c r="B916" s="414" t="s">
        <v>1070</v>
      </c>
      <c r="C916" s="51">
        <f t="shared" si="180"/>
        <v>130000</v>
      </c>
      <c r="D916" s="51">
        <f t="shared" si="185"/>
        <v>0</v>
      </c>
      <c r="E916" s="51"/>
      <c r="F916" s="51"/>
      <c r="G916" s="51"/>
      <c r="H916" s="51"/>
      <c r="I916" s="51"/>
      <c r="J916" s="51"/>
      <c r="K916" s="51"/>
      <c r="L916" s="51"/>
      <c r="M916" s="35"/>
      <c r="N916" s="51"/>
      <c r="O916" s="82"/>
      <c r="P916" s="51"/>
      <c r="Q916" s="338"/>
      <c r="R916" s="51"/>
      <c r="S916" s="51"/>
      <c r="T916" s="338"/>
      <c r="U916" s="51"/>
      <c r="V916" s="35"/>
      <c r="W916" s="364">
        <v>130000</v>
      </c>
      <c r="X916" s="285"/>
      <c r="Y916" s="285"/>
      <c r="Z916" s="285"/>
      <c r="AA916" s="285"/>
      <c r="AB916" s="285"/>
      <c r="AC916" s="9"/>
      <c r="AD916" s="306"/>
      <c r="AE916" s="302"/>
      <c r="AF916" s="302"/>
      <c r="AG916" s="56"/>
    </row>
    <row r="917" spans="1:33" x14ac:dyDescent="0.3">
      <c r="A917" s="47"/>
      <c r="B917" s="414" t="s">
        <v>211</v>
      </c>
      <c r="C917" s="51">
        <f t="shared" ref="C917:W917" si="186">SUM(C655:C916)</f>
        <v>203087813.50700012</v>
      </c>
      <c r="D917" s="51">
        <f t="shared" si="186"/>
        <v>6486732</v>
      </c>
      <c r="E917" s="51">
        <f t="shared" si="186"/>
        <v>6486732</v>
      </c>
      <c r="F917" s="51">
        <f t="shared" si="186"/>
        <v>0</v>
      </c>
      <c r="G917" s="51">
        <f t="shared" si="186"/>
        <v>0</v>
      </c>
      <c r="H917" s="51">
        <f t="shared" si="186"/>
        <v>0</v>
      </c>
      <c r="I917" s="51">
        <f t="shared" si="186"/>
        <v>0</v>
      </c>
      <c r="J917" s="51">
        <f t="shared" si="186"/>
        <v>0</v>
      </c>
      <c r="K917" s="51">
        <f t="shared" si="186"/>
        <v>0</v>
      </c>
      <c r="L917" s="51">
        <f t="shared" si="186"/>
        <v>0</v>
      </c>
      <c r="M917" s="35">
        <f t="shared" si="186"/>
        <v>9403.51</v>
      </c>
      <c r="N917" s="51">
        <f t="shared" si="186"/>
        <v>53755982.399999999</v>
      </c>
      <c r="O917" s="82">
        <f t="shared" si="186"/>
        <v>239.7</v>
      </c>
      <c r="P917" s="51">
        <f t="shared" si="186"/>
        <v>1866992.4</v>
      </c>
      <c r="Q917" s="338">
        <f t="shared" si="186"/>
        <v>1149</v>
      </c>
      <c r="R917" s="51">
        <f t="shared" si="186"/>
        <v>16089447</v>
      </c>
      <c r="S917" s="51">
        <f t="shared" si="186"/>
        <v>0</v>
      </c>
      <c r="T917" s="338">
        <f t="shared" si="186"/>
        <v>0</v>
      </c>
      <c r="U917" s="51">
        <f t="shared" si="186"/>
        <v>0</v>
      </c>
      <c r="V917" s="35">
        <f t="shared" si="186"/>
        <v>116175.6</v>
      </c>
      <c r="W917" s="51">
        <f t="shared" si="186"/>
        <v>124083520.5770001</v>
      </c>
      <c r="X917" s="285"/>
      <c r="Y917" s="285"/>
      <c r="Z917" s="285"/>
      <c r="AA917" s="285"/>
      <c r="AB917" s="285"/>
      <c r="AC917" s="9"/>
      <c r="AD917" s="306"/>
      <c r="AE917" s="302"/>
      <c r="AF917" s="302"/>
      <c r="AG917" s="56"/>
    </row>
    <row r="918" spans="1:33" ht="31.2" x14ac:dyDescent="0.3">
      <c r="A918" s="47"/>
      <c r="B918" s="414" t="s">
        <v>1071</v>
      </c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35"/>
      <c r="N918" s="51"/>
      <c r="O918" s="82"/>
      <c r="P918" s="51"/>
      <c r="Q918" s="338"/>
      <c r="R918" s="51"/>
      <c r="S918" s="51"/>
      <c r="T918" s="338"/>
      <c r="U918" s="51"/>
      <c r="V918" s="35"/>
      <c r="W918" s="364"/>
      <c r="X918" s="285"/>
      <c r="Y918" s="285"/>
      <c r="Z918" s="285"/>
      <c r="AA918" s="285"/>
      <c r="AB918" s="285"/>
      <c r="AC918" s="9"/>
      <c r="AD918" s="306"/>
      <c r="AE918" s="302"/>
      <c r="AF918" s="302"/>
      <c r="AG918" s="56"/>
    </row>
    <row r="919" spans="1:33" x14ac:dyDescent="0.3">
      <c r="A919" s="47">
        <f>A916+1</f>
        <v>831</v>
      </c>
      <c r="B919" s="414" t="s">
        <v>1072</v>
      </c>
      <c r="C919" s="51">
        <f t="shared" ref="C919:C966" si="187">D919+K919+L919+N919+P919+R919+S919+U919+W919</f>
        <v>625338.20000000007</v>
      </c>
      <c r="D919" s="51">
        <f t="shared" ref="D919:D924" si="188">E919+F919+G919+H919+I919</f>
        <v>0</v>
      </c>
      <c r="E919" s="51"/>
      <c r="F919" s="51"/>
      <c r="G919" s="51"/>
      <c r="H919" s="51"/>
      <c r="I919" s="51"/>
      <c r="J919" s="51"/>
      <c r="K919" s="51"/>
      <c r="L919" s="51"/>
      <c r="M919" s="35"/>
      <c r="N919" s="51"/>
      <c r="O919" s="82"/>
      <c r="P919" s="51"/>
      <c r="Q919" s="338"/>
      <c r="R919" s="51"/>
      <c r="S919" s="51"/>
      <c r="T919" s="338"/>
      <c r="U919" s="51"/>
      <c r="V919" s="35"/>
      <c r="W919" s="364">
        <f t="shared" ref="W919:W924" si="189">SUM(X919:AH919)</f>
        <v>625338.20000000007</v>
      </c>
      <c r="X919" s="285">
        <v>127898.42</v>
      </c>
      <c r="Y919" s="9"/>
      <c r="Z919" s="285"/>
      <c r="AA919" s="285"/>
      <c r="AB919" s="285"/>
      <c r="AC919" s="9"/>
      <c r="AD919" s="306">
        <v>497439.78</v>
      </c>
      <c r="AE919" s="302"/>
      <c r="AF919" s="302"/>
      <c r="AG919" s="56"/>
    </row>
    <row r="920" spans="1:33" x14ac:dyDescent="0.3">
      <c r="A920" s="47">
        <f>A919+1</f>
        <v>832</v>
      </c>
      <c r="B920" s="414" t="s">
        <v>1073</v>
      </c>
      <c r="C920" s="51">
        <f t="shared" si="187"/>
        <v>335130.03000000003</v>
      </c>
      <c r="D920" s="51">
        <f t="shared" si="188"/>
        <v>0</v>
      </c>
      <c r="E920" s="51"/>
      <c r="F920" s="51"/>
      <c r="G920" s="51"/>
      <c r="H920" s="51"/>
      <c r="I920" s="51"/>
      <c r="J920" s="51"/>
      <c r="K920" s="51"/>
      <c r="L920" s="51"/>
      <c r="M920" s="35"/>
      <c r="N920" s="51"/>
      <c r="O920" s="82"/>
      <c r="P920" s="51"/>
      <c r="Q920" s="338"/>
      <c r="R920" s="51"/>
      <c r="S920" s="51"/>
      <c r="T920" s="338"/>
      <c r="U920" s="51"/>
      <c r="V920" s="35"/>
      <c r="W920" s="364">
        <f t="shared" si="189"/>
        <v>335130.03000000003</v>
      </c>
      <c r="X920" s="285"/>
      <c r="Y920" s="285">
        <v>125435.15</v>
      </c>
      <c r="Z920" s="285">
        <v>104847.44</v>
      </c>
      <c r="AA920" s="285"/>
      <c r="AB920" s="285">
        <v>104847.44</v>
      </c>
      <c r="AC920" s="9"/>
      <c r="AD920" s="306"/>
      <c r="AE920" s="302"/>
      <c r="AF920" s="302"/>
      <c r="AG920" s="56"/>
    </row>
    <row r="921" spans="1:33" x14ac:dyDescent="0.3">
      <c r="A921" s="47">
        <f t="shared" ref="A921:A935" si="190">A920+1</f>
        <v>833</v>
      </c>
      <c r="B921" s="414" t="s">
        <v>1074</v>
      </c>
      <c r="C921" s="51">
        <f t="shared" si="187"/>
        <v>408178.77</v>
      </c>
      <c r="D921" s="51">
        <f t="shared" si="188"/>
        <v>0</v>
      </c>
      <c r="E921" s="51"/>
      <c r="F921" s="51"/>
      <c r="G921" s="51"/>
      <c r="H921" s="51"/>
      <c r="I921" s="51"/>
      <c r="J921" s="51"/>
      <c r="K921" s="51"/>
      <c r="L921" s="51"/>
      <c r="M921" s="35"/>
      <c r="N921" s="51"/>
      <c r="O921" s="82"/>
      <c r="P921" s="51"/>
      <c r="Q921" s="338"/>
      <c r="R921" s="51"/>
      <c r="S921" s="51"/>
      <c r="T921" s="338"/>
      <c r="U921" s="51"/>
      <c r="V921" s="35"/>
      <c r="W921" s="364">
        <f t="shared" si="189"/>
        <v>408178.77</v>
      </c>
      <c r="X921" s="285">
        <v>86472.49</v>
      </c>
      <c r="Y921" s="285"/>
      <c r="Z921" s="285">
        <v>85564.62</v>
      </c>
      <c r="AA921" s="285"/>
      <c r="AB921" s="285">
        <v>85564.62</v>
      </c>
      <c r="AC921" s="9"/>
      <c r="AD921" s="306"/>
      <c r="AE921" s="302"/>
      <c r="AF921" s="302">
        <v>150577.04</v>
      </c>
      <c r="AG921" s="56"/>
    </row>
    <row r="922" spans="1:33" x14ac:dyDescent="0.3">
      <c r="A922" s="47">
        <f t="shared" si="190"/>
        <v>834</v>
      </c>
      <c r="B922" s="414" t="s">
        <v>1075</v>
      </c>
      <c r="C922" s="51">
        <f t="shared" si="187"/>
        <v>474879.07999999996</v>
      </c>
      <c r="D922" s="51">
        <f t="shared" si="188"/>
        <v>0</v>
      </c>
      <c r="E922" s="51"/>
      <c r="F922" s="51"/>
      <c r="G922" s="51"/>
      <c r="H922" s="51"/>
      <c r="I922" s="51"/>
      <c r="J922" s="51"/>
      <c r="K922" s="51"/>
      <c r="L922" s="51"/>
      <c r="M922" s="35"/>
      <c r="N922" s="51"/>
      <c r="O922" s="82"/>
      <c r="P922" s="51"/>
      <c r="Q922" s="338"/>
      <c r="R922" s="51"/>
      <c r="S922" s="51"/>
      <c r="T922" s="338"/>
      <c r="U922" s="51"/>
      <c r="V922" s="35"/>
      <c r="W922" s="364">
        <f t="shared" si="189"/>
        <v>474879.07999999996</v>
      </c>
      <c r="X922" s="285"/>
      <c r="Y922" s="285"/>
      <c r="Z922" s="285"/>
      <c r="AA922" s="285"/>
      <c r="AB922" s="285"/>
      <c r="AC922" s="9">
        <v>116903.92</v>
      </c>
      <c r="AD922" s="306">
        <v>253589.18</v>
      </c>
      <c r="AE922" s="302"/>
      <c r="AF922" s="302">
        <v>104385.98</v>
      </c>
      <c r="AG922" s="56"/>
    </row>
    <row r="923" spans="1:33" x14ac:dyDescent="0.3">
      <c r="A923" s="47">
        <f t="shared" si="190"/>
        <v>835</v>
      </c>
      <c r="B923" s="414" t="s">
        <v>1076</v>
      </c>
      <c r="C923" s="51">
        <f t="shared" si="187"/>
        <v>307883</v>
      </c>
      <c r="D923" s="51">
        <f t="shared" si="188"/>
        <v>0</v>
      </c>
      <c r="E923" s="51"/>
      <c r="F923" s="51"/>
      <c r="G923" s="51"/>
      <c r="H923" s="51"/>
      <c r="I923" s="51"/>
      <c r="J923" s="51"/>
      <c r="K923" s="51"/>
      <c r="L923" s="51"/>
      <c r="M923" s="35"/>
      <c r="N923" s="51"/>
      <c r="O923" s="82"/>
      <c r="P923" s="51"/>
      <c r="Q923" s="338"/>
      <c r="R923" s="51"/>
      <c r="S923" s="51"/>
      <c r="T923" s="338"/>
      <c r="U923" s="51"/>
      <c r="V923" s="35"/>
      <c r="W923" s="364">
        <f t="shared" si="189"/>
        <v>307883</v>
      </c>
      <c r="X923" s="285"/>
      <c r="Y923" s="285"/>
      <c r="Z923" s="285"/>
      <c r="AA923" s="285"/>
      <c r="AB923" s="285"/>
      <c r="AC923" s="9"/>
      <c r="AD923" s="306">
        <v>307883</v>
      </c>
      <c r="AE923" s="302"/>
      <c r="AF923" s="302"/>
      <c r="AG923" s="56"/>
    </row>
    <row r="924" spans="1:33" x14ac:dyDescent="0.3">
      <c r="A924" s="47">
        <f t="shared" si="190"/>
        <v>836</v>
      </c>
      <c r="B924" s="414" t="s">
        <v>1077</v>
      </c>
      <c r="C924" s="51">
        <f t="shared" si="187"/>
        <v>226163.15</v>
      </c>
      <c r="D924" s="51">
        <f t="shared" si="188"/>
        <v>0</v>
      </c>
      <c r="E924" s="51"/>
      <c r="F924" s="51"/>
      <c r="G924" s="51"/>
      <c r="H924" s="51"/>
      <c r="I924" s="51"/>
      <c r="J924" s="51"/>
      <c r="K924" s="51"/>
      <c r="L924" s="51"/>
      <c r="M924" s="35"/>
      <c r="N924" s="51"/>
      <c r="O924" s="82"/>
      <c r="P924" s="51"/>
      <c r="Q924" s="338"/>
      <c r="R924" s="51"/>
      <c r="S924" s="51"/>
      <c r="T924" s="338"/>
      <c r="U924" s="51"/>
      <c r="V924" s="35"/>
      <c r="W924" s="364">
        <f t="shared" si="189"/>
        <v>226163.15</v>
      </c>
      <c r="X924" s="285">
        <v>226163.15</v>
      </c>
      <c r="Y924" s="285"/>
      <c r="Z924" s="285"/>
      <c r="AA924" s="285"/>
      <c r="AB924" s="285"/>
      <c r="AC924" s="9"/>
      <c r="AD924" s="306"/>
      <c r="AE924" s="302"/>
      <c r="AF924" s="302"/>
      <c r="AG924" s="56"/>
    </row>
    <row r="925" spans="1:33" x14ac:dyDescent="0.3">
      <c r="A925" s="47">
        <f t="shared" si="190"/>
        <v>837</v>
      </c>
      <c r="B925" s="414" t="s">
        <v>1078</v>
      </c>
      <c r="C925" s="51">
        <f t="shared" si="187"/>
        <v>279007.3</v>
      </c>
      <c r="D925" s="51">
        <f t="shared" ref="D925" si="191">E925+F925+G925+H925+I925</f>
        <v>0</v>
      </c>
      <c r="E925" s="51"/>
      <c r="F925" s="51"/>
      <c r="G925" s="51"/>
      <c r="H925" s="51"/>
      <c r="I925" s="51"/>
      <c r="J925" s="51"/>
      <c r="K925" s="51"/>
      <c r="L925" s="51"/>
      <c r="M925" s="35"/>
      <c r="N925" s="51"/>
      <c r="O925" s="82"/>
      <c r="P925" s="51"/>
      <c r="Q925" s="338"/>
      <c r="R925" s="51"/>
      <c r="S925" s="51"/>
      <c r="T925" s="338"/>
      <c r="U925" s="51"/>
      <c r="V925" s="35"/>
      <c r="W925" s="364">
        <f t="shared" ref="W925" si="192">SUM(X925:AH925)</f>
        <v>279007.3</v>
      </c>
      <c r="X925" s="285"/>
      <c r="Y925" s="285"/>
      <c r="Z925" s="285"/>
      <c r="AA925" s="285"/>
      <c r="AB925" s="285"/>
      <c r="AC925" s="9"/>
      <c r="AD925" s="306"/>
      <c r="AE925" s="302">
        <v>279007.3</v>
      </c>
      <c r="AF925" s="302"/>
      <c r="AG925" s="56"/>
    </row>
    <row r="926" spans="1:33" x14ac:dyDescent="0.3">
      <c r="A926" s="47">
        <f t="shared" si="190"/>
        <v>838</v>
      </c>
      <c r="B926" s="414" t="s">
        <v>1079</v>
      </c>
      <c r="C926" s="51">
        <f t="shared" si="187"/>
        <v>326901.53000000003</v>
      </c>
      <c r="D926" s="51">
        <f t="shared" ref="D926" si="193">E926+F926+G926+H926+I926</f>
        <v>0</v>
      </c>
      <c r="E926" s="51"/>
      <c r="F926" s="51"/>
      <c r="G926" s="51"/>
      <c r="H926" s="51"/>
      <c r="I926" s="51"/>
      <c r="J926" s="51"/>
      <c r="K926" s="51"/>
      <c r="L926" s="51"/>
      <c r="M926" s="35"/>
      <c r="N926" s="51"/>
      <c r="O926" s="82"/>
      <c r="P926" s="51"/>
      <c r="Q926" s="338"/>
      <c r="R926" s="51"/>
      <c r="S926" s="51"/>
      <c r="T926" s="338"/>
      <c r="U926" s="51"/>
      <c r="V926" s="35"/>
      <c r="W926" s="364">
        <f t="shared" ref="W926" si="194">SUM(X926:AH926)</f>
        <v>326901.53000000003</v>
      </c>
      <c r="X926" s="285"/>
      <c r="Y926" s="285"/>
      <c r="Z926" s="285"/>
      <c r="AA926" s="285"/>
      <c r="AB926" s="285"/>
      <c r="AC926" s="9"/>
      <c r="AD926" s="306"/>
      <c r="AE926" s="302">
        <v>326901.53000000003</v>
      </c>
      <c r="AF926" s="302"/>
      <c r="AG926" s="56"/>
    </row>
    <row r="927" spans="1:33" x14ac:dyDescent="0.3">
      <c r="A927" s="47">
        <f t="shared" si="190"/>
        <v>839</v>
      </c>
      <c r="B927" s="414" t="s">
        <v>1080</v>
      </c>
      <c r="C927" s="51">
        <f t="shared" si="187"/>
        <v>109247.98000000001</v>
      </c>
      <c r="D927" s="51">
        <f>E927+F927+G927+H927+I927</f>
        <v>0</v>
      </c>
      <c r="E927" s="51"/>
      <c r="F927" s="51"/>
      <c r="G927" s="51"/>
      <c r="H927" s="51"/>
      <c r="I927" s="51"/>
      <c r="J927" s="51"/>
      <c r="K927" s="51"/>
      <c r="L927" s="51"/>
      <c r="M927" s="35"/>
      <c r="N927" s="51"/>
      <c r="O927" s="82"/>
      <c r="P927" s="51"/>
      <c r="Q927" s="338"/>
      <c r="R927" s="51"/>
      <c r="S927" s="51"/>
      <c r="T927" s="338"/>
      <c r="U927" s="51"/>
      <c r="V927" s="35"/>
      <c r="W927" s="364">
        <f>SUM(X927:AH927)</f>
        <v>109247.98000000001</v>
      </c>
      <c r="X927" s="285">
        <v>98535.96</v>
      </c>
      <c r="Y927" s="285"/>
      <c r="Z927" s="285"/>
      <c r="AA927" s="285"/>
      <c r="AB927" s="285"/>
      <c r="AC927" s="9"/>
      <c r="AD927" s="306">
        <v>10712.02</v>
      </c>
      <c r="AE927" s="302"/>
      <c r="AF927" s="302"/>
      <c r="AG927" s="56"/>
    </row>
    <row r="928" spans="1:33" x14ac:dyDescent="0.3">
      <c r="A928" s="47">
        <f t="shared" si="190"/>
        <v>840</v>
      </c>
      <c r="B928" s="414" t="s">
        <v>1081</v>
      </c>
      <c r="C928" s="51">
        <f t="shared" si="187"/>
        <v>421453.39</v>
      </c>
      <c r="D928" s="51">
        <f t="shared" ref="D928" si="195">E928+F928+G928+H928+I928</f>
        <v>0</v>
      </c>
      <c r="E928" s="51"/>
      <c r="F928" s="51"/>
      <c r="G928" s="51"/>
      <c r="H928" s="51"/>
      <c r="I928" s="51"/>
      <c r="J928" s="51"/>
      <c r="K928" s="51"/>
      <c r="L928" s="51"/>
      <c r="M928" s="35"/>
      <c r="N928" s="51"/>
      <c r="O928" s="82"/>
      <c r="P928" s="51"/>
      <c r="Q928" s="338"/>
      <c r="R928" s="51"/>
      <c r="S928" s="51"/>
      <c r="T928" s="338"/>
      <c r="U928" s="51"/>
      <c r="V928" s="35"/>
      <c r="W928" s="364">
        <f t="shared" ref="W928" si="196">SUM(X928:AH928)</f>
        <v>421453.39</v>
      </c>
      <c r="X928" s="285"/>
      <c r="Y928" s="285"/>
      <c r="Z928" s="285"/>
      <c r="AA928" s="285"/>
      <c r="AB928" s="285"/>
      <c r="AC928" s="9"/>
      <c r="AD928" s="306"/>
      <c r="AE928" s="302">
        <v>421453.39</v>
      </c>
      <c r="AF928" s="302"/>
      <c r="AG928" s="56"/>
    </row>
    <row r="929" spans="1:33" x14ac:dyDescent="0.3">
      <c r="A929" s="47">
        <f t="shared" si="190"/>
        <v>841</v>
      </c>
      <c r="B929" s="414" t="s">
        <v>1082</v>
      </c>
      <c r="C929" s="51">
        <f t="shared" si="187"/>
        <v>445237.13</v>
      </c>
      <c r="D929" s="51">
        <f>E929+F929+G929+H929+I929</f>
        <v>0</v>
      </c>
      <c r="E929" s="51"/>
      <c r="F929" s="51"/>
      <c r="G929" s="51"/>
      <c r="H929" s="51"/>
      <c r="I929" s="51"/>
      <c r="J929" s="51"/>
      <c r="K929" s="51"/>
      <c r="L929" s="51"/>
      <c r="M929" s="35"/>
      <c r="N929" s="51"/>
      <c r="O929" s="82"/>
      <c r="P929" s="51"/>
      <c r="Q929" s="338"/>
      <c r="R929" s="51"/>
      <c r="S929" s="51"/>
      <c r="T929" s="338"/>
      <c r="U929" s="51"/>
      <c r="V929" s="35"/>
      <c r="W929" s="364">
        <f>SUM(X929:AH929)</f>
        <v>445237.13</v>
      </c>
      <c r="X929" s="285"/>
      <c r="Y929" s="285"/>
      <c r="Z929" s="285"/>
      <c r="AA929" s="285"/>
      <c r="AB929" s="285"/>
      <c r="AC929" s="9">
        <v>177255.25</v>
      </c>
      <c r="AD929" s="306">
        <v>267981.88</v>
      </c>
      <c r="AE929" s="302"/>
      <c r="AF929" s="302"/>
      <c r="AG929" s="56"/>
    </row>
    <row r="930" spans="1:33" x14ac:dyDescent="0.3">
      <c r="A930" s="47">
        <f t="shared" si="190"/>
        <v>842</v>
      </c>
      <c r="B930" s="414" t="s">
        <v>1083</v>
      </c>
      <c r="C930" s="51">
        <f t="shared" si="187"/>
        <v>470674.67</v>
      </c>
      <c r="D930" s="51">
        <f t="shared" ref="D930" si="197">E930+F930+G930+H930+I930</f>
        <v>0</v>
      </c>
      <c r="E930" s="51"/>
      <c r="F930" s="51"/>
      <c r="G930" s="51"/>
      <c r="H930" s="51"/>
      <c r="I930" s="51"/>
      <c r="J930" s="51"/>
      <c r="K930" s="51"/>
      <c r="L930" s="51"/>
      <c r="M930" s="35"/>
      <c r="N930" s="51"/>
      <c r="O930" s="82"/>
      <c r="P930" s="51"/>
      <c r="Q930" s="338"/>
      <c r="R930" s="51"/>
      <c r="S930" s="51"/>
      <c r="T930" s="338"/>
      <c r="U930" s="51"/>
      <c r="V930" s="35"/>
      <c r="W930" s="364">
        <f t="shared" ref="W930" si="198">SUM(X930:AH930)</f>
        <v>470674.67</v>
      </c>
      <c r="X930" s="285"/>
      <c r="Y930" s="285"/>
      <c r="Z930" s="285"/>
      <c r="AA930" s="285"/>
      <c r="AB930" s="285"/>
      <c r="AC930" s="9"/>
      <c r="AD930" s="306"/>
      <c r="AE930" s="302">
        <v>470674.67</v>
      </c>
      <c r="AF930" s="302"/>
      <c r="AG930" s="56"/>
    </row>
    <row r="931" spans="1:33" x14ac:dyDescent="0.3">
      <c r="A931" s="47">
        <f t="shared" si="190"/>
        <v>843</v>
      </c>
      <c r="B931" s="414" t="s">
        <v>1084</v>
      </c>
      <c r="C931" s="51">
        <f t="shared" si="187"/>
        <v>617771.49</v>
      </c>
      <c r="D931" s="51">
        <f t="shared" ref="D931:D937" si="199">E931+F931+G931+H931+I931</f>
        <v>0</v>
      </c>
      <c r="E931" s="51"/>
      <c r="F931" s="51"/>
      <c r="G931" s="51"/>
      <c r="H931" s="51"/>
      <c r="I931" s="51"/>
      <c r="J931" s="51"/>
      <c r="K931" s="51"/>
      <c r="L931" s="51"/>
      <c r="M931" s="35"/>
      <c r="N931" s="51"/>
      <c r="O931" s="82"/>
      <c r="P931" s="51"/>
      <c r="Q931" s="338"/>
      <c r="R931" s="51"/>
      <c r="S931" s="51"/>
      <c r="T931" s="338"/>
      <c r="U931" s="51"/>
      <c r="V931" s="35"/>
      <c r="W931" s="364">
        <f t="shared" ref="W931:W937" si="200">SUM(X931:AH931)</f>
        <v>617771.49</v>
      </c>
      <c r="X931" s="285">
        <v>117741.07</v>
      </c>
      <c r="Y931" s="285">
        <v>153956.26</v>
      </c>
      <c r="Z931" s="505">
        <v>126227.53</v>
      </c>
      <c r="AA931" s="505"/>
      <c r="AB931" s="285"/>
      <c r="AC931" s="9"/>
      <c r="AD931" s="306">
        <v>219846.63</v>
      </c>
      <c r="AE931" s="302"/>
      <c r="AF931" s="302"/>
      <c r="AG931" s="56"/>
    </row>
    <row r="932" spans="1:33" x14ac:dyDescent="0.3">
      <c r="A932" s="47">
        <f t="shared" si="190"/>
        <v>844</v>
      </c>
      <c r="B932" s="414" t="s">
        <v>1085</v>
      </c>
      <c r="C932" s="51">
        <f t="shared" si="187"/>
        <v>462201.64</v>
      </c>
      <c r="D932" s="51">
        <f t="shared" si="199"/>
        <v>0</v>
      </c>
      <c r="E932" s="51"/>
      <c r="F932" s="51"/>
      <c r="G932" s="51"/>
      <c r="H932" s="51"/>
      <c r="I932" s="51"/>
      <c r="J932" s="51"/>
      <c r="K932" s="51"/>
      <c r="L932" s="51"/>
      <c r="M932" s="35"/>
      <c r="N932" s="51"/>
      <c r="O932" s="82"/>
      <c r="P932" s="51"/>
      <c r="Q932" s="338"/>
      <c r="R932" s="51"/>
      <c r="S932" s="51"/>
      <c r="T932" s="338"/>
      <c r="U932" s="51"/>
      <c r="V932" s="35"/>
      <c r="W932" s="364">
        <f t="shared" si="200"/>
        <v>462201.64</v>
      </c>
      <c r="X932" s="285"/>
      <c r="Y932" s="285"/>
      <c r="Z932" s="285"/>
      <c r="AA932" s="285"/>
      <c r="AB932" s="285"/>
      <c r="AC932" s="9"/>
      <c r="AD932" s="306">
        <v>462201.64</v>
      </c>
      <c r="AE932" s="302"/>
      <c r="AF932" s="302"/>
      <c r="AG932" s="56"/>
    </row>
    <row r="933" spans="1:33" x14ac:dyDescent="0.3">
      <c r="A933" s="47">
        <f t="shared" si="190"/>
        <v>845</v>
      </c>
      <c r="B933" s="414" t="s">
        <v>1086</v>
      </c>
      <c r="C933" s="51">
        <f t="shared" si="187"/>
        <v>39126.07</v>
      </c>
      <c r="D933" s="51">
        <f t="shared" si="199"/>
        <v>0</v>
      </c>
      <c r="E933" s="51"/>
      <c r="F933" s="51"/>
      <c r="G933" s="51"/>
      <c r="H933" s="51"/>
      <c r="I933" s="51"/>
      <c r="J933" s="51"/>
      <c r="K933" s="51"/>
      <c r="L933" s="51"/>
      <c r="M933" s="35"/>
      <c r="N933" s="51"/>
      <c r="O933" s="82"/>
      <c r="P933" s="51"/>
      <c r="Q933" s="338"/>
      <c r="R933" s="51"/>
      <c r="S933" s="51"/>
      <c r="T933" s="338"/>
      <c r="U933" s="51"/>
      <c r="V933" s="35"/>
      <c r="W933" s="364">
        <f t="shared" si="200"/>
        <v>39126.07</v>
      </c>
      <c r="X933" s="285"/>
      <c r="Y933" s="285"/>
      <c r="Z933" s="285"/>
      <c r="AA933" s="285"/>
      <c r="AB933" s="285"/>
      <c r="AC933" s="9"/>
      <c r="AD933" s="306">
        <v>39126.07</v>
      </c>
      <c r="AE933" s="302"/>
      <c r="AF933" s="302"/>
      <c r="AG933" s="56"/>
    </row>
    <row r="934" spans="1:33" x14ac:dyDescent="0.3">
      <c r="A934" s="47">
        <f t="shared" si="190"/>
        <v>846</v>
      </c>
      <c r="B934" s="414" t="s">
        <v>1087</v>
      </c>
      <c r="C934" s="51">
        <f t="shared" si="187"/>
        <v>490987.91</v>
      </c>
      <c r="D934" s="51">
        <f t="shared" si="199"/>
        <v>0</v>
      </c>
      <c r="E934" s="51"/>
      <c r="F934" s="51"/>
      <c r="G934" s="51"/>
      <c r="H934" s="51"/>
      <c r="I934" s="51"/>
      <c r="J934" s="51"/>
      <c r="K934" s="51"/>
      <c r="L934" s="51"/>
      <c r="M934" s="35"/>
      <c r="N934" s="51"/>
      <c r="O934" s="82"/>
      <c r="P934" s="51"/>
      <c r="Q934" s="338"/>
      <c r="R934" s="51"/>
      <c r="S934" s="51"/>
      <c r="T934" s="338"/>
      <c r="U934" s="51"/>
      <c r="V934" s="35"/>
      <c r="W934" s="364">
        <f t="shared" si="200"/>
        <v>490987.91</v>
      </c>
      <c r="X934" s="285"/>
      <c r="Y934" s="285"/>
      <c r="Z934" s="285"/>
      <c r="AA934" s="285"/>
      <c r="AB934" s="285"/>
      <c r="AC934" s="9"/>
      <c r="AD934" s="306">
        <v>490987.91</v>
      </c>
      <c r="AE934" s="302"/>
      <c r="AF934" s="302"/>
      <c r="AG934" s="56"/>
    </row>
    <row r="935" spans="1:33" x14ac:dyDescent="0.3">
      <c r="A935" s="47">
        <f t="shared" si="190"/>
        <v>847</v>
      </c>
      <c r="B935" s="414" t="s">
        <v>1088</v>
      </c>
      <c r="C935" s="51">
        <f t="shared" si="187"/>
        <v>978735.16</v>
      </c>
      <c r="D935" s="51">
        <f t="shared" si="199"/>
        <v>0</v>
      </c>
      <c r="E935" s="51"/>
      <c r="F935" s="51"/>
      <c r="G935" s="51"/>
      <c r="H935" s="51"/>
      <c r="I935" s="51"/>
      <c r="J935" s="51"/>
      <c r="K935" s="51"/>
      <c r="L935" s="51"/>
      <c r="M935" s="35"/>
      <c r="N935" s="51"/>
      <c r="O935" s="82"/>
      <c r="P935" s="51"/>
      <c r="Q935" s="338"/>
      <c r="R935" s="51"/>
      <c r="S935" s="51"/>
      <c r="T935" s="338"/>
      <c r="U935" s="51"/>
      <c r="V935" s="35"/>
      <c r="W935" s="364">
        <f t="shared" si="200"/>
        <v>978735.16</v>
      </c>
      <c r="X935" s="285"/>
      <c r="Y935" s="285"/>
      <c r="Z935" s="285"/>
      <c r="AA935" s="285"/>
      <c r="AB935" s="285"/>
      <c r="AC935" s="9">
        <v>403682.64</v>
      </c>
      <c r="AD935" s="40">
        <v>575052.52</v>
      </c>
      <c r="AE935" s="302"/>
      <c r="AF935" s="302"/>
      <c r="AG935" s="56"/>
    </row>
    <row r="936" spans="1:33" x14ac:dyDescent="0.3">
      <c r="A936" s="47">
        <f>A935+1</f>
        <v>848</v>
      </c>
      <c r="B936" s="414" t="s">
        <v>1089</v>
      </c>
      <c r="C936" s="51">
        <f t="shared" si="187"/>
        <v>872374.71</v>
      </c>
      <c r="D936" s="51">
        <f t="shared" si="199"/>
        <v>0</v>
      </c>
      <c r="E936" s="51"/>
      <c r="F936" s="51"/>
      <c r="G936" s="51"/>
      <c r="H936" s="51"/>
      <c r="I936" s="51"/>
      <c r="J936" s="51"/>
      <c r="K936" s="51"/>
      <c r="L936" s="51"/>
      <c r="M936" s="35"/>
      <c r="N936" s="51"/>
      <c r="O936" s="82"/>
      <c r="P936" s="51"/>
      <c r="Q936" s="338"/>
      <c r="R936" s="51"/>
      <c r="S936" s="51"/>
      <c r="T936" s="338"/>
      <c r="U936" s="51"/>
      <c r="V936" s="35"/>
      <c r="W936" s="364">
        <f t="shared" si="200"/>
        <v>872374.71</v>
      </c>
      <c r="X936" s="285"/>
      <c r="Y936" s="285"/>
      <c r="Z936" s="285"/>
      <c r="AA936" s="285"/>
      <c r="AB936" s="285"/>
      <c r="AC936" s="9">
        <v>369814</v>
      </c>
      <c r="AD936" s="306">
        <v>502560.71</v>
      </c>
      <c r="AE936" s="302"/>
      <c r="AF936" s="302"/>
      <c r="AG936" s="56"/>
    </row>
    <row r="937" spans="1:33" x14ac:dyDescent="0.3">
      <c r="A937" s="47">
        <f>A936+1</f>
        <v>849</v>
      </c>
      <c r="B937" s="414" t="s">
        <v>1090</v>
      </c>
      <c r="C937" s="51">
        <f t="shared" si="187"/>
        <v>403722.27</v>
      </c>
      <c r="D937" s="51">
        <f t="shared" si="199"/>
        <v>0</v>
      </c>
      <c r="E937" s="51"/>
      <c r="F937" s="51"/>
      <c r="G937" s="51"/>
      <c r="H937" s="51"/>
      <c r="I937" s="51"/>
      <c r="J937" s="51"/>
      <c r="K937" s="51"/>
      <c r="L937" s="51"/>
      <c r="M937" s="35"/>
      <c r="N937" s="51"/>
      <c r="O937" s="82"/>
      <c r="P937" s="51"/>
      <c r="Q937" s="338"/>
      <c r="R937" s="51"/>
      <c r="S937" s="51"/>
      <c r="T937" s="338"/>
      <c r="U937" s="51"/>
      <c r="V937" s="35"/>
      <c r="W937" s="364">
        <f t="shared" si="200"/>
        <v>403722.27</v>
      </c>
      <c r="X937" s="285">
        <v>202963.18</v>
      </c>
      <c r="Y937" s="285"/>
      <c r="Z937" s="285"/>
      <c r="AA937" s="285"/>
      <c r="AB937" s="285"/>
      <c r="AC937" s="9"/>
      <c r="AD937" s="306">
        <v>200759.09</v>
      </c>
      <c r="AE937" s="302"/>
      <c r="AF937" s="302"/>
      <c r="AG937" s="56"/>
    </row>
    <row r="938" spans="1:33" x14ac:dyDescent="0.3">
      <c r="A938" s="47">
        <f t="shared" ref="A938:A966" si="201">A937+1</f>
        <v>850</v>
      </c>
      <c r="B938" s="414" t="s">
        <v>1091</v>
      </c>
      <c r="C938" s="51">
        <f t="shared" si="187"/>
        <v>1430434.13</v>
      </c>
      <c r="D938" s="51">
        <f t="shared" ref="D938" si="202">E938+F938+G938+H938+I938</f>
        <v>0</v>
      </c>
      <c r="E938" s="51"/>
      <c r="F938" s="51"/>
      <c r="G938" s="51"/>
      <c r="H938" s="51"/>
      <c r="I938" s="51"/>
      <c r="J938" s="51"/>
      <c r="K938" s="51"/>
      <c r="L938" s="51"/>
      <c r="M938" s="35"/>
      <c r="N938" s="51"/>
      <c r="O938" s="82"/>
      <c r="P938" s="51"/>
      <c r="Q938" s="338"/>
      <c r="R938" s="51"/>
      <c r="S938" s="51"/>
      <c r="T938" s="338"/>
      <c r="U938" s="51"/>
      <c r="V938" s="35"/>
      <c r="W938" s="364">
        <f t="shared" ref="W938" si="203">SUM(X938:AH938)</f>
        <v>1430434.13</v>
      </c>
      <c r="X938" s="285"/>
      <c r="Y938" s="285"/>
      <c r="Z938" s="285"/>
      <c r="AA938" s="285"/>
      <c r="AB938" s="285"/>
      <c r="AC938" s="9"/>
      <c r="AD938" s="306"/>
      <c r="AE938" s="302">
        <v>1430434.13</v>
      </c>
      <c r="AF938" s="302"/>
      <c r="AG938" s="56"/>
    </row>
    <row r="939" spans="1:33" x14ac:dyDescent="0.3">
      <c r="A939" s="47">
        <f t="shared" si="201"/>
        <v>851</v>
      </c>
      <c r="B939" s="414" t="s">
        <v>1093</v>
      </c>
      <c r="C939" s="51">
        <f t="shared" si="187"/>
        <v>989203.51</v>
      </c>
      <c r="D939" s="51">
        <f>E939+F939+G939+H939+I939</f>
        <v>0</v>
      </c>
      <c r="E939" s="51"/>
      <c r="F939" s="51"/>
      <c r="G939" s="51"/>
      <c r="H939" s="51"/>
      <c r="I939" s="51"/>
      <c r="J939" s="51"/>
      <c r="K939" s="51"/>
      <c r="L939" s="51"/>
      <c r="M939" s="35"/>
      <c r="N939" s="51"/>
      <c r="O939" s="82"/>
      <c r="P939" s="51"/>
      <c r="Q939" s="338"/>
      <c r="R939" s="51"/>
      <c r="S939" s="51"/>
      <c r="T939" s="338"/>
      <c r="U939" s="51"/>
      <c r="V939" s="35"/>
      <c r="W939" s="364">
        <f>SUM(X939:AH939)</f>
        <v>989203.51</v>
      </c>
      <c r="X939" s="285"/>
      <c r="Y939" s="285"/>
      <c r="Z939" s="285"/>
      <c r="AA939" s="285"/>
      <c r="AB939" s="285"/>
      <c r="AC939" s="9">
        <v>450330.43</v>
      </c>
      <c r="AD939" s="306">
        <v>538873.07999999996</v>
      </c>
      <c r="AE939" s="302"/>
      <c r="AF939" s="302"/>
      <c r="AG939" s="56"/>
    </row>
    <row r="940" spans="1:33" x14ac:dyDescent="0.3">
      <c r="A940" s="47">
        <f t="shared" si="201"/>
        <v>852</v>
      </c>
      <c r="B940" s="414" t="s">
        <v>1094</v>
      </c>
      <c r="C940" s="51">
        <f t="shared" si="187"/>
        <v>561299.99</v>
      </c>
      <c r="D940" s="51">
        <f>E940+F940+G940+H940+I940</f>
        <v>0</v>
      </c>
      <c r="E940" s="51"/>
      <c r="F940" s="51"/>
      <c r="G940" s="51"/>
      <c r="H940" s="51"/>
      <c r="I940" s="51"/>
      <c r="J940" s="51"/>
      <c r="K940" s="51"/>
      <c r="L940" s="51"/>
      <c r="M940" s="35"/>
      <c r="N940" s="51"/>
      <c r="O940" s="82"/>
      <c r="P940" s="51"/>
      <c r="Q940" s="338"/>
      <c r="R940" s="51"/>
      <c r="S940" s="51"/>
      <c r="T940" s="338"/>
      <c r="U940" s="51"/>
      <c r="V940" s="35"/>
      <c r="W940" s="364">
        <f>SUM(X940:AH940)</f>
        <v>561299.99</v>
      </c>
      <c r="X940" s="285"/>
      <c r="Y940" s="285">
        <v>92839.94</v>
      </c>
      <c r="Z940" s="285">
        <v>73399.91</v>
      </c>
      <c r="AA940" s="285"/>
      <c r="AB940" s="285"/>
      <c r="AC940" s="9"/>
      <c r="AD940" s="306">
        <v>262982.87</v>
      </c>
      <c r="AE940" s="302"/>
      <c r="AF940" s="302">
        <v>132077.26999999999</v>
      </c>
      <c r="AG940" s="56"/>
    </row>
    <row r="941" spans="1:33" x14ac:dyDescent="0.3">
      <c r="A941" s="47">
        <f t="shared" si="201"/>
        <v>853</v>
      </c>
      <c r="B941" s="414" t="s">
        <v>1095</v>
      </c>
      <c r="C941" s="51">
        <f t="shared" si="187"/>
        <v>231009.44000000003</v>
      </c>
      <c r="D941" s="51">
        <f>E941+F941+G941+H941+I941</f>
        <v>0</v>
      </c>
      <c r="E941" s="51"/>
      <c r="F941" s="51"/>
      <c r="G941" s="51"/>
      <c r="H941" s="51"/>
      <c r="I941" s="51"/>
      <c r="J941" s="51"/>
      <c r="K941" s="51"/>
      <c r="L941" s="51"/>
      <c r="M941" s="35"/>
      <c r="N941" s="51"/>
      <c r="O941" s="82"/>
      <c r="P941" s="51"/>
      <c r="Q941" s="338"/>
      <c r="R941" s="51"/>
      <c r="S941" s="51"/>
      <c r="T941" s="338"/>
      <c r="U941" s="51"/>
      <c r="V941" s="35"/>
      <c r="W941" s="364">
        <f>SUM(X941:AH941)</f>
        <v>231009.44000000003</v>
      </c>
      <c r="X941" s="285"/>
      <c r="Y941" s="285">
        <v>89945.24</v>
      </c>
      <c r="Z941" s="285">
        <v>70532.100000000006</v>
      </c>
      <c r="AA941" s="285"/>
      <c r="AB941" s="285">
        <v>70532.100000000006</v>
      </c>
      <c r="AC941" s="9"/>
      <c r="AD941" s="306"/>
      <c r="AE941" s="302"/>
      <c r="AF941" s="302"/>
      <c r="AG941" s="56"/>
    </row>
    <row r="942" spans="1:33" x14ac:dyDescent="0.3">
      <c r="A942" s="47">
        <f t="shared" si="201"/>
        <v>854</v>
      </c>
      <c r="B942" s="414" t="s">
        <v>1096</v>
      </c>
      <c r="C942" s="51">
        <f t="shared" si="187"/>
        <v>601365.46</v>
      </c>
      <c r="D942" s="51">
        <f>E942+F942+G942+H942+I942</f>
        <v>0</v>
      </c>
      <c r="E942" s="51"/>
      <c r="F942" s="51"/>
      <c r="G942" s="51"/>
      <c r="H942" s="51"/>
      <c r="I942" s="51"/>
      <c r="J942" s="51"/>
      <c r="K942" s="51"/>
      <c r="L942" s="51"/>
      <c r="M942" s="35"/>
      <c r="N942" s="51"/>
      <c r="O942" s="82"/>
      <c r="P942" s="51"/>
      <c r="Q942" s="338"/>
      <c r="R942" s="51"/>
      <c r="S942" s="51"/>
      <c r="T942" s="338"/>
      <c r="U942" s="51"/>
      <c r="V942" s="35"/>
      <c r="W942" s="364">
        <f>SUM(X942:AH942)</f>
        <v>601365.46</v>
      </c>
      <c r="X942" s="285"/>
      <c r="Y942" s="285"/>
      <c r="Z942" s="285"/>
      <c r="AA942" s="285"/>
      <c r="AB942" s="285"/>
      <c r="AC942" s="9">
        <v>210297.7</v>
      </c>
      <c r="AD942" s="306">
        <v>391067.76</v>
      </c>
      <c r="AE942" s="302"/>
      <c r="AF942" s="302"/>
      <c r="AG942" s="56"/>
    </row>
    <row r="943" spans="1:33" x14ac:dyDescent="0.3">
      <c r="A943" s="47">
        <f t="shared" si="201"/>
        <v>855</v>
      </c>
      <c r="B943" s="414" t="s">
        <v>1097</v>
      </c>
      <c r="C943" s="51">
        <f t="shared" si="187"/>
        <v>507597.86</v>
      </c>
      <c r="D943" s="51">
        <f>E943+F943+G943+H943+I943</f>
        <v>0</v>
      </c>
      <c r="E943" s="51"/>
      <c r="F943" s="51"/>
      <c r="G943" s="51"/>
      <c r="H943" s="51"/>
      <c r="I943" s="51"/>
      <c r="J943" s="51"/>
      <c r="K943" s="51"/>
      <c r="L943" s="51"/>
      <c r="M943" s="35"/>
      <c r="N943" s="51"/>
      <c r="O943" s="82"/>
      <c r="P943" s="51"/>
      <c r="Q943" s="338"/>
      <c r="R943" s="51"/>
      <c r="S943" s="51"/>
      <c r="T943" s="338"/>
      <c r="U943" s="51"/>
      <c r="V943" s="35"/>
      <c r="W943" s="364">
        <f>SUM(X943:AH943)</f>
        <v>507597.86</v>
      </c>
      <c r="X943" s="285">
        <v>116530.1</v>
      </c>
      <c r="Y943" s="285"/>
      <c r="Z943" s="285"/>
      <c r="AA943" s="285"/>
      <c r="AB943" s="285"/>
      <c r="AC943" s="9"/>
      <c r="AD943" s="306">
        <v>391067.76</v>
      </c>
      <c r="AE943" s="302"/>
      <c r="AF943" s="302"/>
      <c r="AG943" s="56"/>
    </row>
    <row r="944" spans="1:33" x14ac:dyDescent="0.3">
      <c r="A944" s="47">
        <f t="shared" si="201"/>
        <v>856</v>
      </c>
      <c r="B944" s="414" t="s">
        <v>1098</v>
      </c>
      <c r="C944" s="51">
        <f t="shared" si="187"/>
        <v>1120003.1499999999</v>
      </c>
      <c r="D944" s="51">
        <f t="shared" ref="D944:D945" si="204">E944+F944+G944+H944+I944</f>
        <v>0</v>
      </c>
      <c r="E944" s="51"/>
      <c r="F944" s="51"/>
      <c r="G944" s="51"/>
      <c r="H944" s="51"/>
      <c r="I944" s="51"/>
      <c r="J944" s="51"/>
      <c r="K944" s="51"/>
      <c r="L944" s="51"/>
      <c r="M944" s="35"/>
      <c r="N944" s="51"/>
      <c r="O944" s="82"/>
      <c r="P944" s="51"/>
      <c r="Q944" s="338"/>
      <c r="R944" s="51"/>
      <c r="S944" s="51"/>
      <c r="T944" s="338"/>
      <c r="U944" s="51"/>
      <c r="V944" s="35"/>
      <c r="W944" s="364">
        <f t="shared" ref="W944:W945" si="205">SUM(X944:AH944)</f>
        <v>1120003.1499999999</v>
      </c>
      <c r="X944" s="285"/>
      <c r="Y944" s="285"/>
      <c r="Z944" s="285"/>
      <c r="AA944" s="285"/>
      <c r="AB944" s="285"/>
      <c r="AC944" s="9">
        <v>224911.79</v>
      </c>
      <c r="AD944" s="306">
        <v>281451.01</v>
      </c>
      <c r="AE944" s="302">
        <v>613640.35</v>
      </c>
      <c r="AF944" s="302"/>
      <c r="AG944" s="56"/>
    </row>
    <row r="945" spans="1:33" x14ac:dyDescent="0.3">
      <c r="A945" s="47">
        <f t="shared" si="201"/>
        <v>857</v>
      </c>
      <c r="B945" s="414" t="s">
        <v>1099</v>
      </c>
      <c r="C945" s="51">
        <f t="shared" si="187"/>
        <v>613640.35</v>
      </c>
      <c r="D945" s="51">
        <f t="shared" si="204"/>
        <v>0</v>
      </c>
      <c r="E945" s="51"/>
      <c r="F945" s="51"/>
      <c r="G945" s="51"/>
      <c r="H945" s="51"/>
      <c r="I945" s="51"/>
      <c r="J945" s="51"/>
      <c r="K945" s="51"/>
      <c r="L945" s="51"/>
      <c r="M945" s="35"/>
      <c r="N945" s="51"/>
      <c r="O945" s="82"/>
      <c r="P945" s="51"/>
      <c r="Q945" s="338"/>
      <c r="R945" s="51"/>
      <c r="S945" s="51"/>
      <c r="T945" s="338"/>
      <c r="U945" s="51"/>
      <c r="V945" s="35"/>
      <c r="W945" s="364">
        <f t="shared" si="205"/>
        <v>613640.35</v>
      </c>
      <c r="X945" s="285"/>
      <c r="Y945" s="285"/>
      <c r="Z945" s="285"/>
      <c r="AA945" s="285"/>
      <c r="AB945" s="285"/>
      <c r="AC945" s="9"/>
      <c r="AD945" s="306"/>
      <c r="AE945" s="302">
        <v>613640.35</v>
      </c>
      <c r="AF945" s="302"/>
      <c r="AG945" s="56"/>
    </row>
    <row r="946" spans="1:33" x14ac:dyDescent="0.3">
      <c r="A946" s="47">
        <f t="shared" si="201"/>
        <v>858</v>
      </c>
      <c r="B946" s="414" t="s">
        <v>1100</v>
      </c>
      <c r="C946" s="51">
        <f t="shared" si="187"/>
        <v>87327.18</v>
      </c>
      <c r="D946" s="51">
        <f t="shared" ref="D946:D966" si="206">E946+F946+G946+H946+I946</f>
        <v>0</v>
      </c>
      <c r="E946" s="51"/>
      <c r="F946" s="51"/>
      <c r="G946" s="51"/>
      <c r="H946" s="51"/>
      <c r="I946" s="51"/>
      <c r="J946" s="51"/>
      <c r="K946" s="51"/>
      <c r="L946" s="51"/>
      <c r="M946" s="35"/>
      <c r="N946" s="51"/>
      <c r="O946" s="82"/>
      <c r="P946" s="51"/>
      <c r="Q946" s="338"/>
      <c r="R946" s="51"/>
      <c r="S946" s="51"/>
      <c r="T946" s="338"/>
      <c r="U946" s="51"/>
      <c r="V946" s="35"/>
      <c r="W946" s="364">
        <f t="shared" ref="W946:W966" si="207">SUM(X946:AH946)</f>
        <v>87327.18</v>
      </c>
      <c r="X946" s="285">
        <v>87327.18</v>
      </c>
      <c r="Y946" s="285"/>
      <c r="Z946" s="285"/>
      <c r="AA946" s="285"/>
      <c r="AB946" s="285"/>
      <c r="AC946" s="9"/>
      <c r="AD946" s="306"/>
      <c r="AE946" s="302"/>
      <c r="AF946" s="302"/>
      <c r="AG946" s="56"/>
    </row>
    <row r="947" spans="1:33" x14ac:dyDescent="0.3">
      <c r="A947" s="47">
        <f t="shared" si="201"/>
        <v>859</v>
      </c>
      <c r="B947" s="414" t="s">
        <v>1101</v>
      </c>
      <c r="C947" s="51">
        <f t="shared" si="187"/>
        <v>86339.46</v>
      </c>
      <c r="D947" s="51">
        <f t="shared" si="206"/>
        <v>0</v>
      </c>
      <c r="E947" s="51"/>
      <c r="F947" s="51"/>
      <c r="G947" s="51"/>
      <c r="H947" s="51"/>
      <c r="I947" s="51"/>
      <c r="J947" s="51"/>
      <c r="K947" s="51"/>
      <c r="L947" s="51"/>
      <c r="M947" s="35"/>
      <c r="N947" s="51"/>
      <c r="O947" s="82"/>
      <c r="P947" s="51"/>
      <c r="Q947" s="338"/>
      <c r="R947" s="51"/>
      <c r="S947" s="51"/>
      <c r="T947" s="338"/>
      <c r="U947" s="51"/>
      <c r="V947" s="35"/>
      <c r="W947" s="364">
        <f t="shared" si="207"/>
        <v>86339.46</v>
      </c>
      <c r="X947" s="285">
        <v>86339.46</v>
      </c>
      <c r="Y947" s="285"/>
      <c r="Z947" s="285"/>
      <c r="AA947" s="285"/>
      <c r="AB947" s="285"/>
      <c r="AC947" s="9"/>
      <c r="AD947" s="306"/>
      <c r="AE947" s="302"/>
      <c r="AF947" s="302"/>
      <c r="AG947" s="56"/>
    </row>
    <row r="948" spans="1:33" x14ac:dyDescent="0.3">
      <c r="A948" s="47">
        <f t="shared" si="201"/>
        <v>860</v>
      </c>
      <c r="B948" s="414" t="s">
        <v>1102</v>
      </c>
      <c r="C948" s="51">
        <f t="shared" si="187"/>
        <v>315287.69</v>
      </c>
      <c r="D948" s="51">
        <f t="shared" si="206"/>
        <v>0</v>
      </c>
      <c r="E948" s="51"/>
      <c r="F948" s="51"/>
      <c r="G948" s="51"/>
      <c r="H948" s="51"/>
      <c r="I948" s="51"/>
      <c r="J948" s="51"/>
      <c r="K948" s="51"/>
      <c r="L948" s="51"/>
      <c r="M948" s="35"/>
      <c r="N948" s="51"/>
      <c r="O948" s="82"/>
      <c r="P948" s="51"/>
      <c r="Q948" s="338"/>
      <c r="R948" s="51"/>
      <c r="S948" s="51"/>
      <c r="T948" s="338"/>
      <c r="U948" s="51"/>
      <c r="V948" s="35"/>
      <c r="W948" s="364">
        <f t="shared" si="207"/>
        <v>315287.69</v>
      </c>
      <c r="X948" s="285"/>
      <c r="Y948" s="285"/>
      <c r="Z948" s="285"/>
      <c r="AA948" s="285"/>
      <c r="AB948" s="285"/>
      <c r="AC948" s="9"/>
      <c r="AD948" s="306">
        <v>315287.69</v>
      </c>
      <c r="AE948" s="302"/>
      <c r="AF948" s="302"/>
      <c r="AG948" s="56"/>
    </row>
    <row r="949" spans="1:33" x14ac:dyDescent="0.3">
      <c r="A949" s="47">
        <f t="shared" si="201"/>
        <v>861</v>
      </c>
      <c r="B949" s="414" t="s">
        <v>1103</v>
      </c>
      <c r="C949" s="51">
        <f t="shared" si="187"/>
        <v>359172.54000000004</v>
      </c>
      <c r="D949" s="51">
        <f t="shared" si="206"/>
        <v>0</v>
      </c>
      <c r="E949" s="51"/>
      <c r="F949" s="51"/>
      <c r="G949" s="51"/>
      <c r="H949" s="51"/>
      <c r="I949" s="51"/>
      <c r="J949" s="51"/>
      <c r="K949" s="51"/>
      <c r="L949" s="51"/>
      <c r="M949" s="35"/>
      <c r="N949" s="51"/>
      <c r="O949" s="82"/>
      <c r="P949" s="51"/>
      <c r="Q949" s="338"/>
      <c r="R949" s="51"/>
      <c r="S949" s="51"/>
      <c r="T949" s="338"/>
      <c r="U949" s="51"/>
      <c r="V949" s="35"/>
      <c r="W949" s="364">
        <f t="shared" si="207"/>
        <v>359172.54000000004</v>
      </c>
      <c r="X949" s="285">
        <v>114509.46</v>
      </c>
      <c r="Y949" s="285">
        <v>132746.38</v>
      </c>
      <c r="Z949" s="285">
        <v>111916.7</v>
      </c>
      <c r="AA949" s="285"/>
      <c r="AB949" s="285"/>
      <c r="AC949" s="9"/>
      <c r="AD949" s="306"/>
      <c r="AE949" s="302"/>
      <c r="AF949" s="302"/>
      <c r="AG949" s="56"/>
    </row>
    <row r="950" spans="1:33" x14ac:dyDescent="0.3">
      <c r="A950" s="47">
        <f t="shared" si="201"/>
        <v>862</v>
      </c>
      <c r="B950" s="414" t="s">
        <v>1108</v>
      </c>
      <c r="C950" s="51">
        <f t="shared" si="187"/>
        <v>112501.63</v>
      </c>
      <c r="D950" s="51">
        <f t="shared" si="206"/>
        <v>0</v>
      </c>
      <c r="E950" s="51"/>
      <c r="F950" s="51"/>
      <c r="G950" s="51"/>
      <c r="H950" s="51"/>
      <c r="I950" s="51"/>
      <c r="J950" s="51"/>
      <c r="K950" s="51"/>
      <c r="L950" s="51"/>
      <c r="M950" s="35"/>
      <c r="N950" s="51"/>
      <c r="O950" s="82"/>
      <c r="P950" s="51"/>
      <c r="Q950" s="338"/>
      <c r="R950" s="51"/>
      <c r="S950" s="51"/>
      <c r="T950" s="338"/>
      <c r="U950" s="51"/>
      <c r="V950" s="35"/>
      <c r="W950" s="364">
        <f t="shared" si="207"/>
        <v>112501.63</v>
      </c>
      <c r="X950" s="285">
        <v>112501.63</v>
      </c>
      <c r="Y950" s="285"/>
      <c r="Z950" s="285"/>
      <c r="AA950" s="285"/>
      <c r="AB950" s="285"/>
      <c r="AC950" s="9"/>
      <c r="AD950" s="306"/>
      <c r="AE950" s="302"/>
      <c r="AF950" s="302"/>
      <c r="AG950" s="56"/>
    </row>
    <row r="951" spans="1:33" x14ac:dyDescent="0.3">
      <c r="A951" s="47">
        <f t="shared" si="201"/>
        <v>863</v>
      </c>
      <c r="B951" s="414" t="s">
        <v>1109</v>
      </c>
      <c r="C951" s="51">
        <f t="shared" si="187"/>
        <v>866434.64</v>
      </c>
      <c r="D951" s="51">
        <f t="shared" si="206"/>
        <v>0</v>
      </c>
      <c r="E951" s="51"/>
      <c r="F951" s="51"/>
      <c r="G951" s="51"/>
      <c r="H951" s="51"/>
      <c r="I951" s="51"/>
      <c r="J951" s="51"/>
      <c r="K951" s="51"/>
      <c r="L951" s="51"/>
      <c r="M951" s="35"/>
      <c r="N951" s="51"/>
      <c r="O951" s="82"/>
      <c r="P951" s="51"/>
      <c r="Q951" s="338"/>
      <c r="R951" s="51"/>
      <c r="S951" s="51"/>
      <c r="T951" s="338"/>
      <c r="U951" s="51"/>
      <c r="V951" s="35"/>
      <c r="W951" s="364">
        <f t="shared" si="207"/>
        <v>866434.64</v>
      </c>
      <c r="X951" s="285">
        <v>134041.62</v>
      </c>
      <c r="Y951" s="285"/>
      <c r="Z951" s="285"/>
      <c r="AA951" s="285"/>
      <c r="AB951" s="285"/>
      <c r="AC951" s="9"/>
      <c r="AD951" s="306">
        <v>732393.02</v>
      </c>
      <c r="AE951" s="302"/>
      <c r="AF951" s="302"/>
      <c r="AG951" s="56"/>
    </row>
    <row r="952" spans="1:33" x14ac:dyDescent="0.3">
      <c r="A952" s="47">
        <f t="shared" si="201"/>
        <v>864</v>
      </c>
      <c r="B952" s="414" t="s">
        <v>1110</v>
      </c>
      <c r="C952" s="51">
        <f t="shared" si="187"/>
        <v>236732.82</v>
      </c>
      <c r="D952" s="51">
        <f t="shared" si="206"/>
        <v>0</v>
      </c>
      <c r="E952" s="51"/>
      <c r="F952" s="51"/>
      <c r="G952" s="51"/>
      <c r="H952" s="51"/>
      <c r="I952" s="51"/>
      <c r="J952" s="51"/>
      <c r="K952" s="51"/>
      <c r="L952" s="51"/>
      <c r="M952" s="35"/>
      <c r="N952" s="51"/>
      <c r="O952" s="82"/>
      <c r="P952" s="51"/>
      <c r="Q952" s="338"/>
      <c r="R952" s="51"/>
      <c r="S952" s="51"/>
      <c r="T952" s="338"/>
      <c r="U952" s="51"/>
      <c r="V952" s="35"/>
      <c r="W952" s="364">
        <f t="shared" si="207"/>
        <v>236732.82</v>
      </c>
      <c r="X952" s="285"/>
      <c r="Y952" s="285"/>
      <c r="Z952" s="285"/>
      <c r="AA952" s="285"/>
      <c r="AB952" s="285"/>
      <c r="AC952" s="9">
        <v>236732.82</v>
      </c>
      <c r="AD952" s="306"/>
      <c r="AE952" s="302"/>
      <c r="AF952" s="302"/>
      <c r="AG952" s="56"/>
    </row>
    <row r="953" spans="1:33" x14ac:dyDescent="0.3">
      <c r="A953" s="47">
        <f t="shared" si="201"/>
        <v>865</v>
      </c>
      <c r="B953" s="414" t="s">
        <v>1111</v>
      </c>
      <c r="C953" s="51">
        <f t="shared" si="187"/>
        <v>1310370.46</v>
      </c>
      <c r="D953" s="51">
        <f t="shared" si="206"/>
        <v>0</v>
      </c>
      <c r="E953" s="51"/>
      <c r="F953" s="51"/>
      <c r="G953" s="51"/>
      <c r="H953" s="51"/>
      <c r="I953" s="51"/>
      <c r="J953" s="51"/>
      <c r="K953" s="51"/>
      <c r="L953" s="51"/>
      <c r="M953" s="35"/>
      <c r="N953" s="51"/>
      <c r="O953" s="82"/>
      <c r="P953" s="51"/>
      <c r="Q953" s="338"/>
      <c r="R953" s="51"/>
      <c r="S953" s="51"/>
      <c r="T953" s="338"/>
      <c r="U953" s="51"/>
      <c r="V953" s="35"/>
      <c r="W953" s="364">
        <f t="shared" si="207"/>
        <v>1310370.46</v>
      </c>
      <c r="X953" s="285"/>
      <c r="Y953" s="285"/>
      <c r="Z953" s="285"/>
      <c r="AA953" s="285"/>
      <c r="AB953" s="285"/>
      <c r="AC953" s="9"/>
      <c r="AD953" s="306">
        <v>1310370.46</v>
      </c>
      <c r="AE953" s="302"/>
      <c r="AF953" s="302"/>
      <c r="AG953" s="56"/>
    </row>
    <row r="954" spans="1:33" x14ac:dyDescent="0.3">
      <c r="A954" s="47">
        <f t="shared" si="201"/>
        <v>866</v>
      </c>
      <c r="B954" s="414" t="s">
        <v>1112</v>
      </c>
      <c r="C954" s="51">
        <f t="shared" si="187"/>
        <v>339117.91</v>
      </c>
      <c r="D954" s="51">
        <f t="shared" si="206"/>
        <v>0</v>
      </c>
      <c r="E954" s="51"/>
      <c r="F954" s="51"/>
      <c r="G954" s="51"/>
      <c r="H954" s="51"/>
      <c r="I954" s="51"/>
      <c r="J954" s="51"/>
      <c r="K954" s="51"/>
      <c r="L954" s="51"/>
      <c r="M954" s="35"/>
      <c r="N954" s="51"/>
      <c r="O954" s="82"/>
      <c r="P954" s="51"/>
      <c r="Q954" s="338"/>
      <c r="R954" s="51"/>
      <c r="S954" s="51"/>
      <c r="T954" s="338"/>
      <c r="U954" s="51"/>
      <c r="V954" s="35"/>
      <c r="W954" s="364">
        <f t="shared" si="207"/>
        <v>339117.91</v>
      </c>
      <c r="X954" s="285"/>
      <c r="Y954" s="285"/>
      <c r="Z954" s="285"/>
      <c r="AA954" s="285"/>
      <c r="AB954" s="285"/>
      <c r="AC954" s="9">
        <v>339117.91</v>
      </c>
      <c r="AD954" s="306"/>
      <c r="AE954" s="302"/>
      <c r="AF954" s="302"/>
      <c r="AG954" s="56"/>
    </row>
    <row r="955" spans="1:33" x14ac:dyDescent="0.3">
      <c r="A955" s="47">
        <f t="shared" si="201"/>
        <v>867</v>
      </c>
      <c r="B955" s="414" t="s">
        <v>1113</v>
      </c>
      <c r="C955" s="51">
        <f t="shared" si="187"/>
        <v>579633.69999999995</v>
      </c>
      <c r="D955" s="51">
        <f t="shared" si="206"/>
        <v>0</v>
      </c>
      <c r="E955" s="51"/>
      <c r="F955" s="51"/>
      <c r="G955" s="51"/>
      <c r="H955" s="51"/>
      <c r="I955" s="51"/>
      <c r="J955" s="51"/>
      <c r="K955" s="51"/>
      <c r="L955" s="51"/>
      <c r="M955" s="35"/>
      <c r="N955" s="51"/>
      <c r="O955" s="82"/>
      <c r="P955" s="51"/>
      <c r="Q955" s="338"/>
      <c r="R955" s="51"/>
      <c r="S955" s="51"/>
      <c r="T955" s="338"/>
      <c r="U955" s="51"/>
      <c r="V955" s="35"/>
      <c r="W955" s="364">
        <f t="shared" si="207"/>
        <v>579633.69999999995</v>
      </c>
      <c r="X955" s="285"/>
      <c r="Y955" s="285"/>
      <c r="Z955" s="285"/>
      <c r="AA955" s="285"/>
      <c r="AB955" s="285"/>
      <c r="AC955" s="9">
        <v>308826.86</v>
      </c>
      <c r="AD955" s="306">
        <v>270806.84000000003</v>
      </c>
      <c r="AE955" s="302"/>
      <c r="AF955" s="302"/>
      <c r="AG955" s="56"/>
    </row>
    <row r="956" spans="1:33" x14ac:dyDescent="0.3">
      <c r="A956" s="47">
        <f t="shared" si="201"/>
        <v>868</v>
      </c>
      <c r="B956" s="414" t="s">
        <v>1115</v>
      </c>
      <c r="C956" s="51">
        <f t="shared" si="187"/>
        <v>254667.82</v>
      </c>
      <c r="D956" s="51">
        <f t="shared" si="206"/>
        <v>0</v>
      </c>
      <c r="E956" s="51"/>
      <c r="F956" s="51"/>
      <c r="G956" s="51"/>
      <c r="H956" s="51"/>
      <c r="I956" s="51"/>
      <c r="J956" s="51"/>
      <c r="K956" s="51"/>
      <c r="L956" s="51"/>
      <c r="M956" s="35"/>
      <c r="N956" s="51"/>
      <c r="O956" s="82"/>
      <c r="P956" s="51"/>
      <c r="Q956" s="338"/>
      <c r="R956" s="51"/>
      <c r="S956" s="51"/>
      <c r="T956" s="338"/>
      <c r="U956" s="51"/>
      <c r="V956" s="35"/>
      <c r="W956" s="364">
        <f t="shared" si="207"/>
        <v>254667.82</v>
      </c>
      <c r="X956" s="285"/>
      <c r="Y956" s="285"/>
      <c r="Z956" s="285"/>
      <c r="AA956" s="285"/>
      <c r="AB956" s="285"/>
      <c r="AC956" s="9"/>
      <c r="AD956" s="306">
        <v>254667.82</v>
      </c>
      <c r="AE956" s="302"/>
      <c r="AF956" s="302"/>
      <c r="AG956" s="56"/>
    </row>
    <row r="957" spans="1:33" x14ac:dyDescent="0.3">
      <c r="A957" s="47">
        <f t="shared" si="201"/>
        <v>869</v>
      </c>
      <c r="B957" s="414" t="s">
        <v>1116</v>
      </c>
      <c r="C957" s="51">
        <f t="shared" si="187"/>
        <v>444756.56</v>
      </c>
      <c r="D957" s="51">
        <f t="shared" si="206"/>
        <v>0</v>
      </c>
      <c r="E957" s="51"/>
      <c r="F957" s="51"/>
      <c r="G957" s="51"/>
      <c r="H957" s="51"/>
      <c r="I957" s="51"/>
      <c r="J957" s="51"/>
      <c r="K957" s="51"/>
      <c r="L957" s="51"/>
      <c r="M957" s="35"/>
      <c r="N957" s="51"/>
      <c r="O957" s="82"/>
      <c r="P957" s="51"/>
      <c r="Q957" s="338"/>
      <c r="R957" s="51"/>
      <c r="S957" s="51"/>
      <c r="T957" s="338"/>
      <c r="U957" s="51"/>
      <c r="V957" s="35"/>
      <c r="W957" s="364">
        <f t="shared" si="207"/>
        <v>444756.56</v>
      </c>
      <c r="X957" s="285"/>
      <c r="Y957" s="285"/>
      <c r="Z957" s="285"/>
      <c r="AA957" s="285"/>
      <c r="AB957" s="285"/>
      <c r="AC957" s="9">
        <v>190088.74</v>
      </c>
      <c r="AD957" s="306">
        <v>254667.82</v>
      </c>
      <c r="AE957" s="302"/>
      <c r="AF957" s="302"/>
      <c r="AG957" s="56"/>
    </row>
    <row r="958" spans="1:33" x14ac:dyDescent="0.3">
      <c r="A958" s="47">
        <f t="shared" si="201"/>
        <v>870</v>
      </c>
      <c r="B958" s="414" t="s">
        <v>1117</v>
      </c>
      <c r="C958" s="51">
        <f t="shared" si="187"/>
        <v>254667.82</v>
      </c>
      <c r="D958" s="51">
        <f t="shared" si="206"/>
        <v>0</v>
      </c>
      <c r="E958" s="51"/>
      <c r="F958" s="51"/>
      <c r="G958" s="51"/>
      <c r="H958" s="51"/>
      <c r="I958" s="51"/>
      <c r="J958" s="51"/>
      <c r="K958" s="51"/>
      <c r="L958" s="51"/>
      <c r="M958" s="35"/>
      <c r="N958" s="51"/>
      <c r="O958" s="82"/>
      <c r="P958" s="51"/>
      <c r="Q958" s="338"/>
      <c r="R958" s="51"/>
      <c r="S958" s="51"/>
      <c r="T958" s="338"/>
      <c r="U958" s="51"/>
      <c r="V958" s="35"/>
      <c r="W958" s="364">
        <f t="shared" si="207"/>
        <v>254667.82</v>
      </c>
      <c r="X958" s="285"/>
      <c r="Y958" s="285"/>
      <c r="Z958" s="285"/>
      <c r="AA958" s="285"/>
      <c r="AB958" s="285"/>
      <c r="AC958" s="9"/>
      <c r="AD958" s="306">
        <v>254667.82</v>
      </c>
      <c r="AE958" s="302"/>
      <c r="AF958" s="302"/>
      <c r="AG958" s="56"/>
    </row>
    <row r="959" spans="1:33" x14ac:dyDescent="0.3">
      <c r="A959" s="47">
        <f t="shared" si="201"/>
        <v>871</v>
      </c>
      <c r="B959" s="414" t="s">
        <v>1118</v>
      </c>
      <c r="C959" s="51">
        <f t="shared" si="187"/>
        <v>282419.57</v>
      </c>
      <c r="D959" s="51">
        <f t="shared" si="206"/>
        <v>0</v>
      </c>
      <c r="E959" s="51"/>
      <c r="F959" s="51"/>
      <c r="G959" s="51"/>
      <c r="H959" s="51"/>
      <c r="I959" s="51"/>
      <c r="J959" s="51"/>
      <c r="K959" s="51"/>
      <c r="L959" s="51"/>
      <c r="M959" s="35"/>
      <c r="N959" s="51"/>
      <c r="O959" s="82"/>
      <c r="P959" s="51"/>
      <c r="Q959" s="338"/>
      <c r="R959" s="51"/>
      <c r="S959" s="51"/>
      <c r="T959" s="338"/>
      <c r="U959" s="51"/>
      <c r="V959" s="35"/>
      <c r="W959" s="364">
        <f t="shared" si="207"/>
        <v>282419.57</v>
      </c>
      <c r="X959" s="285"/>
      <c r="Y959" s="285"/>
      <c r="Z959" s="285"/>
      <c r="AA959" s="285"/>
      <c r="AB959" s="285"/>
      <c r="AC959" s="9"/>
      <c r="AD959" s="306">
        <v>282419.57</v>
      </c>
      <c r="AE959" s="302"/>
      <c r="AF959" s="302"/>
      <c r="AG959" s="56"/>
    </row>
    <row r="960" spans="1:33" x14ac:dyDescent="0.3">
      <c r="A960" s="47">
        <f t="shared" si="201"/>
        <v>872</v>
      </c>
      <c r="B960" s="414" t="s">
        <v>1119</v>
      </c>
      <c r="C960" s="51">
        <f t="shared" si="187"/>
        <v>244141.63</v>
      </c>
      <c r="D960" s="51">
        <f t="shared" si="206"/>
        <v>0</v>
      </c>
      <c r="E960" s="51"/>
      <c r="F960" s="51"/>
      <c r="G960" s="51"/>
      <c r="H960" s="51"/>
      <c r="I960" s="51"/>
      <c r="J960" s="51"/>
      <c r="K960" s="51"/>
      <c r="L960" s="51"/>
      <c r="M960" s="35"/>
      <c r="N960" s="51"/>
      <c r="O960" s="82"/>
      <c r="P960" s="51"/>
      <c r="Q960" s="338"/>
      <c r="R960" s="51"/>
      <c r="S960" s="51"/>
      <c r="T960" s="338"/>
      <c r="U960" s="51"/>
      <c r="V960" s="35"/>
      <c r="W960" s="364">
        <f t="shared" si="207"/>
        <v>244141.63</v>
      </c>
      <c r="X960" s="285"/>
      <c r="Y960" s="285">
        <v>132420.96</v>
      </c>
      <c r="Z960" s="285">
        <v>111720.67</v>
      </c>
      <c r="AA960" s="285"/>
      <c r="AB960" s="285"/>
      <c r="AC960" s="9"/>
      <c r="AD960" s="306"/>
      <c r="AE960" s="302"/>
      <c r="AF960" s="302"/>
      <c r="AG960" s="56"/>
    </row>
    <row r="961" spans="1:33" x14ac:dyDescent="0.3">
      <c r="A961" s="47">
        <f t="shared" si="201"/>
        <v>873</v>
      </c>
      <c r="B961" s="414" t="s">
        <v>1120</v>
      </c>
      <c r="C961" s="51">
        <f t="shared" si="187"/>
        <v>127057.42</v>
      </c>
      <c r="D961" s="51">
        <f t="shared" si="206"/>
        <v>0</v>
      </c>
      <c r="E961" s="51"/>
      <c r="F961" s="51"/>
      <c r="G961" s="51"/>
      <c r="H961" s="51"/>
      <c r="I961" s="51"/>
      <c r="J961" s="51"/>
      <c r="K961" s="51"/>
      <c r="L961" s="51"/>
      <c r="M961" s="35"/>
      <c r="N961" s="51"/>
      <c r="O961" s="82"/>
      <c r="P961" s="51"/>
      <c r="Q961" s="338"/>
      <c r="R961" s="51"/>
      <c r="S961" s="51"/>
      <c r="T961" s="338"/>
      <c r="U961" s="51"/>
      <c r="V961" s="35"/>
      <c r="W961" s="364">
        <f t="shared" si="207"/>
        <v>127057.42</v>
      </c>
      <c r="X961" s="285">
        <v>127057.42</v>
      </c>
      <c r="Y961" s="285"/>
      <c r="Z961" s="285"/>
      <c r="AA961" s="285"/>
      <c r="AB961" s="285"/>
      <c r="AC961" s="9"/>
      <c r="AD961" s="306" t="s">
        <v>273</v>
      </c>
      <c r="AE961" s="302"/>
      <c r="AF961" s="302"/>
      <c r="AG961" s="56"/>
    </row>
    <row r="962" spans="1:33" x14ac:dyDescent="0.3">
      <c r="A962" s="47">
        <f t="shared" si="201"/>
        <v>874</v>
      </c>
      <c r="B962" s="414" t="s">
        <v>1121</v>
      </c>
      <c r="C962" s="51">
        <f t="shared" si="187"/>
        <v>253716.44999999998</v>
      </c>
      <c r="D962" s="51">
        <f t="shared" si="206"/>
        <v>0</v>
      </c>
      <c r="E962" s="51"/>
      <c r="F962" s="51"/>
      <c r="G962" s="51"/>
      <c r="H962" s="51"/>
      <c r="I962" s="51"/>
      <c r="J962" s="51"/>
      <c r="K962" s="51"/>
      <c r="L962" s="51"/>
      <c r="M962" s="35"/>
      <c r="N962" s="51"/>
      <c r="O962" s="82"/>
      <c r="P962" s="51"/>
      <c r="Q962" s="338"/>
      <c r="R962" s="51"/>
      <c r="S962" s="51"/>
      <c r="T962" s="338"/>
      <c r="U962" s="51"/>
      <c r="V962" s="35"/>
      <c r="W962" s="364">
        <f t="shared" si="207"/>
        <v>253716.44999999998</v>
      </c>
      <c r="X962" s="285"/>
      <c r="Y962" s="285">
        <v>139683.85999999999</v>
      </c>
      <c r="Z962" s="505">
        <v>114032.59</v>
      </c>
      <c r="AA962" s="505"/>
      <c r="AB962" s="285"/>
      <c r="AC962" s="9"/>
      <c r="AD962" s="306" t="s">
        <v>273</v>
      </c>
      <c r="AE962" s="302"/>
      <c r="AF962" s="302"/>
      <c r="AG962" s="56"/>
    </row>
    <row r="963" spans="1:33" x14ac:dyDescent="0.3">
      <c r="A963" s="47">
        <f t="shared" si="201"/>
        <v>875</v>
      </c>
      <c r="B963" s="414" t="s">
        <v>1122</v>
      </c>
      <c r="C963" s="51">
        <f t="shared" si="187"/>
        <v>196349.22</v>
      </c>
      <c r="D963" s="51">
        <f t="shared" si="206"/>
        <v>0</v>
      </c>
      <c r="E963" s="51"/>
      <c r="F963" s="51"/>
      <c r="G963" s="51"/>
      <c r="H963" s="51"/>
      <c r="I963" s="51"/>
      <c r="J963" s="51"/>
      <c r="K963" s="51"/>
      <c r="L963" s="51"/>
      <c r="M963" s="35"/>
      <c r="N963" s="51"/>
      <c r="O963" s="82"/>
      <c r="P963" s="51"/>
      <c r="Q963" s="338"/>
      <c r="R963" s="51"/>
      <c r="S963" s="51"/>
      <c r="T963" s="338"/>
      <c r="U963" s="51"/>
      <c r="V963" s="35"/>
      <c r="W963" s="364">
        <f t="shared" si="207"/>
        <v>196349.22</v>
      </c>
      <c r="X963" s="285">
        <v>121203.6</v>
      </c>
      <c r="Y963" s="285"/>
      <c r="Z963" s="285"/>
      <c r="AA963" s="285"/>
      <c r="AB963" s="285"/>
      <c r="AC963" s="9"/>
      <c r="AD963" s="306">
        <v>75145.62</v>
      </c>
      <c r="AE963" s="302"/>
      <c r="AF963" s="302"/>
      <c r="AG963" s="56"/>
    </row>
    <row r="964" spans="1:33" x14ac:dyDescent="0.3">
      <c r="A964" s="47">
        <f t="shared" si="201"/>
        <v>876</v>
      </c>
      <c r="B964" s="414" t="s">
        <v>1123</v>
      </c>
      <c r="C964" s="51">
        <f t="shared" si="187"/>
        <v>81619.740000000005</v>
      </c>
      <c r="D964" s="51">
        <f t="shared" si="206"/>
        <v>0</v>
      </c>
      <c r="E964" s="51"/>
      <c r="F964" s="51"/>
      <c r="G964" s="51"/>
      <c r="H964" s="51"/>
      <c r="I964" s="51"/>
      <c r="J964" s="51"/>
      <c r="K964" s="51"/>
      <c r="L964" s="51"/>
      <c r="M964" s="35"/>
      <c r="N964" s="51"/>
      <c r="O964" s="82"/>
      <c r="P964" s="51"/>
      <c r="Q964" s="338"/>
      <c r="R964" s="51"/>
      <c r="S964" s="51"/>
      <c r="T964" s="338"/>
      <c r="U964" s="51"/>
      <c r="V964" s="35"/>
      <c r="W964" s="364">
        <f t="shared" si="207"/>
        <v>81619.740000000005</v>
      </c>
      <c r="X964" s="285"/>
      <c r="Y964" s="285"/>
      <c r="Z964" s="285"/>
      <c r="AA964" s="285"/>
      <c r="AB964" s="285"/>
      <c r="AC964" s="9"/>
      <c r="AD964" s="306">
        <v>81619.740000000005</v>
      </c>
      <c r="AE964" s="302"/>
      <c r="AF964" s="302"/>
      <c r="AG964" s="56"/>
    </row>
    <row r="965" spans="1:33" x14ac:dyDescent="0.3">
      <c r="A965" s="47">
        <f t="shared" si="201"/>
        <v>877</v>
      </c>
      <c r="B965" s="414" t="s">
        <v>1124</v>
      </c>
      <c r="C965" s="51">
        <f t="shared" si="187"/>
        <v>73443.240000000005</v>
      </c>
      <c r="D965" s="51">
        <f t="shared" si="206"/>
        <v>0</v>
      </c>
      <c r="E965" s="51"/>
      <c r="F965" s="51"/>
      <c r="G965" s="51"/>
      <c r="H965" s="51"/>
      <c r="I965" s="51"/>
      <c r="J965" s="51"/>
      <c r="K965" s="51"/>
      <c r="L965" s="51"/>
      <c r="M965" s="35"/>
      <c r="N965" s="51"/>
      <c r="O965" s="82"/>
      <c r="P965" s="51"/>
      <c r="Q965" s="338"/>
      <c r="R965" s="51"/>
      <c r="S965" s="51"/>
      <c r="T965" s="338"/>
      <c r="U965" s="51"/>
      <c r="V965" s="35"/>
      <c r="W965" s="364">
        <f t="shared" si="207"/>
        <v>73443.240000000005</v>
      </c>
      <c r="X965" s="285"/>
      <c r="Y965" s="285"/>
      <c r="Z965" s="285"/>
      <c r="AA965" s="285"/>
      <c r="AB965" s="285"/>
      <c r="AC965" s="9"/>
      <c r="AD965" s="306">
        <v>73443.240000000005</v>
      </c>
      <c r="AE965" s="302"/>
      <c r="AF965" s="302"/>
      <c r="AG965" s="56"/>
    </row>
    <row r="966" spans="1:33" x14ac:dyDescent="0.3">
      <c r="A966" s="47">
        <f t="shared" si="201"/>
        <v>878</v>
      </c>
      <c r="B966" s="414" t="s">
        <v>1125</v>
      </c>
      <c r="C966" s="51">
        <f t="shared" si="187"/>
        <v>201510.12</v>
      </c>
      <c r="D966" s="51">
        <f t="shared" si="206"/>
        <v>0</v>
      </c>
      <c r="E966" s="51"/>
      <c r="F966" s="51"/>
      <c r="G966" s="51"/>
      <c r="H966" s="51"/>
      <c r="I966" s="51"/>
      <c r="J966" s="51"/>
      <c r="K966" s="51"/>
      <c r="L966" s="51"/>
      <c r="M966" s="35"/>
      <c r="N966" s="51"/>
      <c r="O966" s="82"/>
      <c r="P966" s="51"/>
      <c r="Q966" s="338"/>
      <c r="R966" s="51"/>
      <c r="S966" s="51"/>
      <c r="T966" s="338"/>
      <c r="U966" s="51"/>
      <c r="V966" s="35"/>
      <c r="W966" s="364">
        <f t="shared" si="207"/>
        <v>201510.12</v>
      </c>
      <c r="X966" s="285">
        <v>127192.91</v>
      </c>
      <c r="Y966" s="285"/>
      <c r="Z966" s="285"/>
      <c r="AA966" s="285"/>
      <c r="AB966" s="285"/>
      <c r="AC966" s="9"/>
      <c r="AD966" s="306">
        <v>74317.210000000006</v>
      </c>
      <c r="AE966" s="302"/>
      <c r="AF966" s="302"/>
      <c r="AG966" s="56"/>
    </row>
    <row r="967" spans="1:33" x14ac:dyDescent="0.3">
      <c r="A967" s="47"/>
      <c r="B967" s="414" t="s">
        <v>211</v>
      </c>
      <c r="C967" s="51">
        <f t="shared" ref="C967:W967" si="208">SUM(C919:C966)</f>
        <v>21056834.989999995</v>
      </c>
      <c r="D967" s="51">
        <f t="shared" si="208"/>
        <v>0</v>
      </c>
      <c r="E967" s="51">
        <f t="shared" si="208"/>
        <v>0</v>
      </c>
      <c r="F967" s="51">
        <f t="shared" si="208"/>
        <v>0</v>
      </c>
      <c r="G967" s="51">
        <f t="shared" si="208"/>
        <v>0</v>
      </c>
      <c r="H967" s="51">
        <f t="shared" si="208"/>
        <v>0</v>
      </c>
      <c r="I967" s="51">
        <f t="shared" si="208"/>
        <v>0</v>
      </c>
      <c r="J967" s="51">
        <f t="shared" si="208"/>
        <v>0</v>
      </c>
      <c r="K967" s="51">
        <f t="shared" si="208"/>
        <v>0</v>
      </c>
      <c r="L967" s="51">
        <f t="shared" si="208"/>
        <v>0</v>
      </c>
      <c r="M967" s="35">
        <f t="shared" si="208"/>
        <v>0</v>
      </c>
      <c r="N967" s="51">
        <f t="shared" si="208"/>
        <v>0</v>
      </c>
      <c r="O967" s="82">
        <f t="shared" si="208"/>
        <v>0</v>
      </c>
      <c r="P967" s="51">
        <f t="shared" si="208"/>
        <v>0</v>
      </c>
      <c r="Q967" s="338">
        <f t="shared" si="208"/>
        <v>0</v>
      </c>
      <c r="R967" s="51">
        <f t="shared" si="208"/>
        <v>0</v>
      </c>
      <c r="S967" s="51">
        <f t="shared" si="208"/>
        <v>0</v>
      </c>
      <c r="T967" s="338">
        <f t="shared" si="208"/>
        <v>0</v>
      </c>
      <c r="U967" s="51">
        <f t="shared" si="208"/>
        <v>0</v>
      </c>
      <c r="V967" s="35">
        <f t="shared" si="208"/>
        <v>0</v>
      </c>
      <c r="W967" s="51">
        <f t="shared" si="208"/>
        <v>21056834.989999995</v>
      </c>
      <c r="X967" s="285"/>
      <c r="Y967" s="285"/>
      <c r="Z967" s="285"/>
      <c r="AA967" s="285"/>
      <c r="AB967" s="285"/>
      <c r="AC967" s="9"/>
      <c r="AD967" s="306"/>
      <c r="AE967" s="302"/>
      <c r="AF967" s="302"/>
      <c r="AG967" s="56"/>
    </row>
    <row r="968" spans="1:33" ht="31.2" x14ac:dyDescent="0.3">
      <c r="A968" s="47"/>
      <c r="B968" s="414" t="s">
        <v>1126</v>
      </c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35"/>
      <c r="N968" s="51"/>
      <c r="O968" s="82"/>
      <c r="P968" s="51"/>
      <c r="Q968" s="338"/>
      <c r="R968" s="51"/>
      <c r="S968" s="51"/>
      <c r="T968" s="338"/>
      <c r="U968" s="51"/>
      <c r="V968" s="35"/>
      <c r="W968" s="364"/>
      <c r="X968" s="285"/>
      <c r="Y968" s="285"/>
      <c r="Z968" s="285"/>
      <c r="AA968" s="285"/>
      <c r="AB968" s="285"/>
      <c r="AC968" s="9"/>
      <c r="AD968" s="306"/>
      <c r="AE968" s="302"/>
      <c r="AF968" s="302"/>
      <c r="AG968" s="56"/>
    </row>
    <row r="969" spans="1:33" x14ac:dyDescent="0.3">
      <c r="A969" s="47">
        <f>A966+1</f>
        <v>879</v>
      </c>
      <c r="B969" s="414" t="s">
        <v>1127</v>
      </c>
      <c r="C969" s="51">
        <f t="shared" ref="C969:C995" si="209">D969+K969+L969+N969+P969+R969+S969+U969+W969</f>
        <v>552054</v>
      </c>
      <c r="D969" s="51">
        <f t="shared" ref="D969:D995" si="210">E969+F969+G969+H969+I969</f>
        <v>0</v>
      </c>
      <c r="E969" s="51"/>
      <c r="F969" s="51"/>
      <c r="G969" s="51"/>
      <c r="H969" s="51"/>
      <c r="I969" s="51"/>
      <c r="J969" s="51"/>
      <c r="K969" s="51"/>
      <c r="L969" s="51"/>
      <c r="M969" s="35"/>
      <c r="N969" s="51"/>
      <c r="O969" s="82"/>
      <c r="P969" s="51"/>
      <c r="Q969" s="338"/>
      <c r="R969" s="51"/>
      <c r="S969" s="51"/>
      <c r="T969" s="338"/>
      <c r="U969" s="51"/>
      <c r="V969" s="35"/>
      <c r="W969" s="364">
        <f>SUM(X969:AH969)</f>
        <v>552054</v>
      </c>
      <c r="X969" s="285"/>
      <c r="Y969" s="285">
        <v>129813.98</v>
      </c>
      <c r="Z969" s="285">
        <v>109522.44</v>
      </c>
      <c r="AA969" s="285"/>
      <c r="AB969" s="285">
        <v>109522.44</v>
      </c>
      <c r="AC969" s="9">
        <v>203195.14</v>
      </c>
      <c r="AD969" s="306"/>
      <c r="AE969" s="302"/>
      <c r="AF969" s="302"/>
      <c r="AG969" s="56"/>
    </row>
    <row r="970" spans="1:33" x14ac:dyDescent="0.3">
      <c r="A970" s="47">
        <f>A969+1</f>
        <v>880</v>
      </c>
      <c r="B970" s="414" t="s">
        <v>1128</v>
      </c>
      <c r="C970" s="51">
        <f t="shared" si="209"/>
        <v>663414.96</v>
      </c>
      <c r="D970" s="51">
        <f t="shared" si="210"/>
        <v>0</v>
      </c>
      <c r="E970" s="51"/>
      <c r="F970" s="51"/>
      <c r="G970" s="51"/>
      <c r="H970" s="51"/>
      <c r="I970" s="51"/>
      <c r="J970" s="51"/>
      <c r="K970" s="51"/>
      <c r="L970" s="51"/>
      <c r="M970" s="35"/>
      <c r="N970" s="51"/>
      <c r="O970" s="82"/>
      <c r="P970" s="51"/>
      <c r="Q970" s="338"/>
      <c r="R970" s="51"/>
      <c r="S970" s="51"/>
      <c r="T970" s="338"/>
      <c r="U970" s="51"/>
      <c r="V970" s="35"/>
      <c r="W970" s="364">
        <f>SUM(X970:AH970)</f>
        <v>663414.96</v>
      </c>
      <c r="X970" s="285">
        <v>111360.96000000001</v>
      </c>
      <c r="Y970" s="285">
        <v>129813.98</v>
      </c>
      <c r="Z970" s="285">
        <v>109522.44</v>
      </c>
      <c r="AA970" s="285"/>
      <c r="AB970" s="285">
        <v>109522.44</v>
      </c>
      <c r="AC970" s="9">
        <v>203195.14</v>
      </c>
      <c r="AD970" s="306"/>
      <c r="AE970" s="302"/>
      <c r="AF970" s="302"/>
      <c r="AG970" s="56"/>
    </row>
    <row r="971" spans="1:33" x14ac:dyDescent="0.3">
      <c r="A971" s="47">
        <f t="shared" ref="A971:A995" si="211">A970+1</f>
        <v>881</v>
      </c>
      <c r="B971" s="414" t="s">
        <v>1129</v>
      </c>
      <c r="C971" s="51">
        <f t="shared" si="209"/>
        <v>130000</v>
      </c>
      <c r="D971" s="51">
        <f t="shared" si="210"/>
        <v>0</v>
      </c>
      <c r="E971" s="51"/>
      <c r="F971" s="51"/>
      <c r="G971" s="51"/>
      <c r="H971" s="51"/>
      <c r="I971" s="51"/>
      <c r="J971" s="51"/>
      <c r="K971" s="51"/>
      <c r="L971" s="51"/>
      <c r="M971" s="35"/>
      <c r="N971" s="51"/>
      <c r="O971" s="82"/>
      <c r="P971" s="51"/>
      <c r="Q971" s="338"/>
      <c r="R971" s="51"/>
      <c r="S971" s="51"/>
      <c r="T971" s="338"/>
      <c r="U971" s="51"/>
      <c r="V971" s="35"/>
      <c r="W971" s="364">
        <v>130000</v>
      </c>
      <c r="X971" s="285"/>
      <c r="Y971" s="285"/>
      <c r="Z971" s="285"/>
      <c r="AA971" s="285"/>
      <c r="AB971" s="285"/>
      <c r="AC971" s="9"/>
      <c r="AD971" s="306" t="s">
        <v>273</v>
      </c>
      <c r="AE971" s="302"/>
      <c r="AF971" s="302"/>
      <c r="AG971" s="56"/>
    </row>
    <row r="972" spans="1:33" x14ac:dyDescent="0.3">
      <c r="A972" s="47">
        <f t="shared" si="211"/>
        <v>882</v>
      </c>
      <c r="B972" s="414" t="s">
        <v>1130</v>
      </c>
      <c r="C972" s="51">
        <f t="shared" si="209"/>
        <v>130000</v>
      </c>
      <c r="D972" s="51">
        <f t="shared" si="210"/>
        <v>0</v>
      </c>
      <c r="E972" s="51"/>
      <c r="F972" s="51"/>
      <c r="G972" s="51"/>
      <c r="H972" s="51"/>
      <c r="I972" s="51"/>
      <c r="J972" s="51"/>
      <c r="K972" s="51"/>
      <c r="L972" s="51"/>
      <c r="M972" s="35"/>
      <c r="N972" s="51"/>
      <c r="O972" s="82"/>
      <c r="P972" s="51"/>
      <c r="Q972" s="338"/>
      <c r="R972" s="51"/>
      <c r="S972" s="51"/>
      <c r="T972" s="338"/>
      <c r="U972" s="51"/>
      <c r="V972" s="35"/>
      <c r="W972" s="364">
        <v>130000</v>
      </c>
      <c r="X972" s="285"/>
      <c r="Y972" s="285"/>
      <c r="Z972" s="285"/>
      <c r="AA972" s="285"/>
      <c r="AB972" s="285"/>
      <c r="AC972" s="9"/>
      <c r="AD972" s="306"/>
      <c r="AE972" s="302"/>
      <c r="AF972" s="302"/>
      <c r="AG972" s="56"/>
    </row>
    <row r="973" spans="1:33" x14ac:dyDescent="0.3">
      <c r="A973" s="47">
        <f t="shared" si="211"/>
        <v>883</v>
      </c>
      <c r="B973" s="414" t="s">
        <v>1131</v>
      </c>
      <c r="C973" s="51">
        <f t="shared" si="209"/>
        <v>155425.46</v>
      </c>
      <c r="D973" s="51">
        <f t="shared" si="210"/>
        <v>0</v>
      </c>
      <c r="E973" s="51"/>
      <c r="F973" s="51"/>
      <c r="G973" s="51"/>
      <c r="H973" s="51"/>
      <c r="I973" s="51"/>
      <c r="J973" s="51"/>
      <c r="K973" s="51"/>
      <c r="L973" s="51"/>
      <c r="M973" s="35"/>
      <c r="N973" s="51"/>
      <c r="O973" s="82"/>
      <c r="P973" s="51"/>
      <c r="Q973" s="338"/>
      <c r="R973" s="51"/>
      <c r="S973" s="51"/>
      <c r="T973" s="338"/>
      <c r="U973" s="51"/>
      <c r="V973" s="35"/>
      <c r="W973" s="364">
        <f t="shared" ref="W973:W984" si="212">SUM(X973:AH973)</f>
        <v>155425.46</v>
      </c>
      <c r="X973" s="285"/>
      <c r="Y973" s="285"/>
      <c r="Z973" s="285"/>
      <c r="AA973" s="285"/>
      <c r="AB973" s="285"/>
      <c r="AC973" s="9">
        <v>155425.46</v>
      </c>
      <c r="AD973" s="306"/>
      <c r="AE973" s="302"/>
      <c r="AF973" s="302"/>
      <c r="AG973" s="56"/>
    </row>
    <row r="974" spans="1:33" x14ac:dyDescent="0.3">
      <c r="A974" s="47">
        <f t="shared" si="211"/>
        <v>884</v>
      </c>
      <c r="B974" s="414" t="s">
        <v>1132</v>
      </c>
      <c r="C974" s="51">
        <f t="shared" si="209"/>
        <v>148761.01</v>
      </c>
      <c r="D974" s="51">
        <f t="shared" si="210"/>
        <v>0</v>
      </c>
      <c r="E974" s="51"/>
      <c r="F974" s="51"/>
      <c r="G974" s="51"/>
      <c r="H974" s="51"/>
      <c r="I974" s="51"/>
      <c r="J974" s="51"/>
      <c r="K974" s="51"/>
      <c r="L974" s="51"/>
      <c r="M974" s="35"/>
      <c r="N974" s="51"/>
      <c r="O974" s="82"/>
      <c r="P974" s="51"/>
      <c r="Q974" s="338"/>
      <c r="R974" s="51"/>
      <c r="S974" s="51"/>
      <c r="T974" s="338"/>
      <c r="U974" s="51"/>
      <c r="V974" s="35"/>
      <c r="W974" s="364">
        <f t="shared" si="212"/>
        <v>148761.01</v>
      </c>
      <c r="X974" s="285"/>
      <c r="Y974" s="285"/>
      <c r="Z974" s="285"/>
      <c r="AA974" s="285"/>
      <c r="AB974" s="285"/>
      <c r="AC974" s="9">
        <v>148761.01</v>
      </c>
      <c r="AD974" s="306"/>
      <c r="AE974" s="302"/>
      <c r="AF974" s="302"/>
      <c r="AG974" s="56"/>
    </row>
    <row r="975" spans="1:33" x14ac:dyDescent="0.3">
      <c r="A975" s="47">
        <f t="shared" si="211"/>
        <v>885</v>
      </c>
      <c r="B975" s="414" t="s">
        <v>1133</v>
      </c>
      <c r="C975" s="51">
        <f t="shared" si="209"/>
        <v>302727.75</v>
      </c>
      <c r="D975" s="51">
        <f t="shared" si="210"/>
        <v>0</v>
      </c>
      <c r="E975" s="51"/>
      <c r="F975" s="51"/>
      <c r="G975" s="51"/>
      <c r="H975" s="51"/>
      <c r="I975" s="51"/>
      <c r="J975" s="51"/>
      <c r="K975" s="51"/>
      <c r="L975" s="51"/>
      <c r="M975" s="35"/>
      <c r="N975" s="51"/>
      <c r="O975" s="82"/>
      <c r="P975" s="51"/>
      <c r="Q975" s="338"/>
      <c r="R975" s="51"/>
      <c r="S975" s="51"/>
      <c r="T975" s="338"/>
      <c r="U975" s="51"/>
      <c r="V975" s="35"/>
      <c r="W975" s="364">
        <f t="shared" si="212"/>
        <v>302727.75</v>
      </c>
      <c r="X975" s="285"/>
      <c r="Y975" s="285"/>
      <c r="Z975" s="285"/>
      <c r="AA975" s="285"/>
      <c r="AB975" s="285"/>
      <c r="AC975" s="9">
        <v>214255.88</v>
      </c>
      <c r="AD975" s="306">
        <v>88471.87</v>
      </c>
      <c r="AE975" s="302"/>
      <c r="AF975" s="302"/>
      <c r="AG975" s="56"/>
    </row>
    <row r="976" spans="1:33" x14ac:dyDescent="0.3">
      <c r="A976" s="47">
        <f t="shared" si="211"/>
        <v>886</v>
      </c>
      <c r="B976" s="414" t="s">
        <v>1134</v>
      </c>
      <c r="C976" s="51">
        <f t="shared" si="209"/>
        <v>143269.1</v>
      </c>
      <c r="D976" s="51">
        <f t="shared" si="210"/>
        <v>0</v>
      </c>
      <c r="E976" s="51"/>
      <c r="F976" s="51"/>
      <c r="G976" s="51"/>
      <c r="H976" s="51"/>
      <c r="I976" s="51"/>
      <c r="J976" s="51"/>
      <c r="K976" s="51"/>
      <c r="L976" s="51"/>
      <c r="M976" s="35"/>
      <c r="N976" s="51"/>
      <c r="O976" s="82"/>
      <c r="P976" s="51"/>
      <c r="Q976" s="338"/>
      <c r="R976" s="51"/>
      <c r="S976" s="51"/>
      <c r="T976" s="338"/>
      <c r="U976" s="51"/>
      <c r="V976" s="35"/>
      <c r="W976" s="364">
        <f t="shared" si="212"/>
        <v>143269.1</v>
      </c>
      <c r="X976" s="285"/>
      <c r="Y976" s="285"/>
      <c r="Z976" s="285"/>
      <c r="AA976" s="285"/>
      <c r="AB976" s="285"/>
      <c r="AC976" s="9">
        <v>143269.1</v>
      </c>
      <c r="AD976" s="306"/>
      <c r="AE976" s="302"/>
      <c r="AF976" s="302"/>
      <c r="AG976" s="56"/>
    </row>
    <row r="977" spans="1:33" x14ac:dyDescent="0.3">
      <c r="A977" s="47">
        <f t="shared" si="211"/>
        <v>887</v>
      </c>
      <c r="B977" s="414" t="s">
        <v>1135</v>
      </c>
      <c r="C977" s="51">
        <f t="shared" si="209"/>
        <v>153597.48000000001</v>
      </c>
      <c r="D977" s="51">
        <f t="shared" si="210"/>
        <v>0</v>
      </c>
      <c r="E977" s="51"/>
      <c r="F977" s="51"/>
      <c r="G977" s="51"/>
      <c r="H977" s="51"/>
      <c r="I977" s="51"/>
      <c r="J977" s="51"/>
      <c r="K977" s="51"/>
      <c r="L977" s="51"/>
      <c r="M977" s="35"/>
      <c r="N977" s="51"/>
      <c r="O977" s="82"/>
      <c r="P977" s="51"/>
      <c r="Q977" s="338"/>
      <c r="R977" s="51"/>
      <c r="S977" s="51"/>
      <c r="T977" s="338"/>
      <c r="U977" s="51"/>
      <c r="V977" s="35"/>
      <c r="W977" s="364">
        <f t="shared" si="212"/>
        <v>153597.48000000001</v>
      </c>
      <c r="X977" s="285"/>
      <c r="Y977" s="285"/>
      <c r="Z977" s="285"/>
      <c r="AA977" s="285"/>
      <c r="AB977" s="285"/>
      <c r="AC977" s="9">
        <v>153597.48000000001</v>
      </c>
      <c r="AD977" s="306"/>
      <c r="AE977" s="302"/>
      <c r="AF977" s="302"/>
      <c r="AG977" s="56"/>
    </row>
    <row r="978" spans="1:33" x14ac:dyDescent="0.3">
      <c r="A978" s="47">
        <f t="shared" si="211"/>
        <v>888</v>
      </c>
      <c r="B978" s="414" t="s">
        <v>1136</v>
      </c>
      <c r="C978" s="51">
        <f t="shared" si="209"/>
        <v>154751.98000000001</v>
      </c>
      <c r="D978" s="51">
        <f t="shared" si="210"/>
        <v>0</v>
      </c>
      <c r="E978" s="51"/>
      <c r="F978" s="51"/>
      <c r="G978" s="51"/>
      <c r="H978" s="51"/>
      <c r="I978" s="51"/>
      <c r="J978" s="51"/>
      <c r="K978" s="51"/>
      <c r="L978" s="51"/>
      <c r="M978" s="35"/>
      <c r="N978" s="51"/>
      <c r="O978" s="82"/>
      <c r="P978" s="51"/>
      <c r="Q978" s="338"/>
      <c r="R978" s="51"/>
      <c r="S978" s="51"/>
      <c r="T978" s="338"/>
      <c r="U978" s="51"/>
      <c r="V978" s="35"/>
      <c r="W978" s="364">
        <f t="shared" si="212"/>
        <v>154751.98000000001</v>
      </c>
      <c r="X978" s="285"/>
      <c r="Y978" s="285"/>
      <c r="Z978" s="285"/>
      <c r="AA978" s="285"/>
      <c r="AB978" s="285"/>
      <c r="AC978" s="9">
        <v>154751.98000000001</v>
      </c>
      <c r="AD978" s="306"/>
      <c r="AE978" s="302"/>
      <c r="AF978" s="302"/>
      <c r="AG978" s="56"/>
    </row>
    <row r="979" spans="1:33" x14ac:dyDescent="0.3">
      <c r="A979" s="47">
        <f t="shared" si="211"/>
        <v>889</v>
      </c>
      <c r="B979" s="414" t="s">
        <v>1137</v>
      </c>
      <c r="C979" s="51">
        <f t="shared" si="209"/>
        <v>851150.01</v>
      </c>
      <c r="D979" s="51">
        <f t="shared" si="210"/>
        <v>0</v>
      </c>
      <c r="E979" s="51"/>
      <c r="F979" s="51"/>
      <c r="G979" s="51"/>
      <c r="H979" s="51"/>
      <c r="I979" s="51"/>
      <c r="J979" s="51"/>
      <c r="K979" s="51"/>
      <c r="L979" s="51"/>
      <c r="M979" s="35"/>
      <c r="N979" s="51"/>
      <c r="O979" s="82"/>
      <c r="P979" s="51"/>
      <c r="Q979" s="338"/>
      <c r="R979" s="51"/>
      <c r="S979" s="51"/>
      <c r="T979" s="338">
        <v>3676.3</v>
      </c>
      <c r="U979" s="51">
        <v>520906.25</v>
      </c>
      <c r="V979" s="35"/>
      <c r="W979" s="364">
        <f t="shared" si="212"/>
        <v>330243.76</v>
      </c>
      <c r="X979" s="285"/>
      <c r="Y979" s="285"/>
      <c r="Z979" s="285"/>
      <c r="AA979" s="285"/>
      <c r="AB979" s="285"/>
      <c r="AC979" s="9"/>
      <c r="AD979" s="306"/>
      <c r="AE979" s="302"/>
      <c r="AF979" s="302">
        <v>330243.76</v>
      </c>
      <c r="AG979" s="56"/>
    </row>
    <row r="980" spans="1:33" x14ac:dyDescent="0.3">
      <c r="A980" s="47">
        <f t="shared" si="211"/>
        <v>890</v>
      </c>
      <c r="B980" s="414" t="s">
        <v>1138</v>
      </c>
      <c r="C980" s="51">
        <f t="shared" si="209"/>
        <v>1180221.81</v>
      </c>
      <c r="D980" s="51">
        <f t="shared" si="210"/>
        <v>0</v>
      </c>
      <c r="E980" s="51"/>
      <c r="F980" s="51"/>
      <c r="G980" s="51"/>
      <c r="H980" s="51"/>
      <c r="I980" s="51"/>
      <c r="J980" s="51"/>
      <c r="K980" s="51"/>
      <c r="L980" s="51"/>
      <c r="M980" s="35"/>
      <c r="N980" s="51"/>
      <c r="O980" s="82"/>
      <c r="P980" s="51"/>
      <c r="Q980" s="338"/>
      <c r="R980" s="51"/>
      <c r="S980" s="51"/>
      <c r="T980" s="338">
        <v>1268.0999999999999</v>
      </c>
      <c r="U980" s="51">
        <v>954129.86</v>
      </c>
      <c r="V980" s="35"/>
      <c r="W980" s="364">
        <f t="shared" si="212"/>
        <v>226091.95</v>
      </c>
      <c r="X980" s="285"/>
      <c r="Y980" s="285"/>
      <c r="Z980" s="285"/>
      <c r="AA980" s="285"/>
      <c r="AB980" s="285"/>
      <c r="AC980" s="9"/>
      <c r="AD980" s="306"/>
      <c r="AE980" s="302"/>
      <c r="AF980" s="302">
        <v>226091.95</v>
      </c>
      <c r="AG980" s="56"/>
    </row>
    <row r="981" spans="1:33" x14ac:dyDescent="0.3">
      <c r="A981" s="47">
        <f t="shared" si="211"/>
        <v>891</v>
      </c>
      <c r="B981" s="414" t="s">
        <v>1139</v>
      </c>
      <c r="C981" s="51">
        <f t="shared" si="209"/>
        <v>416666.81</v>
      </c>
      <c r="D981" s="51">
        <f t="shared" si="210"/>
        <v>0</v>
      </c>
      <c r="E981" s="51"/>
      <c r="F981" s="51"/>
      <c r="G981" s="51"/>
      <c r="H981" s="51"/>
      <c r="I981" s="51"/>
      <c r="J981" s="51"/>
      <c r="K981" s="51"/>
      <c r="L981" s="51"/>
      <c r="M981" s="35"/>
      <c r="N981" s="51"/>
      <c r="O981" s="82"/>
      <c r="P981" s="51"/>
      <c r="Q981" s="338"/>
      <c r="R981" s="51"/>
      <c r="S981" s="51"/>
      <c r="T981" s="338"/>
      <c r="U981" s="51"/>
      <c r="V981" s="35"/>
      <c r="W981" s="364">
        <f t="shared" si="212"/>
        <v>416666.81</v>
      </c>
      <c r="X981" s="285">
        <v>79037.240000000005</v>
      </c>
      <c r="Y981" s="285">
        <v>97853.16</v>
      </c>
      <c r="Z981" s="505">
        <v>83931.98</v>
      </c>
      <c r="AA981" s="505"/>
      <c r="AB981" s="285"/>
      <c r="AC981" s="9">
        <v>155844.43</v>
      </c>
      <c r="AD981" s="306"/>
      <c r="AE981" s="302"/>
      <c r="AF981" s="302"/>
      <c r="AG981" s="56"/>
    </row>
    <row r="982" spans="1:33" x14ac:dyDescent="0.3">
      <c r="A982" s="47">
        <f t="shared" si="211"/>
        <v>892</v>
      </c>
      <c r="B982" s="414" t="s">
        <v>1140</v>
      </c>
      <c r="C982" s="51">
        <f t="shared" si="209"/>
        <v>181842.26</v>
      </c>
      <c r="D982" s="51">
        <f t="shared" si="210"/>
        <v>0</v>
      </c>
      <c r="E982" s="51"/>
      <c r="F982" s="51"/>
      <c r="G982" s="51"/>
      <c r="H982" s="51"/>
      <c r="I982" s="51"/>
      <c r="J982" s="51"/>
      <c r="K982" s="51"/>
      <c r="L982" s="51"/>
      <c r="M982" s="35"/>
      <c r="N982" s="51"/>
      <c r="O982" s="82"/>
      <c r="P982" s="51"/>
      <c r="Q982" s="338"/>
      <c r="R982" s="51"/>
      <c r="S982" s="51"/>
      <c r="T982" s="338"/>
      <c r="U982" s="51"/>
      <c r="V982" s="35"/>
      <c r="W982" s="364">
        <f t="shared" si="212"/>
        <v>181842.26</v>
      </c>
      <c r="X982" s="285"/>
      <c r="Y982" s="285">
        <v>97882.559999999998</v>
      </c>
      <c r="Z982" s="505">
        <v>83959.7</v>
      </c>
      <c r="AA982" s="505"/>
      <c r="AB982" s="285"/>
      <c r="AC982" s="9"/>
      <c r="AD982" s="306"/>
      <c r="AE982" s="302"/>
      <c r="AF982" s="302"/>
      <c r="AG982" s="56"/>
    </row>
    <row r="983" spans="1:33" x14ac:dyDescent="0.3">
      <c r="A983" s="47">
        <f t="shared" si="211"/>
        <v>893</v>
      </c>
      <c r="B983" s="414" t="s">
        <v>1141</v>
      </c>
      <c r="C983" s="51">
        <f t="shared" si="209"/>
        <v>289514.79000000004</v>
      </c>
      <c r="D983" s="51">
        <f t="shared" si="210"/>
        <v>0</v>
      </c>
      <c r="E983" s="51"/>
      <c r="F983" s="51"/>
      <c r="G983" s="51"/>
      <c r="H983" s="51"/>
      <c r="I983" s="51"/>
      <c r="J983" s="51"/>
      <c r="K983" s="51"/>
      <c r="L983" s="51"/>
      <c r="M983" s="35"/>
      <c r="N983" s="51"/>
      <c r="O983" s="82"/>
      <c r="P983" s="51"/>
      <c r="Q983" s="338"/>
      <c r="R983" s="51"/>
      <c r="S983" s="51"/>
      <c r="T983" s="338"/>
      <c r="U983" s="51"/>
      <c r="V983" s="35"/>
      <c r="W983" s="364">
        <f t="shared" si="212"/>
        <v>289514.79000000004</v>
      </c>
      <c r="X983" s="285">
        <v>98517.59</v>
      </c>
      <c r="Y983" s="285"/>
      <c r="Z983" s="285"/>
      <c r="AA983" s="285"/>
      <c r="AB983" s="285"/>
      <c r="AC983" s="9">
        <v>190997.2</v>
      </c>
      <c r="AD983" s="306"/>
      <c r="AE983" s="302"/>
      <c r="AF983" s="302"/>
      <c r="AG983" s="56"/>
    </row>
    <row r="984" spans="1:33" x14ac:dyDescent="0.3">
      <c r="A984" s="47">
        <f t="shared" si="211"/>
        <v>894</v>
      </c>
      <c r="B984" s="414" t="s">
        <v>1142</v>
      </c>
      <c r="C984" s="51">
        <f t="shared" si="209"/>
        <v>4707022.6300000008</v>
      </c>
      <c r="D984" s="51">
        <f t="shared" si="210"/>
        <v>0</v>
      </c>
      <c r="E984" s="51"/>
      <c r="F984" s="51"/>
      <c r="G984" s="51"/>
      <c r="H984" s="51"/>
      <c r="I984" s="51"/>
      <c r="J984" s="51"/>
      <c r="K984" s="51"/>
      <c r="L984" s="51"/>
      <c r="M984" s="35">
        <v>794.1</v>
      </c>
      <c r="N984" s="51">
        <v>4384184.4000000004</v>
      </c>
      <c r="O984" s="82"/>
      <c r="P984" s="51"/>
      <c r="Q984" s="338"/>
      <c r="R984" s="51"/>
      <c r="S984" s="51"/>
      <c r="T984" s="338"/>
      <c r="U984" s="51"/>
      <c r="V984" s="35"/>
      <c r="W984" s="364">
        <f t="shared" si="212"/>
        <v>322838.23</v>
      </c>
      <c r="X984" s="285"/>
      <c r="Y984" s="285"/>
      <c r="Z984" s="285"/>
      <c r="AA984" s="285"/>
      <c r="AB984" s="285"/>
      <c r="AC984" s="9">
        <v>322838.23</v>
      </c>
      <c r="AD984" s="306"/>
      <c r="AE984" s="302"/>
      <c r="AF984" s="302"/>
      <c r="AG984" s="56"/>
    </row>
    <row r="985" spans="1:33" x14ac:dyDescent="0.3">
      <c r="A985" s="47">
        <f t="shared" si="211"/>
        <v>895</v>
      </c>
      <c r="B985" s="414" t="s">
        <v>1143</v>
      </c>
      <c r="C985" s="51">
        <f t="shared" si="209"/>
        <v>130000</v>
      </c>
      <c r="D985" s="51">
        <f t="shared" si="210"/>
        <v>0</v>
      </c>
      <c r="E985" s="51"/>
      <c r="F985" s="51"/>
      <c r="G985" s="51"/>
      <c r="H985" s="51"/>
      <c r="I985" s="51"/>
      <c r="J985" s="51"/>
      <c r="K985" s="51"/>
      <c r="L985" s="51"/>
      <c r="M985" s="35"/>
      <c r="N985" s="51"/>
      <c r="O985" s="82"/>
      <c r="P985" s="51"/>
      <c r="Q985" s="338"/>
      <c r="R985" s="51"/>
      <c r="S985" s="51"/>
      <c r="T985" s="338"/>
      <c r="U985" s="51"/>
      <c r="V985" s="35"/>
      <c r="W985" s="364">
        <v>130000</v>
      </c>
      <c r="X985" s="285"/>
      <c r="Y985" s="285"/>
      <c r="Z985" s="285"/>
      <c r="AA985" s="285"/>
      <c r="AB985" s="285"/>
      <c r="AC985" s="9"/>
      <c r="AD985" s="306"/>
      <c r="AE985" s="302"/>
      <c r="AF985" s="302"/>
      <c r="AG985" s="56"/>
    </row>
    <row r="986" spans="1:33" x14ac:dyDescent="0.3">
      <c r="A986" s="47">
        <f t="shared" si="211"/>
        <v>896</v>
      </c>
      <c r="B986" s="414" t="s">
        <v>1144</v>
      </c>
      <c r="C986" s="51">
        <f t="shared" si="209"/>
        <v>130000</v>
      </c>
      <c r="D986" s="51">
        <f t="shared" si="210"/>
        <v>0</v>
      </c>
      <c r="E986" s="51"/>
      <c r="F986" s="51"/>
      <c r="G986" s="51"/>
      <c r="H986" s="51"/>
      <c r="I986" s="51"/>
      <c r="J986" s="51"/>
      <c r="K986" s="51"/>
      <c r="L986" s="51"/>
      <c r="M986" s="35"/>
      <c r="N986" s="51"/>
      <c r="O986" s="82"/>
      <c r="P986" s="51"/>
      <c r="Q986" s="338"/>
      <c r="R986" s="51"/>
      <c r="S986" s="51"/>
      <c r="T986" s="338"/>
      <c r="U986" s="51"/>
      <c r="V986" s="35"/>
      <c r="W986" s="364">
        <v>130000</v>
      </c>
      <c r="X986" s="285"/>
      <c r="Y986" s="285"/>
      <c r="Z986" s="285"/>
      <c r="AA986" s="285"/>
      <c r="AB986" s="285"/>
      <c r="AC986" s="9"/>
      <c r="AD986" s="306"/>
      <c r="AE986" s="302"/>
      <c r="AF986" s="302"/>
      <c r="AG986" s="56"/>
    </row>
    <row r="987" spans="1:33" x14ac:dyDescent="0.3">
      <c r="A987" s="47">
        <f t="shared" si="211"/>
        <v>897</v>
      </c>
      <c r="B987" s="414" t="s">
        <v>1145</v>
      </c>
      <c r="C987" s="51">
        <f t="shared" si="209"/>
        <v>130000</v>
      </c>
      <c r="D987" s="51">
        <f t="shared" si="210"/>
        <v>0</v>
      </c>
      <c r="E987" s="51"/>
      <c r="F987" s="51"/>
      <c r="G987" s="51"/>
      <c r="H987" s="51"/>
      <c r="I987" s="51"/>
      <c r="J987" s="51"/>
      <c r="K987" s="51"/>
      <c r="L987" s="51"/>
      <c r="M987" s="35"/>
      <c r="N987" s="51"/>
      <c r="O987" s="82"/>
      <c r="P987" s="51"/>
      <c r="Q987" s="338"/>
      <c r="R987" s="51"/>
      <c r="S987" s="51"/>
      <c r="T987" s="338"/>
      <c r="U987" s="51"/>
      <c r="V987" s="35"/>
      <c r="W987" s="364">
        <v>130000</v>
      </c>
      <c r="X987" s="285"/>
      <c r="Y987" s="285"/>
      <c r="Z987" s="285"/>
      <c r="AA987" s="285"/>
      <c r="AB987" s="285"/>
      <c r="AC987" s="9"/>
      <c r="AD987" s="306"/>
      <c r="AE987" s="302"/>
      <c r="AF987" s="302"/>
      <c r="AG987" s="56"/>
    </row>
    <row r="988" spans="1:33" x14ac:dyDescent="0.3">
      <c r="A988" s="47">
        <f t="shared" si="211"/>
        <v>898</v>
      </c>
      <c r="B988" s="414" t="s">
        <v>1146</v>
      </c>
      <c r="C988" s="51">
        <f t="shared" si="209"/>
        <v>49621.78</v>
      </c>
      <c r="D988" s="51">
        <f t="shared" si="210"/>
        <v>0</v>
      </c>
      <c r="E988" s="51"/>
      <c r="F988" s="51"/>
      <c r="G988" s="51"/>
      <c r="H988" s="51"/>
      <c r="I988" s="51"/>
      <c r="J988" s="51"/>
      <c r="K988" s="51"/>
      <c r="L988" s="51"/>
      <c r="M988" s="35"/>
      <c r="N988" s="51"/>
      <c r="O988" s="82"/>
      <c r="P988" s="51"/>
      <c r="Q988" s="338"/>
      <c r="R988" s="51"/>
      <c r="S988" s="51"/>
      <c r="T988" s="338"/>
      <c r="U988" s="51"/>
      <c r="V988" s="35"/>
      <c r="W988" s="364">
        <f t="shared" ref="W988:W995" si="213">SUM(X988:AH988)</f>
        <v>49621.78</v>
      </c>
      <c r="X988" s="285">
        <v>49621.78</v>
      </c>
      <c r="Y988" s="285"/>
      <c r="Z988" s="285"/>
      <c r="AA988" s="285"/>
      <c r="AB988" s="285"/>
      <c r="AC988" s="9"/>
      <c r="AD988" s="306"/>
      <c r="AE988" s="302"/>
      <c r="AF988" s="302"/>
      <c r="AG988" s="56"/>
    </row>
    <row r="989" spans="1:33" x14ac:dyDescent="0.3">
      <c r="A989" s="47">
        <f t="shared" si="211"/>
        <v>899</v>
      </c>
      <c r="B989" s="414" t="s">
        <v>1147</v>
      </c>
      <c r="C989" s="51">
        <f t="shared" si="209"/>
        <v>1371044.81</v>
      </c>
      <c r="D989" s="51">
        <f t="shared" si="210"/>
        <v>0</v>
      </c>
      <c r="E989" s="51"/>
      <c r="F989" s="51"/>
      <c r="G989" s="51"/>
      <c r="H989" s="51"/>
      <c r="I989" s="51"/>
      <c r="J989" s="51"/>
      <c r="K989" s="51"/>
      <c r="L989" s="51"/>
      <c r="M989" s="35"/>
      <c r="N989" s="51"/>
      <c r="O989" s="82"/>
      <c r="P989" s="51"/>
      <c r="Q989" s="338"/>
      <c r="R989" s="51"/>
      <c r="S989" s="51"/>
      <c r="T989" s="338"/>
      <c r="U989" s="51"/>
      <c r="V989" s="35"/>
      <c r="W989" s="364">
        <f t="shared" si="213"/>
        <v>1371044.81</v>
      </c>
      <c r="X989" s="285"/>
      <c r="Y989" s="285"/>
      <c r="Z989" s="285"/>
      <c r="AA989" s="285"/>
      <c r="AB989" s="285"/>
      <c r="AC989" s="9"/>
      <c r="AD989" s="306">
        <v>271724.02</v>
      </c>
      <c r="AE989" s="302">
        <v>1099320.79</v>
      </c>
      <c r="AF989" s="302"/>
      <c r="AG989" s="56"/>
    </row>
    <row r="990" spans="1:33" x14ac:dyDescent="0.3">
      <c r="A990" s="47">
        <f t="shared" si="211"/>
        <v>900</v>
      </c>
      <c r="B990" s="414" t="s">
        <v>1148</v>
      </c>
      <c r="C990" s="51">
        <f t="shared" si="209"/>
        <v>450593.85</v>
      </c>
      <c r="D990" s="51">
        <f t="shared" si="210"/>
        <v>0</v>
      </c>
      <c r="E990" s="51"/>
      <c r="F990" s="51"/>
      <c r="G990" s="51"/>
      <c r="H990" s="51"/>
      <c r="I990" s="51"/>
      <c r="J990" s="51"/>
      <c r="K990" s="51"/>
      <c r="L990" s="51"/>
      <c r="M990" s="35"/>
      <c r="N990" s="51"/>
      <c r="O990" s="82"/>
      <c r="P990" s="51"/>
      <c r="Q990" s="338"/>
      <c r="R990" s="51"/>
      <c r="S990" s="51"/>
      <c r="T990" s="338"/>
      <c r="U990" s="51"/>
      <c r="V990" s="35"/>
      <c r="W990" s="364">
        <f t="shared" si="213"/>
        <v>450593.85</v>
      </c>
      <c r="X990" s="285">
        <v>178961.59</v>
      </c>
      <c r="Y990" s="285"/>
      <c r="Z990" s="285"/>
      <c r="AA990" s="285"/>
      <c r="AB990" s="285"/>
      <c r="AC990" s="9"/>
      <c r="AD990" s="306">
        <v>271632.26</v>
      </c>
      <c r="AE990" s="302"/>
      <c r="AF990" s="302"/>
      <c r="AG990" s="56"/>
    </row>
    <row r="991" spans="1:33" x14ac:dyDescent="0.3">
      <c r="A991" s="47">
        <f t="shared" si="211"/>
        <v>901</v>
      </c>
      <c r="B991" s="414" t="s">
        <v>1149</v>
      </c>
      <c r="C991" s="51">
        <f t="shared" si="209"/>
        <v>1537215.88</v>
      </c>
      <c r="D991" s="51">
        <f t="shared" si="210"/>
        <v>0</v>
      </c>
      <c r="E991" s="51"/>
      <c r="F991" s="51"/>
      <c r="G991" s="51"/>
      <c r="H991" s="51"/>
      <c r="I991" s="51"/>
      <c r="J991" s="51"/>
      <c r="K991" s="51"/>
      <c r="L991" s="51"/>
      <c r="M991" s="35"/>
      <c r="N991" s="51"/>
      <c r="O991" s="82"/>
      <c r="P991" s="51"/>
      <c r="Q991" s="338"/>
      <c r="R991" s="51"/>
      <c r="S991" s="51"/>
      <c r="T991" s="338"/>
      <c r="U991" s="51"/>
      <c r="V991" s="35"/>
      <c r="W991" s="364">
        <f t="shared" si="213"/>
        <v>1537215.88</v>
      </c>
      <c r="X991" s="285">
        <v>178961.59</v>
      </c>
      <c r="Y991" s="285"/>
      <c r="Z991" s="285"/>
      <c r="AA991" s="285"/>
      <c r="AB991" s="285"/>
      <c r="AC991" s="9"/>
      <c r="AD991" s="306">
        <v>271632.26</v>
      </c>
      <c r="AE991" s="302">
        <v>1086622.03</v>
      </c>
      <c r="AF991" s="302"/>
      <c r="AG991" s="56"/>
    </row>
    <row r="992" spans="1:33" x14ac:dyDescent="0.3">
      <c r="A992" s="47">
        <f t="shared" si="211"/>
        <v>902</v>
      </c>
      <c r="B992" s="414" t="s">
        <v>1150</v>
      </c>
      <c r="C992" s="51">
        <f t="shared" si="209"/>
        <v>1756893.3299999998</v>
      </c>
      <c r="D992" s="51">
        <f t="shared" si="210"/>
        <v>0</v>
      </c>
      <c r="E992" s="51"/>
      <c r="F992" s="51"/>
      <c r="G992" s="51"/>
      <c r="H992" s="51"/>
      <c r="I992" s="51"/>
      <c r="J992" s="51"/>
      <c r="K992" s="51"/>
      <c r="L992" s="51"/>
      <c r="M992" s="35"/>
      <c r="N992" s="51"/>
      <c r="O992" s="82"/>
      <c r="P992" s="51"/>
      <c r="Q992" s="338"/>
      <c r="R992" s="51"/>
      <c r="S992" s="51"/>
      <c r="T992" s="338"/>
      <c r="U992" s="51"/>
      <c r="V992" s="35"/>
      <c r="W992" s="364">
        <f t="shared" si="213"/>
        <v>1756893.3299999998</v>
      </c>
      <c r="X992" s="285"/>
      <c r="Y992" s="285"/>
      <c r="Z992" s="285"/>
      <c r="AA992" s="285"/>
      <c r="AB992" s="285"/>
      <c r="AC992" s="9">
        <v>352033.67</v>
      </c>
      <c r="AD992" s="306">
        <v>277706</v>
      </c>
      <c r="AE992" s="302">
        <v>1127153.6599999999</v>
      </c>
      <c r="AF992" s="302"/>
      <c r="AG992" s="56"/>
    </row>
    <row r="993" spans="1:33" x14ac:dyDescent="0.3">
      <c r="A993" s="47">
        <f t="shared" si="211"/>
        <v>903</v>
      </c>
      <c r="B993" s="414" t="s">
        <v>1151</v>
      </c>
      <c r="C993" s="51">
        <f t="shared" si="209"/>
        <v>1756893.3299999998</v>
      </c>
      <c r="D993" s="51">
        <f t="shared" si="210"/>
        <v>0</v>
      </c>
      <c r="E993" s="51"/>
      <c r="F993" s="51"/>
      <c r="G993" s="51"/>
      <c r="H993" s="51"/>
      <c r="I993" s="51"/>
      <c r="J993" s="51"/>
      <c r="K993" s="51"/>
      <c r="L993" s="51"/>
      <c r="M993" s="35"/>
      <c r="N993" s="51"/>
      <c r="O993" s="82"/>
      <c r="P993" s="51"/>
      <c r="Q993" s="338"/>
      <c r="R993" s="51"/>
      <c r="S993" s="51"/>
      <c r="T993" s="338"/>
      <c r="U993" s="51"/>
      <c r="V993" s="35"/>
      <c r="W993" s="364">
        <f t="shared" si="213"/>
        <v>1756893.3299999998</v>
      </c>
      <c r="X993" s="285"/>
      <c r="Y993" s="285"/>
      <c r="Z993" s="285"/>
      <c r="AA993" s="285"/>
      <c r="AB993" s="285"/>
      <c r="AC993" s="9">
        <v>352033.67</v>
      </c>
      <c r="AD993" s="306">
        <v>277706</v>
      </c>
      <c r="AE993" s="302">
        <v>1127153.6599999999</v>
      </c>
      <c r="AF993" s="302"/>
      <c r="AG993" s="56"/>
    </row>
    <row r="994" spans="1:33" x14ac:dyDescent="0.3">
      <c r="A994" s="47">
        <f t="shared" si="211"/>
        <v>904</v>
      </c>
      <c r="B994" s="414" t="s">
        <v>1152</v>
      </c>
      <c r="C994" s="51">
        <f t="shared" si="209"/>
        <v>1756893.3299999998</v>
      </c>
      <c r="D994" s="51">
        <f t="shared" si="210"/>
        <v>0</v>
      </c>
      <c r="E994" s="51"/>
      <c r="F994" s="51"/>
      <c r="G994" s="51"/>
      <c r="H994" s="51"/>
      <c r="I994" s="51"/>
      <c r="J994" s="51"/>
      <c r="K994" s="51"/>
      <c r="L994" s="51"/>
      <c r="M994" s="35"/>
      <c r="N994" s="51"/>
      <c r="O994" s="82"/>
      <c r="P994" s="51"/>
      <c r="Q994" s="338"/>
      <c r="R994" s="51"/>
      <c r="S994" s="51"/>
      <c r="T994" s="338"/>
      <c r="U994" s="51"/>
      <c r="V994" s="35"/>
      <c r="W994" s="364">
        <f t="shared" si="213"/>
        <v>1756893.3299999998</v>
      </c>
      <c r="X994" s="285"/>
      <c r="Y994" s="285"/>
      <c r="Z994" s="285"/>
      <c r="AA994" s="285"/>
      <c r="AB994" s="285"/>
      <c r="AC994" s="9">
        <v>352033.67</v>
      </c>
      <c r="AD994" s="306">
        <v>277706</v>
      </c>
      <c r="AE994" s="302">
        <v>1127153.6599999999</v>
      </c>
      <c r="AF994" s="302"/>
      <c r="AG994" s="56"/>
    </row>
    <row r="995" spans="1:33" x14ac:dyDescent="0.3">
      <c r="A995" s="47">
        <f t="shared" si="211"/>
        <v>905</v>
      </c>
      <c r="B995" s="414" t="s">
        <v>1153</v>
      </c>
      <c r="C995" s="51">
        <f t="shared" si="209"/>
        <v>1404859.66</v>
      </c>
      <c r="D995" s="51">
        <f t="shared" si="210"/>
        <v>0</v>
      </c>
      <c r="E995" s="51"/>
      <c r="F995" s="51"/>
      <c r="G995" s="51"/>
      <c r="H995" s="51"/>
      <c r="I995" s="51"/>
      <c r="J995" s="51"/>
      <c r="K995" s="51"/>
      <c r="L995" s="51"/>
      <c r="M995" s="35"/>
      <c r="N995" s="51"/>
      <c r="O995" s="82"/>
      <c r="P995" s="51"/>
      <c r="Q995" s="338"/>
      <c r="R995" s="51"/>
      <c r="S995" s="51"/>
      <c r="T995" s="338"/>
      <c r="U995" s="51"/>
      <c r="V995" s="35"/>
      <c r="W995" s="364">
        <f t="shared" si="213"/>
        <v>1404859.66</v>
      </c>
      <c r="X995" s="285"/>
      <c r="Y995" s="285"/>
      <c r="Z995" s="285"/>
      <c r="AA995" s="285"/>
      <c r="AB995" s="285"/>
      <c r="AC995" s="9"/>
      <c r="AD995" s="306">
        <v>277706</v>
      </c>
      <c r="AE995" s="302">
        <v>1127153.6599999999</v>
      </c>
      <c r="AF995" s="302"/>
      <c r="AG995" s="56"/>
    </row>
    <row r="996" spans="1:33" x14ac:dyDescent="0.3">
      <c r="A996" s="47"/>
      <c r="B996" s="414" t="s">
        <v>211</v>
      </c>
      <c r="C996" s="51">
        <f t="shared" ref="C996:W996" si="214">SUM(C969:C995)</f>
        <v>20634436.02</v>
      </c>
      <c r="D996" s="51">
        <f t="shared" si="214"/>
        <v>0</v>
      </c>
      <c r="E996" s="51">
        <f t="shared" si="214"/>
        <v>0</v>
      </c>
      <c r="F996" s="51">
        <f t="shared" si="214"/>
        <v>0</v>
      </c>
      <c r="G996" s="51">
        <f t="shared" si="214"/>
        <v>0</v>
      </c>
      <c r="H996" s="51">
        <f t="shared" si="214"/>
        <v>0</v>
      </c>
      <c r="I996" s="51">
        <f t="shared" si="214"/>
        <v>0</v>
      </c>
      <c r="J996" s="51">
        <f t="shared" si="214"/>
        <v>0</v>
      </c>
      <c r="K996" s="51">
        <f t="shared" si="214"/>
        <v>0</v>
      </c>
      <c r="L996" s="51">
        <f t="shared" si="214"/>
        <v>0</v>
      </c>
      <c r="M996" s="35">
        <f t="shared" si="214"/>
        <v>794.1</v>
      </c>
      <c r="N996" s="51">
        <f t="shared" si="214"/>
        <v>4384184.4000000004</v>
      </c>
      <c r="O996" s="82">
        <f t="shared" si="214"/>
        <v>0</v>
      </c>
      <c r="P996" s="51">
        <f t="shared" si="214"/>
        <v>0</v>
      </c>
      <c r="Q996" s="338">
        <f t="shared" si="214"/>
        <v>0</v>
      </c>
      <c r="R996" s="51">
        <f t="shared" si="214"/>
        <v>0</v>
      </c>
      <c r="S996" s="51">
        <f t="shared" si="214"/>
        <v>0</v>
      </c>
      <c r="T996" s="338">
        <f t="shared" si="214"/>
        <v>4944.3999999999996</v>
      </c>
      <c r="U996" s="51">
        <f t="shared" si="214"/>
        <v>1475036.1099999999</v>
      </c>
      <c r="V996" s="35">
        <f t="shared" si="214"/>
        <v>0</v>
      </c>
      <c r="W996" s="51">
        <f t="shared" si="214"/>
        <v>14775215.51</v>
      </c>
      <c r="X996" s="285"/>
      <c r="Y996" s="285"/>
      <c r="Z996" s="285"/>
      <c r="AA996" s="285"/>
      <c r="AB996" s="285"/>
      <c r="AC996" s="9"/>
      <c r="AD996" s="306"/>
      <c r="AE996" s="302"/>
      <c r="AF996" s="302"/>
      <c r="AG996" s="56"/>
    </row>
    <row r="997" spans="1:33" ht="31.2" x14ac:dyDescent="0.3">
      <c r="A997" s="47"/>
      <c r="B997" s="414" t="s">
        <v>1159</v>
      </c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35"/>
      <c r="N997" s="51"/>
      <c r="O997" s="82"/>
      <c r="P997" s="51"/>
      <c r="Q997" s="338"/>
      <c r="R997" s="51"/>
      <c r="S997" s="51"/>
      <c r="T997" s="338"/>
      <c r="U997" s="51"/>
      <c r="V997" s="35"/>
      <c r="W997" s="364"/>
      <c r="X997" s="285"/>
      <c r="Y997" s="285"/>
      <c r="Z997" s="285"/>
      <c r="AA997" s="285"/>
      <c r="AB997" s="285"/>
      <c r="AC997" s="9"/>
      <c r="AD997" s="306"/>
      <c r="AE997" s="302"/>
      <c r="AF997" s="302"/>
      <c r="AG997" s="56"/>
    </row>
    <row r="998" spans="1:33" x14ac:dyDescent="0.3">
      <c r="A998" s="47">
        <f>A995+1</f>
        <v>906</v>
      </c>
      <c r="B998" s="414" t="s">
        <v>1160</v>
      </c>
      <c r="C998" s="51">
        <f t="shared" ref="C998:C1029" si="215">D998+K998+L998+N998+P998+R998+S998+U998+W998</f>
        <v>336947.38</v>
      </c>
      <c r="D998" s="51">
        <f t="shared" ref="D998:D1028" si="216">E998+F998+G998+H998+I998</f>
        <v>0</v>
      </c>
      <c r="E998" s="51"/>
      <c r="F998" s="51"/>
      <c r="G998" s="51"/>
      <c r="H998" s="51"/>
      <c r="I998" s="51"/>
      <c r="J998" s="51"/>
      <c r="K998" s="51"/>
      <c r="L998" s="51"/>
      <c r="M998" s="35"/>
      <c r="N998" s="51"/>
      <c r="O998" s="82"/>
      <c r="P998" s="51"/>
      <c r="Q998" s="338"/>
      <c r="R998" s="51"/>
      <c r="S998" s="51"/>
      <c r="T998" s="338"/>
      <c r="U998" s="51"/>
      <c r="V998" s="35"/>
      <c r="W998" s="364">
        <f t="shared" ref="W998:W1028" si="217">SUM(X998:AH998)</f>
        <v>336947.38</v>
      </c>
      <c r="X998" s="285">
        <v>121646.74</v>
      </c>
      <c r="Y998" s="285"/>
      <c r="Z998" s="285"/>
      <c r="AA998" s="285"/>
      <c r="AB998" s="285"/>
      <c r="AC998" s="9">
        <v>215300.64</v>
      </c>
      <c r="AD998" s="306"/>
      <c r="AE998" s="302"/>
      <c r="AF998" s="302"/>
      <c r="AG998" s="56"/>
    </row>
    <row r="999" spans="1:33" x14ac:dyDescent="0.3">
      <c r="A999" s="47">
        <f>A998+1</f>
        <v>907</v>
      </c>
      <c r="B999" s="414" t="s">
        <v>1161</v>
      </c>
      <c r="C999" s="51">
        <f t="shared" si="215"/>
        <v>304655.58</v>
      </c>
      <c r="D999" s="51">
        <f t="shared" si="216"/>
        <v>0</v>
      </c>
      <c r="E999" s="51"/>
      <c r="F999" s="51"/>
      <c r="G999" s="51"/>
      <c r="H999" s="51"/>
      <c r="I999" s="51"/>
      <c r="J999" s="51"/>
      <c r="K999" s="51"/>
      <c r="L999" s="51"/>
      <c r="M999" s="35"/>
      <c r="N999" s="51"/>
      <c r="O999" s="82"/>
      <c r="P999" s="51"/>
      <c r="Q999" s="338"/>
      <c r="R999" s="51"/>
      <c r="S999" s="51"/>
      <c r="T999" s="338"/>
      <c r="U999" s="51"/>
      <c r="V999" s="35"/>
      <c r="W999" s="364">
        <f t="shared" si="217"/>
        <v>304655.58</v>
      </c>
      <c r="X999" s="285">
        <v>108775.6</v>
      </c>
      <c r="Y999" s="285"/>
      <c r="Z999" s="285"/>
      <c r="AA999" s="285"/>
      <c r="AB999" s="285"/>
      <c r="AC999" s="9">
        <v>195879.98</v>
      </c>
      <c r="AD999" s="306"/>
      <c r="AE999" s="302"/>
      <c r="AF999" s="302"/>
      <c r="AG999" s="56"/>
    </row>
    <row r="1000" spans="1:33" x14ac:dyDescent="0.3">
      <c r="A1000" s="47">
        <f t="shared" ref="A1000:A1063" si="218">A999+1</f>
        <v>908</v>
      </c>
      <c r="B1000" s="414" t="s">
        <v>1162</v>
      </c>
      <c r="C1000" s="51">
        <f t="shared" si="215"/>
        <v>274112.17</v>
      </c>
      <c r="D1000" s="51">
        <f t="shared" si="216"/>
        <v>0</v>
      </c>
      <c r="E1000" s="51"/>
      <c r="F1000" s="51"/>
      <c r="G1000" s="51"/>
      <c r="H1000" s="51"/>
      <c r="I1000" s="51"/>
      <c r="J1000" s="51"/>
      <c r="K1000" s="51"/>
      <c r="L1000" s="51"/>
      <c r="M1000" s="35"/>
      <c r="N1000" s="51"/>
      <c r="O1000" s="82"/>
      <c r="P1000" s="51"/>
      <c r="Q1000" s="338"/>
      <c r="R1000" s="51"/>
      <c r="S1000" s="51"/>
      <c r="T1000" s="338"/>
      <c r="U1000" s="51"/>
      <c r="V1000" s="35"/>
      <c r="W1000" s="364">
        <f t="shared" si="217"/>
        <v>274112.17</v>
      </c>
      <c r="X1000" s="285">
        <v>123271.21</v>
      </c>
      <c r="Y1000" s="285"/>
      <c r="Z1000" s="285"/>
      <c r="AA1000" s="285"/>
      <c r="AB1000" s="285"/>
      <c r="AC1000" s="9"/>
      <c r="AD1000" s="306">
        <v>150840.95999999999</v>
      </c>
      <c r="AE1000" s="302"/>
      <c r="AF1000" s="302"/>
      <c r="AG1000" s="56"/>
    </row>
    <row r="1001" spans="1:33" x14ac:dyDescent="0.3">
      <c r="A1001" s="47">
        <f t="shared" si="218"/>
        <v>909</v>
      </c>
      <c r="B1001" s="414" t="s">
        <v>1163</v>
      </c>
      <c r="C1001" s="51">
        <f t="shared" si="215"/>
        <v>245558.36</v>
      </c>
      <c r="D1001" s="51">
        <f t="shared" si="216"/>
        <v>0</v>
      </c>
      <c r="E1001" s="51"/>
      <c r="F1001" s="51"/>
      <c r="G1001" s="51"/>
      <c r="H1001" s="51"/>
      <c r="I1001" s="51"/>
      <c r="J1001" s="51"/>
      <c r="K1001" s="51"/>
      <c r="L1001" s="51"/>
      <c r="M1001" s="35"/>
      <c r="N1001" s="51"/>
      <c r="O1001" s="82"/>
      <c r="P1001" s="51"/>
      <c r="Q1001" s="338"/>
      <c r="R1001" s="51"/>
      <c r="S1001" s="51"/>
      <c r="T1001" s="338"/>
      <c r="U1001" s="51"/>
      <c r="V1001" s="35"/>
      <c r="W1001" s="364">
        <f t="shared" si="217"/>
        <v>245558.36</v>
      </c>
      <c r="X1001" s="285">
        <v>107890.03</v>
      </c>
      <c r="Y1001" s="285"/>
      <c r="Z1001" s="285"/>
      <c r="AA1001" s="285"/>
      <c r="AB1001" s="285"/>
      <c r="AC1001" s="9"/>
      <c r="AD1001" s="306">
        <v>137668.32999999999</v>
      </c>
      <c r="AE1001" s="302"/>
      <c r="AF1001" s="302"/>
      <c r="AG1001" s="56"/>
    </row>
    <row r="1002" spans="1:33" x14ac:dyDescent="0.3">
      <c r="A1002" s="47">
        <f t="shared" si="218"/>
        <v>910</v>
      </c>
      <c r="B1002" s="414" t="s">
        <v>1164</v>
      </c>
      <c r="C1002" s="51">
        <f t="shared" si="215"/>
        <v>173878.86</v>
      </c>
      <c r="D1002" s="51">
        <f t="shared" si="216"/>
        <v>0</v>
      </c>
      <c r="E1002" s="51"/>
      <c r="F1002" s="51"/>
      <c r="G1002" s="51"/>
      <c r="H1002" s="51"/>
      <c r="I1002" s="51"/>
      <c r="J1002" s="51"/>
      <c r="K1002" s="51"/>
      <c r="L1002" s="51"/>
      <c r="M1002" s="35"/>
      <c r="N1002" s="51"/>
      <c r="O1002" s="82"/>
      <c r="P1002" s="51"/>
      <c r="Q1002" s="338"/>
      <c r="R1002" s="51"/>
      <c r="S1002" s="51"/>
      <c r="T1002" s="338"/>
      <c r="U1002" s="51"/>
      <c r="V1002" s="35"/>
      <c r="W1002" s="364">
        <f t="shared" si="217"/>
        <v>173878.86</v>
      </c>
      <c r="X1002" s="285"/>
      <c r="Y1002" s="285"/>
      <c r="Z1002" s="285"/>
      <c r="AA1002" s="285"/>
      <c r="AB1002" s="285"/>
      <c r="AC1002" s="9"/>
      <c r="AD1002" s="306">
        <v>173878.86</v>
      </c>
      <c r="AE1002" s="302"/>
      <c r="AF1002" s="302"/>
      <c r="AG1002" s="56"/>
    </row>
    <row r="1003" spans="1:33" x14ac:dyDescent="0.3">
      <c r="A1003" s="47">
        <f t="shared" si="218"/>
        <v>911</v>
      </c>
      <c r="B1003" s="414" t="s">
        <v>1165</v>
      </c>
      <c r="C1003" s="51">
        <f t="shared" si="215"/>
        <v>1421084.8000000003</v>
      </c>
      <c r="D1003" s="51">
        <f t="shared" si="216"/>
        <v>0</v>
      </c>
      <c r="E1003" s="51"/>
      <c r="F1003" s="51"/>
      <c r="G1003" s="51"/>
      <c r="H1003" s="51"/>
      <c r="I1003" s="51"/>
      <c r="J1003" s="51"/>
      <c r="K1003" s="51"/>
      <c r="L1003" s="51"/>
      <c r="M1003" s="35"/>
      <c r="N1003" s="51"/>
      <c r="O1003" s="82"/>
      <c r="P1003" s="51"/>
      <c r="Q1003" s="338"/>
      <c r="R1003" s="51"/>
      <c r="S1003" s="51"/>
      <c r="T1003" s="338"/>
      <c r="U1003" s="51"/>
      <c r="V1003" s="35"/>
      <c r="W1003" s="364">
        <f t="shared" si="217"/>
        <v>1421084.8000000003</v>
      </c>
      <c r="X1003" s="285">
        <v>229590.95</v>
      </c>
      <c r="Y1003" s="285">
        <v>289297.56</v>
      </c>
      <c r="Z1003" s="505">
        <v>240165.32</v>
      </c>
      <c r="AA1003" s="505"/>
      <c r="AB1003" s="285"/>
      <c r="AC1003" s="9">
        <v>411822.85</v>
      </c>
      <c r="AD1003" s="306">
        <v>250208.12</v>
      </c>
      <c r="AE1003" s="302"/>
      <c r="AF1003" s="302"/>
      <c r="AG1003" s="56"/>
    </row>
    <row r="1004" spans="1:33" x14ac:dyDescent="0.3">
      <c r="A1004" s="47">
        <f t="shared" si="218"/>
        <v>912</v>
      </c>
      <c r="B1004" s="414" t="s">
        <v>1166</v>
      </c>
      <c r="C1004" s="51">
        <f t="shared" si="215"/>
        <v>369194.09</v>
      </c>
      <c r="D1004" s="51">
        <f t="shared" si="216"/>
        <v>0</v>
      </c>
      <c r="E1004" s="51"/>
      <c r="F1004" s="51"/>
      <c r="G1004" s="51"/>
      <c r="H1004" s="51"/>
      <c r="I1004" s="51"/>
      <c r="J1004" s="51"/>
      <c r="K1004" s="51"/>
      <c r="L1004" s="51"/>
      <c r="M1004" s="35"/>
      <c r="N1004" s="51"/>
      <c r="O1004" s="82"/>
      <c r="P1004" s="51"/>
      <c r="Q1004" s="338"/>
      <c r="R1004" s="51"/>
      <c r="S1004" s="51"/>
      <c r="T1004" s="338"/>
      <c r="U1004" s="51"/>
      <c r="V1004" s="35"/>
      <c r="W1004" s="364">
        <f t="shared" si="217"/>
        <v>369194.09</v>
      </c>
      <c r="X1004" s="285">
        <v>177287.92</v>
      </c>
      <c r="Y1004" s="285"/>
      <c r="Z1004" s="285"/>
      <c r="AA1004" s="285"/>
      <c r="AB1004" s="285"/>
      <c r="AC1004" s="9"/>
      <c r="AD1004" s="306">
        <v>191906.17</v>
      </c>
      <c r="AE1004" s="302"/>
      <c r="AF1004" s="302"/>
      <c r="AG1004" s="56"/>
    </row>
    <row r="1005" spans="1:33" x14ac:dyDescent="0.3">
      <c r="A1005" s="47">
        <f t="shared" si="218"/>
        <v>913</v>
      </c>
      <c r="B1005" s="414" t="s">
        <v>1167</v>
      </c>
      <c r="C1005" s="51">
        <f t="shared" si="215"/>
        <v>180265.03</v>
      </c>
      <c r="D1005" s="51">
        <f t="shared" si="216"/>
        <v>0</v>
      </c>
      <c r="E1005" s="51"/>
      <c r="F1005" s="51"/>
      <c r="G1005" s="51"/>
      <c r="H1005" s="51"/>
      <c r="I1005" s="51"/>
      <c r="J1005" s="51"/>
      <c r="K1005" s="51"/>
      <c r="L1005" s="51"/>
      <c r="M1005" s="35"/>
      <c r="N1005" s="51"/>
      <c r="O1005" s="82"/>
      <c r="P1005" s="51"/>
      <c r="Q1005" s="338"/>
      <c r="R1005" s="51"/>
      <c r="S1005" s="51"/>
      <c r="T1005" s="338"/>
      <c r="U1005" s="51"/>
      <c r="V1005" s="35"/>
      <c r="W1005" s="364">
        <f t="shared" si="217"/>
        <v>180265.03</v>
      </c>
      <c r="X1005" s="285">
        <v>180265.03</v>
      </c>
      <c r="Y1005" s="285"/>
      <c r="Z1005" s="285"/>
      <c r="AA1005" s="285"/>
      <c r="AB1005" s="285"/>
      <c r="AC1005" s="9"/>
      <c r="AD1005" s="306"/>
      <c r="AE1005" s="302"/>
      <c r="AF1005" s="302"/>
      <c r="AG1005" s="56"/>
    </row>
    <row r="1006" spans="1:33" x14ac:dyDescent="0.3">
      <c r="A1006" s="47">
        <f t="shared" si="218"/>
        <v>914</v>
      </c>
      <c r="B1006" s="414" t="s">
        <v>1168</v>
      </c>
      <c r="C1006" s="51">
        <f t="shared" si="215"/>
        <v>282854.57</v>
      </c>
      <c r="D1006" s="51">
        <f t="shared" si="216"/>
        <v>0</v>
      </c>
      <c r="E1006" s="51"/>
      <c r="F1006" s="51"/>
      <c r="G1006" s="51"/>
      <c r="H1006" s="51"/>
      <c r="I1006" s="51"/>
      <c r="J1006" s="51"/>
      <c r="K1006" s="51"/>
      <c r="L1006" s="51"/>
      <c r="M1006" s="35"/>
      <c r="N1006" s="51"/>
      <c r="O1006" s="82"/>
      <c r="P1006" s="51"/>
      <c r="Q1006" s="338"/>
      <c r="R1006" s="51"/>
      <c r="S1006" s="51"/>
      <c r="T1006" s="338"/>
      <c r="U1006" s="51"/>
      <c r="V1006" s="35"/>
      <c r="W1006" s="364">
        <f t="shared" si="217"/>
        <v>282854.57</v>
      </c>
      <c r="X1006" s="285"/>
      <c r="Y1006" s="285"/>
      <c r="Z1006" s="285"/>
      <c r="AA1006" s="285"/>
      <c r="AB1006" s="285"/>
      <c r="AC1006" s="9"/>
      <c r="AD1006" s="306">
        <v>282854.57</v>
      </c>
      <c r="AE1006" s="302"/>
      <c r="AF1006" s="302"/>
      <c r="AG1006" s="56"/>
    </row>
    <row r="1007" spans="1:33" x14ac:dyDescent="0.3">
      <c r="A1007" s="47">
        <f t="shared" si="218"/>
        <v>915</v>
      </c>
      <c r="B1007" s="414" t="s">
        <v>1169</v>
      </c>
      <c r="C1007" s="51">
        <f t="shared" si="215"/>
        <v>590532.91</v>
      </c>
      <c r="D1007" s="51">
        <f t="shared" si="216"/>
        <v>0</v>
      </c>
      <c r="E1007" s="51"/>
      <c r="F1007" s="51"/>
      <c r="G1007" s="51"/>
      <c r="H1007" s="51"/>
      <c r="I1007" s="51"/>
      <c r="J1007" s="51"/>
      <c r="K1007" s="51"/>
      <c r="L1007" s="51"/>
      <c r="M1007" s="35"/>
      <c r="N1007" s="51"/>
      <c r="O1007" s="82"/>
      <c r="P1007" s="51"/>
      <c r="Q1007" s="338"/>
      <c r="R1007" s="51"/>
      <c r="S1007" s="51"/>
      <c r="T1007" s="338"/>
      <c r="U1007" s="51"/>
      <c r="V1007" s="35"/>
      <c r="W1007" s="364">
        <f t="shared" si="217"/>
        <v>590532.91</v>
      </c>
      <c r="X1007" s="285">
        <v>209961.48</v>
      </c>
      <c r="Y1007" s="285"/>
      <c r="Z1007" s="285"/>
      <c r="AA1007" s="285"/>
      <c r="AB1007" s="285"/>
      <c r="AC1007" s="9">
        <v>380571.43</v>
      </c>
      <c r="AD1007" s="306"/>
      <c r="AE1007" s="302"/>
      <c r="AF1007" s="302"/>
      <c r="AG1007" s="56"/>
    </row>
    <row r="1008" spans="1:33" x14ac:dyDescent="0.3">
      <c r="A1008" s="47">
        <f t="shared" si="218"/>
        <v>916</v>
      </c>
      <c r="B1008" s="414" t="s">
        <v>1170</v>
      </c>
      <c r="C1008" s="51">
        <f t="shared" si="215"/>
        <v>825630</v>
      </c>
      <c r="D1008" s="51">
        <f t="shared" si="216"/>
        <v>0</v>
      </c>
      <c r="E1008" s="51"/>
      <c r="F1008" s="51"/>
      <c r="G1008" s="51"/>
      <c r="H1008" s="51"/>
      <c r="I1008" s="51"/>
      <c r="J1008" s="51"/>
      <c r="K1008" s="51"/>
      <c r="L1008" s="51"/>
      <c r="M1008" s="35"/>
      <c r="N1008" s="51"/>
      <c r="O1008" s="82"/>
      <c r="P1008" s="51"/>
      <c r="Q1008" s="338"/>
      <c r="R1008" s="51"/>
      <c r="S1008" s="51"/>
      <c r="T1008" s="338"/>
      <c r="U1008" s="51"/>
      <c r="V1008" s="35"/>
      <c r="W1008" s="364">
        <f t="shared" si="217"/>
        <v>825630</v>
      </c>
      <c r="X1008" s="285">
        <v>207697.16</v>
      </c>
      <c r="Y1008" s="285"/>
      <c r="Z1008" s="285"/>
      <c r="AA1008" s="285"/>
      <c r="AB1008" s="285"/>
      <c r="AC1008" s="318">
        <v>385364.26</v>
      </c>
      <c r="AD1008" s="306">
        <v>232568.58</v>
      </c>
      <c r="AE1008" s="302"/>
      <c r="AF1008" s="302"/>
      <c r="AG1008" s="56"/>
    </row>
    <row r="1009" spans="1:33" x14ac:dyDescent="0.3">
      <c r="A1009" s="47">
        <f t="shared" si="218"/>
        <v>917</v>
      </c>
      <c r="B1009" s="414" t="s">
        <v>1171</v>
      </c>
      <c r="C1009" s="51">
        <f t="shared" si="215"/>
        <v>469061.31000000006</v>
      </c>
      <c r="D1009" s="51">
        <f t="shared" si="216"/>
        <v>0</v>
      </c>
      <c r="E1009" s="51"/>
      <c r="F1009" s="51"/>
      <c r="G1009" s="51"/>
      <c r="H1009" s="51"/>
      <c r="I1009" s="51"/>
      <c r="J1009" s="51"/>
      <c r="K1009" s="51"/>
      <c r="L1009" s="51"/>
      <c r="M1009" s="35"/>
      <c r="N1009" s="51"/>
      <c r="O1009" s="82"/>
      <c r="P1009" s="51"/>
      <c r="Q1009" s="338"/>
      <c r="R1009" s="51"/>
      <c r="S1009" s="51"/>
      <c r="T1009" s="338"/>
      <c r="U1009" s="51"/>
      <c r="V1009" s="35"/>
      <c r="W1009" s="364">
        <f t="shared" si="217"/>
        <v>469061.31000000006</v>
      </c>
      <c r="X1009" s="285">
        <v>205488.92</v>
      </c>
      <c r="Y1009" s="285"/>
      <c r="Z1009" s="285"/>
      <c r="AA1009" s="285"/>
      <c r="AB1009" s="285"/>
      <c r="AC1009" s="9"/>
      <c r="AD1009" s="306">
        <v>263572.39</v>
      </c>
      <c r="AE1009" s="302"/>
      <c r="AF1009" s="302"/>
      <c r="AG1009" s="56"/>
    </row>
    <row r="1010" spans="1:33" x14ac:dyDescent="0.3">
      <c r="A1010" s="47">
        <f t="shared" si="218"/>
        <v>918</v>
      </c>
      <c r="B1010" s="414" t="s">
        <v>1172</v>
      </c>
      <c r="C1010" s="51">
        <f t="shared" si="215"/>
        <v>230044.6</v>
      </c>
      <c r="D1010" s="51">
        <f t="shared" si="216"/>
        <v>0</v>
      </c>
      <c r="E1010" s="51"/>
      <c r="F1010" s="51"/>
      <c r="G1010" s="51"/>
      <c r="H1010" s="51"/>
      <c r="I1010" s="51"/>
      <c r="J1010" s="51"/>
      <c r="K1010" s="51"/>
      <c r="L1010" s="51"/>
      <c r="M1010" s="35"/>
      <c r="N1010" s="51"/>
      <c r="O1010" s="82"/>
      <c r="P1010" s="51"/>
      <c r="Q1010" s="338"/>
      <c r="R1010" s="51"/>
      <c r="S1010" s="51"/>
      <c r="T1010" s="338"/>
      <c r="U1010" s="51"/>
      <c r="V1010" s="35"/>
      <c r="W1010" s="364">
        <f t="shared" si="217"/>
        <v>230044.6</v>
      </c>
      <c r="X1010" s="285">
        <v>230044.6</v>
      </c>
      <c r="Y1010" s="285"/>
      <c r="Z1010" s="285"/>
      <c r="AA1010" s="285"/>
      <c r="AB1010" s="285"/>
      <c r="AC1010" s="9"/>
      <c r="AD1010" s="306"/>
      <c r="AE1010" s="302"/>
      <c r="AF1010" s="302"/>
      <c r="AG1010" s="56"/>
    </row>
    <row r="1011" spans="1:33" x14ac:dyDescent="0.3">
      <c r="A1011" s="47">
        <f t="shared" si="218"/>
        <v>919</v>
      </c>
      <c r="B1011" s="414" t="s">
        <v>1173</v>
      </c>
      <c r="C1011" s="51">
        <f t="shared" si="215"/>
        <v>274581.39999999997</v>
      </c>
      <c r="D1011" s="51">
        <f t="shared" si="216"/>
        <v>0</v>
      </c>
      <c r="E1011" s="51"/>
      <c r="F1011" s="51"/>
      <c r="G1011" s="51"/>
      <c r="H1011" s="51"/>
      <c r="I1011" s="51"/>
      <c r="J1011" s="51"/>
      <c r="K1011" s="51"/>
      <c r="L1011" s="51"/>
      <c r="M1011" s="35"/>
      <c r="N1011" s="51"/>
      <c r="O1011" s="82"/>
      <c r="P1011" s="51"/>
      <c r="Q1011" s="338"/>
      <c r="R1011" s="51"/>
      <c r="S1011" s="51"/>
      <c r="T1011" s="338"/>
      <c r="U1011" s="51"/>
      <c r="V1011" s="35"/>
      <c r="W1011" s="364">
        <f t="shared" si="217"/>
        <v>274581.39999999997</v>
      </c>
      <c r="X1011" s="285">
        <v>84708.72</v>
      </c>
      <c r="Y1011" s="285">
        <v>102497.7</v>
      </c>
      <c r="Z1011" s="505">
        <v>87374.98</v>
      </c>
      <c r="AA1011" s="505"/>
      <c r="AB1011" s="285"/>
      <c r="AC1011" s="9"/>
      <c r="AD1011" s="306"/>
      <c r="AE1011" s="302"/>
      <c r="AF1011" s="302"/>
      <c r="AG1011" s="56"/>
    </row>
    <row r="1012" spans="1:33" x14ac:dyDescent="0.3">
      <c r="A1012" s="47">
        <f t="shared" si="218"/>
        <v>920</v>
      </c>
      <c r="B1012" s="414" t="s">
        <v>1174</v>
      </c>
      <c r="C1012" s="51">
        <f t="shared" si="215"/>
        <v>87772.07</v>
      </c>
      <c r="D1012" s="51">
        <f t="shared" si="216"/>
        <v>0</v>
      </c>
      <c r="E1012" s="51"/>
      <c r="F1012" s="51"/>
      <c r="G1012" s="51"/>
      <c r="H1012" s="51"/>
      <c r="I1012" s="51"/>
      <c r="J1012" s="51"/>
      <c r="K1012" s="51"/>
      <c r="L1012" s="51"/>
      <c r="M1012" s="35"/>
      <c r="N1012" s="51"/>
      <c r="O1012" s="82"/>
      <c r="P1012" s="51"/>
      <c r="Q1012" s="338"/>
      <c r="R1012" s="51"/>
      <c r="S1012" s="51"/>
      <c r="T1012" s="338"/>
      <c r="U1012" s="51"/>
      <c r="V1012" s="35"/>
      <c r="W1012" s="364">
        <f t="shared" si="217"/>
        <v>87772.07</v>
      </c>
      <c r="X1012" s="285">
        <v>87772.07</v>
      </c>
      <c r="Y1012" s="285"/>
      <c r="Z1012" s="285"/>
      <c r="AA1012" s="285"/>
      <c r="AB1012" s="285"/>
      <c r="AC1012" s="9"/>
      <c r="AD1012" s="306"/>
      <c r="AE1012" s="302"/>
      <c r="AF1012" s="302"/>
      <c r="AG1012" s="56"/>
    </row>
    <row r="1013" spans="1:33" x14ac:dyDescent="0.3">
      <c r="A1013" s="47">
        <f t="shared" si="218"/>
        <v>921</v>
      </c>
      <c r="B1013" s="414" t="s">
        <v>1175</v>
      </c>
      <c r="C1013" s="51">
        <f t="shared" si="215"/>
        <v>342169.81000000006</v>
      </c>
      <c r="D1013" s="51">
        <f t="shared" si="216"/>
        <v>0</v>
      </c>
      <c r="E1013" s="51"/>
      <c r="F1013" s="51"/>
      <c r="G1013" s="51"/>
      <c r="H1013" s="51"/>
      <c r="I1013" s="51"/>
      <c r="J1013" s="51"/>
      <c r="K1013" s="51"/>
      <c r="L1013" s="51"/>
      <c r="M1013" s="35"/>
      <c r="N1013" s="51"/>
      <c r="O1013" s="82"/>
      <c r="P1013" s="51"/>
      <c r="Q1013" s="338"/>
      <c r="R1013" s="51"/>
      <c r="S1013" s="51"/>
      <c r="T1013" s="338"/>
      <c r="U1013" s="51"/>
      <c r="V1013" s="35"/>
      <c r="W1013" s="364">
        <f t="shared" si="217"/>
        <v>342169.81000000006</v>
      </c>
      <c r="X1013" s="285">
        <v>109038.3</v>
      </c>
      <c r="Y1013" s="285">
        <v>126826.85</v>
      </c>
      <c r="Z1013" s="285">
        <v>106304.66</v>
      </c>
      <c r="AA1013" s="285"/>
      <c r="AB1013" s="285"/>
      <c r="AC1013" s="9"/>
      <c r="AD1013" s="306"/>
      <c r="AE1013" s="302"/>
      <c r="AF1013" s="302"/>
      <c r="AG1013" s="56"/>
    </row>
    <row r="1014" spans="1:33" x14ac:dyDescent="0.3">
      <c r="A1014" s="47">
        <f t="shared" si="218"/>
        <v>922</v>
      </c>
      <c r="B1014" s="414" t="s">
        <v>1176</v>
      </c>
      <c r="C1014" s="51">
        <f t="shared" si="215"/>
        <v>347421.22</v>
      </c>
      <c r="D1014" s="51">
        <f t="shared" si="216"/>
        <v>0</v>
      </c>
      <c r="E1014" s="51"/>
      <c r="F1014" s="51"/>
      <c r="G1014" s="51"/>
      <c r="H1014" s="51"/>
      <c r="I1014" s="51"/>
      <c r="J1014" s="51"/>
      <c r="K1014" s="51"/>
      <c r="L1014" s="51"/>
      <c r="M1014" s="35"/>
      <c r="N1014" s="51"/>
      <c r="O1014" s="82"/>
      <c r="P1014" s="51"/>
      <c r="Q1014" s="338"/>
      <c r="R1014" s="51"/>
      <c r="S1014" s="51"/>
      <c r="T1014" s="338"/>
      <c r="U1014" s="51"/>
      <c r="V1014" s="35"/>
      <c r="W1014" s="364">
        <f t="shared" si="217"/>
        <v>347421.22</v>
      </c>
      <c r="X1014" s="285">
        <v>109249.42</v>
      </c>
      <c r="Y1014" s="285">
        <v>127037.93</v>
      </c>
      <c r="Z1014" s="505">
        <v>111133.87</v>
      </c>
      <c r="AA1014" s="505"/>
      <c r="AB1014" s="285"/>
      <c r="AC1014" s="9"/>
      <c r="AD1014" s="306"/>
      <c r="AE1014" s="302"/>
      <c r="AF1014" s="302"/>
      <c r="AG1014" s="56"/>
    </row>
    <row r="1015" spans="1:33" x14ac:dyDescent="0.3">
      <c r="A1015" s="47">
        <f t="shared" si="218"/>
        <v>923</v>
      </c>
      <c r="B1015" s="414" t="s">
        <v>1177</v>
      </c>
      <c r="C1015" s="51">
        <f t="shared" si="215"/>
        <v>280197.89</v>
      </c>
      <c r="D1015" s="51">
        <f t="shared" si="216"/>
        <v>0</v>
      </c>
      <c r="E1015" s="51"/>
      <c r="F1015" s="51"/>
      <c r="G1015" s="51"/>
      <c r="H1015" s="51"/>
      <c r="I1015" s="51"/>
      <c r="J1015" s="51"/>
      <c r="K1015" s="51"/>
      <c r="L1015" s="51"/>
      <c r="M1015" s="35"/>
      <c r="N1015" s="51"/>
      <c r="O1015" s="82"/>
      <c r="P1015" s="51"/>
      <c r="Q1015" s="338"/>
      <c r="R1015" s="51"/>
      <c r="S1015" s="51"/>
      <c r="T1015" s="338"/>
      <c r="U1015" s="51"/>
      <c r="V1015" s="35"/>
      <c r="W1015" s="364">
        <f t="shared" si="217"/>
        <v>280197.89</v>
      </c>
      <c r="X1015" s="285">
        <v>86585.93</v>
      </c>
      <c r="Y1015" s="285">
        <v>104397.59</v>
      </c>
      <c r="Z1015" s="505">
        <v>89214.37</v>
      </c>
      <c r="AA1015" s="505"/>
      <c r="AB1015" s="285"/>
      <c r="AC1015" s="9"/>
      <c r="AD1015" s="306"/>
      <c r="AE1015" s="302"/>
      <c r="AF1015" s="302"/>
      <c r="AG1015" s="56"/>
    </row>
    <row r="1016" spans="1:33" x14ac:dyDescent="0.3">
      <c r="A1016" s="47">
        <f t="shared" si="218"/>
        <v>924</v>
      </c>
      <c r="B1016" s="414" t="s">
        <v>1178</v>
      </c>
      <c r="C1016" s="51">
        <f t="shared" si="215"/>
        <v>92504.83</v>
      </c>
      <c r="D1016" s="51">
        <f t="shared" si="216"/>
        <v>0</v>
      </c>
      <c r="E1016" s="51"/>
      <c r="F1016" s="51"/>
      <c r="G1016" s="51"/>
      <c r="H1016" s="51"/>
      <c r="I1016" s="51"/>
      <c r="J1016" s="51"/>
      <c r="K1016" s="51"/>
      <c r="L1016" s="51"/>
      <c r="M1016" s="35"/>
      <c r="N1016" s="51"/>
      <c r="O1016" s="82"/>
      <c r="P1016" s="51"/>
      <c r="Q1016" s="338"/>
      <c r="R1016" s="51"/>
      <c r="S1016" s="51"/>
      <c r="T1016" s="338"/>
      <c r="U1016" s="51"/>
      <c r="V1016" s="35"/>
      <c r="W1016" s="364">
        <f t="shared" si="217"/>
        <v>92504.83</v>
      </c>
      <c r="X1016" s="285">
        <v>92504.83</v>
      </c>
      <c r="Y1016" s="285"/>
      <c r="Z1016" s="285"/>
      <c r="AA1016" s="285"/>
      <c r="AB1016" s="285"/>
      <c r="AC1016" s="9"/>
      <c r="AD1016" s="306"/>
      <c r="AE1016" s="302"/>
      <c r="AF1016" s="302"/>
      <c r="AG1016" s="56"/>
    </row>
    <row r="1017" spans="1:33" x14ac:dyDescent="0.3">
      <c r="A1017" s="47">
        <f t="shared" si="218"/>
        <v>925</v>
      </c>
      <c r="B1017" s="414" t="s">
        <v>1179</v>
      </c>
      <c r="C1017" s="51">
        <f t="shared" si="215"/>
        <v>241059.01</v>
      </c>
      <c r="D1017" s="51">
        <f t="shared" si="216"/>
        <v>0</v>
      </c>
      <c r="E1017" s="51"/>
      <c r="F1017" s="51"/>
      <c r="G1017" s="51"/>
      <c r="H1017" s="51"/>
      <c r="I1017" s="51"/>
      <c r="J1017" s="51"/>
      <c r="K1017" s="51"/>
      <c r="L1017" s="51"/>
      <c r="M1017" s="35"/>
      <c r="N1017" s="51"/>
      <c r="O1017" s="82"/>
      <c r="P1017" s="51"/>
      <c r="Q1017" s="338"/>
      <c r="R1017" s="51"/>
      <c r="S1017" s="51"/>
      <c r="T1017" s="338"/>
      <c r="U1017" s="51"/>
      <c r="V1017" s="35"/>
      <c r="W1017" s="364">
        <f t="shared" si="217"/>
        <v>241059.01</v>
      </c>
      <c r="X1017" s="285">
        <v>73360.39</v>
      </c>
      <c r="Y1017" s="285">
        <v>91265.33</v>
      </c>
      <c r="Z1017" s="505">
        <v>76433.289999999994</v>
      </c>
      <c r="AA1017" s="505"/>
      <c r="AB1017" s="285"/>
      <c r="AC1017" s="9"/>
      <c r="AD1017" s="306"/>
      <c r="AE1017" s="302"/>
      <c r="AF1017" s="302"/>
      <c r="AG1017" s="56"/>
    </row>
    <row r="1018" spans="1:33" x14ac:dyDescent="0.3">
      <c r="A1018" s="47">
        <f t="shared" si="218"/>
        <v>926</v>
      </c>
      <c r="B1018" s="414" t="s">
        <v>1180</v>
      </c>
      <c r="C1018" s="51">
        <f t="shared" si="215"/>
        <v>73360.39</v>
      </c>
      <c r="D1018" s="51">
        <f t="shared" si="216"/>
        <v>0</v>
      </c>
      <c r="E1018" s="51"/>
      <c r="F1018" s="51"/>
      <c r="G1018" s="51"/>
      <c r="H1018" s="51"/>
      <c r="I1018" s="51"/>
      <c r="J1018" s="51"/>
      <c r="K1018" s="51"/>
      <c r="L1018" s="51"/>
      <c r="M1018" s="35"/>
      <c r="N1018" s="51"/>
      <c r="O1018" s="82"/>
      <c r="P1018" s="51"/>
      <c r="Q1018" s="338"/>
      <c r="R1018" s="51"/>
      <c r="S1018" s="51"/>
      <c r="T1018" s="338"/>
      <c r="U1018" s="51"/>
      <c r="V1018" s="35"/>
      <c r="W1018" s="364">
        <f t="shared" si="217"/>
        <v>73360.39</v>
      </c>
      <c r="X1018" s="285">
        <v>73360.39</v>
      </c>
      <c r="Y1018" s="285"/>
      <c r="Z1018" s="285"/>
      <c r="AA1018" s="285"/>
      <c r="AB1018" s="285"/>
      <c r="AC1018" s="9"/>
      <c r="AD1018" s="306"/>
      <c r="AE1018" s="302"/>
      <c r="AF1018" s="302"/>
      <c r="AG1018" s="56"/>
    </row>
    <row r="1019" spans="1:33" x14ac:dyDescent="0.3">
      <c r="A1019" s="47">
        <f t="shared" si="218"/>
        <v>927</v>
      </c>
      <c r="B1019" s="414" t="s">
        <v>1181</v>
      </c>
      <c r="C1019" s="51">
        <f t="shared" si="215"/>
        <v>414222.46</v>
      </c>
      <c r="D1019" s="51">
        <f t="shared" si="216"/>
        <v>0</v>
      </c>
      <c r="E1019" s="51"/>
      <c r="F1019" s="51"/>
      <c r="G1019" s="51"/>
      <c r="H1019" s="51"/>
      <c r="I1019" s="51"/>
      <c r="J1019" s="51"/>
      <c r="K1019" s="51"/>
      <c r="L1019" s="51"/>
      <c r="M1019" s="35"/>
      <c r="N1019" s="51"/>
      <c r="O1019" s="82"/>
      <c r="P1019" s="51"/>
      <c r="Q1019" s="338"/>
      <c r="R1019" s="51"/>
      <c r="S1019" s="51"/>
      <c r="T1019" s="338"/>
      <c r="U1019" s="51"/>
      <c r="V1019" s="35"/>
      <c r="W1019" s="364">
        <f t="shared" si="217"/>
        <v>414222.46</v>
      </c>
      <c r="X1019" s="285"/>
      <c r="Y1019" s="285"/>
      <c r="Z1019" s="285"/>
      <c r="AA1019" s="285"/>
      <c r="AB1019" s="285"/>
      <c r="AC1019" s="9"/>
      <c r="AD1019" s="306">
        <v>414222.46</v>
      </c>
      <c r="AE1019" s="302"/>
      <c r="AF1019" s="302"/>
      <c r="AG1019" s="56"/>
    </row>
    <row r="1020" spans="1:33" x14ac:dyDescent="0.3">
      <c r="A1020" s="47">
        <f t="shared" si="218"/>
        <v>928</v>
      </c>
      <c r="B1020" s="414" t="s">
        <v>1182</v>
      </c>
      <c r="C1020" s="51">
        <f t="shared" si="215"/>
        <v>255306.72</v>
      </c>
      <c r="D1020" s="51">
        <f t="shared" si="216"/>
        <v>0</v>
      </c>
      <c r="E1020" s="51"/>
      <c r="F1020" s="51"/>
      <c r="G1020" s="51"/>
      <c r="H1020" s="51"/>
      <c r="I1020" s="51"/>
      <c r="J1020" s="51"/>
      <c r="K1020" s="51"/>
      <c r="L1020" s="51"/>
      <c r="M1020" s="35"/>
      <c r="N1020" s="51"/>
      <c r="O1020" s="82"/>
      <c r="P1020" s="51"/>
      <c r="Q1020" s="338"/>
      <c r="R1020" s="51"/>
      <c r="S1020" s="51"/>
      <c r="T1020" s="338"/>
      <c r="U1020" s="51"/>
      <c r="V1020" s="35"/>
      <c r="W1020" s="364">
        <f t="shared" si="217"/>
        <v>255306.72</v>
      </c>
      <c r="X1020" s="285">
        <v>88863.35</v>
      </c>
      <c r="Y1020" s="285"/>
      <c r="Z1020" s="285"/>
      <c r="AA1020" s="285"/>
      <c r="AB1020" s="285"/>
      <c r="AC1020" s="9">
        <v>166443.37</v>
      </c>
      <c r="AD1020" s="306"/>
      <c r="AE1020" s="302"/>
      <c r="AF1020" s="302"/>
      <c r="AG1020" s="56"/>
    </row>
    <row r="1021" spans="1:33" x14ac:dyDescent="0.3">
      <c r="A1021" s="47">
        <f t="shared" si="218"/>
        <v>929</v>
      </c>
      <c r="B1021" s="414" t="s">
        <v>1183</v>
      </c>
      <c r="C1021" s="51">
        <f t="shared" si="215"/>
        <v>271162.04000000004</v>
      </c>
      <c r="D1021" s="51">
        <f t="shared" si="216"/>
        <v>0</v>
      </c>
      <c r="E1021" s="51"/>
      <c r="F1021" s="51"/>
      <c r="G1021" s="51"/>
      <c r="H1021" s="51"/>
      <c r="I1021" s="51"/>
      <c r="J1021" s="51"/>
      <c r="K1021" s="51"/>
      <c r="L1021" s="51"/>
      <c r="M1021" s="35"/>
      <c r="N1021" s="51"/>
      <c r="O1021" s="82"/>
      <c r="P1021" s="51"/>
      <c r="Q1021" s="338"/>
      <c r="R1021" s="51"/>
      <c r="S1021" s="51"/>
      <c r="T1021" s="338"/>
      <c r="U1021" s="51"/>
      <c r="V1021" s="35"/>
      <c r="W1021" s="364">
        <f t="shared" si="217"/>
        <v>271162.04000000004</v>
      </c>
      <c r="X1021" s="285">
        <v>95091.22</v>
      </c>
      <c r="Y1021" s="285"/>
      <c r="Z1021" s="285"/>
      <c r="AA1021" s="285"/>
      <c r="AB1021" s="285"/>
      <c r="AC1021" s="9">
        <v>176070.82</v>
      </c>
      <c r="AD1021" s="306"/>
      <c r="AE1021" s="302"/>
      <c r="AF1021" s="302"/>
      <c r="AG1021" s="56"/>
    </row>
    <row r="1022" spans="1:33" x14ac:dyDescent="0.3">
      <c r="A1022" s="47">
        <f t="shared" si="218"/>
        <v>930</v>
      </c>
      <c r="B1022" s="414" t="s">
        <v>1184</v>
      </c>
      <c r="C1022" s="51">
        <f t="shared" si="215"/>
        <v>123227.15</v>
      </c>
      <c r="D1022" s="51">
        <f t="shared" si="216"/>
        <v>0</v>
      </c>
      <c r="E1022" s="51"/>
      <c r="F1022" s="51"/>
      <c r="G1022" s="51"/>
      <c r="H1022" s="51"/>
      <c r="I1022" s="51"/>
      <c r="J1022" s="51"/>
      <c r="K1022" s="51"/>
      <c r="L1022" s="51"/>
      <c r="M1022" s="35"/>
      <c r="N1022" s="51"/>
      <c r="O1022" s="82"/>
      <c r="P1022" s="51"/>
      <c r="Q1022" s="338"/>
      <c r="R1022" s="51"/>
      <c r="S1022" s="51"/>
      <c r="T1022" s="338"/>
      <c r="U1022" s="51"/>
      <c r="V1022" s="35"/>
      <c r="W1022" s="364">
        <f t="shared" si="217"/>
        <v>123227.15</v>
      </c>
      <c r="X1022" s="285">
        <v>123227.15</v>
      </c>
      <c r="Y1022" s="285"/>
      <c r="Z1022" s="285"/>
      <c r="AA1022" s="285"/>
      <c r="AB1022" s="285"/>
      <c r="AC1022" s="9"/>
      <c r="AD1022" s="306"/>
      <c r="AE1022" s="302"/>
      <c r="AF1022" s="302"/>
      <c r="AG1022" s="56"/>
    </row>
    <row r="1023" spans="1:33" x14ac:dyDescent="0.3">
      <c r="A1023" s="47">
        <f t="shared" si="218"/>
        <v>931</v>
      </c>
      <c r="B1023" s="414" t="s">
        <v>1185</v>
      </c>
      <c r="C1023" s="51">
        <f t="shared" si="215"/>
        <v>241507.07</v>
      </c>
      <c r="D1023" s="51">
        <f t="shared" si="216"/>
        <v>0</v>
      </c>
      <c r="E1023" s="51"/>
      <c r="F1023" s="51"/>
      <c r="G1023" s="51"/>
      <c r="H1023" s="51"/>
      <c r="I1023" s="51"/>
      <c r="J1023" s="51"/>
      <c r="K1023" s="51"/>
      <c r="L1023" s="51"/>
      <c r="M1023" s="35"/>
      <c r="N1023" s="51"/>
      <c r="O1023" s="82"/>
      <c r="P1023" s="51"/>
      <c r="Q1023" s="338"/>
      <c r="R1023" s="51"/>
      <c r="S1023" s="51"/>
      <c r="T1023" s="338"/>
      <c r="U1023" s="51"/>
      <c r="V1023" s="35"/>
      <c r="W1023" s="364">
        <f t="shared" si="217"/>
        <v>241507.07</v>
      </c>
      <c r="X1023" s="285"/>
      <c r="Y1023" s="285"/>
      <c r="Z1023" s="285"/>
      <c r="AA1023" s="285"/>
      <c r="AB1023" s="285"/>
      <c r="AC1023" s="9"/>
      <c r="AD1023" s="306">
        <v>241507.07</v>
      </c>
      <c r="AE1023" s="302"/>
      <c r="AF1023" s="302"/>
      <c r="AG1023" s="56"/>
    </row>
    <row r="1024" spans="1:33" x14ac:dyDescent="0.3">
      <c r="A1024" s="47">
        <f t="shared" si="218"/>
        <v>932</v>
      </c>
      <c r="B1024" s="414" t="s">
        <v>1186</v>
      </c>
      <c r="C1024" s="51">
        <f t="shared" si="215"/>
        <v>922018.95</v>
      </c>
      <c r="D1024" s="51">
        <f t="shared" si="216"/>
        <v>0</v>
      </c>
      <c r="E1024" s="51"/>
      <c r="F1024" s="51"/>
      <c r="G1024" s="51"/>
      <c r="H1024" s="51"/>
      <c r="I1024" s="51"/>
      <c r="J1024" s="51"/>
      <c r="K1024" s="51"/>
      <c r="L1024" s="51"/>
      <c r="M1024" s="35"/>
      <c r="N1024" s="51"/>
      <c r="O1024" s="82"/>
      <c r="P1024" s="51"/>
      <c r="Q1024" s="338"/>
      <c r="R1024" s="51"/>
      <c r="S1024" s="51"/>
      <c r="T1024" s="338"/>
      <c r="U1024" s="51"/>
      <c r="V1024" s="35"/>
      <c r="W1024" s="364">
        <f t="shared" si="217"/>
        <v>922018.95</v>
      </c>
      <c r="X1024" s="285">
        <v>229835.58</v>
      </c>
      <c r="Y1024" s="285"/>
      <c r="Z1024" s="285"/>
      <c r="AA1024" s="285"/>
      <c r="AB1024" s="285"/>
      <c r="AC1024" s="9">
        <v>412252.13</v>
      </c>
      <c r="AD1024" s="306">
        <v>279931.24</v>
      </c>
      <c r="AE1024" s="302"/>
      <c r="AF1024" s="302"/>
      <c r="AG1024" s="56"/>
    </row>
    <row r="1025" spans="1:33" x14ac:dyDescent="0.3">
      <c r="A1025" s="47">
        <f t="shared" si="218"/>
        <v>933</v>
      </c>
      <c r="B1025" s="414" t="s">
        <v>1187</v>
      </c>
      <c r="C1025" s="51">
        <f t="shared" si="215"/>
        <v>692928.14</v>
      </c>
      <c r="D1025" s="51">
        <f t="shared" si="216"/>
        <v>0</v>
      </c>
      <c r="E1025" s="51"/>
      <c r="F1025" s="51"/>
      <c r="G1025" s="51"/>
      <c r="H1025" s="51"/>
      <c r="I1025" s="51"/>
      <c r="J1025" s="51"/>
      <c r="K1025" s="51"/>
      <c r="L1025" s="51"/>
      <c r="M1025" s="35"/>
      <c r="N1025" s="51"/>
      <c r="O1025" s="82"/>
      <c r="P1025" s="51"/>
      <c r="Q1025" s="338"/>
      <c r="R1025" s="51"/>
      <c r="S1025" s="51"/>
      <c r="T1025" s="338"/>
      <c r="U1025" s="51"/>
      <c r="V1025" s="35"/>
      <c r="W1025" s="364">
        <f t="shared" si="217"/>
        <v>692928.14</v>
      </c>
      <c r="X1025" s="285"/>
      <c r="Y1025" s="285"/>
      <c r="Z1025" s="285"/>
      <c r="AA1025" s="285"/>
      <c r="AB1025" s="285"/>
      <c r="AC1025" s="9">
        <v>412698.58</v>
      </c>
      <c r="AD1025" s="306">
        <v>280229.56</v>
      </c>
      <c r="AE1025" s="302"/>
      <c r="AF1025" s="302"/>
      <c r="AG1025" s="56"/>
    </row>
    <row r="1026" spans="1:33" x14ac:dyDescent="0.3">
      <c r="A1026" s="47">
        <f t="shared" si="218"/>
        <v>934</v>
      </c>
      <c r="B1026" s="414" t="s">
        <v>1188</v>
      </c>
      <c r="C1026" s="51">
        <f t="shared" si="215"/>
        <v>278885.56</v>
      </c>
      <c r="D1026" s="51">
        <f t="shared" si="216"/>
        <v>0</v>
      </c>
      <c r="E1026" s="51"/>
      <c r="F1026" s="51"/>
      <c r="G1026" s="51"/>
      <c r="H1026" s="51"/>
      <c r="I1026" s="51"/>
      <c r="J1026" s="51"/>
      <c r="K1026" s="51"/>
      <c r="L1026" s="51"/>
      <c r="M1026" s="35"/>
      <c r="N1026" s="51"/>
      <c r="O1026" s="82"/>
      <c r="P1026" s="51"/>
      <c r="Q1026" s="338"/>
      <c r="R1026" s="51"/>
      <c r="S1026" s="51"/>
      <c r="T1026" s="338"/>
      <c r="U1026" s="51"/>
      <c r="V1026" s="35"/>
      <c r="W1026" s="364">
        <f t="shared" si="217"/>
        <v>278885.56</v>
      </c>
      <c r="X1026" s="285"/>
      <c r="Y1026" s="285"/>
      <c r="Z1026" s="285"/>
      <c r="AA1026" s="285"/>
      <c r="AB1026" s="285"/>
      <c r="AC1026" s="9"/>
      <c r="AD1026" s="306">
        <v>278885.56</v>
      </c>
      <c r="AE1026" s="302"/>
      <c r="AF1026" s="302"/>
      <c r="AG1026" s="56"/>
    </row>
    <row r="1027" spans="1:33" x14ac:dyDescent="0.3">
      <c r="A1027" s="47">
        <f t="shared" si="218"/>
        <v>935</v>
      </c>
      <c r="B1027" s="414" t="s">
        <v>1190</v>
      </c>
      <c r="C1027" s="51">
        <f t="shared" si="215"/>
        <v>351449.24</v>
      </c>
      <c r="D1027" s="51">
        <f t="shared" si="216"/>
        <v>0</v>
      </c>
      <c r="E1027" s="51"/>
      <c r="F1027" s="51"/>
      <c r="G1027" s="51"/>
      <c r="H1027" s="51"/>
      <c r="I1027" s="51"/>
      <c r="J1027" s="51"/>
      <c r="K1027" s="51"/>
      <c r="L1027" s="51"/>
      <c r="M1027" s="35"/>
      <c r="N1027" s="51"/>
      <c r="O1027" s="82"/>
      <c r="P1027" s="51"/>
      <c r="Q1027" s="338"/>
      <c r="R1027" s="51"/>
      <c r="S1027" s="51"/>
      <c r="T1027" s="338"/>
      <c r="U1027" s="51"/>
      <c r="V1027" s="35"/>
      <c r="W1027" s="364">
        <f t="shared" si="217"/>
        <v>351449.24</v>
      </c>
      <c r="X1027" s="285"/>
      <c r="Y1027" s="285"/>
      <c r="Z1027" s="285"/>
      <c r="AA1027" s="285"/>
      <c r="AB1027" s="285"/>
      <c r="AC1027" s="9">
        <v>351449.24</v>
      </c>
      <c r="AD1027" s="306"/>
      <c r="AE1027" s="302"/>
      <c r="AF1027" s="302"/>
      <c r="AG1027" s="56"/>
    </row>
    <row r="1028" spans="1:33" x14ac:dyDescent="0.3">
      <c r="A1028" s="47">
        <f t="shared" si="218"/>
        <v>936</v>
      </c>
      <c r="B1028" s="414" t="s">
        <v>1191</v>
      </c>
      <c r="C1028" s="51">
        <f t="shared" si="215"/>
        <v>433956.4</v>
      </c>
      <c r="D1028" s="51">
        <f t="shared" si="216"/>
        <v>0</v>
      </c>
      <c r="E1028" s="51"/>
      <c r="F1028" s="51"/>
      <c r="G1028" s="51"/>
      <c r="H1028" s="51"/>
      <c r="I1028" s="51"/>
      <c r="J1028" s="51"/>
      <c r="K1028" s="51"/>
      <c r="L1028" s="51"/>
      <c r="M1028" s="35"/>
      <c r="N1028" s="51"/>
      <c r="O1028" s="82"/>
      <c r="P1028" s="51"/>
      <c r="Q1028" s="338"/>
      <c r="R1028" s="51"/>
      <c r="S1028" s="51"/>
      <c r="T1028" s="338"/>
      <c r="U1028" s="51"/>
      <c r="V1028" s="35"/>
      <c r="W1028" s="364">
        <f t="shared" si="217"/>
        <v>433956.4</v>
      </c>
      <c r="X1028" s="285"/>
      <c r="Y1028" s="285"/>
      <c r="Z1028" s="285"/>
      <c r="AA1028" s="285"/>
      <c r="AB1028" s="285"/>
      <c r="AC1028" s="9">
        <v>433956.4</v>
      </c>
      <c r="AD1028" s="306"/>
      <c r="AE1028" s="302"/>
      <c r="AF1028" s="302"/>
      <c r="AG1028" s="56"/>
    </row>
    <row r="1029" spans="1:33" x14ac:dyDescent="0.3">
      <c r="A1029" s="47">
        <f t="shared" si="218"/>
        <v>937</v>
      </c>
      <c r="B1029" s="417" t="s">
        <v>3832</v>
      </c>
      <c r="C1029" s="51">
        <f t="shared" si="215"/>
        <v>130000</v>
      </c>
      <c r="D1029" s="51"/>
      <c r="E1029" s="51"/>
      <c r="F1029" s="51"/>
      <c r="G1029" s="51"/>
      <c r="H1029" s="51"/>
      <c r="I1029" s="51"/>
      <c r="J1029" s="51"/>
      <c r="K1029" s="51"/>
      <c r="L1029" s="51"/>
      <c r="M1029" s="35"/>
      <c r="N1029" s="51"/>
      <c r="O1029" s="82"/>
      <c r="P1029" s="51"/>
      <c r="Q1029" s="338"/>
      <c r="R1029" s="51"/>
      <c r="S1029" s="51"/>
      <c r="T1029" s="338"/>
      <c r="U1029" s="51"/>
      <c r="V1029" s="35"/>
      <c r="W1029" s="364">
        <v>130000</v>
      </c>
      <c r="X1029" s="285"/>
      <c r="Y1029" s="285"/>
      <c r="Z1029" s="285"/>
      <c r="AA1029" s="285"/>
      <c r="AB1029" s="285"/>
      <c r="AC1029" s="9"/>
      <c r="AD1029" s="306"/>
      <c r="AE1029" s="302"/>
      <c r="AF1029" s="302"/>
      <c r="AG1029" s="56"/>
    </row>
    <row r="1030" spans="1:33" x14ac:dyDescent="0.3">
      <c r="A1030" s="47">
        <f t="shared" si="218"/>
        <v>938</v>
      </c>
      <c r="B1030" s="414" t="s">
        <v>1192</v>
      </c>
      <c r="C1030" s="51">
        <f t="shared" ref="C1030:C1061" si="219">D1030+K1030+L1030+N1030+P1030+R1030+S1030+U1030+W1030</f>
        <v>517199.99</v>
      </c>
      <c r="D1030" s="51">
        <f t="shared" ref="D1030:D1061" si="220">E1030+F1030+G1030+H1030+I1030</f>
        <v>0</v>
      </c>
      <c r="E1030" s="51"/>
      <c r="F1030" s="51"/>
      <c r="G1030" s="51"/>
      <c r="H1030" s="51"/>
      <c r="I1030" s="51"/>
      <c r="J1030" s="51"/>
      <c r="K1030" s="51"/>
      <c r="L1030" s="51"/>
      <c r="M1030" s="35"/>
      <c r="N1030" s="51"/>
      <c r="O1030" s="82"/>
      <c r="P1030" s="51"/>
      <c r="Q1030" s="338"/>
      <c r="R1030" s="51"/>
      <c r="S1030" s="51"/>
      <c r="T1030" s="338"/>
      <c r="U1030" s="51"/>
      <c r="V1030" s="35"/>
      <c r="W1030" s="364">
        <f t="shared" ref="W1030:W1061" si="221">SUM(X1030:AH1030)</f>
        <v>517199.99</v>
      </c>
      <c r="X1030" s="285"/>
      <c r="Y1030" s="285"/>
      <c r="Z1030" s="285"/>
      <c r="AA1030" s="285"/>
      <c r="AB1030" s="285"/>
      <c r="AC1030" s="9"/>
      <c r="AD1030" s="306"/>
      <c r="AE1030" s="302">
        <v>517199.99</v>
      </c>
      <c r="AF1030" s="302"/>
      <c r="AG1030" s="56"/>
    </row>
    <row r="1031" spans="1:33" x14ac:dyDescent="0.3">
      <c r="A1031" s="47">
        <f t="shared" si="218"/>
        <v>939</v>
      </c>
      <c r="B1031" s="414" t="s">
        <v>1193</v>
      </c>
      <c r="C1031" s="51">
        <f t="shared" si="219"/>
        <v>499832.54</v>
      </c>
      <c r="D1031" s="51">
        <f t="shared" si="220"/>
        <v>0</v>
      </c>
      <c r="E1031" s="51"/>
      <c r="F1031" s="51"/>
      <c r="G1031" s="51"/>
      <c r="H1031" s="51"/>
      <c r="I1031" s="51"/>
      <c r="J1031" s="51"/>
      <c r="K1031" s="51"/>
      <c r="L1031" s="51"/>
      <c r="M1031" s="35"/>
      <c r="N1031" s="51"/>
      <c r="O1031" s="82"/>
      <c r="P1031" s="51"/>
      <c r="Q1031" s="338"/>
      <c r="R1031" s="51"/>
      <c r="S1031" s="51"/>
      <c r="T1031" s="338"/>
      <c r="U1031" s="51"/>
      <c r="V1031" s="35"/>
      <c r="W1031" s="364">
        <f t="shared" si="221"/>
        <v>499832.54</v>
      </c>
      <c r="X1031" s="285"/>
      <c r="Y1031" s="285"/>
      <c r="Z1031" s="285"/>
      <c r="AA1031" s="285"/>
      <c r="AB1031" s="285"/>
      <c r="AC1031" s="9"/>
      <c r="AD1031" s="306"/>
      <c r="AE1031" s="302">
        <v>499832.54</v>
      </c>
      <c r="AF1031" s="302"/>
      <c r="AG1031" s="56"/>
    </row>
    <row r="1032" spans="1:33" x14ac:dyDescent="0.3">
      <c r="A1032" s="47">
        <f t="shared" si="218"/>
        <v>940</v>
      </c>
      <c r="B1032" s="414" t="s">
        <v>1194</v>
      </c>
      <c r="C1032" s="51">
        <f t="shared" si="219"/>
        <v>500811.24</v>
      </c>
      <c r="D1032" s="51">
        <f t="shared" si="220"/>
        <v>0</v>
      </c>
      <c r="E1032" s="51"/>
      <c r="F1032" s="51"/>
      <c r="G1032" s="51"/>
      <c r="H1032" s="51"/>
      <c r="I1032" s="51"/>
      <c r="J1032" s="51"/>
      <c r="K1032" s="51"/>
      <c r="L1032" s="51"/>
      <c r="M1032" s="35"/>
      <c r="N1032" s="51"/>
      <c r="O1032" s="82"/>
      <c r="P1032" s="51"/>
      <c r="Q1032" s="338"/>
      <c r="R1032" s="51"/>
      <c r="S1032" s="51"/>
      <c r="T1032" s="338"/>
      <c r="U1032" s="51"/>
      <c r="V1032" s="35"/>
      <c r="W1032" s="364">
        <f t="shared" si="221"/>
        <v>500811.24</v>
      </c>
      <c r="X1032" s="285"/>
      <c r="Y1032" s="285"/>
      <c r="Z1032" s="285"/>
      <c r="AA1032" s="285"/>
      <c r="AB1032" s="285"/>
      <c r="AC1032" s="9"/>
      <c r="AD1032" s="306"/>
      <c r="AE1032" s="302">
        <v>500811.24</v>
      </c>
      <c r="AF1032" s="302"/>
      <c r="AG1032" s="56"/>
    </row>
    <row r="1033" spans="1:33" x14ac:dyDescent="0.3">
      <c r="A1033" s="47">
        <f t="shared" si="218"/>
        <v>941</v>
      </c>
      <c r="B1033" s="414" t="s">
        <v>1195</v>
      </c>
      <c r="C1033" s="51">
        <f t="shared" si="219"/>
        <v>567436.96</v>
      </c>
      <c r="D1033" s="51">
        <f t="shared" si="220"/>
        <v>0</v>
      </c>
      <c r="E1033" s="51"/>
      <c r="F1033" s="51"/>
      <c r="G1033" s="51"/>
      <c r="H1033" s="51"/>
      <c r="I1033" s="51"/>
      <c r="J1033" s="51"/>
      <c r="K1033" s="51"/>
      <c r="L1033" s="51"/>
      <c r="M1033" s="35"/>
      <c r="N1033" s="51"/>
      <c r="O1033" s="82"/>
      <c r="P1033" s="51"/>
      <c r="Q1033" s="338"/>
      <c r="R1033" s="51"/>
      <c r="S1033" s="51"/>
      <c r="T1033" s="338"/>
      <c r="U1033" s="51"/>
      <c r="V1033" s="35"/>
      <c r="W1033" s="364">
        <f t="shared" si="221"/>
        <v>567436.96</v>
      </c>
      <c r="X1033" s="285"/>
      <c r="Y1033" s="285"/>
      <c r="Z1033" s="285"/>
      <c r="AA1033" s="285"/>
      <c r="AB1033" s="285"/>
      <c r="AC1033" s="9"/>
      <c r="AD1033" s="306"/>
      <c r="AE1033" s="302">
        <v>567436.96</v>
      </c>
      <c r="AF1033" s="302"/>
      <c r="AG1033" s="56"/>
    </row>
    <row r="1034" spans="1:33" x14ac:dyDescent="0.3">
      <c r="A1034" s="47">
        <f t="shared" si="218"/>
        <v>942</v>
      </c>
      <c r="B1034" s="414" t="s">
        <v>1196</v>
      </c>
      <c r="C1034" s="51">
        <f t="shared" si="219"/>
        <v>491384.11</v>
      </c>
      <c r="D1034" s="51">
        <f t="shared" si="220"/>
        <v>0</v>
      </c>
      <c r="E1034" s="51"/>
      <c r="F1034" s="51"/>
      <c r="G1034" s="51"/>
      <c r="H1034" s="51"/>
      <c r="I1034" s="51"/>
      <c r="J1034" s="51"/>
      <c r="K1034" s="51"/>
      <c r="L1034" s="51"/>
      <c r="M1034" s="35"/>
      <c r="N1034" s="51"/>
      <c r="O1034" s="82"/>
      <c r="P1034" s="51"/>
      <c r="Q1034" s="338"/>
      <c r="R1034" s="51"/>
      <c r="S1034" s="51"/>
      <c r="T1034" s="338"/>
      <c r="U1034" s="51"/>
      <c r="V1034" s="35"/>
      <c r="W1034" s="364">
        <f t="shared" si="221"/>
        <v>491384.11</v>
      </c>
      <c r="X1034" s="285"/>
      <c r="Y1034" s="285"/>
      <c r="Z1034" s="285"/>
      <c r="AA1034" s="285"/>
      <c r="AB1034" s="285"/>
      <c r="AC1034" s="9"/>
      <c r="AD1034" s="306"/>
      <c r="AE1034" s="302">
        <v>491384.11</v>
      </c>
      <c r="AF1034" s="302"/>
      <c r="AG1034" s="56"/>
    </row>
    <row r="1035" spans="1:33" x14ac:dyDescent="0.3">
      <c r="A1035" s="47">
        <f t="shared" si="218"/>
        <v>943</v>
      </c>
      <c r="B1035" s="414" t="s">
        <v>1197</v>
      </c>
      <c r="C1035" s="51">
        <f t="shared" si="219"/>
        <v>505841.22</v>
      </c>
      <c r="D1035" s="51">
        <f t="shared" si="220"/>
        <v>0</v>
      </c>
      <c r="E1035" s="51"/>
      <c r="F1035" s="51"/>
      <c r="G1035" s="51"/>
      <c r="H1035" s="51"/>
      <c r="I1035" s="51"/>
      <c r="J1035" s="51"/>
      <c r="K1035" s="51"/>
      <c r="L1035" s="51"/>
      <c r="M1035" s="35"/>
      <c r="N1035" s="51"/>
      <c r="O1035" s="82"/>
      <c r="P1035" s="51"/>
      <c r="Q1035" s="338"/>
      <c r="R1035" s="51"/>
      <c r="S1035" s="51"/>
      <c r="T1035" s="338"/>
      <c r="U1035" s="51"/>
      <c r="V1035" s="35"/>
      <c r="W1035" s="364">
        <f t="shared" si="221"/>
        <v>505841.22</v>
      </c>
      <c r="X1035" s="285"/>
      <c r="Y1035" s="285"/>
      <c r="Z1035" s="285"/>
      <c r="AA1035" s="285"/>
      <c r="AB1035" s="285"/>
      <c r="AC1035" s="9"/>
      <c r="AD1035" s="306"/>
      <c r="AE1035" s="302">
        <v>505841.22</v>
      </c>
      <c r="AF1035" s="302"/>
      <c r="AG1035" s="56"/>
    </row>
    <row r="1036" spans="1:33" x14ac:dyDescent="0.3">
      <c r="A1036" s="47">
        <f t="shared" si="218"/>
        <v>944</v>
      </c>
      <c r="B1036" s="414" t="s">
        <v>1198</v>
      </c>
      <c r="C1036" s="51">
        <f t="shared" si="219"/>
        <v>548949.77</v>
      </c>
      <c r="D1036" s="51">
        <f t="shared" si="220"/>
        <v>0</v>
      </c>
      <c r="E1036" s="51"/>
      <c r="F1036" s="51"/>
      <c r="G1036" s="51"/>
      <c r="H1036" s="51"/>
      <c r="I1036" s="51"/>
      <c r="J1036" s="51"/>
      <c r="K1036" s="51"/>
      <c r="L1036" s="51"/>
      <c r="M1036" s="35"/>
      <c r="N1036" s="51"/>
      <c r="O1036" s="82"/>
      <c r="P1036" s="51"/>
      <c r="Q1036" s="338"/>
      <c r="R1036" s="51"/>
      <c r="S1036" s="51"/>
      <c r="T1036" s="338"/>
      <c r="U1036" s="51"/>
      <c r="V1036" s="35"/>
      <c r="W1036" s="364">
        <f t="shared" si="221"/>
        <v>548949.77</v>
      </c>
      <c r="X1036" s="285"/>
      <c r="Y1036" s="285"/>
      <c r="Z1036" s="285"/>
      <c r="AA1036" s="285"/>
      <c r="AB1036" s="285"/>
      <c r="AC1036" s="9"/>
      <c r="AD1036" s="306"/>
      <c r="AE1036" s="302">
        <v>548949.77</v>
      </c>
      <c r="AF1036" s="302"/>
      <c r="AG1036" s="56"/>
    </row>
    <row r="1037" spans="1:33" x14ac:dyDescent="0.3">
      <c r="A1037" s="47">
        <f t="shared" si="218"/>
        <v>945</v>
      </c>
      <c r="B1037" s="414" t="s">
        <v>1199</v>
      </c>
      <c r="C1037" s="51">
        <f t="shared" si="219"/>
        <v>557918.39</v>
      </c>
      <c r="D1037" s="51">
        <f t="shared" si="220"/>
        <v>0</v>
      </c>
      <c r="E1037" s="51"/>
      <c r="F1037" s="51"/>
      <c r="G1037" s="51"/>
      <c r="H1037" s="51"/>
      <c r="I1037" s="51"/>
      <c r="J1037" s="51"/>
      <c r="K1037" s="51"/>
      <c r="L1037" s="51"/>
      <c r="M1037" s="35"/>
      <c r="N1037" s="51"/>
      <c r="O1037" s="82"/>
      <c r="P1037" s="51"/>
      <c r="Q1037" s="338"/>
      <c r="R1037" s="51"/>
      <c r="S1037" s="51"/>
      <c r="T1037" s="338"/>
      <c r="U1037" s="51"/>
      <c r="V1037" s="35"/>
      <c r="W1037" s="364">
        <f t="shared" si="221"/>
        <v>557918.39</v>
      </c>
      <c r="X1037" s="285"/>
      <c r="Y1037" s="285"/>
      <c r="Z1037" s="285"/>
      <c r="AA1037" s="285"/>
      <c r="AB1037" s="285"/>
      <c r="AC1037" s="9"/>
      <c r="AD1037" s="306"/>
      <c r="AE1037" s="302">
        <v>557918.39</v>
      </c>
      <c r="AF1037" s="302"/>
      <c r="AG1037" s="56"/>
    </row>
    <row r="1038" spans="1:33" x14ac:dyDescent="0.3">
      <c r="A1038" s="47">
        <f t="shared" si="218"/>
        <v>946</v>
      </c>
      <c r="B1038" s="414" t="s">
        <v>1200</v>
      </c>
      <c r="C1038" s="51">
        <f t="shared" si="219"/>
        <v>773379.29</v>
      </c>
      <c r="D1038" s="51">
        <f t="shared" si="220"/>
        <v>0</v>
      </c>
      <c r="E1038" s="51"/>
      <c r="F1038" s="51"/>
      <c r="G1038" s="51"/>
      <c r="H1038" s="51"/>
      <c r="I1038" s="51"/>
      <c r="J1038" s="51"/>
      <c r="K1038" s="51"/>
      <c r="L1038" s="51"/>
      <c r="M1038" s="35"/>
      <c r="N1038" s="51"/>
      <c r="O1038" s="82"/>
      <c r="P1038" s="51"/>
      <c r="Q1038" s="338"/>
      <c r="R1038" s="51"/>
      <c r="S1038" s="51"/>
      <c r="T1038" s="338"/>
      <c r="U1038" s="51"/>
      <c r="V1038" s="35"/>
      <c r="W1038" s="364">
        <f t="shared" si="221"/>
        <v>773379.29</v>
      </c>
      <c r="X1038" s="285"/>
      <c r="Y1038" s="285"/>
      <c r="Z1038" s="285"/>
      <c r="AA1038" s="285"/>
      <c r="AB1038" s="285"/>
      <c r="AC1038" s="9">
        <v>210988.63</v>
      </c>
      <c r="AD1038" s="306"/>
      <c r="AE1038" s="302">
        <v>562390.66</v>
      </c>
      <c r="AF1038" s="302"/>
      <c r="AG1038" s="56"/>
    </row>
    <row r="1039" spans="1:33" x14ac:dyDescent="0.3">
      <c r="A1039" s="47">
        <f t="shared" si="218"/>
        <v>947</v>
      </c>
      <c r="B1039" s="414" t="s">
        <v>1201</v>
      </c>
      <c r="C1039" s="51">
        <f t="shared" si="219"/>
        <v>784666.04999999993</v>
      </c>
      <c r="D1039" s="51">
        <f t="shared" si="220"/>
        <v>0</v>
      </c>
      <c r="E1039" s="51"/>
      <c r="F1039" s="51"/>
      <c r="G1039" s="51"/>
      <c r="H1039" s="51"/>
      <c r="I1039" s="51"/>
      <c r="J1039" s="51"/>
      <c r="K1039" s="51"/>
      <c r="L1039" s="51"/>
      <c r="M1039" s="35"/>
      <c r="N1039" s="51"/>
      <c r="O1039" s="82"/>
      <c r="P1039" s="51"/>
      <c r="Q1039" s="338"/>
      <c r="R1039" s="51"/>
      <c r="S1039" s="51"/>
      <c r="T1039" s="338"/>
      <c r="U1039" s="51"/>
      <c r="V1039" s="35"/>
      <c r="W1039" s="364">
        <f t="shared" si="221"/>
        <v>784666.04999999993</v>
      </c>
      <c r="X1039" s="285"/>
      <c r="Y1039" s="285"/>
      <c r="Z1039" s="285"/>
      <c r="AA1039" s="285"/>
      <c r="AB1039" s="285"/>
      <c r="AC1039" s="9">
        <v>214143.97</v>
      </c>
      <c r="AD1039" s="306"/>
      <c r="AE1039" s="302">
        <v>570522.07999999996</v>
      </c>
      <c r="AF1039" s="302"/>
      <c r="AG1039" s="56"/>
    </row>
    <row r="1040" spans="1:33" x14ac:dyDescent="0.3">
      <c r="A1040" s="47">
        <f t="shared" si="218"/>
        <v>948</v>
      </c>
      <c r="B1040" s="414" t="s">
        <v>1202</v>
      </c>
      <c r="C1040" s="51">
        <f t="shared" si="219"/>
        <v>819421.62</v>
      </c>
      <c r="D1040" s="51">
        <f t="shared" si="220"/>
        <v>0</v>
      </c>
      <c r="E1040" s="51"/>
      <c r="F1040" s="51"/>
      <c r="G1040" s="51"/>
      <c r="H1040" s="51"/>
      <c r="I1040" s="51"/>
      <c r="J1040" s="51"/>
      <c r="K1040" s="51"/>
      <c r="L1040" s="51"/>
      <c r="M1040" s="35"/>
      <c r="N1040" s="51"/>
      <c r="O1040" s="82"/>
      <c r="P1040" s="51"/>
      <c r="Q1040" s="338"/>
      <c r="R1040" s="51"/>
      <c r="S1040" s="51"/>
      <c r="T1040" s="338"/>
      <c r="U1040" s="51"/>
      <c r="V1040" s="35"/>
      <c r="W1040" s="364">
        <f t="shared" si="221"/>
        <v>819421.62</v>
      </c>
      <c r="X1040" s="285"/>
      <c r="Y1040" s="285"/>
      <c r="Z1040" s="285"/>
      <c r="AA1040" s="285"/>
      <c r="AB1040" s="285"/>
      <c r="AC1040" s="9">
        <v>196638.54</v>
      </c>
      <c r="AD1040" s="306"/>
      <c r="AE1040" s="302">
        <v>622783.07999999996</v>
      </c>
      <c r="AF1040" s="302"/>
      <c r="AG1040" s="56"/>
    </row>
    <row r="1041" spans="1:33" x14ac:dyDescent="0.3">
      <c r="A1041" s="47">
        <f t="shared" si="218"/>
        <v>949</v>
      </c>
      <c r="B1041" s="414" t="s">
        <v>1203</v>
      </c>
      <c r="C1041" s="51">
        <f t="shared" si="219"/>
        <v>1066455.5899999999</v>
      </c>
      <c r="D1041" s="51">
        <f t="shared" si="220"/>
        <v>0</v>
      </c>
      <c r="E1041" s="51"/>
      <c r="F1041" s="51"/>
      <c r="G1041" s="51"/>
      <c r="H1041" s="51"/>
      <c r="I1041" s="51"/>
      <c r="J1041" s="51"/>
      <c r="K1041" s="51"/>
      <c r="L1041" s="51"/>
      <c r="M1041" s="35"/>
      <c r="N1041" s="51"/>
      <c r="O1041" s="82"/>
      <c r="P1041" s="51"/>
      <c r="Q1041" s="338"/>
      <c r="R1041" s="51"/>
      <c r="S1041" s="51"/>
      <c r="T1041" s="338"/>
      <c r="U1041" s="51"/>
      <c r="V1041" s="35"/>
      <c r="W1041" s="364">
        <f t="shared" si="221"/>
        <v>1066455.5899999999</v>
      </c>
      <c r="X1041" s="285"/>
      <c r="Y1041" s="285"/>
      <c r="Z1041" s="285"/>
      <c r="AA1041" s="285"/>
      <c r="AB1041" s="285"/>
      <c r="AC1041" s="9">
        <v>239060.57</v>
      </c>
      <c r="AD1041" s="306">
        <v>85353.65</v>
      </c>
      <c r="AE1041" s="302">
        <v>742041.37</v>
      </c>
      <c r="AF1041" s="302"/>
      <c r="AG1041" s="56"/>
    </row>
    <row r="1042" spans="1:33" x14ac:dyDescent="0.3">
      <c r="A1042" s="47">
        <f t="shared" si="218"/>
        <v>950</v>
      </c>
      <c r="B1042" s="414" t="s">
        <v>1204</v>
      </c>
      <c r="C1042" s="51">
        <f t="shared" si="219"/>
        <v>510078.64</v>
      </c>
      <c r="D1042" s="51">
        <f t="shared" si="220"/>
        <v>0</v>
      </c>
      <c r="E1042" s="51"/>
      <c r="F1042" s="51"/>
      <c r="G1042" s="51"/>
      <c r="H1042" s="51"/>
      <c r="I1042" s="51"/>
      <c r="J1042" s="51"/>
      <c r="K1042" s="51"/>
      <c r="L1042" s="51"/>
      <c r="M1042" s="35"/>
      <c r="N1042" s="51"/>
      <c r="O1042" s="82"/>
      <c r="P1042" s="51"/>
      <c r="Q1042" s="338"/>
      <c r="R1042" s="51"/>
      <c r="S1042" s="51"/>
      <c r="T1042" s="338"/>
      <c r="U1042" s="51"/>
      <c r="V1042" s="35"/>
      <c r="W1042" s="364">
        <f t="shared" si="221"/>
        <v>510078.64</v>
      </c>
      <c r="X1042" s="285"/>
      <c r="Y1042" s="285"/>
      <c r="Z1042" s="285"/>
      <c r="AA1042" s="285"/>
      <c r="AB1042" s="285"/>
      <c r="AC1042" s="9"/>
      <c r="AD1042" s="306"/>
      <c r="AE1042" s="302">
        <v>510078.64</v>
      </c>
      <c r="AF1042" s="302"/>
      <c r="AG1042" s="56"/>
    </row>
    <row r="1043" spans="1:33" x14ac:dyDescent="0.3">
      <c r="A1043" s="47">
        <f t="shared" si="218"/>
        <v>951</v>
      </c>
      <c r="B1043" s="414" t="s">
        <v>1205</v>
      </c>
      <c r="C1043" s="51">
        <f t="shared" si="219"/>
        <v>519023.17</v>
      </c>
      <c r="D1043" s="51">
        <f t="shared" si="220"/>
        <v>0</v>
      </c>
      <c r="E1043" s="51"/>
      <c r="F1043" s="51"/>
      <c r="G1043" s="51"/>
      <c r="H1043" s="51"/>
      <c r="I1043" s="51"/>
      <c r="J1043" s="51"/>
      <c r="K1043" s="51"/>
      <c r="L1043" s="51"/>
      <c r="M1043" s="35"/>
      <c r="N1043" s="51"/>
      <c r="O1043" s="82"/>
      <c r="P1043" s="51"/>
      <c r="Q1043" s="338"/>
      <c r="R1043" s="51"/>
      <c r="S1043" s="51"/>
      <c r="T1043" s="338"/>
      <c r="U1043" s="51"/>
      <c r="V1043" s="35"/>
      <c r="W1043" s="364">
        <f t="shared" si="221"/>
        <v>519023.17</v>
      </c>
      <c r="X1043" s="285"/>
      <c r="Y1043" s="285"/>
      <c r="Z1043" s="285"/>
      <c r="AA1043" s="285"/>
      <c r="AB1043" s="285"/>
      <c r="AC1043" s="9"/>
      <c r="AD1043" s="306"/>
      <c r="AE1043" s="302">
        <v>519023.17</v>
      </c>
      <c r="AF1043" s="302"/>
      <c r="AG1043" s="56"/>
    </row>
    <row r="1044" spans="1:33" x14ac:dyDescent="0.3">
      <c r="A1044" s="47">
        <f t="shared" si="218"/>
        <v>952</v>
      </c>
      <c r="B1044" s="414" t="s">
        <v>1206</v>
      </c>
      <c r="C1044" s="51">
        <f t="shared" si="219"/>
        <v>917047.75</v>
      </c>
      <c r="D1044" s="51">
        <f t="shared" si="220"/>
        <v>0</v>
      </c>
      <c r="E1044" s="51"/>
      <c r="F1044" s="51"/>
      <c r="G1044" s="51"/>
      <c r="H1044" s="51"/>
      <c r="I1044" s="51"/>
      <c r="J1044" s="51"/>
      <c r="K1044" s="51"/>
      <c r="L1044" s="51"/>
      <c r="M1044" s="35"/>
      <c r="N1044" s="51"/>
      <c r="O1044" s="82"/>
      <c r="P1044" s="51"/>
      <c r="Q1044" s="338"/>
      <c r="R1044" s="51"/>
      <c r="S1044" s="51"/>
      <c r="T1044" s="338"/>
      <c r="U1044" s="51"/>
      <c r="V1044" s="35"/>
      <c r="W1044" s="364">
        <f t="shared" si="221"/>
        <v>917047.75</v>
      </c>
      <c r="X1044" s="285"/>
      <c r="Y1044" s="285"/>
      <c r="Z1044" s="285"/>
      <c r="AA1044" s="285"/>
      <c r="AB1044" s="285"/>
      <c r="AC1044" s="9"/>
      <c r="AD1044" s="306">
        <v>353489.3</v>
      </c>
      <c r="AE1044" s="302">
        <v>563558.44999999995</v>
      </c>
      <c r="AF1044" s="302"/>
      <c r="AG1044" s="56"/>
    </row>
    <row r="1045" spans="1:33" x14ac:dyDescent="0.3">
      <c r="A1045" s="47">
        <f t="shared" si="218"/>
        <v>953</v>
      </c>
      <c r="B1045" s="414" t="s">
        <v>1207</v>
      </c>
      <c r="C1045" s="51">
        <f t="shared" si="219"/>
        <v>910639.79</v>
      </c>
      <c r="D1045" s="51">
        <f t="shared" si="220"/>
        <v>0</v>
      </c>
      <c r="E1045" s="51"/>
      <c r="F1045" s="51"/>
      <c r="G1045" s="51"/>
      <c r="H1045" s="51"/>
      <c r="I1045" s="51"/>
      <c r="J1045" s="51"/>
      <c r="K1045" s="51"/>
      <c r="L1045" s="51"/>
      <c r="M1045" s="35"/>
      <c r="N1045" s="51"/>
      <c r="O1045" s="82"/>
      <c r="P1045" s="51"/>
      <c r="Q1045" s="338"/>
      <c r="R1045" s="51"/>
      <c r="S1045" s="51"/>
      <c r="T1045" s="338"/>
      <c r="U1045" s="51"/>
      <c r="V1045" s="35"/>
      <c r="W1045" s="364">
        <f t="shared" si="221"/>
        <v>910639.79</v>
      </c>
      <c r="X1045" s="285"/>
      <c r="Y1045" s="285"/>
      <c r="Z1045" s="285"/>
      <c r="AA1045" s="285"/>
      <c r="AB1045" s="285"/>
      <c r="AC1045" s="9"/>
      <c r="AD1045" s="306">
        <v>359804.77</v>
      </c>
      <c r="AE1045" s="302">
        <v>550835.02</v>
      </c>
      <c r="AF1045" s="302"/>
      <c r="AG1045" s="56"/>
    </row>
    <row r="1046" spans="1:33" x14ac:dyDescent="0.3">
      <c r="A1046" s="47">
        <f t="shared" si="218"/>
        <v>954</v>
      </c>
      <c r="B1046" s="414" t="s">
        <v>1208</v>
      </c>
      <c r="C1046" s="51">
        <f t="shared" si="219"/>
        <v>705151.35</v>
      </c>
      <c r="D1046" s="51">
        <f t="shared" si="220"/>
        <v>0</v>
      </c>
      <c r="E1046" s="51"/>
      <c r="F1046" s="51"/>
      <c r="G1046" s="51"/>
      <c r="H1046" s="51"/>
      <c r="I1046" s="51"/>
      <c r="J1046" s="51"/>
      <c r="K1046" s="51"/>
      <c r="L1046" s="51"/>
      <c r="M1046" s="35"/>
      <c r="N1046" s="51"/>
      <c r="O1046" s="82"/>
      <c r="P1046" s="51"/>
      <c r="Q1046" s="338"/>
      <c r="R1046" s="51"/>
      <c r="S1046" s="51"/>
      <c r="T1046" s="338"/>
      <c r="U1046" s="51"/>
      <c r="V1046" s="35"/>
      <c r="W1046" s="364">
        <f t="shared" si="221"/>
        <v>705151.35</v>
      </c>
      <c r="X1046" s="285"/>
      <c r="Y1046" s="285"/>
      <c r="Z1046" s="285"/>
      <c r="AA1046" s="285"/>
      <c r="AB1046" s="285"/>
      <c r="AC1046" s="9"/>
      <c r="AD1046" s="306">
        <v>177164.9</v>
      </c>
      <c r="AE1046" s="302">
        <v>527986.44999999995</v>
      </c>
      <c r="AF1046" s="302"/>
      <c r="AG1046" s="56"/>
    </row>
    <row r="1047" spans="1:33" x14ac:dyDescent="0.3">
      <c r="A1047" s="47">
        <f t="shared" si="218"/>
        <v>955</v>
      </c>
      <c r="B1047" s="414" t="s">
        <v>1209</v>
      </c>
      <c r="C1047" s="51">
        <f t="shared" si="219"/>
        <v>713035.14</v>
      </c>
      <c r="D1047" s="51">
        <f t="shared" si="220"/>
        <v>0</v>
      </c>
      <c r="E1047" s="51"/>
      <c r="F1047" s="51"/>
      <c r="G1047" s="51"/>
      <c r="H1047" s="51"/>
      <c r="I1047" s="51"/>
      <c r="J1047" s="51"/>
      <c r="K1047" s="51"/>
      <c r="L1047" s="51"/>
      <c r="M1047" s="35"/>
      <c r="N1047" s="51"/>
      <c r="O1047" s="82"/>
      <c r="P1047" s="51"/>
      <c r="Q1047" s="338"/>
      <c r="R1047" s="51"/>
      <c r="S1047" s="51"/>
      <c r="T1047" s="338"/>
      <c r="U1047" s="51"/>
      <c r="V1047" s="35"/>
      <c r="W1047" s="364">
        <f t="shared" si="221"/>
        <v>713035.14</v>
      </c>
      <c r="X1047" s="285"/>
      <c r="Y1047" s="285"/>
      <c r="Z1047" s="285"/>
      <c r="AA1047" s="285"/>
      <c r="AB1047" s="285"/>
      <c r="AC1047" s="9"/>
      <c r="AD1047" s="306">
        <v>176422.03</v>
      </c>
      <c r="AE1047" s="302">
        <v>536613.11</v>
      </c>
      <c r="AF1047" s="302"/>
      <c r="AG1047" s="56"/>
    </row>
    <row r="1048" spans="1:33" x14ac:dyDescent="0.3">
      <c r="A1048" s="47">
        <f t="shared" si="218"/>
        <v>956</v>
      </c>
      <c r="B1048" s="414" t="s">
        <v>1210</v>
      </c>
      <c r="C1048" s="51">
        <f t="shared" si="219"/>
        <v>381644.64</v>
      </c>
      <c r="D1048" s="51">
        <f t="shared" si="220"/>
        <v>0</v>
      </c>
      <c r="E1048" s="51"/>
      <c r="F1048" s="51"/>
      <c r="G1048" s="51"/>
      <c r="H1048" s="51"/>
      <c r="I1048" s="51"/>
      <c r="J1048" s="51"/>
      <c r="K1048" s="51"/>
      <c r="L1048" s="51"/>
      <c r="M1048" s="35"/>
      <c r="N1048" s="51"/>
      <c r="O1048" s="82"/>
      <c r="P1048" s="51"/>
      <c r="Q1048" s="338"/>
      <c r="R1048" s="51"/>
      <c r="S1048" s="51"/>
      <c r="T1048" s="338"/>
      <c r="U1048" s="51"/>
      <c r="V1048" s="35"/>
      <c r="W1048" s="364">
        <f t="shared" si="221"/>
        <v>381644.64</v>
      </c>
      <c r="X1048" s="285"/>
      <c r="Y1048" s="285"/>
      <c r="Z1048" s="285"/>
      <c r="AA1048" s="285"/>
      <c r="AB1048" s="285"/>
      <c r="AC1048" s="9">
        <v>201568.37</v>
      </c>
      <c r="AD1048" s="306">
        <v>180076.27</v>
      </c>
      <c r="AE1048" s="302"/>
      <c r="AF1048" s="302"/>
      <c r="AG1048" s="56"/>
    </row>
    <row r="1049" spans="1:33" x14ac:dyDescent="0.3">
      <c r="A1049" s="47">
        <f t="shared" si="218"/>
        <v>957</v>
      </c>
      <c r="B1049" s="414" t="s">
        <v>1211</v>
      </c>
      <c r="C1049" s="51">
        <f t="shared" si="219"/>
        <v>685154.71</v>
      </c>
      <c r="D1049" s="51">
        <f t="shared" si="220"/>
        <v>0</v>
      </c>
      <c r="E1049" s="51"/>
      <c r="F1049" s="51"/>
      <c r="G1049" s="51"/>
      <c r="H1049" s="51"/>
      <c r="I1049" s="51"/>
      <c r="J1049" s="51"/>
      <c r="K1049" s="51"/>
      <c r="L1049" s="51"/>
      <c r="M1049" s="35"/>
      <c r="N1049" s="51"/>
      <c r="O1049" s="82"/>
      <c r="P1049" s="51"/>
      <c r="Q1049" s="338"/>
      <c r="R1049" s="51"/>
      <c r="S1049" s="51"/>
      <c r="T1049" s="338"/>
      <c r="U1049" s="51"/>
      <c r="V1049" s="35"/>
      <c r="W1049" s="364">
        <f t="shared" si="221"/>
        <v>685154.71</v>
      </c>
      <c r="X1049" s="317"/>
      <c r="Y1049" s="285"/>
      <c r="Z1049" s="285"/>
      <c r="AA1049" s="285"/>
      <c r="AB1049" s="285"/>
      <c r="AC1049" s="9">
        <v>186324.53</v>
      </c>
      <c r="AD1049" s="40"/>
      <c r="AE1049" s="302">
        <v>498830.18</v>
      </c>
      <c r="AF1049" s="302"/>
      <c r="AG1049" s="56"/>
    </row>
    <row r="1050" spans="1:33" x14ac:dyDescent="0.3">
      <c r="A1050" s="47">
        <f t="shared" si="218"/>
        <v>958</v>
      </c>
      <c r="B1050" s="414" t="s">
        <v>1212</v>
      </c>
      <c r="C1050" s="51">
        <f t="shared" si="219"/>
        <v>792606.45</v>
      </c>
      <c r="D1050" s="51">
        <f t="shared" si="220"/>
        <v>0</v>
      </c>
      <c r="E1050" s="51"/>
      <c r="F1050" s="51"/>
      <c r="G1050" s="51"/>
      <c r="H1050" s="51"/>
      <c r="I1050" s="51"/>
      <c r="J1050" s="51"/>
      <c r="K1050" s="51"/>
      <c r="L1050" s="51"/>
      <c r="M1050" s="35"/>
      <c r="N1050" s="51"/>
      <c r="O1050" s="82"/>
      <c r="P1050" s="51"/>
      <c r="Q1050" s="338"/>
      <c r="R1050" s="51"/>
      <c r="S1050" s="51"/>
      <c r="T1050" s="338"/>
      <c r="U1050" s="51"/>
      <c r="V1050" s="35"/>
      <c r="W1050" s="364">
        <f t="shared" si="221"/>
        <v>792606.45</v>
      </c>
      <c r="X1050" s="316"/>
      <c r="Y1050" s="285"/>
      <c r="Z1050" s="285"/>
      <c r="AA1050" s="285"/>
      <c r="AB1050" s="285"/>
      <c r="AC1050" s="9"/>
      <c r="AD1050" s="306">
        <v>293640.74</v>
      </c>
      <c r="AE1050" s="302">
        <v>498965.71</v>
      </c>
      <c r="AF1050" s="302"/>
      <c r="AG1050" s="56"/>
    </row>
    <row r="1051" spans="1:33" x14ac:dyDescent="0.3">
      <c r="A1051" s="47">
        <f t="shared" si="218"/>
        <v>959</v>
      </c>
      <c r="B1051" s="414" t="s">
        <v>1213</v>
      </c>
      <c r="C1051" s="51">
        <f t="shared" si="219"/>
        <v>795331.6399999999</v>
      </c>
      <c r="D1051" s="51">
        <f t="shared" si="220"/>
        <v>0</v>
      </c>
      <c r="E1051" s="51"/>
      <c r="F1051" s="51"/>
      <c r="G1051" s="51"/>
      <c r="H1051" s="51"/>
      <c r="I1051" s="51"/>
      <c r="J1051" s="51"/>
      <c r="K1051" s="51"/>
      <c r="L1051" s="51"/>
      <c r="M1051" s="35"/>
      <c r="N1051" s="51"/>
      <c r="O1051" s="82"/>
      <c r="P1051" s="51"/>
      <c r="Q1051" s="338"/>
      <c r="R1051" s="51"/>
      <c r="S1051" s="51"/>
      <c r="T1051" s="338"/>
      <c r="U1051" s="51"/>
      <c r="V1051" s="35"/>
      <c r="W1051" s="364">
        <f t="shared" si="221"/>
        <v>795331.6399999999</v>
      </c>
      <c r="X1051" s="316"/>
      <c r="Y1051" s="285"/>
      <c r="Z1051" s="285"/>
      <c r="AA1051" s="285"/>
      <c r="AB1051" s="285"/>
      <c r="AC1051" s="9"/>
      <c r="AD1051" s="306">
        <v>294197.53999999998</v>
      </c>
      <c r="AE1051" s="302">
        <v>501134.1</v>
      </c>
      <c r="AF1051" s="302"/>
      <c r="AG1051" s="56"/>
    </row>
    <row r="1052" spans="1:33" x14ac:dyDescent="0.3">
      <c r="A1052" s="47">
        <f t="shared" si="218"/>
        <v>960</v>
      </c>
      <c r="B1052" s="414" t="s">
        <v>1214</v>
      </c>
      <c r="C1052" s="51">
        <f t="shared" si="219"/>
        <v>965338.08000000007</v>
      </c>
      <c r="D1052" s="51">
        <f t="shared" si="220"/>
        <v>0</v>
      </c>
      <c r="E1052" s="51"/>
      <c r="F1052" s="51"/>
      <c r="G1052" s="51"/>
      <c r="H1052" s="51"/>
      <c r="I1052" s="51"/>
      <c r="J1052" s="51"/>
      <c r="K1052" s="51"/>
      <c r="L1052" s="51"/>
      <c r="M1052" s="35"/>
      <c r="N1052" s="51"/>
      <c r="O1052" s="82"/>
      <c r="P1052" s="51"/>
      <c r="Q1052" s="338"/>
      <c r="R1052" s="51"/>
      <c r="S1052" s="51"/>
      <c r="T1052" s="338"/>
      <c r="U1052" s="51"/>
      <c r="V1052" s="35"/>
      <c r="W1052" s="364">
        <f t="shared" si="221"/>
        <v>965338.08000000007</v>
      </c>
      <c r="X1052" s="316"/>
      <c r="Y1052" s="285"/>
      <c r="Z1052" s="285"/>
      <c r="AA1052" s="285"/>
      <c r="AB1052" s="285"/>
      <c r="AC1052" s="9">
        <v>180960.48</v>
      </c>
      <c r="AD1052" s="306">
        <v>299370.8</v>
      </c>
      <c r="AE1052" s="302">
        <v>485006.8</v>
      </c>
      <c r="AF1052" s="302"/>
      <c r="AG1052" s="56"/>
    </row>
    <row r="1053" spans="1:33" x14ac:dyDescent="0.3">
      <c r="A1053" s="47">
        <f t="shared" si="218"/>
        <v>961</v>
      </c>
      <c r="B1053" s="414" t="s">
        <v>1215</v>
      </c>
      <c r="C1053" s="51">
        <f t="shared" si="219"/>
        <v>709050.5</v>
      </c>
      <c r="D1053" s="51">
        <f t="shared" si="220"/>
        <v>0</v>
      </c>
      <c r="E1053" s="51"/>
      <c r="F1053" s="51"/>
      <c r="G1053" s="51"/>
      <c r="H1053" s="51"/>
      <c r="I1053" s="51"/>
      <c r="J1053" s="51"/>
      <c r="K1053" s="51"/>
      <c r="L1053" s="51"/>
      <c r="M1053" s="35"/>
      <c r="N1053" s="51"/>
      <c r="O1053" s="82"/>
      <c r="P1053" s="51"/>
      <c r="Q1053" s="338"/>
      <c r="R1053" s="51"/>
      <c r="S1053" s="51"/>
      <c r="T1053" s="338"/>
      <c r="U1053" s="51"/>
      <c r="V1053" s="35"/>
      <c r="W1053" s="364">
        <f t="shared" si="221"/>
        <v>709050.5</v>
      </c>
      <c r="X1053" s="316"/>
      <c r="Y1053" s="285"/>
      <c r="Z1053" s="285"/>
      <c r="AA1053" s="285"/>
      <c r="AB1053" s="285"/>
      <c r="AC1053" s="9">
        <v>201333.24</v>
      </c>
      <c r="AD1053" s="306"/>
      <c r="AE1053" s="302">
        <v>507717.26</v>
      </c>
      <c r="AF1053" s="302"/>
      <c r="AG1053" s="56"/>
    </row>
    <row r="1054" spans="1:33" x14ac:dyDescent="0.3">
      <c r="A1054" s="47">
        <f t="shared" si="218"/>
        <v>962</v>
      </c>
      <c r="B1054" s="414" t="s">
        <v>1216</v>
      </c>
      <c r="C1054" s="51">
        <f t="shared" si="219"/>
        <v>2005991.15</v>
      </c>
      <c r="D1054" s="51">
        <f t="shared" si="220"/>
        <v>0</v>
      </c>
      <c r="E1054" s="51"/>
      <c r="F1054" s="51"/>
      <c r="G1054" s="51"/>
      <c r="H1054" s="51"/>
      <c r="I1054" s="51"/>
      <c r="J1054" s="51"/>
      <c r="K1054" s="51"/>
      <c r="L1054" s="51"/>
      <c r="M1054" s="35"/>
      <c r="N1054" s="51"/>
      <c r="O1054" s="82"/>
      <c r="P1054" s="51"/>
      <c r="Q1054" s="338"/>
      <c r="R1054" s="51"/>
      <c r="S1054" s="51"/>
      <c r="T1054" s="338"/>
      <c r="U1054" s="51"/>
      <c r="V1054" s="35"/>
      <c r="W1054" s="364">
        <f t="shared" si="221"/>
        <v>2005991.15</v>
      </c>
      <c r="X1054" s="316"/>
      <c r="Y1054" s="285"/>
      <c r="Z1054" s="285"/>
      <c r="AA1054" s="285"/>
      <c r="AB1054" s="285"/>
      <c r="AC1054" s="9">
        <v>417575.52</v>
      </c>
      <c r="AD1054" s="306">
        <v>287670.24</v>
      </c>
      <c r="AE1054" s="302">
        <v>1300745.3899999999</v>
      </c>
      <c r="AF1054" s="302"/>
      <c r="AG1054" s="56"/>
    </row>
    <row r="1055" spans="1:33" x14ac:dyDescent="0.3">
      <c r="A1055" s="47">
        <f t="shared" si="218"/>
        <v>963</v>
      </c>
      <c r="B1055" s="414" t="s">
        <v>1217</v>
      </c>
      <c r="C1055" s="51">
        <f t="shared" si="219"/>
        <v>2011557.94</v>
      </c>
      <c r="D1055" s="51">
        <f t="shared" si="220"/>
        <v>0</v>
      </c>
      <c r="E1055" s="51"/>
      <c r="F1055" s="51"/>
      <c r="G1055" s="51"/>
      <c r="H1055" s="51"/>
      <c r="I1055" s="51"/>
      <c r="J1055" s="51"/>
      <c r="K1055" s="51"/>
      <c r="L1055" s="51"/>
      <c r="M1055" s="35"/>
      <c r="N1055" s="51"/>
      <c r="O1055" s="82"/>
      <c r="P1055" s="51"/>
      <c r="Q1055" s="338"/>
      <c r="R1055" s="51"/>
      <c r="S1055" s="51"/>
      <c r="T1055" s="338"/>
      <c r="U1055" s="51"/>
      <c r="V1055" s="35"/>
      <c r="W1055" s="364">
        <f t="shared" si="221"/>
        <v>2011557.94</v>
      </c>
      <c r="X1055" s="316"/>
      <c r="Y1055" s="285"/>
      <c r="Z1055" s="285"/>
      <c r="AA1055" s="285"/>
      <c r="AB1055" s="285"/>
      <c r="AC1055" s="9">
        <v>419314.38</v>
      </c>
      <c r="AD1055" s="306">
        <v>286709.51</v>
      </c>
      <c r="AE1055" s="302">
        <v>1305534.05</v>
      </c>
      <c r="AF1055" s="302"/>
      <c r="AG1055" s="56"/>
    </row>
    <row r="1056" spans="1:33" x14ac:dyDescent="0.3">
      <c r="A1056" s="47">
        <f t="shared" si="218"/>
        <v>964</v>
      </c>
      <c r="B1056" s="414" t="s">
        <v>1218</v>
      </c>
      <c r="C1056" s="51">
        <f t="shared" si="219"/>
        <v>1878075.4</v>
      </c>
      <c r="D1056" s="51">
        <f t="shared" si="220"/>
        <v>0</v>
      </c>
      <c r="E1056" s="51"/>
      <c r="F1056" s="51"/>
      <c r="G1056" s="51"/>
      <c r="H1056" s="51"/>
      <c r="I1056" s="51"/>
      <c r="J1056" s="51"/>
      <c r="K1056" s="51"/>
      <c r="L1056" s="51"/>
      <c r="M1056" s="35"/>
      <c r="N1056" s="51"/>
      <c r="O1056" s="82"/>
      <c r="P1056" s="51"/>
      <c r="Q1056" s="338"/>
      <c r="R1056" s="51"/>
      <c r="S1056" s="51"/>
      <c r="T1056" s="338"/>
      <c r="U1056" s="51"/>
      <c r="V1056" s="35"/>
      <c r="W1056" s="364">
        <f t="shared" si="221"/>
        <v>1878075.4</v>
      </c>
      <c r="X1056" s="316"/>
      <c r="Y1056" s="285"/>
      <c r="Z1056" s="285"/>
      <c r="AA1056" s="285"/>
      <c r="AB1056" s="285"/>
      <c r="AC1056" s="9">
        <v>387283.57</v>
      </c>
      <c r="AD1056" s="306">
        <v>265396.82</v>
      </c>
      <c r="AE1056" s="302">
        <v>1225395.01</v>
      </c>
      <c r="AF1056" s="302"/>
      <c r="AG1056" s="56"/>
    </row>
    <row r="1057" spans="1:33" x14ac:dyDescent="0.3">
      <c r="A1057" s="47">
        <f t="shared" si="218"/>
        <v>965</v>
      </c>
      <c r="B1057" s="414" t="s">
        <v>1219</v>
      </c>
      <c r="C1057" s="51">
        <f t="shared" si="219"/>
        <v>492908.35</v>
      </c>
      <c r="D1057" s="51">
        <f t="shared" si="220"/>
        <v>0</v>
      </c>
      <c r="E1057" s="51"/>
      <c r="F1057" s="51"/>
      <c r="G1057" s="51"/>
      <c r="H1057" s="51"/>
      <c r="I1057" s="51"/>
      <c r="J1057" s="51"/>
      <c r="K1057" s="51"/>
      <c r="L1057" s="51"/>
      <c r="M1057" s="35"/>
      <c r="N1057" s="51"/>
      <c r="O1057" s="82"/>
      <c r="P1057" s="51"/>
      <c r="Q1057" s="338"/>
      <c r="R1057" s="51"/>
      <c r="S1057" s="51"/>
      <c r="T1057" s="338"/>
      <c r="U1057" s="51"/>
      <c r="V1057" s="35"/>
      <c r="W1057" s="364">
        <f t="shared" si="221"/>
        <v>492908.35</v>
      </c>
      <c r="X1057" s="316"/>
      <c r="Y1057" s="285"/>
      <c r="Z1057" s="285"/>
      <c r="AA1057" s="285"/>
      <c r="AB1057" s="285"/>
      <c r="AC1057" s="318">
        <v>492908.35</v>
      </c>
      <c r="AD1057" s="40"/>
      <c r="AE1057" s="302"/>
      <c r="AF1057" s="302"/>
      <c r="AG1057" s="56"/>
    </row>
    <row r="1058" spans="1:33" x14ac:dyDescent="0.3">
      <c r="A1058" s="47">
        <f t="shared" si="218"/>
        <v>966</v>
      </c>
      <c r="B1058" s="414" t="s">
        <v>1220</v>
      </c>
      <c r="C1058" s="51">
        <f t="shared" si="219"/>
        <v>526268.28</v>
      </c>
      <c r="D1058" s="51">
        <f t="shared" si="220"/>
        <v>0</v>
      </c>
      <c r="E1058" s="51"/>
      <c r="F1058" s="51"/>
      <c r="G1058" s="51"/>
      <c r="H1058" s="51"/>
      <c r="I1058" s="51"/>
      <c r="J1058" s="51"/>
      <c r="K1058" s="51"/>
      <c r="L1058" s="51"/>
      <c r="M1058" s="35"/>
      <c r="N1058" s="51"/>
      <c r="O1058" s="82"/>
      <c r="P1058" s="51"/>
      <c r="Q1058" s="338"/>
      <c r="R1058" s="51"/>
      <c r="S1058" s="51"/>
      <c r="T1058" s="338"/>
      <c r="U1058" s="51"/>
      <c r="V1058" s="35"/>
      <c r="W1058" s="364">
        <f t="shared" si="221"/>
        <v>526268.28</v>
      </c>
      <c r="X1058" s="316"/>
      <c r="Y1058" s="285"/>
      <c r="Z1058" s="285"/>
      <c r="AA1058" s="285"/>
      <c r="AB1058" s="285"/>
      <c r="AC1058" s="9">
        <v>526268.28</v>
      </c>
      <c r="AD1058" s="306"/>
      <c r="AE1058" s="302"/>
      <c r="AF1058" s="302"/>
      <c r="AG1058" s="56"/>
    </row>
    <row r="1059" spans="1:33" x14ac:dyDescent="0.3">
      <c r="A1059" s="47">
        <f t="shared" si="218"/>
        <v>967</v>
      </c>
      <c r="B1059" s="414" t="s">
        <v>1221</v>
      </c>
      <c r="C1059" s="51">
        <f t="shared" si="219"/>
        <v>674851.65</v>
      </c>
      <c r="D1059" s="51">
        <f t="shared" si="220"/>
        <v>0</v>
      </c>
      <c r="E1059" s="51"/>
      <c r="F1059" s="51"/>
      <c r="G1059" s="51"/>
      <c r="H1059" s="51"/>
      <c r="I1059" s="51"/>
      <c r="J1059" s="51"/>
      <c r="K1059" s="51"/>
      <c r="L1059" s="51"/>
      <c r="M1059" s="35"/>
      <c r="N1059" s="51"/>
      <c r="O1059" s="82"/>
      <c r="P1059" s="51"/>
      <c r="Q1059" s="338"/>
      <c r="R1059" s="51"/>
      <c r="S1059" s="51"/>
      <c r="T1059" s="338"/>
      <c r="U1059" s="51"/>
      <c r="V1059" s="35"/>
      <c r="W1059" s="364">
        <f t="shared" si="221"/>
        <v>674851.65</v>
      </c>
      <c r="X1059" s="316"/>
      <c r="Y1059" s="285"/>
      <c r="Z1059" s="285"/>
      <c r="AA1059" s="285"/>
      <c r="AB1059" s="285"/>
      <c r="AC1059" s="9">
        <v>190899.77</v>
      </c>
      <c r="AD1059" s="306"/>
      <c r="AE1059" s="302">
        <v>483951.88</v>
      </c>
      <c r="AF1059" s="302"/>
      <c r="AG1059" s="56"/>
    </row>
    <row r="1060" spans="1:33" x14ac:dyDescent="0.3">
      <c r="A1060" s="47">
        <f t="shared" si="218"/>
        <v>968</v>
      </c>
      <c r="B1060" s="414" t="s">
        <v>1222</v>
      </c>
      <c r="C1060" s="51">
        <f t="shared" si="219"/>
        <v>700391.81</v>
      </c>
      <c r="D1060" s="51">
        <f t="shared" si="220"/>
        <v>0</v>
      </c>
      <c r="E1060" s="51"/>
      <c r="F1060" s="51"/>
      <c r="G1060" s="51"/>
      <c r="H1060" s="51"/>
      <c r="I1060" s="51"/>
      <c r="J1060" s="51"/>
      <c r="K1060" s="51"/>
      <c r="L1060" s="51"/>
      <c r="M1060" s="35"/>
      <c r="N1060" s="51"/>
      <c r="O1060" s="82"/>
      <c r="P1060" s="51"/>
      <c r="Q1060" s="338"/>
      <c r="R1060" s="51"/>
      <c r="S1060" s="51"/>
      <c r="T1060" s="338"/>
      <c r="U1060" s="51"/>
      <c r="V1060" s="35"/>
      <c r="W1060" s="364">
        <f t="shared" si="221"/>
        <v>700391.81</v>
      </c>
      <c r="X1060" s="316"/>
      <c r="Y1060" s="285"/>
      <c r="Z1060" s="285"/>
      <c r="AA1060" s="285"/>
      <c r="AB1060" s="285"/>
      <c r="AC1060" s="9">
        <v>190584.22</v>
      </c>
      <c r="AD1060" s="306"/>
      <c r="AE1060" s="302">
        <v>509807.59</v>
      </c>
      <c r="AF1060" s="302"/>
      <c r="AG1060" s="56"/>
    </row>
    <row r="1061" spans="1:33" x14ac:dyDescent="0.3">
      <c r="A1061" s="47">
        <f t="shared" si="218"/>
        <v>969</v>
      </c>
      <c r="B1061" s="414" t="s">
        <v>1223</v>
      </c>
      <c r="C1061" s="51">
        <f t="shared" si="219"/>
        <v>766975</v>
      </c>
      <c r="D1061" s="51">
        <f t="shared" si="220"/>
        <v>0</v>
      </c>
      <c r="E1061" s="51"/>
      <c r="F1061" s="51"/>
      <c r="G1061" s="51"/>
      <c r="H1061" s="51"/>
      <c r="I1061" s="51"/>
      <c r="J1061" s="51"/>
      <c r="K1061" s="51"/>
      <c r="L1061" s="51"/>
      <c r="M1061" s="35"/>
      <c r="N1061" s="51"/>
      <c r="O1061" s="82"/>
      <c r="P1061" s="51"/>
      <c r="Q1061" s="338"/>
      <c r="R1061" s="51"/>
      <c r="S1061" s="51"/>
      <c r="T1061" s="338"/>
      <c r="U1061" s="51"/>
      <c r="V1061" s="35"/>
      <c r="W1061" s="364">
        <f t="shared" si="221"/>
        <v>766975</v>
      </c>
      <c r="X1061" s="316"/>
      <c r="Y1061" s="285"/>
      <c r="Z1061" s="285"/>
      <c r="AA1061" s="285"/>
      <c r="AB1061" s="285"/>
      <c r="AC1061" s="9">
        <v>172335.95</v>
      </c>
      <c r="AD1061" s="306">
        <v>156138.06</v>
      </c>
      <c r="AE1061" s="302">
        <v>438500.99</v>
      </c>
      <c r="AF1061" s="302"/>
      <c r="AG1061" s="56"/>
    </row>
    <row r="1062" spans="1:33" x14ac:dyDescent="0.3">
      <c r="A1062" s="47">
        <f t="shared" si="218"/>
        <v>970</v>
      </c>
      <c r="B1062" s="414" t="s">
        <v>1225</v>
      </c>
      <c r="C1062" s="51">
        <f t="shared" ref="C1062:C1069" si="222">D1062+K1062+L1062+N1062+P1062+R1062+S1062+U1062+W1062</f>
        <v>485883.22</v>
      </c>
      <c r="D1062" s="51">
        <f t="shared" ref="D1062:D1069" si="223">E1062+F1062+G1062+H1062+I1062</f>
        <v>0</v>
      </c>
      <c r="E1062" s="51"/>
      <c r="F1062" s="51"/>
      <c r="G1062" s="51"/>
      <c r="H1062" s="51"/>
      <c r="I1062" s="51"/>
      <c r="J1062" s="51"/>
      <c r="K1062" s="51"/>
      <c r="L1062" s="51"/>
      <c r="M1062" s="35"/>
      <c r="N1062" s="51"/>
      <c r="O1062" s="82"/>
      <c r="P1062" s="51"/>
      <c r="Q1062" s="338"/>
      <c r="R1062" s="51"/>
      <c r="S1062" s="51"/>
      <c r="T1062" s="338"/>
      <c r="U1062" s="51"/>
      <c r="V1062" s="35"/>
      <c r="W1062" s="364">
        <f t="shared" ref="W1062:W1069" si="224">SUM(X1062:AH1062)</f>
        <v>485883.22</v>
      </c>
      <c r="X1062" s="316"/>
      <c r="Y1062" s="285"/>
      <c r="Z1062" s="285"/>
      <c r="AA1062" s="285"/>
      <c r="AB1062" s="285"/>
      <c r="AC1062" s="9"/>
      <c r="AD1062" s="306"/>
      <c r="AE1062" s="302">
        <v>485883.22</v>
      </c>
      <c r="AF1062" s="302"/>
      <c r="AG1062" s="56"/>
    </row>
    <row r="1063" spans="1:33" x14ac:dyDescent="0.3">
      <c r="A1063" s="47">
        <f t="shared" si="218"/>
        <v>971</v>
      </c>
      <c r="B1063" s="414" t="s">
        <v>1226</v>
      </c>
      <c r="C1063" s="51">
        <f t="shared" si="222"/>
        <v>699296</v>
      </c>
      <c r="D1063" s="51">
        <f t="shared" si="223"/>
        <v>0</v>
      </c>
      <c r="E1063" s="51"/>
      <c r="F1063" s="51"/>
      <c r="G1063" s="51"/>
      <c r="H1063" s="51"/>
      <c r="I1063" s="51"/>
      <c r="J1063" s="51"/>
      <c r="K1063" s="51"/>
      <c r="L1063" s="51"/>
      <c r="M1063" s="35"/>
      <c r="N1063" s="51"/>
      <c r="O1063" s="82"/>
      <c r="P1063" s="51"/>
      <c r="Q1063" s="338"/>
      <c r="R1063" s="51"/>
      <c r="S1063" s="51"/>
      <c r="T1063" s="338"/>
      <c r="U1063" s="51"/>
      <c r="V1063" s="35"/>
      <c r="W1063" s="364">
        <f t="shared" si="224"/>
        <v>699296</v>
      </c>
      <c r="X1063" s="316"/>
      <c r="Y1063" s="285"/>
      <c r="Z1063" s="285"/>
      <c r="AA1063" s="285"/>
      <c r="AB1063" s="285"/>
      <c r="AC1063" s="9"/>
      <c r="AD1063" s="306"/>
      <c r="AE1063" s="302">
        <v>699296</v>
      </c>
      <c r="AF1063" s="302"/>
      <c r="AG1063" s="56"/>
    </row>
    <row r="1064" spans="1:33" x14ac:dyDescent="0.3">
      <c r="A1064" s="47">
        <f t="shared" ref="A1064:A1069" si="225">A1063+1</f>
        <v>972</v>
      </c>
      <c r="B1064" s="414" t="s">
        <v>1227</v>
      </c>
      <c r="C1064" s="51">
        <f t="shared" si="222"/>
        <v>440432.33</v>
      </c>
      <c r="D1064" s="51">
        <f t="shared" si="223"/>
        <v>0</v>
      </c>
      <c r="E1064" s="51"/>
      <c r="F1064" s="51"/>
      <c r="G1064" s="51"/>
      <c r="H1064" s="51"/>
      <c r="I1064" s="51"/>
      <c r="J1064" s="51"/>
      <c r="K1064" s="51"/>
      <c r="L1064" s="51"/>
      <c r="M1064" s="35"/>
      <c r="N1064" s="51"/>
      <c r="O1064" s="82"/>
      <c r="P1064" s="51"/>
      <c r="Q1064" s="338"/>
      <c r="R1064" s="51"/>
      <c r="S1064" s="51"/>
      <c r="T1064" s="338"/>
      <c r="U1064" s="51"/>
      <c r="V1064" s="35"/>
      <c r="W1064" s="364">
        <f t="shared" si="224"/>
        <v>440432.33</v>
      </c>
      <c r="X1064" s="316"/>
      <c r="Y1064" s="285"/>
      <c r="Z1064" s="285"/>
      <c r="AA1064" s="285"/>
      <c r="AB1064" s="285"/>
      <c r="AC1064" s="9"/>
      <c r="AD1064" s="306"/>
      <c r="AE1064" s="302">
        <v>440432.33</v>
      </c>
      <c r="AF1064" s="302"/>
      <c r="AG1064" s="56"/>
    </row>
    <row r="1065" spans="1:33" x14ac:dyDescent="0.3">
      <c r="A1065" s="47">
        <f t="shared" si="225"/>
        <v>973</v>
      </c>
      <c r="B1065" s="414" t="s">
        <v>1228</v>
      </c>
      <c r="C1065" s="51">
        <f t="shared" si="222"/>
        <v>441204.86</v>
      </c>
      <c r="D1065" s="51">
        <f t="shared" si="223"/>
        <v>0</v>
      </c>
      <c r="E1065" s="51"/>
      <c r="F1065" s="51"/>
      <c r="G1065" s="51"/>
      <c r="H1065" s="51"/>
      <c r="I1065" s="51"/>
      <c r="J1065" s="51"/>
      <c r="K1065" s="51"/>
      <c r="L1065" s="51"/>
      <c r="M1065" s="35"/>
      <c r="N1065" s="51"/>
      <c r="O1065" s="82"/>
      <c r="P1065" s="51"/>
      <c r="Q1065" s="338"/>
      <c r="R1065" s="51"/>
      <c r="S1065" s="51"/>
      <c r="T1065" s="338"/>
      <c r="U1065" s="51"/>
      <c r="V1065" s="35"/>
      <c r="W1065" s="364">
        <f t="shared" si="224"/>
        <v>441204.86</v>
      </c>
      <c r="X1065" s="316"/>
      <c r="Y1065" s="285"/>
      <c r="Z1065" s="285"/>
      <c r="AA1065" s="285"/>
      <c r="AB1065" s="285"/>
      <c r="AC1065" s="9"/>
      <c r="AD1065" s="306"/>
      <c r="AE1065" s="302">
        <v>441204.86</v>
      </c>
      <c r="AF1065" s="302"/>
      <c r="AG1065" s="56"/>
    </row>
    <row r="1066" spans="1:33" x14ac:dyDescent="0.3">
      <c r="A1066" s="47">
        <f t="shared" si="225"/>
        <v>974</v>
      </c>
      <c r="B1066" s="414" t="s">
        <v>1229</v>
      </c>
      <c r="C1066" s="51">
        <f t="shared" si="222"/>
        <v>441204.86</v>
      </c>
      <c r="D1066" s="51">
        <f t="shared" si="223"/>
        <v>0</v>
      </c>
      <c r="E1066" s="51"/>
      <c r="F1066" s="51"/>
      <c r="G1066" s="51"/>
      <c r="H1066" s="51"/>
      <c r="I1066" s="51"/>
      <c r="J1066" s="51"/>
      <c r="K1066" s="51"/>
      <c r="L1066" s="51"/>
      <c r="M1066" s="35"/>
      <c r="N1066" s="51"/>
      <c r="O1066" s="82"/>
      <c r="P1066" s="51"/>
      <c r="Q1066" s="338"/>
      <c r="R1066" s="51"/>
      <c r="S1066" s="51"/>
      <c r="T1066" s="338"/>
      <c r="U1066" s="51"/>
      <c r="V1066" s="35"/>
      <c r="W1066" s="364">
        <f t="shared" si="224"/>
        <v>441204.86</v>
      </c>
      <c r="X1066" s="316"/>
      <c r="Y1066" s="285"/>
      <c r="Z1066" s="285"/>
      <c r="AA1066" s="285"/>
      <c r="AB1066" s="285"/>
      <c r="AC1066" s="9"/>
      <c r="AD1066" s="306"/>
      <c r="AE1066" s="302">
        <v>441204.86</v>
      </c>
      <c r="AF1066" s="302"/>
      <c r="AG1066" s="56"/>
    </row>
    <row r="1067" spans="1:33" x14ac:dyDescent="0.3">
      <c r="A1067" s="47">
        <f t="shared" si="225"/>
        <v>975</v>
      </c>
      <c r="B1067" s="414" t="s">
        <v>1230</v>
      </c>
      <c r="C1067" s="51">
        <f t="shared" si="222"/>
        <v>662992.56000000006</v>
      </c>
      <c r="D1067" s="51">
        <f t="shared" si="223"/>
        <v>0</v>
      </c>
      <c r="E1067" s="51"/>
      <c r="F1067" s="51"/>
      <c r="G1067" s="51"/>
      <c r="H1067" s="51"/>
      <c r="I1067" s="51"/>
      <c r="J1067" s="51"/>
      <c r="K1067" s="51"/>
      <c r="L1067" s="51"/>
      <c r="M1067" s="35"/>
      <c r="N1067" s="51"/>
      <c r="O1067" s="82"/>
      <c r="P1067" s="51"/>
      <c r="Q1067" s="338"/>
      <c r="R1067" s="51"/>
      <c r="S1067" s="51"/>
      <c r="T1067" s="338"/>
      <c r="U1067" s="51"/>
      <c r="V1067" s="35"/>
      <c r="W1067" s="364">
        <f t="shared" si="224"/>
        <v>662992.56000000006</v>
      </c>
      <c r="X1067" s="316"/>
      <c r="Y1067" s="285"/>
      <c r="Z1067" s="285"/>
      <c r="AA1067" s="285"/>
      <c r="AB1067" s="285"/>
      <c r="AC1067" s="9"/>
      <c r="AD1067" s="306"/>
      <c r="AE1067" s="302">
        <v>662992.56000000006</v>
      </c>
      <c r="AF1067" s="302"/>
      <c r="AG1067" s="56"/>
    </row>
    <row r="1068" spans="1:33" x14ac:dyDescent="0.3">
      <c r="A1068" s="47">
        <f t="shared" si="225"/>
        <v>976</v>
      </c>
      <c r="B1068" s="414" t="s">
        <v>1231</v>
      </c>
      <c r="C1068" s="51">
        <f t="shared" si="222"/>
        <v>606890.9</v>
      </c>
      <c r="D1068" s="51">
        <f t="shared" si="223"/>
        <v>0</v>
      </c>
      <c r="E1068" s="51"/>
      <c r="F1068" s="51"/>
      <c r="G1068" s="51"/>
      <c r="H1068" s="51"/>
      <c r="I1068" s="51"/>
      <c r="J1068" s="51"/>
      <c r="K1068" s="51"/>
      <c r="L1068" s="51"/>
      <c r="M1068" s="35"/>
      <c r="N1068" s="51"/>
      <c r="O1068" s="82"/>
      <c r="P1068" s="51"/>
      <c r="Q1068" s="338"/>
      <c r="R1068" s="51"/>
      <c r="S1068" s="51"/>
      <c r="T1068" s="338"/>
      <c r="U1068" s="51"/>
      <c r="V1068" s="35"/>
      <c r="W1068" s="364">
        <f t="shared" si="224"/>
        <v>606890.9</v>
      </c>
      <c r="X1068" s="316"/>
      <c r="Y1068" s="285"/>
      <c r="Z1068" s="285"/>
      <c r="AA1068" s="285"/>
      <c r="AB1068" s="285"/>
      <c r="AC1068" s="9"/>
      <c r="AD1068" s="306"/>
      <c r="AE1068" s="302">
        <v>606890.9</v>
      </c>
      <c r="AF1068" s="302"/>
      <c r="AG1068" s="56"/>
    </row>
    <row r="1069" spans="1:33" x14ac:dyDescent="0.3">
      <c r="A1069" s="47">
        <f t="shared" si="225"/>
        <v>977</v>
      </c>
      <c r="B1069" s="414" t="s">
        <v>1232</v>
      </c>
      <c r="C1069" s="51">
        <f t="shared" si="222"/>
        <v>610229.59</v>
      </c>
      <c r="D1069" s="51">
        <f t="shared" si="223"/>
        <v>0</v>
      </c>
      <c r="E1069" s="51"/>
      <c r="F1069" s="51"/>
      <c r="G1069" s="51"/>
      <c r="H1069" s="51"/>
      <c r="I1069" s="51"/>
      <c r="J1069" s="51"/>
      <c r="K1069" s="51"/>
      <c r="L1069" s="51"/>
      <c r="M1069" s="35"/>
      <c r="N1069" s="51"/>
      <c r="O1069" s="82"/>
      <c r="P1069" s="51"/>
      <c r="Q1069" s="338"/>
      <c r="R1069" s="51"/>
      <c r="S1069" s="51"/>
      <c r="T1069" s="338"/>
      <c r="U1069" s="51"/>
      <c r="V1069" s="35"/>
      <c r="W1069" s="364">
        <f t="shared" si="224"/>
        <v>610229.59</v>
      </c>
      <c r="X1069" s="316"/>
      <c r="Y1069" s="285"/>
      <c r="Z1069" s="285"/>
      <c r="AA1069" s="285"/>
      <c r="AB1069" s="285"/>
      <c r="AC1069" s="9"/>
      <c r="AD1069" s="306"/>
      <c r="AE1069" s="302">
        <v>610229.59</v>
      </c>
      <c r="AF1069" s="302"/>
      <c r="AG1069" s="56"/>
    </row>
    <row r="1070" spans="1:33" x14ac:dyDescent="0.3">
      <c r="A1070" s="47"/>
      <c r="B1070" s="414" t="s">
        <v>211</v>
      </c>
      <c r="C1070" s="51">
        <f t="shared" ref="C1070:W1070" si="226">SUM(C998:C1069)</f>
        <v>41240102.540000014</v>
      </c>
      <c r="D1070" s="51">
        <f t="shared" si="226"/>
        <v>0</v>
      </c>
      <c r="E1070" s="51">
        <f t="shared" si="226"/>
        <v>0</v>
      </c>
      <c r="F1070" s="51">
        <f t="shared" si="226"/>
        <v>0</v>
      </c>
      <c r="G1070" s="51">
        <f t="shared" si="226"/>
        <v>0</v>
      </c>
      <c r="H1070" s="51">
        <f t="shared" si="226"/>
        <v>0</v>
      </c>
      <c r="I1070" s="51">
        <f t="shared" si="226"/>
        <v>0</v>
      </c>
      <c r="J1070" s="51">
        <f t="shared" si="226"/>
        <v>0</v>
      </c>
      <c r="K1070" s="51">
        <f t="shared" si="226"/>
        <v>0</v>
      </c>
      <c r="L1070" s="51">
        <f t="shared" si="226"/>
        <v>0</v>
      </c>
      <c r="M1070" s="35">
        <f t="shared" si="226"/>
        <v>0</v>
      </c>
      <c r="N1070" s="51">
        <f t="shared" si="226"/>
        <v>0</v>
      </c>
      <c r="O1070" s="82">
        <f t="shared" si="226"/>
        <v>0</v>
      </c>
      <c r="P1070" s="51">
        <f t="shared" si="226"/>
        <v>0</v>
      </c>
      <c r="Q1070" s="338">
        <f t="shared" si="226"/>
        <v>0</v>
      </c>
      <c r="R1070" s="51">
        <f t="shared" si="226"/>
        <v>0</v>
      </c>
      <c r="S1070" s="51">
        <f t="shared" si="226"/>
        <v>0</v>
      </c>
      <c r="T1070" s="338">
        <f t="shared" si="226"/>
        <v>0</v>
      </c>
      <c r="U1070" s="51">
        <f t="shared" si="226"/>
        <v>0</v>
      </c>
      <c r="V1070" s="35">
        <f t="shared" si="226"/>
        <v>0</v>
      </c>
      <c r="W1070" s="51">
        <f t="shared" si="226"/>
        <v>41240102.540000014</v>
      </c>
      <c r="X1070" s="285"/>
      <c r="Y1070" s="285"/>
      <c r="Z1070" s="285"/>
      <c r="AA1070" s="285"/>
      <c r="AB1070" s="285"/>
      <c r="AC1070" s="9"/>
      <c r="AD1070" s="306"/>
      <c r="AE1070" s="302"/>
      <c r="AF1070" s="302"/>
      <c r="AG1070" s="56"/>
    </row>
    <row r="1071" spans="1:33" ht="31.2" x14ac:dyDescent="0.3">
      <c r="A1071" s="47"/>
      <c r="B1071" s="414" t="s">
        <v>1233</v>
      </c>
      <c r="C1071" s="51"/>
      <c r="D1071" s="51"/>
      <c r="E1071" s="51"/>
      <c r="F1071" s="51"/>
      <c r="G1071" s="51"/>
      <c r="H1071" s="51"/>
      <c r="I1071" s="51"/>
      <c r="J1071" s="51"/>
      <c r="K1071" s="51"/>
      <c r="L1071" s="51"/>
      <c r="M1071" s="35"/>
      <c r="N1071" s="51"/>
      <c r="O1071" s="82"/>
      <c r="P1071" s="51"/>
      <c r="Q1071" s="338"/>
      <c r="R1071" s="51"/>
      <c r="S1071" s="51"/>
      <c r="T1071" s="338"/>
      <c r="U1071" s="51"/>
      <c r="V1071" s="35"/>
      <c r="W1071" s="364"/>
      <c r="X1071" s="316"/>
      <c r="Y1071" s="285"/>
      <c r="Z1071" s="285"/>
      <c r="AA1071" s="285"/>
      <c r="AB1071" s="285"/>
      <c r="AC1071" s="9"/>
      <c r="AD1071" s="306"/>
      <c r="AE1071" s="302"/>
      <c r="AF1071" s="302"/>
      <c r="AG1071" s="56"/>
    </row>
    <row r="1072" spans="1:33" x14ac:dyDescent="0.3">
      <c r="A1072" s="47">
        <f>A1069+1</f>
        <v>978</v>
      </c>
      <c r="B1072" s="414" t="s">
        <v>1234</v>
      </c>
      <c r="C1072" s="51">
        <f t="shared" ref="C1072:C1077" si="227">D1072+K1072+L1072+N1072+P1072+R1072+S1072+U1072+W1072</f>
        <v>396372.03</v>
      </c>
      <c r="D1072" s="51">
        <f t="shared" ref="D1072:D1077" si="228">E1072+F1072+G1072+H1072+I1072</f>
        <v>0</v>
      </c>
      <c r="E1072" s="51"/>
      <c r="F1072" s="51"/>
      <c r="G1072" s="51"/>
      <c r="H1072" s="51"/>
      <c r="I1072" s="51"/>
      <c r="J1072" s="51"/>
      <c r="K1072" s="51"/>
      <c r="L1072" s="51"/>
      <c r="M1072" s="35"/>
      <c r="N1072" s="51"/>
      <c r="O1072" s="82"/>
      <c r="P1072" s="51"/>
      <c r="Q1072" s="338"/>
      <c r="R1072" s="51"/>
      <c r="S1072" s="51"/>
      <c r="T1072" s="338"/>
      <c r="U1072" s="51"/>
      <c r="V1072" s="35"/>
      <c r="W1072" s="364">
        <f>SUM(X1072:AH1072)</f>
        <v>396372.03</v>
      </c>
      <c r="X1072" s="316"/>
      <c r="Y1072" s="285"/>
      <c r="Z1072" s="285"/>
      <c r="AA1072" s="285"/>
      <c r="AB1072" s="285"/>
      <c r="AC1072" s="9">
        <v>110398.82</v>
      </c>
      <c r="AD1072" s="306"/>
      <c r="AE1072" s="302">
        <v>285973.21000000002</v>
      </c>
      <c r="AF1072" s="302"/>
      <c r="AG1072" s="56"/>
    </row>
    <row r="1073" spans="1:33" x14ac:dyDescent="0.3">
      <c r="A1073" s="47">
        <f>A1072+1</f>
        <v>979</v>
      </c>
      <c r="B1073" s="414" t="s">
        <v>1235</v>
      </c>
      <c r="C1073" s="51">
        <f t="shared" si="227"/>
        <v>441253.8</v>
      </c>
      <c r="D1073" s="51">
        <f t="shared" si="228"/>
        <v>0</v>
      </c>
      <c r="E1073" s="51"/>
      <c r="F1073" s="51"/>
      <c r="G1073" s="51"/>
      <c r="H1073" s="51"/>
      <c r="I1073" s="51"/>
      <c r="J1073" s="51"/>
      <c r="K1073" s="51"/>
      <c r="L1073" s="51"/>
      <c r="M1073" s="35"/>
      <c r="N1073" s="51"/>
      <c r="O1073" s="82"/>
      <c r="P1073" s="51"/>
      <c r="Q1073" s="338"/>
      <c r="R1073" s="51"/>
      <c r="S1073" s="51"/>
      <c r="T1073" s="338"/>
      <c r="U1073" s="51"/>
      <c r="V1073" s="35"/>
      <c r="W1073" s="364">
        <f>SUM(X1073:AH1073)</f>
        <v>441253.8</v>
      </c>
      <c r="X1073" s="316"/>
      <c r="Y1073" s="285"/>
      <c r="Z1073" s="285"/>
      <c r="AA1073" s="285"/>
      <c r="AB1073" s="285"/>
      <c r="AC1073" s="9">
        <v>123483.5</v>
      </c>
      <c r="AD1073" s="306"/>
      <c r="AE1073" s="302">
        <v>317770.3</v>
      </c>
      <c r="AF1073" s="302"/>
      <c r="AG1073" s="56"/>
    </row>
    <row r="1074" spans="1:33" x14ac:dyDescent="0.3">
      <c r="A1074" s="47">
        <f t="shared" ref="A1074:A1077" si="229">A1073+1</f>
        <v>980</v>
      </c>
      <c r="B1074" s="414" t="s">
        <v>1236</v>
      </c>
      <c r="C1074" s="51">
        <f t="shared" si="227"/>
        <v>130</v>
      </c>
      <c r="D1074" s="51">
        <f t="shared" si="228"/>
        <v>0</v>
      </c>
      <c r="E1074" s="51"/>
      <c r="F1074" s="51"/>
      <c r="G1074" s="51"/>
      <c r="H1074" s="51"/>
      <c r="I1074" s="51"/>
      <c r="J1074" s="51"/>
      <c r="K1074" s="51"/>
      <c r="L1074" s="51"/>
      <c r="M1074" s="35"/>
      <c r="N1074" s="51"/>
      <c r="O1074" s="82"/>
      <c r="P1074" s="51"/>
      <c r="Q1074" s="338"/>
      <c r="R1074" s="51"/>
      <c r="S1074" s="51"/>
      <c r="T1074" s="338"/>
      <c r="U1074" s="51"/>
      <c r="V1074" s="35"/>
      <c r="W1074" s="364">
        <v>130</v>
      </c>
      <c r="X1074" s="316"/>
      <c r="Y1074" s="285"/>
      <c r="Z1074" s="285"/>
      <c r="AA1074" s="285"/>
      <c r="AB1074" s="285"/>
      <c r="AC1074" s="9"/>
      <c r="AD1074" s="306"/>
      <c r="AE1074" s="302"/>
      <c r="AF1074" s="302"/>
      <c r="AG1074" s="56"/>
    </row>
    <row r="1075" spans="1:33" x14ac:dyDescent="0.3">
      <c r="A1075" s="47">
        <f t="shared" si="229"/>
        <v>981</v>
      </c>
      <c r="B1075" s="414" t="s">
        <v>1237</v>
      </c>
      <c r="C1075" s="51">
        <f t="shared" si="227"/>
        <v>354460.41</v>
      </c>
      <c r="D1075" s="51">
        <f t="shared" si="228"/>
        <v>0</v>
      </c>
      <c r="E1075" s="51"/>
      <c r="F1075" s="51"/>
      <c r="G1075" s="51"/>
      <c r="H1075" s="51"/>
      <c r="I1075" s="51"/>
      <c r="J1075" s="51"/>
      <c r="K1075" s="51"/>
      <c r="L1075" s="51"/>
      <c r="M1075" s="35"/>
      <c r="N1075" s="51"/>
      <c r="O1075" s="82"/>
      <c r="P1075" s="51"/>
      <c r="Q1075" s="338"/>
      <c r="R1075" s="51"/>
      <c r="S1075" s="51"/>
      <c r="T1075" s="338"/>
      <c r="U1075" s="51"/>
      <c r="V1075" s="35"/>
      <c r="W1075" s="364">
        <f>SUM(X1075:AH1075)</f>
        <v>354460.41</v>
      </c>
      <c r="X1075" s="316"/>
      <c r="Y1075" s="285"/>
      <c r="Z1075" s="285"/>
      <c r="AA1075" s="285"/>
      <c r="AB1075" s="285"/>
      <c r="AC1075" s="9">
        <v>98180.05</v>
      </c>
      <c r="AD1075" s="306"/>
      <c r="AE1075" s="302">
        <v>256280.36</v>
      </c>
      <c r="AF1075" s="302"/>
      <c r="AG1075" s="56"/>
    </row>
    <row r="1076" spans="1:33" x14ac:dyDescent="0.3">
      <c r="A1076" s="47">
        <f t="shared" si="229"/>
        <v>982</v>
      </c>
      <c r="B1076" s="414" t="s">
        <v>1238</v>
      </c>
      <c r="C1076" s="51">
        <f t="shared" si="227"/>
        <v>401322.23</v>
      </c>
      <c r="D1076" s="51">
        <f t="shared" si="228"/>
        <v>0</v>
      </c>
      <c r="E1076" s="51"/>
      <c r="F1076" s="51"/>
      <c r="G1076" s="51"/>
      <c r="H1076" s="51"/>
      <c r="I1076" s="51"/>
      <c r="J1076" s="51"/>
      <c r="K1076" s="51"/>
      <c r="L1076" s="51"/>
      <c r="M1076" s="35"/>
      <c r="N1076" s="51"/>
      <c r="O1076" s="82"/>
      <c r="P1076" s="51"/>
      <c r="Q1076" s="338"/>
      <c r="R1076" s="51"/>
      <c r="S1076" s="51"/>
      <c r="T1076" s="338"/>
      <c r="U1076" s="51"/>
      <c r="V1076" s="35"/>
      <c r="W1076" s="364">
        <f>SUM(X1076:AH1076)</f>
        <v>401322.23</v>
      </c>
      <c r="X1076" s="316"/>
      <c r="Y1076" s="285"/>
      <c r="Z1076" s="285"/>
      <c r="AA1076" s="285"/>
      <c r="AB1076" s="285"/>
      <c r="AC1076" s="9">
        <v>111841.99</v>
      </c>
      <c r="AD1076" s="306"/>
      <c r="AE1076" s="302">
        <v>289480.24</v>
      </c>
      <c r="AF1076" s="302"/>
      <c r="AG1076" s="56"/>
    </row>
    <row r="1077" spans="1:33" x14ac:dyDescent="0.3">
      <c r="A1077" s="47">
        <f t="shared" si="229"/>
        <v>983</v>
      </c>
      <c r="B1077" s="414" t="s">
        <v>1239</v>
      </c>
      <c r="C1077" s="51">
        <f t="shared" si="227"/>
        <v>752519.53</v>
      </c>
      <c r="D1077" s="51">
        <f t="shared" si="228"/>
        <v>0</v>
      </c>
      <c r="E1077" s="51"/>
      <c r="F1077" s="51"/>
      <c r="G1077" s="51"/>
      <c r="H1077" s="51"/>
      <c r="I1077" s="51"/>
      <c r="J1077" s="51"/>
      <c r="K1077" s="51"/>
      <c r="L1077" s="51"/>
      <c r="M1077" s="35"/>
      <c r="N1077" s="51"/>
      <c r="O1077" s="82"/>
      <c r="P1077" s="51"/>
      <c r="Q1077" s="338"/>
      <c r="R1077" s="51"/>
      <c r="S1077" s="51"/>
      <c r="T1077" s="338"/>
      <c r="U1077" s="51"/>
      <c r="V1077" s="35"/>
      <c r="W1077" s="364">
        <f>SUM(X1077:AH1077)</f>
        <v>752519.53</v>
      </c>
      <c r="X1077" s="285"/>
      <c r="Y1077" s="285"/>
      <c r="Z1077" s="285"/>
      <c r="AA1077" s="285"/>
      <c r="AB1077" s="285"/>
      <c r="AC1077" s="9">
        <v>189845.3</v>
      </c>
      <c r="AD1077" s="306"/>
      <c r="AE1077" s="302">
        <v>562674.23</v>
      </c>
      <c r="AF1077" s="302"/>
      <c r="AG1077" s="56"/>
    </row>
    <row r="1078" spans="1:33" x14ac:dyDescent="0.3">
      <c r="A1078" s="47"/>
      <c r="B1078" s="414" t="s">
        <v>211</v>
      </c>
      <c r="C1078" s="51">
        <f t="shared" ref="C1078:W1078" si="230">SUM(C1072:C1077)</f>
        <v>2346058</v>
      </c>
      <c r="D1078" s="51">
        <f t="shared" si="230"/>
        <v>0</v>
      </c>
      <c r="E1078" s="51">
        <f t="shared" si="230"/>
        <v>0</v>
      </c>
      <c r="F1078" s="51">
        <f t="shared" si="230"/>
        <v>0</v>
      </c>
      <c r="G1078" s="51">
        <f t="shared" si="230"/>
        <v>0</v>
      </c>
      <c r="H1078" s="51">
        <f t="shared" si="230"/>
        <v>0</v>
      </c>
      <c r="I1078" s="51">
        <f t="shared" si="230"/>
        <v>0</v>
      </c>
      <c r="J1078" s="51">
        <f t="shared" si="230"/>
        <v>0</v>
      </c>
      <c r="K1078" s="51">
        <f t="shared" si="230"/>
        <v>0</v>
      </c>
      <c r="L1078" s="51">
        <f t="shared" si="230"/>
        <v>0</v>
      </c>
      <c r="M1078" s="35">
        <f t="shared" si="230"/>
        <v>0</v>
      </c>
      <c r="N1078" s="51">
        <f t="shared" si="230"/>
        <v>0</v>
      </c>
      <c r="O1078" s="82">
        <f t="shared" si="230"/>
        <v>0</v>
      </c>
      <c r="P1078" s="51">
        <f t="shared" si="230"/>
        <v>0</v>
      </c>
      <c r="Q1078" s="338">
        <f t="shared" si="230"/>
        <v>0</v>
      </c>
      <c r="R1078" s="51">
        <f t="shared" si="230"/>
        <v>0</v>
      </c>
      <c r="S1078" s="51">
        <f t="shared" si="230"/>
        <v>0</v>
      </c>
      <c r="T1078" s="338">
        <f t="shared" si="230"/>
        <v>0</v>
      </c>
      <c r="U1078" s="51">
        <f t="shared" si="230"/>
        <v>0</v>
      </c>
      <c r="V1078" s="35">
        <f t="shared" si="230"/>
        <v>0</v>
      </c>
      <c r="W1078" s="51">
        <f t="shared" si="230"/>
        <v>2346058</v>
      </c>
      <c r="X1078" s="285"/>
      <c r="Y1078" s="285"/>
      <c r="Z1078" s="285"/>
      <c r="AA1078" s="285"/>
      <c r="AB1078" s="285"/>
      <c r="AC1078" s="9"/>
      <c r="AD1078" s="306"/>
      <c r="AE1078" s="302"/>
      <c r="AF1078" s="302"/>
      <c r="AG1078" s="56"/>
    </row>
    <row r="1079" spans="1:33" ht="31.2" x14ac:dyDescent="0.3">
      <c r="A1079" s="47"/>
      <c r="B1079" s="414" t="s">
        <v>1240</v>
      </c>
      <c r="C1079" s="51"/>
      <c r="D1079" s="51"/>
      <c r="E1079" s="51"/>
      <c r="F1079" s="51"/>
      <c r="G1079" s="51"/>
      <c r="H1079" s="51"/>
      <c r="I1079" s="51"/>
      <c r="J1079" s="51"/>
      <c r="K1079" s="51"/>
      <c r="L1079" s="51"/>
      <c r="M1079" s="35"/>
      <c r="N1079" s="51"/>
      <c r="O1079" s="82"/>
      <c r="P1079" s="51"/>
      <c r="Q1079" s="338"/>
      <c r="R1079" s="51"/>
      <c r="S1079" s="51"/>
      <c r="T1079" s="338"/>
      <c r="U1079" s="51"/>
      <c r="V1079" s="35"/>
      <c r="W1079" s="364"/>
      <c r="X1079" s="285"/>
      <c r="Y1079" s="285"/>
      <c r="Z1079" s="285"/>
      <c r="AA1079" s="285"/>
      <c r="AB1079" s="285"/>
      <c r="AC1079" s="9"/>
      <c r="AD1079" s="306"/>
      <c r="AE1079" s="302"/>
      <c r="AF1079" s="302"/>
      <c r="AG1079" s="56"/>
    </row>
    <row r="1080" spans="1:33" x14ac:dyDescent="0.3">
      <c r="A1080" s="47">
        <f>A1077+1</f>
        <v>984</v>
      </c>
      <c r="B1080" s="414" t="s">
        <v>1242</v>
      </c>
      <c r="C1080" s="51">
        <f t="shared" ref="C1080:C1086" si="231">D1080+K1080+L1080+N1080+P1080+R1080+S1080+U1080+W1080</f>
        <v>23319506.920000002</v>
      </c>
      <c r="D1080" s="51">
        <f t="shared" ref="D1080:D1086" si="232">E1080+F1080+G1080+H1080+I1080</f>
        <v>0</v>
      </c>
      <c r="E1080" s="51"/>
      <c r="F1080" s="51"/>
      <c r="G1080" s="51"/>
      <c r="H1080" s="51"/>
      <c r="I1080" s="51"/>
      <c r="J1080" s="51"/>
      <c r="K1080" s="51"/>
      <c r="L1080" s="51"/>
      <c r="M1080" s="35"/>
      <c r="N1080" s="51"/>
      <c r="O1080" s="82"/>
      <c r="P1080" s="51"/>
      <c r="Q1080" s="338">
        <v>3512</v>
      </c>
      <c r="R1080" s="51">
        <v>23319506.920000002</v>
      </c>
      <c r="S1080" s="51"/>
      <c r="T1080" s="338"/>
      <c r="U1080" s="51"/>
      <c r="V1080" s="35"/>
      <c r="W1080" s="364"/>
      <c r="X1080" s="285"/>
      <c r="Y1080" s="285"/>
      <c r="Z1080" s="285"/>
      <c r="AA1080" s="285"/>
      <c r="AB1080" s="285"/>
      <c r="AC1080" s="9"/>
      <c r="AD1080" s="306"/>
      <c r="AE1080" s="302"/>
      <c r="AF1080" s="302"/>
      <c r="AG1080" s="56"/>
    </row>
    <row r="1081" spans="1:33" x14ac:dyDescent="0.3">
      <c r="A1081" s="47">
        <f>A1080+1</f>
        <v>985</v>
      </c>
      <c r="B1081" s="414" t="s">
        <v>1255</v>
      </c>
      <c r="C1081" s="51">
        <f t="shared" si="231"/>
        <v>21027360.460000001</v>
      </c>
      <c r="D1081" s="51">
        <f t="shared" si="232"/>
        <v>0</v>
      </c>
      <c r="E1081" s="51"/>
      <c r="F1081" s="51"/>
      <c r="G1081" s="51"/>
      <c r="H1081" s="51"/>
      <c r="I1081" s="51"/>
      <c r="J1081" s="51"/>
      <c r="K1081" s="51"/>
      <c r="L1081" s="51"/>
      <c r="M1081" s="35"/>
      <c r="N1081" s="51"/>
      <c r="O1081" s="82"/>
      <c r="P1081" s="51"/>
      <c r="Q1081" s="338">
        <v>3235</v>
      </c>
      <c r="R1081" s="51">
        <v>21027360.460000001</v>
      </c>
      <c r="S1081" s="51"/>
      <c r="T1081" s="338"/>
      <c r="U1081" s="51"/>
      <c r="V1081" s="35"/>
      <c r="W1081" s="364"/>
      <c r="X1081" s="285"/>
      <c r="Y1081" s="285"/>
      <c r="Z1081" s="285"/>
      <c r="AA1081" s="285"/>
      <c r="AB1081" s="285"/>
      <c r="AC1081" s="9"/>
      <c r="AD1081" s="306"/>
      <c r="AE1081" s="302"/>
      <c r="AF1081" s="302"/>
      <c r="AG1081" s="56"/>
    </row>
    <row r="1082" spans="1:33" x14ac:dyDescent="0.3">
      <c r="A1082" s="47">
        <f t="shared" ref="A1082:A1086" si="233">A1081+1</f>
        <v>986</v>
      </c>
      <c r="B1082" s="414" t="s">
        <v>1256</v>
      </c>
      <c r="C1082" s="51">
        <f t="shared" si="231"/>
        <v>20211849.48</v>
      </c>
      <c r="D1082" s="51">
        <f t="shared" si="232"/>
        <v>0</v>
      </c>
      <c r="E1082" s="51"/>
      <c r="F1082" s="51"/>
      <c r="G1082" s="51"/>
      <c r="H1082" s="51"/>
      <c r="I1082" s="51"/>
      <c r="J1082" s="51"/>
      <c r="K1082" s="51"/>
      <c r="L1082" s="51"/>
      <c r="M1082" s="35"/>
      <c r="N1082" s="51"/>
      <c r="O1082" s="82"/>
      <c r="P1082" s="51"/>
      <c r="Q1082" s="338">
        <v>3235</v>
      </c>
      <c r="R1082" s="51">
        <v>20211849.48</v>
      </c>
      <c r="S1082" s="51"/>
      <c r="T1082" s="338"/>
      <c r="U1082" s="51"/>
      <c r="V1082" s="35"/>
      <c r="W1082" s="364"/>
      <c r="X1082" s="285"/>
      <c r="Y1082" s="285"/>
      <c r="Z1082" s="285"/>
      <c r="AA1082" s="285"/>
      <c r="AB1082" s="285"/>
      <c r="AC1082" s="9"/>
      <c r="AD1082" s="306"/>
      <c r="AE1082" s="302"/>
      <c r="AF1082" s="302"/>
      <c r="AG1082" s="56"/>
    </row>
    <row r="1083" spans="1:33" x14ac:dyDescent="0.3">
      <c r="A1083" s="47">
        <f t="shared" si="233"/>
        <v>987</v>
      </c>
      <c r="B1083" s="414" t="s">
        <v>1257</v>
      </c>
      <c r="C1083" s="51">
        <f t="shared" si="231"/>
        <v>8900693.9800000004</v>
      </c>
      <c r="D1083" s="51">
        <f t="shared" si="232"/>
        <v>0</v>
      </c>
      <c r="E1083" s="51"/>
      <c r="F1083" s="51"/>
      <c r="G1083" s="51"/>
      <c r="H1083" s="51"/>
      <c r="I1083" s="51"/>
      <c r="J1083" s="51"/>
      <c r="K1083" s="51"/>
      <c r="L1083" s="51"/>
      <c r="M1083" s="35"/>
      <c r="N1083" s="51"/>
      <c r="O1083" s="82"/>
      <c r="P1083" s="51"/>
      <c r="Q1083" s="338">
        <v>1130</v>
      </c>
      <c r="R1083" s="51">
        <v>8900693.9800000004</v>
      </c>
      <c r="S1083" s="51"/>
      <c r="T1083" s="338"/>
      <c r="U1083" s="51"/>
      <c r="V1083" s="35"/>
      <c r="W1083" s="364"/>
      <c r="X1083" s="285"/>
      <c r="Y1083" s="285"/>
      <c r="Z1083" s="285"/>
      <c r="AA1083" s="285"/>
      <c r="AB1083" s="285"/>
      <c r="AC1083" s="9"/>
      <c r="AD1083" s="306"/>
      <c r="AE1083" s="302"/>
      <c r="AF1083" s="302"/>
      <c r="AG1083" s="56"/>
    </row>
    <row r="1084" spans="1:33" x14ac:dyDescent="0.3">
      <c r="A1084" s="47">
        <f t="shared" si="233"/>
        <v>988</v>
      </c>
      <c r="B1084" s="414" t="s">
        <v>1258</v>
      </c>
      <c r="C1084" s="51">
        <f t="shared" si="231"/>
        <v>13897997.52</v>
      </c>
      <c r="D1084" s="51">
        <f t="shared" si="232"/>
        <v>0</v>
      </c>
      <c r="E1084" s="51"/>
      <c r="F1084" s="51"/>
      <c r="G1084" s="51"/>
      <c r="H1084" s="51"/>
      <c r="I1084" s="51"/>
      <c r="J1084" s="51"/>
      <c r="K1084" s="51"/>
      <c r="L1084" s="51"/>
      <c r="M1084" s="35"/>
      <c r="N1084" s="51"/>
      <c r="O1084" s="82"/>
      <c r="P1084" s="51"/>
      <c r="Q1084" s="338">
        <v>2350</v>
      </c>
      <c r="R1084" s="51">
        <v>13897997.52</v>
      </c>
      <c r="S1084" s="51"/>
      <c r="T1084" s="338"/>
      <c r="U1084" s="51"/>
      <c r="V1084" s="35"/>
      <c r="W1084" s="364"/>
      <c r="X1084" s="285"/>
      <c r="Y1084" s="285"/>
      <c r="Z1084" s="285"/>
      <c r="AA1084" s="285"/>
      <c r="AB1084" s="285"/>
      <c r="AC1084" s="9"/>
      <c r="AD1084" s="306"/>
      <c r="AE1084" s="302"/>
      <c r="AF1084" s="302"/>
      <c r="AG1084" s="56"/>
    </row>
    <row r="1085" spans="1:33" x14ac:dyDescent="0.3">
      <c r="A1085" s="47">
        <f t="shared" si="233"/>
        <v>989</v>
      </c>
      <c r="B1085" s="414" t="s">
        <v>1261</v>
      </c>
      <c r="C1085" s="51">
        <f t="shared" si="231"/>
        <v>26257001.280000001</v>
      </c>
      <c r="D1085" s="51">
        <f t="shared" si="232"/>
        <v>0</v>
      </c>
      <c r="E1085" s="51"/>
      <c r="F1085" s="51"/>
      <c r="G1085" s="51"/>
      <c r="H1085" s="51"/>
      <c r="I1085" s="51"/>
      <c r="J1085" s="51"/>
      <c r="K1085" s="51"/>
      <c r="L1085" s="51"/>
      <c r="M1085" s="35"/>
      <c r="N1085" s="51"/>
      <c r="O1085" s="82"/>
      <c r="P1085" s="51"/>
      <c r="Q1085" s="338">
        <v>2293.1999999999998</v>
      </c>
      <c r="R1085" s="51">
        <v>26257001.280000001</v>
      </c>
      <c r="S1085" s="51"/>
      <c r="T1085" s="338"/>
      <c r="U1085" s="51"/>
      <c r="V1085" s="35"/>
      <c r="W1085" s="364"/>
      <c r="X1085" s="285"/>
      <c r="Y1085" s="285"/>
      <c r="Z1085" s="285"/>
      <c r="AA1085" s="285"/>
      <c r="AB1085" s="285"/>
      <c r="AC1085" s="9"/>
      <c r="AD1085" s="306"/>
      <c r="AE1085" s="302"/>
      <c r="AF1085" s="302"/>
      <c r="AG1085" s="56"/>
    </row>
    <row r="1086" spans="1:33" x14ac:dyDescent="0.3">
      <c r="A1086" s="47">
        <f t="shared" si="233"/>
        <v>990</v>
      </c>
      <c r="B1086" s="414" t="s">
        <v>1298</v>
      </c>
      <c r="C1086" s="51">
        <f t="shared" si="231"/>
        <v>23916094.859999999</v>
      </c>
      <c r="D1086" s="51">
        <f t="shared" si="232"/>
        <v>0</v>
      </c>
      <c r="E1086" s="51"/>
      <c r="F1086" s="51"/>
      <c r="G1086" s="51"/>
      <c r="H1086" s="51"/>
      <c r="I1086" s="51"/>
      <c r="J1086" s="51"/>
      <c r="K1086" s="51"/>
      <c r="L1086" s="51"/>
      <c r="M1086" s="35"/>
      <c r="N1086" s="51"/>
      <c r="O1086" s="82"/>
      <c r="P1086" s="51"/>
      <c r="Q1086" s="338">
        <v>3501.9</v>
      </c>
      <c r="R1086" s="51">
        <v>23916094.859999999</v>
      </c>
      <c r="S1086" s="51"/>
      <c r="T1086" s="338"/>
      <c r="U1086" s="51"/>
      <c r="V1086" s="35"/>
      <c r="W1086" s="364"/>
      <c r="X1086" s="285"/>
      <c r="Y1086" s="285"/>
      <c r="Z1086" s="285"/>
      <c r="AA1086" s="285"/>
      <c r="AB1086" s="285"/>
      <c r="AC1086" s="9"/>
      <c r="AD1086" s="306"/>
      <c r="AE1086" s="302"/>
      <c r="AF1086" s="302"/>
      <c r="AG1086" s="56"/>
    </row>
    <row r="1087" spans="1:33" x14ac:dyDescent="0.3">
      <c r="A1087" s="47"/>
      <c r="B1087" s="414" t="s">
        <v>211</v>
      </c>
      <c r="C1087" s="51">
        <f t="shared" ref="C1087:W1087" si="234">SUM(C1080:C1086)</f>
        <v>137530504.5</v>
      </c>
      <c r="D1087" s="51">
        <f t="shared" si="234"/>
        <v>0</v>
      </c>
      <c r="E1087" s="51">
        <f t="shared" si="234"/>
        <v>0</v>
      </c>
      <c r="F1087" s="51">
        <f t="shared" si="234"/>
        <v>0</v>
      </c>
      <c r="G1087" s="51">
        <f t="shared" si="234"/>
        <v>0</v>
      </c>
      <c r="H1087" s="51">
        <f t="shared" si="234"/>
        <v>0</v>
      </c>
      <c r="I1087" s="51">
        <f t="shared" si="234"/>
        <v>0</v>
      </c>
      <c r="J1087" s="51">
        <f t="shared" si="234"/>
        <v>0</v>
      </c>
      <c r="K1087" s="51">
        <f t="shared" si="234"/>
        <v>0</v>
      </c>
      <c r="L1087" s="51">
        <f t="shared" si="234"/>
        <v>0</v>
      </c>
      <c r="M1087" s="35">
        <f t="shared" si="234"/>
        <v>0</v>
      </c>
      <c r="N1087" s="51">
        <f t="shared" si="234"/>
        <v>0</v>
      </c>
      <c r="O1087" s="82">
        <f t="shared" si="234"/>
        <v>0</v>
      </c>
      <c r="P1087" s="51">
        <f t="shared" si="234"/>
        <v>0</v>
      </c>
      <c r="Q1087" s="338">
        <f t="shared" si="234"/>
        <v>19257.100000000002</v>
      </c>
      <c r="R1087" s="51">
        <f t="shared" si="234"/>
        <v>137530504.5</v>
      </c>
      <c r="S1087" s="51">
        <f t="shared" si="234"/>
        <v>0</v>
      </c>
      <c r="T1087" s="338">
        <f t="shared" si="234"/>
        <v>0</v>
      </c>
      <c r="U1087" s="51">
        <f t="shared" si="234"/>
        <v>0</v>
      </c>
      <c r="V1087" s="35">
        <f t="shared" si="234"/>
        <v>0</v>
      </c>
      <c r="W1087" s="51">
        <f t="shared" si="234"/>
        <v>0</v>
      </c>
      <c r="X1087" s="285"/>
      <c r="Y1087" s="285"/>
      <c r="Z1087" s="285"/>
      <c r="AA1087" s="285"/>
      <c r="AB1087" s="285"/>
      <c r="AC1087" s="9"/>
      <c r="AD1087" s="306"/>
      <c r="AE1087" s="302"/>
      <c r="AF1087" s="302"/>
      <c r="AG1087" s="56"/>
    </row>
    <row r="1088" spans="1:33" ht="31.2" x14ac:dyDescent="0.3">
      <c r="A1088" s="47"/>
      <c r="B1088" s="414" t="s">
        <v>1299</v>
      </c>
      <c r="C1088" s="51"/>
      <c r="D1088" s="51"/>
      <c r="E1088" s="51"/>
      <c r="F1088" s="51"/>
      <c r="G1088" s="51"/>
      <c r="H1088" s="51"/>
      <c r="I1088" s="51"/>
      <c r="J1088" s="51"/>
      <c r="K1088" s="51"/>
      <c r="L1088" s="51"/>
      <c r="M1088" s="35"/>
      <c r="N1088" s="51"/>
      <c r="O1088" s="82"/>
      <c r="P1088" s="51"/>
      <c r="Q1088" s="338"/>
      <c r="R1088" s="51"/>
      <c r="S1088" s="51"/>
      <c r="T1088" s="338"/>
      <c r="U1088" s="51"/>
      <c r="V1088" s="35"/>
      <c r="W1088" s="364"/>
      <c r="X1088" s="285"/>
      <c r="Y1088" s="285"/>
      <c r="Z1088" s="285"/>
      <c r="AA1088" s="285"/>
      <c r="AB1088" s="285"/>
      <c r="AC1088" s="9"/>
      <c r="AD1088" s="306"/>
      <c r="AE1088" s="302"/>
      <c r="AF1088" s="302"/>
      <c r="AG1088" s="56"/>
    </row>
    <row r="1089" spans="1:33" x14ac:dyDescent="0.3">
      <c r="A1089" s="47">
        <f>A1086+1</f>
        <v>991</v>
      </c>
      <c r="B1089" s="414" t="s">
        <v>1313</v>
      </c>
      <c r="C1089" s="51">
        <f>D1089+K1089+L1089+N1089+P1089+R1089+S1089+U1089+W1089</f>
        <v>15274657.720000001</v>
      </c>
      <c r="D1089" s="51">
        <f>E1089+F1089+G1089+H1089+I1089</f>
        <v>0</v>
      </c>
      <c r="E1089" s="51"/>
      <c r="F1089" s="51"/>
      <c r="G1089" s="51"/>
      <c r="H1089" s="51"/>
      <c r="I1089" s="51"/>
      <c r="J1089" s="51"/>
      <c r="K1089" s="51"/>
      <c r="L1089" s="51"/>
      <c r="M1089" s="35"/>
      <c r="N1089" s="51"/>
      <c r="O1089" s="82"/>
      <c r="P1089" s="51"/>
      <c r="Q1089" s="338">
        <v>2025.7</v>
      </c>
      <c r="R1089" s="51">
        <v>15274657.720000001</v>
      </c>
      <c r="S1089" s="51"/>
      <c r="T1089" s="338"/>
      <c r="U1089" s="51"/>
      <c r="V1089" s="35"/>
      <c r="W1089" s="364"/>
      <c r="X1089" s="285">
        <v>204891.61</v>
      </c>
      <c r="Y1089" s="285"/>
      <c r="Z1089" s="285"/>
      <c r="AA1089" s="285"/>
      <c r="AB1089" s="285"/>
      <c r="AC1089" s="9"/>
      <c r="AD1089" s="306">
        <v>198293.32</v>
      </c>
      <c r="AE1089" s="302">
        <v>1179756.19</v>
      </c>
      <c r="AF1089" s="302"/>
      <c r="AG1089" s="56"/>
    </row>
    <row r="1090" spans="1:33" x14ac:dyDescent="0.3">
      <c r="A1090" s="47">
        <f>A1089+1</f>
        <v>992</v>
      </c>
      <c r="B1090" s="414" t="s">
        <v>1315</v>
      </c>
      <c r="C1090" s="51">
        <f>D1090+K1090+L1090+N1090+P1090+R1090+S1090+U1090+W1090</f>
        <v>19886969.52</v>
      </c>
      <c r="D1090" s="51">
        <f>E1090+F1090+G1090+H1090+I1090</f>
        <v>0</v>
      </c>
      <c r="E1090" s="51"/>
      <c r="F1090" s="51"/>
      <c r="G1090" s="51"/>
      <c r="H1090" s="51"/>
      <c r="I1090" s="51"/>
      <c r="J1090" s="51"/>
      <c r="K1090" s="51"/>
      <c r="L1090" s="51"/>
      <c r="M1090" s="35"/>
      <c r="N1090" s="51"/>
      <c r="O1090" s="82"/>
      <c r="P1090" s="51"/>
      <c r="Q1090" s="338">
        <v>2137.6999999999998</v>
      </c>
      <c r="R1090" s="51">
        <v>19886969.52</v>
      </c>
      <c r="S1090" s="51"/>
      <c r="T1090" s="338"/>
      <c r="U1090" s="51"/>
      <c r="V1090" s="35"/>
      <c r="W1090" s="364"/>
      <c r="X1090" s="285">
        <v>163933.35999999999</v>
      </c>
      <c r="Y1090" s="285"/>
      <c r="Z1090" s="285"/>
      <c r="AA1090" s="285"/>
      <c r="AB1090" s="285"/>
      <c r="AC1090" s="9"/>
      <c r="AD1090" s="306"/>
      <c r="AE1090" s="302"/>
      <c r="AF1090" s="302"/>
      <c r="AG1090" s="56"/>
    </row>
    <row r="1091" spans="1:33" x14ac:dyDescent="0.3">
      <c r="A1091" s="47">
        <f>A1090+1</f>
        <v>993</v>
      </c>
      <c r="B1091" s="414" t="s">
        <v>1316</v>
      </c>
      <c r="C1091" s="51">
        <f>D1091+K1091+L1091+N1091+P1091+R1091+S1091+U1091+W1091</f>
        <v>19886969.52</v>
      </c>
      <c r="D1091" s="51">
        <f>E1091+F1091+G1091+H1091+I1091</f>
        <v>0</v>
      </c>
      <c r="E1091" s="51"/>
      <c r="F1091" s="51"/>
      <c r="G1091" s="51"/>
      <c r="H1091" s="51"/>
      <c r="I1091" s="51"/>
      <c r="J1091" s="51"/>
      <c r="K1091" s="51"/>
      <c r="L1091" s="51"/>
      <c r="M1091" s="35"/>
      <c r="N1091" s="51"/>
      <c r="O1091" s="82"/>
      <c r="P1091" s="51"/>
      <c r="Q1091" s="338">
        <v>2137.6999999999998</v>
      </c>
      <c r="R1091" s="51">
        <v>19886969.52</v>
      </c>
      <c r="S1091" s="51"/>
      <c r="T1091" s="338"/>
      <c r="U1091" s="51"/>
      <c r="V1091" s="35"/>
      <c r="W1091" s="364"/>
      <c r="X1091" s="285">
        <v>163933.35999999999</v>
      </c>
      <c r="Y1091" s="285"/>
      <c r="Z1091" s="285"/>
      <c r="AA1091" s="285"/>
      <c r="AB1091" s="285"/>
      <c r="AC1091" s="9"/>
      <c r="AD1091" s="306"/>
      <c r="AE1091" s="302"/>
      <c r="AF1091" s="302"/>
      <c r="AG1091" s="56"/>
    </row>
    <row r="1092" spans="1:33" x14ac:dyDescent="0.3">
      <c r="A1092" s="47">
        <f>A1091+1</f>
        <v>994</v>
      </c>
      <c r="B1092" s="414" t="s">
        <v>1317</v>
      </c>
      <c r="C1092" s="51">
        <f>D1092+K1092+L1092+N1092+P1092+R1092+S1092+U1092+W1092</f>
        <v>3103212</v>
      </c>
      <c r="D1092" s="51">
        <f>E1092+F1092+G1092+H1092+I1092</f>
        <v>0</v>
      </c>
      <c r="E1092" s="51"/>
      <c r="F1092" s="51"/>
      <c r="G1092" s="51"/>
      <c r="H1092" s="51"/>
      <c r="I1092" s="51"/>
      <c r="J1092" s="51"/>
      <c r="K1092" s="51"/>
      <c r="L1092" s="51"/>
      <c r="M1092" s="35"/>
      <c r="N1092" s="51"/>
      <c r="O1092" s="82">
        <v>648</v>
      </c>
      <c r="P1092" s="51">
        <v>3103212</v>
      </c>
      <c r="Q1092" s="338"/>
      <c r="R1092" s="51"/>
      <c r="S1092" s="51"/>
      <c r="T1092" s="338"/>
      <c r="U1092" s="51"/>
      <c r="V1092" s="35"/>
      <c r="W1092" s="364"/>
      <c r="X1092" s="285"/>
      <c r="Y1092" s="285"/>
      <c r="Z1092" s="285"/>
      <c r="AA1092" s="285"/>
      <c r="AB1092" s="285"/>
      <c r="AC1092" s="9"/>
      <c r="AD1092" s="306"/>
      <c r="AE1092" s="302"/>
      <c r="AF1092" s="302"/>
      <c r="AG1092" s="56"/>
    </row>
    <row r="1093" spans="1:33" x14ac:dyDescent="0.3">
      <c r="A1093" s="47"/>
      <c r="B1093" s="414" t="s">
        <v>211</v>
      </c>
      <c r="C1093" s="51">
        <f t="shared" ref="C1093:W1093" si="235">SUM(C1089:C1092)</f>
        <v>58151808.760000005</v>
      </c>
      <c r="D1093" s="51">
        <f t="shared" si="235"/>
        <v>0</v>
      </c>
      <c r="E1093" s="51">
        <f t="shared" si="235"/>
        <v>0</v>
      </c>
      <c r="F1093" s="51">
        <f t="shared" si="235"/>
        <v>0</v>
      </c>
      <c r="G1093" s="51">
        <f t="shared" si="235"/>
        <v>0</v>
      </c>
      <c r="H1093" s="51">
        <f t="shared" si="235"/>
        <v>0</v>
      </c>
      <c r="I1093" s="51">
        <f t="shared" si="235"/>
        <v>0</v>
      </c>
      <c r="J1093" s="51">
        <f t="shared" si="235"/>
        <v>0</v>
      </c>
      <c r="K1093" s="51">
        <f t="shared" si="235"/>
        <v>0</v>
      </c>
      <c r="L1093" s="51">
        <f t="shared" si="235"/>
        <v>0</v>
      </c>
      <c r="M1093" s="35">
        <f t="shared" si="235"/>
        <v>0</v>
      </c>
      <c r="N1093" s="51">
        <f t="shared" si="235"/>
        <v>0</v>
      </c>
      <c r="O1093" s="82">
        <f t="shared" si="235"/>
        <v>648</v>
      </c>
      <c r="P1093" s="51">
        <f t="shared" si="235"/>
        <v>3103212</v>
      </c>
      <c r="Q1093" s="338">
        <f t="shared" si="235"/>
        <v>6301.0999999999995</v>
      </c>
      <c r="R1093" s="51">
        <f t="shared" si="235"/>
        <v>55048596.760000005</v>
      </c>
      <c r="S1093" s="51">
        <f t="shared" si="235"/>
        <v>0</v>
      </c>
      <c r="T1093" s="338">
        <f t="shared" si="235"/>
        <v>0</v>
      </c>
      <c r="U1093" s="51">
        <f t="shared" si="235"/>
        <v>0</v>
      </c>
      <c r="V1093" s="35">
        <f t="shared" si="235"/>
        <v>0</v>
      </c>
      <c r="W1093" s="51">
        <f t="shared" si="235"/>
        <v>0</v>
      </c>
      <c r="X1093" s="285"/>
      <c r="Y1093" s="285"/>
      <c r="Z1093" s="285"/>
      <c r="AA1093" s="285"/>
      <c r="AB1093" s="285"/>
      <c r="AC1093" s="9"/>
      <c r="AD1093" s="306"/>
      <c r="AE1093" s="302"/>
      <c r="AF1093" s="302"/>
      <c r="AG1093" s="56"/>
    </row>
    <row r="1094" spans="1:33" ht="31.2" x14ac:dyDescent="0.3">
      <c r="A1094" s="47"/>
      <c r="B1094" s="414" t="s">
        <v>1326</v>
      </c>
      <c r="C1094" s="51"/>
      <c r="D1094" s="51"/>
      <c r="E1094" s="51"/>
      <c r="F1094" s="51"/>
      <c r="G1094" s="51"/>
      <c r="H1094" s="51"/>
      <c r="I1094" s="51"/>
      <c r="J1094" s="51"/>
      <c r="K1094" s="51"/>
      <c r="L1094" s="51"/>
      <c r="M1094" s="35"/>
      <c r="N1094" s="51"/>
      <c r="O1094" s="82"/>
      <c r="P1094" s="51"/>
      <c r="Q1094" s="338"/>
      <c r="R1094" s="51"/>
      <c r="S1094" s="51"/>
      <c r="T1094" s="338"/>
      <c r="U1094" s="51"/>
      <c r="V1094" s="35"/>
      <c r="W1094" s="364"/>
      <c r="X1094" s="285"/>
      <c r="Y1094" s="285"/>
      <c r="Z1094" s="285"/>
      <c r="AA1094" s="285"/>
      <c r="AB1094" s="285"/>
      <c r="AC1094" s="9"/>
      <c r="AD1094" s="306"/>
      <c r="AE1094" s="302"/>
      <c r="AF1094" s="302"/>
      <c r="AG1094" s="56"/>
    </row>
    <row r="1095" spans="1:33" x14ac:dyDescent="0.3">
      <c r="A1095" s="47">
        <f>A1092+1</f>
        <v>995</v>
      </c>
      <c r="B1095" s="414" t="s">
        <v>1327</v>
      </c>
      <c r="C1095" s="51">
        <f>D1095+K1095+L1095+N1095+P1095+R1095+S1095+U1095+W1095</f>
        <v>1413588</v>
      </c>
      <c r="D1095" s="51">
        <f>E1095+F1095+G1095+H1095+I1095</f>
        <v>0</v>
      </c>
      <c r="E1095" s="51"/>
      <c r="F1095" s="51"/>
      <c r="G1095" s="51"/>
      <c r="H1095" s="51"/>
      <c r="I1095" s="51"/>
      <c r="J1095" s="51"/>
      <c r="K1095" s="51"/>
      <c r="L1095" s="51"/>
      <c r="M1095" s="35">
        <v>593.1</v>
      </c>
      <c r="N1095" s="51">
        <v>1413588</v>
      </c>
      <c r="O1095" s="82"/>
      <c r="P1095" s="51"/>
      <c r="Q1095" s="338"/>
      <c r="R1095" s="51"/>
      <c r="S1095" s="51"/>
      <c r="T1095" s="338"/>
      <c r="U1095" s="51"/>
      <c r="V1095" s="35"/>
      <c r="W1095" s="364"/>
      <c r="X1095" s="285"/>
      <c r="Y1095" s="285"/>
      <c r="Z1095" s="285"/>
      <c r="AA1095" s="285"/>
      <c r="AB1095" s="285"/>
      <c r="AC1095" s="9"/>
      <c r="AD1095" s="306"/>
      <c r="AE1095" s="302"/>
      <c r="AF1095" s="302"/>
      <c r="AG1095" s="56"/>
    </row>
    <row r="1096" spans="1:33" x14ac:dyDescent="0.3">
      <c r="A1096" s="47">
        <f>A1095+1</f>
        <v>996</v>
      </c>
      <c r="B1096" s="414" t="s">
        <v>1328</v>
      </c>
      <c r="C1096" s="51">
        <f>D1096+K1096+L1096+N1096+P1096+R1096+S1096+U1096+W1096</f>
        <v>2068406.66</v>
      </c>
      <c r="D1096" s="51">
        <f>E1096+F1096+G1096+H1096+I1096</f>
        <v>0</v>
      </c>
      <c r="E1096" s="51"/>
      <c r="F1096" s="51"/>
      <c r="G1096" s="51"/>
      <c r="H1096" s="51"/>
      <c r="I1096" s="51"/>
      <c r="J1096" s="51"/>
      <c r="K1096" s="51"/>
      <c r="L1096" s="51"/>
      <c r="M1096" s="35">
        <v>1257</v>
      </c>
      <c r="N1096" s="51">
        <v>2068406.66</v>
      </c>
      <c r="O1096" s="82"/>
      <c r="P1096" s="51"/>
      <c r="Q1096" s="338"/>
      <c r="R1096" s="51"/>
      <c r="S1096" s="51"/>
      <c r="T1096" s="338"/>
      <c r="U1096" s="51"/>
      <c r="V1096" s="35"/>
      <c r="W1096" s="364"/>
      <c r="X1096" s="285"/>
      <c r="Y1096" s="285"/>
      <c r="Z1096" s="285"/>
      <c r="AA1096" s="285"/>
      <c r="AB1096" s="285"/>
      <c r="AC1096" s="9"/>
      <c r="AD1096" s="306"/>
      <c r="AE1096" s="302"/>
      <c r="AF1096" s="302"/>
      <c r="AG1096" s="56"/>
    </row>
    <row r="1097" spans="1:33" x14ac:dyDescent="0.3">
      <c r="A1097" s="47"/>
      <c r="B1097" s="414" t="s">
        <v>211</v>
      </c>
      <c r="C1097" s="51">
        <f t="shared" ref="C1097:W1097" si="236">SUM(C1095:C1096)</f>
        <v>3481994.66</v>
      </c>
      <c r="D1097" s="51">
        <f t="shared" si="236"/>
        <v>0</v>
      </c>
      <c r="E1097" s="51">
        <f t="shared" si="236"/>
        <v>0</v>
      </c>
      <c r="F1097" s="51">
        <f t="shared" si="236"/>
        <v>0</v>
      </c>
      <c r="G1097" s="51">
        <f t="shared" si="236"/>
        <v>0</v>
      </c>
      <c r="H1097" s="51">
        <f t="shared" si="236"/>
        <v>0</v>
      </c>
      <c r="I1097" s="51">
        <f t="shared" si="236"/>
        <v>0</v>
      </c>
      <c r="J1097" s="51">
        <f t="shared" si="236"/>
        <v>0</v>
      </c>
      <c r="K1097" s="51">
        <f t="shared" si="236"/>
        <v>0</v>
      </c>
      <c r="L1097" s="51">
        <f t="shared" si="236"/>
        <v>0</v>
      </c>
      <c r="M1097" s="35">
        <f t="shared" si="236"/>
        <v>1850.1</v>
      </c>
      <c r="N1097" s="51">
        <f t="shared" si="236"/>
        <v>3481994.66</v>
      </c>
      <c r="O1097" s="82">
        <f t="shared" si="236"/>
        <v>0</v>
      </c>
      <c r="P1097" s="51">
        <f t="shared" si="236"/>
        <v>0</v>
      </c>
      <c r="Q1097" s="338">
        <f t="shared" si="236"/>
        <v>0</v>
      </c>
      <c r="R1097" s="51">
        <f t="shared" si="236"/>
        <v>0</v>
      </c>
      <c r="S1097" s="51">
        <f t="shared" si="236"/>
        <v>0</v>
      </c>
      <c r="T1097" s="338">
        <f t="shared" si="236"/>
        <v>0</v>
      </c>
      <c r="U1097" s="51">
        <f t="shared" si="236"/>
        <v>0</v>
      </c>
      <c r="V1097" s="35">
        <f t="shared" si="236"/>
        <v>0</v>
      </c>
      <c r="W1097" s="51">
        <f t="shared" si="236"/>
        <v>0</v>
      </c>
      <c r="X1097" s="285"/>
      <c r="Y1097" s="285"/>
      <c r="Z1097" s="285"/>
      <c r="AA1097" s="285"/>
      <c r="AB1097" s="285"/>
      <c r="AC1097" s="9"/>
      <c r="AD1097" s="306"/>
      <c r="AE1097" s="302"/>
      <c r="AF1097" s="302"/>
      <c r="AG1097" s="56"/>
    </row>
    <row r="1098" spans="1:33" x14ac:dyDescent="0.3">
      <c r="A1098" s="47"/>
      <c r="B1098" s="414" t="s">
        <v>1329</v>
      </c>
      <c r="C1098" s="51">
        <f t="shared" ref="C1098:W1098" si="237">C653+C917+C967+C996+C1070+C1078+C1087+C1093+C1097</f>
        <v>487983706.40700012</v>
      </c>
      <c r="D1098" s="51">
        <f t="shared" si="237"/>
        <v>6486732</v>
      </c>
      <c r="E1098" s="51">
        <f t="shared" si="237"/>
        <v>6486732</v>
      </c>
      <c r="F1098" s="51">
        <f t="shared" si="237"/>
        <v>0</v>
      </c>
      <c r="G1098" s="51">
        <f t="shared" si="237"/>
        <v>0</v>
      </c>
      <c r="H1098" s="51">
        <f t="shared" si="237"/>
        <v>0</v>
      </c>
      <c r="I1098" s="51">
        <f t="shared" si="237"/>
        <v>0</v>
      </c>
      <c r="J1098" s="51">
        <f t="shared" si="237"/>
        <v>0</v>
      </c>
      <c r="K1098" s="51">
        <f t="shared" si="237"/>
        <v>0</v>
      </c>
      <c r="L1098" s="51">
        <f t="shared" si="237"/>
        <v>0</v>
      </c>
      <c r="M1098" s="35">
        <f t="shared" si="237"/>
        <v>12047.710000000001</v>
      </c>
      <c r="N1098" s="51">
        <f t="shared" si="237"/>
        <v>61622161.459999993</v>
      </c>
      <c r="O1098" s="82">
        <f t="shared" si="237"/>
        <v>887.7</v>
      </c>
      <c r="P1098" s="51">
        <f t="shared" si="237"/>
        <v>4970204.4000000004</v>
      </c>
      <c r="Q1098" s="338">
        <f t="shared" si="237"/>
        <v>26707.200000000001</v>
      </c>
      <c r="R1098" s="51">
        <f t="shared" si="237"/>
        <v>208668548.25999999</v>
      </c>
      <c r="S1098" s="51">
        <f t="shared" si="237"/>
        <v>0</v>
      </c>
      <c r="T1098" s="338">
        <f t="shared" si="237"/>
        <v>4944.3999999999996</v>
      </c>
      <c r="U1098" s="51">
        <f t="shared" si="237"/>
        <v>1475036.1099999999</v>
      </c>
      <c r="V1098" s="35">
        <f t="shared" si="237"/>
        <v>116175.6</v>
      </c>
      <c r="W1098" s="51">
        <f t="shared" si="237"/>
        <v>203955885.04700011</v>
      </c>
      <c r="X1098" s="285"/>
      <c r="Y1098" s="285"/>
      <c r="Z1098" s="285"/>
      <c r="AA1098" s="285"/>
      <c r="AB1098" s="285"/>
      <c r="AC1098" s="9"/>
      <c r="AD1098" s="306"/>
      <c r="AE1098" s="302"/>
      <c r="AF1098" s="302"/>
      <c r="AG1098" s="56"/>
    </row>
    <row r="1099" spans="1:33" ht="15" customHeight="1" x14ac:dyDescent="0.3">
      <c r="A1099" s="438" t="s">
        <v>1330</v>
      </c>
      <c r="B1099" s="420"/>
      <c r="C1099" s="51"/>
      <c r="D1099" s="51"/>
      <c r="E1099" s="51"/>
      <c r="F1099" s="51"/>
      <c r="G1099" s="51"/>
      <c r="H1099" s="51"/>
      <c r="I1099" s="51"/>
      <c r="J1099" s="51"/>
      <c r="K1099" s="51"/>
      <c r="L1099" s="51"/>
      <c r="M1099" s="35"/>
      <c r="N1099" s="51"/>
      <c r="O1099" s="82"/>
      <c r="P1099" s="51"/>
      <c r="Q1099" s="338"/>
      <c r="R1099" s="51"/>
      <c r="S1099" s="51"/>
      <c r="T1099" s="338"/>
      <c r="U1099" s="51"/>
      <c r="V1099" s="35"/>
      <c r="W1099" s="364"/>
      <c r="X1099" s="285"/>
      <c r="Y1099" s="9"/>
      <c r="Z1099" s="40"/>
      <c r="AA1099" s="56"/>
      <c r="AB1099" s="56"/>
      <c r="AC1099" s="56"/>
      <c r="AD1099" s="56"/>
      <c r="AE1099" s="56"/>
    </row>
    <row r="1100" spans="1:33" ht="15" customHeight="1" x14ac:dyDescent="0.3">
      <c r="A1100" s="434" t="s">
        <v>1331</v>
      </c>
      <c r="B1100" s="414"/>
      <c r="C1100" s="51"/>
      <c r="D1100" s="51"/>
      <c r="E1100" s="51"/>
      <c r="F1100" s="51"/>
      <c r="G1100" s="51"/>
      <c r="H1100" s="51"/>
      <c r="I1100" s="51"/>
      <c r="J1100" s="51"/>
      <c r="K1100" s="51"/>
      <c r="L1100" s="51"/>
      <c r="M1100" s="35"/>
      <c r="N1100" s="51"/>
      <c r="O1100" s="82"/>
      <c r="P1100" s="51"/>
      <c r="Q1100" s="338"/>
      <c r="R1100" s="51"/>
      <c r="S1100" s="51"/>
      <c r="T1100" s="338"/>
      <c r="U1100" s="51"/>
      <c r="V1100" s="35"/>
      <c r="W1100" s="364"/>
      <c r="X1100" s="285"/>
      <c r="Y1100" s="9"/>
      <c r="Z1100" s="40"/>
      <c r="AA1100" s="56"/>
      <c r="AB1100" s="56"/>
      <c r="AC1100" s="56"/>
      <c r="AD1100" s="56"/>
      <c r="AE1100" s="56"/>
    </row>
    <row r="1101" spans="1:33" x14ac:dyDescent="0.3">
      <c r="A1101" s="47">
        <f>A1096+1</f>
        <v>997</v>
      </c>
      <c r="B1101" s="414" t="s">
        <v>1332</v>
      </c>
      <c r="C1101" s="51">
        <f t="shared" ref="C1101:C1110" si="238">D1101+K1101+L1101+N1101+P1101+R1101+U1101+S1101+V1101+W1101</f>
        <v>2393700</v>
      </c>
      <c r="D1101" s="51">
        <f t="shared" ref="D1101:D1110" si="239">E1101+F1101+G1101+H1101+I1101</f>
        <v>0</v>
      </c>
      <c r="E1101" s="51"/>
      <c r="F1101" s="51"/>
      <c r="G1101" s="51"/>
      <c r="H1101" s="51"/>
      <c r="I1101" s="51"/>
      <c r="J1101" s="51"/>
      <c r="K1101" s="51"/>
      <c r="L1101" s="51"/>
      <c r="M1101" s="35"/>
      <c r="N1101" s="51"/>
      <c r="O1101" s="82"/>
      <c r="P1101" s="51"/>
      <c r="Q1101" s="338"/>
      <c r="R1101" s="51"/>
      <c r="S1101" s="51"/>
      <c r="T1101" s="338"/>
      <c r="U1101" s="51">
        <v>2393700</v>
      </c>
      <c r="V1101" s="35"/>
      <c r="W1101" s="364">
        <f>SUM(X1101:AB1101)</f>
        <v>0</v>
      </c>
      <c r="X1101" s="285"/>
      <c r="Y1101" s="9"/>
      <c r="Z1101" s="40"/>
      <c r="AA1101" s="56"/>
      <c r="AB1101" s="56"/>
      <c r="AC1101" s="56"/>
      <c r="AD1101" s="56"/>
      <c r="AE1101" s="56"/>
    </row>
    <row r="1102" spans="1:33" ht="31.2" x14ac:dyDescent="0.3">
      <c r="A1102" s="47">
        <f>A1101+1</f>
        <v>998</v>
      </c>
      <c r="B1102" s="414" t="s">
        <v>1333</v>
      </c>
      <c r="C1102" s="51">
        <f t="shared" si="238"/>
        <v>480558.91000000003</v>
      </c>
      <c r="D1102" s="51">
        <f t="shared" si="239"/>
        <v>0</v>
      </c>
      <c r="E1102" s="51"/>
      <c r="F1102" s="51"/>
      <c r="G1102" s="51"/>
      <c r="H1102" s="51"/>
      <c r="I1102" s="51"/>
      <c r="J1102" s="51"/>
      <c r="K1102" s="51"/>
      <c r="L1102" s="51"/>
      <c r="M1102" s="35"/>
      <c r="N1102" s="51"/>
      <c r="O1102" s="82"/>
      <c r="P1102" s="51"/>
      <c r="Q1102" s="338"/>
      <c r="R1102" s="51"/>
      <c r="S1102" s="51"/>
      <c r="T1102" s="338"/>
      <c r="U1102" s="51"/>
      <c r="V1102" s="35"/>
      <c r="W1102" s="364">
        <f>SUM(X1102:AB1102)</f>
        <v>480558.91000000003</v>
      </c>
      <c r="X1102" s="285"/>
      <c r="Y1102" s="9">
        <v>217688.41</v>
      </c>
      <c r="Z1102" s="306">
        <v>262870.5</v>
      </c>
      <c r="AA1102" s="302"/>
      <c r="AB1102" s="302"/>
      <c r="AC1102" s="56"/>
      <c r="AD1102" s="56"/>
      <c r="AE1102" s="56"/>
    </row>
    <row r="1103" spans="1:33" ht="31.2" x14ac:dyDescent="0.3">
      <c r="A1103" s="47">
        <f t="shared" ref="A1103:A1110" si="240">A1102+1</f>
        <v>999</v>
      </c>
      <c r="B1103" s="414" t="s">
        <v>1334</v>
      </c>
      <c r="C1103" s="51">
        <f t="shared" si="238"/>
        <v>465919.03</v>
      </c>
      <c r="D1103" s="51">
        <f t="shared" si="239"/>
        <v>0</v>
      </c>
      <c r="E1103" s="51"/>
      <c r="F1103" s="51"/>
      <c r="G1103" s="51"/>
      <c r="H1103" s="51"/>
      <c r="I1103" s="51"/>
      <c r="J1103" s="51"/>
      <c r="K1103" s="51"/>
      <c r="L1103" s="51"/>
      <c r="M1103" s="35"/>
      <c r="N1103" s="51"/>
      <c r="O1103" s="82"/>
      <c r="P1103" s="51"/>
      <c r="Q1103" s="338"/>
      <c r="R1103" s="51"/>
      <c r="S1103" s="51"/>
      <c r="T1103" s="338"/>
      <c r="U1103" s="51"/>
      <c r="V1103" s="35"/>
      <c r="W1103" s="364">
        <f>SUM(X1103:AB1103)</f>
        <v>465919.03</v>
      </c>
      <c r="X1103" s="285"/>
      <c r="Y1103" s="9">
        <v>208296.47</v>
      </c>
      <c r="Z1103" s="306">
        <v>257622.56</v>
      </c>
      <c r="AA1103" s="302"/>
      <c r="AB1103" s="302"/>
      <c r="AC1103" s="56"/>
      <c r="AD1103" s="56"/>
      <c r="AE1103" s="56"/>
    </row>
    <row r="1104" spans="1:33" ht="31.2" x14ac:dyDescent="0.3">
      <c r="A1104" s="47">
        <f t="shared" si="240"/>
        <v>1000</v>
      </c>
      <c r="B1104" s="414" t="s">
        <v>1335</v>
      </c>
      <c r="C1104" s="51">
        <f t="shared" si="238"/>
        <v>364253.71</v>
      </c>
      <c r="D1104" s="51">
        <f t="shared" si="239"/>
        <v>0</v>
      </c>
      <c r="E1104" s="51"/>
      <c r="F1104" s="51"/>
      <c r="G1104" s="51"/>
      <c r="H1104" s="51"/>
      <c r="I1104" s="51"/>
      <c r="J1104" s="51"/>
      <c r="K1104" s="51"/>
      <c r="L1104" s="51"/>
      <c r="M1104" s="35"/>
      <c r="N1104" s="51"/>
      <c r="O1104" s="82"/>
      <c r="P1104" s="51"/>
      <c r="Q1104" s="338"/>
      <c r="R1104" s="51"/>
      <c r="S1104" s="51"/>
      <c r="T1104" s="338"/>
      <c r="U1104" s="51"/>
      <c r="V1104" s="35"/>
      <c r="W1104" s="364">
        <f>SUM(X1104:AB1104)</f>
        <v>364253.71</v>
      </c>
      <c r="X1104" s="285"/>
      <c r="Y1104" s="9">
        <v>170863.45</v>
      </c>
      <c r="Z1104" s="306">
        <v>193390.26</v>
      </c>
      <c r="AA1104" s="302"/>
      <c r="AB1104" s="302"/>
      <c r="AC1104" s="56"/>
      <c r="AD1104" s="56"/>
      <c r="AE1104" s="56"/>
    </row>
    <row r="1105" spans="1:31" x14ac:dyDescent="0.3">
      <c r="A1105" s="47">
        <f t="shared" si="240"/>
        <v>1001</v>
      </c>
      <c r="B1105" s="414" t="s">
        <v>1336</v>
      </c>
      <c r="C1105" s="51">
        <f t="shared" si="238"/>
        <v>640771.19999999995</v>
      </c>
      <c r="D1105" s="51">
        <f t="shared" si="239"/>
        <v>0</v>
      </c>
      <c r="E1105" s="51"/>
      <c r="F1105" s="51"/>
      <c r="G1105" s="51"/>
      <c r="H1105" s="51"/>
      <c r="I1105" s="51"/>
      <c r="J1105" s="51"/>
      <c r="K1105" s="51"/>
      <c r="L1105" s="51"/>
      <c r="M1105" s="35"/>
      <c r="N1105" s="51"/>
      <c r="O1105" s="82"/>
      <c r="P1105" s="51"/>
      <c r="Q1105" s="338"/>
      <c r="R1105" s="51"/>
      <c r="S1105" s="51"/>
      <c r="T1105" s="338"/>
      <c r="U1105" s="51">
        <v>640771.19999999995</v>
      </c>
      <c r="V1105" s="35"/>
      <c r="W1105" s="364"/>
      <c r="X1105" s="285"/>
      <c r="Y1105" s="9"/>
      <c r="Z1105" s="40"/>
      <c r="AA1105" s="56"/>
      <c r="AB1105" s="56"/>
      <c r="AC1105" s="56"/>
      <c r="AD1105" s="56"/>
      <c r="AE1105" s="56"/>
    </row>
    <row r="1106" spans="1:31" x14ac:dyDescent="0.3">
      <c r="A1106" s="47">
        <f t="shared" si="240"/>
        <v>1002</v>
      </c>
      <c r="B1106" s="414" t="s">
        <v>1337</v>
      </c>
      <c r="C1106" s="51">
        <f t="shared" si="238"/>
        <v>1016187.17</v>
      </c>
      <c r="D1106" s="51">
        <f t="shared" si="239"/>
        <v>0</v>
      </c>
      <c r="E1106" s="51"/>
      <c r="F1106" s="51"/>
      <c r="G1106" s="51"/>
      <c r="H1106" s="51"/>
      <c r="I1106" s="51"/>
      <c r="J1106" s="51"/>
      <c r="K1106" s="51"/>
      <c r="L1106" s="51"/>
      <c r="M1106" s="35"/>
      <c r="N1106" s="51"/>
      <c r="O1106" s="82"/>
      <c r="P1106" s="51"/>
      <c r="Q1106" s="338"/>
      <c r="R1106" s="51"/>
      <c r="S1106" s="51"/>
      <c r="T1106" s="338"/>
      <c r="U1106" s="51"/>
      <c r="V1106" s="35"/>
      <c r="W1106" s="364">
        <f>SUM(X1106:AB1106)</f>
        <v>1016187.17</v>
      </c>
      <c r="X1106" s="285">
        <f>129753.01+129497.47+159309.88</f>
        <v>418560.36</v>
      </c>
      <c r="Y1106" s="9">
        <v>222202.19</v>
      </c>
      <c r="Z1106" s="306">
        <v>375424.62</v>
      </c>
      <c r="AA1106" s="302"/>
      <c r="AB1106" s="302"/>
      <c r="AC1106" s="56"/>
      <c r="AD1106" s="56" t="s">
        <v>1338</v>
      </c>
      <c r="AE1106" s="56"/>
    </row>
    <row r="1107" spans="1:31" x14ac:dyDescent="0.3">
      <c r="A1107" s="47">
        <f t="shared" si="240"/>
        <v>1003</v>
      </c>
      <c r="B1107" s="414" t="s">
        <v>1339</v>
      </c>
      <c r="C1107" s="51">
        <f t="shared" si="238"/>
        <v>154570</v>
      </c>
      <c r="D1107" s="51">
        <f t="shared" si="239"/>
        <v>0</v>
      </c>
      <c r="E1107" s="51"/>
      <c r="F1107" s="51"/>
      <c r="G1107" s="51"/>
      <c r="H1107" s="51"/>
      <c r="I1107" s="51"/>
      <c r="J1107" s="51"/>
      <c r="K1107" s="51"/>
      <c r="L1107" s="51"/>
      <c r="M1107" s="35"/>
      <c r="N1107" s="51"/>
      <c r="O1107" s="82"/>
      <c r="P1107" s="51"/>
      <c r="Q1107" s="338"/>
      <c r="R1107" s="51"/>
      <c r="S1107" s="51"/>
      <c r="T1107" s="338">
        <v>13</v>
      </c>
      <c r="U1107" s="51">
        <f>T1107*11890</f>
        <v>154570</v>
      </c>
      <c r="V1107" s="35"/>
      <c r="W1107" s="364"/>
      <c r="X1107" s="285"/>
      <c r="Y1107" s="9"/>
      <c r="Z1107" s="40"/>
      <c r="AA1107" s="56"/>
      <c r="AB1107" s="56"/>
      <c r="AC1107" s="56"/>
      <c r="AD1107" s="56"/>
      <c r="AE1107" s="56"/>
    </row>
    <row r="1108" spans="1:31" x14ac:dyDescent="0.3">
      <c r="A1108" s="47">
        <f t="shared" si="240"/>
        <v>1004</v>
      </c>
      <c r="B1108" s="414" t="s">
        <v>1340</v>
      </c>
      <c r="C1108" s="51">
        <f t="shared" si="238"/>
        <v>154570</v>
      </c>
      <c r="D1108" s="51">
        <f t="shared" si="239"/>
        <v>0</v>
      </c>
      <c r="E1108" s="51"/>
      <c r="F1108" s="51"/>
      <c r="G1108" s="51"/>
      <c r="H1108" s="51"/>
      <c r="I1108" s="51"/>
      <c r="J1108" s="51"/>
      <c r="K1108" s="51"/>
      <c r="L1108" s="51"/>
      <c r="M1108" s="35"/>
      <c r="N1108" s="51"/>
      <c r="O1108" s="82"/>
      <c r="P1108" s="51"/>
      <c r="Q1108" s="338"/>
      <c r="R1108" s="51"/>
      <c r="S1108" s="51"/>
      <c r="T1108" s="338">
        <v>13</v>
      </c>
      <c r="U1108" s="51">
        <f>T1108*11890</f>
        <v>154570</v>
      </c>
      <c r="V1108" s="35"/>
      <c r="W1108" s="364"/>
      <c r="X1108" s="285"/>
      <c r="Y1108" s="9"/>
      <c r="Z1108" s="40"/>
      <c r="AA1108" s="56"/>
      <c r="AB1108" s="56"/>
      <c r="AC1108" s="56"/>
      <c r="AD1108" s="56"/>
      <c r="AE1108" s="56"/>
    </row>
    <row r="1109" spans="1:31" x14ac:dyDescent="0.3">
      <c r="A1109" s="47">
        <f t="shared" si="240"/>
        <v>1005</v>
      </c>
      <c r="B1109" s="414" t="s">
        <v>1341</v>
      </c>
      <c r="C1109" s="51">
        <f t="shared" si="238"/>
        <v>154570</v>
      </c>
      <c r="D1109" s="51">
        <f t="shared" si="239"/>
        <v>0</v>
      </c>
      <c r="E1109" s="51"/>
      <c r="F1109" s="51"/>
      <c r="G1109" s="51"/>
      <c r="H1109" s="51"/>
      <c r="I1109" s="51"/>
      <c r="J1109" s="51"/>
      <c r="K1109" s="51"/>
      <c r="L1109" s="51"/>
      <c r="M1109" s="35"/>
      <c r="N1109" s="51"/>
      <c r="O1109" s="82"/>
      <c r="P1109" s="51"/>
      <c r="Q1109" s="338"/>
      <c r="R1109" s="51"/>
      <c r="S1109" s="51"/>
      <c r="T1109" s="338">
        <v>13</v>
      </c>
      <c r="U1109" s="51">
        <f>T1109*11890</f>
        <v>154570</v>
      </c>
      <c r="V1109" s="35"/>
      <c r="W1109" s="364"/>
      <c r="X1109" s="285"/>
      <c r="Y1109" s="9"/>
      <c r="Z1109" s="40"/>
      <c r="AA1109" s="56"/>
      <c r="AB1109" s="56"/>
      <c r="AC1109" s="56"/>
      <c r="AD1109" s="56"/>
      <c r="AE1109" s="56"/>
    </row>
    <row r="1110" spans="1:31" x14ac:dyDescent="0.3">
      <c r="A1110" s="47">
        <f t="shared" si="240"/>
        <v>1006</v>
      </c>
      <c r="B1110" s="414" t="s">
        <v>1342</v>
      </c>
      <c r="C1110" s="51">
        <f t="shared" si="238"/>
        <v>154570</v>
      </c>
      <c r="D1110" s="51">
        <f t="shared" si="239"/>
        <v>0</v>
      </c>
      <c r="E1110" s="51"/>
      <c r="F1110" s="51"/>
      <c r="G1110" s="51"/>
      <c r="H1110" s="51"/>
      <c r="I1110" s="51"/>
      <c r="J1110" s="51"/>
      <c r="K1110" s="51"/>
      <c r="L1110" s="51"/>
      <c r="M1110" s="35"/>
      <c r="N1110" s="51"/>
      <c r="O1110" s="82"/>
      <c r="P1110" s="51"/>
      <c r="Q1110" s="338"/>
      <c r="R1110" s="51"/>
      <c r="S1110" s="51"/>
      <c r="T1110" s="338">
        <v>13</v>
      </c>
      <c r="U1110" s="51">
        <f>T1110*11890</f>
        <v>154570</v>
      </c>
      <c r="V1110" s="35"/>
      <c r="W1110" s="364"/>
      <c r="X1110" s="285"/>
      <c r="Y1110" s="9"/>
      <c r="Z1110" s="40"/>
      <c r="AA1110" s="56"/>
      <c r="AB1110" s="56"/>
      <c r="AC1110" s="56"/>
      <c r="AD1110" s="56"/>
      <c r="AE1110" s="56"/>
    </row>
    <row r="1111" spans="1:31" x14ac:dyDescent="0.3">
      <c r="A1111" s="47"/>
      <c r="B1111" s="414" t="s">
        <v>211</v>
      </c>
      <c r="C1111" s="51">
        <f t="shared" ref="C1111:W1111" si="241">SUM(C1101:C1110)</f>
        <v>5979670.0200000005</v>
      </c>
      <c r="D1111" s="51">
        <f t="shared" si="241"/>
        <v>0</v>
      </c>
      <c r="E1111" s="51">
        <f t="shared" si="241"/>
        <v>0</v>
      </c>
      <c r="F1111" s="51">
        <f t="shared" si="241"/>
        <v>0</v>
      </c>
      <c r="G1111" s="51">
        <f t="shared" si="241"/>
        <v>0</v>
      </c>
      <c r="H1111" s="51">
        <f t="shared" si="241"/>
        <v>0</v>
      </c>
      <c r="I1111" s="51">
        <f t="shared" si="241"/>
        <v>0</v>
      </c>
      <c r="J1111" s="51">
        <f t="shared" si="241"/>
        <v>0</v>
      </c>
      <c r="K1111" s="51">
        <f t="shared" si="241"/>
        <v>0</v>
      </c>
      <c r="L1111" s="51">
        <f t="shared" si="241"/>
        <v>0</v>
      </c>
      <c r="M1111" s="35">
        <f t="shared" si="241"/>
        <v>0</v>
      </c>
      <c r="N1111" s="51">
        <f t="shared" si="241"/>
        <v>0</v>
      </c>
      <c r="O1111" s="82">
        <f t="shared" si="241"/>
        <v>0</v>
      </c>
      <c r="P1111" s="51">
        <f t="shared" si="241"/>
        <v>0</v>
      </c>
      <c r="Q1111" s="338">
        <f t="shared" si="241"/>
        <v>0</v>
      </c>
      <c r="R1111" s="51">
        <f t="shared" si="241"/>
        <v>0</v>
      </c>
      <c r="S1111" s="51">
        <f t="shared" si="241"/>
        <v>0</v>
      </c>
      <c r="T1111" s="338">
        <f t="shared" si="241"/>
        <v>52</v>
      </c>
      <c r="U1111" s="51">
        <f t="shared" si="241"/>
        <v>3652751.2</v>
      </c>
      <c r="V1111" s="35">
        <f t="shared" si="241"/>
        <v>0</v>
      </c>
      <c r="W1111" s="51">
        <f t="shared" si="241"/>
        <v>2326918.8200000003</v>
      </c>
      <c r="X1111" s="285"/>
      <c r="Y1111" s="9"/>
      <c r="Z1111" s="40"/>
      <c r="AA1111" s="56"/>
      <c r="AB1111" s="56"/>
      <c r="AC1111" s="56"/>
      <c r="AD1111" s="56"/>
      <c r="AE1111" s="56"/>
    </row>
    <row r="1112" spans="1:31" ht="15" customHeight="1" x14ac:dyDescent="0.3">
      <c r="A1112" s="434" t="s">
        <v>1343</v>
      </c>
      <c r="B1112" s="414"/>
      <c r="C1112" s="51"/>
      <c r="D1112" s="51"/>
      <c r="E1112" s="51"/>
      <c r="F1112" s="51"/>
      <c r="G1112" s="51"/>
      <c r="H1112" s="51"/>
      <c r="I1112" s="51"/>
      <c r="J1112" s="51"/>
      <c r="K1112" s="51"/>
      <c r="L1112" s="51"/>
      <c r="M1112" s="35"/>
      <c r="N1112" s="51"/>
      <c r="O1112" s="82"/>
      <c r="P1112" s="51"/>
      <c r="Q1112" s="338"/>
      <c r="R1112" s="51"/>
      <c r="S1112" s="51"/>
      <c r="T1112" s="338"/>
      <c r="U1112" s="51"/>
      <c r="V1112" s="35"/>
      <c r="W1112" s="364"/>
      <c r="X1112" s="285"/>
      <c r="Y1112" s="9"/>
      <c r="Z1112" s="40"/>
      <c r="AA1112" s="56"/>
      <c r="AB1112" s="56"/>
      <c r="AC1112" s="56"/>
      <c r="AD1112" s="56"/>
      <c r="AE1112" s="56"/>
    </row>
    <row r="1113" spans="1:31" x14ac:dyDescent="0.3">
      <c r="A1113" s="47">
        <f>A1110+1</f>
        <v>1007</v>
      </c>
      <c r="B1113" s="414" t="s">
        <v>1346</v>
      </c>
      <c r="C1113" s="51">
        <f>D1113+K1113+L1113+N1113+P1113+R1113+U1113+S1113+V1113+W1113</f>
        <v>4798983.5999999996</v>
      </c>
      <c r="D1113" s="51">
        <f>E1113+F1113+G1113+H1113+I1113</f>
        <v>0</v>
      </c>
      <c r="E1113" s="51"/>
      <c r="F1113" s="51"/>
      <c r="G1113" s="51"/>
      <c r="H1113" s="51"/>
      <c r="I1113" s="51"/>
      <c r="J1113" s="51"/>
      <c r="K1113" s="51"/>
      <c r="L1113" s="51"/>
      <c r="M1113" s="35"/>
      <c r="N1113" s="51"/>
      <c r="O1113" s="82"/>
      <c r="P1113" s="51"/>
      <c r="Q1113" s="338">
        <v>410</v>
      </c>
      <c r="R1113" s="51">
        <v>4798983.5999999996</v>
      </c>
      <c r="S1113" s="51"/>
      <c r="T1113" s="338"/>
      <c r="U1113" s="51"/>
      <c r="V1113" s="35"/>
      <c r="W1113" s="364"/>
      <c r="X1113" s="285"/>
      <c r="Y1113" s="9"/>
      <c r="Z1113" s="40"/>
      <c r="AA1113" s="56"/>
      <c r="AB1113" s="56"/>
      <c r="AC1113" s="56"/>
      <c r="AD1113" s="56"/>
      <c r="AE1113" s="56"/>
    </row>
    <row r="1114" spans="1:31" x14ac:dyDescent="0.3">
      <c r="A1114" s="47"/>
      <c r="B1114" s="414" t="s">
        <v>211</v>
      </c>
      <c r="C1114" s="51">
        <f t="shared" ref="C1114:W1114" si="242">SUM(C1113:C1113)</f>
        <v>4798983.5999999996</v>
      </c>
      <c r="D1114" s="51">
        <f t="shared" si="242"/>
        <v>0</v>
      </c>
      <c r="E1114" s="51">
        <f t="shared" si="242"/>
        <v>0</v>
      </c>
      <c r="F1114" s="51">
        <f t="shared" si="242"/>
        <v>0</v>
      </c>
      <c r="G1114" s="51">
        <f t="shared" si="242"/>
        <v>0</v>
      </c>
      <c r="H1114" s="51">
        <f t="shared" si="242"/>
        <v>0</v>
      </c>
      <c r="I1114" s="51">
        <f t="shared" si="242"/>
        <v>0</v>
      </c>
      <c r="J1114" s="51">
        <f t="shared" si="242"/>
        <v>0</v>
      </c>
      <c r="K1114" s="51">
        <f t="shared" si="242"/>
        <v>0</v>
      </c>
      <c r="L1114" s="51">
        <f t="shared" si="242"/>
        <v>0</v>
      </c>
      <c r="M1114" s="35">
        <f t="shared" si="242"/>
        <v>0</v>
      </c>
      <c r="N1114" s="51">
        <f t="shared" si="242"/>
        <v>0</v>
      </c>
      <c r="O1114" s="82">
        <f t="shared" si="242"/>
        <v>0</v>
      </c>
      <c r="P1114" s="51">
        <f t="shared" si="242"/>
        <v>0</v>
      </c>
      <c r="Q1114" s="338">
        <f t="shared" si="242"/>
        <v>410</v>
      </c>
      <c r="R1114" s="51">
        <f t="shared" si="242"/>
        <v>4798983.5999999996</v>
      </c>
      <c r="S1114" s="51">
        <f t="shared" si="242"/>
        <v>0</v>
      </c>
      <c r="T1114" s="338">
        <f t="shared" si="242"/>
        <v>0</v>
      </c>
      <c r="U1114" s="51">
        <f t="shared" si="242"/>
        <v>0</v>
      </c>
      <c r="V1114" s="35">
        <f t="shared" si="242"/>
        <v>0</v>
      </c>
      <c r="W1114" s="51">
        <f t="shared" si="242"/>
        <v>0</v>
      </c>
      <c r="X1114" s="285"/>
      <c r="Y1114" s="9"/>
      <c r="Z1114" s="40"/>
      <c r="AA1114" s="56"/>
      <c r="AB1114" s="56"/>
      <c r="AC1114" s="56"/>
      <c r="AD1114" s="56"/>
      <c r="AE1114" s="56"/>
    </row>
    <row r="1115" spans="1:31" ht="15" customHeight="1" x14ac:dyDescent="0.3">
      <c r="A1115" s="434" t="s">
        <v>1347</v>
      </c>
      <c r="B1115" s="414"/>
      <c r="C1115" s="51"/>
      <c r="D1115" s="51"/>
      <c r="E1115" s="51"/>
      <c r="F1115" s="51"/>
      <c r="G1115" s="51"/>
      <c r="H1115" s="51"/>
      <c r="I1115" s="51"/>
      <c r="J1115" s="51"/>
      <c r="K1115" s="51"/>
      <c r="L1115" s="51"/>
      <c r="M1115" s="35"/>
      <c r="N1115" s="51"/>
      <c r="O1115" s="82"/>
      <c r="P1115" s="51"/>
      <c r="Q1115" s="338"/>
      <c r="R1115" s="51"/>
      <c r="S1115" s="51"/>
      <c r="T1115" s="338"/>
      <c r="U1115" s="51"/>
      <c r="V1115" s="35"/>
      <c r="W1115" s="364"/>
      <c r="X1115" s="285"/>
      <c r="Y1115" s="9"/>
      <c r="Z1115" s="40"/>
      <c r="AA1115" s="56"/>
      <c r="AB1115" s="56"/>
      <c r="AC1115" s="56"/>
      <c r="AD1115" s="56"/>
      <c r="AE1115" s="56"/>
    </row>
    <row r="1116" spans="1:31" x14ac:dyDescent="0.3">
      <c r="A1116" s="47">
        <f>A1113+1</f>
        <v>1008</v>
      </c>
      <c r="B1116" s="414" t="s">
        <v>1348</v>
      </c>
      <c r="C1116" s="51">
        <f t="shared" ref="C1116:C1125" si="243">D1116+K1116+L1116+N1116+P1116+R1116+U1116+S1116+V1116+W1116</f>
        <v>464657.6</v>
      </c>
      <c r="D1116" s="51">
        <f t="shared" ref="D1116:D1125" si="244">E1116+F1116+G1116+H1116+I1116</f>
        <v>0</v>
      </c>
      <c r="E1116" s="51"/>
      <c r="F1116" s="51"/>
      <c r="G1116" s="51"/>
      <c r="H1116" s="51"/>
      <c r="I1116" s="51"/>
      <c r="J1116" s="51"/>
      <c r="K1116" s="51"/>
      <c r="L1116" s="51"/>
      <c r="M1116" s="35"/>
      <c r="N1116" s="51"/>
      <c r="O1116" s="82"/>
      <c r="P1116" s="51"/>
      <c r="Q1116" s="338"/>
      <c r="R1116" s="51"/>
      <c r="S1116" s="51"/>
      <c r="T1116" s="338"/>
      <c r="U1116" s="51"/>
      <c r="V1116" s="35"/>
      <c r="W1116" s="364">
        <f t="shared" ref="W1116:W1125" si="245">SUM(X1116:AB1116)</f>
        <v>464657.6</v>
      </c>
      <c r="X1116" s="285">
        <f>112993.34+131070.9+110296.68+110296.68</f>
        <v>464657.6</v>
      </c>
      <c r="Y1116" s="9"/>
      <c r="Z1116" s="306"/>
      <c r="AA1116" s="302"/>
      <c r="AB1116" s="302"/>
      <c r="AC1116" s="56"/>
      <c r="AD1116" s="56" t="s">
        <v>1349</v>
      </c>
      <c r="AE1116" s="56"/>
    </row>
    <row r="1117" spans="1:31" x14ac:dyDescent="0.3">
      <c r="A1117" s="47">
        <f>A1116+1</f>
        <v>1009</v>
      </c>
      <c r="B1117" s="414" t="s">
        <v>1350</v>
      </c>
      <c r="C1117" s="51">
        <f t="shared" si="243"/>
        <v>601097.09000000008</v>
      </c>
      <c r="D1117" s="51">
        <f t="shared" si="244"/>
        <v>0</v>
      </c>
      <c r="E1117" s="51"/>
      <c r="F1117" s="51"/>
      <c r="G1117" s="51"/>
      <c r="H1117" s="51"/>
      <c r="I1117" s="51"/>
      <c r="J1117" s="51"/>
      <c r="K1117" s="51"/>
      <c r="L1117" s="51"/>
      <c r="M1117" s="35"/>
      <c r="N1117" s="51"/>
      <c r="O1117" s="82"/>
      <c r="P1117" s="51"/>
      <c r="Q1117" s="338"/>
      <c r="R1117" s="51"/>
      <c r="S1117" s="51"/>
      <c r="T1117" s="338"/>
      <c r="U1117" s="51"/>
      <c r="V1117" s="35"/>
      <c r="W1117" s="364">
        <f t="shared" si="245"/>
        <v>601097.09000000008</v>
      </c>
      <c r="X1117" s="285">
        <f>143671.07+178971.38+139227.32+139227.32</f>
        <v>601097.09000000008</v>
      </c>
      <c r="Y1117" s="9"/>
      <c r="Z1117" s="306"/>
      <c r="AA1117" s="302"/>
      <c r="AB1117" s="302"/>
      <c r="AC1117" s="56"/>
      <c r="AD1117" s="56" t="s">
        <v>1349</v>
      </c>
      <c r="AE1117" s="56"/>
    </row>
    <row r="1118" spans="1:31" x14ac:dyDescent="0.3">
      <c r="A1118" s="47">
        <f t="shared" ref="A1118:A1125" si="246">A1117+1</f>
        <v>1010</v>
      </c>
      <c r="B1118" s="414" t="s">
        <v>1351</v>
      </c>
      <c r="C1118" s="51">
        <f t="shared" si="243"/>
        <v>882307.68000000017</v>
      </c>
      <c r="D1118" s="51">
        <f t="shared" si="244"/>
        <v>0</v>
      </c>
      <c r="E1118" s="51"/>
      <c r="F1118" s="51"/>
      <c r="G1118" s="51"/>
      <c r="H1118" s="51"/>
      <c r="I1118" s="51"/>
      <c r="J1118" s="51"/>
      <c r="K1118" s="51"/>
      <c r="L1118" s="51"/>
      <c r="M1118" s="35"/>
      <c r="N1118" s="51"/>
      <c r="O1118" s="82"/>
      <c r="P1118" s="51"/>
      <c r="Q1118" s="338"/>
      <c r="R1118" s="51"/>
      <c r="S1118" s="51"/>
      <c r="T1118" s="338"/>
      <c r="U1118" s="51"/>
      <c r="V1118" s="35"/>
      <c r="W1118" s="364">
        <f t="shared" si="245"/>
        <v>882307.68000000017</v>
      </c>
      <c r="X1118" s="285">
        <f>143671.07+178971.38+139227.32+139227.32</f>
        <v>601097.09000000008</v>
      </c>
      <c r="Y1118" s="9">
        <v>281210.59000000003</v>
      </c>
      <c r="Z1118" s="306"/>
      <c r="AA1118" s="302"/>
      <c r="AB1118" s="302"/>
      <c r="AC1118" s="56"/>
      <c r="AD1118" s="56" t="s">
        <v>1349</v>
      </c>
      <c r="AE1118" s="56"/>
    </row>
    <row r="1119" spans="1:31" x14ac:dyDescent="0.3">
      <c r="A1119" s="47">
        <f t="shared" si="246"/>
        <v>1011</v>
      </c>
      <c r="B1119" s="414" t="s">
        <v>1352</v>
      </c>
      <c r="C1119" s="51">
        <f t="shared" si="243"/>
        <v>741471.23</v>
      </c>
      <c r="D1119" s="51">
        <f t="shared" si="244"/>
        <v>0</v>
      </c>
      <c r="E1119" s="51"/>
      <c r="F1119" s="51"/>
      <c r="G1119" s="51"/>
      <c r="H1119" s="51"/>
      <c r="I1119" s="51"/>
      <c r="J1119" s="51"/>
      <c r="K1119" s="51"/>
      <c r="L1119" s="51"/>
      <c r="M1119" s="35"/>
      <c r="N1119" s="51"/>
      <c r="O1119" s="82"/>
      <c r="P1119" s="51"/>
      <c r="Q1119" s="338"/>
      <c r="R1119" s="51"/>
      <c r="S1119" s="51"/>
      <c r="T1119" s="338"/>
      <c r="U1119" s="51"/>
      <c r="V1119" s="35"/>
      <c r="W1119" s="364">
        <f t="shared" si="245"/>
        <v>741471.23</v>
      </c>
      <c r="X1119" s="285">
        <f>124995.3+148519.64+121358.65+121358.65</f>
        <v>516232.24</v>
      </c>
      <c r="Y1119" s="9">
        <v>225238.99</v>
      </c>
      <c r="Z1119" s="306"/>
      <c r="AA1119" s="302"/>
      <c r="AB1119" s="302"/>
      <c r="AC1119" s="56"/>
      <c r="AD1119" s="56" t="s">
        <v>1349</v>
      </c>
      <c r="AE1119" s="56"/>
    </row>
    <row r="1120" spans="1:31" x14ac:dyDescent="0.3">
      <c r="A1120" s="47">
        <f t="shared" si="246"/>
        <v>1012</v>
      </c>
      <c r="B1120" s="414" t="s">
        <v>1353</v>
      </c>
      <c r="C1120" s="51">
        <f t="shared" si="243"/>
        <v>738636.6100000001</v>
      </c>
      <c r="D1120" s="51">
        <f t="shared" si="244"/>
        <v>0</v>
      </c>
      <c r="E1120" s="51"/>
      <c r="F1120" s="51"/>
      <c r="G1120" s="51"/>
      <c r="H1120" s="51"/>
      <c r="I1120" s="51"/>
      <c r="J1120" s="51"/>
      <c r="K1120" s="51"/>
      <c r="L1120" s="51"/>
      <c r="M1120" s="35"/>
      <c r="N1120" s="51"/>
      <c r="O1120" s="82"/>
      <c r="P1120" s="51"/>
      <c r="Q1120" s="338"/>
      <c r="R1120" s="51"/>
      <c r="S1120" s="51"/>
      <c r="T1120" s="338"/>
      <c r="U1120" s="51"/>
      <c r="V1120" s="35"/>
      <c r="W1120" s="364">
        <f t="shared" si="245"/>
        <v>738636.6100000001</v>
      </c>
      <c r="X1120" s="285">
        <f>178971.38+139227.32+139227.32</f>
        <v>457426.02</v>
      </c>
      <c r="Y1120" s="9">
        <v>281210.59000000003</v>
      </c>
      <c r="Z1120" s="306"/>
      <c r="AA1120" s="302"/>
      <c r="AB1120" s="302"/>
      <c r="AC1120" s="56"/>
      <c r="AD1120" s="56" t="s">
        <v>1354</v>
      </c>
      <c r="AE1120" s="56"/>
    </row>
    <row r="1121" spans="1:31" x14ac:dyDescent="0.3">
      <c r="A1121" s="47">
        <f t="shared" si="246"/>
        <v>1013</v>
      </c>
      <c r="B1121" s="414" t="s">
        <v>1355</v>
      </c>
      <c r="C1121" s="51">
        <f t="shared" si="243"/>
        <v>738636.6100000001</v>
      </c>
      <c r="D1121" s="51">
        <f t="shared" si="244"/>
        <v>0</v>
      </c>
      <c r="E1121" s="51"/>
      <c r="F1121" s="51"/>
      <c r="G1121" s="51"/>
      <c r="H1121" s="51"/>
      <c r="I1121" s="51"/>
      <c r="J1121" s="51"/>
      <c r="K1121" s="51"/>
      <c r="L1121" s="51"/>
      <c r="M1121" s="35"/>
      <c r="N1121" s="51"/>
      <c r="O1121" s="82"/>
      <c r="P1121" s="51"/>
      <c r="Q1121" s="338"/>
      <c r="R1121" s="51"/>
      <c r="S1121" s="51"/>
      <c r="T1121" s="338"/>
      <c r="U1121" s="51"/>
      <c r="V1121" s="35"/>
      <c r="W1121" s="364">
        <f t="shared" si="245"/>
        <v>738636.6100000001</v>
      </c>
      <c r="X1121" s="285">
        <f>178971.38+139227.32+139227.32</f>
        <v>457426.02</v>
      </c>
      <c r="Y1121" s="9">
        <v>281210.59000000003</v>
      </c>
      <c r="Z1121" s="306"/>
      <c r="AA1121" s="302"/>
      <c r="AB1121" s="302"/>
      <c r="AC1121" s="56"/>
      <c r="AD1121" s="56" t="s">
        <v>1354</v>
      </c>
      <c r="AE1121" s="56"/>
    </row>
    <row r="1122" spans="1:31" x14ac:dyDescent="0.3">
      <c r="A1122" s="47">
        <f t="shared" si="246"/>
        <v>1014</v>
      </c>
      <c r="B1122" s="414" t="s">
        <v>1356</v>
      </c>
      <c r="C1122" s="51">
        <f t="shared" si="243"/>
        <v>882307.68000000017</v>
      </c>
      <c r="D1122" s="51">
        <f t="shared" si="244"/>
        <v>0</v>
      </c>
      <c r="E1122" s="51"/>
      <c r="F1122" s="51"/>
      <c r="G1122" s="51"/>
      <c r="H1122" s="51"/>
      <c r="I1122" s="51"/>
      <c r="J1122" s="51"/>
      <c r="K1122" s="51"/>
      <c r="L1122" s="51"/>
      <c r="M1122" s="35"/>
      <c r="N1122" s="51"/>
      <c r="O1122" s="82"/>
      <c r="P1122" s="51"/>
      <c r="Q1122" s="338"/>
      <c r="R1122" s="51"/>
      <c r="S1122" s="51"/>
      <c r="T1122" s="338"/>
      <c r="U1122" s="51"/>
      <c r="V1122" s="35"/>
      <c r="W1122" s="364">
        <f t="shared" si="245"/>
        <v>882307.68000000017</v>
      </c>
      <c r="X1122" s="285">
        <f>143671.07+178971.38+139227.32+139227.32</f>
        <v>601097.09000000008</v>
      </c>
      <c r="Y1122" s="9">
        <v>281210.59000000003</v>
      </c>
      <c r="Z1122" s="306"/>
      <c r="AA1122" s="302"/>
      <c r="AB1122" s="302"/>
      <c r="AC1122" s="56"/>
      <c r="AD1122" s="56" t="s">
        <v>1349</v>
      </c>
      <c r="AE1122" s="56"/>
    </row>
    <row r="1123" spans="1:31" x14ac:dyDescent="0.3">
      <c r="A1123" s="47">
        <f t="shared" si="246"/>
        <v>1015</v>
      </c>
      <c r="B1123" s="414" t="s">
        <v>1357</v>
      </c>
      <c r="C1123" s="51">
        <f t="shared" si="243"/>
        <v>882307.68000000017</v>
      </c>
      <c r="D1123" s="51">
        <f t="shared" si="244"/>
        <v>0</v>
      </c>
      <c r="E1123" s="51"/>
      <c r="F1123" s="51"/>
      <c r="G1123" s="51"/>
      <c r="H1123" s="51"/>
      <c r="I1123" s="51"/>
      <c r="J1123" s="51"/>
      <c r="K1123" s="51"/>
      <c r="L1123" s="51"/>
      <c r="M1123" s="35"/>
      <c r="N1123" s="51"/>
      <c r="O1123" s="82"/>
      <c r="P1123" s="51"/>
      <c r="Q1123" s="338"/>
      <c r="R1123" s="51"/>
      <c r="S1123" s="51"/>
      <c r="T1123" s="338"/>
      <c r="U1123" s="51"/>
      <c r="V1123" s="35"/>
      <c r="W1123" s="364">
        <f t="shared" si="245"/>
        <v>882307.68000000017</v>
      </c>
      <c r="X1123" s="285">
        <f>143671.07+178971.38+139227.32+139227.32</f>
        <v>601097.09000000008</v>
      </c>
      <c r="Y1123" s="9">
        <v>281210.59000000003</v>
      </c>
      <c r="Z1123" s="306"/>
      <c r="AA1123" s="302"/>
      <c r="AB1123" s="302"/>
      <c r="AC1123" s="56"/>
      <c r="AD1123" s="56" t="s">
        <v>1349</v>
      </c>
      <c r="AE1123" s="56"/>
    </row>
    <row r="1124" spans="1:31" x14ac:dyDescent="0.3">
      <c r="A1124" s="47">
        <f t="shared" si="246"/>
        <v>1016</v>
      </c>
      <c r="B1124" s="414" t="s">
        <v>1358</v>
      </c>
      <c r="C1124" s="51">
        <f t="shared" si="243"/>
        <v>1264159.56</v>
      </c>
      <c r="D1124" s="51">
        <f t="shared" si="244"/>
        <v>0</v>
      </c>
      <c r="E1124" s="51"/>
      <c r="F1124" s="51"/>
      <c r="G1124" s="51"/>
      <c r="H1124" s="51"/>
      <c r="I1124" s="51"/>
      <c r="J1124" s="51"/>
      <c r="K1124" s="51"/>
      <c r="L1124" s="51"/>
      <c r="M1124" s="35"/>
      <c r="N1124" s="51"/>
      <c r="O1124" s="82"/>
      <c r="P1124" s="51"/>
      <c r="Q1124" s="338"/>
      <c r="R1124" s="51"/>
      <c r="S1124" s="51"/>
      <c r="T1124" s="338"/>
      <c r="U1124" s="51"/>
      <c r="V1124" s="35"/>
      <c r="W1124" s="364">
        <f t="shared" si="245"/>
        <v>1264159.56</v>
      </c>
      <c r="X1124" s="285">
        <f>193425.02+247996.96+188872.57</f>
        <v>630294.55000000005</v>
      </c>
      <c r="Y1124" s="9">
        <v>354454.19</v>
      </c>
      <c r="Z1124" s="306">
        <v>279410.82</v>
      </c>
      <c r="AA1124" s="302"/>
      <c r="AB1124" s="302"/>
      <c r="AC1124" s="56"/>
      <c r="AD1124" s="56" t="s">
        <v>1349</v>
      </c>
      <c r="AE1124" s="56"/>
    </row>
    <row r="1125" spans="1:31" x14ac:dyDescent="0.3">
      <c r="A1125" s="47">
        <f t="shared" si="246"/>
        <v>1017</v>
      </c>
      <c r="B1125" s="414" t="s">
        <v>1359</v>
      </c>
      <c r="C1125" s="51">
        <f t="shared" si="243"/>
        <v>1030076.77</v>
      </c>
      <c r="D1125" s="51">
        <f t="shared" si="244"/>
        <v>0</v>
      </c>
      <c r="E1125" s="51"/>
      <c r="F1125" s="51"/>
      <c r="G1125" s="51"/>
      <c r="H1125" s="51"/>
      <c r="I1125" s="51"/>
      <c r="J1125" s="51"/>
      <c r="K1125" s="51"/>
      <c r="L1125" s="51"/>
      <c r="M1125" s="35"/>
      <c r="N1125" s="51"/>
      <c r="O1125" s="82"/>
      <c r="P1125" s="51"/>
      <c r="Q1125" s="338"/>
      <c r="R1125" s="51"/>
      <c r="S1125" s="51"/>
      <c r="T1125" s="338"/>
      <c r="U1125" s="51"/>
      <c r="V1125" s="35"/>
      <c r="W1125" s="364">
        <f t="shared" si="245"/>
        <v>1030076.77</v>
      </c>
      <c r="X1125" s="285">
        <v>249150.59</v>
      </c>
      <c r="Y1125" s="9">
        <v>443743.93</v>
      </c>
      <c r="Z1125" s="306">
        <v>337182.25</v>
      </c>
      <c r="AA1125" s="302"/>
      <c r="AB1125" s="302"/>
      <c r="AC1125" s="56"/>
      <c r="AD1125" s="56" t="s">
        <v>1360</v>
      </c>
      <c r="AE1125" s="56"/>
    </row>
    <row r="1126" spans="1:31" x14ac:dyDescent="0.3">
      <c r="A1126" s="47"/>
      <c r="B1126" s="414" t="s">
        <v>211</v>
      </c>
      <c r="C1126" s="51">
        <f t="shared" ref="C1126:W1126" si="247">SUM(C1116:C1125)</f>
        <v>8225658.5099999998</v>
      </c>
      <c r="D1126" s="51">
        <f t="shared" si="247"/>
        <v>0</v>
      </c>
      <c r="E1126" s="51">
        <f t="shared" si="247"/>
        <v>0</v>
      </c>
      <c r="F1126" s="51">
        <f t="shared" si="247"/>
        <v>0</v>
      </c>
      <c r="G1126" s="51">
        <f t="shared" si="247"/>
        <v>0</v>
      </c>
      <c r="H1126" s="51">
        <f t="shared" si="247"/>
        <v>0</v>
      </c>
      <c r="I1126" s="51">
        <f t="shared" si="247"/>
        <v>0</v>
      </c>
      <c r="J1126" s="51">
        <f t="shared" si="247"/>
        <v>0</v>
      </c>
      <c r="K1126" s="51">
        <f t="shared" si="247"/>
        <v>0</v>
      </c>
      <c r="L1126" s="51">
        <f t="shared" si="247"/>
        <v>0</v>
      </c>
      <c r="M1126" s="35">
        <f t="shared" si="247"/>
        <v>0</v>
      </c>
      <c r="N1126" s="51">
        <f t="shared" si="247"/>
        <v>0</v>
      </c>
      <c r="O1126" s="82">
        <f t="shared" si="247"/>
        <v>0</v>
      </c>
      <c r="P1126" s="51">
        <f t="shared" si="247"/>
        <v>0</v>
      </c>
      <c r="Q1126" s="338">
        <f t="shared" si="247"/>
        <v>0</v>
      </c>
      <c r="R1126" s="51">
        <f t="shared" si="247"/>
        <v>0</v>
      </c>
      <c r="S1126" s="51">
        <f t="shared" si="247"/>
        <v>0</v>
      </c>
      <c r="T1126" s="338">
        <f t="shared" si="247"/>
        <v>0</v>
      </c>
      <c r="U1126" s="51">
        <f t="shared" si="247"/>
        <v>0</v>
      </c>
      <c r="V1126" s="35">
        <f t="shared" si="247"/>
        <v>0</v>
      </c>
      <c r="W1126" s="51">
        <f t="shared" si="247"/>
        <v>8225658.5099999998</v>
      </c>
      <c r="X1126" s="285"/>
      <c r="Y1126" s="9"/>
      <c r="Z1126" s="306"/>
      <c r="AA1126" s="302"/>
      <c r="AB1126" s="302"/>
      <c r="AC1126" s="56"/>
      <c r="AD1126" s="56"/>
      <c r="AE1126" s="56"/>
    </row>
    <row r="1127" spans="1:31" ht="15" customHeight="1" x14ac:dyDescent="0.3">
      <c r="A1127" s="434" t="s">
        <v>1361</v>
      </c>
      <c r="B1127" s="414"/>
      <c r="C1127" s="51"/>
      <c r="D1127" s="51"/>
      <c r="E1127" s="51"/>
      <c r="F1127" s="51"/>
      <c r="G1127" s="51"/>
      <c r="H1127" s="51"/>
      <c r="I1127" s="51"/>
      <c r="J1127" s="51"/>
      <c r="K1127" s="51"/>
      <c r="L1127" s="51"/>
      <c r="M1127" s="35"/>
      <c r="N1127" s="51"/>
      <c r="O1127" s="82"/>
      <c r="P1127" s="51"/>
      <c r="Q1127" s="338"/>
      <c r="R1127" s="51"/>
      <c r="S1127" s="51"/>
      <c r="T1127" s="338"/>
      <c r="U1127" s="51"/>
      <c r="V1127" s="35"/>
      <c r="W1127" s="364">
        <f t="shared" ref="W1127:W1152" si="248">SUM(X1127:AB1127)</f>
        <v>0</v>
      </c>
      <c r="X1127" s="285"/>
      <c r="Y1127" s="9"/>
      <c r="Z1127" s="40"/>
      <c r="AA1127" s="56"/>
      <c r="AB1127" s="56"/>
      <c r="AC1127" s="56"/>
      <c r="AD1127" s="56"/>
      <c r="AE1127" s="56"/>
    </row>
    <row r="1128" spans="1:31" x14ac:dyDescent="0.3">
      <c r="A1128" s="47">
        <f>A1125+1</f>
        <v>1018</v>
      </c>
      <c r="B1128" s="414" t="s">
        <v>1362</v>
      </c>
      <c r="C1128" s="51">
        <f t="shared" ref="C1128:C1152" si="249">D1128+K1128+L1128+N1128+P1128+R1128+U1128+S1128+V1128+W1128</f>
        <v>220476.03999999998</v>
      </c>
      <c r="D1128" s="51">
        <f t="shared" ref="D1128:D1152" si="250">E1128+F1128+G1128+H1128+I1128</f>
        <v>0</v>
      </c>
      <c r="E1128" s="51"/>
      <c r="F1128" s="51"/>
      <c r="G1128" s="51"/>
      <c r="H1128" s="51"/>
      <c r="I1128" s="51"/>
      <c r="J1128" s="51"/>
      <c r="K1128" s="51"/>
      <c r="L1128" s="51"/>
      <c r="M1128" s="35"/>
      <c r="N1128" s="51"/>
      <c r="O1128" s="82"/>
      <c r="P1128" s="51"/>
      <c r="Q1128" s="338"/>
      <c r="R1128" s="51"/>
      <c r="S1128" s="51"/>
      <c r="T1128" s="338"/>
      <c r="U1128" s="51"/>
      <c r="V1128" s="35"/>
      <c r="W1128" s="364">
        <f t="shared" si="248"/>
        <v>220476.03999999998</v>
      </c>
      <c r="X1128" s="285">
        <v>75192.08</v>
      </c>
      <c r="Y1128" s="9">
        <v>145283.96</v>
      </c>
      <c r="Z1128" s="306"/>
      <c r="AA1128" s="302"/>
      <c r="AB1128" s="302"/>
      <c r="AC1128" s="56"/>
      <c r="AD1128" s="56" t="s">
        <v>1360</v>
      </c>
      <c r="AE1128" s="56"/>
    </row>
    <row r="1129" spans="1:31" x14ac:dyDescent="0.3">
      <c r="A1129" s="47">
        <f>A1128+1</f>
        <v>1019</v>
      </c>
      <c r="B1129" s="414" t="s">
        <v>1363</v>
      </c>
      <c r="C1129" s="51">
        <f t="shared" si="249"/>
        <v>140416.57999999999</v>
      </c>
      <c r="D1129" s="51">
        <f t="shared" si="250"/>
        <v>0</v>
      </c>
      <c r="E1129" s="51"/>
      <c r="F1129" s="51"/>
      <c r="G1129" s="51"/>
      <c r="H1129" s="51"/>
      <c r="I1129" s="51"/>
      <c r="J1129" s="51"/>
      <c r="K1129" s="51"/>
      <c r="L1129" s="51"/>
      <c r="M1129" s="35"/>
      <c r="N1129" s="51"/>
      <c r="O1129" s="82"/>
      <c r="P1129" s="51"/>
      <c r="Q1129" s="338"/>
      <c r="R1129" s="51"/>
      <c r="S1129" s="51"/>
      <c r="T1129" s="338"/>
      <c r="U1129" s="51"/>
      <c r="V1129" s="35"/>
      <c r="W1129" s="364">
        <f t="shared" si="248"/>
        <v>140416.57999999999</v>
      </c>
      <c r="X1129" s="285"/>
      <c r="Y1129" s="9">
        <v>140416.57999999999</v>
      </c>
      <c r="Z1129" s="306"/>
      <c r="AA1129" s="302"/>
      <c r="AB1129" s="302"/>
      <c r="AC1129" s="56"/>
      <c r="AD1129" s="56" t="s">
        <v>1364</v>
      </c>
      <c r="AE1129" s="56"/>
    </row>
    <row r="1130" spans="1:31" x14ac:dyDescent="0.3">
      <c r="A1130" s="47">
        <f t="shared" ref="A1130:A1152" si="251">A1129+1</f>
        <v>1020</v>
      </c>
      <c r="B1130" s="414" t="s">
        <v>1365</v>
      </c>
      <c r="C1130" s="51">
        <f t="shared" si="249"/>
        <v>215404.75</v>
      </c>
      <c r="D1130" s="51">
        <f t="shared" si="250"/>
        <v>0</v>
      </c>
      <c r="E1130" s="51"/>
      <c r="F1130" s="51"/>
      <c r="G1130" s="51"/>
      <c r="H1130" s="51"/>
      <c r="I1130" s="51"/>
      <c r="J1130" s="51"/>
      <c r="K1130" s="51"/>
      <c r="L1130" s="51"/>
      <c r="M1130" s="35"/>
      <c r="N1130" s="51"/>
      <c r="O1130" s="82"/>
      <c r="P1130" s="51"/>
      <c r="Q1130" s="338"/>
      <c r="R1130" s="51"/>
      <c r="S1130" s="51"/>
      <c r="T1130" s="338"/>
      <c r="U1130" s="51"/>
      <c r="V1130" s="35"/>
      <c r="W1130" s="364">
        <f t="shared" si="248"/>
        <v>215404.75</v>
      </c>
      <c r="X1130" s="285">
        <v>72991.5</v>
      </c>
      <c r="Y1130" s="9">
        <v>142413.25</v>
      </c>
      <c r="Z1130" s="306"/>
      <c r="AA1130" s="302"/>
      <c r="AB1130" s="302"/>
      <c r="AC1130" s="56"/>
      <c r="AD1130" s="56" t="s">
        <v>1360</v>
      </c>
      <c r="AE1130" s="56"/>
    </row>
    <row r="1131" spans="1:31" x14ac:dyDescent="0.3">
      <c r="A1131" s="47">
        <f t="shared" si="251"/>
        <v>1021</v>
      </c>
      <c r="B1131" s="414" t="s">
        <v>1366</v>
      </c>
      <c r="C1131" s="51">
        <f t="shared" si="249"/>
        <v>175408.28</v>
      </c>
      <c r="D1131" s="51">
        <f t="shared" si="250"/>
        <v>0</v>
      </c>
      <c r="E1131" s="51"/>
      <c r="F1131" s="51"/>
      <c r="G1131" s="51"/>
      <c r="H1131" s="51"/>
      <c r="I1131" s="51"/>
      <c r="J1131" s="51"/>
      <c r="K1131" s="51"/>
      <c r="L1131" s="51"/>
      <c r="M1131" s="35"/>
      <c r="N1131" s="51"/>
      <c r="O1131" s="82"/>
      <c r="P1131" s="51"/>
      <c r="Q1131" s="338"/>
      <c r="R1131" s="51"/>
      <c r="S1131" s="51"/>
      <c r="T1131" s="338"/>
      <c r="U1131" s="51"/>
      <c r="V1131" s="35"/>
      <c r="W1131" s="364">
        <f t="shared" si="248"/>
        <v>175408.28</v>
      </c>
      <c r="X1131" s="285">
        <v>57408.800000000003</v>
      </c>
      <c r="Y1131" s="9">
        <v>117999.48</v>
      </c>
      <c r="Z1131" s="306"/>
      <c r="AA1131" s="302"/>
      <c r="AB1131" s="302"/>
      <c r="AC1131" s="56"/>
      <c r="AD1131" s="56" t="s">
        <v>1360</v>
      </c>
      <c r="AE1131" s="56"/>
    </row>
    <row r="1132" spans="1:31" x14ac:dyDescent="0.3">
      <c r="A1132" s="47">
        <f t="shared" si="251"/>
        <v>1022</v>
      </c>
      <c r="B1132" s="414" t="s">
        <v>1367</v>
      </c>
      <c r="C1132" s="51">
        <f t="shared" si="249"/>
        <v>239330.09999999998</v>
      </c>
      <c r="D1132" s="51">
        <f t="shared" si="250"/>
        <v>0</v>
      </c>
      <c r="E1132" s="51"/>
      <c r="F1132" s="51"/>
      <c r="G1132" s="51"/>
      <c r="H1132" s="51"/>
      <c r="I1132" s="51"/>
      <c r="J1132" s="51"/>
      <c r="K1132" s="51"/>
      <c r="L1132" s="51"/>
      <c r="M1132" s="35"/>
      <c r="N1132" s="51"/>
      <c r="O1132" s="82"/>
      <c r="P1132" s="51"/>
      <c r="Q1132" s="338"/>
      <c r="R1132" s="51"/>
      <c r="S1132" s="51"/>
      <c r="T1132" s="338"/>
      <c r="U1132" s="51"/>
      <c r="V1132" s="35"/>
      <c r="W1132" s="364">
        <f t="shared" si="248"/>
        <v>239330.09999999998</v>
      </c>
      <c r="X1132" s="285">
        <v>82942.509999999995</v>
      </c>
      <c r="Y1132" s="9">
        <v>156387.59</v>
      </c>
      <c r="Z1132" s="306"/>
      <c r="AA1132" s="302"/>
      <c r="AB1132" s="302"/>
      <c r="AC1132" s="56"/>
      <c r="AD1132" s="56" t="s">
        <v>1360</v>
      </c>
      <c r="AE1132" s="56"/>
    </row>
    <row r="1133" spans="1:31" x14ac:dyDescent="0.3">
      <c r="A1133" s="47">
        <f t="shared" si="251"/>
        <v>1023</v>
      </c>
      <c r="B1133" s="414" t="s">
        <v>1368</v>
      </c>
      <c r="C1133" s="51">
        <f t="shared" si="249"/>
        <v>312918.44</v>
      </c>
      <c r="D1133" s="51">
        <f t="shared" si="250"/>
        <v>0</v>
      </c>
      <c r="E1133" s="51"/>
      <c r="F1133" s="51"/>
      <c r="G1133" s="51"/>
      <c r="H1133" s="51"/>
      <c r="I1133" s="51"/>
      <c r="J1133" s="51"/>
      <c r="K1133" s="51"/>
      <c r="L1133" s="51"/>
      <c r="M1133" s="35"/>
      <c r="N1133" s="51"/>
      <c r="O1133" s="82"/>
      <c r="P1133" s="51"/>
      <c r="Q1133" s="338"/>
      <c r="R1133" s="51"/>
      <c r="S1133" s="51"/>
      <c r="T1133" s="338"/>
      <c r="U1133" s="51"/>
      <c r="V1133" s="35"/>
      <c r="W1133" s="364">
        <f t="shared" si="248"/>
        <v>312918.44</v>
      </c>
      <c r="X1133" s="285">
        <v>112103.72</v>
      </c>
      <c r="Y1133" s="9">
        <v>200814.72</v>
      </c>
      <c r="Z1133" s="306"/>
      <c r="AA1133" s="302"/>
      <c r="AB1133" s="302"/>
      <c r="AC1133" s="56"/>
      <c r="AD1133" s="56" t="s">
        <v>1360</v>
      </c>
      <c r="AE1133" s="56"/>
    </row>
    <row r="1134" spans="1:31" x14ac:dyDescent="0.3">
      <c r="A1134" s="47">
        <f t="shared" si="251"/>
        <v>1024</v>
      </c>
      <c r="B1134" s="414" t="s">
        <v>1369</v>
      </c>
      <c r="C1134" s="51">
        <f t="shared" si="249"/>
        <v>255677.81</v>
      </c>
      <c r="D1134" s="51">
        <f t="shared" si="250"/>
        <v>0</v>
      </c>
      <c r="E1134" s="51"/>
      <c r="F1134" s="51"/>
      <c r="G1134" s="51"/>
      <c r="H1134" s="51"/>
      <c r="I1134" s="51"/>
      <c r="J1134" s="51"/>
      <c r="K1134" s="51"/>
      <c r="L1134" s="51"/>
      <c r="M1134" s="35"/>
      <c r="N1134" s="51"/>
      <c r="O1134" s="82"/>
      <c r="P1134" s="51"/>
      <c r="Q1134" s="338"/>
      <c r="R1134" s="51"/>
      <c r="S1134" s="51"/>
      <c r="T1134" s="338"/>
      <c r="U1134" s="51"/>
      <c r="V1134" s="35"/>
      <c r="W1134" s="364">
        <f t="shared" si="248"/>
        <v>255677.81</v>
      </c>
      <c r="X1134" s="285">
        <v>89326.78</v>
      </c>
      <c r="Y1134" s="9">
        <v>166351.03</v>
      </c>
      <c r="Z1134" s="306"/>
      <c r="AA1134" s="302"/>
      <c r="AB1134" s="302"/>
      <c r="AC1134" s="56"/>
      <c r="AD1134" s="56" t="s">
        <v>1360</v>
      </c>
      <c r="AE1134" s="56"/>
    </row>
    <row r="1135" spans="1:31" x14ac:dyDescent="0.3">
      <c r="A1135" s="47">
        <f t="shared" si="251"/>
        <v>1025</v>
      </c>
      <c r="B1135" s="414" t="s">
        <v>1370</v>
      </c>
      <c r="C1135" s="51">
        <f t="shared" si="249"/>
        <v>229430.55000000002</v>
      </c>
      <c r="D1135" s="51">
        <f t="shared" si="250"/>
        <v>0</v>
      </c>
      <c r="E1135" s="51"/>
      <c r="F1135" s="51"/>
      <c r="G1135" s="51"/>
      <c r="H1135" s="51"/>
      <c r="I1135" s="51"/>
      <c r="J1135" s="51"/>
      <c r="K1135" s="51"/>
      <c r="L1135" s="51"/>
      <c r="M1135" s="35"/>
      <c r="N1135" s="51"/>
      <c r="O1135" s="82"/>
      <c r="P1135" s="51"/>
      <c r="Q1135" s="338"/>
      <c r="R1135" s="51"/>
      <c r="S1135" s="51"/>
      <c r="T1135" s="338"/>
      <c r="U1135" s="51"/>
      <c r="V1135" s="35"/>
      <c r="W1135" s="364">
        <f t="shared" si="248"/>
        <v>229430.55000000002</v>
      </c>
      <c r="X1135" s="285">
        <v>78838.91</v>
      </c>
      <c r="Y1135" s="9">
        <v>150591.64000000001</v>
      </c>
      <c r="Z1135" s="306"/>
      <c r="AA1135" s="302"/>
      <c r="AB1135" s="302"/>
      <c r="AC1135" s="56"/>
      <c r="AD1135" s="56" t="s">
        <v>1360</v>
      </c>
      <c r="AE1135" s="56"/>
    </row>
    <row r="1136" spans="1:31" x14ac:dyDescent="0.3">
      <c r="A1136" s="47">
        <f t="shared" si="251"/>
        <v>1026</v>
      </c>
      <c r="B1136" s="414" t="s">
        <v>1371</v>
      </c>
      <c r="C1136" s="51">
        <f t="shared" si="249"/>
        <v>338304.45999999996</v>
      </c>
      <c r="D1136" s="51">
        <f t="shared" si="250"/>
        <v>0</v>
      </c>
      <c r="E1136" s="51"/>
      <c r="F1136" s="51"/>
      <c r="G1136" s="51"/>
      <c r="H1136" s="51"/>
      <c r="I1136" s="51"/>
      <c r="J1136" s="51"/>
      <c r="K1136" s="51"/>
      <c r="L1136" s="51"/>
      <c r="M1136" s="35"/>
      <c r="N1136" s="51"/>
      <c r="O1136" s="82"/>
      <c r="P1136" s="51"/>
      <c r="Q1136" s="338"/>
      <c r="R1136" s="51"/>
      <c r="S1136" s="51"/>
      <c r="T1136" s="338"/>
      <c r="U1136" s="51"/>
      <c r="V1136" s="35"/>
      <c r="W1136" s="364">
        <f t="shared" si="248"/>
        <v>338304.45999999996</v>
      </c>
      <c r="X1136" s="285">
        <v>122207.9</v>
      </c>
      <c r="Y1136" s="9">
        <v>216096.56</v>
      </c>
      <c r="Z1136" s="306"/>
      <c r="AA1136" s="302"/>
      <c r="AB1136" s="302"/>
      <c r="AC1136" s="56"/>
      <c r="AD1136" s="56" t="s">
        <v>1360</v>
      </c>
      <c r="AE1136" s="56"/>
    </row>
    <row r="1137" spans="1:31" x14ac:dyDescent="0.3">
      <c r="A1137" s="47">
        <f t="shared" si="251"/>
        <v>1027</v>
      </c>
      <c r="B1137" s="414" t="s">
        <v>1372</v>
      </c>
      <c r="C1137" s="51">
        <f t="shared" si="249"/>
        <v>202309.68</v>
      </c>
      <c r="D1137" s="51">
        <f t="shared" si="250"/>
        <v>0</v>
      </c>
      <c r="E1137" s="51"/>
      <c r="F1137" s="51"/>
      <c r="G1137" s="51"/>
      <c r="H1137" s="51"/>
      <c r="I1137" s="51"/>
      <c r="J1137" s="51"/>
      <c r="K1137" s="51"/>
      <c r="L1137" s="51"/>
      <c r="M1137" s="35"/>
      <c r="N1137" s="51"/>
      <c r="O1137" s="82"/>
      <c r="P1137" s="51"/>
      <c r="Q1137" s="338"/>
      <c r="R1137" s="51"/>
      <c r="S1137" s="51"/>
      <c r="T1137" s="338"/>
      <c r="U1137" s="51"/>
      <c r="V1137" s="35"/>
      <c r="W1137" s="364">
        <f t="shared" si="248"/>
        <v>202309.68</v>
      </c>
      <c r="X1137" s="285">
        <v>68146.789999999994</v>
      </c>
      <c r="Y1137" s="9">
        <v>134162.89000000001</v>
      </c>
      <c r="Z1137" s="306"/>
      <c r="AA1137" s="302"/>
      <c r="AB1137" s="302"/>
      <c r="AC1137" s="56"/>
      <c r="AD1137" s="56" t="s">
        <v>1360</v>
      </c>
      <c r="AE1137" s="56"/>
    </row>
    <row r="1138" spans="1:31" x14ac:dyDescent="0.3">
      <c r="A1138" s="47">
        <f t="shared" si="251"/>
        <v>1028</v>
      </c>
      <c r="B1138" s="414" t="s">
        <v>1373</v>
      </c>
      <c r="C1138" s="51">
        <f t="shared" si="249"/>
        <v>180225.47999999998</v>
      </c>
      <c r="D1138" s="51">
        <f t="shared" si="250"/>
        <v>0</v>
      </c>
      <c r="E1138" s="51"/>
      <c r="F1138" s="51"/>
      <c r="G1138" s="51"/>
      <c r="H1138" s="51"/>
      <c r="I1138" s="51"/>
      <c r="J1138" s="51"/>
      <c r="K1138" s="51"/>
      <c r="L1138" s="51"/>
      <c r="M1138" s="35"/>
      <c r="N1138" s="51"/>
      <c r="O1138" s="82"/>
      <c r="P1138" s="51"/>
      <c r="Q1138" s="338"/>
      <c r="R1138" s="51"/>
      <c r="S1138" s="51"/>
      <c r="T1138" s="338"/>
      <c r="U1138" s="51"/>
      <c r="V1138" s="35"/>
      <c r="W1138" s="364">
        <f t="shared" si="248"/>
        <v>180225.47999999998</v>
      </c>
      <c r="X1138" s="285">
        <v>59339.69</v>
      </c>
      <c r="Y1138" s="9">
        <v>120885.79</v>
      </c>
      <c r="Z1138" s="306"/>
      <c r="AA1138" s="302"/>
      <c r="AB1138" s="302"/>
      <c r="AC1138" s="56"/>
      <c r="AD1138" s="56" t="s">
        <v>1360</v>
      </c>
      <c r="AE1138" s="56"/>
    </row>
    <row r="1139" spans="1:31" x14ac:dyDescent="0.3">
      <c r="A1139" s="47">
        <f t="shared" si="251"/>
        <v>1029</v>
      </c>
      <c r="B1139" s="414" t="s">
        <v>1374</v>
      </c>
      <c r="C1139" s="51">
        <f t="shared" si="249"/>
        <v>235475.76</v>
      </c>
      <c r="D1139" s="51">
        <f t="shared" si="250"/>
        <v>0</v>
      </c>
      <c r="E1139" s="51"/>
      <c r="F1139" s="51"/>
      <c r="G1139" s="51"/>
      <c r="H1139" s="51"/>
      <c r="I1139" s="51"/>
      <c r="J1139" s="51"/>
      <c r="K1139" s="51"/>
      <c r="L1139" s="51"/>
      <c r="M1139" s="35"/>
      <c r="N1139" s="51"/>
      <c r="O1139" s="82"/>
      <c r="P1139" s="51"/>
      <c r="Q1139" s="338"/>
      <c r="R1139" s="51"/>
      <c r="S1139" s="51"/>
      <c r="T1139" s="338"/>
      <c r="U1139" s="51"/>
      <c r="V1139" s="35"/>
      <c r="W1139" s="364">
        <f t="shared" si="248"/>
        <v>235475.76</v>
      </c>
      <c r="X1139" s="285">
        <v>81222.84</v>
      </c>
      <c r="Y1139" s="9">
        <v>154252.92000000001</v>
      </c>
      <c r="Z1139" s="306"/>
      <c r="AA1139" s="302"/>
      <c r="AB1139" s="302"/>
      <c r="AC1139" s="56"/>
      <c r="AD1139" s="56" t="s">
        <v>1360</v>
      </c>
      <c r="AE1139" s="56"/>
    </row>
    <row r="1140" spans="1:31" x14ac:dyDescent="0.3">
      <c r="A1140" s="47">
        <f t="shared" si="251"/>
        <v>1030</v>
      </c>
      <c r="B1140" s="414" t="s">
        <v>1375</v>
      </c>
      <c r="C1140" s="51">
        <f t="shared" si="249"/>
        <v>199759.43</v>
      </c>
      <c r="D1140" s="51">
        <f t="shared" si="250"/>
        <v>0</v>
      </c>
      <c r="E1140" s="51"/>
      <c r="F1140" s="51"/>
      <c r="G1140" s="51"/>
      <c r="H1140" s="51"/>
      <c r="I1140" s="51"/>
      <c r="J1140" s="51"/>
      <c r="K1140" s="51"/>
      <c r="L1140" s="51"/>
      <c r="M1140" s="35"/>
      <c r="N1140" s="51"/>
      <c r="O1140" s="82"/>
      <c r="P1140" s="51"/>
      <c r="Q1140" s="338"/>
      <c r="R1140" s="51"/>
      <c r="S1140" s="51"/>
      <c r="T1140" s="338"/>
      <c r="U1140" s="51"/>
      <c r="V1140" s="35"/>
      <c r="W1140" s="364">
        <f t="shared" si="248"/>
        <v>199759.43</v>
      </c>
      <c r="X1140" s="285">
        <v>67135.929999999993</v>
      </c>
      <c r="Y1140" s="9">
        <v>132623.5</v>
      </c>
      <c r="Z1140" s="306"/>
      <c r="AA1140" s="302"/>
      <c r="AB1140" s="302"/>
      <c r="AC1140" s="56"/>
      <c r="AD1140" s="56" t="s">
        <v>1360</v>
      </c>
      <c r="AE1140" s="56"/>
    </row>
    <row r="1141" spans="1:31" x14ac:dyDescent="0.3">
      <c r="A1141" s="47">
        <f t="shared" si="251"/>
        <v>1031</v>
      </c>
      <c r="B1141" s="414" t="s">
        <v>1376</v>
      </c>
      <c r="C1141" s="51">
        <f t="shared" si="249"/>
        <v>244525.26</v>
      </c>
      <c r="D1141" s="51">
        <f t="shared" si="250"/>
        <v>0</v>
      </c>
      <c r="E1141" s="51"/>
      <c r="F1141" s="51"/>
      <c r="G1141" s="51"/>
      <c r="H1141" s="51"/>
      <c r="I1141" s="51"/>
      <c r="J1141" s="51"/>
      <c r="K1141" s="51"/>
      <c r="L1141" s="51"/>
      <c r="M1141" s="35"/>
      <c r="N1141" s="51"/>
      <c r="O1141" s="82"/>
      <c r="P1141" s="51"/>
      <c r="Q1141" s="338"/>
      <c r="R1141" s="51"/>
      <c r="S1141" s="51"/>
      <c r="T1141" s="338"/>
      <c r="U1141" s="51"/>
      <c r="V1141" s="35"/>
      <c r="W1141" s="364">
        <f t="shared" si="248"/>
        <v>244525.26</v>
      </c>
      <c r="X1141" s="285">
        <v>84860.03</v>
      </c>
      <c r="Y1141" s="9">
        <v>159665.23000000001</v>
      </c>
      <c r="Z1141" s="306"/>
      <c r="AA1141" s="302"/>
      <c r="AB1141" s="302"/>
      <c r="AC1141" s="56"/>
      <c r="AD1141" s="56" t="s">
        <v>1360</v>
      </c>
      <c r="AE1141" s="56"/>
    </row>
    <row r="1142" spans="1:31" x14ac:dyDescent="0.3">
      <c r="A1142" s="47">
        <f t="shared" si="251"/>
        <v>1032</v>
      </c>
      <c r="B1142" s="414" t="s">
        <v>1377</v>
      </c>
      <c r="C1142" s="51">
        <f t="shared" si="249"/>
        <v>166926.97</v>
      </c>
      <c r="D1142" s="51">
        <f t="shared" si="250"/>
        <v>0</v>
      </c>
      <c r="E1142" s="51"/>
      <c r="F1142" s="51"/>
      <c r="G1142" s="51"/>
      <c r="H1142" s="51"/>
      <c r="I1142" s="51"/>
      <c r="J1142" s="51"/>
      <c r="K1142" s="51"/>
      <c r="L1142" s="51"/>
      <c r="M1142" s="35"/>
      <c r="N1142" s="51"/>
      <c r="O1142" s="82"/>
      <c r="P1142" s="51"/>
      <c r="Q1142" s="338"/>
      <c r="R1142" s="51"/>
      <c r="S1142" s="51"/>
      <c r="T1142" s="338"/>
      <c r="U1142" s="51"/>
      <c r="V1142" s="35"/>
      <c r="W1142" s="364">
        <f t="shared" si="248"/>
        <v>166926.97</v>
      </c>
      <c r="X1142" s="285">
        <v>54026.66</v>
      </c>
      <c r="Y1142" s="9">
        <v>112900.31</v>
      </c>
      <c r="Z1142" s="306"/>
      <c r="AA1142" s="302"/>
      <c r="AB1142" s="302"/>
      <c r="AC1142" s="56"/>
      <c r="AD1142" s="56" t="s">
        <v>1360</v>
      </c>
      <c r="AE1142" s="56"/>
    </row>
    <row r="1143" spans="1:31" x14ac:dyDescent="0.3">
      <c r="A1143" s="47">
        <f t="shared" si="251"/>
        <v>1033</v>
      </c>
      <c r="B1143" s="414" t="s">
        <v>1378</v>
      </c>
      <c r="C1143" s="51">
        <f t="shared" si="249"/>
        <v>272082.96000000002</v>
      </c>
      <c r="D1143" s="51">
        <f t="shared" si="250"/>
        <v>0</v>
      </c>
      <c r="E1143" s="51"/>
      <c r="F1143" s="51"/>
      <c r="G1143" s="51"/>
      <c r="H1143" s="51"/>
      <c r="I1143" s="51"/>
      <c r="J1143" s="51"/>
      <c r="K1143" s="51"/>
      <c r="L1143" s="51"/>
      <c r="M1143" s="35"/>
      <c r="N1143" s="51"/>
      <c r="O1143" s="82"/>
      <c r="P1143" s="51"/>
      <c r="Q1143" s="338"/>
      <c r="R1143" s="51"/>
      <c r="S1143" s="51"/>
      <c r="T1143" s="338"/>
      <c r="U1143" s="51"/>
      <c r="V1143" s="35"/>
      <c r="W1143" s="364">
        <f t="shared" si="248"/>
        <v>272082.96000000002</v>
      </c>
      <c r="X1143" s="285">
        <v>95171.8</v>
      </c>
      <c r="Y1143" s="9">
        <v>176911.16</v>
      </c>
      <c r="Z1143" s="306"/>
      <c r="AA1143" s="302"/>
      <c r="AB1143" s="302"/>
      <c r="AC1143" s="56"/>
      <c r="AD1143" s="56" t="s">
        <v>1360</v>
      </c>
      <c r="AE1143" s="56"/>
    </row>
    <row r="1144" spans="1:31" x14ac:dyDescent="0.3">
      <c r="A1144" s="47">
        <f t="shared" si="251"/>
        <v>1034</v>
      </c>
      <c r="B1144" s="414" t="s">
        <v>1379</v>
      </c>
      <c r="C1144" s="51">
        <f t="shared" si="249"/>
        <v>587720.94999999995</v>
      </c>
      <c r="D1144" s="51">
        <f t="shared" si="250"/>
        <v>0</v>
      </c>
      <c r="E1144" s="51"/>
      <c r="F1144" s="51"/>
      <c r="G1144" s="51"/>
      <c r="H1144" s="51"/>
      <c r="I1144" s="51"/>
      <c r="J1144" s="51"/>
      <c r="K1144" s="51"/>
      <c r="L1144" s="51"/>
      <c r="M1144" s="35"/>
      <c r="N1144" s="51"/>
      <c r="O1144" s="82"/>
      <c r="P1144" s="51"/>
      <c r="Q1144" s="338"/>
      <c r="R1144" s="51"/>
      <c r="S1144" s="51"/>
      <c r="T1144" s="338"/>
      <c r="U1144" s="51">
        <v>416116.8</v>
      </c>
      <c r="V1144" s="35"/>
      <c r="W1144" s="364">
        <f t="shared" si="248"/>
        <v>171604.15</v>
      </c>
      <c r="X1144" s="285"/>
      <c r="Y1144" s="9">
        <v>171604.15</v>
      </c>
      <c r="Z1144" s="306"/>
      <c r="AA1144" s="302"/>
      <c r="AB1144" s="302"/>
      <c r="AC1144" s="56"/>
      <c r="AD1144" s="56"/>
      <c r="AE1144" s="56"/>
    </row>
    <row r="1145" spans="1:31" x14ac:dyDescent="0.3">
      <c r="A1145" s="47">
        <f t="shared" si="251"/>
        <v>1035</v>
      </c>
      <c r="B1145" s="414" t="s">
        <v>1380</v>
      </c>
      <c r="C1145" s="51">
        <f t="shared" si="249"/>
        <v>178954.91</v>
      </c>
      <c r="D1145" s="51">
        <f t="shared" si="250"/>
        <v>0</v>
      </c>
      <c r="E1145" s="51"/>
      <c r="F1145" s="51"/>
      <c r="G1145" s="51"/>
      <c r="H1145" s="51"/>
      <c r="I1145" s="51"/>
      <c r="J1145" s="51"/>
      <c r="K1145" s="51"/>
      <c r="L1145" s="51"/>
      <c r="M1145" s="35"/>
      <c r="N1145" s="51"/>
      <c r="O1145" s="82"/>
      <c r="P1145" s="51"/>
      <c r="Q1145" s="338"/>
      <c r="R1145" s="51"/>
      <c r="S1145" s="51"/>
      <c r="T1145" s="338"/>
      <c r="U1145" s="51"/>
      <c r="V1145" s="35"/>
      <c r="W1145" s="364">
        <f t="shared" si="248"/>
        <v>178954.91</v>
      </c>
      <c r="X1145" s="285">
        <v>58838.81</v>
      </c>
      <c r="Y1145" s="9">
        <v>120116.1</v>
      </c>
      <c r="Z1145" s="306"/>
      <c r="AA1145" s="302"/>
      <c r="AB1145" s="302"/>
      <c r="AC1145" s="56"/>
      <c r="AD1145" s="56" t="s">
        <v>1360</v>
      </c>
      <c r="AE1145" s="56"/>
    </row>
    <row r="1146" spans="1:31" x14ac:dyDescent="0.3">
      <c r="A1146" s="47">
        <f t="shared" si="251"/>
        <v>1036</v>
      </c>
      <c r="B1146" s="414" t="s">
        <v>1381</v>
      </c>
      <c r="C1146" s="51">
        <f t="shared" si="249"/>
        <v>219394.29</v>
      </c>
      <c r="D1146" s="51">
        <f t="shared" si="250"/>
        <v>0</v>
      </c>
      <c r="E1146" s="51"/>
      <c r="F1146" s="51"/>
      <c r="G1146" s="51"/>
      <c r="H1146" s="51"/>
      <c r="I1146" s="51"/>
      <c r="J1146" s="51"/>
      <c r="K1146" s="51"/>
      <c r="L1146" s="51"/>
      <c r="M1146" s="35"/>
      <c r="N1146" s="51"/>
      <c r="O1146" s="82"/>
      <c r="P1146" s="51"/>
      <c r="Q1146" s="338"/>
      <c r="R1146" s="51"/>
      <c r="S1146" s="51"/>
      <c r="T1146" s="338"/>
      <c r="U1146" s="51"/>
      <c r="V1146" s="35"/>
      <c r="W1146" s="364">
        <f t="shared" si="248"/>
        <v>219394.29</v>
      </c>
      <c r="X1146" s="285">
        <v>74851.69</v>
      </c>
      <c r="Y1146" s="9">
        <v>144542.6</v>
      </c>
      <c r="Z1146" s="306"/>
      <c r="AA1146" s="302"/>
      <c r="AB1146" s="302"/>
      <c r="AC1146" s="56"/>
      <c r="AD1146" s="56" t="s">
        <v>1360</v>
      </c>
      <c r="AE1146" s="56"/>
    </row>
    <row r="1147" spans="1:31" x14ac:dyDescent="0.3">
      <c r="A1147" s="47">
        <f t="shared" si="251"/>
        <v>1037</v>
      </c>
      <c r="B1147" s="414" t="s">
        <v>1382</v>
      </c>
      <c r="C1147" s="51">
        <f t="shared" si="249"/>
        <v>197244.92</v>
      </c>
      <c r="D1147" s="51">
        <f t="shared" si="250"/>
        <v>0</v>
      </c>
      <c r="E1147" s="51"/>
      <c r="F1147" s="51"/>
      <c r="G1147" s="51"/>
      <c r="H1147" s="51"/>
      <c r="I1147" s="51"/>
      <c r="J1147" s="51"/>
      <c r="K1147" s="51"/>
      <c r="L1147" s="51"/>
      <c r="M1147" s="35"/>
      <c r="N1147" s="51"/>
      <c r="O1147" s="82"/>
      <c r="P1147" s="51"/>
      <c r="Q1147" s="338"/>
      <c r="R1147" s="51"/>
      <c r="S1147" s="51"/>
      <c r="T1147" s="338"/>
      <c r="U1147" s="51"/>
      <c r="V1147" s="35"/>
      <c r="W1147" s="364">
        <f t="shared" si="248"/>
        <v>197244.92</v>
      </c>
      <c r="X1147" s="285">
        <v>66160.78</v>
      </c>
      <c r="Y1147" s="9">
        <v>131084.14000000001</v>
      </c>
      <c r="Z1147" s="306"/>
      <c r="AA1147" s="302"/>
      <c r="AB1147" s="302"/>
      <c r="AC1147" s="56"/>
      <c r="AD1147" s="56" t="s">
        <v>1360</v>
      </c>
      <c r="AE1147" s="56"/>
    </row>
    <row r="1148" spans="1:31" x14ac:dyDescent="0.3">
      <c r="A1148" s="47">
        <f t="shared" si="251"/>
        <v>1038</v>
      </c>
      <c r="B1148" s="414" t="s">
        <v>1383</v>
      </c>
      <c r="C1148" s="51">
        <f t="shared" si="249"/>
        <v>228200.63</v>
      </c>
      <c r="D1148" s="51">
        <f t="shared" si="250"/>
        <v>0</v>
      </c>
      <c r="E1148" s="51"/>
      <c r="F1148" s="51"/>
      <c r="G1148" s="51"/>
      <c r="H1148" s="51"/>
      <c r="I1148" s="51"/>
      <c r="J1148" s="51"/>
      <c r="K1148" s="51"/>
      <c r="L1148" s="51"/>
      <c r="M1148" s="35"/>
      <c r="N1148" s="51"/>
      <c r="O1148" s="82"/>
      <c r="P1148" s="51"/>
      <c r="Q1148" s="338"/>
      <c r="R1148" s="51"/>
      <c r="S1148" s="51"/>
      <c r="T1148" s="338"/>
      <c r="U1148" s="51"/>
      <c r="V1148" s="35"/>
      <c r="W1148" s="364">
        <f t="shared" si="248"/>
        <v>228200.63</v>
      </c>
      <c r="X1148" s="285">
        <v>78325.31</v>
      </c>
      <c r="Y1148" s="9">
        <v>149875.32</v>
      </c>
      <c r="Z1148" s="306"/>
      <c r="AA1148" s="302"/>
      <c r="AB1148" s="302"/>
      <c r="AC1148" s="56"/>
      <c r="AD1148" s="56" t="s">
        <v>1360</v>
      </c>
      <c r="AE1148" s="56"/>
    </row>
    <row r="1149" spans="1:31" x14ac:dyDescent="0.3">
      <c r="A1149" s="47">
        <f t="shared" si="251"/>
        <v>1039</v>
      </c>
      <c r="B1149" s="414" t="s">
        <v>1384</v>
      </c>
      <c r="C1149" s="51">
        <f t="shared" si="249"/>
        <v>226877.84000000003</v>
      </c>
      <c r="D1149" s="51">
        <f t="shared" si="250"/>
        <v>0</v>
      </c>
      <c r="E1149" s="51"/>
      <c r="F1149" s="51"/>
      <c r="G1149" s="51"/>
      <c r="H1149" s="51"/>
      <c r="I1149" s="51"/>
      <c r="J1149" s="51"/>
      <c r="K1149" s="51"/>
      <c r="L1149" s="51"/>
      <c r="M1149" s="35"/>
      <c r="N1149" s="51"/>
      <c r="O1149" s="82"/>
      <c r="P1149" s="51"/>
      <c r="Q1149" s="338"/>
      <c r="R1149" s="51"/>
      <c r="S1149" s="51"/>
      <c r="T1149" s="338"/>
      <c r="U1149" s="51"/>
      <c r="V1149" s="35"/>
      <c r="W1149" s="364">
        <f t="shared" si="248"/>
        <v>226877.84000000003</v>
      </c>
      <c r="X1149" s="285">
        <v>77798.460000000006</v>
      </c>
      <c r="Y1149" s="9">
        <v>149079.38</v>
      </c>
      <c r="Z1149" s="306"/>
      <c r="AA1149" s="302"/>
      <c r="AB1149" s="302"/>
      <c r="AC1149" s="56"/>
      <c r="AD1149" s="56" t="s">
        <v>1360</v>
      </c>
      <c r="AE1149" s="56"/>
    </row>
    <row r="1150" spans="1:31" x14ac:dyDescent="0.3">
      <c r="A1150" s="47">
        <f t="shared" si="251"/>
        <v>1040</v>
      </c>
      <c r="B1150" s="414" t="s">
        <v>1385</v>
      </c>
      <c r="C1150" s="51">
        <f t="shared" si="249"/>
        <v>228861.97999999998</v>
      </c>
      <c r="D1150" s="51">
        <f t="shared" si="250"/>
        <v>0</v>
      </c>
      <c r="E1150" s="51"/>
      <c r="F1150" s="51"/>
      <c r="G1150" s="51"/>
      <c r="H1150" s="51"/>
      <c r="I1150" s="51"/>
      <c r="J1150" s="51"/>
      <c r="K1150" s="51"/>
      <c r="L1150" s="51"/>
      <c r="M1150" s="35"/>
      <c r="N1150" s="51"/>
      <c r="O1150" s="82"/>
      <c r="P1150" s="51"/>
      <c r="Q1150" s="338"/>
      <c r="R1150" s="51"/>
      <c r="S1150" s="51"/>
      <c r="T1150" s="338"/>
      <c r="U1150" s="51"/>
      <c r="V1150" s="35"/>
      <c r="W1150" s="364">
        <f t="shared" si="248"/>
        <v>228861.97999999998</v>
      </c>
      <c r="X1150" s="285">
        <v>78588.7</v>
      </c>
      <c r="Y1150" s="9">
        <v>150273.28</v>
      </c>
      <c r="Z1150" s="306"/>
      <c r="AA1150" s="302"/>
      <c r="AB1150" s="302"/>
      <c r="AC1150" s="56"/>
      <c r="AD1150" s="56" t="s">
        <v>1360</v>
      </c>
      <c r="AE1150" s="56"/>
    </row>
    <row r="1151" spans="1:31" x14ac:dyDescent="0.3">
      <c r="A1151" s="47">
        <f t="shared" si="251"/>
        <v>1041</v>
      </c>
      <c r="B1151" s="414" t="s">
        <v>1386</v>
      </c>
      <c r="C1151" s="51">
        <f t="shared" si="249"/>
        <v>159379.38</v>
      </c>
      <c r="D1151" s="51">
        <f t="shared" si="250"/>
        <v>0</v>
      </c>
      <c r="E1151" s="51"/>
      <c r="F1151" s="51"/>
      <c r="G1151" s="51"/>
      <c r="H1151" s="51"/>
      <c r="I1151" s="51"/>
      <c r="J1151" s="51"/>
      <c r="K1151" s="51"/>
      <c r="L1151" s="51"/>
      <c r="M1151" s="35"/>
      <c r="N1151" s="51"/>
      <c r="O1151" s="82"/>
      <c r="P1151" s="51"/>
      <c r="Q1151" s="338"/>
      <c r="R1151" s="51"/>
      <c r="S1151" s="51"/>
      <c r="T1151" s="338"/>
      <c r="U1151" s="51"/>
      <c r="V1151" s="35"/>
      <c r="W1151" s="364">
        <f t="shared" si="248"/>
        <v>159379.38</v>
      </c>
      <c r="X1151" s="285">
        <v>51000.97</v>
      </c>
      <c r="Y1151" s="9">
        <v>108378.41</v>
      </c>
      <c r="Z1151" s="306"/>
      <c r="AA1151" s="302"/>
      <c r="AB1151" s="302"/>
      <c r="AC1151" s="56"/>
      <c r="AD1151" s="56" t="s">
        <v>1360</v>
      </c>
      <c r="AE1151" s="56"/>
    </row>
    <row r="1152" spans="1:31" x14ac:dyDescent="0.3">
      <c r="A1152" s="47">
        <f t="shared" si="251"/>
        <v>1042</v>
      </c>
      <c r="B1152" s="414" t="s">
        <v>1387</v>
      </c>
      <c r="C1152" s="51">
        <f t="shared" si="249"/>
        <v>170432.33</v>
      </c>
      <c r="D1152" s="51">
        <f t="shared" si="250"/>
        <v>0</v>
      </c>
      <c r="E1152" s="51"/>
      <c r="F1152" s="51"/>
      <c r="G1152" s="51"/>
      <c r="H1152" s="51"/>
      <c r="I1152" s="51"/>
      <c r="J1152" s="51"/>
      <c r="K1152" s="51"/>
      <c r="L1152" s="51"/>
      <c r="M1152" s="35"/>
      <c r="N1152" s="51"/>
      <c r="O1152" s="82"/>
      <c r="P1152" s="51"/>
      <c r="Q1152" s="338"/>
      <c r="R1152" s="51"/>
      <c r="S1152" s="51"/>
      <c r="T1152" s="338"/>
      <c r="U1152" s="51"/>
      <c r="V1152" s="35"/>
      <c r="W1152" s="364">
        <f t="shared" si="248"/>
        <v>170432.33</v>
      </c>
      <c r="X1152" s="285">
        <v>55415.38</v>
      </c>
      <c r="Y1152" s="9">
        <v>115016.95</v>
      </c>
      <c r="Z1152" s="306"/>
      <c r="AA1152" s="302"/>
      <c r="AB1152" s="302"/>
      <c r="AC1152" s="56"/>
      <c r="AD1152" s="56" t="s">
        <v>1360</v>
      </c>
      <c r="AE1152" s="56"/>
    </row>
    <row r="1153" spans="1:31" x14ac:dyDescent="0.3">
      <c r="A1153" s="47"/>
      <c r="B1153" s="414" t="s">
        <v>211</v>
      </c>
      <c r="C1153" s="51">
        <f t="shared" ref="C1153:W1153" si="252">SUM(C1128:C1152)</f>
        <v>5825739.7800000003</v>
      </c>
      <c r="D1153" s="51">
        <f t="shared" si="252"/>
        <v>0</v>
      </c>
      <c r="E1153" s="51">
        <f t="shared" si="252"/>
        <v>0</v>
      </c>
      <c r="F1153" s="51">
        <f t="shared" si="252"/>
        <v>0</v>
      </c>
      <c r="G1153" s="51">
        <f t="shared" si="252"/>
        <v>0</v>
      </c>
      <c r="H1153" s="51">
        <f t="shared" si="252"/>
        <v>0</v>
      </c>
      <c r="I1153" s="51">
        <f t="shared" si="252"/>
        <v>0</v>
      </c>
      <c r="J1153" s="51">
        <f t="shared" si="252"/>
        <v>0</v>
      </c>
      <c r="K1153" s="51">
        <f t="shared" si="252"/>
        <v>0</v>
      </c>
      <c r="L1153" s="51">
        <f t="shared" si="252"/>
        <v>0</v>
      </c>
      <c r="M1153" s="35">
        <f t="shared" si="252"/>
        <v>0</v>
      </c>
      <c r="N1153" s="51">
        <f t="shared" si="252"/>
        <v>0</v>
      </c>
      <c r="O1153" s="82">
        <f t="shared" si="252"/>
        <v>0</v>
      </c>
      <c r="P1153" s="51">
        <f t="shared" si="252"/>
        <v>0</v>
      </c>
      <c r="Q1153" s="338">
        <f t="shared" si="252"/>
        <v>0</v>
      </c>
      <c r="R1153" s="51">
        <f t="shared" si="252"/>
        <v>0</v>
      </c>
      <c r="S1153" s="51">
        <f t="shared" si="252"/>
        <v>0</v>
      </c>
      <c r="T1153" s="338">
        <f t="shared" si="252"/>
        <v>0</v>
      </c>
      <c r="U1153" s="51">
        <f t="shared" si="252"/>
        <v>416116.8</v>
      </c>
      <c r="V1153" s="35">
        <f t="shared" si="252"/>
        <v>0</v>
      </c>
      <c r="W1153" s="51">
        <f t="shared" si="252"/>
        <v>5409622.9799999995</v>
      </c>
      <c r="X1153" s="285"/>
      <c r="Y1153" s="9"/>
      <c r="Z1153" s="306"/>
      <c r="AA1153" s="302"/>
      <c r="AB1153" s="302"/>
      <c r="AC1153" s="56"/>
      <c r="AD1153" s="56"/>
      <c r="AE1153" s="56"/>
    </row>
    <row r="1154" spans="1:31" ht="15" customHeight="1" x14ac:dyDescent="0.3">
      <c r="A1154" s="434" t="s">
        <v>1388</v>
      </c>
      <c r="B1154" s="414"/>
      <c r="C1154" s="51"/>
      <c r="D1154" s="51"/>
      <c r="E1154" s="51"/>
      <c r="F1154" s="51"/>
      <c r="G1154" s="51"/>
      <c r="H1154" s="51"/>
      <c r="I1154" s="51"/>
      <c r="J1154" s="51"/>
      <c r="K1154" s="51"/>
      <c r="L1154" s="51"/>
      <c r="M1154" s="35"/>
      <c r="N1154" s="51"/>
      <c r="O1154" s="82"/>
      <c r="P1154" s="51"/>
      <c r="Q1154" s="338"/>
      <c r="R1154" s="51"/>
      <c r="S1154" s="51"/>
      <c r="T1154" s="338"/>
      <c r="U1154" s="51"/>
      <c r="V1154" s="35"/>
      <c r="W1154" s="364"/>
      <c r="X1154" s="285"/>
      <c r="Y1154" s="9"/>
      <c r="Z1154" s="306"/>
      <c r="AA1154" s="302"/>
      <c r="AB1154" s="302"/>
      <c r="AC1154" s="56"/>
      <c r="AD1154" s="56"/>
      <c r="AE1154" s="56"/>
    </row>
    <row r="1155" spans="1:31" x14ac:dyDescent="0.3">
      <c r="A1155" s="47">
        <f>A1152+1</f>
        <v>1043</v>
      </c>
      <c r="B1155" s="414" t="s">
        <v>1389</v>
      </c>
      <c r="C1155" s="51">
        <f t="shared" ref="C1155:C1186" si="253">D1155+K1155+L1155+N1155+P1155+R1155+U1155+S1155+V1155+W1155</f>
        <v>130000</v>
      </c>
      <c r="D1155" s="51">
        <f t="shared" ref="D1155:D1180" si="254">E1155+F1155+G1155+H1155+I1155</f>
        <v>0</v>
      </c>
      <c r="E1155" s="51"/>
      <c r="F1155" s="51"/>
      <c r="G1155" s="51"/>
      <c r="H1155" s="51"/>
      <c r="I1155" s="51"/>
      <c r="J1155" s="51"/>
      <c r="K1155" s="51"/>
      <c r="L1155" s="51"/>
      <c r="M1155" s="35"/>
      <c r="N1155" s="51"/>
      <c r="O1155" s="82"/>
      <c r="P1155" s="51"/>
      <c r="Q1155" s="338"/>
      <c r="R1155" s="51"/>
      <c r="S1155" s="51"/>
      <c r="T1155" s="338"/>
      <c r="U1155" s="51"/>
      <c r="V1155" s="35"/>
      <c r="W1155" s="364">
        <v>130000</v>
      </c>
      <c r="X1155" s="285"/>
      <c r="Y1155" s="9"/>
      <c r="Z1155" s="40">
        <v>0</v>
      </c>
      <c r="AA1155" s="56"/>
      <c r="AB1155" s="56"/>
      <c r="AC1155" s="56"/>
      <c r="AD1155" s="56" t="s">
        <v>1390</v>
      </c>
      <c r="AE1155" s="56"/>
    </row>
    <row r="1156" spans="1:31" x14ac:dyDescent="0.3">
      <c r="A1156" s="47">
        <f>A1155+1</f>
        <v>1044</v>
      </c>
      <c r="B1156" s="414" t="s">
        <v>1391</v>
      </c>
      <c r="C1156" s="51">
        <f t="shared" si="253"/>
        <v>130000</v>
      </c>
      <c r="D1156" s="51">
        <f t="shared" si="254"/>
        <v>0</v>
      </c>
      <c r="E1156" s="51"/>
      <c r="F1156" s="51"/>
      <c r="G1156" s="51"/>
      <c r="H1156" s="51"/>
      <c r="I1156" s="51"/>
      <c r="J1156" s="51"/>
      <c r="K1156" s="51"/>
      <c r="L1156" s="51"/>
      <c r="M1156" s="35"/>
      <c r="N1156" s="51"/>
      <c r="O1156" s="82"/>
      <c r="P1156" s="51"/>
      <c r="Q1156" s="338"/>
      <c r="R1156" s="51"/>
      <c r="S1156" s="51"/>
      <c r="T1156" s="338"/>
      <c r="U1156" s="51"/>
      <c r="V1156" s="35"/>
      <c r="W1156" s="364">
        <v>130000</v>
      </c>
      <c r="X1156" s="285"/>
      <c r="Y1156" s="9"/>
      <c r="Z1156" s="40"/>
      <c r="AA1156" s="56"/>
      <c r="AB1156" s="56"/>
      <c r="AC1156" s="56"/>
      <c r="AD1156" s="56"/>
      <c r="AE1156" s="56"/>
    </row>
    <row r="1157" spans="1:31" x14ac:dyDescent="0.3">
      <c r="A1157" s="47">
        <f t="shared" ref="A1157:A1220" si="255">A1156+1</f>
        <v>1045</v>
      </c>
      <c r="B1157" s="414" t="s">
        <v>1392</v>
      </c>
      <c r="C1157" s="51">
        <f t="shared" si="253"/>
        <v>640147.35000000009</v>
      </c>
      <c r="D1157" s="51">
        <f t="shared" si="254"/>
        <v>0</v>
      </c>
      <c r="E1157" s="51"/>
      <c r="F1157" s="51"/>
      <c r="G1157" s="51"/>
      <c r="H1157" s="51"/>
      <c r="I1157" s="51"/>
      <c r="J1157" s="51"/>
      <c r="K1157" s="51"/>
      <c r="L1157" s="51"/>
      <c r="M1157" s="35"/>
      <c r="N1157" s="51"/>
      <c r="O1157" s="82"/>
      <c r="P1157" s="51"/>
      <c r="Q1157" s="338"/>
      <c r="R1157" s="51"/>
      <c r="S1157" s="51"/>
      <c r="T1157" s="338"/>
      <c r="U1157" s="51"/>
      <c r="V1157" s="35"/>
      <c r="W1157" s="364">
        <f t="shared" ref="W1157:W1162" si="256">SUM(X1157:AB1157)</f>
        <v>640147.35000000009</v>
      </c>
      <c r="X1157" s="365">
        <v>163108.20000000001</v>
      </c>
      <c r="Y1157" s="365">
        <v>305877.14</v>
      </c>
      <c r="Z1157" s="365">
        <v>171162.01</v>
      </c>
      <c r="AA1157" s="365"/>
      <c r="AB1157" s="365"/>
      <c r="AC1157" s="56"/>
      <c r="AD1157" s="56" t="s">
        <v>1393</v>
      </c>
      <c r="AE1157" s="56"/>
    </row>
    <row r="1158" spans="1:31" x14ac:dyDescent="0.3">
      <c r="A1158" s="47">
        <f t="shared" si="255"/>
        <v>1046</v>
      </c>
      <c r="B1158" s="414" t="s">
        <v>1394</v>
      </c>
      <c r="C1158" s="51">
        <f t="shared" si="253"/>
        <v>544408.68999999994</v>
      </c>
      <c r="D1158" s="51">
        <f t="shared" si="254"/>
        <v>0</v>
      </c>
      <c r="E1158" s="51"/>
      <c r="F1158" s="51"/>
      <c r="G1158" s="51"/>
      <c r="H1158" s="51"/>
      <c r="I1158" s="51"/>
      <c r="J1158" s="51"/>
      <c r="K1158" s="51"/>
      <c r="L1158" s="51"/>
      <c r="M1158" s="35"/>
      <c r="N1158" s="51"/>
      <c r="O1158" s="82"/>
      <c r="P1158" s="51"/>
      <c r="Q1158" s="338"/>
      <c r="R1158" s="51"/>
      <c r="S1158" s="51"/>
      <c r="T1158" s="338"/>
      <c r="U1158" s="51"/>
      <c r="V1158" s="35"/>
      <c r="W1158" s="364">
        <f t="shared" si="256"/>
        <v>544408.68999999994</v>
      </c>
      <c r="X1158" s="365">
        <v>188870.58</v>
      </c>
      <c r="Y1158" s="365"/>
      <c r="Z1158" s="365">
        <v>355538.11</v>
      </c>
      <c r="AA1158" s="365"/>
      <c r="AB1158" s="56"/>
      <c r="AC1158" s="56"/>
      <c r="AD1158" s="56" t="s">
        <v>1395</v>
      </c>
      <c r="AE1158" s="56"/>
    </row>
    <row r="1159" spans="1:31" x14ac:dyDescent="0.3">
      <c r="A1159" s="47">
        <f t="shared" si="255"/>
        <v>1047</v>
      </c>
      <c r="B1159" s="414" t="s">
        <v>1396</v>
      </c>
      <c r="C1159" s="51">
        <f t="shared" si="253"/>
        <v>694298.05</v>
      </c>
      <c r="D1159" s="51">
        <f t="shared" si="254"/>
        <v>0</v>
      </c>
      <c r="E1159" s="51"/>
      <c r="F1159" s="51"/>
      <c r="G1159" s="51"/>
      <c r="H1159" s="51"/>
      <c r="I1159" s="51"/>
      <c r="J1159" s="51"/>
      <c r="K1159" s="51"/>
      <c r="L1159" s="51"/>
      <c r="M1159" s="35"/>
      <c r="N1159" s="51"/>
      <c r="O1159" s="82"/>
      <c r="P1159" s="51"/>
      <c r="Q1159" s="338"/>
      <c r="R1159" s="51"/>
      <c r="S1159" s="51"/>
      <c r="T1159" s="338"/>
      <c r="U1159" s="51"/>
      <c r="V1159" s="35"/>
      <c r="W1159" s="364">
        <f t="shared" si="256"/>
        <v>694298.05</v>
      </c>
      <c r="X1159" s="366">
        <v>250776.89</v>
      </c>
      <c r="Y1159" s="9"/>
      <c r="Z1159" s="367">
        <v>443521.16</v>
      </c>
      <c r="AA1159" s="367"/>
      <c r="AB1159" s="56"/>
      <c r="AC1159" s="56"/>
      <c r="AD1159" s="56" t="s">
        <v>1395</v>
      </c>
      <c r="AE1159" s="56"/>
    </row>
    <row r="1160" spans="1:31" x14ac:dyDescent="0.3">
      <c r="A1160" s="47">
        <f t="shared" si="255"/>
        <v>1048</v>
      </c>
      <c r="B1160" s="414" t="s">
        <v>1397</v>
      </c>
      <c r="C1160" s="51">
        <f t="shared" si="253"/>
        <v>493897.92999999993</v>
      </c>
      <c r="D1160" s="51">
        <f t="shared" si="254"/>
        <v>0</v>
      </c>
      <c r="E1160" s="51"/>
      <c r="F1160" s="51"/>
      <c r="G1160" s="51"/>
      <c r="H1160" s="51"/>
      <c r="I1160" s="51"/>
      <c r="J1160" s="51"/>
      <c r="K1160" s="51"/>
      <c r="L1160" s="51"/>
      <c r="M1160" s="35"/>
      <c r="N1160" s="51"/>
      <c r="O1160" s="82"/>
      <c r="P1160" s="51"/>
      <c r="Q1160" s="338"/>
      <c r="R1160" s="51"/>
      <c r="S1160" s="51"/>
      <c r="T1160" s="338"/>
      <c r="U1160" s="51"/>
      <c r="V1160" s="35"/>
      <c r="W1160" s="364">
        <f t="shared" si="256"/>
        <v>493897.92999999993</v>
      </c>
      <c r="X1160" s="365">
        <v>175928.71</v>
      </c>
      <c r="Y1160" s="9"/>
      <c r="Z1160" s="365">
        <v>317969.21999999997</v>
      </c>
      <c r="AA1160" s="365"/>
      <c r="AB1160" s="56"/>
      <c r="AC1160" s="56"/>
      <c r="AD1160" s="56" t="s">
        <v>1395</v>
      </c>
      <c r="AE1160" s="56"/>
    </row>
    <row r="1161" spans="1:31" x14ac:dyDescent="0.3">
      <c r="A1161" s="47">
        <f t="shared" si="255"/>
        <v>1049</v>
      </c>
      <c r="B1161" s="414" t="s">
        <v>1398</v>
      </c>
      <c r="C1161" s="51">
        <f t="shared" si="253"/>
        <v>492323.35000000003</v>
      </c>
      <c r="D1161" s="51">
        <f t="shared" si="254"/>
        <v>0</v>
      </c>
      <c r="E1161" s="51"/>
      <c r="F1161" s="51"/>
      <c r="G1161" s="51"/>
      <c r="H1161" s="51"/>
      <c r="I1161" s="51"/>
      <c r="J1161" s="51"/>
      <c r="K1161" s="51"/>
      <c r="L1161" s="51"/>
      <c r="M1161" s="35"/>
      <c r="N1161" s="51"/>
      <c r="O1161" s="82"/>
      <c r="P1161" s="51"/>
      <c r="Q1161" s="338"/>
      <c r="R1161" s="51"/>
      <c r="S1161" s="51"/>
      <c r="T1161" s="338"/>
      <c r="U1161" s="51"/>
      <c r="V1161" s="35"/>
      <c r="W1161" s="364">
        <f t="shared" si="256"/>
        <v>492323.35000000003</v>
      </c>
      <c r="X1161" s="365">
        <v>172349.7</v>
      </c>
      <c r="Y1161" s="9"/>
      <c r="Z1161" s="365">
        <v>319973.65000000002</v>
      </c>
      <c r="AA1161" s="365"/>
      <c r="AB1161" s="56"/>
      <c r="AC1161" s="56"/>
      <c r="AD1161" s="56" t="s">
        <v>1395</v>
      </c>
      <c r="AE1161" s="56"/>
    </row>
    <row r="1162" spans="1:31" x14ac:dyDescent="0.3">
      <c r="A1162" s="47">
        <f t="shared" si="255"/>
        <v>1050</v>
      </c>
      <c r="B1162" s="414" t="s">
        <v>1399</v>
      </c>
      <c r="C1162" s="51">
        <f t="shared" si="253"/>
        <v>381548.7</v>
      </c>
      <c r="D1162" s="51">
        <f t="shared" si="254"/>
        <v>0</v>
      </c>
      <c r="E1162" s="51"/>
      <c r="F1162" s="51"/>
      <c r="G1162" s="51"/>
      <c r="H1162" s="51"/>
      <c r="I1162" s="51"/>
      <c r="J1162" s="51"/>
      <c r="K1162" s="51"/>
      <c r="L1162" s="51"/>
      <c r="M1162" s="35"/>
      <c r="N1162" s="51"/>
      <c r="O1162" s="82"/>
      <c r="P1162" s="51"/>
      <c r="Q1162" s="338"/>
      <c r="R1162" s="51"/>
      <c r="S1162" s="51"/>
      <c r="T1162" s="338"/>
      <c r="U1162" s="51"/>
      <c r="V1162" s="35"/>
      <c r="W1162" s="364">
        <f t="shared" si="256"/>
        <v>381548.7</v>
      </c>
      <c r="X1162" s="285"/>
      <c r="Y1162" s="365">
        <v>229603.07</v>
      </c>
      <c r="Z1162" s="365">
        <v>151945.63</v>
      </c>
      <c r="AA1162" s="365"/>
      <c r="AB1162" s="56"/>
      <c r="AC1162" s="56"/>
      <c r="AD1162" s="56" t="s">
        <v>1400</v>
      </c>
      <c r="AE1162" s="56"/>
    </row>
    <row r="1163" spans="1:31" x14ac:dyDescent="0.3">
      <c r="A1163" s="47">
        <f t="shared" si="255"/>
        <v>1051</v>
      </c>
      <c r="B1163" s="414" t="s">
        <v>1401</v>
      </c>
      <c r="C1163" s="51">
        <f t="shared" si="253"/>
        <v>13516423.199999999</v>
      </c>
      <c r="D1163" s="51">
        <f t="shared" si="254"/>
        <v>0</v>
      </c>
      <c r="E1163" s="51"/>
      <c r="F1163" s="51"/>
      <c r="G1163" s="51"/>
      <c r="H1163" s="51"/>
      <c r="I1163" s="51"/>
      <c r="J1163" s="51"/>
      <c r="K1163" s="51"/>
      <c r="L1163" s="51"/>
      <c r="M1163" s="35"/>
      <c r="N1163" s="51"/>
      <c r="O1163" s="82"/>
      <c r="P1163" s="51"/>
      <c r="Q1163" s="338"/>
      <c r="R1163" s="51"/>
      <c r="S1163" s="51"/>
      <c r="T1163" s="338"/>
      <c r="U1163" s="51">
        <v>13516423.199999999</v>
      </c>
      <c r="V1163" s="35"/>
      <c r="W1163" s="364"/>
      <c r="X1163" s="285"/>
      <c r="Y1163" s="9"/>
      <c r="Z1163" s="40"/>
      <c r="AA1163" s="56"/>
      <c r="AB1163" s="56"/>
      <c r="AC1163" s="56"/>
      <c r="AD1163" s="56"/>
      <c r="AE1163" s="56"/>
    </row>
    <row r="1164" spans="1:31" x14ac:dyDescent="0.3">
      <c r="A1164" s="47">
        <f t="shared" si="255"/>
        <v>1052</v>
      </c>
      <c r="B1164" s="414" t="s">
        <v>1402</v>
      </c>
      <c r="C1164" s="51">
        <f t="shared" si="253"/>
        <v>4289092.8</v>
      </c>
      <c r="D1164" s="51">
        <f t="shared" si="254"/>
        <v>0</v>
      </c>
      <c r="E1164" s="51"/>
      <c r="F1164" s="51"/>
      <c r="G1164" s="51"/>
      <c r="H1164" s="51"/>
      <c r="I1164" s="51"/>
      <c r="J1164" s="51"/>
      <c r="K1164" s="51"/>
      <c r="L1164" s="51"/>
      <c r="M1164" s="35"/>
      <c r="N1164" s="51"/>
      <c r="O1164" s="82"/>
      <c r="P1164" s="51"/>
      <c r="Q1164" s="338"/>
      <c r="R1164" s="51"/>
      <c r="S1164" s="51"/>
      <c r="T1164" s="338"/>
      <c r="U1164" s="51">
        <v>4289092.8</v>
      </c>
      <c r="V1164" s="35"/>
      <c r="W1164" s="364"/>
      <c r="X1164" s="285"/>
      <c r="Y1164" s="9"/>
      <c r="Z1164" s="40"/>
      <c r="AA1164" s="56"/>
      <c r="AB1164" s="56"/>
      <c r="AC1164" s="56"/>
      <c r="AD1164" s="56"/>
      <c r="AE1164" s="56"/>
    </row>
    <row r="1165" spans="1:31" x14ac:dyDescent="0.3">
      <c r="A1165" s="47">
        <f t="shared" si="255"/>
        <v>1053</v>
      </c>
      <c r="B1165" s="414" t="s">
        <v>1403</v>
      </c>
      <c r="C1165" s="51">
        <f t="shared" si="253"/>
        <v>2401217.4</v>
      </c>
      <c r="D1165" s="51">
        <f t="shared" si="254"/>
        <v>0</v>
      </c>
      <c r="E1165" s="51"/>
      <c r="F1165" s="51"/>
      <c r="G1165" s="51"/>
      <c r="H1165" s="51"/>
      <c r="I1165" s="51"/>
      <c r="J1165" s="51"/>
      <c r="K1165" s="51"/>
      <c r="L1165" s="51"/>
      <c r="M1165" s="35">
        <v>13</v>
      </c>
      <c r="N1165" s="51">
        <f>6243*M1165</f>
        <v>81159</v>
      </c>
      <c r="O1165" s="82"/>
      <c r="P1165" s="51"/>
      <c r="Q1165" s="338"/>
      <c r="R1165" s="51"/>
      <c r="S1165" s="51"/>
      <c r="T1165" s="338"/>
      <c r="U1165" s="51">
        <v>2320058.4</v>
      </c>
      <c r="V1165" s="35"/>
      <c r="W1165" s="364"/>
      <c r="X1165" s="285"/>
      <c r="Y1165" s="9"/>
      <c r="Z1165" s="40"/>
      <c r="AA1165" s="56"/>
      <c r="AB1165" s="56"/>
      <c r="AC1165" s="56"/>
      <c r="AD1165" s="56"/>
      <c r="AE1165" s="56"/>
    </row>
    <row r="1166" spans="1:31" x14ac:dyDescent="0.3">
      <c r="A1166" s="47">
        <f t="shared" si="255"/>
        <v>1054</v>
      </c>
      <c r="B1166" s="414" t="s">
        <v>1404</v>
      </c>
      <c r="C1166" s="51">
        <f t="shared" si="253"/>
        <v>7478862.4000000004</v>
      </c>
      <c r="D1166" s="51">
        <f t="shared" si="254"/>
        <v>0</v>
      </c>
      <c r="E1166" s="51"/>
      <c r="F1166" s="51"/>
      <c r="G1166" s="51"/>
      <c r="H1166" s="51"/>
      <c r="I1166" s="51"/>
      <c r="J1166" s="51"/>
      <c r="K1166" s="51"/>
      <c r="L1166" s="51"/>
      <c r="M1166" s="35"/>
      <c r="N1166" s="51"/>
      <c r="O1166" s="82"/>
      <c r="P1166" s="51"/>
      <c r="Q1166" s="338"/>
      <c r="R1166" s="51"/>
      <c r="S1166" s="51"/>
      <c r="T1166" s="338"/>
      <c r="U1166" s="51">
        <v>7348862.4000000004</v>
      </c>
      <c r="V1166" s="35"/>
      <c r="W1166" s="364">
        <v>130000</v>
      </c>
      <c r="X1166" s="285"/>
      <c r="Y1166" s="9"/>
      <c r="Z1166" s="40"/>
      <c r="AA1166" s="56"/>
      <c r="AB1166" s="56"/>
      <c r="AC1166" s="56"/>
      <c r="AD1166" s="56"/>
      <c r="AE1166" s="56"/>
    </row>
    <row r="1167" spans="1:31" x14ac:dyDescent="0.3">
      <c r="A1167" s="47">
        <f t="shared" si="255"/>
        <v>1055</v>
      </c>
      <c r="B1167" s="414" t="s">
        <v>1405</v>
      </c>
      <c r="C1167" s="51">
        <f t="shared" si="253"/>
        <v>154570</v>
      </c>
      <c r="D1167" s="51">
        <f t="shared" si="254"/>
        <v>0</v>
      </c>
      <c r="E1167" s="51"/>
      <c r="F1167" s="51"/>
      <c r="G1167" s="51"/>
      <c r="H1167" s="51"/>
      <c r="I1167" s="51"/>
      <c r="J1167" s="51"/>
      <c r="K1167" s="51"/>
      <c r="L1167" s="51"/>
      <c r="M1167" s="35"/>
      <c r="N1167" s="51"/>
      <c r="O1167" s="82"/>
      <c r="P1167" s="51"/>
      <c r="Q1167" s="338"/>
      <c r="R1167" s="51"/>
      <c r="S1167" s="51"/>
      <c r="T1167" s="338">
        <v>13</v>
      </c>
      <c r="U1167" s="51">
        <f>T1167*11890</f>
        <v>154570</v>
      </c>
      <c r="V1167" s="35"/>
      <c r="W1167" s="364"/>
      <c r="X1167" s="285"/>
      <c r="Y1167" s="9"/>
      <c r="Z1167" s="40"/>
      <c r="AA1167" s="56"/>
      <c r="AB1167" s="56"/>
      <c r="AC1167" s="56"/>
      <c r="AD1167" s="56"/>
      <c r="AE1167" s="56"/>
    </row>
    <row r="1168" spans="1:31" x14ac:dyDescent="0.3">
      <c r="A1168" s="47">
        <f t="shared" si="255"/>
        <v>1056</v>
      </c>
      <c r="B1168" s="414" t="s">
        <v>1406</v>
      </c>
      <c r="C1168" s="51">
        <f t="shared" si="253"/>
        <v>154570</v>
      </c>
      <c r="D1168" s="51">
        <f t="shared" si="254"/>
        <v>0</v>
      </c>
      <c r="E1168" s="51"/>
      <c r="F1168" s="51"/>
      <c r="G1168" s="51"/>
      <c r="H1168" s="51"/>
      <c r="I1168" s="51"/>
      <c r="J1168" s="51"/>
      <c r="K1168" s="51"/>
      <c r="L1168" s="51"/>
      <c r="M1168" s="35"/>
      <c r="N1168" s="51"/>
      <c r="O1168" s="82"/>
      <c r="P1168" s="51"/>
      <c r="Q1168" s="338"/>
      <c r="R1168" s="51"/>
      <c r="S1168" s="51"/>
      <c r="T1168" s="338">
        <v>13</v>
      </c>
      <c r="U1168" s="51">
        <f>T1168*11890</f>
        <v>154570</v>
      </c>
      <c r="V1168" s="35"/>
      <c r="W1168" s="364">
        <f>SUM(X1168:AB1168)</f>
        <v>0</v>
      </c>
      <c r="X1168" s="285"/>
      <c r="Y1168" s="9"/>
      <c r="Z1168" s="40"/>
      <c r="AA1168" s="56"/>
      <c r="AB1168" s="368"/>
      <c r="AC1168" s="56"/>
      <c r="AD1168" s="56"/>
      <c r="AE1168" s="56"/>
    </row>
    <row r="1169" spans="1:31" x14ac:dyDescent="0.3">
      <c r="A1169" s="47">
        <f t="shared" si="255"/>
        <v>1057</v>
      </c>
      <c r="B1169" s="414" t="s">
        <v>1407</v>
      </c>
      <c r="C1169" s="51">
        <f t="shared" si="253"/>
        <v>717607.84</v>
      </c>
      <c r="D1169" s="51">
        <f t="shared" si="254"/>
        <v>0</v>
      </c>
      <c r="E1169" s="51"/>
      <c r="F1169" s="51"/>
      <c r="G1169" s="51"/>
      <c r="H1169" s="51"/>
      <c r="I1169" s="51"/>
      <c r="J1169" s="51"/>
      <c r="K1169" s="51"/>
      <c r="L1169" s="51"/>
      <c r="M1169" s="35"/>
      <c r="N1169" s="51"/>
      <c r="O1169" s="82"/>
      <c r="P1169" s="51"/>
      <c r="Q1169" s="338"/>
      <c r="R1169" s="51"/>
      <c r="S1169" s="51"/>
      <c r="T1169" s="338"/>
      <c r="U1169" s="51"/>
      <c r="V1169" s="35"/>
      <c r="W1169" s="364">
        <f>SUM(X1169:AB1169)</f>
        <v>717607.84</v>
      </c>
      <c r="X1169" s="365">
        <f>134077.66+175261.96+129081.49</f>
        <v>438421.11</v>
      </c>
      <c r="Y1169" s="365"/>
      <c r="Z1169" s="365">
        <v>279186.73</v>
      </c>
      <c r="AA1169" s="365"/>
      <c r="AB1169" s="56"/>
      <c r="AC1169" s="56"/>
      <c r="AD1169" s="56" t="s">
        <v>1408</v>
      </c>
      <c r="AE1169" s="56"/>
    </row>
    <row r="1170" spans="1:31" x14ac:dyDescent="0.3">
      <c r="A1170" s="47">
        <f t="shared" si="255"/>
        <v>1058</v>
      </c>
      <c r="B1170" s="414" t="s">
        <v>1409</v>
      </c>
      <c r="C1170" s="51">
        <f t="shared" si="253"/>
        <v>550685.37</v>
      </c>
      <c r="D1170" s="51">
        <f t="shared" si="254"/>
        <v>0</v>
      </c>
      <c r="E1170" s="51"/>
      <c r="F1170" s="51"/>
      <c r="G1170" s="51"/>
      <c r="H1170" s="51"/>
      <c r="I1170" s="51"/>
      <c r="J1170" s="51"/>
      <c r="K1170" s="51"/>
      <c r="L1170" s="51"/>
      <c r="M1170" s="35"/>
      <c r="N1170" s="51"/>
      <c r="O1170" s="82"/>
      <c r="P1170" s="51"/>
      <c r="Q1170" s="338"/>
      <c r="R1170" s="51"/>
      <c r="S1170" s="51"/>
      <c r="T1170" s="338"/>
      <c r="U1170" s="51"/>
      <c r="V1170" s="35"/>
      <c r="W1170" s="364">
        <f>SUM(X1170:AB1170)</f>
        <v>550685.37</v>
      </c>
      <c r="X1170" s="365">
        <f>132278.9+171677.63+135973.81</f>
        <v>439930.34</v>
      </c>
      <c r="Y1170" s="365"/>
      <c r="Z1170" s="365">
        <v>110755.03</v>
      </c>
      <c r="AA1170" s="365"/>
      <c r="AB1170" s="56"/>
      <c r="AC1170" s="56"/>
      <c r="AD1170" s="56" t="s">
        <v>1410</v>
      </c>
      <c r="AE1170" s="56"/>
    </row>
    <row r="1171" spans="1:31" x14ac:dyDescent="0.3">
      <c r="A1171" s="47">
        <f t="shared" si="255"/>
        <v>1059</v>
      </c>
      <c r="B1171" s="414" t="s">
        <v>1411</v>
      </c>
      <c r="C1171" s="51">
        <f t="shared" si="253"/>
        <v>130000</v>
      </c>
      <c r="D1171" s="51">
        <f t="shared" si="254"/>
        <v>0</v>
      </c>
      <c r="E1171" s="51"/>
      <c r="F1171" s="51"/>
      <c r="G1171" s="51"/>
      <c r="H1171" s="51"/>
      <c r="I1171" s="51"/>
      <c r="J1171" s="51"/>
      <c r="K1171" s="51"/>
      <c r="L1171" s="51"/>
      <c r="M1171" s="35"/>
      <c r="N1171" s="51"/>
      <c r="O1171" s="82"/>
      <c r="P1171" s="51"/>
      <c r="Q1171" s="338"/>
      <c r="R1171" s="51"/>
      <c r="S1171" s="51"/>
      <c r="T1171" s="338"/>
      <c r="U1171" s="51"/>
      <c r="V1171" s="35"/>
      <c r="W1171" s="364">
        <v>130000</v>
      </c>
      <c r="X1171" s="365"/>
      <c r="Y1171" s="365"/>
      <c r="Z1171" s="365"/>
      <c r="AA1171" s="365"/>
      <c r="AB1171" s="365"/>
      <c r="AC1171" s="56"/>
      <c r="AD1171" s="56"/>
      <c r="AE1171" s="56"/>
    </row>
    <row r="1172" spans="1:31" x14ac:dyDescent="0.3">
      <c r="A1172" s="47">
        <f t="shared" si="255"/>
        <v>1060</v>
      </c>
      <c r="B1172" s="414" t="s">
        <v>1412</v>
      </c>
      <c r="C1172" s="51">
        <f t="shared" si="253"/>
        <v>149488.87</v>
      </c>
      <c r="D1172" s="51">
        <f t="shared" si="254"/>
        <v>0</v>
      </c>
      <c r="E1172" s="51"/>
      <c r="F1172" s="51"/>
      <c r="G1172" s="51"/>
      <c r="H1172" s="51"/>
      <c r="I1172" s="51"/>
      <c r="J1172" s="51"/>
      <c r="K1172" s="51"/>
      <c r="L1172" s="51"/>
      <c r="M1172" s="35"/>
      <c r="N1172" s="51"/>
      <c r="O1172" s="82"/>
      <c r="P1172" s="51"/>
      <c r="Q1172" s="338"/>
      <c r="R1172" s="51"/>
      <c r="S1172" s="51"/>
      <c r="T1172" s="338"/>
      <c r="U1172" s="51"/>
      <c r="V1172" s="35"/>
      <c r="W1172" s="364">
        <f t="shared" ref="W1172:W1179" si="257">SUM(X1172:AB1172)</f>
        <v>149488.87</v>
      </c>
      <c r="X1172" s="365"/>
      <c r="Y1172" s="365"/>
      <c r="Z1172" s="365">
        <v>149488.87</v>
      </c>
      <c r="AA1172" s="365"/>
      <c r="AB1172" s="365"/>
      <c r="AC1172" s="56"/>
      <c r="AD1172" s="56" t="s">
        <v>1413</v>
      </c>
      <c r="AE1172" s="56"/>
    </row>
    <row r="1173" spans="1:31" x14ac:dyDescent="0.3">
      <c r="A1173" s="47">
        <f t="shared" si="255"/>
        <v>1061</v>
      </c>
      <c r="B1173" s="414" t="s">
        <v>1414</v>
      </c>
      <c r="C1173" s="51">
        <f t="shared" si="253"/>
        <v>524199.79</v>
      </c>
      <c r="D1173" s="51">
        <f t="shared" si="254"/>
        <v>0</v>
      </c>
      <c r="E1173" s="51"/>
      <c r="F1173" s="51"/>
      <c r="G1173" s="51"/>
      <c r="H1173" s="51"/>
      <c r="I1173" s="51"/>
      <c r="J1173" s="51"/>
      <c r="K1173" s="51"/>
      <c r="L1173" s="51"/>
      <c r="M1173" s="35"/>
      <c r="N1173" s="51"/>
      <c r="O1173" s="82"/>
      <c r="P1173" s="51"/>
      <c r="Q1173" s="338"/>
      <c r="R1173" s="51"/>
      <c r="S1173" s="51"/>
      <c r="T1173" s="338"/>
      <c r="U1173" s="51"/>
      <c r="V1173" s="35"/>
      <c r="W1173" s="364">
        <f t="shared" si="257"/>
        <v>524199.79</v>
      </c>
      <c r="X1173" s="365">
        <f>139326.24+104694.3+134701.43</f>
        <v>378721.97</v>
      </c>
      <c r="Y1173" s="365"/>
      <c r="Z1173" s="365">
        <v>145477.82</v>
      </c>
      <c r="AA1173" s="365"/>
      <c r="AB1173" s="365"/>
      <c r="AC1173" s="56"/>
      <c r="AD1173" s="56" t="s">
        <v>1415</v>
      </c>
      <c r="AE1173" s="56"/>
    </row>
    <row r="1174" spans="1:31" x14ac:dyDescent="0.3">
      <c r="A1174" s="47">
        <f t="shared" si="255"/>
        <v>1062</v>
      </c>
      <c r="B1174" s="414" t="s">
        <v>1416</v>
      </c>
      <c r="C1174" s="51">
        <f t="shared" si="253"/>
        <v>336129.86</v>
      </c>
      <c r="D1174" s="51">
        <f t="shared" si="254"/>
        <v>0</v>
      </c>
      <c r="E1174" s="51"/>
      <c r="F1174" s="51"/>
      <c r="G1174" s="51"/>
      <c r="H1174" s="51"/>
      <c r="I1174" s="51"/>
      <c r="J1174" s="51"/>
      <c r="K1174" s="51"/>
      <c r="L1174" s="51"/>
      <c r="M1174" s="35"/>
      <c r="N1174" s="51"/>
      <c r="O1174" s="82"/>
      <c r="P1174" s="51"/>
      <c r="Q1174" s="338"/>
      <c r="R1174" s="51"/>
      <c r="S1174" s="51"/>
      <c r="T1174" s="338"/>
      <c r="U1174" s="51"/>
      <c r="V1174" s="35"/>
      <c r="W1174" s="364">
        <f t="shared" si="257"/>
        <v>336129.86</v>
      </c>
      <c r="X1174" s="365">
        <v>113130.74</v>
      </c>
      <c r="Y1174" s="365"/>
      <c r="Z1174" s="365">
        <v>222999.12</v>
      </c>
      <c r="AA1174" s="365"/>
      <c r="AB1174" s="56"/>
      <c r="AC1174" s="56"/>
      <c r="AD1174" s="56" t="s">
        <v>1395</v>
      </c>
      <c r="AE1174" s="56"/>
    </row>
    <row r="1175" spans="1:31" x14ac:dyDescent="0.3">
      <c r="A1175" s="47">
        <f t="shared" si="255"/>
        <v>1063</v>
      </c>
      <c r="B1175" s="414" t="s">
        <v>1417</v>
      </c>
      <c r="C1175" s="51">
        <f t="shared" si="253"/>
        <v>692536.12</v>
      </c>
      <c r="D1175" s="51">
        <f t="shared" si="254"/>
        <v>0</v>
      </c>
      <c r="E1175" s="51"/>
      <c r="F1175" s="51"/>
      <c r="G1175" s="51"/>
      <c r="H1175" s="51"/>
      <c r="I1175" s="51"/>
      <c r="J1175" s="51"/>
      <c r="K1175" s="51"/>
      <c r="L1175" s="51"/>
      <c r="M1175" s="35"/>
      <c r="N1175" s="51"/>
      <c r="O1175" s="82"/>
      <c r="P1175" s="51"/>
      <c r="Q1175" s="338"/>
      <c r="R1175" s="51"/>
      <c r="S1175" s="51"/>
      <c r="T1175" s="338"/>
      <c r="U1175" s="51"/>
      <c r="V1175" s="35"/>
      <c r="W1175" s="364">
        <f t="shared" si="257"/>
        <v>692536.12</v>
      </c>
      <c r="X1175" s="365">
        <v>245691.36</v>
      </c>
      <c r="Y1175" s="365">
        <v>446844.76</v>
      </c>
      <c r="Z1175" s="365"/>
      <c r="AA1175" s="365"/>
      <c r="AB1175" s="56"/>
      <c r="AC1175" s="56"/>
      <c r="AD1175" s="56" t="s">
        <v>1395</v>
      </c>
      <c r="AE1175" s="56"/>
    </row>
    <row r="1176" spans="1:31" x14ac:dyDescent="0.3">
      <c r="A1176" s="47">
        <f t="shared" si="255"/>
        <v>1064</v>
      </c>
      <c r="B1176" s="414" t="s">
        <v>1418</v>
      </c>
      <c r="C1176" s="51">
        <f t="shared" si="253"/>
        <v>1202084.8599999999</v>
      </c>
      <c r="D1176" s="51">
        <f t="shared" si="254"/>
        <v>0</v>
      </c>
      <c r="E1176" s="51"/>
      <c r="F1176" s="51"/>
      <c r="G1176" s="51"/>
      <c r="H1176" s="51"/>
      <c r="I1176" s="51"/>
      <c r="J1176" s="51"/>
      <c r="K1176" s="51"/>
      <c r="L1176" s="51"/>
      <c r="M1176" s="35"/>
      <c r="N1176" s="51"/>
      <c r="O1176" s="82"/>
      <c r="P1176" s="51"/>
      <c r="Q1176" s="338"/>
      <c r="R1176" s="51"/>
      <c r="S1176" s="51"/>
      <c r="T1176" s="338"/>
      <c r="U1176" s="51"/>
      <c r="V1176" s="35"/>
      <c r="W1176" s="364">
        <f t="shared" si="257"/>
        <v>1202084.8599999999</v>
      </c>
      <c r="X1176" s="365">
        <f>153244.81+197505.5+247349.8</f>
        <v>598100.11</v>
      </c>
      <c r="Y1176" s="365">
        <v>396921.74</v>
      </c>
      <c r="Z1176" s="365">
        <v>207063.01</v>
      </c>
      <c r="AA1176" s="365"/>
      <c r="AB1176" s="56"/>
      <c r="AC1176" s="56"/>
      <c r="AD1176" s="56" t="s">
        <v>1419</v>
      </c>
      <c r="AE1176" s="56"/>
    </row>
    <row r="1177" spans="1:31" x14ac:dyDescent="0.3">
      <c r="A1177" s="47">
        <f t="shared" si="255"/>
        <v>1065</v>
      </c>
      <c r="B1177" s="414" t="s">
        <v>1420</v>
      </c>
      <c r="C1177" s="51">
        <f t="shared" si="253"/>
        <v>381741.62</v>
      </c>
      <c r="D1177" s="51">
        <f t="shared" si="254"/>
        <v>0</v>
      </c>
      <c r="E1177" s="51"/>
      <c r="F1177" s="51"/>
      <c r="G1177" s="51"/>
      <c r="H1177" s="51"/>
      <c r="I1177" s="51"/>
      <c r="J1177" s="51"/>
      <c r="K1177" s="51"/>
      <c r="L1177" s="51"/>
      <c r="M1177" s="35"/>
      <c r="N1177" s="51"/>
      <c r="O1177" s="82"/>
      <c r="P1177" s="51"/>
      <c r="Q1177" s="338"/>
      <c r="R1177" s="51"/>
      <c r="S1177" s="51"/>
      <c r="T1177" s="338"/>
      <c r="U1177" s="51"/>
      <c r="V1177" s="35"/>
      <c r="W1177" s="364">
        <f t="shared" si="257"/>
        <v>381741.62</v>
      </c>
      <c r="X1177" s="365"/>
      <c r="Y1177" s="365">
        <v>237948.24</v>
      </c>
      <c r="Z1177" s="365">
        <v>143793.38</v>
      </c>
      <c r="AA1177" s="365"/>
      <c r="AB1177" s="56"/>
      <c r="AC1177" s="56"/>
      <c r="AD1177" s="56" t="s">
        <v>1400</v>
      </c>
      <c r="AE1177" s="56"/>
    </row>
    <row r="1178" spans="1:31" x14ac:dyDescent="0.3">
      <c r="A1178" s="47">
        <f t="shared" si="255"/>
        <v>1066</v>
      </c>
      <c r="B1178" s="414" t="s">
        <v>1421</v>
      </c>
      <c r="C1178" s="51">
        <f t="shared" si="253"/>
        <v>381741.62</v>
      </c>
      <c r="D1178" s="51">
        <f t="shared" si="254"/>
        <v>0</v>
      </c>
      <c r="E1178" s="51"/>
      <c r="F1178" s="51"/>
      <c r="G1178" s="51"/>
      <c r="H1178" s="51"/>
      <c r="I1178" s="51"/>
      <c r="J1178" s="51"/>
      <c r="K1178" s="51"/>
      <c r="L1178" s="51"/>
      <c r="M1178" s="35"/>
      <c r="N1178" s="51"/>
      <c r="O1178" s="82"/>
      <c r="P1178" s="51"/>
      <c r="Q1178" s="338"/>
      <c r="R1178" s="51"/>
      <c r="S1178" s="51"/>
      <c r="T1178" s="338"/>
      <c r="U1178" s="51"/>
      <c r="V1178" s="35"/>
      <c r="W1178" s="364">
        <f t="shared" si="257"/>
        <v>381741.62</v>
      </c>
      <c r="X1178" s="365"/>
      <c r="Y1178" s="365">
        <v>237948.24</v>
      </c>
      <c r="Z1178" s="365">
        <v>143793.38</v>
      </c>
      <c r="AA1178" s="365"/>
      <c r="AB1178" s="56"/>
      <c r="AC1178" s="56"/>
      <c r="AD1178" s="56" t="s">
        <v>1400</v>
      </c>
      <c r="AE1178" s="56"/>
    </row>
    <row r="1179" spans="1:31" x14ac:dyDescent="0.3">
      <c r="A1179" s="47">
        <f t="shared" si="255"/>
        <v>1067</v>
      </c>
      <c r="B1179" s="414" t="s">
        <v>1423</v>
      </c>
      <c r="C1179" s="51">
        <f t="shared" si="253"/>
        <v>429443.77</v>
      </c>
      <c r="D1179" s="51">
        <f t="shared" si="254"/>
        <v>0</v>
      </c>
      <c r="E1179" s="51"/>
      <c r="F1179" s="51"/>
      <c r="G1179" s="51"/>
      <c r="H1179" s="51"/>
      <c r="I1179" s="51"/>
      <c r="J1179" s="51"/>
      <c r="K1179" s="51"/>
      <c r="L1179" s="51"/>
      <c r="M1179" s="35"/>
      <c r="N1179" s="51"/>
      <c r="O1179" s="82"/>
      <c r="P1179" s="51"/>
      <c r="Q1179" s="338"/>
      <c r="R1179" s="51"/>
      <c r="S1179" s="51"/>
      <c r="T1179" s="338"/>
      <c r="U1179" s="51"/>
      <c r="V1179" s="35"/>
      <c r="W1179" s="364">
        <f t="shared" si="257"/>
        <v>429443.77</v>
      </c>
      <c r="X1179" s="365">
        <v>194792.59</v>
      </c>
      <c r="Y1179" s="365"/>
      <c r="Z1179" s="365">
        <v>234651.18</v>
      </c>
      <c r="AA1179" s="365"/>
      <c r="AB1179" s="56"/>
      <c r="AC1179" s="56"/>
      <c r="AD1179" s="56" t="s">
        <v>1395</v>
      </c>
      <c r="AE1179" s="56"/>
    </row>
    <row r="1180" spans="1:31" x14ac:dyDescent="0.3">
      <c r="A1180" s="47">
        <f t="shared" si="255"/>
        <v>1068</v>
      </c>
      <c r="B1180" s="414" t="s">
        <v>1425</v>
      </c>
      <c r="C1180" s="51">
        <f t="shared" si="253"/>
        <v>995557.49</v>
      </c>
      <c r="D1180" s="51">
        <f t="shared" si="254"/>
        <v>0</v>
      </c>
      <c r="E1180" s="51"/>
      <c r="F1180" s="51"/>
      <c r="G1180" s="51"/>
      <c r="H1180" s="51"/>
      <c r="I1180" s="51"/>
      <c r="J1180" s="51"/>
      <c r="K1180" s="51"/>
      <c r="L1180" s="51"/>
      <c r="M1180" s="35"/>
      <c r="N1180" s="51"/>
      <c r="O1180" s="82"/>
      <c r="P1180" s="51"/>
      <c r="Q1180" s="338"/>
      <c r="R1180" s="51"/>
      <c r="S1180" s="51"/>
      <c r="T1180" s="338"/>
      <c r="U1180" s="51"/>
      <c r="V1180" s="35"/>
      <c r="W1180" s="364">
        <f>SUM(X1180:AB1180)</f>
        <v>995557.49</v>
      </c>
      <c r="X1180" s="365">
        <f>133582.88+128624.87+174761.69</f>
        <v>436969.44</v>
      </c>
      <c r="Y1180" s="365">
        <v>307855.31</v>
      </c>
      <c r="Z1180" s="365">
        <v>250732.74</v>
      </c>
      <c r="AA1180" s="365"/>
      <c r="AB1180" s="56"/>
      <c r="AC1180" s="56"/>
      <c r="AD1180" s="56" t="s">
        <v>1426</v>
      </c>
      <c r="AE1180" s="56"/>
    </row>
    <row r="1181" spans="1:31" x14ac:dyDescent="0.3">
      <c r="A1181" s="47">
        <f t="shared" si="255"/>
        <v>1069</v>
      </c>
      <c r="B1181" s="414" t="s">
        <v>1427</v>
      </c>
      <c r="C1181" s="51">
        <f t="shared" si="253"/>
        <v>2302330.79</v>
      </c>
      <c r="D1181" s="51">
        <f t="shared" ref="D1181" si="258">E1181+F1181+G1181+H1181+I1181</f>
        <v>0</v>
      </c>
      <c r="E1181" s="51"/>
      <c r="F1181" s="51"/>
      <c r="G1181" s="51"/>
      <c r="H1181" s="51"/>
      <c r="I1181" s="51"/>
      <c r="J1181" s="51"/>
      <c r="K1181" s="51"/>
      <c r="L1181" s="51"/>
      <c r="M1181" s="35"/>
      <c r="N1181" s="51"/>
      <c r="O1181" s="82"/>
      <c r="P1181" s="51"/>
      <c r="Q1181" s="338"/>
      <c r="R1181" s="51"/>
      <c r="S1181" s="51"/>
      <c r="T1181" s="338"/>
      <c r="U1181" s="51"/>
      <c r="V1181" s="35"/>
      <c r="W1181" s="364">
        <f>SUM(X1181:AB1181)</f>
        <v>2302330.79</v>
      </c>
      <c r="X1181" s="285"/>
      <c r="Y1181" s="9"/>
      <c r="Z1181" s="40"/>
      <c r="AA1181" s="365">
        <v>2302330.79</v>
      </c>
      <c r="AB1181" s="56"/>
      <c r="AC1181" s="56"/>
      <c r="AD1181" s="56" t="s">
        <v>1400</v>
      </c>
      <c r="AE1181" s="56"/>
    </row>
    <row r="1182" spans="1:31" x14ac:dyDescent="0.3">
      <c r="A1182" s="47">
        <f t="shared" si="255"/>
        <v>1070</v>
      </c>
      <c r="B1182" s="414" t="s">
        <v>1428</v>
      </c>
      <c r="C1182" s="51">
        <f t="shared" si="253"/>
        <v>862328.90999999992</v>
      </c>
      <c r="D1182" s="51">
        <f t="shared" ref="D1182:D1187" si="259">E1182+F1182+G1182+H1182+I1182</f>
        <v>0</v>
      </c>
      <c r="E1182" s="51"/>
      <c r="F1182" s="51"/>
      <c r="G1182" s="51"/>
      <c r="H1182" s="51"/>
      <c r="I1182" s="51"/>
      <c r="J1182" s="51"/>
      <c r="K1182" s="51"/>
      <c r="L1182" s="51"/>
      <c r="M1182" s="35"/>
      <c r="N1182" s="51"/>
      <c r="O1182" s="82"/>
      <c r="P1182" s="51"/>
      <c r="Q1182" s="338"/>
      <c r="R1182" s="51"/>
      <c r="S1182" s="51"/>
      <c r="T1182" s="338"/>
      <c r="U1182" s="51"/>
      <c r="V1182" s="35"/>
      <c r="W1182" s="364">
        <f>SUM(X1182:AB1182)</f>
        <v>862328.90999999992</v>
      </c>
      <c r="X1182" s="365">
        <f>182291.03+144277.54+142833</f>
        <v>469401.57</v>
      </c>
      <c r="Y1182" s="365">
        <v>227183.64</v>
      </c>
      <c r="Z1182" s="365">
        <v>165743.70000000001</v>
      </c>
      <c r="AA1182" s="365"/>
      <c r="AB1182" s="56"/>
      <c r="AC1182" s="56"/>
      <c r="AD1182" s="56" t="s">
        <v>1429</v>
      </c>
      <c r="AE1182" s="56"/>
    </row>
    <row r="1183" spans="1:31" x14ac:dyDescent="0.3">
      <c r="A1183" s="47">
        <f t="shared" si="255"/>
        <v>1071</v>
      </c>
      <c r="B1183" s="414" t="s">
        <v>1432</v>
      </c>
      <c r="C1183" s="51">
        <f t="shared" si="253"/>
        <v>3522850.8</v>
      </c>
      <c r="D1183" s="51">
        <f t="shared" si="259"/>
        <v>0</v>
      </c>
      <c r="E1183" s="51"/>
      <c r="F1183" s="51"/>
      <c r="G1183" s="51"/>
      <c r="H1183" s="51"/>
      <c r="I1183" s="51"/>
      <c r="J1183" s="51"/>
      <c r="K1183" s="51"/>
      <c r="L1183" s="51"/>
      <c r="M1183" s="35"/>
      <c r="N1183" s="51"/>
      <c r="O1183" s="82"/>
      <c r="P1183" s="51"/>
      <c r="Q1183" s="338"/>
      <c r="R1183" s="51"/>
      <c r="S1183" s="51"/>
      <c r="T1183" s="338"/>
      <c r="U1183" s="51">
        <v>3522850.8</v>
      </c>
      <c r="V1183" s="35"/>
      <c r="W1183" s="364"/>
      <c r="X1183" s="285"/>
      <c r="Y1183" s="9"/>
      <c r="Z1183" s="40"/>
      <c r="AA1183" s="56"/>
      <c r="AB1183" s="56"/>
      <c r="AC1183" s="56"/>
      <c r="AD1183" s="56"/>
      <c r="AE1183" s="56"/>
    </row>
    <row r="1184" spans="1:31" x14ac:dyDescent="0.3">
      <c r="A1184" s="47">
        <f t="shared" si="255"/>
        <v>1072</v>
      </c>
      <c r="B1184" s="414" t="s">
        <v>1433</v>
      </c>
      <c r="C1184" s="51">
        <f t="shared" si="253"/>
        <v>599363.10000000009</v>
      </c>
      <c r="D1184" s="51">
        <f t="shared" si="259"/>
        <v>0</v>
      </c>
      <c r="E1184" s="51"/>
      <c r="F1184" s="51"/>
      <c r="G1184" s="51"/>
      <c r="H1184" s="51"/>
      <c r="I1184" s="51"/>
      <c r="J1184" s="51"/>
      <c r="K1184" s="51"/>
      <c r="L1184" s="51"/>
      <c r="M1184" s="35"/>
      <c r="N1184" s="51"/>
      <c r="O1184" s="82"/>
      <c r="P1184" s="51"/>
      <c r="Q1184" s="338"/>
      <c r="R1184" s="51"/>
      <c r="S1184" s="51"/>
      <c r="T1184" s="338"/>
      <c r="U1184" s="51"/>
      <c r="V1184" s="35"/>
      <c r="W1184" s="364">
        <f>SUM(X1184:AB1184)</f>
        <v>599363.10000000009</v>
      </c>
      <c r="X1184" s="365">
        <f>113780.44+111056.45+131734.88+111056.45
+131734.88</f>
        <v>599363.10000000009</v>
      </c>
      <c r="Y1184" s="365"/>
      <c r="Z1184" s="365"/>
      <c r="AA1184" s="365"/>
      <c r="AB1184" s="365"/>
      <c r="AC1184" s="56"/>
      <c r="AD1184" s="56" t="s">
        <v>1434</v>
      </c>
      <c r="AE1184" s="56"/>
    </row>
    <row r="1185" spans="1:31" x14ac:dyDescent="0.3">
      <c r="A1185" s="47">
        <f t="shared" si="255"/>
        <v>1073</v>
      </c>
      <c r="B1185" s="414" t="s">
        <v>1435</v>
      </c>
      <c r="C1185" s="51">
        <f t="shared" si="253"/>
        <v>827820.83</v>
      </c>
      <c r="D1185" s="51">
        <f t="shared" si="259"/>
        <v>0</v>
      </c>
      <c r="E1185" s="51"/>
      <c r="F1185" s="51"/>
      <c r="G1185" s="51"/>
      <c r="H1185" s="51"/>
      <c r="I1185" s="51"/>
      <c r="J1185" s="51"/>
      <c r="K1185" s="51"/>
      <c r="L1185" s="51"/>
      <c r="M1185" s="35"/>
      <c r="N1185" s="51"/>
      <c r="O1185" s="82"/>
      <c r="P1185" s="51"/>
      <c r="Q1185" s="338"/>
      <c r="R1185" s="51"/>
      <c r="S1185" s="51"/>
      <c r="T1185" s="338"/>
      <c r="U1185" s="51"/>
      <c r="V1185" s="35"/>
      <c r="W1185" s="364">
        <f>SUM(X1185:AB1185)</f>
        <v>827820.83</v>
      </c>
      <c r="X1185" s="285">
        <f>153509.11+255662.76+209324.48+209324.48</f>
        <v>827820.83</v>
      </c>
      <c r="Y1185" s="9"/>
      <c r="Z1185" s="40"/>
      <c r="AA1185" s="56"/>
      <c r="AB1185" s="285"/>
      <c r="AC1185" s="56"/>
      <c r="AD1185" s="56" t="s">
        <v>1436</v>
      </c>
      <c r="AE1185" s="56"/>
    </row>
    <row r="1186" spans="1:31" x14ac:dyDescent="0.3">
      <c r="A1186" s="47">
        <f t="shared" si="255"/>
        <v>1074</v>
      </c>
      <c r="B1186" s="414" t="s">
        <v>1437</v>
      </c>
      <c r="C1186" s="51">
        <f t="shared" si="253"/>
        <v>209028.12</v>
      </c>
      <c r="D1186" s="51">
        <f t="shared" si="259"/>
        <v>0</v>
      </c>
      <c r="E1186" s="51"/>
      <c r="F1186" s="51"/>
      <c r="G1186" s="51"/>
      <c r="H1186" s="51"/>
      <c r="I1186" s="51"/>
      <c r="J1186" s="51"/>
      <c r="K1186" s="51"/>
      <c r="L1186" s="51"/>
      <c r="M1186" s="35"/>
      <c r="N1186" s="51"/>
      <c r="O1186" s="382"/>
      <c r="P1186" s="51"/>
      <c r="Q1186" s="338"/>
      <c r="R1186" s="51"/>
      <c r="S1186" s="51"/>
      <c r="T1186" s="338"/>
      <c r="U1186" s="51"/>
      <c r="V1186" s="35"/>
      <c r="W1186" s="364">
        <f>SUM(X1186:AB1186)</f>
        <v>209028.12</v>
      </c>
      <c r="X1186" s="285">
        <v>209028.12</v>
      </c>
      <c r="Y1186" s="9"/>
      <c r="Z1186" s="40"/>
      <c r="AA1186" s="56"/>
      <c r="AB1186" s="285"/>
      <c r="AC1186" s="56"/>
      <c r="AD1186" s="56" t="s">
        <v>1438</v>
      </c>
      <c r="AE1186" s="56"/>
    </row>
    <row r="1187" spans="1:31" x14ac:dyDescent="0.3">
      <c r="A1187" s="47">
        <f t="shared" si="255"/>
        <v>1075</v>
      </c>
      <c r="B1187" s="414" t="s">
        <v>1439</v>
      </c>
      <c r="C1187" s="51">
        <f t="shared" ref="C1187:C1218" si="260">D1187+K1187+L1187+N1187+P1187+R1187+U1187+S1187+V1187+W1187</f>
        <v>386670.92000000004</v>
      </c>
      <c r="D1187" s="51">
        <f t="shared" si="259"/>
        <v>0</v>
      </c>
      <c r="E1187" s="51"/>
      <c r="F1187" s="51"/>
      <c r="G1187" s="51"/>
      <c r="H1187" s="51"/>
      <c r="I1187" s="51"/>
      <c r="J1187" s="51"/>
      <c r="K1187" s="51"/>
      <c r="L1187" s="51"/>
      <c r="M1187" s="35"/>
      <c r="N1187" s="51"/>
      <c r="O1187" s="82"/>
      <c r="P1187" s="51"/>
      <c r="Q1187" s="338"/>
      <c r="R1187" s="51"/>
      <c r="S1187" s="51"/>
      <c r="T1187" s="338"/>
      <c r="U1187" s="51"/>
      <c r="V1187" s="35"/>
      <c r="W1187" s="364">
        <f>SUM(X1187:AB1187)</f>
        <v>386670.92000000004</v>
      </c>
      <c r="X1187" s="285">
        <f>233855.1+152815.82</f>
        <v>386670.92000000004</v>
      </c>
      <c r="Y1187" s="9"/>
      <c r="Z1187" s="40"/>
      <c r="AA1187" s="56"/>
      <c r="AB1187" s="285"/>
      <c r="AC1187" s="56"/>
      <c r="AD1187" s="56" t="s">
        <v>1440</v>
      </c>
      <c r="AE1187" s="56"/>
    </row>
    <row r="1188" spans="1:31" x14ac:dyDescent="0.3">
      <c r="A1188" s="47">
        <f t="shared" si="255"/>
        <v>1076</v>
      </c>
      <c r="B1188" s="414" t="s">
        <v>1441</v>
      </c>
      <c r="C1188" s="51">
        <f t="shared" si="260"/>
        <v>347639.38</v>
      </c>
      <c r="D1188" s="51">
        <f t="shared" ref="D1188" si="261">E1188+F1188+G1188+H1188+I1188</f>
        <v>0</v>
      </c>
      <c r="E1188" s="51"/>
      <c r="F1188" s="51"/>
      <c r="G1188" s="51"/>
      <c r="H1188" s="51"/>
      <c r="I1188" s="51"/>
      <c r="J1188" s="51"/>
      <c r="K1188" s="51"/>
      <c r="L1188" s="51"/>
      <c r="M1188" s="35"/>
      <c r="N1188" s="51"/>
      <c r="O1188" s="82"/>
      <c r="P1188" s="51"/>
      <c r="Q1188" s="338"/>
      <c r="R1188" s="51"/>
      <c r="S1188" s="51"/>
      <c r="T1188" s="338"/>
      <c r="U1188" s="51"/>
      <c r="V1188" s="35"/>
      <c r="W1188" s="364">
        <f>SUM(X1188:AB1188)</f>
        <v>347639.38</v>
      </c>
      <c r="X1188" s="285"/>
      <c r="Y1188" s="9"/>
      <c r="Z1188" s="40"/>
      <c r="AA1188" s="56"/>
      <c r="AB1188" s="285">
        <v>347639.38</v>
      </c>
      <c r="AC1188" s="56"/>
      <c r="AD1188" s="56"/>
      <c r="AE1188" s="56"/>
    </row>
    <row r="1189" spans="1:31" x14ac:dyDescent="0.3">
      <c r="A1189" s="47">
        <f t="shared" si="255"/>
        <v>1077</v>
      </c>
      <c r="B1189" s="414" t="s">
        <v>1443</v>
      </c>
      <c r="C1189" s="51">
        <f t="shared" si="260"/>
        <v>4576954.8000000007</v>
      </c>
      <c r="D1189" s="51">
        <f t="shared" ref="D1189:D1194" si="262">E1189+F1189+G1189+H1189+I1189</f>
        <v>0</v>
      </c>
      <c r="E1189" s="51"/>
      <c r="F1189" s="51"/>
      <c r="G1189" s="51"/>
      <c r="H1189" s="51"/>
      <c r="I1189" s="51"/>
      <c r="J1189" s="51"/>
      <c r="K1189" s="51"/>
      <c r="L1189" s="51"/>
      <c r="M1189" s="35"/>
      <c r="N1189" s="51"/>
      <c r="O1189" s="82">
        <v>794</v>
      </c>
      <c r="P1189" s="51">
        <v>1048647.6000000001</v>
      </c>
      <c r="Q1189" s="338"/>
      <c r="R1189" s="51"/>
      <c r="S1189" s="51"/>
      <c r="T1189" s="338"/>
      <c r="U1189" s="51">
        <v>3528307.2</v>
      </c>
      <c r="V1189" s="35"/>
      <c r="W1189" s="364"/>
      <c r="X1189" s="285"/>
      <c r="Y1189" s="9"/>
      <c r="Z1189" s="40"/>
      <c r="AA1189" s="56"/>
      <c r="AB1189" s="56"/>
      <c r="AC1189" s="56"/>
      <c r="AD1189" s="56"/>
      <c r="AE1189" s="56"/>
    </row>
    <row r="1190" spans="1:31" x14ac:dyDescent="0.3">
      <c r="A1190" s="47">
        <f t="shared" si="255"/>
        <v>1078</v>
      </c>
      <c r="B1190" s="414" t="s">
        <v>1444</v>
      </c>
      <c r="C1190" s="51">
        <f t="shared" si="260"/>
        <v>310526.41000000003</v>
      </c>
      <c r="D1190" s="51">
        <f t="shared" si="262"/>
        <v>0</v>
      </c>
      <c r="E1190" s="51"/>
      <c r="F1190" s="51"/>
      <c r="G1190" s="51"/>
      <c r="H1190" s="51"/>
      <c r="I1190" s="51"/>
      <c r="J1190" s="51"/>
      <c r="K1190" s="51"/>
      <c r="L1190" s="51"/>
      <c r="M1190" s="35"/>
      <c r="N1190" s="51"/>
      <c r="O1190" s="82">
        <v>29.2</v>
      </c>
      <c r="P1190" s="51">
        <v>192387.6</v>
      </c>
      <c r="Q1190" s="338"/>
      <c r="R1190" s="51"/>
      <c r="S1190" s="51"/>
      <c r="T1190" s="338"/>
      <c r="U1190" s="51"/>
      <c r="V1190" s="35"/>
      <c r="W1190" s="364">
        <f>SUM(X1190:AB1190)</f>
        <v>118138.81</v>
      </c>
      <c r="X1190" s="285">
        <v>118138.81</v>
      </c>
      <c r="Y1190" s="285"/>
      <c r="Z1190" s="285"/>
      <c r="AA1190" s="285"/>
      <c r="AB1190" s="285"/>
      <c r="AC1190" s="56"/>
      <c r="AD1190" s="56" t="s">
        <v>1395</v>
      </c>
      <c r="AE1190" s="56"/>
    </row>
    <row r="1191" spans="1:31" x14ac:dyDescent="0.3">
      <c r="A1191" s="47">
        <f t="shared" si="255"/>
        <v>1079</v>
      </c>
      <c r="B1191" s="414" t="s">
        <v>1445</v>
      </c>
      <c r="C1191" s="51">
        <f t="shared" si="260"/>
        <v>279135.68</v>
      </c>
      <c r="D1191" s="51">
        <f t="shared" si="262"/>
        <v>0</v>
      </c>
      <c r="E1191" s="51"/>
      <c r="F1191" s="51"/>
      <c r="G1191" s="51"/>
      <c r="H1191" s="51"/>
      <c r="I1191" s="51"/>
      <c r="J1191" s="51"/>
      <c r="K1191" s="51"/>
      <c r="L1191" s="51"/>
      <c r="M1191" s="35"/>
      <c r="N1191" s="51"/>
      <c r="O1191" s="82"/>
      <c r="P1191" s="51"/>
      <c r="Q1191" s="338"/>
      <c r="R1191" s="51"/>
      <c r="S1191" s="51"/>
      <c r="T1191" s="338"/>
      <c r="U1191" s="51"/>
      <c r="V1191" s="35"/>
      <c r="W1191" s="364">
        <f>SUM(X1191:AB1191)</f>
        <v>279135.68</v>
      </c>
      <c r="X1191" s="285"/>
      <c r="Y1191" s="9"/>
      <c r="Z1191" s="285">
        <v>279135.68</v>
      </c>
      <c r="AA1191" s="285"/>
      <c r="AB1191" s="56"/>
      <c r="AC1191" s="56"/>
      <c r="AD1191" s="56"/>
      <c r="AE1191" s="56"/>
    </row>
    <row r="1192" spans="1:31" x14ac:dyDescent="0.3">
      <c r="A1192" s="47">
        <f t="shared" si="255"/>
        <v>1080</v>
      </c>
      <c r="B1192" s="414" t="s">
        <v>1446</v>
      </c>
      <c r="C1192" s="51">
        <f t="shared" si="260"/>
        <v>1100742</v>
      </c>
      <c r="D1192" s="51">
        <f t="shared" si="262"/>
        <v>0</v>
      </c>
      <c r="E1192" s="51"/>
      <c r="F1192" s="51"/>
      <c r="G1192" s="51"/>
      <c r="H1192" s="51"/>
      <c r="I1192" s="51"/>
      <c r="J1192" s="51"/>
      <c r="K1192" s="51"/>
      <c r="L1192" s="51"/>
      <c r="M1192" s="35">
        <v>182</v>
      </c>
      <c r="N1192" s="51">
        <v>803478</v>
      </c>
      <c r="O1192" s="82"/>
      <c r="P1192" s="51"/>
      <c r="Q1192" s="338"/>
      <c r="R1192" s="51"/>
      <c r="S1192" s="51"/>
      <c r="T1192" s="338"/>
      <c r="U1192" s="51">
        <v>297264</v>
      </c>
      <c r="V1192" s="35"/>
      <c r="W1192" s="364"/>
      <c r="X1192" s="285"/>
      <c r="Y1192" s="9"/>
      <c r="Z1192" s="40"/>
      <c r="AA1192" s="56"/>
      <c r="AB1192" s="56"/>
      <c r="AC1192" s="56"/>
      <c r="AD1192" s="56"/>
      <c r="AE1192" s="56"/>
    </row>
    <row r="1193" spans="1:31" x14ac:dyDescent="0.3">
      <c r="A1193" s="47">
        <f t="shared" si="255"/>
        <v>1081</v>
      </c>
      <c r="B1193" s="414" t="s">
        <v>1447</v>
      </c>
      <c r="C1193" s="51">
        <f t="shared" si="260"/>
        <v>731555.38</v>
      </c>
      <c r="D1193" s="51">
        <f t="shared" si="262"/>
        <v>490276.27</v>
      </c>
      <c r="E1193" s="51">
        <v>490276.27</v>
      </c>
      <c r="F1193" s="51"/>
      <c r="G1193" s="51"/>
      <c r="H1193" s="51"/>
      <c r="I1193" s="51"/>
      <c r="J1193" s="51"/>
      <c r="K1193" s="51"/>
      <c r="L1193" s="51"/>
      <c r="M1193" s="35"/>
      <c r="N1193" s="51"/>
      <c r="O1193" s="82"/>
      <c r="P1193" s="51"/>
      <c r="Q1193" s="338"/>
      <c r="R1193" s="51"/>
      <c r="S1193" s="51"/>
      <c r="T1193" s="338"/>
      <c r="U1193" s="51"/>
      <c r="V1193" s="35"/>
      <c r="W1193" s="364">
        <f>SUM(X1193:AB1193)</f>
        <v>241279.11</v>
      </c>
      <c r="X1193" s="285">
        <f>133672.25
+107606.86</f>
        <v>241279.11</v>
      </c>
      <c r="Y1193" s="9"/>
      <c r="Z1193" s="40"/>
      <c r="AA1193" s="56"/>
      <c r="AB1193" s="56"/>
      <c r="AC1193" s="56"/>
      <c r="AD1193" s="56" t="s">
        <v>1448</v>
      </c>
      <c r="AE1193" s="56"/>
    </row>
    <row r="1194" spans="1:31" x14ac:dyDescent="0.3">
      <c r="A1194" s="47">
        <f t="shared" si="255"/>
        <v>1082</v>
      </c>
      <c r="B1194" s="414" t="s">
        <v>1449</v>
      </c>
      <c r="C1194" s="51">
        <f t="shared" si="260"/>
        <v>376180.47000000003</v>
      </c>
      <c r="D1194" s="51">
        <f t="shared" si="262"/>
        <v>0</v>
      </c>
      <c r="E1194" s="51"/>
      <c r="F1194" s="51"/>
      <c r="G1194" s="51"/>
      <c r="H1194" s="51"/>
      <c r="I1194" s="51"/>
      <c r="J1194" s="51"/>
      <c r="K1194" s="51"/>
      <c r="L1194" s="51"/>
      <c r="M1194" s="35"/>
      <c r="N1194" s="51"/>
      <c r="O1194" s="82"/>
      <c r="P1194" s="51"/>
      <c r="Q1194" s="338"/>
      <c r="R1194" s="51"/>
      <c r="S1194" s="51"/>
      <c r="T1194" s="338"/>
      <c r="U1194" s="51"/>
      <c r="V1194" s="35"/>
      <c r="W1194" s="364">
        <f>SUM(X1194:AB1194)</f>
        <v>376180.47000000003</v>
      </c>
      <c r="X1194" s="285">
        <f>89009.82+108069.67+90091.16+89009.82</f>
        <v>376180.47000000003</v>
      </c>
      <c r="Y1194" s="9"/>
      <c r="Z1194" s="40"/>
      <c r="AA1194" s="56"/>
      <c r="AB1194" s="285"/>
      <c r="AC1194" s="56"/>
      <c r="AD1194" s="56" t="s">
        <v>1450</v>
      </c>
      <c r="AE1194" s="56"/>
    </row>
    <row r="1195" spans="1:31" x14ac:dyDescent="0.3">
      <c r="A1195" s="47">
        <f t="shared" si="255"/>
        <v>1083</v>
      </c>
      <c r="B1195" s="414" t="s">
        <v>1451</v>
      </c>
      <c r="C1195" s="51">
        <f t="shared" si="260"/>
        <v>160541.71</v>
      </c>
      <c r="D1195" s="51">
        <f t="shared" ref="D1195" si="263">E1195+F1195+G1195+H1195+I1195</f>
        <v>0</v>
      </c>
      <c r="E1195" s="51"/>
      <c r="F1195" s="51"/>
      <c r="G1195" s="51"/>
      <c r="H1195" s="51"/>
      <c r="I1195" s="51"/>
      <c r="J1195" s="51"/>
      <c r="K1195" s="51"/>
      <c r="L1195" s="51"/>
      <c r="M1195" s="35"/>
      <c r="N1195" s="51"/>
      <c r="O1195" s="82"/>
      <c r="P1195" s="51"/>
      <c r="Q1195" s="338"/>
      <c r="R1195" s="51"/>
      <c r="S1195" s="51"/>
      <c r="T1195" s="338"/>
      <c r="U1195" s="51"/>
      <c r="V1195" s="35"/>
      <c r="W1195" s="364">
        <f t="shared" ref="W1195" si="264">SUM(X1195:AB1195)</f>
        <v>160541.71</v>
      </c>
      <c r="X1195" s="285"/>
      <c r="Y1195" s="285"/>
      <c r="Z1195" s="285"/>
      <c r="AA1195" s="285" t="s">
        <v>379</v>
      </c>
      <c r="AB1195" s="285">
        <v>160541.71</v>
      </c>
      <c r="AC1195" s="56"/>
      <c r="AD1195" s="56"/>
      <c r="AE1195" s="56"/>
    </row>
    <row r="1196" spans="1:31" x14ac:dyDescent="0.3">
      <c r="A1196" s="47">
        <f t="shared" si="255"/>
        <v>1084</v>
      </c>
      <c r="B1196" s="414" t="s">
        <v>1452</v>
      </c>
      <c r="C1196" s="51">
        <f t="shared" si="260"/>
        <v>74637.53</v>
      </c>
      <c r="D1196" s="51">
        <f>E1196+F1196+G1196+H1196+I1196</f>
        <v>0</v>
      </c>
      <c r="E1196" s="51"/>
      <c r="F1196" s="51"/>
      <c r="G1196" s="51"/>
      <c r="H1196" s="51"/>
      <c r="I1196" s="51"/>
      <c r="J1196" s="51"/>
      <c r="K1196" s="51"/>
      <c r="L1196" s="51"/>
      <c r="M1196" s="35"/>
      <c r="N1196" s="51"/>
      <c r="O1196" s="82"/>
      <c r="P1196" s="51"/>
      <c r="Q1196" s="338"/>
      <c r="R1196" s="51"/>
      <c r="S1196" s="51"/>
      <c r="T1196" s="338"/>
      <c r="U1196" s="51"/>
      <c r="V1196" s="35"/>
      <c r="W1196" s="364">
        <f>SUM(X1196:AB1196)</f>
        <v>74637.53</v>
      </c>
      <c r="X1196" s="285">
        <v>74637.53</v>
      </c>
      <c r="Y1196" s="285"/>
      <c r="Z1196" s="285"/>
      <c r="AA1196" s="285"/>
      <c r="AB1196" s="285"/>
      <c r="AC1196" s="56"/>
      <c r="AD1196" s="56" t="s">
        <v>1395</v>
      </c>
      <c r="AE1196" s="56"/>
    </row>
    <row r="1197" spans="1:31" x14ac:dyDescent="0.3">
      <c r="A1197" s="47">
        <f t="shared" si="255"/>
        <v>1085</v>
      </c>
      <c r="B1197" s="414" t="s">
        <v>1453</v>
      </c>
      <c r="C1197" s="51">
        <f t="shared" si="260"/>
        <v>133031.21</v>
      </c>
      <c r="D1197" s="51">
        <f t="shared" ref="D1197" si="265">E1197+F1197+G1197+H1197+I1197</f>
        <v>0</v>
      </c>
      <c r="E1197" s="51"/>
      <c r="F1197" s="51"/>
      <c r="G1197" s="51"/>
      <c r="H1197" s="51"/>
      <c r="I1197" s="51"/>
      <c r="J1197" s="51"/>
      <c r="K1197" s="51"/>
      <c r="L1197" s="51"/>
      <c r="M1197" s="35"/>
      <c r="N1197" s="51"/>
      <c r="O1197" s="82"/>
      <c r="P1197" s="51"/>
      <c r="Q1197" s="338"/>
      <c r="R1197" s="51"/>
      <c r="S1197" s="51"/>
      <c r="T1197" s="338"/>
      <c r="U1197" s="51"/>
      <c r="V1197" s="35"/>
      <c r="W1197" s="364">
        <f t="shared" ref="W1197" si="266">SUM(X1197:AB1197)</f>
        <v>133031.21</v>
      </c>
      <c r="X1197" s="285"/>
      <c r="Y1197" s="285"/>
      <c r="Z1197" s="285"/>
      <c r="AA1197" s="285"/>
      <c r="AB1197" s="285">
        <v>133031.21</v>
      </c>
      <c r="AC1197" s="56"/>
      <c r="AD1197" s="56"/>
      <c r="AE1197" s="56"/>
    </row>
    <row r="1198" spans="1:31" x14ac:dyDescent="0.3">
      <c r="A1198" s="47">
        <f t="shared" si="255"/>
        <v>1086</v>
      </c>
      <c r="B1198" s="414" t="s">
        <v>1454</v>
      </c>
      <c r="C1198" s="51">
        <f t="shared" si="260"/>
        <v>266085.11</v>
      </c>
      <c r="D1198" s="51">
        <f t="shared" ref="D1198:D1217" si="267">E1198+F1198+G1198+H1198+I1198</f>
        <v>0</v>
      </c>
      <c r="E1198" s="51"/>
      <c r="F1198" s="51"/>
      <c r="G1198" s="51"/>
      <c r="H1198" s="51"/>
      <c r="I1198" s="51"/>
      <c r="J1198" s="51"/>
      <c r="K1198" s="51"/>
      <c r="L1198" s="51"/>
      <c r="M1198" s="35"/>
      <c r="N1198" s="51"/>
      <c r="O1198" s="82"/>
      <c r="P1198" s="51"/>
      <c r="Q1198" s="338"/>
      <c r="R1198" s="51"/>
      <c r="S1198" s="51"/>
      <c r="T1198" s="338"/>
      <c r="U1198" s="51"/>
      <c r="V1198" s="35"/>
      <c r="W1198" s="364">
        <f>SUM(X1198:AB1198)</f>
        <v>266085.11</v>
      </c>
      <c r="X1198" s="285">
        <f>83330.09+81523.91+101231.11</f>
        <v>266085.11</v>
      </c>
      <c r="Y1198" s="285"/>
      <c r="Z1198" s="285"/>
      <c r="AA1198" s="285"/>
      <c r="AB1198" s="285"/>
      <c r="AC1198" s="56"/>
      <c r="AD1198" s="56" t="s">
        <v>1419</v>
      </c>
      <c r="AE1198" s="56"/>
    </row>
    <row r="1199" spans="1:31" x14ac:dyDescent="0.3">
      <c r="A1199" s="47">
        <f t="shared" si="255"/>
        <v>1087</v>
      </c>
      <c r="B1199" s="414" t="s">
        <v>1455</v>
      </c>
      <c r="C1199" s="51">
        <f t="shared" si="260"/>
        <v>427344.94999999995</v>
      </c>
      <c r="D1199" s="51">
        <f t="shared" si="267"/>
        <v>0</v>
      </c>
      <c r="E1199" s="51"/>
      <c r="F1199" s="51"/>
      <c r="G1199" s="51"/>
      <c r="H1199" s="51"/>
      <c r="I1199" s="51"/>
      <c r="J1199" s="51"/>
      <c r="K1199" s="51"/>
      <c r="L1199" s="51"/>
      <c r="M1199" s="35"/>
      <c r="N1199" s="51"/>
      <c r="O1199" s="82"/>
      <c r="P1199" s="51"/>
      <c r="Q1199" s="338"/>
      <c r="R1199" s="51"/>
      <c r="S1199" s="51"/>
      <c r="T1199" s="338"/>
      <c r="U1199" s="51"/>
      <c r="V1199" s="35"/>
      <c r="W1199" s="364">
        <f>SUM(X1199:AB1199)</f>
        <v>427344.94999999995</v>
      </c>
      <c r="X1199" s="285">
        <f>121496.59+103560.06+101144.15+101144.15</f>
        <v>427344.94999999995</v>
      </c>
      <c r="Y1199" s="9"/>
      <c r="Z1199" s="40"/>
      <c r="AA1199" s="56"/>
      <c r="AB1199" s="285"/>
      <c r="AC1199" s="56"/>
      <c r="AD1199" s="56" t="s">
        <v>1456</v>
      </c>
      <c r="AE1199" s="56"/>
    </row>
    <row r="1200" spans="1:31" x14ac:dyDescent="0.3">
      <c r="A1200" s="47">
        <f t="shared" si="255"/>
        <v>1088</v>
      </c>
      <c r="B1200" s="414" t="s">
        <v>1457</v>
      </c>
      <c r="C1200" s="51">
        <f t="shared" si="260"/>
        <v>339737.52</v>
      </c>
      <c r="D1200" s="51">
        <f t="shared" si="267"/>
        <v>0</v>
      </c>
      <c r="E1200" s="51"/>
      <c r="F1200" s="51"/>
      <c r="G1200" s="51"/>
      <c r="H1200" s="51"/>
      <c r="I1200" s="51"/>
      <c r="J1200" s="51"/>
      <c r="K1200" s="51"/>
      <c r="L1200" s="51"/>
      <c r="M1200" s="35"/>
      <c r="N1200" s="51"/>
      <c r="O1200" s="82"/>
      <c r="P1200" s="51"/>
      <c r="Q1200" s="338"/>
      <c r="R1200" s="51"/>
      <c r="S1200" s="51"/>
      <c r="T1200" s="338"/>
      <c r="U1200" s="51"/>
      <c r="V1200" s="35"/>
      <c r="W1200" s="364">
        <f>SUM(X1200:AB1200)</f>
        <v>339737.52</v>
      </c>
      <c r="X1200" s="285">
        <f>79736.6+82733.48+97530.84+79736.6</f>
        <v>339737.52</v>
      </c>
      <c r="Y1200" s="9"/>
      <c r="Z1200" s="40"/>
      <c r="AA1200" s="56"/>
      <c r="AB1200" s="285"/>
      <c r="AC1200" s="56"/>
      <c r="AD1200" s="56" t="s">
        <v>1458</v>
      </c>
      <c r="AE1200" s="56"/>
    </row>
    <row r="1201" spans="1:31" x14ac:dyDescent="0.3">
      <c r="A1201" s="47">
        <f t="shared" si="255"/>
        <v>1089</v>
      </c>
      <c r="B1201" s="414" t="s">
        <v>1459</v>
      </c>
      <c r="C1201" s="51">
        <f t="shared" si="260"/>
        <v>758783.53</v>
      </c>
      <c r="D1201" s="51">
        <f t="shared" si="267"/>
        <v>0</v>
      </c>
      <c r="E1201" s="51"/>
      <c r="F1201" s="51"/>
      <c r="G1201" s="51"/>
      <c r="H1201" s="51"/>
      <c r="I1201" s="51"/>
      <c r="J1201" s="51"/>
      <c r="K1201" s="51"/>
      <c r="L1201" s="51"/>
      <c r="M1201" s="35"/>
      <c r="N1201" s="51"/>
      <c r="O1201" s="82"/>
      <c r="P1201" s="51"/>
      <c r="Q1201" s="338"/>
      <c r="R1201" s="51"/>
      <c r="S1201" s="51"/>
      <c r="T1201" s="338"/>
      <c r="U1201" s="51"/>
      <c r="V1201" s="35"/>
      <c r="W1201" s="364">
        <f>SUM(X1201:AB1201)</f>
        <v>758783.53</v>
      </c>
      <c r="X1201" s="285"/>
      <c r="Y1201" s="285">
        <v>432342.32</v>
      </c>
      <c r="Z1201" s="285">
        <v>326441.21000000002</v>
      </c>
      <c r="AA1201" s="285"/>
      <c r="AB1201" s="56"/>
      <c r="AC1201" s="56"/>
      <c r="AD1201" s="56" t="s">
        <v>1400</v>
      </c>
      <c r="AE1201" s="56"/>
    </row>
    <row r="1202" spans="1:31" x14ac:dyDescent="0.3">
      <c r="A1202" s="47">
        <f t="shared" si="255"/>
        <v>1090</v>
      </c>
      <c r="B1202" s="414" t="s">
        <v>1460</v>
      </c>
      <c r="C1202" s="51">
        <f t="shared" si="260"/>
        <v>474426</v>
      </c>
      <c r="D1202" s="51">
        <f t="shared" si="267"/>
        <v>393267</v>
      </c>
      <c r="E1202" s="51">
        <f>(2688*13)+(358323*1)</f>
        <v>393267</v>
      </c>
      <c r="F1202" s="51"/>
      <c r="G1202" s="51"/>
      <c r="H1202" s="51"/>
      <c r="I1202" s="51"/>
      <c r="J1202" s="51"/>
      <c r="K1202" s="51"/>
      <c r="L1202" s="51"/>
      <c r="M1202" s="35">
        <v>13</v>
      </c>
      <c r="N1202" s="51">
        <f>6243*M1202</f>
        <v>81159</v>
      </c>
      <c r="O1202" s="82"/>
      <c r="P1202" s="51"/>
      <c r="Q1202" s="338"/>
      <c r="R1202" s="51"/>
      <c r="S1202" s="51"/>
      <c r="T1202" s="338"/>
      <c r="U1202" s="51"/>
      <c r="V1202" s="35"/>
      <c r="W1202" s="364"/>
      <c r="X1202" s="285"/>
      <c r="Y1202" s="285"/>
      <c r="Z1202" s="285"/>
      <c r="AA1202" s="285"/>
      <c r="AB1202" s="56"/>
      <c r="AC1202" s="56"/>
      <c r="AD1202" s="56"/>
      <c r="AE1202" s="56"/>
    </row>
    <row r="1203" spans="1:31" x14ac:dyDescent="0.3">
      <c r="A1203" s="47">
        <f t="shared" si="255"/>
        <v>1091</v>
      </c>
      <c r="B1203" s="414" t="s">
        <v>1461</v>
      </c>
      <c r="C1203" s="51">
        <f t="shared" si="260"/>
        <v>527276.94000000006</v>
      </c>
      <c r="D1203" s="51">
        <f t="shared" si="267"/>
        <v>0</v>
      </c>
      <c r="E1203" s="51"/>
      <c r="F1203" s="51"/>
      <c r="G1203" s="51"/>
      <c r="H1203" s="51"/>
      <c r="I1203" s="51"/>
      <c r="J1203" s="51"/>
      <c r="K1203" s="51"/>
      <c r="L1203" s="51"/>
      <c r="M1203" s="35"/>
      <c r="N1203" s="51"/>
      <c r="O1203" s="82"/>
      <c r="P1203" s="51"/>
      <c r="Q1203" s="338"/>
      <c r="R1203" s="51"/>
      <c r="S1203" s="51"/>
      <c r="T1203" s="338"/>
      <c r="U1203" s="51"/>
      <c r="V1203" s="35"/>
      <c r="W1203" s="364">
        <f t="shared" ref="W1203:W1213" si="268">SUM(X1203:AB1203)</f>
        <v>527276.94000000006</v>
      </c>
      <c r="X1203" s="285">
        <v>183937.85</v>
      </c>
      <c r="Y1203" s="285">
        <v>343339.09</v>
      </c>
      <c r="Z1203" s="285"/>
      <c r="AA1203" s="285"/>
      <c r="AB1203" s="56"/>
      <c r="AC1203" s="56"/>
      <c r="AD1203" s="56" t="s">
        <v>1395</v>
      </c>
      <c r="AE1203" s="56"/>
    </row>
    <row r="1204" spans="1:31" x14ac:dyDescent="0.3">
      <c r="A1204" s="47">
        <f t="shared" si="255"/>
        <v>1092</v>
      </c>
      <c r="B1204" s="414" t="s">
        <v>1462</v>
      </c>
      <c r="C1204" s="51">
        <f t="shared" si="260"/>
        <v>491365.75</v>
      </c>
      <c r="D1204" s="51">
        <f t="shared" si="267"/>
        <v>0</v>
      </c>
      <c r="E1204" s="51"/>
      <c r="F1204" s="51"/>
      <c r="G1204" s="51"/>
      <c r="H1204" s="51"/>
      <c r="I1204" s="51"/>
      <c r="J1204" s="51"/>
      <c r="K1204" s="51"/>
      <c r="L1204" s="51"/>
      <c r="M1204" s="35"/>
      <c r="N1204" s="51"/>
      <c r="O1204" s="82"/>
      <c r="P1204" s="51"/>
      <c r="Q1204" s="338"/>
      <c r="R1204" s="51"/>
      <c r="S1204" s="51"/>
      <c r="T1204" s="338"/>
      <c r="U1204" s="51"/>
      <c r="V1204" s="35"/>
      <c r="W1204" s="364">
        <f t="shared" si="268"/>
        <v>491365.75</v>
      </c>
      <c r="X1204" s="285"/>
      <c r="Y1204" s="285">
        <v>335165.51</v>
      </c>
      <c r="Z1204" s="285">
        <v>156200.24</v>
      </c>
      <c r="AA1204" s="285"/>
      <c r="AB1204" s="56"/>
      <c r="AC1204" s="56"/>
      <c r="AD1204" s="56"/>
      <c r="AE1204" s="56"/>
    </row>
    <row r="1205" spans="1:31" x14ac:dyDescent="0.3">
      <c r="A1205" s="47">
        <f t="shared" si="255"/>
        <v>1093</v>
      </c>
      <c r="B1205" s="414" t="s">
        <v>1463</v>
      </c>
      <c r="C1205" s="51">
        <f t="shared" si="260"/>
        <v>493489.19999999995</v>
      </c>
      <c r="D1205" s="51">
        <f t="shared" si="267"/>
        <v>0</v>
      </c>
      <c r="E1205" s="51"/>
      <c r="F1205" s="51"/>
      <c r="G1205" s="51"/>
      <c r="H1205" s="51"/>
      <c r="I1205" s="51"/>
      <c r="J1205" s="51"/>
      <c r="K1205" s="51"/>
      <c r="L1205" s="51"/>
      <c r="M1205" s="35"/>
      <c r="N1205" s="51"/>
      <c r="O1205" s="82"/>
      <c r="P1205" s="51"/>
      <c r="Q1205" s="338"/>
      <c r="R1205" s="51"/>
      <c r="S1205" s="51"/>
      <c r="T1205" s="338"/>
      <c r="U1205" s="51"/>
      <c r="V1205" s="35"/>
      <c r="W1205" s="364">
        <f t="shared" si="268"/>
        <v>493489.19999999995</v>
      </c>
      <c r="X1205" s="285">
        <v>239494.62</v>
      </c>
      <c r="Y1205" s="285"/>
      <c r="Z1205" s="285">
        <v>253994.58</v>
      </c>
      <c r="AA1205" s="285"/>
      <c r="AB1205" s="56"/>
      <c r="AC1205" s="56"/>
      <c r="AD1205" s="56" t="s">
        <v>1395</v>
      </c>
      <c r="AE1205" s="56"/>
    </row>
    <row r="1206" spans="1:31" x14ac:dyDescent="0.3">
      <c r="A1206" s="47">
        <f t="shared" si="255"/>
        <v>1094</v>
      </c>
      <c r="B1206" s="414" t="s">
        <v>1464</v>
      </c>
      <c r="C1206" s="51">
        <f t="shared" si="260"/>
        <v>311163.31</v>
      </c>
      <c r="D1206" s="51">
        <f t="shared" si="267"/>
        <v>0</v>
      </c>
      <c r="E1206" s="51"/>
      <c r="F1206" s="51"/>
      <c r="G1206" s="51"/>
      <c r="H1206" s="51"/>
      <c r="I1206" s="51"/>
      <c r="J1206" s="51"/>
      <c r="K1206" s="51"/>
      <c r="L1206" s="51"/>
      <c r="M1206" s="35"/>
      <c r="N1206" s="51"/>
      <c r="O1206" s="82"/>
      <c r="P1206" s="51"/>
      <c r="Q1206" s="338"/>
      <c r="R1206" s="51"/>
      <c r="S1206" s="51"/>
      <c r="T1206" s="338"/>
      <c r="U1206" s="51"/>
      <c r="V1206" s="35"/>
      <c r="W1206" s="364">
        <f t="shared" si="268"/>
        <v>311163.31</v>
      </c>
      <c r="X1206" s="285">
        <v>149441.99</v>
      </c>
      <c r="Y1206" s="285"/>
      <c r="Z1206" s="285">
        <v>161721.32</v>
      </c>
      <c r="AA1206" s="285"/>
      <c r="AB1206" s="56"/>
      <c r="AC1206" s="56"/>
      <c r="AD1206" s="56" t="s">
        <v>1395</v>
      </c>
      <c r="AE1206" s="56"/>
    </row>
    <row r="1207" spans="1:31" x14ac:dyDescent="0.3">
      <c r="A1207" s="47">
        <f t="shared" si="255"/>
        <v>1095</v>
      </c>
      <c r="B1207" s="414" t="s">
        <v>1465</v>
      </c>
      <c r="C1207" s="51">
        <f t="shared" si="260"/>
        <v>1175681.22</v>
      </c>
      <c r="D1207" s="51">
        <f t="shared" si="267"/>
        <v>1173090</v>
      </c>
      <c r="E1207" s="51">
        <v>1173090</v>
      </c>
      <c r="F1207" s="51"/>
      <c r="G1207" s="51"/>
      <c r="H1207" s="51"/>
      <c r="I1207" s="51"/>
      <c r="J1207" s="51"/>
      <c r="K1207" s="51"/>
      <c r="L1207" s="51"/>
      <c r="M1207" s="35"/>
      <c r="N1207" s="51"/>
      <c r="O1207" s="82"/>
      <c r="P1207" s="51"/>
      <c r="Q1207" s="338"/>
      <c r="R1207" s="51"/>
      <c r="S1207" s="51"/>
      <c r="T1207" s="338"/>
      <c r="U1207" s="51"/>
      <c r="V1207" s="35"/>
      <c r="W1207" s="364">
        <f t="shared" si="268"/>
        <v>2591.2199999999998</v>
      </c>
      <c r="X1207" s="285"/>
      <c r="Y1207" s="285"/>
      <c r="Z1207" s="285">
        <v>2591.2199999999998</v>
      </c>
      <c r="AA1207" s="285"/>
      <c r="AB1207" s="56"/>
      <c r="AC1207" s="56"/>
      <c r="AD1207" s="56" t="s">
        <v>1466</v>
      </c>
      <c r="AE1207" s="56"/>
    </row>
    <row r="1208" spans="1:31" x14ac:dyDescent="0.3">
      <c r="A1208" s="47">
        <f t="shared" si="255"/>
        <v>1096</v>
      </c>
      <c r="B1208" s="414" t="s">
        <v>1467</v>
      </c>
      <c r="C1208" s="51">
        <f t="shared" si="260"/>
        <v>1346820.92</v>
      </c>
      <c r="D1208" s="51">
        <f t="shared" si="267"/>
        <v>1039368</v>
      </c>
      <c r="E1208" s="51">
        <v>1039368</v>
      </c>
      <c r="F1208" s="51"/>
      <c r="G1208" s="51"/>
      <c r="H1208" s="51"/>
      <c r="I1208" s="51"/>
      <c r="J1208" s="51"/>
      <c r="K1208" s="51"/>
      <c r="L1208" s="51"/>
      <c r="M1208" s="35"/>
      <c r="N1208" s="51"/>
      <c r="O1208" s="82"/>
      <c r="P1208" s="51"/>
      <c r="Q1208" s="338"/>
      <c r="R1208" s="51"/>
      <c r="S1208" s="51"/>
      <c r="T1208" s="338"/>
      <c r="U1208" s="51"/>
      <c r="V1208" s="35"/>
      <c r="W1208" s="364">
        <f t="shared" si="268"/>
        <v>307452.92</v>
      </c>
      <c r="X1208" s="285">
        <f>150333.66+154958.47</f>
        <v>305292.13</v>
      </c>
      <c r="Y1208" s="285"/>
      <c r="Z1208" s="285">
        <v>2160.79</v>
      </c>
      <c r="AA1208" s="285"/>
      <c r="AB1208" s="56"/>
      <c r="AC1208" s="56"/>
      <c r="AD1208" s="56" t="s">
        <v>1468</v>
      </c>
      <c r="AE1208" s="56"/>
    </row>
    <row r="1209" spans="1:31" x14ac:dyDescent="0.3">
      <c r="A1209" s="47">
        <f t="shared" si="255"/>
        <v>1097</v>
      </c>
      <c r="B1209" s="414" t="s">
        <v>1469</v>
      </c>
      <c r="C1209" s="51">
        <f t="shared" si="260"/>
        <v>426081.42</v>
      </c>
      <c r="D1209" s="51">
        <f t="shared" si="267"/>
        <v>0</v>
      </c>
      <c r="E1209" s="51"/>
      <c r="F1209" s="51"/>
      <c r="G1209" s="51"/>
      <c r="H1209" s="51"/>
      <c r="I1209" s="51"/>
      <c r="J1209" s="51"/>
      <c r="K1209" s="51"/>
      <c r="L1209" s="51"/>
      <c r="M1209" s="35"/>
      <c r="N1209" s="51"/>
      <c r="O1209" s="82"/>
      <c r="P1209" s="51"/>
      <c r="Q1209" s="338"/>
      <c r="R1209" s="51"/>
      <c r="S1209" s="51"/>
      <c r="T1209" s="338"/>
      <c r="U1209" s="51"/>
      <c r="V1209" s="35"/>
      <c r="W1209" s="364">
        <f t="shared" si="268"/>
        <v>426081.42</v>
      </c>
      <c r="X1209" s="285">
        <v>182556.52</v>
      </c>
      <c r="Y1209" s="285"/>
      <c r="Z1209" s="285">
        <v>243524.9</v>
      </c>
      <c r="AA1209" s="285"/>
      <c r="AB1209" s="56"/>
      <c r="AC1209" s="56"/>
      <c r="AD1209" s="56" t="s">
        <v>1395</v>
      </c>
      <c r="AE1209" s="56"/>
    </row>
    <row r="1210" spans="1:31" x14ac:dyDescent="0.3">
      <c r="A1210" s="47">
        <f t="shared" si="255"/>
        <v>1098</v>
      </c>
      <c r="B1210" s="414" t="s">
        <v>1470</v>
      </c>
      <c r="C1210" s="51">
        <f t="shared" si="260"/>
        <v>513943.19999999995</v>
      </c>
      <c r="D1210" s="51">
        <f t="shared" si="267"/>
        <v>0</v>
      </c>
      <c r="E1210" s="51"/>
      <c r="F1210" s="51"/>
      <c r="G1210" s="51"/>
      <c r="H1210" s="51"/>
      <c r="I1210" s="51"/>
      <c r="J1210" s="51"/>
      <c r="K1210" s="51"/>
      <c r="L1210" s="51"/>
      <c r="M1210" s="35"/>
      <c r="N1210" s="51"/>
      <c r="O1210" s="82"/>
      <c r="P1210" s="51"/>
      <c r="Q1210" s="338"/>
      <c r="R1210" s="51"/>
      <c r="S1210" s="51"/>
      <c r="T1210" s="338"/>
      <c r="U1210" s="51"/>
      <c r="V1210" s="35"/>
      <c r="W1210" s="364">
        <f t="shared" si="268"/>
        <v>513943.19999999995</v>
      </c>
      <c r="X1210" s="285">
        <v>177220.34</v>
      </c>
      <c r="Y1210" s="285">
        <v>336722.86</v>
      </c>
      <c r="Z1210" s="285"/>
      <c r="AA1210" s="285"/>
      <c r="AB1210" s="56"/>
      <c r="AC1210" s="56"/>
      <c r="AD1210" s="56" t="s">
        <v>1395</v>
      </c>
      <c r="AE1210" s="56"/>
    </row>
    <row r="1211" spans="1:31" x14ac:dyDescent="0.3">
      <c r="A1211" s="47">
        <f t="shared" si="255"/>
        <v>1099</v>
      </c>
      <c r="B1211" s="414" t="s">
        <v>1471</v>
      </c>
      <c r="C1211" s="51">
        <f t="shared" si="260"/>
        <v>532125.69999999995</v>
      </c>
      <c r="D1211" s="51">
        <f t="shared" si="267"/>
        <v>0</v>
      </c>
      <c r="E1211" s="51"/>
      <c r="F1211" s="51"/>
      <c r="G1211" s="51"/>
      <c r="H1211" s="51"/>
      <c r="I1211" s="51"/>
      <c r="J1211" s="51"/>
      <c r="K1211" s="51"/>
      <c r="L1211" s="51"/>
      <c r="M1211" s="35"/>
      <c r="N1211" s="51"/>
      <c r="O1211" s="82"/>
      <c r="P1211" s="51"/>
      <c r="Q1211" s="338"/>
      <c r="R1211" s="51"/>
      <c r="S1211" s="51"/>
      <c r="T1211" s="338"/>
      <c r="U1211" s="51"/>
      <c r="V1211" s="35"/>
      <c r="W1211" s="364">
        <f t="shared" si="268"/>
        <v>532125.69999999995</v>
      </c>
      <c r="X1211" s="285">
        <v>186028.82</v>
      </c>
      <c r="Y1211" s="285">
        <v>346096.88</v>
      </c>
      <c r="Z1211" s="285"/>
      <c r="AA1211" s="285"/>
      <c r="AB1211" s="56"/>
      <c r="AC1211" s="56"/>
      <c r="AD1211" s="56" t="s">
        <v>1395</v>
      </c>
      <c r="AE1211" s="56"/>
    </row>
    <row r="1212" spans="1:31" x14ac:dyDescent="0.3">
      <c r="A1212" s="47">
        <f t="shared" si="255"/>
        <v>1100</v>
      </c>
      <c r="B1212" s="414" t="s">
        <v>1472</v>
      </c>
      <c r="C1212" s="51">
        <f t="shared" si="260"/>
        <v>365554.57</v>
      </c>
      <c r="D1212" s="51">
        <f t="shared" si="267"/>
        <v>0</v>
      </c>
      <c r="E1212" s="51"/>
      <c r="F1212" s="51"/>
      <c r="G1212" s="51"/>
      <c r="H1212" s="51"/>
      <c r="I1212" s="51"/>
      <c r="J1212" s="51"/>
      <c r="K1212" s="51"/>
      <c r="L1212" s="51"/>
      <c r="M1212" s="35"/>
      <c r="N1212" s="51"/>
      <c r="O1212" s="82"/>
      <c r="P1212" s="51"/>
      <c r="Q1212" s="338"/>
      <c r="R1212" s="51"/>
      <c r="S1212" s="51"/>
      <c r="T1212" s="338"/>
      <c r="U1212" s="51"/>
      <c r="V1212" s="35"/>
      <c r="W1212" s="364">
        <f t="shared" si="268"/>
        <v>365554.57</v>
      </c>
      <c r="X1212" s="285">
        <v>129393.37</v>
      </c>
      <c r="Y1212" s="285"/>
      <c r="Z1212" s="285">
        <v>236161.2</v>
      </c>
      <c r="AA1212" s="285"/>
      <c r="AB1212" s="56"/>
      <c r="AC1212" s="56"/>
      <c r="AD1212" s="56" t="s">
        <v>1395</v>
      </c>
      <c r="AE1212" s="56"/>
    </row>
    <row r="1213" spans="1:31" x14ac:dyDescent="0.3">
      <c r="A1213" s="47">
        <f t="shared" si="255"/>
        <v>1101</v>
      </c>
      <c r="B1213" s="414" t="s">
        <v>1473</v>
      </c>
      <c r="C1213" s="51">
        <f t="shared" si="260"/>
        <v>876046.16</v>
      </c>
      <c r="D1213" s="51">
        <f t="shared" si="267"/>
        <v>0</v>
      </c>
      <c r="E1213" s="51"/>
      <c r="F1213" s="51"/>
      <c r="G1213" s="51"/>
      <c r="H1213" s="51"/>
      <c r="I1213" s="51"/>
      <c r="J1213" s="51"/>
      <c r="K1213" s="51"/>
      <c r="L1213" s="51"/>
      <c r="M1213" s="35"/>
      <c r="N1213" s="51"/>
      <c r="O1213" s="82"/>
      <c r="P1213" s="51"/>
      <c r="Q1213" s="338"/>
      <c r="R1213" s="51"/>
      <c r="S1213" s="51"/>
      <c r="T1213" s="338"/>
      <c r="U1213" s="51"/>
      <c r="V1213" s="35"/>
      <c r="W1213" s="364">
        <f t="shared" si="268"/>
        <v>876046.16</v>
      </c>
      <c r="X1213" s="285">
        <v>218154.61</v>
      </c>
      <c r="Y1213" s="285">
        <v>405184.43</v>
      </c>
      <c r="Z1213" s="285">
        <v>252707.12</v>
      </c>
      <c r="AA1213" s="285"/>
      <c r="AB1213" s="56"/>
      <c r="AC1213" s="56"/>
      <c r="AD1213" s="56" t="s">
        <v>1395</v>
      </c>
      <c r="AE1213" s="56"/>
    </row>
    <row r="1214" spans="1:31" x14ac:dyDescent="0.3">
      <c r="A1214" s="47">
        <f t="shared" si="255"/>
        <v>1102</v>
      </c>
      <c r="B1214" s="414" t="s">
        <v>1474</v>
      </c>
      <c r="C1214" s="51">
        <f t="shared" si="260"/>
        <v>180115</v>
      </c>
      <c r="D1214" s="51">
        <f t="shared" si="267"/>
        <v>0</v>
      </c>
      <c r="E1214" s="51"/>
      <c r="F1214" s="51"/>
      <c r="G1214" s="51"/>
      <c r="H1214" s="51"/>
      <c r="I1214" s="51"/>
      <c r="J1214" s="51"/>
      <c r="K1214" s="51"/>
      <c r="L1214" s="51"/>
      <c r="M1214" s="35"/>
      <c r="N1214" s="51"/>
      <c r="O1214" s="82"/>
      <c r="P1214" s="51"/>
      <c r="Q1214" s="338"/>
      <c r="R1214" s="51"/>
      <c r="S1214" s="51"/>
      <c r="T1214" s="338"/>
      <c r="U1214" s="51"/>
      <c r="V1214" s="35"/>
      <c r="W1214" s="364">
        <f>SUM(X1214:AB1214)</f>
        <v>180115</v>
      </c>
      <c r="X1214" s="285">
        <f>90057.5+90057.5</f>
        <v>180115</v>
      </c>
      <c r="Y1214" s="285"/>
      <c r="Z1214" s="285"/>
      <c r="AA1214" s="285"/>
      <c r="AB1214" s="285"/>
      <c r="AC1214" s="56"/>
      <c r="AD1214" s="56" t="s">
        <v>1475</v>
      </c>
      <c r="AE1214" s="56"/>
    </row>
    <row r="1215" spans="1:31" x14ac:dyDescent="0.3">
      <c r="A1215" s="47">
        <f t="shared" si="255"/>
        <v>1103</v>
      </c>
      <c r="B1215" s="414" t="s">
        <v>1476</v>
      </c>
      <c r="C1215" s="51">
        <f t="shared" si="260"/>
        <v>365936.85</v>
      </c>
      <c r="D1215" s="51">
        <f t="shared" si="267"/>
        <v>0</v>
      </c>
      <c r="E1215" s="51"/>
      <c r="F1215" s="51"/>
      <c r="G1215" s="51"/>
      <c r="H1215" s="51"/>
      <c r="I1215" s="51"/>
      <c r="J1215" s="51"/>
      <c r="K1215" s="51"/>
      <c r="L1215" s="51"/>
      <c r="M1215" s="35"/>
      <c r="N1215" s="51"/>
      <c r="O1215" s="82"/>
      <c r="P1215" s="51"/>
      <c r="Q1215" s="338"/>
      <c r="R1215" s="51"/>
      <c r="S1215" s="51"/>
      <c r="T1215" s="338"/>
      <c r="U1215" s="51"/>
      <c r="V1215" s="35"/>
      <c r="W1215" s="364">
        <f>SUM(X1215:AB1215)</f>
        <v>365936.85</v>
      </c>
      <c r="X1215" s="285">
        <f>71537.54
+68818.54+86318.71</f>
        <v>226674.78999999998</v>
      </c>
      <c r="Y1215" s="285">
        <v>139262.06</v>
      </c>
      <c r="Z1215" s="285"/>
      <c r="AA1215" s="285"/>
      <c r="AB1215" s="285"/>
      <c r="AC1215" s="56"/>
      <c r="AD1215" s="56" t="s">
        <v>1477</v>
      </c>
      <c r="AE1215" s="56"/>
    </row>
    <row r="1216" spans="1:31" x14ac:dyDescent="0.3">
      <c r="A1216" s="47">
        <f t="shared" si="255"/>
        <v>1104</v>
      </c>
      <c r="B1216" s="414" t="s">
        <v>1478</v>
      </c>
      <c r="C1216" s="51">
        <f t="shared" si="260"/>
        <v>160388.32999999999</v>
      </c>
      <c r="D1216" s="51">
        <f t="shared" si="267"/>
        <v>0</v>
      </c>
      <c r="E1216" s="51"/>
      <c r="F1216" s="51"/>
      <c r="G1216" s="51"/>
      <c r="H1216" s="51"/>
      <c r="I1216" s="51"/>
      <c r="J1216" s="51"/>
      <c r="K1216" s="51"/>
      <c r="L1216" s="51"/>
      <c r="M1216" s="35"/>
      <c r="N1216" s="51"/>
      <c r="O1216" s="82"/>
      <c r="P1216" s="51"/>
      <c r="Q1216" s="338"/>
      <c r="R1216" s="51"/>
      <c r="S1216" s="51"/>
      <c r="T1216" s="338"/>
      <c r="U1216" s="51"/>
      <c r="V1216" s="35"/>
      <c r="W1216" s="364">
        <f>SUM(X1216:AB1216)</f>
        <v>160388.32999999999</v>
      </c>
      <c r="X1216" s="285">
        <f>64022.59+49258.56+47107.18</f>
        <v>160388.32999999999</v>
      </c>
      <c r="Y1216" s="285"/>
      <c r="Z1216" s="285"/>
      <c r="AA1216" s="285"/>
      <c r="AB1216" s="285"/>
      <c r="AC1216" s="56"/>
      <c r="AD1216" s="56" t="s">
        <v>1479</v>
      </c>
      <c r="AE1216" s="56"/>
    </row>
    <row r="1217" spans="1:31" x14ac:dyDescent="0.3">
      <c r="A1217" s="47">
        <f t="shared" si="255"/>
        <v>1105</v>
      </c>
      <c r="B1217" s="414" t="s">
        <v>1480</v>
      </c>
      <c r="C1217" s="51">
        <f t="shared" si="260"/>
        <v>389245.37</v>
      </c>
      <c r="D1217" s="51">
        <f t="shared" si="267"/>
        <v>0</v>
      </c>
      <c r="E1217" s="51"/>
      <c r="F1217" s="51"/>
      <c r="G1217" s="51"/>
      <c r="H1217" s="51"/>
      <c r="I1217" s="51"/>
      <c r="J1217" s="51"/>
      <c r="K1217" s="51"/>
      <c r="L1217" s="51"/>
      <c r="M1217" s="35"/>
      <c r="N1217" s="51"/>
      <c r="O1217" s="82"/>
      <c r="P1217" s="51"/>
      <c r="Q1217" s="338"/>
      <c r="R1217" s="51"/>
      <c r="S1217" s="51"/>
      <c r="T1217" s="338"/>
      <c r="U1217" s="51"/>
      <c r="V1217" s="35"/>
      <c r="W1217" s="364">
        <f>SUM(X1217:AB1217)</f>
        <v>389245.37</v>
      </c>
      <c r="X1217" s="285">
        <f>91780.58+111825.11+91780.58+93859.1</f>
        <v>389245.37</v>
      </c>
      <c r="Y1217" s="285"/>
      <c r="Z1217" s="285"/>
      <c r="AA1217" s="285"/>
      <c r="AB1217" s="285"/>
      <c r="AC1217" s="56"/>
      <c r="AD1217" s="56" t="s">
        <v>1481</v>
      </c>
      <c r="AE1217" s="56"/>
    </row>
    <row r="1218" spans="1:31" x14ac:dyDescent="0.3">
      <c r="A1218" s="47">
        <f t="shared" si="255"/>
        <v>1106</v>
      </c>
      <c r="B1218" s="414" t="s">
        <v>1482</v>
      </c>
      <c r="C1218" s="51">
        <f t="shared" si="260"/>
        <v>170393.96</v>
      </c>
      <c r="D1218" s="51">
        <f t="shared" ref="D1218" si="269">E1218+F1218+G1218+H1218+I1218</f>
        <v>0</v>
      </c>
      <c r="E1218" s="51"/>
      <c r="F1218" s="51"/>
      <c r="G1218" s="51"/>
      <c r="H1218" s="51"/>
      <c r="I1218" s="51"/>
      <c r="J1218" s="51"/>
      <c r="K1218" s="51"/>
      <c r="L1218" s="51"/>
      <c r="M1218" s="35"/>
      <c r="N1218" s="51"/>
      <c r="O1218" s="82"/>
      <c r="P1218" s="51"/>
      <c r="Q1218" s="338"/>
      <c r="R1218" s="51"/>
      <c r="S1218" s="51"/>
      <c r="T1218" s="338"/>
      <c r="U1218" s="51"/>
      <c r="V1218" s="35"/>
      <c r="W1218" s="364">
        <f t="shared" ref="W1218" si="270">SUM(X1218:AB1218)</f>
        <v>170393.96</v>
      </c>
      <c r="X1218" s="285"/>
      <c r="Y1218" s="285"/>
      <c r="Z1218" s="285"/>
      <c r="AA1218" s="285"/>
      <c r="AB1218" s="285">
        <v>170393.96</v>
      </c>
      <c r="AC1218" s="56"/>
      <c r="AD1218" s="56"/>
      <c r="AE1218" s="56"/>
    </row>
    <row r="1219" spans="1:31" x14ac:dyDescent="0.3">
      <c r="A1219" s="47">
        <f t="shared" si="255"/>
        <v>1107</v>
      </c>
      <c r="B1219" s="414" t="s">
        <v>1483</v>
      </c>
      <c r="C1219" s="51">
        <f t="shared" ref="C1219:C1250" si="271">D1219+K1219+L1219+N1219+P1219+R1219+U1219+S1219+V1219+W1219</f>
        <v>358067.12</v>
      </c>
      <c r="D1219" s="51">
        <f t="shared" ref="D1219:D1261" si="272">E1219+F1219+G1219+H1219+I1219</f>
        <v>0</v>
      </c>
      <c r="E1219" s="51"/>
      <c r="F1219" s="51"/>
      <c r="G1219" s="51"/>
      <c r="H1219" s="51"/>
      <c r="I1219" s="51"/>
      <c r="J1219" s="51"/>
      <c r="K1219" s="51"/>
      <c r="L1219" s="51"/>
      <c r="M1219" s="35"/>
      <c r="N1219" s="51"/>
      <c r="O1219" s="82"/>
      <c r="P1219" s="51"/>
      <c r="Q1219" s="338"/>
      <c r="R1219" s="51"/>
      <c r="S1219" s="51"/>
      <c r="T1219" s="338"/>
      <c r="U1219" s="51"/>
      <c r="V1219" s="35"/>
      <c r="W1219" s="364">
        <f t="shared" ref="W1219:W1243" si="273">SUM(X1219:AB1219)</f>
        <v>358067.12</v>
      </c>
      <c r="X1219" s="285">
        <f>57465.07+55114.19+72245.26+55114.19</f>
        <v>239938.71000000002</v>
      </c>
      <c r="Y1219" s="285">
        <v>118128.41</v>
      </c>
      <c r="Z1219" s="285"/>
      <c r="AA1219" s="285"/>
      <c r="AB1219" s="285"/>
      <c r="AC1219" s="56"/>
      <c r="AD1219" s="56" t="s">
        <v>1484</v>
      </c>
      <c r="AE1219" s="56"/>
    </row>
    <row r="1220" spans="1:31" x14ac:dyDescent="0.3">
      <c r="A1220" s="47">
        <f t="shared" si="255"/>
        <v>1108</v>
      </c>
      <c r="B1220" s="414" t="s">
        <v>1485</v>
      </c>
      <c r="C1220" s="51">
        <f t="shared" si="271"/>
        <v>172035.98</v>
      </c>
      <c r="D1220" s="51">
        <f t="shared" si="272"/>
        <v>0</v>
      </c>
      <c r="E1220" s="51"/>
      <c r="F1220" s="51"/>
      <c r="G1220" s="51"/>
      <c r="H1220" s="51"/>
      <c r="I1220" s="51"/>
      <c r="J1220" s="51"/>
      <c r="K1220" s="51"/>
      <c r="L1220" s="51"/>
      <c r="M1220" s="35"/>
      <c r="N1220" s="51"/>
      <c r="O1220" s="82"/>
      <c r="P1220" s="51"/>
      <c r="Q1220" s="338"/>
      <c r="R1220" s="51"/>
      <c r="S1220" s="51"/>
      <c r="T1220" s="338"/>
      <c r="U1220" s="51"/>
      <c r="V1220" s="35"/>
      <c r="W1220" s="364">
        <f t="shared" si="273"/>
        <v>172035.98</v>
      </c>
      <c r="X1220" s="285"/>
      <c r="Y1220" s="285"/>
      <c r="Z1220" s="285">
        <v>172035.98</v>
      </c>
      <c r="AA1220" s="285"/>
      <c r="AB1220" s="285"/>
      <c r="AC1220" s="56"/>
      <c r="AD1220" s="56" t="s">
        <v>1486</v>
      </c>
      <c r="AE1220" s="56"/>
    </row>
    <row r="1221" spans="1:31" x14ac:dyDescent="0.3">
      <c r="A1221" s="47">
        <f t="shared" ref="A1221" si="274">A1220+1</f>
        <v>1109</v>
      </c>
      <c r="B1221" s="414" t="s">
        <v>1487</v>
      </c>
      <c r="C1221" s="51">
        <f t="shared" si="271"/>
        <v>517137.73</v>
      </c>
      <c r="D1221" s="51">
        <f t="shared" si="272"/>
        <v>0</v>
      </c>
      <c r="E1221" s="51"/>
      <c r="F1221" s="51"/>
      <c r="G1221" s="51"/>
      <c r="H1221" s="51"/>
      <c r="I1221" s="51"/>
      <c r="J1221" s="51"/>
      <c r="K1221" s="51"/>
      <c r="L1221" s="51"/>
      <c r="M1221" s="35"/>
      <c r="N1221" s="51"/>
      <c r="O1221" s="82"/>
      <c r="P1221" s="51"/>
      <c r="Q1221" s="338"/>
      <c r="R1221" s="51"/>
      <c r="S1221" s="51"/>
      <c r="T1221" s="338"/>
      <c r="U1221" s="51"/>
      <c r="V1221" s="35"/>
      <c r="W1221" s="364">
        <f t="shared" si="273"/>
        <v>517137.73</v>
      </c>
      <c r="X1221" s="285">
        <f>119338.14+149766.73+118363.88+129668.98</f>
        <v>517137.73</v>
      </c>
      <c r="Y1221" s="285"/>
      <c r="Z1221" s="285"/>
      <c r="AA1221" s="285"/>
      <c r="AB1221" s="285"/>
      <c r="AC1221" s="56"/>
      <c r="AD1221" s="56" t="s">
        <v>1488</v>
      </c>
      <c r="AE1221" s="56"/>
    </row>
    <row r="1222" spans="1:31" x14ac:dyDescent="0.3">
      <c r="A1222" s="47">
        <f t="shared" ref="A1222:A1281" si="275">A1221+1</f>
        <v>1110</v>
      </c>
      <c r="B1222" s="414" t="s">
        <v>1489</v>
      </c>
      <c r="C1222" s="51">
        <f t="shared" si="271"/>
        <v>132156.04999999999</v>
      </c>
      <c r="D1222" s="51">
        <f t="shared" si="272"/>
        <v>0</v>
      </c>
      <c r="E1222" s="51"/>
      <c r="F1222" s="51"/>
      <c r="G1222" s="51"/>
      <c r="H1222" s="51"/>
      <c r="I1222" s="51"/>
      <c r="J1222" s="51"/>
      <c r="K1222" s="51"/>
      <c r="L1222" s="51"/>
      <c r="M1222" s="35"/>
      <c r="N1222" s="51"/>
      <c r="O1222" s="82"/>
      <c r="P1222" s="51"/>
      <c r="Q1222" s="338"/>
      <c r="R1222" s="51"/>
      <c r="S1222" s="51"/>
      <c r="T1222" s="338"/>
      <c r="U1222" s="51"/>
      <c r="V1222" s="35"/>
      <c r="W1222" s="364">
        <f t="shared" si="273"/>
        <v>132156.04999999999</v>
      </c>
      <c r="X1222" s="285"/>
      <c r="Y1222" s="285"/>
      <c r="Z1222" s="285">
        <v>132156.04999999999</v>
      </c>
      <c r="AA1222" s="285"/>
      <c r="AB1222" s="285"/>
      <c r="AC1222" s="56"/>
      <c r="AD1222" s="56" t="s">
        <v>1486</v>
      </c>
      <c r="AE1222" s="56"/>
    </row>
    <row r="1223" spans="1:31" x14ac:dyDescent="0.3">
      <c r="A1223" s="47">
        <f t="shared" si="275"/>
        <v>1111</v>
      </c>
      <c r="B1223" s="414" t="s">
        <v>1490</v>
      </c>
      <c r="C1223" s="51">
        <f t="shared" si="271"/>
        <v>800995.46000000008</v>
      </c>
      <c r="D1223" s="51">
        <f t="shared" si="272"/>
        <v>0</v>
      </c>
      <c r="E1223" s="51"/>
      <c r="F1223" s="51"/>
      <c r="G1223" s="51"/>
      <c r="H1223" s="51"/>
      <c r="I1223" s="51"/>
      <c r="J1223" s="51"/>
      <c r="K1223" s="51"/>
      <c r="L1223" s="51"/>
      <c r="M1223" s="35"/>
      <c r="N1223" s="51"/>
      <c r="O1223" s="82"/>
      <c r="P1223" s="51"/>
      <c r="Q1223" s="338"/>
      <c r="R1223" s="51"/>
      <c r="S1223" s="51"/>
      <c r="T1223" s="338"/>
      <c r="U1223" s="51"/>
      <c r="V1223" s="35"/>
      <c r="W1223" s="364">
        <f t="shared" si="273"/>
        <v>800995.46000000008</v>
      </c>
      <c r="X1223" s="285">
        <v>216075.78</v>
      </c>
      <c r="Y1223" s="285">
        <v>441483.78</v>
      </c>
      <c r="Z1223" s="285">
        <v>143435.9</v>
      </c>
      <c r="AA1223" s="285"/>
      <c r="AB1223" s="285"/>
      <c r="AC1223" s="56"/>
      <c r="AD1223" s="56" t="s">
        <v>1491</v>
      </c>
      <c r="AE1223" s="56"/>
    </row>
    <row r="1224" spans="1:31" x14ac:dyDescent="0.3">
      <c r="A1224" s="47">
        <f t="shared" si="275"/>
        <v>1112</v>
      </c>
      <c r="B1224" s="414" t="s">
        <v>1492</v>
      </c>
      <c r="C1224" s="51">
        <f t="shared" si="271"/>
        <v>845105.59000000008</v>
      </c>
      <c r="D1224" s="51">
        <f t="shared" si="272"/>
        <v>0</v>
      </c>
      <c r="E1224" s="51"/>
      <c r="F1224" s="51"/>
      <c r="G1224" s="51"/>
      <c r="H1224" s="51"/>
      <c r="I1224" s="51"/>
      <c r="J1224" s="51"/>
      <c r="K1224" s="51"/>
      <c r="L1224" s="51"/>
      <c r="M1224" s="35"/>
      <c r="N1224" s="51"/>
      <c r="O1224" s="82"/>
      <c r="P1224" s="51"/>
      <c r="Q1224" s="338"/>
      <c r="R1224" s="51"/>
      <c r="S1224" s="51"/>
      <c r="T1224" s="338"/>
      <c r="U1224" s="51"/>
      <c r="V1224" s="35"/>
      <c r="W1224" s="364">
        <f t="shared" si="273"/>
        <v>845105.59000000008</v>
      </c>
      <c r="X1224" s="285">
        <v>193646.51</v>
      </c>
      <c r="Y1224" s="285">
        <v>425594.06</v>
      </c>
      <c r="Z1224" s="285">
        <v>225865.02</v>
      </c>
      <c r="AA1224" s="285"/>
      <c r="AB1224" s="285"/>
      <c r="AC1224" s="56"/>
      <c r="AD1224" s="56" t="s">
        <v>1395</v>
      </c>
      <c r="AE1224" s="56"/>
    </row>
    <row r="1225" spans="1:31" x14ac:dyDescent="0.3">
      <c r="A1225" s="47">
        <f t="shared" si="275"/>
        <v>1113</v>
      </c>
      <c r="B1225" s="414" t="s">
        <v>1493</v>
      </c>
      <c r="C1225" s="51">
        <f t="shared" si="271"/>
        <v>385661.93</v>
      </c>
      <c r="D1225" s="51">
        <f t="shared" si="272"/>
        <v>0</v>
      </c>
      <c r="E1225" s="51"/>
      <c r="F1225" s="51"/>
      <c r="G1225" s="51"/>
      <c r="H1225" s="51"/>
      <c r="I1225" s="51"/>
      <c r="J1225" s="51"/>
      <c r="K1225" s="51"/>
      <c r="L1225" s="51"/>
      <c r="M1225" s="35"/>
      <c r="N1225" s="51"/>
      <c r="O1225" s="82"/>
      <c r="P1225" s="51"/>
      <c r="Q1225" s="338"/>
      <c r="R1225" s="51"/>
      <c r="S1225" s="51"/>
      <c r="T1225" s="338"/>
      <c r="U1225" s="51"/>
      <c r="V1225" s="35"/>
      <c r="W1225" s="364">
        <f t="shared" si="273"/>
        <v>385661.93</v>
      </c>
      <c r="X1225" s="285">
        <v>192502.02</v>
      </c>
      <c r="Y1225" s="285"/>
      <c r="Z1225" s="285">
        <v>193159.91</v>
      </c>
      <c r="AA1225" s="285"/>
      <c r="AB1225" s="285"/>
      <c r="AC1225" s="56"/>
      <c r="AD1225" s="56" t="s">
        <v>1395</v>
      </c>
      <c r="AE1225" s="56"/>
    </row>
    <row r="1226" spans="1:31" x14ac:dyDescent="0.3">
      <c r="A1226" s="47">
        <f t="shared" si="275"/>
        <v>1114</v>
      </c>
      <c r="B1226" s="414" t="s">
        <v>1494</v>
      </c>
      <c r="C1226" s="51">
        <f t="shared" si="271"/>
        <v>553114.11</v>
      </c>
      <c r="D1226" s="51">
        <f t="shared" si="272"/>
        <v>0</v>
      </c>
      <c r="E1226" s="51"/>
      <c r="F1226" s="51"/>
      <c r="G1226" s="51"/>
      <c r="H1226" s="51"/>
      <c r="I1226" s="51"/>
      <c r="J1226" s="51"/>
      <c r="K1226" s="51"/>
      <c r="L1226" s="51"/>
      <c r="M1226" s="35"/>
      <c r="N1226" s="51"/>
      <c r="O1226" s="82"/>
      <c r="P1226" s="51"/>
      <c r="Q1226" s="338"/>
      <c r="R1226" s="51"/>
      <c r="S1226" s="51"/>
      <c r="T1226" s="338"/>
      <c r="U1226" s="51"/>
      <c r="V1226" s="35"/>
      <c r="W1226" s="364">
        <f t="shared" si="273"/>
        <v>553114.11</v>
      </c>
      <c r="X1226" s="285">
        <v>192100.58</v>
      </c>
      <c r="Y1226" s="285">
        <v>361013.53</v>
      </c>
      <c r="Z1226" s="285"/>
      <c r="AA1226" s="285"/>
      <c r="AB1226" s="285"/>
      <c r="AC1226" s="56"/>
      <c r="AD1226" s="56" t="s">
        <v>1395</v>
      </c>
      <c r="AE1226" s="56"/>
    </row>
    <row r="1227" spans="1:31" ht="19.5" customHeight="1" x14ac:dyDescent="0.3">
      <c r="A1227" s="47">
        <f t="shared" si="275"/>
        <v>1115</v>
      </c>
      <c r="B1227" s="414" t="s">
        <v>1495</v>
      </c>
      <c r="C1227" s="51">
        <f t="shared" si="271"/>
        <v>781155.29</v>
      </c>
      <c r="D1227" s="51">
        <f t="shared" si="272"/>
        <v>0</v>
      </c>
      <c r="E1227" s="51"/>
      <c r="F1227" s="51"/>
      <c r="G1227" s="51"/>
      <c r="H1227" s="51"/>
      <c r="I1227" s="51"/>
      <c r="J1227" s="51"/>
      <c r="K1227" s="51"/>
      <c r="L1227" s="51"/>
      <c r="M1227" s="35"/>
      <c r="N1227" s="51"/>
      <c r="O1227" s="82"/>
      <c r="P1227" s="51"/>
      <c r="Q1227" s="338"/>
      <c r="R1227" s="51"/>
      <c r="S1227" s="51"/>
      <c r="T1227" s="338"/>
      <c r="U1227" s="51"/>
      <c r="V1227" s="35"/>
      <c r="W1227" s="364">
        <f t="shared" si="273"/>
        <v>781155.29</v>
      </c>
      <c r="X1227" s="285">
        <v>191840.54</v>
      </c>
      <c r="Y1227" s="285">
        <v>352706.47</v>
      </c>
      <c r="Z1227" s="285">
        <v>236608.28</v>
      </c>
      <c r="AA1227" s="285"/>
      <c r="AB1227" s="285"/>
      <c r="AC1227" s="56"/>
      <c r="AD1227" s="40" t="s">
        <v>1496</v>
      </c>
      <c r="AE1227" s="56"/>
    </row>
    <row r="1228" spans="1:31" x14ac:dyDescent="0.3">
      <c r="A1228" s="47">
        <f t="shared" si="275"/>
        <v>1116</v>
      </c>
      <c r="B1228" s="414" t="s">
        <v>1497</v>
      </c>
      <c r="C1228" s="51">
        <f t="shared" si="271"/>
        <v>2190731.4300000002</v>
      </c>
      <c r="D1228" s="51">
        <f t="shared" si="272"/>
        <v>2077631.2000000002</v>
      </c>
      <c r="E1228" s="51">
        <v>420746.4</v>
      </c>
      <c r="F1228" s="51">
        <v>1606054.8</v>
      </c>
      <c r="G1228" s="51">
        <f>3910*13</f>
        <v>50830</v>
      </c>
      <c r="H1228" s="51"/>
      <c r="I1228" s="51"/>
      <c r="J1228" s="51"/>
      <c r="K1228" s="51"/>
      <c r="L1228" s="51"/>
      <c r="M1228" s="35"/>
      <c r="N1228" s="51"/>
      <c r="O1228" s="82"/>
      <c r="P1228" s="51"/>
      <c r="Q1228" s="338"/>
      <c r="R1228" s="51"/>
      <c r="S1228" s="51"/>
      <c r="T1228" s="338"/>
      <c r="U1228" s="51"/>
      <c r="V1228" s="35"/>
      <c r="W1228" s="364">
        <f t="shared" si="273"/>
        <v>113100.23</v>
      </c>
      <c r="X1228" s="285">
        <v>113100.23</v>
      </c>
      <c r="Y1228" s="285"/>
      <c r="Z1228" s="285"/>
      <c r="AA1228" s="285"/>
      <c r="AB1228" s="285"/>
      <c r="AC1228" s="56"/>
      <c r="AD1228" s="56" t="s">
        <v>25</v>
      </c>
      <c r="AE1228" s="56"/>
    </row>
    <row r="1229" spans="1:31" x14ac:dyDescent="0.3">
      <c r="A1229" s="47">
        <f t="shared" si="275"/>
        <v>1117</v>
      </c>
      <c r="B1229" s="414" t="s">
        <v>1498</v>
      </c>
      <c r="C1229" s="51">
        <f t="shared" si="271"/>
        <v>782831.04</v>
      </c>
      <c r="D1229" s="51">
        <f t="shared" si="272"/>
        <v>0</v>
      </c>
      <c r="E1229" s="51"/>
      <c r="F1229" s="51"/>
      <c r="G1229" s="51"/>
      <c r="H1229" s="51"/>
      <c r="I1229" s="51"/>
      <c r="J1229" s="51"/>
      <c r="K1229" s="51"/>
      <c r="L1229" s="51"/>
      <c r="M1229" s="35"/>
      <c r="N1229" s="51"/>
      <c r="O1229" s="82"/>
      <c r="P1229" s="51"/>
      <c r="Q1229" s="338"/>
      <c r="R1229" s="51"/>
      <c r="S1229" s="51"/>
      <c r="T1229" s="338"/>
      <c r="U1229" s="51"/>
      <c r="V1229" s="35"/>
      <c r="W1229" s="364">
        <f t="shared" si="273"/>
        <v>782831.04</v>
      </c>
      <c r="X1229" s="285">
        <v>192109.85</v>
      </c>
      <c r="Y1229" s="285">
        <v>361408.49</v>
      </c>
      <c r="Z1229" s="285">
        <v>229312.7</v>
      </c>
      <c r="AA1229" s="285"/>
      <c r="AB1229" s="285"/>
      <c r="AC1229" s="56"/>
      <c r="AD1229" s="56" t="s">
        <v>1395</v>
      </c>
      <c r="AE1229" s="56"/>
    </row>
    <row r="1230" spans="1:31" ht="20.25" customHeight="1" x14ac:dyDescent="0.3">
      <c r="A1230" s="47">
        <f t="shared" si="275"/>
        <v>1118</v>
      </c>
      <c r="B1230" s="414" t="s">
        <v>1499</v>
      </c>
      <c r="C1230" s="51">
        <f t="shared" si="271"/>
        <v>358364.24</v>
      </c>
      <c r="D1230" s="51">
        <f t="shared" si="272"/>
        <v>0</v>
      </c>
      <c r="E1230" s="51"/>
      <c r="F1230" s="51"/>
      <c r="G1230" s="51"/>
      <c r="H1230" s="51"/>
      <c r="I1230" s="51"/>
      <c r="J1230" s="51"/>
      <c r="K1230" s="51"/>
      <c r="L1230" s="51"/>
      <c r="M1230" s="35"/>
      <c r="N1230" s="51"/>
      <c r="O1230" s="82"/>
      <c r="P1230" s="51"/>
      <c r="Q1230" s="338"/>
      <c r="R1230" s="51"/>
      <c r="S1230" s="51"/>
      <c r="T1230" s="338"/>
      <c r="U1230" s="51"/>
      <c r="V1230" s="35"/>
      <c r="W1230" s="364">
        <f t="shared" si="273"/>
        <v>358364.24</v>
      </c>
      <c r="X1230" s="285">
        <v>189310.28</v>
      </c>
      <c r="Y1230" s="285"/>
      <c r="Z1230" s="285">
        <v>169053.96</v>
      </c>
      <c r="AA1230" s="285"/>
      <c r="AB1230" s="285"/>
      <c r="AC1230" s="56"/>
      <c r="AD1230" s="40" t="s">
        <v>1500</v>
      </c>
      <c r="AE1230" s="56"/>
    </row>
    <row r="1231" spans="1:31" ht="18.75" customHeight="1" x14ac:dyDescent="0.3">
      <c r="A1231" s="47">
        <f t="shared" si="275"/>
        <v>1119</v>
      </c>
      <c r="B1231" s="414" t="s">
        <v>1501</v>
      </c>
      <c r="C1231" s="51">
        <f t="shared" si="271"/>
        <v>822340.17</v>
      </c>
      <c r="D1231" s="51">
        <f t="shared" si="272"/>
        <v>0</v>
      </c>
      <c r="E1231" s="51"/>
      <c r="F1231" s="51"/>
      <c r="G1231" s="51"/>
      <c r="H1231" s="51"/>
      <c r="I1231" s="51"/>
      <c r="J1231" s="51"/>
      <c r="K1231" s="51"/>
      <c r="L1231" s="51"/>
      <c r="M1231" s="35"/>
      <c r="N1231" s="51"/>
      <c r="O1231" s="82"/>
      <c r="P1231" s="51"/>
      <c r="Q1231" s="338"/>
      <c r="R1231" s="51"/>
      <c r="S1231" s="51"/>
      <c r="T1231" s="338"/>
      <c r="U1231" s="51"/>
      <c r="V1231" s="35"/>
      <c r="W1231" s="364">
        <f t="shared" si="273"/>
        <v>822340.17</v>
      </c>
      <c r="X1231" s="285">
        <v>193134.26</v>
      </c>
      <c r="Y1231" s="285">
        <v>404198.88</v>
      </c>
      <c r="Z1231" s="285">
        <v>225007.03</v>
      </c>
      <c r="AA1231" s="285"/>
      <c r="AB1231" s="285"/>
      <c r="AC1231" s="56"/>
      <c r="AD1231" s="40" t="s">
        <v>1500</v>
      </c>
      <c r="AE1231" s="56"/>
    </row>
    <row r="1232" spans="1:31" x14ac:dyDescent="0.3">
      <c r="A1232" s="47">
        <f t="shared" si="275"/>
        <v>1120</v>
      </c>
      <c r="B1232" s="414" t="s">
        <v>1502</v>
      </c>
      <c r="C1232" s="51">
        <f t="shared" si="271"/>
        <v>451648.64</v>
      </c>
      <c r="D1232" s="51">
        <f t="shared" si="272"/>
        <v>0</v>
      </c>
      <c r="E1232" s="51"/>
      <c r="F1232" s="51"/>
      <c r="G1232" s="51"/>
      <c r="H1232" s="51"/>
      <c r="I1232" s="51"/>
      <c r="J1232" s="51"/>
      <c r="K1232" s="51"/>
      <c r="L1232" s="51"/>
      <c r="M1232" s="35"/>
      <c r="N1232" s="51"/>
      <c r="O1232" s="82"/>
      <c r="P1232" s="51"/>
      <c r="Q1232" s="338"/>
      <c r="R1232" s="51"/>
      <c r="S1232" s="51"/>
      <c r="T1232" s="338"/>
      <c r="U1232" s="51"/>
      <c r="V1232" s="35"/>
      <c r="W1232" s="364">
        <f t="shared" si="273"/>
        <v>451648.64</v>
      </c>
      <c r="X1232" s="285">
        <v>159937.69</v>
      </c>
      <c r="Y1232" s="285">
        <v>291710.95</v>
      </c>
      <c r="Z1232" s="285"/>
      <c r="AA1232" s="285"/>
      <c r="AB1232" s="285"/>
      <c r="AC1232" s="56"/>
      <c r="AD1232" s="56" t="s">
        <v>1395</v>
      </c>
      <c r="AE1232" s="56"/>
    </row>
    <row r="1233" spans="1:31" x14ac:dyDescent="0.3">
      <c r="A1233" s="47">
        <f t="shared" si="275"/>
        <v>1121</v>
      </c>
      <c r="B1233" s="414" t="s">
        <v>1503</v>
      </c>
      <c r="C1233" s="51">
        <f t="shared" si="271"/>
        <v>8074669.0300000003</v>
      </c>
      <c r="D1233" s="51">
        <f t="shared" si="272"/>
        <v>7793073.1699999999</v>
      </c>
      <c r="E1233" s="51">
        <v>2550331.9700000002</v>
      </c>
      <c r="F1233" s="51">
        <f>5502*13</f>
        <v>71526</v>
      </c>
      <c r="G1233" s="51">
        <v>1841113.2</v>
      </c>
      <c r="H1233" s="51">
        <v>2388768</v>
      </c>
      <c r="I1233" s="51">
        <v>941334</v>
      </c>
      <c r="J1233" s="51"/>
      <c r="K1233" s="51"/>
      <c r="L1233" s="51"/>
      <c r="M1233" s="35"/>
      <c r="N1233" s="51"/>
      <c r="O1233" s="82"/>
      <c r="P1233" s="51"/>
      <c r="Q1233" s="338"/>
      <c r="R1233" s="51"/>
      <c r="S1233" s="51"/>
      <c r="T1233" s="338"/>
      <c r="U1233" s="51"/>
      <c r="V1233" s="35"/>
      <c r="W1233" s="364">
        <f t="shared" si="273"/>
        <v>281595.86</v>
      </c>
      <c r="X1233" s="285"/>
      <c r="Y1233" s="285"/>
      <c r="Z1233" s="285">
        <v>281595.86</v>
      </c>
      <c r="AA1233" s="285"/>
      <c r="AB1233" s="285"/>
      <c r="AC1233" s="56"/>
      <c r="AD1233" s="56"/>
      <c r="AE1233" s="56"/>
    </row>
    <row r="1234" spans="1:31" x14ac:dyDescent="0.3">
      <c r="A1234" s="47">
        <f t="shared" si="275"/>
        <v>1122</v>
      </c>
      <c r="B1234" s="414" t="s">
        <v>1504</v>
      </c>
      <c r="C1234" s="51">
        <f t="shared" si="271"/>
        <v>2186709.0300000003</v>
      </c>
      <c r="D1234" s="51">
        <f t="shared" si="272"/>
        <v>2073608.8</v>
      </c>
      <c r="E1234" s="51">
        <v>416724</v>
      </c>
      <c r="F1234" s="51">
        <v>1606054.8</v>
      </c>
      <c r="G1234" s="51">
        <f>3910*13</f>
        <v>50830</v>
      </c>
      <c r="H1234" s="51"/>
      <c r="I1234" s="51"/>
      <c r="J1234" s="51"/>
      <c r="K1234" s="51"/>
      <c r="L1234" s="51"/>
      <c r="M1234" s="35"/>
      <c r="N1234" s="51"/>
      <c r="O1234" s="82"/>
      <c r="P1234" s="51"/>
      <c r="Q1234" s="338"/>
      <c r="R1234" s="51"/>
      <c r="S1234" s="51"/>
      <c r="T1234" s="338"/>
      <c r="U1234" s="51"/>
      <c r="V1234" s="35"/>
      <c r="W1234" s="364">
        <f t="shared" si="273"/>
        <v>113100.23</v>
      </c>
      <c r="X1234" s="285">
        <v>113100.23</v>
      </c>
      <c r="Y1234" s="285"/>
      <c r="Z1234" s="285"/>
      <c r="AA1234" s="285"/>
      <c r="AB1234" s="285"/>
      <c r="AC1234" s="56"/>
      <c r="AD1234" s="56" t="s">
        <v>25</v>
      </c>
      <c r="AE1234" s="56"/>
    </row>
    <row r="1235" spans="1:31" x14ac:dyDescent="0.3">
      <c r="A1235" s="47">
        <f t="shared" si="275"/>
        <v>1123</v>
      </c>
      <c r="B1235" s="414" t="s">
        <v>1506</v>
      </c>
      <c r="C1235" s="51">
        <f t="shared" si="271"/>
        <v>535290.04</v>
      </c>
      <c r="D1235" s="51">
        <f t="shared" si="272"/>
        <v>0</v>
      </c>
      <c r="E1235" s="51"/>
      <c r="F1235" s="51"/>
      <c r="G1235" s="51"/>
      <c r="H1235" s="51"/>
      <c r="I1235" s="51"/>
      <c r="J1235" s="51"/>
      <c r="K1235" s="51"/>
      <c r="L1235" s="51"/>
      <c r="M1235" s="35"/>
      <c r="N1235" s="51"/>
      <c r="O1235" s="82"/>
      <c r="P1235" s="51"/>
      <c r="Q1235" s="338"/>
      <c r="R1235" s="51"/>
      <c r="S1235" s="51"/>
      <c r="T1235" s="338"/>
      <c r="U1235" s="51"/>
      <c r="V1235" s="35"/>
      <c r="W1235" s="364">
        <f t="shared" si="273"/>
        <v>535290.04</v>
      </c>
      <c r="X1235" s="285">
        <v>192090.11</v>
      </c>
      <c r="Y1235" s="285"/>
      <c r="Z1235" s="285">
        <v>343199.93</v>
      </c>
      <c r="AA1235" s="285"/>
      <c r="AB1235" s="285"/>
      <c r="AC1235" s="56"/>
      <c r="AD1235" s="56" t="s">
        <v>1507</v>
      </c>
      <c r="AE1235" s="56"/>
    </row>
    <row r="1236" spans="1:31" x14ac:dyDescent="0.3">
      <c r="A1236" s="47">
        <f t="shared" si="275"/>
        <v>1124</v>
      </c>
      <c r="B1236" s="414" t="s">
        <v>1508</v>
      </c>
      <c r="C1236" s="51">
        <f t="shared" si="271"/>
        <v>81747.740000000005</v>
      </c>
      <c r="D1236" s="51">
        <f t="shared" si="272"/>
        <v>0</v>
      </c>
      <c r="E1236" s="51"/>
      <c r="F1236" s="51"/>
      <c r="G1236" s="51"/>
      <c r="H1236" s="51"/>
      <c r="I1236" s="51"/>
      <c r="J1236" s="51"/>
      <c r="K1236" s="51"/>
      <c r="L1236" s="51"/>
      <c r="M1236" s="35"/>
      <c r="N1236" s="51"/>
      <c r="O1236" s="82"/>
      <c r="P1236" s="51"/>
      <c r="Q1236" s="338"/>
      <c r="R1236" s="51"/>
      <c r="S1236" s="51"/>
      <c r="T1236" s="338"/>
      <c r="U1236" s="51"/>
      <c r="V1236" s="35"/>
      <c r="W1236" s="364">
        <f t="shared" si="273"/>
        <v>81747.740000000005</v>
      </c>
      <c r="X1236" s="285">
        <v>81747.740000000005</v>
      </c>
      <c r="Y1236" s="285"/>
      <c r="Z1236" s="285"/>
      <c r="AA1236" s="285"/>
      <c r="AB1236" s="285"/>
      <c r="AC1236" s="56"/>
      <c r="AD1236" s="56" t="s">
        <v>1395</v>
      </c>
      <c r="AE1236" s="56"/>
    </row>
    <row r="1237" spans="1:31" x14ac:dyDescent="0.3">
      <c r="A1237" s="47">
        <f t="shared" si="275"/>
        <v>1125</v>
      </c>
      <c r="B1237" s="414" t="s">
        <v>1509</v>
      </c>
      <c r="C1237" s="51">
        <f t="shared" si="271"/>
        <v>179062.40000000002</v>
      </c>
      <c r="D1237" s="51">
        <f t="shared" si="272"/>
        <v>0</v>
      </c>
      <c r="E1237" s="51"/>
      <c r="F1237" s="51"/>
      <c r="G1237" s="51"/>
      <c r="H1237" s="51"/>
      <c r="I1237" s="51"/>
      <c r="J1237" s="51"/>
      <c r="K1237" s="51"/>
      <c r="L1237" s="51"/>
      <c r="M1237" s="35"/>
      <c r="N1237" s="51"/>
      <c r="O1237" s="82"/>
      <c r="P1237" s="51"/>
      <c r="Q1237" s="338"/>
      <c r="R1237" s="51"/>
      <c r="S1237" s="51"/>
      <c r="T1237" s="338"/>
      <c r="U1237" s="51"/>
      <c r="V1237" s="35"/>
      <c r="W1237" s="364">
        <f t="shared" si="273"/>
        <v>179062.40000000002</v>
      </c>
      <c r="X1237" s="285">
        <v>58850.080000000002</v>
      </c>
      <c r="Y1237" s="285">
        <v>120212.32</v>
      </c>
      <c r="Z1237" s="285"/>
      <c r="AA1237" s="285"/>
      <c r="AB1237" s="285"/>
      <c r="AC1237" s="56"/>
      <c r="AD1237" s="56" t="s">
        <v>1507</v>
      </c>
      <c r="AE1237" s="56"/>
    </row>
    <row r="1238" spans="1:31" x14ac:dyDescent="0.3">
      <c r="A1238" s="47">
        <f t="shared" si="275"/>
        <v>1126</v>
      </c>
      <c r="B1238" s="414" t="s">
        <v>1510</v>
      </c>
      <c r="C1238" s="51">
        <f t="shared" si="271"/>
        <v>257779.55</v>
      </c>
      <c r="D1238" s="51">
        <f t="shared" si="272"/>
        <v>0</v>
      </c>
      <c r="E1238" s="51"/>
      <c r="F1238" s="51"/>
      <c r="G1238" s="51"/>
      <c r="H1238" s="51"/>
      <c r="I1238" s="51"/>
      <c r="J1238" s="51"/>
      <c r="K1238" s="51"/>
      <c r="L1238" s="51"/>
      <c r="M1238" s="35"/>
      <c r="N1238" s="51"/>
      <c r="O1238" s="82"/>
      <c r="P1238" s="51"/>
      <c r="Q1238" s="338"/>
      <c r="R1238" s="51"/>
      <c r="S1238" s="51"/>
      <c r="T1238" s="338"/>
      <c r="U1238" s="51"/>
      <c r="V1238" s="35"/>
      <c r="W1238" s="364">
        <f t="shared" si="273"/>
        <v>257779.55</v>
      </c>
      <c r="X1238" s="285">
        <v>90079.43</v>
      </c>
      <c r="Y1238" s="285">
        <v>167700.12</v>
      </c>
      <c r="Z1238" s="285"/>
      <c r="AA1238" s="285"/>
      <c r="AB1238" s="285"/>
      <c r="AC1238" s="56"/>
      <c r="AD1238" s="56" t="s">
        <v>1507</v>
      </c>
      <c r="AE1238" s="56"/>
    </row>
    <row r="1239" spans="1:31" x14ac:dyDescent="0.3">
      <c r="A1239" s="47">
        <f t="shared" si="275"/>
        <v>1127</v>
      </c>
      <c r="B1239" s="414" t="s">
        <v>1511</v>
      </c>
      <c r="C1239" s="51">
        <f t="shared" si="271"/>
        <v>169549.96000000002</v>
      </c>
      <c r="D1239" s="51">
        <f t="shared" si="272"/>
        <v>0</v>
      </c>
      <c r="E1239" s="51"/>
      <c r="F1239" s="51"/>
      <c r="G1239" s="51"/>
      <c r="H1239" s="51"/>
      <c r="I1239" s="51"/>
      <c r="J1239" s="51"/>
      <c r="K1239" s="51"/>
      <c r="L1239" s="51"/>
      <c r="M1239" s="35"/>
      <c r="N1239" s="51"/>
      <c r="O1239" s="82"/>
      <c r="P1239" s="51"/>
      <c r="Q1239" s="338"/>
      <c r="R1239" s="51"/>
      <c r="S1239" s="51"/>
      <c r="T1239" s="338"/>
      <c r="U1239" s="51"/>
      <c r="V1239" s="35"/>
      <c r="W1239" s="364">
        <f t="shared" si="273"/>
        <v>169549.96000000002</v>
      </c>
      <c r="X1239" s="285">
        <v>54898.61</v>
      </c>
      <c r="Y1239" s="285">
        <v>114651.35</v>
      </c>
      <c r="Z1239" s="285"/>
      <c r="AA1239" s="285"/>
      <c r="AB1239" s="285"/>
      <c r="AC1239" s="56"/>
      <c r="AD1239" s="56" t="s">
        <v>1507</v>
      </c>
      <c r="AE1239" s="56"/>
    </row>
    <row r="1240" spans="1:31" x14ac:dyDescent="0.3">
      <c r="A1240" s="47">
        <f t="shared" si="275"/>
        <v>1128</v>
      </c>
      <c r="B1240" s="414" t="s">
        <v>1512</v>
      </c>
      <c r="C1240" s="51">
        <f t="shared" si="271"/>
        <v>497002.51999999996</v>
      </c>
      <c r="D1240" s="51">
        <f t="shared" si="272"/>
        <v>0</v>
      </c>
      <c r="E1240" s="51"/>
      <c r="F1240" s="51"/>
      <c r="G1240" s="51"/>
      <c r="H1240" s="51"/>
      <c r="I1240" s="51"/>
      <c r="J1240" s="51"/>
      <c r="K1240" s="51"/>
      <c r="L1240" s="51"/>
      <c r="M1240" s="35"/>
      <c r="N1240" s="51"/>
      <c r="O1240" s="82"/>
      <c r="P1240" s="51"/>
      <c r="Q1240" s="338"/>
      <c r="R1240" s="51"/>
      <c r="S1240" s="51"/>
      <c r="T1240" s="338"/>
      <c r="U1240" s="51"/>
      <c r="V1240" s="35"/>
      <c r="W1240" s="364">
        <f t="shared" si="273"/>
        <v>497002.51999999996</v>
      </c>
      <c r="X1240" s="285">
        <f>122294.7+162634.28+118176.86</f>
        <v>403105.83999999997</v>
      </c>
      <c r="Y1240" s="285"/>
      <c r="Z1240" s="285">
        <v>93896.68</v>
      </c>
      <c r="AA1240" s="285"/>
      <c r="AB1240" s="285"/>
      <c r="AC1240" s="56"/>
      <c r="AD1240" s="56" t="s">
        <v>1513</v>
      </c>
      <c r="AE1240" s="56"/>
    </row>
    <row r="1241" spans="1:31" x14ac:dyDescent="0.3">
      <c r="A1241" s="47">
        <f t="shared" si="275"/>
        <v>1129</v>
      </c>
      <c r="B1241" s="414" t="s">
        <v>1514</v>
      </c>
      <c r="C1241" s="51">
        <f t="shared" si="271"/>
        <v>946391.15</v>
      </c>
      <c r="D1241" s="51">
        <f t="shared" si="272"/>
        <v>0</v>
      </c>
      <c r="E1241" s="51"/>
      <c r="F1241" s="51"/>
      <c r="G1241" s="51"/>
      <c r="H1241" s="51"/>
      <c r="I1241" s="51"/>
      <c r="J1241" s="51"/>
      <c r="K1241" s="51"/>
      <c r="L1241" s="51"/>
      <c r="M1241" s="35">
        <v>13</v>
      </c>
      <c r="N1241" s="51">
        <f>8094*M1241</f>
        <v>105222</v>
      </c>
      <c r="O1241" s="82"/>
      <c r="P1241" s="51"/>
      <c r="Q1241" s="338"/>
      <c r="R1241" s="51"/>
      <c r="S1241" s="51"/>
      <c r="T1241" s="338"/>
      <c r="U1241" s="51"/>
      <c r="V1241" s="35"/>
      <c r="W1241" s="364">
        <f t="shared" si="273"/>
        <v>841169.15</v>
      </c>
      <c r="X1241" s="285">
        <f>125366.22+133897.85
+160787.54</f>
        <v>420051.61</v>
      </c>
      <c r="Y1241" s="285">
        <v>252998.7</v>
      </c>
      <c r="Z1241" s="285">
        <v>168118.84</v>
      </c>
      <c r="AA1241" s="285"/>
      <c r="AB1241" s="285"/>
      <c r="AC1241" s="56"/>
      <c r="AD1241" s="56" t="s">
        <v>1515</v>
      </c>
      <c r="AE1241" s="56"/>
    </row>
    <row r="1242" spans="1:31" x14ac:dyDescent="0.3">
      <c r="A1242" s="47">
        <f t="shared" si="275"/>
        <v>1130</v>
      </c>
      <c r="B1242" s="414" t="s">
        <v>1516</v>
      </c>
      <c r="C1242" s="51">
        <f t="shared" si="271"/>
        <v>845867</v>
      </c>
      <c r="D1242" s="51">
        <f t="shared" si="272"/>
        <v>0</v>
      </c>
      <c r="E1242" s="51"/>
      <c r="F1242" s="51"/>
      <c r="G1242" s="51"/>
      <c r="H1242" s="51"/>
      <c r="I1242" s="51"/>
      <c r="J1242" s="51"/>
      <c r="K1242" s="51"/>
      <c r="L1242" s="51"/>
      <c r="M1242" s="35"/>
      <c r="N1242" s="51"/>
      <c r="O1242" s="82"/>
      <c r="P1242" s="51"/>
      <c r="Q1242" s="338"/>
      <c r="R1242" s="51"/>
      <c r="S1242" s="51"/>
      <c r="T1242" s="338"/>
      <c r="U1242" s="51"/>
      <c r="V1242" s="35"/>
      <c r="W1242" s="364">
        <f t="shared" si="273"/>
        <v>845867</v>
      </c>
      <c r="X1242" s="285">
        <f>125778.56+137885.92+165271.32</f>
        <v>428935.8</v>
      </c>
      <c r="Y1242" s="285">
        <v>255307.74</v>
      </c>
      <c r="Z1242" s="285">
        <v>161623.46</v>
      </c>
      <c r="AA1242" s="285"/>
      <c r="AB1242" s="285"/>
      <c r="AC1242" s="56"/>
      <c r="AD1242" s="56" t="s">
        <v>1515</v>
      </c>
      <c r="AE1242" s="56"/>
    </row>
    <row r="1243" spans="1:31" x14ac:dyDescent="0.3">
      <c r="A1243" s="47">
        <f t="shared" si="275"/>
        <v>1131</v>
      </c>
      <c r="B1243" s="414" t="s">
        <v>1517</v>
      </c>
      <c r="C1243" s="51">
        <f t="shared" si="271"/>
        <v>542850.34</v>
      </c>
      <c r="D1243" s="51">
        <f t="shared" si="272"/>
        <v>0</v>
      </c>
      <c r="E1243" s="51"/>
      <c r="F1243" s="51"/>
      <c r="G1243" s="51"/>
      <c r="H1243" s="51"/>
      <c r="I1243" s="51"/>
      <c r="J1243" s="51"/>
      <c r="K1243" s="51"/>
      <c r="L1243" s="51"/>
      <c r="M1243" s="35"/>
      <c r="N1243" s="51"/>
      <c r="O1243" s="82"/>
      <c r="P1243" s="51"/>
      <c r="Q1243" s="338"/>
      <c r="R1243" s="51"/>
      <c r="S1243" s="51"/>
      <c r="T1243" s="338"/>
      <c r="U1243" s="51"/>
      <c r="V1243" s="35"/>
      <c r="W1243" s="364">
        <f t="shared" si="273"/>
        <v>542850.34</v>
      </c>
      <c r="X1243" s="285">
        <v>124426.43</v>
      </c>
      <c r="Y1243" s="285">
        <v>251418.06</v>
      </c>
      <c r="Z1243" s="285">
        <v>167005.85</v>
      </c>
      <c r="AA1243" s="285"/>
      <c r="AB1243" s="285"/>
      <c r="AC1243" s="56"/>
      <c r="AD1243" s="56" t="s">
        <v>1395</v>
      </c>
      <c r="AE1243" s="56"/>
    </row>
    <row r="1244" spans="1:31" x14ac:dyDescent="0.3">
      <c r="A1244" s="47">
        <f t="shared" si="275"/>
        <v>1132</v>
      </c>
      <c r="B1244" s="414" t="s">
        <v>1518</v>
      </c>
      <c r="C1244" s="51">
        <f t="shared" si="271"/>
        <v>105222</v>
      </c>
      <c r="D1244" s="51">
        <f t="shared" si="272"/>
        <v>0</v>
      </c>
      <c r="E1244" s="51"/>
      <c r="F1244" s="51"/>
      <c r="G1244" s="51"/>
      <c r="H1244" s="51"/>
      <c r="I1244" s="51"/>
      <c r="J1244" s="51"/>
      <c r="K1244" s="51"/>
      <c r="L1244" s="51"/>
      <c r="M1244" s="35">
        <v>13</v>
      </c>
      <c r="N1244" s="51">
        <f>8094*M1244</f>
        <v>105222</v>
      </c>
      <c r="O1244" s="382"/>
      <c r="P1244" s="51"/>
      <c r="Q1244" s="338"/>
      <c r="R1244" s="51"/>
      <c r="S1244" s="51"/>
      <c r="T1244" s="338"/>
      <c r="U1244" s="51"/>
      <c r="V1244" s="35"/>
      <c r="W1244" s="364"/>
      <c r="X1244" s="285"/>
      <c r="Y1244" s="285"/>
      <c r="Z1244" s="285"/>
      <c r="AA1244" s="285"/>
      <c r="AB1244" s="285"/>
      <c r="AC1244" s="56"/>
      <c r="AD1244" s="56"/>
      <c r="AE1244" s="56"/>
    </row>
    <row r="1245" spans="1:31" x14ac:dyDescent="0.3">
      <c r="A1245" s="47">
        <f t="shared" si="275"/>
        <v>1133</v>
      </c>
      <c r="B1245" s="414" t="s">
        <v>1519</v>
      </c>
      <c r="C1245" s="51">
        <f t="shared" si="271"/>
        <v>645578.07000000007</v>
      </c>
      <c r="D1245" s="51">
        <f t="shared" si="272"/>
        <v>0</v>
      </c>
      <c r="E1245" s="51"/>
      <c r="F1245" s="51"/>
      <c r="G1245" s="51"/>
      <c r="H1245" s="51"/>
      <c r="I1245" s="51"/>
      <c r="J1245" s="51"/>
      <c r="K1245" s="51"/>
      <c r="L1245" s="51"/>
      <c r="M1245" s="35"/>
      <c r="N1245" s="51"/>
      <c r="O1245" s="82"/>
      <c r="P1245" s="51"/>
      <c r="Q1245" s="338"/>
      <c r="R1245" s="51"/>
      <c r="S1245" s="51"/>
      <c r="T1245" s="338"/>
      <c r="U1245" s="51"/>
      <c r="V1245" s="35"/>
      <c r="W1245" s="364">
        <f t="shared" ref="W1245:W1259" si="276">SUM(X1245:AB1245)</f>
        <v>645578.07000000007</v>
      </c>
      <c r="X1245" s="285">
        <v>166505.32</v>
      </c>
      <c r="Y1245" s="285">
        <v>311320.37</v>
      </c>
      <c r="Z1245" s="285">
        <v>167752.38</v>
      </c>
      <c r="AA1245" s="285"/>
      <c r="AB1245" s="285"/>
      <c r="AC1245" s="56"/>
      <c r="AD1245" s="56" t="s">
        <v>1395</v>
      </c>
      <c r="AE1245" s="56"/>
    </row>
    <row r="1246" spans="1:31" x14ac:dyDescent="0.3">
      <c r="A1246" s="47">
        <f t="shared" si="275"/>
        <v>1134</v>
      </c>
      <c r="B1246" s="414" t="s">
        <v>1520</v>
      </c>
      <c r="C1246" s="51">
        <f t="shared" si="271"/>
        <v>549161.15999999992</v>
      </c>
      <c r="D1246" s="51">
        <f t="shared" si="272"/>
        <v>0</v>
      </c>
      <c r="E1246" s="51"/>
      <c r="F1246" s="51"/>
      <c r="G1246" s="51"/>
      <c r="H1246" s="51"/>
      <c r="I1246" s="51"/>
      <c r="J1246" s="51"/>
      <c r="K1246" s="51"/>
      <c r="L1246" s="51"/>
      <c r="M1246" s="35"/>
      <c r="N1246" s="51"/>
      <c r="O1246" s="82"/>
      <c r="P1246" s="51"/>
      <c r="Q1246" s="338"/>
      <c r="R1246" s="51"/>
      <c r="S1246" s="51"/>
      <c r="T1246" s="338"/>
      <c r="U1246" s="51"/>
      <c r="V1246" s="35"/>
      <c r="W1246" s="364">
        <f t="shared" si="276"/>
        <v>549161.15999999992</v>
      </c>
      <c r="X1246" s="285">
        <v>126643.69</v>
      </c>
      <c r="Y1246" s="285">
        <v>255147.42</v>
      </c>
      <c r="Z1246" s="285">
        <v>167370.04999999999</v>
      </c>
      <c r="AA1246" s="285"/>
      <c r="AB1246" s="285"/>
      <c r="AC1246" s="56"/>
      <c r="AD1246" s="56" t="s">
        <v>1395</v>
      </c>
      <c r="AE1246" s="56"/>
    </row>
    <row r="1247" spans="1:31" x14ac:dyDescent="0.3">
      <c r="A1247" s="47">
        <f t="shared" si="275"/>
        <v>1135</v>
      </c>
      <c r="B1247" s="414" t="s">
        <v>1521</v>
      </c>
      <c r="C1247" s="51">
        <f t="shared" si="271"/>
        <v>842780.34</v>
      </c>
      <c r="D1247" s="51">
        <f t="shared" si="272"/>
        <v>0</v>
      </c>
      <c r="E1247" s="51"/>
      <c r="F1247" s="51"/>
      <c r="G1247" s="51"/>
      <c r="H1247" s="51"/>
      <c r="I1247" s="51"/>
      <c r="J1247" s="51"/>
      <c r="K1247" s="51"/>
      <c r="L1247" s="51"/>
      <c r="M1247" s="35"/>
      <c r="N1247" s="51"/>
      <c r="O1247" s="82"/>
      <c r="P1247" s="51"/>
      <c r="Q1247" s="338"/>
      <c r="R1247" s="51"/>
      <c r="S1247" s="51"/>
      <c r="T1247" s="338"/>
      <c r="U1247" s="51"/>
      <c r="V1247" s="35"/>
      <c r="W1247" s="364">
        <f t="shared" si="276"/>
        <v>842780.34</v>
      </c>
      <c r="X1247" s="285">
        <f>125836.1+134330.45+161273.92</f>
        <v>421440.47000000003</v>
      </c>
      <c r="Y1247" s="285">
        <v>253789.04</v>
      </c>
      <c r="Z1247" s="285">
        <v>167550.82999999999</v>
      </c>
      <c r="AA1247" s="285"/>
      <c r="AB1247" s="285"/>
      <c r="AC1247" s="56"/>
      <c r="AD1247" s="56" t="s">
        <v>1515</v>
      </c>
      <c r="AE1247" s="56"/>
    </row>
    <row r="1248" spans="1:31" x14ac:dyDescent="0.3">
      <c r="A1248" s="47">
        <f t="shared" si="275"/>
        <v>1136</v>
      </c>
      <c r="B1248" s="414" t="s">
        <v>1522</v>
      </c>
      <c r="C1248" s="51">
        <f t="shared" si="271"/>
        <v>843681.56</v>
      </c>
      <c r="D1248" s="51">
        <f t="shared" si="272"/>
        <v>0</v>
      </c>
      <c r="E1248" s="51"/>
      <c r="F1248" s="51"/>
      <c r="G1248" s="51"/>
      <c r="H1248" s="51"/>
      <c r="I1248" s="51"/>
      <c r="J1248" s="51"/>
      <c r="K1248" s="51"/>
      <c r="L1248" s="51"/>
      <c r="M1248" s="35"/>
      <c r="N1248" s="51"/>
      <c r="O1248" s="82"/>
      <c r="P1248" s="51"/>
      <c r="Q1248" s="338"/>
      <c r="R1248" s="51"/>
      <c r="S1248" s="51"/>
      <c r="T1248" s="338"/>
      <c r="U1248" s="51"/>
      <c r="V1248" s="35"/>
      <c r="W1248" s="364">
        <f t="shared" si="276"/>
        <v>843681.56</v>
      </c>
      <c r="X1248" s="285">
        <f>126379.36+134830.66+161836.3</f>
        <v>423046.32</v>
      </c>
      <c r="Y1248" s="285">
        <v>254702.84</v>
      </c>
      <c r="Z1248" s="285">
        <v>165932.4</v>
      </c>
      <c r="AA1248" s="285"/>
      <c r="AB1248" s="285"/>
      <c r="AC1248" s="56"/>
      <c r="AD1248" s="56" t="s">
        <v>1515</v>
      </c>
      <c r="AE1248" s="56"/>
    </row>
    <row r="1249" spans="1:31" x14ac:dyDescent="0.3">
      <c r="A1249" s="47">
        <f t="shared" si="275"/>
        <v>1137</v>
      </c>
      <c r="B1249" s="414" t="s">
        <v>1523</v>
      </c>
      <c r="C1249" s="51">
        <f t="shared" si="271"/>
        <v>18388559.27</v>
      </c>
      <c r="D1249" s="51">
        <f t="shared" si="272"/>
        <v>0</v>
      </c>
      <c r="E1249" s="51"/>
      <c r="F1249" s="51"/>
      <c r="G1249" s="51"/>
      <c r="H1249" s="51"/>
      <c r="I1249" s="51"/>
      <c r="J1249" s="51"/>
      <c r="K1249" s="51"/>
      <c r="L1249" s="51"/>
      <c r="M1249" s="35"/>
      <c r="N1249" s="51"/>
      <c r="O1249" s="82">
        <v>685.8</v>
      </c>
      <c r="P1249" s="51">
        <f>26433*O1249</f>
        <v>18127751.399999999</v>
      </c>
      <c r="Q1249" s="338"/>
      <c r="R1249" s="51"/>
      <c r="S1249" s="51"/>
      <c r="T1249" s="338"/>
      <c r="U1249" s="51"/>
      <c r="V1249" s="35"/>
      <c r="W1249" s="364">
        <f t="shared" si="276"/>
        <v>260807.87</v>
      </c>
      <c r="X1249" s="285">
        <f>111966.91+148840.96</f>
        <v>260807.87</v>
      </c>
      <c r="Y1249" s="285"/>
      <c r="Z1249" s="285"/>
      <c r="AA1249" s="285"/>
      <c r="AB1249" s="285"/>
      <c r="AC1249" s="56"/>
      <c r="AD1249" s="56" t="s">
        <v>1524</v>
      </c>
      <c r="AE1249" s="56"/>
    </row>
    <row r="1250" spans="1:31" x14ac:dyDescent="0.3">
      <c r="A1250" s="47">
        <f t="shared" si="275"/>
        <v>1138</v>
      </c>
      <c r="B1250" s="414" t="s">
        <v>1525</v>
      </c>
      <c r="C1250" s="51">
        <f t="shared" si="271"/>
        <v>238879.61</v>
      </c>
      <c r="D1250" s="51">
        <f t="shared" si="272"/>
        <v>0</v>
      </c>
      <c r="E1250" s="51"/>
      <c r="F1250" s="51"/>
      <c r="G1250" s="51"/>
      <c r="H1250" s="51"/>
      <c r="I1250" s="51"/>
      <c r="J1250" s="51"/>
      <c r="K1250" s="51"/>
      <c r="L1250" s="51"/>
      <c r="M1250" s="35"/>
      <c r="N1250" s="51"/>
      <c r="O1250" s="82"/>
      <c r="P1250" s="51"/>
      <c r="Q1250" s="338"/>
      <c r="R1250" s="51"/>
      <c r="S1250" s="51"/>
      <c r="T1250" s="338"/>
      <c r="U1250" s="51"/>
      <c r="V1250" s="35"/>
      <c r="W1250" s="364">
        <f t="shared" si="276"/>
        <v>238879.61</v>
      </c>
      <c r="X1250" s="285"/>
      <c r="Y1250" s="285">
        <v>238879.61</v>
      </c>
      <c r="Z1250" s="285"/>
      <c r="AA1250" s="285"/>
      <c r="AB1250" s="285"/>
      <c r="AC1250" s="56"/>
      <c r="AD1250" s="56"/>
      <c r="AE1250" s="56"/>
    </row>
    <row r="1251" spans="1:31" x14ac:dyDescent="0.3">
      <c r="A1251" s="47">
        <f t="shared" si="275"/>
        <v>1139</v>
      </c>
      <c r="B1251" s="414" t="s">
        <v>1526</v>
      </c>
      <c r="C1251" s="51">
        <f t="shared" ref="C1251:C1259" si="277">D1251+K1251+L1251+N1251+P1251+R1251+U1251+S1251+V1251+W1251</f>
        <v>322569.34999999998</v>
      </c>
      <c r="D1251" s="51">
        <f t="shared" si="272"/>
        <v>0</v>
      </c>
      <c r="E1251" s="51"/>
      <c r="F1251" s="51"/>
      <c r="G1251" s="51"/>
      <c r="H1251" s="51"/>
      <c r="I1251" s="51"/>
      <c r="J1251" s="51"/>
      <c r="K1251" s="51"/>
      <c r="L1251" s="51"/>
      <c r="M1251" s="35"/>
      <c r="N1251" s="51"/>
      <c r="O1251" s="82"/>
      <c r="P1251" s="51"/>
      <c r="Q1251" s="338"/>
      <c r="R1251" s="51"/>
      <c r="S1251" s="51"/>
      <c r="T1251" s="338"/>
      <c r="U1251" s="51"/>
      <c r="V1251" s="35"/>
      <c r="W1251" s="364">
        <f t="shared" si="276"/>
        <v>322569.34999999998</v>
      </c>
      <c r="X1251" s="285">
        <v>236215.81</v>
      </c>
      <c r="Y1251" s="285"/>
      <c r="Z1251" s="285">
        <v>86353.54</v>
      </c>
      <c r="AA1251" s="285"/>
      <c r="AB1251" s="285"/>
      <c r="AC1251" s="56"/>
      <c r="AD1251" s="56" t="s">
        <v>1393</v>
      </c>
      <c r="AE1251" s="56"/>
    </row>
    <row r="1252" spans="1:31" x14ac:dyDescent="0.3">
      <c r="A1252" s="47">
        <f t="shared" si="275"/>
        <v>1140</v>
      </c>
      <c r="B1252" s="414" t="s">
        <v>1527</v>
      </c>
      <c r="C1252" s="51">
        <f t="shared" si="277"/>
        <v>625139.83000000007</v>
      </c>
      <c r="D1252" s="51">
        <f t="shared" si="272"/>
        <v>0</v>
      </c>
      <c r="E1252" s="51"/>
      <c r="F1252" s="51"/>
      <c r="G1252" s="51"/>
      <c r="H1252" s="51"/>
      <c r="I1252" s="51"/>
      <c r="J1252" s="51"/>
      <c r="K1252" s="51"/>
      <c r="L1252" s="51"/>
      <c r="M1252" s="35"/>
      <c r="N1252" s="51"/>
      <c r="O1252" s="82"/>
      <c r="P1252" s="51"/>
      <c r="Q1252" s="338"/>
      <c r="R1252" s="51"/>
      <c r="S1252" s="51"/>
      <c r="T1252" s="338"/>
      <c r="U1252" s="51"/>
      <c r="V1252" s="35"/>
      <c r="W1252" s="364">
        <f t="shared" si="276"/>
        <v>625139.83000000007</v>
      </c>
      <c r="X1252" s="285">
        <f>152175.23+149744.6+193015.6</f>
        <v>494935.43000000005</v>
      </c>
      <c r="Y1252" s="285"/>
      <c r="Z1252" s="285">
        <v>130204.4</v>
      </c>
      <c r="AA1252" s="285"/>
      <c r="AB1252" s="285"/>
      <c r="AC1252" s="56"/>
      <c r="AD1252" s="56" t="s">
        <v>1528</v>
      </c>
      <c r="AE1252" s="56"/>
    </row>
    <row r="1253" spans="1:31" x14ac:dyDescent="0.3">
      <c r="A1253" s="47">
        <f t="shared" si="275"/>
        <v>1141</v>
      </c>
      <c r="B1253" s="414" t="s">
        <v>1529</v>
      </c>
      <c r="C1253" s="51">
        <f t="shared" si="277"/>
        <v>545859.9</v>
      </c>
      <c r="D1253" s="51">
        <f t="shared" si="272"/>
        <v>0</v>
      </c>
      <c r="E1253" s="51"/>
      <c r="F1253" s="51"/>
      <c r="G1253" s="51"/>
      <c r="H1253" s="51"/>
      <c r="I1253" s="51"/>
      <c r="J1253" s="51"/>
      <c r="K1253" s="51"/>
      <c r="L1253" s="51"/>
      <c r="M1253" s="35"/>
      <c r="N1253" s="51"/>
      <c r="O1253" s="82"/>
      <c r="P1253" s="51"/>
      <c r="Q1253" s="338"/>
      <c r="R1253" s="51"/>
      <c r="S1253" s="51"/>
      <c r="T1253" s="338"/>
      <c r="U1253" s="51"/>
      <c r="V1253" s="35"/>
      <c r="W1253" s="364">
        <f t="shared" si="276"/>
        <v>545859.9</v>
      </c>
      <c r="X1253" s="285">
        <f>142147.58+137963.72+178069.06</f>
        <v>458180.36</v>
      </c>
      <c r="Y1253" s="285"/>
      <c r="Z1253" s="285">
        <v>87679.54</v>
      </c>
      <c r="AA1253" s="285"/>
      <c r="AB1253" s="285"/>
      <c r="AC1253" s="56"/>
      <c r="AD1253" s="56" t="s">
        <v>1530</v>
      </c>
      <c r="AE1253" s="56"/>
    </row>
    <row r="1254" spans="1:31" x14ac:dyDescent="0.3">
      <c r="A1254" s="47">
        <f t="shared" si="275"/>
        <v>1142</v>
      </c>
      <c r="B1254" s="414" t="s">
        <v>1531</v>
      </c>
      <c r="C1254" s="51">
        <f t="shared" si="277"/>
        <v>717561.16</v>
      </c>
      <c r="D1254" s="51">
        <f t="shared" si="272"/>
        <v>0</v>
      </c>
      <c r="E1254" s="51"/>
      <c r="F1254" s="51"/>
      <c r="G1254" s="51"/>
      <c r="H1254" s="51"/>
      <c r="I1254" s="51"/>
      <c r="J1254" s="51"/>
      <c r="K1254" s="51"/>
      <c r="L1254" s="51"/>
      <c r="M1254" s="35"/>
      <c r="N1254" s="51"/>
      <c r="O1254" s="82"/>
      <c r="P1254" s="51"/>
      <c r="Q1254" s="338"/>
      <c r="R1254" s="51"/>
      <c r="S1254" s="51"/>
      <c r="T1254" s="338"/>
      <c r="U1254" s="51"/>
      <c r="V1254" s="35"/>
      <c r="W1254" s="364">
        <f t="shared" si="276"/>
        <v>717561.16</v>
      </c>
      <c r="X1254" s="285">
        <f>162938.51+159664.78+203790.73</f>
        <v>526394.02</v>
      </c>
      <c r="Y1254" s="285"/>
      <c r="Z1254" s="285">
        <v>191167.14</v>
      </c>
      <c r="AA1254" s="285"/>
      <c r="AB1254" s="285"/>
      <c r="AC1254" s="56"/>
      <c r="AD1254" s="56" t="s">
        <v>1532</v>
      </c>
      <c r="AE1254" s="56"/>
    </row>
    <row r="1255" spans="1:31" x14ac:dyDescent="0.3">
      <c r="A1255" s="47">
        <f t="shared" si="275"/>
        <v>1143</v>
      </c>
      <c r="B1255" s="414" t="s">
        <v>1533</v>
      </c>
      <c r="C1255" s="51">
        <f t="shared" si="277"/>
        <v>264324.52</v>
      </c>
      <c r="D1255" s="51">
        <f t="shared" si="272"/>
        <v>0</v>
      </c>
      <c r="E1255" s="51"/>
      <c r="F1255" s="51"/>
      <c r="G1255" s="51"/>
      <c r="H1255" s="51"/>
      <c r="I1255" s="51"/>
      <c r="J1255" s="51"/>
      <c r="K1255" s="51"/>
      <c r="L1255" s="51"/>
      <c r="M1255" s="35"/>
      <c r="N1255" s="51"/>
      <c r="O1255" s="82"/>
      <c r="P1255" s="51"/>
      <c r="Q1255" s="338"/>
      <c r="R1255" s="51"/>
      <c r="S1255" s="51"/>
      <c r="T1255" s="338"/>
      <c r="U1255" s="51"/>
      <c r="V1255" s="35"/>
      <c r="W1255" s="364">
        <f t="shared" si="276"/>
        <v>264324.52</v>
      </c>
      <c r="X1255" s="285"/>
      <c r="Y1255" s="285"/>
      <c r="Z1255" s="285">
        <v>264324.52</v>
      </c>
      <c r="AA1255" s="285"/>
      <c r="AB1255" s="285"/>
      <c r="AC1255" s="56"/>
      <c r="AD1255" s="56" t="s">
        <v>1486</v>
      </c>
      <c r="AE1255" s="56"/>
    </row>
    <row r="1256" spans="1:31" x14ac:dyDescent="0.3">
      <c r="A1256" s="47">
        <f t="shared" si="275"/>
        <v>1144</v>
      </c>
      <c r="B1256" s="414" t="s">
        <v>1534</v>
      </c>
      <c r="C1256" s="51">
        <f t="shared" si="277"/>
        <v>592329.49</v>
      </c>
      <c r="D1256" s="51">
        <f t="shared" si="272"/>
        <v>0</v>
      </c>
      <c r="E1256" s="51"/>
      <c r="F1256" s="51"/>
      <c r="G1256" s="51"/>
      <c r="H1256" s="51"/>
      <c r="I1256" s="51"/>
      <c r="J1256" s="51"/>
      <c r="K1256" s="51"/>
      <c r="L1256" s="51"/>
      <c r="M1256" s="35"/>
      <c r="N1256" s="51"/>
      <c r="O1256" s="82"/>
      <c r="P1256" s="51"/>
      <c r="Q1256" s="338"/>
      <c r="R1256" s="51"/>
      <c r="S1256" s="51"/>
      <c r="T1256" s="338"/>
      <c r="U1256" s="51"/>
      <c r="V1256" s="35"/>
      <c r="W1256" s="364">
        <f t="shared" si="276"/>
        <v>592329.49</v>
      </c>
      <c r="X1256" s="285">
        <f>140874.94+136787.57+176746.72</f>
        <v>454409.23</v>
      </c>
      <c r="Y1256" s="285"/>
      <c r="Z1256" s="285">
        <v>137920.26</v>
      </c>
      <c r="AA1256" s="285"/>
      <c r="AB1256" s="285"/>
      <c r="AC1256" s="56"/>
      <c r="AD1256" s="56" t="s">
        <v>1419</v>
      </c>
      <c r="AE1256" s="56"/>
    </row>
    <row r="1257" spans="1:31" x14ac:dyDescent="0.3">
      <c r="A1257" s="47">
        <f t="shared" si="275"/>
        <v>1145</v>
      </c>
      <c r="B1257" s="414" t="s">
        <v>1535</v>
      </c>
      <c r="C1257" s="51">
        <f t="shared" si="277"/>
        <v>397179.16</v>
      </c>
      <c r="D1257" s="51">
        <f t="shared" si="272"/>
        <v>0</v>
      </c>
      <c r="E1257" s="51"/>
      <c r="F1257" s="51"/>
      <c r="G1257" s="51"/>
      <c r="H1257" s="51"/>
      <c r="I1257" s="51"/>
      <c r="J1257" s="51"/>
      <c r="K1257" s="51"/>
      <c r="L1257" s="51"/>
      <c r="M1257" s="35">
        <v>13</v>
      </c>
      <c r="N1257" s="51">
        <f>8094*M1257</f>
        <v>105222</v>
      </c>
      <c r="O1257" s="82"/>
      <c r="P1257" s="51"/>
      <c r="Q1257" s="338"/>
      <c r="R1257" s="51"/>
      <c r="S1257" s="51"/>
      <c r="T1257" s="338"/>
      <c r="U1257" s="51"/>
      <c r="V1257" s="35"/>
      <c r="W1257" s="364">
        <f t="shared" si="276"/>
        <v>291957.15999999997</v>
      </c>
      <c r="X1257" s="285">
        <f>132613.55+159343.61</f>
        <v>291957.15999999997</v>
      </c>
      <c r="Y1257" s="285"/>
      <c r="Z1257" s="285"/>
      <c r="AA1257" s="285"/>
      <c r="AB1257" s="285"/>
      <c r="AC1257" s="56"/>
      <c r="AD1257" s="56" t="s">
        <v>1536</v>
      </c>
      <c r="AE1257" s="56"/>
    </row>
    <row r="1258" spans="1:31" x14ac:dyDescent="0.3">
      <c r="A1258" s="47">
        <f t="shared" si="275"/>
        <v>1146</v>
      </c>
      <c r="B1258" s="414" t="s">
        <v>1538</v>
      </c>
      <c r="C1258" s="51">
        <f t="shared" si="277"/>
        <v>188715.93</v>
      </c>
      <c r="D1258" s="51">
        <f t="shared" si="272"/>
        <v>0</v>
      </c>
      <c r="E1258" s="51"/>
      <c r="F1258" s="51"/>
      <c r="G1258" s="51"/>
      <c r="H1258" s="51"/>
      <c r="I1258" s="51"/>
      <c r="J1258" s="51"/>
      <c r="K1258" s="51"/>
      <c r="L1258" s="51"/>
      <c r="M1258" s="35"/>
      <c r="N1258" s="51"/>
      <c r="O1258" s="82"/>
      <c r="P1258" s="51"/>
      <c r="Q1258" s="338"/>
      <c r="R1258" s="51"/>
      <c r="S1258" s="51"/>
      <c r="T1258" s="338"/>
      <c r="U1258" s="51"/>
      <c r="V1258" s="35"/>
      <c r="W1258" s="364">
        <f t="shared" si="276"/>
        <v>188715.93</v>
      </c>
      <c r="X1258" s="285">
        <f>45399.52+43342.01</f>
        <v>88741.53</v>
      </c>
      <c r="Y1258" s="368">
        <v>99974.399999999994</v>
      </c>
      <c r="Z1258" s="285"/>
      <c r="AA1258" s="285"/>
      <c r="AB1258" s="285"/>
      <c r="AC1258" s="56"/>
      <c r="AD1258" s="56" t="s">
        <v>1539</v>
      </c>
      <c r="AE1258" s="56"/>
    </row>
    <row r="1259" spans="1:31" x14ac:dyDescent="0.3">
      <c r="A1259" s="47">
        <f t="shared" si="275"/>
        <v>1147</v>
      </c>
      <c r="B1259" s="414" t="s">
        <v>1540</v>
      </c>
      <c r="C1259" s="51">
        <f t="shared" si="277"/>
        <v>201033.73</v>
      </c>
      <c r="D1259" s="51">
        <f t="shared" si="272"/>
        <v>0</v>
      </c>
      <c r="E1259" s="51"/>
      <c r="F1259" s="51"/>
      <c r="G1259" s="51"/>
      <c r="H1259" s="51"/>
      <c r="I1259" s="51"/>
      <c r="J1259" s="51"/>
      <c r="K1259" s="51"/>
      <c r="L1259" s="51"/>
      <c r="M1259" s="35"/>
      <c r="N1259" s="51"/>
      <c r="O1259" s="82"/>
      <c r="P1259" s="51"/>
      <c r="Q1259" s="338"/>
      <c r="R1259" s="51"/>
      <c r="S1259" s="51"/>
      <c r="T1259" s="338"/>
      <c r="U1259" s="51"/>
      <c r="V1259" s="35"/>
      <c r="W1259" s="364">
        <f t="shared" si="276"/>
        <v>201033.73</v>
      </c>
      <c r="X1259" s="285">
        <f>48938.82+46795.25</f>
        <v>95734.07</v>
      </c>
      <c r="Y1259" s="285">
        <v>105299.66</v>
      </c>
      <c r="Z1259" s="285"/>
      <c r="AA1259" s="285"/>
      <c r="AB1259" s="285"/>
      <c r="AC1259" s="56"/>
      <c r="AD1259" s="56" t="s">
        <v>1539</v>
      </c>
      <c r="AE1259" s="56"/>
    </row>
    <row r="1260" spans="1:31" s="371" customFormat="1" x14ac:dyDescent="0.3">
      <c r="A1260" s="47">
        <f t="shared" si="275"/>
        <v>1148</v>
      </c>
      <c r="B1260" s="414" t="s">
        <v>1537</v>
      </c>
      <c r="C1260" s="51">
        <f t="shared" ref="C1260:C1262" si="278">D1260+K1260+L1260+N1260+P1260+R1260+U1260+S1260+V1260+W1260</f>
        <v>130000</v>
      </c>
      <c r="D1260" s="421">
        <f t="shared" si="272"/>
        <v>0</v>
      </c>
      <c r="E1260" s="421"/>
      <c r="F1260" s="421"/>
      <c r="G1260" s="421"/>
      <c r="H1260" s="421"/>
      <c r="I1260" s="51"/>
      <c r="J1260" s="421"/>
      <c r="K1260" s="421"/>
      <c r="L1260" s="421"/>
      <c r="M1260" s="422"/>
      <c r="N1260" s="421"/>
      <c r="O1260" s="423"/>
      <c r="P1260" s="421"/>
      <c r="Q1260" s="444"/>
      <c r="R1260" s="421"/>
      <c r="S1260" s="421"/>
      <c r="T1260" s="444"/>
      <c r="U1260" s="421"/>
      <c r="V1260" s="35"/>
      <c r="W1260" s="421">
        <v>130000</v>
      </c>
      <c r="X1260" s="369">
        <f t="shared" ref="X1260" si="279">SUM(Y1260:AC1260)</f>
        <v>91737.2</v>
      </c>
      <c r="Y1260" s="370"/>
      <c r="Z1260" s="370"/>
      <c r="AA1260" s="370"/>
      <c r="AB1260" s="370"/>
      <c r="AC1260" s="370">
        <v>91737.2</v>
      </c>
    </row>
    <row r="1261" spans="1:31" x14ac:dyDescent="0.3">
      <c r="A1261" s="47">
        <f t="shared" si="275"/>
        <v>1149</v>
      </c>
      <c r="B1261" s="414" t="s">
        <v>1542</v>
      </c>
      <c r="C1261" s="51">
        <f t="shared" si="278"/>
        <v>105222</v>
      </c>
      <c r="D1261" s="51">
        <f t="shared" si="272"/>
        <v>0</v>
      </c>
      <c r="E1261" s="51"/>
      <c r="F1261" s="51"/>
      <c r="G1261" s="51"/>
      <c r="H1261" s="51"/>
      <c r="I1261" s="51"/>
      <c r="J1261" s="51"/>
      <c r="K1261" s="51"/>
      <c r="L1261" s="51"/>
      <c r="M1261" s="35">
        <v>13</v>
      </c>
      <c r="N1261" s="51">
        <f>8094*M1261</f>
        <v>105222</v>
      </c>
      <c r="O1261" s="82"/>
      <c r="P1261" s="51"/>
      <c r="Q1261" s="338"/>
      <c r="R1261" s="51"/>
      <c r="S1261" s="51"/>
      <c r="T1261" s="338"/>
      <c r="U1261" s="51"/>
      <c r="V1261" s="35"/>
      <c r="W1261" s="364"/>
      <c r="X1261" s="285"/>
      <c r="Y1261" s="285"/>
      <c r="Z1261" s="285"/>
      <c r="AA1261" s="285"/>
      <c r="AB1261" s="285"/>
      <c r="AC1261" s="56"/>
      <c r="AD1261" s="56"/>
      <c r="AE1261" s="56"/>
    </row>
    <row r="1262" spans="1:31" x14ac:dyDescent="0.3">
      <c r="A1262" s="47">
        <f t="shared" si="275"/>
        <v>1150</v>
      </c>
      <c r="B1262" s="414" t="s">
        <v>1543</v>
      </c>
      <c r="C1262" s="51">
        <f t="shared" si="278"/>
        <v>131179.9</v>
      </c>
      <c r="D1262" s="51">
        <f t="shared" ref="D1262" si="280">E1262+F1262+G1262+H1262+I1262</f>
        <v>0</v>
      </c>
      <c r="E1262" s="51"/>
      <c r="F1262" s="51"/>
      <c r="G1262" s="51"/>
      <c r="H1262" s="51"/>
      <c r="I1262" s="51"/>
      <c r="J1262" s="51"/>
      <c r="K1262" s="51"/>
      <c r="L1262" s="51"/>
      <c r="M1262" s="35"/>
      <c r="N1262" s="51"/>
      <c r="O1262" s="82"/>
      <c r="P1262" s="51"/>
      <c r="Q1262" s="338"/>
      <c r="R1262" s="51"/>
      <c r="S1262" s="51"/>
      <c r="T1262" s="338"/>
      <c r="U1262" s="51"/>
      <c r="V1262" s="35"/>
      <c r="W1262" s="364">
        <f t="shared" ref="W1262" si="281">SUM(X1262:AB1262)</f>
        <v>131179.9</v>
      </c>
      <c r="X1262" s="285"/>
      <c r="Y1262" s="285"/>
      <c r="Z1262" s="285"/>
      <c r="AA1262" s="285"/>
      <c r="AB1262" s="368">
        <v>131179.9</v>
      </c>
      <c r="AC1262" s="56"/>
      <c r="AD1262" s="56"/>
      <c r="AE1262" s="56"/>
    </row>
    <row r="1263" spans="1:31" x14ac:dyDescent="0.3">
      <c r="A1263" s="47">
        <f t="shared" si="275"/>
        <v>1151</v>
      </c>
      <c r="B1263" s="414" t="s">
        <v>1544</v>
      </c>
      <c r="C1263" s="51">
        <f>D1263+K1263+L1263+N1263+P1263+R1263+U1263+S1263+V1263+W1263</f>
        <v>284101.33999999997</v>
      </c>
      <c r="D1263" s="51">
        <f>E1263+F1263+G1263+H1263+I1263</f>
        <v>0</v>
      </c>
      <c r="E1263" s="51"/>
      <c r="F1263" s="51"/>
      <c r="G1263" s="51"/>
      <c r="H1263" s="51"/>
      <c r="I1263" s="51"/>
      <c r="J1263" s="51"/>
      <c r="K1263" s="51"/>
      <c r="L1263" s="51"/>
      <c r="M1263" s="35"/>
      <c r="N1263" s="51"/>
      <c r="O1263" s="82"/>
      <c r="P1263" s="51"/>
      <c r="Q1263" s="338"/>
      <c r="R1263" s="51"/>
      <c r="S1263" s="51"/>
      <c r="T1263" s="338"/>
      <c r="U1263" s="51"/>
      <c r="V1263" s="35"/>
      <c r="W1263" s="364">
        <f>SUM(X1263:AB1263)</f>
        <v>284101.33999999997</v>
      </c>
      <c r="X1263" s="285">
        <f>121183.55+159203.18</f>
        <v>280386.73</v>
      </c>
      <c r="Y1263" s="285"/>
      <c r="Z1263" s="285">
        <v>3714.61</v>
      </c>
      <c r="AA1263" s="285"/>
      <c r="AB1263" s="56"/>
      <c r="AC1263" s="56"/>
      <c r="AD1263" s="56" t="s">
        <v>1524</v>
      </c>
      <c r="AE1263" s="56"/>
    </row>
    <row r="1264" spans="1:31" x14ac:dyDescent="0.3">
      <c r="A1264" s="47">
        <f t="shared" si="275"/>
        <v>1152</v>
      </c>
      <c r="B1264" s="414" t="s">
        <v>1545</v>
      </c>
      <c r="C1264" s="51">
        <f>D1264+K1264+L1264+N1264+P1264+R1264+U1264+S1264+V1264+W1264</f>
        <v>433608.26</v>
      </c>
      <c r="D1264" s="51">
        <f t="shared" ref="D1264:D1265" si="282">E1264+F1264+G1264+H1264+I1264</f>
        <v>0</v>
      </c>
      <c r="E1264" s="51"/>
      <c r="F1264" s="51"/>
      <c r="G1264" s="51"/>
      <c r="H1264" s="51"/>
      <c r="I1264" s="51"/>
      <c r="J1264" s="51"/>
      <c r="K1264" s="51"/>
      <c r="L1264" s="51"/>
      <c r="M1264" s="35"/>
      <c r="N1264" s="51"/>
      <c r="O1264" s="82"/>
      <c r="P1264" s="51"/>
      <c r="Q1264" s="338"/>
      <c r="R1264" s="51"/>
      <c r="S1264" s="51"/>
      <c r="T1264" s="338"/>
      <c r="U1264" s="51"/>
      <c r="V1264" s="35"/>
      <c r="W1264" s="364">
        <f t="shared" ref="W1264:W1265" si="283">SUM(X1264:AB1264)</f>
        <v>433608.26</v>
      </c>
      <c r="X1264" s="285"/>
      <c r="Y1264" s="285"/>
      <c r="Z1264" s="285"/>
      <c r="AA1264" s="285">
        <v>433608.26</v>
      </c>
      <c r="AB1264" s="56"/>
      <c r="AC1264" s="56"/>
      <c r="AD1264" s="56" t="s">
        <v>1486</v>
      </c>
      <c r="AE1264" s="56"/>
    </row>
    <row r="1265" spans="1:31" x14ac:dyDescent="0.3">
      <c r="A1265" s="47">
        <f t="shared" si="275"/>
        <v>1153</v>
      </c>
      <c r="B1265" s="414" t="s">
        <v>1546</v>
      </c>
      <c r="C1265" s="51">
        <f>D1265+K1265+L1265+N1265+P1265+R1265+U1265+S1265+V1265+W1265</f>
        <v>554970.93999999994</v>
      </c>
      <c r="D1265" s="51">
        <f t="shared" si="282"/>
        <v>0</v>
      </c>
      <c r="E1265" s="51"/>
      <c r="F1265" s="51"/>
      <c r="G1265" s="51"/>
      <c r="H1265" s="51"/>
      <c r="I1265" s="51"/>
      <c r="J1265" s="51"/>
      <c r="K1265" s="51"/>
      <c r="L1265" s="51"/>
      <c r="M1265" s="35"/>
      <c r="N1265" s="51"/>
      <c r="O1265" s="82"/>
      <c r="P1265" s="51"/>
      <c r="Q1265" s="338"/>
      <c r="R1265" s="51"/>
      <c r="S1265" s="51"/>
      <c r="T1265" s="338"/>
      <c r="U1265" s="51"/>
      <c r="V1265" s="35"/>
      <c r="W1265" s="364">
        <f t="shared" si="283"/>
        <v>554970.93999999994</v>
      </c>
      <c r="X1265" s="285"/>
      <c r="Y1265" s="285"/>
      <c r="Z1265" s="285"/>
      <c r="AA1265" s="285">
        <v>554970.93999999994</v>
      </c>
      <c r="AB1265" s="56"/>
      <c r="AC1265" s="56"/>
      <c r="AD1265" s="56" t="s">
        <v>1486</v>
      </c>
      <c r="AE1265" s="56"/>
    </row>
    <row r="1266" spans="1:31" x14ac:dyDescent="0.3">
      <c r="A1266" s="47">
        <f t="shared" si="275"/>
        <v>1154</v>
      </c>
      <c r="B1266" s="414" t="s">
        <v>1547</v>
      </c>
      <c r="C1266" s="51">
        <f>D1266+K1266+L1266+N1266+P1266+R1266+U1266+S1266+V1266+W1266</f>
        <v>488433.56999999995</v>
      </c>
      <c r="D1266" s="51">
        <f t="shared" ref="D1266:D1281" si="284">E1266+F1266+G1266+H1266+I1266</f>
        <v>0</v>
      </c>
      <c r="E1266" s="51"/>
      <c r="F1266" s="51"/>
      <c r="G1266" s="51"/>
      <c r="H1266" s="51"/>
      <c r="I1266" s="51"/>
      <c r="J1266" s="51"/>
      <c r="K1266" s="51"/>
      <c r="L1266" s="51"/>
      <c r="M1266" s="35"/>
      <c r="N1266" s="51"/>
      <c r="O1266" s="82"/>
      <c r="P1266" s="51"/>
      <c r="Q1266" s="338"/>
      <c r="R1266" s="51"/>
      <c r="S1266" s="51"/>
      <c r="T1266" s="338"/>
      <c r="U1266" s="51"/>
      <c r="V1266" s="35"/>
      <c r="W1266" s="364">
        <f t="shared" ref="W1266:W1281" si="285">SUM(X1266:AB1266)</f>
        <v>488433.56999999995</v>
      </c>
      <c r="X1266" s="285">
        <v>194003.72</v>
      </c>
      <c r="Y1266" s="285"/>
      <c r="Z1266" s="285">
        <v>294429.84999999998</v>
      </c>
      <c r="AA1266" s="285"/>
      <c r="AB1266" s="56"/>
      <c r="AC1266" s="56"/>
      <c r="AD1266" s="56" t="s">
        <v>1548</v>
      </c>
      <c r="AE1266" s="56"/>
    </row>
    <row r="1267" spans="1:31" s="371" customFormat="1" x14ac:dyDescent="0.3">
      <c r="A1267" s="47">
        <f t="shared" si="275"/>
        <v>1155</v>
      </c>
      <c r="B1267" s="414" t="s">
        <v>1549</v>
      </c>
      <c r="C1267" s="51">
        <f t="shared" ref="C1267:C1269" si="286">D1267+K1267+L1267+N1267+P1267+R1267+U1267+S1267+V1267+W1267</f>
        <v>130000</v>
      </c>
      <c r="D1267" s="421">
        <f t="shared" si="284"/>
        <v>0</v>
      </c>
      <c r="E1267" s="421"/>
      <c r="F1267" s="421"/>
      <c r="G1267" s="421"/>
      <c r="H1267" s="421"/>
      <c r="I1267" s="421"/>
      <c r="J1267" s="421"/>
      <c r="K1267" s="421"/>
      <c r="L1267" s="421"/>
      <c r="M1267" s="422"/>
      <c r="N1267" s="421"/>
      <c r="O1267" s="423"/>
      <c r="P1267" s="421"/>
      <c r="Q1267" s="444"/>
      <c r="R1267" s="421"/>
      <c r="S1267" s="421"/>
      <c r="T1267" s="444"/>
      <c r="U1267" s="421"/>
      <c r="V1267" s="35"/>
      <c r="W1267" s="421">
        <v>130000</v>
      </c>
      <c r="X1267" s="369">
        <f t="shared" ref="X1267" si="287">SUM(Y1267:AC1267)</f>
        <v>180304.48</v>
      </c>
      <c r="Y1267" s="370"/>
      <c r="Z1267" s="370"/>
      <c r="AA1267" s="370"/>
      <c r="AB1267" s="370"/>
      <c r="AC1267" s="370">
        <v>180304.48</v>
      </c>
    </row>
    <row r="1268" spans="1:31" x14ac:dyDescent="0.3">
      <c r="A1268" s="47">
        <f t="shared" si="275"/>
        <v>1156</v>
      </c>
      <c r="B1268" s="414" t="s">
        <v>1551</v>
      </c>
      <c r="C1268" s="51">
        <f t="shared" si="286"/>
        <v>338504.82999999996</v>
      </c>
      <c r="D1268" s="51">
        <f t="shared" si="284"/>
        <v>0</v>
      </c>
      <c r="E1268" s="51"/>
      <c r="F1268" s="51"/>
      <c r="G1268" s="51"/>
      <c r="H1268" s="51"/>
      <c r="I1268" s="51"/>
      <c r="J1268" s="51"/>
      <c r="K1268" s="51"/>
      <c r="L1268" s="51"/>
      <c r="M1268" s="35"/>
      <c r="N1268" s="51"/>
      <c r="O1268" s="82"/>
      <c r="P1268" s="51"/>
      <c r="Q1268" s="338"/>
      <c r="R1268" s="51"/>
      <c r="S1268" s="51"/>
      <c r="T1268" s="338"/>
      <c r="U1268" s="51"/>
      <c r="V1268" s="35"/>
      <c r="W1268" s="364">
        <f t="shared" si="285"/>
        <v>338504.82999999996</v>
      </c>
      <c r="X1268" s="285">
        <v>162857.75</v>
      </c>
      <c r="Y1268" s="285"/>
      <c r="Z1268" s="285">
        <v>175647.08</v>
      </c>
      <c r="AA1268" s="285"/>
      <c r="AB1268" s="56"/>
      <c r="AC1268" s="56"/>
      <c r="AD1268" s="56" t="s">
        <v>1548</v>
      </c>
      <c r="AE1268" s="56"/>
    </row>
    <row r="1269" spans="1:31" x14ac:dyDescent="0.3">
      <c r="A1269" s="47">
        <f t="shared" si="275"/>
        <v>1157</v>
      </c>
      <c r="B1269" s="414" t="s">
        <v>1552</v>
      </c>
      <c r="C1269" s="51">
        <f t="shared" si="286"/>
        <v>284765.70999999996</v>
      </c>
      <c r="D1269" s="51">
        <f t="shared" si="284"/>
        <v>0</v>
      </c>
      <c r="E1269" s="51"/>
      <c r="F1269" s="51"/>
      <c r="G1269" s="51"/>
      <c r="H1269" s="51"/>
      <c r="I1269" s="51"/>
      <c r="J1269" s="51"/>
      <c r="K1269" s="51"/>
      <c r="L1269" s="51"/>
      <c r="M1269" s="35"/>
      <c r="N1269" s="51"/>
      <c r="O1269" s="82"/>
      <c r="P1269" s="51"/>
      <c r="Q1269" s="338"/>
      <c r="R1269" s="51"/>
      <c r="S1269" s="51"/>
      <c r="T1269" s="338"/>
      <c r="U1269" s="51"/>
      <c r="V1269" s="35"/>
      <c r="W1269" s="364">
        <f t="shared" si="285"/>
        <v>284765.70999999996</v>
      </c>
      <c r="X1269" s="285">
        <f>70269.08+72997.66</f>
        <v>143266.74</v>
      </c>
      <c r="Y1269" s="285">
        <v>141498.97</v>
      </c>
      <c r="Z1269" s="285"/>
      <c r="AA1269" s="285"/>
      <c r="AB1269" s="285"/>
      <c r="AC1269" s="56"/>
      <c r="AD1269" s="56" t="s">
        <v>1553</v>
      </c>
      <c r="AE1269" s="56"/>
    </row>
    <row r="1270" spans="1:31" x14ac:dyDescent="0.3">
      <c r="A1270" s="47">
        <f t="shared" si="275"/>
        <v>1158</v>
      </c>
      <c r="B1270" s="414" t="s">
        <v>1554</v>
      </c>
      <c r="C1270" s="51">
        <f t="shared" ref="C1270:C1333" si="288">D1270+K1270+L1270+N1270+P1270+R1270+U1270+S1270+V1270+W1270</f>
        <v>334259.55000000005</v>
      </c>
      <c r="D1270" s="51">
        <f t="shared" si="284"/>
        <v>0</v>
      </c>
      <c r="E1270" s="51"/>
      <c r="F1270" s="51"/>
      <c r="G1270" s="51"/>
      <c r="H1270" s="51"/>
      <c r="I1270" s="51"/>
      <c r="J1270" s="51"/>
      <c r="K1270" s="51"/>
      <c r="L1270" s="51"/>
      <c r="M1270" s="35"/>
      <c r="N1270" s="51"/>
      <c r="O1270" s="82"/>
      <c r="P1270" s="51"/>
      <c r="Q1270" s="338"/>
      <c r="R1270" s="51"/>
      <c r="S1270" s="51"/>
      <c r="T1270" s="338"/>
      <c r="U1270" s="51"/>
      <c r="V1270" s="35"/>
      <c r="W1270" s="364">
        <f t="shared" si="285"/>
        <v>334259.55000000005</v>
      </c>
      <c r="X1270" s="285">
        <v>164790.70000000001</v>
      </c>
      <c r="Y1270" s="285"/>
      <c r="Z1270" s="285">
        <v>169468.85</v>
      </c>
      <c r="AA1270" s="285"/>
      <c r="AB1270" s="56"/>
      <c r="AC1270" s="56"/>
      <c r="AD1270" s="56" t="s">
        <v>1548</v>
      </c>
      <c r="AE1270" s="56"/>
    </row>
    <row r="1271" spans="1:31" x14ac:dyDescent="0.3">
      <c r="A1271" s="47">
        <f t="shared" si="275"/>
        <v>1159</v>
      </c>
      <c r="B1271" s="414" t="s">
        <v>1555</v>
      </c>
      <c r="C1271" s="51">
        <f t="shared" si="288"/>
        <v>455220.80999999994</v>
      </c>
      <c r="D1271" s="51">
        <f t="shared" si="284"/>
        <v>0</v>
      </c>
      <c r="E1271" s="51"/>
      <c r="F1271" s="51"/>
      <c r="G1271" s="51"/>
      <c r="H1271" s="51"/>
      <c r="I1271" s="51"/>
      <c r="J1271" s="51"/>
      <c r="K1271" s="51"/>
      <c r="L1271" s="51"/>
      <c r="M1271" s="35"/>
      <c r="N1271" s="51"/>
      <c r="O1271" s="82"/>
      <c r="P1271" s="51"/>
      <c r="Q1271" s="338"/>
      <c r="R1271" s="51"/>
      <c r="S1271" s="51"/>
      <c r="T1271" s="338"/>
      <c r="U1271" s="51"/>
      <c r="V1271" s="35"/>
      <c r="W1271" s="364">
        <f t="shared" si="285"/>
        <v>455220.80999999994</v>
      </c>
      <c r="X1271" s="285">
        <f>114894.73+149445.86</f>
        <v>264340.58999999997</v>
      </c>
      <c r="Y1271" s="285"/>
      <c r="Z1271" s="285">
        <v>190880.22</v>
      </c>
      <c r="AA1271" s="285"/>
      <c r="AB1271" s="56"/>
      <c r="AC1271" s="56"/>
      <c r="AD1271" s="56" t="s">
        <v>1556</v>
      </c>
      <c r="AE1271" s="56"/>
    </row>
    <row r="1272" spans="1:31" x14ac:dyDescent="0.3">
      <c r="A1272" s="47">
        <f t="shared" si="275"/>
        <v>1160</v>
      </c>
      <c r="B1272" s="414" t="s">
        <v>1557</v>
      </c>
      <c r="C1272" s="51">
        <f t="shared" si="288"/>
        <v>581920.13</v>
      </c>
      <c r="D1272" s="51">
        <f t="shared" si="284"/>
        <v>0</v>
      </c>
      <c r="E1272" s="51"/>
      <c r="F1272" s="51"/>
      <c r="G1272" s="51"/>
      <c r="H1272" s="51"/>
      <c r="I1272" s="51"/>
      <c r="J1272" s="51"/>
      <c r="K1272" s="51"/>
      <c r="L1272" s="51"/>
      <c r="M1272" s="35"/>
      <c r="N1272" s="51"/>
      <c r="O1272" s="82"/>
      <c r="P1272" s="51"/>
      <c r="Q1272" s="338"/>
      <c r="R1272" s="51"/>
      <c r="S1272" s="51"/>
      <c r="T1272" s="338"/>
      <c r="U1272" s="51"/>
      <c r="V1272" s="35"/>
      <c r="W1272" s="364">
        <f t="shared" si="285"/>
        <v>581920.13</v>
      </c>
      <c r="X1272" s="285">
        <f>122727.13+152628.3+117860.39</f>
        <v>393215.82</v>
      </c>
      <c r="Y1272" s="285"/>
      <c r="Z1272" s="285">
        <v>188704.31</v>
      </c>
      <c r="AA1272" s="285"/>
      <c r="AB1272" s="56"/>
      <c r="AC1272" s="56"/>
      <c r="AD1272" s="56" t="s">
        <v>1429</v>
      </c>
      <c r="AE1272" s="56"/>
    </row>
    <row r="1273" spans="1:31" x14ac:dyDescent="0.3">
      <c r="A1273" s="47">
        <f t="shared" si="275"/>
        <v>1161</v>
      </c>
      <c r="B1273" s="414" t="s">
        <v>1558</v>
      </c>
      <c r="C1273" s="51">
        <f t="shared" si="288"/>
        <v>417737.4</v>
      </c>
      <c r="D1273" s="51">
        <f t="shared" si="284"/>
        <v>0</v>
      </c>
      <c r="E1273" s="51"/>
      <c r="F1273" s="51"/>
      <c r="G1273" s="51"/>
      <c r="H1273" s="51"/>
      <c r="I1273" s="51"/>
      <c r="J1273" s="51"/>
      <c r="K1273" s="51"/>
      <c r="L1273" s="51"/>
      <c r="M1273" s="35"/>
      <c r="N1273" s="51"/>
      <c r="O1273" s="82"/>
      <c r="P1273" s="51"/>
      <c r="Q1273" s="338"/>
      <c r="R1273" s="51"/>
      <c r="S1273" s="51"/>
      <c r="T1273" s="338"/>
      <c r="U1273" s="51"/>
      <c r="V1273" s="35"/>
      <c r="W1273" s="364">
        <f t="shared" si="285"/>
        <v>417737.4</v>
      </c>
      <c r="X1273" s="285"/>
      <c r="Y1273" s="285"/>
      <c r="Z1273" s="285">
        <v>417737.4</v>
      </c>
      <c r="AA1273" s="285"/>
      <c r="AB1273" s="56"/>
      <c r="AC1273" s="56"/>
      <c r="AD1273" s="56" t="s">
        <v>1400</v>
      </c>
      <c r="AE1273" s="56"/>
    </row>
    <row r="1274" spans="1:31" x14ac:dyDescent="0.3">
      <c r="A1274" s="47">
        <f t="shared" si="275"/>
        <v>1162</v>
      </c>
      <c r="B1274" s="414" t="s">
        <v>1559</v>
      </c>
      <c r="C1274" s="51">
        <f t="shared" si="288"/>
        <v>579251.69999999995</v>
      </c>
      <c r="D1274" s="51">
        <f t="shared" si="284"/>
        <v>0</v>
      </c>
      <c r="E1274" s="51"/>
      <c r="F1274" s="51"/>
      <c r="G1274" s="51"/>
      <c r="H1274" s="51"/>
      <c r="I1274" s="51"/>
      <c r="J1274" s="51"/>
      <c r="K1274" s="51"/>
      <c r="L1274" s="51"/>
      <c r="M1274" s="35"/>
      <c r="N1274" s="51"/>
      <c r="O1274" s="82"/>
      <c r="P1274" s="51"/>
      <c r="Q1274" s="338"/>
      <c r="R1274" s="51"/>
      <c r="S1274" s="51"/>
      <c r="T1274" s="338"/>
      <c r="U1274" s="51"/>
      <c r="V1274" s="35"/>
      <c r="W1274" s="364">
        <f t="shared" si="285"/>
        <v>579251.69999999995</v>
      </c>
      <c r="X1274" s="285">
        <f>120623.93+150482+115860.28</f>
        <v>386966.20999999996</v>
      </c>
      <c r="Y1274" s="285"/>
      <c r="Z1274" s="285">
        <v>192285.49</v>
      </c>
      <c r="AA1274" s="285"/>
      <c r="AB1274" s="56"/>
      <c r="AC1274" s="56"/>
      <c r="AD1274" s="56" t="s">
        <v>1408</v>
      </c>
      <c r="AE1274" s="56"/>
    </row>
    <row r="1275" spans="1:31" x14ac:dyDescent="0.3">
      <c r="A1275" s="47">
        <f t="shared" si="275"/>
        <v>1163</v>
      </c>
      <c r="B1275" s="414" t="s">
        <v>1560</v>
      </c>
      <c r="C1275" s="51">
        <f t="shared" si="288"/>
        <v>573396.31000000006</v>
      </c>
      <c r="D1275" s="51">
        <f t="shared" si="284"/>
        <v>0</v>
      </c>
      <c r="E1275" s="51"/>
      <c r="F1275" s="51"/>
      <c r="G1275" s="51"/>
      <c r="H1275" s="51"/>
      <c r="I1275" s="51"/>
      <c r="J1275" s="51"/>
      <c r="K1275" s="51"/>
      <c r="L1275" s="51"/>
      <c r="M1275" s="35"/>
      <c r="N1275" s="51"/>
      <c r="O1275" s="82"/>
      <c r="P1275" s="51"/>
      <c r="Q1275" s="338"/>
      <c r="R1275" s="51"/>
      <c r="S1275" s="51"/>
      <c r="T1275" s="338"/>
      <c r="U1275" s="51"/>
      <c r="V1275" s="35"/>
      <c r="W1275" s="364">
        <f t="shared" si="285"/>
        <v>573396.31000000006</v>
      </c>
      <c r="X1275" s="285">
        <v>203230.57</v>
      </c>
      <c r="Y1275" s="285">
        <v>370165.74</v>
      </c>
      <c r="Z1275" s="285"/>
      <c r="AA1275" s="285"/>
      <c r="AB1275" s="56"/>
      <c r="AC1275" s="56"/>
      <c r="AD1275" s="56" t="s">
        <v>1395</v>
      </c>
      <c r="AE1275" s="56"/>
    </row>
    <row r="1276" spans="1:31" x14ac:dyDescent="0.3">
      <c r="A1276" s="47">
        <f t="shared" si="275"/>
        <v>1164</v>
      </c>
      <c r="B1276" s="414" t="s">
        <v>1561</v>
      </c>
      <c r="C1276" s="51">
        <f t="shared" si="288"/>
        <v>646018.78</v>
      </c>
      <c r="D1276" s="51">
        <f t="shared" si="284"/>
        <v>0</v>
      </c>
      <c r="E1276" s="51"/>
      <c r="F1276" s="51"/>
      <c r="G1276" s="51"/>
      <c r="H1276" s="51"/>
      <c r="I1276" s="51"/>
      <c r="J1276" s="51"/>
      <c r="K1276" s="51"/>
      <c r="L1276" s="51"/>
      <c r="M1276" s="35"/>
      <c r="N1276" s="51"/>
      <c r="O1276" s="82"/>
      <c r="P1276" s="51"/>
      <c r="Q1276" s="338"/>
      <c r="R1276" s="51"/>
      <c r="S1276" s="51"/>
      <c r="T1276" s="338"/>
      <c r="U1276" s="51"/>
      <c r="V1276" s="35"/>
      <c r="W1276" s="364">
        <f t="shared" si="285"/>
        <v>646018.78</v>
      </c>
      <c r="X1276" s="285">
        <v>194425.94</v>
      </c>
      <c r="Y1276" s="285"/>
      <c r="Z1276" s="285">
        <v>451592.84</v>
      </c>
      <c r="AA1276" s="285"/>
      <c r="AB1276" s="56"/>
      <c r="AC1276" s="56"/>
      <c r="AD1276" s="56" t="s">
        <v>1395</v>
      </c>
      <c r="AE1276" s="56"/>
    </row>
    <row r="1277" spans="1:31" x14ac:dyDescent="0.3">
      <c r="A1277" s="47">
        <f t="shared" si="275"/>
        <v>1165</v>
      </c>
      <c r="B1277" s="414" t="s">
        <v>1562</v>
      </c>
      <c r="C1277" s="51">
        <f t="shared" si="288"/>
        <v>457825.09</v>
      </c>
      <c r="D1277" s="51">
        <f t="shared" si="284"/>
        <v>0</v>
      </c>
      <c r="E1277" s="51"/>
      <c r="F1277" s="51"/>
      <c r="G1277" s="51"/>
      <c r="H1277" s="51"/>
      <c r="I1277" s="51"/>
      <c r="J1277" s="51"/>
      <c r="K1277" s="51"/>
      <c r="L1277" s="51"/>
      <c r="M1277" s="35"/>
      <c r="N1277" s="51"/>
      <c r="O1277" s="82"/>
      <c r="P1277" s="51"/>
      <c r="Q1277" s="338"/>
      <c r="R1277" s="51"/>
      <c r="S1277" s="51"/>
      <c r="T1277" s="338"/>
      <c r="U1277" s="51"/>
      <c r="V1277" s="35"/>
      <c r="W1277" s="364">
        <f t="shared" si="285"/>
        <v>457825.09</v>
      </c>
      <c r="X1277" s="285">
        <f>252508.67+205316.42</f>
        <v>457825.09</v>
      </c>
      <c r="Y1277" s="285"/>
      <c r="Z1277" s="285"/>
      <c r="AA1277" s="285"/>
      <c r="AB1277" s="56"/>
      <c r="AC1277" s="56"/>
      <c r="AD1277" s="56" t="s">
        <v>1563</v>
      </c>
      <c r="AE1277" s="56"/>
    </row>
    <row r="1278" spans="1:31" x14ac:dyDescent="0.3">
      <c r="A1278" s="47">
        <f t="shared" si="275"/>
        <v>1166</v>
      </c>
      <c r="B1278" s="414" t="s">
        <v>1564</v>
      </c>
      <c r="C1278" s="51">
        <f t="shared" si="288"/>
        <v>499874.78</v>
      </c>
      <c r="D1278" s="51">
        <f t="shared" si="284"/>
        <v>0</v>
      </c>
      <c r="E1278" s="51"/>
      <c r="F1278" s="51"/>
      <c r="G1278" s="51"/>
      <c r="H1278" s="51"/>
      <c r="I1278" s="51"/>
      <c r="J1278" s="51"/>
      <c r="K1278" s="51"/>
      <c r="L1278" s="51"/>
      <c r="M1278" s="35"/>
      <c r="N1278" s="51"/>
      <c r="O1278" s="82"/>
      <c r="P1278" s="51"/>
      <c r="Q1278" s="338"/>
      <c r="R1278" s="51"/>
      <c r="S1278" s="51"/>
      <c r="T1278" s="338"/>
      <c r="U1278" s="51"/>
      <c r="V1278" s="35"/>
      <c r="W1278" s="364">
        <f t="shared" si="285"/>
        <v>499874.78</v>
      </c>
      <c r="X1278" s="285">
        <f>159166.12+153763.32+186945.34</f>
        <v>499874.78</v>
      </c>
      <c r="Y1278" s="9"/>
      <c r="Z1278" s="40"/>
      <c r="AA1278" s="56"/>
      <c r="AB1278" s="56"/>
      <c r="AC1278" s="56"/>
      <c r="AD1278" s="56" t="s">
        <v>1419</v>
      </c>
      <c r="AE1278" s="56"/>
    </row>
    <row r="1279" spans="1:31" x14ac:dyDescent="0.3">
      <c r="A1279" s="47">
        <f t="shared" si="275"/>
        <v>1167</v>
      </c>
      <c r="B1279" s="414" t="s">
        <v>1565</v>
      </c>
      <c r="C1279" s="51">
        <f t="shared" si="288"/>
        <v>283011.66000000003</v>
      </c>
      <c r="D1279" s="51">
        <f t="shared" si="284"/>
        <v>0</v>
      </c>
      <c r="E1279" s="51"/>
      <c r="F1279" s="51"/>
      <c r="G1279" s="51"/>
      <c r="H1279" s="51"/>
      <c r="I1279" s="51"/>
      <c r="J1279" s="51"/>
      <c r="K1279" s="51"/>
      <c r="L1279" s="51"/>
      <c r="M1279" s="35"/>
      <c r="N1279" s="51"/>
      <c r="O1279" s="82"/>
      <c r="P1279" s="51"/>
      <c r="Q1279" s="338"/>
      <c r="R1279" s="51"/>
      <c r="S1279" s="51"/>
      <c r="T1279" s="338"/>
      <c r="U1279" s="51"/>
      <c r="V1279" s="35"/>
      <c r="W1279" s="364">
        <f t="shared" si="285"/>
        <v>283011.66000000003</v>
      </c>
      <c r="X1279" s="285">
        <f>127845.53+155166.13</f>
        <v>283011.66000000003</v>
      </c>
      <c r="Y1279" s="9"/>
      <c r="Z1279" s="40"/>
      <c r="AA1279" s="56"/>
      <c r="AB1279" s="56"/>
      <c r="AC1279" s="56"/>
      <c r="AD1279" s="56" t="s">
        <v>1556</v>
      </c>
      <c r="AE1279" s="56"/>
    </row>
    <row r="1280" spans="1:31" x14ac:dyDescent="0.3">
      <c r="A1280" s="47">
        <f t="shared" si="275"/>
        <v>1168</v>
      </c>
      <c r="B1280" s="414" t="s">
        <v>1566</v>
      </c>
      <c r="C1280" s="51">
        <f t="shared" si="288"/>
        <v>441162.07</v>
      </c>
      <c r="D1280" s="51">
        <f t="shared" si="284"/>
        <v>0</v>
      </c>
      <c r="E1280" s="51"/>
      <c r="F1280" s="51"/>
      <c r="G1280" s="51"/>
      <c r="H1280" s="51"/>
      <c r="I1280" s="51"/>
      <c r="J1280" s="51"/>
      <c r="K1280" s="51"/>
      <c r="L1280" s="51"/>
      <c r="M1280" s="35"/>
      <c r="N1280" s="51"/>
      <c r="O1280" s="82"/>
      <c r="P1280" s="51"/>
      <c r="Q1280" s="338"/>
      <c r="R1280" s="51"/>
      <c r="S1280" s="51"/>
      <c r="T1280" s="338"/>
      <c r="U1280" s="51"/>
      <c r="V1280" s="35"/>
      <c r="W1280" s="364">
        <f t="shared" si="285"/>
        <v>441162.07</v>
      </c>
      <c r="X1280" s="285"/>
      <c r="Y1280" s="9"/>
      <c r="Z1280" s="285">
        <v>441162.07</v>
      </c>
      <c r="AA1280" s="285"/>
      <c r="AB1280" s="56"/>
      <c r="AC1280" s="56"/>
      <c r="AD1280" s="56" t="s">
        <v>1400</v>
      </c>
      <c r="AE1280" s="56"/>
    </row>
    <row r="1281" spans="1:31" x14ac:dyDescent="0.3">
      <c r="A1281" s="47">
        <f t="shared" si="275"/>
        <v>1169</v>
      </c>
      <c r="B1281" s="414" t="s">
        <v>1567</v>
      </c>
      <c r="C1281" s="51">
        <f t="shared" si="288"/>
        <v>171478.43</v>
      </c>
      <c r="D1281" s="51">
        <f t="shared" si="284"/>
        <v>0</v>
      </c>
      <c r="E1281" s="51"/>
      <c r="F1281" s="51"/>
      <c r="G1281" s="51"/>
      <c r="H1281" s="51"/>
      <c r="I1281" s="51"/>
      <c r="J1281" s="51"/>
      <c r="K1281" s="51"/>
      <c r="L1281" s="51"/>
      <c r="M1281" s="35">
        <v>13</v>
      </c>
      <c r="N1281" s="51">
        <f>6243*M1281</f>
        <v>81159</v>
      </c>
      <c r="O1281" s="82"/>
      <c r="P1281" s="51"/>
      <c r="Q1281" s="338"/>
      <c r="R1281" s="51"/>
      <c r="S1281" s="51"/>
      <c r="T1281" s="338"/>
      <c r="U1281" s="51"/>
      <c r="V1281" s="35"/>
      <c r="W1281" s="364">
        <f t="shared" si="285"/>
        <v>90319.43</v>
      </c>
      <c r="X1281" s="285">
        <v>90319.43</v>
      </c>
      <c r="Y1281" s="9"/>
      <c r="Z1281" s="40"/>
      <c r="AA1281" s="56"/>
      <c r="AB1281" s="56"/>
      <c r="AC1281" s="56"/>
      <c r="AD1281" s="56" t="s">
        <v>1568</v>
      </c>
      <c r="AE1281" s="56"/>
    </row>
    <row r="1282" spans="1:31" x14ac:dyDescent="0.3">
      <c r="A1282" s="47">
        <f t="shared" ref="A1282:A1345" si="289">A1281+1</f>
        <v>1170</v>
      </c>
      <c r="B1282" s="414" t="s">
        <v>1569</v>
      </c>
      <c r="C1282" s="51">
        <f t="shared" si="288"/>
        <v>175577.06</v>
      </c>
      <c r="D1282" s="51">
        <f t="shared" ref="D1282" si="290">E1282+F1282+G1282+H1282+I1282</f>
        <v>0</v>
      </c>
      <c r="E1282" s="51"/>
      <c r="F1282" s="51"/>
      <c r="G1282" s="51"/>
      <c r="H1282" s="51"/>
      <c r="I1282" s="51"/>
      <c r="J1282" s="51"/>
      <c r="K1282" s="51"/>
      <c r="L1282" s="51"/>
      <c r="M1282" s="35"/>
      <c r="N1282" s="51"/>
      <c r="O1282" s="82"/>
      <c r="P1282" s="51"/>
      <c r="Q1282" s="338"/>
      <c r="R1282" s="51"/>
      <c r="S1282" s="51"/>
      <c r="T1282" s="338"/>
      <c r="U1282" s="51"/>
      <c r="V1282" s="35"/>
      <c r="W1282" s="364">
        <f t="shared" ref="W1282" si="291">SUM(X1282:AB1282)</f>
        <v>175577.06</v>
      </c>
      <c r="X1282" s="285"/>
      <c r="Y1282" s="285"/>
      <c r="Z1282" s="285"/>
      <c r="AA1282" s="285"/>
      <c r="AB1282" s="285">
        <v>175577.06</v>
      </c>
      <c r="AC1282" s="56"/>
      <c r="AD1282" s="56"/>
      <c r="AE1282" s="56"/>
    </row>
    <row r="1283" spans="1:31" x14ac:dyDescent="0.3">
      <c r="A1283" s="47">
        <f t="shared" si="289"/>
        <v>1171</v>
      </c>
      <c r="B1283" s="414" t="s">
        <v>1570</v>
      </c>
      <c r="C1283" s="51">
        <f t="shared" si="288"/>
        <v>566208.34</v>
      </c>
      <c r="D1283" s="51">
        <f t="shared" ref="D1283:D1346" si="292">E1283+F1283+G1283+H1283+I1283</f>
        <v>0</v>
      </c>
      <c r="E1283" s="51"/>
      <c r="F1283" s="51"/>
      <c r="G1283" s="51"/>
      <c r="H1283" s="51"/>
      <c r="I1283" s="51"/>
      <c r="J1283" s="51"/>
      <c r="K1283" s="51"/>
      <c r="L1283" s="51"/>
      <c r="M1283" s="35"/>
      <c r="N1283" s="51"/>
      <c r="O1283" s="82"/>
      <c r="P1283" s="51"/>
      <c r="Q1283" s="338"/>
      <c r="R1283" s="51"/>
      <c r="S1283" s="51"/>
      <c r="T1283" s="338"/>
      <c r="U1283" s="51"/>
      <c r="V1283" s="35"/>
      <c r="W1283" s="364">
        <f>SUM(X1283:AB1283)</f>
        <v>566208.34</v>
      </c>
      <c r="X1283" s="285">
        <v>162232.79</v>
      </c>
      <c r="Y1283" s="285"/>
      <c r="Z1283" s="285">
        <v>403975.55</v>
      </c>
      <c r="AA1283" s="285"/>
      <c r="AB1283" s="285"/>
      <c r="AC1283" s="56"/>
      <c r="AD1283" s="56"/>
      <c r="AE1283" s="56"/>
    </row>
    <row r="1284" spans="1:31" x14ac:dyDescent="0.3">
      <c r="A1284" s="47">
        <f t="shared" si="289"/>
        <v>1172</v>
      </c>
      <c r="B1284" s="414" t="s">
        <v>1571</v>
      </c>
      <c r="C1284" s="51">
        <f t="shared" si="288"/>
        <v>382599.2</v>
      </c>
      <c r="D1284" s="51">
        <f t="shared" si="292"/>
        <v>0</v>
      </c>
      <c r="E1284" s="51"/>
      <c r="F1284" s="51"/>
      <c r="G1284" s="51"/>
      <c r="H1284" s="51"/>
      <c r="I1284" s="51"/>
      <c r="J1284" s="51"/>
      <c r="K1284" s="51"/>
      <c r="L1284" s="51"/>
      <c r="M1284" s="35"/>
      <c r="N1284" s="51"/>
      <c r="O1284" s="82"/>
      <c r="P1284" s="51"/>
      <c r="Q1284" s="338"/>
      <c r="R1284" s="51"/>
      <c r="S1284" s="51"/>
      <c r="T1284" s="338"/>
      <c r="U1284" s="51"/>
      <c r="V1284" s="35"/>
      <c r="W1284" s="364">
        <f>SUM(X1284:AB1284)</f>
        <v>382599.2</v>
      </c>
      <c r="X1284" s="285">
        <f>110124.17+90133.82+92207.39+90133.82</f>
        <v>382599.2</v>
      </c>
      <c r="Y1284" s="285"/>
      <c r="Z1284" s="285"/>
      <c r="AA1284" s="285"/>
      <c r="AB1284" s="285"/>
      <c r="AC1284" s="56"/>
      <c r="AD1284" s="56" t="s">
        <v>1572</v>
      </c>
      <c r="AE1284" s="56"/>
    </row>
    <row r="1285" spans="1:31" x14ac:dyDescent="0.3">
      <c r="A1285" s="47">
        <f t="shared" si="289"/>
        <v>1173</v>
      </c>
      <c r="B1285" s="414" t="s">
        <v>1573</v>
      </c>
      <c r="C1285" s="51">
        <f t="shared" si="288"/>
        <v>264773.94</v>
      </c>
      <c r="D1285" s="51">
        <f t="shared" si="292"/>
        <v>0</v>
      </c>
      <c r="E1285" s="51"/>
      <c r="F1285" s="51"/>
      <c r="G1285" s="51"/>
      <c r="H1285" s="51"/>
      <c r="I1285" s="51"/>
      <c r="J1285" s="51"/>
      <c r="K1285" s="51"/>
      <c r="L1285" s="51"/>
      <c r="M1285" s="35"/>
      <c r="N1285" s="51"/>
      <c r="O1285" s="82"/>
      <c r="P1285" s="51"/>
      <c r="Q1285" s="338"/>
      <c r="R1285" s="51"/>
      <c r="S1285" s="51"/>
      <c r="T1285" s="338"/>
      <c r="U1285" s="51"/>
      <c r="V1285" s="35"/>
      <c r="W1285" s="364">
        <f>SUM(X1285:AB1285)</f>
        <v>264773.94</v>
      </c>
      <c r="X1285" s="285"/>
      <c r="Y1285" s="285"/>
      <c r="Z1285" s="285">
        <v>264773.94</v>
      </c>
      <c r="AA1285" s="285"/>
      <c r="AB1285" s="56"/>
      <c r="AC1285" s="56"/>
      <c r="AD1285" s="56" t="s">
        <v>1400</v>
      </c>
      <c r="AE1285" s="56"/>
    </row>
    <row r="1286" spans="1:31" x14ac:dyDescent="0.3">
      <c r="A1286" s="47">
        <f t="shared" si="289"/>
        <v>1174</v>
      </c>
      <c r="B1286" s="414" t="s">
        <v>1574</v>
      </c>
      <c r="C1286" s="51">
        <f t="shared" si="288"/>
        <v>200896.86</v>
      </c>
      <c r="D1286" s="51">
        <f t="shared" si="292"/>
        <v>0</v>
      </c>
      <c r="E1286" s="51"/>
      <c r="F1286" s="51"/>
      <c r="G1286" s="51"/>
      <c r="H1286" s="51"/>
      <c r="I1286" s="51"/>
      <c r="J1286" s="51"/>
      <c r="K1286" s="51"/>
      <c r="L1286" s="51"/>
      <c r="M1286" s="35"/>
      <c r="N1286" s="51"/>
      <c r="O1286" s="82"/>
      <c r="P1286" s="51"/>
      <c r="Q1286" s="338"/>
      <c r="R1286" s="51"/>
      <c r="S1286" s="51"/>
      <c r="T1286" s="338"/>
      <c r="U1286" s="51"/>
      <c r="V1286" s="35"/>
      <c r="W1286" s="364">
        <f>SUM(X1286:AB1286)</f>
        <v>200896.86</v>
      </c>
      <c r="X1286" s="285"/>
      <c r="Y1286" s="285">
        <v>200896.86</v>
      </c>
      <c r="Z1286" s="285"/>
      <c r="AA1286" s="285"/>
      <c r="AB1286" s="285"/>
      <c r="AC1286" s="56"/>
      <c r="AD1286" s="56"/>
      <c r="AE1286" s="56"/>
    </row>
    <row r="1287" spans="1:31" x14ac:dyDescent="0.3">
      <c r="A1287" s="47">
        <f t="shared" si="289"/>
        <v>1175</v>
      </c>
      <c r="B1287" s="414" t="s">
        <v>1575</v>
      </c>
      <c r="C1287" s="51">
        <f t="shared" si="288"/>
        <v>559637.93999999994</v>
      </c>
      <c r="D1287" s="51">
        <f t="shared" si="292"/>
        <v>0</v>
      </c>
      <c r="E1287" s="51"/>
      <c r="F1287" s="51"/>
      <c r="G1287" s="51"/>
      <c r="H1287" s="51"/>
      <c r="I1287" s="51"/>
      <c r="J1287" s="51"/>
      <c r="K1287" s="51"/>
      <c r="L1287" s="51"/>
      <c r="M1287" s="35"/>
      <c r="N1287" s="51"/>
      <c r="O1287" s="82"/>
      <c r="P1287" s="51"/>
      <c r="Q1287" s="338"/>
      <c r="R1287" s="51"/>
      <c r="S1287" s="51"/>
      <c r="T1287" s="338"/>
      <c r="U1287" s="51"/>
      <c r="V1287" s="35"/>
      <c r="W1287" s="364">
        <f>SUM(X1287:AB1287)</f>
        <v>559637.93999999994</v>
      </c>
      <c r="X1287" s="285">
        <v>218662.27</v>
      </c>
      <c r="Y1287" s="285"/>
      <c r="Z1287" s="285">
        <v>340975.67</v>
      </c>
      <c r="AA1287" s="285"/>
      <c r="AB1287" s="285"/>
      <c r="AC1287" s="56"/>
      <c r="AD1287" s="56" t="s">
        <v>1576</v>
      </c>
      <c r="AE1287" s="56"/>
    </row>
    <row r="1288" spans="1:31" x14ac:dyDescent="0.3">
      <c r="A1288" s="47">
        <f t="shared" si="289"/>
        <v>1176</v>
      </c>
      <c r="B1288" s="414" t="s">
        <v>1577</v>
      </c>
      <c r="C1288" s="51">
        <f t="shared" si="288"/>
        <v>154570</v>
      </c>
      <c r="D1288" s="51">
        <f t="shared" si="292"/>
        <v>0</v>
      </c>
      <c r="E1288" s="51"/>
      <c r="F1288" s="51"/>
      <c r="G1288" s="51"/>
      <c r="H1288" s="51"/>
      <c r="I1288" s="51"/>
      <c r="J1288" s="51"/>
      <c r="K1288" s="51"/>
      <c r="L1288" s="51"/>
      <c r="M1288" s="35"/>
      <c r="N1288" s="51"/>
      <c r="O1288" s="82"/>
      <c r="P1288" s="51"/>
      <c r="Q1288" s="338"/>
      <c r="R1288" s="51"/>
      <c r="S1288" s="51"/>
      <c r="T1288" s="338">
        <v>13</v>
      </c>
      <c r="U1288" s="51">
        <f>T1288*11890</f>
        <v>154570</v>
      </c>
      <c r="V1288" s="35"/>
      <c r="W1288" s="364"/>
      <c r="X1288" s="285"/>
      <c r="Y1288" s="285"/>
      <c r="Z1288" s="285"/>
      <c r="AA1288" s="285"/>
      <c r="AB1288" s="285"/>
      <c r="AC1288" s="56"/>
      <c r="AD1288" s="56"/>
      <c r="AE1288" s="56"/>
    </row>
    <row r="1289" spans="1:31" x14ac:dyDescent="0.3">
      <c r="A1289" s="47">
        <f t="shared" si="289"/>
        <v>1177</v>
      </c>
      <c r="B1289" s="414" t="s">
        <v>1578</v>
      </c>
      <c r="C1289" s="51">
        <f t="shared" si="288"/>
        <v>365729</v>
      </c>
      <c r="D1289" s="51">
        <f t="shared" si="292"/>
        <v>0</v>
      </c>
      <c r="E1289" s="51"/>
      <c r="F1289" s="51"/>
      <c r="G1289" s="399"/>
      <c r="H1289" s="51"/>
      <c r="I1289" s="51"/>
      <c r="J1289" s="51"/>
      <c r="K1289" s="51"/>
      <c r="L1289" s="51"/>
      <c r="M1289" s="35">
        <v>13</v>
      </c>
      <c r="N1289" s="51">
        <f>6243*M1289</f>
        <v>81159</v>
      </c>
      <c r="O1289" s="82"/>
      <c r="P1289" s="51"/>
      <c r="Q1289" s="338"/>
      <c r="R1289" s="51"/>
      <c r="S1289" s="51"/>
      <c r="T1289" s="338">
        <v>13</v>
      </c>
      <c r="U1289" s="51">
        <f>T1289*11890</f>
        <v>154570</v>
      </c>
      <c r="V1289" s="35"/>
      <c r="W1289" s="364">
        <v>130000</v>
      </c>
      <c r="X1289" s="285"/>
      <c r="Y1289" s="285"/>
      <c r="Z1289" s="285"/>
      <c r="AA1289" s="285"/>
      <c r="AB1289" s="285"/>
      <c r="AC1289" s="56"/>
      <c r="AD1289" s="56"/>
      <c r="AE1289" s="56"/>
    </row>
    <row r="1290" spans="1:31" x14ac:dyDescent="0.3">
      <c r="A1290" s="47">
        <f t="shared" si="289"/>
        <v>1178</v>
      </c>
      <c r="B1290" s="414" t="s">
        <v>1579</v>
      </c>
      <c r="C1290" s="51">
        <f t="shared" si="288"/>
        <v>653121.9</v>
      </c>
      <c r="D1290" s="51">
        <f t="shared" si="292"/>
        <v>0</v>
      </c>
      <c r="E1290" s="51"/>
      <c r="F1290" s="51"/>
      <c r="G1290" s="51"/>
      <c r="H1290" s="51"/>
      <c r="I1290" s="51"/>
      <c r="J1290" s="51"/>
      <c r="K1290" s="51"/>
      <c r="L1290" s="51"/>
      <c r="M1290" s="35"/>
      <c r="N1290" s="51"/>
      <c r="O1290" s="82"/>
      <c r="P1290" s="51"/>
      <c r="Q1290" s="338"/>
      <c r="R1290" s="51"/>
      <c r="S1290" s="51"/>
      <c r="T1290" s="338"/>
      <c r="U1290" s="51"/>
      <c r="V1290" s="35"/>
      <c r="W1290" s="364">
        <f>SUM(X1290:AB1290)</f>
        <v>653121.9</v>
      </c>
      <c r="X1290" s="285">
        <f>81099.83+81099.83+82892.84+100793.08</f>
        <v>345885.58</v>
      </c>
      <c r="Y1290" s="285"/>
      <c r="Z1290" s="285">
        <v>307236.32</v>
      </c>
      <c r="AA1290" s="285"/>
      <c r="AB1290" s="285"/>
      <c r="AC1290" s="56"/>
      <c r="AD1290" s="56" t="s">
        <v>1580</v>
      </c>
      <c r="AE1290" s="56"/>
    </row>
    <row r="1291" spans="1:31" x14ac:dyDescent="0.3">
      <c r="A1291" s="47">
        <f t="shared" si="289"/>
        <v>1179</v>
      </c>
      <c r="B1291" s="414" t="s">
        <v>1581</v>
      </c>
      <c r="C1291" s="51">
        <f t="shared" si="288"/>
        <v>409673.11</v>
      </c>
      <c r="D1291" s="51">
        <f t="shared" si="292"/>
        <v>0</v>
      </c>
      <c r="E1291" s="51"/>
      <c r="F1291" s="51"/>
      <c r="G1291" s="51"/>
      <c r="H1291" s="51"/>
      <c r="I1291" s="51"/>
      <c r="J1291" s="51"/>
      <c r="K1291" s="51"/>
      <c r="L1291" s="51"/>
      <c r="M1291" s="35"/>
      <c r="N1291" s="51"/>
      <c r="O1291" s="82"/>
      <c r="P1291" s="51"/>
      <c r="Q1291" s="338"/>
      <c r="R1291" s="51"/>
      <c r="S1291" s="51"/>
      <c r="T1291" s="338"/>
      <c r="U1291" s="51"/>
      <c r="V1291" s="35"/>
      <c r="W1291" s="364">
        <f>SUM(X1291:AB1291)</f>
        <v>409673.11</v>
      </c>
      <c r="X1291" s="285">
        <f>133856.1+126031.8+149785.21</f>
        <v>409673.11</v>
      </c>
      <c r="Y1291" s="285"/>
      <c r="Z1291" s="285"/>
      <c r="AA1291" s="285"/>
      <c r="AB1291" s="285"/>
      <c r="AC1291" s="56"/>
      <c r="AD1291" s="56" t="s">
        <v>1582</v>
      </c>
      <c r="AE1291" s="56"/>
    </row>
    <row r="1292" spans="1:31" x14ac:dyDescent="0.3">
      <c r="A1292" s="47">
        <f t="shared" si="289"/>
        <v>1180</v>
      </c>
      <c r="B1292" s="414" t="s">
        <v>1583</v>
      </c>
      <c r="C1292" s="51">
        <f t="shared" si="288"/>
        <v>334838.01</v>
      </c>
      <c r="D1292" s="51">
        <f t="shared" si="292"/>
        <v>0</v>
      </c>
      <c r="E1292" s="51"/>
      <c r="F1292" s="51"/>
      <c r="G1292" s="51"/>
      <c r="H1292" s="51"/>
      <c r="I1292" s="51"/>
      <c r="J1292" s="51"/>
      <c r="K1292" s="51"/>
      <c r="L1292" s="51"/>
      <c r="M1292" s="35"/>
      <c r="N1292" s="51"/>
      <c r="O1292" s="82"/>
      <c r="P1292" s="51"/>
      <c r="Q1292" s="338"/>
      <c r="R1292" s="51"/>
      <c r="S1292" s="51"/>
      <c r="T1292" s="338"/>
      <c r="U1292" s="51"/>
      <c r="V1292" s="35"/>
      <c r="W1292" s="364">
        <f>SUM(X1292:AB1292)</f>
        <v>334838.01</v>
      </c>
      <c r="X1292" s="285">
        <f>108226.73+101942.8+124668.48</f>
        <v>334838.01</v>
      </c>
      <c r="Y1292" s="285"/>
      <c r="Z1292" s="285"/>
      <c r="AA1292" s="285"/>
      <c r="AB1292" s="285"/>
      <c r="AC1292" s="56"/>
      <c r="AD1292" s="56" t="s">
        <v>1584</v>
      </c>
      <c r="AE1292" s="56"/>
    </row>
    <row r="1293" spans="1:31" x14ac:dyDescent="0.3">
      <c r="A1293" s="47">
        <f t="shared" si="289"/>
        <v>1181</v>
      </c>
      <c r="B1293" s="414" t="s">
        <v>1586</v>
      </c>
      <c r="C1293" s="51">
        <f t="shared" si="288"/>
        <v>235729</v>
      </c>
      <c r="D1293" s="51">
        <f t="shared" si="292"/>
        <v>0</v>
      </c>
      <c r="E1293" s="51"/>
      <c r="F1293" s="51"/>
      <c r="G1293" s="51"/>
      <c r="H1293" s="51"/>
      <c r="I1293" s="51"/>
      <c r="J1293" s="51"/>
      <c r="K1293" s="51"/>
      <c r="L1293" s="51"/>
      <c r="M1293" s="35">
        <v>13</v>
      </c>
      <c r="N1293" s="51">
        <f>6243*M1293</f>
        <v>81159</v>
      </c>
      <c r="O1293" s="382"/>
      <c r="P1293" s="51"/>
      <c r="Q1293" s="338"/>
      <c r="R1293" s="51"/>
      <c r="S1293" s="51"/>
      <c r="T1293" s="338">
        <v>13</v>
      </c>
      <c r="U1293" s="51">
        <f>T1293*11890</f>
        <v>154570</v>
      </c>
      <c r="V1293" s="35"/>
      <c r="W1293" s="364"/>
      <c r="X1293" s="285"/>
      <c r="Y1293" s="285"/>
      <c r="Z1293" s="285"/>
      <c r="AA1293" s="285"/>
      <c r="AB1293" s="285"/>
      <c r="AC1293" s="56"/>
      <c r="AD1293" s="56"/>
      <c r="AE1293" s="56"/>
    </row>
    <row r="1294" spans="1:31" x14ac:dyDescent="0.3">
      <c r="A1294" s="47">
        <f t="shared" si="289"/>
        <v>1182</v>
      </c>
      <c r="B1294" s="414" t="s">
        <v>1587</v>
      </c>
      <c r="C1294" s="51">
        <f t="shared" si="288"/>
        <v>601129.80999999994</v>
      </c>
      <c r="D1294" s="51">
        <f t="shared" si="292"/>
        <v>0</v>
      </c>
      <c r="E1294" s="51"/>
      <c r="F1294" s="51"/>
      <c r="G1294" s="51"/>
      <c r="H1294" s="51"/>
      <c r="I1294" s="51"/>
      <c r="J1294" s="51"/>
      <c r="K1294" s="51"/>
      <c r="L1294" s="51"/>
      <c r="M1294" s="35"/>
      <c r="N1294" s="51"/>
      <c r="O1294" s="82"/>
      <c r="P1294" s="51"/>
      <c r="Q1294" s="338"/>
      <c r="R1294" s="51"/>
      <c r="S1294" s="51"/>
      <c r="T1294" s="338"/>
      <c r="U1294" s="51"/>
      <c r="V1294" s="35"/>
      <c r="W1294" s="364">
        <f>SUM(X1294:AB1294)</f>
        <v>601129.80999999994</v>
      </c>
      <c r="X1294" s="285">
        <f>118884.77+98615.47+98615.47+100952.86</f>
        <v>417068.56999999995</v>
      </c>
      <c r="Y1294" s="285">
        <v>184061.24</v>
      </c>
      <c r="Z1294" s="285"/>
      <c r="AA1294" s="285"/>
      <c r="AB1294" s="285"/>
      <c r="AC1294" s="56"/>
      <c r="AD1294" s="56" t="s">
        <v>1588</v>
      </c>
      <c r="AE1294" s="56"/>
    </row>
    <row r="1295" spans="1:31" x14ac:dyDescent="0.3">
      <c r="A1295" s="47">
        <f t="shared" si="289"/>
        <v>1183</v>
      </c>
      <c r="B1295" s="414" t="s">
        <v>1589</v>
      </c>
      <c r="C1295" s="51">
        <f t="shared" si="288"/>
        <v>459885.92</v>
      </c>
      <c r="D1295" s="51">
        <f t="shared" si="292"/>
        <v>0</v>
      </c>
      <c r="E1295" s="51"/>
      <c r="F1295" s="51"/>
      <c r="G1295" s="51"/>
      <c r="H1295" s="51"/>
      <c r="I1295" s="51"/>
      <c r="J1295" s="51"/>
      <c r="K1295" s="51"/>
      <c r="L1295" s="51"/>
      <c r="M1295" s="35"/>
      <c r="N1295" s="51"/>
      <c r="O1295" s="82"/>
      <c r="P1295" s="51"/>
      <c r="Q1295" s="338"/>
      <c r="R1295" s="51"/>
      <c r="S1295" s="51"/>
      <c r="T1295" s="338"/>
      <c r="U1295" s="51"/>
      <c r="V1295" s="35"/>
      <c r="W1295" s="364">
        <f>SUM(X1295:AB1295)</f>
        <v>459885.92</v>
      </c>
      <c r="X1295" s="285">
        <f>90931.7+73310.56+73310.56+76143.86</f>
        <v>313696.68</v>
      </c>
      <c r="Y1295" s="285">
        <v>146189.24</v>
      </c>
      <c r="Z1295" s="285"/>
      <c r="AA1295" s="285"/>
      <c r="AB1295" s="285"/>
      <c r="AC1295" s="56"/>
      <c r="AD1295" s="56" t="s">
        <v>1590</v>
      </c>
      <c r="AE1295" s="56"/>
    </row>
    <row r="1296" spans="1:31" x14ac:dyDescent="0.3">
      <c r="A1296" s="47">
        <f t="shared" si="289"/>
        <v>1184</v>
      </c>
      <c r="B1296" s="414" t="s">
        <v>1591</v>
      </c>
      <c r="C1296" s="51">
        <f t="shared" si="288"/>
        <v>405425.24</v>
      </c>
      <c r="D1296" s="51">
        <f t="shared" si="292"/>
        <v>0</v>
      </c>
      <c r="E1296" s="51"/>
      <c r="F1296" s="51"/>
      <c r="G1296" s="51"/>
      <c r="H1296" s="51"/>
      <c r="I1296" s="51"/>
      <c r="J1296" s="51"/>
      <c r="K1296" s="51"/>
      <c r="L1296" s="51"/>
      <c r="M1296" s="35"/>
      <c r="N1296" s="51"/>
      <c r="O1296" s="82"/>
      <c r="P1296" s="51"/>
      <c r="Q1296" s="338"/>
      <c r="R1296" s="51"/>
      <c r="S1296" s="51"/>
      <c r="T1296" s="338"/>
      <c r="U1296" s="51"/>
      <c r="V1296" s="35"/>
      <c r="W1296" s="364">
        <f>SUM(X1296:AB1296)</f>
        <v>405425.24</v>
      </c>
      <c r="X1296" s="285">
        <v>203273.47</v>
      </c>
      <c r="Y1296" s="285"/>
      <c r="Z1296" s="285">
        <v>202151.77</v>
      </c>
      <c r="AA1296" s="285"/>
      <c r="AB1296" s="285"/>
      <c r="AC1296" s="56"/>
      <c r="AD1296" s="56" t="s">
        <v>1548</v>
      </c>
      <c r="AE1296" s="56"/>
    </row>
    <row r="1297" spans="1:31" x14ac:dyDescent="0.3">
      <c r="A1297" s="47">
        <f t="shared" si="289"/>
        <v>1185</v>
      </c>
      <c r="B1297" s="414" t="s">
        <v>1592</v>
      </c>
      <c r="C1297" s="51">
        <f t="shared" si="288"/>
        <v>179018.53</v>
      </c>
      <c r="D1297" s="51">
        <f t="shared" si="292"/>
        <v>0</v>
      </c>
      <c r="E1297" s="51"/>
      <c r="F1297" s="51"/>
      <c r="G1297" s="51"/>
      <c r="H1297" s="51"/>
      <c r="I1297" s="51"/>
      <c r="J1297" s="51"/>
      <c r="K1297" s="51"/>
      <c r="L1297" s="51"/>
      <c r="M1297" s="35"/>
      <c r="N1297" s="51"/>
      <c r="O1297" s="82"/>
      <c r="P1297" s="51"/>
      <c r="Q1297" s="338"/>
      <c r="R1297" s="51"/>
      <c r="S1297" s="51"/>
      <c r="T1297" s="338"/>
      <c r="U1297" s="51"/>
      <c r="V1297" s="35"/>
      <c r="W1297" s="364">
        <f>SUM(X1297:Y1297)</f>
        <v>179018.53</v>
      </c>
      <c r="X1297" s="285">
        <v>179018.53</v>
      </c>
      <c r="Y1297" s="285"/>
      <c r="Z1297" s="285">
        <v>290488.21999999997</v>
      </c>
      <c r="AA1297" s="285"/>
      <c r="AB1297" s="285"/>
      <c r="AC1297" s="56"/>
      <c r="AD1297" s="56" t="s">
        <v>1548</v>
      </c>
      <c r="AE1297" s="56"/>
    </row>
    <row r="1298" spans="1:31" x14ac:dyDescent="0.3">
      <c r="A1298" s="47">
        <f t="shared" si="289"/>
        <v>1186</v>
      </c>
      <c r="B1298" s="414" t="s">
        <v>1593</v>
      </c>
      <c r="C1298" s="51">
        <f t="shared" si="288"/>
        <v>336656.95999999996</v>
      </c>
      <c r="D1298" s="51">
        <f t="shared" si="292"/>
        <v>0</v>
      </c>
      <c r="E1298" s="51"/>
      <c r="F1298" s="51"/>
      <c r="G1298" s="51"/>
      <c r="H1298" s="51"/>
      <c r="I1298" s="51"/>
      <c r="J1298" s="51"/>
      <c r="K1298" s="51"/>
      <c r="L1298" s="51"/>
      <c r="M1298" s="35"/>
      <c r="N1298" s="51"/>
      <c r="O1298" s="82"/>
      <c r="P1298" s="51"/>
      <c r="Q1298" s="338"/>
      <c r="R1298" s="51"/>
      <c r="S1298" s="51"/>
      <c r="T1298" s="338"/>
      <c r="U1298" s="51"/>
      <c r="V1298" s="35"/>
      <c r="W1298" s="364">
        <f t="shared" ref="W1298:W1308" si="293">SUM(X1298:AB1298)</f>
        <v>336656.95999999996</v>
      </c>
      <c r="X1298" s="285">
        <v>166076.68</v>
      </c>
      <c r="Y1298" s="285"/>
      <c r="Z1298" s="285">
        <v>170580.28</v>
      </c>
      <c r="AA1298" s="285"/>
      <c r="AB1298" s="285"/>
      <c r="AC1298" s="56"/>
      <c r="AD1298" s="56" t="s">
        <v>1548</v>
      </c>
      <c r="AE1298" s="56"/>
    </row>
    <row r="1299" spans="1:31" x14ac:dyDescent="0.3">
      <c r="A1299" s="47">
        <f t="shared" si="289"/>
        <v>1187</v>
      </c>
      <c r="B1299" s="414" t="s">
        <v>1594</v>
      </c>
      <c r="C1299" s="51">
        <f t="shared" si="288"/>
        <v>200183.16</v>
      </c>
      <c r="D1299" s="51">
        <f t="shared" si="292"/>
        <v>0</v>
      </c>
      <c r="E1299" s="51"/>
      <c r="F1299" s="51"/>
      <c r="G1299" s="51"/>
      <c r="H1299" s="51"/>
      <c r="I1299" s="51"/>
      <c r="J1299" s="51"/>
      <c r="K1299" s="51"/>
      <c r="L1299" s="51"/>
      <c r="M1299" s="35"/>
      <c r="N1299" s="51"/>
      <c r="O1299" s="82"/>
      <c r="P1299" s="51"/>
      <c r="Q1299" s="338"/>
      <c r="R1299" s="51"/>
      <c r="S1299" s="51"/>
      <c r="T1299" s="338"/>
      <c r="U1299" s="51"/>
      <c r="V1299" s="35"/>
      <c r="W1299" s="364">
        <f t="shared" si="293"/>
        <v>200183.16</v>
      </c>
      <c r="X1299" s="285">
        <f>100091.58+100091.58</f>
        <v>200183.16</v>
      </c>
      <c r="Y1299" s="285"/>
      <c r="Z1299" s="285"/>
      <c r="AA1299" s="285"/>
      <c r="AB1299" s="285"/>
      <c r="AC1299" s="56"/>
      <c r="AD1299" s="56" t="s">
        <v>1595</v>
      </c>
      <c r="AE1299" s="56"/>
    </row>
    <row r="1300" spans="1:31" x14ac:dyDescent="0.3">
      <c r="A1300" s="47">
        <f t="shared" si="289"/>
        <v>1188</v>
      </c>
      <c r="B1300" s="414" t="s">
        <v>1596</v>
      </c>
      <c r="C1300" s="51">
        <f t="shared" si="288"/>
        <v>466610.77999999997</v>
      </c>
      <c r="D1300" s="51">
        <f t="shared" si="292"/>
        <v>0</v>
      </c>
      <c r="E1300" s="51"/>
      <c r="F1300" s="51"/>
      <c r="G1300" s="51"/>
      <c r="H1300" s="51"/>
      <c r="I1300" s="51"/>
      <c r="J1300" s="51"/>
      <c r="K1300" s="51"/>
      <c r="L1300" s="51"/>
      <c r="M1300" s="35"/>
      <c r="N1300" s="51"/>
      <c r="O1300" s="82"/>
      <c r="P1300" s="51"/>
      <c r="Q1300" s="338"/>
      <c r="R1300" s="51"/>
      <c r="S1300" s="51"/>
      <c r="T1300" s="338"/>
      <c r="U1300" s="51"/>
      <c r="V1300" s="35"/>
      <c r="W1300" s="364">
        <f t="shared" si="293"/>
        <v>466610.77999999997</v>
      </c>
      <c r="X1300" s="285">
        <f>131476.3+110806.09+110806.09+113522.3</f>
        <v>466610.77999999997</v>
      </c>
      <c r="Y1300" s="285"/>
      <c r="Z1300" s="285"/>
      <c r="AA1300" s="285"/>
      <c r="AB1300" s="285"/>
      <c r="AC1300" s="56"/>
      <c r="AD1300" s="56" t="s">
        <v>1597</v>
      </c>
      <c r="AE1300" s="56"/>
    </row>
    <row r="1301" spans="1:31" x14ac:dyDescent="0.3">
      <c r="A1301" s="47">
        <f t="shared" si="289"/>
        <v>1189</v>
      </c>
      <c r="B1301" s="414" t="s">
        <v>1598</v>
      </c>
      <c r="C1301" s="51">
        <f t="shared" si="288"/>
        <v>616170.89</v>
      </c>
      <c r="D1301" s="51">
        <f t="shared" si="292"/>
        <v>0</v>
      </c>
      <c r="E1301" s="51"/>
      <c r="F1301" s="51"/>
      <c r="G1301" s="51"/>
      <c r="H1301" s="51"/>
      <c r="I1301" s="51"/>
      <c r="J1301" s="51"/>
      <c r="K1301" s="51"/>
      <c r="L1301" s="51"/>
      <c r="M1301" s="35"/>
      <c r="N1301" s="51"/>
      <c r="O1301" s="82"/>
      <c r="P1301" s="51"/>
      <c r="Q1301" s="338"/>
      <c r="R1301" s="51"/>
      <c r="S1301" s="51"/>
      <c r="T1301" s="338"/>
      <c r="U1301" s="51"/>
      <c r="V1301" s="35"/>
      <c r="W1301" s="364">
        <f t="shared" si="293"/>
        <v>616170.89</v>
      </c>
      <c r="X1301" s="285">
        <f>103827.53+134020.01+104028.32</f>
        <v>341875.86</v>
      </c>
      <c r="Y1301" s="285"/>
      <c r="Z1301" s="285">
        <v>274295.03000000003</v>
      </c>
      <c r="AA1301" s="285"/>
      <c r="AB1301" s="285"/>
      <c r="AC1301" s="56"/>
      <c r="AD1301" s="56" t="s">
        <v>1429</v>
      </c>
      <c r="AE1301" s="56"/>
    </row>
    <row r="1302" spans="1:31" x14ac:dyDescent="0.3">
      <c r="A1302" s="47">
        <f t="shared" si="289"/>
        <v>1190</v>
      </c>
      <c r="B1302" s="414" t="s">
        <v>1599</v>
      </c>
      <c r="C1302" s="51">
        <f t="shared" si="288"/>
        <v>7857082.29</v>
      </c>
      <c r="D1302" s="51">
        <f t="shared" si="292"/>
        <v>0</v>
      </c>
      <c r="E1302" s="51"/>
      <c r="F1302" s="51"/>
      <c r="G1302" s="51"/>
      <c r="H1302" s="51"/>
      <c r="I1302" s="51"/>
      <c r="J1302" s="51"/>
      <c r="K1302" s="51"/>
      <c r="L1302" s="51"/>
      <c r="M1302" s="35"/>
      <c r="N1302" s="51"/>
      <c r="O1302" s="382">
        <v>437.9</v>
      </c>
      <c r="P1302" s="51">
        <v>7597283.6799999997</v>
      </c>
      <c r="Q1302" s="338"/>
      <c r="R1302" s="51"/>
      <c r="S1302" s="51"/>
      <c r="T1302" s="338"/>
      <c r="U1302" s="51"/>
      <c r="V1302" s="35"/>
      <c r="W1302" s="364">
        <f t="shared" si="293"/>
        <v>259798.61000000002</v>
      </c>
      <c r="X1302" s="285">
        <f>151693.98+108104.63</f>
        <v>259798.61000000002</v>
      </c>
      <c r="Y1302" s="285"/>
      <c r="Z1302" s="285"/>
      <c r="AA1302" s="285"/>
      <c r="AB1302" s="285"/>
      <c r="AC1302" s="56"/>
      <c r="AD1302" s="56" t="s">
        <v>1448</v>
      </c>
      <c r="AE1302" s="56"/>
    </row>
    <row r="1303" spans="1:31" x14ac:dyDescent="0.3">
      <c r="A1303" s="47">
        <f t="shared" si="289"/>
        <v>1191</v>
      </c>
      <c r="B1303" s="414" t="s">
        <v>1600</v>
      </c>
      <c r="C1303" s="51">
        <f t="shared" si="288"/>
        <v>666560.28999999992</v>
      </c>
      <c r="D1303" s="51">
        <f t="shared" si="292"/>
        <v>0</v>
      </c>
      <c r="E1303" s="51"/>
      <c r="F1303" s="51"/>
      <c r="G1303" s="51"/>
      <c r="H1303" s="51"/>
      <c r="I1303" s="51"/>
      <c r="J1303" s="51"/>
      <c r="K1303" s="51"/>
      <c r="L1303" s="51"/>
      <c r="M1303" s="35"/>
      <c r="N1303" s="51"/>
      <c r="O1303" s="82"/>
      <c r="P1303" s="51"/>
      <c r="Q1303" s="338"/>
      <c r="R1303" s="51"/>
      <c r="S1303" s="51"/>
      <c r="T1303" s="338"/>
      <c r="U1303" s="51"/>
      <c r="V1303" s="35"/>
      <c r="W1303" s="364">
        <f t="shared" si="293"/>
        <v>666560.28999999992</v>
      </c>
      <c r="X1303" s="285">
        <f>123849.7+153770.03+118924.34</f>
        <v>396544.06999999995</v>
      </c>
      <c r="Y1303" s="285"/>
      <c r="Z1303" s="285">
        <v>270016.21999999997</v>
      </c>
      <c r="AA1303" s="285"/>
      <c r="AB1303" s="285"/>
      <c r="AC1303" s="56"/>
      <c r="AD1303" s="56" t="s">
        <v>1429</v>
      </c>
      <c r="AE1303" s="56"/>
    </row>
    <row r="1304" spans="1:31" x14ac:dyDescent="0.3">
      <c r="A1304" s="47">
        <f t="shared" si="289"/>
        <v>1192</v>
      </c>
      <c r="B1304" s="414" t="s">
        <v>1601</v>
      </c>
      <c r="C1304" s="51">
        <f t="shared" si="288"/>
        <v>896357.46</v>
      </c>
      <c r="D1304" s="51">
        <f t="shared" si="292"/>
        <v>0</v>
      </c>
      <c r="E1304" s="51"/>
      <c r="F1304" s="51"/>
      <c r="G1304" s="51"/>
      <c r="H1304" s="51"/>
      <c r="I1304" s="51"/>
      <c r="J1304" s="51"/>
      <c r="K1304" s="51"/>
      <c r="L1304" s="51"/>
      <c r="M1304" s="35"/>
      <c r="N1304" s="51"/>
      <c r="O1304" s="82"/>
      <c r="P1304" s="51"/>
      <c r="Q1304" s="338"/>
      <c r="R1304" s="51"/>
      <c r="S1304" s="51"/>
      <c r="T1304" s="338"/>
      <c r="U1304" s="51"/>
      <c r="V1304" s="35"/>
      <c r="W1304" s="364">
        <f t="shared" si="293"/>
        <v>896357.46</v>
      </c>
      <c r="X1304" s="285">
        <f>123533.21+153447.11+118623.41</f>
        <v>395603.73</v>
      </c>
      <c r="Y1304" s="285">
        <v>243339.5</v>
      </c>
      <c r="Z1304" s="285">
        <v>257414.23</v>
      </c>
      <c r="AA1304" s="285"/>
      <c r="AB1304" s="285"/>
      <c r="AC1304" s="56"/>
      <c r="AD1304" s="56" t="s">
        <v>1429</v>
      </c>
      <c r="AE1304" s="56"/>
    </row>
    <row r="1305" spans="1:31" x14ac:dyDescent="0.3">
      <c r="A1305" s="47">
        <f t="shared" si="289"/>
        <v>1193</v>
      </c>
      <c r="B1305" s="414" t="s">
        <v>1602</v>
      </c>
      <c r="C1305" s="51">
        <f t="shared" si="288"/>
        <v>582962.56000000006</v>
      </c>
      <c r="D1305" s="51">
        <f t="shared" si="292"/>
        <v>0</v>
      </c>
      <c r="E1305" s="51"/>
      <c r="F1305" s="51"/>
      <c r="G1305" s="51"/>
      <c r="H1305" s="51"/>
      <c r="I1305" s="51"/>
      <c r="J1305" s="51"/>
      <c r="K1305" s="51"/>
      <c r="L1305" s="51"/>
      <c r="M1305" s="35"/>
      <c r="N1305" s="51"/>
      <c r="O1305" s="82"/>
      <c r="P1305" s="51"/>
      <c r="Q1305" s="338"/>
      <c r="R1305" s="51"/>
      <c r="S1305" s="51"/>
      <c r="T1305" s="338"/>
      <c r="U1305" s="51"/>
      <c r="V1305" s="35"/>
      <c r="W1305" s="364">
        <f t="shared" si="293"/>
        <v>582962.56000000006</v>
      </c>
      <c r="X1305" s="285">
        <f>180534.61+225113.4+175983.92</f>
        <v>581631.93000000005</v>
      </c>
      <c r="Y1305" s="285"/>
      <c r="Z1305" s="285">
        <v>1330.63</v>
      </c>
      <c r="AA1305" s="285"/>
      <c r="AB1305" s="285"/>
      <c r="AC1305" s="56"/>
      <c r="AD1305" s="56" t="s">
        <v>1603</v>
      </c>
      <c r="AE1305" s="56"/>
    </row>
    <row r="1306" spans="1:31" x14ac:dyDescent="0.3">
      <c r="A1306" s="47">
        <f t="shared" si="289"/>
        <v>1194</v>
      </c>
      <c r="B1306" s="414" t="s">
        <v>1604</v>
      </c>
      <c r="C1306" s="51">
        <f t="shared" si="288"/>
        <v>680261.15</v>
      </c>
      <c r="D1306" s="51">
        <f t="shared" si="292"/>
        <v>0</v>
      </c>
      <c r="E1306" s="51"/>
      <c r="F1306" s="51"/>
      <c r="G1306" s="51"/>
      <c r="H1306" s="51"/>
      <c r="I1306" s="51"/>
      <c r="J1306" s="51"/>
      <c r="K1306" s="51"/>
      <c r="L1306" s="51"/>
      <c r="M1306" s="35"/>
      <c r="N1306" s="51"/>
      <c r="O1306" s="82"/>
      <c r="P1306" s="51"/>
      <c r="Q1306" s="338"/>
      <c r="R1306" s="51"/>
      <c r="S1306" s="51"/>
      <c r="T1306" s="338"/>
      <c r="U1306" s="51"/>
      <c r="V1306" s="35"/>
      <c r="W1306" s="364">
        <f t="shared" si="293"/>
        <v>680261.15</v>
      </c>
      <c r="X1306" s="285">
        <f>115466.26+133423.68+112691.47+112691.47</f>
        <v>474272.88</v>
      </c>
      <c r="Y1306" s="285">
        <v>205988.27</v>
      </c>
      <c r="Z1306" s="285"/>
      <c r="AA1306" s="285"/>
      <c r="AB1306" s="285"/>
      <c r="AC1306" s="56"/>
      <c r="AD1306" s="56" t="s">
        <v>1605</v>
      </c>
      <c r="AE1306" s="56"/>
    </row>
    <row r="1307" spans="1:31" x14ac:dyDescent="0.3">
      <c r="A1307" s="47">
        <f t="shared" si="289"/>
        <v>1195</v>
      </c>
      <c r="B1307" s="414" t="s">
        <v>1606</v>
      </c>
      <c r="C1307" s="51">
        <f t="shared" si="288"/>
        <v>708496.51</v>
      </c>
      <c r="D1307" s="51">
        <f t="shared" si="292"/>
        <v>0</v>
      </c>
      <c r="E1307" s="51"/>
      <c r="F1307" s="51"/>
      <c r="G1307" s="51"/>
      <c r="H1307" s="51"/>
      <c r="I1307" s="51"/>
      <c r="J1307" s="51"/>
      <c r="K1307" s="51"/>
      <c r="L1307" s="51"/>
      <c r="M1307" s="35"/>
      <c r="N1307" s="51"/>
      <c r="O1307" s="82"/>
      <c r="P1307" s="51"/>
      <c r="Q1307" s="338"/>
      <c r="R1307" s="51"/>
      <c r="S1307" s="51"/>
      <c r="T1307" s="338"/>
      <c r="U1307" s="51"/>
      <c r="V1307" s="35"/>
      <c r="W1307" s="364">
        <f t="shared" si="293"/>
        <v>708496.51</v>
      </c>
      <c r="X1307" s="285">
        <f>124137.74+154064.09+119198.39</f>
        <v>397400.22000000003</v>
      </c>
      <c r="Y1307" s="285"/>
      <c r="Z1307" s="285">
        <v>311096.28999999998</v>
      </c>
      <c r="AA1307" s="285"/>
      <c r="AB1307" s="285"/>
      <c r="AC1307" s="56"/>
      <c r="AD1307" s="56" t="s">
        <v>1607</v>
      </c>
      <c r="AE1307" s="56"/>
    </row>
    <row r="1308" spans="1:31" x14ac:dyDescent="0.3">
      <c r="A1308" s="47">
        <f t="shared" si="289"/>
        <v>1196</v>
      </c>
      <c r="B1308" s="414" t="s">
        <v>1608</v>
      </c>
      <c r="C1308" s="51">
        <f t="shared" si="288"/>
        <v>362343.41000000003</v>
      </c>
      <c r="D1308" s="51">
        <f t="shared" si="292"/>
        <v>0</v>
      </c>
      <c r="E1308" s="51"/>
      <c r="F1308" s="51"/>
      <c r="G1308" s="51"/>
      <c r="H1308" s="51"/>
      <c r="I1308" s="51"/>
      <c r="J1308" s="51"/>
      <c r="K1308" s="51"/>
      <c r="L1308" s="51"/>
      <c r="M1308" s="35"/>
      <c r="N1308" s="51"/>
      <c r="O1308" s="82"/>
      <c r="P1308" s="51"/>
      <c r="Q1308" s="338"/>
      <c r="R1308" s="51"/>
      <c r="S1308" s="51"/>
      <c r="T1308" s="338"/>
      <c r="U1308" s="51"/>
      <c r="V1308" s="35"/>
      <c r="W1308" s="364">
        <f t="shared" si="293"/>
        <v>362343.41000000003</v>
      </c>
      <c r="X1308" s="285">
        <f>110175.43+140344.46+109786</f>
        <v>360305.89</v>
      </c>
      <c r="Y1308" s="285"/>
      <c r="Z1308" s="285">
        <v>2037.52</v>
      </c>
      <c r="AA1308" s="285"/>
      <c r="AB1308" s="285"/>
      <c r="AC1308" s="56"/>
      <c r="AD1308" s="56" t="s">
        <v>1609</v>
      </c>
      <c r="AE1308" s="56"/>
    </row>
    <row r="1309" spans="1:31" x14ac:dyDescent="0.3">
      <c r="A1309" s="47">
        <f t="shared" si="289"/>
        <v>1197</v>
      </c>
      <c r="B1309" s="414" t="s">
        <v>1610</v>
      </c>
      <c r="C1309" s="51">
        <f t="shared" si="288"/>
        <v>130000</v>
      </c>
      <c r="D1309" s="51">
        <f t="shared" si="292"/>
        <v>0</v>
      </c>
      <c r="E1309" s="51"/>
      <c r="F1309" s="51"/>
      <c r="G1309" s="51"/>
      <c r="H1309" s="51"/>
      <c r="I1309" s="51"/>
      <c r="J1309" s="51"/>
      <c r="K1309" s="51"/>
      <c r="L1309" s="51"/>
      <c r="M1309" s="35"/>
      <c r="N1309" s="51"/>
      <c r="O1309" s="82"/>
      <c r="P1309" s="51"/>
      <c r="Q1309" s="338"/>
      <c r="R1309" s="51"/>
      <c r="S1309" s="51"/>
      <c r="T1309" s="338"/>
      <c r="U1309" s="51"/>
      <c r="V1309" s="35"/>
      <c r="W1309" s="364">
        <v>130000</v>
      </c>
      <c r="X1309" s="285"/>
      <c r="Y1309" s="285"/>
      <c r="Z1309" s="285"/>
      <c r="AA1309" s="285"/>
      <c r="AB1309" s="56"/>
      <c r="AC1309" s="56"/>
      <c r="AD1309" s="56"/>
      <c r="AE1309" s="56"/>
    </row>
    <row r="1310" spans="1:31" x14ac:dyDescent="0.3">
      <c r="A1310" s="47">
        <f t="shared" si="289"/>
        <v>1198</v>
      </c>
      <c r="B1310" s="414" t="s">
        <v>1612</v>
      </c>
      <c r="C1310" s="51">
        <f t="shared" si="288"/>
        <v>1438399.92</v>
      </c>
      <c r="D1310" s="51">
        <f t="shared" si="292"/>
        <v>0</v>
      </c>
      <c r="E1310" s="51"/>
      <c r="F1310" s="51"/>
      <c r="G1310" s="51"/>
      <c r="H1310" s="51"/>
      <c r="I1310" s="51"/>
      <c r="J1310" s="51"/>
      <c r="K1310" s="51"/>
      <c r="L1310" s="51"/>
      <c r="M1310" s="35"/>
      <c r="N1310" s="51"/>
      <c r="O1310" s="82"/>
      <c r="P1310" s="51"/>
      <c r="Q1310" s="338"/>
      <c r="R1310" s="51"/>
      <c r="S1310" s="51"/>
      <c r="T1310" s="338"/>
      <c r="U1310" s="51"/>
      <c r="V1310" s="35"/>
      <c r="W1310" s="364">
        <f t="shared" ref="W1310:W1315" si="294">SUM(X1310:AB1310)</f>
        <v>1438399.92</v>
      </c>
      <c r="X1310" s="285">
        <v>481611.74</v>
      </c>
      <c r="Y1310" s="285">
        <v>816219.56</v>
      </c>
      <c r="Z1310" s="285">
        <v>140568.62</v>
      </c>
      <c r="AA1310" s="285"/>
      <c r="AB1310" s="56"/>
      <c r="AC1310" s="56"/>
      <c r="AD1310" s="56" t="s">
        <v>1548</v>
      </c>
      <c r="AE1310" s="56"/>
    </row>
    <row r="1311" spans="1:31" x14ac:dyDescent="0.3">
      <c r="A1311" s="47">
        <f t="shared" si="289"/>
        <v>1199</v>
      </c>
      <c r="B1311" s="414" t="s">
        <v>1614</v>
      </c>
      <c r="C1311" s="51">
        <f t="shared" si="288"/>
        <v>386876.68</v>
      </c>
      <c r="D1311" s="51">
        <f t="shared" si="292"/>
        <v>0</v>
      </c>
      <c r="E1311" s="51"/>
      <c r="F1311" s="51"/>
      <c r="G1311" s="51"/>
      <c r="H1311" s="51"/>
      <c r="I1311" s="51"/>
      <c r="J1311" s="51"/>
      <c r="K1311" s="51"/>
      <c r="L1311" s="51"/>
      <c r="M1311" s="35"/>
      <c r="N1311" s="51"/>
      <c r="O1311" s="82"/>
      <c r="P1311" s="51"/>
      <c r="Q1311" s="338"/>
      <c r="R1311" s="51"/>
      <c r="S1311" s="51"/>
      <c r="T1311" s="338"/>
      <c r="U1311" s="51"/>
      <c r="V1311" s="35"/>
      <c r="W1311" s="364">
        <f t="shared" si="294"/>
        <v>386876.68</v>
      </c>
      <c r="X1311" s="285">
        <f>121946.7+142983.28+121946.7</f>
        <v>386876.68</v>
      </c>
      <c r="Y1311" s="9"/>
      <c r="Z1311" s="40"/>
      <c r="AA1311" s="56"/>
      <c r="AB1311" s="285"/>
      <c r="AC1311" s="56"/>
      <c r="AD1311" s="56" t="s">
        <v>1615</v>
      </c>
      <c r="AE1311" s="56"/>
    </row>
    <row r="1312" spans="1:31" x14ac:dyDescent="0.3">
      <c r="A1312" s="47">
        <f t="shared" si="289"/>
        <v>1200</v>
      </c>
      <c r="B1312" s="414" t="s">
        <v>1616</v>
      </c>
      <c r="C1312" s="51">
        <f t="shared" si="288"/>
        <v>776092.52</v>
      </c>
      <c r="D1312" s="51">
        <f t="shared" si="292"/>
        <v>0</v>
      </c>
      <c r="E1312" s="51"/>
      <c r="F1312" s="51"/>
      <c r="G1312" s="51"/>
      <c r="H1312" s="51"/>
      <c r="I1312" s="51"/>
      <c r="J1312" s="51"/>
      <c r="K1312" s="51"/>
      <c r="L1312" s="51"/>
      <c r="M1312" s="35"/>
      <c r="N1312" s="51"/>
      <c r="O1312" s="82"/>
      <c r="P1312" s="51"/>
      <c r="Q1312" s="338"/>
      <c r="R1312" s="51"/>
      <c r="S1312" s="51"/>
      <c r="T1312" s="338"/>
      <c r="U1312" s="51"/>
      <c r="V1312" s="35"/>
      <c r="W1312" s="364">
        <f t="shared" si="294"/>
        <v>776092.52</v>
      </c>
      <c r="X1312" s="285">
        <f>164094.95+204959.72+160741.03</f>
        <v>529795.70000000007</v>
      </c>
      <c r="Y1312" s="285"/>
      <c r="Z1312" s="285">
        <v>246296.82</v>
      </c>
      <c r="AA1312" s="285"/>
      <c r="AB1312" s="56"/>
      <c r="AC1312" s="56"/>
      <c r="AD1312" s="56" t="s">
        <v>1607</v>
      </c>
      <c r="AE1312" s="56"/>
    </row>
    <row r="1313" spans="1:31" x14ac:dyDescent="0.3">
      <c r="A1313" s="47">
        <f t="shared" si="289"/>
        <v>1201</v>
      </c>
      <c r="B1313" s="414" t="s">
        <v>1617</v>
      </c>
      <c r="C1313" s="51">
        <f t="shared" si="288"/>
        <v>191925.22</v>
      </c>
      <c r="D1313" s="51">
        <f t="shared" si="292"/>
        <v>0</v>
      </c>
      <c r="E1313" s="51"/>
      <c r="F1313" s="51"/>
      <c r="G1313" s="51"/>
      <c r="H1313" s="51"/>
      <c r="I1313" s="51"/>
      <c r="J1313" s="51"/>
      <c r="K1313" s="51"/>
      <c r="L1313" s="51"/>
      <c r="M1313" s="35"/>
      <c r="N1313" s="51"/>
      <c r="O1313" s="82"/>
      <c r="P1313" s="51"/>
      <c r="Q1313" s="338"/>
      <c r="R1313" s="51"/>
      <c r="S1313" s="51"/>
      <c r="T1313" s="338"/>
      <c r="U1313" s="51"/>
      <c r="V1313" s="35"/>
      <c r="W1313" s="364">
        <f t="shared" si="294"/>
        <v>191925.22</v>
      </c>
      <c r="X1313" s="285">
        <v>156948.91</v>
      </c>
      <c r="Y1313" s="285"/>
      <c r="Z1313" s="285">
        <v>34976.31</v>
      </c>
      <c r="AA1313" s="285"/>
      <c r="AB1313" s="56"/>
      <c r="AC1313" s="56"/>
      <c r="AD1313" s="56" t="s">
        <v>1548</v>
      </c>
      <c r="AE1313" s="56"/>
    </row>
    <row r="1314" spans="1:31" x14ac:dyDescent="0.3">
      <c r="A1314" s="47">
        <f t="shared" si="289"/>
        <v>1202</v>
      </c>
      <c r="B1314" s="414" t="s">
        <v>1618</v>
      </c>
      <c r="C1314" s="51">
        <f t="shared" si="288"/>
        <v>318130.41000000003</v>
      </c>
      <c r="D1314" s="51">
        <f t="shared" si="292"/>
        <v>0</v>
      </c>
      <c r="E1314" s="51"/>
      <c r="F1314" s="51"/>
      <c r="G1314" s="51"/>
      <c r="H1314" s="51"/>
      <c r="I1314" s="51"/>
      <c r="J1314" s="51"/>
      <c r="K1314" s="51"/>
      <c r="L1314" s="51"/>
      <c r="M1314" s="35"/>
      <c r="N1314" s="51"/>
      <c r="O1314" s="82"/>
      <c r="P1314" s="51"/>
      <c r="Q1314" s="338"/>
      <c r="R1314" s="51"/>
      <c r="S1314" s="51"/>
      <c r="T1314" s="338"/>
      <c r="U1314" s="51"/>
      <c r="V1314" s="35"/>
      <c r="W1314" s="364">
        <f t="shared" si="294"/>
        <v>318130.41000000003</v>
      </c>
      <c r="X1314" s="285">
        <f>93737.11+74268.53+74268.53+75856.24</f>
        <v>318130.41000000003</v>
      </c>
      <c r="Y1314" s="285"/>
      <c r="Z1314" s="285"/>
      <c r="AA1314" s="285"/>
      <c r="AB1314" s="285"/>
      <c r="AC1314" s="56"/>
      <c r="AD1314" s="56" t="s">
        <v>1619</v>
      </c>
      <c r="AE1314" s="56"/>
    </row>
    <row r="1315" spans="1:31" x14ac:dyDescent="0.3">
      <c r="A1315" s="47">
        <f t="shared" si="289"/>
        <v>1203</v>
      </c>
      <c r="B1315" s="414" t="s">
        <v>1620</v>
      </c>
      <c r="C1315" s="51">
        <f t="shared" si="288"/>
        <v>295693.98</v>
      </c>
      <c r="D1315" s="51">
        <f t="shared" si="292"/>
        <v>0</v>
      </c>
      <c r="E1315" s="51"/>
      <c r="F1315" s="51"/>
      <c r="G1315" s="51"/>
      <c r="H1315" s="51"/>
      <c r="I1315" s="51"/>
      <c r="J1315" s="51"/>
      <c r="K1315" s="51"/>
      <c r="L1315" s="51"/>
      <c r="M1315" s="35"/>
      <c r="N1315" s="51"/>
      <c r="O1315" s="82"/>
      <c r="P1315" s="51"/>
      <c r="Q1315" s="338"/>
      <c r="R1315" s="51"/>
      <c r="S1315" s="51"/>
      <c r="T1315" s="338"/>
      <c r="U1315" s="51"/>
      <c r="V1315" s="35"/>
      <c r="W1315" s="364">
        <f t="shared" si="294"/>
        <v>295693.98</v>
      </c>
      <c r="X1315" s="285"/>
      <c r="Y1315" s="285">
        <v>295693.98</v>
      </c>
      <c r="Z1315" s="285"/>
      <c r="AA1315" s="285"/>
      <c r="AB1315" s="285"/>
      <c r="AC1315" s="56"/>
      <c r="AD1315" s="56"/>
      <c r="AE1315" s="56"/>
    </row>
    <row r="1316" spans="1:31" x14ac:dyDescent="0.3">
      <c r="A1316" s="47">
        <f t="shared" si="289"/>
        <v>1204</v>
      </c>
      <c r="B1316" s="414" t="s">
        <v>1621</v>
      </c>
      <c r="C1316" s="51">
        <f t="shared" si="288"/>
        <v>130000</v>
      </c>
      <c r="D1316" s="51">
        <f t="shared" si="292"/>
        <v>0</v>
      </c>
      <c r="E1316" s="51"/>
      <c r="F1316" s="51"/>
      <c r="G1316" s="51"/>
      <c r="H1316" s="51"/>
      <c r="I1316" s="51"/>
      <c r="J1316" s="51"/>
      <c r="K1316" s="51"/>
      <c r="L1316" s="51"/>
      <c r="M1316" s="35"/>
      <c r="N1316" s="51"/>
      <c r="O1316" s="82"/>
      <c r="P1316" s="51"/>
      <c r="Q1316" s="338"/>
      <c r="R1316" s="51"/>
      <c r="S1316" s="51"/>
      <c r="T1316" s="338"/>
      <c r="U1316" s="51"/>
      <c r="V1316" s="35"/>
      <c r="W1316" s="364">
        <v>130000</v>
      </c>
      <c r="X1316" s="285"/>
      <c r="Y1316" s="285"/>
      <c r="Z1316" s="285"/>
      <c r="AA1316" s="285"/>
      <c r="AB1316" s="285"/>
      <c r="AC1316" s="56"/>
      <c r="AD1316" s="56"/>
      <c r="AE1316" s="56"/>
    </row>
    <row r="1317" spans="1:31" x14ac:dyDescent="0.3">
      <c r="A1317" s="47">
        <f t="shared" si="289"/>
        <v>1205</v>
      </c>
      <c r="B1317" s="414" t="s">
        <v>1622</v>
      </c>
      <c r="C1317" s="51">
        <f t="shared" si="288"/>
        <v>253082.83</v>
      </c>
      <c r="D1317" s="51">
        <f t="shared" si="292"/>
        <v>0</v>
      </c>
      <c r="E1317" s="51"/>
      <c r="F1317" s="51"/>
      <c r="G1317" s="51"/>
      <c r="H1317" s="51"/>
      <c r="I1317" s="51"/>
      <c r="J1317" s="51"/>
      <c r="K1317" s="51"/>
      <c r="L1317" s="51"/>
      <c r="M1317" s="35"/>
      <c r="N1317" s="51"/>
      <c r="O1317" s="82"/>
      <c r="P1317" s="51"/>
      <c r="Q1317" s="338"/>
      <c r="R1317" s="51"/>
      <c r="S1317" s="51"/>
      <c r="T1317" s="338"/>
      <c r="U1317" s="51"/>
      <c r="V1317" s="35"/>
      <c r="W1317" s="364">
        <f t="shared" ref="W1317:W1324" si="295">SUM(X1317:AB1317)</f>
        <v>253082.83</v>
      </c>
      <c r="X1317" s="285">
        <f>137749.58+115333.25</f>
        <v>253082.83</v>
      </c>
      <c r="Y1317" s="285"/>
      <c r="Z1317" s="285"/>
      <c r="AA1317" s="285"/>
      <c r="AB1317" s="285"/>
      <c r="AC1317" s="56"/>
      <c r="AD1317" s="56" t="s">
        <v>1448</v>
      </c>
      <c r="AE1317" s="56"/>
    </row>
    <row r="1318" spans="1:31" x14ac:dyDescent="0.3">
      <c r="A1318" s="47">
        <f t="shared" si="289"/>
        <v>1206</v>
      </c>
      <c r="B1318" s="414" t="s">
        <v>1623</v>
      </c>
      <c r="C1318" s="51">
        <f t="shared" si="288"/>
        <v>283437.73</v>
      </c>
      <c r="D1318" s="51">
        <f t="shared" si="292"/>
        <v>0</v>
      </c>
      <c r="E1318" s="51"/>
      <c r="F1318" s="51"/>
      <c r="G1318" s="51"/>
      <c r="H1318" s="51"/>
      <c r="I1318" s="51"/>
      <c r="J1318" s="51"/>
      <c r="K1318" s="51"/>
      <c r="L1318" s="51"/>
      <c r="M1318" s="35"/>
      <c r="N1318" s="51"/>
      <c r="O1318" s="82"/>
      <c r="P1318" s="51"/>
      <c r="Q1318" s="338"/>
      <c r="R1318" s="51"/>
      <c r="S1318" s="51"/>
      <c r="T1318" s="338"/>
      <c r="U1318" s="51"/>
      <c r="V1318" s="35"/>
      <c r="W1318" s="364">
        <f t="shared" si="295"/>
        <v>283437.73</v>
      </c>
      <c r="X1318" s="285">
        <f>160817.94+122619.79</f>
        <v>283437.73</v>
      </c>
      <c r="Y1318" s="285"/>
      <c r="Z1318" s="285"/>
      <c r="AA1318" s="285"/>
      <c r="AB1318" s="285"/>
      <c r="AC1318" s="56"/>
      <c r="AD1318" s="56" t="s">
        <v>1448</v>
      </c>
      <c r="AE1318" s="56"/>
    </row>
    <row r="1319" spans="1:31" x14ac:dyDescent="0.3">
      <c r="A1319" s="47">
        <f t="shared" si="289"/>
        <v>1207</v>
      </c>
      <c r="B1319" s="414" t="s">
        <v>1624</v>
      </c>
      <c r="C1319" s="51">
        <f t="shared" si="288"/>
        <v>225956.47999999998</v>
      </c>
      <c r="D1319" s="51">
        <f t="shared" si="292"/>
        <v>0</v>
      </c>
      <c r="E1319" s="51"/>
      <c r="F1319" s="51"/>
      <c r="G1319" s="51"/>
      <c r="H1319" s="51"/>
      <c r="I1319" s="51"/>
      <c r="J1319" s="51"/>
      <c r="K1319" s="51"/>
      <c r="L1319" s="51"/>
      <c r="M1319" s="35">
        <v>13</v>
      </c>
      <c r="N1319" s="51">
        <f>8094*M1319</f>
        <v>105222</v>
      </c>
      <c r="O1319" s="82"/>
      <c r="P1319" s="51"/>
      <c r="Q1319" s="338"/>
      <c r="R1319" s="51"/>
      <c r="S1319" s="51"/>
      <c r="T1319" s="338"/>
      <c r="U1319" s="51"/>
      <c r="V1319" s="35"/>
      <c r="W1319" s="364">
        <f t="shared" si="295"/>
        <v>120734.48</v>
      </c>
      <c r="X1319" s="285">
        <v>120734.48</v>
      </c>
      <c r="Y1319" s="285"/>
      <c r="Z1319" s="285"/>
      <c r="AA1319" s="285"/>
      <c r="AB1319" s="285"/>
      <c r="AC1319" s="56"/>
      <c r="AD1319" s="56" t="s">
        <v>1395</v>
      </c>
      <c r="AE1319" s="56"/>
    </row>
    <row r="1320" spans="1:31" x14ac:dyDescent="0.3">
      <c r="A1320" s="47">
        <f t="shared" si="289"/>
        <v>1208</v>
      </c>
      <c r="B1320" s="414" t="s">
        <v>1625</v>
      </c>
      <c r="C1320" s="51">
        <f t="shared" si="288"/>
        <v>888299.9</v>
      </c>
      <c r="D1320" s="51">
        <f t="shared" si="292"/>
        <v>0</v>
      </c>
      <c r="E1320" s="51"/>
      <c r="F1320" s="51"/>
      <c r="G1320" s="51"/>
      <c r="H1320" s="51"/>
      <c r="I1320" s="51"/>
      <c r="J1320" s="51"/>
      <c r="K1320" s="51"/>
      <c r="L1320" s="51"/>
      <c r="M1320" s="35"/>
      <c r="N1320" s="51"/>
      <c r="O1320" s="82"/>
      <c r="P1320" s="51"/>
      <c r="Q1320" s="338"/>
      <c r="R1320" s="51"/>
      <c r="S1320" s="51"/>
      <c r="T1320" s="338"/>
      <c r="U1320" s="51"/>
      <c r="V1320" s="35"/>
      <c r="W1320" s="364">
        <f t="shared" si="295"/>
        <v>888299.9</v>
      </c>
      <c r="X1320" s="285">
        <v>240084.47</v>
      </c>
      <c r="Y1320" s="285">
        <v>429217.18</v>
      </c>
      <c r="Z1320" s="285">
        <v>218998.25</v>
      </c>
      <c r="AA1320" s="285"/>
      <c r="AB1320" s="285"/>
      <c r="AC1320" s="56"/>
      <c r="AD1320" s="56" t="s">
        <v>1576</v>
      </c>
      <c r="AE1320" s="56"/>
    </row>
    <row r="1321" spans="1:31" x14ac:dyDescent="0.3">
      <c r="A1321" s="47">
        <f t="shared" si="289"/>
        <v>1209</v>
      </c>
      <c r="B1321" s="414" t="s">
        <v>1626</v>
      </c>
      <c r="C1321" s="51">
        <f t="shared" si="288"/>
        <v>719820.67</v>
      </c>
      <c r="D1321" s="51">
        <f t="shared" si="292"/>
        <v>0</v>
      </c>
      <c r="E1321" s="51"/>
      <c r="F1321" s="51"/>
      <c r="G1321" s="51"/>
      <c r="H1321" s="51"/>
      <c r="I1321" s="51"/>
      <c r="J1321" s="51"/>
      <c r="K1321" s="51"/>
      <c r="L1321" s="51"/>
      <c r="M1321" s="35"/>
      <c r="N1321" s="51"/>
      <c r="O1321" s="82"/>
      <c r="P1321" s="51"/>
      <c r="Q1321" s="338"/>
      <c r="R1321" s="51"/>
      <c r="S1321" s="51"/>
      <c r="T1321" s="338"/>
      <c r="U1321" s="51"/>
      <c r="V1321" s="35"/>
      <c r="W1321" s="364">
        <f t="shared" si="295"/>
        <v>719820.67</v>
      </c>
      <c r="X1321" s="285">
        <f>132376.22+167961.59+128973.68</f>
        <v>429311.49</v>
      </c>
      <c r="Y1321" s="285">
        <v>264647.87</v>
      </c>
      <c r="Z1321" s="285">
        <v>25861.31</v>
      </c>
      <c r="AA1321" s="285"/>
      <c r="AB1321" s="285"/>
      <c r="AC1321" s="56"/>
      <c r="AD1321" s="56" t="s">
        <v>1627</v>
      </c>
      <c r="AE1321" s="56"/>
    </row>
    <row r="1322" spans="1:31" x14ac:dyDescent="0.3">
      <c r="A1322" s="47">
        <f t="shared" si="289"/>
        <v>1210</v>
      </c>
      <c r="B1322" s="414" t="s">
        <v>1628</v>
      </c>
      <c r="C1322" s="51">
        <f t="shared" si="288"/>
        <v>192996.37</v>
      </c>
      <c r="D1322" s="51">
        <f t="shared" si="292"/>
        <v>0</v>
      </c>
      <c r="E1322" s="51"/>
      <c r="F1322" s="51"/>
      <c r="G1322" s="51"/>
      <c r="H1322" s="51"/>
      <c r="I1322" s="51"/>
      <c r="J1322" s="51"/>
      <c r="K1322" s="51"/>
      <c r="L1322" s="51"/>
      <c r="M1322" s="35"/>
      <c r="N1322" s="51"/>
      <c r="O1322" s="82"/>
      <c r="P1322" s="51"/>
      <c r="Q1322" s="338"/>
      <c r="R1322" s="51"/>
      <c r="S1322" s="51"/>
      <c r="T1322" s="338"/>
      <c r="U1322" s="51"/>
      <c r="V1322" s="35"/>
      <c r="W1322" s="364">
        <f t="shared" si="295"/>
        <v>192996.37</v>
      </c>
      <c r="X1322" s="285">
        <v>192996.37</v>
      </c>
      <c r="Y1322" s="285"/>
      <c r="Z1322" s="285"/>
      <c r="AA1322" s="285"/>
      <c r="AB1322" s="285"/>
      <c r="AC1322" s="56"/>
      <c r="AD1322" s="56" t="s">
        <v>1395</v>
      </c>
      <c r="AE1322" s="56"/>
    </row>
    <row r="1323" spans="1:31" x14ac:dyDescent="0.3">
      <c r="A1323" s="47">
        <f t="shared" si="289"/>
        <v>1211</v>
      </c>
      <c r="B1323" s="414" t="s">
        <v>1629</v>
      </c>
      <c r="C1323" s="51">
        <f t="shared" si="288"/>
        <v>393829.01</v>
      </c>
      <c r="D1323" s="51">
        <f t="shared" si="292"/>
        <v>0</v>
      </c>
      <c r="E1323" s="51"/>
      <c r="F1323" s="51"/>
      <c r="G1323" s="51"/>
      <c r="H1323" s="51"/>
      <c r="I1323" s="51"/>
      <c r="J1323" s="51"/>
      <c r="K1323" s="51"/>
      <c r="L1323" s="51"/>
      <c r="M1323" s="35">
        <v>13</v>
      </c>
      <c r="N1323" s="51">
        <f>8094*M1323</f>
        <v>105222</v>
      </c>
      <c r="O1323" s="82"/>
      <c r="P1323" s="51"/>
      <c r="Q1323" s="338"/>
      <c r="R1323" s="51"/>
      <c r="S1323" s="51"/>
      <c r="T1323" s="338"/>
      <c r="U1323" s="51"/>
      <c r="V1323" s="35"/>
      <c r="W1323" s="364">
        <f t="shared" si="295"/>
        <v>288607.01</v>
      </c>
      <c r="X1323" s="285">
        <f>125053.2+163553.81</f>
        <v>288607.01</v>
      </c>
      <c r="Y1323" s="285"/>
      <c r="Z1323" s="285"/>
      <c r="AA1323" s="285"/>
      <c r="AB1323" s="285"/>
      <c r="AC1323" s="56"/>
      <c r="AD1323" s="56" t="s">
        <v>1556</v>
      </c>
      <c r="AE1323" s="56"/>
    </row>
    <row r="1324" spans="1:31" x14ac:dyDescent="0.3">
      <c r="A1324" s="47">
        <f t="shared" si="289"/>
        <v>1212</v>
      </c>
      <c r="B1324" s="414" t="s">
        <v>1630</v>
      </c>
      <c r="C1324" s="51">
        <f t="shared" si="288"/>
        <v>345104.69</v>
      </c>
      <c r="D1324" s="51">
        <f t="shared" si="292"/>
        <v>0</v>
      </c>
      <c r="E1324" s="51"/>
      <c r="F1324" s="51"/>
      <c r="G1324" s="51"/>
      <c r="H1324" s="51"/>
      <c r="I1324" s="51"/>
      <c r="J1324" s="51"/>
      <c r="K1324" s="51"/>
      <c r="L1324" s="51"/>
      <c r="M1324" s="35"/>
      <c r="N1324" s="51"/>
      <c r="O1324" s="82"/>
      <c r="P1324" s="51"/>
      <c r="Q1324" s="338"/>
      <c r="R1324" s="51"/>
      <c r="S1324" s="51"/>
      <c r="T1324" s="338"/>
      <c r="U1324" s="51"/>
      <c r="V1324" s="35"/>
      <c r="W1324" s="364">
        <f t="shared" si="295"/>
        <v>345104.69</v>
      </c>
      <c r="X1324" s="285">
        <f>107942.83+102014+135147.86</f>
        <v>345104.69</v>
      </c>
      <c r="Y1324" s="285"/>
      <c r="Z1324" s="285"/>
      <c r="AA1324" s="285"/>
      <c r="AB1324" s="285"/>
      <c r="AC1324" s="56"/>
      <c r="AD1324" s="56" t="s">
        <v>1631</v>
      </c>
      <c r="AE1324" s="56"/>
    </row>
    <row r="1325" spans="1:31" x14ac:dyDescent="0.3">
      <c r="A1325" s="47">
        <f t="shared" si="289"/>
        <v>1213</v>
      </c>
      <c r="B1325" s="414" t="s">
        <v>1632</v>
      </c>
      <c r="C1325" s="51">
        <f t="shared" si="288"/>
        <v>389792</v>
      </c>
      <c r="D1325" s="51">
        <f t="shared" si="292"/>
        <v>0</v>
      </c>
      <c r="E1325" s="51"/>
      <c r="F1325" s="51"/>
      <c r="G1325" s="51"/>
      <c r="H1325" s="51"/>
      <c r="I1325" s="51"/>
      <c r="J1325" s="51"/>
      <c r="K1325" s="51"/>
      <c r="L1325" s="51"/>
      <c r="M1325" s="35">
        <v>13</v>
      </c>
      <c r="N1325" s="51">
        <f>8094*M1325</f>
        <v>105222</v>
      </c>
      <c r="O1325" s="82"/>
      <c r="P1325" s="51"/>
      <c r="Q1325" s="338"/>
      <c r="R1325" s="51"/>
      <c r="S1325" s="51"/>
      <c r="T1325" s="338">
        <v>13</v>
      </c>
      <c r="U1325" s="51">
        <f>T1325*11890</f>
        <v>154570</v>
      </c>
      <c r="V1325" s="35"/>
      <c r="W1325" s="364">
        <v>130000</v>
      </c>
      <c r="X1325" s="285"/>
      <c r="Y1325" s="9"/>
      <c r="Z1325" s="40"/>
      <c r="AA1325" s="56"/>
      <c r="AB1325" s="56"/>
      <c r="AC1325" s="56"/>
      <c r="AD1325" s="56"/>
      <c r="AE1325" s="56"/>
    </row>
    <row r="1326" spans="1:31" x14ac:dyDescent="0.3">
      <c r="A1326" s="47">
        <f t="shared" si="289"/>
        <v>1214</v>
      </c>
      <c r="B1326" s="414" t="s">
        <v>1633</v>
      </c>
      <c r="C1326" s="51">
        <f t="shared" si="288"/>
        <v>838599.64</v>
      </c>
      <c r="D1326" s="51">
        <f t="shared" si="292"/>
        <v>716506.8</v>
      </c>
      <c r="E1326" s="51">
        <v>478902</v>
      </c>
      <c r="F1326" s="51">
        <f>5502*13</f>
        <v>71526</v>
      </c>
      <c r="G1326" s="51">
        <v>166078.79999999999</v>
      </c>
      <c r="H1326" s="51"/>
      <c r="I1326" s="51"/>
      <c r="J1326" s="51"/>
      <c r="K1326" s="51"/>
      <c r="L1326" s="51"/>
      <c r="M1326" s="35"/>
      <c r="N1326" s="51"/>
      <c r="O1326" s="82"/>
      <c r="P1326" s="51"/>
      <c r="Q1326" s="338"/>
      <c r="R1326" s="51"/>
      <c r="S1326" s="51"/>
      <c r="T1326" s="338"/>
      <c r="U1326" s="51"/>
      <c r="V1326" s="35"/>
      <c r="W1326" s="364">
        <f t="shared" ref="W1326:W1338" si="296">SUM(X1326:AB1326)</f>
        <v>122092.84</v>
      </c>
      <c r="X1326" s="285">
        <v>122092.84</v>
      </c>
      <c r="Y1326" s="9"/>
      <c r="Z1326" s="40"/>
      <c r="AA1326" s="56"/>
      <c r="AB1326" s="56"/>
      <c r="AC1326" s="56"/>
      <c r="AD1326" s="56" t="s">
        <v>25</v>
      </c>
      <c r="AE1326" s="56"/>
    </row>
    <row r="1327" spans="1:31" x14ac:dyDescent="0.3">
      <c r="A1327" s="47">
        <f t="shared" si="289"/>
        <v>1215</v>
      </c>
      <c r="B1327" s="414" t="s">
        <v>1634</v>
      </c>
      <c r="C1327" s="51">
        <f t="shared" si="288"/>
        <v>331675.15000000002</v>
      </c>
      <c r="D1327" s="51">
        <f t="shared" si="292"/>
        <v>0</v>
      </c>
      <c r="E1327" s="51"/>
      <c r="F1327" s="51"/>
      <c r="G1327" s="51"/>
      <c r="H1327" s="51"/>
      <c r="I1327" s="51"/>
      <c r="J1327" s="51"/>
      <c r="K1327" s="51"/>
      <c r="L1327" s="51"/>
      <c r="M1327" s="35">
        <v>13</v>
      </c>
      <c r="N1327" s="51">
        <f>8094*M1327</f>
        <v>105222</v>
      </c>
      <c r="O1327" s="82"/>
      <c r="P1327" s="51"/>
      <c r="Q1327" s="338"/>
      <c r="R1327" s="51"/>
      <c r="S1327" s="51"/>
      <c r="T1327" s="338"/>
      <c r="U1327" s="51"/>
      <c r="V1327" s="35"/>
      <c r="W1327" s="364">
        <f t="shared" si="296"/>
        <v>226453.15</v>
      </c>
      <c r="X1327" s="285">
        <v>226453.15</v>
      </c>
      <c r="Y1327" s="9"/>
      <c r="Z1327" s="40"/>
      <c r="AA1327" s="56"/>
      <c r="AB1327" s="56"/>
      <c r="AC1327" s="56"/>
      <c r="AD1327" s="56" t="s">
        <v>1395</v>
      </c>
      <c r="AE1327" s="56"/>
    </row>
    <row r="1328" spans="1:31" x14ac:dyDescent="0.3">
      <c r="A1328" s="47">
        <f t="shared" si="289"/>
        <v>1216</v>
      </c>
      <c r="B1328" s="414" t="s">
        <v>1635</v>
      </c>
      <c r="C1328" s="51">
        <f t="shared" si="288"/>
        <v>484424.2</v>
      </c>
      <c r="D1328" s="51">
        <f t="shared" si="292"/>
        <v>0</v>
      </c>
      <c r="E1328" s="51"/>
      <c r="F1328" s="51"/>
      <c r="G1328" s="51"/>
      <c r="H1328" s="51"/>
      <c r="I1328" s="51"/>
      <c r="J1328" s="51"/>
      <c r="K1328" s="51"/>
      <c r="L1328" s="51"/>
      <c r="M1328" s="35"/>
      <c r="N1328" s="51"/>
      <c r="O1328" s="82"/>
      <c r="P1328" s="51"/>
      <c r="Q1328" s="338"/>
      <c r="R1328" s="51"/>
      <c r="S1328" s="51"/>
      <c r="T1328" s="338"/>
      <c r="U1328" s="51"/>
      <c r="V1328" s="35"/>
      <c r="W1328" s="364">
        <f t="shared" si="296"/>
        <v>484424.2</v>
      </c>
      <c r="X1328" s="285"/>
      <c r="Y1328" s="285">
        <v>316952.5</v>
      </c>
      <c r="Z1328" s="285">
        <v>167471.70000000001</v>
      </c>
      <c r="AA1328" s="285"/>
      <c r="AB1328" s="285"/>
      <c r="AC1328" s="56"/>
      <c r="AD1328" s="56" t="s">
        <v>1636</v>
      </c>
      <c r="AE1328" s="56"/>
    </row>
    <row r="1329" spans="1:31" x14ac:dyDescent="0.3">
      <c r="A1329" s="47">
        <f t="shared" si="289"/>
        <v>1217</v>
      </c>
      <c r="B1329" s="414" t="s">
        <v>1637</v>
      </c>
      <c r="C1329" s="51">
        <f t="shared" si="288"/>
        <v>1268144.1099999999</v>
      </c>
      <c r="D1329" s="51">
        <f t="shared" si="292"/>
        <v>0</v>
      </c>
      <c r="E1329" s="51"/>
      <c r="F1329" s="51"/>
      <c r="G1329" s="51"/>
      <c r="H1329" s="51"/>
      <c r="I1329" s="51"/>
      <c r="J1329" s="51"/>
      <c r="K1329" s="51"/>
      <c r="L1329" s="51"/>
      <c r="M1329" s="35"/>
      <c r="N1329" s="51"/>
      <c r="O1329" s="82"/>
      <c r="P1329" s="51"/>
      <c r="Q1329" s="338"/>
      <c r="R1329" s="51"/>
      <c r="S1329" s="51"/>
      <c r="T1329" s="338"/>
      <c r="U1329" s="51"/>
      <c r="V1329" s="35"/>
      <c r="W1329" s="364">
        <f t="shared" si="296"/>
        <v>1268144.1099999999</v>
      </c>
      <c r="X1329" s="285"/>
      <c r="Y1329" s="285">
        <v>950686.5</v>
      </c>
      <c r="Z1329" s="285">
        <v>317457.61</v>
      </c>
      <c r="AA1329" s="285"/>
      <c r="AB1329" s="285"/>
      <c r="AC1329" s="56"/>
      <c r="AD1329" s="56"/>
      <c r="AE1329" s="56"/>
    </row>
    <row r="1330" spans="1:31" x14ac:dyDescent="0.3">
      <c r="A1330" s="47">
        <f t="shared" si="289"/>
        <v>1218</v>
      </c>
      <c r="B1330" s="414" t="s">
        <v>1638</v>
      </c>
      <c r="C1330" s="51">
        <f t="shared" si="288"/>
        <v>334695.08999999997</v>
      </c>
      <c r="D1330" s="51">
        <f t="shared" si="292"/>
        <v>0</v>
      </c>
      <c r="E1330" s="51"/>
      <c r="F1330" s="51"/>
      <c r="G1330" s="51"/>
      <c r="H1330" s="51"/>
      <c r="I1330" s="51"/>
      <c r="J1330" s="51"/>
      <c r="K1330" s="51"/>
      <c r="L1330" s="51"/>
      <c r="M1330" s="35"/>
      <c r="N1330" s="51"/>
      <c r="O1330" s="82"/>
      <c r="P1330" s="51"/>
      <c r="Q1330" s="338"/>
      <c r="R1330" s="51"/>
      <c r="S1330" s="51"/>
      <c r="T1330" s="338"/>
      <c r="U1330" s="51"/>
      <c r="V1330" s="35"/>
      <c r="W1330" s="364">
        <f t="shared" si="296"/>
        <v>334695.08999999997</v>
      </c>
      <c r="X1330" s="285">
        <v>169377.32</v>
      </c>
      <c r="Y1330" s="285"/>
      <c r="Z1330" s="285">
        <v>165317.76999999999</v>
      </c>
      <c r="AA1330" s="285"/>
      <c r="AB1330" s="285"/>
      <c r="AC1330" s="56"/>
      <c r="AD1330" s="56" t="s">
        <v>1576</v>
      </c>
      <c r="AE1330" s="56"/>
    </row>
    <row r="1331" spans="1:31" x14ac:dyDescent="0.3">
      <c r="A1331" s="47">
        <f t="shared" si="289"/>
        <v>1219</v>
      </c>
      <c r="B1331" s="414" t="s">
        <v>1639</v>
      </c>
      <c r="C1331" s="51">
        <f t="shared" si="288"/>
        <v>505230.80000000005</v>
      </c>
      <c r="D1331" s="51">
        <f t="shared" si="292"/>
        <v>0</v>
      </c>
      <c r="E1331" s="51"/>
      <c r="F1331" s="51"/>
      <c r="G1331" s="51"/>
      <c r="H1331" s="51"/>
      <c r="I1331" s="51"/>
      <c r="J1331" s="51"/>
      <c r="K1331" s="51"/>
      <c r="L1331" s="51"/>
      <c r="M1331" s="35"/>
      <c r="N1331" s="51"/>
      <c r="O1331" s="82"/>
      <c r="P1331" s="51"/>
      <c r="Q1331" s="338"/>
      <c r="R1331" s="51"/>
      <c r="S1331" s="51"/>
      <c r="T1331" s="338"/>
      <c r="U1331" s="51"/>
      <c r="V1331" s="35"/>
      <c r="W1331" s="364">
        <f t="shared" si="296"/>
        <v>505230.80000000005</v>
      </c>
      <c r="X1331" s="285"/>
      <c r="Y1331" s="285">
        <v>349532.95</v>
      </c>
      <c r="Z1331" s="285">
        <v>155697.85</v>
      </c>
      <c r="AA1331" s="285"/>
      <c r="AB1331" s="285"/>
      <c r="AC1331" s="56"/>
      <c r="AD1331" s="56"/>
      <c r="AE1331" s="56"/>
    </row>
    <row r="1332" spans="1:31" x14ac:dyDescent="0.3">
      <c r="A1332" s="47">
        <f t="shared" si="289"/>
        <v>1220</v>
      </c>
      <c r="B1332" s="414" t="s">
        <v>1640</v>
      </c>
      <c r="C1332" s="51">
        <f t="shared" si="288"/>
        <v>1185280.26</v>
      </c>
      <c r="D1332" s="51">
        <f t="shared" si="292"/>
        <v>0</v>
      </c>
      <c r="E1332" s="51"/>
      <c r="F1332" s="51"/>
      <c r="G1332" s="51"/>
      <c r="H1332" s="51"/>
      <c r="I1332" s="51"/>
      <c r="J1332" s="51"/>
      <c r="K1332" s="51"/>
      <c r="L1332" s="51"/>
      <c r="M1332" s="35"/>
      <c r="N1332" s="51"/>
      <c r="O1332" s="82"/>
      <c r="P1332" s="51"/>
      <c r="Q1332" s="338"/>
      <c r="R1332" s="51"/>
      <c r="S1332" s="51"/>
      <c r="T1332" s="338"/>
      <c r="U1332" s="51"/>
      <c r="V1332" s="35"/>
      <c r="W1332" s="364">
        <f t="shared" si="296"/>
        <v>1185280.26</v>
      </c>
      <c r="X1332" s="285"/>
      <c r="Y1332" s="285">
        <v>952515.23</v>
      </c>
      <c r="Z1332" s="285">
        <v>232765.03</v>
      </c>
      <c r="AA1332" s="285"/>
      <c r="AB1332" s="56"/>
      <c r="AC1332" s="56"/>
      <c r="AD1332" s="56"/>
      <c r="AE1332" s="56"/>
    </row>
    <row r="1333" spans="1:31" x14ac:dyDescent="0.3">
      <c r="A1333" s="47">
        <f t="shared" si="289"/>
        <v>1221</v>
      </c>
      <c r="B1333" s="414" t="s">
        <v>1641</v>
      </c>
      <c r="C1333" s="51">
        <f t="shared" si="288"/>
        <v>185357.65</v>
      </c>
      <c r="D1333" s="51">
        <f t="shared" si="292"/>
        <v>0</v>
      </c>
      <c r="E1333" s="51"/>
      <c r="F1333" s="51"/>
      <c r="G1333" s="51"/>
      <c r="H1333" s="51"/>
      <c r="I1333" s="51"/>
      <c r="J1333" s="51"/>
      <c r="K1333" s="51"/>
      <c r="L1333" s="51"/>
      <c r="M1333" s="35"/>
      <c r="N1333" s="51"/>
      <c r="O1333" s="82"/>
      <c r="P1333" s="51"/>
      <c r="Q1333" s="338"/>
      <c r="R1333" s="51"/>
      <c r="S1333" s="51"/>
      <c r="T1333" s="338"/>
      <c r="U1333" s="51"/>
      <c r="V1333" s="35"/>
      <c r="W1333" s="364">
        <f t="shared" si="296"/>
        <v>185357.65</v>
      </c>
      <c r="X1333" s="285"/>
      <c r="Y1333" s="285"/>
      <c r="Z1333" s="285">
        <v>185357.65</v>
      </c>
      <c r="AA1333" s="285"/>
      <c r="AB1333" s="285"/>
      <c r="AC1333" s="56"/>
      <c r="AD1333" s="56" t="s">
        <v>1636</v>
      </c>
      <c r="AE1333" s="56"/>
    </row>
    <row r="1334" spans="1:31" x14ac:dyDescent="0.3">
      <c r="A1334" s="47">
        <f t="shared" si="289"/>
        <v>1222</v>
      </c>
      <c r="B1334" s="414" t="s">
        <v>1642</v>
      </c>
      <c r="C1334" s="51">
        <f t="shared" ref="C1334:C1397" si="297">D1334+K1334+L1334+N1334+P1334+R1334+U1334+S1334+V1334+W1334</f>
        <v>334109.25</v>
      </c>
      <c r="D1334" s="51">
        <f t="shared" si="292"/>
        <v>0</v>
      </c>
      <c r="E1334" s="51"/>
      <c r="F1334" s="51"/>
      <c r="G1334" s="51"/>
      <c r="H1334" s="51"/>
      <c r="I1334" s="51"/>
      <c r="J1334" s="51"/>
      <c r="K1334" s="51"/>
      <c r="L1334" s="51"/>
      <c r="M1334" s="35"/>
      <c r="N1334" s="51"/>
      <c r="O1334" s="82"/>
      <c r="P1334" s="51"/>
      <c r="Q1334" s="338"/>
      <c r="R1334" s="51"/>
      <c r="S1334" s="51"/>
      <c r="T1334" s="338"/>
      <c r="U1334" s="51"/>
      <c r="V1334" s="35"/>
      <c r="W1334" s="364">
        <f t="shared" si="296"/>
        <v>334109.25</v>
      </c>
      <c r="X1334" s="285">
        <v>163022.48000000001</v>
      </c>
      <c r="Y1334" s="285"/>
      <c r="Z1334" s="285">
        <v>171086.77</v>
      </c>
      <c r="AA1334" s="285"/>
      <c r="AB1334" s="285"/>
      <c r="AC1334" s="56"/>
      <c r="AD1334" s="56" t="s">
        <v>1576</v>
      </c>
      <c r="AE1334" s="56"/>
    </row>
    <row r="1335" spans="1:31" x14ac:dyDescent="0.3">
      <c r="A1335" s="47">
        <f t="shared" si="289"/>
        <v>1223</v>
      </c>
      <c r="B1335" s="414" t="s">
        <v>1643</v>
      </c>
      <c r="C1335" s="51">
        <f t="shared" si="297"/>
        <v>166983.91</v>
      </c>
      <c r="D1335" s="51">
        <f t="shared" si="292"/>
        <v>0</v>
      </c>
      <c r="E1335" s="51"/>
      <c r="F1335" s="51"/>
      <c r="G1335" s="51"/>
      <c r="H1335" s="51"/>
      <c r="I1335" s="51"/>
      <c r="J1335" s="51"/>
      <c r="K1335" s="51"/>
      <c r="L1335" s="51"/>
      <c r="M1335" s="35"/>
      <c r="N1335" s="51"/>
      <c r="O1335" s="82"/>
      <c r="P1335" s="51"/>
      <c r="Q1335" s="338"/>
      <c r="R1335" s="51"/>
      <c r="S1335" s="51"/>
      <c r="T1335" s="338"/>
      <c r="U1335" s="51"/>
      <c r="V1335" s="35"/>
      <c r="W1335" s="364">
        <f t="shared" si="296"/>
        <v>166983.91</v>
      </c>
      <c r="X1335" s="285"/>
      <c r="Y1335" s="285"/>
      <c r="Z1335" s="285">
        <v>166983.91</v>
      </c>
      <c r="AA1335" s="285"/>
      <c r="AB1335" s="285"/>
      <c r="AC1335" s="56"/>
      <c r="AD1335" s="56" t="s">
        <v>1636</v>
      </c>
      <c r="AE1335" s="56"/>
    </row>
    <row r="1336" spans="1:31" x14ac:dyDescent="0.3">
      <c r="A1336" s="47">
        <f t="shared" si="289"/>
        <v>1224</v>
      </c>
      <c r="B1336" s="414" t="s">
        <v>1644</v>
      </c>
      <c r="C1336" s="51">
        <f t="shared" si="297"/>
        <v>476945.81</v>
      </c>
      <c r="D1336" s="51">
        <f t="shared" si="292"/>
        <v>0</v>
      </c>
      <c r="E1336" s="51"/>
      <c r="F1336" s="51"/>
      <c r="G1336" s="51"/>
      <c r="H1336" s="51"/>
      <c r="I1336" s="51"/>
      <c r="J1336" s="51"/>
      <c r="K1336" s="51"/>
      <c r="L1336" s="51"/>
      <c r="M1336" s="35"/>
      <c r="N1336" s="51"/>
      <c r="O1336" s="82"/>
      <c r="P1336" s="51"/>
      <c r="Q1336" s="338"/>
      <c r="R1336" s="51"/>
      <c r="S1336" s="51"/>
      <c r="T1336" s="338"/>
      <c r="U1336" s="51"/>
      <c r="V1336" s="35"/>
      <c r="W1336" s="364">
        <f t="shared" si="296"/>
        <v>476945.81</v>
      </c>
      <c r="X1336" s="285">
        <f>136500.73+113635.5+113635.5+113174.08</f>
        <v>476945.81</v>
      </c>
      <c r="Y1336" s="285"/>
      <c r="Z1336" s="285"/>
      <c r="AA1336" s="285"/>
      <c r="AB1336" s="285"/>
      <c r="AC1336" s="56"/>
      <c r="AD1336" s="56" t="s">
        <v>1645</v>
      </c>
      <c r="AE1336" s="56"/>
    </row>
    <row r="1337" spans="1:31" x14ac:dyDescent="0.3">
      <c r="A1337" s="47">
        <f t="shared" si="289"/>
        <v>1225</v>
      </c>
      <c r="B1337" s="414" t="s">
        <v>1646</v>
      </c>
      <c r="C1337" s="51">
        <f t="shared" si="297"/>
        <v>316414.53000000003</v>
      </c>
      <c r="D1337" s="51">
        <f t="shared" si="292"/>
        <v>0</v>
      </c>
      <c r="E1337" s="51"/>
      <c r="F1337" s="51"/>
      <c r="G1337" s="51"/>
      <c r="H1337" s="51"/>
      <c r="I1337" s="51"/>
      <c r="J1337" s="51"/>
      <c r="K1337" s="51"/>
      <c r="L1337" s="51"/>
      <c r="M1337" s="35"/>
      <c r="N1337" s="51"/>
      <c r="O1337" s="82"/>
      <c r="P1337" s="51"/>
      <c r="Q1337" s="338"/>
      <c r="R1337" s="51"/>
      <c r="S1337" s="51"/>
      <c r="T1337" s="338"/>
      <c r="U1337" s="51"/>
      <c r="V1337" s="35"/>
      <c r="W1337" s="364">
        <f t="shared" si="296"/>
        <v>316414.53000000003</v>
      </c>
      <c r="X1337" s="285">
        <f>79132.69+82114.22</f>
        <v>161246.91</v>
      </c>
      <c r="Y1337" s="285">
        <v>155167.62</v>
      </c>
      <c r="Z1337" s="285"/>
      <c r="AA1337" s="285"/>
      <c r="AB1337" s="285"/>
      <c r="AC1337" s="56"/>
      <c r="AD1337" s="56" t="s">
        <v>1647</v>
      </c>
      <c r="AE1337" s="56"/>
    </row>
    <row r="1338" spans="1:31" x14ac:dyDescent="0.3">
      <c r="A1338" s="47">
        <f t="shared" si="289"/>
        <v>1226</v>
      </c>
      <c r="B1338" s="414" t="s">
        <v>1648</v>
      </c>
      <c r="C1338" s="51">
        <f t="shared" si="297"/>
        <v>169420.21</v>
      </c>
      <c r="D1338" s="51">
        <f t="shared" si="292"/>
        <v>0</v>
      </c>
      <c r="E1338" s="51"/>
      <c r="F1338" s="51"/>
      <c r="G1338" s="51"/>
      <c r="H1338" s="51"/>
      <c r="I1338" s="51"/>
      <c r="J1338" s="51"/>
      <c r="K1338" s="51"/>
      <c r="L1338" s="51"/>
      <c r="M1338" s="35"/>
      <c r="N1338" s="51"/>
      <c r="O1338" s="82"/>
      <c r="P1338" s="51"/>
      <c r="Q1338" s="338"/>
      <c r="R1338" s="51"/>
      <c r="S1338" s="51"/>
      <c r="T1338" s="338"/>
      <c r="U1338" s="51"/>
      <c r="V1338" s="35"/>
      <c r="W1338" s="364">
        <f t="shared" si="296"/>
        <v>169420.21</v>
      </c>
      <c r="X1338" s="285">
        <f>83772.06+85648.15</f>
        <v>169420.21</v>
      </c>
      <c r="Y1338" s="285"/>
      <c r="Z1338" s="285"/>
      <c r="AA1338" s="285"/>
      <c r="AB1338" s="285"/>
      <c r="AC1338" s="56"/>
      <c r="AD1338" s="56" t="s">
        <v>1647</v>
      </c>
      <c r="AE1338" s="56"/>
    </row>
    <row r="1339" spans="1:31" x14ac:dyDescent="0.3">
      <c r="A1339" s="47">
        <f t="shared" si="289"/>
        <v>1227</v>
      </c>
      <c r="B1339" s="414" t="s">
        <v>1649</v>
      </c>
      <c r="C1339" s="51">
        <f t="shared" si="297"/>
        <v>130000</v>
      </c>
      <c r="D1339" s="51">
        <f t="shared" si="292"/>
        <v>0</v>
      </c>
      <c r="E1339" s="51"/>
      <c r="F1339" s="51"/>
      <c r="G1339" s="51"/>
      <c r="H1339" s="51"/>
      <c r="I1339" s="51"/>
      <c r="J1339" s="51"/>
      <c r="K1339" s="51"/>
      <c r="L1339" s="51"/>
      <c r="M1339" s="35"/>
      <c r="N1339" s="51"/>
      <c r="O1339" s="82"/>
      <c r="P1339" s="51"/>
      <c r="Q1339" s="338"/>
      <c r="R1339" s="51"/>
      <c r="S1339" s="51"/>
      <c r="T1339" s="338"/>
      <c r="U1339" s="51"/>
      <c r="V1339" s="35"/>
      <c r="W1339" s="364">
        <v>130000</v>
      </c>
      <c r="X1339" s="285"/>
      <c r="Y1339" s="285"/>
      <c r="Z1339" s="285"/>
      <c r="AA1339" s="285"/>
      <c r="AB1339" s="285"/>
      <c r="AC1339" s="56"/>
      <c r="AD1339" s="56"/>
      <c r="AE1339" s="56"/>
    </row>
    <row r="1340" spans="1:31" x14ac:dyDescent="0.3">
      <c r="A1340" s="47">
        <f t="shared" si="289"/>
        <v>1228</v>
      </c>
      <c r="B1340" s="414" t="s">
        <v>1650</v>
      </c>
      <c r="C1340" s="51">
        <f t="shared" si="297"/>
        <v>130000</v>
      </c>
      <c r="D1340" s="51">
        <f t="shared" si="292"/>
        <v>0</v>
      </c>
      <c r="E1340" s="51"/>
      <c r="F1340" s="51"/>
      <c r="G1340" s="51"/>
      <c r="H1340" s="51"/>
      <c r="I1340" s="51"/>
      <c r="J1340" s="51"/>
      <c r="K1340" s="51"/>
      <c r="L1340" s="51"/>
      <c r="M1340" s="35"/>
      <c r="N1340" s="51"/>
      <c r="O1340" s="82"/>
      <c r="P1340" s="51"/>
      <c r="Q1340" s="338"/>
      <c r="R1340" s="51"/>
      <c r="S1340" s="51"/>
      <c r="T1340" s="338"/>
      <c r="U1340" s="51"/>
      <c r="V1340" s="35"/>
      <c r="W1340" s="364">
        <v>130000</v>
      </c>
      <c r="X1340" s="285"/>
      <c r="Y1340" s="285"/>
      <c r="Z1340" s="285"/>
      <c r="AA1340" s="285"/>
      <c r="AB1340" s="285"/>
      <c r="AC1340" s="56"/>
      <c r="AD1340" s="56"/>
      <c r="AE1340" s="56"/>
    </row>
    <row r="1341" spans="1:31" x14ac:dyDescent="0.3">
      <c r="A1341" s="47">
        <f t="shared" si="289"/>
        <v>1229</v>
      </c>
      <c r="B1341" s="414" t="s">
        <v>1651</v>
      </c>
      <c r="C1341" s="51">
        <f t="shared" si="297"/>
        <v>426092.16</v>
      </c>
      <c r="D1341" s="51">
        <f t="shared" si="292"/>
        <v>0</v>
      </c>
      <c r="E1341" s="51"/>
      <c r="F1341" s="51"/>
      <c r="G1341" s="51"/>
      <c r="H1341" s="51"/>
      <c r="I1341" s="51"/>
      <c r="J1341" s="51"/>
      <c r="K1341" s="51"/>
      <c r="L1341" s="51"/>
      <c r="M1341" s="35"/>
      <c r="N1341" s="51"/>
      <c r="O1341" s="82"/>
      <c r="P1341" s="51"/>
      <c r="Q1341" s="338"/>
      <c r="R1341" s="51"/>
      <c r="S1341" s="51"/>
      <c r="T1341" s="338"/>
      <c r="U1341" s="51"/>
      <c r="V1341" s="35"/>
      <c r="W1341" s="364">
        <f t="shared" ref="W1341:W1351" si="298">SUM(X1341:AB1341)</f>
        <v>426092.16</v>
      </c>
      <c r="X1341" s="285">
        <f>131209.26+110547.55+73787.8+110547.55</f>
        <v>426092.16</v>
      </c>
      <c r="Y1341" s="285"/>
      <c r="Z1341" s="285"/>
      <c r="AA1341" s="285"/>
      <c r="AB1341" s="285"/>
      <c r="AC1341" s="56"/>
      <c r="AD1341" s="56" t="s">
        <v>1652</v>
      </c>
      <c r="AE1341" s="56"/>
    </row>
    <row r="1342" spans="1:31" x14ac:dyDescent="0.3">
      <c r="A1342" s="47">
        <f t="shared" si="289"/>
        <v>1230</v>
      </c>
      <c r="B1342" s="414" t="s">
        <v>1653</v>
      </c>
      <c r="C1342" s="51">
        <f t="shared" si="297"/>
        <v>165786.9</v>
      </c>
      <c r="D1342" s="51">
        <f t="shared" si="292"/>
        <v>0</v>
      </c>
      <c r="E1342" s="51"/>
      <c r="F1342" s="51"/>
      <c r="G1342" s="51"/>
      <c r="H1342" s="51"/>
      <c r="I1342" s="51"/>
      <c r="J1342" s="51"/>
      <c r="K1342" s="51"/>
      <c r="L1342" s="51"/>
      <c r="M1342" s="35"/>
      <c r="N1342" s="51"/>
      <c r="O1342" s="82"/>
      <c r="P1342" s="51"/>
      <c r="Q1342" s="338"/>
      <c r="R1342" s="51"/>
      <c r="S1342" s="51"/>
      <c r="T1342" s="338"/>
      <c r="U1342" s="51"/>
      <c r="V1342" s="35"/>
      <c r="W1342" s="364">
        <f t="shared" si="298"/>
        <v>165786.9</v>
      </c>
      <c r="X1342" s="285">
        <v>53560.07</v>
      </c>
      <c r="Y1342" s="285">
        <v>112226.83</v>
      </c>
      <c r="Z1342" s="285"/>
      <c r="AA1342" s="285"/>
      <c r="AB1342" s="285"/>
      <c r="AC1342" s="56"/>
      <c r="AD1342" s="56" t="s">
        <v>1576</v>
      </c>
      <c r="AE1342" s="56"/>
    </row>
    <row r="1343" spans="1:31" x14ac:dyDescent="0.3">
      <c r="A1343" s="47">
        <f t="shared" si="289"/>
        <v>1231</v>
      </c>
      <c r="B1343" s="414" t="s">
        <v>1654</v>
      </c>
      <c r="C1343" s="51">
        <f t="shared" si="297"/>
        <v>509561.04999999993</v>
      </c>
      <c r="D1343" s="51">
        <f t="shared" si="292"/>
        <v>0</v>
      </c>
      <c r="E1343" s="51"/>
      <c r="F1343" s="51"/>
      <c r="G1343" s="51"/>
      <c r="H1343" s="51"/>
      <c r="I1343" s="51"/>
      <c r="J1343" s="51"/>
      <c r="K1343" s="51"/>
      <c r="L1343" s="51"/>
      <c r="M1343" s="35"/>
      <c r="N1343" s="51"/>
      <c r="O1343" s="82"/>
      <c r="P1343" s="51"/>
      <c r="Q1343" s="338"/>
      <c r="R1343" s="51"/>
      <c r="S1343" s="51"/>
      <c r="T1343" s="338"/>
      <c r="U1343" s="51"/>
      <c r="V1343" s="35"/>
      <c r="W1343" s="364">
        <f t="shared" si="298"/>
        <v>509561.04999999993</v>
      </c>
      <c r="X1343" s="285">
        <f>102060.74+82327.12+84158.24+82327.12</f>
        <v>350873.22</v>
      </c>
      <c r="Y1343" s="285">
        <v>158687.82999999999</v>
      </c>
      <c r="Z1343" s="285"/>
      <c r="AA1343" s="285"/>
      <c r="AB1343" s="285"/>
      <c r="AC1343" s="56"/>
      <c r="AD1343" s="56" t="s">
        <v>1652</v>
      </c>
      <c r="AE1343" s="56"/>
    </row>
    <row r="1344" spans="1:31" x14ac:dyDescent="0.3">
      <c r="A1344" s="47">
        <f t="shared" si="289"/>
        <v>1232</v>
      </c>
      <c r="B1344" s="414" t="s">
        <v>1655</v>
      </c>
      <c r="C1344" s="51">
        <f t="shared" si="297"/>
        <v>467806.79</v>
      </c>
      <c r="D1344" s="51">
        <f t="shared" si="292"/>
        <v>0</v>
      </c>
      <c r="E1344" s="51"/>
      <c r="F1344" s="51"/>
      <c r="G1344" s="51"/>
      <c r="H1344" s="51"/>
      <c r="I1344" s="51"/>
      <c r="J1344" s="51"/>
      <c r="K1344" s="51"/>
      <c r="L1344" s="51"/>
      <c r="M1344" s="35"/>
      <c r="N1344" s="51"/>
      <c r="O1344" s="82"/>
      <c r="P1344" s="51"/>
      <c r="Q1344" s="338"/>
      <c r="R1344" s="51"/>
      <c r="S1344" s="51"/>
      <c r="T1344" s="338"/>
      <c r="U1344" s="51"/>
      <c r="V1344" s="35"/>
      <c r="W1344" s="364">
        <f t="shared" si="298"/>
        <v>467806.79</v>
      </c>
      <c r="X1344" s="285">
        <f>131780.27+111100.39+113825.74+111100.39</f>
        <v>467806.79</v>
      </c>
      <c r="Y1344" s="285"/>
      <c r="Z1344" s="285"/>
      <c r="AA1344" s="285"/>
      <c r="AB1344" s="285"/>
      <c r="AC1344" s="56"/>
      <c r="AD1344" s="56" t="s">
        <v>1652</v>
      </c>
      <c r="AE1344" s="56"/>
    </row>
    <row r="1345" spans="1:31" x14ac:dyDescent="0.3">
      <c r="A1345" s="47">
        <f t="shared" si="289"/>
        <v>1233</v>
      </c>
      <c r="B1345" s="414" t="s">
        <v>1656</v>
      </c>
      <c r="C1345" s="51">
        <f t="shared" si="297"/>
        <v>453155.28</v>
      </c>
      <c r="D1345" s="51">
        <f t="shared" si="292"/>
        <v>0</v>
      </c>
      <c r="E1345" s="51"/>
      <c r="F1345" s="51"/>
      <c r="G1345" s="51"/>
      <c r="H1345" s="51"/>
      <c r="I1345" s="51"/>
      <c r="J1345" s="51"/>
      <c r="K1345" s="51"/>
      <c r="L1345" s="51"/>
      <c r="M1345" s="35"/>
      <c r="N1345" s="51"/>
      <c r="O1345" s="82"/>
      <c r="P1345" s="51"/>
      <c r="Q1345" s="338"/>
      <c r="R1345" s="51"/>
      <c r="S1345" s="51"/>
      <c r="T1345" s="338"/>
      <c r="U1345" s="51"/>
      <c r="V1345" s="35"/>
      <c r="W1345" s="364">
        <f t="shared" si="298"/>
        <v>453155.28</v>
      </c>
      <c r="X1345" s="285">
        <f>128056.49+107495.16+110108.47+107495.16</f>
        <v>453155.28</v>
      </c>
      <c r="Y1345" s="285"/>
      <c r="Z1345" s="285"/>
      <c r="AA1345" s="285"/>
      <c r="AB1345" s="285"/>
      <c r="AC1345" s="56"/>
      <c r="AD1345" s="56" t="s">
        <v>1652</v>
      </c>
      <c r="AE1345" s="56"/>
    </row>
    <row r="1346" spans="1:31" x14ac:dyDescent="0.3">
      <c r="A1346" s="47">
        <f t="shared" ref="A1346:A1409" si="299">A1345+1</f>
        <v>1234</v>
      </c>
      <c r="B1346" s="414" t="s">
        <v>1657</v>
      </c>
      <c r="C1346" s="51">
        <f t="shared" si="297"/>
        <v>636065.34000000008</v>
      </c>
      <c r="D1346" s="51">
        <f t="shared" si="292"/>
        <v>0</v>
      </c>
      <c r="E1346" s="51"/>
      <c r="F1346" s="51"/>
      <c r="G1346" s="51"/>
      <c r="H1346" s="51"/>
      <c r="I1346" s="51"/>
      <c r="J1346" s="51"/>
      <c r="K1346" s="51"/>
      <c r="L1346" s="51"/>
      <c r="M1346" s="35"/>
      <c r="N1346" s="51"/>
      <c r="O1346" s="82"/>
      <c r="P1346" s="51"/>
      <c r="Q1346" s="338"/>
      <c r="R1346" s="51"/>
      <c r="S1346" s="51"/>
      <c r="T1346" s="338"/>
      <c r="U1346" s="51"/>
      <c r="V1346" s="35"/>
      <c r="W1346" s="364">
        <f t="shared" si="298"/>
        <v>636065.34000000008</v>
      </c>
      <c r="X1346" s="285">
        <f>124791.36+104915.2+104915.2+106767.95</f>
        <v>441389.71</v>
      </c>
      <c r="Y1346" s="285">
        <v>194675.63</v>
      </c>
      <c r="Z1346" s="285"/>
      <c r="AA1346" s="285"/>
      <c r="AB1346" s="285"/>
      <c r="AC1346" s="56"/>
      <c r="AD1346" s="56" t="s">
        <v>1658</v>
      </c>
      <c r="AE1346" s="56"/>
    </row>
    <row r="1347" spans="1:31" x14ac:dyDescent="0.3">
      <c r="A1347" s="47">
        <f t="shared" si="299"/>
        <v>1235</v>
      </c>
      <c r="B1347" s="414" t="s">
        <v>1659</v>
      </c>
      <c r="C1347" s="51">
        <f t="shared" si="297"/>
        <v>827804.95</v>
      </c>
      <c r="D1347" s="51">
        <f t="shared" ref="D1347:D1410" si="300">E1347+F1347+G1347+H1347+I1347</f>
        <v>0</v>
      </c>
      <c r="E1347" s="51"/>
      <c r="F1347" s="51"/>
      <c r="G1347" s="51"/>
      <c r="H1347" s="51"/>
      <c r="I1347" s="51"/>
      <c r="J1347" s="51"/>
      <c r="K1347" s="51"/>
      <c r="L1347" s="51"/>
      <c r="M1347" s="35"/>
      <c r="N1347" s="51"/>
      <c r="O1347" s="82"/>
      <c r="P1347" s="51"/>
      <c r="Q1347" s="338"/>
      <c r="R1347" s="51"/>
      <c r="S1347" s="51"/>
      <c r="T1347" s="338"/>
      <c r="U1347" s="51"/>
      <c r="V1347" s="35"/>
      <c r="W1347" s="364">
        <f t="shared" si="298"/>
        <v>827804.95</v>
      </c>
      <c r="X1347" s="285">
        <v>194978.93</v>
      </c>
      <c r="Y1347" s="285">
        <v>356958.42</v>
      </c>
      <c r="Z1347" s="285">
        <v>275867.59999999998</v>
      </c>
      <c r="AA1347" s="285"/>
      <c r="AB1347" s="285"/>
      <c r="AC1347" s="56"/>
      <c r="AD1347" s="56" t="s">
        <v>1576</v>
      </c>
      <c r="AE1347" s="56"/>
    </row>
    <row r="1348" spans="1:31" x14ac:dyDescent="0.3">
      <c r="A1348" s="47">
        <f t="shared" si="299"/>
        <v>1236</v>
      </c>
      <c r="B1348" s="414" t="s">
        <v>1660</v>
      </c>
      <c r="C1348" s="51">
        <f t="shared" si="297"/>
        <v>232125.12</v>
      </c>
      <c r="D1348" s="51">
        <f t="shared" si="300"/>
        <v>0</v>
      </c>
      <c r="E1348" s="51"/>
      <c r="F1348" s="51"/>
      <c r="G1348" s="51"/>
      <c r="H1348" s="51"/>
      <c r="I1348" s="51"/>
      <c r="J1348" s="51"/>
      <c r="K1348" s="51"/>
      <c r="L1348" s="51"/>
      <c r="M1348" s="35"/>
      <c r="N1348" s="51"/>
      <c r="O1348" s="82"/>
      <c r="P1348" s="51"/>
      <c r="Q1348" s="338"/>
      <c r="R1348" s="51"/>
      <c r="S1348" s="51"/>
      <c r="T1348" s="338"/>
      <c r="U1348" s="51"/>
      <c r="V1348" s="35"/>
      <c r="W1348" s="364">
        <f t="shared" si="298"/>
        <v>232125.12</v>
      </c>
      <c r="X1348" s="285"/>
      <c r="Y1348" s="285"/>
      <c r="Z1348" s="285">
        <v>232125.12</v>
      </c>
      <c r="AA1348" s="285"/>
      <c r="AB1348" s="285"/>
      <c r="AC1348" s="56"/>
      <c r="AD1348" s="56"/>
      <c r="AE1348" s="56"/>
    </row>
    <row r="1349" spans="1:31" x14ac:dyDescent="0.3">
      <c r="A1349" s="47">
        <f t="shared" si="299"/>
        <v>1237</v>
      </c>
      <c r="B1349" s="414" t="s">
        <v>1661</v>
      </c>
      <c r="C1349" s="51">
        <f t="shared" si="297"/>
        <v>1234557.6000000001</v>
      </c>
      <c r="D1349" s="51">
        <f t="shared" si="300"/>
        <v>0</v>
      </c>
      <c r="E1349" s="51"/>
      <c r="F1349" s="51"/>
      <c r="G1349" s="51"/>
      <c r="H1349" s="51"/>
      <c r="I1349" s="51"/>
      <c r="J1349" s="51"/>
      <c r="K1349" s="51"/>
      <c r="L1349" s="51"/>
      <c r="M1349" s="35"/>
      <c r="N1349" s="51"/>
      <c r="O1349" s="82"/>
      <c r="P1349" s="51"/>
      <c r="Q1349" s="338"/>
      <c r="R1349" s="51"/>
      <c r="S1349" s="51"/>
      <c r="T1349" s="338"/>
      <c r="U1349" s="51"/>
      <c r="V1349" s="35"/>
      <c r="W1349" s="364">
        <f t="shared" si="298"/>
        <v>1234557.6000000001</v>
      </c>
      <c r="X1349" s="285">
        <v>360237.24</v>
      </c>
      <c r="Y1349" s="368">
        <v>621739.61</v>
      </c>
      <c r="Z1349" s="285">
        <v>252580.75</v>
      </c>
      <c r="AA1349" s="285"/>
      <c r="AB1349" s="285"/>
      <c r="AC1349" s="56"/>
      <c r="AD1349" s="56" t="s">
        <v>1395</v>
      </c>
      <c r="AE1349" s="56"/>
    </row>
    <row r="1350" spans="1:31" x14ac:dyDescent="0.3">
      <c r="A1350" s="47">
        <f t="shared" si="299"/>
        <v>1238</v>
      </c>
      <c r="B1350" s="414" t="s">
        <v>1662</v>
      </c>
      <c r="C1350" s="51">
        <f t="shared" si="297"/>
        <v>186056.09</v>
      </c>
      <c r="D1350" s="51">
        <f t="shared" si="300"/>
        <v>0</v>
      </c>
      <c r="E1350" s="51"/>
      <c r="F1350" s="51"/>
      <c r="G1350" s="51"/>
      <c r="H1350" s="51"/>
      <c r="I1350" s="51"/>
      <c r="J1350" s="51"/>
      <c r="K1350" s="51"/>
      <c r="L1350" s="51"/>
      <c r="M1350" s="35"/>
      <c r="N1350" s="51"/>
      <c r="O1350" s="82"/>
      <c r="P1350" s="51"/>
      <c r="Q1350" s="338"/>
      <c r="R1350" s="51"/>
      <c r="S1350" s="51"/>
      <c r="T1350" s="338"/>
      <c r="U1350" s="51"/>
      <c r="V1350" s="35"/>
      <c r="W1350" s="364">
        <f t="shared" si="298"/>
        <v>186056.09</v>
      </c>
      <c r="X1350" s="285"/>
      <c r="Y1350" s="285"/>
      <c r="Z1350" s="285">
        <v>186056.09</v>
      </c>
      <c r="AA1350" s="285"/>
      <c r="AB1350" s="285"/>
      <c r="AC1350" s="56"/>
      <c r="AD1350" s="56" t="s">
        <v>1663</v>
      </c>
      <c r="AE1350" s="56"/>
    </row>
    <row r="1351" spans="1:31" x14ac:dyDescent="0.3">
      <c r="A1351" s="47">
        <f t="shared" si="299"/>
        <v>1239</v>
      </c>
      <c r="B1351" s="414" t="s">
        <v>1664</v>
      </c>
      <c r="C1351" s="51">
        <f t="shared" si="297"/>
        <v>647488.11</v>
      </c>
      <c r="D1351" s="51">
        <f t="shared" si="300"/>
        <v>0</v>
      </c>
      <c r="E1351" s="51"/>
      <c r="F1351" s="51"/>
      <c r="G1351" s="51"/>
      <c r="H1351" s="51"/>
      <c r="I1351" s="51"/>
      <c r="J1351" s="51"/>
      <c r="K1351" s="51"/>
      <c r="L1351" s="51"/>
      <c r="M1351" s="35"/>
      <c r="N1351" s="51"/>
      <c r="O1351" s="82"/>
      <c r="P1351" s="51"/>
      <c r="Q1351" s="338"/>
      <c r="R1351" s="51"/>
      <c r="S1351" s="51"/>
      <c r="T1351" s="338"/>
      <c r="U1351" s="51"/>
      <c r="V1351" s="35"/>
      <c r="W1351" s="364">
        <f t="shared" si="298"/>
        <v>647488.11</v>
      </c>
      <c r="X1351" s="285">
        <f>109343.88
+127758.44+107737.42+107737.42</f>
        <v>452577.16</v>
      </c>
      <c r="Y1351" s="285"/>
      <c r="Z1351" s="285">
        <v>194910.95</v>
      </c>
      <c r="AA1351" s="285"/>
      <c r="AB1351" s="285"/>
      <c r="AC1351" s="56"/>
      <c r="AD1351" s="56" t="s">
        <v>1665</v>
      </c>
      <c r="AE1351" s="56"/>
    </row>
    <row r="1352" spans="1:31" x14ac:dyDescent="0.3">
      <c r="A1352" s="47">
        <f t="shared" si="299"/>
        <v>1240</v>
      </c>
      <c r="B1352" s="414" t="s">
        <v>1666</v>
      </c>
      <c r="C1352" s="51">
        <f t="shared" si="297"/>
        <v>130000</v>
      </c>
      <c r="D1352" s="51">
        <f t="shared" si="300"/>
        <v>0</v>
      </c>
      <c r="E1352" s="51"/>
      <c r="F1352" s="51"/>
      <c r="G1352" s="51"/>
      <c r="H1352" s="51"/>
      <c r="I1352" s="51"/>
      <c r="J1352" s="51"/>
      <c r="K1352" s="51"/>
      <c r="L1352" s="51"/>
      <c r="M1352" s="35"/>
      <c r="N1352" s="51"/>
      <c r="O1352" s="82"/>
      <c r="P1352" s="51"/>
      <c r="Q1352" s="338"/>
      <c r="R1352" s="51"/>
      <c r="S1352" s="51"/>
      <c r="T1352" s="338"/>
      <c r="U1352" s="51"/>
      <c r="V1352" s="35"/>
      <c r="W1352" s="364">
        <v>130000</v>
      </c>
      <c r="X1352" s="285"/>
      <c r="Y1352" s="285"/>
      <c r="Z1352" s="285"/>
      <c r="AA1352" s="285"/>
      <c r="AB1352" s="285"/>
      <c r="AC1352" s="56"/>
      <c r="AD1352" s="56"/>
      <c r="AE1352" s="56"/>
    </row>
    <row r="1353" spans="1:31" x14ac:dyDescent="0.3">
      <c r="A1353" s="47">
        <f t="shared" si="299"/>
        <v>1241</v>
      </c>
      <c r="B1353" s="414" t="s">
        <v>1667</v>
      </c>
      <c r="C1353" s="51">
        <f t="shared" si="297"/>
        <v>1074556.4099999999</v>
      </c>
      <c r="D1353" s="51">
        <f t="shared" si="300"/>
        <v>0</v>
      </c>
      <c r="E1353" s="51"/>
      <c r="F1353" s="51"/>
      <c r="G1353" s="51"/>
      <c r="H1353" s="51"/>
      <c r="I1353" s="51"/>
      <c r="J1353" s="51"/>
      <c r="K1353" s="51"/>
      <c r="L1353" s="51"/>
      <c r="M1353" s="35"/>
      <c r="N1353" s="51"/>
      <c r="O1353" s="82"/>
      <c r="P1353" s="51"/>
      <c r="Q1353" s="338"/>
      <c r="R1353" s="51"/>
      <c r="S1353" s="51"/>
      <c r="T1353" s="338"/>
      <c r="U1353" s="51"/>
      <c r="V1353" s="35"/>
      <c r="W1353" s="364">
        <f>SUM(X1353:AB1353)</f>
        <v>1074556.4099999999</v>
      </c>
      <c r="X1353" s="285">
        <f>166602.58+177468.97+207501.02</f>
        <v>551572.56999999995</v>
      </c>
      <c r="Y1353" s="285">
        <v>336193.88</v>
      </c>
      <c r="Z1353" s="285">
        <v>186789.96</v>
      </c>
      <c r="AA1353" s="285"/>
      <c r="AB1353" s="285"/>
      <c r="AC1353" s="56"/>
      <c r="AD1353" s="56" t="s">
        <v>1515</v>
      </c>
      <c r="AE1353" s="56"/>
    </row>
    <row r="1354" spans="1:31" x14ac:dyDescent="0.3">
      <c r="A1354" s="47">
        <f t="shared" si="299"/>
        <v>1242</v>
      </c>
      <c r="B1354" s="414" t="s">
        <v>1668</v>
      </c>
      <c r="C1354" s="51">
        <f t="shared" si="297"/>
        <v>316414.53000000003</v>
      </c>
      <c r="D1354" s="51">
        <f t="shared" si="300"/>
        <v>0</v>
      </c>
      <c r="E1354" s="51"/>
      <c r="F1354" s="51"/>
      <c r="G1354" s="51"/>
      <c r="H1354" s="51"/>
      <c r="I1354" s="51"/>
      <c r="J1354" s="51"/>
      <c r="K1354" s="51"/>
      <c r="L1354" s="51"/>
      <c r="M1354" s="35"/>
      <c r="N1354" s="51"/>
      <c r="O1354" s="82"/>
      <c r="P1354" s="51"/>
      <c r="Q1354" s="338"/>
      <c r="R1354" s="51"/>
      <c r="S1354" s="51"/>
      <c r="T1354" s="338"/>
      <c r="U1354" s="51"/>
      <c r="V1354" s="35"/>
      <c r="W1354" s="364">
        <f>SUM(X1337:AB1337)</f>
        <v>316414.53000000003</v>
      </c>
      <c r="X1354" s="285">
        <v>271269.32</v>
      </c>
      <c r="Y1354" s="285">
        <v>479185.09</v>
      </c>
      <c r="Z1354" s="285">
        <v>222133.97</v>
      </c>
      <c r="AA1354" s="285"/>
      <c r="AB1354" s="285"/>
      <c r="AC1354" s="56"/>
      <c r="AD1354" s="56" t="s">
        <v>1395</v>
      </c>
      <c r="AE1354" s="56"/>
    </row>
    <row r="1355" spans="1:31" x14ac:dyDescent="0.3">
      <c r="A1355" s="47">
        <f t="shared" si="299"/>
        <v>1243</v>
      </c>
      <c r="B1355" s="414" t="s">
        <v>1669</v>
      </c>
      <c r="C1355" s="51">
        <f t="shared" si="297"/>
        <v>572019.87</v>
      </c>
      <c r="D1355" s="51">
        <f t="shared" si="300"/>
        <v>0</v>
      </c>
      <c r="E1355" s="51"/>
      <c r="F1355" s="51"/>
      <c r="G1355" s="51"/>
      <c r="H1355" s="51"/>
      <c r="I1355" s="51"/>
      <c r="J1355" s="51"/>
      <c r="K1355" s="51"/>
      <c r="L1355" s="51"/>
      <c r="M1355" s="35"/>
      <c r="N1355" s="51"/>
      <c r="O1355" s="82"/>
      <c r="P1355" s="51"/>
      <c r="Q1355" s="338"/>
      <c r="R1355" s="51"/>
      <c r="S1355" s="51"/>
      <c r="T1355" s="338"/>
      <c r="U1355" s="51"/>
      <c r="V1355" s="35"/>
      <c r="W1355" s="364">
        <f t="shared" ref="W1355:W1386" si="301">SUM(X1355:AB1355)</f>
        <v>572019.87</v>
      </c>
      <c r="X1355" s="285">
        <v>141907.60999999999</v>
      </c>
      <c r="Y1355" s="285">
        <v>295964.98</v>
      </c>
      <c r="Z1355" s="285">
        <v>134147.28</v>
      </c>
      <c r="AA1355" s="285"/>
      <c r="AB1355" s="285"/>
      <c r="AC1355" s="56"/>
      <c r="AD1355" s="56" t="s">
        <v>1395</v>
      </c>
      <c r="AE1355" s="56"/>
    </row>
    <row r="1356" spans="1:31" x14ac:dyDescent="0.3">
      <c r="A1356" s="47">
        <f t="shared" si="299"/>
        <v>1244</v>
      </c>
      <c r="B1356" s="414" t="s">
        <v>1670</v>
      </c>
      <c r="C1356" s="51">
        <f t="shared" si="297"/>
        <v>585016.63</v>
      </c>
      <c r="D1356" s="51">
        <f t="shared" si="300"/>
        <v>0</v>
      </c>
      <c r="E1356" s="51"/>
      <c r="F1356" s="51"/>
      <c r="G1356" s="51"/>
      <c r="H1356" s="51"/>
      <c r="I1356" s="51"/>
      <c r="J1356" s="51"/>
      <c r="K1356" s="51"/>
      <c r="L1356" s="51"/>
      <c r="M1356" s="35"/>
      <c r="N1356" s="51"/>
      <c r="O1356" s="82"/>
      <c r="P1356" s="51"/>
      <c r="Q1356" s="338"/>
      <c r="R1356" s="51"/>
      <c r="S1356" s="51"/>
      <c r="T1356" s="338"/>
      <c r="U1356" s="51"/>
      <c r="V1356" s="35"/>
      <c r="W1356" s="364">
        <f t="shared" si="301"/>
        <v>585016.63</v>
      </c>
      <c r="X1356" s="285">
        <v>143777.32</v>
      </c>
      <c r="Y1356" s="285">
        <v>299010.74</v>
      </c>
      <c r="Z1356" s="285">
        <v>142228.57</v>
      </c>
      <c r="AA1356" s="285"/>
      <c r="AB1356" s="285"/>
      <c r="AC1356" s="56"/>
      <c r="AD1356" s="56" t="s">
        <v>1395</v>
      </c>
      <c r="AE1356" s="56"/>
    </row>
    <row r="1357" spans="1:31" x14ac:dyDescent="0.3">
      <c r="A1357" s="47">
        <f t="shared" si="299"/>
        <v>1245</v>
      </c>
      <c r="B1357" s="414" t="s">
        <v>1671</v>
      </c>
      <c r="C1357" s="51">
        <f t="shared" si="297"/>
        <v>623224.44999999995</v>
      </c>
      <c r="D1357" s="51">
        <f t="shared" si="300"/>
        <v>0</v>
      </c>
      <c r="E1357" s="51"/>
      <c r="F1357" s="51"/>
      <c r="G1357" s="51"/>
      <c r="H1357" s="51"/>
      <c r="I1357" s="51"/>
      <c r="J1357" s="51"/>
      <c r="K1357" s="51"/>
      <c r="L1357" s="51"/>
      <c r="M1357" s="35"/>
      <c r="N1357" s="51"/>
      <c r="O1357" s="82"/>
      <c r="P1357" s="51"/>
      <c r="Q1357" s="338"/>
      <c r="R1357" s="51"/>
      <c r="S1357" s="51"/>
      <c r="T1357" s="338"/>
      <c r="U1357" s="51"/>
      <c r="V1357" s="35"/>
      <c r="W1357" s="364">
        <f t="shared" si="301"/>
        <v>623224.44999999995</v>
      </c>
      <c r="X1357" s="285">
        <f>117848.23+115671.1+153005.53</f>
        <v>386524.86</v>
      </c>
      <c r="Y1357" s="285"/>
      <c r="Z1357" s="285">
        <v>236699.59</v>
      </c>
      <c r="AA1357" s="285"/>
      <c r="AB1357" s="285"/>
      <c r="AC1357" s="56"/>
      <c r="AD1357" s="56" t="s">
        <v>1532</v>
      </c>
      <c r="AE1357" s="56"/>
    </row>
    <row r="1358" spans="1:31" x14ac:dyDescent="0.3">
      <c r="A1358" s="47">
        <f t="shared" si="299"/>
        <v>1246</v>
      </c>
      <c r="B1358" s="414" t="s">
        <v>1672</v>
      </c>
      <c r="C1358" s="51">
        <f t="shared" si="297"/>
        <v>346779.01</v>
      </c>
      <c r="D1358" s="51">
        <f t="shared" si="300"/>
        <v>0</v>
      </c>
      <c r="E1358" s="51"/>
      <c r="F1358" s="51"/>
      <c r="G1358" s="51"/>
      <c r="H1358" s="51"/>
      <c r="I1358" s="51"/>
      <c r="J1358" s="51"/>
      <c r="K1358" s="51"/>
      <c r="L1358" s="51"/>
      <c r="M1358" s="35"/>
      <c r="N1358" s="51"/>
      <c r="O1358" s="82"/>
      <c r="P1358" s="51"/>
      <c r="Q1358" s="338"/>
      <c r="R1358" s="51"/>
      <c r="S1358" s="51"/>
      <c r="T1358" s="338"/>
      <c r="U1358" s="51"/>
      <c r="V1358" s="35"/>
      <c r="W1358" s="364">
        <f t="shared" si="301"/>
        <v>346779.01</v>
      </c>
      <c r="X1358" s="285">
        <v>143773.57</v>
      </c>
      <c r="Y1358" s="285"/>
      <c r="Z1358" s="285">
        <v>203005.44</v>
      </c>
      <c r="AA1358" s="285"/>
      <c r="AB1358" s="285"/>
      <c r="AC1358" s="56"/>
      <c r="AD1358" s="56" t="s">
        <v>1673</v>
      </c>
      <c r="AE1358" s="56"/>
    </row>
    <row r="1359" spans="1:31" x14ac:dyDescent="0.3">
      <c r="A1359" s="47">
        <f t="shared" si="299"/>
        <v>1247</v>
      </c>
      <c r="B1359" s="414" t="s">
        <v>1674</v>
      </c>
      <c r="C1359" s="51">
        <f t="shared" si="297"/>
        <v>442421.93000000005</v>
      </c>
      <c r="D1359" s="51">
        <f t="shared" si="300"/>
        <v>0</v>
      </c>
      <c r="E1359" s="51"/>
      <c r="F1359" s="51"/>
      <c r="G1359" s="51"/>
      <c r="H1359" s="51"/>
      <c r="I1359" s="51"/>
      <c r="J1359" s="51"/>
      <c r="K1359" s="51"/>
      <c r="L1359" s="51"/>
      <c r="M1359" s="35"/>
      <c r="N1359" s="51"/>
      <c r="O1359" s="82"/>
      <c r="P1359" s="51"/>
      <c r="Q1359" s="338"/>
      <c r="R1359" s="51"/>
      <c r="S1359" s="51"/>
      <c r="T1359" s="338"/>
      <c r="U1359" s="51"/>
      <c r="V1359" s="35"/>
      <c r="W1359" s="364">
        <f t="shared" si="301"/>
        <v>442421.93000000005</v>
      </c>
      <c r="X1359" s="285">
        <v>202609.01</v>
      </c>
      <c r="Y1359" s="285"/>
      <c r="Z1359" s="285">
        <v>239812.92</v>
      </c>
      <c r="AA1359" s="285"/>
      <c r="AB1359" s="285"/>
      <c r="AC1359" s="56"/>
      <c r="AD1359" s="56" t="s">
        <v>1395</v>
      </c>
      <c r="AE1359" s="56"/>
    </row>
    <row r="1360" spans="1:31" x14ac:dyDescent="0.3">
      <c r="A1360" s="47">
        <f t="shared" si="299"/>
        <v>1248</v>
      </c>
      <c r="B1360" s="414" t="s">
        <v>1675</v>
      </c>
      <c r="C1360" s="51">
        <f t="shared" si="297"/>
        <v>972588.38</v>
      </c>
      <c r="D1360" s="51">
        <f t="shared" si="300"/>
        <v>0</v>
      </c>
      <c r="E1360" s="51"/>
      <c r="F1360" s="51"/>
      <c r="G1360" s="51"/>
      <c r="H1360" s="51"/>
      <c r="I1360" s="51"/>
      <c r="J1360" s="51"/>
      <c r="K1360" s="51"/>
      <c r="L1360" s="51"/>
      <c r="M1360" s="35"/>
      <c r="N1360" s="51"/>
      <c r="O1360" s="82"/>
      <c r="P1360" s="51"/>
      <c r="Q1360" s="338"/>
      <c r="R1360" s="51"/>
      <c r="S1360" s="51"/>
      <c r="T1360" s="338"/>
      <c r="U1360" s="51"/>
      <c r="V1360" s="35"/>
      <c r="W1360" s="364">
        <f t="shared" si="301"/>
        <v>972588.38</v>
      </c>
      <c r="X1360" s="285">
        <v>271269.32</v>
      </c>
      <c r="Y1360" s="285">
        <v>479185.09</v>
      </c>
      <c r="Z1360" s="285">
        <v>222133.97</v>
      </c>
      <c r="AA1360" s="285"/>
      <c r="AB1360" s="285"/>
      <c r="AC1360" s="56"/>
      <c r="AD1360" s="56" t="s">
        <v>1395</v>
      </c>
      <c r="AE1360" s="56"/>
    </row>
    <row r="1361" spans="1:31" x14ac:dyDescent="0.3">
      <c r="A1361" s="47">
        <f t="shared" si="299"/>
        <v>1249</v>
      </c>
      <c r="B1361" s="414" t="s">
        <v>1676</v>
      </c>
      <c r="C1361" s="51">
        <f t="shared" si="297"/>
        <v>690026.16</v>
      </c>
      <c r="D1361" s="51">
        <f t="shared" si="300"/>
        <v>0</v>
      </c>
      <c r="E1361" s="51"/>
      <c r="F1361" s="51"/>
      <c r="G1361" s="51"/>
      <c r="H1361" s="51"/>
      <c r="I1361" s="51"/>
      <c r="J1361" s="51"/>
      <c r="K1361" s="51"/>
      <c r="L1361" s="51"/>
      <c r="M1361" s="35"/>
      <c r="N1361" s="51"/>
      <c r="O1361" s="82"/>
      <c r="P1361" s="51"/>
      <c r="Q1361" s="338"/>
      <c r="R1361" s="51"/>
      <c r="S1361" s="51"/>
      <c r="T1361" s="338"/>
      <c r="U1361" s="51"/>
      <c r="V1361" s="35"/>
      <c r="W1361" s="364">
        <f t="shared" si="301"/>
        <v>690026.16</v>
      </c>
      <c r="X1361" s="285">
        <v>192390.5</v>
      </c>
      <c r="Y1361" s="285">
        <v>306130.90000000002</v>
      </c>
      <c r="Z1361" s="285">
        <v>191504.76</v>
      </c>
      <c r="AA1361" s="285"/>
      <c r="AB1361" s="285"/>
      <c r="AC1361" s="56"/>
      <c r="AD1361" s="56" t="s">
        <v>1548</v>
      </c>
      <c r="AE1361" s="56"/>
    </row>
    <row r="1362" spans="1:31" x14ac:dyDescent="0.3">
      <c r="A1362" s="47">
        <f t="shared" si="299"/>
        <v>1250</v>
      </c>
      <c r="B1362" s="414" t="s">
        <v>1677</v>
      </c>
      <c r="C1362" s="51">
        <f t="shared" si="297"/>
        <v>204712.49</v>
      </c>
      <c r="D1362" s="51">
        <f t="shared" si="300"/>
        <v>0</v>
      </c>
      <c r="E1362" s="51"/>
      <c r="F1362" s="51"/>
      <c r="G1362" s="51"/>
      <c r="H1362" s="51"/>
      <c r="I1362" s="51"/>
      <c r="J1362" s="51"/>
      <c r="K1362" s="51"/>
      <c r="L1362" s="51"/>
      <c r="M1362" s="35"/>
      <c r="N1362" s="51"/>
      <c r="O1362" s="82"/>
      <c r="P1362" s="51"/>
      <c r="Q1362" s="338"/>
      <c r="R1362" s="51"/>
      <c r="S1362" s="51"/>
      <c r="T1362" s="338"/>
      <c r="U1362" s="51"/>
      <c r="V1362" s="35"/>
      <c r="W1362" s="364">
        <f t="shared" si="301"/>
        <v>204712.49</v>
      </c>
      <c r="X1362" s="285">
        <v>69106.44</v>
      </c>
      <c r="Y1362" s="285">
        <v>135606.04999999999</v>
      </c>
      <c r="Z1362" s="285"/>
      <c r="AA1362" s="285"/>
      <c r="AB1362" s="368"/>
      <c r="AC1362" s="56"/>
      <c r="AD1362" s="56" t="s">
        <v>1395</v>
      </c>
      <c r="AE1362" s="56"/>
    </row>
    <row r="1363" spans="1:31" x14ac:dyDescent="0.3">
      <c r="A1363" s="47">
        <f t="shared" si="299"/>
        <v>1251</v>
      </c>
      <c r="B1363" s="414" t="s">
        <v>1678</v>
      </c>
      <c r="C1363" s="51">
        <f t="shared" si="297"/>
        <v>237338.03</v>
      </c>
      <c r="D1363" s="51">
        <f t="shared" si="300"/>
        <v>0</v>
      </c>
      <c r="E1363" s="51"/>
      <c r="F1363" s="51"/>
      <c r="G1363" s="51"/>
      <c r="H1363" s="51"/>
      <c r="I1363" s="51"/>
      <c r="J1363" s="51"/>
      <c r="K1363" s="51"/>
      <c r="L1363" s="51"/>
      <c r="M1363" s="35"/>
      <c r="N1363" s="51"/>
      <c r="O1363" s="82"/>
      <c r="P1363" s="51"/>
      <c r="Q1363" s="338"/>
      <c r="R1363" s="51"/>
      <c r="S1363" s="51"/>
      <c r="T1363" s="338"/>
      <c r="U1363" s="51"/>
      <c r="V1363" s="35"/>
      <c r="W1363" s="364">
        <f t="shared" si="301"/>
        <v>237338.03</v>
      </c>
      <c r="X1363" s="285"/>
      <c r="Y1363" s="285"/>
      <c r="Z1363" s="285">
        <v>237338.03</v>
      </c>
      <c r="AA1363" s="285"/>
      <c r="AB1363" s="285"/>
      <c r="AC1363" s="56"/>
      <c r="AD1363" s="56" t="s">
        <v>1486</v>
      </c>
      <c r="AE1363" s="56"/>
    </row>
    <row r="1364" spans="1:31" ht="20.25" customHeight="1" x14ac:dyDescent="0.3">
      <c r="A1364" s="47">
        <f t="shared" si="299"/>
        <v>1252</v>
      </c>
      <c r="B1364" s="414" t="s">
        <v>1679</v>
      </c>
      <c r="C1364" s="51">
        <f t="shared" si="297"/>
        <v>499860.95000000007</v>
      </c>
      <c r="D1364" s="51">
        <f t="shared" si="300"/>
        <v>0</v>
      </c>
      <c r="E1364" s="51"/>
      <c r="F1364" s="51"/>
      <c r="G1364" s="51"/>
      <c r="H1364" s="51"/>
      <c r="I1364" s="51"/>
      <c r="J1364" s="51"/>
      <c r="K1364" s="51"/>
      <c r="L1364" s="51"/>
      <c r="M1364" s="35"/>
      <c r="N1364" s="51"/>
      <c r="O1364" s="82"/>
      <c r="P1364" s="51"/>
      <c r="Q1364" s="338"/>
      <c r="R1364" s="51"/>
      <c r="S1364" s="51"/>
      <c r="T1364" s="338"/>
      <c r="U1364" s="51"/>
      <c r="V1364" s="35"/>
      <c r="W1364" s="364">
        <f t="shared" si="301"/>
        <v>499860.95000000007</v>
      </c>
      <c r="X1364" s="285"/>
      <c r="Y1364" s="285">
        <v>329350.03000000003</v>
      </c>
      <c r="Z1364" s="285">
        <v>170510.92</v>
      </c>
      <c r="AA1364" s="285"/>
      <c r="AB1364" s="56"/>
      <c r="AC1364" s="56"/>
      <c r="AD1364" s="56" t="s">
        <v>1486</v>
      </c>
      <c r="AE1364" s="56"/>
    </row>
    <row r="1365" spans="1:31" ht="16.5" customHeight="1" x14ac:dyDescent="0.3">
      <c r="A1365" s="47">
        <f t="shared" si="299"/>
        <v>1253</v>
      </c>
      <c r="B1365" s="414" t="s">
        <v>1680</v>
      </c>
      <c r="C1365" s="51">
        <f t="shared" si="297"/>
        <v>375933.6</v>
      </c>
      <c r="D1365" s="51">
        <f t="shared" si="300"/>
        <v>0</v>
      </c>
      <c r="E1365" s="51"/>
      <c r="F1365" s="51"/>
      <c r="G1365" s="51"/>
      <c r="H1365" s="51"/>
      <c r="I1365" s="51"/>
      <c r="J1365" s="51"/>
      <c r="K1365" s="51"/>
      <c r="L1365" s="51"/>
      <c r="M1365" s="35"/>
      <c r="N1365" s="51"/>
      <c r="O1365" s="82"/>
      <c r="P1365" s="51"/>
      <c r="Q1365" s="338"/>
      <c r="R1365" s="51"/>
      <c r="S1365" s="51"/>
      <c r="T1365" s="338"/>
      <c r="U1365" s="51"/>
      <c r="V1365" s="35"/>
      <c r="W1365" s="364">
        <f t="shared" si="301"/>
        <v>375933.6</v>
      </c>
      <c r="X1365" s="285"/>
      <c r="Y1365" s="285">
        <v>245602.3</v>
      </c>
      <c r="Z1365" s="285">
        <v>130331.3</v>
      </c>
      <c r="AA1365" s="285"/>
      <c r="AB1365" s="285"/>
      <c r="AC1365" s="56"/>
      <c r="AD1365" s="56" t="s">
        <v>1486</v>
      </c>
      <c r="AE1365" s="56"/>
    </row>
    <row r="1366" spans="1:31" x14ac:dyDescent="0.3">
      <c r="A1366" s="47">
        <f t="shared" si="299"/>
        <v>1254</v>
      </c>
      <c r="B1366" s="414" t="s">
        <v>1681</v>
      </c>
      <c r="C1366" s="51">
        <f t="shared" si="297"/>
        <v>674995.59</v>
      </c>
      <c r="D1366" s="51">
        <f t="shared" si="300"/>
        <v>0</v>
      </c>
      <c r="E1366" s="51"/>
      <c r="F1366" s="51"/>
      <c r="G1366" s="51"/>
      <c r="H1366" s="51"/>
      <c r="I1366" s="51"/>
      <c r="J1366" s="51"/>
      <c r="K1366" s="51"/>
      <c r="L1366" s="51"/>
      <c r="M1366" s="424"/>
      <c r="N1366" s="51"/>
      <c r="O1366" s="82"/>
      <c r="P1366" s="51"/>
      <c r="Q1366" s="338"/>
      <c r="R1366" s="51"/>
      <c r="S1366" s="51"/>
      <c r="T1366" s="338"/>
      <c r="U1366" s="51"/>
      <c r="V1366" s="35"/>
      <c r="W1366" s="364">
        <f t="shared" si="301"/>
        <v>674995.59</v>
      </c>
      <c r="X1366" s="285">
        <v>203015.69</v>
      </c>
      <c r="Y1366" s="285">
        <v>418019.06</v>
      </c>
      <c r="Z1366" s="285">
        <v>53960.84</v>
      </c>
      <c r="AA1366" s="285"/>
      <c r="AB1366" s="285"/>
      <c r="AC1366" s="56"/>
      <c r="AD1366" s="56" t="s">
        <v>1395</v>
      </c>
      <c r="AE1366" s="56"/>
    </row>
    <row r="1367" spans="1:31" x14ac:dyDescent="0.3">
      <c r="A1367" s="47">
        <f t="shared" si="299"/>
        <v>1255</v>
      </c>
      <c r="B1367" s="414" t="s">
        <v>1682</v>
      </c>
      <c r="C1367" s="51">
        <f t="shared" si="297"/>
        <v>673785.21</v>
      </c>
      <c r="D1367" s="51">
        <f t="shared" si="300"/>
        <v>0</v>
      </c>
      <c r="E1367" s="51"/>
      <c r="F1367" s="51"/>
      <c r="G1367" s="51"/>
      <c r="H1367" s="51"/>
      <c r="I1367" s="51"/>
      <c r="J1367" s="51"/>
      <c r="K1367" s="51"/>
      <c r="L1367" s="51"/>
      <c r="M1367" s="35"/>
      <c r="N1367" s="51"/>
      <c r="O1367" s="82"/>
      <c r="P1367" s="51"/>
      <c r="Q1367" s="338"/>
      <c r="R1367" s="51"/>
      <c r="S1367" s="51"/>
      <c r="T1367" s="338"/>
      <c r="U1367" s="51"/>
      <c r="V1367" s="35"/>
      <c r="W1367" s="364">
        <f t="shared" si="301"/>
        <v>673785.21</v>
      </c>
      <c r="X1367" s="285">
        <v>206233.36</v>
      </c>
      <c r="Y1367" s="285">
        <v>423800.11</v>
      </c>
      <c r="Z1367" s="285">
        <v>43751.74</v>
      </c>
      <c r="AA1367" s="285"/>
      <c r="AB1367" s="285"/>
      <c r="AC1367" s="56"/>
      <c r="AD1367" s="56" t="s">
        <v>1395</v>
      </c>
      <c r="AE1367" s="56"/>
    </row>
    <row r="1368" spans="1:31" x14ac:dyDescent="0.3">
      <c r="A1368" s="47">
        <f t="shared" si="299"/>
        <v>1256</v>
      </c>
      <c r="B1368" s="414" t="s">
        <v>1683</v>
      </c>
      <c r="C1368" s="51">
        <f t="shared" si="297"/>
        <v>220298.81</v>
      </c>
      <c r="D1368" s="51">
        <f t="shared" si="300"/>
        <v>0</v>
      </c>
      <c r="E1368" s="51"/>
      <c r="F1368" s="51"/>
      <c r="G1368" s="51"/>
      <c r="H1368" s="51"/>
      <c r="I1368" s="51"/>
      <c r="J1368" s="51"/>
      <c r="K1368" s="51"/>
      <c r="L1368" s="51"/>
      <c r="M1368" s="35"/>
      <c r="N1368" s="51"/>
      <c r="O1368" s="82"/>
      <c r="P1368" s="51"/>
      <c r="Q1368" s="338"/>
      <c r="R1368" s="51"/>
      <c r="S1368" s="51"/>
      <c r="T1368" s="338"/>
      <c r="U1368" s="51"/>
      <c r="V1368" s="35"/>
      <c r="W1368" s="364">
        <f t="shared" si="301"/>
        <v>220298.81</v>
      </c>
      <c r="X1368" s="285"/>
      <c r="Y1368" s="285"/>
      <c r="Z1368" s="285">
        <v>220298.81</v>
      </c>
      <c r="AA1368" s="285"/>
      <c r="AB1368" s="285"/>
      <c r="AC1368" s="56"/>
      <c r="AD1368" s="56" t="s">
        <v>1486</v>
      </c>
      <c r="AE1368" s="56"/>
    </row>
    <row r="1369" spans="1:31" x14ac:dyDescent="0.3">
      <c r="A1369" s="47">
        <f t="shared" si="299"/>
        <v>1257</v>
      </c>
      <c r="B1369" s="414" t="s">
        <v>1684</v>
      </c>
      <c r="C1369" s="51">
        <f t="shared" si="297"/>
        <v>454868.28</v>
      </c>
      <c r="D1369" s="51">
        <f t="shared" si="300"/>
        <v>0</v>
      </c>
      <c r="E1369" s="51"/>
      <c r="F1369" s="51"/>
      <c r="G1369" s="51"/>
      <c r="H1369" s="51"/>
      <c r="I1369" s="51"/>
      <c r="J1369" s="51"/>
      <c r="K1369" s="51"/>
      <c r="L1369" s="51"/>
      <c r="M1369" s="35"/>
      <c r="N1369" s="51"/>
      <c r="O1369" s="82"/>
      <c r="P1369" s="51"/>
      <c r="Q1369" s="338"/>
      <c r="R1369" s="51"/>
      <c r="S1369" s="51"/>
      <c r="T1369" s="338"/>
      <c r="U1369" s="51"/>
      <c r="V1369" s="35"/>
      <c r="W1369" s="364">
        <f t="shared" si="301"/>
        <v>454868.28</v>
      </c>
      <c r="X1369" s="285">
        <v>198665.38</v>
      </c>
      <c r="Y1369" s="285"/>
      <c r="Z1369" s="285">
        <v>256202.9</v>
      </c>
      <c r="AA1369" s="285"/>
      <c r="AB1369" s="285"/>
      <c r="AC1369" s="56"/>
      <c r="AD1369" s="56" t="s">
        <v>1548</v>
      </c>
      <c r="AE1369" s="56"/>
    </row>
    <row r="1370" spans="1:31" x14ac:dyDescent="0.3">
      <c r="A1370" s="47">
        <f t="shared" si="299"/>
        <v>1258</v>
      </c>
      <c r="B1370" s="414" t="s">
        <v>1685</v>
      </c>
      <c r="C1370" s="51">
        <f t="shared" si="297"/>
        <v>496075.65</v>
      </c>
      <c r="D1370" s="51">
        <f t="shared" si="300"/>
        <v>0</v>
      </c>
      <c r="E1370" s="51"/>
      <c r="F1370" s="51"/>
      <c r="G1370" s="51"/>
      <c r="H1370" s="51"/>
      <c r="I1370" s="51"/>
      <c r="J1370" s="51"/>
      <c r="K1370" s="51"/>
      <c r="L1370" s="51"/>
      <c r="M1370" s="35"/>
      <c r="N1370" s="51"/>
      <c r="O1370" s="82"/>
      <c r="P1370" s="51"/>
      <c r="Q1370" s="338"/>
      <c r="R1370" s="51"/>
      <c r="S1370" s="51"/>
      <c r="T1370" s="338"/>
      <c r="U1370" s="51"/>
      <c r="V1370" s="35"/>
      <c r="W1370" s="364">
        <f t="shared" si="301"/>
        <v>496075.65</v>
      </c>
      <c r="X1370" s="285">
        <f>120997.88
+118056.37
+118056.37
+138965.03</f>
        <v>496075.65</v>
      </c>
      <c r="Y1370" s="285"/>
      <c r="Z1370" s="285"/>
      <c r="AA1370" s="285"/>
      <c r="AB1370" s="285"/>
      <c r="AC1370" s="56"/>
      <c r="AD1370" s="56" t="s">
        <v>1686</v>
      </c>
      <c r="AE1370" s="56"/>
    </row>
    <row r="1371" spans="1:31" x14ac:dyDescent="0.3">
      <c r="A1371" s="47">
        <f t="shared" si="299"/>
        <v>1259</v>
      </c>
      <c r="B1371" s="414" t="s">
        <v>1687</v>
      </c>
      <c r="C1371" s="51">
        <f t="shared" si="297"/>
        <v>712144.58000000007</v>
      </c>
      <c r="D1371" s="51">
        <f t="shared" si="300"/>
        <v>0</v>
      </c>
      <c r="E1371" s="51"/>
      <c r="F1371" s="51"/>
      <c r="G1371" s="51"/>
      <c r="H1371" s="51"/>
      <c r="I1371" s="51"/>
      <c r="J1371" s="51"/>
      <c r="K1371" s="51"/>
      <c r="L1371" s="51"/>
      <c r="M1371" s="35"/>
      <c r="N1371" s="51"/>
      <c r="O1371" s="82"/>
      <c r="P1371" s="51"/>
      <c r="Q1371" s="338"/>
      <c r="R1371" s="51"/>
      <c r="S1371" s="51"/>
      <c r="T1371" s="338"/>
      <c r="U1371" s="51"/>
      <c r="V1371" s="35"/>
      <c r="W1371" s="364">
        <f t="shared" si="301"/>
        <v>712144.58000000007</v>
      </c>
      <c r="X1371" s="285">
        <f>118362.94+118362.94+121313.98+139281.66</f>
        <v>497321.52</v>
      </c>
      <c r="Y1371" s="285">
        <v>214823.06</v>
      </c>
      <c r="Z1371" s="285"/>
      <c r="AA1371" s="285"/>
      <c r="AB1371" s="285"/>
      <c r="AC1371" s="56"/>
      <c r="AD1371" s="56" t="s">
        <v>1688</v>
      </c>
      <c r="AE1371" s="56"/>
    </row>
    <row r="1372" spans="1:31" x14ac:dyDescent="0.3">
      <c r="A1372" s="47">
        <f t="shared" si="299"/>
        <v>1260</v>
      </c>
      <c r="B1372" s="414" t="s">
        <v>1689</v>
      </c>
      <c r="C1372" s="51">
        <f t="shared" si="297"/>
        <v>659132.02</v>
      </c>
      <c r="D1372" s="51">
        <f t="shared" si="300"/>
        <v>0</v>
      </c>
      <c r="E1372" s="51"/>
      <c r="F1372" s="51"/>
      <c r="G1372" s="51"/>
      <c r="H1372" s="51"/>
      <c r="I1372" s="51"/>
      <c r="J1372" s="51"/>
      <c r="K1372" s="51"/>
      <c r="L1372" s="51"/>
      <c r="M1372" s="35"/>
      <c r="N1372" s="51"/>
      <c r="O1372" s="82"/>
      <c r="P1372" s="51"/>
      <c r="Q1372" s="338"/>
      <c r="R1372" s="51"/>
      <c r="S1372" s="51"/>
      <c r="T1372" s="338"/>
      <c r="U1372" s="51"/>
      <c r="V1372" s="35"/>
      <c r="W1372" s="364">
        <f t="shared" si="301"/>
        <v>659132.02</v>
      </c>
      <c r="X1372" s="285">
        <f>79278.74+76367.62+76367.62+94071.12</f>
        <v>326085.09999999998</v>
      </c>
      <c r="Y1372" s="285">
        <v>150903.56</v>
      </c>
      <c r="Z1372" s="285">
        <v>182143.35999999999</v>
      </c>
      <c r="AA1372" s="285"/>
      <c r="AB1372" s="285"/>
      <c r="AC1372" s="56"/>
      <c r="AD1372" s="56" t="s">
        <v>1690</v>
      </c>
      <c r="AE1372" s="56"/>
    </row>
    <row r="1373" spans="1:31" x14ac:dyDescent="0.3">
      <c r="A1373" s="47">
        <f t="shared" si="299"/>
        <v>1261</v>
      </c>
      <c r="B1373" s="414" t="s">
        <v>1691</v>
      </c>
      <c r="C1373" s="51">
        <f t="shared" si="297"/>
        <v>274388.34000000003</v>
      </c>
      <c r="D1373" s="51">
        <f t="shared" si="300"/>
        <v>0</v>
      </c>
      <c r="E1373" s="51"/>
      <c r="F1373" s="51"/>
      <c r="G1373" s="51"/>
      <c r="H1373" s="51"/>
      <c r="I1373" s="51"/>
      <c r="J1373" s="51"/>
      <c r="K1373" s="51"/>
      <c r="L1373" s="51"/>
      <c r="M1373" s="35"/>
      <c r="N1373" s="51"/>
      <c r="O1373" s="82"/>
      <c r="P1373" s="51"/>
      <c r="Q1373" s="338"/>
      <c r="R1373" s="51"/>
      <c r="S1373" s="51"/>
      <c r="T1373" s="338"/>
      <c r="U1373" s="51"/>
      <c r="V1373" s="35"/>
      <c r="W1373" s="364">
        <f t="shared" si="301"/>
        <v>274388.34000000003</v>
      </c>
      <c r="X1373" s="285"/>
      <c r="Y1373" s="285"/>
      <c r="Z1373" s="285">
        <v>274388.34000000003</v>
      </c>
      <c r="AA1373" s="285"/>
      <c r="AB1373" s="285"/>
      <c r="AC1373" s="56"/>
      <c r="AD1373" s="56"/>
      <c r="AE1373" s="56"/>
    </row>
    <row r="1374" spans="1:31" x14ac:dyDescent="0.3">
      <c r="A1374" s="47">
        <f t="shared" si="299"/>
        <v>1262</v>
      </c>
      <c r="B1374" s="414" t="s">
        <v>1692</v>
      </c>
      <c r="C1374" s="51">
        <f t="shared" si="297"/>
        <v>464077.76</v>
      </c>
      <c r="D1374" s="51">
        <f t="shared" si="300"/>
        <v>0</v>
      </c>
      <c r="E1374" s="51"/>
      <c r="F1374" s="51"/>
      <c r="G1374" s="51"/>
      <c r="H1374" s="51"/>
      <c r="I1374" s="51"/>
      <c r="J1374" s="51"/>
      <c r="K1374" s="51"/>
      <c r="L1374" s="51"/>
      <c r="M1374" s="35"/>
      <c r="N1374" s="51"/>
      <c r="O1374" s="82"/>
      <c r="P1374" s="51"/>
      <c r="Q1374" s="338"/>
      <c r="R1374" s="51"/>
      <c r="S1374" s="51"/>
      <c r="T1374" s="338"/>
      <c r="U1374" s="51"/>
      <c r="V1374" s="35"/>
      <c r="W1374" s="364">
        <f t="shared" si="301"/>
        <v>464077.76</v>
      </c>
      <c r="X1374" s="285">
        <f>110177.62+110177.62+112884.8+130837.72</f>
        <v>464077.76</v>
      </c>
      <c r="Y1374" s="285"/>
      <c r="Z1374" s="285"/>
      <c r="AA1374" s="285"/>
      <c r="AB1374" s="285"/>
      <c r="AC1374" s="56"/>
      <c r="AD1374" s="56" t="s">
        <v>1693</v>
      </c>
      <c r="AE1374" s="56"/>
    </row>
    <row r="1375" spans="1:31" x14ac:dyDescent="0.3">
      <c r="A1375" s="47">
        <f t="shared" si="299"/>
        <v>1263</v>
      </c>
      <c r="B1375" s="414" t="s">
        <v>1694</v>
      </c>
      <c r="C1375" s="51">
        <f t="shared" si="297"/>
        <v>1019466</v>
      </c>
      <c r="D1375" s="51">
        <f t="shared" si="300"/>
        <v>0</v>
      </c>
      <c r="E1375" s="51"/>
      <c r="F1375" s="51"/>
      <c r="G1375" s="51"/>
      <c r="H1375" s="51"/>
      <c r="I1375" s="51"/>
      <c r="J1375" s="51"/>
      <c r="K1375" s="51"/>
      <c r="L1375" s="51"/>
      <c r="M1375" s="35"/>
      <c r="N1375" s="51"/>
      <c r="O1375" s="82"/>
      <c r="P1375" s="51"/>
      <c r="Q1375" s="338"/>
      <c r="R1375" s="51"/>
      <c r="S1375" s="51"/>
      <c r="T1375" s="338"/>
      <c r="U1375" s="51">
        <v>1019466</v>
      </c>
      <c r="V1375" s="35"/>
      <c r="W1375" s="364">
        <f t="shared" si="301"/>
        <v>0</v>
      </c>
      <c r="X1375" s="285"/>
      <c r="Y1375" s="285"/>
      <c r="Z1375" s="285"/>
      <c r="AA1375" s="285"/>
      <c r="AB1375" s="285"/>
      <c r="AC1375" s="56"/>
      <c r="AD1375" s="56"/>
      <c r="AE1375" s="56"/>
    </row>
    <row r="1376" spans="1:31" x14ac:dyDescent="0.3">
      <c r="A1376" s="47">
        <f t="shared" si="299"/>
        <v>1264</v>
      </c>
      <c r="B1376" s="414" t="s">
        <v>1695</v>
      </c>
      <c r="C1376" s="51">
        <f t="shared" si="297"/>
        <v>0</v>
      </c>
      <c r="D1376" s="51">
        <f t="shared" si="300"/>
        <v>0</v>
      </c>
      <c r="E1376" s="51"/>
      <c r="F1376" s="51"/>
      <c r="G1376" s="51"/>
      <c r="H1376" s="51"/>
      <c r="I1376" s="51"/>
      <c r="J1376" s="51"/>
      <c r="K1376" s="51"/>
      <c r="L1376" s="51"/>
      <c r="M1376" s="35"/>
      <c r="N1376" s="51"/>
      <c r="O1376" s="82"/>
      <c r="P1376" s="51"/>
      <c r="Q1376" s="338"/>
      <c r="R1376" s="51"/>
      <c r="S1376" s="51"/>
      <c r="T1376" s="338"/>
      <c r="U1376" s="51"/>
      <c r="V1376" s="35"/>
      <c r="W1376" s="364">
        <f t="shared" si="301"/>
        <v>0</v>
      </c>
      <c r="X1376" s="285"/>
      <c r="Y1376" s="285"/>
      <c r="Z1376" s="285"/>
      <c r="AA1376" s="285"/>
      <c r="AB1376" s="56"/>
      <c r="AC1376" s="56"/>
      <c r="AD1376" s="56"/>
      <c r="AE1376" s="56"/>
    </row>
    <row r="1377" spans="1:31" x14ac:dyDescent="0.3">
      <c r="A1377" s="47">
        <f t="shared" si="299"/>
        <v>1265</v>
      </c>
      <c r="B1377" s="414" t="s">
        <v>1696</v>
      </c>
      <c r="C1377" s="51">
        <f t="shared" si="297"/>
        <v>451077.15</v>
      </c>
      <c r="D1377" s="51">
        <f t="shared" si="300"/>
        <v>0</v>
      </c>
      <c r="E1377" s="51"/>
      <c r="F1377" s="51"/>
      <c r="G1377" s="51"/>
      <c r="H1377" s="51"/>
      <c r="I1377" s="51"/>
      <c r="J1377" s="51"/>
      <c r="K1377" s="51"/>
      <c r="L1377" s="51"/>
      <c r="M1377" s="35"/>
      <c r="N1377" s="51"/>
      <c r="O1377" s="82"/>
      <c r="P1377" s="51"/>
      <c r="Q1377" s="338"/>
      <c r="R1377" s="51"/>
      <c r="S1377" s="51"/>
      <c r="T1377" s="338"/>
      <c r="U1377" s="51"/>
      <c r="V1377" s="35"/>
      <c r="W1377" s="364">
        <f t="shared" si="301"/>
        <v>451077.15</v>
      </c>
      <c r="X1377" s="285">
        <v>224224.1</v>
      </c>
      <c r="Y1377" s="285"/>
      <c r="Z1377" s="285">
        <v>226853.05</v>
      </c>
      <c r="AA1377" s="285"/>
      <c r="AB1377" s="56"/>
      <c r="AC1377" s="56"/>
      <c r="AD1377" s="56" t="s">
        <v>1576</v>
      </c>
      <c r="AE1377" s="56"/>
    </row>
    <row r="1378" spans="1:31" x14ac:dyDescent="0.3">
      <c r="A1378" s="47">
        <f t="shared" si="299"/>
        <v>1266</v>
      </c>
      <c r="B1378" s="414" t="s">
        <v>1697</v>
      </c>
      <c r="C1378" s="51">
        <f t="shared" si="297"/>
        <v>455280.08999999997</v>
      </c>
      <c r="D1378" s="51">
        <f t="shared" si="300"/>
        <v>0</v>
      </c>
      <c r="E1378" s="51"/>
      <c r="F1378" s="51"/>
      <c r="G1378" s="51"/>
      <c r="H1378" s="51"/>
      <c r="I1378" s="51"/>
      <c r="J1378" s="51"/>
      <c r="K1378" s="51"/>
      <c r="L1378" s="51"/>
      <c r="M1378" s="35"/>
      <c r="N1378" s="51"/>
      <c r="O1378" s="82"/>
      <c r="P1378" s="51"/>
      <c r="Q1378" s="338"/>
      <c r="R1378" s="51"/>
      <c r="S1378" s="51"/>
      <c r="T1378" s="338"/>
      <c r="U1378" s="51"/>
      <c r="V1378" s="35"/>
      <c r="W1378" s="364">
        <f t="shared" si="301"/>
        <v>455280.08999999997</v>
      </c>
      <c r="X1378" s="285">
        <v>226453.15</v>
      </c>
      <c r="Y1378" s="285"/>
      <c r="Z1378" s="285">
        <v>228826.94</v>
      </c>
      <c r="AA1378" s="285"/>
      <c r="AB1378" s="56"/>
      <c r="AC1378" s="56"/>
      <c r="AD1378" s="56" t="s">
        <v>1576</v>
      </c>
      <c r="AE1378" s="56"/>
    </row>
    <row r="1379" spans="1:31" x14ac:dyDescent="0.3">
      <c r="A1379" s="47">
        <f t="shared" si="299"/>
        <v>1267</v>
      </c>
      <c r="B1379" s="414" t="s">
        <v>1698</v>
      </c>
      <c r="C1379" s="51">
        <f t="shared" si="297"/>
        <v>456924.72</v>
      </c>
      <c r="D1379" s="51">
        <f t="shared" si="300"/>
        <v>0</v>
      </c>
      <c r="E1379" s="51"/>
      <c r="F1379" s="51"/>
      <c r="G1379" s="51"/>
      <c r="H1379" s="51"/>
      <c r="I1379" s="51"/>
      <c r="J1379" s="51"/>
      <c r="K1379" s="51"/>
      <c r="L1379" s="51"/>
      <c r="M1379" s="35"/>
      <c r="N1379" s="51"/>
      <c r="O1379" s="82"/>
      <c r="P1379" s="51"/>
      <c r="Q1379" s="338"/>
      <c r="R1379" s="51"/>
      <c r="S1379" s="51"/>
      <c r="T1379" s="338"/>
      <c r="U1379" s="51"/>
      <c r="V1379" s="35"/>
      <c r="W1379" s="364">
        <f t="shared" si="301"/>
        <v>456924.72</v>
      </c>
      <c r="X1379" s="285">
        <v>236494.42</v>
      </c>
      <c r="Y1379" s="285"/>
      <c r="Z1379" s="285">
        <v>220430.3</v>
      </c>
      <c r="AA1379" s="285"/>
      <c r="AB1379" s="56"/>
      <c r="AC1379" s="56"/>
      <c r="AD1379" s="56" t="s">
        <v>1576</v>
      </c>
      <c r="AE1379" s="56"/>
    </row>
    <row r="1380" spans="1:31" x14ac:dyDescent="0.3">
      <c r="A1380" s="47">
        <f t="shared" si="299"/>
        <v>1268</v>
      </c>
      <c r="B1380" s="414" t="s">
        <v>1699</v>
      </c>
      <c r="C1380" s="51">
        <f t="shared" si="297"/>
        <v>456924.72</v>
      </c>
      <c r="D1380" s="51">
        <f t="shared" si="300"/>
        <v>0</v>
      </c>
      <c r="E1380" s="51"/>
      <c r="F1380" s="51"/>
      <c r="G1380" s="51"/>
      <c r="H1380" s="51"/>
      <c r="I1380" s="51"/>
      <c r="J1380" s="51"/>
      <c r="K1380" s="51"/>
      <c r="L1380" s="51"/>
      <c r="M1380" s="35"/>
      <c r="N1380" s="51"/>
      <c r="O1380" s="82"/>
      <c r="P1380" s="51"/>
      <c r="Q1380" s="338"/>
      <c r="R1380" s="51"/>
      <c r="S1380" s="51"/>
      <c r="T1380" s="338"/>
      <c r="U1380" s="51"/>
      <c r="V1380" s="35"/>
      <c r="W1380" s="364">
        <f t="shared" si="301"/>
        <v>456924.72</v>
      </c>
      <c r="X1380" s="285">
        <v>236494.42</v>
      </c>
      <c r="Y1380" s="285"/>
      <c r="Z1380" s="285">
        <v>220430.3</v>
      </c>
      <c r="AA1380" s="285"/>
      <c r="AB1380" s="56"/>
      <c r="AC1380" s="56"/>
      <c r="AD1380" s="56" t="s">
        <v>1576</v>
      </c>
      <c r="AE1380" s="56"/>
    </row>
    <row r="1381" spans="1:31" x14ac:dyDescent="0.3">
      <c r="A1381" s="47">
        <f t="shared" si="299"/>
        <v>1269</v>
      </c>
      <c r="B1381" s="414" t="s">
        <v>1700</v>
      </c>
      <c r="C1381" s="51">
        <f t="shared" si="297"/>
        <v>858673.53999999992</v>
      </c>
      <c r="D1381" s="51">
        <f t="shared" si="300"/>
        <v>0</v>
      </c>
      <c r="E1381" s="51"/>
      <c r="F1381" s="51"/>
      <c r="G1381" s="51"/>
      <c r="H1381" s="51"/>
      <c r="I1381" s="51"/>
      <c r="J1381" s="51"/>
      <c r="K1381" s="51"/>
      <c r="L1381" s="51"/>
      <c r="M1381" s="35"/>
      <c r="N1381" s="51"/>
      <c r="O1381" s="82"/>
      <c r="P1381" s="51"/>
      <c r="Q1381" s="338"/>
      <c r="R1381" s="51"/>
      <c r="S1381" s="51"/>
      <c r="T1381" s="338"/>
      <c r="U1381" s="51"/>
      <c r="V1381" s="35"/>
      <c r="W1381" s="364">
        <f t="shared" si="301"/>
        <v>858673.53999999992</v>
      </c>
      <c r="X1381" s="285">
        <v>225906.61</v>
      </c>
      <c r="Y1381" s="285">
        <v>406499.81</v>
      </c>
      <c r="Z1381" s="285">
        <v>226267.12</v>
      </c>
      <c r="AA1381" s="285"/>
      <c r="AB1381" s="56"/>
      <c r="AC1381" s="56"/>
      <c r="AD1381" s="56" t="s">
        <v>1576</v>
      </c>
      <c r="AE1381" s="56"/>
    </row>
    <row r="1382" spans="1:31" x14ac:dyDescent="0.3">
      <c r="A1382" s="47">
        <f t="shared" si="299"/>
        <v>1270</v>
      </c>
      <c r="B1382" s="414" t="s">
        <v>1701</v>
      </c>
      <c r="C1382" s="51">
        <f t="shared" si="297"/>
        <v>263638.46999999997</v>
      </c>
      <c r="D1382" s="51">
        <f t="shared" si="300"/>
        <v>0</v>
      </c>
      <c r="E1382" s="51"/>
      <c r="F1382" s="51"/>
      <c r="G1382" s="51"/>
      <c r="H1382" s="51"/>
      <c r="I1382" s="51"/>
      <c r="J1382" s="51"/>
      <c r="K1382" s="51"/>
      <c r="L1382" s="51"/>
      <c r="M1382" s="35"/>
      <c r="N1382" s="51"/>
      <c r="O1382" s="82"/>
      <c r="P1382" s="51"/>
      <c r="Q1382" s="338"/>
      <c r="R1382" s="51"/>
      <c r="S1382" s="51"/>
      <c r="T1382" s="338"/>
      <c r="U1382" s="51"/>
      <c r="V1382" s="35"/>
      <c r="W1382" s="364">
        <f t="shared" si="301"/>
        <v>263638.46999999997</v>
      </c>
      <c r="X1382" s="285">
        <v>123676.82</v>
      </c>
      <c r="Y1382" s="285"/>
      <c r="Z1382" s="285">
        <v>139961.65</v>
      </c>
      <c r="AA1382" s="285"/>
      <c r="AB1382" s="56"/>
      <c r="AC1382" s="56"/>
      <c r="AD1382" s="56" t="s">
        <v>1576</v>
      </c>
      <c r="AE1382" s="56"/>
    </row>
    <row r="1383" spans="1:31" x14ac:dyDescent="0.3">
      <c r="A1383" s="47">
        <f t="shared" si="299"/>
        <v>1271</v>
      </c>
      <c r="B1383" s="414" t="s">
        <v>1702</v>
      </c>
      <c r="C1383" s="51">
        <f t="shared" si="297"/>
        <v>5717169.3799999999</v>
      </c>
      <c r="D1383" s="51">
        <f t="shared" si="300"/>
        <v>0</v>
      </c>
      <c r="E1383" s="51"/>
      <c r="F1383" s="51"/>
      <c r="G1383" s="51"/>
      <c r="H1383" s="51"/>
      <c r="I1383" s="51"/>
      <c r="J1383" s="51"/>
      <c r="K1383" s="51"/>
      <c r="L1383" s="51"/>
      <c r="M1383" s="35">
        <v>1250.5</v>
      </c>
      <c r="N1383" s="51">
        <v>5463453.5999999996</v>
      </c>
      <c r="O1383" s="82"/>
      <c r="P1383" s="51"/>
      <c r="Q1383" s="338"/>
      <c r="R1383" s="51"/>
      <c r="S1383" s="51"/>
      <c r="T1383" s="338"/>
      <c r="U1383" s="51"/>
      <c r="V1383" s="35"/>
      <c r="W1383" s="364">
        <f t="shared" si="301"/>
        <v>253715.78</v>
      </c>
      <c r="X1383" s="285">
        <v>253715.78</v>
      </c>
      <c r="Y1383" s="285"/>
      <c r="Z1383" s="285"/>
      <c r="AA1383" s="285"/>
      <c r="AB1383" s="285"/>
      <c r="AC1383" s="56"/>
      <c r="AD1383" s="56" t="s">
        <v>1703</v>
      </c>
      <c r="AE1383" s="56"/>
    </row>
    <row r="1384" spans="1:31" x14ac:dyDescent="0.3">
      <c r="A1384" s="47">
        <f t="shared" si="299"/>
        <v>1272</v>
      </c>
      <c r="B1384" s="414" t="s">
        <v>1704</v>
      </c>
      <c r="C1384" s="51">
        <f t="shared" si="297"/>
        <v>2167064.64</v>
      </c>
      <c r="D1384" s="51">
        <f t="shared" si="300"/>
        <v>0</v>
      </c>
      <c r="E1384" s="51"/>
      <c r="F1384" s="51"/>
      <c r="G1384" s="51"/>
      <c r="H1384" s="51"/>
      <c r="I1384" s="51"/>
      <c r="J1384" s="51"/>
      <c r="K1384" s="51"/>
      <c r="L1384" s="51"/>
      <c r="M1384" s="35">
        <v>307.8</v>
      </c>
      <c r="N1384" s="51">
        <v>2042945.45</v>
      </c>
      <c r="O1384" s="82"/>
      <c r="P1384" s="51"/>
      <c r="Q1384" s="338"/>
      <c r="R1384" s="51"/>
      <c r="S1384" s="51"/>
      <c r="T1384" s="338"/>
      <c r="U1384" s="51"/>
      <c r="V1384" s="35"/>
      <c r="W1384" s="364">
        <f t="shared" si="301"/>
        <v>124119.19</v>
      </c>
      <c r="X1384" s="285">
        <v>124119.19</v>
      </c>
      <c r="Y1384" s="285"/>
      <c r="Z1384" s="285"/>
      <c r="AA1384" s="285"/>
      <c r="AB1384" s="285"/>
      <c r="AC1384" s="56"/>
      <c r="AD1384" s="56" t="s">
        <v>1703</v>
      </c>
      <c r="AE1384" s="56"/>
    </row>
    <row r="1385" spans="1:31" x14ac:dyDescent="0.3">
      <c r="A1385" s="47">
        <f t="shared" si="299"/>
        <v>1273</v>
      </c>
      <c r="B1385" s="414" t="s">
        <v>1705</v>
      </c>
      <c r="C1385" s="51">
        <f t="shared" si="297"/>
        <v>389697.15</v>
      </c>
      <c r="D1385" s="51">
        <f t="shared" si="300"/>
        <v>0</v>
      </c>
      <c r="E1385" s="51"/>
      <c r="F1385" s="51"/>
      <c r="G1385" s="51"/>
      <c r="H1385" s="51"/>
      <c r="I1385" s="51"/>
      <c r="J1385" s="51"/>
      <c r="K1385" s="51"/>
      <c r="L1385" s="51"/>
      <c r="M1385" s="35"/>
      <c r="N1385" s="51"/>
      <c r="O1385" s="82"/>
      <c r="P1385" s="51"/>
      <c r="Q1385" s="338"/>
      <c r="R1385" s="51"/>
      <c r="S1385" s="51"/>
      <c r="T1385" s="338"/>
      <c r="U1385" s="51"/>
      <c r="V1385" s="35"/>
      <c r="W1385" s="364">
        <f t="shared" si="301"/>
        <v>389697.15</v>
      </c>
      <c r="X1385" s="285">
        <v>201644.53</v>
      </c>
      <c r="Y1385" s="285"/>
      <c r="Z1385" s="285">
        <v>188052.62</v>
      </c>
      <c r="AA1385" s="285"/>
      <c r="AB1385" s="285"/>
      <c r="AC1385" s="56"/>
      <c r="AD1385" s="56" t="s">
        <v>1576</v>
      </c>
      <c r="AE1385" s="56"/>
    </row>
    <row r="1386" spans="1:31" x14ac:dyDescent="0.3">
      <c r="A1386" s="47">
        <f t="shared" si="299"/>
        <v>1274</v>
      </c>
      <c r="B1386" s="414" t="s">
        <v>1706</v>
      </c>
      <c r="C1386" s="51">
        <f t="shared" si="297"/>
        <v>394712.18999999994</v>
      </c>
      <c r="D1386" s="51">
        <f t="shared" si="300"/>
        <v>0</v>
      </c>
      <c r="E1386" s="51"/>
      <c r="F1386" s="51"/>
      <c r="G1386" s="51"/>
      <c r="H1386" s="51"/>
      <c r="I1386" s="51"/>
      <c r="J1386" s="51"/>
      <c r="K1386" s="51"/>
      <c r="L1386" s="51"/>
      <c r="M1386" s="35"/>
      <c r="N1386" s="51"/>
      <c r="O1386" s="82"/>
      <c r="P1386" s="51"/>
      <c r="Q1386" s="338"/>
      <c r="R1386" s="51"/>
      <c r="S1386" s="51"/>
      <c r="T1386" s="338"/>
      <c r="U1386" s="51"/>
      <c r="V1386" s="35"/>
      <c r="W1386" s="364">
        <f t="shared" si="301"/>
        <v>394712.18999999994</v>
      </c>
      <c r="X1386" s="285">
        <f>76902.89+75290.4+94792.61</f>
        <v>246985.89999999997</v>
      </c>
      <c r="Y1386" s="285">
        <v>147726.29</v>
      </c>
      <c r="Z1386" s="285"/>
      <c r="AA1386" s="285"/>
      <c r="AB1386" s="285"/>
      <c r="AC1386" s="56"/>
      <c r="AD1386" s="56" t="s">
        <v>1707</v>
      </c>
      <c r="AE1386" s="56"/>
    </row>
    <row r="1387" spans="1:31" x14ac:dyDescent="0.3">
      <c r="A1387" s="47">
        <f t="shared" si="299"/>
        <v>1275</v>
      </c>
      <c r="B1387" s="414" t="s">
        <v>1708</v>
      </c>
      <c r="C1387" s="51">
        <f t="shared" si="297"/>
        <v>176725.18</v>
      </c>
      <c r="D1387" s="51">
        <f t="shared" si="300"/>
        <v>0</v>
      </c>
      <c r="E1387" s="51"/>
      <c r="F1387" s="51"/>
      <c r="G1387" s="51"/>
      <c r="H1387" s="51"/>
      <c r="I1387" s="51"/>
      <c r="J1387" s="51"/>
      <c r="K1387" s="51"/>
      <c r="L1387" s="51"/>
      <c r="M1387" s="35"/>
      <c r="N1387" s="51"/>
      <c r="O1387" s="82"/>
      <c r="P1387" s="51"/>
      <c r="Q1387" s="338"/>
      <c r="R1387" s="51"/>
      <c r="S1387" s="51"/>
      <c r="T1387" s="338"/>
      <c r="U1387" s="51"/>
      <c r="V1387" s="35"/>
      <c r="W1387" s="364">
        <f t="shared" ref="W1387:W1407" si="302">SUM(X1387:AB1387)</f>
        <v>176725.18</v>
      </c>
      <c r="X1387" s="285"/>
      <c r="Y1387" s="285"/>
      <c r="Z1387" s="285">
        <v>176725.18</v>
      </c>
      <c r="AA1387" s="285"/>
      <c r="AB1387" s="285"/>
      <c r="AC1387" s="56"/>
      <c r="AD1387" s="56" t="s">
        <v>1636</v>
      </c>
      <c r="AE1387" s="56"/>
    </row>
    <row r="1388" spans="1:31" x14ac:dyDescent="0.3">
      <c r="A1388" s="47">
        <f t="shared" si="299"/>
        <v>1276</v>
      </c>
      <c r="B1388" s="414" t="s">
        <v>1709</v>
      </c>
      <c r="C1388" s="51">
        <f t="shared" si="297"/>
        <v>320360.17</v>
      </c>
      <c r="D1388" s="51">
        <f t="shared" si="300"/>
        <v>0</v>
      </c>
      <c r="E1388" s="51"/>
      <c r="F1388" s="51"/>
      <c r="G1388" s="51"/>
      <c r="H1388" s="51"/>
      <c r="I1388" s="51"/>
      <c r="J1388" s="51"/>
      <c r="K1388" s="51"/>
      <c r="L1388" s="51"/>
      <c r="M1388" s="35"/>
      <c r="N1388" s="51"/>
      <c r="O1388" s="82"/>
      <c r="P1388" s="51"/>
      <c r="Q1388" s="338"/>
      <c r="R1388" s="51"/>
      <c r="S1388" s="51"/>
      <c r="T1388" s="338"/>
      <c r="U1388" s="51"/>
      <c r="V1388" s="35"/>
      <c r="W1388" s="364">
        <f t="shared" si="302"/>
        <v>320360.17</v>
      </c>
      <c r="X1388" s="285">
        <f>61365.22+58898.7+76131.71</f>
        <v>196395.63</v>
      </c>
      <c r="Y1388" s="285">
        <v>123964.54</v>
      </c>
      <c r="Z1388" s="285"/>
      <c r="AA1388" s="285"/>
      <c r="AB1388" s="285"/>
      <c r="AC1388" s="56"/>
      <c r="AD1388" s="56" t="s">
        <v>1707</v>
      </c>
      <c r="AE1388" s="56"/>
    </row>
    <row r="1389" spans="1:31" x14ac:dyDescent="0.3">
      <c r="A1389" s="47">
        <f t="shared" si="299"/>
        <v>1277</v>
      </c>
      <c r="B1389" s="414" t="s">
        <v>1710</v>
      </c>
      <c r="C1389" s="51">
        <f t="shared" si="297"/>
        <v>342431.91000000003</v>
      </c>
      <c r="D1389" s="51">
        <f t="shared" si="300"/>
        <v>0</v>
      </c>
      <c r="E1389" s="51"/>
      <c r="F1389" s="51"/>
      <c r="G1389" s="51"/>
      <c r="H1389" s="51"/>
      <c r="I1389" s="51"/>
      <c r="J1389" s="51"/>
      <c r="K1389" s="51"/>
      <c r="L1389" s="51"/>
      <c r="M1389" s="35"/>
      <c r="N1389" s="51"/>
      <c r="O1389" s="82"/>
      <c r="P1389" s="51"/>
      <c r="Q1389" s="338"/>
      <c r="R1389" s="51"/>
      <c r="S1389" s="51"/>
      <c r="T1389" s="338"/>
      <c r="U1389" s="51"/>
      <c r="V1389" s="35"/>
      <c r="W1389" s="364">
        <f t="shared" si="302"/>
        <v>342431.91000000003</v>
      </c>
      <c r="X1389" s="285">
        <f>66291.47+63702.65+81065.03</f>
        <v>211059.15</v>
      </c>
      <c r="Y1389" s="285">
        <v>131372.76</v>
      </c>
      <c r="Z1389" s="285"/>
      <c r="AA1389" s="285"/>
      <c r="AB1389" s="285"/>
      <c r="AC1389" s="56"/>
      <c r="AD1389" s="56" t="s">
        <v>1707</v>
      </c>
      <c r="AE1389" s="56"/>
    </row>
    <row r="1390" spans="1:31" x14ac:dyDescent="0.3">
      <c r="A1390" s="47">
        <f t="shared" si="299"/>
        <v>1278</v>
      </c>
      <c r="B1390" s="414" t="s">
        <v>1711</v>
      </c>
      <c r="C1390" s="51">
        <f t="shared" si="297"/>
        <v>341309.88</v>
      </c>
      <c r="D1390" s="51">
        <f t="shared" si="300"/>
        <v>0</v>
      </c>
      <c r="E1390" s="51"/>
      <c r="F1390" s="51"/>
      <c r="G1390" s="51"/>
      <c r="H1390" s="51"/>
      <c r="I1390" s="51"/>
      <c r="J1390" s="51"/>
      <c r="K1390" s="51"/>
      <c r="L1390" s="51"/>
      <c r="M1390" s="35"/>
      <c r="N1390" s="51"/>
      <c r="O1390" s="82"/>
      <c r="P1390" s="51"/>
      <c r="Q1390" s="338"/>
      <c r="R1390" s="51"/>
      <c r="S1390" s="51"/>
      <c r="T1390" s="338"/>
      <c r="U1390" s="51"/>
      <c r="V1390" s="35"/>
      <c r="W1390" s="364">
        <f t="shared" si="302"/>
        <v>341309.88</v>
      </c>
      <c r="X1390" s="285">
        <f>106623.08+104409.84+130276.96</f>
        <v>341309.88</v>
      </c>
      <c r="Y1390" s="285"/>
      <c r="Z1390" s="285"/>
      <c r="AA1390" s="285"/>
      <c r="AB1390" s="285"/>
      <c r="AC1390" s="56"/>
      <c r="AD1390" s="56" t="s">
        <v>1707</v>
      </c>
      <c r="AE1390" s="56"/>
    </row>
    <row r="1391" spans="1:31" x14ac:dyDescent="0.3">
      <c r="A1391" s="47">
        <f t="shared" si="299"/>
        <v>1279</v>
      </c>
      <c r="B1391" s="414" t="s">
        <v>1712</v>
      </c>
      <c r="C1391" s="51">
        <f t="shared" si="297"/>
        <v>982195.23</v>
      </c>
      <c r="D1391" s="51">
        <f t="shared" si="300"/>
        <v>0</v>
      </c>
      <c r="E1391" s="51"/>
      <c r="F1391" s="51"/>
      <c r="G1391" s="51"/>
      <c r="H1391" s="51"/>
      <c r="I1391" s="51"/>
      <c r="J1391" s="51"/>
      <c r="K1391" s="51"/>
      <c r="L1391" s="51"/>
      <c r="M1391" s="35"/>
      <c r="N1391" s="51"/>
      <c r="O1391" s="82"/>
      <c r="P1391" s="51"/>
      <c r="Q1391" s="338"/>
      <c r="R1391" s="51"/>
      <c r="S1391" s="51"/>
      <c r="T1391" s="338"/>
      <c r="U1391" s="51"/>
      <c r="V1391" s="35"/>
      <c r="W1391" s="364">
        <f t="shared" si="302"/>
        <v>982195.23</v>
      </c>
      <c r="X1391" s="285">
        <f>191397.92+186196.55+186196.55+236206.19</f>
        <v>799997.21</v>
      </c>
      <c r="Y1391" s="285"/>
      <c r="Z1391" s="285">
        <v>182198.02</v>
      </c>
      <c r="AA1391" s="285"/>
      <c r="AB1391" s="285"/>
      <c r="AC1391" s="56"/>
      <c r="AD1391" s="56" t="s">
        <v>1713</v>
      </c>
      <c r="AE1391" s="56"/>
    </row>
    <row r="1392" spans="1:31" x14ac:dyDescent="0.3">
      <c r="A1392" s="47">
        <f t="shared" si="299"/>
        <v>1280</v>
      </c>
      <c r="B1392" s="414" t="s">
        <v>1714</v>
      </c>
      <c r="C1392" s="51">
        <f t="shared" si="297"/>
        <v>5729467.8099999996</v>
      </c>
      <c r="D1392" s="51">
        <f t="shared" si="300"/>
        <v>0</v>
      </c>
      <c r="E1392" s="51"/>
      <c r="F1392" s="51"/>
      <c r="G1392" s="51"/>
      <c r="H1392" s="51"/>
      <c r="I1392" s="51"/>
      <c r="J1392" s="51"/>
      <c r="K1392" s="51"/>
      <c r="L1392" s="51"/>
      <c r="M1392" s="35"/>
      <c r="N1392" s="51"/>
      <c r="O1392" s="82">
        <v>348</v>
      </c>
      <c r="P1392" s="51">
        <v>5453464.4199999999</v>
      </c>
      <c r="Q1392" s="338"/>
      <c r="R1392" s="51"/>
      <c r="S1392" s="51"/>
      <c r="T1392" s="338"/>
      <c r="U1392" s="51"/>
      <c r="V1392" s="35"/>
      <c r="W1392" s="364">
        <f t="shared" si="302"/>
        <v>276003.39</v>
      </c>
      <c r="X1392" s="285">
        <f>160131.11+115872.28</f>
        <v>276003.39</v>
      </c>
      <c r="Y1392" s="285"/>
      <c r="Z1392" s="285"/>
      <c r="AA1392" s="285"/>
      <c r="AB1392" s="285"/>
      <c r="AC1392" s="56"/>
      <c r="AD1392" s="56" t="s">
        <v>1448</v>
      </c>
      <c r="AE1392" s="56"/>
    </row>
    <row r="1393" spans="1:31" x14ac:dyDescent="0.3">
      <c r="A1393" s="47">
        <f t="shared" si="299"/>
        <v>1281</v>
      </c>
      <c r="B1393" s="414" t="s">
        <v>1715</v>
      </c>
      <c r="C1393" s="51">
        <f t="shared" si="297"/>
        <v>10111720.74</v>
      </c>
      <c r="D1393" s="51">
        <f t="shared" si="300"/>
        <v>0</v>
      </c>
      <c r="E1393" s="51"/>
      <c r="F1393" s="51"/>
      <c r="G1393" s="51"/>
      <c r="H1393" s="51"/>
      <c r="I1393" s="51"/>
      <c r="J1393" s="51"/>
      <c r="K1393" s="51"/>
      <c r="L1393" s="51"/>
      <c r="M1393" s="35"/>
      <c r="N1393" s="51"/>
      <c r="O1393" s="82">
        <v>559</v>
      </c>
      <c r="P1393" s="51">
        <v>9794619.5999999996</v>
      </c>
      <c r="Q1393" s="338"/>
      <c r="R1393" s="51"/>
      <c r="S1393" s="51"/>
      <c r="T1393" s="338"/>
      <c r="U1393" s="51"/>
      <c r="V1393" s="35"/>
      <c r="W1393" s="364">
        <f t="shared" si="302"/>
        <v>317101.14</v>
      </c>
      <c r="X1393" s="285">
        <f>181528.9+135572.24</f>
        <v>317101.14</v>
      </c>
      <c r="Y1393" s="285"/>
      <c r="Z1393" s="285"/>
      <c r="AA1393" s="285"/>
      <c r="AB1393" s="285"/>
      <c r="AC1393" s="56"/>
      <c r="AD1393" s="56" t="s">
        <v>1448</v>
      </c>
      <c r="AE1393" s="56"/>
    </row>
    <row r="1394" spans="1:31" x14ac:dyDescent="0.3">
      <c r="A1394" s="47">
        <f t="shared" si="299"/>
        <v>1282</v>
      </c>
      <c r="B1394" s="414" t="s">
        <v>1716</v>
      </c>
      <c r="C1394" s="51">
        <f t="shared" si="297"/>
        <v>4785706.2300000004</v>
      </c>
      <c r="D1394" s="51">
        <f t="shared" si="300"/>
        <v>0</v>
      </c>
      <c r="E1394" s="51"/>
      <c r="F1394" s="51"/>
      <c r="G1394" s="51"/>
      <c r="H1394" s="51"/>
      <c r="I1394" s="51"/>
      <c r="J1394" s="51"/>
      <c r="K1394" s="51"/>
      <c r="L1394" s="51"/>
      <c r="M1394" s="35"/>
      <c r="N1394" s="51"/>
      <c r="O1394" s="82">
        <v>346</v>
      </c>
      <c r="P1394" s="51">
        <v>4531667.2</v>
      </c>
      <c r="Q1394" s="338"/>
      <c r="R1394" s="51"/>
      <c r="S1394" s="51"/>
      <c r="T1394" s="338"/>
      <c r="U1394" s="51"/>
      <c r="V1394" s="35"/>
      <c r="W1394" s="364">
        <f t="shared" si="302"/>
        <v>254039.03000000003</v>
      </c>
      <c r="X1394" s="285">
        <f>148695.23+105343.8</f>
        <v>254039.03000000003</v>
      </c>
      <c r="Y1394" s="9"/>
      <c r="Z1394" s="40"/>
      <c r="AA1394" s="56"/>
      <c r="AB1394" s="56"/>
      <c r="AC1394" s="56"/>
      <c r="AD1394" s="56" t="s">
        <v>1448</v>
      </c>
      <c r="AE1394" s="56"/>
    </row>
    <row r="1395" spans="1:31" x14ac:dyDescent="0.3">
      <c r="A1395" s="47">
        <f t="shared" si="299"/>
        <v>1283</v>
      </c>
      <c r="B1395" s="414" t="s">
        <v>1717</v>
      </c>
      <c r="C1395" s="51">
        <f t="shared" si="297"/>
        <v>3977897.5</v>
      </c>
      <c r="D1395" s="51">
        <f t="shared" si="300"/>
        <v>0</v>
      </c>
      <c r="E1395" s="51"/>
      <c r="F1395" s="51"/>
      <c r="G1395" s="51"/>
      <c r="H1395" s="51"/>
      <c r="I1395" s="51"/>
      <c r="J1395" s="51"/>
      <c r="K1395" s="51"/>
      <c r="L1395" s="51"/>
      <c r="M1395" s="35"/>
      <c r="N1395" s="51"/>
      <c r="O1395" s="82">
        <v>688</v>
      </c>
      <c r="P1395" s="51">
        <v>3977897.5</v>
      </c>
      <c r="Q1395" s="338"/>
      <c r="R1395" s="51"/>
      <c r="S1395" s="51"/>
      <c r="T1395" s="338"/>
      <c r="U1395" s="51"/>
      <c r="V1395" s="35"/>
      <c r="W1395" s="364">
        <f t="shared" si="302"/>
        <v>0</v>
      </c>
      <c r="X1395" s="285"/>
      <c r="Y1395" s="9"/>
      <c r="Z1395" s="40"/>
      <c r="AA1395" s="56"/>
      <c r="AB1395" s="56"/>
      <c r="AC1395" s="56"/>
      <c r="AD1395" s="56"/>
      <c r="AE1395" s="56"/>
    </row>
    <row r="1396" spans="1:31" x14ac:dyDescent="0.3">
      <c r="A1396" s="47">
        <f t="shared" si="299"/>
        <v>1284</v>
      </c>
      <c r="B1396" s="414" t="s">
        <v>1719</v>
      </c>
      <c r="C1396" s="51">
        <f t="shared" si="297"/>
        <v>699907.48</v>
      </c>
      <c r="D1396" s="51">
        <f t="shared" si="300"/>
        <v>393267</v>
      </c>
      <c r="E1396" s="51">
        <f>(2688*13)+(358323*1)</f>
        <v>393267</v>
      </c>
      <c r="F1396" s="51"/>
      <c r="G1396" s="51"/>
      <c r="H1396" s="51"/>
      <c r="I1396" s="51"/>
      <c r="J1396" s="51"/>
      <c r="K1396" s="51"/>
      <c r="L1396" s="51"/>
      <c r="M1396" s="35"/>
      <c r="N1396" s="51"/>
      <c r="O1396" s="82"/>
      <c r="P1396" s="51"/>
      <c r="Q1396" s="338"/>
      <c r="R1396" s="51"/>
      <c r="S1396" s="51"/>
      <c r="T1396" s="338"/>
      <c r="U1396" s="51"/>
      <c r="V1396" s="35"/>
      <c r="W1396" s="364">
        <f t="shared" si="302"/>
        <v>306640.48</v>
      </c>
      <c r="X1396" s="285">
        <v>190327.96</v>
      </c>
      <c r="Y1396" s="285"/>
      <c r="Z1396" s="285">
        <v>116312.52</v>
      </c>
      <c r="AA1396" s="285"/>
      <c r="AB1396" s="56"/>
      <c r="AC1396" s="56"/>
      <c r="AD1396" s="56" t="s">
        <v>1576</v>
      </c>
      <c r="AE1396" s="56"/>
    </row>
    <row r="1397" spans="1:31" x14ac:dyDescent="0.3">
      <c r="A1397" s="47">
        <f t="shared" si="299"/>
        <v>1285</v>
      </c>
      <c r="B1397" s="414" t="s">
        <v>1720</v>
      </c>
      <c r="C1397" s="51">
        <f t="shared" si="297"/>
        <v>679867.17999999993</v>
      </c>
      <c r="D1397" s="51">
        <f t="shared" si="300"/>
        <v>0</v>
      </c>
      <c r="E1397" s="51"/>
      <c r="F1397" s="51"/>
      <c r="G1397" s="51"/>
      <c r="H1397" s="51"/>
      <c r="I1397" s="51"/>
      <c r="J1397" s="51"/>
      <c r="K1397" s="51"/>
      <c r="L1397" s="51"/>
      <c r="M1397" s="35"/>
      <c r="N1397" s="51"/>
      <c r="O1397" s="82"/>
      <c r="P1397" s="51"/>
      <c r="Q1397" s="338"/>
      <c r="R1397" s="51"/>
      <c r="S1397" s="51"/>
      <c r="T1397" s="338"/>
      <c r="U1397" s="51"/>
      <c r="V1397" s="35"/>
      <c r="W1397" s="364">
        <f t="shared" si="302"/>
        <v>679867.17999999993</v>
      </c>
      <c r="X1397" s="285">
        <f>173524.58+166248.68+227611.74</f>
        <v>567385</v>
      </c>
      <c r="Y1397" s="285"/>
      <c r="Z1397" s="285">
        <v>112482.18</v>
      </c>
      <c r="AA1397" s="285"/>
      <c r="AB1397" s="56"/>
      <c r="AC1397" s="56"/>
      <c r="AD1397" s="56" t="s">
        <v>1721</v>
      </c>
      <c r="AE1397" s="56"/>
    </row>
    <row r="1398" spans="1:31" x14ac:dyDescent="0.3">
      <c r="A1398" s="47">
        <f t="shared" si="299"/>
        <v>1286</v>
      </c>
      <c r="B1398" s="414" t="s">
        <v>1722</v>
      </c>
      <c r="C1398" s="51">
        <f t="shared" ref="C1398:C1461" si="303">D1398+K1398+L1398+N1398+P1398+R1398+U1398+S1398+V1398+W1398</f>
        <v>276254.27</v>
      </c>
      <c r="D1398" s="51">
        <f t="shared" si="300"/>
        <v>0</v>
      </c>
      <c r="E1398" s="51"/>
      <c r="F1398" s="51"/>
      <c r="G1398" s="51"/>
      <c r="H1398" s="51"/>
      <c r="I1398" s="51"/>
      <c r="J1398" s="51"/>
      <c r="K1398" s="51"/>
      <c r="L1398" s="51"/>
      <c r="M1398" s="35"/>
      <c r="N1398" s="51"/>
      <c r="O1398" s="82"/>
      <c r="P1398" s="51"/>
      <c r="Q1398" s="338"/>
      <c r="R1398" s="51"/>
      <c r="S1398" s="51"/>
      <c r="T1398" s="338"/>
      <c r="U1398" s="51"/>
      <c r="V1398" s="35"/>
      <c r="W1398" s="364">
        <f t="shared" si="302"/>
        <v>276254.27</v>
      </c>
      <c r="X1398" s="285">
        <v>139172.14000000001</v>
      </c>
      <c r="Y1398" s="285"/>
      <c r="Z1398" s="285">
        <v>137082.13</v>
      </c>
      <c r="AA1398" s="285"/>
      <c r="AB1398" s="285"/>
      <c r="AC1398" s="56"/>
      <c r="AD1398" s="56" t="s">
        <v>1576</v>
      </c>
      <c r="AE1398" s="56"/>
    </row>
    <row r="1399" spans="1:31" x14ac:dyDescent="0.3">
      <c r="A1399" s="47">
        <f t="shared" si="299"/>
        <v>1287</v>
      </c>
      <c r="B1399" s="414" t="s">
        <v>1723</v>
      </c>
      <c r="C1399" s="51">
        <f t="shared" si="303"/>
        <v>5549284.8700000001</v>
      </c>
      <c r="D1399" s="51">
        <f t="shared" si="300"/>
        <v>0</v>
      </c>
      <c r="E1399" s="51"/>
      <c r="F1399" s="51"/>
      <c r="G1399" s="51"/>
      <c r="H1399" s="51"/>
      <c r="I1399" s="51"/>
      <c r="J1399" s="51"/>
      <c r="K1399" s="51"/>
      <c r="L1399" s="51"/>
      <c r="M1399" s="35"/>
      <c r="N1399" s="51"/>
      <c r="O1399" s="82">
        <v>516</v>
      </c>
      <c r="P1399" s="51">
        <v>5236281.6100000003</v>
      </c>
      <c r="Q1399" s="338"/>
      <c r="R1399" s="51"/>
      <c r="S1399" s="51"/>
      <c r="T1399" s="338"/>
      <c r="U1399" s="51"/>
      <c r="V1399" s="35"/>
      <c r="W1399" s="364">
        <f t="shared" si="302"/>
        <v>313003.26</v>
      </c>
      <c r="X1399" s="285">
        <v>158307.22</v>
      </c>
      <c r="Y1399" s="285"/>
      <c r="Z1399" s="285">
        <v>154696.04</v>
      </c>
      <c r="AA1399" s="285"/>
      <c r="AB1399" s="285"/>
      <c r="AC1399" s="56"/>
      <c r="AD1399" s="56" t="s">
        <v>1395</v>
      </c>
      <c r="AE1399" s="56"/>
    </row>
    <row r="1400" spans="1:31" x14ac:dyDescent="0.3">
      <c r="A1400" s="47">
        <f t="shared" si="299"/>
        <v>1288</v>
      </c>
      <c r="B1400" s="414" t="s">
        <v>1724</v>
      </c>
      <c r="C1400" s="51">
        <f t="shared" si="303"/>
        <v>65075.89</v>
      </c>
      <c r="D1400" s="51">
        <f t="shared" si="300"/>
        <v>0</v>
      </c>
      <c r="E1400" s="51"/>
      <c r="F1400" s="51"/>
      <c r="G1400" s="51"/>
      <c r="H1400" s="51"/>
      <c r="I1400" s="51"/>
      <c r="J1400" s="51"/>
      <c r="K1400" s="51"/>
      <c r="L1400" s="51"/>
      <c r="M1400" s="35"/>
      <c r="N1400" s="51"/>
      <c r="O1400" s="82"/>
      <c r="P1400" s="51"/>
      <c r="Q1400" s="338"/>
      <c r="R1400" s="51"/>
      <c r="S1400" s="51"/>
      <c r="T1400" s="338"/>
      <c r="U1400" s="51"/>
      <c r="V1400" s="35"/>
      <c r="W1400" s="364">
        <f t="shared" si="302"/>
        <v>65075.89</v>
      </c>
      <c r="X1400" s="285">
        <v>65075.89</v>
      </c>
      <c r="Y1400" s="285"/>
      <c r="Z1400" s="285"/>
      <c r="AA1400" s="285"/>
      <c r="AB1400" s="285"/>
      <c r="AC1400" s="56"/>
      <c r="AD1400" s="56" t="s">
        <v>1576</v>
      </c>
      <c r="AE1400" s="56"/>
    </row>
    <row r="1401" spans="1:31" x14ac:dyDescent="0.3">
      <c r="A1401" s="47">
        <f t="shared" si="299"/>
        <v>1289</v>
      </c>
      <c r="B1401" s="414" t="s">
        <v>1725</v>
      </c>
      <c r="C1401" s="51">
        <f t="shared" si="303"/>
        <v>216245.99</v>
      </c>
      <c r="D1401" s="51">
        <f t="shared" si="300"/>
        <v>0</v>
      </c>
      <c r="E1401" s="51"/>
      <c r="F1401" s="51"/>
      <c r="G1401" s="51"/>
      <c r="H1401" s="51"/>
      <c r="I1401" s="51"/>
      <c r="J1401" s="51"/>
      <c r="K1401" s="51"/>
      <c r="L1401" s="51"/>
      <c r="M1401" s="35"/>
      <c r="N1401" s="51"/>
      <c r="O1401" s="82"/>
      <c r="P1401" s="51"/>
      <c r="Q1401" s="338"/>
      <c r="R1401" s="51"/>
      <c r="S1401" s="51"/>
      <c r="T1401" s="338"/>
      <c r="U1401" s="51"/>
      <c r="V1401" s="35"/>
      <c r="W1401" s="364">
        <f t="shared" si="302"/>
        <v>216245.99</v>
      </c>
      <c r="X1401" s="285">
        <v>73712.759999999995</v>
      </c>
      <c r="Y1401" s="285">
        <v>142533.23000000001</v>
      </c>
      <c r="Z1401" s="285"/>
      <c r="AA1401" s="285"/>
      <c r="AB1401" s="285"/>
      <c r="AC1401" s="56"/>
      <c r="AD1401" s="56" t="s">
        <v>1576</v>
      </c>
      <c r="AE1401" s="56"/>
    </row>
    <row r="1402" spans="1:31" x14ac:dyDescent="0.3">
      <c r="A1402" s="47">
        <f t="shared" si="299"/>
        <v>1290</v>
      </c>
      <c r="B1402" s="414" t="s">
        <v>1726</v>
      </c>
      <c r="C1402" s="51">
        <f t="shared" si="303"/>
        <v>160180.35</v>
      </c>
      <c r="D1402" s="51">
        <f t="shared" si="300"/>
        <v>0</v>
      </c>
      <c r="E1402" s="51"/>
      <c r="F1402" s="51"/>
      <c r="G1402" s="51"/>
      <c r="H1402" s="51"/>
      <c r="I1402" s="51"/>
      <c r="J1402" s="51"/>
      <c r="K1402" s="51"/>
      <c r="L1402" s="51"/>
      <c r="M1402" s="35"/>
      <c r="N1402" s="51"/>
      <c r="O1402" s="82"/>
      <c r="P1402" s="51"/>
      <c r="Q1402" s="338"/>
      <c r="R1402" s="51"/>
      <c r="S1402" s="51"/>
      <c r="T1402" s="338"/>
      <c r="U1402" s="51"/>
      <c r="V1402" s="35"/>
      <c r="W1402" s="364">
        <f t="shared" si="302"/>
        <v>160180.35</v>
      </c>
      <c r="X1402" s="285">
        <v>51320.9</v>
      </c>
      <c r="Y1402" s="285">
        <v>108859.45</v>
      </c>
      <c r="Z1402" s="285"/>
      <c r="AA1402" s="285"/>
      <c r="AB1402" s="285"/>
      <c r="AC1402" s="56"/>
      <c r="AD1402" s="56" t="s">
        <v>1576</v>
      </c>
      <c r="AE1402" s="56"/>
    </row>
    <row r="1403" spans="1:31" x14ac:dyDescent="0.3">
      <c r="A1403" s="47">
        <f t="shared" si="299"/>
        <v>1291</v>
      </c>
      <c r="B1403" s="414" t="s">
        <v>1727</v>
      </c>
      <c r="C1403" s="51">
        <f t="shared" si="303"/>
        <v>4403994.0199999996</v>
      </c>
      <c r="D1403" s="51">
        <f t="shared" si="300"/>
        <v>0</v>
      </c>
      <c r="E1403" s="51"/>
      <c r="F1403" s="51"/>
      <c r="G1403" s="51"/>
      <c r="H1403" s="51"/>
      <c r="I1403" s="51"/>
      <c r="J1403" s="51"/>
      <c r="K1403" s="51"/>
      <c r="L1403" s="51"/>
      <c r="M1403" s="35">
        <v>900.9</v>
      </c>
      <c r="N1403" s="51">
        <v>4213065.88</v>
      </c>
      <c r="O1403" s="82"/>
      <c r="P1403" s="51"/>
      <c r="Q1403" s="338"/>
      <c r="R1403" s="51"/>
      <c r="S1403" s="51"/>
      <c r="T1403" s="338"/>
      <c r="U1403" s="51"/>
      <c r="V1403" s="35"/>
      <c r="W1403" s="364">
        <f t="shared" si="302"/>
        <v>190928.14</v>
      </c>
      <c r="X1403" s="285">
        <v>190928.14</v>
      </c>
      <c r="Y1403" s="285"/>
      <c r="Z1403" s="285"/>
      <c r="AA1403" s="285"/>
      <c r="AB1403" s="285"/>
      <c r="AC1403" s="56"/>
      <c r="AD1403" s="56" t="s">
        <v>1395</v>
      </c>
      <c r="AE1403" s="56"/>
    </row>
    <row r="1404" spans="1:31" x14ac:dyDescent="0.3">
      <c r="A1404" s="47">
        <f t="shared" si="299"/>
        <v>1292</v>
      </c>
      <c r="B1404" s="414" t="s">
        <v>1728</v>
      </c>
      <c r="C1404" s="51">
        <f t="shared" si="303"/>
        <v>154252.92000000001</v>
      </c>
      <c r="D1404" s="51">
        <f t="shared" si="300"/>
        <v>0</v>
      </c>
      <c r="E1404" s="51"/>
      <c r="F1404" s="51"/>
      <c r="G1404" s="51"/>
      <c r="H1404" s="51"/>
      <c r="I1404" s="51"/>
      <c r="J1404" s="51"/>
      <c r="K1404" s="51"/>
      <c r="L1404" s="51"/>
      <c r="M1404" s="35"/>
      <c r="N1404" s="51"/>
      <c r="O1404" s="82"/>
      <c r="P1404" s="51"/>
      <c r="Q1404" s="338"/>
      <c r="R1404" s="51"/>
      <c r="S1404" s="51"/>
      <c r="T1404" s="338"/>
      <c r="U1404" s="51"/>
      <c r="V1404" s="35"/>
      <c r="W1404" s="364">
        <f t="shared" si="302"/>
        <v>154252.92000000001</v>
      </c>
      <c r="X1404" s="285" t="s">
        <v>379</v>
      </c>
      <c r="Y1404" s="285">
        <v>154252.92000000001</v>
      </c>
      <c r="Z1404" s="285"/>
      <c r="AA1404" s="285"/>
      <c r="AB1404" s="285"/>
      <c r="AC1404" s="56"/>
      <c r="AD1404" s="56" t="s">
        <v>1729</v>
      </c>
      <c r="AE1404" s="56"/>
    </row>
    <row r="1405" spans="1:31" x14ac:dyDescent="0.3">
      <c r="A1405" s="47">
        <f t="shared" si="299"/>
        <v>1293</v>
      </c>
      <c r="B1405" s="414" t="s">
        <v>1730</v>
      </c>
      <c r="C1405" s="51">
        <f t="shared" si="303"/>
        <v>4940069.9000000004</v>
      </c>
      <c r="D1405" s="51">
        <f t="shared" si="300"/>
        <v>0</v>
      </c>
      <c r="E1405" s="51"/>
      <c r="F1405" s="51"/>
      <c r="G1405" s="51"/>
      <c r="H1405" s="51"/>
      <c r="I1405" s="51"/>
      <c r="J1405" s="51"/>
      <c r="K1405" s="51"/>
      <c r="L1405" s="51"/>
      <c r="M1405" s="35">
        <v>900.9</v>
      </c>
      <c r="N1405" s="51">
        <v>4940069.9000000004</v>
      </c>
      <c r="O1405" s="82"/>
      <c r="P1405" s="51"/>
      <c r="Q1405" s="338"/>
      <c r="R1405" s="51"/>
      <c r="S1405" s="51"/>
      <c r="T1405" s="338"/>
      <c r="U1405" s="51"/>
      <c r="V1405" s="35"/>
      <c r="W1405" s="364">
        <f t="shared" si="302"/>
        <v>0</v>
      </c>
      <c r="X1405" s="285"/>
      <c r="Y1405" s="285"/>
      <c r="Z1405" s="285"/>
      <c r="AA1405" s="285"/>
      <c r="AB1405" s="285"/>
      <c r="AC1405" s="56"/>
      <c r="AD1405" s="56"/>
      <c r="AE1405" s="56"/>
    </row>
    <row r="1406" spans="1:31" x14ac:dyDescent="0.3">
      <c r="A1406" s="47">
        <f t="shared" si="299"/>
        <v>1294</v>
      </c>
      <c r="B1406" s="414" t="s">
        <v>1732</v>
      </c>
      <c r="C1406" s="51">
        <f t="shared" si="303"/>
        <v>414654.04</v>
      </c>
      <c r="D1406" s="51">
        <f t="shared" si="300"/>
        <v>0</v>
      </c>
      <c r="E1406" s="51"/>
      <c r="F1406" s="51"/>
      <c r="G1406" s="51"/>
      <c r="H1406" s="51"/>
      <c r="I1406" s="51"/>
      <c r="J1406" s="51"/>
      <c r="K1406" s="51"/>
      <c r="L1406" s="51"/>
      <c r="M1406" s="35"/>
      <c r="N1406" s="51"/>
      <c r="O1406" s="82"/>
      <c r="P1406" s="51"/>
      <c r="Q1406" s="338"/>
      <c r="R1406" s="51"/>
      <c r="S1406" s="51"/>
      <c r="T1406" s="338"/>
      <c r="U1406" s="51"/>
      <c r="V1406" s="35"/>
      <c r="W1406" s="364">
        <f t="shared" si="302"/>
        <v>414654.04</v>
      </c>
      <c r="X1406" s="285">
        <v>222273.74</v>
      </c>
      <c r="Y1406" s="285"/>
      <c r="Z1406" s="285">
        <v>192380.3</v>
      </c>
      <c r="AA1406" s="285"/>
      <c r="AB1406" s="285"/>
      <c r="AC1406" s="56"/>
      <c r="AD1406" s="56"/>
      <c r="AE1406" s="56"/>
    </row>
    <row r="1407" spans="1:31" x14ac:dyDescent="0.3">
      <c r="A1407" s="47">
        <f t="shared" si="299"/>
        <v>1295</v>
      </c>
      <c r="B1407" s="414" t="s">
        <v>1733</v>
      </c>
      <c r="C1407" s="51">
        <f t="shared" si="303"/>
        <v>531184.41</v>
      </c>
      <c r="D1407" s="51">
        <f t="shared" si="300"/>
        <v>0</v>
      </c>
      <c r="E1407" s="51"/>
      <c r="F1407" s="51"/>
      <c r="G1407" s="51"/>
      <c r="H1407" s="51"/>
      <c r="I1407" s="51"/>
      <c r="J1407" s="51"/>
      <c r="K1407" s="51"/>
      <c r="L1407" s="51"/>
      <c r="M1407" s="35"/>
      <c r="N1407" s="51"/>
      <c r="O1407" s="82"/>
      <c r="P1407" s="51"/>
      <c r="Q1407" s="338"/>
      <c r="R1407" s="51"/>
      <c r="S1407" s="51"/>
      <c r="T1407" s="338"/>
      <c r="U1407" s="51"/>
      <c r="V1407" s="35"/>
      <c r="W1407" s="364">
        <f t="shared" si="302"/>
        <v>531184.41</v>
      </c>
      <c r="X1407" s="285">
        <f>106033.62+86173.5+88124.2+86173.5</f>
        <v>366504.82</v>
      </c>
      <c r="Y1407" s="285">
        <v>164679.59</v>
      </c>
      <c r="Z1407" s="285"/>
      <c r="AA1407" s="285"/>
      <c r="AB1407" s="285"/>
      <c r="AC1407" s="56"/>
      <c r="AD1407" s="56" t="s">
        <v>1734</v>
      </c>
      <c r="AE1407" s="56"/>
    </row>
    <row r="1408" spans="1:31" x14ac:dyDescent="0.3">
      <c r="A1408" s="47">
        <f t="shared" si="299"/>
        <v>1296</v>
      </c>
      <c r="B1408" s="414" t="s">
        <v>1735</v>
      </c>
      <c r="C1408" s="51">
        <f t="shared" si="303"/>
        <v>4174409.2</v>
      </c>
      <c r="D1408" s="51">
        <f t="shared" si="300"/>
        <v>0</v>
      </c>
      <c r="E1408" s="51"/>
      <c r="F1408" s="51"/>
      <c r="G1408" s="51"/>
      <c r="H1408" s="51"/>
      <c r="I1408" s="51"/>
      <c r="J1408" s="51"/>
      <c r="K1408" s="51"/>
      <c r="L1408" s="51"/>
      <c r="M1408" s="35">
        <v>433</v>
      </c>
      <c r="N1408" s="51">
        <v>2778463.2</v>
      </c>
      <c r="O1408" s="82"/>
      <c r="P1408" s="51"/>
      <c r="Q1408" s="338"/>
      <c r="R1408" s="51"/>
      <c r="S1408" s="51"/>
      <c r="T1408" s="338"/>
      <c r="U1408" s="51">
        <v>1265946</v>
      </c>
      <c r="V1408" s="35"/>
      <c r="W1408" s="364">
        <v>130000</v>
      </c>
      <c r="X1408" s="285"/>
      <c r="Y1408" s="285"/>
      <c r="Z1408" s="285"/>
      <c r="AA1408" s="285"/>
      <c r="AB1408" s="285"/>
      <c r="AC1408" s="56"/>
      <c r="AD1408" s="56"/>
      <c r="AE1408" s="56"/>
    </row>
    <row r="1409" spans="1:31" x14ac:dyDescent="0.3">
      <c r="A1409" s="47">
        <f t="shared" si="299"/>
        <v>1297</v>
      </c>
      <c r="B1409" s="414" t="s">
        <v>1736</v>
      </c>
      <c r="C1409" s="51">
        <f t="shared" si="303"/>
        <v>368787.79</v>
      </c>
      <c r="D1409" s="51">
        <f t="shared" si="300"/>
        <v>0</v>
      </c>
      <c r="E1409" s="51"/>
      <c r="F1409" s="51"/>
      <c r="G1409" s="51"/>
      <c r="H1409" s="51"/>
      <c r="I1409" s="51"/>
      <c r="J1409" s="51"/>
      <c r="K1409" s="51"/>
      <c r="L1409" s="51"/>
      <c r="M1409" s="35"/>
      <c r="N1409" s="51"/>
      <c r="O1409" s="82"/>
      <c r="P1409" s="51"/>
      <c r="Q1409" s="338"/>
      <c r="R1409" s="51"/>
      <c r="S1409" s="51"/>
      <c r="T1409" s="338"/>
      <c r="U1409" s="51"/>
      <c r="V1409" s="35"/>
      <c r="W1409" s="364">
        <f t="shared" ref="W1409:W1440" si="304">SUM(X1409:AB1409)</f>
        <v>368787.79</v>
      </c>
      <c r="X1409" s="285">
        <f>59445.91+57027.02+74209.62+57027.02</f>
        <v>247709.56999999998</v>
      </c>
      <c r="Y1409" s="285">
        <v>121078.22</v>
      </c>
      <c r="Z1409" s="285"/>
      <c r="AA1409" s="285"/>
      <c r="AB1409" s="285"/>
      <c r="AC1409" s="56"/>
      <c r="AD1409" s="56" t="s">
        <v>1737</v>
      </c>
      <c r="AE1409" s="56"/>
    </row>
    <row r="1410" spans="1:31" x14ac:dyDescent="0.3">
      <c r="A1410" s="47">
        <f t="shared" ref="A1410:A1473" si="305">A1409+1</f>
        <v>1298</v>
      </c>
      <c r="B1410" s="414" t="s">
        <v>1738</v>
      </c>
      <c r="C1410" s="51">
        <f t="shared" si="303"/>
        <v>116093.85</v>
      </c>
      <c r="D1410" s="51">
        <f t="shared" si="300"/>
        <v>0</v>
      </c>
      <c r="E1410" s="51"/>
      <c r="F1410" s="51"/>
      <c r="G1410" s="51"/>
      <c r="H1410" s="51"/>
      <c r="I1410" s="51"/>
      <c r="J1410" s="51"/>
      <c r="K1410" s="51"/>
      <c r="L1410" s="51"/>
      <c r="M1410" s="35"/>
      <c r="N1410" s="51"/>
      <c r="O1410" s="82"/>
      <c r="P1410" s="51"/>
      <c r="Q1410" s="338"/>
      <c r="R1410" s="51"/>
      <c r="S1410" s="51"/>
      <c r="T1410" s="338"/>
      <c r="U1410" s="51"/>
      <c r="V1410" s="35"/>
      <c r="W1410" s="364">
        <f t="shared" si="304"/>
        <v>116093.85</v>
      </c>
      <c r="X1410" s="285">
        <f>59253.98+56839.87</f>
        <v>116093.85</v>
      </c>
      <c r="Y1410" s="285"/>
      <c r="Z1410" s="285"/>
      <c r="AA1410" s="285"/>
      <c r="AB1410" s="285"/>
      <c r="AC1410" s="56"/>
      <c r="AD1410" s="56" t="s">
        <v>1739</v>
      </c>
      <c r="AE1410" s="56"/>
    </row>
    <row r="1411" spans="1:31" x14ac:dyDescent="0.3">
      <c r="A1411" s="47">
        <f t="shared" si="305"/>
        <v>1299</v>
      </c>
      <c r="B1411" s="414" t="s">
        <v>1740</v>
      </c>
      <c r="C1411" s="51">
        <f t="shared" si="303"/>
        <v>406047.14999999997</v>
      </c>
      <c r="D1411" s="51">
        <f t="shared" ref="D1411:D1474" si="306">E1411+F1411+G1411+H1411+I1411</f>
        <v>0</v>
      </c>
      <c r="E1411" s="51"/>
      <c r="F1411" s="51"/>
      <c r="G1411" s="51"/>
      <c r="H1411" s="51"/>
      <c r="I1411" s="51"/>
      <c r="J1411" s="51"/>
      <c r="K1411" s="51"/>
      <c r="L1411" s="51"/>
      <c r="M1411" s="35"/>
      <c r="N1411" s="51"/>
      <c r="O1411" s="82"/>
      <c r="P1411" s="51"/>
      <c r="Q1411" s="338"/>
      <c r="R1411" s="51"/>
      <c r="S1411" s="51"/>
      <c r="T1411" s="338"/>
      <c r="U1411" s="51"/>
      <c r="V1411" s="35"/>
      <c r="W1411" s="364">
        <f t="shared" si="304"/>
        <v>406047.14999999997</v>
      </c>
      <c r="X1411" s="285">
        <f>79431.65+77742.95+97325.8</f>
        <v>254500.39999999997</v>
      </c>
      <c r="Y1411" s="285">
        <v>151546.75</v>
      </c>
      <c r="Z1411" s="40"/>
      <c r="AA1411" s="285"/>
      <c r="AB1411" s="56"/>
      <c r="AC1411" s="56"/>
      <c r="AD1411" s="56" t="s">
        <v>1741</v>
      </c>
      <c r="AE1411" s="56"/>
    </row>
    <row r="1412" spans="1:31" x14ac:dyDescent="0.3">
      <c r="A1412" s="47">
        <f t="shared" si="305"/>
        <v>1300</v>
      </c>
      <c r="B1412" s="414" t="s">
        <v>1742</v>
      </c>
      <c r="C1412" s="51">
        <f t="shared" si="303"/>
        <v>752589.09</v>
      </c>
      <c r="D1412" s="51">
        <f t="shared" si="306"/>
        <v>0</v>
      </c>
      <c r="E1412" s="51"/>
      <c r="F1412" s="51"/>
      <c r="G1412" s="51"/>
      <c r="H1412" s="51"/>
      <c r="I1412" s="51"/>
      <c r="J1412" s="51"/>
      <c r="K1412" s="51"/>
      <c r="L1412" s="51"/>
      <c r="M1412" s="35"/>
      <c r="N1412" s="51"/>
      <c r="O1412" s="82"/>
      <c r="P1412" s="51"/>
      <c r="Q1412" s="338"/>
      <c r="R1412" s="51"/>
      <c r="S1412" s="51"/>
      <c r="T1412" s="338"/>
      <c r="U1412" s="51"/>
      <c r="V1412" s="35"/>
      <c r="W1412" s="364">
        <f t="shared" si="304"/>
        <v>752589.09</v>
      </c>
      <c r="X1412" s="285">
        <f>125679.34+125222.44+149059.52+125222.44</f>
        <v>525183.74</v>
      </c>
      <c r="Y1412" s="285">
        <v>227405.35</v>
      </c>
      <c r="Z1412" s="285"/>
      <c r="AA1412" s="285"/>
      <c r="AB1412" s="285"/>
      <c r="AC1412" s="56"/>
      <c r="AD1412" s="56" t="s">
        <v>1737</v>
      </c>
      <c r="AE1412" s="56"/>
    </row>
    <row r="1413" spans="1:31" x14ac:dyDescent="0.3">
      <c r="A1413" s="47">
        <f t="shared" si="305"/>
        <v>1301</v>
      </c>
      <c r="B1413" s="414" t="s">
        <v>1743</v>
      </c>
      <c r="C1413" s="51">
        <f t="shared" si="303"/>
        <v>164783.49</v>
      </c>
      <c r="D1413" s="51">
        <f t="shared" si="306"/>
        <v>0</v>
      </c>
      <c r="E1413" s="51"/>
      <c r="F1413" s="51"/>
      <c r="G1413" s="51"/>
      <c r="H1413" s="51"/>
      <c r="I1413" s="51"/>
      <c r="J1413" s="51"/>
      <c r="K1413" s="51"/>
      <c r="L1413" s="51"/>
      <c r="M1413" s="35"/>
      <c r="N1413" s="51"/>
      <c r="O1413" s="82"/>
      <c r="P1413" s="51"/>
      <c r="Q1413" s="338"/>
      <c r="R1413" s="51"/>
      <c r="S1413" s="51"/>
      <c r="T1413" s="338"/>
      <c r="U1413" s="51"/>
      <c r="V1413" s="35"/>
      <c r="W1413" s="364">
        <f t="shared" si="304"/>
        <v>164783.49</v>
      </c>
      <c r="X1413" s="285">
        <v>118741.12</v>
      </c>
      <c r="Y1413" s="285"/>
      <c r="Z1413" s="285">
        <v>46042.37</v>
      </c>
      <c r="AA1413" s="285"/>
      <c r="AB1413" s="56"/>
      <c r="AC1413" s="56"/>
      <c r="AD1413" s="56" t="s">
        <v>1729</v>
      </c>
      <c r="AE1413" s="56"/>
    </row>
    <row r="1414" spans="1:31" x14ac:dyDescent="0.3">
      <c r="A1414" s="47">
        <f t="shared" si="305"/>
        <v>1302</v>
      </c>
      <c r="B1414" s="414" t="s">
        <v>1744</v>
      </c>
      <c r="C1414" s="51">
        <f t="shared" si="303"/>
        <v>315237.62</v>
      </c>
      <c r="D1414" s="51">
        <f t="shared" si="306"/>
        <v>0</v>
      </c>
      <c r="E1414" s="51"/>
      <c r="F1414" s="51"/>
      <c r="G1414" s="51"/>
      <c r="H1414" s="51"/>
      <c r="I1414" s="51"/>
      <c r="J1414" s="51"/>
      <c r="K1414" s="51"/>
      <c r="L1414" s="51"/>
      <c r="M1414" s="35"/>
      <c r="N1414" s="51"/>
      <c r="O1414" s="82"/>
      <c r="P1414" s="51"/>
      <c r="Q1414" s="338"/>
      <c r="R1414" s="51"/>
      <c r="S1414" s="51"/>
      <c r="T1414" s="338"/>
      <c r="U1414" s="51"/>
      <c r="V1414" s="35"/>
      <c r="W1414" s="364">
        <f t="shared" si="304"/>
        <v>315237.62</v>
      </c>
      <c r="X1414" s="285">
        <v>112990.21</v>
      </c>
      <c r="Y1414" s="285">
        <v>202247.41</v>
      </c>
      <c r="Z1414" s="285"/>
      <c r="AA1414" s="285"/>
      <c r="AB1414" s="56"/>
      <c r="AC1414" s="56"/>
      <c r="AD1414" s="56" t="s">
        <v>1576</v>
      </c>
      <c r="AE1414" s="56"/>
    </row>
    <row r="1415" spans="1:31" x14ac:dyDescent="0.3">
      <c r="A1415" s="47">
        <f t="shared" si="305"/>
        <v>1303</v>
      </c>
      <c r="B1415" s="414" t="s">
        <v>1745</v>
      </c>
      <c r="C1415" s="51">
        <f t="shared" si="303"/>
        <v>776662.74</v>
      </c>
      <c r="D1415" s="51">
        <f t="shared" si="306"/>
        <v>0</v>
      </c>
      <c r="E1415" s="51"/>
      <c r="F1415" s="51"/>
      <c r="G1415" s="51"/>
      <c r="H1415" s="51"/>
      <c r="I1415" s="51"/>
      <c r="J1415" s="51"/>
      <c r="K1415" s="51"/>
      <c r="L1415" s="51"/>
      <c r="M1415" s="35"/>
      <c r="N1415" s="51"/>
      <c r="O1415" s="82"/>
      <c r="P1415" s="51"/>
      <c r="Q1415" s="338"/>
      <c r="R1415" s="51"/>
      <c r="S1415" s="51"/>
      <c r="T1415" s="338"/>
      <c r="U1415" s="51"/>
      <c r="V1415" s="35"/>
      <c r="W1415" s="364">
        <f t="shared" si="304"/>
        <v>776662.74</v>
      </c>
      <c r="X1415" s="285">
        <v>204527.29</v>
      </c>
      <c r="Y1415" s="285">
        <v>372243.46</v>
      </c>
      <c r="Z1415" s="285">
        <v>199891.99</v>
      </c>
      <c r="AA1415" s="285"/>
      <c r="AB1415" s="56"/>
      <c r="AC1415" s="56"/>
      <c r="AD1415" s="56" t="s">
        <v>1395</v>
      </c>
      <c r="AE1415" s="56"/>
    </row>
    <row r="1416" spans="1:31" x14ac:dyDescent="0.3">
      <c r="A1416" s="47">
        <f t="shared" si="305"/>
        <v>1304</v>
      </c>
      <c r="B1416" s="414" t="s">
        <v>1746</v>
      </c>
      <c r="C1416" s="51">
        <f t="shared" si="303"/>
        <v>409419.25</v>
      </c>
      <c r="D1416" s="51">
        <f t="shared" si="306"/>
        <v>0</v>
      </c>
      <c r="E1416" s="51"/>
      <c r="F1416" s="51"/>
      <c r="G1416" s="51"/>
      <c r="H1416" s="51"/>
      <c r="I1416" s="51"/>
      <c r="J1416" s="51"/>
      <c r="K1416" s="51"/>
      <c r="L1416" s="51"/>
      <c r="M1416" s="35"/>
      <c r="N1416" s="51"/>
      <c r="O1416" s="82"/>
      <c r="P1416" s="51"/>
      <c r="Q1416" s="338"/>
      <c r="R1416" s="51"/>
      <c r="S1416" s="51"/>
      <c r="T1416" s="338"/>
      <c r="U1416" s="51"/>
      <c r="V1416" s="35"/>
      <c r="W1416" s="364">
        <f t="shared" si="304"/>
        <v>409419.25</v>
      </c>
      <c r="X1416" s="285">
        <v>215886.67</v>
      </c>
      <c r="Y1416" s="285"/>
      <c r="Z1416" s="285">
        <v>193532.58</v>
      </c>
      <c r="AA1416" s="285"/>
      <c r="AB1416" s="285"/>
      <c r="AC1416" s="56"/>
      <c r="AD1416" s="56" t="s">
        <v>1395</v>
      </c>
      <c r="AE1416" s="56"/>
    </row>
    <row r="1417" spans="1:31" x14ac:dyDescent="0.3">
      <c r="A1417" s="47">
        <f t="shared" si="305"/>
        <v>1305</v>
      </c>
      <c r="B1417" s="414" t="s">
        <v>1747</v>
      </c>
      <c r="C1417" s="51">
        <f t="shared" si="303"/>
        <v>406923.76</v>
      </c>
      <c r="D1417" s="51">
        <f t="shared" si="306"/>
        <v>0</v>
      </c>
      <c r="E1417" s="51"/>
      <c r="F1417" s="51"/>
      <c r="G1417" s="51"/>
      <c r="H1417" s="51"/>
      <c r="I1417" s="51"/>
      <c r="J1417" s="51"/>
      <c r="K1417" s="51"/>
      <c r="L1417" s="51"/>
      <c r="M1417" s="35"/>
      <c r="N1417" s="51"/>
      <c r="O1417" s="82"/>
      <c r="P1417" s="51"/>
      <c r="Q1417" s="338"/>
      <c r="R1417" s="51"/>
      <c r="S1417" s="51"/>
      <c r="T1417" s="338"/>
      <c r="U1417" s="51"/>
      <c r="V1417" s="35"/>
      <c r="W1417" s="364">
        <f t="shared" si="304"/>
        <v>406923.76</v>
      </c>
      <c r="X1417" s="285">
        <v>207977.94</v>
      </c>
      <c r="Y1417" s="285"/>
      <c r="Z1417" s="285">
        <v>198945.82</v>
      </c>
      <c r="AA1417" s="285"/>
      <c r="AB1417" s="285"/>
      <c r="AC1417" s="56"/>
      <c r="AD1417" s="56" t="s">
        <v>1395</v>
      </c>
      <c r="AE1417" s="56"/>
    </row>
    <row r="1418" spans="1:31" x14ac:dyDescent="0.3">
      <c r="A1418" s="47">
        <f t="shared" si="305"/>
        <v>1306</v>
      </c>
      <c r="B1418" s="414" t="s">
        <v>1748</v>
      </c>
      <c r="C1418" s="51">
        <f t="shared" si="303"/>
        <v>605870.04</v>
      </c>
      <c r="D1418" s="51">
        <f t="shared" si="306"/>
        <v>0</v>
      </c>
      <c r="E1418" s="51"/>
      <c r="F1418" s="51"/>
      <c r="G1418" s="51"/>
      <c r="H1418" s="51"/>
      <c r="I1418" s="51"/>
      <c r="J1418" s="51"/>
      <c r="K1418" s="51"/>
      <c r="L1418" s="51"/>
      <c r="M1418" s="35"/>
      <c r="N1418" s="51"/>
      <c r="O1418" s="82"/>
      <c r="P1418" s="51"/>
      <c r="Q1418" s="338"/>
      <c r="R1418" s="51"/>
      <c r="S1418" s="51"/>
      <c r="T1418" s="338"/>
      <c r="U1418" s="51"/>
      <c r="V1418" s="35"/>
      <c r="W1418" s="364">
        <f t="shared" si="304"/>
        <v>605870.04</v>
      </c>
      <c r="X1418" s="285"/>
      <c r="Y1418" s="285"/>
      <c r="Z1418" s="285">
        <v>605870.04</v>
      </c>
      <c r="AA1418" s="285"/>
      <c r="AB1418" s="285"/>
      <c r="AC1418" s="56"/>
      <c r="AD1418" s="56"/>
      <c r="AE1418" s="56"/>
    </row>
    <row r="1419" spans="1:31" x14ac:dyDescent="0.3">
      <c r="A1419" s="47">
        <f t="shared" si="305"/>
        <v>1307</v>
      </c>
      <c r="B1419" s="414" t="s">
        <v>1749</v>
      </c>
      <c r="C1419" s="51">
        <f t="shared" si="303"/>
        <v>414031.62</v>
      </c>
      <c r="D1419" s="51">
        <f t="shared" si="306"/>
        <v>0</v>
      </c>
      <c r="E1419" s="51"/>
      <c r="F1419" s="51"/>
      <c r="G1419" s="51"/>
      <c r="H1419" s="51"/>
      <c r="I1419" s="51"/>
      <c r="J1419" s="51"/>
      <c r="K1419" s="51"/>
      <c r="L1419" s="51"/>
      <c r="M1419" s="35"/>
      <c r="N1419" s="51"/>
      <c r="O1419" s="82"/>
      <c r="P1419" s="51"/>
      <c r="Q1419" s="338"/>
      <c r="R1419" s="51"/>
      <c r="S1419" s="51"/>
      <c r="T1419" s="338"/>
      <c r="U1419" s="51"/>
      <c r="V1419" s="35"/>
      <c r="W1419" s="364">
        <f t="shared" si="304"/>
        <v>414031.62</v>
      </c>
      <c r="X1419" s="285">
        <v>223088.15</v>
      </c>
      <c r="Y1419" s="285"/>
      <c r="Z1419" s="285">
        <v>190943.47</v>
      </c>
      <c r="AA1419" s="285"/>
      <c r="AB1419" s="285"/>
      <c r="AC1419" s="56"/>
      <c r="AD1419" s="56" t="s">
        <v>1576</v>
      </c>
      <c r="AE1419" s="56"/>
    </row>
    <row r="1420" spans="1:31" x14ac:dyDescent="0.3">
      <c r="A1420" s="47">
        <f t="shared" si="305"/>
        <v>1308</v>
      </c>
      <c r="B1420" s="414" t="s">
        <v>1751</v>
      </c>
      <c r="C1420" s="51">
        <f t="shared" si="303"/>
        <v>429790.4</v>
      </c>
      <c r="D1420" s="51">
        <f t="shared" si="306"/>
        <v>0</v>
      </c>
      <c r="E1420" s="51"/>
      <c r="F1420" s="51"/>
      <c r="G1420" s="51"/>
      <c r="H1420" s="51"/>
      <c r="I1420" s="51"/>
      <c r="J1420" s="51"/>
      <c r="K1420" s="51"/>
      <c r="L1420" s="51"/>
      <c r="M1420" s="35"/>
      <c r="N1420" s="51"/>
      <c r="O1420" s="82"/>
      <c r="P1420" s="51"/>
      <c r="Q1420" s="338"/>
      <c r="R1420" s="51"/>
      <c r="S1420" s="51"/>
      <c r="T1420" s="338"/>
      <c r="U1420" s="51"/>
      <c r="V1420" s="35"/>
      <c r="W1420" s="364">
        <f t="shared" si="304"/>
        <v>429790.4</v>
      </c>
      <c r="X1420" s="285">
        <v>244842.58</v>
      </c>
      <c r="Y1420" s="285"/>
      <c r="Z1420" s="285">
        <v>184947.82</v>
      </c>
      <c r="AA1420" s="285"/>
      <c r="AB1420" s="56"/>
      <c r="AC1420" s="56"/>
      <c r="AD1420" s="56" t="s">
        <v>1576</v>
      </c>
      <c r="AE1420" s="56"/>
    </row>
    <row r="1421" spans="1:31" x14ac:dyDescent="0.3">
      <c r="A1421" s="47">
        <f t="shared" si="305"/>
        <v>1309</v>
      </c>
      <c r="B1421" s="414" t="s">
        <v>1752</v>
      </c>
      <c r="C1421" s="51">
        <f t="shared" si="303"/>
        <v>421012.07</v>
      </c>
      <c r="D1421" s="51">
        <f t="shared" si="306"/>
        <v>0</v>
      </c>
      <c r="E1421" s="51"/>
      <c r="F1421" s="51"/>
      <c r="G1421" s="51"/>
      <c r="H1421" s="51"/>
      <c r="I1421" s="51"/>
      <c r="J1421" s="51"/>
      <c r="K1421" s="51"/>
      <c r="L1421" s="51"/>
      <c r="M1421" s="35"/>
      <c r="N1421" s="51"/>
      <c r="O1421" s="82"/>
      <c r="P1421" s="51"/>
      <c r="Q1421" s="338"/>
      <c r="R1421" s="51"/>
      <c r="S1421" s="51"/>
      <c r="T1421" s="338"/>
      <c r="U1421" s="51"/>
      <c r="V1421" s="35"/>
      <c r="W1421" s="364">
        <f t="shared" si="304"/>
        <v>421012.07</v>
      </c>
      <c r="X1421" s="285">
        <v>230707.54</v>
      </c>
      <c r="Y1421" s="285"/>
      <c r="Z1421" s="285">
        <v>190304.53</v>
      </c>
      <c r="AA1421" s="285"/>
      <c r="AB1421" s="56"/>
      <c r="AC1421" s="56"/>
      <c r="AD1421" s="56" t="s">
        <v>1438</v>
      </c>
      <c r="AE1421" s="56"/>
    </row>
    <row r="1422" spans="1:31" x14ac:dyDescent="0.3">
      <c r="A1422" s="47">
        <f t="shared" si="305"/>
        <v>1310</v>
      </c>
      <c r="B1422" s="414" t="s">
        <v>1753</v>
      </c>
      <c r="C1422" s="51">
        <f t="shared" si="303"/>
        <v>320633.95</v>
      </c>
      <c r="D1422" s="51">
        <f t="shared" si="306"/>
        <v>0</v>
      </c>
      <c r="E1422" s="51"/>
      <c r="F1422" s="51"/>
      <c r="G1422" s="51"/>
      <c r="H1422" s="51"/>
      <c r="I1422" s="51"/>
      <c r="J1422" s="51"/>
      <c r="K1422" s="51"/>
      <c r="L1422" s="51"/>
      <c r="M1422" s="35"/>
      <c r="N1422" s="51"/>
      <c r="O1422" s="82"/>
      <c r="P1422" s="51"/>
      <c r="Q1422" s="338"/>
      <c r="R1422" s="51"/>
      <c r="S1422" s="51"/>
      <c r="T1422" s="338"/>
      <c r="U1422" s="51"/>
      <c r="V1422" s="35"/>
      <c r="W1422" s="364">
        <f t="shared" si="304"/>
        <v>320633.95</v>
      </c>
      <c r="X1422" s="285">
        <v>160804.19</v>
      </c>
      <c r="Y1422" s="285"/>
      <c r="Z1422" s="285">
        <v>159829.76000000001</v>
      </c>
      <c r="AA1422" s="285"/>
      <c r="AB1422" s="56"/>
      <c r="AC1422" s="56"/>
      <c r="AD1422" s="56" t="s">
        <v>1576</v>
      </c>
      <c r="AE1422" s="56"/>
    </row>
    <row r="1423" spans="1:31" x14ac:dyDescent="0.3">
      <c r="A1423" s="47">
        <f t="shared" si="305"/>
        <v>1311</v>
      </c>
      <c r="B1423" s="414" t="s">
        <v>1754</v>
      </c>
      <c r="C1423" s="51">
        <f t="shared" si="303"/>
        <v>10895175.6</v>
      </c>
      <c r="D1423" s="51">
        <f t="shared" si="306"/>
        <v>0</v>
      </c>
      <c r="E1423" s="51"/>
      <c r="F1423" s="51"/>
      <c r="G1423" s="51"/>
      <c r="H1423" s="51"/>
      <c r="I1423" s="51"/>
      <c r="J1423" s="51"/>
      <c r="K1423" s="51"/>
      <c r="L1423" s="51"/>
      <c r="M1423" s="35"/>
      <c r="N1423" s="51"/>
      <c r="O1423" s="82">
        <v>484.8</v>
      </c>
      <c r="P1423" s="51">
        <v>10895175.6</v>
      </c>
      <c r="Q1423" s="338"/>
      <c r="R1423" s="51"/>
      <c r="S1423" s="51"/>
      <c r="T1423" s="338"/>
      <c r="U1423" s="51"/>
      <c r="V1423" s="35"/>
      <c r="W1423" s="364">
        <f t="shared" si="304"/>
        <v>0</v>
      </c>
      <c r="X1423" s="285"/>
      <c r="Y1423" s="285"/>
      <c r="Z1423" s="285"/>
      <c r="AA1423" s="285"/>
      <c r="AB1423" s="56"/>
      <c r="AC1423" s="56"/>
      <c r="AD1423" s="56"/>
      <c r="AE1423" s="56"/>
    </row>
    <row r="1424" spans="1:31" x14ac:dyDescent="0.3">
      <c r="A1424" s="47">
        <f t="shared" si="305"/>
        <v>1312</v>
      </c>
      <c r="B1424" s="414" t="s">
        <v>1755</v>
      </c>
      <c r="C1424" s="51">
        <f t="shared" si="303"/>
        <v>1075822.04</v>
      </c>
      <c r="D1424" s="51">
        <f t="shared" si="306"/>
        <v>0</v>
      </c>
      <c r="E1424" s="51"/>
      <c r="F1424" s="51"/>
      <c r="G1424" s="51"/>
      <c r="H1424" s="51"/>
      <c r="I1424" s="51"/>
      <c r="J1424" s="51"/>
      <c r="K1424" s="51"/>
      <c r="L1424" s="51"/>
      <c r="M1424" s="35"/>
      <c r="N1424" s="51"/>
      <c r="O1424" s="82"/>
      <c r="P1424" s="51"/>
      <c r="Q1424" s="338"/>
      <c r="R1424" s="51"/>
      <c r="S1424" s="51"/>
      <c r="T1424" s="338"/>
      <c r="U1424" s="51"/>
      <c r="V1424" s="35"/>
      <c r="W1424" s="364">
        <f t="shared" si="304"/>
        <v>1075822.04</v>
      </c>
      <c r="X1424" s="285">
        <v>354461.09</v>
      </c>
      <c r="Y1424" s="285">
        <v>612484.39</v>
      </c>
      <c r="Z1424" s="285">
        <v>108876.56</v>
      </c>
      <c r="AA1424" s="285"/>
      <c r="AB1424" s="56"/>
      <c r="AC1424" s="56"/>
      <c r="AD1424" s="56" t="s">
        <v>1576</v>
      </c>
      <c r="AE1424" s="56"/>
    </row>
    <row r="1425" spans="1:31" x14ac:dyDescent="0.3">
      <c r="A1425" s="47">
        <f t="shared" si="305"/>
        <v>1313</v>
      </c>
      <c r="B1425" s="414" t="s">
        <v>1756</v>
      </c>
      <c r="C1425" s="51">
        <f t="shared" si="303"/>
        <v>12854416.800000001</v>
      </c>
      <c r="D1425" s="51">
        <f t="shared" si="306"/>
        <v>0</v>
      </c>
      <c r="E1425" s="51"/>
      <c r="F1425" s="51"/>
      <c r="G1425" s="51"/>
      <c r="H1425" s="51"/>
      <c r="I1425" s="51"/>
      <c r="J1425" s="51"/>
      <c r="K1425" s="51"/>
      <c r="L1425" s="51"/>
      <c r="M1425" s="35"/>
      <c r="N1425" s="51"/>
      <c r="O1425" s="82">
        <v>752</v>
      </c>
      <c r="P1425" s="51">
        <v>12854416.800000001</v>
      </c>
      <c r="Q1425" s="338"/>
      <c r="R1425" s="51"/>
      <c r="S1425" s="51"/>
      <c r="T1425" s="338"/>
      <c r="U1425" s="51"/>
      <c r="V1425" s="35"/>
      <c r="W1425" s="364">
        <f t="shared" si="304"/>
        <v>0</v>
      </c>
      <c r="X1425" s="285"/>
      <c r="Y1425" s="285"/>
      <c r="Z1425" s="285"/>
      <c r="AA1425" s="285"/>
      <c r="AB1425" s="56"/>
      <c r="AC1425" s="56"/>
      <c r="AD1425" s="56"/>
      <c r="AE1425" s="56"/>
    </row>
    <row r="1426" spans="1:31" x14ac:dyDescent="0.3">
      <c r="A1426" s="47">
        <f t="shared" si="305"/>
        <v>1314</v>
      </c>
      <c r="B1426" s="414" t="s">
        <v>1757</v>
      </c>
      <c r="C1426" s="51">
        <f t="shared" si="303"/>
        <v>15241273.15</v>
      </c>
      <c r="D1426" s="51">
        <f t="shared" si="306"/>
        <v>0</v>
      </c>
      <c r="E1426" s="51"/>
      <c r="F1426" s="51"/>
      <c r="G1426" s="51"/>
      <c r="H1426" s="51"/>
      <c r="I1426" s="51"/>
      <c r="J1426" s="51"/>
      <c r="K1426" s="51"/>
      <c r="L1426" s="51"/>
      <c r="M1426" s="35"/>
      <c r="N1426" s="51"/>
      <c r="O1426" s="82">
        <v>1023.2</v>
      </c>
      <c r="P1426" s="51">
        <v>14985114</v>
      </c>
      <c r="Q1426" s="338"/>
      <c r="R1426" s="51"/>
      <c r="S1426" s="51"/>
      <c r="T1426" s="338"/>
      <c r="U1426" s="51"/>
      <c r="V1426" s="35"/>
      <c r="W1426" s="364">
        <f t="shared" si="304"/>
        <v>256159.15</v>
      </c>
      <c r="X1426" s="285">
        <v>256159.15</v>
      </c>
      <c r="Y1426" s="285"/>
      <c r="Z1426" s="285"/>
      <c r="AA1426" s="285"/>
      <c r="AB1426" s="56"/>
      <c r="AC1426" s="56"/>
      <c r="AD1426" s="56" t="s">
        <v>1395</v>
      </c>
      <c r="AE1426" s="56"/>
    </row>
    <row r="1427" spans="1:31" x14ac:dyDescent="0.3">
      <c r="A1427" s="47">
        <f t="shared" si="305"/>
        <v>1315</v>
      </c>
      <c r="B1427" s="414" t="s">
        <v>1758</v>
      </c>
      <c r="C1427" s="51">
        <f t="shared" si="303"/>
        <v>1193112</v>
      </c>
      <c r="D1427" s="51">
        <f t="shared" si="306"/>
        <v>0</v>
      </c>
      <c r="E1427" s="51"/>
      <c r="F1427" s="51"/>
      <c r="G1427" s="51"/>
      <c r="H1427" s="51"/>
      <c r="I1427" s="51"/>
      <c r="J1427" s="51"/>
      <c r="K1427" s="51"/>
      <c r="L1427" s="51"/>
      <c r="M1427" s="35"/>
      <c r="N1427" s="51"/>
      <c r="O1427" s="82"/>
      <c r="P1427" s="51"/>
      <c r="Q1427" s="338"/>
      <c r="R1427" s="51"/>
      <c r="S1427" s="51"/>
      <c r="T1427" s="338"/>
      <c r="U1427" s="51">
        <v>1193112</v>
      </c>
      <c r="V1427" s="35"/>
      <c r="W1427" s="364">
        <f t="shared" si="304"/>
        <v>0</v>
      </c>
      <c r="X1427" s="285"/>
      <c r="Y1427" s="285"/>
      <c r="Z1427" s="285"/>
      <c r="AA1427" s="285"/>
      <c r="AB1427" s="56"/>
      <c r="AC1427" s="56"/>
      <c r="AD1427" s="56"/>
      <c r="AE1427" s="56"/>
    </row>
    <row r="1428" spans="1:31" x14ac:dyDescent="0.3">
      <c r="A1428" s="47">
        <f t="shared" si="305"/>
        <v>1316</v>
      </c>
      <c r="B1428" s="414" t="s">
        <v>1759</v>
      </c>
      <c r="C1428" s="51">
        <f t="shared" si="303"/>
        <v>212778.92</v>
      </c>
      <c r="D1428" s="51">
        <f t="shared" si="306"/>
        <v>0</v>
      </c>
      <c r="E1428" s="51"/>
      <c r="F1428" s="51"/>
      <c r="G1428" s="51"/>
      <c r="H1428" s="51"/>
      <c r="I1428" s="51"/>
      <c r="J1428" s="51"/>
      <c r="K1428" s="51"/>
      <c r="L1428" s="51"/>
      <c r="M1428" s="35"/>
      <c r="N1428" s="51"/>
      <c r="O1428" s="82"/>
      <c r="P1428" s="51"/>
      <c r="Q1428" s="338"/>
      <c r="R1428" s="51"/>
      <c r="S1428" s="51"/>
      <c r="T1428" s="338"/>
      <c r="U1428" s="51"/>
      <c r="V1428" s="35"/>
      <c r="W1428" s="364">
        <f t="shared" si="304"/>
        <v>212778.92</v>
      </c>
      <c r="X1428" s="285">
        <v>212778.92</v>
      </c>
      <c r="Y1428" s="285"/>
      <c r="Z1428" s="285"/>
      <c r="AA1428" s="285"/>
      <c r="AB1428" s="285"/>
      <c r="AC1428" s="56"/>
      <c r="AD1428" s="56" t="s">
        <v>1395</v>
      </c>
      <c r="AE1428" s="56"/>
    </row>
    <row r="1429" spans="1:31" x14ac:dyDescent="0.3">
      <c r="A1429" s="47">
        <f t="shared" si="305"/>
        <v>1317</v>
      </c>
      <c r="B1429" s="414" t="s">
        <v>1760</v>
      </c>
      <c r="C1429" s="51">
        <f t="shared" si="303"/>
        <v>319412.40000000002</v>
      </c>
      <c r="D1429" s="51">
        <f t="shared" si="306"/>
        <v>0</v>
      </c>
      <c r="E1429" s="51"/>
      <c r="F1429" s="51"/>
      <c r="G1429" s="51"/>
      <c r="H1429" s="51"/>
      <c r="I1429" s="51"/>
      <c r="J1429" s="51"/>
      <c r="K1429" s="51"/>
      <c r="L1429" s="51"/>
      <c r="M1429" s="35"/>
      <c r="N1429" s="51"/>
      <c r="O1429" s="82"/>
      <c r="P1429" s="51"/>
      <c r="Q1429" s="338"/>
      <c r="R1429" s="51"/>
      <c r="S1429" s="51"/>
      <c r="T1429" s="338"/>
      <c r="U1429" s="51">
        <v>319412.40000000002</v>
      </c>
      <c r="V1429" s="35"/>
      <c r="W1429" s="364">
        <f t="shared" si="304"/>
        <v>0</v>
      </c>
      <c r="X1429" s="285"/>
      <c r="Y1429" s="285"/>
      <c r="Z1429" s="285"/>
      <c r="AA1429" s="285"/>
      <c r="AB1429" s="285"/>
      <c r="AC1429" s="56"/>
      <c r="AD1429" s="56"/>
      <c r="AE1429" s="56"/>
    </row>
    <row r="1430" spans="1:31" x14ac:dyDescent="0.3">
      <c r="A1430" s="47">
        <f t="shared" si="305"/>
        <v>1318</v>
      </c>
      <c r="B1430" s="414" t="s">
        <v>1761</v>
      </c>
      <c r="C1430" s="51">
        <f t="shared" si="303"/>
        <v>420029.18</v>
      </c>
      <c r="D1430" s="51">
        <f t="shared" si="306"/>
        <v>0</v>
      </c>
      <c r="E1430" s="51"/>
      <c r="F1430" s="51"/>
      <c r="G1430" s="51"/>
      <c r="H1430" s="51"/>
      <c r="I1430" s="51"/>
      <c r="J1430" s="51"/>
      <c r="K1430" s="51"/>
      <c r="L1430" s="51"/>
      <c r="M1430" s="35"/>
      <c r="N1430" s="51"/>
      <c r="O1430" s="82"/>
      <c r="P1430" s="51"/>
      <c r="Q1430" s="338"/>
      <c r="R1430" s="51"/>
      <c r="S1430" s="51"/>
      <c r="T1430" s="338"/>
      <c r="U1430" s="51"/>
      <c r="V1430" s="35"/>
      <c r="W1430" s="364">
        <f t="shared" si="304"/>
        <v>420029.18</v>
      </c>
      <c r="X1430" s="285">
        <v>224159.82</v>
      </c>
      <c r="Y1430" s="285"/>
      <c r="Z1430" s="285">
        <v>195869.36</v>
      </c>
      <c r="AA1430" s="285"/>
      <c r="AB1430" s="285"/>
      <c r="AC1430" s="56"/>
      <c r="AD1430" s="56" t="s">
        <v>1576</v>
      </c>
      <c r="AE1430" s="56"/>
    </row>
    <row r="1431" spans="1:31" x14ac:dyDescent="0.3">
      <c r="A1431" s="47">
        <f t="shared" si="305"/>
        <v>1319</v>
      </c>
      <c r="B1431" s="414" t="s">
        <v>1762</v>
      </c>
      <c r="C1431" s="51">
        <f t="shared" si="303"/>
        <v>724639.06</v>
      </c>
      <c r="D1431" s="51">
        <f t="shared" si="306"/>
        <v>0</v>
      </c>
      <c r="E1431" s="51"/>
      <c r="F1431" s="51"/>
      <c r="G1431" s="51"/>
      <c r="H1431" s="51"/>
      <c r="I1431" s="51"/>
      <c r="J1431" s="51"/>
      <c r="K1431" s="51"/>
      <c r="L1431" s="51"/>
      <c r="M1431" s="35"/>
      <c r="N1431" s="51"/>
      <c r="O1431" s="82"/>
      <c r="P1431" s="51"/>
      <c r="Q1431" s="338"/>
      <c r="R1431" s="51"/>
      <c r="S1431" s="51"/>
      <c r="T1431" s="338"/>
      <c r="U1431" s="51"/>
      <c r="V1431" s="35"/>
      <c r="W1431" s="364">
        <f t="shared" si="304"/>
        <v>724639.06</v>
      </c>
      <c r="X1431" s="285">
        <f>93888.74+114002.58+93888.74+96079.22</f>
        <v>397859.28</v>
      </c>
      <c r="Y1431" s="285">
        <v>176698.1</v>
      </c>
      <c r="Z1431" s="285">
        <v>150081.68</v>
      </c>
      <c r="AA1431" s="285"/>
      <c r="AB1431" s="285"/>
      <c r="AC1431" s="56"/>
      <c r="AD1431" s="56" t="s">
        <v>1763</v>
      </c>
      <c r="AE1431" s="56"/>
    </row>
    <row r="1432" spans="1:31" x14ac:dyDescent="0.3">
      <c r="A1432" s="47">
        <f t="shared" si="305"/>
        <v>1320</v>
      </c>
      <c r="B1432" s="414" t="s">
        <v>1764</v>
      </c>
      <c r="C1432" s="51">
        <f t="shared" si="303"/>
        <v>386344.3</v>
      </c>
      <c r="D1432" s="51">
        <f t="shared" si="306"/>
        <v>0</v>
      </c>
      <c r="E1432" s="51"/>
      <c r="F1432" s="51"/>
      <c r="G1432" s="51"/>
      <c r="H1432" s="51"/>
      <c r="I1432" s="51"/>
      <c r="J1432" s="51"/>
      <c r="K1432" s="51"/>
      <c r="L1432" s="51"/>
      <c r="M1432" s="35"/>
      <c r="N1432" s="51"/>
      <c r="O1432" s="82"/>
      <c r="P1432" s="51"/>
      <c r="Q1432" s="338"/>
      <c r="R1432" s="51"/>
      <c r="S1432" s="51"/>
      <c r="T1432" s="338"/>
      <c r="U1432" s="51"/>
      <c r="V1432" s="35"/>
      <c r="W1432" s="364">
        <f t="shared" si="304"/>
        <v>386344.3</v>
      </c>
      <c r="X1432" s="285">
        <v>192771.3</v>
      </c>
      <c r="Y1432" s="285"/>
      <c r="Z1432" s="285">
        <v>193573</v>
      </c>
      <c r="AA1432" s="285"/>
      <c r="AB1432" s="285"/>
      <c r="AC1432" s="56"/>
      <c r="AD1432" s="56" t="s">
        <v>1576</v>
      </c>
      <c r="AE1432" s="56"/>
    </row>
    <row r="1433" spans="1:31" x14ac:dyDescent="0.3">
      <c r="A1433" s="47">
        <f t="shared" si="305"/>
        <v>1321</v>
      </c>
      <c r="B1433" s="414" t="s">
        <v>1765</v>
      </c>
      <c r="C1433" s="51">
        <f t="shared" si="303"/>
        <v>453254.24</v>
      </c>
      <c r="D1433" s="51">
        <f t="shared" si="306"/>
        <v>0</v>
      </c>
      <c r="E1433" s="51"/>
      <c r="F1433" s="51"/>
      <c r="G1433" s="51"/>
      <c r="H1433" s="51"/>
      <c r="I1433" s="51"/>
      <c r="J1433" s="51"/>
      <c r="K1433" s="51"/>
      <c r="L1433" s="51"/>
      <c r="M1433" s="35"/>
      <c r="N1433" s="51"/>
      <c r="O1433" s="82"/>
      <c r="P1433" s="51"/>
      <c r="Q1433" s="338"/>
      <c r="R1433" s="51"/>
      <c r="S1433" s="51"/>
      <c r="T1433" s="338"/>
      <c r="U1433" s="51"/>
      <c r="V1433" s="35"/>
      <c r="W1433" s="364">
        <f t="shared" si="304"/>
        <v>453254.24</v>
      </c>
      <c r="X1433" s="285">
        <f>74928.34+89714.38+72125.15+72125.15</f>
        <v>308893.02</v>
      </c>
      <c r="Y1433" s="285">
        <v>144361.22</v>
      </c>
      <c r="Z1433" s="285"/>
      <c r="AA1433" s="285"/>
      <c r="AB1433" s="285"/>
      <c r="AC1433" s="56"/>
      <c r="AD1433" s="56" t="s">
        <v>1766</v>
      </c>
      <c r="AE1433" s="56"/>
    </row>
    <row r="1434" spans="1:31" x14ac:dyDescent="0.3">
      <c r="A1434" s="47">
        <f t="shared" si="305"/>
        <v>1322</v>
      </c>
      <c r="B1434" s="414" t="s">
        <v>1767</v>
      </c>
      <c r="C1434" s="51">
        <f t="shared" si="303"/>
        <v>97175.35</v>
      </c>
      <c r="D1434" s="51">
        <f t="shared" si="306"/>
        <v>0</v>
      </c>
      <c r="E1434" s="51"/>
      <c r="F1434" s="51"/>
      <c r="G1434" s="51"/>
      <c r="H1434" s="51"/>
      <c r="I1434" s="51"/>
      <c r="J1434" s="51"/>
      <c r="K1434" s="51"/>
      <c r="L1434" s="51"/>
      <c r="M1434" s="35"/>
      <c r="N1434" s="51"/>
      <c r="O1434" s="82"/>
      <c r="P1434" s="51"/>
      <c r="Q1434" s="338"/>
      <c r="R1434" s="51"/>
      <c r="S1434" s="51"/>
      <c r="T1434" s="338"/>
      <c r="U1434" s="51"/>
      <c r="V1434" s="35"/>
      <c r="W1434" s="364">
        <f t="shared" si="304"/>
        <v>97175.35</v>
      </c>
      <c r="X1434" s="285">
        <v>97175.35</v>
      </c>
      <c r="Y1434" s="285"/>
      <c r="Z1434" s="285"/>
      <c r="AA1434" s="285"/>
      <c r="AB1434" s="285"/>
      <c r="AC1434" s="56"/>
      <c r="AD1434" s="56" t="s">
        <v>1395</v>
      </c>
      <c r="AE1434" s="56"/>
    </row>
    <row r="1435" spans="1:31" x14ac:dyDescent="0.3">
      <c r="A1435" s="47">
        <f t="shared" si="305"/>
        <v>1323</v>
      </c>
      <c r="B1435" s="414" t="s">
        <v>1768</v>
      </c>
      <c r="C1435" s="51">
        <f t="shared" si="303"/>
        <v>404843.49</v>
      </c>
      <c r="D1435" s="51">
        <f t="shared" si="306"/>
        <v>0</v>
      </c>
      <c r="E1435" s="51"/>
      <c r="F1435" s="51"/>
      <c r="G1435" s="51"/>
      <c r="H1435" s="51"/>
      <c r="I1435" s="51"/>
      <c r="J1435" s="51"/>
      <c r="K1435" s="51"/>
      <c r="L1435" s="51"/>
      <c r="M1435" s="35"/>
      <c r="N1435" s="51"/>
      <c r="O1435" s="82"/>
      <c r="P1435" s="51"/>
      <c r="Q1435" s="338"/>
      <c r="R1435" s="51"/>
      <c r="S1435" s="51"/>
      <c r="T1435" s="338"/>
      <c r="U1435" s="51"/>
      <c r="V1435" s="35"/>
      <c r="W1435" s="364">
        <f t="shared" si="304"/>
        <v>404843.49</v>
      </c>
      <c r="X1435" s="285">
        <f>97175.35+115504.58+96081.78+96081.78</f>
        <v>404843.49</v>
      </c>
      <c r="Y1435" s="285"/>
      <c r="Z1435" s="285"/>
      <c r="AA1435" s="285"/>
      <c r="AB1435" s="285"/>
      <c r="AC1435" s="56"/>
      <c r="AD1435" s="56" t="s">
        <v>1766</v>
      </c>
      <c r="AE1435" s="56"/>
    </row>
    <row r="1436" spans="1:31" x14ac:dyDescent="0.3">
      <c r="A1436" s="47">
        <f t="shared" si="305"/>
        <v>1324</v>
      </c>
      <c r="B1436" s="414" t="s">
        <v>1769</v>
      </c>
      <c r="C1436" s="51">
        <f t="shared" si="303"/>
        <v>0</v>
      </c>
      <c r="D1436" s="51">
        <f t="shared" si="306"/>
        <v>0</v>
      </c>
      <c r="E1436" s="51"/>
      <c r="F1436" s="51"/>
      <c r="G1436" s="51"/>
      <c r="H1436" s="51"/>
      <c r="I1436" s="51"/>
      <c r="J1436" s="51"/>
      <c r="K1436" s="51"/>
      <c r="L1436" s="51"/>
      <c r="M1436" s="35"/>
      <c r="N1436" s="51"/>
      <c r="O1436" s="82"/>
      <c r="P1436" s="51"/>
      <c r="Q1436" s="338"/>
      <c r="R1436" s="51"/>
      <c r="S1436" s="51"/>
      <c r="T1436" s="338"/>
      <c r="U1436" s="51"/>
      <c r="V1436" s="35"/>
      <c r="W1436" s="364">
        <f t="shared" si="304"/>
        <v>0</v>
      </c>
      <c r="X1436" s="285"/>
      <c r="Y1436" s="285"/>
      <c r="Z1436" s="285"/>
      <c r="AA1436" s="285"/>
      <c r="AB1436" s="285"/>
      <c r="AC1436" s="56"/>
      <c r="AD1436" s="56"/>
      <c r="AE1436" s="56"/>
    </row>
    <row r="1437" spans="1:31" x14ac:dyDescent="0.3">
      <c r="A1437" s="47">
        <f t="shared" si="305"/>
        <v>1325</v>
      </c>
      <c r="B1437" s="414" t="s">
        <v>1770</v>
      </c>
      <c r="C1437" s="51">
        <f t="shared" si="303"/>
        <v>133829</v>
      </c>
      <c r="D1437" s="51">
        <f t="shared" si="306"/>
        <v>0</v>
      </c>
      <c r="E1437" s="51"/>
      <c r="F1437" s="51"/>
      <c r="G1437" s="51"/>
      <c r="H1437" s="51"/>
      <c r="I1437" s="51"/>
      <c r="J1437" s="51"/>
      <c r="K1437" s="51"/>
      <c r="L1437" s="51"/>
      <c r="M1437" s="35"/>
      <c r="N1437" s="51"/>
      <c r="O1437" s="82"/>
      <c r="P1437" s="51"/>
      <c r="Q1437" s="338"/>
      <c r="R1437" s="51"/>
      <c r="S1437" s="51"/>
      <c r="T1437" s="338"/>
      <c r="U1437" s="51"/>
      <c r="V1437" s="35"/>
      <c r="W1437" s="364">
        <f t="shared" si="304"/>
        <v>133829</v>
      </c>
      <c r="X1437" s="285"/>
      <c r="Y1437" s="9"/>
      <c r="Z1437" s="306">
        <v>133829</v>
      </c>
      <c r="AA1437" s="302"/>
      <c r="AB1437" s="56"/>
      <c r="AC1437" s="56"/>
      <c r="AD1437" s="56" t="s">
        <v>1486</v>
      </c>
      <c r="AE1437" s="56"/>
    </row>
    <row r="1438" spans="1:31" x14ac:dyDescent="0.3">
      <c r="A1438" s="47">
        <f t="shared" si="305"/>
        <v>1326</v>
      </c>
      <c r="B1438" s="414" t="s">
        <v>1771</v>
      </c>
      <c r="C1438" s="51">
        <f t="shared" si="303"/>
        <v>137870.41</v>
      </c>
      <c r="D1438" s="51">
        <f t="shared" si="306"/>
        <v>0</v>
      </c>
      <c r="E1438" s="51"/>
      <c r="F1438" s="51"/>
      <c r="G1438" s="51"/>
      <c r="H1438" s="51"/>
      <c r="I1438" s="51"/>
      <c r="J1438" s="51"/>
      <c r="K1438" s="51"/>
      <c r="L1438" s="51"/>
      <c r="M1438" s="35"/>
      <c r="N1438" s="51"/>
      <c r="O1438" s="82"/>
      <c r="P1438" s="51"/>
      <c r="Q1438" s="338"/>
      <c r="R1438" s="51"/>
      <c r="S1438" s="51"/>
      <c r="T1438" s="338"/>
      <c r="U1438" s="51"/>
      <c r="V1438" s="35"/>
      <c r="W1438" s="364">
        <f t="shared" si="304"/>
        <v>137870.41</v>
      </c>
      <c r="X1438" s="285"/>
      <c r="Y1438" s="9"/>
      <c r="Z1438" s="306">
        <v>137870.41</v>
      </c>
      <c r="AA1438" s="302"/>
      <c r="AB1438" s="56"/>
      <c r="AC1438" s="56"/>
      <c r="AD1438" s="56" t="s">
        <v>1486</v>
      </c>
      <c r="AE1438" s="56"/>
    </row>
    <row r="1439" spans="1:31" x14ac:dyDescent="0.3">
      <c r="A1439" s="47">
        <f t="shared" si="305"/>
        <v>1327</v>
      </c>
      <c r="B1439" s="414" t="s">
        <v>1772</v>
      </c>
      <c r="C1439" s="51">
        <f t="shared" si="303"/>
        <v>292169.42</v>
      </c>
      <c r="D1439" s="51">
        <f t="shared" si="306"/>
        <v>0</v>
      </c>
      <c r="E1439" s="51"/>
      <c r="F1439" s="51"/>
      <c r="G1439" s="51"/>
      <c r="H1439" s="51"/>
      <c r="I1439" s="51"/>
      <c r="J1439" s="51"/>
      <c r="K1439" s="51"/>
      <c r="L1439" s="51"/>
      <c r="M1439" s="35"/>
      <c r="N1439" s="51"/>
      <c r="O1439" s="82"/>
      <c r="P1439" s="51"/>
      <c r="Q1439" s="338"/>
      <c r="R1439" s="51"/>
      <c r="S1439" s="51"/>
      <c r="T1439" s="338"/>
      <c r="U1439" s="51"/>
      <c r="V1439" s="35"/>
      <c r="W1439" s="364">
        <f t="shared" si="304"/>
        <v>292169.42</v>
      </c>
      <c r="X1439" s="285"/>
      <c r="Y1439" s="9"/>
      <c r="Z1439" s="306">
        <v>292169.42</v>
      </c>
      <c r="AA1439" s="302"/>
      <c r="AB1439" s="56"/>
      <c r="AC1439" s="56"/>
      <c r="AD1439" s="56" t="s">
        <v>1486</v>
      </c>
      <c r="AE1439" s="56"/>
    </row>
    <row r="1440" spans="1:31" x14ac:dyDescent="0.3">
      <c r="A1440" s="47">
        <f t="shared" si="305"/>
        <v>1328</v>
      </c>
      <c r="B1440" s="414" t="s">
        <v>1773</v>
      </c>
      <c r="C1440" s="51">
        <f t="shared" si="303"/>
        <v>16428997.220000001</v>
      </c>
      <c r="D1440" s="51">
        <f t="shared" si="306"/>
        <v>0</v>
      </c>
      <c r="E1440" s="51"/>
      <c r="F1440" s="51"/>
      <c r="G1440" s="51"/>
      <c r="H1440" s="51"/>
      <c r="I1440" s="51"/>
      <c r="J1440" s="51"/>
      <c r="K1440" s="51"/>
      <c r="L1440" s="51"/>
      <c r="M1440" s="35"/>
      <c r="N1440" s="51"/>
      <c r="O1440" s="82">
        <v>2859.9</v>
      </c>
      <c r="P1440" s="51">
        <v>16039218</v>
      </c>
      <c r="Q1440" s="338"/>
      <c r="R1440" s="51"/>
      <c r="S1440" s="51"/>
      <c r="T1440" s="338"/>
      <c r="U1440" s="51"/>
      <c r="V1440" s="35"/>
      <c r="W1440" s="364">
        <f t="shared" si="304"/>
        <v>389779.22</v>
      </c>
      <c r="X1440" s="285">
        <v>389779.22</v>
      </c>
      <c r="Y1440" s="9"/>
      <c r="Z1440" s="306"/>
      <c r="AA1440" s="302"/>
      <c r="AB1440" s="56"/>
      <c r="AC1440" s="56"/>
      <c r="AD1440" s="56" t="s">
        <v>1395</v>
      </c>
      <c r="AE1440" s="56"/>
    </row>
    <row r="1441" spans="1:31" x14ac:dyDescent="0.3">
      <c r="A1441" s="47">
        <f t="shared" si="305"/>
        <v>1329</v>
      </c>
      <c r="B1441" s="414" t="s">
        <v>1774</v>
      </c>
      <c r="C1441" s="51">
        <f t="shared" si="303"/>
        <v>375891.08</v>
      </c>
      <c r="D1441" s="51">
        <f t="shared" si="306"/>
        <v>0</v>
      </c>
      <c r="E1441" s="51"/>
      <c r="F1441" s="51"/>
      <c r="G1441" s="51"/>
      <c r="H1441" s="51"/>
      <c r="I1441" s="51"/>
      <c r="J1441" s="51"/>
      <c r="K1441" s="51"/>
      <c r="L1441" s="51"/>
      <c r="M1441" s="35"/>
      <c r="N1441" s="51"/>
      <c r="O1441" s="82"/>
      <c r="P1441" s="51"/>
      <c r="Q1441" s="338"/>
      <c r="R1441" s="51"/>
      <c r="S1441" s="51"/>
      <c r="T1441" s="338"/>
      <c r="U1441" s="51"/>
      <c r="V1441" s="35"/>
      <c r="W1441" s="364">
        <f t="shared" ref="W1441:W1465" si="307">SUM(X1441:AB1441)</f>
        <v>375891.08</v>
      </c>
      <c r="X1441" s="285">
        <f>119270.35+137327.47+116839.31</f>
        <v>373437.13</v>
      </c>
      <c r="Y1441" s="285"/>
      <c r="Z1441" s="285">
        <v>2453.9499999999998</v>
      </c>
      <c r="AA1441" s="285"/>
      <c r="AB1441" s="56"/>
      <c r="AC1441" s="56"/>
      <c r="AD1441" s="56" t="s">
        <v>1775</v>
      </c>
      <c r="AE1441" s="56"/>
    </row>
    <row r="1442" spans="1:31" x14ac:dyDescent="0.3">
      <c r="A1442" s="47">
        <f t="shared" si="305"/>
        <v>1330</v>
      </c>
      <c r="B1442" s="414" t="s">
        <v>1776</v>
      </c>
      <c r="C1442" s="51">
        <f t="shared" si="303"/>
        <v>377014.41000000003</v>
      </c>
      <c r="D1442" s="51">
        <f t="shared" si="306"/>
        <v>0</v>
      </c>
      <c r="E1442" s="51"/>
      <c r="F1442" s="51"/>
      <c r="G1442" s="51"/>
      <c r="H1442" s="51"/>
      <c r="I1442" s="51"/>
      <c r="J1442" s="51"/>
      <c r="K1442" s="51"/>
      <c r="L1442" s="51"/>
      <c r="M1442" s="35"/>
      <c r="N1442" s="51"/>
      <c r="O1442" s="82"/>
      <c r="P1442" s="51"/>
      <c r="Q1442" s="338"/>
      <c r="R1442" s="51"/>
      <c r="S1442" s="51"/>
      <c r="T1442" s="338"/>
      <c r="U1442" s="51"/>
      <c r="V1442" s="35"/>
      <c r="W1442" s="364">
        <f t="shared" si="307"/>
        <v>377014.41000000003</v>
      </c>
      <c r="X1442" s="285">
        <f>119647.94+137706.07+117199.44</f>
        <v>374553.45</v>
      </c>
      <c r="Y1442" s="9"/>
      <c r="Z1442" s="285">
        <v>2460.96</v>
      </c>
      <c r="AA1442" s="285"/>
      <c r="AB1442" s="56"/>
      <c r="AC1442" s="56"/>
      <c r="AD1442" s="56" t="s">
        <v>1775</v>
      </c>
      <c r="AE1442" s="56"/>
    </row>
    <row r="1443" spans="1:31" x14ac:dyDescent="0.3">
      <c r="A1443" s="47">
        <f t="shared" si="305"/>
        <v>1331</v>
      </c>
      <c r="B1443" s="414" t="s">
        <v>1777</v>
      </c>
      <c r="C1443" s="51">
        <f t="shared" si="303"/>
        <v>133406.01999999999</v>
      </c>
      <c r="D1443" s="51">
        <f t="shared" si="306"/>
        <v>0</v>
      </c>
      <c r="E1443" s="51"/>
      <c r="F1443" s="51"/>
      <c r="G1443" s="51"/>
      <c r="H1443" s="51"/>
      <c r="I1443" s="51"/>
      <c r="J1443" s="51"/>
      <c r="K1443" s="51"/>
      <c r="L1443" s="51"/>
      <c r="M1443" s="35"/>
      <c r="N1443" s="51"/>
      <c r="O1443" s="82"/>
      <c r="P1443" s="51"/>
      <c r="Q1443" s="338"/>
      <c r="R1443" s="51"/>
      <c r="S1443" s="51"/>
      <c r="T1443" s="338"/>
      <c r="U1443" s="51"/>
      <c r="V1443" s="35"/>
      <c r="W1443" s="364">
        <f t="shared" si="307"/>
        <v>133406.01999999999</v>
      </c>
      <c r="X1443" s="285">
        <v>112635.29</v>
      </c>
      <c r="Y1443" s="285"/>
      <c r="Z1443" s="285">
        <v>20770.73</v>
      </c>
      <c r="AA1443" s="285"/>
      <c r="AB1443" s="56"/>
      <c r="AC1443" s="56"/>
      <c r="AD1443" s="56" t="s">
        <v>1576</v>
      </c>
      <c r="AE1443" s="56"/>
    </row>
    <row r="1444" spans="1:31" x14ac:dyDescent="0.3">
      <c r="A1444" s="47">
        <f t="shared" si="305"/>
        <v>1332</v>
      </c>
      <c r="B1444" s="414" t="s">
        <v>1778</v>
      </c>
      <c r="C1444" s="51">
        <f t="shared" si="303"/>
        <v>803479.8</v>
      </c>
      <c r="D1444" s="51">
        <f t="shared" si="306"/>
        <v>0</v>
      </c>
      <c r="E1444" s="51"/>
      <c r="F1444" s="51"/>
      <c r="G1444" s="51"/>
      <c r="H1444" s="51"/>
      <c r="I1444" s="51"/>
      <c r="J1444" s="51"/>
      <c r="K1444" s="51"/>
      <c r="L1444" s="51"/>
      <c r="M1444" s="35"/>
      <c r="N1444" s="51"/>
      <c r="O1444" s="82"/>
      <c r="P1444" s="51"/>
      <c r="Q1444" s="338"/>
      <c r="R1444" s="51"/>
      <c r="S1444" s="51"/>
      <c r="T1444" s="338"/>
      <c r="U1444" s="51"/>
      <c r="V1444" s="35"/>
      <c r="W1444" s="364">
        <f t="shared" si="307"/>
        <v>803479.8</v>
      </c>
      <c r="X1444" s="285">
        <f>158307.02+208426.63+166480.57</f>
        <v>533214.22</v>
      </c>
      <c r="Y1444" s="285">
        <v>270265.58</v>
      </c>
      <c r="Z1444" s="285"/>
      <c r="AA1444" s="285"/>
      <c r="AB1444" s="56"/>
      <c r="AC1444" s="56"/>
      <c r="AD1444" s="56" t="s">
        <v>1779</v>
      </c>
      <c r="AE1444" s="56"/>
    </row>
    <row r="1445" spans="1:31" x14ac:dyDescent="0.3">
      <c r="A1445" s="47">
        <f t="shared" si="305"/>
        <v>1333</v>
      </c>
      <c r="B1445" s="414" t="s">
        <v>1780</v>
      </c>
      <c r="C1445" s="51">
        <f t="shared" si="303"/>
        <v>360237.38</v>
      </c>
      <c r="D1445" s="51">
        <f t="shared" si="306"/>
        <v>0</v>
      </c>
      <c r="E1445" s="51"/>
      <c r="F1445" s="51"/>
      <c r="G1445" s="51"/>
      <c r="H1445" s="51"/>
      <c r="I1445" s="51"/>
      <c r="J1445" s="51"/>
      <c r="K1445" s="51"/>
      <c r="L1445" s="51"/>
      <c r="M1445" s="35"/>
      <c r="N1445" s="51"/>
      <c r="O1445" s="82"/>
      <c r="P1445" s="51"/>
      <c r="Q1445" s="338"/>
      <c r="R1445" s="51"/>
      <c r="S1445" s="51"/>
      <c r="T1445" s="338"/>
      <c r="U1445" s="51"/>
      <c r="V1445" s="35"/>
      <c r="W1445" s="364">
        <f t="shared" si="307"/>
        <v>360237.38</v>
      </c>
      <c r="X1445" s="285">
        <f>113976.89+132019.74+111790.72</f>
        <v>357787.35</v>
      </c>
      <c r="Y1445" s="285"/>
      <c r="Z1445" s="285">
        <v>2450.0300000000002</v>
      </c>
      <c r="AA1445" s="285"/>
      <c r="AB1445" s="56"/>
      <c r="AC1445" s="56"/>
      <c r="AD1445" s="56" t="s">
        <v>1775</v>
      </c>
      <c r="AE1445" s="56"/>
    </row>
    <row r="1446" spans="1:31" x14ac:dyDescent="0.3">
      <c r="A1446" s="47">
        <f t="shared" si="305"/>
        <v>1334</v>
      </c>
      <c r="B1446" s="414" t="s">
        <v>1781</v>
      </c>
      <c r="C1446" s="51">
        <f t="shared" si="303"/>
        <v>671192.28</v>
      </c>
      <c r="D1446" s="51">
        <f t="shared" si="306"/>
        <v>0</v>
      </c>
      <c r="E1446" s="51"/>
      <c r="F1446" s="51"/>
      <c r="G1446" s="51"/>
      <c r="H1446" s="51"/>
      <c r="I1446" s="51"/>
      <c r="J1446" s="51"/>
      <c r="K1446" s="51"/>
      <c r="L1446" s="51"/>
      <c r="M1446" s="35"/>
      <c r="N1446" s="51"/>
      <c r="O1446" s="82"/>
      <c r="P1446" s="51"/>
      <c r="Q1446" s="338"/>
      <c r="R1446" s="51"/>
      <c r="S1446" s="51"/>
      <c r="T1446" s="338"/>
      <c r="U1446" s="51"/>
      <c r="V1446" s="35"/>
      <c r="W1446" s="364">
        <f t="shared" si="307"/>
        <v>671192.28</v>
      </c>
      <c r="X1446" s="285">
        <f>106070.42+129943.24+102352.25+102352.25</f>
        <v>440718.16000000003</v>
      </c>
      <c r="Y1446" s="9">
        <v>230474.12</v>
      </c>
      <c r="Z1446" s="306"/>
      <c r="AA1446" s="302"/>
      <c r="AB1446" s="56"/>
      <c r="AC1446" s="56"/>
      <c r="AD1446" s="56" t="s">
        <v>1436</v>
      </c>
      <c r="AE1446" s="56"/>
    </row>
    <row r="1447" spans="1:31" x14ac:dyDescent="0.3">
      <c r="A1447" s="47">
        <f t="shared" si="305"/>
        <v>1335</v>
      </c>
      <c r="B1447" s="414" t="s">
        <v>1782</v>
      </c>
      <c r="C1447" s="51">
        <f t="shared" si="303"/>
        <v>352075.69</v>
      </c>
      <c r="D1447" s="51">
        <f t="shared" si="306"/>
        <v>0</v>
      </c>
      <c r="E1447" s="51"/>
      <c r="F1447" s="51"/>
      <c r="G1447" s="51"/>
      <c r="H1447" s="51"/>
      <c r="I1447" s="51"/>
      <c r="J1447" s="51"/>
      <c r="K1447" s="51"/>
      <c r="L1447" s="51"/>
      <c r="M1447" s="35"/>
      <c r="N1447" s="51"/>
      <c r="O1447" s="82"/>
      <c r="P1447" s="51"/>
      <c r="Q1447" s="338"/>
      <c r="R1447" s="51"/>
      <c r="S1447" s="51"/>
      <c r="T1447" s="338"/>
      <c r="U1447" s="51"/>
      <c r="V1447" s="35"/>
      <c r="W1447" s="364">
        <f t="shared" si="307"/>
        <v>352075.69</v>
      </c>
      <c r="X1447" s="285">
        <f>111203.15+129238.55+109145.27</f>
        <v>349586.97000000003</v>
      </c>
      <c r="Y1447" s="285"/>
      <c r="Z1447" s="285">
        <v>2488.7199999999998</v>
      </c>
      <c r="AA1447" s="285"/>
      <c r="AB1447" s="285"/>
      <c r="AC1447" s="56"/>
      <c r="AD1447" s="56" t="s">
        <v>1775</v>
      </c>
      <c r="AE1447" s="56"/>
    </row>
    <row r="1448" spans="1:31" x14ac:dyDescent="0.3">
      <c r="A1448" s="47">
        <f t="shared" si="305"/>
        <v>1336</v>
      </c>
      <c r="B1448" s="414" t="s">
        <v>1783</v>
      </c>
      <c r="C1448" s="51">
        <f t="shared" si="303"/>
        <v>456889.26000000007</v>
      </c>
      <c r="D1448" s="51">
        <f t="shared" si="306"/>
        <v>0</v>
      </c>
      <c r="E1448" s="51"/>
      <c r="F1448" s="51"/>
      <c r="G1448" s="51"/>
      <c r="H1448" s="51"/>
      <c r="I1448" s="51"/>
      <c r="J1448" s="51"/>
      <c r="K1448" s="51"/>
      <c r="L1448" s="51"/>
      <c r="M1448" s="35"/>
      <c r="N1448" s="51"/>
      <c r="O1448" s="82"/>
      <c r="P1448" s="51"/>
      <c r="Q1448" s="338"/>
      <c r="R1448" s="51"/>
      <c r="S1448" s="51"/>
      <c r="T1448" s="338"/>
      <c r="U1448" s="51"/>
      <c r="V1448" s="35"/>
      <c r="W1448" s="364">
        <f t="shared" si="307"/>
        <v>456889.26000000007</v>
      </c>
      <c r="X1448" s="285">
        <f>110192.05+134118.79+106289.21+106289.21</f>
        <v>456889.26000000007</v>
      </c>
      <c r="Y1448" s="285"/>
      <c r="Z1448" s="285"/>
      <c r="AA1448" s="285"/>
      <c r="AB1448" s="285"/>
      <c r="AC1448" s="56"/>
      <c r="AD1448" s="56" t="s">
        <v>1436</v>
      </c>
      <c r="AE1448" s="56"/>
    </row>
    <row r="1449" spans="1:31" x14ac:dyDescent="0.3">
      <c r="A1449" s="47">
        <f t="shared" si="305"/>
        <v>1337</v>
      </c>
      <c r="B1449" s="414" t="s">
        <v>1784</v>
      </c>
      <c r="C1449" s="51">
        <f t="shared" si="303"/>
        <v>356980.17</v>
      </c>
      <c r="D1449" s="51">
        <f t="shared" si="306"/>
        <v>0</v>
      </c>
      <c r="E1449" s="51"/>
      <c r="F1449" s="51"/>
      <c r="G1449" s="51"/>
      <c r="H1449" s="51"/>
      <c r="I1449" s="51"/>
      <c r="J1449" s="51"/>
      <c r="K1449" s="51"/>
      <c r="L1449" s="51"/>
      <c r="M1449" s="35"/>
      <c r="N1449" s="51"/>
      <c r="O1449" s="82"/>
      <c r="P1449" s="51"/>
      <c r="Q1449" s="338"/>
      <c r="R1449" s="51"/>
      <c r="S1449" s="51"/>
      <c r="T1449" s="338"/>
      <c r="U1449" s="51"/>
      <c r="V1449" s="35"/>
      <c r="W1449" s="364">
        <f t="shared" si="307"/>
        <v>356980.17</v>
      </c>
      <c r="X1449" s="285">
        <f>112850.9+130890.73+110716.82</f>
        <v>354458.45</v>
      </c>
      <c r="Y1449" s="285"/>
      <c r="Z1449" s="285">
        <v>2521.7199999999998</v>
      </c>
      <c r="AA1449" s="285"/>
      <c r="AB1449" s="285"/>
      <c r="AC1449" s="56"/>
      <c r="AD1449" s="56" t="s">
        <v>1775</v>
      </c>
      <c r="AE1449" s="56"/>
    </row>
    <row r="1450" spans="1:31" x14ac:dyDescent="0.3">
      <c r="A1450" s="47">
        <f t="shared" si="305"/>
        <v>1338</v>
      </c>
      <c r="B1450" s="414" t="s">
        <v>1785</v>
      </c>
      <c r="C1450" s="51">
        <f t="shared" si="303"/>
        <v>505964.35000000003</v>
      </c>
      <c r="D1450" s="51">
        <f t="shared" si="306"/>
        <v>0</v>
      </c>
      <c r="E1450" s="51"/>
      <c r="F1450" s="51"/>
      <c r="G1450" s="51"/>
      <c r="H1450" s="51"/>
      <c r="I1450" s="51"/>
      <c r="J1450" s="51"/>
      <c r="K1450" s="51"/>
      <c r="L1450" s="51"/>
      <c r="M1450" s="35"/>
      <c r="N1450" s="51"/>
      <c r="O1450" s="82"/>
      <c r="P1450" s="51"/>
      <c r="Q1450" s="338"/>
      <c r="R1450" s="51"/>
      <c r="S1450" s="51"/>
      <c r="T1450" s="338"/>
      <c r="U1450" s="51"/>
      <c r="V1450" s="35"/>
      <c r="W1450" s="364">
        <f t="shared" si="307"/>
        <v>505964.35000000003</v>
      </c>
      <c r="X1450" s="285">
        <f>119997.36+138318.54+129476.77+118171.68</f>
        <v>505964.35000000003</v>
      </c>
      <c r="Y1450" s="285"/>
      <c r="Z1450" s="285"/>
      <c r="AA1450" s="285"/>
      <c r="AB1450" s="285"/>
      <c r="AC1450" s="56"/>
      <c r="AD1450" s="56" t="s">
        <v>1786</v>
      </c>
      <c r="AE1450" s="56"/>
    </row>
    <row r="1451" spans="1:31" x14ac:dyDescent="0.3">
      <c r="A1451" s="47">
        <f t="shared" si="305"/>
        <v>1339</v>
      </c>
      <c r="B1451" s="414" t="s">
        <v>1787</v>
      </c>
      <c r="C1451" s="51">
        <f t="shared" si="303"/>
        <v>361290.60000000003</v>
      </c>
      <c r="D1451" s="51">
        <f t="shared" si="306"/>
        <v>0</v>
      </c>
      <c r="E1451" s="51"/>
      <c r="F1451" s="51"/>
      <c r="G1451" s="51"/>
      <c r="H1451" s="51"/>
      <c r="I1451" s="51"/>
      <c r="J1451" s="51"/>
      <c r="K1451" s="51"/>
      <c r="L1451" s="51"/>
      <c r="M1451" s="35"/>
      <c r="N1451" s="51"/>
      <c r="O1451" s="82"/>
      <c r="P1451" s="51"/>
      <c r="Q1451" s="338"/>
      <c r="R1451" s="51"/>
      <c r="S1451" s="51"/>
      <c r="T1451" s="338"/>
      <c r="U1451" s="51"/>
      <c r="V1451" s="35"/>
      <c r="W1451" s="364">
        <f t="shared" si="307"/>
        <v>361290.60000000003</v>
      </c>
      <c r="X1451" s="285">
        <f>114464.3+132508.54+112255.62</f>
        <v>359228.46</v>
      </c>
      <c r="Y1451" s="285"/>
      <c r="Z1451" s="285">
        <v>2062.14</v>
      </c>
      <c r="AA1451" s="285"/>
      <c r="AB1451" s="56"/>
      <c r="AC1451" s="56"/>
      <c r="AD1451" s="56" t="s">
        <v>1788</v>
      </c>
      <c r="AE1451" s="56"/>
    </row>
    <row r="1452" spans="1:31" x14ac:dyDescent="0.3">
      <c r="A1452" s="47">
        <f t="shared" si="305"/>
        <v>1340</v>
      </c>
      <c r="B1452" s="414" t="s">
        <v>1789</v>
      </c>
      <c r="C1452" s="51">
        <f t="shared" si="303"/>
        <v>705978.04999999993</v>
      </c>
      <c r="D1452" s="51">
        <f t="shared" si="306"/>
        <v>0</v>
      </c>
      <c r="E1452" s="51"/>
      <c r="F1452" s="51"/>
      <c r="G1452" s="51"/>
      <c r="H1452" s="51"/>
      <c r="I1452" s="51"/>
      <c r="J1452" s="51"/>
      <c r="K1452" s="51"/>
      <c r="L1452" s="51"/>
      <c r="M1452" s="35"/>
      <c r="N1452" s="51"/>
      <c r="O1452" s="82"/>
      <c r="P1452" s="51"/>
      <c r="Q1452" s="338"/>
      <c r="R1452" s="51"/>
      <c r="S1452" s="51"/>
      <c r="T1452" s="338"/>
      <c r="U1452" s="51"/>
      <c r="V1452" s="35"/>
      <c r="W1452" s="364">
        <f t="shared" si="307"/>
        <v>705978.04999999993</v>
      </c>
      <c r="X1452" s="285">
        <f>112130.33+136088.96+108146.8+108146.8</f>
        <v>464512.88999999996</v>
      </c>
      <c r="Y1452" s="285">
        <v>241465.16</v>
      </c>
      <c r="Z1452" s="285"/>
      <c r="AA1452" s="285"/>
      <c r="AB1452" s="56"/>
      <c r="AC1452" s="56"/>
      <c r="AD1452" s="56" t="s">
        <v>1436</v>
      </c>
      <c r="AE1452" s="56"/>
    </row>
    <row r="1453" spans="1:31" x14ac:dyDescent="0.3">
      <c r="A1453" s="47">
        <f t="shared" si="305"/>
        <v>1341</v>
      </c>
      <c r="B1453" s="414" t="s">
        <v>1790</v>
      </c>
      <c r="C1453" s="51">
        <f t="shared" si="303"/>
        <v>359228.46</v>
      </c>
      <c r="D1453" s="51">
        <f t="shared" si="306"/>
        <v>0</v>
      </c>
      <c r="E1453" s="51"/>
      <c r="F1453" s="51"/>
      <c r="G1453" s="51"/>
      <c r="H1453" s="51"/>
      <c r="I1453" s="51"/>
      <c r="J1453" s="51"/>
      <c r="K1453" s="51"/>
      <c r="L1453" s="51"/>
      <c r="M1453" s="35"/>
      <c r="N1453" s="51"/>
      <c r="O1453" s="82"/>
      <c r="P1453" s="51"/>
      <c r="Q1453" s="338"/>
      <c r="R1453" s="51"/>
      <c r="S1453" s="51"/>
      <c r="T1453" s="338"/>
      <c r="U1453" s="51"/>
      <c r="V1453" s="35"/>
      <c r="W1453" s="364">
        <f t="shared" si="307"/>
        <v>359228.46</v>
      </c>
      <c r="X1453" s="285">
        <f>114464.3+132508.54+112255.62</f>
        <v>359228.46</v>
      </c>
      <c r="Y1453" s="285"/>
      <c r="Z1453" s="285" t="s">
        <v>379</v>
      </c>
      <c r="AA1453" s="285"/>
      <c r="AB1453" s="56"/>
      <c r="AC1453" s="56"/>
      <c r="AD1453" s="56" t="s">
        <v>1791</v>
      </c>
      <c r="AE1453" s="56"/>
    </row>
    <row r="1454" spans="1:31" x14ac:dyDescent="0.3">
      <c r="A1454" s="47">
        <f t="shared" si="305"/>
        <v>1342</v>
      </c>
      <c r="B1454" s="414" t="s">
        <v>1792</v>
      </c>
      <c r="C1454" s="51">
        <f t="shared" si="303"/>
        <v>359228.46</v>
      </c>
      <c r="D1454" s="51">
        <f t="shared" si="306"/>
        <v>0</v>
      </c>
      <c r="E1454" s="51"/>
      <c r="F1454" s="51"/>
      <c r="G1454" s="51"/>
      <c r="H1454" s="51"/>
      <c r="I1454" s="51"/>
      <c r="J1454" s="51"/>
      <c r="K1454" s="51"/>
      <c r="L1454" s="51"/>
      <c r="M1454" s="35"/>
      <c r="N1454" s="51"/>
      <c r="O1454" s="82"/>
      <c r="P1454" s="51"/>
      <c r="Q1454" s="338"/>
      <c r="R1454" s="51"/>
      <c r="S1454" s="51"/>
      <c r="T1454" s="338"/>
      <c r="U1454" s="51"/>
      <c r="V1454" s="35"/>
      <c r="W1454" s="364">
        <f t="shared" si="307"/>
        <v>359228.46</v>
      </c>
      <c r="X1454" s="285">
        <f>114464.3+132508.54+112255.62</f>
        <v>359228.46</v>
      </c>
      <c r="Y1454" s="285"/>
      <c r="Z1454" s="285" t="s">
        <v>379</v>
      </c>
      <c r="AA1454" s="285"/>
      <c r="AB1454" s="56"/>
      <c r="AC1454" s="56"/>
      <c r="AD1454" s="56" t="s">
        <v>1791</v>
      </c>
      <c r="AE1454" s="56"/>
    </row>
    <row r="1455" spans="1:31" x14ac:dyDescent="0.3">
      <c r="A1455" s="47">
        <f t="shared" si="305"/>
        <v>1343</v>
      </c>
      <c r="B1455" s="414" t="s">
        <v>1793</v>
      </c>
      <c r="C1455" s="51">
        <f t="shared" si="303"/>
        <v>338117.57</v>
      </c>
      <c r="D1455" s="51">
        <f t="shared" si="306"/>
        <v>0</v>
      </c>
      <c r="E1455" s="51"/>
      <c r="F1455" s="51"/>
      <c r="G1455" s="51"/>
      <c r="H1455" s="51"/>
      <c r="I1455" s="51"/>
      <c r="J1455" s="51"/>
      <c r="K1455" s="51"/>
      <c r="L1455" s="51"/>
      <c r="M1455" s="35"/>
      <c r="N1455" s="51"/>
      <c r="O1455" s="82"/>
      <c r="P1455" s="51"/>
      <c r="Q1455" s="338"/>
      <c r="R1455" s="51"/>
      <c r="S1455" s="51"/>
      <c r="T1455" s="338"/>
      <c r="U1455" s="51"/>
      <c r="V1455" s="35"/>
      <c r="W1455" s="364">
        <f t="shared" si="307"/>
        <v>338117.57</v>
      </c>
      <c r="X1455" s="285">
        <f>107323+125348.99+105445.58</f>
        <v>338117.57</v>
      </c>
      <c r="Y1455" s="9"/>
      <c r="Z1455" s="40"/>
      <c r="AA1455" s="56"/>
      <c r="AB1455" s="56"/>
      <c r="AC1455" s="56"/>
      <c r="AD1455" s="56" t="s">
        <v>1794</v>
      </c>
      <c r="AE1455" s="56"/>
    </row>
    <row r="1456" spans="1:31" x14ac:dyDescent="0.3">
      <c r="A1456" s="47">
        <f t="shared" si="305"/>
        <v>1344</v>
      </c>
      <c r="B1456" s="414" t="s">
        <v>1795</v>
      </c>
      <c r="C1456" s="51">
        <f t="shared" si="303"/>
        <v>545510.21000000008</v>
      </c>
      <c r="D1456" s="51">
        <f t="shared" si="306"/>
        <v>0</v>
      </c>
      <c r="E1456" s="51"/>
      <c r="F1456" s="51"/>
      <c r="G1456" s="51"/>
      <c r="H1456" s="51"/>
      <c r="I1456" s="51"/>
      <c r="J1456" s="51"/>
      <c r="K1456" s="51"/>
      <c r="L1456" s="51"/>
      <c r="M1456" s="35"/>
      <c r="N1456" s="51"/>
      <c r="O1456" s="82"/>
      <c r="P1456" s="51"/>
      <c r="Q1456" s="338"/>
      <c r="R1456" s="51"/>
      <c r="S1456" s="51"/>
      <c r="T1456" s="338"/>
      <c r="U1456" s="51"/>
      <c r="V1456" s="35"/>
      <c r="W1456" s="364">
        <f t="shared" si="307"/>
        <v>545510.21000000008</v>
      </c>
      <c r="X1456" s="285">
        <f>109967.33+127999.38+107966.6</f>
        <v>345933.31000000006</v>
      </c>
      <c r="Y1456" s="9">
        <v>199576.9</v>
      </c>
      <c r="Z1456" s="40"/>
      <c r="AA1456" s="56"/>
      <c r="AB1456" s="56"/>
      <c r="AC1456" s="56"/>
      <c r="AD1456" s="56" t="s">
        <v>1794</v>
      </c>
      <c r="AE1456" s="56"/>
    </row>
    <row r="1457" spans="1:31" x14ac:dyDescent="0.3">
      <c r="A1457" s="47">
        <f t="shared" si="305"/>
        <v>1345</v>
      </c>
      <c r="B1457" s="414" t="s">
        <v>1796</v>
      </c>
      <c r="C1457" s="51">
        <f t="shared" si="303"/>
        <v>568003.61</v>
      </c>
      <c r="D1457" s="51">
        <f t="shared" si="306"/>
        <v>0</v>
      </c>
      <c r="E1457" s="51"/>
      <c r="F1457" s="51"/>
      <c r="G1457" s="51"/>
      <c r="H1457" s="51"/>
      <c r="I1457" s="51"/>
      <c r="J1457" s="51"/>
      <c r="K1457" s="51"/>
      <c r="L1457" s="51"/>
      <c r="M1457" s="35"/>
      <c r="N1457" s="51"/>
      <c r="O1457" s="82"/>
      <c r="P1457" s="51"/>
      <c r="Q1457" s="338"/>
      <c r="R1457" s="51"/>
      <c r="S1457" s="51"/>
      <c r="T1457" s="338"/>
      <c r="U1457" s="51"/>
      <c r="V1457" s="35"/>
      <c r="W1457" s="364">
        <f t="shared" si="307"/>
        <v>568003.61</v>
      </c>
      <c r="X1457" s="285">
        <f>114977.21+133024.85+112746.72</f>
        <v>360748.78</v>
      </c>
      <c r="Y1457" s="9">
        <v>207254.83</v>
      </c>
      <c r="Z1457" s="40"/>
      <c r="AA1457" s="56"/>
      <c r="AB1457" s="56"/>
      <c r="AC1457" s="56"/>
      <c r="AD1457" s="56" t="s">
        <v>1794</v>
      </c>
      <c r="AE1457" s="56"/>
    </row>
    <row r="1458" spans="1:31" x14ac:dyDescent="0.3">
      <c r="A1458" s="47">
        <f t="shared" si="305"/>
        <v>1346</v>
      </c>
      <c r="B1458" s="414" t="s">
        <v>1797</v>
      </c>
      <c r="C1458" s="51">
        <f t="shared" si="303"/>
        <v>565694.48</v>
      </c>
      <c r="D1458" s="51">
        <f t="shared" si="306"/>
        <v>0</v>
      </c>
      <c r="E1458" s="51"/>
      <c r="F1458" s="51"/>
      <c r="G1458" s="51"/>
      <c r="H1458" s="51"/>
      <c r="I1458" s="51"/>
      <c r="J1458" s="51"/>
      <c r="K1458" s="51"/>
      <c r="L1458" s="51"/>
      <c r="M1458" s="35"/>
      <c r="N1458" s="51"/>
      <c r="O1458" s="82"/>
      <c r="P1458" s="51"/>
      <c r="Q1458" s="338"/>
      <c r="R1458" s="51"/>
      <c r="S1458" s="51"/>
      <c r="T1458" s="338"/>
      <c r="U1458" s="51"/>
      <c r="V1458" s="35"/>
      <c r="W1458" s="364">
        <f t="shared" si="307"/>
        <v>565694.48</v>
      </c>
      <c r="X1458" s="285">
        <f>114464.3+132508.54+112255.62</f>
        <v>359228.46</v>
      </c>
      <c r="Y1458" s="285">
        <v>206466.02</v>
      </c>
      <c r="Z1458" s="285" t="s">
        <v>379</v>
      </c>
      <c r="AA1458" s="285"/>
      <c r="AB1458" s="56"/>
      <c r="AC1458" s="56"/>
      <c r="AD1458" s="56" t="s">
        <v>1798</v>
      </c>
      <c r="AE1458" s="56"/>
    </row>
    <row r="1459" spans="1:31" x14ac:dyDescent="0.3">
      <c r="A1459" s="47">
        <f t="shared" si="305"/>
        <v>1347</v>
      </c>
      <c r="B1459" s="414" t="s">
        <v>1799</v>
      </c>
      <c r="C1459" s="51">
        <f t="shared" si="303"/>
        <v>715633.53</v>
      </c>
      <c r="D1459" s="51">
        <f t="shared" si="306"/>
        <v>0</v>
      </c>
      <c r="E1459" s="51"/>
      <c r="F1459" s="51"/>
      <c r="G1459" s="51"/>
      <c r="H1459" s="51"/>
      <c r="I1459" s="51"/>
      <c r="J1459" s="51"/>
      <c r="K1459" s="51"/>
      <c r="L1459" s="51"/>
      <c r="M1459" s="35"/>
      <c r="N1459" s="51"/>
      <c r="O1459" s="82"/>
      <c r="P1459" s="51"/>
      <c r="Q1459" s="338"/>
      <c r="R1459" s="51"/>
      <c r="S1459" s="51"/>
      <c r="T1459" s="338"/>
      <c r="U1459" s="51"/>
      <c r="V1459" s="35"/>
      <c r="W1459" s="364">
        <f t="shared" si="307"/>
        <v>715633.53</v>
      </c>
      <c r="X1459" s="285">
        <f>113814.05+137794.48+109754.84+109754.84</f>
        <v>471118.20999999996</v>
      </c>
      <c r="Y1459" s="9">
        <v>244515.32</v>
      </c>
      <c r="Z1459" s="40"/>
      <c r="AA1459" s="56"/>
      <c r="AB1459" s="56"/>
      <c r="AC1459" s="56"/>
      <c r="AD1459" s="56" t="s">
        <v>1436</v>
      </c>
      <c r="AE1459" s="56"/>
    </row>
    <row r="1460" spans="1:31" x14ac:dyDescent="0.3">
      <c r="A1460" s="47">
        <f t="shared" si="305"/>
        <v>1348</v>
      </c>
      <c r="B1460" s="414" t="s">
        <v>1800</v>
      </c>
      <c r="C1460" s="51">
        <f t="shared" si="303"/>
        <v>361357.72</v>
      </c>
      <c r="D1460" s="51">
        <f t="shared" si="306"/>
        <v>0</v>
      </c>
      <c r="E1460" s="51"/>
      <c r="F1460" s="51"/>
      <c r="G1460" s="51"/>
      <c r="H1460" s="51"/>
      <c r="I1460" s="51"/>
      <c r="J1460" s="51"/>
      <c r="K1460" s="51"/>
      <c r="L1460" s="51"/>
      <c r="M1460" s="35"/>
      <c r="N1460" s="51"/>
      <c r="O1460" s="82"/>
      <c r="P1460" s="51"/>
      <c r="Q1460" s="338"/>
      <c r="R1460" s="51"/>
      <c r="S1460" s="51"/>
      <c r="T1460" s="338"/>
      <c r="U1460" s="51"/>
      <c r="V1460" s="35"/>
      <c r="W1460" s="364">
        <f t="shared" si="307"/>
        <v>361357.72</v>
      </c>
      <c r="X1460" s="285">
        <f>115183.19+133231.36+112943.17</f>
        <v>361357.72</v>
      </c>
      <c r="Y1460" s="9"/>
      <c r="Z1460" s="40"/>
      <c r="AA1460" s="56"/>
      <c r="AB1460" s="56"/>
      <c r="AC1460" s="56"/>
      <c r="AD1460" s="56" t="s">
        <v>1794</v>
      </c>
      <c r="AE1460" s="56"/>
    </row>
    <row r="1461" spans="1:31" x14ac:dyDescent="0.3">
      <c r="A1461" s="47">
        <f t="shared" si="305"/>
        <v>1349</v>
      </c>
      <c r="B1461" s="414" t="s">
        <v>1801</v>
      </c>
      <c r="C1461" s="51">
        <f t="shared" si="303"/>
        <v>393731.64</v>
      </c>
      <c r="D1461" s="51">
        <f t="shared" si="306"/>
        <v>0</v>
      </c>
      <c r="E1461" s="51"/>
      <c r="F1461" s="51"/>
      <c r="G1461" s="51"/>
      <c r="H1461" s="51"/>
      <c r="I1461" s="51"/>
      <c r="J1461" s="51"/>
      <c r="K1461" s="51"/>
      <c r="L1461" s="51"/>
      <c r="M1461" s="35"/>
      <c r="N1461" s="51"/>
      <c r="O1461" s="82"/>
      <c r="P1461" s="51"/>
      <c r="Q1461" s="338"/>
      <c r="R1461" s="51"/>
      <c r="S1461" s="51"/>
      <c r="T1461" s="338"/>
      <c r="U1461" s="51"/>
      <c r="V1461" s="35"/>
      <c r="W1461" s="364">
        <f t="shared" si="307"/>
        <v>393731.64</v>
      </c>
      <c r="X1461" s="285">
        <f>76656.18+94581.5+75086.02</f>
        <v>246323.7</v>
      </c>
      <c r="Y1461" s="9">
        <v>147407.94</v>
      </c>
      <c r="Z1461" s="306"/>
      <c r="AA1461" s="302"/>
      <c r="AB1461" s="302"/>
      <c r="AC1461" s="56"/>
      <c r="AD1461" s="56" t="s">
        <v>1802</v>
      </c>
      <c r="AE1461" s="56"/>
    </row>
    <row r="1462" spans="1:31" x14ac:dyDescent="0.3">
      <c r="A1462" s="47">
        <f t="shared" si="305"/>
        <v>1350</v>
      </c>
      <c r="B1462" s="414" t="s">
        <v>1803</v>
      </c>
      <c r="C1462" s="51">
        <f t="shared" ref="C1462:C1525" si="308">D1462+K1462+L1462+N1462+P1462+R1462+U1462+S1462+V1462+W1462</f>
        <v>702535.12</v>
      </c>
      <c r="D1462" s="51">
        <f t="shared" si="306"/>
        <v>0</v>
      </c>
      <c r="E1462" s="51"/>
      <c r="F1462" s="51"/>
      <c r="G1462" s="51"/>
      <c r="H1462" s="51"/>
      <c r="I1462" s="51"/>
      <c r="J1462" s="51"/>
      <c r="K1462" s="51"/>
      <c r="L1462" s="51"/>
      <c r="M1462" s="35"/>
      <c r="N1462" s="51"/>
      <c r="O1462" s="82"/>
      <c r="P1462" s="51"/>
      <c r="Q1462" s="338"/>
      <c r="R1462" s="51"/>
      <c r="S1462" s="51"/>
      <c r="T1462" s="338"/>
      <c r="U1462" s="51"/>
      <c r="V1462" s="35"/>
      <c r="W1462" s="364">
        <f t="shared" si="307"/>
        <v>702535.12</v>
      </c>
      <c r="X1462" s="285">
        <f>95475.4+113542.6+99354.24+94215.56</f>
        <v>402587.8</v>
      </c>
      <c r="Y1462" s="9">
        <v>177489.65</v>
      </c>
      <c r="Z1462" s="306">
        <v>122457.67</v>
      </c>
      <c r="AA1462" s="302"/>
      <c r="AB1462" s="302"/>
      <c r="AC1462" s="56"/>
      <c r="AD1462" s="56" t="s">
        <v>1786</v>
      </c>
      <c r="AE1462" s="56"/>
    </row>
    <row r="1463" spans="1:31" x14ac:dyDescent="0.3">
      <c r="A1463" s="47">
        <f t="shared" si="305"/>
        <v>1351</v>
      </c>
      <c r="B1463" s="414" t="s">
        <v>1804</v>
      </c>
      <c r="C1463" s="51">
        <f t="shared" si="308"/>
        <v>707185.8</v>
      </c>
      <c r="D1463" s="51">
        <f t="shared" si="306"/>
        <v>0</v>
      </c>
      <c r="E1463" s="51"/>
      <c r="F1463" s="51"/>
      <c r="G1463" s="51"/>
      <c r="H1463" s="51"/>
      <c r="I1463" s="51"/>
      <c r="J1463" s="51"/>
      <c r="K1463" s="51"/>
      <c r="L1463" s="51"/>
      <c r="M1463" s="35"/>
      <c r="N1463" s="51"/>
      <c r="O1463" s="82"/>
      <c r="P1463" s="51"/>
      <c r="Q1463" s="338"/>
      <c r="R1463" s="51"/>
      <c r="S1463" s="51"/>
      <c r="T1463" s="338"/>
      <c r="U1463" s="51"/>
      <c r="V1463" s="35"/>
      <c r="W1463" s="364">
        <f t="shared" si="307"/>
        <v>707185.8</v>
      </c>
      <c r="X1463" s="285">
        <f>75025.44+89842.52+72249.94+72249.94</f>
        <v>309367.84000000003</v>
      </c>
      <c r="Y1463" s="9">
        <v>144553.66</v>
      </c>
      <c r="Z1463" s="306">
        <v>253264.3</v>
      </c>
      <c r="AA1463" s="302"/>
      <c r="AB1463" s="302"/>
      <c r="AC1463" s="56"/>
      <c r="AD1463" s="56" t="s">
        <v>1786</v>
      </c>
      <c r="AE1463" s="56"/>
    </row>
    <row r="1464" spans="1:31" x14ac:dyDescent="0.3">
      <c r="A1464" s="47">
        <f t="shared" si="305"/>
        <v>1352</v>
      </c>
      <c r="B1464" s="414" t="s">
        <v>1805</v>
      </c>
      <c r="C1464" s="51">
        <f t="shared" si="308"/>
        <v>472504.18000000005</v>
      </c>
      <c r="D1464" s="51">
        <f t="shared" si="306"/>
        <v>0</v>
      </c>
      <c r="E1464" s="51"/>
      <c r="F1464" s="51"/>
      <c r="G1464" s="51"/>
      <c r="H1464" s="51"/>
      <c r="I1464" s="51"/>
      <c r="J1464" s="51"/>
      <c r="K1464" s="51"/>
      <c r="L1464" s="51"/>
      <c r="M1464" s="35"/>
      <c r="N1464" s="51"/>
      <c r="O1464" s="82"/>
      <c r="P1464" s="51"/>
      <c r="Q1464" s="338"/>
      <c r="R1464" s="51"/>
      <c r="S1464" s="51"/>
      <c r="T1464" s="338"/>
      <c r="U1464" s="51"/>
      <c r="V1464" s="35"/>
      <c r="W1464" s="364">
        <f t="shared" si="307"/>
        <v>472504.18000000005</v>
      </c>
      <c r="X1464" s="285">
        <f>76606.13+97667.06+75097.66+75097.66</f>
        <v>324468.51</v>
      </c>
      <c r="Y1464" s="9">
        <v>148035.67000000001</v>
      </c>
      <c r="Z1464" s="306"/>
      <c r="AA1464" s="302"/>
      <c r="AB1464" s="302"/>
      <c r="AC1464" s="56"/>
      <c r="AD1464" s="56" t="s">
        <v>1349</v>
      </c>
      <c r="AE1464" s="56"/>
    </row>
    <row r="1465" spans="1:31" x14ac:dyDescent="0.3">
      <c r="A1465" s="47">
        <f t="shared" si="305"/>
        <v>1353</v>
      </c>
      <c r="B1465" s="414" t="s">
        <v>1806</v>
      </c>
      <c r="C1465" s="51">
        <f t="shared" si="308"/>
        <v>368895.95</v>
      </c>
      <c r="D1465" s="51">
        <f t="shared" si="306"/>
        <v>0</v>
      </c>
      <c r="E1465" s="51"/>
      <c r="F1465" s="51"/>
      <c r="G1465" s="51"/>
      <c r="H1465" s="51"/>
      <c r="I1465" s="51"/>
      <c r="J1465" s="51"/>
      <c r="K1465" s="51"/>
      <c r="L1465" s="51"/>
      <c r="M1465" s="35"/>
      <c r="N1465" s="51"/>
      <c r="O1465" s="82"/>
      <c r="P1465" s="51"/>
      <c r="Q1465" s="338"/>
      <c r="R1465" s="51"/>
      <c r="S1465" s="51"/>
      <c r="T1465" s="338"/>
      <c r="U1465" s="51"/>
      <c r="V1465" s="35"/>
      <c r="W1465" s="364">
        <f t="shared" si="307"/>
        <v>368895.95</v>
      </c>
      <c r="X1465" s="285">
        <f>80036.38+107157.07+94528.19+87174.31</f>
        <v>368895.95</v>
      </c>
      <c r="Y1465" s="9"/>
      <c r="Z1465" s="306"/>
      <c r="AA1465" s="302"/>
      <c r="AB1465" s="302"/>
      <c r="AC1465" s="56"/>
      <c r="AD1465" s="56" t="s">
        <v>1786</v>
      </c>
      <c r="AE1465" s="56"/>
    </row>
    <row r="1466" spans="1:31" x14ac:dyDescent="0.3">
      <c r="A1466" s="47">
        <f t="shared" si="305"/>
        <v>1354</v>
      </c>
      <c r="B1466" s="414" t="s">
        <v>1807</v>
      </c>
      <c r="C1466" s="51">
        <f t="shared" si="308"/>
        <v>130000</v>
      </c>
      <c r="D1466" s="51">
        <f t="shared" si="306"/>
        <v>0</v>
      </c>
      <c r="E1466" s="51"/>
      <c r="F1466" s="51"/>
      <c r="G1466" s="51"/>
      <c r="H1466" s="51"/>
      <c r="I1466" s="51"/>
      <c r="J1466" s="51"/>
      <c r="K1466" s="51"/>
      <c r="L1466" s="51"/>
      <c r="M1466" s="35"/>
      <c r="N1466" s="51"/>
      <c r="O1466" s="82"/>
      <c r="P1466" s="51"/>
      <c r="Q1466" s="338"/>
      <c r="R1466" s="51"/>
      <c r="S1466" s="51"/>
      <c r="T1466" s="338"/>
      <c r="U1466" s="51"/>
      <c r="V1466" s="35"/>
      <c r="W1466" s="364">
        <v>130000</v>
      </c>
      <c r="X1466" s="285"/>
      <c r="Y1466" s="9"/>
      <c r="Z1466" s="306"/>
      <c r="AA1466" s="302"/>
      <c r="AB1466" s="302"/>
      <c r="AC1466" s="56"/>
      <c r="AD1466" s="56"/>
      <c r="AE1466" s="56"/>
    </row>
    <row r="1467" spans="1:31" x14ac:dyDescent="0.3">
      <c r="A1467" s="47">
        <f t="shared" si="305"/>
        <v>1355</v>
      </c>
      <c r="B1467" s="414" t="s">
        <v>1808</v>
      </c>
      <c r="C1467" s="51">
        <f t="shared" si="308"/>
        <v>899491.86999999988</v>
      </c>
      <c r="D1467" s="51">
        <f t="shared" si="306"/>
        <v>0</v>
      </c>
      <c r="E1467" s="51"/>
      <c r="F1467" s="51"/>
      <c r="G1467" s="51"/>
      <c r="H1467" s="51"/>
      <c r="I1467" s="51"/>
      <c r="J1467" s="51"/>
      <c r="K1467" s="51"/>
      <c r="L1467" s="51"/>
      <c r="M1467" s="35"/>
      <c r="N1467" s="51"/>
      <c r="O1467" s="82"/>
      <c r="P1467" s="51"/>
      <c r="Q1467" s="338"/>
      <c r="R1467" s="51"/>
      <c r="S1467" s="51"/>
      <c r="T1467" s="338"/>
      <c r="U1467" s="51"/>
      <c r="V1467" s="35"/>
      <c r="W1467" s="364">
        <f t="shared" ref="W1467:W1473" si="309">SUM(X1467:AB1467)</f>
        <v>899491.86999999988</v>
      </c>
      <c r="X1467" s="285">
        <f>116328.71+134574.19+113684.04+113684.04</f>
        <v>478270.98</v>
      </c>
      <c r="Y1467" s="9">
        <v>208573.08</v>
      </c>
      <c r="Z1467" s="306">
        <v>212647.81</v>
      </c>
      <c r="AA1467" s="302"/>
      <c r="AB1467" s="302"/>
      <c r="AC1467" s="56"/>
      <c r="AD1467" s="56" t="s">
        <v>1349</v>
      </c>
      <c r="AE1467" s="56"/>
    </row>
    <row r="1468" spans="1:31" x14ac:dyDescent="0.3">
      <c r="A1468" s="47">
        <f t="shared" si="305"/>
        <v>1356</v>
      </c>
      <c r="B1468" s="414" t="s">
        <v>1809</v>
      </c>
      <c r="C1468" s="51">
        <f t="shared" si="308"/>
        <v>125424.56</v>
      </c>
      <c r="D1468" s="51">
        <f t="shared" si="306"/>
        <v>0</v>
      </c>
      <c r="E1468" s="51"/>
      <c r="F1468" s="51"/>
      <c r="G1468" s="51"/>
      <c r="H1468" s="51"/>
      <c r="I1468" s="51"/>
      <c r="J1468" s="51"/>
      <c r="K1468" s="51"/>
      <c r="L1468" s="51"/>
      <c r="M1468" s="35"/>
      <c r="N1468" s="51"/>
      <c r="O1468" s="82"/>
      <c r="P1468" s="51"/>
      <c r="Q1468" s="338"/>
      <c r="R1468" s="51"/>
      <c r="S1468" s="51"/>
      <c r="T1468" s="338"/>
      <c r="U1468" s="51"/>
      <c r="V1468" s="35"/>
      <c r="W1468" s="364">
        <f t="shared" si="309"/>
        <v>125424.56</v>
      </c>
      <c r="X1468" s="285">
        <v>125424.56</v>
      </c>
      <c r="Y1468" s="9"/>
      <c r="Z1468" s="40"/>
      <c r="AA1468" s="56"/>
      <c r="AB1468" s="56"/>
      <c r="AC1468" s="56"/>
      <c r="AD1468" s="56" t="s">
        <v>1810</v>
      </c>
      <c r="AE1468" s="56"/>
    </row>
    <row r="1469" spans="1:31" x14ac:dyDescent="0.3">
      <c r="A1469" s="47">
        <f t="shared" si="305"/>
        <v>1357</v>
      </c>
      <c r="B1469" s="414" t="s">
        <v>1811</v>
      </c>
      <c r="C1469" s="51">
        <f t="shared" si="308"/>
        <v>284662.43</v>
      </c>
      <c r="D1469" s="51">
        <f t="shared" si="306"/>
        <v>0</v>
      </c>
      <c r="E1469" s="51"/>
      <c r="F1469" s="51"/>
      <c r="G1469" s="51"/>
      <c r="H1469" s="51"/>
      <c r="I1469" s="51"/>
      <c r="J1469" s="51"/>
      <c r="K1469" s="51"/>
      <c r="L1469" s="51"/>
      <c r="M1469" s="35"/>
      <c r="N1469" s="51"/>
      <c r="O1469" s="82"/>
      <c r="P1469" s="51"/>
      <c r="Q1469" s="338"/>
      <c r="R1469" s="51"/>
      <c r="S1469" s="51"/>
      <c r="T1469" s="338"/>
      <c r="U1469" s="51"/>
      <c r="V1469" s="35"/>
      <c r="W1469" s="364">
        <f t="shared" si="309"/>
        <v>284662.43</v>
      </c>
      <c r="X1469" s="285">
        <f>159823.55+124838.88</f>
        <v>284662.43</v>
      </c>
      <c r="Y1469" s="9"/>
      <c r="Z1469" s="40"/>
      <c r="AA1469" s="56"/>
      <c r="AB1469" s="56"/>
      <c r="AC1469" s="56"/>
      <c r="AD1469" s="56" t="s">
        <v>1563</v>
      </c>
      <c r="AE1469" s="56"/>
    </row>
    <row r="1470" spans="1:31" x14ac:dyDescent="0.3">
      <c r="A1470" s="47">
        <f t="shared" si="305"/>
        <v>1358</v>
      </c>
      <c r="B1470" s="414" t="s">
        <v>1812</v>
      </c>
      <c r="C1470" s="51">
        <f t="shared" si="308"/>
        <v>190946.49</v>
      </c>
      <c r="D1470" s="51">
        <f t="shared" si="306"/>
        <v>0</v>
      </c>
      <c r="E1470" s="51"/>
      <c r="F1470" s="51"/>
      <c r="G1470" s="51"/>
      <c r="H1470" s="51"/>
      <c r="I1470" s="51"/>
      <c r="J1470" s="51"/>
      <c r="K1470" s="51"/>
      <c r="L1470" s="51"/>
      <c r="M1470" s="35"/>
      <c r="N1470" s="51"/>
      <c r="O1470" s="82"/>
      <c r="P1470" s="51"/>
      <c r="Q1470" s="338"/>
      <c r="R1470" s="51"/>
      <c r="S1470" s="51"/>
      <c r="T1470" s="338"/>
      <c r="U1470" s="51"/>
      <c r="V1470" s="35"/>
      <c r="W1470" s="364">
        <f t="shared" si="309"/>
        <v>190946.49</v>
      </c>
      <c r="X1470" s="285"/>
      <c r="Y1470" s="9"/>
      <c r="Z1470" s="306">
        <v>190946.49</v>
      </c>
      <c r="AA1470" s="302"/>
      <c r="AB1470" s="302"/>
      <c r="AC1470" s="56"/>
      <c r="AD1470" s="56" t="s">
        <v>1813</v>
      </c>
      <c r="AE1470" s="56"/>
    </row>
    <row r="1471" spans="1:31" x14ac:dyDescent="0.3">
      <c r="A1471" s="47">
        <f t="shared" si="305"/>
        <v>1359</v>
      </c>
      <c r="B1471" s="414" t="s">
        <v>1814</v>
      </c>
      <c r="C1471" s="51">
        <f t="shared" si="308"/>
        <v>708436.24</v>
      </c>
      <c r="D1471" s="51">
        <f t="shared" si="306"/>
        <v>393267</v>
      </c>
      <c r="E1471" s="51">
        <f>(2688*13)+(358323*1)</f>
        <v>393267</v>
      </c>
      <c r="F1471" s="51"/>
      <c r="G1471" s="51"/>
      <c r="H1471" s="51"/>
      <c r="I1471" s="51"/>
      <c r="J1471" s="51"/>
      <c r="K1471" s="51"/>
      <c r="L1471" s="51"/>
      <c r="M1471" s="35"/>
      <c r="N1471" s="51"/>
      <c r="O1471" s="82"/>
      <c r="P1471" s="51"/>
      <c r="Q1471" s="338"/>
      <c r="R1471" s="51"/>
      <c r="S1471" s="51"/>
      <c r="T1471" s="338"/>
      <c r="U1471" s="51"/>
      <c r="V1471" s="35"/>
      <c r="W1471" s="364">
        <f t="shared" si="309"/>
        <v>315169.24</v>
      </c>
      <c r="X1471" s="285">
        <f>63921.05+61449.6+61449.6</f>
        <v>186820.25</v>
      </c>
      <c r="Y1471" s="9">
        <v>128348.99</v>
      </c>
      <c r="Z1471" s="306"/>
      <c r="AA1471" s="302"/>
      <c r="AB1471" s="302"/>
      <c r="AC1471" s="56"/>
      <c r="AD1471" s="56" t="s">
        <v>1815</v>
      </c>
      <c r="AE1471" s="56"/>
    </row>
    <row r="1472" spans="1:31" x14ac:dyDescent="0.3">
      <c r="A1472" s="47">
        <f t="shared" si="305"/>
        <v>1360</v>
      </c>
      <c r="B1472" s="414" t="s">
        <v>1816</v>
      </c>
      <c r="C1472" s="51">
        <f t="shared" si="308"/>
        <v>1816443.72</v>
      </c>
      <c r="D1472" s="51">
        <f t="shared" si="306"/>
        <v>1523315.4</v>
      </c>
      <c r="E1472" s="51">
        <f>(2688*13)+(358323*1)</f>
        <v>393267</v>
      </c>
      <c r="F1472" s="51">
        <v>1130048.3999999999</v>
      </c>
      <c r="G1472" s="51"/>
      <c r="H1472" s="51"/>
      <c r="I1472" s="51"/>
      <c r="J1472" s="51"/>
      <c r="K1472" s="51"/>
      <c r="L1472" s="51"/>
      <c r="M1472" s="35"/>
      <c r="N1472" s="51"/>
      <c r="O1472" s="82"/>
      <c r="P1472" s="51"/>
      <c r="Q1472" s="338"/>
      <c r="R1472" s="51"/>
      <c r="S1472" s="51"/>
      <c r="T1472" s="338"/>
      <c r="U1472" s="51"/>
      <c r="V1472" s="35"/>
      <c r="W1472" s="364">
        <f t="shared" si="309"/>
        <v>293128.32000000001</v>
      </c>
      <c r="X1472" s="285">
        <f>81676+81676</f>
        <v>163352</v>
      </c>
      <c r="Y1472" s="9"/>
      <c r="Z1472" s="306">
        <v>129776.32000000001</v>
      </c>
      <c r="AA1472" s="302"/>
      <c r="AB1472" s="302"/>
      <c r="AC1472" s="56"/>
      <c r="AD1472" s="56" t="s">
        <v>1817</v>
      </c>
      <c r="AE1472" s="56"/>
    </row>
    <row r="1473" spans="1:31" x14ac:dyDescent="0.3">
      <c r="A1473" s="47">
        <f t="shared" si="305"/>
        <v>1361</v>
      </c>
      <c r="B1473" s="414" t="s">
        <v>1818</v>
      </c>
      <c r="C1473" s="51">
        <f t="shared" si="308"/>
        <v>1227156.79</v>
      </c>
      <c r="D1473" s="51">
        <f t="shared" si="306"/>
        <v>730368</v>
      </c>
      <c r="E1473" s="51">
        <v>730368</v>
      </c>
      <c r="F1473" s="51"/>
      <c r="G1473" s="51"/>
      <c r="H1473" s="51"/>
      <c r="I1473" s="51"/>
      <c r="J1473" s="51"/>
      <c r="K1473" s="51"/>
      <c r="L1473" s="51"/>
      <c r="M1473" s="35"/>
      <c r="N1473" s="51"/>
      <c r="O1473" s="82"/>
      <c r="P1473" s="51"/>
      <c r="Q1473" s="338"/>
      <c r="R1473" s="51"/>
      <c r="S1473" s="51"/>
      <c r="T1473" s="338"/>
      <c r="U1473" s="51"/>
      <c r="V1473" s="35"/>
      <c r="W1473" s="364">
        <f t="shared" si="309"/>
        <v>496788.79000000004</v>
      </c>
      <c r="X1473" s="285">
        <f>146826.43+115985.69</f>
        <v>262812.12</v>
      </c>
      <c r="Y1473" s="9"/>
      <c r="Z1473" s="306">
        <v>233976.67</v>
      </c>
      <c r="AA1473" s="302"/>
      <c r="AB1473" s="302"/>
      <c r="AC1473" s="56"/>
      <c r="AD1473" s="56" t="s">
        <v>1819</v>
      </c>
      <c r="AE1473" s="56"/>
    </row>
    <row r="1474" spans="1:31" x14ac:dyDescent="0.3">
      <c r="A1474" s="47">
        <f t="shared" ref="A1474:A1539" si="310">A1473+1</f>
        <v>1362</v>
      </c>
      <c r="B1474" s="414" t="s">
        <v>1820</v>
      </c>
      <c r="C1474" s="51">
        <f t="shared" si="308"/>
        <v>4310844.4000000004</v>
      </c>
      <c r="D1474" s="51">
        <f t="shared" si="306"/>
        <v>1964943.6000000003</v>
      </c>
      <c r="E1474" s="51">
        <v>448510.8</v>
      </c>
      <c r="F1474" s="51">
        <v>1143129.6000000001</v>
      </c>
      <c r="G1474" s="51">
        <v>237831.6</v>
      </c>
      <c r="H1474" s="51"/>
      <c r="I1474" s="51">
        <v>135471.6</v>
      </c>
      <c r="J1474" s="51"/>
      <c r="K1474" s="51"/>
      <c r="L1474" s="51"/>
      <c r="M1474" s="35">
        <v>283</v>
      </c>
      <c r="N1474" s="51">
        <v>1086283.2</v>
      </c>
      <c r="O1474" s="82"/>
      <c r="P1474" s="51"/>
      <c r="Q1474" s="338"/>
      <c r="R1474" s="51"/>
      <c r="S1474" s="51"/>
      <c r="T1474" s="338">
        <v>573.1</v>
      </c>
      <c r="U1474" s="51">
        <v>1129617.6000000001</v>
      </c>
      <c r="V1474" s="35"/>
      <c r="W1474" s="364">
        <v>130000</v>
      </c>
      <c r="X1474" s="285"/>
      <c r="Y1474" s="9"/>
      <c r="Z1474" s="306"/>
      <c r="AA1474" s="302"/>
      <c r="AB1474" s="302"/>
      <c r="AC1474" s="56"/>
      <c r="AD1474" s="56"/>
      <c r="AE1474" s="56"/>
    </row>
    <row r="1475" spans="1:31" x14ac:dyDescent="0.3">
      <c r="A1475" s="47">
        <f t="shared" si="310"/>
        <v>1363</v>
      </c>
      <c r="B1475" s="414" t="s">
        <v>1821</v>
      </c>
      <c r="C1475" s="51">
        <f t="shared" si="308"/>
        <v>10928331.4</v>
      </c>
      <c r="D1475" s="51">
        <f t="shared" ref="D1475:D1540" si="311">E1475+F1475+G1475+H1475+I1475</f>
        <v>3974521.8000000003</v>
      </c>
      <c r="E1475" s="51">
        <f>(2688*13)+(358323*1)</f>
        <v>393267</v>
      </c>
      <c r="F1475" s="51">
        <v>2570436</v>
      </c>
      <c r="G1475" s="51">
        <v>469675.2</v>
      </c>
      <c r="H1475" s="51"/>
      <c r="I1475" s="51">
        <v>541143.6</v>
      </c>
      <c r="J1475" s="51"/>
      <c r="K1475" s="51"/>
      <c r="L1475" s="51"/>
      <c r="M1475" s="35">
        <v>810</v>
      </c>
      <c r="N1475" s="51">
        <v>5090798.4000000004</v>
      </c>
      <c r="O1475" s="82"/>
      <c r="P1475" s="51"/>
      <c r="Q1475" s="338"/>
      <c r="R1475" s="51"/>
      <c r="S1475" s="51"/>
      <c r="T1475" s="338">
        <v>1456</v>
      </c>
      <c r="U1475" s="51">
        <v>1733011.2</v>
      </c>
      <c r="V1475" s="35"/>
      <c r="W1475" s="364">
        <v>130000</v>
      </c>
      <c r="X1475" s="285"/>
      <c r="Y1475" s="9"/>
      <c r="Z1475" s="306"/>
      <c r="AA1475" s="302"/>
      <c r="AB1475" s="302"/>
      <c r="AC1475" s="56"/>
      <c r="AD1475" s="56"/>
      <c r="AE1475" s="56"/>
    </row>
    <row r="1476" spans="1:31" x14ac:dyDescent="0.3">
      <c r="A1476" s="47">
        <f t="shared" si="310"/>
        <v>1364</v>
      </c>
      <c r="B1476" s="414" t="s">
        <v>1822</v>
      </c>
      <c r="C1476" s="51">
        <f t="shared" si="308"/>
        <v>1834986.6099999999</v>
      </c>
      <c r="D1476" s="51">
        <f t="shared" si="311"/>
        <v>1397489.4</v>
      </c>
      <c r="E1476" s="51">
        <v>1004222.4</v>
      </c>
      <c r="F1476" s="51">
        <f>(2688*13)+(358323*1)</f>
        <v>393267</v>
      </c>
      <c r="G1476" s="51"/>
      <c r="H1476" s="51"/>
      <c r="I1476" s="51"/>
      <c r="J1476" s="51"/>
      <c r="K1476" s="51"/>
      <c r="L1476" s="51"/>
      <c r="M1476" s="35">
        <v>765</v>
      </c>
      <c r="N1476" s="51"/>
      <c r="O1476" s="82"/>
      <c r="P1476" s="51"/>
      <c r="Q1476" s="338"/>
      <c r="R1476" s="51"/>
      <c r="S1476" s="51"/>
      <c r="T1476" s="338"/>
      <c r="U1476" s="51"/>
      <c r="V1476" s="35"/>
      <c r="W1476" s="364">
        <f t="shared" ref="W1476:W1488" si="312">SUM(X1476:AB1476)</f>
        <v>437497.21</v>
      </c>
      <c r="X1476" s="285">
        <f>112526.71+112526.71</f>
        <v>225053.42</v>
      </c>
      <c r="Y1476" s="9">
        <v>212443.79</v>
      </c>
      <c r="Z1476" s="306"/>
      <c r="AA1476" s="302"/>
      <c r="AB1476" s="302"/>
      <c r="AC1476" s="56"/>
      <c r="AD1476" s="56" t="s">
        <v>1817</v>
      </c>
      <c r="AE1476" s="56"/>
    </row>
    <row r="1477" spans="1:31" x14ac:dyDescent="0.3">
      <c r="A1477" s="47">
        <f t="shared" si="310"/>
        <v>1365</v>
      </c>
      <c r="B1477" s="414" t="s">
        <v>1823</v>
      </c>
      <c r="C1477" s="51">
        <f t="shared" si="308"/>
        <v>330654.06000000006</v>
      </c>
      <c r="D1477" s="51">
        <f t="shared" si="311"/>
        <v>0</v>
      </c>
      <c r="E1477" s="51"/>
      <c r="F1477" s="51"/>
      <c r="G1477" s="51"/>
      <c r="H1477" s="51"/>
      <c r="I1477" s="51"/>
      <c r="J1477" s="51"/>
      <c r="K1477" s="51"/>
      <c r="L1477" s="51"/>
      <c r="M1477" s="35"/>
      <c r="N1477" s="51"/>
      <c r="O1477" s="82"/>
      <c r="P1477" s="51"/>
      <c r="Q1477" s="338"/>
      <c r="R1477" s="51"/>
      <c r="S1477" s="51"/>
      <c r="T1477" s="338"/>
      <c r="U1477" s="51"/>
      <c r="V1477" s="35"/>
      <c r="W1477" s="364">
        <f t="shared" si="312"/>
        <v>330654.06000000006</v>
      </c>
      <c r="X1477" s="285">
        <f>186914.14+143739.92</f>
        <v>330654.06000000006</v>
      </c>
      <c r="Y1477" s="9"/>
      <c r="Z1477" s="306"/>
      <c r="AA1477" s="302"/>
      <c r="AB1477" s="302"/>
      <c r="AC1477" s="56"/>
      <c r="AD1477" s="56" t="s">
        <v>1563</v>
      </c>
      <c r="AE1477" s="56"/>
    </row>
    <row r="1478" spans="1:31" x14ac:dyDescent="0.3">
      <c r="A1478" s="47">
        <f t="shared" si="310"/>
        <v>1366</v>
      </c>
      <c r="B1478" s="414" t="s">
        <v>1825</v>
      </c>
      <c r="C1478" s="51">
        <f t="shared" si="308"/>
        <v>145912.32999999999</v>
      </c>
      <c r="D1478" s="51">
        <f t="shared" si="311"/>
        <v>0</v>
      </c>
      <c r="E1478" s="51"/>
      <c r="F1478" s="51"/>
      <c r="G1478" s="51"/>
      <c r="H1478" s="51"/>
      <c r="I1478" s="51"/>
      <c r="J1478" s="51"/>
      <c r="K1478" s="51"/>
      <c r="L1478" s="51"/>
      <c r="M1478" s="35"/>
      <c r="N1478" s="51"/>
      <c r="O1478" s="82"/>
      <c r="P1478" s="51"/>
      <c r="Q1478" s="338"/>
      <c r="R1478" s="51"/>
      <c r="S1478" s="51"/>
      <c r="T1478" s="338"/>
      <c r="U1478" s="51"/>
      <c r="V1478" s="35"/>
      <c r="W1478" s="364">
        <f t="shared" si="312"/>
        <v>145912.32999999999</v>
      </c>
      <c r="X1478" s="285">
        <v>145912.32999999999</v>
      </c>
      <c r="Y1478" s="9"/>
      <c r="Z1478" s="306"/>
      <c r="AA1478" s="302"/>
      <c r="AB1478" s="302"/>
      <c r="AC1478" s="56"/>
      <c r="AD1478" s="56" t="s">
        <v>1395</v>
      </c>
      <c r="AE1478" s="56"/>
    </row>
    <row r="1479" spans="1:31" x14ac:dyDescent="0.3">
      <c r="A1479" s="47">
        <f t="shared" si="310"/>
        <v>1367</v>
      </c>
      <c r="B1479" s="414" t="s">
        <v>1826</v>
      </c>
      <c r="C1479" s="51">
        <f t="shared" si="308"/>
        <v>455270.83999999997</v>
      </c>
      <c r="D1479" s="51">
        <f t="shared" si="311"/>
        <v>0</v>
      </c>
      <c r="E1479" s="51"/>
      <c r="F1479" s="51"/>
      <c r="G1479" s="51"/>
      <c r="H1479" s="51"/>
      <c r="I1479" s="51"/>
      <c r="J1479" s="51"/>
      <c r="K1479" s="51"/>
      <c r="L1479" s="51"/>
      <c r="M1479" s="35"/>
      <c r="N1479" s="51"/>
      <c r="O1479" s="82"/>
      <c r="P1479" s="51"/>
      <c r="Q1479" s="338"/>
      <c r="R1479" s="51"/>
      <c r="S1479" s="51"/>
      <c r="T1479" s="338"/>
      <c r="U1479" s="51"/>
      <c r="V1479" s="35"/>
      <c r="W1479" s="364">
        <f t="shared" si="312"/>
        <v>455270.83999999997</v>
      </c>
      <c r="X1479" s="285">
        <f>139886.45+180824.77+134559.62</f>
        <v>455270.83999999997</v>
      </c>
      <c r="Y1479" s="9"/>
      <c r="Z1479" s="306"/>
      <c r="AA1479" s="302"/>
      <c r="AB1479" s="302"/>
      <c r="AC1479" s="56"/>
      <c r="AD1479" s="56" t="s">
        <v>1408</v>
      </c>
      <c r="AE1479" s="56"/>
    </row>
    <row r="1480" spans="1:31" x14ac:dyDescent="0.3">
      <c r="A1480" s="47">
        <f t="shared" si="310"/>
        <v>1368</v>
      </c>
      <c r="B1480" s="414" t="s">
        <v>1827</v>
      </c>
      <c r="C1480" s="51">
        <f t="shared" si="308"/>
        <v>476655.09</v>
      </c>
      <c r="D1480" s="51">
        <f t="shared" si="311"/>
        <v>0</v>
      </c>
      <c r="E1480" s="51"/>
      <c r="F1480" s="51"/>
      <c r="G1480" s="51"/>
      <c r="H1480" s="51"/>
      <c r="I1480" s="51"/>
      <c r="J1480" s="51"/>
      <c r="K1480" s="51"/>
      <c r="L1480" s="51"/>
      <c r="M1480" s="35"/>
      <c r="N1480" s="51"/>
      <c r="O1480" s="82"/>
      <c r="P1480" s="51"/>
      <c r="Q1480" s="338"/>
      <c r="R1480" s="51"/>
      <c r="S1480" s="51"/>
      <c r="T1480" s="338"/>
      <c r="U1480" s="51"/>
      <c r="V1480" s="35"/>
      <c r="W1480" s="364">
        <f t="shared" si="312"/>
        <v>476655.09</v>
      </c>
      <c r="X1480" s="285">
        <f>179720.92+133547.53</f>
        <v>313268.45</v>
      </c>
      <c r="Y1480" s="9"/>
      <c r="Z1480" s="306">
        <v>163386.64000000001</v>
      </c>
      <c r="AA1480" s="302"/>
      <c r="AB1480" s="302"/>
      <c r="AC1480" s="56"/>
      <c r="AD1480" s="56" t="s">
        <v>1563</v>
      </c>
      <c r="AE1480" s="56"/>
    </row>
    <row r="1481" spans="1:31" x14ac:dyDescent="0.3">
      <c r="A1481" s="47">
        <f t="shared" si="310"/>
        <v>1369</v>
      </c>
      <c r="B1481" s="414" t="s">
        <v>1828</v>
      </c>
      <c r="C1481" s="51">
        <f t="shared" si="308"/>
        <v>457122.67</v>
      </c>
      <c r="D1481" s="51">
        <f t="shared" si="311"/>
        <v>0</v>
      </c>
      <c r="E1481" s="51"/>
      <c r="F1481" s="51"/>
      <c r="G1481" s="51"/>
      <c r="H1481" s="51"/>
      <c r="I1481" s="51"/>
      <c r="J1481" s="51"/>
      <c r="K1481" s="51"/>
      <c r="L1481" s="51"/>
      <c r="M1481" s="35"/>
      <c r="N1481" s="51"/>
      <c r="O1481" s="82"/>
      <c r="P1481" s="51"/>
      <c r="Q1481" s="338"/>
      <c r="R1481" s="51"/>
      <c r="S1481" s="51"/>
      <c r="T1481" s="338"/>
      <c r="U1481" s="51"/>
      <c r="V1481" s="35"/>
      <c r="W1481" s="364">
        <f t="shared" si="312"/>
        <v>457122.67</v>
      </c>
      <c r="X1481" s="285">
        <f>110570.87+129018.08+108766.86+108766.86</f>
        <v>457122.67</v>
      </c>
      <c r="Y1481" s="9"/>
      <c r="Z1481" s="306"/>
      <c r="AA1481" s="302"/>
      <c r="AB1481" s="302"/>
      <c r="AC1481" s="56"/>
      <c r="AD1481" s="56" t="s">
        <v>1349</v>
      </c>
      <c r="AE1481" s="56"/>
    </row>
    <row r="1482" spans="1:31" x14ac:dyDescent="0.3">
      <c r="A1482" s="47">
        <f t="shared" si="310"/>
        <v>1370</v>
      </c>
      <c r="B1482" s="414" t="s">
        <v>1829</v>
      </c>
      <c r="C1482" s="51">
        <f t="shared" si="308"/>
        <v>305890.77</v>
      </c>
      <c r="D1482" s="51">
        <f t="shared" si="311"/>
        <v>0</v>
      </c>
      <c r="E1482" s="51"/>
      <c r="F1482" s="51"/>
      <c r="G1482" s="51"/>
      <c r="H1482" s="51"/>
      <c r="I1482" s="51"/>
      <c r="J1482" s="51"/>
      <c r="K1482" s="51"/>
      <c r="L1482" s="51"/>
      <c r="M1482" s="35"/>
      <c r="N1482" s="51"/>
      <c r="O1482" s="82"/>
      <c r="P1482" s="51"/>
      <c r="Q1482" s="338"/>
      <c r="R1482" s="51"/>
      <c r="S1482" s="51"/>
      <c r="T1482" s="338"/>
      <c r="U1482" s="51"/>
      <c r="V1482" s="35"/>
      <c r="W1482" s="364">
        <f t="shared" si="312"/>
        <v>305890.77</v>
      </c>
      <c r="X1482" s="285">
        <v>134994.16</v>
      </c>
      <c r="Y1482" s="9"/>
      <c r="Z1482" s="306">
        <v>170896.61</v>
      </c>
      <c r="AA1482" s="302"/>
      <c r="AB1482" s="302"/>
      <c r="AC1482" s="56"/>
      <c r="AD1482" s="56" t="s">
        <v>1395</v>
      </c>
      <c r="AE1482" s="56"/>
    </row>
    <row r="1483" spans="1:31" x14ac:dyDescent="0.3">
      <c r="A1483" s="47">
        <f t="shared" si="310"/>
        <v>1371</v>
      </c>
      <c r="B1483" s="414" t="s">
        <v>1830</v>
      </c>
      <c r="C1483" s="51">
        <f t="shared" si="308"/>
        <v>5188445.1099999994</v>
      </c>
      <c r="D1483" s="51">
        <f t="shared" si="311"/>
        <v>0</v>
      </c>
      <c r="E1483" s="51"/>
      <c r="F1483" s="51"/>
      <c r="G1483" s="51"/>
      <c r="H1483" s="51"/>
      <c r="I1483" s="51"/>
      <c r="J1483" s="51"/>
      <c r="K1483" s="51"/>
      <c r="L1483" s="51"/>
      <c r="M1483" s="35">
        <v>1060.5999999999999</v>
      </c>
      <c r="N1483" s="51">
        <v>4980820.8</v>
      </c>
      <c r="O1483" s="82"/>
      <c r="P1483" s="51"/>
      <c r="Q1483" s="338"/>
      <c r="R1483" s="51"/>
      <c r="S1483" s="51"/>
      <c r="T1483" s="338"/>
      <c r="U1483" s="51"/>
      <c r="V1483" s="35"/>
      <c r="W1483" s="364">
        <f t="shared" si="312"/>
        <v>207624.31</v>
      </c>
      <c r="X1483" s="285">
        <v>207624.31</v>
      </c>
      <c r="Y1483" s="9"/>
      <c r="Z1483" s="306"/>
      <c r="AA1483" s="302"/>
      <c r="AB1483" s="302"/>
      <c r="AC1483" s="56"/>
      <c r="AD1483" s="56" t="s">
        <v>1395</v>
      </c>
      <c r="AE1483" s="56"/>
    </row>
    <row r="1484" spans="1:31" x14ac:dyDescent="0.3">
      <c r="A1484" s="47">
        <f t="shared" si="310"/>
        <v>1372</v>
      </c>
      <c r="B1484" s="414" t="s">
        <v>1831</v>
      </c>
      <c r="C1484" s="51">
        <f t="shared" si="308"/>
        <v>135559.79</v>
      </c>
      <c r="D1484" s="51">
        <f t="shared" si="311"/>
        <v>0</v>
      </c>
      <c r="E1484" s="51"/>
      <c r="F1484" s="51"/>
      <c r="G1484" s="51"/>
      <c r="H1484" s="51"/>
      <c r="I1484" s="51"/>
      <c r="J1484" s="51"/>
      <c r="K1484" s="51"/>
      <c r="L1484" s="51"/>
      <c r="M1484" s="35"/>
      <c r="N1484" s="51"/>
      <c r="O1484" s="82"/>
      <c r="P1484" s="51"/>
      <c r="Q1484" s="338"/>
      <c r="R1484" s="51"/>
      <c r="S1484" s="51"/>
      <c r="T1484" s="338"/>
      <c r="U1484" s="51"/>
      <c r="V1484" s="35"/>
      <c r="W1484" s="364">
        <f t="shared" si="312"/>
        <v>135559.79</v>
      </c>
      <c r="X1484" s="285">
        <f>69076.13+66483.66</f>
        <v>135559.79</v>
      </c>
      <c r="Y1484" s="9"/>
      <c r="Z1484" s="306"/>
      <c r="AA1484" s="302"/>
      <c r="AB1484" s="302"/>
      <c r="AC1484" s="56"/>
      <c r="AD1484" s="56" t="s">
        <v>1832</v>
      </c>
      <c r="AE1484" s="56"/>
    </row>
    <row r="1485" spans="1:31" x14ac:dyDescent="0.3">
      <c r="A1485" s="47">
        <f t="shared" si="310"/>
        <v>1373</v>
      </c>
      <c r="B1485" s="414" t="s">
        <v>1833</v>
      </c>
      <c r="C1485" s="51">
        <f t="shared" si="308"/>
        <v>59318.27</v>
      </c>
      <c r="D1485" s="51">
        <f t="shared" si="311"/>
        <v>0</v>
      </c>
      <c r="E1485" s="51"/>
      <c r="F1485" s="51"/>
      <c r="G1485" s="51"/>
      <c r="H1485" s="51"/>
      <c r="I1485" s="51"/>
      <c r="J1485" s="51"/>
      <c r="K1485" s="51"/>
      <c r="L1485" s="51"/>
      <c r="M1485" s="35"/>
      <c r="N1485" s="51"/>
      <c r="O1485" s="82"/>
      <c r="P1485" s="51"/>
      <c r="Q1485" s="338"/>
      <c r="R1485" s="51"/>
      <c r="S1485" s="51"/>
      <c r="T1485" s="338"/>
      <c r="U1485" s="51"/>
      <c r="V1485" s="35"/>
      <c r="W1485" s="364">
        <f t="shared" si="312"/>
        <v>59318.27</v>
      </c>
      <c r="X1485" s="285">
        <v>59318.27</v>
      </c>
      <c r="Y1485" s="9"/>
      <c r="Z1485" s="306"/>
      <c r="AA1485" s="302"/>
      <c r="AB1485" s="302"/>
      <c r="AC1485" s="56"/>
      <c r="AD1485" s="56" t="s">
        <v>1360</v>
      </c>
      <c r="AE1485" s="56"/>
    </row>
    <row r="1486" spans="1:31" x14ac:dyDescent="0.3">
      <c r="A1486" s="47">
        <f t="shared" si="310"/>
        <v>1374</v>
      </c>
      <c r="B1486" s="414" t="s">
        <v>1834</v>
      </c>
      <c r="C1486" s="51">
        <f t="shared" si="308"/>
        <v>173585.25</v>
      </c>
      <c r="D1486" s="51">
        <f t="shared" si="311"/>
        <v>0</v>
      </c>
      <c r="E1486" s="51"/>
      <c r="F1486" s="51"/>
      <c r="G1486" s="51"/>
      <c r="H1486" s="51"/>
      <c r="I1486" s="51"/>
      <c r="J1486" s="51"/>
      <c r="K1486" s="51"/>
      <c r="L1486" s="51"/>
      <c r="M1486" s="35"/>
      <c r="N1486" s="51"/>
      <c r="O1486" s="82"/>
      <c r="P1486" s="51"/>
      <c r="Q1486" s="338"/>
      <c r="R1486" s="51"/>
      <c r="S1486" s="51"/>
      <c r="T1486" s="338"/>
      <c r="U1486" s="51"/>
      <c r="V1486" s="35"/>
      <c r="W1486" s="364">
        <f t="shared" si="312"/>
        <v>173585.25</v>
      </c>
      <c r="X1486" s="285">
        <v>56495.24</v>
      </c>
      <c r="Y1486" s="9">
        <v>117090.01</v>
      </c>
      <c r="Z1486" s="306"/>
      <c r="AA1486" s="302"/>
      <c r="AB1486" s="302"/>
      <c r="AC1486" s="56"/>
      <c r="AD1486" s="56" t="s">
        <v>1360</v>
      </c>
      <c r="AE1486" s="56"/>
    </row>
    <row r="1487" spans="1:31" x14ac:dyDescent="0.3">
      <c r="A1487" s="47">
        <f t="shared" si="310"/>
        <v>1375</v>
      </c>
      <c r="B1487" s="414" t="s">
        <v>1835</v>
      </c>
      <c r="C1487" s="51">
        <f t="shared" si="308"/>
        <v>211109.21000000002</v>
      </c>
      <c r="D1487" s="51">
        <f t="shared" si="311"/>
        <v>0</v>
      </c>
      <c r="E1487" s="51"/>
      <c r="F1487" s="51"/>
      <c r="G1487" s="51"/>
      <c r="H1487" s="51"/>
      <c r="I1487" s="51"/>
      <c r="J1487" s="51"/>
      <c r="K1487" s="51"/>
      <c r="L1487" s="51"/>
      <c r="M1487" s="35"/>
      <c r="N1487" s="51"/>
      <c r="O1487" s="82"/>
      <c r="P1487" s="51"/>
      <c r="Q1487" s="338"/>
      <c r="R1487" s="51"/>
      <c r="S1487" s="51"/>
      <c r="T1487" s="338"/>
      <c r="U1487" s="51"/>
      <c r="V1487" s="35"/>
      <c r="W1487" s="364">
        <f t="shared" si="312"/>
        <v>211109.21000000002</v>
      </c>
      <c r="X1487" s="285">
        <v>71408.210000000006</v>
      </c>
      <c r="Y1487" s="9">
        <v>139701</v>
      </c>
      <c r="Z1487" s="306"/>
      <c r="AA1487" s="302"/>
      <c r="AB1487" s="302"/>
      <c r="AC1487" s="56"/>
      <c r="AD1487" s="56" t="s">
        <v>1360</v>
      </c>
      <c r="AE1487" s="56"/>
    </row>
    <row r="1488" spans="1:31" x14ac:dyDescent="0.3">
      <c r="A1488" s="47">
        <f t="shared" si="310"/>
        <v>1376</v>
      </c>
      <c r="B1488" s="414" t="s">
        <v>1836</v>
      </c>
      <c r="C1488" s="51">
        <f t="shared" si="308"/>
        <v>226303.51</v>
      </c>
      <c r="D1488" s="51">
        <f t="shared" si="311"/>
        <v>0</v>
      </c>
      <c r="E1488" s="51"/>
      <c r="F1488" s="51"/>
      <c r="G1488" s="51"/>
      <c r="H1488" s="51"/>
      <c r="I1488" s="51"/>
      <c r="J1488" s="51"/>
      <c r="K1488" s="51"/>
      <c r="L1488" s="51"/>
      <c r="M1488" s="35"/>
      <c r="N1488" s="51"/>
      <c r="O1488" s="82"/>
      <c r="P1488" s="51"/>
      <c r="Q1488" s="338"/>
      <c r="R1488" s="51"/>
      <c r="S1488" s="51"/>
      <c r="T1488" s="338"/>
      <c r="U1488" s="51"/>
      <c r="V1488" s="35"/>
      <c r="W1488" s="364">
        <f t="shared" si="312"/>
        <v>226303.51</v>
      </c>
      <c r="X1488" s="285">
        <v>77266.58</v>
      </c>
      <c r="Y1488" s="9">
        <v>149036.93</v>
      </c>
      <c r="Z1488" s="306"/>
      <c r="AA1488" s="302"/>
      <c r="AB1488" s="302"/>
      <c r="AC1488" s="56"/>
      <c r="AD1488" s="56" t="s">
        <v>1360</v>
      </c>
      <c r="AE1488" s="56"/>
    </row>
    <row r="1489" spans="1:31" x14ac:dyDescent="0.3">
      <c r="A1489" s="47">
        <f t="shared" si="310"/>
        <v>1377</v>
      </c>
      <c r="B1489" s="414" t="s">
        <v>1837</v>
      </c>
      <c r="C1489" s="51">
        <f t="shared" si="308"/>
        <v>2983943.2</v>
      </c>
      <c r="D1489" s="51">
        <f t="shared" si="311"/>
        <v>0</v>
      </c>
      <c r="E1489" s="51"/>
      <c r="F1489" s="51"/>
      <c r="G1489" s="51"/>
      <c r="H1489" s="51"/>
      <c r="I1489" s="51"/>
      <c r="J1489" s="51"/>
      <c r="K1489" s="51"/>
      <c r="L1489" s="51"/>
      <c r="M1489" s="35">
        <v>273</v>
      </c>
      <c r="N1489" s="51">
        <v>1931223.6</v>
      </c>
      <c r="O1489" s="82"/>
      <c r="P1489" s="51"/>
      <c r="Q1489" s="338"/>
      <c r="R1489" s="51"/>
      <c r="S1489" s="51"/>
      <c r="T1489" s="338">
        <v>315.60000000000002</v>
      </c>
      <c r="U1489" s="51">
        <v>922719.6</v>
      </c>
      <c r="V1489" s="35"/>
      <c r="W1489" s="364">
        <v>130000</v>
      </c>
      <c r="X1489" s="285"/>
      <c r="Y1489" s="9"/>
      <c r="Z1489" s="306"/>
      <c r="AA1489" s="302"/>
      <c r="AB1489" s="302"/>
      <c r="AC1489" s="56"/>
      <c r="AD1489" s="56"/>
      <c r="AE1489" s="56"/>
    </row>
    <row r="1490" spans="1:31" x14ac:dyDescent="0.3">
      <c r="A1490" s="47">
        <f t="shared" si="310"/>
        <v>1378</v>
      </c>
      <c r="B1490" s="414" t="s">
        <v>1838</v>
      </c>
      <c r="C1490" s="51">
        <f t="shared" si="308"/>
        <v>173333</v>
      </c>
      <c r="D1490" s="51">
        <f t="shared" si="311"/>
        <v>0</v>
      </c>
      <c r="E1490" s="51"/>
      <c r="F1490" s="51"/>
      <c r="G1490" s="51"/>
      <c r="H1490" s="51"/>
      <c r="I1490" s="51"/>
      <c r="J1490" s="51"/>
      <c r="K1490" s="51"/>
      <c r="L1490" s="51"/>
      <c r="M1490" s="35"/>
      <c r="N1490" s="51"/>
      <c r="O1490" s="82"/>
      <c r="P1490" s="51"/>
      <c r="Q1490" s="338"/>
      <c r="R1490" s="51"/>
      <c r="S1490" s="51"/>
      <c r="T1490" s="338"/>
      <c r="U1490" s="51"/>
      <c r="V1490" s="35"/>
      <c r="W1490" s="364">
        <f>SUM(X1490:AB1490)</f>
        <v>173333</v>
      </c>
      <c r="X1490" s="285">
        <f>86666.5+86666.5</f>
        <v>173333</v>
      </c>
      <c r="Y1490" s="9"/>
      <c r="Z1490" s="306"/>
      <c r="AA1490" s="302"/>
      <c r="AB1490" s="302"/>
      <c r="AC1490" s="56"/>
      <c r="AD1490" s="56" t="s">
        <v>1475</v>
      </c>
      <c r="AE1490" s="56"/>
    </row>
    <row r="1491" spans="1:31" x14ac:dyDescent="0.3">
      <c r="A1491" s="47">
        <f t="shared" si="310"/>
        <v>1379</v>
      </c>
      <c r="B1491" s="414" t="s">
        <v>1839</v>
      </c>
      <c r="C1491" s="51">
        <f t="shared" si="308"/>
        <v>512522.64</v>
      </c>
      <c r="D1491" s="51">
        <f t="shared" si="311"/>
        <v>0</v>
      </c>
      <c r="E1491" s="51"/>
      <c r="F1491" s="51"/>
      <c r="G1491" s="51"/>
      <c r="H1491" s="51"/>
      <c r="I1491" s="51"/>
      <c r="J1491" s="51"/>
      <c r="K1491" s="51"/>
      <c r="L1491" s="51"/>
      <c r="M1491" s="35"/>
      <c r="N1491" s="51"/>
      <c r="O1491" s="82"/>
      <c r="P1491" s="51"/>
      <c r="Q1491" s="338"/>
      <c r="R1491" s="51"/>
      <c r="S1491" s="51"/>
      <c r="T1491" s="338"/>
      <c r="U1491" s="51"/>
      <c r="V1491" s="35"/>
      <c r="W1491" s="364">
        <f>SUM(X1491:AB1491)</f>
        <v>512522.64</v>
      </c>
      <c r="X1491" s="285">
        <f>83922.96+102418.88+83387.6+83387.6</f>
        <v>353117.04000000004</v>
      </c>
      <c r="Y1491" s="9">
        <v>159405.6</v>
      </c>
      <c r="Z1491" s="306"/>
      <c r="AA1491" s="302"/>
      <c r="AB1491" s="302"/>
      <c r="AC1491" s="56"/>
      <c r="AD1491" s="56" t="s">
        <v>1349</v>
      </c>
      <c r="AE1491" s="56"/>
    </row>
    <row r="1492" spans="1:31" x14ac:dyDescent="0.3">
      <c r="A1492" s="47">
        <f t="shared" si="310"/>
        <v>1380</v>
      </c>
      <c r="B1492" s="414" t="s">
        <v>1840</v>
      </c>
      <c r="C1492" s="51">
        <f t="shared" si="308"/>
        <v>611291.33000000007</v>
      </c>
      <c r="D1492" s="51">
        <f t="shared" si="311"/>
        <v>0</v>
      </c>
      <c r="E1492" s="51"/>
      <c r="F1492" s="51"/>
      <c r="G1492" s="51"/>
      <c r="H1492" s="51"/>
      <c r="I1492" s="51"/>
      <c r="J1492" s="51"/>
      <c r="K1492" s="51"/>
      <c r="L1492" s="51"/>
      <c r="M1492" s="35"/>
      <c r="N1492" s="51"/>
      <c r="O1492" s="82"/>
      <c r="P1492" s="51"/>
      <c r="Q1492" s="338"/>
      <c r="R1492" s="51"/>
      <c r="S1492" s="51"/>
      <c r="T1492" s="338"/>
      <c r="U1492" s="51"/>
      <c r="V1492" s="35"/>
      <c r="W1492" s="364">
        <f>SUM(X1492:AB1492)</f>
        <v>611291.33000000007</v>
      </c>
      <c r="X1492" s="285">
        <f>136843.7+177731.58+131723.53</f>
        <v>446298.81000000006</v>
      </c>
      <c r="Y1492" s="9"/>
      <c r="Z1492" s="306">
        <v>164992.51999999999</v>
      </c>
      <c r="AA1492" s="302"/>
      <c r="AB1492" s="302"/>
      <c r="AC1492" s="56"/>
      <c r="AD1492" s="56" t="s">
        <v>1841</v>
      </c>
      <c r="AE1492" s="56"/>
    </row>
    <row r="1493" spans="1:31" x14ac:dyDescent="0.3">
      <c r="A1493" s="47">
        <f t="shared" si="310"/>
        <v>1381</v>
      </c>
      <c r="B1493" s="414" t="s">
        <v>1842</v>
      </c>
      <c r="C1493" s="51">
        <f t="shared" si="308"/>
        <v>130000</v>
      </c>
      <c r="D1493" s="51">
        <f t="shared" si="311"/>
        <v>0</v>
      </c>
      <c r="E1493" s="51"/>
      <c r="F1493" s="51"/>
      <c r="G1493" s="51"/>
      <c r="H1493" s="51"/>
      <c r="I1493" s="51"/>
      <c r="J1493" s="51"/>
      <c r="K1493" s="51"/>
      <c r="L1493" s="51"/>
      <c r="M1493" s="35"/>
      <c r="N1493" s="51"/>
      <c r="O1493" s="82"/>
      <c r="P1493" s="51"/>
      <c r="Q1493" s="338"/>
      <c r="R1493" s="51"/>
      <c r="S1493" s="51"/>
      <c r="T1493" s="338"/>
      <c r="U1493" s="51"/>
      <c r="V1493" s="35"/>
      <c r="W1493" s="364">
        <v>130000</v>
      </c>
      <c r="X1493" s="285"/>
      <c r="Y1493" s="9"/>
      <c r="Z1493" s="306"/>
      <c r="AA1493" s="302"/>
      <c r="AB1493" s="302"/>
      <c r="AC1493" s="56"/>
      <c r="AD1493" s="56"/>
      <c r="AE1493" s="56"/>
    </row>
    <row r="1494" spans="1:31" x14ac:dyDescent="0.3">
      <c r="A1494" s="47">
        <f t="shared" si="310"/>
        <v>1382</v>
      </c>
      <c r="B1494" s="414" t="s">
        <v>1843</v>
      </c>
      <c r="C1494" s="51">
        <f t="shared" si="308"/>
        <v>111559.18</v>
      </c>
      <c r="D1494" s="51">
        <f t="shared" si="311"/>
        <v>0</v>
      </c>
      <c r="E1494" s="51"/>
      <c r="F1494" s="51"/>
      <c r="G1494" s="51"/>
      <c r="H1494" s="51"/>
      <c r="I1494" s="51"/>
      <c r="J1494" s="51"/>
      <c r="K1494" s="51"/>
      <c r="L1494" s="51"/>
      <c r="M1494" s="35"/>
      <c r="N1494" s="51"/>
      <c r="O1494" s="82"/>
      <c r="P1494" s="51"/>
      <c r="Q1494" s="338"/>
      <c r="R1494" s="51"/>
      <c r="S1494" s="51"/>
      <c r="T1494" s="338"/>
      <c r="U1494" s="51"/>
      <c r="V1494" s="35"/>
      <c r="W1494" s="364">
        <f t="shared" ref="W1494:W1510" si="313">SUM(X1494:AB1494)</f>
        <v>111559.18</v>
      </c>
      <c r="X1494" s="285">
        <v>111559.18</v>
      </c>
      <c r="Y1494" s="9"/>
      <c r="Z1494" s="306"/>
      <c r="AA1494" s="302"/>
      <c r="AB1494" s="302"/>
      <c r="AC1494" s="56"/>
      <c r="AD1494" s="56" t="s">
        <v>25</v>
      </c>
      <c r="AE1494" s="56"/>
    </row>
    <row r="1495" spans="1:31" x14ac:dyDescent="0.3">
      <c r="A1495" s="47">
        <f t="shared" si="310"/>
        <v>1383</v>
      </c>
      <c r="B1495" s="414" t="s">
        <v>1844</v>
      </c>
      <c r="C1495" s="51">
        <f t="shared" si="308"/>
        <v>125188.38</v>
      </c>
      <c r="D1495" s="51">
        <f t="shared" si="311"/>
        <v>0</v>
      </c>
      <c r="E1495" s="51"/>
      <c r="F1495" s="51"/>
      <c r="G1495" s="51"/>
      <c r="H1495" s="51"/>
      <c r="I1495" s="51"/>
      <c r="J1495" s="51"/>
      <c r="K1495" s="51"/>
      <c r="L1495" s="51"/>
      <c r="M1495" s="35"/>
      <c r="N1495" s="51"/>
      <c r="O1495" s="82"/>
      <c r="P1495" s="51"/>
      <c r="Q1495" s="338"/>
      <c r="R1495" s="51"/>
      <c r="S1495" s="51"/>
      <c r="T1495" s="338"/>
      <c r="U1495" s="51"/>
      <c r="V1495" s="35"/>
      <c r="W1495" s="364">
        <f t="shared" si="313"/>
        <v>125188.38</v>
      </c>
      <c r="X1495" s="285">
        <v>125188.38</v>
      </c>
      <c r="Y1495" s="9"/>
      <c r="Z1495" s="306"/>
      <c r="AA1495" s="302"/>
      <c r="AB1495" s="302"/>
      <c r="AC1495" s="56"/>
      <c r="AD1495" s="56" t="s">
        <v>25</v>
      </c>
      <c r="AE1495" s="56"/>
    </row>
    <row r="1496" spans="1:31" x14ac:dyDescent="0.3">
      <c r="A1496" s="47">
        <f t="shared" si="310"/>
        <v>1384</v>
      </c>
      <c r="B1496" s="414" t="s">
        <v>1845</v>
      </c>
      <c r="C1496" s="51">
        <f t="shared" si="308"/>
        <v>481254.9</v>
      </c>
      <c r="D1496" s="51">
        <f t="shared" si="311"/>
        <v>0</v>
      </c>
      <c r="E1496" s="51"/>
      <c r="F1496" s="51"/>
      <c r="G1496" s="51"/>
      <c r="H1496" s="51"/>
      <c r="I1496" s="51"/>
      <c r="J1496" s="51"/>
      <c r="K1496" s="51"/>
      <c r="L1496" s="51"/>
      <c r="M1496" s="35"/>
      <c r="N1496" s="51"/>
      <c r="O1496" s="82"/>
      <c r="P1496" s="51"/>
      <c r="Q1496" s="338"/>
      <c r="R1496" s="51"/>
      <c r="S1496" s="51"/>
      <c r="T1496" s="338"/>
      <c r="U1496" s="51"/>
      <c r="V1496" s="35"/>
      <c r="W1496" s="364">
        <f t="shared" si="313"/>
        <v>481254.9</v>
      </c>
      <c r="X1496" s="285">
        <f>116727.46+135219.44+114654+114654</f>
        <v>481254.9</v>
      </c>
      <c r="Y1496" s="9"/>
      <c r="Z1496" s="306"/>
      <c r="AA1496" s="302"/>
      <c r="AB1496" s="302"/>
      <c r="AC1496" s="56"/>
      <c r="AD1496" s="56" t="s">
        <v>1846</v>
      </c>
      <c r="AE1496" s="56"/>
    </row>
    <row r="1497" spans="1:31" x14ac:dyDescent="0.3">
      <c r="A1497" s="47">
        <f t="shared" si="310"/>
        <v>1385</v>
      </c>
      <c r="B1497" s="414" t="s">
        <v>1847</v>
      </c>
      <c r="C1497" s="51">
        <f t="shared" si="308"/>
        <v>409116.26</v>
      </c>
      <c r="D1497" s="51">
        <f t="shared" si="311"/>
        <v>0</v>
      </c>
      <c r="E1497" s="51"/>
      <c r="F1497" s="51"/>
      <c r="G1497" s="51"/>
      <c r="H1497" s="51"/>
      <c r="I1497" s="51"/>
      <c r="J1497" s="51"/>
      <c r="K1497" s="51"/>
      <c r="L1497" s="51"/>
      <c r="M1497" s="35"/>
      <c r="N1497" s="51"/>
      <c r="O1497" s="82"/>
      <c r="P1497" s="51"/>
      <c r="Q1497" s="338"/>
      <c r="R1497" s="51"/>
      <c r="S1497" s="51"/>
      <c r="T1497" s="338"/>
      <c r="U1497" s="51"/>
      <c r="V1497" s="35"/>
      <c r="W1497" s="364">
        <f t="shared" si="313"/>
        <v>409116.26</v>
      </c>
      <c r="X1497" s="285">
        <f>98323.43+116681.69+97055.57+97055.57</f>
        <v>409116.26</v>
      </c>
      <c r="Y1497" s="9"/>
      <c r="Z1497" s="306"/>
      <c r="AA1497" s="302"/>
      <c r="AB1497" s="302"/>
      <c r="AC1497" s="56"/>
      <c r="AD1497" s="56" t="s">
        <v>1846</v>
      </c>
      <c r="AE1497" s="56"/>
    </row>
    <row r="1498" spans="1:31" x14ac:dyDescent="0.3">
      <c r="A1498" s="47">
        <f t="shared" si="310"/>
        <v>1386</v>
      </c>
      <c r="B1498" s="414" t="s">
        <v>1848</v>
      </c>
      <c r="C1498" s="51">
        <f t="shared" si="308"/>
        <v>338604.23</v>
      </c>
      <c r="D1498" s="51">
        <f t="shared" si="311"/>
        <v>163891</v>
      </c>
      <c r="E1498" s="51"/>
      <c r="F1498" s="51">
        <f>5502*13</f>
        <v>71526</v>
      </c>
      <c r="G1498" s="51">
        <f>3910*13</f>
        <v>50830</v>
      </c>
      <c r="H1498" s="51"/>
      <c r="I1498" s="51">
        <f>3195*13</f>
        <v>41535</v>
      </c>
      <c r="J1498" s="51"/>
      <c r="K1498" s="51"/>
      <c r="L1498" s="51"/>
      <c r="M1498" s="35">
        <v>13</v>
      </c>
      <c r="N1498" s="51">
        <f>6243*M1498</f>
        <v>81159</v>
      </c>
      <c r="O1498" s="82"/>
      <c r="P1498" s="51"/>
      <c r="Q1498" s="338"/>
      <c r="R1498" s="51"/>
      <c r="S1498" s="51"/>
      <c r="T1498" s="338"/>
      <c r="U1498" s="51"/>
      <c r="V1498" s="35"/>
      <c r="W1498" s="364">
        <f t="shared" si="313"/>
        <v>93554.23</v>
      </c>
      <c r="X1498" s="285"/>
      <c r="Y1498" s="9"/>
      <c r="Z1498" s="306">
        <v>93554.23</v>
      </c>
      <c r="AA1498" s="302"/>
      <c r="AB1498" s="302"/>
      <c r="AC1498" s="56"/>
      <c r="AD1498" s="56"/>
      <c r="AE1498" s="56"/>
    </row>
    <row r="1499" spans="1:31" x14ac:dyDescent="0.3">
      <c r="A1499" s="47">
        <f t="shared" si="310"/>
        <v>1387</v>
      </c>
      <c r="B1499" s="414" t="s">
        <v>1849</v>
      </c>
      <c r="C1499" s="51">
        <f t="shared" si="308"/>
        <v>777297.84</v>
      </c>
      <c r="D1499" s="51">
        <f t="shared" si="311"/>
        <v>0</v>
      </c>
      <c r="E1499" s="51"/>
      <c r="F1499" s="51"/>
      <c r="G1499" s="51"/>
      <c r="H1499" s="51"/>
      <c r="I1499" s="51"/>
      <c r="J1499" s="51"/>
      <c r="K1499" s="51"/>
      <c r="L1499" s="51"/>
      <c r="M1499" s="35">
        <v>1487.6</v>
      </c>
      <c r="N1499" s="51"/>
      <c r="O1499" s="82"/>
      <c r="P1499" s="51"/>
      <c r="Q1499" s="338"/>
      <c r="R1499" s="51"/>
      <c r="S1499" s="51"/>
      <c r="T1499" s="338"/>
      <c r="U1499" s="51"/>
      <c r="V1499" s="35"/>
      <c r="W1499" s="364">
        <f t="shared" si="313"/>
        <v>777297.84</v>
      </c>
      <c r="X1499" s="285">
        <v>226431.67</v>
      </c>
      <c r="Y1499" s="9">
        <v>407341.18</v>
      </c>
      <c r="Z1499" s="306">
        <v>143524.99</v>
      </c>
      <c r="AA1499" s="302"/>
      <c r="AB1499" s="302"/>
      <c r="AC1499" s="56"/>
      <c r="AD1499" s="56" t="s">
        <v>1360</v>
      </c>
      <c r="AE1499" s="56"/>
    </row>
    <row r="1500" spans="1:31" x14ac:dyDescent="0.3">
      <c r="A1500" s="47">
        <f t="shared" si="310"/>
        <v>1388</v>
      </c>
      <c r="B1500" s="414" t="s">
        <v>1850</v>
      </c>
      <c r="C1500" s="51">
        <f t="shared" si="308"/>
        <v>630989.53</v>
      </c>
      <c r="D1500" s="51">
        <f t="shared" si="311"/>
        <v>0</v>
      </c>
      <c r="E1500" s="51"/>
      <c r="F1500" s="51"/>
      <c r="G1500" s="51"/>
      <c r="H1500" s="51"/>
      <c r="I1500" s="51"/>
      <c r="J1500" s="51"/>
      <c r="K1500" s="51"/>
      <c r="L1500" s="51"/>
      <c r="M1500" s="35"/>
      <c r="N1500" s="51"/>
      <c r="O1500" s="82"/>
      <c r="P1500" s="51"/>
      <c r="Q1500" s="338"/>
      <c r="R1500" s="51"/>
      <c r="S1500" s="51"/>
      <c r="T1500" s="338"/>
      <c r="U1500" s="51"/>
      <c r="V1500" s="35"/>
      <c r="W1500" s="364">
        <f t="shared" si="313"/>
        <v>630989.53</v>
      </c>
      <c r="X1500" s="285">
        <f>143191.72+184184.86+141237.5</f>
        <v>468614.07999999996</v>
      </c>
      <c r="Y1500" s="9"/>
      <c r="Z1500" s="306">
        <v>162375.45000000001</v>
      </c>
      <c r="AA1500" s="302"/>
      <c r="AB1500" s="302"/>
      <c r="AC1500" s="56"/>
      <c r="AD1500" s="56" t="s">
        <v>1841</v>
      </c>
      <c r="AE1500" s="56"/>
    </row>
    <row r="1501" spans="1:31" x14ac:dyDescent="0.3">
      <c r="A1501" s="47">
        <f t="shared" si="310"/>
        <v>1389</v>
      </c>
      <c r="B1501" s="414" t="s">
        <v>1851</v>
      </c>
      <c r="C1501" s="51">
        <f t="shared" si="308"/>
        <v>130000</v>
      </c>
      <c r="D1501" s="51"/>
      <c r="E1501" s="51"/>
      <c r="F1501" s="51"/>
      <c r="G1501" s="51"/>
      <c r="H1501" s="51"/>
      <c r="I1501" s="51"/>
      <c r="J1501" s="51"/>
      <c r="K1501" s="51"/>
      <c r="L1501" s="51"/>
      <c r="M1501" s="35"/>
      <c r="N1501" s="51"/>
      <c r="O1501" s="82"/>
      <c r="P1501" s="51"/>
      <c r="Q1501" s="338"/>
      <c r="R1501" s="51"/>
      <c r="S1501" s="51"/>
      <c r="T1501" s="338"/>
      <c r="U1501" s="51"/>
      <c r="V1501" s="35"/>
      <c r="W1501" s="364">
        <v>130000</v>
      </c>
      <c r="X1501" s="285"/>
      <c r="Y1501" s="9"/>
      <c r="Z1501" s="306"/>
      <c r="AA1501" s="302"/>
      <c r="AB1501" s="302"/>
      <c r="AC1501" s="56"/>
      <c r="AD1501" s="56"/>
      <c r="AE1501" s="56"/>
    </row>
    <row r="1502" spans="1:31" x14ac:dyDescent="0.3">
      <c r="A1502" s="47">
        <f t="shared" si="310"/>
        <v>1390</v>
      </c>
      <c r="B1502" s="414" t="s">
        <v>1852</v>
      </c>
      <c r="C1502" s="51">
        <f t="shared" si="308"/>
        <v>319573.38</v>
      </c>
      <c r="D1502" s="51">
        <f t="shared" si="311"/>
        <v>0</v>
      </c>
      <c r="E1502" s="51"/>
      <c r="F1502" s="51"/>
      <c r="G1502" s="51"/>
      <c r="H1502" s="51"/>
      <c r="I1502" s="51"/>
      <c r="J1502" s="51"/>
      <c r="K1502" s="51"/>
      <c r="L1502" s="51"/>
      <c r="M1502" s="35"/>
      <c r="N1502" s="51"/>
      <c r="O1502" s="82"/>
      <c r="P1502" s="51"/>
      <c r="Q1502" s="338"/>
      <c r="R1502" s="51"/>
      <c r="S1502" s="51"/>
      <c r="T1502" s="338"/>
      <c r="U1502" s="51"/>
      <c r="V1502" s="35"/>
      <c r="W1502" s="364">
        <f t="shared" si="313"/>
        <v>319573.38</v>
      </c>
      <c r="X1502" s="285">
        <f>100858.51+119235.19+99479.68</f>
        <v>319573.38</v>
      </c>
      <c r="Y1502" s="9"/>
      <c r="Z1502" s="306"/>
      <c r="AA1502" s="302"/>
      <c r="AB1502" s="302"/>
      <c r="AC1502" s="56"/>
      <c r="AD1502" s="56" t="s">
        <v>1841</v>
      </c>
      <c r="AE1502" s="56"/>
    </row>
    <row r="1503" spans="1:31" x14ac:dyDescent="0.3">
      <c r="A1503" s="47">
        <f t="shared" si="310"/>
        <v>1391</v>
      </c>
      <c r="B1503" s="414" t="s">
        <v>1853</v>
      </c>
      <c r="C1503" s="51">
        <f t="shared" si="308"/>
        <v>729079.54</v>
      </c>
      <c r="D1503" s="51">
        <f t="shared" si="311"/>
        <v>0</v>
      </c>
      <c r="E1503" s="51"/>
      <c r="F1503" s="51"/>
      <c r="G1503" s="51"/>
      <c r="H1503" s="51"/>
      <c r="I1503" s="51"/>
      <c r="J1503" s="51"/>
      <c r="K1503" s="51"/>
      <c r="L1503" s="51"/>
      <c r="M1503" s="35">
        <v>1515.73</v>
      </c>
      <c r="N1503" s="51"/>
      <c r="O1503" s="82"/>
      <c r="P1503" s="51"/>
      <c r="Q1503" s="338"/>
      <c r="R1503" s="51"/>
      <c r="S1503" s="51"/>
      <c r="T1503" s="338"/>
      <c r="U1503" s="51"/>
      <c r="V1503" s="35"/>
      <c r="W1503" s="364">
        <f t="shared" si="313"/>
        <v>729079.54</v>
      </c>
      <c r="X1503" s="285">
        <v>192824.94</v>
      </c>
      <c r="Y1503" s="9">
        <v>353492.6</v>
      </c>
      <c r="Z1503" s="306">
        <v>182762</v>
      </c>
      <c r="AA1503" s="302"/>
      <c r="AB1503" s="302"/>
      <c r="AC1503" s="56"/>
      <c r="AD1503" s="56" t="s">
        <v>1360</v>
      </c>
      <c r="AE1503" s="56"/>
    </row>
    <row r="1504" spans="1:31" x14ac:dyDescent="0.3">
      <c r="A1504" s="47">
        <f t="shared" si="310"/>
        <v>1392</v>
      </c>
      <c r="B1504" s="414" t="s">
        <v>1854</v>
      </c>
      <c r="C1504" s="51">
        <f t="shared" si="308"/>
        <v>729079.54</v>
      </c>
      <c r="D1504" s="51">
        <f t="shared" si="311"/>
        <v>0</v>
      </c>
      <c r="E1504" s="51"/>
      <c r="F1504" s="51"/>
      <c r="G1504" s="51"/>
      <c r="H1504" s="51"/>
      <c r="I1504" s="51"/>
      <c r="J1504" s="51"/>
      <c r="K1504" s="51"/>
      <c r="L1504" s="51"/>
      <c r="M1504" s="35">
        <v>1515.73</v>
      </c>
      <c r="N1504" s="51"/>
      <c r="O1504" s="82"/>
      <c r="P1504" s="51"/>
      <c r="Q1504" s="338"/>
      <c r="R1504" s="51"/>
      <c r="S1504" s="51"/>
      <c r="T1504" s="338"/>
      <c r="U1504" s="51"/>
      <c r="V1504" s="35"/>
      <c r="W1504" s="364">
        <f t="shared" si="313"/>
        <v>729079.54</v>
      </c>
      <c r="X1504" s="285">
        <v>192824.94</v>
      </c>
      <c r="Y1504" s="9">
        <v>353492.6</v>
      </c>
      <c r="Z1504" s="306">
        <v>182762</v>
      </c>
      <c r="AA1504" s="302"/>
      <c r="AB1504" s="302"/>
      <c r="AC1504" s="56"/>
      <c r="AD1504" s="56" t="s">
        <v>1360</v>
      </c>
      <c r="AE1504" s="56"/>
    </row>
    <row r="1505" spans="1:31" x14ac:dyDescent="0.3">
      <c r="A1505" s="47">
        <f t="shared" si="310"/>
        <v>1393</v>
      </c>
      <c r="B1505" s="414" t="s">
        <v>1855</v>
      </c>
      <c r="C1505" s="51">
        <f t="shared" si="308"/>
        <v>512522.64</v>
      </c>
      <c r="D1505" s="51">
        <f t="shared" si="311"/>
        <v>0</v>
      </c>
      <c r="E1505" s="51"/>
      <c r="F1505" s="51"/>
      <c r="G1505" s="51"/>
      <c r="H1505" s="51"/>
      <c r="I1505" s="51"/>
      <c r="J1505" s="51"/>
      <c r="K1505" s="51"/>
      <c r="L1505" s="51"/>
      <c r="M1505" s="35"/>
      <c r="N1505" s="51"/>
      <c r="O1505" s="82"/>
      <c r="P1505" s="51"/>
      <c r="Q1505" s="338"/>
      <c r="R1505" s="51"/>
      <c r="S1505" s="51"/>
      <c r="T1505" s="338"/>
      <c r="U1505" s="51"/>
      <c r="V1505" s="35"/>
      <c r="W1505" s="364">
        <f t="shared" si="313"/>
        <v>512522.64</v>
      </c>
      <c r="X1505" s="285">
        <f>83922.96+102418.88+83387.6+83387.6</f>
        <v>353117.04000000004</v>
      </c>
      <c r="Y1505" s="9">
        <v>159405.6</v>
      </c>
      <c r="Z1505" s="306"/>
      <c r="AA1505" s="302"/>
      <c r="AB1505" s="302"/>
      <c r="AC1505" s="56"/>
      <c r="AD1505" s="56" t="s">
        <v>1349</v>
      </c>
      <c r="AE1505" s="56"/>
    </row>
    <row r="1506" spans="1:31" x14ac:dyDescent="0.3">
      <c r="A1506" s="47">
        <f t="shared" si="310"/>
        <v>1394</v>
      </c>
      <c r="B1506" s="414" t="s">
        <v>1857</v>
      </c>
      <c r="C1506" s="51">
        <f t="shared" si="308"/>
        <v>130000</v>
      </c>
      <c r="D1506" s="51"/>
      <c r="E1506" s="51"/>
      <c r="F1506" s="51"/>
      <c r="G1506" s="51"/>
      <c r="H1506" s="51"/>
      <c r="I1506" s="51"/>
      <c r="J1506" s="51"/>
      <c r="K1506" s="51"/>
      <c r="L1506" s="51"/>
      <c r="M1506" s="35"/>
      <c r="N1506" s="51"/>
      <c r="O1506" s="82"/>
      <c r="P1506" s="51"/>
      <c r="Q1506" s="338"/>
      <c r="R1506" s="51"/>
      <c r="S1506" s="51"/>
      <c r="T1506" s="338"/>
      <c r="U1506" s="51"/>
      <c r="V1506" s="35"/>
      <c r="W1506" s="364">
        <v>130000</v>
      </c>
      <c r="X1506" s="285"/>
      <c r="Y1506" s="9"/>
      <c r="Z1506" s="306"/>
      <c r="AA1506" s="302"/>
      <c r="AB1506" s="302"/>
      <c r="AC1506" s="56"/>
      <c r="AD1506" s="56"/>
      <c r="AE1506" s="56"/>
    </row>
    <row r="1507" spans="1:31" x14ac:dyDescent="0.3">
      <c r="A1507" s="47">
        <f t="shared" si="310"/>
        <v>1395</v>
      </c>
      <c r="B1507" s="414" t="s">
        <v>1856</v>
      </c>
      <c r="C1507" s="51">
        <f t="shared" si="308"/>
        <v>651136.30000000005</v>
      </c>
      <c r="D1507" s="51">
        <f t="shared" si="311"/>
        <v>0</v>
      </c>
      <c r="E1507" s="51"/>
      <c r="F1507" s="51"/>
      <c r="G1507" s="51"/>
      <c r="H1507" s="51"/>
      <c r="I1507" s="51"/>
      <c r="J1507" s="51"/>
      <c r="K1507" s="51"/>
      <c r="L1507" s="51"/>
      <c r="M1507" s="35">
        <v>1560.6</v>
      </c>
      <c r="N1507" s="51"/>
      <c r="O1507" s="82"/>
      <c r="P1507" s="51"/>
      <c r="Q1507" s="338"/>
      <c r="R1507" s="51"/>
      <c r="S1507" s="51"/>
      <c r="T1507" s="338"/>
      <c r="U1507" s="51"/>
      <c r="V1507" s="35"/>
      <c r="W1507" s="364">
        <f t="shared" si="313"/>
        <v>651136.30000000005</v>
      </c>
      <c r="X1507" s="285"/>
      <c r="Y1507" s="9">
        <v>421146.77</v>
      </c>
      <c r="Z1507" s="306">
        <v>229989.53</v>
      </c>
      <c r="AA1507" s="302"/>
      <c r="AB1507" s="302"/>
      <c r="AC1507" s="56"/>
      <c r="AD1507" s="56" t="s">
        <v>1813</v>
      </c>
      <c r="AE1507" s="56"/>
    </row>
    <row r="1508" spans="1:31" x14ac:dyDescent="0.3">
      <c r="A1508" s="47">
        <f t="shared" si="310"/>
        <v>1396</v>
      </c>
      <c r="B1508" s="414" t="s">
        <v>1858</v>
      </c>
      <c r="C1508" s="51">
        <f t="shared" si="308"/>
        <v>495561.4</v>
      </c>
      <c r="D1508" s="51">
        <f t="shared" si="311"/>
        <v>0</v>
      </c>
      <c r="E1508" s="51"/>
      <c r="F1508" s="51"/>
      <c r="G1508" s="51"/>
      <c r="H1508" s="51"/>
      <c r="I1508" s="51"/>
      <c r="J1508" s="51"/>
      <c r="K1508" s="51"/>
      <c r="L1508" s="51"/>
      <c r="M1508" s="35"/>
      <c r="N1508" s="51"/>
      <c r="O1508" s="82"/>
      <c r="P1508" s="51"/>
      <c r="Q1508" s="338"/>
      <c r="R1508" s="51"/>
      <c r="S1508" s="51"/>
      <c r="T1508" s="338"/>
      <c r="U1508" s="51"/>
      <c r="V1508" s="35"/>
      <c r="W1508" s="364">
        <f t="shared" si="313"/>
        <v>495561.4</v>
      </c>
      <c r="X1508" s="285">
        <v>261603.05</v>
      </c>
      <c r="Y1508" s="9"/>
      <c r="Z1508" s="306">
        <v>233958.35</v>
      </c>
      <c r="AA1508" s="302"/>
      <c r="AB1508" s="302"/>
      <c r="AC1508" s="56"/>
      <c r="AD1508" s="56" t="s">
        <v>1360</v>
      </c>
      <c r="AE1508" s="56"/>
    </row>
    <row r="1509" spans="1:31" x14ac:dyDescent="0.3">
      <c r="A1509" s="47">
        <f t="shared" si="310"/>
        <v>1397</v>
      </c>
      <c r="B1509" s="414" t="s">
        <v>1859</v>
      </c>
      <c r="C1509" s="51">
        <f t="shared" si="308"/>
        <v>286138.57999999996</v>
      </c>
      <c r="D1509" s="51">
        <f t="shared" si="311"/>
        <v>0</v>
      </c>
      <c r="E1509" s="51"/>
      <c r="F1509" s="51"/>
      <c r="G1509" s="51"/>
      <c r="H1509" s="51"/>
      <c r="I1509" s="51"/>
      <c r="J1509" s="51"/>
      <c r="K1509" s="51"/>
      <c r="L1509" s="51"/>
      <c r="M1509" s="35"/>
      <c r="N1509" s="51"/>
      <c r="O1509" s="82"/>
      <c r="P1509" s="51"/>
      <c r="Q1509" s="338"/>
      <c r="R1509" s="51"/>
      <c r="S1509" s="51"/>
      <c r="T1509" s="338"/>
      <c r="U1509" s="51"/>
      <c r="V1509" s="35"/>
      <c r="W1509" s="364">
        <f t="shared" si="313"/>
        <v>286138.57999999996</v>
      </c>
      <c r="X1509" s="285">
        <f>144670.06+141468.52</f>
        <v>286138.57999999996</v>
      </c>
      <c r="Y1509" s="9"/>
      <c r="Z1509" s="306"/>
      <c r="AA1509" s="302"/>
      <c r="AB1509" s="302"/>
      <c r="AC1509" s="56"/>
      <c r="AD1509" s="56" t="s">
        <v>1860</v>
      </c>
      <c r="AE1509" s="56"/>
    </row>
    <row r="1510" spans="1:31" x14ac:dyDescent="0.3">
      <c r="A1510" s="47">
        <f t="shared" si="310"/>
        <v>1398</v>
      </c>
      <c r="B1510" s="414" t="s">
        <v>1861</v>
      </c>
      <c r="C1510" s="51">
        <f t="shared" si="308"/>
        <v>449678.81999999995</v>
      </c>
      <c r="D1510" s="51">
        <f t="shared" si="311"/>
        <v>0</v>
      </c>
      <c r="E1510" s="51"/>
      <c r="F1510" s="51"/>
      <c r="G1510" s="51"/>
      <c r="H1510" s="51"/>
      <c r="I1510" s="51"/>
      <c r="J1510" s="51"/>
      <c r="K1510" s="51"/>
      <c r="L1510" s="51"/>
      <c r="M1510" s="35"/>
      <c r="N1510" s="51"/>
      <c r="O1510" s="82"/>
      <c r="P1510" s="51"/>
      <c r="Q1510" s="338"/>
      <c r="R1510" s="51"/>
      <c r="S1510" s="51"/>
      <c r="T1510" s="338"/>
      <c r="U1510" s="51"/>
      <c r="V1510" s="35"/>
      <c r="W1510" s="364">
        <f t="shared" si="313"/>
        <v>449678.81999999995</v>
      </c>
      <c r="X1510" s="285">
        <v>224577.74</v>
      </c>
      <c r="Y1510" s="9"/>
      <c r="Z1510" s="306">
        <v>225101.08</v>
      </c>
      <c r="AA1510" s="302"/>
      <c r="AB1510" s="302"/>
      <c r="AC1510" s="56"/>
      <c r="AD1510" s="56" t="s">
        <v>1360</v>
      </c>
      <c r="AE1510" s="56"/>
    </row>
    <row r="1511" spans="1:31" x14ac:dyDescent="0.3">
      <c r="A1511" s="47">
        <f t="shared" si="310"/>
        <v>1399</v>
      </c>
      <c r="B1511" s="414" t="s">
        <v>1862</v>
      </c>
      <c r="C1511" s="51">
        <f t="shared" si="308"/>
        <v>130000</v>
      </c>
      <c r="D1511" s="51">
        <f t="shared" si="311"/>
        <v>0</v>
      </c>
      <c r="E1511" s="51"/>
      <c r="F1511" s="51"/>
      <c r="G1511" s="51"/>
      <c r="H1511" s="51"/>
      <c r="I1511" s="51"/>
      <c r="J1511" s="51"/>
      <c r="K1511" s="51"/>
      <c r="L1511" s="51"/>
      <c r="M1511" s="35"/>
      <c r="N1511" s="51"/>
      <c r="O1511" s="82"/>
      <c r="P1511" s="51"/>
      <c r="Q1511" s="338"/>
      <c r="R1511" s="51"/>
      <c r="S1511" s="51"/>
      <c r="T1511" s="338"/>
      <c r="U1511" s="51"/>
      <c r="V1511" s="35"/>
      <c r="W1511" s="364">
        <v>130000</v>
      </c>
      <c r="X1511" s="285"/>
      <c r="Y1511" s="9"/>
      <c r="Z1511" s="40"/>
      <c r="AA1511" s="56"/>
      <c r="AB1511" s="56"/>
      <c r="AC1511" s="56"/>
      <c r="AD1511" s="56"/>
      <c r="AE1511" s="56"/>
    </row>
    <row r="1512" spans="1:31" x14ac:dyDescent="0.3">
      <c r="A1512" s="47">
        <f t="shared" si="310"/>
        <v>1400</v>
      </c>
      <c r="B1512" s="414" t="s">
        <v>1863</v>
      </c>
      <c r="C1512" s="51">
        <f t="shared" si="308"/>
        <v>170356.88</v>
      </c>
      <c r="D1512" s="51">
        <f t="shared" si="311"/>
        <v>0</v>
      </c>
      <c r="E1512" s="51"/>
      <c r="F1512" s="51"/>
      <c r="G1512" s="51"/>
      <c r="H1512" s="51"/>
      <c r="I1512" s="51"/>
      <c r="J1512" s="51"/>
      <c r="K1512" s="51"/>
      <c r="L1512" s="51"/>
      <c r="M1512" s="35"/>
      <c r="N1512" s="51"/>
      <c r="O1512" s="82"/>
      <c r="P1512" s="51"/>
      <c r="Q1512" s="338"/>
      <c r="R1512" s="51"/>
      <c r="S1512" s="51"/>
      <c r="T1512" s="338"/>
      <c r="U1512" s="51"/>
      <c r="V1512" s="35"/>
      <c r="W1512" s="364">
        <f>SUM(X1512:AB1512)</f>
        <v>170356.88</v>
      </c>
      <c r="X1512" s="285"/>
      <c r="Y1512" s="9"/>
      <c r="Z1512" s="306">
        <v>170356.88</v>
      </c>
      <c r="AA1512" s="302"/>
      <c r="AB1512" s="302"/>
      <c r="AC1512" s="56"/>
      <c r="AD1512" s="56" t="s">
        <v>1813</v>
      </c>
      <c r="AE1512" s="56"/>
    </row>
    <row r="1513" spans="1:31" x14ac:dyDescent="0.3">
      <c r="A1513" s="47">
        <f t="shared" si="310"/>
        <v>1401</v>
      </c>
      <c r="B1513" s="414" t="s">
        <v>1864</v>
      </c>
      <c r="C1513" s="51">
        <f t="shared" si="308"/>
        <v>130000</v>
      </c>
      <c r="D1513" s="51">
        <f t="shared" si="311"/>
        <v>0</v>
      </c>
      <c r="E1513" s="51"/>
      <c r="F1513" s="51"/>
      <c r="G1513" s="51"/>
      <c r="H1513" s="51"/>
      <c r="I1513" s="51"/>
      <c r="J1513" s="51"/>
      <c r="K1513" s="51"/>
      <c r="L1513" s="51"/>
      <c r="M1513" s="35"/>
      <c r="N1513" s="51"/>
      <c r="O1513" s="82"/>
      <c r="P1513" s="51"/>
      <c r="Q1513" s="338"/>
      <c r="R1513" s="51"/>
      <c r="S1513" s="51"/>
      <c r="T1513" s="338"/>
      <c r="U1513" s="51"/>
      <c r="V1513" s="35"/>
      <c r="W1513" s="364">
        <v>130000</v>
      </c>
      <c r="X1513" s="285"/>
      <c r="Y1513" s="9"/>
      <c r="Z1513" s="306"/>
      <c r="AA1513" s="302"/>
      <c r="AB1513" s="302"/>
      <c r="AC1513" s="56"/>
      <c r="AD1513" s="56"/>
      <c r="AE1513" s="56"/>
    </row>
    <row r="1514" spans="1:31" x14ac:dyDescent="0.3">
      <c r="A1514" s="47">
        <f t="shared" si="310"/>
        <v>1402</v>
      </c>
      <c r="B1514" s="414" t="s">
        <v>1865</v>
      </c>
      <c r="C1514" s="51">
        <f t="shared" si="308"/>
        <v>478113.87</v>
      </c>
      <c r="D1514" s="51">
        <f t="shared" si="311"/>
        <v>0</v>
      </c>
      <c r="E1514" s="51"/>
      <c r="F1514" s="51"/>
      <c r="G1514" s="51"/>
      <c r="H1514" s="51"/>
      <c r="I1514" s="51"/>
      <c r="J1514" s="51"/>
      <c r="K1514" s="51"/>
      <c r="L1514" s="51"/>
      <c r="M1514" s="35"/>
      <c r="N1514" s="51"/>
      <c r="O1514" s="82"/>
      <c r="P1514" s="51"/>
      <c r="Q1514" s="338"/>
      <c r="R1514" s="51"/>
      <c r="S1514" s="51"/>
      <c r="T1514" s="338"/>
      <c r="U1514" s="51"/>
      <c r="V1514" s="35"/>
      <c r="W1514" s="364">
        <f t="shared" ref="W1514:W1545" si="314">SUM(X1514:AB1514)</f>
        <v>478113.87</v>
      </c>
      <c r="X1514" s="285">
        <f>146413.46+187459.99+144240.42</f>
        <v>478113.87</v>
      </c>
      <c r="Y1514" s="9"/>
      <c r="Z1514" s="306"/>
      <c r="AA1514" s="302"/>
      <c r="AB1514" s="302"/>
      <c r="AC1514" s="56"/>
      <c r="AD1514" s="56" t="s">
        <v>1408</v>
      </c>
      <c r="AE1514" s="56"/>
    </row>
    <row r="1515" spans="1:31" x14ac:dyDescent="0.3">
      <c r="A1515" s="47">
        <f t="shared" si="310"/>
        <v>1403</v>
      </c>
      <c r="B1515" s="414" t="s">
        <v>1866</v>
      </c>
      <c r="C1515" s="51">
        <f t="shared" si="308"/>
        <v>546982.55000000005</v>
      </c>
      <c r="D1515" s="51">
        <f t="shared" si="311"/>
        <v>0</v>
      </c>
      <c r="E1515" s="51"/>
      <c r="F1515" s="51"/>
      <c r="G1515" s="51"/>
      <c r="H1515" s="51"/>
      <c r="I1515" s="51"/>
      <c r="J1515" s="51"/>
      <c r="K1515" s="51"/>
      <c r="L1515" s="51"/>
      <c r="M1515" s="35"/>
      <c r="N1515" s="51"/>
      <c r="O1515" s="82"/>
      <c r="P1515" s="51"/>
      <c r="Q1515" s="338"/>
      <c r="R1515" s="51"/>
      <c r="S1515" s="51"/>
      <c r="T1515" s="338"/>
      <c r="U1515" s="51"/>
      <c r="V1515" s="35"/>
      <c r="W1515" s="364">
        <f t="shared" si="314"/>
        <v>546982.55000000005</v>
      </c>
      <c r="X1515" s="285">
        <f>91021.74+108936.23+88983.7+88983.7</f>
        <v>377925.37</v>
      </c>
      <c r="Y1515" s="9">
        <v>169057.18</v>
      </c>
      <c r="Z1515" s="306"/>
      <c r="AA1515" s="302"/>
      <c r="AB1515" s="302"/>
      <c r="AC1515" s="56"/>
      <c r="AD1515" s="56" t="s">
        <v>1867</v>
      </c>
      <c r="AE1515" s="56"/>
    </row>
    <row r="1516" spans="1:31" x14ac:dyDescent="0.3">
      <c r="A1516" s="47">
        <f t="shared" si="310"/>
        <v>1404</v>
      </c>
      <c r="B1516" s="414" t="s">
        <v>1868</v>
      </c>
      <c r="C1516" s="51">
        <f t="shared" si="308"/>
        <v>455103.37</v>
      </c>
      <c r="D1516" s="51">
        <f t="shared" si="311"/>
        <v>0</v>
      </c>
      <c r="E1516" s="51"/>
      <c r="F1516" s="51"/>
      <c r="G1516" s="51"/>
      <c r="H1516" s="51"/>
      <c r="I1516" s="51"/>
      <c r="J1516" s="51"/>
      <c r="K1516" s="51"/>
      <c r="L1516" s="51"/>
      <c r="M1516" s="35"/>
      <c r="N1516" s="51"/>
      <c r="O1516" s="82"/>
      <c r="P1516" s="51"/>
      <c r="Q1516" s="338"/>
      <c r="R1516" s="51"/>
      <c r="S1516" s="51"/>
      <c r="T1516" s="338"/>
      <c r="U1516" s="51"/>
      <c r="V1516" s="35"/>
      <c r="W1516" s="364">
        <f t="shared" si="314"/>
        <v>455103.37</v>
      </c>
      <c r="X1516" s="285">
        <v>229710.91</v>
      </c>
      <c r="Y1516" s="9"/>
      <c r="Z1516" s="306">
        <v>225392.46</v>
      </c>
      <c r="AA1516" s="302"/>
      <c r="AB1516" s="302"/>
      <c r="AC1516" s="56"/>
      <c r="AD1516" s="56" t="s">
        <v>1360</v>
      </c>
      <c r="AE1516" s="56"/>
    </row>
    <row r="1517" spans="1:31" x14ac:dyDescent="0.3">
      <c r="A1517" s="47">
        <f t="shared" si="310"/>
        <v>1405</v>
      </c>
      <c r="B1517" s="414" t="s">
        <v>1869</v>
      </c>
      <c r="C1517" s="51">
        <f t="shared" si="308"/>
        <v>859792.65999999992</v>
      </c>
      <c r="D1517" s="51">
        <f t="shared" si="311"/>
        <v>0</v>
      </c>
      <c r="E1517" s="51"/>
      <c r="F1517" s="51"/>
      <c r="G1517" s="51"/>
      <c r="H1517" s="51"/>
      <c r="I1517" s="51"/>
      <c r="J1517" s="51"/>
      <c r="K1517" s="51"/>
      <c r="L1517" s="51"/>
      <c r="M1517" s="35"/>
      <c r="N1517" s="51"/>
      <c r="O1517" s="82"/>
      <c r="P1517" s="51"/>
      <c r="Q1517" s="338"/>
      <c r="R1517" s="51"/>
      <c r="S1517" s="51"/>
      <c r="T1517" s="338"/>
      <c r="U1517" s="51"/>
      <c r="V1517" s="35"/>
      <c r="W1517" s="364">
        <f t="shared" si="314"/>
        <v>859792.65999999992</v>
      </c>
      <c r="X1517" s="285">
        <v>227428.31</v>
      </c>
      <c r="Y1517" s="9">
        <v>408938.11</v>
      </c>
      <c r="Z1517" s="306">
        <v>223426.24</v>
      </c>
      <c r="AA1517" s="302"/>
      <c r="AB1517" s="302"/>
      <c r="AC1517" s="56"/>
      <c r="AD1517" s="56" t="s">
        <v>1360</v>
      </c>
      <c r="AE1517" s="56"/>
    </row>
    <row r="1518" spans="1:31" x14ac:dyDescent="0.3">
      <c r="A1518" s="47">
        <f t="shared" si="310"/>
        <v>1406</v>
      </c>
      <c r="B1518" s="414" t="s">
        <v>1870</v>
      </c>
      <c r="C1518" s="51">
        <f t="shared" si="308"/>
        <v>332336.62</v>
      </c>
      <c r="D1518" s="51">
        <f t="shared" si="311"/>
        <v>0</v>
      </c>
      <c r="E1518" s="51"/>
      <c r="F1518" s="51"/>
      <c r="G1518" s="51"/>
      <c r="H1518" s="51"/>
      <c r="I1518" s="51"/>
      <c r="J1518" s="51"/>
      <c r="K1518" s="51"/>
      <c r="L1518" s="51"/>
      <c r="M1518" s="35"/>
      <c r="N1518" s="51"/>
      <c r="O1518" s="82"/>
      <c r="P1518" s="51"/>
      <c r="Q1518" s="338"/>
      <c r="R1518" s="51"/>
      <c r="S1518" s="51"/>
      <c r="T1518" s="338"/>
      <c r="U1518" s="51"/>
      <c r="V1518" s="35"/>
      <c r="W1518" s="364">
        <f t="shared" si="314"/>
        <v>332336.62</v>
      </c>
      <c r="X1518" s="285">
        <v>167201.92000000001</v>
      </c>
      <c r="Y1518" s="9"/>
      <c r="Z1518" s="306">
        <v>165134.70000000001</v>
      </c>
      <c r="AA1518" s="302"/>
      <c r="AB1518" s="302"/>
      <c r="AC1518" s="56"/>
      <c r="AD1518" s="56" t="s">
        <v>1360</v>
      </c>
      <c r="AE1518" s="56"/>
    </row>
    <row r="1519" spans="1:31" x14ac:dyDescent="0.3">
      <c r="A1519" s="47">
        <f t="shared" si="310"/>
        <v>1407</v>
      </c>
      <c r="B1519" s="414" t="s">
        <v>1871</v>
      </c>
      <c r="C1519" s="51">
        <f t="shared" si="308"/>
        <v>653043.16999999993</v>
      </c>
      <c r="D1519" s="51">
        <f t="shared" si="311"/>
        <v>0</v>
      </c>
      <c r="E1519" s="51"/>
      <c r="F1519" s="51"/>
      <c r="G1519" s="51"/>
      <c r="H1519" s="51"/>
      <c r="I1519" s="51"/>
      <c r="J1519" s="51"/>
      <c r="K1519" s="51"/>
      <c r="L1519" s="51"/>
      <c r="M1519" s="35"/>
      <c r="N1519" s="51"/>
      <c r="O1519" s="82"/>
      <c r="P1519" s="51"/>
      <c r="Q1519" s="338"/>
      <c r="R1519" s="51"/>
      <c r="S1519" s="51"/>
      <c r="T1519" s="338"/>
      <c r="U1519" s="51"/>
      <c r="V1519" s="35"/>
      <c r="W1519" s="364">
        <f t="shared" si="314"/>
        <v>653043.16999999993</v>
      </c>
      <c r="X1519" s="285">
        <v>233836.74</v>
      </c>
      <c r="Y1519" s="9">
        <v>419206.43</v>
      </c>
      <c r="Z1519" s="306"/>
      <c r="AA1519" s="302"/>
      <c r="AB1519" s="302"/>
      <c r="AC1519" s="56"/>
      <c r="AD1519" s="56" t="s">
        <v>1360</v>
      </c>
      <c r="AE1519" s="56"/>
    </row>
    <row r="1520" spans="1:31" x14ac:dyDescent="0.3">
      <c r="A1520" s="47">
        <f t="shared" si="310"/>
        <v>1408</v>
      </c>
      <c r="B1520" s="414" t="s">
        <v>1872</v>
      </c>
      <c r="C1520" s="51">
        <f t="shared" si="308"/>
        <v>263624.31</v>
      </c>
      <c r="D1520" s="51">
        <f t="shared" si="311"/>
        <v>0</v>
      </c>
      <c r="E1520" s="51"/>
      <c r="F1520" s="51"/>
      <c r="G1520" s="51"/>
      <c r="H1520" s="51"/>
      <c r="I1520" s="51"/>
      <c r="J1520" s="51"/>
      <c r="K1520" s="51"/>
      <c r="L1520" s="51"/>
      <c r="M1520" s="35"/>
      <c r="N1520" s="51"/>
      <c r="O1520" s="82"/>
      <c r="P1520" s="51"/>
      <c r="Q1520" s="338"/>
      <c r="R1520" s="51"/>
      <c r="S1520" s="51"/>
      <c r="T1520" s="338"/>
      <c r="U1520" s="51"/>
      <c r="V1520" s="35"/>
      <c r="W1520" s="364">
        <f t="shared" si="314"/>
        <v>263624.31</v>
      </c>
      <c r="X1520" s="285">
        <v>134773.91</v>
      </c>
      <c r="Y1520" s="9"/>
      <c r="Z1520" s="306">
        <v>128850.4</v>
      </c>
      <c r="AA1520" s="302"/>
      <c r="AB1520" s="302"/>
      <c r="AC1520" s="56"/>
      <c r="AD1520" s="56" t="s">
        <v>1360</v>
      </c>
      <c r="AE1520" s="56"/>
    </row>
    <row r="1521" spans="1:31" x14ac:dyDescent="0.3">
      <c r="A1521" s="47">
        <f t="shared" si="310"/>
        <v>1409</v>
      </c>
      <c r="B1521" s="414" t="s">
        <v>1873</v>
      </c>
      <c r="C1521" s="51">
        <f t="shared" si="308"/>
        <v>605825.9</v>
      </c>
      <c r="D1521" s="51">
        <f t="shared" si="311"/>
        <v>0</v>
      </c>
      <c r="E1521" s="51"/>
      <c r="F1521" s="51"/>
      <c r="G1521" s="51"/>
      <c r="H1521" s="51"/>
      <c r="I1521" s="51"/>
      <c r="J1521" s="51"/>
      <c r="K1521" s="51"/>
      <c r="L1521" s="51"/>
      <c r="M1521" s="35"/>
      <c r="N1521" s="51"/>
      <c r="O1521" s="82"/>
      <c r="P1521" s="51"/>
      <c r="Q1521" s="338"/>
      <c r="R1521" s="51"/>
      <c r="S1521" s="51"/>
      <c r="T1521" s="338"/>
      <c r="U1521" s="51"/>
      <c r="V1521" s="35"/>
      <c r="W1521" s="364">
        <f t="shared" si="314"/>
        <v>605825.9</v>
      </c>
      <c r="X1521" s="285">
        <f>112954.43+147382.82+111006.18</f>
        <v>371343.43</v>
      </c>
      <c r="Y1521" s="9"/>
      <c r="Z1521" s="306">
        <v>234482.47</v>
      </c>
      <c r="AA1521" s="302"/>
      <c r="AB1521" s="302"/>
      <c r="AC1521" s="56"/>
      <c r="AD1521" s="56" t="s">
        <v>1874</v>
      </c>
      <c r="AE1521" s="56"/>
    </row>
    <row r="1522" spans="1:31" x14ac:dyDescent="0.3">
      <c r="A1522" s="47">
        <f t="shared" si="310"/>
        <v>1410</v>
      </c>
      <c r="B1522" s="414" t="s">
        <v>1875</v>
      </c>
      <c r="C1522" s="51">
        <f t="shared" si="308"/>
        <v>255851.59</v>
      </c>
      <c r="D1522" s="51">
        <f t="shared" si="311"/>
        <v>0</v>
      </c>
      <c r="E1522" s="51"/>
      <c r="F1522" s="51"/>
      <c r="G1522" s="51"/>
      <c r="H1522" s="51"/>
      <c r="I1522" s="51"/>
      <c r="J1522" s="51"/>
      <c r="K1522" s="51"/>
      <c r="L1522" s="51"/>
      <c r="M1522" s="35"/>
      <c r="N1522" s="51"/>
      <c r="O1522" s="82"/>
      <c r="P1522" s="51"/>
      <c r="Q1522" s="338"/>
      <c r="R1522" s="51"/>
      <c r="S1522" s="51"/>
      <c r="T1522" s="338"/>
      <c r="U1522" s="51"/>
      <c r="V1522" s="35"/>
      <c r="W1522" s="364">
        <f t="shared" si="314"/>
        <v>255851.59</v>
      </c>
      <c r="X1522" s="285"/>
      <c r="Y1522" s="9"/>
      <c r="Z1522" s="306">
        <v>255851.59</v>
      </c>
      <c r="AA1522" s="302"/>
      <c r="AB1522" s="302"/>
      <c r="AC1522" s="56"/>
      <c r="AD1522" s="56" t="s">
        <v>1813</v>
      </c>
      <c r="AE1522" s="56"/>
    </row>
    <row r="1523" spans="1:31" x14ac:dyDescent="0.3">
      <c r="A1523" s="47">
        <f t="shared" si="310"/>
        <v>1411</v>
      </c>
      <c r="B1523" s="414" t="s">
        <v>1876</v>
      </c>
      <c r="C1523" s="51">
        <f t="shared" si="308"/>
        <v>404456.35</v>
      </c>
      <c r="D1523" s="51">
        <f t="shared" si="311"/>
        <v>0</v>
      </c>
      <c r="E1523" s="51"/>
      <c r="F1523" s="51"/>
      <c r="G1523" s="51"/>
      <c r="H1523" s="51"/>
      <c r="I1523" s="51"/>
      <c r="J1523" s="51"/>
      <c r="K1523" s="51"/>
      <c r="L1523" s="51"/>
      <c r="M1523" s="35"/>
      <c r="N1523" s="51"/>
      <c r="O1523" s="82"/>
      <c r="P1523" s="51"/>
      <c r="Q1523" s="338"/>
      <c r="R1523" s="51"/>
      <c r="S1523" s="51"/>
      <c r="T1523" s="338"/>
      <c r="U1523" s="51"/>
      <c r="V1523" s="35"/>
      <c r="W1523" s="364">
        <f t="shared" si="314"/>
        <v>404456.35</v>
      </c>
      <c r="X1523" s="285">
        <v>209821.21</v>
      </c>
      <c r="Y1523" s="9"/>
      <c r="Z1523" s="306">
        <v>194635.14</v>
      </c>
      <c r="AA1523" s="302"/>
      <c r="AB1523" s="302"/>
      <c r="AC1523" s="56"/>
      <c r="AD1523" s="56" t="s">
        <v>1360</v>
      </c>
      <c r="AE1523" s="56"/>
    </row>
    <row r="1524" spans="1:31" x14ac:dyDescent="0.3">
      <c r="A1524" s="47">
        <f t="shared" si="310"/>
        <v>1412</v>
      </c>
      <c r="B1524" s="414" t="s">
        <v>1877</v>
      </c>
      <c r="C1524" s="51">
        <f t="shared" si="308"/>
        <v>405129.02</v>
      </c>
      <c r="D1524" s="51">
        <f t="shared" si="311"/>
        <v>0</v>
      </c>
      <c r="E1524" s="51"/>
      <c r="F1524" s="51"/>
      <c r="G1524" s="51"/>
      <c r="H1524" s="51"/>
      <c r="I1524" s="51"/>
      <c r="J1524" s="51"/>
      <c r="K1524" s="51"/>
      <c r="L1524" s="51"/>
      <c r="M1524" s="35"/>
      <c r="N1524" s="51"/>
      <c r="O1524" s="82"/>
      <c r="P1524" s="51"/>
      <c r="Q1524" s="338"/>
      <c r="R1524" s="51"/>
      <c r="S1524" s="51"/>
      <c r="T1524" s="338"/>
      <c r="U1524" s="51"/>
      <c r="V1524" s="35"/>
      <c r="W1524" s="364">
        <f t="shared" si="314"/>
        <v>405129.02</v>
      </c>
      <c r="X1524" s="285">
        <v>211278.66</v>
      </c>
      <c r="Y1524" s="9"/>
      <c r="Z1524" s="306">
        <v>193850.36</v>
      </c>
      <c r="AA1524" s="302"/>
      <c r="AB1524" s="302"/>
      <c r="AC1524" s="56"/>
      <c r="AD1524" s="56" t="s">
        <v>1360</v>
      </c>
      <c r="AE1524" s="56"/>
    </row>
    <row r="1525" spans="1:31" x14ac:dyDescent="0.3">
      <c r="A1525" s="47">
        <f t="shared" si="310"/>
        <v>1413</v>
      </c>
      <c r="B1525" s="414" t="s">
        <v>1878</v>
      </c>
      <c r="C1525" s="51">
        <f t="shared" si="308"/>
        <v>408228.32999999996</v>
      </c>
      <c r="D1525" s="51">
        <f t="shared" si="311"/>
        <v>0</v>
      </c>
      <c r="E1525" s="51"/>
      <c r="F1525" s="51"/>
      <c r="G1525" s="51"/>
      <c r="H1525" s="51"/>
      <c r="I1525" s="51"/>
      <c r="J1525" s="51"/>
      <c r="K1525" s="51"/>
      <c r="L1525" s="51"/>
      <c r="M1525" s="35"/>
      <c r="N1525" s="51"/>
      <c r="O1525" s="82"/>
      <c r="P1525" s="51"/>
      <c r="Q1525" s="338"/>
      <c r="R1525" s="51"/>
      <c r="S1525" s="51"/>
      <c r="T1525" s="338"/>
      <c r="U1525" s="51"/>
      <c r="V1525" s="35"/>
      <c r="W1525" s="364">
        <f t="shared" si="314"/>
        <v>408228.32999999996</v>
      </c>
      <c r="X1525" s="285">
        <v>211910.9</v>
      </c>
      <c r="Y1525" s="9"/>
      <c r="Z1525" s="306">
        <v>196317.43</v>
      </c>
      <c r="AA1525" s="302"/>
      <c r="AB1525" s="302"/>
      <c r="AC1525" s="56"/>
      <c r="AD1525" s="56" t="s">
        <v>1360</v>
      </c>
      <c r="AE1525" s="56"/>
    </row>
    <row r="1526" spans="1:31" x14ac:dyDescent="0.3">
      <c r="A1526" s="47">
        <f t="shared" si="310"/>
        <v>1414</v>
      </c>
      <c r="B1526" s="414" t="s">
        <v>1879</v>
      </c>
      <c r="C1526" s="51">
        <f t="shared" ref="C1526:C1573" si="315">D1526+K1526+L1526+N1526+P1526+R1526+U1526+S1526+V1526+W1526</f>
        <v>278774.56</v>
      </c>
      <c r="D1526" s="51">
        <f t="shared" si="311"/>
        <v>0</v>
      </c>
      <c r="E1526" s="51"/>
      <c r="F1526" s="51"/>
      <c r="G1526" s="51"/>
      <c r="H1526" s="51"/>
      <c r="I1526" s="51"/>
      <c r="J1526" s="51"/>
      <c r="K1526" s="51"/>
      <c r="L1526" s="51"/>
      <c r="M1526" s="35"/>
      <c r="N1526" s="51"/>
      <c r="O1526" s="82"/>
      <c r="P1526" s="51"/>
      <c r="Q1526" s="338"/>
      <c r="R1526" s="51"/>
      <c r="S1526" s="51"/>
      <c r="T1526" s="338"/>
      <c r="U1526" s="51"/>
      <c r="V1526" s="35"/>
      <c r="W1526" s="364">
        <f t="shared" si="314"/>
        <v>278774.56</v>
      </c>
      <c r="X1526" s="285">
        <v>156687.24</v>
      </c>
      <c r="Y1526" s="9"/>
      <c r="Z1526" s="306">
        <v>122087.32</v>
      </c>
      <c r="AA1526" s="302"/>
      <c r="AB1526" s="302"/>
      <c r="AC1526" s="56"/>
      <c r="AD1526" s="56" t="s">
        <v>1360</v>
      </c>
      <c r="AE1526" s="56"/>
    </row>
    <row r="1527" spans="1:31" x14ac:dyDescent="0.3">
      <c r="A1527" s="47">
        <f t="shared" si="310"/>
        <v>1415</v>
      </c>
      <c r="B1527" s="414" t="s">
        <v>1880</v>
      </c>
      <c r="C1527" s="51">
        <f t="shared" si="315"/>
        <v>245872.36</v>
      </c>
      <c r="D1527" s="51">
        <f t="shared" si="311"/>
        <v>0</v>
      </c>
      <c r="E1527" s="51"/>
      <c r="F1527" s="51"/>
      <c r="G1527" s="51"/>
      <c r="H1527" s="51"/>
      <c r="I1527" s="51"/>
      <c r="J1527" s="51"/>
      <c r="K1527" s="51"/>
      <c r="L1527" s="51"/>
      <c r="M1527" s="35"/>
      <c r="N1527" s="51"/>
      <c r="O1527" s="82"/>
      <c r="P1527" s="51"/>
      <c r="Q1527" s="338"/>
      <c r="R1527" s="51"/>
      <c r="S1527" s="51"/>
      <c r="T1527" s="338"/>
      <c r="U1527" s="51"/>
      <c r="V1527" s="35"/>
      <c r="W1527" s="364">
        <f t="shared" si="314"/>
        <v>245872.36</v>
      </c>
      <c r="X1527" s="285">
        <f>77913.42+92845.5+75113.44</f>
        <v>245872.36</v>
      </c>
      <c r="Y1527" s="9"/>
      <c r="Z1527" s="306"/>
      <c r="AA1527" s="302"/>
      <c r="AB1527" s="302"/>
      <c r="AC1527" s="56"/>
      <c r="AD1527" s="56" t="s">
        <v>1841</v>
      </c>
      <c r="AE1527" s="56"/>
    </row>
    <row r="1528" spans="1:31" x14ac:dyDescent="0.3">
      <c r="A1528" s="47">
        <f t="shared" si="310"/>
        <v>1416</v>
      </c>
      <c r="B1528" s="414" t="s">
        <v>1881</v>
      </c>
      <c r="C1528" s="51">
        <f t="shared" si="315"/>
        <v>513322.16999999993</v>
      </c>
      <c r="D1528" s="51">
        <f t="shared" si="311"/>
        <v>0</v>
      </c>
      <c r="E1528" s="51"/>
      <c r="F1528" s="51"/>
      <c r="G1528" s="51"/>
      <c r="H1528" s="51"/>
      <c r="I1528" s="51"/>
      <c r="J1528" s="51"/>
      <c r="K1528" s="51"/>
      <c r="L1528" s="51"/>
      <c r="M1528" s="35"/>
      <c r="N1528" s="51"/>
      <c r="O1528" s="82"/>
      <c r="P1528" s="51"/>
      <c r="Q1528" s="338"/>
      <c r="R1528" s="51"/>
      <c r="S1528" s="51"/>
      <c r="T1528" s="338"/>
      <c r="U1528" s="51"/>
      <c r="V1528" s="35"/>
      <c r="W1528" s="364">
        <f t="shared" si="314"/>
        <v>513322.16999999993</v>
      </c>
      <c r="X1528" s="285">
        <f>164903.86+161285.58</f>
        <v>326189.43999999994</v>
      </c>
      <c r="Y1528" s="9"/>
      <c r="Z1528" s="306">
        <v>187132.73</v>
      </c>
      <c r="AA1528" s="302"/>
      <c r="AB1528" s="302"/>
      <c r="AC1528" s="56"/>
      <c r="AD1528" s="56" t="s">
        <v>1563</v>
      </c>
      <c r="AE1528" s="56"/>
    </row>
    <row r="1529" spans="1:31" x14ac:dyDescent="0.3">
      <c r="A1529" s="47">
        <f t="shared" si="310"/>
        <v>1417</v>
      </c>
      <c r="B1529" s="414" t="s">
        <v>1882</v>
      </c>
      <c r="C1529" s="51">
        <f t="shared" si="315"/>
        <v>267696.62</v>
      </c>
      <c r="D1529" s="51">
        <f t="shared" si="311"/>
        <v>0</v>
      </c>
      <c r="E1529" s="51"/>
      <c r="F1529" s="51"/>
      <c r="G1529" s="51"/>
      <c r="H1529" s="51"/>
      <c r="I1529" s="51"/>
      <c r="J1529" s="51"/>
      <c r="K1529" s="51"/>
      <c r="L1529" s="51"/>
      <c r="M1529" s="35"/>
      <c r="N1529" s="51"/>
      <c r="O1529" s="82"/>
      <c r="P1529" s="51"/>
      <c r="Q1529" s="338"/>
      <c r="R1529" s="51"/>
      <c r="S1529" s="51"/>
      <c r="T1529" s="338"/>
      <c r="U1529" s="51"/>
      <c r="V1529" s="35"/>
      <c r="W1529" s="364">
        <f t="shared" si="314"/>
        <v>267696.62</v>
      </c>
      <c r="X1529" s="285">
        <f>149378.76+118317.86</f>
        <v>267696.62</v>
      </c>
      <c r="Y1529" s="9"/>
      <c r="Z1529" s="306"/>
      <c r="AA1529" s="302"/>
      <c r="AB1529" s="302"/>
      <c r="AC1529" s="56"/>
      <c r="AD1529" s="56" t="s">
        <v>1563</v>
      </c>
      <c r="AE1529" s="56"/>
    </row>
    <row r="1530" spans="1:31" x14ac:dyDescent="0.3">
      <c r="A1530" s="47">
        <f t="shared" si="310"/>
        <v>1418</v>
      </c>
      <c r="B1530" s="414" t="s">
        <v>1883</v>
      </c>
      <c r="C1530" s="51">
        <f t="shared" si="315"/>
        <v>274575.68</v>
      </c>
      <c r="D1530" s="51">
        <f t="shared" si="311"/>
        <v>0</v>
      </c>
      <c r="E1530" s="51"/>
      <c r="F1530" s="51"/>
      <c r="G1530" s="51"/>
      <c r="H1530" s="51"/>
      <c r="I1530" s="51"/>
      <c r="J1530" s="51"/>
      <c r="K1530" s="51"/>
      <c r="L1530" s="51"/>
      <c r="M1530" s="35"/>
      <c r="N1530" s="51"/>
      <c r="O1530" s="82"/>
      <c r="P1530" s="51"/>
      <c r="Q1530" s="338"/>
      <c r="R1530" s="51"/>
      <c r="S1530" s="51"/>
      <c r="T1530" s="338"/>
      <c r="U1530" s="51"/>
      <c r="V1530" s="35"/>
      <c r="W1530" s="364">
        <f t="shared" si="314"/>
        <v>274575.68</v>
      </c>
      <c r="X1530" s="285">
        <f>154609.62+119966.06</f>
        <v>274575.68</v>
      </c>
      <c r="Y1530" s="9"/>
      <c r="Z1530" s="306"/>
      <c r="AA1530" s="302"/>
      <c r="AB1530" s="302"/>
      <c r="AC1530" s="56"/>
      <c r="AD1530" s="56" t="s">
        <v>1563</v>
      </c>
      <c r="AE1530" s="56"/>
    </row>
    <row r="1531" spans="1:31" x14ac:dyDescent="0.3">
      <c r="A1531" s="47">
        <f t="shared" si="310"/>
        <v>1419</v>
      </c>
      <c r="B1531" s="414" t="s">
        <v>1884</v>
      </c>
      <c r="C1531" s="51">
        <f t="shared" si="315"/>
        <v>491258.21</v>
      </c>
      <c r="D1531" s="51">
        <f t="shared" si="311"/>
        <v>0</v>
      </c>
      <c r="E1531" s="51"/>
      <c r="F1531" s="51"/>
      <c r="G1531" s="51"/>
      <c r="H1531" s="51"/>
      <c r="I1531" s="51"/>
      <c r="J1531" s="51"/>
      <c r="K1531" s="51"/>
      <c r="L1531" s="51"/>
      <c r="M1531" s="35"/>
      <c r="N1531" s="51"/>
      <c r="O1531" s="129"/>
      <c r="P1531" s="51"/>
      <c r="Q1531" s="338"/>
      <c r="R1531" s="51"/>
      <c r="S1531" s="51"/>
      <c r="T1531" s="338"/>
      <c r="U1531" s="51"/>
      <c r="V1531" s="35"/>
      <c r="W1531" s="364">
        <f t="shared" si="314"/>
        <v>491258.21</v>
      </c>
      <c r="X1531" s="285">
        <f>80801.34+98697.92+79071.38+79071.38</f>
        <v>337642.02</v>
      </c>
      <c r="Y1531" s="9">
        <v>153616.19</v>
      </c>
      <c r="Z1531" s="306"/>
      <c r="AA1531" s="302"/>
      <c r="AB1531" s="302"/>
      <c r="AC1531" s="56"/>
      <c r="AD1531" s="56" t="s">
        <v>1349</v>
      </c>
      <c r="AE1531" s="56"/>
    </row>
    <row r="1532" spans="1:31" x14ac:dyDescent="0.3">
      <c r="A1532" s="47">
        <f t="shared" si="310"/>
        <v>1420</v>
      </c>
      <c r="B1532" s="414" t="s">
        <v>1885</v>
      </c>
      <c r="C1532" s="51">
        <f t="shared" si="315"/>
        <v>2428933.2000000002</v>
      </c>
      <c r="D1532" s="51">
        <f t="shared" si="311"/>
        <v>0</v>
      </c>
      <c r="E1532" s="51"/>
      <c r="F1532" s="51"/>
      <c r="G1532" s="51"/>
      <c r="H1532" s="51"/>
      <c r="I1532" s="51"/>
      <c r="J1532" s="51"/>
      <c r="K1532" s="51"/>
      <c r="L1532" s="51"/>
      <c r="M1532" s="35">
        <v>755</v>
      </c>
      <c r="N1532" s="51">
        <v>2428933.2000000002</v>
      </c>
      <c r="O1532" s="129"/>
      <c r="P1532" s="51"/>
      <c r="Q1532" s="338"/>
      <c r="R1532" s="51"/>
      <c r="S1532" s="51"/>
      <c r="T1532" s="338"/>
      <c r="U1532" s="51"/>
      <c r="V1532" s="35"/>
      <c r="W1532" s="364">
        <f t="shared" si="314"/>
        <v>0</v>
      </c>
      <c r="X1532" s="285"/>
      <c r="Y1532" s="9"/>
      <c r="Z1532" s="306"/>
      <c r="AA1532" s="302"/>
      <c r="AB1532" s="302"/>
      <c r="AC1532" s="56"/>
      <c r="AD1532" s="56"/>
      <c r="AE1532" s="56"/>
    </row>
    <row r="1533" spans="1:31" x14ac:dyDescent="0.3">
      <c r="A1533" s="47">
        <f t="shared" si="310"/>
        <v>1421</v>
      </c>
      <c r="B1533" s="414" t="s">
        <v>1886</v>
      </c>
      <c r="C1533" s="51">
        <f t="shared" si="315"/>
        <v>248902.75</v>
      </c>
      <c r="D1533" s="51">
        <f t="shared" si="311"/>
        <v>0</v>
      </c>
      <c r="E1533" s="51"/>
      <c r="F1533" s="51"/>
      <c r="G1533" s="51"/>
      <c r="H1533" s="51"/>
      <c r="I1533" s="51"/>
      <c r="J1533" s="51"/>
      <c r="K1533" s="51"/>
      <c r="L1533" s="51"/>
      <c r="M1533" s="35"/>
      <c r="N1533" s="51"/>
      <c r="O1533" s="129"/>
      <c r="P1533" s="51"/>
      <c r="Q1533" s="338"/>
      <c r="R1533" s="51"/>
      <c r="S1533" s="51"/>
      <c r="T1533" s="338"/>
      <c r="U1533" s="51"/>
      <c r="V1533" s="35"/>
      <c r="W1533" s="364">
        <f t="shared" si="314"/>
        <v>248902.75</v>
      </c>
      <c r="X1533" s="285"/>
      <c r="Y1533" s="9"/>
      <c r="Z1533" s="306">
        <v>248902.75</v>
      </c>
      <c r="AA1533" s="302"/>
      <c r="AB1533" s="302"/>
      <c r="AC1533" s="56"/>
      <c r="AD1533" s="56"/>
      <c r="AE1533" s="56"/>
    </row>
    <row r="1534" spans="1:31" x14ac:dyDescent="0.3">
      <c r="A1534" s="47">
        <f t="shared" si="310"/>
        <v>1422</v>
      </c>
      <c r="B1534" s="414" t="s">
        <v>1887</v>
      </c>
      <c r="C1534" s="51">
        <f t="shared" si="315"/>
        <v>430044.89</v>
      </c>
      <c r="D1534" s="51">
        <f t="shared" si="311"/>
        <v>0</v>
      </c>
      <c r="E1534" s="51"/>
      <c r="F1534" s="51"/>
      <c r="G1534" s="51"/>
      <c r="H1534" s="51"/>
      <c r="I1534" s="51"/>
      <c r="J1534" s="51"/>
      <c r="K1534" s="51"/>
      <c r="L1534" s="51"/>
      <c r="M1534" s="35"/>
      <c r="N1534" s="51"/>
      <c r="O1534" s="129"/>
      <c r="P1534" s="51"/>
      <c r="Q1534" s="338"/>
      <c r="R1534" s="51"/>
      <c r="S1534" s="51"/>
      <c r="T1534" s="338"/>
      <c r="U1534" s="51"/>
      <c r="V1534" s="35"/>
      <c r="W1534" s="364">
        <f t="shared" si="314"/>
        <v>430044.89</v>
      </c>
      <c r="X1534" s="285">
        <f>162322.28+121201.85</f>
        <v>283524.13</v>
      </c>
      <c r="Y1534" s="9"/>
      <c r="Z1534" s="306">
        <v>146520.76</v>
      </c>
      <c r="AA1534" s="302"/>
      <c r="AB1534" s="302"/>
      <c r="AC1534" s="56"/>
      <c r="AD1534" s="56" t="s">
        <v>1563</v>
      </c>
      <c r="AE1534" s="56"/>
    </row>
    <row r="1535" spans="1:31" x14ac:dyDescent="0.3">
      <c r="A1535" s="47">
        <f t="shared" si="310"/>
        <v>1423</v>
      </c>
      <c r="B1535" s="414" t="s">
        <v>1888</v>
      </c>
      <c r="C1535" s="51">
        <f t="shared" si="315"/>
        <v>463005.27</v>
      </c>
      <c r="D1535" s="51">
        <f t="shared" si="311"/>
        <v>0</v>
      </c>
      <c r="E1535" s="51"/>
      <c r="F1535" s="51"/>
      <c r="G1535" s="51"/>
      <c r="H1535" s="51"/>
      <c r="I1535" s="51"/>
      <c r="J1535" s="51"/>
      <c r="K1535" s="51"/>
      <c r="L1535" s="51"/>
      <c r="M1535" s="35"/>
      <c r="N1535" s="51"/>
      <c r="O1535" s="129"/>
      <c r="P1535" s="51"/>
      <c r="Q1535" s="338"/>
      <c r="R1535" s="51"/>
      <c r="S1535" s="51"/>
      <c r="T1535" s="338"/>
      <c r="U1535" s="51"/>
      <c r="V1535" s="35"/>
      <c r="W1535" s="364">
        <f t="shared" si="314"/>
        <v>463005.27</v>
      </c>
      <c r="X1535" s="285"/>
      <c r="Y1535" s="9">
        <v>302837.84000000003</v>
      </c>
      <c r="Z1535" s="306">
        <v>160167.43</v>
      </c>
      <c r="AA1535" s="302"/>
      <c r="AB1535" s="302"/>
      <c r="AC1535" s="56"/>
      <c r="AD1535" s="56" t="s">
        <v>1813</v>
      </c>
      <c r="AE1535" s="56"/>
    </row>
    <row r="1536" spans="1:31" x14ac:dyDescent="0.3">
      <c r="A1536" s="47">
        <f t="shared" si="310"/>
        <v>1424</v>
      </c>
      <c r="B1536" s="414" t="s">
        <v>1889</v>
      </c>
      <c r="C1536" s="51">
        <f t="shared" si="315"/>
        <v>461908.12</v>
      </c>
      <c r="D1536" s="51">
        <f t="shared" si="311"/>
        <v>0</v>
      </c>
      <c r="E1536" s="51"/>
      <c r="F1536" s="51"/>
      <c r="G1536" s="51"/>
      <c r="H1536" s="51"/>
      <c r="I1536" s="51"/>
      <c r="J1536" s="51"/>
      <c r="K1536" s="51"/>
      <c r="L1536" s="51"/>
      <c r="M1536" s="35"/>
      <c r="N1536" s="51"/>
      <c r="O1536" s="401"/>
      <c r="P1536" s="51"/>
      <c r="Q1536" s="338"/>
      <c r="R1536" s="51"/>
      <c r="S1536" s="51"/>
      <c r="T1536" s="338"/>
      <c r="U1536" s="51"/>
      <c r="V1536" s="35"/>
      <c r="W1536" s="364">
        <f t="shared" si="314"/>
        <v>461908.12</v>
      </c>
      <c r="X1536" s="285">
        <f>153766.74+116709.56</f>
        <v>270476.3</v>
      </c>
      <c r="Y1536" s="9"/>
      <c r="Z1536" s="306">
        <v>191431.82</v>
      </c>
      <c r="AA1536" s="302"/>
      <c r="AB1536" s="302"/>
      <c r="AC1536" s="56"/>
      <c r="AD1536" s="56" t="s">
        <v>1563</v>
      </c>
      <c r="AE1536" s="56"/>
    </row>
    <row r="1537" spans="1:31" x14ac:dyDescent="0.3">
      <c r="A1537" s="47">
        <f t="shared" si="310"/>
        <v>1425</v>
      </c>
      <c r="B1537" s="414" t="s">
        <v>1890</v>
      </c>
      <c r="C1537" s="51">
        <f t="shared" si="315"/>
        <v>302868.43</v>
      </c>
      <c r="D1537" s="51">
        <f t="shared" si="311"/>
        <v>0</v>
      </c>
      <c r="E1537" s="51"/>
      <c r="F1537" s="51"/>
      <c r="G1537" s="51"/>
      <c r="H1537" s="51"/>
      <c r="I1537" s="51"/>
      <c r="J1537" s="51"/>
      <c r="K1537" s="51"/>
      <c r="L1537" s="51"/>
      <c r="M1537" s="35"/>
      <c r="N1537" s="51"/>
      <c r="O1537" s="129"/>
      <c r="P1537" s="51"/>
      <c r="Q1537" s="338"/>
      <c r="R1537" s="51"/>
      <c r="S1537" s="51"/>
      <c r="T1537" s="338"/>
      <c r="U1537" s="51"/>
      <c r="V1537" s="35"/>
      <c r="W1537" s="364">
        <f t="shared" si="314"/>
        <v>302868.43</v>
      </c>
      <c r="X1537" s="285">
        <v>136736.35</v>
      </c>
      <c r="Y1537" s="9"/>
      <c r="Z1537" s="306">
        <v>166132.07999999999</v>
      </c>
      <c r="AA1537" s="302"/>
      <c r="AB1537" s="302"/>
      <c r="AC1537" s="56"/>
      <c r="AD1537" s="56" t="s">
        <v>1395</v>
      </c>
      <c r="AE1537" s="56"/>
    </row>
    <row r="1538" spans="1:31" x14ac:dyDescent="0.3">
      <c r="A1538" s="47">
        <f t="shared" si="310"/>
        <v>1426</v>
      </c>
      <c r="B1538" s="414" t="s">
        <v>1891</v>
      </c>
      <c r="C1538" s="51">
        <f t="shared" si="315"/>
        <v>508087.55</v>
      </c>
      <c r="D1538" s="51">
        <f t="shared" si="311"/>
        <v>0</v>
      </c>
      <c r="E1538" s="51"/>
      <c r="F1538" s="51"/>
      <c r="G1538" s="51"/>
      <c r="H1538" s="51"/>
      <c r="I1538" s="51"/>
      <c r="J1538" s="51"/>
      <c r="K1538" s="51"/>
      <c r="L1538" s="51"/>
      <c r="M1538" s="35"/>
      <c r="N1538" s="51"/>
      <c r="O1538" s="129"/>
      <c r="P1538" s="51"/>
      <c r="Q1538" s="338"/>
      <c r="R1538" s="51"/>
      <c r="S1538" s="51"/>
      <c r="T1538" s="338"/>
      <c r="U1538" s="51"/>
      <c r="V1538" s="35"/>
      <c r="W1538" s="364">
        <f t="shared" si="314"/>
        <v>508087.55</v>
      </c>
      <c r="X1538" s="285">
        <v>278662.74</v>
      </c>
      <c r="Y1538" s="9"/>
      <c r="Z1538" s="306">
        <v>229424.81</v>
      </c>
      <c r="AA1538" s="302"/>
      <c r="AB1538" s="302"/>
      <c r="AC1538" s="56"/>
      <c r="AD1538" s="56" t="s">
        <v>1360</v>
      </c>
      <c r="AE1538" s="56"/>
    </row>
    <row r="1539" spans="1:31" x14ac:dyDescent="0.3">
      <c r="A1539" s="47">
        <f t="shared" si="310"/>
        <v>1427</v>
      </c>
      <c r="B1539" s="414" t="s">
        <v>1892</v>
      </c>
      <c r="C1539" s="51">
        <f t="shared" si="315"/>
        <v>130000</v>
      </c>
      <c r="D1539" s="51"/>
      <c r="E1539" s="51"/>
      <c r="F1539" s="51"/>
      <c r="G1539" s="51"/>
      <c r="H1539" s="51"/>
      <c r="I1539" s="51"/>
      <c r="J1539" s="51"/>
      <c r="K1539" s="51"/>
      <c r="L1539" s="51"/>
      <c r="M1539" s="35"/>
      <c r="N1539" s="51"/>
      <c r="O1539" s="129"/>
      <c r="P1539" s="51"/>
      <c r="Q1539" s="338"/>
      <c r="R1539" s="51"/>
      <c r="S1539" s="51"/>
      <c r="T1539" s="338"/>
      <c r="U1539" s="51"/>
      <c r="V1539" s="35"/>
      <c r="W1539" s="364">
        <v>130000</v>
      </c>
      <c r="X1539" s="285"/>
      <c r="Y1539" s="9"/>
      <c r="Z1539" s="306"/>
      <c r="AA1539" s="302"/>
      <c r="AB1539" s="302"/>
      <c r="AC1539" s="56"/>
      <c r="AD1539" s="56"/>
      <c r="AE1539" s="56"/>
    </row>
    <row r="1540" spans="1:31" x14ac:dyDescent="0.3">
      <c r="A1540" s="47">
        <f t="shared" ref="A1540" si="316">A1539+1</f>
        <v>1428</v>
      </c>
      <c r="B1540" s="414" t="s">
        <v>1893</v>
      </c>
      <c r="C1540" s="51">
        <f t="shared" si="315"/>
        <v>636241.15999999992</v>
      </c>
      <c r="D1540" s="51">
        <f t="shared" si="311"/>
        <v>0</v>
      </c>
      <c r="E1540" s="51"/>
      <c r="F1540" s="51"/>
      <c r="G1540" s="51"/>
      <c r="H1540" s="51"/>
      <c r="I1540" s="51"/>
      <c r="J1540" s="51"/>
      <c r="K1540" s="51"/>
      <c r="L1540" s="51"/>
      <c r="M1540" s="35"/>
      <c r="N1540" s="51"/>
      <c r="O1540" s="129"/>
      <c r="P1540" s="51"/>
      <c r="Q1540" s="338"/>
      <c r="R1540" s="51"/>
      <c r="S1540" s="51"/>
      <c r="T1540" s="338"/>
      <c r="U1540" s="51"/>
      <c r="V1540" s="35"/>
      <c r="W1540" s="364">
        <f t="shared" si="314"/>
        <v>636241.15999999992</v>
      </c>
      <c r="X1540" s="285">
        <v>330156.19</v>
      </c>
      <c r="Y1540" s="9"/>
      <c r="Z1540" s="306">
        <v>306084.96999999997</v>
      </c>
      <c r="AA1540" s="302"/>
      <c r="AB1540" s="302"/>
      <c r="AC1540" s="56"/>
      <c r="AD1540" s="56" t="s">
        <v>1360</v>
      </c>
      <c r="AE1540" s="56"/>
    </row>
    <row r="1541" spans="1:31" x14ac:dyDescent="0.3">
      <c r="A1541" s="47">
        <f t="shared" ref="A1541:A1546" si="317">A1540+1</f>
        <v>1429</v>
      </c>
      <c r="B1541" s="414" t="s">
        <v>1894</v>
      </c>
      <c r="C1541" s="51">
        <f t="shared" si="315"/>
        <v>650558.51</v>
      </c>
      <c r="D1541" s="51">
        <f t="shared" ref="D1541:D1573" si="318">E1541+F1541+G1541+H1541+I1541</f>
        <v>0</v>
      </c>
      <c r="E1541" s="51"/>
      <c r="F1541" s="51"/>
      <c r="G1541" s="51"/>
      <c r="H1541" s="51"/>
      <c r="I1541" s="51"/>
      <c r="J1541" s="51"/>
      <c r="K1541" s="51"/>
      <c r="L1541" s="51"/>
      <c r="M1541" s="35"/>
      <c r="N1541" s="51"/>
      <c r="O1541" s="129"/>
      <c r="P1541" s="51"/>
      <c r="Q1541" s="338"/>
      <c r="R1541" s="51"/>
      <c r="S1541" s="51"/>
      <c r="T1541" s="338"/>
      <c r="U1541" s="51"/>
      <c r="V1541" s="35"/>
      <c r="W1541" s="364">
        <f t="shared" si="314"/>
        <v>650558.51</v>
      </c>
      <c r="X1541" s="285">
        <v>344484.05</v>
      </c>
      <c r="Y1541" s="9"/>
      <c r="Z1541" s="306">
        <v>306074.46000000002</v>
      </c>
      <c r="AA1541" s="302"/>
      <c r="AB1541" s="302"/>
      <c r="AC1541" s="56"/>
      <c r="AD1541" s="56" t="s">
        <v>1360</v>
      </c>
      <c r="AE1541" s="56"/>
    </row>
    <row r="1542" spans="1:31" x14ac:dyDescent="0.3">
      <c r="A1542" s="47">
        <f t="shared" si="317"/>
        <v>1430</v>
      </c>
      <c r="B1542" s="414" t="s">
        <v>1895</v>
      </c>
      <c r="C1542" s="51">
        <f t="shared" si="315"/>
        <v>522430.11</v>
      </c>
      <c r="D1542" s="51">
        <f t="shared" si="318"/>
        <v>0</v>
      </c>
      <c r="E1542" s="51"/>
      <c r="F1542" s="51"/>
      <c r="G1542" s="51"/>
      <c r="H1542" s="51"/>
      <c r="I1542" s="51"/>
      <c r="J1542" s="51"/>
      <c r="K1542" s="51"/>
      <c r="L1542" s="51"/>
      <c r="M1542" s="35"/>
      <c r="N1542" s="51"/>
      <c r="O1542" s="129"/>
      <c r="P1542" s="51"/>
      <c r="Q1542" s="338"/>
      <c r="R1542" s="51"/>
      <c r="S1542" s="51"/>
      <c r="T1542" s="338"/>
      <c r="U1542" s="51"/>
      <c r="V1542" s="35"/>
      <c r="W1542" s="364">
        <f t="shared" si="314"/>
        <v>522430.11</v>
      </c>
      <c r="X1542" s="285"/>
      <c r="Y1542" s="9">
        <v>438485.8</v>
      </c>
      <c r="Z1542" s="306">
        <v>83944.31</v>
      </c>
      <c r="AA1542" s="302"/>
      <c r="AB1542" s="302"/>
      <c r="AC1542" s="56"/>
      <c r="AD1542" s="56" t="s">
        <v>1813</v>
      </c>
      <c r="AE1542" s="56"/>
    </row>
    <row r="1543" spans="1:31" x14ac:dyDescent="0.3">
      <c r="A1543" s="47">
        <f t="shared" si="317"/>
        <v>1431</v>
      </c>
      <c r="B1543" s="414" t="s">
        <v>1896</v>
      </c>
      <c r="C1543" s="51">
        <f t="shared" si="315"/>
        <v>420112.32999999996</v>
      </c>
      <c r="D1543" s="51">
        <f t="shared" si="318"/>
        <v>0</v>
      </c>
      <c r="E1543" s="51"/>
      <c r="F1543" s="51"/>
      <c r="G1543" s="51"/>
      <c r="H1543" s="51"/>
      <c r="I1543" s="51"/>
      <c r="J1543" s="51"/>
      <c r="K1543" s="51"/>
      <c r="L1543" s="51"/>
      <c r="M1543" s="35"/>
      <c r="N1543" s="51"/>
      <c r="O1543" s="129"/>
      <c r="P1543" s="51"/>
      <c r="Q1543" s="338"/>
      <c r="R1543" s="51"/>
      <c r="S1543" s="51"/>
      <c r="T1543" s="338"/>
      <c r="U1543" s="51"/>
      <c r="V1543" s="35"/>
      <c r="W1543" s="364">
        <f t="shared" si="314"/>
        <v>420112.32999999996</v>
      </c>
      <c r="X1543" s="285">
        <v>222868.61</v>
      </c>
      <c r="Y1543" s="9"/>
      <c r="Z1543" s="306">
        <v>197243.72</v>
      </c>
      <c r="AA1543" s="302"/>
      <c r="AB1543" s="302"/>
      <c r="AC1543" s="56"/>
      <c r="AD1543" s="56" t="s">
        <v>1897</v>
      </c>
      <c r="AE1543" s="56"/>
    </row>
    <row r="1544" spans="1:31" x14ac:dyDescent="0.3">
      <c r="A1544" s="47">
        <f t="shared" si="317"/>
        <v>1432</v>
      </c>
      <c r="B1544" s="414" t="s">
        <v>1898</v>
      </c>
      <c r="C1544" s="51">
        <f t="shared" si="315"/>
        <v>704346.14000000013</v>
      </c>
      <c r="D1544" s="51">
        <f t="shared" si="318"/>
        <v>0</v>
      </c>
      <c r="E1544" s="51"/>
      <c r="F1544" s="51"/>
      <c r="G1544" s="51"/>
      <c r="H1544" s="51"/>
      <c r="I1544" s="51"/>
      <c r="J1544" s="51"/>
      <c r="K1544" s="51"/>
      <c r="L1544" s="51"/>
      <c r="M1544" s="35"/>
      <c r="N1544" s="51"/>
      <c r="O1544" s="129"/>
      <c r="P1544" s="51"/>
      <c r="Q1544" s="338"/>
      <c r="R1544" s="51"/>
      <c r="S1544" s="51"/>
      <c r="T1544" s="338"/>
      <c r="U1544" s="51"/>
      <c r="V1544" s="35"/>
      <c r="W1544" s="364">
        <f t="shared" si="314"/>
        <v>704346.14000000013</v>
      </c>
      <c r="X1544" s="285">
        <f>154998.22+190620.06+153231.29</f>
        <v>498849.57000000007</v>
      </c>
      <c r="Y1544" s="9"/>
      <c r="Z1544" s="306">
        <v>205496.57</v>
      </c>
      <c r="AA1544" s="302"/>
      <c r="AB1544" s="302"/>
      <c r="AC1544" s="56"/>
      <c r="AD1544" s="56" t="s">
        <v>1841</v>
      </c>
      <c r="AE1544" s="56"/>
    </row>
    <row r="1545" spans="1:31" x14ac:dyDescent="0.3">
      <c r="A1545" s="47">
        <f t="shared" si="317"/>
        <v>1433</v>
      </c>
      <c r="B1545" s="414" t="s">
        <v>1899</v>
      </c>
      <c r="C1545" s="51">
        <f t="shared" si="315"/>
        <v>707798.13</v>
      </c>
      <c r="D1545" s="51">
        <f t="shared" si="318"/>
        <v>0</v>
      </c>
      <c r="E1545" s="51"/>
      <c r="F1545" s="51"/>
      <c r="G1545" s="51"/>
      <c r="H1545" s="51"/>
      <c r="I1545" s="51"/>
      <c r="J1545" s="51"/>
      <c r="K1545" s="51"/>
      <c r="L1545" s="51"/>
      <c r="M1545" s="35"/>
      <c r="N1545" s="51"/>
      <c r="O1545" s="129"/>
      <c r="P1545" s="51"/>
      <c r="Q1545" s="338"/>
      <c r="R1545" s="51"/>
      <c r="S1545" s="51"/>
      <c r="T1545" s="338"/>
      <c r="U1545" s="51"/>
      <c r="V1545" s="35"/>
      <c r="W1545" s="364">
        <f t="shared" si="314"/>
        <v>707798.13</v>
      </c>
      <c r="X1545" s="285">
        <f>118538.22+137043.37+121524.18+116385.5</f>
        <v>493491.27</v>
      </c>
      <c r="Y1545" s="9">
        <v>214306.86</v>
      </c>
      <c r="Z1545" s="306"/>
      <c r="AA1545" s="302"/>
      <c r="AB1545" s="302"/>
      <c r="AC1545" s="56"/>
      <c r="AD1545" s="56" t="s">
        <v>1900</v>
      </c>
      <c r="AE1545" s="56"/>
    </row>
    <row r="1546" spans="1:31" x14ac:dyDescent="0.3">
      <c r="A1546" s="47">
        <f t="shared" si="317"/>
        <v>1434</v>
      </c>
      <c r="B1546" s="414" t="s">
        <v>1901</v>
      </c>
      <c r="C1546" s="51">
        <f t="shared" si="315"/>
        <v>674282.39</v>
      </c>
      <c r="D1546" s="51">
        <f t="shared" si="318"/>
        <v>0</v>
      </c>
      <c r="E1546" s="51"/>
      <c r="F1546" s="51"/>
      <c r="G1546" s="51"/>
      <c r="H1546" s="51"/>
      <c r="I1546" s="51"/>
      <c r="J1546" s="51"/>
      <c r="K1546" s="51"/>
      <c r="L1546" s="51"/>
      <c r="M1546" s="35"/>
      <c r="N1546" s="51"/>
      <c r="O1546" s="129"/>
      <c r="P1546" s="51"/>
      <c r="Q1546" s="338"/>
      <c r="R1546" s="51"/>
      <c r="S1546" s="51"/>
      <c r="T1546" s="338"/>
      <c r="U1546" s="51"/>
      <c r="V1546" s="35"/>
      <c r="W1546" s="364">
        <f t="shared" ref="W1546:W1567" si="319">SUM(X1546:AB1546)</f>
        <v>674282.39</v>
      </c>
      <c r="X1546" s="285">
        <v>181304.72</v>
      </c>
      <c r="Y1546" s="9">
        <v>335033.65999999997</v>
      </c>
      <c r="Z1546" s="306">
        <v>157944.01</v>
      </c>
      <c r="AA1546" s="302"/>
      <c r="AB1546" s="302"/>
      <c r="AC1546" s="56"/>
      <c r="AD1546" s="56" t="s">
        <v>1360</v>
      </c>
      <c r="AE1546" s="56"/>
    </row>
    <row r="1547" spans="1:31" x14ac:dyDescent="0.3">
      <c r="A1547" s="47">
        <f t="shared" ref="A1547:A1573" si="320">A1546+1</f>
        <v>1435</v>
      </c>
      <c r="B1547" s="414" t="s">
        <v>1902</v>
      </c>
      <c r="C1547" s="51">
        <f t="shared" si="315"/>
        <v>482678.61</v>
      </c>
      <c r="D1547" s="51">
        <f t="shared" si="318"/>
        <v>0</v>
      </c>
      <c r="E1547" s="51"/>
      <c r="F1547" s="51"/>
      <c r="G1547" s="51"/>
      <c r="H1547" s="51"/>
      <c r="I1547" s="51"/>
      <c r="J1547" s="51"/>
      <c r="K1547" s="51"/>
      <c r="L1547" s="51"/>
      <c r="M1547" s="35"/>
      <c r="N1547" s="51"/>
      <c r="O1547" s="129"/>
      <c r="P1547" s="51"/>
      <c r="Q1547" s="338"/>
      <c r="R1547" s="51"/>
      <c r="S1547" s="51"/>
      <c r="T1547" s="338"/>
      <c r="U1547" s="51"/>
      <c r="V1547" s="35"/>
      <c r="W1547" s="364">
        <f t="shared" si="319"/>
        <v>482678.61</v>
      </c>
      <c r="X1547" s="285">
        <f>112249.15+142091.98+111659.54+111659.54</f>
        <v>477660.20999999996</v>
      </c>
      <c r="Y1547" s="9"/>
      <c r="Z1547" s="306">
        <v>5018.3999999999996</v>
      </c>
      <c r="AA1547" s="302"/>
      <c r="AB1547" s="302"/>
      <c r="AC1547" s="56"/>
      <c r="AD1547" s="56" t="s">
        <v>1349</v>
      </c>
      <c r="AE1547" s="56"/>
    </row>
    <row r="1548" spans="1:31" x14ac:dyDescent="0.3">
      <c r="A1548" s="47">
        <f t="shared" si="320"/>
        <v>1436</v>
      </c>
      <c r="B1548" s="414" t="s">
        <v>1903</v>
      </c>
      <c r="C1548" s="51">
        <f t="shared" si="315"/>
        <v>416229.68000000005</v>
      </c>
      <c r="D1548" s="51">
        <f t="shared" si="318"/>
        <v>0</v>
      </c>
      <c r="E1548" s="51"/>
      <c r="F1548" s="51"/>
      <c r="G1548" s="51"/>
      <c r="H1548" s="51"/>
      <c r="I1548" s="51"/>
      <c r="J1548" s="51"/>
      <c r="K1548" s="51"/>
      <c r="L1548" s="51"/>
      <c r="M1548" s="35"/>
      <c r="N1548" s="51"/>
      <c r="O1548" s="129"/>
      <c r="P1548" s="51"/>
      <c r="Q1548" s="338"/>
      <c r="R1548" s="51"/>
      <c r="S1548" s="51"/>
      <c r="T1548" s="338"/>
      <c r="U1548" s="51"/>
      <c r="V1548" s="35"/>
      <c r="W1548" s="364">
        <f t="shared" si="319"/>
        <v>416229.68000000005</v>
      </c>
      <c r="X1548" s="285">
        <f>100612.9+118783.98+98416.4+98416.4</f>
        <v>416229.68000000005</v>
      </c>
      <c r="Y1548" s="9"/>
      <c r="Z1548" s="306"/>
      <c r="AA1548" s="302"/>
      <c r="AB1548" s="302"/>
      <c r="AC1548" s="56"/>
      <c r="AD1548" s="56" t="s">
        <v>1349</v>
      </c>
      <c r="AE1548" s="56"/>
    </row>
    <row r="1549" spans="1:31" x14ac:dyDescent="0.3">
      <c r="A1549" s="47">
        <f t="shared" si="320"/>
        <v>1437</v>
      </c>
      <c r="B1549" s="414" t="s">
        <v>1904</v>
      </c>
      <c r="C1549" s="51">
        <f t="shared" si="315"/>
        <v>421216.87</v>
      </c>
      <c r="D1549" s="51">
        <f t="shared" si="318"/>
        <v>0</v>
      </c>
      <c r="E1549" s="51"/>
      <c r="F1549" s="51"/>
      <c r="G1549" s="51"/>
      <c r="H1549" s="51"/>
      <c r="I1549" s="51"/>
      <c r="J1549" s="51"/>
      <c r="K1549" s="51"/>
      <c r="L1549" s="51"/>
      <c r="M1549" s="35"/>
      <c r="N1549" s="51"/>
      <c r="O1549" s="129"/>
      <c r="P1549" s="51"/>
      <c r="Q1549" s="338"/>
      <c r="R1549" s="51"/>
      <c r="S1549" s="51"/>
      <c r="T1549" s="338"/>
      <c r="U1549" s="51"/>
      <c r="V1549" s="35"/>
      <c r="W1549" s="364">
        <f t="shared" si="319"/>
        <v>421216.87</v>
      </c>
      <c r="X1549" s="285">
        <f>101876.21+120053.28+99643.69+99643.69</f>
        <v>421216.87</v>
      </c>
      <c r="Y1549" s="9"/>
      <c r="Z1549" s="306"/>
      <c r="AA1549" s="302"/>
      <c r="AB1549" s="302"/>
      <c r="AC1549" s="56"/>
      <c r="AD1549" s="56" t="s">
        <v>1349</v>
      </c>
      <c r="AE1549" s="56"/>
    </row>
    <row r="1550" spans="1:31" x14ac:dyDescent="0.3">
      <c r="A1550" s="47">
        <f t="shared" si="320"/>
        <v>1438</v>
      </c>
      <c r="B1550" s="414" t="s">
        <v>1905</v>
      </c>
      <c r="C1550" s="51">
        <f t="shared" si="315"/>
        <v>719959.14999999991</v>
      </c>
      <c r="D1550" s="51">
        <f t="shared" si="318"/>
        <v>0</v>
      </c>
      <c r="E1550" s="51"/>
      <c r="F1550" s="51"/>
      <c r="G1550" s="51"/>
      <c r="H1550" s="51"/>
      <c r="I1550" s="51"/>
      <c r="J1550" s="51"/>
      <c r="K1550" s="51"/>
      <c r="L1550" s="51"/>
      <c r="M1550" s="35"/>
      <c r="N1550" s="51"/>
      <c r="O1550" s="129"/>
      <c r="P1550" s="51"/>
      <c r="Q1550" s="338"/>
      <c r="R1550" s="51"/>
      <c r="S1550" s="51"/>
      <c r="T1550" s="338"/>
      <c r="U1550" s="51"/>
      <c r="V1550" s="35"/>
      <c r="W1550" s="364">
        <f t="shared" si="319"/>
        <v>719959.14999999991</v>
      </c>
      <c r="X1550" s="285">
        <f>165147.44+126877.06</f>
        <v>292024.5</v>
      </c>
      <c r="Y1550" s="9">
        <v>258905.94</v>
      </c>
      <c r="Z1550" s="306">
        <v>169028.71</v>
      </c>
      <c r="AA1550" s="302"/>
      <c r="AB1550" s="302"/>
      <c r="AC1550" s="56"/>
      <c r="AD1550" s="56"/>
      <c r="AE1550" s="56"/>
    </row>
    <row r="1551" spans="1:31" x14ac:dyDescent="0.3">
      <c r="A1551" s="47">
        <f t="shared" si="320"/>
        <v>1439</v>
      </c>
      <c r="B1551" s="414" t="s">
        <v>1906</v>
      </c>
      <c r="C1551" s="51">
        <f t="shared" si="315"/>
        <v>762665.26</v>
      </c>
      <c r="D1551" s="51">
        <f t="shared" si="318"/>
        <v>0</v>
      </c>
      <c r="E1551" s="51"/>
      <c r="F1551" s="51"/>
      <c r="G1551" s="51"/>
      <c r="H1551" s="51"/>
      <c r="I1551" s="51"/>
      <c r="J1551" s="51"/>
      <c r="K1551" s="51"/>
      <c r="L1551" s="51"/>
      <c r="M1551" s="35"/>
      <c r="N1551" s="51"/>
      <c r="O1551" s="129"/>
      <c r="P1551" s="51"/>
      <c r="Q1551" s="338"/>
      <c r="R1551" s="51"/>
      <c r="S1551" s="51"/>
      <c r="T1551" s="338"/>
      <c r="U1551" s="51"/>
      <c r="V1551" s="35"/>
      <c r="W1551" s="364">
        <f t="shared" si="319"/>
        <v>762665.26</v>
      </c>
      <c r="X1551" s="285">
        <f>101879.14+120263.22+100455.61+100455.61</f>
        <v>423053.57999999996</v>
      </c>
      <c r="Y1551" s="9">
        <v>188515.43</v>
      </c>
      <c r="Z1551" s="306">
        <v>151096.25</v>
      </c>
      <c r="AA1551" s="302"/>
      <c r="AB1551" s="302"/>
      <c r="AC1551" s="56"/>
      <c r="AD1551" s="56" t="s">
        <v>1349</v>
      </c>
      <c r="AE1551" s="56"/>
    </row>
    <row r="1552" spans="1:31" x14ac:dyDescent="0.3">
      <c r="A1552" s="47">
        <f t="shared" si="320"/>
        <v>1440</v>
      </c>
      <c r="B1552" s="414" t="s">
        <v>1907</v>
      </c>
      <c r="C1552" s="51">
        <f t="shared" si="315"/>
        <v>788113.67</v>
      </c>
      <c r="D1552" s="51">
        <f t="shared" si="318"/>
        <v>0</v>
      </c>
      <c r="E1552" s="51"/>
      <c r="F1552" s="51"/>
      <c r="G1552" s="51"/>
      <c r="H1552" s="51"/>
      <c r="I1552" s="51"/>
      <c r="J1552" s="51"/>
      <c r="K1552" s="51"/>
      <c r="L1552" s="51"/>
      <c r="M1552" s="35"/>
      <c r="N1552" s="51"/>
      <c r="O1552" s="129"/>
      <c r="P1552" s="51"/>
      <c r="Q1552" s="338"/>
      <c r="R1552" s="51"/>
      <c r="S1552" s="51"/>
      <c r="T1552" s="338"/>
      <c r="U1552" s="51"/>
      <c r="V1552" s="35"/>
      <c r="W1552" s="364">
        <f t="shared" si="319"/>
        <v>788113.67</v>
      </c>
      <c r="X1552" s="285">
        <f>113802.01+132035.57+111229.43+111229.43</f>
        <v>468296.44</v>
      </c>
      <c r="Y1552" s="9">
        <v>204722.1</v>
      </c>
      <c r="Z1552" s="306">
        <v>115095.13</v>
      </c>
      <c r="AA1552" s="302"/>
      <c r="AB1552" s="302"/>
      <c r="AC1552" s="56"/>
      <c r="AD1552" s="56" t="s">
        <v>1349</v>
      </c>
      <c r="AE1552" s="56"/>
    </row>
    <row r="1553" spans="1:31" x14ac:dyDescent="0.3">
      <c r="A1553" s="47">
        <f t="shared" si="320"/>
        <v>1441</v>
      </c>
      <c r="B1553" s="414" t="s">
        <v>1908</v>
      </c>
      <c r="C1553" s="51">
        <f t="shared" si="315"/>
        <v>429974.99</v>
      </c>
      <c r="D1553" s="51">
        <f t="shared" si="318"/>
        <v>0</v>
      </c>
      <c r="E1553" s="51"/>
      <c r="F1553" s="51"/>
      <c r="G1553" s="51"/>
      <c r="H1553" s="51"/>
      <c r="I1553" s="51"/>
      <c r="J1553" s="51"/>
      <c r="K1553" s="51"/>
      <c r="L1553" s="51"/>
      <c r="M1553" s="35"/>
      <c r="N1553" s="51"/>
      <c r="O1553" s="129"/>
      <c r="P1553" s="51"/>
      <c r="Q1553" s="338"/>
      <c r="R1553" s="51"/>
      <c r="S1553" s="51"/>
      <c r="T1553" s="338"/>
      <c r="U1553" s="51"/>
      <c r="V1553" s="35"/>
      <c r="W1553" s="364">
        <f t="shared" si="319"/>
        <v>429974.99</v>
      </c>
      <c r="X1553" s="285">
        <f>58888.68+73746.58+56535.42+56535.42</f>
        <v>245706.09999999998</v>
      </c>
      <c r="Y1553" s="9"/>
      <c r="Z1553" s="306">
        <v>184268.89</v>
      </c>
      <c r="AA1553" s="302"/>
      <c r="AB1553" s="302"/>
      <c r="AC1553" s="56"/>
      <c r="AD1553" s="56" t="s">
        <v>1349</v>
      </c>
      <c r="AE1553" s="56"/>
    </row>
    <row r="1554" spans="1:31" x14ac:dyDescent="0.3">
      <c r="A1554" s="47">
        <f t="shared" si="320"/>
        <v>1442</v>
      </c>
      <c r="B1554" s="414" t="s">
        <v>1909</v>
      </c>
      <c r="C1554" s="51">
        <f t="shared" si="315"/>
        <v>1872593.0799999998</v>
      </c>
      <c r="D1554" s="51">
        <f t="shared" si="318"/>
        <v>0</v>
      </c>
      <c r="E1554" s="51"/>
      <c r="F1554" s="51"/>
      <c r="G1554" s="51"/>
      <c r="H1554" s="51"/>
      <c r="I1554" s="51"/>
      <c r="J1554" s="51"/>
      <c r="K1554" s="51"/>
      <c r="L1554" s="51"/>
      <c r="M1554" s="35">
        <v>219.2</v>
      </c>
      <c r="N1554" s="51">
        <v>1343074.68</v>
      </c>
      <c r="O1554" s="129"/>
      <c r="P1554" s="51"/>
      <c r="Q1554" s="338"/>
      <c r="R1554" s="51"/>
      <c r="S1554" s="51"/>
      <c r="T1554" s="338"/>
      <c r="U1554" s="51"/>
      <c r="V1554" s="35"/>
      <c r="W1554" s="364">
        <f t="shared" si="319"/>
        <v>529518.39999999991</v>
      </c>
      <c r="X1554" s="285">
        <f>77822.45+95885.59+76275.86+76275.86</f>
        <v>326259.75999999995</v>
      </c>
      <c r="Y1554" s="9">
        <v>149884.16</v>
      </c>
      <c r="Z1554" s="306">
        <v>53374.48</v>
      </c>
      <c r="AA1554" s="302"/>
      <c r="AB1554" s="302"/>
      <c r="AC1554" s="56"/>
      <c r="AD1554" s="56" t="s">
        <v>1349</v>
      </c>
      <c r="AE1554" s="56"/>
    </row>
    <row r="1555" spans="1:31" x14ac:dyDescent="0.3">
      <c r="A1555" s="47">
        <f t="shared" si="320"/>
        <v>1443</v>
      </c>
      <c r="B1555" s="414" t="s">
        <v>1910</v>
      </c>
      <c r="C1555" s="51">
        <f t="shared" si="315"/>
        <v>543059.15</v>
      </c>
      <c r="D1555" s="51">
        <f t="shared" si="318"/>
        <v>0</v>
      </c>
      <c r="E1555" s="51"/>
      <c r="F1555" s="51"/>
      <c r="G1555" s="51"/>
      <c r="H1555" s="51"/>
      <c r="I1555" s="51"/>
      <c r="J1555" s="51"/>
      <c r="K1555" s="51"/>
      <c r="L1555" s="51"/>
      <c r="M1555" s="35"/>
      <c r="N1555" s="51"/>
      <c r="O1555" s="129"/>
      <c r="P1555" s="51"/>
      <c r="Q1555" s="338"/>
      <c r="R1555" s="51"/>
      <c r="S1555" s="51"/>
      <c r="T1555" s="338"/>
      <c r="U1555" s="51"/>
      <c r="V1555" s="35"/>
      <c r="W1555" s="364">
        <f t="shared" si="319"/>
        <v>543059.15</v>
      </c>
      <c r="X1555" s="285">
        <f>90051.44+108172.52+88156.15+88156.15</f>
        <v>374536.26</v>
      </c>
      <c r="Y1555" s="9">
        <v>168522.89</v>
      </c>
      <c r="Z1555" s="306"/>
      <c r="AA1555" s="302"/>
      <c r="AB1555" s="302"/>
      <c r="AC1555" s="56"/>
      <c r="AD1555" s="56" t="s">
        <v>1349</v>
      </c>
      <c r="AE1555" s="56"/>
    </row>
    <row r="1556" spans="1:31" x14ac:dyDescent="0.3">
      <c r="A1556" s="47">
        <f t="shared" si="320"/>
        <v>1444</v>
      </c>
      <c r="B1556" s="414" t="s">
        <v>1911</v>
      </c>
      <c r="C1556" s="51">
        <f t="shared" si="315"/>
        <v>511260.57</v>
      </c>
      <c r="D1556" s="51">
        <f t="shared" si="318"/>
        <v>0</v>
      </c>
      <c r="E1556" s="51"/>
      <c r="F1556" s="51"/>
      <c r="G1556" s="51"/>
      <c r="H1556" s="51"/>
      <c r="I1556" s="51"/>
      <c r="J1556" s="51"/>
      <c r="K1556" s="51"/>
      <c r="L1556" s="51"/>
      <c r="M1556" s="35"/>
      <c r="N1556" s="51"/>
      <c r="O1556" s="129"/>
      <c r="P1556" s="51"/>
      <c r="Q1556" s="338"/>
      <c r="R1556" s="51"/>
      <c r="S1556" s="51"/>
      <c r="T1556" s="338"/>
      <c r="U1556" s="51"/>
      <c r="V1556" s="35"/>
      <c r="W1556" s="364">
        <f t="shared" si="319"/>
        <v>511260.57</v>
      </c>
      <c r="X1556" s="285">
        <f>84240.13+102333.7+82510.55+82510.55</f>
        <v>351594.93</v>
      </c>
      <c r="Y1556" s="9">
        <v>159665.64000000001</v>
      </c>
      <c r="Z1556" s="306"/>
      <c r="AA1556" s="302"/>
      <c r="AB1556" s="302"/>
      <c r="AC1556" s="56"/>
      <c r="AD1556" s="56" t="s">
        <v>1349</v>
      </c>
      <c r="AE1556" s="56"/>
    </row>
    <row r="1557" spans="1:31" x14ac:dyDescent="0.3">
      <c r="A1557" s="47">
        <f t="shared" si="320"/>
        <v>1445</v>
      </c>
      <c r="B1557" s="414" t="s">
        <v>1912</v>
      </c>
      <c r="C1557" s="51">
        <f t="shared" si="315"/>
        <v>585531.27</v>
      </c>
      <c r="D1557" s="51">
        <f t="shared" si="318"/>
        <v>0</v>
      </c>
      <c r="E1557" s="51"/>
      <c r="F1557" s="51"/>
      <c r="G1557" s="51"/>
      <c r="H1557" s="51"/>
      <c r="I1557" s="51"/>
      <c r="J1557" s="51"/>
      <c r="K1557" s="51"/>
      <c r="L1557" s="51"/>
      <c r="M1557" s="35"/>
      <c r="N1557" s="51"/>
      <c r="O1557" s="129"/>
      <c r="P1557" s="51"/>
      <c r="Q1557" s="338"/>
      <c r="R1557" s="51"/>
      <c r="S1557" s="51"/>
      <c r="T1557" s="338"/>
      <c r="U1557" s="51"/>
      <c r="V1557" s="35"/>
      <c r="W1557" s="364">
        <f t="shared" si="319"/>
        <v>585531.27</v>
      </c>
      <c r="X1557" s="285">
        <f>118373.58+136877.56+116228.11</f>
        <v>371479.25</v>
      </c>
      <c r="Y1557" s="9">
        <v>214052.02</v>
      </c>
      <c r="Z1557" s="306"/>
      <c r="AA1557" s="302"/>
      <c r="AB1557" s="302"/>
      <c r="AC1557" s="56"/>
      <c r="AD1557" s="56" t="s">
        <v>1841</v>
      </c>
      <c r="AE1557" s="56"/>
    </row>
    <row r="1558" spans="1:31" x14ac:dyDescent="0.3">
      <c r="A1558" s="47">
        <f t="shared" si="320"/>
        <v>1446</v>
      </c>
      <c r="B1558" s="414" t="s">
        <v>1913</v>
      </c>
      <c r="C1558" s="51">
        <f t="shared" si="315"/>
        <v>942016.9</v>
      </c>
      <c r="D1558" s="51">
        <f t="shared" si="318"/>
        <v>0</v>
      </c>
      <c r="E1558" s="51"/>
      <c r="F1558" s="51"/>
      <c r="G1558" s="51"/>
      <c r="H1558" s="51"/>
      <c r="I1558" s="51"/>
      <c r="J1558" s="51"/>
      <c r="K1558" s="51"/>
      <c r="L1558" s="51"/>
      <c r="M1558" s="35"/>
      <c r="N1558" s="51"/>
      <c r="O1558" s="129"/>
      <c r="P1558" s="51"/>
      <c r="Q1558" s="338"/>
      <c r="R1558" s="51"/>
      <c r="S1558" s="51"/>
      <c r="T1558" s="338"/>
      <c r="U1558" s="51"/>
      <c r="V1558" s="35"/>
      <c r="W1558" s="364">
        <f t="shared" si="319"/>
        <v>942016.9</v>
      </c>
      <c r="X1558" s="285">
        <f>105764.08+124176.4+104170.5+104170.5+104170.5</f>
        <v>542451.98</v>
      </c>
      <c r="Y1558" s="9">
        <v>194530.02</v>
      </c>
      <c r="Z1558" s="306">
        <v>205034.9</v>
      </c>
      <c r="AA1558" s="302"/>
      <c r="AB1558" s="302"/>
      <c r="AC1558" s="56"/>
      <c r="AD1558" s="56" t="s">
        <v>1349</v>
      </c>
      <c r="AE1558" s="56"/>
    </row>
    <row r="1559" spans="1:31" x14ac:dyDescent="0.3">
      <c r="A1559" s="47">
        <f t="shared" si="320"/>
        <v>1447</v>
      </c>
      <c r="B1559" s="414" t="s">
        <v>1914</v>
      </c>
      <c r="C1559" s="51">
        <f t="shared" si="315"/>
        <v>582047.01</v>
      </c>
      <c r="D1559" s="51">
        <f t="shared" si="318"/>
        <v>0</v>
      </c>
      <c r="E1559" s="51"/>
      <c r="F1559" s="51"/>
      <c r="G1559" s="51"/>
      <c r="H1559" s="51"/>
      <c r="I1559" s="51"/>
      <c r="J1559" s="51"/>
      <c r="K1559" s="51"/>
      <c r="L1559" s="51"/>
      <c r="M1559" s="35"/>
      <c r="N1559" s="51"/>
      <c r="O1559" s="129"/>
      <c r="P1559" s="51"/>
      <c r="Q1559" s="338"/>
      <c r="R1559" s="51"/>
      <c r="S1559" s="51"/>
      <c r="T1559" s="338"/>
      <c r="U1559" s="51"/>
      <c r="V1559" s="35"/>
      <c r="W1559" s="364">
        <f t="shared" si="319"/>
        <v>582047.01</v>
      </c>
      <c r="X1559" s="285">
        <f>97176.6+115331.46+95078.15+95078.15</f>
        <v>402664.36</v>
      </c>
      <c r="Y1559" s="9">
        <v>179382.65</v>
      </c>
      <c r="Z1559" s="306"/>
      <c r="AA1559" s="302"/>
      <c r="AB1559" s="302"/>
      <c r="AC1559" s="56"/>
      <c r="AD1559" s="56" t="s">
        <v>1349</v>
      </c>
      <c r="AE1559" s="56"/>
    </row>
    <row r="1560" spans="1:31" x14ac:dyDescent="0.3">
      <c r="A1560" s="47">
        <f t="shared" si="320"/>
        <v>1448</v>
      </c>
      <c r="B1560" s="414" t="s">
        <v>1915</v>
      </c>
      <c r="C1560" s="51">
        <f t="shared" si="315"/>
        <v>396353.88</v>
      </c>
      <c r="D1560" s="51">
        <f t="shared" si="318"/>
        <v>0</v>
      </c>
      <c r="E1560" s="51"/>
      <c r="F1560" s="51"/>
      <c r="G1560" s="51"/>
      <c r="H1560" s="51"/>
      <c r="I1560" s="51"/>
      <c r="J1560" s="51"/>
      <c r="K1560" s="51"/>
      <c r="L1560" s="51"/>
      <c r="M1560" s="35"/>
      <c r="N1560" s="51"/>
      <c r="O1560" s="129"/>
      <c r="P1560" s="51"/>
      <c r="Q1560" s="338"/>
      <c r="R1560" s="51"/>
      <c r="S1560" s="51"/>
      <c r="T1560" s="338"/>
      <c r="U1560" s="51"/>
      <c r="V1560" s="35"/>
      <c r="W1560" s="364">
        <f t="shared" si="319"/>
        <v>396353.88</v>
      </c>
      <c r="X1560" s="285">
        <f>47903.42+62718.5+45808.12+45808.12</f>
        <v>202238.16</v>
      </c>
      <c r="Y1560" s="9">
        <v>104063.11</v>
      </c>
      <c r="Z1560" s="306">
        <v>90052.61</v>
      </c>
      <c r="AA1560" s="302"/>
      <c r="AB1560" s="302"/>
      <c r="AC1560" s="56"/>
      <c r="AD1560" s="56" t="s">
        <v>1349</v>
      </c>
      <c r="AE1560" s="56"/>
    </row>
    <row r="1561" spans="1:31" x14ac:dyDescent="0.3">
      <c r="A1561" s="47">
        <f t="shared" si="320"/>
        <v>1449</v>
      </c>
      <c r="B1561" s="414" t="s">
        <v>1916</v>
      </c>
      <c r="C1561" s="51">
        <f t="shared" si="315"/>
        <v>308652.5</v>
      </c>
      <c r="D1561" s="51">
        <f t="shared" si="318"/>
        <v>0</v>
      </c>
      <c r="E1561" s="51"/>
      <c r="F1561" s="51"/>
      <c r="G1561" s="51"/>
      <c r="H1561" s="51"/>
      <c r="I1561" s="51"/>
      <c r="J1561" s="51"/>
      <c r="K1561" s="51"/>
      <c r="L1561" s="51"/>
      <c r="M1561" s="35"/>
      <c r="N1561" s="51"/>
      <c r="O1561" s="129"/>
      <c r="P1561" s="51"/>
      <c r="Q1561" s="338"/>
      <c r="R1561" s="51"/>
      <c r="S1561" s="51"/>
      <c r="T1561" s="338"/>
      <c r="U1561" s="51"/>
      <c r="V1561" s="35"/>
      <c r="W1561" s="364">
        <f t="shared" si="319"/>
        <v>308652.5</v>
      </c>
      <c r="X1561" s="285">
        <f>48333.02+63149.78+46227.62+46227.62</f>
        <v>203938.03999999998</v>
      </c>
      <c r="Y1561" s="9">
        <v>104714.46</v>
      </c>
      <c r="Z1561" s="306"/>
      <c r="AA1561" s="302"/>
      <c r="AB1561" s="302"/>
      <c r="AC1561" s="56"/>
      <c r="AD1561" s="56" t="s">
        <v>1349</v>
      </c>
      <c r="AE1561" s="56"/>
    </row>
    <row r="1562" spans="1:31" x14ac:dyDescent="0.3">
      <c r="A1562" s="47">
        <f t="shared" si="320"/>
        <v>1450</v>
      </c>
      <c r="B1562" s="414" t="s">
        <v>1917</v>
      </c>
      <c r="C1562" s="51">
        <f t="shared" si="315"/>
        <v>706434.69000000006</v>
      </c>
      <c r="D1562" s="51">
        <f t="shared" si="318"/>
        <v>0</v>
      </c>
      <c r="E1562" s="51"/>
      <c r="F1562" s="51"/>
      <c r="G1562" s="51"/>
      <c r="H1562" s="51"/>
      <c r="I1562" s="51"/>
      <c r="J1562" s="51"/>
      <c r="K1562" s="51"/>
      <c r="L1562" s="51"/>
      <c r="M1562" s="35"/>
      <c r="N1562" s="51"/>
      <c r="O1562" s="129"/>
      <c r="P1562" s="51"/>
      <c r="Q1562" s="338"/>
      <c r="R1562" s="51"/>
      <c r="S1562" s="51"/>
      <c r="T1562" s="338"/>
      <c r="U1562" s="51"/>
      <c r="V1562" s="35"/>
      <c r="W1562" s="364">
        <f t="shared" si="319"/>
        <v>706434.69000000006</v>
      </c>
      <c r="X1562" s="285">
        <f>87726.94+105837+85897.92+85897.92</f>
        <v>365359.77999999997</v>
      </c>
      <c r="Y1562" s="9">
        <v>164980</v>
      </c>
      <c r="Z1562" s="306">
        <v>176094.91</v>
      </c>
      <c r="AA1562" s="302"/>
      <c r="AB1562" s="302"/>
      <c r="AC1562" s="56"/>
      <c r="AD1562" s="56" t="s">
        <v>1349</v>
      </c>
      <c r="AE1562" s="56"/>
    </row>
    <row r="1563" spans="1:31" x14ac:dyDescent="0.3">
      <c r="A1563" s="47">
        <f t="shared" si="320"/>
        <v>1451</v>
      </c>
      <c r="B1563" s="414" t="s">
        <v>1918</v>
      </c>
      <c r="C1563" s="51">
        <f t="shared" si="315"/>
        <v>646541.07000000007</v>
      </c>
      <c r="D1563" s="51">
        <f t="shared" si="318"/>
        <v>0</v>
      </c>
      <c r="E1563" s="51"/>
      <c r="F1563" s="51"/>
      <c r="G1563" s="51"/>
      <c r="H1563" s="51"/>
      <c r="I1563" s="51"/>
      <c r="J1563" s="51"/>
      <c r="K1563" s="51"/>
      <c r="L1563" s="51"/>
      <c r="M1563" s="35">
        <v>13</v>
      </c>
      <c r="N1563" s="51">
        <f>8094*M1563</f>
        <v>105222</v>
      </c>
      <c r="O1563" s="129"/>
      <c r="P1563" s="51"/>
      <c r="Q1563" s="338"/>
      <c r="R1563" s="51"/>
      <c r="S1563" s="51"/>
      <c r="T1563" s="338"/>
      <c r="U1563" s="51"/>
      <c r="V1563" s="35"/>
      <c r="W1563" s="364">
        <f t="shared" si="319"/>
        <v>541319.07000000007</v>
      </c>
      <c r="X1563" s="285">
        <f>90026.83+108324.78+89122.08+89122.08</f>
        <v>376595.77</v>
      </c>
      <c r="Y1563" s="9"/>
      <c r="Z1563" s="306">
        <v>164723.29999999999</v>
      </c>
      <c r="AA1563" s="302"/>
      <c r="AB1563" s="302"/>
      <c r="AC1563" s="56"/>
      <c r="AD1563" s="56" t="s">
        <v>1349</v>
      </c>
      <c r="AE1563" s="56"/>
    </row>
    <row r="1564" spans="1:31" x14ac:dyDescent="0.3">
      <c r="A1564" s="47">
        <f t="shared" si="320"/>
        <v>1452</v>
      </c>
      <c r="B1564" s="414" t="s">
        <v>1919</v>
      </c>
      <c r="C1564" s="51">
        <f t="shared" si="315"/>
        <v>569872.52</v>
      </c>
      <c r="D1564" s="51">
        <f t="shared" si="318"/>
        <v>0</v>
      </c>
      <c r="E1564" s="51"/>
      <c r="F1564" s="51"/>
      <c r="G1564" s="51"/>
      <c r="H1564" s="51"/>
      <c r="I1564" s="51"/>
      <c r="J1564" s="51"/>
      <c r="K1564" s="51"/>
      <c r="L1564" s="51"/>
      <c r="M1564" s="35">
        <v>13</v>
      </c>
      <c r="N1564" s="51">
        <f>8094*M1564</f>
        <v>105222</v>
      </c>
      <c r="O1564" s="129"/>
      <c r="P1564" s="51"/>
      <c r="Q1564" s="338"/>
      <c r="R1564" s="51"/>
      <c r="S1564" s="51"/>
      <c r="T1564" s="338"/>
      <c r="U1564" s="51"/>
      <c r="V1564" s="35"/>
      <c r="W1564" s="364">
        <f t="shared" si="319"/>
        <v>464650.51999999996</v>
      </c>
      <c r="X1564" s="285">
        <f>102372.96+120760.67+100927.85+100927.85</f>
        <v>424989.32999999996</v>
      </c>
      <c r="Y1564" s="9"/>
      <c r="Z1564" s="306">
        <v>39661.19</v>
      </c>
      <c r="AA1564" s="302"/>
      <c r="AB1564" s="302"/>
      <c r="AC1564" s="56"/>
      <c r="AD1564" s="56" t="s">
        <v>1349</v>
      </c>
      <c r="AE1564" s="56"/>
    </row>
    <row r="1565" spans="1:31" x14ac:dyDescent="0.3">
      <c r="A1565" s="47">
        <f t="shared" si="320"/>
        <v>1453</v>
      </c>
      <c r="B1565" s="414" t="s">
        <v>1920</v>
      </c>
      <c r="C1565" s="51">
        <f t="shared" si="315"/>
        <v>590261.93999999994</v>
      </c>
      <c r="D1565" s="51">
        <f t="shared" si="318"/>
        <v>0</v>
      </c>
      <c r="E1565" s="51"/>
      <c r="F1565" s="51"/>
      <c r="G1565" s="51"/>
      <c r="H1565" s="51"/>
      <c r="I1565" s="51"/>
      <c r="J1565" s="51"/>
      <c r="K1565" s="51"/>
      <c r="L1565" s="51"/>
      <c r="M1565" s="35">
        <v>13</v>
      </c>
      <c r="N1565" s="51">
        <f>8094*M1565</f>
        <v>105222</v>
      </c>
      <c r="O1565" s="129"/>
      <c r="P1565" s="51"/>
      <c r="Q1565" s="338"/>
      <c r="R1565" s="51"/>
      <c r="S1565" s="51"/>
      <c r="T1565" s="338"/>
      <c r="U1565" s="51"/>
      <c r="V1565" s="35"/>
      <c r="W1565" s="364">
        <f t="shared" si="319"/>
        <v>485039.94</v>
      </c>
      <c r="X1565" s="285">
        <f>80184.08+95125.04+77330.82+77330.82</f>
        <v>329970.76</v>
      </c>
      <c r="Y1565" s="9"/>
      <c r="Z1565" s="306">
        <v>155069.18</v>
      </c>
      <c r="AA1565" s="302"/>
      <c r="AB1565" s="302"/>
      <c r="AC1565" s="56"/>
      <c r="AD1565" s="56" t="s">
        <v>1349</v>
      </c>
      <c r="AE1565" s="56"/>
    </row>
    <row r="1566" spans="1:31" x14ac:dyDescent="0.3">
      <c r="A1566" s="47">
        <f t="shared" si="320"/>
        <v>1454</v>
      </c>
      <c r="B1566" s="414" t="s">
        <v>1921</v>
      </c>
      <c r="C1566" s="51">
        <f t="shared" si="315"/>
        <v>1027447.2</v>
      </c>
      <c r="D1566" s="51">
        <f t="shared" si="318"/>
        <v>0</v>
      </c>
      <c r="E1566" s="51"/>
      <c r="F1566" s="51"/>
      <c r="G1566" s="51"/>
      <c r="H1566" s="51"/>
      <c r="I1566" s="51"/>
      <c r="J1566" s="51"/>
      <c r="K1566" s="51"/>
      <c r="L1566" s="51"/>
      <c r="M1566" s="35"/>
      <c r="N1566" s="51"/>
      <c r="O1566" s="129"/>
      <c r="P1566" s="51"/>
      <c r="Q1566" s="338"/>
      <c r="R1566" s="51"/>
      <c r="S1566" s="51"/>
      <c r="T1566" s="338">
        <v>789</v>
      </c>
      <c r="U1566" s="51">
        <v>1027447.2</v>
      </c>
      <c r="V1566" s="35"/>
      <c r="W1566" s="364">
        <f t="shared" si="319"/>
        <v>0</v>
      </c>
      <c r="X1566" s="285"/>
      <c r="Y1566" s="9"/>
      <c r="Z1566" s="306"/>
      <c r="AA1566" s="302"/>
      <c r="AB1566" s="302"/>
      <c r="AC1566" s="56"/>
      <c r="AD1566" s="56"/>
      <c r="AE1566" s="56"/>
    </row>
    <row r="1567" spans="1:31" x14ac:dyDescent="0.3">
      <c r="A1567" s="47">
        <f t="shared" si="320"/>
        <v>1455</v>
      </c>
      <c r="B1567" s="414" t="s">
        <v>1923</v>
      </c>
      <c r="C1567" s="51">
        <f t="shared" si="315"/>
        <v>940432.41</v>
      </c>
      <c r="D1567" s="51">
        <f t="shared" si="318"/>
        <v>0</v>
      </c>
      <c r="E1567" s="51"/>
      <c r="F1567" s="51"/>
      <c r="G1567" s="51"/>
      <c r="H1567" s="51"/>
      <c r="I1567" s="51"/>
      <c r="J1567" s="51"/>
      <c r="K1567" s="51"/>
      <c r="L1567" s="51"/>
      <c r="M1567" s="35"/>
      <c r="N1567" s="51"/>
      <c r="O1567" s="129"/>
      <c r="P1567" s="51"/>
      <c r="Q1567" s="338"/>
      <c r="R1567" s="51"/>
      <c r="S1567" s="51"/>
      <c r="T1567" s="338"/>
      <c r="U1567" s="51"/>
      <c r="V1567" s="35"/>
      <c r="W1567" s="364">
        <f t="shared" si="319"/>
        <v>940432.41</v>
      </c>
      <c r="X1567" s="285">
        <f>88131.18+106243.18+86290.66+86290.66</f>
        <v>366955.68000000005</v>
      </c>
      <c r="Y1567" s="9"/>
      <c r="Z1567" s="306"/>
      <c r="AA1567" s="302">
        <v>420676.48</v>
      </c>
      <c r="AB1567" s="302">
        <v>152800.25</v>
      </c>
      <c r="AC1567" s="56"/>
      <c r="AD1567" s="56" t="s">
        <v>1349</v>
      </c>
      <c r="AE1567" s="56"/>
    </row>
    <row r="1568" spans="1:31" x14ac:dyDescent="0.3">
      <c r="A1568" s="47">
        <f t="shared" si="320"/>
        <v>1456</v>
      </c>
      <c r="B1568" s="414" t="s">
        <v>1924</v>
      </c>
      <c r="C1568" s="51">
        <f t="shared" si="315"/>
        <v>4296182</v>
      </c>
      <c r="D1568" s="51">
        <f t="shared" si="318"/>
        <v>0</v>
      </c>
      <c r="E1568" s="51"/>
      <c r="F1568" s="51"/>
      <c r="G1568" s="51"/>
      <c r="H1568" s="51"/>
      <c r="I1568" s="51"/>
      <c r="J1568" s="51"/>
      <c r="K1568" s="51"/>
      <c r="L1568" s="51"/>
      <c r="M1568" s="35">
        <v>380.6</v>
      </c>
      <c r="N1568" s="51">
        <v>2918821.6</v>
      </c>
      <c r="O1568" s="129"/>
      <c r="P1568" s="51"/>
      <c r="Q1568" s="338"/>
      <c r="R1568" s="51"/>
      <c r="S1568" s="51"/>
      <c r="T1568" s="338">
        <v>436</v>
      </c>
      <c r="U1568" s="51">
        <v>1247360.3999999999</v>
      </c>
      <c r="V1568" s="35"/>
      <c r="W1568" s="364">
        <v>130000</v>
      </c>
      <c r="X1568" s="285"/>
      <c r="Y1568" s="9"/>
      <c r="Z1568" s="306"/>
      <c r="AA1568" s="302"/>
      <c r="AB1568" s="302"/>
      <c r="AC1568" s="56"/>
      <c r="AD1568" s="56"/>
      <c r="AE1568" s="56"/>
    </row>
    <row r="1569" spans="1:31" x14ac:dyDescent="0.3">
      <c r="A1569" s="47">
        <f t="shared" si="320"/>
        <v>1457</v>
      </c>
      <c r="B1569" s="414" t="s">
        <v>1925</v>
      </c>
      <c r="C1569" s="51">
        <f t="shared" si="315"/>
        <v>2741130.4000000004</v>
      </c>
      <c r="D1569" s="51">
        <f t="shared" si="318"/>
        <v>0</v>
      </c>
      <c r="E1569" s="51"/>
      <c r="F1569" s="51"/>
      <c r="G1569" s="399"/>
      <c r="H1569" s="51"/>
      <c r="I1569" s="51"/>
      <c r="J1569" s="51"/>
      <c r="K1569" s="51"/>
      <c r="L1569" s="51"/>
      <c r="M1569" s="35">
        <v>165</v>
      </c>
      <c r="N1569" s="51">
        <v>1969827.6</v>
      </c>
      <c r="O1569" s="129"/>
      <c r="P1569" s="51"/>
      <c r="Q1569" s="338"/>
      <c r="R1569" s="51"/>
      <c r="S1569" s="51"/>
      <c r="T1569" s="338">
        <v>269.3</v>
      </c>
      <c r="U1569" s="51">
        <v>641302.80000000005</v>
      </c>
      <c r="V1569" s="35"/>
      <c r="W1569" s="364">
        <v>130000</v>
      </c>
      <c r="X1569" s="285"/>
      <c r="Y1569" s="9"/>
      <c r="Z1569" s="306"/>
      <c r="AA1569" s="302"/>
      <c r="AB1569" s="302"/>
      <c r="AC1569" s="56"/>
      <c r="AD1569" s="56"/>
      <c r="AE1569" s="56"/>
    </row>
    <row r="1570" spans="1:31" x14ac:dyDescent="0.3">
      <c r="A1570" s="47">
        <f t="shared" si="320"/>
        <v>1458</v>
      </c>
      <c r="B1570" s="414" t="s">
        <v>1926</v>
      </c>
      <c r="C1570" s="51">
        <f t="shared" si="315"/>
        <v>1143324.51</v>
      </c>
      <c r="D1570" s="51">
        <f t="shared" si="318"/>
        <v>0</v>
      </c>
      <c r="E1570" s="51"/>
      <c r="F1570" s="51"/>
      <c r="G1570" s="51"/>
      <c r="H1570" s="51"/>
      <c r="I1570" s="51"/>
      <c r="J1570" s="51"/>
      <c r="K1570" s="51"/>
      <c r="L1570" s="51"/>
      <c r="M1570" s="35"/>
      <c r="N1570" s="51"/>
      <c r="O1570" s="129"/>
      <c r="P1570" s="51"/>
      <c r="Q1570" s="338"/>
      <c r="R1570" s="51"/>
      <c r="S1570" s="51"/>
      <c r="T1570" s="338"/>
      <c r="U1570" s="51"/>
      <c r="V1570" s="35"/>
      <c r="W1570" s="364">
        <f>SUM(X1570:AB1570)</f>
        <v>1143324.51</v>
      </c>
      <c r="X1570" s="285">
        <f>71224.08+86130.07+68581.15+68581.15</f>
        <v>294516.45</v>
      </c>
      <c r="Y1570" s="9">
        <v>139421.84</v>
      </c>
      <c r="Z1570" s="306">
        <v>225887.54</v>
      </c>
      <c r="AA1570" s="302">
        <v>356560.04</v>
      </c>
      <c r="AB1570" s="302">
        <v>126938.64</v>
      </c>
      <c r="AC1570" s="56"/>
      <c r="AD1570" s="56" t="s">
        <v>1349</v>
      </c>
      <c r="AE1570" s="56"/>
    </row>
    <row r="1571" spans="1:31" x14ac:dyDescent="0.3">
      <c r="A1571" s="47">
        <f t="shared" si="320"/>
        <v>1459</v>
      </c>
      <c r="B1571" s="414" t="s">
        <v>1922</v>
      </c>
      <c r="C1571" s="51">
        <f t="shared" si="315"/>
        <v>130000</v>
      </c>
      <c r="D1571" s="51"/>
      <c r="E1571" s="51"/>
      <c r="F1571" s="51"/>
      <c r="G1571" s="51"/>
      <c r="H1571" s="51"/>
      <c r="I1571" s="51"/>
      <c r="J1571" s="51"/>
      <c r="K1571" s="51"/>
      <c r="L1571" s="51"/>
      <c r="M1571" s="35"/>
      <c r="N1571" s="51"/>
      <c r="O1571" s="129"/>
      <c r="P1571" s="51"/>
      <c r="Q1571" s="338"/>
      <c r="R1571" s="51"/>
      <c r="S1571" s="51"/>
      <c r="T1571" s="338"/>
      <c r="U1571" s="51"/>
      <c r="V1571" s="35"/>
      <c r="W1571" s="364">
        <v>130000</v>
      </c>
      <c r="X1571" s="285"/>
      <c r="Y1571" s="9"/>
      <c r="Z1571" s="306"/>
      <c r="AA1571" s="302"/>
      <c r="AB1571" s="302"/>
      <c r="AC1571" s="56"/>
      <c r="AD1571" s="56"/>
      <c r="AE1571" s="56"/>
    </row>
    <row r="1572" spans="1:31" x14ac:dyDescent="0.3">
      <c r="A1572" s="47">
        <f t="shared" si="320"/>
        <v>1460</v>
      </c>
      <c r="B1572" s="414" t="s">
        <v>1927</v>
      </c>
      <c r="C1572" s="51">
        <f t="shared" si="315"/>
        <v>1488979.6</v>
      </c>
      <c r="D1572" s="51">
        <f t="shared" si="318"/>
        <v>0</v>
      </c>
      <c r="E1572" s="51"/>
      <c r="F1572" s="51"/>
      <c r="G1572" s="51"/>
      <c r="H1572" s="51"/>
      <c r="I1572" s="51"/>
      <c r="J1572" s="51"/>
      <c r="K1572" s="51"/>
      <c r="L1572" s="51"/>
      <c r="M1572" s="35">
        <v>13</v>
      </c>
      <c r="N1572" s="51">
        <f>8094*M1572</f>
        <v>105222</v>
      </c>
      <c r="O1572" s="129"/>
      <c r="P1572" s="51"/>
      <c r="Q1572" s="338"/>
      <c r="R1572" s="51"/>
      <c r="S1572" s="51"/>
      <c r="T1572" s="338">
        <v>425</v>
      </c>
      <c r="U1572" s="51">
        <v>1253757.6000000001</v>
      </c>
      <c r="V1572" s="35"/>
      <c r="W1572" s="364">
        <v>130000</v>
      </c>
      <c r="X1572" s="285"/>
      <c r="Y1572" s="9"/>
      <c r="Z1572" s="306"/>
      <c r="AA1572" s="302"/>
      <c r="AB1572" s="302"/>
      <c r="AC1572" s="56"/>
      <c r="AD1572" s="56"/>
      <c r="AE1572" s="56"/>
    </row>
    <row r="1573" spans="1:31" x14ac:dyDescent="0.3">
      <c r="A1573" s="47">
        <f t="shared" si="320"/>
        <v>1461</v>
      </c>
      <c r="B1573" s="414" t="s">
        <v>1928</v>
      </c>
      <c r="C1573" s="51">
        <f t="shared" si="315"/>
        <v>732041.55</v>
      </c>
      <c r="D1573" s="51">
        <f t="shared" si="318"/>
        <v>0</v>
      </c>
      <c r="E1573" s="51"/>
      <c r="F1573" s="51"/>
      <c r="G1573" s="51"/>
      <c r="H1573" s="51"/>
      <c r="I1573" s="51"/>
      <c r="J1573" s="51"/>
      <c r="K1573" s="51"/>
      <c r="L1573" s="51"/>
      <c r="M1573" s="35"/>
      <c r="N1573" s="51"/>
      <c r="O1573" s="129"/>
      <c r="P1573" s="51"/>
      <c r="Q1573" s="338"/>
      <c r="R1573" s="51"/>
      <c r="S1573" s="51"/>
      <c r="T1573" s="338">
        <v>13</v>
      </c>
      <c r="U1573" s="51">
        <f>T1573*11890</f>
        <v>154570</v>
      </c>
      <c r="V1573" s="35"/>
      <c r="W1573" s="364">
        <f>SUM(X1573:AB1573)</f>
        <v>577471.55000000005</v>
      </c>
      <c r="X1573" s="285">
        <f>47964.79+62780.11+45868.04+45868.04</f>
        <v>202480.98</v>
      </c>
      <c r="Y1573" s="9">
        <v>104156.16</v>
      </c>
      <c r="Z1573" s="306"/>
      <c r="AA1573" s="302">
        <v>270834.40999999997</v>
      </c>
      <c r="AB1573" s="302"/>
      <c r="AC1573" s="56"/>
      <c r="AD1573" s="56" t="s">
        <v>1349</v>
      </c>
      <c r="AE1573" s="56"/>
    </row>
    <row r="1574" spans="1:31" x14ac:dyDescent="0.3">
      <c r="A1574" s="47"/>
      <c r="B1574" s="414" t="s">
        <v>211</v>
      </c>
      <c r="C1574" s="51">
        <f t="shared" ref="C1574:W1574" si="321">SUM(C1155:C1573)</f>
        <v>399007238.63999981</v>
      </c>
      <c r="D1574" s="51">
        <f t="shared" si="321"/>
        <v>26297884.440000001</v>
      </c>
      <c r="E1574" s="51">
        <f t="shared" si="321"/>
        <v>10718874.840000002</v>
      </c>
      <c r="F1574" s="51">
        <f t="shared" si="321"/>
        <v>8663568.5999999996</v>
      </c>
      <c r="G1574" s="51">
        <f t="shared" si="321"/>
        <v>2867188.8000000003</v>
      </c>
      <c r="H1574" s="51">
        <f t="shared" si="321"/>
        <v>2388768</v>
      </c>
      <c r="I1574" s="51">
        <f t="shared" si="321"/>
        <v>1659484.2000000002</v>
      </c>
      <c r="J1574" s="51">
        <f t="shared" si="321"/>
        <v>0</v>
      </c>
      <c r="K1574" s="51">
        <f t="shared" si="321"/>
        <v>0</v>
      </c>
      <c r="L1574" s="51">
        <f t="shared" si="321"/>
        <v>0</v>
      </c>
      <c r="M1574" s="35">
        <f t="shared" si="321"/>
        <v>15000.160000000002</v>
      </c>
      <c r="N1574" s="51">
        <f t="shared" si="321"/>
        <v>43740877.109999999</v>
      </c>
      <c r="O1574" s="82">
        <f t="shared" si="321"/>
        <v>9523.7999999999993</v>
      </c>
      <c r="P1574" s="51">
        <f t="shared" si="321"/>
        <v>110733925.01000001</v>
      </c>
      <c r="Q1574" s="338">
        <f t="shared" si="321"/>
        <v>0</v>
      </c>
      <c r="R1574" s="51">
        <f t="shared" si="321"/>
        <v>0</v>
      </c>
      <c r="S1574" s="51">
        <f t="shared" si="321"/>
        <v>0</v>
      </c>
      <c r="T1574" s="338">
        <f t="shared" si="321"/>
        <v>4355</v>
      </c>
      <c r="U1574" s="51">
        <f t="shared" si="321"/>
        <v>47658001.600000001</v>
      </c>
      <c r="V1574" s="35">
        <f t="shared" si="321"/>
        <v>0</v>
      </c>
      <c r="W1574" s="51">
        <f t="shared" si="321"/>
        <v>170576550.48000014</v>
      </c>
      <c r="X1574" s="285"/>
      <c r="Y1574" s="9"/>
      <c r="Z1574" s="306"/>
      <c r="AA1574" s="302"/>
      <c r="AB1574" s="302"/>
      <c r="AC1574" s="56"/>
      <c r="AD1574" s="56"/>
      <c r="AE1574" s="56"/>
    </row>
    <row r="1575" spans="1:31" ht="15" customHeight="1" x14ac:dyDescent="0.3">
      <c r="A1575" s="434" t="s">
        <v>1929</v>
      </c>
      <c r="B1575" s="414"/>
      <c r="C1575" s="51"/>
      <c r="D1575" s="51"/>
      <c r="E1575" s="51"/>
      <c r="F1575" s="51"/>
      <c r="G1575" s="51"/>
      <c r="H1575" s="51"/>
      <c r="I1575" s="51"/>
      <c r="J1575" s="51"/>
      <c r="K1575" s="51"/>
      <c r="L1575" s="51"/>
      <c r="M1575" s="35"/>
      <c r="N1575" s="51"/>
      <c r="O1575" s="82"/>
      <c r="P1575" s="51"/>
      <c r="Q1575" s="338"/>
      <c r="R1575" s="51"/>
      <c r="S1575" s="51"/>
      <c r="T1575" s="338"/>
      <c r="U1575" s="51"/>
      <c r="V1575" s="35"/>
      <c r="W1575" s="364"/>
      <c r="X1575" s="285"/>
      <c r="Y1575" s="9"/>
      <c r="Z1575" s="306"/>
      <c r="AA1575" s="302"/>
      <c r="AB1575" s="302"/>
      <c r="AC1575" s="56"/>
      <c r="AD1575" s="56"/>
      <c r="AE1575" s="56"/>
    </row>
    <row r="1576" spans="1:31" x14ac:dyDescent="0.3">
      <c r="A1576" s="47">
        <f t="shared" ref="A1576" si="322">A1573+1</f>
        <v>1462</v>
      </c>
      <c r="B1576" s="414" t="s">
        <v>1934</v>
      </c>
      <c r="C1576" s="51">
        <f>D1576+K1576+L1576+N1576+P1576+R1576+U1576+S1576+V1576+W1576</f>
        <v>4523166.79</v>
      </c>
      <c r="D1576" s="51">
        <f>E1576+F1576+G1576+H1576+I1576</f>
        <v>0</v>
      </c>
      <c r="E1576" s="51"/>
      <c r="F1576" s="51"/>
      <c r="G1576" s="51"/>
      <c r="H1576" s="51"/>
      <c r="I1576" s="51"/>
      <c r="J1576" s="51"/>
      <c r="K1576" s="51"/>
      <c r="L1576" s="51"/>
      <c r="M1576" s="35"/>
      <c r="N1576" s="51"/>
      <c r="O1576" s="82"/>
      <c r="P1576" s="51"/>
      <c r="Q1576" s="338">
        <v>606</v>
      </c>
      <c r="R1576" s="51">
        <v>4523166.79</v>
      </c>
      <c r="S1576" s="51"/>
      <c r="T1576" s="338"/>
      <c r="U1576" s="51"/>
      <c r="V1576" s="35"/>
      <c r="W1576" s="364"/>
      <c r="X1576" s="285"/>
      <c r="Y1576" s="9"/>
      <c r="Z1576" s="306"/>
      <c r="AA1576" s="302"/>
      <c r="AB1576" s="302"/>
      <c r="AC1576" s="56"/>
      <c r="AD1576" s="56"/>
      <c r="AE1576" s="56"/>
    </row>
    <row r="1577" spans="1:31" x14ac:dyDescent="0.3">
      <c r="A1577" s="47">
        <f>A1576+1</f>
        <v>1463</v>
      </c>
      <c r="B1577" s="414" t="s">
        <v>1935</v>
      </c>
      <c r="C1577" s="51">
        <f>D1577+K1577+L1577+N1577+P1577+R1577+U1577+S1577+V1577+W1577</f>
        <v>738493.59</v>
      </c>
      <c r="D1577" s="51">
        <f>E1577+F1577+G1577+H1577+I1577</f>
        <v>0</v>
      </c>
      <c r="E1577" s="51"/>
      <c r="F1577" s="51"/>
      <c r="G1577" s="51"/>
      <c r="H1577" s="51"/>
      <c r="I1577" s="51"/>
      <c r="J1577" s="51"/>
      <c r="K1577" s="51"/>
      <c r="L1577" s="51"/>
      <c r="M1577" s="35"/>
      <c r="N1577" s="51"/>
      <c r="O1577" s="82"/>
      <c r="P1577" s="51"/>
      <c r="Q1577" s="338"/>
      <c r="R1577" s="51"/>
      <c r="S1577" s="51"/>
      <c r="T1577" s="338"/>
      <c r="U1577" s="51"/>
      <c r="V1577" s="35"/>
      <c r="W1577" s="364">
        <f>SUM(X1577:AB1577)</f>
        <v>738493.59</v>
      </c>
      <c r="X1577" s="285">
        <v>97916.12</v>
      </c>
      <c r="Y1577" s="9">
        <v>180960.48</v>
      </c>
      <c r="Z1577" s="306"/>
      <c r="AA1577" s="302">
        <v>459616.99</v>
      </c>
      <c r="AB1577" s="302"/>
      <c r="AC1577" s="56"/>
      <c r="AD1577" s="56" t="s">
        <v>1360</v>
      </c>
      <c r="AE1577" s="56"/>
    </row>
    <row r="1578" spans="1:31" x14ac:dyDescent="0.3">
      <c r="A1578" s="47"/>
      <c r="B1578" s="414" t="s">
        <v>211</v>
      </c>
      <c r="C1578" s="51">
        <f t="shared" ref="C1578:W1578" si="323">SUM(C1576:C1577)</f>
        <v>5261660.38</v>
      </c>
      <c r="D1578" s="51">
        <f t="shared" si="323"/>
        <v>0</v>
      </c>
      <c r="E1578" s="51">
        <f t="shared" si="323"/>
        <v>0</v>
      </c>
      <c r="F1578" s="51">
        <f t="shared" si="323"/>
        <v>0</v>
      </c>
      <c r="G1578" s="51">
        <f t="shared" si="323"/>
        <v>0</v>
      </c>
      <c r="H1578" s="51">
        <f t="shared" si="323"/>
        <v>0</v>
      </c>
      <c r="I1578" s="51">
        <f t="shared" si="323"/>
        <v>0</v>
      </c>
      <c r="J1578" s="51">
        <f t="shared" si="323"/>
        <v>0</v>
      </c>
      <c r="K1578" s="51">
        <f t="shared" si="323"/>
        <v>0</v>
      </c>
      <c r="L1578" s="51">
        <f t="shared" si="323"/>
        <v>0</v>
      </c>
      <c r="M1578" s="35">
        <f t="shared" si="323"/>
        <v>0</v>
      </c>
      <c r="N1578" s="51">
        <f t="shared" si="323"/>
        <v>0</v>
      </c>
      <c r="O1578" s="82">
        <f t="shared" si="323"/>
        <v>0</v>
      </c>
      <c r="P1578" s="51">
        <f t="shared" si="323"/>
        <v>0</v>
      </c>
      <c r="Q1578" s="338">
        <f t="shared" si="323"/>
        <v>606</v>
      </c>
      <c r="R1578" s="51">
        <f t="shared" si="323"/>
        <v>4523166.79</v>
      </c>
      <c r="S1578" s="51">
        <f t="shared" si="323"/>
        <v>0</v>
      </c>
      <c r="T1578" s="338">
        <f t="shared" si="323"/>
        <v>0</v>
      </c>
      <c r="U1578" s="51">
        <f t="shared" si="323"/>
        <v>0</v>
      </c>
      <c r="V1578" s="35">
        <f t="shared" si="323"/>
        <v>0</v>
      </c>
      <c r="W1578" s="51">
        <f t="shared" si="323"/>
        <v>738493.59</v>
      </c>
      <c r="X1578" s="285"/>
      <c r="Y1578" s="9"/>
      <c r="Z1578" s="306"/>
      <c r="AA1578" s="302"/>
      <c r="AB1578" s="302"/>
      <c r="AC1578" s="56"/>
      <c r="AD1578" s="56"/>
      <c r="AE1578" s="56"/>
    </row>
    <row r="1579" spans="1:31" ht="15" customHeight="1" x14ac:dyDescent="0.3">
      <c r="A1579" s="434" t="s">
        <v>1936</v>
      </c>
      <c r="B1579" s="414"/>
      <c r="C1579" s="51"/>
      <c r="D1579" s="51"/>
      <c r="E1579" s="51"/>
      <c r="F1579" s="51"/>
      <c r="G1579" s="51"/>
      <c r="H1579" s="51"/>
      <c r="I1579" s="51"/>
      <c r="J1579" s="51"/>
      <c r="K1579" s="51"/>
      <c r="L1579" s="51"/>
      <c r="M1579" s="35"/>
      <c r="N1579" s="51"/>
      <c r="O1579" s="82"/>
      <c r="P1579" s="51"/>
      <c r="Q1579" s="338"/>
      <c r="R1579" s="51"/>
      <c r="S1579" s="51"/>
      <c r="T1579" s="338"/>
      <c r="U1579" s="51"/>
      <c r="V1579" s="35"/>
      <c r="W1579" s="364"/>
      <c r="X1579" s="285"/>
      <c r="Y1579" s="9"/>
      <c r="Z1579" s="40"/>
      <c r="AA1579" s="56"/>
      <c r="AB1579" s="56"/>
      <c r="AC1579" s="56"/>
      <c r="AD1579" s="56"/>
      <c r="AE1579" s="56"/>
    </row>
    <row r="1580" spans="1:31" x14ac:dyDescent="0.3">
      <c r="A1580" s="47">
        <f t="shared" ref="A1580" si="324">A1577+1</f>
        <v>1464</v>
      </c>
      <c r="B1580" s="414" t="s">
        <v>1941</v>
      </c>
      <c r="C1580" s="51">
        <f>D1580+K1580+L1580+N1580+P1580+R1580+U1580+S1580+V1580+W1580</f>
        <v>4410109.2</v>
      </c>
      <c r="D1580" s="51">
        <f>E1580+F1580+G1580+H1580+I1580</f>
        <v>0</v>
      </c>
      <c r="E1580" s="51"/>
      <c r="F1580" s="51"/>
      <c r="G1580" s="51"/>
      <c r="H1580" s="51"/>
      <c r="I1580" s="51"/>
      <c r="J1580" s="51"/>
      <c r="K1580" s="51"/>
      <c r="L1580" s="51"/>
      <c r="M1580" s="35"/>
      <c r="N1580" s="51"/>
      <c r="O1580" s="82"/>
      <c r="P1580" s="51"/>
      <c r="Q1580" s="338">
        <v>568.1</v>
      </c>
      <c r="R1580" s="51">
        <v>4410109.2</v>
      </c>
      <c r="S1580" s="51"/>
      <c r="T1580" s="338"/>
      <c r="U1580" s="51"/>
      <c r="V1580" s="35"/>
      <c r="W1580" s="364"/>
      <c r="X1580" s="285"/>
      <c r="Y1580" s="9"/>
      <c r="Z1580" s="306"/>
      <c r="AA1580" s="302">
        <v>514282.82</v>
      </c>
      <c r="AB1580" s="302"/>
      <c r="AC1580" s="56"/>
      <c r="AD1580" s="56" t="s">
        <v>1813</v>
      </c>
      <c r="AE1580" s="56"/>
    </row>
    <row r="1581" spans="1:31" x14ac:dyDescent="0.3">
      <c r="A1581" s="47"/>
      <c r="B1581" s="414" t="s">
        <v>211</v>
      </c>
      <c r="C1581" s="51">
        <f t="shared" ref="C1581:W1581" si="325">SUM(C1580:C1580)</f>
        <v>4410109.2</v>
      </c>
      <c r="D1581" s="51">
        <f t="shared" si="325"/>
        <v>0</v>
      </c>
      <c r="E1581" s="51">
        <f t="shared" si="325"/>
        <v>0</v>
      </c>
      <c r="F1581" s="51">
        <f t="shared" si="325"/>
        <v>0</v>
      </c>
      <c r="G1581" s="51">
        <f t="shared" si="325"/>
        <v>0</v>
      </c>
      <c r="H1581" s="51">
        <f t="shared" si="325"/>
        <v>0</v>
      </c>
      <c r="I1581" s="51">
        <f t="shared" si="325"/>
        <v>0</v>
      </c>
      <c r="J1581" s="51">
        <f t="shared" si="325"/>
        <v>0</v>
      </c>
      <c r="K1581" s="51">
        <f t="shared" si="325"/>
        <v>0</v>
      </c>
      <c r="L1581" s="51">
        <f t="shared" si="325"/>
        <v>0</v>
      </c>
      <c r="M1581" s="35">
        <f t="shared" si="325"/>
        <v>0</v>
      </c>
      <c r="N1581" s="51">
        <f t="shared" si="325"/>
        <v>0</v>
      </c>
      <c r="O1581" s="82">
        <f t="shared" si="325"/>
        <v>0</v>
      </c>
      <c r="P1581" s="51">
        <f t="shared" si="325"/>
        <v>0</v>
      </c>
      <c r="Q1581" s="338">
        <f t="shared" si="325"/>
        <v>568.1</v>
      </c>
      <c r="R1581" s="51">
        <f t="shared" si="325"/>
        <v>4410109.2</v>
      </c>
      <c r="S1581" s="51">
        <f t="shared" si="325"/>
        <v>0</v>
      </c>
      <c r="T1581" s="338">
        <f t="shared" si="325"/>
        <v>0</v>
      </c>
      <c r="U1581" s="51">
        <f t="shared" si="325"/>
        <v>0</v>
      </c>
      <c r="V1581" s="35">
        <f t="shared" si="325"/>
        <v>0</v>
      </c>
      <c r="W1581" s="51">
        <f t="shared" si="325"/>
        <v>0</v>
      </c>
      <c r="X1581" s="285"/>
      <c r="Y1581" s="9"/>
      <c r="Z1581" s="306"/>
      <c r="AA1581" s="302"/>
      <c r="AB1581" s="302"/>
      <c r="AC1581" s="56"/>
      <c r="AD1581" s="56"/>
      <c r="AE1581" s="56"/>
    </row>
    <row r="1582" spans="1:31" ht="15" customHeight="1" x14ac:dyDescent="0.3">
      <c r="A1582" s="434" t="s">
        <v>1944</v>
      </c>
      <c r="B1582" s="414"/>
      <c r="C1582" s="51"/>
      <c r="D1582" s="51"/>
      <c r="E1582" s="51"/>
      <c r="F1582" s="51"/>
      <c r="G1582" s="51"/>
      <c r="H1582" s="51"/>
      <c r="I1582" s="51"/>
      <c r="J1582" s="51"/>
      <c r="K1582" s="51"/>
      <c r="L1582" s="51"/>
      <c r="M1582" s="35"/>
      <c r="N1582" s="51"/>
      <c r="O1582" s="82"/>
      <c r="P1582" s="51"/>
      <c r="Q1582" s="338"/>
      <c r="R1582" s="51"/>
      <c r="S1582" s="51"/>
      <c r="T1582" s="338"/>
      <c r="U1582" s="51"/>
      <c r="V1582" s="35"/>
      <c r="W1582" s="364"/>
      <c r="X1582" s="285"/>
      <c r="Y1582" s="9"/>
      <c r="Z1582" s="306"/>
      <c r="AA1582" s="302"/>
      <c r="AB1582" s="302"/>
      <c r="AC1582" s="56"/>
      <c r="AD1582" s="56"/>
      <c r="AE1582" s="56"/>
    </row>
    <row r="1583" spans="1:31" x14ac:dyDescent="0.3">
      <c r="A1583" s="47">
        <f t="shared" ref="A1583" si="326">A1580+1</f>
        <v>1465</v>
      </c>
      <c r="B1583" s="414" t="s">
        <v>1945</v>
      </c>
      <c r="C1583" s="51">
        <f>D1583+K1583+L1583+N1583+P1583+R1583+U1583+S1583+V1583+W1583</f>
        <v>1085801.26</v>
      </c>
      <c r="D1583" s="51">
        <f t="shared" ref="D1583:D1588" si="327">E1583+F1583+G1583+H1583+I1583</f>
        <v>0</v>
      </c>
      <c r="E1583" s="51"/>
      <c r="F1583" s="51"/>
      <c r="G1583" s="51"/>
      <c r="H1583" s="51"/>
      <c r="I1583" s="51"/>
      <c r="J1583" s="51"/>
      <c r="K1583" s="51"/>
      <c r="L1583" s="51"/>
      <c r="M1583" s="35"/>
      <c r="N1583" s="51"/>
      <c r="O1583" s="82"/>
      <c r="P1583" s="51"/>
      <c r="Q1583" s="338"/>
      <c r="R1583" s="51"/>
      <c r="S1583" s="51"/>
      <c r="T1583" s="338"/>
      <c r="U1583" s="51"/>
      <c r="V1583" s="35"/>
      <c r="W1583" s="364">
        <f>SUM(X1583:AB1583)</f>
        <v>1085801.26</v>
      </c>
      <c r="X1583" s="285">
        <f>105978.41+129828.02+118546.19</f>
        <v>354352.62</v>
      </c>
      <c r="Y1583" s="9">
        <v>198235.42</v>
      </c>
      <c r="Z1583" s="306"/>
      <c r="AA1583" s="302">
        <v>533213.22</v>
      </c>
      <c r="AB1583" s="302"/>
      <c r="AC1583" s="56"/>
      <c r="AD1583" s="56" t="s">
        <v>1946</v>
      </c>
      <c r="AE1583" s="56"/>
    </row>
    <row r="1584" spans="1:31" x14ac:dyDescent="0.3">
      <c r="A1584" s="47">
        <f>A1583+1</f>
        <v>1466</v>
      </c>
      <c r="B1584" s="414" t="s">
        <v>1947</v>
      </c>
      <c r="C1584" s="51">
        <f>D1584+K1584+L1584+N1584+P1584+R1584+U1584+S1584+V1584+W1584</f>
        <v>645020.25</v>
      </c>
      <c r="D1584" s="51">
        <f t="shared" si="327"/>
        <v>0</v>
      </c>
      <c r="E1584" s="51"/>
      <c r="F1584" s="51"/>
      <c r="G1584" s="51"/>
      <c r="H1584" s="51"/>
      <c r="I1584" s="51"/>
      <c r="J1584" s="51"/>
      <c r="K1584" s="51"/>
      <c r="L1584" s="51"/>
      <c r="M1584" s="35"/>
      <c r="N1584" s="51"/>
      <c r="O1584" s="82"/>
      <c r="P1584" s="51"/>
      <c r="Q1584" s="338"/>
      <c r="R1584" s="51"/>
      <c r="S1584" s="51"/>
      <c r="T1584" s="338"/>
      <c r="U1584" s="51"/>
      <c r="V1584" s="35"/>
      <c r="W1584" s="364">
        <f>SUM(X1584:AB1584)</f>
        <v>645020.25</v>
      </c>
      <c r="X1584" s="285"/>
      <c r="Y1584" s="9">
        <v>175059.01</v>
      </c>
      <c r="Z1584" s="306"/>
      <c r="AA1584" s="302">
        <v>469961.24</v>
      </c>
      <c r="AB1584" s="302"/>
      <c r="AC1584" s="56"/>
      <c r="AD1584" s="56" t="s">
        <v>1813</v>
      </c>
      <c r="AE1584" s="56"/>
    </row>
    <row r="1585" spans="1:31" x14ac:dyDescent="0.3">
      <c r="A1585" s="47">
        <f t="shared" ref="A1585:A1588" si="328">A1584+1</f>
        <v>1467</v>
      </c>
      <c r="B1585" s="414" t="s">
        <v>1948</v>
      </c>
      <c r="C1585" s="51">
        <f>D1585+K1585+L1585+N1585+P1585+R1585+U1585+S1585+V1585+W1585</f>
        <v>674386.62</v>
      </c>
      <c r="D1585" s="51">
        <f t="shared" si="327"/>
        <v>0</v>
      </c>
      <c r="E1585" s="51"/>
      <c r="F1585" s="51"/>
      <c r="G1585" s="51"/>
      <c r="H1585" s="51"/>
      <c r="I1585" s="51"/>
      <c r="J1585" s="51"/>
      <c r="K1585" s="51"/>
      <c r="L1585" s="51"/>
      <c r="M1585" s="35"/>
      <c r="N1585" s="51"/>
      <c r="O1585" s="82"/>
      <c r="P1585" s="51"/>
      <c r="Q1585" s="338"/>
      <c r="R1585" s="51"/>
      <c r="S1585" s="51"/>
      <c r="T1585" s="338"/>
      <c r="U1585" s="51"/>
      <c r="V1585" s="35"/>
      <c r="W1585" s="364">
        <f>SUM(X1585:AB1585)</f>
        <v>674386.62</v>
      </c>
      <c r="X1585" s="285"/>
      <c r="Y1585" s="9">
        <v>183265.39</v>
      </c>
      <c r="Z1585" s="306"/>
      <c r="AA1585" s="302">
        <v>491121.23</v>
      </c>
      <c r="AB1585" s="302"/>
      <c r="AC1585" s="56"/>
      <c r="AD1585" s="56" t="s">
        <v>1813</v>
      </c>
      <c r="AE1585" s="56"/>
    </row>
    <row r="1586" spans="1:31" x14ac:dyDescent="0.3">
      <c r="A1586" s="47">
        <f t="shared" si="328"/>
        <v>1468</v>
      </c>
      <c r="B1586" s="414" t="s">
        <v>1949</v>
      </c>
      <c r="C1586" s="51">
        <f>D1586+K1586+L1586+N1586+P1586+R1586+U1586+S1586+V1586+W1586</f>
        <v>664719.44000000006</v>
      </c>
      <c r="D1586" s="51">
        <f t="shared" si="327"/>
        <v>0</v>
      </c>
      <c r="E1586" s="51"/>
      <c r="F1586" s="51"/>
      <c r="G1586" s="51"/>
      <c r="H1586" s="51"/>
      <c r="I1586" s="51"/>
      <c r="J1586" s="51"/>
      <c r="K1586" s="51"/>
      <c r="L1586" s="51"/>
      <c r="M1586" s="35"/>
      <c r="N1586" s="51"/>
      <c r="O1586" s="82"/>
      <c r="P1586" s="51"/>
      <c r="Q1586" s="338"/>
      <c r="R1586" s="51"/>
      <c r="S1586" s="51"/>
      <c r="T1586" s="338"/>
      <c r="U1586" s="51"/>
      <c r="V1586" s="35"/>
      <c r="W1586" s="364">
        <f>SUM(X1586:AB1586)</f>
        <v>664719.44000000006</v>
      </c>
      <c r="X1586" s="285"/>
      <c r="Y1586" s="9">
        <v>180563.92</v>
      </c>
      <c r="Z1586" s="306"/>
      <c r="AA1586" s="302">
        <v>484155.52</v>
      </c>
      <c r="AB1586" s="302"/>
      <c r="AC1586" s="56"/>
      <c r="AD1586" s="56" t="s">
        <v>1813</v>
      </c>
      <c r="AE1586" s="56"/>
    </row>
    <row r="1587" spans="1:31" x14ac:dyDescent="0.3">
      <c r="A1587" s="47">
        <f t="shared" si="328"/>
        <v>1469</v>
      </c>
      <c r="B1587" s="414" t="s">
        <v>1950</v>
      </c>
      <c r="C1587" s="51">
        <f>D1587+K1587+L1587+N1587+P1587+R1587+U1587+S1587+V1587+W1587</f>
        <v>6751126.3600000003</v>
      </c>
      <c r="D1587" s="51">
        <f t="shared" si="327"/>
        <v>0</v>
      </c>
      <c r="E1587" s="51"/>
      <c r="F1587" s="51"/>
      <c r="G1587" s="51"/>
      <c r="H1587" s="51"/>
      <c r="I1587" s="51"/>
      <c r="J1587" s="51"/>
      <c r="K1587" s="51"/>
      <c r="L1587" s="51"/>
      <c r="M1587" s="35"/>
      <c r="N1587" s="51"/>
      <c r="O1587" s="82"/>
      <c r="P1587" s="51"/>
      <c r="Q1587" s="338">
        <v>482.12</v>
      </c>
      <c r="R1587" s="51">
        <f>14003*Q1587</f>
        <v>6751126.3600000003</v>
      </c>
      <c r="S1587" s="51"/>
      <c r="T1587" s="338"/>
      <c r="U1587" s="51"/>
      <c r="V1587" s="35"/>
      <c r="W1587" s="364">
        <f>SUM(X1587:AB1587)</f>
        <v>0</v>
      </c>
      <c r="X1587" s="285"/>
      <c r="Y1587" s="9"/>
      <c r="Z1587" s="40"/>
      <c r="AA1587" s="56"/>
      <c r="AB1587" s="56"/>
      <c r="AC1587" s="56"/>
      <c r="AD1587" s="56"/>
      <c r="AE1587" s="56"/>
    </row>
    <row r="1588" spans="1:31" x14ac:dyDescent="0.3">
      <c r="A1588" s="47">
        <f t="shared" si="328"/>
        <v>1470</v>
      </c>
      <c r="B1588" s="414" t="s">
        <v>1951</v>
      </c>
      <c r="C1588" s="51">
        <f>D1588+K1588+L1588+N1588+P1588+'2022'!R434+U1588+'2022'!S434+V1588+'2020'!W380</f>
        <v>28438872.629999999</v>
      </c>
      <c r="D1588" s="51">
        <f t="shared" si="327"/>
        <v>0</v>
      </c>
      <c r="E1588" s="51"/>
      <c r="F1588" s="51"/>
      <c r="G1588" s="51"/>
      <c r="H1588" s="51"/>
      <c r="I1588" s="51"/>
      <c r="J1588" s="51"/>
      <c r="K1588" s="51"/>
      <c r="L1588" s="51"/>
      <c r="M1588" s="35">
        <v>652</v>
      </c>
      <c r="N1588" s="51">
        <v>4070436</v>
      </c>
      <c r="O1588" s="82"/>
      <c r="P1588" s="51"/>
      <c r="Q1588" s="397"/>
      <c r="R1588" s="418"/>
      <c r="S1588" s="418"/>
      <c r="T1588" s="338"/>
      <c r="U1588" s="51"/>
      <c r="V1588" s="35"/>
      <c r="W1588" s="418"/>
      <c r="X1588" s="285"/>
      <c r="Y1588" s="9">
        <v>473965.09</v>
      </c>
      <c r="Z1588" s="40"/>
      <c r="AA1588" s="56"/>
      <c r="AB1588" s="56"/>
      <c r="AC1588" s="56"/>
      <c r="AD1588" s="56"/>
      <c r="AE1588" s="56"/>
    </row>
    <row r="1589" spans="1:31" x14ac:dyDescent="0.3">
      <c r="A1589" s="47"/>
      <c r="B1589" s="414" t="s">
        <v>211</v>
      </c>
      <c r="C1589" s="51">
        <f t="shared" ref="C1589:P1589" si="329">SUM(C1583:C1588)</f>
        <v>38259926.560000002</v>
      </c>
      <c r="D1589" s="51">
        <f t="shared" si="329"/>
        <v>0</v>
      </c>
      <c r="E1589" s="51">
        <f t="shared" si="329"/>
        <v>0</v>
      </c>
      <c r="F1589" s="51">
        <f t="shared" si="329"/>
        <v>0</v>
      </c>
      <c r="G1589" s="51">
        <f t="shared" si="329"/>
        <v>0</v>
      </c>
      <c r="H1589" s="51">
        <f t="shared" si="329"/>
        <v>0</v>
      </c>
      <c r="I1589" s="51">
        <f t="shared" si="329"/>
        <v>0</v>
      </c>
      <c r="J1589" s="51">
        <f t="shared" si="329"/>
        <v>0</v>
      </c>
      <c r="K1589" s="51">
        <f t="shared" si="329"/>
        <v>0</v>
      </c>
      <c r="L1589" s="51">
        <f t="shared" si="329"/>
        <v>0</v>
      </c>
      <c r="M1589" s="35">
        <f t="shared" si="329"/>
        <v>652</v>
      </c>
      <c r="N1589" s="51">
        <f t="shared" si="329"/>
        <v>4070436</v>
      </c>
      <c r="O1589" s="82">
        <f t="shared" si="329"/>
        <v>0</v>
      </c>
      <c r="P1589" s="51">
        <f t="shared" si="329"/>
        <v>0</v>
      </c>
      <c r="Q1589" s="338">
        <f>SUM(Q1583:Q1587)</f>
        <v>482.12</v>
      </c>
      <c r="R1589" s="51">
        <f>SUM(R1583:R1587)</f>
        <v>6751126.3600000003</v>
      </c>
      <c r="S1589" s="51">
        <f>SUM(S1583:S1587)</f>
        <v>0</v>
      </c>
      <c r="T1589" s="338">
        <f>SUM(T1583:T1588)</f>
        <v>0</v>
      </c>
      <c r="U1589" s="51">
        <f>SUM(U1583:U1588)</f>
        <v>0</v>
      </c>
      <c r="V1589" s="35">
        <f>SUM(V1583:V1588)</f>
        <v>0</v>
      </c>
      <c r="W1589" s="51">
        <f>SUM(W1583:W1587)</f>
        <v>3069927.57</v>
      </c>
      <c r="X1589" s="285"/>
      <c r="Y1589" s="9"/>
      <c r="Z1589" s="40"/>
      <c r="AA1589" s="56"/>
      <c r="AB1589" s="56"/>
      <c r="AC1589" s="56"/>
      <c r="AD1589" s="56"/>
      <c r="AE1589" s="56"/>
    </row>
    <row r="1590" spans="1:31" ht="15" customHeight="1" x14ac:dyDescent="0.3">
      <c r="A1590" s="434" t="s">
        <v>1952</v>
      </c>
      <c r="B1590" s="414"/>
      <c r="C1590" s="51"/>
      <c r="D1590" s="51"/>
      <c r="E1590" s="51"/>
      <c r="F1590" s="51"/>
      <c r="G1590" s="51"/>
      <c r="H1590" s="51"/>
      <c r="I1590" s="51"/>
      <c r="J1590" s="51"/>
      <c r="K1590" s="51"/>
      <c r="L1590" s="51"/>
      <c r="M1590" s="35"/>
      <c r="N1590" s="51"/>
      <c r="O1590" s="82"/>
      <c r="P1590" s="51"/>
      <c r="Q1590" s="338"/>
      <c r="R1590" s="51"/>
      <c r="S1590" s="51"/>
      <c r="T1590" s="338"/>
      <c r="U1590" s="51"/>
      <c r="V1590" s="35"/>
      <c r="W1590" s="364"/>
      <c r="X1590" s="285"/>
      <c r="Y1590" s="9"/>
      <c r="Z1590" s="40"/>
      <c r="AA1590" s="56"/>
      <c r="AB1590" s="56"/>
      <c r="AC1590" s="56"/>
      <c r="AD1590" s="56"/>
      <c r="AE1590" s="56"/>
    </row>
    <row r="1591" spans="1:31" x14ac:dyDescent="0.3">
      <c r="A1591" s="47">
        <f t="shared" ref="A1591" si="330">A1588+1</f>
        <v>1471</v>
      </c>
      <c r="B1591" s="414" t="s">
        <v>1953</v>
      </c>
      <c r="C1591" s="51">
        <f>D1591+K1591+L1591+N1591+P1591+R1591+U1591+S1591+V1591+W1591</f>
        <v>625525.86</v>
      </c>
      <c r="D1591" s="51">
        <f>E1591+F1591+G1591+H1591+I1591</f>
        <v>0</v>
      </c>
      <c r="E1591" s="51"/>
      <c r="F1591" s="51"/>
      <c r="G1591" s="51"/>
      <c r="H1591" s="51"/>
      <c r="I1591" s="51"/>
      <c r="J1591" s="51"/>
      <c r="K1591" s="51"/>
      <c r="L1591" s="51"/>
      <c r="M1591" s="35"/>
      <c r="N1591" s="51"/>
      <c r="O1591" s="82"/>
      <c r="P1591" s="51"/>
      <c r="Q1591" s="338"/>
      <c r="R1591" s="51"/>
      <c r="S1591" s="51"/>
      <c r="T1591" s="338"/>
      <c r="U1591" s="51"/>
      <c r="V1591" s="35"/>
      <c r="W1591" s="364">
        <f>SUM(X1591:AB1591)</f>
        <v>625525.86</v>
      </c>
      <c r="X1591" s="285"/>
      <c r="Y1591" s="9">
        <v>176595.64</v>
      </c>
      <c r="Z1591" s="40"/>
      <c r="AA1591" s="56">
        <v>448930.22</v>
      </c>
      <c r="AB1591" s="302"/>
      <c r="AC1591" s="56"/>
      <c r="AD1591" s="56" t="s">
        <v>1813</v>
      </c>
      <c r="AE1591" s="56"/>
    </row>
    <row r="1592" spans="1:31" x14ac:dyDescent="0.3">
      <c r="A1592" s="47"/>
      <c r="B1592" s="414" t="s">
        <v>211</v>
      </c>
      <c r="C1592" s="51">
        <f t="shared" ref="C1592:W1592" si="331">SUM(C1591:C1591)</f>
        <v>625525.86</v>
      </c>
      <c r="D1592" s="51">
        <f t="shared" si="331"/>
        <v>0</v>
      </c>
      <c r="E1592" s="51">
        <f t="shared" si="331"/>
        <v>0</v>
      </c>
      <c r="F1592" s="51">
        <f t="shared" si="331"/>
        <v>0</v>
      </c>
      <c r="G1592" s="51">
        <f t="shared" si="331"/>
        <v>0</v>
      </c>
      <c r="H1592" s="51">
        <f t="shared" si="331"/>
        <v>0</v>
      </c>
      <c r="I1592" s="51">
        <f t="shared" si="331"/>
        <v>0</v>
      </c>
      <c r="J1592" s="51">
        <f t="shared" si="331"/>
        <v>0</v>
      </c>
      <c r="K1592" s="51">
        <f t="shared" si="331"/>
        <v>0</v>
      </c>
      <c r="L1592" s="51">
        <f t="shared" si="331"/>
        <v>0</v>
      </c>
      <c r="M1592" s="35">
        <f t="shared" si="331"/>
        <v>0</v>
      </c>
      <c r="N1592" s="51">
        <f t="shared" si="331"/>
        <v>0</v>
      </c>
      <c r="O1592" s="82">
        <f t="shared" si="331"/>
        <v>0</v>
      </c>
      <c r="P1592" s="51">
        <f t="shared" si="331"/>
        <v>0</v>
      </c>
      <c r="Q1592" s="338">
        <f t="shared" si="331"/>
        <v>0</v>
      </c>
      <c r="R1592" s="51">
        <f t="shared" si="331"/>
        <v>0</v>
      </c>
      <c r="S1592" s="51">
        <f t="shared" si="331"/>
        <v>0</v>
      </c>
      <c r="T1592" s="338">
        <f t="shared" si="331"/>
        <v>0</v>
      </c>
      <c r="U1592" s="51">
        <f t="shared" si="331"/>
        <v>0</v>
      </c>
      <c r="V1592" s="35">
        <f t="shared" si="331"/>
        <v>0</v>
      </c>
      <c r="W1592" s="51">
        <f t="shared" si="331"/>
        <v>625525.86</v>
      </c>
      <c r="X1592" s="285"/>
      <c r="Y1592" s="9"/>
      <c r="Z1592" s="40"/>
      <c r="AA1592" s="56"/>
      <c r="AB1592" s="302"/>
      <c r="AC1592" s="56"/>
      <c r="AD1592" s="56"/>
      <c r="AE1592" s="56"/>
    </row>
    <row r="1593" spans="1:31" ht="15" customHeight="1" x14ac:dyDescent="0.3">
      <c r="A1593" s="436"/>
      <c r="B1593" s="415" t="s">
        <v>1954</v>
      </c>
      <c r="C1593" s="51"/>
      <c r="D1593" s="51"/>
      <c r="E1593" s="51"/>
      <c r="F1593" s="51"/>
      <c r="G1593" s="51"/>
      <c r="H1593" s="51"/>
      <c r="I1593" s="51"/>
      <c r="J1593" s="51"/>
      <c r="K1593" s="51"/>
      <c r="L1593" s="51"/>
      <c r="M1593" s="35"/>
      <c r="N1593" s="51"/>
      <c r="O1593" s="82"/>
      <c r="P1593" s="51"/>
      <c r="Q1593" s="338"/>
      <c r="R1593" s="51"/>
      <c r="S1593" s="51"/>
      <c r="T1593" s="338"/>
      <c r="U1593" s="51"/>
      <c r="V1593" s="35"/>
      <c r="W1593" s="364">
        <f>SUM(X1593:AB1593)</f>
        <v>0</v>
      </c>
      <c r="X1593" s="285"/>
      <c r="Y1593" s="285"/>
      <c r="Z1593" s="306"/>
      <c r="AA1593" s="302"/>
      <c r="AB1593" s="302"/>
      <c r="AC1593" s="56"/>
      <c r="AD1593" s="56"/>
      <c r="AE1593" s="56"/>
    </row>
    <row r="1594" spans="1:31" x14ac:dyDescent="0.3">
      <c r="A1594" s="47">
        <f t="shared" ref="A1594" si="332">A1591+1</f>
        <v>1472</v>
      </c>
      <c r="B1594" s="414" t="s">
        <v>1955</v>
      </c>
      <c r="C1594" s="51">
        <f>D1594+K1594+L1594+N1594+P1594+R1594+U1594+S1594+V1594+W1594</f>
        <v>1306846.8600000001</v>
      </c>
      <c r="D1594" s="51">
        <f>E1594+F1594+G1594+H1594+I1594</f>
        <v>0</v>
      </c>
      <c r="E1594" s="51"/>
      <c r="F1594" s="51"/>
      <c r="G1594" s="51"/>
      <c r="H1594" s="51"/>
      <c r="I1594" s="51"/>
      <c r="J1594" s="51"/>
      <c r="K1594" s="51"/>
      <c r="L1594" s="51"/>
      <c r="M1594" s="395"/>
      <c r="N1594" s="51"/>
      <c r="O1594" s="396"/>
      <c r="P1594" s="51"/>
      <c r="Q1594" s="397"/>
      <c r="R1594" s="51"/>
      <c r="S1594" s="51"/>
      <c r="T1594" s="397"/>
      <c r="U1594" s="51"/>
      <c r="V1594" s="35"/>
      <c r="W1594" s="364">
        <f>SUM(X1594:AB1594)</f>
        <v>1306846.8600000001</v>
      </c>
      <c r="X1594" s="285">
        <v>116668.39</v>
      </c>
      <c r="Y1594" s="285">
        <v>209568.76</v>
      </c>
      <c r="Z1594" s="306">
        <v>255614.86</v>
      </c>
      <c r="AA1594" s="302">
        <v>529660.27</v>
      </c>
      <c r="AB1594" s="302">
        <v>195334.58</v>
      </c>
      <c r="AC1594" s="56"/>
      <c r="AD1594" s="56" t="s">
        <v>1360</v>
      </c>
      <c r="AE1594" s="56"/>
    </row>
    <row r="1595" spans="1:31" x14ac:dyDescent="0.3">
      <c r="A1595" s="47"/>
      <c r="B1595" s="414" t="s">
        <v>211</v>
      </c>
      <c r="C1595" s="51">
        <f t="shared" ref="C1595:W1595" si="333">C1594</f>
        <v>1306846.8600000001</v>
      </c>
      <c r="D1595" s="51">
        <f t="shared" si="333"/>
        <v>0</v>
      </c>
      <c r="E1595" s="51">
        <f t="shared" si="333"/>
        <v>0</v>
      </c>
      <c r="F1595" s="51">
        <f t="shared" si="333"/>
        <v>0</v>
      </c>
      <c r="G1595" s="51">
        <f t="shared" si="333"/>
        <v>0</v>
      </c>
      <c r="H1595" s="51">
        <f t="shared" si="333"/>
        <v>0</v>
      </c>
      <c r="I1595" s="51">
        <f t="shared" si="333"/>
        <v>0</v>
      </c>
      <c r="J1595" s="51">
        <f t="shared" si="333"/>
        <v>0</v>
      </c>
      <c r="K1595" s="51">
        <f t="shared" si="333"/>
        <v>0</v>
      </c>
      <c r="L1595" s="51">
        <f t="shared" si="333"/>
        <v>0</v>
      </c>
      <c r="M1595" s="35">
        <f t="shared" si="333"/>
        <v>0</v>
      </c>
      <c r="N1595" s="51">
        <f t="shared" si="333"/>
        <v>0</v>
      </c>
      <c r="O1595" s="82">
        <f t="shared" si="333"/>
        <v>0</v>
      </c>
      <c r="P1595" s="51">
        <f t="shared" si="333"/>
        <v>0</v>
      </c>
      <c r="Q1595" s="338">
        <f t="shared" si="333"/>
        <v>0</v>
      </c>
      <c r="R1595" s="51">
        <f t="shared" si="333"/>
        <v>0</v>
      </c>
      <c r="S1595" s="51">
        <f t="shared" si="333"/>
        <v>0</v>
      </c>
      <c r="T1595" s="338">
        <f t="shared" si="333"/>
        <v>0</v>
      </c>
      <c r="U1595" s="51">
        <f t="shared" si="333"/>
        <v>0</v>
      </c>
      <c r="V1595" s="35">
        <f t="shared" si="333"/>
        <v>0</v>
      </c>
      <c r="W1595" s="51">
        <f t="shared" si="333"/>
        <v>1306846.8600000001</v>
      </c>
      <c r="X1595" s="285"/>
      <c r="Y1595" s="285"/>
      <c r="Z1595" s="306"/>
      <c r="AA1595" s="302"/>
      <c r="AB1595" s="302"/>
      <c r="AC1595" s="56"/>
      <c r="AD1595" s="56"/>
      <c r="AE1595" s="56"/>
    </row>
    <row r="1596" spans="1:31" ht="15" customHeight="1" x14ac:dyDescent="0.3">
      <c r="A1596" s="436"/>
      <c r="B1596" s="415" t="s">
        <v>1960</v>
      </c>
      <c r="C1596" s="51"/>
      <c r="D1596" s="51"/>
      <c r="E1596" s="51"/>
      <c r="F1596" s="51"/>
      <c r="G1596" s="51"/>
      <c r="H1596" s="51"/>
      <c r="I1596" s="51"/>
      <c r="J1596" s="51"/>
      <c r="K1596" s="51"/>
      <c r="L1596" s="51"/>
      <c r="M1596" s="35"/>
      <c r="N1596" s="51"/>
      <c r="O1596" s="82"/>
      <c r="P1596" s="51"/>
      <c r="Q1596" s="338"/>
      <c r="R1596" s="51"/>
      <c r="S1596" s="51"/>
      <c r="T1596" s="338"/>
      <c r="U1596" s="51"/>
      <c r="V1596" s="35"/>
      <c r="W1596" s="364">
        <f>SUM(X1596:AB1596)</f>
        <v>0</v>
      </c>
      <c r="X1596" s="285"/>
      <c r="Y1596" s="9"/>
      <c r="Z1596" s="306"/>
      <c r="AA1596" s="302"/>
      <c r="AB1596" s="302"/>
      <c r="AC1596" s="56"/>
      <c r="AD1596" s="56"/>
      <c r="AE1596" s="56"/>
    </row>
    <row r="1597" spans="1:31" x14ac:dyDescent="0.3">
      <c r="A1597" s="47">
        <f t="shared" ref="A1597" si="334">A1594+1</f>
        <v>1473</v>
      </c>
      <c r="B1597" s="414" t="s">
        <v>1961</v>
      </c>
      <c r="C1597" s="51">
        <f>D1597+K1597+L1597+N1597+P1597+R1597+U1597+S1597+V1597+W1597</f>
        <v>3286768.38</v>
      </c>
      <c r="D1597" s="51">
        <f>E1597+F1597+G1597+H1597+I1597</f>
        <v>0</v>
      </c>
      <c r="E1597" s="51"/>
      <c r="F1597" s="51"/>
      <c r="G1597" s="51"/>
      <c r="H1597" s="51"/>
      <c r="I1597" s="51"/>
      <c r="J1597" s="51"/>
      <c r="K1597" s="51"/>
      <c r="L1597" s="51"/>
      <c r="M1597" s="35"/>
      <c r="N1597" s="51"/>
      <c r="O1597" s="82"/>
      <c r="P1597" s="51"/>
      <c r="Q1597" s="338">
        <v>590</v>
      </c>
      <c r="R1597" s="51">
        <v>3286768.38</v>
      </c>
      <c r="S1597" s="51"/>
      <c r="T1597" s="338"/>
      <c r="U1597" s="51"/>
      <c r="V1597" s="35"/>
      <c r="W1597" s="364"/>
      <c r="X1597" s="322"/>
      <c r="Y1597" s="9"/>
      <c r="Z1597" s="306"/>
      <c r="AA1597" s="302"/>
      <c r="AB1597" s="302"/>
      <c r="AC1597" s="56"/>
      <c r="AD1597" s="56"/>
      <c r="AE1597" s="56"/>
    </row>
    <row r="1598" spans="1:31" x14ac:dyDescent="0.3">
      <c r="A1598" s="47">
        <f>A1597+1</f>
        <v>1474</v>
      </c>
      <c r="B1598" s="414" t="s">
        <v>1963</v>
      </c>
      <c r="C1598" s="51">
        <f>D1598+K1598+L1598+N1598+P1598+R1598+U1598+S1598+V1598+W1598</f>
        <v>5961247.2000000002</v>
      </c>
      <c r="D1598" s="51">
        <f>E1598+F1598+G1598+H1598+I1598</f>
        <v>0</v>
      </c>
      <c r="E1598" s="51"/>
      <c r="F1598" s="51"/>
      <c r="G1598" s="51"/>
      <c r="H1598" s="51"/>
      <c r="I1598" s="51"/>
      <c r="J1598" s="51"/>
      <c r="K1598" s="51"/>
      <c r="L1598" s="51"/>
      <c r="M1598" s="35"/>
      <c r="N1598" s="51"/>
      <c r="O1598" s="82"/>
      <c r="P1598" s="399"/>
      <c r="Q1598" s="338">
        <v>609.37</v>
      </c>
      <c r="R1598" s="51">
        <v>5961247.2000000002</v>
      </c>
      <c r="S1598" s="51"/>
      <c r="T1598" s="338"/>
      <c r="U1598" s="51"/>
      <c r="V1598" s="35"/>
      <c r="W1598" s="364"/>
      <c r="X1598" s="285"/>
      <c r="Y1598" s="9"/>
      <c r="Z1598" s="306"/>
      <c r="AA1598" s="302"/>
      <c r="AB1598" s="302"/>
      <c r="AC1598" s="56"/>
      <c r="AD1598" s="56"/>
      <c r="AE1598" s="56"/>
    </row>
    <row r="1599" spans="1:31" x14ac:dyDescent="0.3">
      <c r="A1599" s="47">
        <f>A1598+1</f>
        <v>1475</v>
      </c>
      <c r="B1599" s="414" t="s">
        <v>1964</v>
      </c>
      <c r="C1599" s="51">
        <f>D1599+K1599+L1599+N1599+P1599+R1599+U1599+S1599+V1599+W1599</f>
        <v>6600608.4000000004</v>
      </c>
      <c r="D1599" s="51">
        <f>E1599+F1599+G1599+H1599+I1599</f>
        <v>0</v>
      </c>
      <c r="E1599" s="51"/>
      <c r="F1599" s="51"/>
      <c r="G1599" s="51"/>
      <c r="H1599" s="51"/>
      <c r="I1599" s="51"/>
      <c r="J1599" s="51"/>
      <c r="K1599" s="51"/>
      <c r="L1599" s="51"/>
      <c r="M1599" s="35"/>
      <c r="N1599" s="51"/>
      <c r="O1599" s="396"/>
      <c r="P1599" s="51"/>
      <c r="Q1599" s="338">
        <v>782.91</v>
      </c>
      <c r="R1599" s="51">
        <v>6600608.4000000004</v>
      </c>
      <c r="S1599" s="51"/>
      <c r="T1599" s="338"/>
      <c r="U1599" s="51"/>
      <c r="V1599" s="35"/>
      <c r="W1599" s="364"/>
      <c r="X1599" s="285">
        <v>116697.46</v>
      </c>
      <c r="Y1599" s="9"/>
      <c r="Z1599" s="306"/>
      <c r="AA1599" s="302"/>
      <c r="AB1599" s="302"/>
      <c r="AC1599" s="56"/>
      <c r="AD1599" s="56" t="s">
        <v>27</v>
      </c>
      <c r="AE1599" s="56"/>
    </row>
    <row r="1600" spans="1:31" x14ac:dyDescent="0.3">
      <c r="A1600" s="47"/>
      <c r="B1600" s="414" t="s">
        <v>211</v>
      </c>
      <c r="C1600" s="51">
        <f t="shared" ref="C1600:W1600" si="335">SUM(C1597:C1599)</f>
        <v>15848623.98</v>
      </c>
      <c r="D1600" s="51">
        <f t="shared" si="335"/>
        <v>0</v>
      </c>
      <c r="E1600" s="51">
        <f t="shared" si="335"/>
        <v>0</v>
      </c>
      <c r="F1600" s="51">
        <f t="shared" si="335"/>
        <v>0</v>
      </c>
      <c r="G1600" s="51">
        <f t="shared" si="335"/>
        <v>0</v>
      </c>
      <c r="H1600" s="51">
        <f t="shared" si="335"/>
        <v>0</v>
      </c>
      <c r="I1600" s="51">
        <f t="shared" si="335"/>
        <v>0</v>
      </c>
      <c r="J1600" s="51">
        <f t="shared" si="335"/>
        <v>0</v>
      </c>
      <c r="K1600" s="51">
        <f t="shared" si="335"/>
        <v>0</v>
      </c>
      <c r="L1600" s="51">
        <f t="shared" si="335"/>
        <v>0</v>
      </c>
      <c r="M1600" s="35">
        <f t="shared" si="335"/>
        <v>0</v>
      </c>
      <c r="N1600" s="51">
        <f t="shared" si="335"/>
        <v>0</v>
      </c>
      <c r="O1600" s="82">
        <f t="shared" si="335"/>
        <v>0</v>
      </c>
      <c r="P1600" s="51">
        <f t="shared" si="335"/>
        <v>0</v>
      </c>
      <c r="Q1600" s="338">
        <f t="shared" si="335"/>
        <v>1982.2799999999997</v>
      </c>
      <c r="R1600" s="51">
        <f t="shared" si="335"/>
        <v>15848623.98</v>
      </c>
      <c r="S1600" s="51">
        <f t="shared" si="335"/>
        <v>0</v>
      </c>
      <c r="T1600" s="338">
        <f t="shared" si="335"/>
        <v>0</v>
      </c>
      <c r="U1600" s="51">
        <f t="shared" si="335"/>
        <v>0</v>
      </c>
      <c r="V1600" s="35">
        <f t="shared" si="335"/>
        <v>0</v>
      </c>
      <c r="W1600" s="51">
        <f t="shared" si="335"/>
        <v>0</v>
      </c>
      <c r="X1600" s="285"/>
      <c r="Y1600" s="9"/>
      <c r="Z1600" s="306"/>
      <c r="AA1600" s="302"/>
      <c r="AB1600" s="302"/>
      <c r="AC1600" s="56"/>
      <c r="AD1600" s="56"/>
      <c r="AE1600" s="56"/>
    </row>
    <row r="1601" spans="1:31" ht="15" customHeight="1" x14ac:dyDescent="0.3">
      <c r="A1601" s="434" t="s">
        <v>1965</v>
      </c>
      <c r="B1601" s="414"/>
      <c r="C1601" s="51"/>
      <c r="D1601" s="51"/>
      <c r="E1601" s="51"/>
      <c r="F1601" s="51"/>
      <c r="G1601" s="51"/>
      <c r="H1601" s="51"/>
      <c r="I1601" s="51"/>
      <c r="J1601" s="51"/>
      <c r="K1601" s="51"/>
      <c r="L1601" s="51"/>
      <c r="M1601" s="35"/>
      <c r="N1601" s="51"/>
      <c r="O1601" s="82"/>
      <c r="P1601" s="51"/>
      <c r="Q1601" s="338"/>
      <c r="R1601" s="51"/>
      <c r="S1601" s="51"/>
      <c r="T1601" s="338"/>
      <c r="U1601" s="51"/>
      <c r="V1601" s="35"/>
      <c r="W1601" s="364"/>
      <c r="X1601" s="285"/>
      <c r="Y1601" s="9"/>
      <c r="Z1601" s="40"/>
      <c r="AA1601" s="56"/>
      <c r="AB1601" s="56"/>
      <c r="AC1601" s="56"/>
      <c r="AD1601" s="56"/>
      <c r="AE1601" s="56"/>
    </row>
    <row r="1602" spans="1:31" x14ac:dyDescent="0.3">
      <c r="A1602" s="47">
        <f t="shared" ref="A1602" si="336">A1599+1</f>
        <v>1476</v>
      </c>
      <c r="B1602" s="414" t="s">
        <v>1967</v>
      </c>
      <c r="C1602" s="51">
        <f>D1602+K1602+L1602+N1602+P1602+R1602+U1602+S1602+V1602+W1602</f>
        <v>5645878.7999999998</v>
      </c>
      <c r="D1602" s="51">
        <f>E1602+F1602+G1602+H1602+I1602</f>
        <v>0</v>
      </c>
      <c r="E1602" s="51"/>
      <c r="F1602" s="51"/>
      <c r="G1602" s="51"/>
      <c r="H1602" s="51"/>
      <c r="I1602" s="51"/>
      <c r="J1602" s="51"/>
      <c r="K1602" s="51"/>
      <c r="L1602" s="51"/>
      <c r="M1602" s="35"/>
      <c r="N1602" s="51"/>
      <c r="O1602" s="82"/>
      <c r="P1602" s="51"/>
      <c r="Q1602" s="338">
        <v>583</v>
      </c>
      <c r="R1602" s="51">
        <v>5645878.7999999998</v>
      </c>
      <c r="S1602" s="51"/>
      <c r="T1602" s="338"/>
      <c r="U1602" s="51"/>
      <c r="V1602" s="35"/>
      <c r="W1602" s="364"/>
      <c r="X1602" s="285"/>
      <c r="Y1602" s="9"/>
      <c r="Z1602" s="40"/>
      <c r="AA1602" s="56"/>
      <c r="AB1602" s="56"/>
      <c r="AC1602" s="56"/>
      <c r="AD1602" s="56"/>
      <c r="AE1602" s="56"/>
    </row>
    <row r="1603" spans="1:31" x14ac:dyDescent="0.3">
      <c r="A1603" s="47"/>
      <c r="B1603" s="414" t="s">
        <v>211</v>
      </c>
      <c r="C1603" s="51">
        <f t="shared" ref="C1603:W1603" si="337">SUM(C1602:C1602)</f>
        <v>5645878.7999999998</v>
      </c>
      <c r="D1603" s="51">
        <f t="shared" si="337"/>
        <v>0</v>
      </c>
      <c r="E1603" s="51">
        <f t="shared" si="337"/>
        <v>0</v>
      </c>
      <c r="F1603" s="51">
        <f t="shared" si="337"/>
        <v>0</v>
      </c>
      <c r="G1603" s="51">
        <f t="shared" si="337"/>
        <v>0</v>
      </c>
      <c r="H1603" s="51">
        <f t="shared" si="337"/>
        <v>0</v>
      </c>
      <c r="I1603" s="51">
        <f t="shared" si="337"/>
        <v>0</v>
      </c>
      <c r="J1603" s="51">
        <f t="shared" si="337"/>
        <v>0</v>
      </c>
      <c r="K1603" s="51">
        <f t="shared" si="337"/>
        <v>0</v>
      </c>
      <c r="L1603" s="51">
        <f t="shared" si="337"/>
        <v>0</v>
      </c>
      <c r="M1603" s="35">
        <f t="shared" si="337"/>
        <v>0</v>
      </c>
      <c r="N1603" s="51">
        <f t="shared" si="337"/>
        <v>0</v>
      </c>
      <c r="O1603" s="82">
        <f t="shared" si="337"/>
        <v>0</v>
      </c>
      <c r="P1603" s="51">
        <f t="shared" si="337"/>
        <v>0</v>
      </c>
      <c r="Q1603" s="338">
        <f t="shared" si="337"/>
        <v>583</v>
      </c>
      <c r="R1603" s="51">
        <f t="shared" si="337"/>
        <v>5645878.7999999998</v>
      </c>
      <c r="S1603" s="51">
        <f t="shared" si="337"/>
        <v>0</v>
      </c>
      <c r="T1603" s="338">
        <f t="shared" si="337"/>
        <v>0</v>
      </c>
      <c r="U1603" s="51">
        <f t="shared" si="337"/>
        <v>0</v>
      </c>
      <c r="V1603" s="35">
        <f t="shared" si="337"/>
        <v>0</v>
      </c>
      <c r="W1603" s="51">
        <f t="shared" si="337"/>
        <v>0</v>
      </c>
      <c r="X1603" s="285"/>
      <c r="Y1603" s="9"/>
      <c r="Z1603" s="40"/>
      <c r="AA1603" s="56"/>
      <c r="AB1603" s="56"/>
      <c r="AC1603" s="56"/>
      <c r="AD1603" s="56"/>
      <c r="AE1603" s="56"/>
    </row>
    <row r="1604" spans="1:31" ht="15" customHeight="1" x14ac:dyDescent="0.3">
      <c r="A1604" s="434" t="s">
        <v>1968</v>
      </c>
      <c r="B1604" s="414"/>
      <c r="C1604" s="51"/>
      <c r="D1604" s="51"/>
      <c r="E1604" s="51"/>
      <c r="F1604" s="51"/>
      <c r="G1604" s="51"/>
      <c r="H1604" s="51"/>
      <c r="I1604" s="51"/>
      <c r="J1604" s="51"/>
      <c r="K1604" s="51"/>
      <c r="L1604" s="51"/>
      <c r="M1604" s="35"/>
      <c r="N1604" s="51"/>
      <c r="O1604" s="82"/>
      <c r="P1604" s="51"/>
      <c r="Q1604" s="338"/>
      <c r="R1604" s="51"/>
      <c r="S1604" s="51"/>
      <c r="T1604" s="338"/>
      <c r="U1604" s="51"/>
      <c r="V1604" s="35"/>
      <c r="W1604" s="364">
        <f t="shared" ref="W1604:W1621" si="338">SUM(X1604:AB1604)</f>
        <v>0</v>
      </c>
      <c r="X1604" s="285"/>
      <c r="Y1604" s="9"/>
      <c r="Z1604" s="40"/>
      <c r="AA1604" s="56"/>
      <c r="AB1604" s="56"/>
      <c r="AC1604" s="56"/>
      <c r="AD1604" s="56"/>
      <c r="AE1604" s="56"/>
    </row>
    <row r="1605" spans="1:31" x14ac:dyDescent="0.3">
      <c r="A1605" s="47">
        <f t="shared" ref="A1605" si="339">A1602+1</f>
        <v>1477</v>
      </c>
      <c r="B1605" s="414" t="s">
        <v>1969</v>
      </c>
      <c r="C1605" s="51">
        <f t="shared" ref="C1605:C1621" si="340">D1605+K1605+L1605+N1605+P1605+R1605+U1605+S1605+V1605+W1605</f>
        <v>48105.98</v>
      </c>
      <c r="D1605" s="51">
        <f t="shared" ref="D1605:D1621" si="341">E1605+F1605+G1605+H1605+I1605</f>
        <v>0</v>
      </c>
      <c r="E1605" s="51"/>
      <c r="F1605" s="51"/>
      <c r="G1605" s="51"/>
      <c r="H1605" s="51"/>
      <c r="I1605" s="51"/>
      <c r="J1605" s="51"/>
      <c r="K1605" s="51"/>
      <c r="L1605" s="51"/>
      <c r="M1605" s="35"/>
      <c r="N1605" s="51"/>
      <c r="O1605" s="82"/>
      <c r="P1605" s="51"/>
      <c r="Q1605" s="338"/>
      <c r="R1605" s="51"/>
      <c r="S1605" s="51"/>
      <c r="T1605" s="338"/>
      <c r="U1605" s="51"/>
      <c r="V1605" s="35"/>
      <c r="W1605" s="364">
        <f t="shared" si="338"/>
        <v>48105.98</v>
      </c>
      <c r="X1605" s="285">
        <v>48105.98</v>
      </c>
      <c r="Y1605" s="9"/>
      <c r="Z1605" s="306"/>
      <c r="AA1605" s="302"/>
      <c r="AB1605" s="302"/>
      <c r="AC1605" s="56"/>
      <c r="AD1605" s="56" t="s">
        <v>1360</v>
      </c>
      <c r="AE1605" s="56"/>
    </row>
    <row r="1606" spans="1:31" x14ac:dyDescent="0.3">
      <c r="A1606" s="47">
        <f>A1605+1</f>
        <v>1478</v>
      </c>
      <c r="B1606" s="414" t="s">
        <v>1970</v>
      </c>
      <c r="C1606" s="51">
        <f t="shared" si="340"/>
        <v>74027.63</v>
      </c>
      <c r="D1606" s="51">
        <f t="shared" si="341"/>
        <v>0</v>
      </c>
      <c r="E1606" s="51"/>
      <c r="F1606" s="51"/>
      <c r="G1606" s="51"/>
      <c r="H1606" s="51"/>
      <c r="I1606" s="51"/>
      <c r="J1606" s="51"/>
      <c r="K1606" s="51"/>
      <c r="L1606" s="51"/>
      <c r="M1606" s="35"/>
      <c r="N1606" s="51"/>
      <c r="O1606" s="82"/>
      <c r="P1606" s="51"/>
      <c r="Q1606" s="338"/>
      <c r="R1606" s="51"/>
      <c r="S1606" s="51"/>
      <c r="T1606" s="338"/>
      <c r="U1606" s="51"/>
      <c r="V1606" s="35"/>
      <c r="W1606" s="364">
        <f t="shared" si="338"/>
        <v>74027.63</v>
      </c>
      <c r="X1606" s="285">
        <v>74027.63</v>
      </c>
      <c r="Y1606" s="9"/>
      <c r="Z1606" s="306"/>
      <c r="AA1606" s="302"/>
      <c r="AB1606" s="302"/>
      <c r="AC1606" s="56"/>
      <c r="AD1606" s="56" t="s">
        <v>1360</v>
      </c>
      <c r="AE1606" s="56"/>
    </row>
    <row r="1607" spans="1:31" x14ac:dyDescent="0.3">
      <c r="A1607" s="47">
        <f t="shared" ref="A1607:A1621" si="342">A1606+1</f>
        <v>1479</v>
      </c>
      <c r="B1607" s="414" t="s">
        <v>1971</v>
      </c>
      <c r="C1607" s="51">
        <f t="shared" si="340"/>
        <v>383375.59</v>
      </c>
      <c r="D1607" s="51">
        <f t="shared" si="341"/>
        <v>0</v>
      </c>
      <c r="E1607" s="51"/>
      <c r="F1607" s="51"/>
      <c r="G1607" s="51"/>
      <c r="H1607" s="51"/>
      <c r="I1607" s="51"/>
      <c r="J1607" s="51"/>
      <c r="K1607" s="51"/>
      <c r="L1607" s="51"/>
      <c r="M1607" s="35"/>
      <c r="N1607" s="51"/>
      <c r="O1607" s="82"/>
      <c r="P1607" s="51"/>
      <c r="Q1607" s="338"/>
      <c r="R1607" s="51"/>
      <c r="S1607" s="51"/>
      <c r="T1607" s="338"/>
      <c r="U1607" s="51"/>
      <c r="V1607" s="35"/>
      <c r="W1607" s="364">
        <f t="shared" si="338"/>
        <v>383375.59</v>
      </c>
      <c r="X1607" s="285">
        <v>75425.210000000006</v>
      </c>
      <c r="Y1607" s="9">
        <v>146187.20000000001</v>
      </c>
      <c r="Z1607" s="306">
        <v>161763.18</v>
      </c>
      <c r="AA1607" s="302"/>
      <c r="AB1607" s="302"/>
      <c r="AC1607" s="56"/>
      <c r="AD1607" s="56" t="s">
        <v>1395</v>
      </c>
      <c r="AE1607" s="56"/>
    </row>
    <row r="1608" spans="1:31" x14ac:dyDescent="0.3">
      <c r="A1608" s="47">
        <f t="shared" si="342"/>
        <v>1480</v>
      </c>
      <c r="B1608" s="414" t="s">
        <v>1972</v>
      </c>
      <c r="C1608" s="51">
        <f t="shared" si="340"/>
        <v>245121.92000000001</v>
      </c>
      <c r="D1608" s="51">
        <f t="shared" si="341"/>
        <v>0</v>
      </c>
      <c r="E1608" s="51"/>
      <c r="F1608" s="51"/>
      <c r="G1608" s="51"/>
      <c r="H1608" s="51"/>
      <c r="I1608" s="51"/>
      <c r="J1608" s="51"/>
      <c r="K1608" s="51"/>
      <c r="L1608" s="51"/>
      <c r="M1608" s="35"/>
      <c r="N1608" s="51"/>
      <c r="O1608" s="82"/>
      <c r="P1608" s="51"/>
      <c r="Q1608" s="338"/>
      <c r="R1608" s="51"/>
      <c r="S1608" s="51"/>
      <c r="T1608" s="338"/>
      <c r="U1608" s="51"/>
      <c r="V1608" s="35"/>
      <c r="W1608" s="364">
        <f t="shared" si="338"/>
        <v>245121.92000000001</v>
      </c>
      <c r="X1608" s="285">
        <v>84763.1</v>
      </c>
      <c r="Y1608" s="9">
        <v>160358.82</v>
      </c>
      <c r="Z1608" s="306"/>
      <c r="AA1608" s="302"/>
      <c r="AB1608" s="302"/>
      <c r="AC1608" s="56"/>
      <c r="AD1608" s="56" t="s">
        <v>1360</v>
      </c>
      <c r="AE1608" s="56"/>
    </row>
    <row r="1609" spans="1:31" x14ac:dyDescent="0.3">
      <c r="A1609" s="47">
        <f t="shared" si="342"/>
        <v>1481</v>
      </c>
      <c r="B1609" s="414" t="s">
        <v>1973</v>
      </c>
      <c r="C1609" s="51">
        <f t="shared" si="340"/>
        <v>214744.08000000002</v>
      </c>
      <c r="D1609" s="51">
        <f t="shared" si="341"/>
        <v>0</v>
      </c>
      <c r="E1609" s="51"/>
      <c r="F1609" s="51"/>
      <c r="G1609" s="51"/>
      <c r="H1609" s="51"/>
      <c r="I1609" s="51"/>
      <c r="J1609" s="51"/>
      <c r="K1609" s="51"/>
      <c r="L1609" s="51"/>
      <c r="M1609" s="35"/>
      <c r="N1609" s="51"/>
      <c r="O1609" s="82"/>
      <c r="P1609" s="51"/>
      <c r="Q1609" s="338"/>
      <c r="R1609" s="51"/>
      <c r="S1609" s="51"/>
      <c r="T1609" s="338"/>
      <c r="U1609" s="51"/>
      <c r="V1609" s="35"/>
      <c r="W1609" s="364">
        <f t="shared" si="338"/>
        <v>214744.08000000002</v>
      </c>
      <c r="X1609" s="285">
        <v>72987.240000000005</v>
      </c>
      <c r="Y1609" s="9">
        <v>141756.84</v>
      </c>
      <c r="Z1609" s="306"/>
      <c r="AA1609" s="302"/>
      <c r="AB1609" s="302"/>
      <c r="AC1609" s="56"/>
      <c r="AD1609" s="56" t="s">
        <v>1360</v>
      </c>
      <c r="AE1609" s="56"/>
    </row>
    <row r="1610" spans="1:31" x14ac:dyDescent="0.3">
      <c r="A1610" s="47">
        <f t="shared" si="342"/>
        <v>1482</v>
      </c>
      <c r="B1610" s="414" t="s">
        <v>1974</v>
      </c>
      <c r="C1610" s="51">
        <f t="shared" si="340"/>
        <v>246233.95</v>
      </c>
      <c r="D1610" s="51">
        <f t="shared" si="341"/>
        <v>0</v>
      </c>
      <c r="E1610" s="51"/>
      <c r="F1610" s="51"/>
      <c r="G1610" s="51"/>
      <c r="H1610" s="51"/>
      <c r="I1610" s="51"/>
      <c r="J1610" s="51"/>
      <c r="K1610" s="51"/>
      <c r="L1610" s="51"/>
      <c r="M1610" s="35"/>
      <c r="N1610" s="51"/>
      <c r="O1610" s="82"/>
      <c r="P1610" s="51"/>
      <c r="Q1610" s="338"/>
      <c r="R1610" s="51"/>
      <c r="S1610" s="51"/>
      <c r="T1610" s="338"/>
      <c r="U1610" s="51"/>
      <c r="V1610" s="35"/>
      <c r="W1610" s="364">
        <f t="shared" si="338"/>
        <v>246233.95</v>
      </c>
      <c r="X1610" s="285">
        <v>85534.02</v>
      </c>
      <c r="Y1610" s="9">
        <v>160699.93</v>
      </c>
      <c r="Z1610" s="306"/>
      <c r="AA1610" s="302"/>
      <c r="AB1610" s="302"/>
      <c r="AC1610" s="56"/>
      <c r="AD1610" s="56" t="s">
        <v>1360</v>
      </c>
      <c r="AE1610" s="56"/>
    </row>
    <row r="1611" spans="1:31" x14ac:dyDescent="0.3">
      <c r="A1611" s="47">
        <f t="shared" si="342"/>
        <v>1483</v>
      </c>
      <c r="B1611" s="414" t="s">
        <v>1975</v>
      </c>
      <c r="C1611" s="51">
        <f t="shared" si="340"/>
        <v>164222.6</v>
      </c>
      <c r="D1611" s="51">
        <f t="shared" si="341"/>
        <v>0</v>
      </c>
      <c r="E1611" s="51"/>
      <c r="F1611" s="51"/>
      <c r="G1611" s="51"/>
      <c r="H1611" s="51"/>
      <c r="I1611" s="51"/>
      <c r="J1611" s="51"/>
      <c r="K1611" s="51"/>
      <c r="L1611" s="51"/>
      <c r="M1611" s="35"/>
      <c r="N1611" s="51"/>
      <c r="O1611" s="82"/>
      <c r="P1611" s="51"/>
      <c r="Q1611" s="338"/>
      <c r="R1611" s="51"/>
      <c r="S1611" s="51"/>
      <c r="T1611" s="338"/>
      <c r="U1611" s="51"/>
      <c r="V1611" s="35"/>
      <c r="W1611" s="364">
        <f t="shared" si="338"/>
        <v>164222.6</v>
      </c>
      <c r="X1611" s="285">
        <v>52957.88</v>
      </c>
      <c r="Y1611" s="9">
        <v>111264.72</v>
      </c>
      <c r="Z1611" s="306"/>
      <c r="AA1611" s="302"/>
      <c r="AB1611" s="302"/>
      <c r="AC1611" s="56"/>
      <c r="AD1611" s="56" t="s">
        <v>1395</v>
      </c>
      <c r="AE1611" s="56"/>
    </row>
    <row r="1612" spans="1:31" x14ac:dyDescent="0.3">
      <c r="A1612" s="47">
        <f t="shared" si="342"/>
        <v>1484</v>
      </c>
      <c r="B1612" s="414" t="s">
        <v>1976</v>
      </c>
      <c r="C1612" s="51">
        <f t="shared" si="340"/>
        <v>307293.7</v>
      </c>
      <c r="D1612" s="51">
        <f t="shared" si="341"/>
        <v>0</v>
      </c>
      <c r="E1612" s="51"/>
      <c r="F1612" s="51"/>
      <c r="G1612" s="51"/>
      <c r="H1612" s="51"/>
      <c r="I1612" s="51"/>
      <c r="J1612" s="51"/>
      <c r="K1612" s="51"/>
      <c r="L1612" s="51"/>
      <c r="M1612" s="35"/>
      <c r="N1612" s="51"/>
      <c r="O1612" s="82"/>
      <c r="P1612" s="51"/>
      <c r="Q1612" s="338"/>
      <c r="R1612" s="51"/>
      <c r="S1612" s="51"/>
      <c r="T1612" s="338"/>
      <c r="U1612" s="51"/>
      <c r="V1612" s="35"/>
      <c r="W1612" s="364">
        <f t="shared" si="338"/>
        <v>307293.7</v>
      </c>
      <c r="X1612" s="285">
        <v>109901.46</v>
      </c>
      <c r="Y1612" s="9">
        <v>197392.24</v>
      </c>
      <c r="Z1612" s="306"/>
      <c r="AA1612" s="302"/>
      <c r="AB1612" s="302"/>
      <c r="AC1612" s="56"/>
      <c r="AD1612" s="56" t="s">
        <v>1395</v>
      </c>
      <c r="AE1612" s="56"/>
    </row>
    <row r="1613" spans="1:31" x14ac:dyDescent="0.3">
      <c r="A1613" s="47">
        <f t="shared" si="342"/>
        <v>1485</v>
      </c>
      <c r="B1613" s="414" t="s">
        <v>1977</v>
      </c>
      <c r="C1613" s="51">
        <f t="shared" si="340"/>
        <v>277197.05</v>
      </c>
      <c r="D1613" s="51">
        <f t="shared" si="341"/>
        <v>0</v>
      </c>
      <c r="E1613" s="51"/>
      <c r="F1613" s="51"/>
      <c r="G1613" s="51"/>
      <c r="H1613" s="51"/>
      <c r="I1613" s="51"/>
      <c r="J1613" s="51"/>
      <c r="K1613" s="51"/>
      <c r="L1613" s="51"/>
      <c r="M1613" s="35"/>
      <c r="N1613" s="51"/>
      <c r="O1613" s="82"/>
      <c r="P1613" s="51"/>
      <c r="Q1613" s="338"/>
      <c r="R1613" s="51"/>
      <c r="S1613" s="51"/>
      <c r="T1613" s="338"/>
      <c r="U1613" s="51"/>
      <c r="V1613" s="35"/>
      <c r="W1613" s="364">
        <f t="shared" si="338"/>
        <v>277197.05</v>
      </c>
      <c r="X1613" s="285">
        <v>97429.3</v>
      </c>
      <c r="Y1613" s="9">
        <v>179767.75</v>
      </c>
      <c r="Z1613" s="306"/>
      <c r="AA1613" s="302"/>
      <c r="AB1613" s="302"/>
      <c r="AC1613" s="56"/>
      <c r="AD1613" s="56" t="s">
        <v>1395</v>
      </c>
      <c r="AE1613" s="56"/>
    </row>
    <row r="1614" spans="1:31" x14ac:dyDescent="0.3">
      <c r="A1614" s="47">
        <f t="shared" si="342"/>
        <v>1486</v>
      </c>
      <c r="B1614" s="414" t="s">
        <v>1978</v>
      </c>
      <c r="C1614" s="51">
        <f t="shared" si="340"/>
        <v>307293.7</v>
      </c>
      <c r="D1614" s="51">
        <f t="shared" si="341"/>
        <v>0</v>
      </c>
      <c r="E1614" s="51"/>
      <c r="F1614" s="51"/>
      <c r="G1614" s="51"/>
      <c r="H1614" s="51"/>
      <c r="I1614" s="51"/>
      <c r="J1614" s="51"/>
      <c r="K1614" s="51"/>
      <c r="L1614" s="51"/>
      <c r="M1614" s="35"/>
      <c r="N1614" s="51"/>
      <c r="O1614" s="82"/>
      <c r="P1614" s="51"/>
      <c r="Q1614" s="338"/>
      <c r="R1614" s="51"/>
      <c r="S1614" s="51"/>
      <c r="T1614" s="338"/>
      <c r="U1614" s="51"/>
      <c r="V1614" s="35"/>
      <c r="W1614" s="364">
        <f t="shared" si="338"/>
        <v>307293.7</v>
      </c>
      <c r="X1614" s="285">
        <v>109901.46</v>
      </c>
      <c r="Y1614" s="9">
        <v>197392.24</v>
      </c>
      <c r="Z1614" s="56"/>
      <c r="AA1614" s="302"/>
      <c r="AB1614" s="302"/>
      <c r="AC1614" s="56"/>
      <c r="AD1614" s="56" t="s">
        <v>1395</v>
      </c>
      <c r="AE1614" s="56"/>
    </row>
    <row r="1615" spans="1:31" x14ac:dyDescent="0.3">
      <c r="A1615" s="47">
        <f t="shared" si="342"/>
        <v>1487</v>
      </c>
      <c r="B1615" s="414" t="s">
        <v>1979</v>
      </c>
      <c r="C1615" s="51">
        <f t="shared" si="340"/>
        <v>204352.40000000002</v>
      </c>
      <c r="D1615" s="51">
        <f t="shared" si="341"/>
        <v>0</v>
      </c>
      <c r="E1615" s="51"/>
      <c r="F1615" s="51"/>
      <c r="G1615" s="51"/>
      <c r="H1615" s="51"/>
      <c r="I1615" s="51"/>
      <c r="J1615" s="51"/>
      <c r="K1615" s="51"/>
      <c r="L1615" s="51"/>
      <c r="M1615" s="35"/>
      <c r="N1615" s="51"/>
      <c r="O1615" s="82"/>
      <c r="P1615" s="51"/>
      <c r="Q1615" s="338"/>
      <c r="R1615" s="51"/>
      <c r="S1615" s="51"/>
      <c r="T1615" s="338"/>
      <c r="U1615" s="51"/>
      <c r="V1615" s="35"/>
      <c r="W1615" s="364">
        <f t="shared" si="338"/>
        <v>204352.40000000002</v>
      </c>
      <c r="X1615" s="285">
        <v>69034.990000000005</v>
      </c>
      <c r="Y1615" s="9">
        <v>135317.41</v>
      </c>
      <c r="Z1615" s="306"/>
      <c r="AA1615" s="302"/>
      <c r="AB1615" s="302"/>
      <c r="AC1615" s="56"/>
      <c r="AD1615" s="56" t="s">
        <v>1395</v>
      </c>
      <c r="AE1615" s="56"/>
    </row>
    <row r="1616" spans="1:31" x14ac:dyDescent="0.3">
      <c r="A1616" s="47">
        <f t="shared" si="342"/>
        <v>1488</v>
      </c>
      <c r="B1616" s="414" t="s">
        <v>1980</v>
      </c>
      <c r="C1616" s="51">
        <f t="shared" si="340"/>
        <v>192433.58</v>
      </c>
      <c r="D1616" s="51">
        <f t="shared" si="341"/>
        <v>0</v>
      </c>
      <c r="E1616" s="51"/>
      <c r="F1616" s="51"/>
      <c r="G1616" s="51"/>
      <c r="H1616" s="51"/>
      <c r="I1616" s="51"/>
      <c r="J1616" s="51"/>
      <c r="K1616" s="51"/>
      <c r="L1616" s="51"/>
      <c r="M1616" s="35"/>
      <c r="N1616" s="51"/>
      <c r="O1616" s="82"/>
      <c r="P1616" s="51"/>
      <c r="Q1616" s="338"/>
      <c r="R1616" s="51"/>
      <c r="S1616" s="51"/>
      <c r="T1616" s="338"/>
      <c r="U1616" s="51"/>
      <c r="V1616" s="35"/>
      <c r="W1616" s="364">
        <f t="shared" si="338"/>
        <v>192433.58</v>
      </c>
      <c r="X1616" s="285">
        <v>63991.54</v>
      </c>
      <c r="Y1616" s="9">
        <v>128442.04</v>
      </c>
      <c r="Z1616" s="306"/>
      <c r="AA1616" s="302"/>
      <c r="AB1616" s="302"/>
      <c r="AC1616" s="56"/>
      <c r="AD1616" s="56" t="s">
        <v>1395</v>
      </c>
      <c r="AE1616" s="56"/>
    </row>
    <row r="1617" spans="1:34" x14ac:dyDescent="0.3">
      <c r="A1617" s="47">
        <f t="shared" si="342"/>
        <v>1489</v>
      </c>
      <c r="B1617" s="414" t="s">
        <v>1981</v>
      </c>
      <c r="C1617" s="51">
        <f t="shared" si="340"/>
        <v>224320.47000000003</v>
      </c>
      <c r="D1617" s="51">
        <f t="shared" si="341"/>
        <v>0</v>
      </c>
      <c r="E1617" s="51"/>
      <c r="F1617" s="51"/>
      <c r="G1617" s="51"/>
      <c r="H1617" s="51"/>
      <c r="I1617" s="51"/>
      <c r="J1617" s="51"/>
      <c r="K1617" s="51"/>
      <c r="L1617" s="51"/>
      <c r="M1617" s="35"/>
      <c r="N1617" s="51"/>
      <c r="O1617" s="82"/>
      <c r="P1617" s="51"/>
      <c r="Q1617" s="338"/>
      <c r="R1617" s="51"/>
      <c r="S1617" s="51"/>
      <c r="T1617" s="338"/>
      <c r="U1617" s="51"/>
      <c r="V1617" s="35"/>
      <c r="W1617" s="364">
        <f t="shared" si="338"/>
        <v>224320.47000000003</v>
      </c>
      <c r="X1617" s="9">
        <v>76976.710000000006</v>
      </c>
      <c r="Y1617" s="9">
        <v>147343.76</v>
      </c>
      <c r="Z1617" s="302"/>
      <c r="AA1617" s="302"/>
      <c r="AB1617" s="302"/>
      <c r="AC1617" s="56"/>
      <c r="AD1617" s="56" t="s">
        <v>1395</v>
      </c>
      <c r="AE1617" s="56"/>
    </row>
    <row r="1618" spans="1:34" x14ac:dyDescent="0.3">
      <c r="A1618" s="47">
        <f t="shared" si="342"/>
        <v>1490</v>
      </c>
      <c r="B1618" s="414" t="s">
        <v>1982</v>
      </c>
      <c r="C1618" s="51">
        <f t="shared" si="340"/>
        <v>219609.93</v>
      </c>
      <c r="D1618" s="51">
        <f t="shared" si="341"/>
        <v>0</v>
      </c>
      <c r="E1618" s="51"/>
      <c r="F1618" s="51"/>
      <c r="G1618" s="51"/>
      <c r="H1618" s="51"/>
      <c r="I1618" s="51"/>
      <c r="J1618" s="51"/>
      <c r="K1618" s="51"/>
      <c r="L1618" s="51"/>
      <c r="M1618" s="35"/>
      <c r="N1618" s="51"/>
      <c r="O1618" s="82"/>
      <c r="P1618" s="51"/>
      <c r="Q1618" s="338"/>
      <c r="R1618" s="51"/>
      <c r="S1618" s="51"/>
      <c r="T1618" s="338"/>
      <c r="U1618" s="51"/>
      <c r="V1618" s="35"/>
      <c r="W1618" s="364">
        <f t="shared" si="338"/>
        <v>219609.93</v>
      </c>
      <c r="X1618" s="285">
        <v>75056.27</v>
      </c>
      <c r="Y1618" s="9">
        <v>144553.66</v>
      </c>
      <c r="Z1618" s="306"/>
      <c r="AA1618" s="302"/>
      <c r="AB1618" s="302"/>
      <c r="AC1618" s="56"/>
      <c r="AD1618" s="56" t="s">
        <v>1395</v>
      </c>
      <c r="AE1618" s="56"/>
    </row>
    <row r="1619" spans="1:34" x14ac:dyDescent="0.3">
      <c r="A1619" s="47">
        <f t="shared" si="342"/>
        <v>1491</v>
      </c>
      <c r="B1619" s="414" t="s">
        <v>1983</v>
      </c>
      <c r="C1619" s="51">
        <f t="shared" si="340"/>
        <v>219225.81</v>
      </c>
      <c r="D1619" s="51">
        <f t="shared" si="341"/>
        <v>0</v>
      </c>
      <c r="E1619" s="51"/>
      <c r="F1619" s="51"/>
      <c r="G1619" s="51"/>
      <c r="H1619" s="51"/>
      <c r="I1619" s="51"/>
      <c r="J1619" s="51"/>
      <c r="K1619" s="51"/>
      <c r="L1619" s="51"/>
      <c r="M1619" s="35"/>
      <c r="N1619" s="51"/>
      <c r="O1619" s="82"/>
      <c r="P1619" s="51"/>
      <c r="Q1619" s="338"/>
      <c r="R1619" s="51"/>
      <c r="S1619" s="51"/>
      <c r="T1619" s="338"/>
      <c r="U1619" s="51"/>
      <c r="V1619" s="35"/>
      <c r="W1619" s="364">
        <f t="shared" si="338"/>
        <v>219225.81</v>
      </c>
      <c r="X1619" s="285">
        <v>74686.240000000005</v>
      </c>
      <c r="Y1619" s="9">
        <v>144539.57</v>
      </c>
      <c r="Z1619" s="306"/>
      <c r="AA1619" s="302"/>
      <c r="AB1619" s="302"/>
      <c r="AC1619" s="56"/>
      <c r="AD1619" s="56" t="s">
        <v>1395</v>
      </c>
      <c r="AE1619" s="56"/>
    </row>
    <row r="1620" spans="1:34" x14ac:dyDescent="0.3">
      <c r="A1620" s="47">
        <f t="shared" si="342"/>
        <v>1492</v>
      </c>
      <c r="B1620" s="414" t="s">
        <v>1984</v>
      </c>
      <c r="C1620" s="51">
        <f t="shared" si="340"/>
        <v>212605.71</v>
      </c>
      <c r="D1620" s="51">
        <f t="shared" si="341"/>
        <v>0</v>
      </c>
      <c r="E1620" s="51"/>
      <c r="F1620" s="51"/>
      <c r="G1620" s="51"/>
      <c r="H1620" s="51"/>
      <c r="I1620" s="51"/>
      <c r="J1620" s="51"/>
      <c r="K1620" s="51"/>
      <c r="L1620" s="51"/>
      <c r="M1620" s="35"/>
      <c r="N1620" s="51"/>
      <c r="O1620" s="82"/>
      <c r="P1620" s="51"/>
      <c r="Q1620" s="338"/>
      <c r="R1620" s="51"/>
      <c r="S1620" s="51"/>
      <c r="T1620" s="338"/>
      <c r="U1620" s="51"/>
      <c r="V1620" s="35"/>
      <c r="W1620" s="364">
        <f t="shared" si="338"/>
        <v>212605.71</v>
      </c>
      <c r="X1620" s="285">
        <v>72285.34</v>
      </c>
      <c r="Y1620" s="9">
        <v>140320.37</v>
      </c>
      <c r="Z1620" s="306"/>
      <c r="AA1620" s="302"/>
      <c r="AB1620" s="302"/>
      <c r="AC1620" s="56"/>
      <c r="AD1620" s="56" t="s">
        <v>1395</v>
      </c>
      <c r="AE1620" s="56"/>
    </row>
    <row r="1621" spans="1:34" x14ac:dyDescent="0.3">
      <c r="A1621" s="47">
        <f t="shared" si="342"/>
        <v>1493</v>
      </c>
      <c r="B1621" s="414" t="s">
        <v>1985</v>
      </c>
      <c r="C1621" s="51">
        <f t="shared" si="340"/>
        <v>243081.18</v>
      </c>
      <c r="D1621" s="51">
        <f t="shared" si="341"/>
        <v>0</v>
      </c>
      <c r="E1621" s="51"/>
      <c r="F1621" s="51"/>
      <c r="G1621" s="51"/>
      <c r="H1621" s="51"/>
      <c r="I1621" s="51"/>
      <c r="J1621" s="51"/>
      <c r="K1621" s="51"/>
      <c r="L1621" s="51"/>
      <c r="M1621" s="35"/>
      <c r="N1621" s="51"/>
      <c r="O1621" s="82"/>
      <c r="P1621" s="51"/>
      <c r="Q1621" s="338"/>
      <c r="R1621" s="51"/>
      <c r="S1621" s="51"/>
      <c r="T1621" s="338"/>
      <c r="U1621" s="51"/>
      <c r="V1621" s="35"/>
      <c r="W1621" s="364">
        <f t="shared" si="338"/>
        <v>243081.18</v>
      </c>
      <c r="X1621" s="285">
        <v>84291.47</v>
      </c>
      <c r="Y1621" s="9">
        <v>158789.71</v>
      </c>
      <c r="Z1621" s="306"/>
      <c r="AA1621" s="302"/>
      <c r="AB1621" s="302"/>
      <c r="AC1621" s="56"/>
      <c r="AD1621" s="56" t="s">
        <v>1395</v>
      </c>
      <c r="AE1621" s="56"/>
    </row>
    <row r="1622" spans="1:34" x14ac:dyDescent="0.3">
      <c r="A1622" s="45"/>
      <c r="B1622" s="414" t="s">
        <v>211</v>
      </c>
      <c r="C1622" s="51">
        <f t="shared" ref="C1622:W1622" si="343">SUM(C1605:C1621)</f>
        <v>3783245.2800000007</v>
      </c>
      <c r="D1622" s="51">
        <f t="shared" si="343"/>
        <v>0</v>
      </c>
      <c r="E1622" s="51">
        <f t="shared" si="343"/>
        <v>0</v>
      </c>
      <c r="F1622" s="51">
        <f t="shared" si="343"/>
        <v>0</v>
      </c>
      <c r="G1622" s="51">
        <f t="shared" si="343"/>
        <v>0</v>
      </c>
      <c r="H1622" s="51">
        <f t="shared" si="343"/>
        <v>0</v>
      </c>
      <c r="I1622" s="51">
        <f t="shared" si="343"/>
        <v>0</v>
      </c>
      <c r="J1622" s="51">
        <f t="shared" si="343"/>
        <v>0</v>
      </c>
      <c r="K1622" s="51">
        <f t="shared" si="343"/>
        <v>0</v>
      </c>
      <c r="L1622" s="51">
        <f t="shared" si="343"/>
        <v>0</v>
      </c>
      <c r="M1622" s="35">
        <f t="shared" si="343"/>
        <v>0</v>
      </c>
      <c r="N1622" s="51">
        <f t="shared" si="343"/>
        <v>0</v>
      </c>
      <c r="O1622" s="82">
        <f t="shared" si="343"/>
        <v>0</v>
      </c>
      <c r="P1622" s="51">
        <f t="shared" si="343"/>
        <v>0</v>
      </c>
      <c r="Q1622" s="338">
        <f t="shared" si="343"/>
        <v>0</v>
      </c>
      <c r="R1622" s="51">
        <f t="shared" si="343"/>
        <v>0</v>
      </c>
      <c r="S1622" s="51">
        <f t="shared" si="343"/>
        <v>0</v>
      </c>
      <c r="T1622" s="338">
        <f t="shared" si="343"/>
        <v>0</v>
      </c>
      <c r="U1622" s="51">
        <f t="shared" si="343"/>
        <v>0</v>
      </c>
      <c r="V1622" s="35">
        <f t="shared" si="343"/>
        <v>0</v>
      </c>
      <c r="W1622" s="51">
        <f t="shared" si="343"/>
        <v>3783245.2800000007</v>
      </c>
      <c r="X1622" s="285"/>
      <c r="Y1622" s="9"/>
      <c r="Z1622" s="306"/>
      <c r="AA1622" s="302"/>
      <c r="AB1622" s="302"/>
      <c r="AC1622" s="56"/>
      <c r="AD1622" s="56"/>
      <c r="AE1622" s="56"/>
    </row>
    <row r="1623" spans="1:34" ht="20.25" customHeight="1" x14ac:dyDescent="0.3">
      <c r="A1623" s="45"/>
      <c r="B1623" s="414" t="s">
        <v>1986</v>
      </c>
      <c r="C1623" s="51">
        <f t="shared" ref="C1623:W1623" si="344">C1622+C1603+C1600+C1595+C1592+C1589+C1581+C1578+C1574+C1153+C1126+C1114+C1111</f>
        <v>498979107.46999979</v>
      </c>
      <c r="D1623" s="51">
        <f t="shared" si="344"/>
        <v>26297884.440000001</v>
      </c>
      <c r="E1623" s="51">
        <f t="shared" si="344"/>
        <v>10718874.840000002</v>
      </c>
      <c r="F1623" s="51">
        <f t="shared" si="344"/>
        <v>8663568.5999999996</v>
      </c>
      <c r="G1623" s="51">
        <f t="shared" si="344"/>
        <v>2867188.8000000003</v>
      </c>
      <c r="H1623" s="51">
        <f t="shared" si="344"/>
        <v>2388768</v>
      </c>
      <c r="I1623" s="51">
        <f t="shared" si="344"/>
        <v>1659484.2000000002</v>
      </c>
      <c r="J1623" s="51">
        <f t="shared" si="344"/>
        <v>0</v>
      </c>
      <c r="K1623" s="51">
        <f t="shared" si="344"/>
        <v>0</v>
      </c>
      <c r="L1623" s="51">
        <f t="shared" si="344"/>
        <v>0</v>
      </c>
      <c r="M1623" s="35">
        <f t="shared" si="344"/>
        <v>15652.160000000002</v>
      </c>
      <c r="N1623" s="51">
        <f t="shared" si="344"/>
        <v>47811313.109999999</v>
      </c>
      <c r="O1623" s="82">
        <f t="shared" si="344"/>
        <v>9523.7999999999993</v>
      </c>
      <c r="P1623" s="51">
        <f t="shared" si="344"/>
        <v>110733925.01000001</v>
      </c>
      <c r="Q1623" s="338">
        <f t="shared" si="344"/>
        <v>4631.5</v>
      </c>
      <c r="R1623" s="51">
        <f t="shared" si="344"/>
        <v>41977888.730000004</v>
      </c>
      <c r="S1623" s="51">
        <f t="shared" si="344"/>
        <v>0</v>
      </c>
      <c r="T1623" s="338">
        <f t="shared" si="344"/>
        <v>4407</v>
      </c>
      <c r="U1623" s="51">
        <f t="shared" si="344"/>
        <v>51726869.600000001</v>
      </c>
      <c r="V1623" s="35">
        <f t="shared" si="344"/>
        <v>0</v>
      </c>
      <c r="W1623" s="51">
        <f t="shared" si="344"/>
        <v>196062789.95000011</v>
      </c>
      <c r="X1623" s="285"/>
      <c r="Y1623" s="9"/>
      <c r="Z1623" s="306"/>
      <c r="AA1623" s="302"/>
      <c r="AB1623" s="302"/>
      <c r="AC1623" s="56"/>
      <c r="AD1623" s="56"/>
      <c r="AE1623" s="56"/>
    </row>
    <row r="1624" spans="1:34" ht="15" customHeight="1" x14ac:dyDescent="0.3">
      <c r="A1624" s="438" t="s">
        <v>1987</v>
      </c>
      <c r="B1624" s="420"/>
      <c r="C1624" s="387"/>
      <c r="D1624" s="49"/>
      <c r="E1624" s="49"/>
      <c r="F1624" s="49"/>
      <c r="G1624" s="49"/>
      <c r="H1624" s="49"/>
      <c r="I1624" s="49"/>
      <c r="J1624" s="49"/>
      <c r="K1624" s="49"/>
      <c r="L1624" s="49"/>
      <c r="M1624" s="33"/>
      <c r="N1624" s="49"/>
      <c r="O1624" s="343"/>
      <c r="P1624" s="49"/>
      <c r="Q1624" s="337"/>
      <c r="R1624" s="49"/>
      <c r="S1624" s="49"/>
      <c r="T1624" s="337"/>
      <c r="U1624" s="49"/>
      <c r="V1624" s="33"/>
      <c r="W1624" s="49"/>
      <c r="X1624" s="305"/>
      <c r="Y1624" s="179"/>
      <c r="Z1624" s="179"/>
      <c r="AA1624" s="179"/>
      <c r="AB1624" s="179"/>
      <c r="AC1624" s="179"/>
      <c r="AD1624" s="179"/>
      <c r="AE1624" s="61"/>
      <c r="AF1624" s="62"/>
      <c r="AG1624" s="62"/>
      <c r="AH1624" s="62"/>
    </row>
    <row r="1625" spans="1:34" ht="15" customHeight="1" x14ac:dyDescent="0.3">
      <c r="A1625" s="434" t="s">
        <v>1988</v>
      </c>
      <c r="B1625" s="414"/>
      <c r="C1625" s="51"/>
      <c r="D1625" s="51"/>
      <c r="E1625" s="51"/>
      <c r="F1625" s="51"/>
      <c r="G1625" s="51"/>
      <c r="H1625" s="51"/>
      <c r="I1625" s="51"/>
      <c r="J1625" s="51"/>
      <c r="K1625" s="51"/>
      <c r="L1625" s="51"/>
      <c r="M1625" s="35"/>
      <c r="N1625" s="51"/>
      <c r="O1625" s="82"/>
      <c r="P1625" s="51"/>
      <c r="Q1625" s="338"/>
      <c r="R1625" s="51"/>
      <c r="S1625" s="51"/>
      <c r="T1625" s="338"/>
      <c r="U1625" s="51"/>
      <c r="V1625" s="35"/>
      <c r="W1625" s="51"/>
      <c r="X1625" s="141"/>
      <c r="Y1625" s="48"/>
      <c r="Z1625" s="48"/>
      <c r="AA1625" s="48"/>
      <c r="AB1625" s="48"/>
      <c r="AC1625" s="48"/>
      <c r="AD1625" s="48"/>
      <c r="AE1625" s="61"/>
      <c r="AF1625" s="62"/>
      <c r="AG1625" s="62"/>
      <c r="AH1625" s="62"/>
    </row>
    <row r="1626" spans="1:34" x14ac:dyDescent="0.3">
      <c r="A1626" s="47">
        <f>A1621+1</f>
        <v>1494</v>
      </c>
      <c r="B1626" s="414" t="s">
        <v>1989</v>
      </c>
      <c r="C1626" s="51">
        <f t="shared" ref="C1626:C1631" si="345">D1626+K1626+L1626+N1626+P1626+R1626+S1626+U1626+V1626+W1626</f>
        <v>525170.65</v>
      </c>
      <c r="D1626" s="51">
        <f t="shared" ref="D1626:D1631" si="346">E1626+F1626+G1626+H1626+I1626</f>
        <v>0</v>
      </c>
      <c r="E1626" s="51"/>
      <c r="F1626" s="51"/>
      <c r="G1626" s="51"/>
      <c r="H1626" s="51"/>
      <c r="I1626" s="51"/>
      <c r="J1626" s="51"/>
      <c r="K1626" s="51"/>
      <c r="L1626" s="51"/>
      <c r="M1626" s="35"/>
      <c r="N1626" s="51"/>
      <c r="O1626" s="82"/>
      <c r="P1626" s="51"/>
      <c r="Q1626" s="338"/>
      <c r="R1626" s="51"/>
      <c r="S1626" s="51"/>
      <c r="T1626" s="338"/>
      <c r="U1626" s="51"/>
      <c r="V1626" s="35"/>
      <c r="W1626" s="51">
        <f>SUM(X1626:AH1626)</f>
        <v>525170.65</v>
      </c>
      <c r="X1626" s="141"/>
      <c r="Y1626" s="48"/>
      <c r="Z1626" s="48"/>
      <c r="AA1626" s="48"/>
      <c r="AB1626" s="48"/>
      <c r="AC1626" s="48"/>
      <c r="AD1626" s="48"/>
      <c r="AE1626" s="61"/>
      <c r="AF1626" s="62">
        <v>525170.65</v>
      </c>
      <c r="AG1626" s="62"/>
      <c r="AH1626" s="62"/>
    </row>
    <row r="1627" spans="1:34" x14ac:dyDescent="0.3">
      <c r="A1627" s="47">
        <f>A1626+1</f>
        <v>1495</v>
      </c>
      <c r="B1627" s="414" t="s">
        <v>1990</v>
      </c>
      <c r="C1627" s="51">
        <f t="shared" si="345"/>
        <v>130000</v>
      </c>
      <c r="D1627" s="51">
        <f t="shared" si="346"/>
        <v>0</v>
      </c>
      <c r="E1627" s="51"/>
      <c r="F1627" s="51"/>
      <c r="G1627" s="51"/>
      <c r="H1627" s="51"/>
      <c r="I1627" s="51"/>
      <c r="J1627" s="51"/>
      <c r="K1627" s="51"/>
      <c r="L1627" s="51"/>
      <c r="M1627" s="35"/>
      <c r="N1627" s="51"/>
      <c r="O1627" s="82"/>
      <c r="P1627" s="51"/>
      <c r="Q1627" s="338"/>
      <c r="R1627" s="51"/>
      <c r="S1627" s="51"/>
      <c r="T1627" s="338"/>
      <c r="U1627" s="51"/>
      <c r="V1627" s="35"/>
      <c r="W1627" s="51">
        <v>130000</v>
      </c>
      <c r="X1627" s="141"/>
      <c r="Y1627" s="48"/>
      <c r="Z1627" s="48"/>
      <c r="AA1627" s="48"/>
      <c r="AB1627" s="48"/>
      <c r="AC1627" s="48"/>
      <c r="AD1627" s="48"/>
      <c r="AE1627" s="61"/>
      <c r="AF1627" s="62"/>
      <c r="AG1627" s="62"/>
      <c r="AH1627" s="62"/>
    </row>
    <row r="1628" spans="1:34" x14ac:dyDescent="0.3">
      <c r="A1628" s="47">
        <f t="shared" ref="A1628:A1631" si="347">A1627+1</f>
        <v>1496</v>
      </c>
      <c r="B1628" s="414" t="s">
        <v>1991</v>
      </c>
      <c r="C1628" s="51">
        <f t="shared" si="345"/>
        <v>1761616.88</v>
      </c>
      <c r="D1628" s="51">
        <f t="shared" si="346"/>
        <v>0</v>
      </c>
      <c r="E1628" s="51"/>
      <c r="F1628" s="51"/>
      <c r="G1628" s="51"/>
      <c r="H1628" s="51"/>
      <c r="I1628" s="51"/>
      <c r="J1628" s="51"/>
      <c r="K1628" s="51"/>
      <c r="L1628" s="51"/>
      <c r="M1628" s="35"/>
      <c r="N1628" s="51"/>
      <c r="O1628" s="82"/>
      <c r="P1628" s="399"/>
      <c r="Q1628" s="338"/>
      <c r="R1628" s="51"/>
      <c r="S1628" s="51"/>
      <c r="T1628" s="338"/>
      <c r="U1628" s="51"/>
      <c r="V1628" s="35"/>
      <c r="W1628" s="51">
        <f>SUM(X1628:AH1628)</f>
        <v>1761616.88</v>
      </c>
      <c r="X1628" s="141"/>
      <c r="Y1628" s="48">
        <v>125528.03</v>
      </c>
      <c r="Z1628" s="48">
        <v>148907.51</v>
      </c>
      <c r="AA1628" s="48">
        <v>136387.28</v>
      </c>
      <c r="AB1628" s="48">
        <v>125082.19</v>
      </c>
      <c r="AC1628" s="48"/>
      <c r="AD1628" s="48">
        <v>227168.1</v>
      </c>
      <c r="AE1628" s="61">
        <v>212026.09</v>
      </c>
      <c r="AF1628" s="62">
        <v>576417.97</v>
      </c>
      <c r="AG1628" s="62">
        <v>210099.71</v>
      </c>
      <c r="AH1628" s="62"/>
    </row>
    <row r="1629" spans="1:34" x14ac:dyDescent="0.3">
      <c r="A1629" s="47">
        <f t="shared" si="347"/>
        <v>1497</v>
      </c>
      <c r="B1629" s="414" t="s">
        <v>1992</v>
      </c>
      <c r="C1629" s="51">
        <f t="shared" si="345"/>
        <v>1314347.9400000002</v>
      </c>
      <c r="D1629" s="51">
        <f t="shared" si="346"/>
        <v>0</v>
      </c>
      <c r="E1629" s="51"/>
      <c r="F1629" s="51"/>
      <c r="G1629" s="51"/>
      <c r="H1629" s="51"/>
      <c r="I1629" s="51"/>
      <c r="J1629" s="51"/>
      <c r="K1629" s="51"/>
      <c r="L1629" s="51"/>
      <c r="M1629" s="35"/>
      <c r="N1629" s="51"/>
      <c r="O1629" s="82"/>
      <c r="P1629" s="51"/>
      <c r="Q1629" s="338"/>
      <c r="R1629" s="51"/>
      <c r="S1629" s="51"/>
      <c r="T1629" s="338"/>
      <c r="U1629" s="51"/>
      <c r="V1629" s="35"/>
      <c r="W1629" s="51">
        <f>SUM(X1629:AH1629)</f>
        <v>1314347.9400000002</v>
      </c>
      <c r="X1629" s="141"/>
      <c r="Y1629" s="48">
        <v>99135.79</v>
      </c>
      <c r="Z1629" s="48">
        <v>117063.53</v>
      </c>
      <c r="AA1629" s="48">
        <v>101477.02</v>
      </c>
      <c r="AB1629" s="48">
        <v>96852.2</v>
      </c>
      <c r="AC1629" s="48"/>
      <c r="AD1629" s="48">
        <v>181314.49</v>
      </c>
      <c r="AE1629" s="61">
        <v>122781.31</v>
      </c>
      <c r="AF1629" s="62">
        <v>458853.8</v>
      </c>
      <c r="AG1629" s="62">
        <v>136869.79999999999</v>
      </c>
      <c r="AH1629" s="62"/>
    </row>
    <row r="1630" spans="1:34" x14ac:dyDescent="0.3">
      <c r="A1630" s="47">
        <f t="shared" si="347"/>
        <v>1498</v>
      </c>
      <c r="B1630" s="414" t="s">
        <v>1993</v>
      </c>
      <c r="C1630" s="51">
        <f t="shared" si="345"/>
        <v>1735289.57</v>
      </c>
      <c r="D1630" s="51">
        <f t="shared" si="346"/>
        <v>0</v>
      </c>
      <c r="E1630" s="51"/>
      <c r="F1630" s="51"/>
      <c r="G1630" s="51"/>
      <c r="H1630" s="51"/>
      <c r="I1630" s="51"/>
      <c r="J1630" s="51"/>
      <c r="K1630" s="51"/>
      <c r="L1630" s="51"/>
      <c r="M1630" s="35"/>
      <c r="N1630" s="51"/>
      <c r="O1630" s="82"/>
      <c r="P1630" s="51"/>
      <c r="Q1630" s="338"/>
      <c r="R1630" s="51"/>
      <c r="S1630" s="51"/>
      <c r="T1630" s="338"/>
      <c r="U1630" s="51"/>
      <c r="V1630" s="35"/>
      <c r="W1630" s="51">
        <f>SUM(X1630:AH1630)</f>
        <v>1735289.57</v>
      </c>
      <c r="X1630" s="141"/>
      <c r="Y1630" s="48">
        <v>125564.39</v>
      </c>
      <c r="Z1630" s="48">
        <v>160209.97</v>
      </c>
      <c r="AA1630" s="48">
        <v>133384.14000000001</v>
      </c>
      <c r="AB1630" s="48">
        <v>122079.05</v>
      </c>
      <c r="AC1630" s="48"/>
      <c r="AD1630" s="48">
        <v>252060.22</v>
      </c>
      <c r="AE1630" s="61">
        <v>42177.37</v>
      </c>
      <c r="AF1630" s="62">
        <v>673621.08</v>
      </c>
      <c r="AG1630" s="62">
        <v>226193.35</v>
      </c>
      <c r="AH1630" s="62"/>
    </row>
    <row r="1631" spans="1:34" x14ac:dyDescent="0.3">
      <c r="A1631" s="47">
        <f t="shared" si="347"/>
        <v>1499</v>
      </c>
      <c r="B1631" s="414" t="s">
        <v>1994</v>
      </c>
      <c r="C1631" s="51">
        <f t="shared" si="345"/>
        <v>1806666.7</v>
      </c>
      <c r="D1631" s="51">
        <f t="shared" si="346"/>
        <v>0</v>
      </c>
      <c r="E1631" s="51"/>
      <c r="F1631" s="51"/>
      <c r="G1631" s="51"/>
      <c r="H1631" s="51"/>
      <c r="I1631" s="51"/>
      <c r="J1631" s="51"/>
      <c r="K1631" s="51"/>
      <c r="L1631" s="51"/>
      <c r="M1631" s="35"/>
      <c r="N1631" s="51"/>
      <c r="O1631" s="82"/>
      <c r="P1631" s="399"/>
      <c r="Q1631" s="338"/>
      <c r="R1631" s="51"/>
      <c r="S1631" s="51"/>
      <c r="T1631" s="338"/>
      <c r="U1631" s="51"/>
      <c r="V1631" s="35"/>
      <c r="W1631" s="51">
        <f>SUM(X1631:AH1631)</f>
        <v>1806666.7</v>
      </c>
      <c r="X1631" s="141"/>
      <c r="Y1631" s="48">
        <v>119267.3</v>
      </c>
      <c r="Z1631" s="48">
        <v>159863.82999999999</v>
      </c>
      <c r="AA1631" s="48">
        <v>126645.95</v>
      </c>
      <c r="AB1631" s="48">
        <v>115340.87</v>
      </c>
      <c r="AC1631" s="48"/>
      <c r="AD1631" s="48">
        <v>274705.93</v>
      </c>
      <c r="AE1631" s="61">
        <v>112524.68</v>
      </c>
      <c r="AF1631" s="62">
        <v>689249.82</v>
      </c>
      <c r="AG1631" s="62">
        <v>209068.32</v>
      </c>
      <c r="AH1631" s="62"/>
    </row>
    <row r="1632" spans="1:34" x14ac:dyDescent="0.3">
      <c r="A1632" s="47"/>
      <c r="B1632" s="414" t="s">
        <v>211</v>
      </c>
      <c r="C1632" s="51">
        <f t="shared" ref="C1632:W1632" si="348">SUM(C1626:C1631)</f>
        <v>7273091.7400000002</v>
      </c>
      <c r="D1632" s="51">
        <f t="shared" si="348"/>
        <v>0</v>
      </c>
      <c r="E1632" s="51">
        <f t="shared" si="348"/>
        <v>0</v>
      </c>
      <c r="F1632" s="51">
        <f t="shared" si="348"/>
        <v>0</v>
      </c>
      <c r="G1632" s="51">
        <f t="shared" si="348"/>
        <v>0</v>
      </c>
      <c r="H1632" s="51">
        <f t="shared" si="348"/>
        <v>0</v>
      </c>
      <c r="I1632" s="51">
        <f t="shared" si="348"/>
        <v>0</v>
      </c>
      <c r="J1632" s="51">
        <f t="shared" si="348"/>
        <v>0</v>
      </c>
      <c r="K1632" s="51">
        <f t="shared" si="348"/>
        <v>0</v>
      </c>
      <c r="L1632" s="51">
        <f t="shared" si="348"/>
        <v>0</v>
      </c>
      <c r="M1632" s="35">
        <f t="shared" si="348"/>
        <v>0</v>
      </c>
      <c r="N1632" s="51">
        <f t="shared" si="348"/>
        <v>0</v>
      </c>
      <c r="O1632" s="82">
        <f t="shared" si="348"/>
        <v>0</v>
      </c>
      <c r="P1632" s="51">
        <f t="shared" si="348"/>
        <v>0</v>
      </c>
      <c r="Q1632" s="338">
        <f t="shared" si="348"/>
        <v>0</v>
      </c>
      <c r="R1632" s="51">
        <f t="shared" si="348"/>
        <v>0</v>
      </c>
      <c r="S1632" s="51">
        <f t="shared" si="348"/>
        <v>0</v>
      </c>
      <c r="T1632" s="338">
        <f t="shared" si="348"/>
        <v>0</v>
      </c>
      <c r="U1632" s="51">
        <f t="shared" si="348"/>
        <v>0</v>
      </c>
      <c r="V1632" s="35">
        <f t="shared" si="348"/>
        <v>0</v>
      </c>
      <c r="W1632" s="51">
        <f t="shared" si="348"/>
        <v>7273091.7400000002</v>
      </c>
      <c r="X1632" s="141"/>
      <c r="Y1632" s="48"/>
      <c r="Z1632" s="48"/>
      <c r="AA1632" s="48"/>
      <c r="AB1632" s="48"/>
      <c r="AC1632" s="48"/>
      <c r="AD1632" s="48"/>
      <c r="AE1632" s="61"/>
      <c r="AF1632" s="62"/>
      <c r="AG1632" s="62"/>
      <c r="AH1632" s="62"/>
    </row>
    <row r="1633" spans="1:34" ht="15" customHeight="1" x14ac:dyDescent="0.3">
      <c r="A1633" s="434" t="s">
        <v>1995</v>
      </c>
      <c r="B1633" s="414"/>
      <c r="C1633" s="51"/>
      <c r="D1633" s="51"/>
      <c r="E1633" s="51"/>
      <c r="F1633" s="51"/>
      <c r="G1633" s="51"/>
      <c r="H1633" s="51"/>
      <c r="I1633" s="51"/>
      <c r="J1633" s="51"/>
      <c r="K1633" s="51"/>
      <c r="L1633" s="51"/>
      <c r="M1633" s="35"/>
      <c r="N1633" s="51"/>
      <c r="O1633" s="82"/>
      <c r="P1633" s="51"/>
      <c r="Q1633" s="338"/>
      <c r="R1633" s="51"/>
      <c r="S1633" s="51"/>
      <c r="T1633" s="338"/>
      <c r="U1633" s="51"/>
      <c r="V1633" s="35"/>
      <c r="W1633" s="51"/>
      <c r="X1633" s="141"/>
      <c r="Y1633" s="48"/>
      <c r="Z1633" s="48"/>
      <c r="AA1633" s="48"/>
      <c r="AB1633" s="48"/>
      <c r="AC1633" s="48"/>
      <c r="AD1633" s="48"/>
      <c r="AE1633" s="61"/>
      <c r="AF1633" s="62"/>
      <c r="AG1633" s="62"/>
      <c r="AH1633" s="62"/>
    </row>
    <row r="1634" spans="1:34" ht="31.2" x14ac:dyDescent="0.3">
      <c r="A1634" s="47">
        <f>A1631+1</f>
        <v>1500</v>
      </c>
      <c r="B1634" s="414" t="s">
        <v>1996</v>
      </c>
      <c r="C1634" s="51">
        <f t="shared" ref="C1634:C1658" si="349">D1634+K1634+L1634+N1634+P1634+R1634+S1634+U1634+V1634+W1634</f>
        <v>96957.88</v>
      </c>
      <c r="D1634" s="51">
        <f t="shared" ref="D1634:D1658" si="350">E1634+F1634+G1634+H1634+I1634</f>
        <v>0</v>
      </c>
      <c r="E1634" s="51"/>
      <c r="F1634" s="51"/>
      <c r="G1634" s="51"/>
      <c r="H1634" s="51"/>
      <c r="I1634" s="51"/>
      <c r="J1634" s="51"/>
      <c r="K1634" s="51"/>
      <c r="L1634" s="51"/>
      <c r="M1634" s="35"/>
      <c r="N1634" s="51"/>
      <c r="O1634" s="82"/>
      <c r="P1634" s="51"/>
      <c r="Q1634" s="338"/>
      <c r="R1634" s="51"/>
      <c r="S1634" s="51"/>
      <c r="T1634" s="338"/>
      <c r="U1634" s="51"/>
      <c r="V1634" s="35"/>
      <c r="W1634" s="51">
        <f t="shared" ref="W1634:W1648" si="351">SUM(X1634:AH1634)</f>
        <v>96957.88</v>
      </c>
      <c r="X1634" s="141"/>
      <c r="Y1634" s="48">
        <v>96957.88</v>
      </c>
      <c r="Z1634" s="48"/>
      <c r="AA1634" s="48"/>
      <c r="AB1634" s="48"/>
      <c r="AC1634" s="48"/>
      <c r="AD1634" s="48"/>
      <c r="AE1634" s="61"/>
      <c r="AF1634" s="62"/>
      <c r="AG1634" s="62"/>
      <c r="AH1634" s="62"/>
    </row>
    <row r="1635" spans="1:34" ht="31.2" x14ac:dyDescent="0.3">
      <c r="A1635" s="47">
        <f>A1634+1</f>
        <v>1501</v>
      </c>
      <c r="B1635" s="414" t="s">
        <v>1997</v>
      </c>
      <c r="C1635" s="51">
        <f t="shared" si="349"/>
        <v>173052.37</v>
      </c>
      <c r="D1635" s="51">
        <f t="shared" si="350"/>
        <v>0</v>
      </c>
      <c r="E1635" s="51"/>
      <c r="F1635" s="51"/>
      <c r="G1635" s="51"/>
      <c r="H1635" s="51"/>
      <c r="I1635" s="51"/>
      <c r="J1635" s="51"/>
      <c r="K1635" s="51"/>
      <c r="L1635" s="51"/>
      <c r="M1635" s="35"/>
      <c r="N1635" s="51"/>
      <c r="O1635" s="82"/>
      <c r="P1635" s="51"/>
      <c r="Q1635" s="338"/>
      <c r="R1635" s="51"/>
      <c r="S1635" s="51"/>
      <c r="T1635" s="338"/>
      <c r="U1635" s="51"/>
      <c r="V1635" s="35"/>
      <c r="W1635" s="51">
        <f t="shared" si="351"/>
        <v>173052.37</v>
      </c>
      <c r="X1635" s="141"/>
      <c r="Y1635" s="48">
        <v>87492</v>
      </c>
      <c r="Z1635" s="48"/>
      <c r="AA1635" s="48"/>
      <c r="AB1635" s="48">
        <v>85560.37</v>
      </c>
      <c r="AC1635" s="48"/>
      <c r="AD1635" s="48"/>
      <c r="AE1635" s="61"/>
      <c r="AF1635" s="62"/>
      <c r="AG1635" s="62"/>
      <c r="AH1635" s="62"/>
    </row>
    <row r="1636" spans="1:34" x14ac:dyDescent="0.3">
      <c r="A1636" s="47">
        <f t="shared" ref="A1636:A1658" si="352">A1635+1</f>
        <v>1502</v>
      </c>
      <c r="B1636" s="414" t="s">
        <v>1998</v>
      </c>
      <c r="C1636" s="51">
        <f t="shared" si="349"/>
        <v>108353.89</v>
      </c>
      <c r="D1636" s="51">
        <f t="shared" si="350"/>
        <v>0</v>
      </c>
      <c r="E1636" s="51"/>
      <c r="F1636" s="51"/>
      <c r="G1636" s="51"/>
      <c r="H1636" s="51"/>
      <c r="I1636" s="51"/>
      <c r="J1636" s="51"/>
      <c r="K1636" s="51"/>
      <c r="L1636" s="51"/>
      <c r="M1636" s="35"/>
      <c r="N1636" s="51"/>
      <c r="O1636" s="82"/>
      <c r="P1636" s="51"/>
      <c r="Q1636" s="338"/>
      <c r="R1636" s="51"/>
      <c r="S1636" s="51"/>
      <c r="T1636" s="338"/>
      <c r="U1636" s="51"/>
      <c r="V1636" s="35"/>
      <c r="W1636" s="51">
        <f t="shared" si="351"/>
        <v>108353.89</v>
      </c>
      <c r="X1636" s="141"/>
      <c r="Y1636" s="48">
        <v>108353.89</v>
      </c>
      <c r="Z1636" s="48"/>
      <c r="AA1636" s="48"/>
      <c r="AB1636" s="48"/>
      <c r="AC1636" s="48"/>
      <c r="AD1636" s="48"/>
      <c r="AE1636" s="61"/>
      <c r="AF1636" s="62"/>
      <c r="AG1636" s="62"/>
      <c r="AH1636" s="62"/>
    </row>
    <row r="1637" spans="1:34" x14ac:dyDescent="0.3">
      <c r="A1637" s="47">
        <f t="shared" si="352"/>
        <v>1503</v>
      </c>
      <c r="B1637" s="414" t="s">
        <v>1999</v>
      </c>
      <c r="C1637" s="51">
        <f t="shared" si="349"/>
        <v>101316.56</v>
      </c>
      <c r="D1637" s="51">
        <f t="shared" si="350"/>
        <v>0</v>
      </c>
      <c r="E1637" s="51"/>
      <c r="F1637" s="51"/>
      <c r="G1637" s="51"/>
      <c r="H1637" s="51"/>
      <c r="I1637" s="51"/>
      <c r="J1637" s="51"/>
      <c r="K1637" s="51"/>
      <c r="L1637" s="51"/>
      <c r="M1637" s="35"/>
      <c r="N1637" s="51"/>
      <c r="O1637" s="82"/>
      <c r="P1637" s="51"/>
      <c r="Q1637" s="338"/>
      <c r="R1637" s="51"/>
      <c r="S1637" s="51"/>
      <c r="T1637" s="338"/>
      <c r="U1637" s="51"/>
      <c r="V1637" s="35"/>
      <c r="W1637" s="51">
        <f t="shared" si="351"/>
        <v>101316.56</v>
      </c>
      <c r="X1637" s="141"/>
      <c r="Y1637" s="48">
        <v>101316.56</v>
      </c>
      <c r="Z1637" s="48"/>
      <c r="AA1637" s="48"/>
      <c r="AB1637" s="48"/>
      <c r="AC1637" s="48"/>
      <c r="AD1637" s="48"/>
      <c r="AE1637" s="61"/>
      <c r="AF1637" s="62"/>
      <c r="AG1637" s="62"/>
      <c r="AH1637" s="62"/>
    </row>
    <row r="1638" spans="1:34" x14ac:dyDescent="0.3">
      <c r="A1638" s="47">
        <f t="shared" si="352"/>
        <v>1504</v>
      </c>
      <c r="B1638" s="414" t="s">
        <v>2000</v>
      </c>
      <c r="C1638" s="51">
        <f t="shared" si="349"/>
        <v>117417.54</v>
      </c>
      <c r="D1638" s="51">
        <f t="shared" si="350"/>
        <v>0</v>
      </c>
      <c r="E1638" s="51"/>
      <c r="F1638" s="51"/>
      <c r="G1638" s="51"/>
      <c r="H1638" s="51"/>
      <c r="I1638" s="51"/>
      <c r="J1638" s="51"/>
      <c r="K1638" s="51"/>
      <c r="L1638" s="51"/>
      <c r="M1638" s="35"/>
      <c r="N1638" s="51"/>
      <c r="O1638" s="82"/>
      <c r="P1638" s="51"/>
      <c r="Q1638" s="338"/>
      <c r="R1638" s="51"/>
      <c r="S1638" s="51"/>
      <c r="T1638" s="338"/>
      <c r="U1638" s="51"/>
      <c r="V1638" s="35"/>
      <c r="W1638" s="51">
        <f t="shared" si="351"/>
        <v>117417.54</v>
      </c>
      <c r="X1638" s="141"/>
      <c r="Y1638" s="48">
        <v>117417.54</v>
      </c>
      <c r="Z1638" s="48"/>
      <c r="AA1638" s="48"/>
      <c r="AB1638" s="48"/>
      <c r="AC1638" s="48"/>
      <c r="AD1638" s="48"/>
      <c r="AE1638" s="61"/>
      <c r="AF1638" s="62"/>
      <c r="AG1638" s="62"/>
      <c r="AH1638" s="62"/>
    </row>
    <row r="1639" spans="1:34" x14ac:dyDescent="0.3">
      <c r="A1639" s="47">
        <f t="shared" si="352"/>
        <v>1505</v>
      </c>
      <c r="B1639" s="414" t="s">
        <v>2001</v>
      </c>
      <c r="C1639" s="51">
        <f t="shared" si="349"/>
        <v>218895.58</v>
      </c>
      <c r="D1639" s="51">
        <f t="shared" si="350"/>
        <v>0</v>
      </c>
      <c r="E1639" s="51"/>
      <c r="F1639" s="51"/>
      <c r="G1639" s="51"/>
      <c r="H1639" s="51"/>
      <c r="I1639" s="51"/>
      <c r="J1639" s="51"/>
      <c r="K1639" s="51"/>
      <c r="L1639" s="51"/>
      <c r="M1639" s="35"/>
      <c r="N1639" s="51"/>
      <c r="O1639" s="82"/>
      <c r="P1639" s="51"/>
      <c r="Q1639" s="338"/>
      <c r="R1639" s="51"/>
      <c r="S1639" s="51"/>
      <c r="T1639" s="338"/>
      <c r="U1639" s="51"/>
      <c r="V1639" s="35"/>
      <c r="W1639" s="51">
        <f t="shared" si="351"/>
        <v>218895.58</v>
      </c>
      <c r="X1639" s="141"/>
      <c r="Y1639" s="48">
        <v>218895.58</v>
      </c>
      <c r="Z1639" s="48"/>
      <c r="AA1639" s="48"/>
      <c r="AB1639" s="48"/>
      <c r="AC1639" s="48"/>
      <c r="AD1639" s="48"/>
      <c r="AE1639" s="61"/>
      <c r="AF1639" s="62"/>
      <c r="AG1639" s="62"/>
      <c r="AH1639" s="62"/>
    </row>
    <row r="1640" spans="1:34" x14ac:dyDescent="0.3">
      <c r="A1640" s="47">
        <f t="shared" si="352"/>
        <v>1506</v>
      </c>
      <c r="B1640" s="414" t="s">
        <v>2002</v>
      </c>
      <c r="C1640" s="51">
        <f t="shared" si="349"/>
        <v>174632</v>
      </c>
      <c r="D1640" s="51">
        <f t="shared" si="350"/>
        <v>0</v>
      </c>
      <c r="E1640" s="51"/>
      <c r="F1640" s="51"/>
      <c r="G1640" s="51"/>
      <c r="H1640" s="51"/>
      <c r="I1640" s="51"/>
      <c r="J1640" s="51"/>
      <c r="K1640" s="51"/>
      <c r="L1640" s="51"/>
      <c r="M1640" s="35"/>
      <c r="N1640" s="51"/>
      <c r="O1640" s="82"/>
      <c r="P1640" s="51"/>
      <c r="Q1640" s="338"/>
      <c r="R1640" s="51"/>
      <c r="S1640" s="51"/>
      <c r="T1640" s="338"/>
      <c r="U1640" s="51"/>
      <c r="V1640" s="35"/>
      <c r="W1640" s="51">
        <f t="shared" si="351"/>
        <v>174632</v>
      </c>
      <c r="X1640" s="141"/>
      <c r="Y1640" s="48">
        <v>174632</v>
      </c>
      <c r="Z1640" s="48"/>
      <c r="AA1640" s="48"/>
      <c r="AB1640" s="48"/>
      <c r="AC1640" s="48"/>
      <c r="AD1640" s="48"/>
      <c r="AE1640" s="61"/>
      <c r="AF1640" s="62"/>
      <c r="AG1640" s="62"/>
      <c r="AH1640" s="62"/>
    </row>
    <row r="1641" spans="1:34" x14ac:dyDescent="0.3">
      <c r="A1641" s="47">
        <f t="shared" si="352"/>
        <v>1507</v>
      </c>
      <c r="B1641" s="414" t="s">
        <v>2003</v>
      </c>
      <c r="C1641" s="51">
        <f t="shared" si="349"/>
        <v>147798.10999999999</v>
      </c>
      <c r="D1641" s="51">
        <f t="shared" si="350"/>
        <v>0</v>
      </c>
      <c r="E1641" s="51"/>
      <c r="F1641" s="51"/>
      <c r="G1641" s="51"/>
      <c r="H1641" s="51"/>
      <c r="I1641" s="51"/>
      <c r="J1641" s="51"/>
      <c r="K1641" s="51"/>
      <c r="L1641" s="51"/>
      <c r="M1641" s="35"/>
      <c r="N1641" s="51"/>
      <c r="O1641" s="82"/>
      <c r="P1641" s="51"/>
      <c r="Q1641" s="338"/>
      <c r="R1641" s="51"/>
      <c r="S1641" s="51"/>
      <c r="T1641" s="338"/>
      <c r="U1641" s="51"/>
      <c r="V1641" s="35"/>
      <c r="W1641" s="51">
        <f t="shared" si="351"/>
        <v>147798.10999999999</v>
      </c>
      <c r="X1641" s="141"/>
      <c r="Y1641" s="48">
        <v>147798.10999999999</v>
      </c>
      <c r="Z1641" s="48"/>
      <c r="AA1641" s="48"/>
      <c r="AB1641" s="48"/>
      <c r="AC1641" s="48"/>
      <c r="AD1641" s="48"/>
      <c r="AE1641" s="61"/>
      <c r="AF1641" s="62"/>
      <c r="AG1641" s="62"/>
      <c r="AH1641" s="62"/>
    </row>
    <row r="1642" spans="1:34" x14ac:dyDescent="0.3">
      <c r="A1642" s="47">
        <f t="shared" si="352"/>
        <v>1508</v>
      </c>
      <c r="B1642" s="414" t="s">
        <v>2004</v>
      </c>
      <c r="C1642" s="51">
        <f t="shared" si="349"/>
        <v>169441.62</v>
      </c>
      <c r="D1642" s="51">
        <f t="shared" si="350"/>
        <v>0</v>
      </c>
      <c r="E1642" s="51"/>
      <c r="F1642" s="51"/>
      <c r="G1642" s="51"/>
      <c r="H1642" s="51"/>
      <c r="I1642" s="51"/>
      <c r="J1642" s="51"/>
      <c r="K1642" s="51"/>
      <c r="L1642" s="51"/>
      <c r="M1642" s="35"/>
      <c r="N1642" s="51"/>
      <c r="O1642" s="82"/>
      <c r="P1642" s="51"/>
      <c r="Q1642" s="338"/>
      <c r="R1642" s="51"/>
      <c r="S1642" s="51"/>
      <c r="T1642" s="338"/>
      <c r="U1642" s="51"/>
      <c r="V1642" s="35"/>
      <c r="W1642" s="51">
        <f t="shared" si="351"/>
        <v>169441.62</v>
      </c>
      <c r="X1642" s="141"/>
      <c r="Y1642" s="48">
        <v>169441.62</v>
      </c>
      <c r="Z1642" s="48"/>
      <c r="AA1642" s="48"/>
      <c r="AB1642" s="48"/>
      <c r="AC1642" s="48"/>
      <c r="AD1642" s="48"/>
      <c r="AE1642" s="61"/>
      <c r="AF1642" s="62"/>
      <c r="AG1642" s="62"/>
      <c r="AH1642" s="62"/>
    </row>
    <row r="1643" spans="1:34" x14ac:dyDescent="0.3">
      <c r="A1643" s="47">
        <f t="shared" si="352"/>
        <v>1509</v>
      </c>
      <c r="B1643" s="414" t="s">
        <v>2005</v>
      </c>
      <c r="C1643" s="51">
        <f t="shared" si="349"/>
        <v>163264.35999999999</v>
      </c>
      <c r="D1643" s="51">
        <f t="shared" si="350"/>
        <v>0</v>
      </c>
      <c r="E1643" s="51"/>
      <c r="F1643" s="51"/>
      <c r="G1643" s="51"/>
      <c r="H1643" s="51"/>
      <c r="I1643" s="51"/>
      <c r="J1643" s="51"/>
      <c r="K1643" s="51"/>
      <c r="L1643" s="51"/>
      <c r="M1643" s="35"/>
      <c r="N1643" s="51"/>
      <c r="O1643" s="82"/>
      <c r="P1643" s="51"/>
      <c r="Q1643" s="338"/>
      <c r="R1643" s="51"/>
      <c r="S1643" s="51"/>
      <c r="T1643" s="338"/>
      <c r="U1643" s="51"/>
      <c r="V1643" s="35"/>
      <c r="W1643" s="51">
        <f t="shared" si="351"/>
        <v>163264.35999999999</v>
      </c>
      <c r="X1643" s="141"/>
      <c r="Y1643" s="48">
        <v>163264.35999999999</v>
      </c>
      <c r="Z1643" s="48"/>
      <c r="AA1643" s="48"/>
      <c r="AB1643" s="48"/>
      <c r="AC1643" s="48"/>
      <c r="AD1643" s="48"/>
      <c r="AE1643" s="61"/>
      <c r="AF1643" s="62"/>
      <c r="AG1643" s="62"/>
      <c r="AH1643" s="62"/>
    </row>
    <row r="1644" spans="1:34" x14ac:dyDescent="0.3">
      <c r="A1644" s="47">
        <f t="shared" si="352"/>
        <v>1510</v>
      </c>
      <c r="B1644" s="414" t="s">
        <v>2006</v>
      </c>
      <c r="C1644" s="51">
        <f t="shared" si="349"/>
        <v>164480.32999999999</v>
      </c>
      <c r="D1644" s="51">
        <f t="shared" si="350"/>
        <v>0</v>
      </c>
      <c r="E1644" s="51"/>
      <c r="F1644" s="51"/>
      <c r="G1644" s="51"/>
      <c r="H1644" s="51"/>
      <c r="I1644" s="51"/>
      <c r="J1644" s="51"/>
      <c r="K1644" s="51"/>
      <c r="L1644" s="51"/>
      <c r="M1644" s="35"/>
      <c r="N1644" s="51"/>
      <c r="O1644" s="82"/>
      <c r="P1644" s="51"/>
      <c r="Q1644" s="338"/>
      <c r="R1644" s="51"/>
      <c r="S1644" s="51"/>
      <c r="T1644" s="338"/>
      <c r="U1644" s="51"/>
      <c r="V1644" s="35"/>
      <c r="W1644" s="51">
        <f t="shared" si="351"/>
        <v>164480.32999999999</v>
      </c>
      <c r="X1644" s="141"/>
      <c r="Y1644" s="48">
        <v>164480.32999999999</v>
      </c>
      <c r="Z1644" s="48"/>
      <c r="AA1644" s="48"/>
      <c r="AB1644" s="48"/>
      <c r="AC1644" s="48"/>
      <c r="AD1644" s="48"/>
      <c r="AE1644" s="61"/>
      <c r="AF1644" s="62"/>
      <c r="AG1644" s="62"/>
      <c r="AH1644" s="62"/>
    </row>
    <row r="1645" spans="1:34" x14ac:dyDescent="0.3">
      <c r="A1645" s="47">
        <f t="shared" si="352"/>
        <v>1511</v>
      </c>
      <c r="B1645" s="414" t="s">
        <v>2007</v>
      </c>
      <c r="C1645" s="51">
        <f t="shared" si="349"/>
        <v>127620.91</v>
      </c>
      <c r="D1645" s="51">
        <f t="shared" si="350"/>
        <v>0</v>
      </c>
      <c r="E1645" s="51"/>
      <c r="F1645" s="51"/>
      <c r="G1645" s="51"/>
      <c r="H1645" s="51"/>
      <c r="I1645" s="51"/>
      <c r="J1645" s="51"/>
      <c r="K1645" s="51"/>
      <c r="L1645" s="51"/>
      <c r="M1645" s="35"/>
      <c r="N1645" s="51"/>
      <c r="O1645" s="82"/>
      <c r="P1645" s="51"/>
      <c r="Q1645" s="338"/>
      <c r="R1645" s="51"/>
      <c r="S1645" s="51"/>
      <c r="T1645" s="338"/>
      <c r="U1645" s="51"/>
      <c r="V1645" s="35"/>
      <c r="W1645" s="51">
        <f t="shared" si="351"/>
        <v>127620.91</v>
      </c>
      <c r="X1645" s="141"/>
      <c r="Y1645" s="48">
        <v>127620.91</v>
      </c>
      <c r="Z1645" s="48"/>
      <c r="AA1645" s="48"/>
      <c r="AB1645" s="48"/>
      <c r="AC1645" s="48"/>
      <c r="AD1645" s="48"/>
      <c r="AE1645" s="61"/>
      <c r="AF1645" s="62"/>
      <c r="AG1645" s="62"/>
      <c r="AH1645" s="62"/>
    </row>
    <row r="1646" spans="1:34" x14ac:dyDescent="0.3">
      <c r="A1646" s="47">
        <f t="shared" si="352"/>
        <v>1512</v>
      </c>
      <c r="B1646" s="414" t="s">
        <v>2008</v>
      </c>
      <c r="C1646" s="51">
        <f t="shared" si="349"/>
        <v>163076.89000000001</v>
      </c>
      <c r="D1646" s="51">
        <f t="shared" si="350"/>
        <v>0</v>
      </c>
      <c r="E1646" s="51"/>
      <c r="F1646" s="51"/>
      <c r="G1646" s="51"/>
      <c r="H1646" s="51"/>
      <c r="I1646" s="51"/>
      <c r="J1646" s="51"/>
      <c r="K1646" s="51"/>
      <c r="L1646" s="51"/>
      <c r="M1646" s="35"/>
      <c r="N1646" s="51"/>
      <c r="O1646" s="82"/>
      <c r="P1646" s="51"/>
      <c r="Q1646" s="338"/>
      <c r="R1646" s="51"/>
      <c r="S1646" s="51"/>
      <c r="T1646" s="338"/>
      <c r="U1646" s="51"/>
      <c r="V1646" s="35"/>
      <c r="W1646" s="51">
        <f t="shared" si="351"/>
        <v>163076.89000000001</v>
      </c>
      <c r="X1646" s="141"/>
      <c r="Y1646" s="48">
        <v>163076.89000000001</v>
      </c>
      <c r="Z1646" s="48"/>
      <c r="AA1646" s="48"/>
      <c r="AB1646" s="48"/>
      <c r="AC1646" s="48"/>
      <c r="AD1646" s="48"/>
      <c r="AE1646" s="61"/>
      <c r="AF1646" s="62"/>
      <c r="AG1646" s="62"/>
      <c r="AH1646" s="62"/>
    </row>
    <row r="1647" spans="1:34" x14ac:dyDescent="0.3">
      <c r="A1647" s="47">
        <f t="shared" si="352"/>
        <v>1513</v>
      </c>
      <c r="B1647" s="414" t="s">
        <v>2009</v>
      </c>
      <c r="C1647" s="51">
        <f t="shared" si="349"/>
        <v>157616.56</v>
      </c>
      <c r="D1647" s="51">
        <f t="shared" si="350"/>
        <v>0</v>
      </c>
      <c r="E1647" s="51"/>
      <c r="F1647" s="51"/>
      <c r="G1647" s="51"/>
      <c r="H1647" s="51"/>
      <c r="I1647" s="51"/>
      <c r="J1647" s="51"/>
      <c r="K1647" s="51"/>
      <c r="L1647" s="51"/>
      <c r="M1647" s="35"/>
      <c r="N1647" s="51"/>
      <c r="O1647" s="82"/>
      <c r="P1647" s="51"/>
      <c r="Q1647" s="338"/>
      <c r="R1647" s="51"/>
      <c r="S1647" s="51"/>
      <c r="T1647" s="338"/>
      <c r="U1647" s="51"/>
      <c r="V1647" s="35"/>
      <c r="W1647" s="51">
        <f t="shared" si="351"/>
        <v>157616.56</v>
      </c>
      <c r="X1647" s="141"/>
      <c r="Y1647" s="48">
        <v>157616.56</v>
      </c>
      <c r="Z1647" s="48"/>
      <c r="AA1647" s="48"/>
      <c r="AB1647" s="48"/>
      <c r="AC1647" s="48"/>
      <c r="AD1647" s="48"/>
      <c r="AE1647" s="61"/>
      <c r="AF1647" s="62"/>
      <c r="AG1647" s="62"/>
      <c r="AH1647" s="62"/>
    </row>
    <row r="1648" spans="1:34" x14ac:dyDescent="0.3">
      <c r="A1648" s="47">
        <f t="shared" si="352"/>
        <v>1514</v>
      </c>
      <c r="B1648" s="414" t="s">
        <v>2010</v>
      </c>
      <c r="C1648" s="51">
        <f t="shared" si="349"/>
        <v>156496.34</v>
      </c>
      <c r="D1648" s="51">
        <f t="shared" si="350"/>
        <v>0</v>
      </c>
      <c r="E1648" s="51"/>
      <c r="F1648" s="51"/>
      <c r="G1648" s="51"/>
      <c r="H1648" s="51"/>
      <c r="I1648" s="51"/>
      <c r="J1648" s="51"/>
      <c r="K1648" s="51"/>
      <c r="L1648" s="51"/>
      <c r="M1648" s="35"/>
      <c r="N1648" s="51"/>
      <c r="O1648" s="82"/>
      <c r="P1648" s="51"/>
      <c r="Q1648" s="338"/>
      <c r="R1648" s="51"/>
      <c r="S1648" s="51"/>
      <c r="T1648" s="338"/>
      <c r="U1648" s="51"/>
      <c r="V1648" s="35"/>
      <c r="W1648" s="51">
        <f t="shared" si="351"/>
        <v>156496.34</v>
      </c>
      <c r="X1648" s="141"/>
      <c r="Y1648" s="48">
        <v>156496.34</v>
      </c>
      <c r="Z1648" s="48"/>
      <c r="AA1648" s="48"/>
      <c r="AB1648" s="48"/>
      <c r="AC1648" s="48"/>
      <c r="AD1648" s="48"/>
      <c r="AE1648" s="61"/>
      <c r="AF1648" s="62"/>
      <c r="AG1648" s="62"/>
      <c r="AH1648" s="62"/>
    </row>
    <row r="1649" spans="1:34" x14ac:dyDescent="0.3">
      <c r="A1649" s="47">
        <f t="shared" si="352"/>
        <v>1515</v>
      </c>
      <c r="B1649" s="414" t="s">
        <v>2012</v>
      </c>
      <c r="C1649" s="51">
        <f t="shared" si="349"/>
        <v>2665283.4</v>
      </c>
      <c r="D1649" s="51">
        <f t="shared" si="350"/>
        <v>0</v>
      </c>
      <c r="E1649" s="51"/>
      <c r="F1649" s="51"/>
      <c r="G1649" s="51"/>
      <c r="H1649" s="51"/>
      <c r="I1649" s="51"/>
      <c r="J1649" s="51"/>
      <c r="K1649" s="51"/>
      <c r="L1649" s="51"/>
      <c r="M1649" s="35"/>
      <c r="N1649" s="51"/>
      <c r="O1649" s="82"/>
      <c r="P1649" s="51"/>
      <c r="Q1649" s="338"/>
      <c r="R1649" s="51"/>
      <c r="S1649" s="51"/>
      <c r="T1649" s="338"/>
      <c r="U1649" s="51"/>
      <c r="V1649" s="35"/>
      <c r="W1649" s="51">
        <f t="shared" ref="W1649:W1658" si="353">SUM(X1649:AH1649)</f>
        <v>2665283.4</v>
      </c>
      <c r="X1649" s="141"/>
      <c r="Y1649" s="48">
        <v>194421.67</v>
      </c>
      <c r="Z1649" s="48">
        <v>249017.86</v>
      </c>
      <c r="AA1649" s="48">
        <v>207785.09</v>
      </c>
      <c r="AB1649" s="48">
        <v>189799.73</v>
      </c>
      <c r="AC1649" s="48"/>
      <c r="AD1649" s="48">
        <v>339711.71</v>
      </c>
      <c r="AE1649" s="61">
        <v>340784.9</v>
      </c>
      <c r="AF1649" s="62">
        <v>794575.08</v>
      </c>
      <c r="AG1649" s="62">
        <v>349187.36</v>
      </c>
      <c r="AH1649" s="62"/>
    </row>
    <row r="1650" spans="1:34" x14ac:dyDescent="0.3">
      <c r="A1650" s="47">
        <f t="shared" si="352"/>
        <v>1516</v>
      </c>
      <c r="B1650" s="414" t="s">
        <v>2016</v>
      </c>
      <c r="C1650" s="51">
        <f t="shared" si="349"/>
        <v>943208.44</v>
      </c>
      <c r="D1650" s="51">
        <f t="shared" si="350"/>
        <v>0</v>
      </c>
      <c r="E1650" s="51"/>
      <c r="F1650" s="51"/>
      <c r="G1650" s="51"/>
      <c r="H1650" s="51"/>
      <c r="I1650" s="51"/>
      <c r="J1650" s="51"/>
      <c r="K1650" s="51"/>
      <c r="L1650" s="51"/>
      <c r="M1650" s="35"/>
      <c r="N1650" s="51"/>
      <c r="O1650" s="82"/>
      <c r="P1650" s="51"/>
      <c r="Q1650" s="338"/>
      <c r="R1650" s="51"/>
      <c r="S1650" s="51"/>
      <c r="T1650" s="338"/>
      <c r="U1650" s="51"/>
      <c r="V1650" s="35"/>
      <c r="W1650" s="51">
        <f t="shared" si="353"/>
        <v>943208.44</v>
      </c>
      <c r="X1650" s="141"/>
      <c r="Y1650" s="48"/>
      <c r="Z1650" s="48"/>
      <c r="AA1650" s="48"/>
      <c r="AB1650" s="48"/>
      <c r="AC1650" s="48"/>
      <c r="AD1650" s="48">
        <v>264903</v>
      </c>
      <c r="AE1650" s="61">
        <v>239221.2</v>
      </c>
      <c r="AF1650" s="62">
        <v>439084.24</v>
      </c>
      <c r="AG1650" s="62"/>
      <c r="AH1650" s="62"/>
    </row>
    <row r="1651" spans="1:34" x14ac:dyDescent="0.3">
      <c r="A1651" s="47">
        <f t="shared" si="352"/>
        <v>1517</v>
      </c>
      <c r="B1651" s="414" t="s">
        <v>2017</v>
      </c>
      <c r="C1651" s="51">
        <f t="shared" si="349"/>
        <v>157903.04000000001</v>
      </c>
      <c r="D1651" s="51">
        <f t="shared" si="350"/>
        <v>0</v>
      </c>
      <c r="E1651" s="51"/>
      <c r="F1651" s="51"/>
      <c r="G1651" s="51"/>
      <c r="H1651" s="51"/>
      <c r="I1651" s="51"/>
      <c r="J1651" s="51"/>
      <c r="K1651" s="51"/>
      <c r="L1651" s="51"/>
      <c r="M1651" s="35"/>
      <c r="N1651" s="51"/>
      <c r="O1651" s="82"/>
      <c r="P1651" s="51"/>
      <c r="Q1651" s="338"/>
      <c r="R1651" s="51"/>
      <c r="S1651" s="51"/>
      <c r="T1651" s="338"/>
      <c r="U1651" s="51"/>
      <c r="V1651" s="35"/>
      <c r="W1651" s="51">
        <f t="shared" si="353"/>
        <v>157903.04000000001</v>
      </c>
      <c r="X1651" s="141"/>
      <c r="Y1651" s="48">
        <v>79802.460000000006</v>
      </c>
      <c r="Z1651" s="48"/>
      <c r="AA1651" s="48"/>
      <c r="AB1651" s="48">
        <v>78100.58</v>
      </c>
      <c r="AC1651" s="48"/>
      <c r="AD1651" s="48"/>
      <c r="AE1651" s="61"/>
      <c r="AF1651" s="62"/>
      <c r="AG1651" s="62"/>
      <c r="AH1651" s="62"/>
    </row>
    <row r="1652" spans="1:34" x14ac:dyDescent="0.3">
      <c r="A1652" s="47">
        <f t="shared" si="352"/>
        <v>1518</v>
      </c>
      <c r="B1652" s="414" t="s">
        <v>2018</v>
      </c>
      <c r="C1652" s="51">
        <f t="shared" si="349"/>
        <v>126960.26999999999</v>
      </c>
      <c r="D1652" s="51">
        <f t="shared" si="350"/>
        <v>0</v>
      </c>
      <c r="E1652" s="51"/>
      <c r="F1652" s="51"/>
      <c r="G1652" s="51"/>
      <c r="H1652" s="51"/>
      <c r="I1652" s="51"/>
      <c r="J1652" s="51"/>
      <c r="K1652" s="51"/>
      <c r="L1652" s="51"/>
      <c r="M1652" s="35"/>
      <c r="N1652" s="51"/>
      <c r="O1652" s="82"/>
      <c r="P1652" s="51"/>
      <c r="Q1652" s="338"/>
      <c r="R1652" s="51"/>
      <c r="S1652" s="51"/>
      <c r="T1652" s="338"/>
      <c r="U1652" s="51"/>
      <c r="V1652" s="35"/>
      <c r="W1652" s="51">
        <f t="shared" si="353"/>
        <v>126960.26999999999</v>
      </c>
      <c r="X1652" s="141"/>
      <c r="Y1652" s="48">
        <v>64754.96</v>
      </c>
      <c r="Z1652" s="48"/>
      <c r="AA1652" s="48"/>
      <c r="AB1652" s="48">
        <v>62205.31</v>
      </c>
      <c r="AC1652" s="48"/>
      <c r="AD1652" s="48"/>
      <c r="AE1652" s="61"/>
      <c r="AF1652" s="62"/>
      <c r="AG1652" s="62"/>
      <c r="AH1652" s="62"/>
    </row>
    <row r="1653" spans="1:34" x14ac:dyDescent="0.3">
      <c r="A1653" s="47">
        <f t="shared" si="352"/>
        <v>1519</v>
      </c>
      <c r="B1653" s="414" t="s">
        <v>2021</v>
      </c>
      <c r="C1653" s="51">
        <f t="shared" si="349"/>
        <v>1232146.54</v>
      </c>
      <c r="D1653" s="51">
        <f t="shared" si="350"/>
        <v>0</v>
      </c>
      <c r="E1653" s="51"/>
      <c r="F1653" s="51"/>
      <c r="G1653" s="51"/>
      <c r="H1653" s="51"/>
      <c r="I1653" s="51"/>
      <c r="J1653" s="51"/>
      <c r="K1653" s="51"/>
      <c r="L1653" s="51"/>
      <c r="M1653" s="35"/>
      <c r="N1653" s="51"/>
      <c r="O1653" s="82"/>
      <c r="P1653" s="51"/>
      <c r="Q1653" s="338"/>
      <c r="R1653" s="51"/>
      <c r="S1653" s="51"/>
      <c r="T1653" s="338"/>
      <c r="U1653" s="51"/>
      <c r="V1653" s="35"/>
      <c r="W1653" s="51">
        <f t="shared" si="353"/>
        <v>1232146.54</v>
      </c>
      <c r="X1653" s="141"/>
      <c r="Y1653" s="48">
        <v>183556.1</v>
      </c>
      <c r="Z1653" s="48">
        <v>228818.3</v>
      </c>
      <c r="AA1653" s="48">
        <v>193251.41</v>
      </c>
      <c r="AB1653" s="48"/>
      <c r="AC1653" s="48"/>
      <c r="AD1653" s="48">
        <v>392928.89</v>
      </c>
      <c r="AE1653" s="61">
        <v>233591.84</v>
      </c>
      <c r="AF1653" s="62"/>
      <c r="AG1653" s="62"/>
      <c r="AH1653" s="62"/>
    </row>
    <row r="1654" spans="1:34" x14ac:dyDescent="0.3">
      <c r="A1654" s="47">
        <f t="shared" si="352"/>
        <v>1520</v>
      </c>
      <c r="B1654" s="414" t="s">
        <v>2022</v>
      </c>
      <c r="C1654" s="51">
        <f t="shared" si="349"/>
        <v>1224376.0900000001</v>
      </c>
      <c r="D1654" s="51">
        <f t="shared" si="350"/>
        <v>0</v>
      </c>
      <c r="E1654" s="51"/>
      <c r="F1654" s="51"/>
      <c r="G1654" s="51"/>
      <c r="H1654" s="51"/>
      <c r="I1654" s="51"/>
      <c r="J1654" s="51"/>
      <c r="K1654" s="51"/>
      <c r="L1654" s="51"/>
      <c r="M1654" s="35"/>
      <c r="N1654" s="51"/>
      <c r="O1654" s="82"/>
      <c r="P1654" s="51"/>
      <c r="Q1654" s="338"/>
      <c r="R1654" s="51"/>
      <c r="S1654" s="51"/>
      <c r="T1654" s="338"/>
      <c r="U1654" s="51"/>
      <c r="V1654" s="35"/>
      <c r="W1654" s="51">
        <f t="shared" si="353"/>
        <v>1224376.0900000001</v>
      </c>
      <c r="X1654" s="141"/>
      <c r="Y1654" s="48">
        <v>183608.12</v>
      </c>
      <c r="Z1654" s="48">
        <v>228866.84</v>
      </c>
      <c r="AA1654" s="48">
        <v>193295.89</v>
      </c>
      <c r="AB1654" s="48"/>
      <c r="AC1654" s="48"/>
      <c r="AD1654" s="48">
        <v>393016.64</v>
      </c>
      <c r="AE1654" s="61">
        <v>225588.6</v>
      </c>
      <c r="AF1654" s="62"/>
      <c r="AG1654" s="62"/>
      <c r="AH1654" s="62"/>
    </row>
    <row r="1655" spans="1:34" x14ac:dyDescent="0.3">
      <c r="A1655" s="47">
        <f t="shared" si="352"/>
        <v>1521</v>
      </c>
      <c r="B1655" s="414" t="s">
        <v>2025</v>
      </c>
      <c r="C1655" s="51">
        <f t="shared" si="349"/>
        <v>124811.03</v>
      </c>
      <c r="D1655" s="51">
        <f t="shared" si="350"/>
        <v>0</v>
      </c>
      <c r="E1655" s="51"/>
      <c r="F1655" s="51"/>
      <c r="G1655" s="51"/>
      <c r="H1655" s="51"/>
      <c r="I1655" s="51"/>
      <c r="J1655" s="51"/>
      <c r="K1655" s="51"/>
      <c r="L1655" s="51"/>
      <c r="M1655" s="35"/>
      <c r="N1655" s="51"/>
      <c r="O1655" s="82"/>
      <c r="P1655" s="51"/>
      <c r="Q1655" s="338"/>
      <c r="R1655" s="51"/>
      <c r="S1655" s="51"/>
      <c r="T1655" s="338"/>
      <c r="U1655" s="51"/>
      <c r="V1655" s="35"/>
      <c r="W1655" s="51">
        <f t="shared" si="353"/>
        <v>124811.03</v>
      </c>
      <c r="X1655" s="141"/>
      <c r="Y1655" s="48">
        <v>63666.34</v>
      </c>
      <c r="Z1655" s="48"/>
      <c r="AA1655" s="48"/>
      <c r="AB1655" s="48">
        <v>61144.69</v>
      </c>
      <c r="AC1655" s="48"/>
      <c r="AD1655" s="48"/>
      <c r="AE1655" s="61"/>
      <c r="AF1655" s="62"/>
      <c r="AG1655" s="62"/>
      <c r="AH1655" s="62"/>
    </row>
    <row r="1656" spans="1:34" x14ac:dyDescent="0.3">
      <c r="A1656" s="47">
        <f t="shared" si="352"/>
        <v>1522</v>
      </c>
      <c r="B1656" s="414" t="s">
        <v>2028</v>
      </c>
      <c r="C1656" s="51">
        <f t="shared" si="349"/>
        <v>154514</v>
      </c>
      <c r="D1656" s="51">
        <f t="shared" si="350"/>
        <v>0</v>
      </c>
      <c r="E1656" s="51"/>
      <c r="F1656" s="51"/>
      <c r="G1656" s="51"/>
      <c r="H1656" s="51"/>
      <c r="I1656" s="51"/>
      <c r="J1656" s="51"/>
      <c r="K1656" s="51"/>
      <c r="L1656" s="51"/>
      <c r="M1656" s="35"/>
      <c r="N1656" s="51"/>
      <c r="O1656" s="82"/>
      <c r="P1656" s="51"/>
      <c r="Q1656" s="338"/>
      <c r="R1656" s="51"/>
      <c r="S1656" s="51"/>
      <c r="T1656" s="338"/>
      <c r="U1656" s="51"/>
      <c r="V1656" s="35"/>
      <c r="W1656" s="51">
        <f t="shared" si="353"/>
        <v>154514</v>
      </c>
      <c r="X1656" s="141"/>
      <c r="Y1656" s="48">
        <v>154514</v>
      </c>
      <c r="Z1656" s="48"/>
      <c r="AA1656" s="48"/>
      <c r="AB1656" s="48"/>
      <c r="AC1656" s="48"/>
      <c r="AD1656" s="48"/>
      <c r="AE1656" s="61"/>
      <c r="AF1656" s="62"/>
      <c r="AG1656" s="62"/>
      <c r="AH1656" s="62"/>
    </row>
    <row r="1657" spans="1:34" x14ac:dyDescent="0.3">
      <c r="A1657" s="47">
        <f t="shared" si="352"/>
        <v>1523</v>
      </c>
      <c r="B1657" s="414" t="s">
        <v>2029</v>
      </c>
      <c r="C1657" s="51">
        <f t="shared" si="349"/>
        <v>984309.75</v>
      </c>
      <c r="D1657" s="51">
        <f t="shared" si="350"/>
        <v>0</v>
      </c>
      <c r="E1657" s="51"/>
      <c r="F1657" s="51"/>
      <c r="G1657" s="51"/>
      <c r="H1657" s="51"/>
      <c r="I1657" s="51"/>
      <c r="J1657" s="51"/>
      <c r="K1657" s="51"/>
      <c r="L1657" s="51"/>
      <c r="M1657" s="35"/>
      <c r="N1657" s="51"/>
      <c r="O1657" s="82"/>
      <c r="P1657" s="51"/>
      <c r="Q1657" s="338"/>
      <c r="R1657" s="51"/>
      <c r="S1657" s="51"/>
      <c r="T1657" s="338"/>
      <c r="U1657" s="51"/>
      <c r="V1657" s="35"/>
      <c r="W1657" s="51">
        <f t="shared" si="353"/>
        <v>984309.75</v>
      </c>
      <c r="X1657" s="141"/>
      <c r="Y1657" s="48">
        <v>56291.15</v>
      </c>
      <c r="Z1657" s="48">
        <v>71050.990000000005</v>
      </c>
      <c r="AA1657" s="48">
        <v>57034.45</v>
      </c>
      <c r="AB1657" s="48">
        <v>53951.24</v>
      </c>
      <c r="AC1657" s="48"/>
      <c r="AD1657" s="48">
        <v>116335.03999999999</v>
      </c>
      <c r="AE1657" s="61">
        <v>225402.61</v>
      </c>
      <c r="AF1657" s="62">
        <v>300398.81</v>
      </c>
      <c r="AG1657" s="62">
        <v>103845.46</v>
      </c>
      <c r="AH1657" s="62"/>
    </row>
    <row r="1658" spans="1:34" x14ac:dyDescent="0.3">
      <c r="A1658" s="47">
        <f t="shared" si="352"/>
        <v>1524</v>
      </c>
      <c r="B1658" s="414" t="s">
        <v>2030</v>
      </c>
      <c r="C1658" s="51">
        <f t="shared" si="349"/>
        <v>1706916.28</v>
      </c>
      <c r="D1658" s="51">
        <f t="shared" si="350"/>
        <v>0</v>
      </c>
      <c r="E1658" s="51"/>
      <c r="F1658" s="51"/>
      <c r="G1658" s="51"/>
      <c r="H1658" s="51"/>
      <c r="I1658" s="51"/>
      <c r="J1658" s="51"/>
      <c r="K1658" s="51"/>
      <c r="L1658" s="51"/>
      <c r="M1658" s="35"/>
      <c r="N1658" s="51"/>
      <c r="O1658" s="82"/>
      <c r="P1658" s="51"/>
      <c r="Q1658" s="338"/>
      <c r="R1658" s="51"/>
      <c r="S1658" s="51"/>
      <c r="T1658" s="338"/>
      <c r="U1658" s="51"/>
      <c r="V1658" s="35"/>
      <c r="W1658" s="51">
        <f t="shared" si="353"/>
        <v>1706916.28</v>
      </c>
      <c r="X1658" s="141"/>
      <c r="Y1658" s="48">
        <v>184841.15</v>
      </c>
      <c r="Z1658" s="48"/>
      <c r="AA1658" s="48"/>
      <c r="AB1658" s="48"/>
      <c r="AC1658" s="48"/>
      <c r="AD1658" s="48">
        <v>340700.14</v>
      </c>
      <c r="AE1658" s="61">
        <v>211175.54</v>
      </c>
      <c r="AF1658" s="62">
        <v>970199.45</v>
      </c>
      <c r="AG1658" s="62"/>
      <c r="AH1658" s="62"/>
    </row>
    <row r="1659" spans="1:34" x14ac:dyDescent="0.3">
      <c r="A1659" s="47"/>
      <c r="B1659" s="414" t="s">
        <v>211</v>
      </c>
      <c r="C1659" s="51">
        <f t="shared" ref="C1659:W1659" si="354">SUM(C1634:C1658)</f>
        <v>11560849.779999997</v>
      </c>
      <c r="D1659" s="51">
        <f t="shared" si="354"/>
        <v>0</v>
      </c>
      <c r="E1659" s="51">
        <f t="shared" si="354"/>
        <v>0</v>
      </c>
      <c r="F1659" s="51">
        <f t="shared" si="354"/>
        <v>0</v>
      </c>
      <c r="G1659" s="51">
        <f t="shared" si="354"/>
        <v>0</v>
      </c>
      <c r="H1659" s="51">
        <f t="shared" si="354"/>
        <v>0</v>
      </c>
      <c r="I1659" s="51">
        <f t="shared" si="354"/>
        <v>0</v>
      </c>
      <c r="J1659" s="51">
        <f t="shared" si="354"/>
        <v>0</v>
      </c>
      <c r="K1659" s="51">
        <f t="shared" si="354"/>
        <v>0</v>
      </c>
      <c r="L1659" s="51">
        <f t="shared" si="354"/>
        <v>0</v>
      </c>
      <c r="M1659" s="35">
        <f t="shared" si="354"/>
        <v>0</v>
      </c>
      <c r="N1659" s="51">
        <f t="shared" si="354"/>
        <v>0</v>
      </c>
      <c r="O1659" s="82">
        <f t="shared" si="354"/>
        <v>0</v>
      </c>
      <c r="P1659" s="51">
        <f t="shared" si="354"/>
        <v>0</v>
      </c>
      <c r="Q1659" s="338">
        <f t="shared" si="354"/>
        <v>0</v>
      </c>
      <c r="R1659" s="51">
        <f t="shared" si="354"/>
        <v>0</v>
      </c>
      <c r="S1659" s="51">
        <f t="shared" si="354"/>
        <v>0</v>
      </c>
      <c r="T1659" s="338">
        <f t="shared" si="354"/>
        <v>0</v>
      </c>
      <c r="U1659" s="51">
        <f t="shared" si="354"/>
        <v>0</v>
      </c>
      <c r="V1659" s="35">
        <f t="shared" si="354"/>
        <v>0</v>
      </c>
      <c r="W1659" s="51">
        <f t="shared" si="354"/>
        <v>11560849.779999997</v>
      </c>
      <c r="X1659" s="141"/>
      <c r="Y1659" s="48"/>
      <c r="Z1659" s="48"/>
      <c r="AA1659" s="48"/>
      <c r="AB1659" s="48"/>
      <c r="AC1659" s="48"/>
      <c r="AD1659" s="48"/>
      <c r="AE1659" s="61"/>
      <c r="AF1659" s="62"/>
      <c r="AG1659" s="62"/>
      <c r="AH1659" s="62"/>
    </row>
    <row r="1660" spans="1:34" ht="15" customHeight="1" x14ac:dyDescent="0.3">
      <c r="A1660" s="434" t="s">
        <v>2043</v>
      </c>
      <c r="B1660" s="414"/>
      <c r="C1660" s="51"/>
      <c r="D1660" s="51"/>
      <c r="E1660" s="51"/>
      <c r="F1660" s="51"/>
      <c r="G1660" s="51"/>
      <c r="H1660" s="51"/>
      <c r="I1660" s="51"/>
      <c r="J1660" s="51"/>
      <c r="K1660" s="51"/>
      <c r="L1660" s="51"/>
      <c r="M1660" s="35"/>
      <c r="N1660" s="51"/>
      <c r="O1660" s="82"/>
      <c r="P1660" s="51"/>
      <c r="Q1660" s="338"/>
      <c r="R1660" s="51"/>
      <c r="S1660" s="51"/>
      <c r="T1660" s="338"/>
      <c r="U1660" s="51"/>
      <c r="V1660" s="35"/>
      <c r="W1660" s="51"/>
      <c r="X1660" s="141"/>
      <c r="Y1660" s="48"/>
      <c r="Z1660" s="48"/>
      <c r="AA1660" s="48"/>
      <c r="AB1660" s="48"/>
      <c r="AC1660" s="48"/>
      <c r="AD1660" s="48"/>
      <c r="AE1660" s="61"/>
      <c r="AF1660" s="62"/>
      <c r="AG1660" s="62"/>
      <c r="AH1660" s="62"/>
    </row>
    <row r="1661" spans="1:34" x14ac:dyDescent="0.3">
      <c r="A1661" s="47">
        <f>A1658+1</f>
        <v>1525</v>
      </c>
      <c r="B1661" s="414" t="s">
        <v>2045</v>
      </c>
      <c r="C1661" s="51">
        <f>D1661+K1661+L1661+N1661+P1661+R1661+S1661+U1661+V1661+W1661</f>
        <v>964008.39</v>
      </c>
      <c r="D1661" s="51">
        <f>E1661+F1661+G1661+H1661+I1661</f>
        <v>0</v>
      </c>
      <c r="E1661" s="51"/>
      <c r="F1661" s="51"/>
      <c r="G1661" s="51"/>
      <c r="H1661" s="51"/>
      <c r="I1661" s="51"/>
      <c r="J1661" s="51"/>
      <c r="K1661" s="51"/>
      <c r="L1661" s="51"/>
      <c r="M1661" s="35"/>
      <c r="N1661" s="51"/>
      <c r="O1661" s="82"/>
      <c r="P1661" s="51"/>
      <c r="Q1661" s="338"/>
      <c r="R1661" s="51"/>
      <c r="S1661" s="51"/>
      <c r="T1661" s="338"/>
      <c r="U1661" s="51"/>
      <c r="V1661" s="35"/>
      <c r="W1661" s="51">
        <f>SUM(X1661:AH1661)</f>
        <v>964008.39</v>
      </c>
      <c r="X1661" s="141"/>
      <c r="Y1661" s="48"/>
      <c r="Z1661" s="48"/>
      <c r="AA1661" s="48"/>
      <c r="AB1661" s="48"/>
      <c r="AC1661" s="48"/>
      <c r="AD1661" s="48">
        <v>178812.06</v>
      </c>
      <c r="AE1661" s="61">
        <v>252174.47</v>
      </c>
      <c r="AF1661" s="62">
        <v>533021.86</v>
      </c>
      <c r="AG1661" s="62"/>
      <c r="AH1661" s="62"/>
    </row>
    <row r="1662" spans="1:34" x14ac:dyDescent="0.3">
      <c r="A1662" s="47">
        <f>A1661+1</f>
        <v>1526</v>
      </c>
      <c r="B1662" s="414" t="s">
        <v>2048</v>
      </c>
      <c r="C1662" s="51">
        <f>D1662+K1662+L1662+N1662+P1662+R1662+S1662+U1662+V1662+W1662</f>
        <v>879324.58</v>
      </c>
      <c r="D1662" s="51">
        <f>E1662+F1662+G1662+H1662+I1662</f>
        <v>0</v>
      </c>
      <c r="E1662" s="51"/>
      <c r="F1662" s="51"/>
      <c r="G1662" s="51"/>
      <c r="H1662" s="51"/>
      <c r="I1662" s="51"/>
      <c r="J1662" s="51"/>
      <c r="K1662" s="51"/>
      <c r="L1662" s="51"/>
      <c r="M1662" s="35"/>
      <c r="N1662" s="51"/>
      <c r="O1662" s="82"/>
      <c r="P1662" s="51"/>
      <c r="Q1662" s="338"/>
      <c r="R1662" s="51"/>
      <c r="S1662" s="51"/>
      <c r="T1662" s="338"/>
      <c r="U1662" s="51"/>
      <c r="V1662" s="35"/>
      <c r="W1662" s="51">
        <f>SUM(X1662:AH1662)</f>
        <v>879324.58</v>
      </c>
      <c r="X1662" s="141"/>
      <c r="Y1662" s="48">
        <v>90260.76</v>
      </c>
      <c r="Z1662" s="48"/>
      <c r="AA1662" s="48"/>
      <c r="AB1662" s="48"/>
      <c r="AC1662" s="48"/>
      <c r="AD1662" s="48">
        <v>150836.59</v>
      </c>
      <c r="AE1662" s="61">
        <v>206936.59</v>
      </c>
      <c r="AF1662" s="62">
        <v>431290.64</v>
      </c>
      <c r="AG1662" s="62"/>
      <c r="AH1662" s="62"/>
    </row>
    <row r="1663" spans="1:34" x14ac:dyDescent="0.3">
      <c r="A1663" s="47">
        <f t="shared" ref="A1663:A1664" si="355">A1662+1</f>
        <v>1527</v>
      </c>
      <c r="B1663" s="414" t="s">
        <v>2049</v>
      </c>
      <c r="C1663" s="51">
        <f>D1663+K1663+L1663+N1663+P1663+R1663+S1663+U1663+V1663+W1663</f>
        <v>168556.38999999998</v>
      </c>
      <c r="D1663" s="51">
        <f>E1663+F1663+G1663+H1663+I1663</f>
        <v>0</v>
      </c>
      <c r="E1663" s="51"/>
      <c r="F1663" s="51"/>
      <c r="G1663" s="51"/>
      <c r="H1663" s="51"/>
      <c r="I1663" s="51"/>
      <c r="J1663" s="51"/>
      <c r="K1663" s="51"/>
      <c r="L1663" s="51"/>
      <c r="M1663" s="35"/>
      <c r="N1663" s="51"/>
      <c r="O1663" s="82"/>
      <c r="P1663" s="51"/>
      <c r="Q1663" s="338"/>
      <c r="R1663" s="51"/>
      <c r="S1663" s="51"/>
      <c r="T1663" s="338"/>
      <c r="U1663" s="51"/>
      <c r="V1663" s="35"/>
      <c r="W1663" s="51">
        <f>SUM(X1663:AH1663)</f>
        <v>168556.38999999998</v>
      </c>
      <c r="X1663" s="141"/>
      <c r="Y1663" s="48">
        <v>110445.01</v>
      </c>
      <c r="Z1663" s="48"/>
      <c r="AA1663" s="48"/>
      <c r="AB1663" s="48"/>
      <c r="AC1663" s="48"/>
      <c r="AD1663" s="48"/>
      <c r="AE1663" s="61">
        <v>58111.38</v>
      </c>
      <c r="AF1663" s="62"/>
      <c r="AG1663" s="62"/>
      <c r="AH1663" s="62"/>
    </row>
    <row r="1664" spans="1:34" x14ac:dyDescent="0.3">
      <c r="A1664" s="47">
        <f t="shared" si="355"/>
        <v>1528</v>
      </c>
      <c r="B1664" s="414" t="s">
        <v>2050</v>
      </c>
      <c r="C1664" s="51">
        <f>D1664+K1664+L1664+N1664+P1664+R1664+S1664+U1664+V1664+W1664</f>
        <v>305996.44</v>
      </c>
      <c r="D1664" s="51">
        <f>E1664+F1664+G1664+H1664+I1664</f>
        <v>0</v>
      </c>
      <c r="E1664" s="51"/>
      <c r="F1664" s="51"/>
      <c r="G1664" s="51"/>
      <c r="H1664" s="51"/>
      <c r="I1664" s="51"/>
      <c r="J1664" s="51"/>
      <c r="K1664" s="51"/>
      <c r="L1664" s="51"/>
      <c r="M1664" s="35"/>
      <c r="N1664" s="51"/>
      <c r="O1664" s="82"/>
      <c r="P1664" s="51"/>
      <c r="Q1664" s="338"/>
      <c r="R1664" s="51"/>
      <c r="S1664" s="51"/>
      <c r="T1664" s="338"/>
      <c r="U1664" s="51"/>
      <c r="V1664" s="35"/>
      <c r="W1664" s="51">
        <f>SUM(X1664:AH1664)</f>
        <v>305996.44</v>
      </c>
      <c r="X1664" s="141"/>
      <c r="Y1664" s="48">
        <v>120465.47</v>
      </c>
      <c r="Z1664" s="48"/>
      <c r="AA1664" s="48"/>
      <c r="AB1664" s="48"/>
      <c r="AC1664" s="48"/>
      <c r="AD1664" s="48"/>
      <c r="AE1664" s="61">
        <v>185530.97</v>
      </c>
      <c r="AF1664" s="62"/>
      <c r="AG1664" s="62"/>
      <c r="AH1664" s="62"/>
    </row>
    <row r="1665" spans="1:38" x14ac:dyDescent="0.3">
      <c r="A1665" s="45"/>
      <c r="B1665" s="414" t="s">
        <v>211</v>
      </c>
      <c r="C1665" s="399">
        <f t="shared" ref="C1665:W1665" si="356">SUM(C1661:C1664)</f>
        <v>2317885.7999999998</v>
      </c>
      <c r="D1665" s="399">
        <f t="shared" si="356"/>
        <v>0</v>
      </c>
      <c r="E1665" s="399">
        <f t="shared" si="356"/>
        <v>0</v>
      </c>
      <c r="F1665" s="399">
        <f t="shared" si="356"/>
        <v>0</v>
      </c>
      <c r="G1665" s="399">
        <f t="shared" si="356"/>
        <v>0</v>
      </c>
      <c r="H1665" s="399">
        <f t="shared" si="356"/>
        <v>0</v>
      </c>
      <c r="I1665" s="399">
        <f t="shared" si="356"/>
        <v>0</v>
      </c>
      <c r="J1665" s="399">
        <f t="shared" si="356"/>
        <v>0</v>
      </c>
      <c r="K1665" s="399">
        <f t="shared" si="356"/>
        <v>0</v>
      </c>
      <c r="L1665" s="399">
        <f t="shared" si="356"/>
        <v>0</v>
      </c>
      <c r="M1665" s="403">
        <f t="shared" si="356"/>
        <v>0</v>
      </c>
      <c r="N1665" s="399">
        <f t="shared" si="356"/>
        <v>0</v>
      </c>
      <c r="O1665" s="379">
        <f t="shared" si="356"/>
        <v>0</v>
      </c>
      <c r="P1665" s="399">
        <f t="shared" si="356"/>
        <v>0</v>
      </c>
      <c r="Q1665" s="402">
        <f t="shared" si="356"/>
        <v>0</v>
      </c>
      <c r="R1665" s="399">
        <f t="shared" si="356"/>
        <v>0</v>
      </c>
      <c r="S1665" s="399">
        <f t="shared" si="356"/>
        <v>0</v>
      </c>
      <c r="T1665" s="402">
        <f t="shared" si="356"/>
        <v>0</v>
      </c>
      <c r="U1665" s="399">
        <f t="shared" si="356"/>
        <v>0</v>
      </c>
      <c r="V1665" s="403">
        <f t="shared" si="356"/>
        <v>0</v>
      </c>
      <c r="W1665" s="399">
        <f t="shared" si="356"/>
        <v>2317885.7999999998</v>
      </c>
      <c r="X1665" s="9"/>
      <c r="Y1665" s="9"/>
      <c r="Z1665" s="9"/>
      <c r="AA1665" s="9"/>
      <c r="AB1665" s="9"/>
      <c r="AC1665" s="9"/>
      <c r="AD1665" s="9"/>
      <c r="AE1665" s="306"/>
      <c r="AF1665" s="302"/>
      <c r="AG1665" s="302"/>
      <c r="AH1665" s="302"/>
    </row>
    <row r="1666" spans="1:38" x14ac:dyDescent="0.3">
      <c r="A1666" s="45"/>
      <c r="B1666" s="416" t="s">
        <v>2051</v>
      </c>
      <c r="C1666" s="51">
        <f t="shared" ref="C1666:W1666" si="357">C1632+C1659+C1665</f>
        <v>21151827.319999997</v>
      </c>
      <c r="D1666" s="51">
        <f t="shared" si="357"/>
        <v>0</v>
      </c>
      <c r="E1666" s="51">
        <f t="shared" si="357"/>
        <v>0</v>
      </c>
      <c r="F1666" s="51">
        <f t="shared" si="357"/>
        <v>0</v>
      </c>
      <c r="G1666" s="51">
        <f t="shared" si="357"/>
        <v>0</v>
      </c>
      <c r="H1666" s="51">
        <f t="shared" si="357"/>
        <v>0</v>
      </c>
      <c r="I1666" s="51">
        <f t="shared" si="357"/>
        <v>0</v>
      </c>
      <c r="J1666" s="51">
        <f t="shared" si="357"/>
        <v>0</v>
      </c>
      <c r="K1666" s="51">
        <f t="shared" si="357"/>
        <v>0</v>
      </c>
      <c r="L1666" s="51">
        <f t="shared" si="357"/>
        <v>0</v>
      </c>
      <c r="M1666" s="35">
        <f t="shared" si="357"/>
        <v>0</v>
      </c>
      <c r="N1666" s="51">
        <f t="shared" si="357"/>
        <v>0</v>
      </c>
      <c r="O1666" s="82">
        <f t="shared" si="357"/>
        <v>0</v>
      </c>
      <c r="P1666" s="51">
        <f t="shared" si="357"/>
        <v>0</v>
      </c>
      <c r="Q1666" s="338">
        <f t="shared" si="357"/>
        <v>0</v>
      </c>
      <c r="R1666" s="51">
        <f t="shared" si="357"/>
        <v>0</v>
      </c>
      <c r="S1666" s="51">
        <f t="shared" si="357"/>
        <v>0</v>
      </c>
      <c r="T1666" s="338">
        <f t="shared" si="357"/>
        <v>0</v>
      </c>
      <c r="U1666" s="51">
        <f t="shared" si="357"/>
        <v>0</v>
      </c>
      <c r="V1666" s="35">
        <f t="shared" si="357"/>
        <v>0</v>
      </c>
      <c r="W1666" s="51">
        <f t="shared" si="357"/>
        <v>21151827.319999997</v>
      </c>
      <c r="X1666" s="9"/>
      <c r="Y1666" s="9"/>
      <c r="Z1666" s="9"/>
      <c r="AA1666" s="9"/>
      <c r="AB1666" s="9"/>
      <c r="AC1666" s="9"/>
      <c r="AD1666" s="9"/>
      <c r="AE1666" s="306"/>
      <c r="AF1666" s="302"/>
      <c r="AG1666" s="302"/>
      <c r="AH1666" s="302"/>
    </row>
    <row r="1667" spans="1:38" ht="15" customHeight="1" x14ac:dyDescent="0.3">
      <c r="A1667" s="438" t="s">
        <v>2052</v>
      </c>
      <c r="B1667" s="420"/>
      <c r="C1667" s="51"/>
      <c r="D1667" s="51"/>
      <c r="E1667" s="51"/>
      <c r="F1667" s="51"/>
      <c r="G1667" s="51"/>
      <c r="H1667" s="51"/>
      <c r="I1667" s="51"/>
      <c r="J1667" s="51"/>
      <c r="K1667" s="51"/>
      <c r="L1667" s="51"/>
      <c r="M1667" s="35"/>
      <c r="N1667" s="51"/>
      <c r="O1667" s="82"/>
      <c r="P1667" s="51"/>
      <c r="Q1667" s="338"/>
      <c r="R1667" s="51"/>
      <c r="S1667" s="51"/>
      <c r="T1667" s="338"/>
      <c r="U1667" s="51"/>
      <c r="V1667" s="35"/>
      <c r="W1667" s="364"/>
      <c r="X1667" s="141"/>
      <c r="Y1667" s="48"/>
      <c r="Z1667" s="48"/>
      <c r="AA1667" s="48"/>
      <c r="AB1667" s="48"/>
      <c r="AC1667" s="48"/>
      <c r="AD1667" s="48"/>
      <c r="AE1667" s="48"/>
      <c r="AF1667" s="48"/>
      <c r="AG1667" s="57"/>
      <c r="AH1667" s="58"/>
      <c r="AI1667" s="58"/>
      <c r="AJ1667" s="58"/>
      <c r="AK1667" s="58"/>
      <c r="AL1667" s="56"/>
    </row>
    <row r="1668" spans="1:38" ht="15" customHeight="1" x14ac:dyDescent="0.3">
      <c r="A1668" s="436"/>
      <c r="B1668" s="415" t="s">
        <v>2059</v>
      </c>
      <c r="C1668" s="51"/>
      <c r="D1668" s="51"/>
      <c r="E1668" s="51"/>
      <c r="F1668" s="51"/>
      <c r="G1668" s="51"/>
      <c r="H1668" s="51"/>
      <c r="I1668" s="51"/>
      <c r="J1668" s="51"/>
      <c r="K1668" s="51"/>
      <c r="L1668" s="51"/>
      <c r="M1668" s="35"/>
      <c r="N1668" s="51"/>
      <c r="O1668" s="82"/>
      <c r="P1668" s="51"/>
      <c r="Q1668" s="338"/>
      <c r="R1668" s="51"/>
      <c r="S1668" s="51"/>
      <c r="T1668" s="338"/>
      <c r="U1668" s="51"/>
      <c r="V1668" s="35"/>
      <c r="W1668" s="364"/>
      <c r="X1668" s="141"/>
      <c r="Y1668" s="48"/>
      <c r="Z1668" s="48"/>
      <c r="AA1668" s="48"/>
      <c r="AB1668" s="48"/>
      <c r="AC1668" s="48"/>
      <c r="AD1668" s="48"/>
      <c r="AE1668" s="48"/>
      <c r="AF1668" s="48"/>
      <c r="AG1668" s="57"/>
      <c r="AH1668" s="58"/>
      <c r="AI1668" s="58"/>
      <c r="AJ1668" s="58"/>
      <c r="AK1668" s="58"/>
      <c r="AL1668" s="56"/>
    </row>
    <row r="1669" spans="1:38" x14ac:dyDescent="0.3">
      <c r="A1669" s="47">
        <f>A1664+1</f>
        <v>1529</v>
      </c>
      <c r="B1669" s="414" t="s">
        <v>146</v>
      </c>
      <c r="C1669" s="51">
        <f t="shared" ref="C1669:C1680" si="358">D1669+K1669+L1669+N1669+P1669+R1669+S1669+U1669+V1669+W1669</f>
        <v>475352.45999999996</v>
      </c>
      <c r="D1669" s="51">
        <f t="shared" ref="D1669:D1680" si="359">E1669+F1669+G1669+H1669+I1669</f>
        <v>0</v>
      </c>
      <c r="E1669" s="51"/>
      <c r="F1669" s="51"/>
      <c r="G1669" s="399"/>
      <c r="H1669" s="399"/>
      <c r="I1669" s="51"/>
      <c r="J1669" s="51"/>
      <c r="K1669" s="51"/>
      <c r="L1669" s="51"/>
      <c r="M1669" s="35"/>
      <c r="N1669" s="51"/>
      <c r="O1669" s="82"/>
      <c r="P1669" s="51"/>
      <c r="Q1669" s="338"/>
      <c r="R1669" s="51"/>
      <c r="S1669" s="51"/>
      <c r="T1669" s="338"/>
      <c r="U1669" s="51"/>
      <c r="V1669" s="35"/>
      <c r="W1669" s="364">
        <f>Z1669+AF1669+AG1669+AH1669+AI1669+AJ1669+AK1669+AA1669</f>
        <v>475352.45999999996</v>
      </c>
      <c r="X1669" s="141"/>
      <c r="Y1669" s="48"/>
      <c r="Z1669" s="48">
        <v>91146.240000000005</v>
      </c>
      <c r="AA1669" s="48"/>
      <c r="AB1669" s="48"/>
      <c r="AC1669" s="48"/>
      <c r="AD1669" s="48"/>
      <c r="AE1669" s="48"/>
      <c r="AF1669" s="48"/>
      <c r="AG1669" s="57">
        <v>384206.22</v>
      </c>
      <c r="AH1669" s="58"/>
      <c r="AI1669" s="58"/>
      <c r="AJ1669" s="58"/>
      <c r="AK1669" s="58"/>
      <c r="AL1669" s="56" t="s">
        <v>2060</v>
      </c>
    </row>
    <row r="1670" spans="1:38" x14ac:dyDescent="0.3">
      <c r="A1670" s="47">
        <f>A1669+1</f>
        <v>1530</v>
      </c>
      <c r="B1670" s="414" t="s">
        <v>2061</v>
      </c>
      <c r="C1670" s="51">
        <f t="shared" si="358"/>
        <v>475176.06999999995</v>
      </c>
      <c r="D1670" s="51">
        <f t="shared" si="359"/>
        <v>0</v>
      </c>
      <c r="E1670" s="51"/>
      <c r="F1670" s="51"/>
      <c r="G1670" s="399"/>
      <c r="H1670" s="399"/>
      <c r="I1670" s="51"/>
      <c r="J1670" s="51"/>
      <c r="K1670" s="51"/>
      <c r="L1670" s="51"/>
      <c r="M1670" s="35"/>
      <c r="N1670" s="51"/>
      <c r="O1670" s="82"/>
      <c r="P1670" s="51"/>
      <c r="Q1670" s="338"/>
      <c r="R1670" s="51"/>
      <c r="S1670" s="51"/>
      <c r="T1670" s="338"/>
      <c r="U1670" s="51"/>
      <c r="V1670" s="35"/>
      <c r="W1670" s="364">
        <f>Z1670+AF1670+AG1670+AH1670+AI1670+AJ1670+AK1670+AA1670</f>
        <v>475176.06999999995</v>
      </c>
      <c r="X1670" s="141"/>
      <c r="Y1670" s="48"/>
      <c r="Z1670" s="48">
        <v>91274.41</v>
      </c>
      <c r="AA1670" s="48"/>
      <c r="AB1670" s="48"/>
      <c r="AC1670" s="48"/>
      <c r="AD1670" s="48"/>
      <c r="AE1670" s="48"/>
      <c r="AF1670" s="48"/>
      <c r="AG1670" s="57">
        <v>383901.66</v>
      </c>
      <c r="AH1670" s="58"/>
      <c r="AI1670" s="58"/>
      <c r="AJ1670" s="58"/>
      <c r="AK1670" s="58"/>
      <c r="AL1670" s="56" t="s">
        <v>2060</v>
      </c>
    </row>
    <row r="1671" spans="1:38" x14ac:dyDescent="0.3">
      <c r="A1671" s="47">
        <f t="shared" ref="A1671:A1680" si="360">A1670+1</f>
        <v>1531</v>
      </c>
      <c r="B1671" s="414" t="s">
        <v>2062</v>
      </c>
      <c r="C1671" s="51">
        <f t="shared" si="358"/>
        <v>120758.05</v>
      </c>
      <c r="D1671" s="51">
        <f t="shared" si="359"/>
        <v>0</v>
      </c>
      <c r="E1671" s="51"/>
      <c r="F1671" s="51"/>
      <c r="G1671" s="51"/>
      <c r="H1671" s="51"/>
      <c r="I1671" s="51"/>
      <c r="J1671" s="51"/>
      <c r="K1671" s="51"/>
      <c r="L1671" s="51"/>
      <c r="M1671" s="35"/>
      <c r="N1671" s="51"/>
      <c r="O1671" s="82"/>
      <c r="P1671" s="51"/>
      <c r="Q1671" s="338"/>
      <c r="R1671" s="51"/>
      <c r="S1671" s="51"/>
      <c r="T1671" s="338"/>
      <c r="U1671" s="51"/>
      <c r="V1671" s="35"/>
      <c r="W1671" s="364">
        <f>Z1671+AF1671+AG1671+AH1671+AI1671+AJ1671+AK1671+AA1671</f>
        <v>120758.05</v>
      </c>
      <c r="X1671" s="141"/>
      <c r="Y1671" s="48"/>
      <c r="Z1671" s="48">
        <v>120758.05</v>
      </c>
      <c r="AA1671" s="48"/>
      <c r="AB1671" s="48"/>
      <c r="AC1671" s="48"/>
      <c r="AD1671" s="48"/>
      <c r="AE1671" s="48"/>
      <c r="AF1671" s="48"/>
      <c r="AG1671" s="57"/>
      <c r="AH1671" s="58"/>
      <c r="AI1671" s="58"/>
      <c r="AJ1671" s="58"/>
      <c r="AK1671" s="58"/>
      <c r="AL1671" s="56"/>
    </row>
    <row r="1672" spans="1:38" x14ac:dyDescent="0.3">
      <c r="A1672" s="47">
        <f t="shared" si="360"/>
        <v>1532</v>
      </c>
      <c r="B1672" s="414" t="s">
        <v>2063</v>
      </c>
      <c r="C1672" s="51">
        <f t="shared" si="358"/>
        <v>474841.52</v>
      </c>
      <c r="D1672" s="51">
        <f t="shared" si="359"/>
        <v>0</v>
      </c>
      <c r="E1672" s="51"/>
      <c r="F1672" s="51"/>
      <c r="G1672" s="51"/>
      <c r="H1672" s="51"/>
      <c r="I1672" s="51"/>
      <c r="J1672" s="51"/>
      <c r="K1672" s="51"/>
      <c r="L1672" s="51"/>
      <c r="M1672" s="35"/>
      <c r="N1672" s="51"/>
      <c r="O1672" s="82"/>
      <c r="P1672" s="51"/>
      <c r="Q1672" s="338"/>
      <c r="R1672" s="51"/>
      <c r="S1672" s="51"/>
      <c r="T1672" s="338"/>
      <c r="U1672" s="51"/>
      <c r="V1672" s="35"/>
      <c r="W1672" s="364">
        <f t="shared" ref="W1672:W1680" si="361">Z1672+AF1672+AG1672+AH1672+AI1672+AJ1672+AK1672</f>
        <v>474841.52</v>
      </c>
      <c r="X1672" s="141"/>
      <c r="Y1672" s="48"/>
      <c r="Z1672" s="48"/>
      <c r="AA1672" s="48"/>
      <c r="AB1672" s="48"/>
      <c r="AC1672" s="48"/>
      <c r="AD1672" s="48"/>
      <c r="AE1672" s="48"/>
      <c r="AF1672" s="48"/>
      <c r="AG1672" s="57">
        <v>474841.52</v>
      </c>
      <c r="AH1672" s="58"/>
      <c r="AI1672" s="58"/>
      <c r="AJ1672" s="58"/>
      <c r="AK1672" s="58"/>
      <c r="AL1672" s="56"/>
    </row>
    <row r="1673" spans="1:38" x14ac:dyDescent="0.3">
      <c r="A1673" s="47">
        <f t="shared" si="360"/>
        <v>1533</v>
      </c>
      <c r="B1673" s="414" t="s">
        <v>2064</v>
      </c>
      <c r="C1673" s="51">
        <f t="shared" si="358"/>
        <v>130000</v>
      </c>
      <c r="D1673" s="51"/>
      <c r="E1673" s="51"/>
      <c r="F1673" s="51"/>
      <c r="G1673" s="51"/>
      <c r="H1673" s="51"/>
      <c r="I1673" s="51"/>
      <c r="J1673" s="51"/>
      <c r="K1673" s="51"/>
      <c r="L1673" s="51"/>
      <c r="M1673" s="35"/>
      <c r="N1673" s="51"/>
      <c r="O1673" s="82"/>
      <c r="P1673" s="51"/>
      <c r="Q1673" s="338"/>
      <c r="R1673" s="51"/>
      <c r="S1673" s="51"/>
      <c r="T1673" s="338"/>
      <c r="U1673" s="51"/>
      <c r="V1673" s="35"/>
      <c r="W1673" s="364">
        <v>130000</v>
      </c>
      <c r="X1673" s="141"/>
      <c r="Y1673" s="48"/>
      <c r="Z1673" s="48"/>
      <c r="AA1673" s="48"/>
      <c r="AB1673" s="48"/>
      <c r="AC1673" s="48"/>
      <c r="AD1673" s="48"/>
      <c r="AE1673" s="48"/>
      <c r="AF1673" s="48"/>
      <c r="AG1673" s="57"/>
      <c r="AH1673" s="58"/>
      <c r="AI1673" s="58"/>
      <c r="AJ1673" s="58"/>
      <c r="AK1673" s="58"/>
      <c r="AL1673" s="56"/>
    </row>
    <row r="1674" spans="1:38" x14ac:dyDescent="0.3">
      <c r="A1674" s="47">
        <f t="shared" si="360"/>
        <v>1534</v>
      </c>
      <c r="B1674" s="414" t="s">
        <v>2065</v>
      </c>
      <c r="C1674" s="51">
        <f t="shared" si="358"/>
        <v>181079.69</v>
      </c>
      <c r="D1674" s="51">
        <f t="shared" si="359"/>
        <v>0</v>
      </c>
      <c r="E1674" s="51"/>
      <c r="F1674" s="51"/>
      <c r="G1674" s="51"/>
      <c r="H1674" s="51"/>
      <c r="I1674" s="51"/>
      <c r="J1674" s="51"/>
      <c r="K1674" s="51"/>
      <c r="L1674" s="51"/>
      <c r="M1674" s="35"/>
      <c r="N1674" s="51"/>
      <c r="O1674" s="82"/>
      <c r="P1674" s="51"/>
      <c r="Q1674" s="338"/>
      <c r="R1674" s="51"/>
      <c r="S1674" s="51"/>
      <c r="T1674" s="338"/>
      <c r="U1674" s="51"/>
      <c r="V1674" s="35"/>
      <c r="W1674" s="364">
        <f t="shared" si="361"/>
        <v>181079.69</v>
      </c>
      <c r="X1674" s="141"/>
      <c r="Y1674" s="48"/>
      <c r="Z1674" s="48">
        <v>181079.69</v>
      </c>
      <c r="AA1674" s="48"/>
      <c r="AB1674" s="48"/>
      <c r="AC1674" s="48"/>
      <c r="AD1674" s="48"/>
      <c r="AE1674" s="48"/>
      <c r="AF1674" s="48"/>
      <c r="AG1674" s="57"/>
      <c r="AH1674" s="58"/>
      <c r="AI1674" s="58"/>
      <c r="AJ1674" s="58"/>
      <c r="AK1674" s="58"/>
      <c r="AL1674" s="56"/>
    </row>
    <row r="1675" spans="1:38" x14ac:dyDescent="0.3">
      <c r="A1675" s="47">
        <f t="shared" si="360"/>
        <v>1535</v>
      </c>
      <c r="B1675" s="414" t="s">
        <v>2066</v>
      </c>
      <c r="C1675" s="51">
        <f t="shared" si="358"/>
        <v>422139.46</v>
      </c>
      <c r="D1675" s="51">
        <f t="shared" si="359"/>
        <v>0</v>
      </c>
      <c r="E1675" s="51"/>
      <c r="F1675" s="51"/>
      <c r="G1675" s="51"/>
      <c r="H1675" s="51"/>
      <c r="I1675" s="51"/>
      <c r="J1675" s="51"/>
      <c r="K1675" s="51"/>
      <c r="L1675" s="51"/>
      <c r="M1675" s="35"/>
      <c r="N1675" s="51"/>
      <c r="O1675" s="82"/>
      <c r="P1675" s="51"/>
      <c r="Q1675" s="338"/>
      <c r="R1675" s="51"/>
      <c r="S1675" s="51"/>
      <c r="T1675" s="338"/>
      <c r="U1675" s="51"/>
      <c r="V1675" s="35"/>
      <c r="W1675" s="364">
        <f t="shared" si="361"/>
        <v>422139.46</v>
      </c>
      <c r="X1675" s="141"/>
      <c r="Y1675" s="48"/>
      <c r="Z1675" s="48">
        <v>168898.76</v>
      </c>
      <c r="AA1675" s="48"/>
      <c r="AB1675" s="48"/>
      <c r="AC1675" s="48"/>
      <c r="AD1675" s="48"/>
      <c r="AE1675" s="48"/>
      <c r="AF1675" s="48"/>
      <c r="AG1675" s="57">
        <v>253240.7</v>
      </c>
      <c r="AH1675" s="58"/>
      <c r="AI1675" s="58"/>
      <c r="AJ1675" s="58"/>
      <c r="AK1675" s="58"/>
      <c r="AL1675" s="56"/>
    </row>
    <row r="1676" spans="1:38" x14ac:dyDescent="0.3">
      <c r="A1676" s="47">
        <f t="shared" si="360"/>
        <v>1536</v>
      </c>
      <c r="B1676" s="414" t="s">
        <v>2067</v>
      </c>
      <c r="C1676" s="51">
        <f t="shared" si="358"/>
        <v>798895.38</v>
      </c>
      <c r="D1676" s="51">
        <f t="shared" si="359"/>
        <v>0</v>
      </c>
      <c r="E1676" s="51"/>
      <c r="F1676" s="51"/>
      <c r="G1676" s="51"/>
      <c r="H1676" s="51"/>
      <c r="I1676" s="51"/>
      <c r="J1676" s="51"/>
      <c r="K1676" s="51"/>
      <c r="L1676" s="51"/>
      <c r="M1676" s="35"/>
      <c r="N1676" s="51"/>
      <c r="O1676" s="82"/>
      <c r="P1676" s="51"/>
      <c r="Q1676" s="338"/>
      <c r="R1676" s="51"/>
      <c r="S1676" s="51"/>
      <c r="T1676" s="338"/>
      <c r="U1676" s="51"/>
      <c r="V1676" s="35"/>
      <c r="W1676" s="364">
        <f t="shared" si="361"/>
        <v>798895.38</v>
      </c>
      <c r="X1676" s="141"/>
      <c r="Y1676" s="48"/>
      <c r="Z1676" s="48"/>
      <c r="AA1676" s="48"/>
      <c r="AB1676" s="48"/>
      <c r="AC1676" s="48"/>
      <c r="AD1676" s="48"/>
      <c r="AE1676" s="48"/>
      <c r="AF1676" s="48">
        <v>303249.68</v>
      </c>
      <c r="AG1676" s="57">
        <v>495645.7</v>
      </c>
      <c r="AH1676" s="58"/>
      <c r="AI1676" s="58"/>
      <c r="AJ1676" s="58"/>
      <c r="AK1676" s="58"/>
      <c r="AL1676" s="56"/>
    </row>
    <row r="1677" spans="1:38" x14ac:dyDescent="0.3">
      <c r="A1677" s="47">
        <f t="shared" si="360"/>
        <v>1537</v>
      </c>
      <c r="B1677" s="414" t="s">
        <v>2068</v>
      </c>
      <c r="C1677" s="51">
        <f t="shared" si="358"/>
        <v>971077.78</v>
      </c>
      <c r="D1677" s="51">
        <f t="shared" si="359"/>
        <v>0</v>
      </c>
      <c r="E1677" s="51"/>
      <c r="F1677" s="51"/>
      <c r="G1677" s="51"/>
      <c r="H1677" s="51"/>
      <c r="I1677" s="51"/>
      <c r="J1677" s="51"/>
      <c r="K1677" s="51"/>
      <c r="L1677" s="51"/>
      <c r="M1677" s="35"/>
      <c r="N1677" s="51"/>
      <c r="O1677" s="82"/>
      <c r="P1677" s="51"/>
      <c r="Q1677" s="338"/>
      <c r="R1677" s="51"/>
      <c r="S1677" s="51"/>
      <c r="T1677" s="338"/>
      <c r="U1677" s="51"/>
      <c r="V1677" s="35"/>
      <c r="W1677" s="364">
        <f t="shared" si="361"/>
        <v>971077.78</v>
      </c>
      <c r="X1677" s="141"/>
      <c r="Y1677" s="48"/>
      <c r="Z1677" s="48">
        <v>158211.20000000001</v>
      </c>
      <c r="AA1677" s="48"/>
      <c r="AB1677" s="48"/>
      <c r="AC1677" s="48"/>
      <c r="AD1677" s="48"/>
      <c r="AE1677" s="48"/>
      <c r="AF1677" s="48">
        <v>293902.48</v>
      </c>
      <c r="AG1677" s="57">
        <v>518964.1</v>
      </c>
      <c r="AH1677" s="58"/>
      <c r="AI1677" s="58"/>
      <c r="AJ1677" s="58"/>
      <c r="AK1677" s="58"/>
      <c r="AL1677" s="56"/>
    </row>
    <row r="1678" spans="1:38" x14ac:dyDescent="0.3">
      <c r="A1678" s="47">
        <f t="shared" si="360"/>
        <v>1538</v>
      </c>
      <c r="B1678" s="414" t="s">
        <v>2069</v>
      </c>
      <c r="C1678" s="51">
        <f t="shared" si="358"/>
        <v>817312.87</v>
      </c>
      <c r="D1678" s="51">
        <f t="shared" si="359"/>
        <v>0</v>
      </c>
      <c r="E1678" s="51"/>
      <c r="F1678" s="51"/>
      <c r="G1678" s="51"/>
      <c r="H1678" s="51"/>
      <c r="I1678" s="51"/>
      <c r="J1678" s="51"/>
      <c r="K1678" s="51"/>
      <c r="L1678" s="51"/>
      <c r="M1678" s="35"/>
      <c r="N1678" s="51"/>
      <c r="O1678" s="82"/>
      <c r="P1678" s="51"/>
      <c r="Q1678" s="338"/>
      <c r="R1678" s="51"/>
      <c r="S1678" s="51"/>
      <c r="T1678" s="338"/>
      <c r="U1678" s="51"/>
      <c r="V1678" s="35"/>
      <c r="W1678" s="364">
        <f t="shared" si="361"/>
        <v>817312.87</v>
      </c>
      <c r="X1678" s="141"/>
      <c r="Y1678" s="48"/>
      <c r="Z1678" s="48"/>
      <c r="AA1678" s="48"/>
      <c r="AB1678" s="48"/>
      <c r="AC1678" s="48"/>
      <c r="AD1678" s="48"/>
      <c r="AE1678" s="48"/>
      <c r="AF1678" s="48">
        <v>304841.40000000002</v>
      </c>
      <c r="AG1678" s="57">
        <v>512471.47</v>
      </c>
      <c r="AH1678" s="58"/>
      <c r="AI1678" s="58"/>
      <c r="AJ1678" s="58"/>
      <c r="AK1678" s="58"/>
      <c r="AL1678" s="56"/>
    </row>
    <row r="1679" spans="1:38" x14ac:dyDescent="0.3">
      <c r="A1679" s="47">
        <f t="shared" si="360"/>
        <v>1539</v>
      </c>
      <c r="B1679" s="414" t="s">
        <v>2070</v>
      </c>
      <c r="C1679" s="51">
        <f t="shared" si="358"/>
        <v>547103.39</v>
      </c>
      <c r="D1679" s="51">
        <f t="shared" si="359"/>
        <v>0</v>
      </c>
      <c r="E1679" s="51"/>
      <c r="F1679" s="51"/>
      <c r="G1679" s="51"/>
      <c r="H1679" s="51"/>
      <c r="I1679" s="51"/>
      <c r="J1679" s="51"/>
      <c r="K1679" s="51"/>
      <c r="L1679" s="51"/>
      <c r="M1679" s="35"/>
      <c r="N1679" s="51"/>
      <c r="O1679" s="82"/>
      <c r="P1679" s="51"/>
      <c r="Q1679" s="338"/>
      <c r="R1679" s="51"/>
      <c r="S1679" s="51"/>
      <c r="T1679" s="338"/>
      <c r="U1679" s="51"/>
      <c r="V1679" s="35"/>
      <c r="W1679" s="364">
        <f t="shared" si="361"/>
        <v>547103.39</v>
      </c>
      <c r="X1679" s="141"/>
      <c r="Y1679" s="48"/>
      <c r="Z1679" s="48"/>
      <c r="AA1679" s="48"/>
      <c r="AB1679" s="48"/>
      <c r="AC1679" s="48"/>
      <c r="AD1679" s="48"/>
      <c r="AE1679" s="48"/>
      <c r="AF1679" s="48"/>
      <c r="AG1679" s="57">
        <v>547103.39</v>
      </c>
      <c r="AH1679" s="58"/>
      <c r="AI1679" s="58"/>
      <c r="AJ1679" s="58"/>
      <c r="AK1679" s="58"/>
      <c r="AL1679" s="56"/>
    </row>
    <row r="1680" spans="1:38" x14ac:dyDescent="0.3">
      <c r="A1680" s="47">
        <f t="shared" si="360"/>
        <v>1540</v>
      </c>
      <c r="B1680" s="414" t="s">
        <v>2071</v>
      </c>
      <c r="C1680" s="51">
        <f t="shared" si="358"/>
        <v>453597.61</v>
      </c>
      <c r="D1680" s="51">
        <f t="shared" si="359"/>
        <v>0</v>
      </c>
      <c r="E1680" s="51"/>
      <c r="F1680" s="51"/>
      <c r="G1680" s="51"/>
      <c r="H1680" s="51"/>
      <c r="I1680" s="51"/>
      <c r="J1680" s="51"/>
      <c r="K1680" s="51"/>
      <c r="L1680" s="51"/>
      <c r="M1680" s="35"/>
      <c r="N1680" s="51"/>
      <c r="O1680" s="82"/>
      <c r="P1680" s="51"/>
      <c r="Q1680" s="338"/>
      <c r="R1680" s="51"/>
      <c r="S1680" s="51"/>
      <c r="T1680" s="338"/>
      <c r="U1680" s="51"/>
      <c r="V1680" s="35"/>
      <c r="W1680" s="364">
        <f t="shared" si="361"/>
        <v>453597.61</v>
      </c>
      <c r="X1680" s="141"/>
      <c r="Y1680" s="48"/>
      <c r="Z1680" s="48"/>
      <c r="AA1680" s="48"/>
      <c r="AB1680" s="48"/>
      <c r="AC1680" s="48"/>
      <c r="AD1680" s="48"/>
      <c r="AE1680" s="48"/>
      <c r="AF1680" s="48"/>
      <c r="AG1680" s="57">
        <v>453597.61</v>
      </c>
      <c r="AH1680" s="58"/>
      <c r="AI1680" s="58"/>
      <c r="AJ1680" s="58"/>
      <c r="AK1680" s="58"/>
      <c r="AL1680" s="56"/>
    </row>
    <row r="1681" spans="1:38" x14ac:dyDescent="0.3">
      <c r="A1681" s="47"/>
      <c r="B1681" s="414" t="s">
        <v>211</v>
      </c>
      <c r="C1681" s="51">
        <f>SUM(C1669:C1680)</f>
        <v>5867334.2800000003</v>
      </c>
      <c r="D1681" s="51">
        <f t="shared" ref="D1681:W1681" si="362">SUM(D1669:D1680)</f>
        <v>0</v>
      </c>
      <c r="E1681" s="51">
        <f t="shared" si="362"/>
        <v>0</v>
      </c>
      <c r="F1681" s="51">
        <f t="shared" si="362"/>
        <v>0</v>
      </c>
      <c r="G1681" s="51">
        <f t="shared" si="362"/>
        <v>0</v>
      </c>
      <c r="H1681" s="51">
        <f t="shared" si="362"/>
        <v>0</v>
      </c>
      <c r="I1681" s="51">
        <f t="shared" si="362"/>
        <v>0</v>
      </c>
      <c r="J1681" s="51">
        <f t="shared" si="362"/>
        <v>0</v>
      </c>
      <c r="K1681" s="51">
        <f t="shared" si="362"/>
        <v>0</v>
      </c>
      <c r="L1681" s="51">
        <f t="shared" si="362"/>
        <v>0</v>
      </c>
      <c r="M1681" s="35">
        <f t="shared" si="362"/>
        <v>0</v>
      </c>
      <c r="N1681" s="51">
        <f t="shared" si="362"/>
        <v>0</v>
      </c>
      <c r="O1681" s="82">
        <f t="shared" si="362"/>
        <v>0</v>
      </c>
      <c r="P1681" s="51">
        <f t="shared" si="362"/>
        <v>0</v>
      </c>
      <c r="Q1681" s="338">
        <f t="shared" si="362"/>
        <v>0</v>
      </c>
      <c r="R1681" s="51">
        <f t="shared" si="362"/>
        <v>0</v>
      </c>
      <c r="S1681" s="51">
        <f t="shared" si="362"/>
        <v>0</v>
      </c>
      <c r="T1681" s="338">
        <f t="shared" si="362"/>
        <v>0</v>
      </c>
      <c r="U1681" s="51">
        <f t="shared" si="362"/>
        <v>0</v>
      </c>
      <c r="V1681" s="35">
        <f t="shared" si="362"/>
        <v>0</v>
      </c>
      <c r="W1681" s="51">
        <f t="shared" si="362"/>
        <v>5867334.2800000003</v>
      </c>
      <c r="X1681" s="304"/>
      <c r="Y1681" s="48"/>
      <c r="Z1681" s="48"/>
      <c r="AA1681" s="48"/>
      <c r="AB1681" s="48"/>
      <c r="AC1681" s="48"/>
      <c r="AD1681" s="48"/>
      <c r="AE1681" s="48"/>
      <c r="AF1681" s="48"/>
      <c r="AG1681" s="57"/>
      <c r="AH1681" s="58"/>
      <c r="AI1681" s="58"/>
      <c r="AJ1681" s="58"/>
      <c r="AK1681" s="58"/>
      <c r="AL1681" s="56"/>
    </row>
    <row r="1682" spans="1:38" ht="15" customHeight="1" x14ac:dyDescent="0.3">
      <c r="A1682" s="434" t="s">
        <v>2072</v>
      </c>
      <c r="B1682" s="414"/>
      <c r="C1682" s="51"/>
      <c r="D1682" s="51"/>
      <c r="E1682" s="51"/>
      <c r="F1682" s="51"/>
      <c r="G1682" s="51"/>
      <c r="H1682" s="51"/>
      <c r="I1682" s="51"/>
      <c r="J1682" s="51"/>
      <c r="K1682" s="51"/>
      <c r="L1682" s="51"/>
      <c r="M1682" s="35"/>
      <c r="N1682" s="51"/>
      <c r="O1682" s="82"/>
      <c r="P1682" s="51"/>
      <c r="Q1682" s="338"/>
      <c r="R1682" s="51"/>
      <c r="S1682" s="51"/>
      <c r="T1682" s="338"/>
      <c r="U1682" s="51"/>
      <c r="V1682" s="35"/>
      <c r="W1682" s="364"/>
      <c r="X1682" s="141"/>
      <c r="Y1682" s="48"/>
      <c r="Z1682" s="48"/>
      <c r="AA1682" s="48"/>
      <c r="AB1682" s="48"/>
      <c r="AC1682" s="48"/>
      <c r="AD1682" s="48"/>
      <c r="AE1682" s="48"/>
      <c r="AF1682" s="48"/>
      <c r="AG1682" s="57"/>
      <c r="AH1682" s="58"/>
      <c r="AI1682" s="58"/>
      <c r="AJ1682" s="58"/>
      <c r="AK1682" s="58"/>
      <c r="AL1682" s="56"/>
    </row>
    <row r="1683" spans="1:38" x14ac:dyDescent="0.3">
      <c r="A1683" s="47">
        <f>A1680+1</f>
        <v>1541</v>
      </c>
      <c r="B1683" s="414" t="s">
        <v>2073</v>
      </c>
      <c r="C1683" s="51">
        <f t="shared" ref="C1683:C1692" si="363">D1683+K1683+L1683+N1683+P1683+R1683+S1683+U1683+V1683+W1683</f>
        <v>25390987.800000001</v>
      </c>
      <c r="D1683" s="51">
        <f t="shared" ref="D1683:D1692" si="364">E1683+F1683+G1683+H1683+I1683</f>
        <v>20342848.800000001</v>
      </c>
      <c r="E1683" s="51">
        <v>3381723.6</v>
      </c>
      <c r="F1683" s="51">
        <v>14071438.800000001</v>
      </c>
      <c r="G1683" s="51">
        <v>2889686.4</v>
      </c>
      <c r="H1683" s="51"/>
      <c r="I1683" s="51"/>
      <c r="J1683" s="51"/>
      <c r="K1683" s="51"/>
      <c r="L1683" s="51"/>
      <c r="M1683" s="35"/>
      <c r="N1683" s="51"/>
      <c r="O1683" s="82"/>
      <c r="P1683" s="51"/>
      <c r="Q1683" s="338"/>
      <c r="R1683" s="51"/>
      <c r="S1683" s="51"/>
      <c r="T1683" s="338"/>
      <c r="U1683" s="51"/>
      <c r="V1683" s="35">
        <f>(214531+392996*12+117656)</f>
        <v>5048139</v>
      </c>
      <c r="W1683" s="364"/>
      <c r="X1683" s="141"/>
      <c r="Y1683" s="48"/>
      <c r="Z1683" s="48"/>
      <c r="AA1683" s="48"/>
      <c r="AB1683" s="48"/>
      <c r="AC1683" s="48"/>
      <c r="AD1683" s="48"/>
      <c r="AE1683" s="48"/>
      <c r="AF1683" s="57"/>
      <c r="AG1683" s="58"/>
      <c r="AH1683" s="58"/>
      <c r="AI1683" s="58"/>
      <c r="AJ1683" s="58"/>
      <c r="AK1683" s="56"/>
    </row>
    <row r="1684" spans="1:38" x14ac:dyDescent="0.3">
      <c r="A1684" s="47">
        <f>A1683+1</f>
        <v>1542</v>
      </c>
      <c r="B1684" s="414" t="s">
        <v>2080</v>
      </c>
      <c r="C1684" s="51">
        <f t="shared" si="363"/>
        <v>22899641.800000001</v>
      </c>
      <c r="D1684" s="51">
        <f t="shared" si="364"/>
        <v>19423486.800000001</v>
      </c>
      <c r="E1684" s="51"/>
      <c r="F1684" s="51">
        <f>12408898.8+2979420</f>
        <v>15388318.800000001</v>
      </c>
      <c r="G1684" s="51">
        <v>1607902.8</v>
      </c>
      <c r="H1684" s="51">
        <v>2427265.2000000002</v>
      </c>
      <c r="I1684" s="51"/>
      <c r="J1684" s="51"/>
      <c r="K1684" s="51"/>
      <c r="L1684" s="51"/>
      <c r="M1684" s="35"/>
      <c r="N1684" s="51"/>
      <c r="O1684" s="82"/>
      <c r="P1684" s="51"/>
      <c r="Q1684" s="338"/>
      <c r="R1684" s="51"/>
      <c r="S1684" s="51"/>
      <c r="T1684" s="338"/>
      <c r="U1684" s="51"/>
      <c r="V1684" s="35">
        <f>(214531+392996*8+117656)</f>
        <v>3476155</v>
      </c>
      <c r="W1684" s="364"/>
      <c r="X1684" s="327"/>
      <c r="Y1684" s="48"/>
      <c r="Z1684" s="48"/>
      <c r="AA1684" s="48"/>
      <c r="AB1684" s="48"/>
      <c r="AC1684" s="48"/>
      <c r="AD1684" s="48"/>
      <c r="AE1684" s="48"/>
      <c r="AF1684" s="57"/>
      <c r="AG1684" s="58"/>
      <c r="AH1684" s="58"/>
      <c r="AI1684" s="58"/>
      <c r="AJ1684" s="58"/>
      <c r="AK1684" s="56"/>
    </row>
    <row r="1685" spans="1:38" x14ac:dyDescent="0.3">
      <c r="A1685" s="47">
        <f t="shared" ref="A1685:A1692" si="365">A1684+1</f>
        <v>1543</v>
      </c>
      <c r="B1685" s="414" t="s">
        <v>2081</v>
      </c>
      <c r="C1685" s="51">
        <f t="shared" si="363"/>
        <v>22106673.400000002</v>
      </c>
      <c r="D1685" s="51">
        <f t="shared" si="364"/>
        <v>18630518.400000002</v>
      </c>
      <c r="E1685" s="51"/>
      <c r="F1685" s="51">
        <f>11601968.4+2984389.2</f>
        <v>14586357.600000001</v>
      </c>
      <c r="G1685" s="51">
        <v>1681082.4</v>
      </c>
      <c r="H1685" s="51">
        <v>2363078.4</v>
      </c>
      <c r="I1685" s="51"/>
      <c r="J1685" s="51"/>
      <c r="K1685" s="51"/>
      <c r="L1685" s="51"/>
      <c r="M1685" s="35"/>
      <c r="N1685" s="51"/>
      <c r="O1685" s="82"/>
      <c r="P1685" s="51"/>
      <c r="Q1685" s="338"/>
      <c r="R1685" s="51"/>
      <c r="S1685" s="51"/>
      <c r="T1685" s="338"/>
      <c r="U1685" s="51"/>
      <c r="V1685" s="35">
        <f>(214531+392996*8+117656)</f>
        <v>3476155</v>
      </c>
      <c r="W1685" s="364"/>
      <c r="X1685" s="327"/>
      <c r="Y1685" s="48"/>
      <c r="Z1685" s="48"/>
      <c r="AA1685" s="48"/>
      <c r="AB1685" s="48"/>
      <c r="AC1685" s="48"/>
      <c r="AD1685" s="48"/>
      <c r="AE1685" s="48"/>
      <c r="AF1685" s="57"/>
      <c r="AG1685" s="58"/>
      <c r="AH1685" s="58"/>
      <c r="AI1685" s="58"/>
      <c r="AJ1685" s="58"/>
      <c r="AK1685" s="56"/>
    </row>
    <row r="1686" spans="1:38" x14ac:dyDescent="0.3">
      <c r="A1686" s="47">
        <f t="shared" si="365"/>
        <v>1544</v>
      </c>
      <c r="B1686" s="414" t="s">
        <v>2085</v>
      </c>
      <c r="C1686" s="51">
        <f t="shared" si="363"/>
        <v>9375594.5999999996</v>
      </c>
      <c r="D1686" s="51">
        <f t="shared" si="364"/>
        <v>7864419.5999999996</v>
      </c>
      <c r="E1686" s="51"/>
      <c r="F1686" s="51">
        <v>6076599.5999999996</v>
      </c>
      <c r="G1686" s="51">
        <v>802566</v>
      </c>
      <c r="H1686" s="51">
        <v>985254</v>
      </c>
      <c r="I1686" s="51"/>
      <c r="J1686" s="51"/>
      <c r="K1686" s="51"/>
      <c r="L1686" s="51"/>
      <c r="M1686" s="35"/>
      <c r="N1686" s="51"/>
      <c r="O1686" s="82"/>
      <c r="P1686" s="51"/>
      <c r="Q1686" s="338"/>
      <c r="R1686" s="51"/>
      <c r="S1686" s="51"/>
      <c r="T1686" s="338"/>
      <c r="U1686" s="51"/>
      <c r="V1686" s="35">
        <f>(214531+392996*3+117656)</f>
        <v>1511175</v>
      </c>
      <c r="W1686" s="364"/>
      <c r="X1686" s="327" t="s">
        <v>2076</v>
      </c>
      <c r="Y1686" s="48"/>
      <c r="Z1686" s="48"/>
      <c r="AA1686" s="48"/>
      <c r="AB1686" s="48"/>
      <c r="AC1686" s="48"/>
      <c r="AD1686" s="48"/>
      <c r="AE1686" s="48"/>
      <c r="AF1686" s="57"/>
      <c r="AG1686" s="58"/>
      <c r="AH1686" s="58"/>
      <c r="AI1686" s="58"/>
      <c r="AJ1686" s="58"/>
      <c r="AK1686" s="56"/>
    </row>
    <row r="1687" spans="1:38" x14ac:dyDescent="0.3">
      <c r="A1687" s="47">
        <f t="shared" si="365"/>
        <v>1545</v>
      </c>
      <c r="B1687" s="414" t="s">
        <v>2092</v>
      </c>
      <c r="C1687" s="51">
        <f t="shared" si="363"/>
        <v>130000</v>
      </c>
      <c r="D1687" s="51">
        <f t="shared" ref="D1687:D1689" si="366">E1687+F1687+G1687+H1687+I1687</f>
        <v>0</v>
      </c>
      <c r="E1687" s="418"/>
      <c r="F1687" s="418"/>
      <c r="G1687" s="418"/>
      <c r="H1687" s="418"/>
      <c r="I1687" s="51"/>
      <c r="J1687" s="51"/>
      <c r="K1687" s="51"/>
      <c r="L1687" s="51"/>
      <c r="M1687" s="35"/>
      <c r="N1687" s="51"/>
      <c r="O1687" s="82"/>
      <c r="P1687" s="51"/>
      <c r="Q1687" s="338"/>
      <c r="R1687" s="51"/>
      <c r="S1687" s="51"/>
      <c r="T1687" s="338"/>
      <c r="U1687" s="51"/>
      <c r="V1687" s="425"/>
      <c r="W1687" s="364">
        <v>130000</v>
      </c>
      <c r="X1687" s="327" t="s">
        <v>2076</v>
      </c>
      <c r="Y1687" s="48"/>
      <c r="Z1687" s="48"/>
      <c r="AA1687" s="48"/>
      <c r="AB1687" s="48"/>
      <c r="AC1687" s="48"/>
      <c r="AD1687" s="48"/>
      <c r="AE1687" s="48"/>
      <c r="AF1687" s="57"/>
      <c r="AG1687" s="58"/>
      <c r="AH1687" s="58"/>
      <c r="AI1687" s="58"/>
      <c r="AJ1687" s="58"/>
      <c r="AK1687" s="56"/>
    </row>
    <row r="1688" spans="1:38" x14ac:dyDescent="0.3">
      <c r="A1688" s="47">
        <f t="shared" si="365"/>
        <v>1546</v>
      </c>
      <c r="B1688" s="414" t="s">
        <v>2095</v>
      </c>
      <c r="C1688" s="51">
        <f t="shared" si="363"/>
        <v>12872455.4</v>
      </c>
      <c r="D1688" s="51">
        <f t="shared" si="366"/>
        <v>10968284.4</v>
      </c>
      <c r="E1688" s="51">
        <v>1780371.6</v>
      </c>
      <c r="F1688" s="51">
        <f>5944808.4+2039818.8</f>
        <v>7984627.2000000002</v>
      </c>
      <c r="G1688" s="51">
        <v>1203285.6000000001</v>
      </c>
      <c r="H1688" s="51"/>
      <c r="I1688" s="51"/>
      <c r="J1688" s="51"/>
      <c r="K1688" s="51"/>
      <c r="L1688" s="51"/>
      <c r="M1688" s="35"/>
      <c r="N1688" s="51"/>
      <c r="O1688" s="82"/>
      <c r="P1688" s="51"/>
      <c r="Q1688" s="338"/>
      <c r="R1688" s="51"/>
      <c r="S1688" s="51"/>
      <c r="T1688" s="338"/>
      <c r="U1688" s="51"/>
      <c r="V1688" s="35">
        <f>(214531+392996*4+117656)</f>
        <v>1904171</v>
      </c>
      <c r="W1688" s="364"/>
      <c r="X1688" s="327" t="s">
        <v>2076</v>
      </c>
      <c r="Y1688" s="48"/>
      <c r="Z1688" s="48"/>
      <c r="AA1688" s="48"/>
      <c r="AB1688" s="48"/>
      <c r="AC1688" s="48"/>
      <c r="AD1688" s="48"/>
      <c r="AE1688" s="48"/>
      <c r="AF1688" s="57"/>
      <c r="AG1688" s="58"/>
      <c r="AH1688" s="58"/>
      <c r="AI1688" s="58"/>
      <c r="AJ1688" s="58"/>
      <c r="AK1688" s="56"/>
    </row>
    <row r="1689" spans="1:38" x14ac:dyDescent="0.3">
      <c r="A1689" s="47">
        <f t="shared" si="365"/>
        <v>1547</v>
      </c>
      <c r="B1689" s="414" t="s">
        <v>2075</v>
      </c>
      <c r="C1689" s="51">
        <f t="shared" si="363"/>
        <v>1503893.3599999999</v>
      </c>
      <c r="D1689" s="51">
        <f t="shared" si="366"/>
        <v>0</v>
      </c>
      <c r="E1689" s="51"/>
      <c r="F1689" s="51"/>
      <c r="G1689" s="51"/>
      <c r="H1689" s="51"/>
      <c r="I1689" s="51"/>
      <c r="J1689" s="51"/>
      <c r="K1689" s="51"/>
      <c r="L1689" s="51"/>
      <c r="M1689" s="35"/>
      <c r="N1689" s="51"/>
      <c r="O1689" s="82"/>
      <c r="P1689" s="51"/>
      <c r="Q1689" s="338"/>
      <c r="R1689" s="51"/>
      <c r="S1689" s="51"/>
      <c r="T1689" s="338"/>
      <c r="U1689" s="51"/>
      <c r="V1689" s="403"/>
      <c r="W1689" s="364">
        <f>Z1689+AA1689+AB1689+AC1689+AD1689+AE1689+AF1689+AG1689+AH1689+AI1689</f>
        <v>1503893.3599999999</v>
      </c>
      <c r="X1689" s="141"/>
      <c r="Y1689" s="51" t="s">
        <v>2076</v>
      </c>
      <c r="Z1689" s="48">
        <v>214129.22</v>
      </c>
      <c r="AA1689" s="48">
        <v>208133.24</v>
      </c>
      <c r="AB1689" s="48">
        <v>269205.46999999997</v>
      </c>
      <c r="AC1689" s="48">
        <v>226118.6</v>
      </c>
      <c r="AD1689" s="48"/>
      <c r="AE1689" s="48"/>
      <c r="AF1689" s="48">
        <v>382260.47</v>
      </c>
      <c r="AG1689" s="57">
        <v>204046.36</v>
      </c>
      <c r="AH1689" s="58"/>
      <c r="AI1689" s="58"/>
      <c r="AJ1689" s="58"/>
      <c r="AK1689" s="58"/>
      <c r="AL1689" s="56"/>
    </row>
    <row r="1690" spans="1:38" x14ac:dyDescent="0.3">
      <c r="A1690" s="47">
        <f t="shared" si="365"/>
        <v>1548</v>
      </c>
      <c r="B1690" s="414" t="s">
        <v>2091</v>
      </c>
      <c r="C1690" s="51">
        <f t="shared" si="363"/>
        <v>21914961.399999999</v>
      </c>
      <c r="D1690" s="51">
        <f t="shared" ref="D1690" si="367">E1690+F1690+G1690+H1690+I1690</f>
        <v>9678696</v>
      </c>
      <c r="E1690" s="51"/>
      <c r="F1690" s="51">
        <f>5763616.8+1726029.6</f>
        <v>7489646.4000000004</v>
      </c>
      <c r="G1690" s="51">
        <v>1417968</v>
      </c>
      <c r="H1690" s="51">
        <v>771081.6</v>
      </c>
      <c r="I1690" s="51"/>
      <c r="J1690" s="51"/>
      <c r="K1690" s="51"/>
      <c r="L1690" s="51"/>
      <c r="M1690" s="35"/>
      <c r="N1690" s="51"/>
      <c r="O1690" s="82"/>
      <c r="P1690" s="51">
        <v>7454180.4000000004</v>
      </c>
      <c r="Q1690" s="338"/>
      <c r="R1690" s="51"/>
      <c r="S1690" s="51"/>
      <c r="T1690" s="338"/>
      <c r="U1690" s="51">
        <v>3270780</v>
      </c>
      <c r="V1690" s="35">
        <f>(214531+392996*3+117656)</f>
        <v>1511175</v>
      </c>
      <c r="W1690" s="364">
        <v>130</v>
      </c>
      <c r="X1690" s="141"/>
      <c r="Y1690" s="51" t="s">
        <v>2076</v>
      </c>
      <c r="Z1690" s="48"/>
      <c r="AA1690" s="48"/>
      <c r="AB1690" s="48"/>
      <c r="AC1690" s="48"/>
      <c r="AD1690" s="48"/>
      <c r="AE1690" s="48"/>
      <c r="AF1690" s="48"/>
      <c r="AG1690" s="57"/>
      <c r="AH1690" s="58"/>
      <c r="AI1690" s="58"/>
      <c r="AJ1690" s="58"/>
      <c r="AK1690" s="58"/>
      <c r="AL1690" s="56"/>
    </row>
    <row r="1691" spans="1:38" x14ac:dyDescent="0.3">
      <c r="A1691" s="47">
        <f t="shared" si="365"/>
        <v>1549</v>
      </c>
      <c r="B1691" s="414" t="s">
        <v>2094</v>
      </c>
      <c r="C1691" s="51">
        <f t="shared" si="363"/>
        <v>3944478</v>
      </c>
      <c r="D1691" s="51">
        <f t="shared" si="364"/>
        <v>0</v>
      </c>
      <c r="E1691" s="51"/>
      <c r="F1691" s="51"/>
      <c r="G1691" s="51"/>
      <c r="H1691" s="51"/>
      <c r="I1691" s="51"/>
      <c r="J1691" s="51"/>
      <c r="K1691" s="51"/>
      <c r="L1691" s="51"/>
      <c r="M1691" s="35">
        <v>982</v>
      </c>
      <c r="N1691" s="51">
        <v>3944478</v>
      </c>
      <c r="O1691" s="82"/>
      <c r="P1691" s="51"/>
      <c r="Q1691" s="338"/>
      <c r="R1691" s="51"/>
      <c r="S1691" s="51"/>
      <c r="T1691" s="338"/>
      <c r="U1691" s="51"/>
      <c r="V1691" s="403"/>
      <c r="W1691" s="364"/>
      <c r="X1691" s="141"/>
      <c r="Y1691" s="51"/>
      <c r="Z1691" s="48"/>
      <c r="AA1691" s="48"/>
      <c r="AB1691" s="48"/>
      <c r="AC1691" s="48"/>
      <c r="AD1691" s="48"/>
      <c r="AE1691" s="48"/>
      <c r="AF1691" s="48"/>
      <c r="AG1691" s="57"/>
      <c r="AH1691" s="58"/>
      <c r="AI1691" s="58"/>
      <c r="AJ1691" s="58"/>
      <c r="AK1691" s="58"/>
      <c r="AL1691" s="56"/>
    </row>
    <row r="1692" spans="1:38" x14ac:dyDescent="0.3">
      <c r="A1692" s="47">
        <f t="shared" si="365"/>
        <v>1550</v>
      </c>
      <c r="B1692" s="414" t="s">
        <v>2099</v>
      </c>
      <c r="C1692" s="51">
        <f t="shared" si="363"/>
        <v>6534430.7999999998</v>
      </c>
      <c r="D1692" s="51">
        <f t="shared" si="364"/>
        <v>0</v>
      </c>
      <c r="E1692" s="51"/>
      <c r="F1692" s="51"/>
      <c r="G1692" s="51"/>
      <c r="H1692" s="51"/>
      <c r="I1692" s="51"/>
      <c r="J1692" s="51"/>
      <c r="K1692" s="51"/>
      <c r="L1692" s="51"/>
      <c r="M1692" s="35">
        <v>1561.1</v>
      </c>
      <c r="N1692" s="51">
        <v>6534430.7999999998</v>
      </c>
      <c r="O1692" s="82"/>
      <c r="P1692" s="51"/>
      <c r="Q1692" s="338"/>
      <c r="R1692" s="51"/>
      <c r="S1692" s="51"/>
      <c r="T1692" s="338"/>
      <c r="U1692" s="51"/>
      <c r="V1692" s="403"/>
      <c r="W1692" s="364"/>
      <c r="X1692" s="141"/>
      <c r="Y1692" s="48"/>
      <c r="Z1692" s="48"/>
      <c r="AA1692" s="48"/>
      <c r="AB1692" s="48"/>
      <c r="AC1692" s="48"/>
      <c r="AD1692" s="48"/>
      <c r="AE1692" s="48"/>
      <c r="AF1692" s="48"/>
      <c r="AG1692" s="57"/>
      <c r="AH1692" s="58"/>
      <c r="AI1692" s="58"/>
      <c r="AJ1692" s="58"/>
      <c r="AK1692" s="58"/>
      <c r="AL1692" s="56"/>
    </row>
    <row r="1693" spans="1:38" x14ac:dyDescent="0.3">
      <c r="A1693" s="47"/>
      <c r="B1693" s="414" t="s">
        <v>211</v>
      </c>
      <c r="C1693" s="51">
        <f>SUM(C1683:C1692)</f>
        <v>126673116.55999999</v>
      </c>
      <c r="D1693" s="51">
        <f t="shared" ref="D1693:W1693" si="368">SUM(D1683:D1692)</f>
        <v>86908254</v>
      </c>
      <c r="E1693" s="51">
        <f t="shared" si="368"/>
        <v>5162095.2</v>
      </c>
      <c r="F1693" s="51">
        <f t="shared" si="368"/>
        <v>65596988.400000006</v>
      </c>
      <c r="G1693" s="51">
        <f t="shared" si="368"/>
        <v>9602491.1999999993</v>
      </c>
      <c r="H1693" s="51">
        <f t="shared" si="368"/>
        <v>6546679.1999999993</v>
      </c>
      <c r="I1693" s="51">
        <f t="shared" si="368"/>
        <v>0</v>
      </c>
      <c r="J1693" s="51">
        <f t="shared" si="368"/>
        <v>0</v>
      </c>
      <c r="K1693" s="51">
        <f t="shared" si="368"/>
        <v>0</v>
      </c>
      <c r="L1693" s="51">
        <f t="shared" si="368"/>
        <v>0</v>
      </c>
      <c r="M1693" s="35">
        <f t="shared" si="368"/>
        <v>2543.1</v>
      </c>
      <c r="N1693" s="51">
        <f t="shared" si="368"/>
        <v>10478908.800000001</v>
      </c>
      <c r="O1693" s="82">
        <f t="shared" si="368"/>
        <v>0</v>
      </c>
      <c r="P1693" s="51">
        <f t="shared" si="368"/>
        <v>7454180.4000000004</v>
      </c>
      <c r="Q1693" s="338">
        <f t="shared" si="368"/>
        <v>0</v>
      </c>
      <c r="R1693" s="51">
        <f t="shared" si="368"/>
        <v>0</v>
      </c>
      <c r="S1693" s="51">
        <f t="shared" si="368"/>
        <v>0</v>
      </c>
      <c r="T1693" s="338">
        <f t="shared" si="368"/>
        <v>0</v>
      </c>
      <c r="U1693" s="51">
        <f t="shared" si="368"/>
        <v>3270780</v>
      </c>
      <c r="V1693" s="35">
        <f t="shared" si="368"/>
        <v>16926970</v>
      </c>
      <c r="W1693" s="51">
        <f t="shared" si="368"/>
        <v>1634023.3599999999</v>
      </c>
      <c r="X1693" s="304"/>
      <c r="Y1693" s="48"/>
      <c r="Z1693" s="48"/>
      <c r="AA1693" s="48"/>
      <c r="AB1693" s="48"/>
      <c r="AC1693" s="48"/>
      <c r="AD1693" s="48"/>
      <c r="AE1693" s="48"/>
      <c r="AF1693" s="48"/>
      <c r="AG1693" s="57"/>
      <c r="AH1693" s="58"/>
      <c r="AI1693" s="58"/>
      <c r="AJ1693" s="58"/>
      <c r="AK1693" s="58"/>
      <c r="AL1693" s="56"/>
    </row>
    <row r="1694" spans="1:38" ht="15" customHeight="1" x14ac:dyDescent="0.3">
      <c r="A1694" s="434" t="s">
        <v>2120</v>
      </c>
      <c r="B1694" s="414"/>
      <c r="C1694" s="51"/>
      <c r="D1694" s="51"/>
      <c r="E1694" s="51"/>
      <c r="F1694" s="51"/>
      <c r="G1694" s="51"/>
      <c r="H1694" s="51"/>
      <c r="I1694" s="51"/>
      <c r="J1694" s="51"/>
      <c r="K1694" s="51"/>
      <c r="L1694" s="51"/>
      <c r="M1694" s="35"/>
      <c r="N1694" s="51"/>
      <c r="O1694" s="82"/>
      <c r="P1694" s="51"/>
      <c r="Q1694" s="338"/>
      <c r="R1694" s="51"/>
      <c r="S1694" s="51"/>
      <c r="T1694" s="338"/>
      <c r="U1694" s="51"/>
      <c r="V1694" s="35"/>
      <c r="W1694" s="364"/>
      <c r="X1694" s="141"/>
      <c r="Y1694" s="48"/>
      <c r="Z1694" s="48"/>
      <c r="AA1694" s="48"/>
      <c r="AB1694" s="48"/>
      <c r="AC1694" s="48"/>
      <c r="AD1694" s="48"/>
      <c r="AE1694" s="48"/>
      <c r="AF1694" s="48"/>
      <c r="AG1694" s="57"/>
      <c r="AH1694" s="58"/>
      <c r="AI1694" s="58"/>
      <c r="AJ1694" s="58"/>
      <c r="AK1694" s="58"/>
      <c r="AL1694" s="56"/>
    </row>
    <row r="1695" spans="1:38" x14ac:dyDescent="0.3">
      <c r="A1695" s="47">
        <f>A1692+1</f>
        <v>1551</v>
      </c>
      <c r="B1695" s="414" t="s">
        <v>2121</v>
      </c>
      <c r="C1695" s="51">
        <f t="shared" ref="C1695:C1704" si="369">D1695+K1695+L1695+N1695+P1695+R1695+S1695+U1695+V1695+W1695</f>
        <v>91837.62</v>
      </c>
      <c r="D1695" s="51">
        <f t="shared" ref="D1695:D1704" si="370">E1695+F1695+G1695+H1695+I1695</f>
        <v>0</v>
      </c>
      <c r="E1695" s="51"/>
      <c r="F1695" s="51"/>
      <c r="G1695" s="51"/>
      <c r="H1695" s="51"/>
      <c r="I1695" s="51"/>
      <c r="J1695" s="51"/>
      <c r="K1695" s="51"/>
      <c r="L1695" s="51"/>
      <c r="M1695" s="35"/>
      <c r="N1695" s="51"/>
      <c r="O1695" s="82"/>
      <c r="P1695" s="51"/>
      <c r="Q1695" s="338"/>
      <c r="R1695" s="51"/>
      <c r="S1695" s="51"/>
      <c r="T1695" s="338"/>
      <c r="U1695" s="51"/>
      <c r="V1695" s="35"/>
      <c r="W1695" s="364">
        <f t="shared" ref="W1695:W1704" si="371">Z1695+AA1695+AB1695+AC1695+AD1695+AE1695+AF1695+AG1695+AH1695+AI1695</f>
        <v>91837.62</v>
      </c>
      <c r="X1695" s="141"/>
      <c r="Y1695" s="48"/>
      <c r="Z1695" s="48">
        <v>91837.62</v>
      </c>
      <c r="AA1695" s="48"/>
      <c r="AB1695" s="48"/>
      <c r="AC1695" s="48"/>
      <c r="AD1695" s="48"/>
      <c r="AE1695" s="48"/>
      <c r="AF1695" s="48"/>
      <c r="AG1695" s="57"/>
      <c r="AH1695" s="58"/>
      <c r="AI1695" s="58"/>
      <c r="AJ1695" s="58"/>
      <c r="AK1695" s="58"/>
      <c r="AL1695" s="56"/>
    </row>
    <row r="1696" spans="1:38" x14ac:dyDescent="0.3">
      <c r="A1696" s="47">
        <f>A1695+1</f>
        <v>1552</v>
      </c>
      <c r="B1696" s="414" t="s">
        <v>2122</v>
      </c>
      <c r="C1696" s="51">
        <f t="shared" si="369"/>
        <v>174139.39</v>
      </c>
      <c r="D1696" s="51">
        <f t="shared" si="370"/>
        <v>0</v>
      </c>
      <c r="E1696" s="51"/>
      <c r="F1696" s="51"/>
      <c r="G1696" s="51"/>
      <c r="H1696" s="51"/>
      <c r="I1696" s="51"/>
      <c r="J1696" s="51"/>
      <c r="K1696" s="51"/>
      <c r="L1696" s="51"/>
      <c r="M1696" s="35"/>
      <c r="N1696" s="51"/>
      <c r="O1696" s="82"/>
      <c r="P1696" s="399"/>
      <c r="Q1696" s="338"/>
      <c r="R1696" s="51"/>
      <c r="S1696" s="51"/>
      <c r="T1696" s="338"/>
      <c r="U1696" s="51"/>
      <c r="V1696" s="35"/>
      <c r="W1696" s="364">
        <f t="shared" si="371"/>
        <v>174139.39</v>
      </c>
      <c r="X1696" s="141"/>
      <c r="Y1696" s="48"/>
      <c r="Z1696" s="48"/>
      <c r="AA1696" s="48"/>
      <c r="AB1696" s="48">
        <v>97114.69</v>
      </c>
      <c r="AC1696" s="48"/>
      <c r="AD1696" s="48"/>
      <c r="AE1696" s="48">
        <v>77024.7</v>
      </c>
      <c r="AF1696" s="48"/>
      <c r="AG1696" s="57"/>
      <c r="AH1696" s="58"/>
      <c r="AI1696" s="58"/>
      <c r="AJ1696" s="58"/>
      <c r="AK1696" s="58"/>
      <c r="AL1696" s="56"/>
    </row>
    <row r="1697" spans="1:38" x14ac:dyDescent="0.3">
      <c r="A1697" s="47">
        <f t="shared" ref="A1697:A1704" si="372">A1696+1</f>
        <v>1553</v>
      </c>
      <c r="B1697" s="414" t="s">
        <v>2123</v>
      </c>
      <c r="C1697" s="51">
        <f t="shared" si="369"/>
        <v>237716.99</v>
      </c>
      <c r="D1697" s="51">
        <f t="shared" si="370"/>
        <v>0</v>
      </c>
      <c r="E1697" s="51"/>
      <c r="F1697" s="51"/>
      <c r="G1697" s="51"/>
      <c r="H1697" s="51"/>
      <c r="I1697" s="51"/>
      <c r="J1697" s="51"/>
      <c r="K1697" s="51"/>
      <c r="L1697" s="51"/>
      <c r="M1697" s="35"/>
      <c r="N1697" s="51"/>
      <c r="O1697" s="82"/>
      <c r="P1697" s="51"/>
      <c r="Q1697" s="338"/>
      <c r="R1697" s="51"/>
      <c r="S1697" s="51"/>
      <c r="T1697" s="338"/>
      <c r="U1697" s="51"/>
      <c r="V1697" s="35"/>
      <c r="W1697" s="364">
        <f t="shared" si="371"/>
        <v>237716.99</v>
      </c>
      <c r="X1697" s="141"/>
      <c r="Y1697" s="48"/>
      <c r="Z1697" s="48"/>
      <c r="AA1697" s="48"/>
      <c r="AB1697" s="48"/>
      <c r="AC1697" s="48"/>
      <c r="AD1697" s="48"/>
      <c r="AE1697" s="48"/>
      <c r="AF1697" s="48"/>
      <c r="AG1697" s="57">
        <v>237716.99</v>
      </c>
      <c r="AH1697" s="58"/>
      <c r="AI1697" s="58"/>
      <c r="AJ1697" s="58"/>
      <c r="AK1697" s="58"/>
      <c r="AL1697" s="56"/>
    </row>
    <row r="1698" spans="1:38" x14ac:dyDescent="0.3">
      <c r="A1698" s="47">
        <f t="shared" si="372"/>
        <v>1554</v>
      </c>
      <c r="B1698" s="414" t="s">
        <v>2124</v>
      </c>
      <c r="C1698" s="51">
        <f t="shared" si="369"/>
        <v>171285.78</v>
      </c>
      <c r="D1698" s="51">
        <f t="shared" si="370"/>
        <v>0</v>
      </c>
      <c r="E1698" s="51"/>
      <c r="F1698" s="51"/>
      <c r="G1698" s="51"/>
      <c r="H1698" s="51"/>
      <c r="I1698" s="51"/>
      <c r="J1698" s="51"/>
      <c r="K1698" s="51"/>
      <c r="L1698" s="51"/>
      <c r="M1698" s="35"/>
      <c r="N1698" s="51"/>
      <c r="O1698" s="82"/>
      <c r="P1698" s="51"/>
      <c r="Q1698" s="338"/>
      <c r="R1698" s="51"/>
      <c r="S1698" s="51"/>
      <c r="T1698" s="338"/>
      <c r="U1698" s="51"/>
      <c r="V1698" s="35"/>
      <c r="W1698" s="364">
        <f t="shared" si="371"/>
        <v>171285.78</v>
      </c>
      <c r="X1698" s="141"/>
      <c r="Y1698" s="48"/>
      <c r="Z1698" s="48"/>
      <c r="AA1698" s="48"/>
      <c r="AB1698" s="48"/>
      <c r="AC1698" s="48"/>
      <c r="AD1698" s="48"/>
      <c r="AE1698" s="48"/>
      <c r="AF1698" s="48">
        <v>171285.78</v>
      </c>
      <c r="AG1698" s="57"/>
      <c r="AH1698" s="58"/>
      <c r="AI1698" s="58"/>
      <c r="AJ1698" s="58"/>
      <c r="AK1698" s="58"/>
      <c r="AL1698" s="56"/>
    </row>
    <row r="1699" spans="1:38" x14ac:dyDescent="0.3">
      <c r="A1699" s="47">
        <f t="shared" si="372"/>
        <v>1555</v>
      </c>
      <c r="B1699" s="414" t="s">
        <v>2125</v>
      </c>
      <c r="C1699" s="51">
        <f t="shared" si="369"/>
        <v>89594.89</v>
      </c>
      <c r="D1699" s="51">
        <f t="shared" si="370"/>
        <v>0</v>
      </c>
      <c r="E1699" s="51"/>
      <c r="F1699" s="51"/>
      <c r="G1699" s="51"/>
      <c r="H1699" s="51"/>
      <c r="I1699" s="51"/>
      <c r="J1699" s="51"/>
      <c r="K1699" s="51"/>
      <c r="L1699" s="51"/>
      <c r="M1699" s="35"/>
      <c r="N1699" s="51"/>
      <c r="O1699" s="82"/>
      <c r="P1699" s="51"/>
      <c r="Q1699" s="338"/>
      <c r="R1699" s="51"/>
      <c r="S1699" s="51"/>
      <c r="T1699" s="338"/>
      <c r="U1699" s="51"/>
      <c r="V1699" s="35"/>
      <c r="W1699" s="364">
        <f t="shared" si="371"/>
        <v>89594.89</v>
      </c>
      <c r="X1699" s="141"/>
      <c r="Y1699" s="48"/>
      <c r="Z1699" s="48">
        <v>89594.89</v>
      </c>
      <c r="AA1699" s="48"/>
      <c r="AB1699" s="48"/>
      <c r="AC1699" s="48"/>
      <c r="AD1699" s="48"/>
      <c r="AE1699" s="48"/>
      <c r="AF1699" s="48"/>
      <c r="AG1699" s="57"/>
      <c r="AH1699" s="58"/>
      <c r="AI1699" s="58"/>
      <c r="AJ1699" s="58"/>
      <c r="AK1699" s="58"/>
      <c r="AL1699" s="56"/>
    </row>
    <row r="1700" spans="1:38" x14ac:dyDescent="0.3">
      <c r="A1700" s="47">
        <f t="shared" si="372"/>
        <v>1556</v>
      </c>
      <c r="B1700" s="414" t="s">
        <v>2126</v>
      </c>
      <c r="C1700" s="51">
        <f t="shared" si="369"/>
        <v>120878.42</v>
      </c>
      <c r="D1700" s="51">
        <f t="shared" si="370"/>
        <v>0</v>
      </c>
      <c r="E1700" s="51"/>
      <c r="F1700" s="51"/>
      <c r="G1700" s="51"/>
      <c r="H1700" s="51"/>
      <c r="I1700" s="51"/>
      <c r="J1700" s="51"/>
      <c r="K1700" s="51"/>
      <c r="L1700" s="51"/>
      <c r="M1700" s="35"/>
      <c r="N1700" s="51"/>
      <c r="O1700" s="82"/>
      <c r="P1700" s="51"/>
      <c r="Q1700" s="338"/>
      <c r="R1700" s="51"/>
      <c r="S1700" s="51"/>
      <c r="T1700" s="338"/>
      <c r="U1700" s="51"/>
      <c r="V1700" s="35"/>
      <c r="W1700" s="364">
        <f t="shared" si="371"/>
        <v>120878.42</v>
      </c>
      <c r="X1700" s="141"/>
      <c r="Y1700" s="48"/>
      <c r="Z1700" s="48">
        <v>120878.42</v>
      </c>
      <c r="AA1700" s="48"/>
      <c r="AB1700" s="48"/>
      <c r="AC1700" s="48"/>
      <c r="AD1700" s="48"/>
      <c r="AE1700" s="48"/>
      <c r="AF1700" s="48"/>
      <c r="AG1700" s="57"/>
      <c r="AH1700" s="58"/>
      <c r="AI1700" s="58"/>
      <c r="AJ1700" s="58"/>
      <c r="AK1700" s="58"/>
      <c r="AL1700" s="56"/>
    </row>
    <row r="1701" spans="1:38" x14ac:dyDescent="0.3">
      <c r="A1701" s="47">
        <f t="shared" si="372"/>
        <v>1557</v>
      </c>
      <c r="B1701" s="414" t="s">
        <v>2127</v>
      </c>
      <c r="C1701" s="51">
        <f t="shared" si="369"/>
        <v>150205.01999999999</v>
      </c>
      <c r="D1701" s="51">
        <f t="shared" si="370"/>
        <v>0</v>
      </c>
      <c r="E1701" s="51"/>
      <c r="F1701" s="51"/>
      <c r="G1701" s="51"/>
      <c r="H1701" s="51"/>
      <c r="I1701" s="51"/>
      <c r="J1701" s="51"/>
      <c r="K1701" s="51"/>
      <c r="L1701" s="51"/>
      <c r="M1701" s="35"/>
      <c r="N1701" s="51"/>
      <c r="O1701" s="82"/>
      <c r="P1701" s="51"/>
      <c r="Q1701" s="338"/>
      <c r="R1701" s="51"/>
      <c r="S1701" s="51"/>
      <c r="T1701" s="338"/>
      <c r="U1701" s="51"/>
      <c r="V1701" s="35"/>
      <c r="W1701" s="364">
        <f t="shared" si="371"/>
        <v>150205.01999999999</v>
      </c>
      <c r="X1701" s="141"/>
      <c r="Y1701" s="48"/>
      <c r="Z1701" s="48"/>
      <c r="AA1701" s="48"/>
      <c r="AB1701" s="48"/>
      <c r="AC1701" s="48"/>
      <c r="AD1701" s="48"/>
      <c r="AE1701" s="48"/>
      <c r="AF1701" s="48"/>
      <c r="AG1701" s="57">
        <v>150205.01999999999</v>
      </c>
      <c r="AH1701" s="58"/>
      <c r="AI1701" s="58"/>
      <c r="AJ1701" s="58"/>
      <c r="AK1701" s="58"/>
      <c r="AL1701" s="56"/>
    </row>
    <row r="1702" spans="1:38" x14ac:dyDescent="0.3">
      <c r="A1702" s="47">
        <f t="shared" si="372"/>
        <v>1558</v>
      </c>
      <c r="B1702" s="414" t="s">
        <v>2128</v>
      </c>
      <c r="C1702" s="51">
        <f t="shared" si="369"/>
        <v>151821.91</v>
      </c>
      <c r="D1702" s="51">
        <f t="shared" si="370"/>
        <v>0</v>
      </c>
      <c r="E1702" s="51"/>
      <c r="F1702" s="51"/>
      <c r="G1702" s="51"/>
      <c r="H1702" s="51"/>
      <c r="I1702" s="51"/>
      <c r="J1702" s="51"/>
      <c r="K1702" s="51"/>
      <c r="L1702" s="51"/>
      <c r="M1702" s="35"/>
      <c r="N1702" s="51"/>
      <c r="O1702" s="82"/>
      <c r="P1702" s="51"/>
      <c r="Q1702" s="338"/>
      <c r="R1702" s="51"/>
      <c r="S1702" s="51"/>
      <c r="T1702" s="338"/>
      <c r="U1702" s="51"/>
      <c r="V1702" s="35"/>
      <c r="W1702" s="364">
        <f t="shared" si="371"/>
        <v>151821.91</v>
      </c>
      <c r="X1702" s="141"/>
      <c r="Y1702" s="48"/>
      <c r="Z1702" s="48"/>
      <c r="AA1702" s="48"/>
      <c r="AB1702" s="48"/>
      <c r="AC1702" s="48"/>
      <c r="AD1702" s="48"/>
      <c r="AE1702" s="48"/>
      <c r="AF1702" s="48"/>
      <c r="AG1702" s="57">
        <v>151821.91</v>
      </c>
      <c r="AH1702" s="58"/>
      <c r="AI1702" s="58"/>
      <c r="AJ1702" s="58"/>
      <c r="AK1702" s="58"/>
      <c r="AL1702" s="56"/>
    </row>
    <row r="1703" spans="1:38" x14ac:dyDescent="0.3">
      <c r="A1703" s="47">
        <f t="shared" si="372"/>
        <v>1559</v>
      </c>
      <c r="B1703" s="414" t="s">
        <v>2129</v>
      </c>
      <c r="C1703" s="51">
        <f t="shared" si="369"/>
        <v>119662.09</v>
      </c>
      <c r="D1703" s="51">
        <f t="shared" si="370"/>
        <v>0</v>
      </c>
      <c r="E1703" s="51"/>
      <c r="F1703" s="51"/>
      <c r="G1703" s="51"/>
      <c r="H1703" s="51"/>
      <c r="I1703" s="51"/>
      <c r="J1703" s="51"/>
      <c r="K1703" s="51"/>
      <c r="L1703" s="51"/>
      <c r="M1703" s="35"/>
      <c r="N1703" s="51"/>
      <c r="O1703" s="82"/>
      <c r="P1703" s="51"/>
      <c r="Q1703" s="338"/>
      <c r="R1703" s="51"/>
      <c r="S1703" s="51"/>
      <c r="T1703" s="338"/>
      <c r="U1703" s="51"/>
      <c r="V1703" s="35"/>
      <c r="W1703" s="364">
        <f t="shared" si="371"/>
        <v>119662.09</v>
      </c>
      <c r="X1703" s="141"/>
      <c r="Y1703" s="48"/>
      <c r="Z1703" s="48">
        <v>119662.09</v>
      </c>
      <c r="AA1703" s="48"/>
      <c r="AB1703" s="48"/>
      <c r="AC1703" s="48"/>
      <c r="AD1703" s="48"/>
      <c r="AE1703" s="48"/>
      <c r="AF1703" s="48"/>
      <c r="AG1703" s="57"/>
      <c r="AH1703" s="58"/>
      <c r="AI1703" s="58"/>
      <c r="AJ1703" s="58"/>
      <c r="AK1703" s="58"/>
      <c r="AL1703" s="56"/>
    </row>
    <row r="1704" spans="1:38" x14ac:dyDescent="0.3">
      <c r="A1704" s="47">
        <f t="shared" si="372"/>
        <v>1560</v>
      </c>
      <c r="B1704" s="414" t="s">
        <v>2130</v>
      </c>
      <c r="C1704" s="51">
        <f t="shared" si="369"/>
        <v>409058.01</v>
      </c>
      <c r="D1704" s="51">
        <f t="shared" si="370"/>
        <v>0</v>
      </c>
      <c r="E1704" s="51"/>
      <c r="F1704" s="51"/>
      <c r="G1704" s="51"/>
      <c r="H1704" s="51"/>
      <c r="I1704" s="51"/>
      <c r="J1704" s="51"/>
      <c r="K1704" s="51"/>
      <c r="L1704" s="51"/>
      <c r="M1704" s="35"/>
      <c r="N1704" s="51"/>
      <c r="O1704" s="82"/>
      <c r="P1704" s="51"/>
      <c r="Q1704" s="338"/>
      <c r="R1704" s="51"/>
      <c r="S1704" s="51"/>
      <c r="T1704" s="338"/>
      <c r="U1704" s="51"/>
      <c r="V1704" s="35"/>
      <c r="W1704" s="364">
        <f t="shared" si="371"/>
        <v>409058.01</v>
      </c>
      <c r="X1704" s="141"/>
      <c r="Y1704" s="48"/>
      <c r="Z1704" s="48"/>
      <c r="AA1704" s="48"/>
      <c r="AB1704" s="48"/>
      <c r="AC1704" s="48"/>
      <c r="AD1704" s="48"/>
      <c r="AE1704" s="48"/>
      <c r="AF1704" s="48">
        <v>200914.69</v>
      </c>
      <c r="AG1704" s="57">
        <v>208143.32</v>
      </c>
      <c r="AH1704" s="58"/>
      <c r="AI1704" s="58"/>
      <c r="AJ1704" s="58"/>
      <c r="AK1704" s="58"/>
      <c r="AL1704" s="56"/>
    </row>
    <row r="1705" spans="1:38" x14ac:dyDescent="0.3">
      <c r="A1705" s="45"/>
      <c r="B1705" s="414" t="s">
        <v>211</v>
      </c>
      <c r="C1705" s="51">
        <f t="shared" ref="C1705:W1705" si="373">SUM(C1695:C1704)</f>
        <v>1716200.12</v>
      </c>
      <c r="D1705" s="51">
        <f t="shared" si="373"/>
        <v>0</v>
      </c>
      <c r="E1705" s="51">
        <f t="shared" si="373"/>
        <v>0</v>
      </c>
      <c r="F1705" s="51">
        <f t="shared" si="373"/>
        <v>0</v>
      </c>
      <c r="G1705" s="51">
        <f t="shared" si="373"/>
        <v>0</v>
      </c>
      <c r="H1705" s="51">
        <f t="shared" si="373"/>
        <v>0</v>
      </c>
      <c r="I1705" s="51">
        <f t="shared" si="373"/>
        <v>0</v>
      </c>
      <c r="J1705" s="51">
        <f t="shared" si="373"/>
        <v>0</v>
      </c>
      <c r="K1705" s="51">
        <f t="shared" si="373"/>
        <v>0</v>
      </c>
      <c r="L1705" s="51">
        <f t="shared" si="373"/>
        <v>0</v>
      </c>
      <c r="M1705" s="35">
        <f t="shared" si="373"/>
        <v>0</v>
      </c>
      <c r="N1705" s="51">
        <f t="shared" si="373"/>
        <v>0</v>
      </c>
      <c r="O1705" s="82">
        <f t="shared" si="373"/>
        <v>0</v>
      </c>
      <c r="P1705" s="51">
        <f t="shared" si="373"/>
        <v>0</v>
      </c>
      <c r="Q1705" s="338">
        <f t="shared" si="373"/>
        <v>0</v>
      </c>
      <c r="R1705" s="51">
        <f t="shared" si="373"/>
        <v>0</v>
      </c>
      <c r="S1705" s="51">
        <f t="shared" si="373"/>
        <v>0</v>
      </c>
      <c r="T1705" s="338">
        <f t="shared" si="373"/>
        <v>0</v>
      </c>
      <c r="U1705" s="51">
        <f t="shared" si="373"/>
        <v>0</v>
      </c>
      <c r="V1705" s="35">
        <f t="shared" si="373"/>
        <v>0</v>
      </c>
      <c r="W1705" s="51">
        <f t="shared" si="373"/>
        <v>1716200.12</v>
      </c>
      <c r="X1705" s="304"/>
      <c r="Y1705" s="48"/>
      <c r="Z1705" s="48"/>
      <c r="AA1705" s="48"/>
      <c r="AB1705" s="48"/>
      <c r="AC1705" s="48"/>
      <c r="AD1705" s="48"/>
      <c r="AE1705" s="48"/>
      <c r="AF1705" s="48"/>
      <c r="AG1705" s="57"/>
      <c r="AH1705" s="58"/>
      <c r="AI1705" s="58"/>
      <c r="AJ1705" s="58"/>
      <c r="AK1705" s="58"/>
      <c r="AL1705" s="56"/>
    </row>
    <row r="1706" spans="1:38" x14ac:dyDescent="0.3">
      <c r="A1706" s="45"/>
      <c r="B1706" s="414" t="s">
        <v>2131</v>
      </c>
      <c r="C1706" s="51">
        <f>C1681+C1693+C1705</f>
        <v>134256650.95999998</v>
      </c>
      <c r="D1706" s="51">
        <f t="shared" ref="D1706:W1706" si="374">D1681+D1693+D1705</f>
        <v>86908254</v>
      </c>
      <c r="E1706" s="51">
        <f t="shared" si="374"/>
        <v>5162095.2</v>
      </c>
      <c r="F1706" s="51">
        <f t="shared" si="374"/>
        <v>65596988.400000006</v>
      </c>
      <c r="G1706" s="51">
        <f t="shared" si="374"/>
        <v>9602491.1999999993</v>
      </c>
      <c r="H1706" s="51">
        <f t="shared" si="374"/>
        <v>6546679.1999999993</v>
      </c>
      <c r="I1706" s="51">
        <f t="shared" si="374"/>
        <v>0</v>
      </c>
      <c r="J1706" s="51">
        <f t="shared" si="374"/>
        <v>0</v>
      </c>
      <c r="K1706" s="51">
        <f t="shared" si="374"/>
        <v>0</v>
      </c>
      <c r="L1706" s="51">
        <f t="shared" si="374"/>
        <v>0</v>
      </c>
      <c r="M1706" s="35">
        <f t="shared" si="374"/>
        <v>2543.1</v>
      </c>
      <c r="N1706" s="51">
        <f t="shared" si="374"/>
        <v>10478908.800000001</v>
      </c>
      <c r="O1706" s="82">
        <f t="shared" si="374"/>
        <v>0</v>
      </c>
      <c r="P1706" s="51">
        <f t="shared" si="374"/>
        <v>7454180.4000000004</v>
      </c>
      <c r="Q1706" s="338">
        <f t="shared" si="374"/>
        <v>0</v>
      </c>
      <c r="R1706" s="51">
        <f t="shared" si="374"/>
        <v>0</v>
      </c>
      <c r="S1706" s="51">
        <f t="shared" si="374"/>
        <v>0</v>
      </c>
      <c r="T1706" s="338">
        <f t="shared" si="374"/>
        <v>0</v>
      </c>
      <c r="U1706" s="51">
        <f t="shared" si="374"/>
        <v>3270780</v>
      </c>
      <c r="V1706" s="35">
        <f t="shared" si="374"/>
        <v>16926970</v>
      </c>
      <c r="W1706" s="51">
        <f t="shared" si="374"/>
        <v>9217557.7600000016</v>
      </c>
      <c r="X1706" s="304"/>
      <c r="Y1706" s="48"/>
      <c r="Z1706" s="48"/>
      <c r="AA1706" s="48"/>
      <c r="AB1706" s="48"/>
      <c r="AC1706" s="48"/>
      <c r="AD1706" s="48"/>
      <c r="AE1706" s="48"/>
      <c r="AF1706" s="48"/>
      <c r="AG1706" s="57"/>
      <c r="AH1706" s="58"/>
      <c r="AI1706" s="58"/>
      <c r="AJ1706" s="58"/>
      <c r="AK1706" s="58"/>
      <c r="AL1706" s="56"/>
    </row>
    <row r="1707" spans="1:38" ht="15" customHeight="1" x14ac:dyDescent="0.3">
      <c r="A1707" s="438" t="s">
        <v>2132</v>
      </c>
      <c r="B1707" s="420"/>
      <c r="C1707" s="51"/>
      <c r="D1707" s="51"/>
      <c r="E1707" s="51"/>
      <c r="F1707" s="51"/>
      <c r="G1707" s="51"/>
      <c r="H1707" s="51"/>
      <c r="I1707" s="51"/>
      <c r="J1707" s="51"/>
      <c r="K1707" s="51"/>
      <c r="L1707" s="51"/>
      <c r="M1707" s="35"/>
      <c r="N1707" s="51"/>
      <c r="O1707" s="82"/>
      <c r="P1707" s="51"/>
      <c r="Q1707" s="338"/>
      <c r="R1707" s="51"/>
      <c r="S1707" s="51"/>
      <c r="T1707" s="338"/>
      <c r="U1707" s="51"/>
      <c r="V1707" s="35"/>
      <c r="W1707" s="51"/>
      <c r="X1707" s="141"/>
      <c r="Y1707" s="285"/>
      <c r="Z1707" s="285"/>
      <c r="AA1707" s="285"/>
      <c r="AB1707" s="285"/>
      <c r="AC1707" s="285"/>
      <c r="AD1707" s="285"/>
      <c r="AE1707" s="9"/>
      <c r="AF1707" s="40"/>
      <c r="AG1707" s="56"/>
      <c r="AH1707" s="56"/>
      <c r="AI1707" s="56"/>
      <c r="AJ1707" s="56"/>
    </row>
    <row r="1708" spans="1:38" ht="15" customHeight="1" x14ac:dyDescent="0.3">
      <c r="A1708" s="434" t="s">
        <v>2133</v>
      </c>
      <c r="B1708" s="414"/>
      <c r="C1708" s="51"/>
      <c r="D1708" s="51"/>
      <c r="E1708" s="264"/>
      <c r="F1708" s="264"/>
      <c r="G1708" s="264"/>
      <c r="H1708" s="264"/>
      <c r="I1708" s="264"/>
      <c r="J1708" s="264"/>
      <c r="K1708" s="264"/>
      <c r="L1708" s="264"/>
      <c r="M1708" s="38"/>
      <c r="N1708" s="264"/>
      <c r="O1708" s="134"/>
      <c r="P1708" s="264"/>
      <c r="Q1708" s="404"/>
      <c r="R1708" s="264"/>
      <c r="S1708" s="264"/>
      <c r="T1708" s="404"/>
      <c r="U1708" s="264"/>
      <c r="V1708" s="38"/>
      <c r="W1708" s="264"/>
      <c r="X1708" s="141"/>
      <c r="Y1708" s="285"/>
      <c r="Z1708" s="285"/>
      <c r="AA1708" s="285"/>
      <c r="AB1708" s="285"/>
      <c r="AC1708" s="285"/>
      <c r="AD1708" s="285"/>
      <c r="AE1708" s="9"/>
      <c r="AF1708" s="40"/>
      <c r="AG1708" s="56"/>
      <c r="AH1708" s="56"/>
      <c r="AI1708" s="56"/>
      <c r="AJ1708" s="56"/>
    </row>
    <row r="1709" spans="1:38" x14ac:dyDescent="0.3">
      <c r="A1709" s="47">
        <f>A1704+1</f>
        <v>1561</v>
      </c>
      <c r="B1709" s="414" t="s">
        <v>2163</v>
      </c>
      <c r="C1709" s="51">
        <f t="shared" ref="C1709:C1722" si="375">D1709+K1709+L1709+N1709+P1709+R1709+S1709+U1709+V1709+W1709</f>
        <v>393267</v>
      </c>
      <c r="D1709" s="51">
        <f>E1709+F1709+G1709+H1709+I1709</f>
        <v>393267</v>
      </c>
      <c r="E1709" s="51">
        <f>13*2688+358323</f>
        <v>393267</v>
      </c>
      <c r="F1709" s="51"/>
      <c r="G1709" s="51"/>
      <c r="H1709" s="51"/>
      <c r="I1709" s="51"/>
      <c r="J1709" s="51"/>
      <c r="K1709" s="51"/>
      <c r="L1709" s="51"/>
      <c r="M1709" s="35"/>
      <c r="N1709" s="51"/>
      <c r="O1709" s="82"/>
      <c r="P1709" s="399"/>
      <c r="Q1709" s="338"/>
      <c r="R1709" s="51"/>
      <c r="S1709" s="51"/>
      <c r="T1709" s="338"/>
      <c r="U1709" s="51"/>
      <c r="V1709" s="35"/>
      <c r="W1709" s="51"/>
      <c r="X1709" s="304"/>
      <c r="Y1709" s="48"/>
      <c r="Z1709" s="285">
        <v>120378.8</v>
      </c>
      <c r="AA1709" s="285"/>
      <c r="AB1709" s="285"/>
      <c r="AC1709" s="285">
        <v>109073.71</v>
      </c>
      <c r="AD1709" s="285">
        <v>134966.81</v>
      </c>
      <c r="AE1709" s="285"/>
      <c r="AF1709" s="9">
        <v>201364.51</v>
      </c>
      <c r="AG1709" s="40"/>
      <c r="AH1709" s="56">
        <v>551599.6</v>
      </c>
      <c r="AI1709" s="56"/>
      <c r="AJ1709" s="56"/>
    </row>
    <row r="1710" spans="1:38" x14ac:dyDescent="0.3">
      <c r="A1710" s="47">
        <f>A1709+1</f>
        <v>1562</v>
      </c>
      <c r="B1710" s="414" t="s">
        <v>2166</v>
      </c>
      <c r="C1710" s="51">
        <f t="shared" si="375"/>
        <v>4745796</v>
      </c>
      <c r="D1710" s="51">
        <f t="shared" ref="D1710:D1722" si="376">E1710+F1710+G1710+H1710+I1710</f>
        <v>0</v>
      </c>
      <c r="E1710" s="51"/>
      <c r="F1710" s="51"/>
      <c r="G1710" s="51"/>
      <c r="H1710" s="51"/>
      <c r="I1710" s="51"/>
      <c r="J1710" s="51"/>
      <c r="K1710" s="51"/>
      <c r="L1710" s="51"/>
      <c r="M1710" s="35"/>
      <c r="N1710" s="51"/>
      <c r="O1710" s="82"/>
      <c r="P1710" s="51"/>
      <c r="Q1710" s="338">
        <v>458</v>
      </c>
      <c r="R1710" s="51">
        <f>Q1710*10362</f>
        <v>4745796</v>
      </c>
      <c r="S1710" s="51"/>
      <c r="T1710" s="338"/>
      <c r="U1710" s="51"/>
      <c r="V1710" s="35"/>
      <c r="W1710" s="51"/>
      <c r="X1710" s="141"/>
      <c r="Y1710" s="285"/>
      <c r="Z1710" s="285"/>
      <c r="AA1710" s="285"/>
      <c r="AB1710" s="285">
        <v>116145.96</v>
      </c>
      <c r="AC1710" s="285"/>
      <c r="AD1710" s="285"/>
      <c r="AE1710" s="9"/>
      <c r="AF1710" s="40"/>
      <c r="AG1710" s="56"/>
      <c r="AH1710" s="56"/>
      <c r="AI1710" s="56"/>
      <c r="AJ1710" s="56"/>
    </row>
    <row r="1711" spans="1:38" x14ac:dyDescent="0.3">
      <c r="A1711" s="47">
        <f t="shared" ref="A1711:A1718" si="377">A1710+1</f>
        <v>1563</v>
      </c>
      <c r="B1711" s="414" t="s">
        <v>2180</v>
      </c>
      <c r="C1711" s="51">
        <f t="shared" si="375"/>
        <v>2481303.2000000002</v>
      </c>
      <c r="D1711" s="51">
        <f>E1711+F1711+G1711+H1711+I1711</f>
        <v>2481303.2000000002</v>
      </c>
      <c r="E1711" s="51">
        <v>739645.2</v>
      </c>
      <c r="F1711" s="51">
        <v>1445418</v>
      </c>
      <c r="G1711" s="51"/>
      <c r="H1711" s="51">
        <v>254718</v>
      </c>
      <c r="I1711" s="51">
        <f>13*3194</f>
        <v>41522</v>
      </c>
      <c r="J1711" s="51"/>
      <c r="K1711" s="51"/>
      <c r="L1711" s="51"/>
      <c r="M1711" s="35"/>
      <c r="N1711" s="51"/>
      <c r="O1711" s="82"/>
      <c r="P1711" s="399"/>
      <c r="Q1711" s="338"/>
      <c r="R1711" s="51"/>
      <c r="S1711" s="51"/>
      <c r="T1711" s="338"/>
      <c r="U1711" s="51"/>
      <c r="V1711" s="35"/>
      <c r="W1711" s="51"/>
      <c r="X1711" s="304"/>
      <c r="Y1711" s="48"/>
      <c r="Z1711" s="285"/>
      <c r="AA1711" s="285"/>
      <c r="AB1711" s="285"/>
      <c r="AC1711" s="285"/>
      <c r="AD1711" s="285"/>
      <c r="AE1711" s="285"/>
      <c r="AF1711" s="9"/>
      <c r="AG1711" s="40"/>
      <c r="AH1711" s="56">
        <v>555408.35</v>
      </c>
      <c r="AI1711" s="56"/>
      <c r="AJ1711" s="56"/>
    </row>
    <row r="1712" spans="1:38" x14ac:dyDescent="0.3">
      <c r="A1712" s="47">
        <f t="shared" si="377"/>
        <v>1564</v>
      </c>
      <c r="B1712" s="414" t="s">
        <v>2202</v>
      </c>
      <c r="C1712" s="51">
        <f t="shared" si="375"/>
        <v>34944</v>
      </c>
      <c r="D1712" s="51">
        <f>E1712+F1712+G1712+H1712+I1712</f>
        <v>34944</v>
      </c>
      <c r="E1712" s="51">
        <f>13*2688</f>
        <v>34944</v>
      </c>
      <c r="F1712" s="51"/>
      <c r="G1712" s="51"/>
      <c r="H1712" s="51"/>
      <c r="I1712" s="51"/>
      <c r="J1712" s="51"/>
      <c r="K1712" s="51"/>
      <c r="L1712" s="51"/>
      <c r="M1712" s="35"/>
      <c r="N1712" s="51"/>
      <c r="O1712" s="82"/>
      <c r="P1712" s="51"/>
      <c r="Q1712" s="338"/>
      <c r="R1712" s="51"/>
      <c r="S1712" s="51"/>
      <c r="T1712" s="338"/>
      <c r="U1712" s="51"/>
      <c r="V1712" s="35"/>
      <c r="W1712" s="51"/>
      <c r="X1712" s="304"/>
      <c r="Y1712" s="48"/>
      <c r="Z1712" s="285"/>
      <c r="AA1712" s="285"/>
      <c r="AB1712" s="285"/>
      <c r="AC1712" s="285"/>
      <c r="AD1712" s="285"/>
      <c r="AE1712" s="285"/>
      <c r="AF1712" s="9"/>
      <c r="AG1712" s="40"/>
      <c r="AH1712" s="56"/>
      <c r="AI1712" s="56"/>
      <c r="AJ1712" s="56"/>
    </row>
    <row r="1713" spans="1:36" x14ac:dyDescent="0.3">
      <c r="A1713" s="47">
        <f t="shared" si="377"/>
        <v>1565</v>
      </c>
      <c r="B1713" s="414" t="s">
        <v>2214</v>
      </c>
      <c r="C1713" s="51">
        <f t="shared" si="375"/>
        <v>7818750.7199999997</v>
      </c>
      <c r="D1713" s="51">
        <f t="shared" si="376"/>
        <v>0</v>
      </c>
      <c r="E1713" s="51"/>
      <c r="F1713" s="51"/>
      <c r="G1713" s="51"/>
      <c r="H1713" s="51"/>
      <c r="I1713" s="51"/>
      <c r="J1713" s="51"/>
      <c r="K1713" s="51"/>
      <c r="L1713" s="51"/>
      <c r="M1713" s="35"/>
      <c r="N1713" s="51"/>
      <c r="O1713" s="82"/>
      <c r="P1713" s="399"/>
      <c r="Q1713" s="338">
        <v>754.56</v>
      </c>
      <c r="R1713" s="51">
        <f>Q1713*10362</f>
        <v>7818750.7199999997</v>
      </c>
      <c r="S1713" s="51"/>
      <c r="T1713" s="338"/>
      <c r="U1713" s="51"/>
      <c r="V1713" s="181"/>
      <c r="W1713" s="51"/>
      <c r="X1713" s="141" t="s">
        <v>2142</v>
      </c>
      <c r="Y1713" s="285">
        <v>123656.41</v>
      </c>
      <c r="Z1713" s="285"/>
      <c r="AA1713" s="285"/>
      <c r="AB1713" s="285">
        <v>118517.74</v>
      </c>
      <c r="AC1713" s="285">
        <v>149296.32000000001</v>
      </c>
      <c r="AD1713" s="285"/>
      <c r="AE1713" s="9">
        <v>220556.74</v>
      </c>
      <c r="AF1713" s="40"/>
      <c r="AG1713" s="56"/>
      <c r="AH1713" s="56"/>
      <c r="AI1713" s="56"/>
      <c r="AJ1713" s="56"/>
    </row>
    <row r="1714" spans="1:36" x14ac:dyDescent="0.3">
      <c r="A1714" s="47">
        <f t="shared" si="377"/>
        <v>1566</v>
      </c>
      <c r="B1714" s="414" t="s">
        <v>2215</v>
      </c>
      <c r="C1714" s="51">
        <f t="shared" si="375"/>
        <v>343629</v>
      </c>
      <c r="D1714" s="51">
        <f t="shared" si="376"/>
        <v>0</v>
      </c>
      <c r="E1714" s="51"/>
      <c r="F1714" s="51"/>
      <c r="G1714" s="51"/>
      <c r="H1714" s="51"/>
      <c r="I1714" s="51"/>
      <c r="J1714" s="51"/>
      <c r="K1714" s="51"/>
      <c r="L1714" s="51"/>
      <c r="M1714" s="35"/>
      <c r="N1714" s="51"/>
      <c r="O1714" s="82">
        <v>13</v>
      </c>
      <c r="P1714" s="51">
        <f>O1714*26433</f>
        <v>343629</v>
      </c>
      <c r="Q1714" s="338"/>
      <c r="R1714" s="51"/>
      <c r="S1714" s="51"/>
      <c r="T1714" s="338"/>
      <c r="U1714" s="51"/>
      <c r="V1714" s="35"/>
      <c r="W1714" s="51"/>
      <c r="X1714" s="356"/>
      <c r="Y1714" s="285"/>
      <c r="Z1714" s="285"/>
      <c r="AA1714" s="285"/>
      <c r="AB1714" s="285"/>
      <c r="AC1714" s="285"/>
      <c r="AD1714" s="285">
        <v>278796.31</v>
      </c>
      <c r="AE1714" s="9"/>
      <c r="AF1714" s="40"/>
      <c r="AG1714" s="56">
        <v>1504401.08</v>
      </c>
      <c r="AH1714" s="56"/>
      <c r="AI1714" s="56"/>
      <c r="AJ1714" s="56"/>
    </row>
    <row r="1715" spans="1:36" x14ac:dyDescent="0.3">
      <c r="A1715" s="47">
        <f t="shared" si="377"/>
        <v>1567</v>
      </c>
      <c r="B1715" s="414" t="s">
        <v>2216</v>
      </c>
      <c r="C1715" s="51">
        <f t="shared" si="375"/>
        <v>4990926</v>
      </c>
      <c r="D1715" s="51">
        <f t="shared" si="376"/>
        <v>0</v>
      </c>
      <c r="E1715" s="51"/>
      <c r="F1715" s="51"/>
      <c r="G1715" s="51"/>
      <c r="H1715" s="51"/>
      <c r="I1715" s="51"/>
      <c r="J1715" s="51"/>
      <c r="K1715" s="51"/>
      <c r="L1715" s="51"/>
      <c r="M1715" s="35"/>
      <c r="N1715" s="51"/>
      <c r="O1715" s="82"/>
      <c r="P1715" s="399"/>
      <c r="Q1715" s="338">
        <v>475</v>
      </c>
      <c r="R1715" s="51">
        <v>4990926</v>
      </c>
      <c r="S1715" s="51"/>
      <c r="T1715" s="338"/>
      <c r="U1715" s="51"/>
      <c r="V1715" s="35"/>
      <c r="W1715" s="51"/>
      <c r="X1715" s="356"/>
      <c r="Y1715" s="285"/>
      <c r="Z1715" s="285">
        <v>116462.26</v>
      </c>
      <c r="AA1715" s="285"/>
      <c r="AB1715" s="285"/>
      <c r="AC1715" s="285">
        <v>149296.32000000001</v>
      </c>
      <c r="AD1715" s="285">
        <v>121683.5</v>
      </c>
      <c r="AE1715" s="9"/>
      <c r="AF1715" s="40"/>
      <c r="AG1715" s="56"/>
      <c r="AH1715" s="56"/>
      <c r="AI1715" s="56"/>
      <c r="AJ1715" s="56"/>
    </row>
    <row r="1716" spans="1:36" x14ac:dyDescent="0.3">
      <c r="A1716" s="47">
        <f t="shared" si="377"/>
        <v>1568</v>
      </c>
      <c r="B1716" s="414" t="s">
        <v>2217</v>
      </c>
      <c r="C1716" s="51">
        <f t="shared" si="375"/>
        <v>6209426.4000000004</v>
      </c>
      <c r="D1716" s="51">
        <f t="shared" si="376"/>
        <v>0</v>
      </c>
      <c r="E1716" s="51"/>
      <c r="F1716" s="51"/>
      <c r="G1716" s="51"/>
      <c r="H1716" s="51"/>
      <c r="I1716" s="51"/>
      <c r="J1716" s="51"/>
      <c r="K1716" s="51"/>
      <c r="L1716" s="51"/>
      <c r="M1716" s="35"/>
      <c r="N1716" s="51"/>
      <c r="O1716" s="82"/>
      <c r="P1716" s="399"/>
      <c r="Q1716" s="338">
        <v>650</v>
      </c>
      <c r="R1716" s="51">
        <v>6209426.4000000004</v>
      </c>
      <c r="S1716" s="51"/>
      <c r="T1716" s="338"/>
      <c r="U1716" s="51"/>
      <c r="V1716" s="35"/>
      <c r="W1716" s="51"/>
      <c r="X1716" s="356"/>
      <c r="Y1716" s="285"/>
      <c r="Z1716" s="285">
        <v>103404.46</v>
      </c>
      <c r="AA1716" s="285"/>
      <c r="AB1716" s="285">
        <v>105459.92</v>
      </c>
      <c r="AC1716" s="285">
        <v>134880.73000000001</v>
      </c>
      <c r="AD1716" s="285"/>
      <c r="AE1716" s="9"/>
      <c r="AF1716" s="40"/>
      <c r="AG1716" s="56"/>
      <c r="AH1716" s="56"/>
      <c r="AI1716" s="56"/>
      <c r="AJ1716" s="56"/>
    </row>
    <row r="1717" spans="1:36" x14ac:dyDescent="0.3">
      <c r="A1717" s="47">
        <f t="shared" si="377"/>
        <v>1569</v>
      </c>
      <c r="B1717" s="414" t="s">
        <v>2219</v>
      </c>
      <c r="C1717" s="51">
        <f t="shared" si="375"/>
        <v>6206066.4000000004</v>
      </c>
      <c r="D1717" s="51">
        <f t="shared" si="376"/>
        <v>0</v>
      </c>
      <c r="E1717" s="51"/>
      <c r="F1717" s="51"/>
      <c r="G1717" s="51"/>
      <c r="H1717" s="51"/>
      <c r="I1717" s="51"/>
      <c r="J1717" s="51"/>
      <c r="K1717" s="51"/>
      <c r="L1717" s="51"/>
      <c r="M1717" s="35"/>
      <c r="N1717" s="51"/>
      <c r="O1717" s="82"/>
      <c r="P1717" s="399"/>
      <c r="Q1717" s="338">
        <v>711</v>
      </c>
      <c r="R1717" s="51">
        <v>6206066.4000000004</v>
      </c>
      <c r="S1717" s="51"/>
      <c r="T1717" s="338"/>
      <c r="U1717" s="51"/>
      <c r="V1717" s="35"/>
      <c r="W1717" s="51"/>
      <c r="X1717" s="356"/>
      <c r="Y1717" s="285">
        <v>119105.64</v>
      </c>
      <c r="Z1717" s="285"/>
      <c r="AA1717" s="285"/>
      <c r="AB1717" s="285">
        <v>102661.87</v>
      </c>
      <c r="AC1717" s="285">
        <v>133533.68</v>
      </c>
      <c r="AD1717" s="285"/>
      <c r="AE1717" s="9"/>
      <c r="AF1717" s="40"/>
      <c r="AG1717" s="56"/>
      <c r="AH1717" s="56"/>
      <c r="AI1717" s="56"/>
      <c r="AJ1717" s="56"/>
    </row>
    <row r="1718" spans="1:36" x14ac:dyDescent="0.3">
      <c r="A1718" s="47">
        <f t="shared" si="377"/>
        <v>1570</v>
      </c>
      <c r="B1718" s="414" t="s">
        <v>2220</v>
      </c>
      <c r="C1718" s="51">
        <f t="shared" si="375"/>
        <v>3626884.8</v>
      </c>
      <c r="D1718" s="51">
        <f t="shared" si="376"/>
        <v>0</v>
      </c>
      <c r="E1718" s="51"/>
      <c r="F1718" s="51"/>
      <c r="G1718" s="51"/>
      <c r="H1718" s="51"/>
      <c r="I1718" s="51"/>
      <c r="J1718" s="51"/>
      <c r="K1718" s="51"/>
      <c r="L1718" s="51"/>
      <c r="M1718" s="35"/>
      <c r="N1718" s="51"/>
      <c r="O1718" s="82"/>
      <c r="P1718" s="399"/>
      <c r="Q1718" s="338">
        <v>379</v>
      </c>
      <c r="R1718" s="51">
        <v>3626884.8</v>
      </c>
      <c r="S1718" s="51"/>
      <c r="T1718" s="338"/>
      <c r="U1718" s="51"/>
      <c r="V1718" s="35"/>
      <c r="W1718" s="51"/>
      <c r="X1718" s="356"/>
      <c r="Y1718" s="285">
        <v>104513.96</v>
      </c>
      <c r="Z1718" s="285"/>
      <c r="AA1718" s="285"/>
      <c r="AB1718" s="285"/>
      <c r="AC1718" s="285">
        <v>123554.82</v>
      </c>
      <c r="AD1718" s="285"/>
      <c r="AE1718" s="9"/>
      <c r="AF1718" s="40"/>
      <c r="AG1718" s="56"/>
      <c r="AH1718" s="56"/>
      <c r="AI1718" s="56"/>
      <c r="AJ1718" s="56"/>
    </row>
    <row r="1719" spans="1:36" x14ac:dyDescent="0.3">
      <c r="A1719" s="47">
        <f>A1718+1</f>
        <v>1571</v>
      </c>
      <c r="B1719" s="414" t="s">
        <v>2221</v>
      </c>
      <c r="C1719" s="51">
        <f t="shared" si="375"/>
        <v>9788097</v>
      </c>
      <c r="D1719" s="51">
        <f t="shared" si="376"/>
        <v>0</v>
      </c>
      <c r="E1719" s="51"/>
      <c r="F1719" s="51"/>
      <c r="G1719" s="51"/>
      <c r="H1719" s="51"/>
      <c r="I1719" s="51"/>
      <c r="J1719" s="51"/>
      <c r="K1719" s="51"/>
      <c r="L1719" s="51"/>
      <c r="M1719" s="35"/>
      <c r="N1719" s="51"/>
      <c r="O1719" s="82"/>
      <c r="P1719" s="399"/>
      <c r="Q1719" s="338">
        <v>699</v>
      </c>
      <c r="R1719" s="51">
        <f>Q1719*(10362+3641)</f>
        <v>9788097</v>
      </c>
      <c r="S1719" s="51"/>
      <c r="T1719" s="338"/>
      <c r="U1719" s="51"/>
      <c r="V1719" s="35"/>
      <c r="W1719" s="51"/>
      <c r="X1719" s="356"/>
      <c r="Y1719" s="285">
        <v>119530.03</v>
      </c>
      <c r="Z1719" s="285"/>
      <c r="AA1719" s="285"/>
      <c r="AB1719" s="285">
        <v>103086.26</v>
      </c>
      <c r="AC1719" s="285">
        <v>134011.4</v>
      </c>
      <c r="AD1719" s="285"/>
      <c r="AE1719" s="9"/>
      <c r="AF1719" s="40"/>
      <c r="AG1719" s="56"/>
      <c r="AH1719" s="56"/>
      <c r="AI1719" s="56"/>
      <c r="AJ1719" s="56"/>
    </row>
    <row r="1720" spans="1:36" x14ac:dyDescent="0.3">
      <c r="A1720" s="47">
        <f t="shared" ref="A1720:A1722" si="378">A1719+1</f>
        <v>1572</v>
      </c>
      <c r="B1720" s="414" t="s">
        <v>2224</v>
      </c>
      <c r="C1720" s="51">
        <f t="shared" si="375"/>
        <v>8592901.7400000002</v>
      </c>
      <c r="D1720" s="51">
        <f t="shared" si="376"/>
        <v>7294703.5</v>
      </c>
      <c r="E1720" s="51">
        <f>13*2688+358323</f>
        <v>393267</v>
      </c>
      <c r="F1720" s="51">
        <v>5061438.9000000004</v>
      </c>
      <c r="G1720" s="51">
        <v>845002.8</v>
      </c>
      <c r="H1720" s="51">
        <f>13*3910</f>
        <v>50830</v>
      </c>
      <c r="I1720" s="51">
        <v>944164.8</v>
      </c>
      <c r="J1720" s="51"/>
      <c r="K1720" s="51"/>
      <c r="L1720" s="51"/>
      <c r="M1720" s="35"/>
      <c r="N1720" s="51"/>
      <c r="O1720" s="82"/>
      <c r="P1720" s="399"/>
      <c r="Q1720" s="338"/>
      <c r="R1720" s="51"/>
      <c r="S1720" s="51"/>
      <c r="T1720" s="338"/>
      <c r="U1720" s="51"/>
      <c r="V1720" s="35">
        <f>300315.9+997882.34</f>
        <v>1298198.24</v>
      </c>
      <c r="W1720" s="51"/>
      <c r="X1720" s="304"/>
      <c r="Y1720" s="187"/>
      <c r="Z1720" s="285"/>
      <c r="AA1720" s="285"/>
      <c r="AB1720" s="285"/>
      <c r="AC1720" s="285"/>
      <c r="AD1720" s="285"/>
      <c r="AE1720" s="285"/>
      <c r="AF1720" s="9"/>
      <c r="AG1720" s="40"/>
      <c r="AH1720" s="56">
        <v>1297746.54</v>
      </c>
      <c r="AI1720" s="56">
        <v>446878.91</v>
      </c>
      <c r="AJ1720" s="56"/>
    </row>
    <row r="1721" spans="1:36" x14ac:dyDescent="0.3">
      <c r="A1721" s="47">
        <f t="shared" si="378"/>
        <v>1573</v>
      </c>
      <c r="B1721" s="414" t="s">
        <v>2226</v>
      </c>
      <c r="C1721" s="51">
        <f t="shared" si="375"/>
        <v>4561311.76</v>
      </c>
      <c r="D1721" s="51">
        <f t="shared" si="376"/>
        <v>3263113.52</v>
      </c>
      <c r="E1721" s="51"/>
      <c r="F1721" s="51">
        <v>1961636.72</v>
      </c>
      <c r="G1721" s="51"/>
      <c r="H1721" s="51"/>
      <c r="I1721" s="51">
        <v>1301476.8</v>
      </c>
      <c r="J1721" s="51"/>
      <c r="K1721" s="51"/>
      <c r="L1721" s="51"/>
      <c r="M1721" s="35"/>
      <c r="N1721" s="51"/>
      <c r="O1721" s="82"/>
      <c r="P1721" s="399"/>
      <c r="Q1721" s="338"/>
      <c r="R1721" s="51"/>
      <c r="S1721" s="51"/>
      <c r="T1721" s="338"/>
      <c r="U1721" s="51"/>
      <c r="V1721" s="35">
        <f>300315.9+997882.34</f>
        <v>1298198.24</v>
      </c>
      <c r="W1721" s="51"/>
      <c r="X1721" s="356"/>
      <c r="Y1721" s="285"/>
      <c r="Z1721" s="285"/>
      <c r="AA1721" s="285"/>
      <c r="AB1721" s="285"/>
      <c r="AC1721" s="285"/>
      <c r="AD1721" s="285"/>
      <c r="AE1721" s="9"/>
      <c r="AF1721" s="40"/>
      <c r="AG1721" s="56"/>
      <c r="AH1721" s="56">
        <v>384234.11</v>
      </c>
      <c r="AI1721" s="56"/>
      <c r="AJ1721" s="56"/>
    </row>
    <row r="1722" spans="1:36" x14ac:dyDescent="0.3">
      <c r="A1722" s="47">
        <f t="shared" si="378"/>
        <v>1574</v>
      </c>
      <c r="B1722" s="414" t="s">
        <v>2231</v>
      </c>
      <c r="C1722" s="51">
        <f t="shared" si="375"/>
        <v>2516713.2000000002</v>
      </c>
      <c r="D1722" s="51">
        <f t="shared" si="376"/>
        <v>0</v>
      </c>
      <c r="E1722" s="51"/>
      <c r="F1722" s="51"/>
      <c r="G1722" s="51"/>
      <c r="H1722" s="51"/>
      <c r="I1722" s="51"/>
      <c r="J1722" s="51"/>
      <c r="K1722" s="51"/>
      <c r="L1722" s="51"/>
      <c r="M1722" s="35"/>
      <c r="N1722" s="51"/>
      <c r="O1722" s="82"/>
      <c r="P1722" s="399"/>
      <c r="Q1722" s="338">
        <v>1050.5999999999999</v>
      </c>
      <c r="R1722" s="51">
        <v>2516713.2000000002</v>
      </c>
      <c r="S1722" s="51"/>
      <c r="T1722" s="338"/>
      <c r="U1722" s="51"/>
      <c r="V1722" s="181"/>
      <c r="W1722" s="51"/>
      <c r="X1722" s="141" t="s">
        <v>2142</v>
      </c>
      <c r="Y1722" s="285">
        <v>115457.82</v>
      </c>
      <c r="Z1722" s="285"/>
      <c r="AA1722" s="285"/>
      <c r="AB1722" s="285">
        <v>96024.56</v>
      </c>
      <c r="AC1722" s="285">
        <v>88832.7</v>
      </c>
      <c r="AD1722" s="285"/>
      <c r="AE1722" s="9"/>
      <c r="AF1722" s="40"/>
      <c r="AG1722" s="56"/>
      <c r="AH1722" s="56"/>
      <c r="AI1722" s="56"/>
      <c r="AJ1722" s="56"/>
    </row>
    <row r="1723" spans="1:36" x14ac:dyDescent="0.3">
      <c r="A1723" s="47"/>
      <c r="B1723" s="414" t="s">
        <v>211</v>
      </c>
      <c r="C1723" s="51">
        <f t="shared" ref="C1723:R1723" si="379">SUM(C1709:C1722)</f>
        <v>62310017.219999999</v>
      </c>
      <c r="D1723" s="51">
        <f t="shared" si="379"/>
        <v>13467331.219999999</v>
      </c>
      <c r="E1723" s="51">
        <f t="shared" si="379"/>
        <v>1561123.2</v>
      </c>
      <c r="F1723" s="51">
        <f t="shared" si="379"/>
        <v>8468493.620000001</v>
      </c>
      <c r="G1723" s="51">
        <f t="shared" si="379"/>
        <v>845002.8</v>
      </c>
      <c r="H1723" s="51">
        <f t="shared" si="379"/>
        <v>305548</v>
      </c>
      <c r="I1723" s="51">
        <f t="shared" si="379"/>
        <v>2287163.6</v>
      </c>
      <c r="J1723" s="51">
        <f t="shared" si="379"/>
        <v>0</v>
      </c>
      <c r="K1723" s="51">
        <f t="shared" si="379"/>
        <v>0</v>
      </c>
      <c r="L1723" s="51">
        <f t="shared" si="379"/>
        <v>0</v>
      </c>
      <c r="M1723" s="35">
        <f t="shared" si="379"/>
        <v>0</v>
      </c>
      <c r="N1723" s="51">
        <f t="shared" si="379"/>
        <v>0</v>
      </c>
      <c r="O1723" s="82">
        <f t="shared" si="379"/>
        <v>13</v>
      </c>
      <c r="P1723" s="51">
        <f t="shared" si="379"/>
        <v>343629</v>
      </c>
      <c r="Q1723" s="338">
        <f t="shared" si="379"/>
        <v>5177.16</v>
      </c>
      <c r="R1723" s="51">
        <f t="shared" si="379"/>
        <v>45902660.519999996</v>
      </c>
      <c r="S1723" s="51">
        <f t="shared" ref="S1723:X1723" si="380">SUM(S1709:S1722)</f>
        <v>0</v>
      </c>
      <c r="T1723" s="338">
        <f t="shared" si="380"/>
        <v>0</v>
      </c>
      <c r="U1723" s="51">
        <f t="shared" si="380"/>
        <v>0</v>
      </c>
      <c r="V1723" s="35">
        <f t="shared" si="380"/>
        <v>2596396.48</v>
      </c>
      <c r="W1723" s="51">
        <f t="shared" si="380"/>
        <v>0</v>
      </c>
      <c r="X1723" s="304">
        <f t="shared" si="380"/>
        <v>0</v>
      </c>
      <c r="Y1723" s="285"/>
      <c r="Z1723" s="285"/>
      <c r="AA1723" s="285"/>
      <c r="AB1723" s="285"/>
      <c r="AC1723" s="285"/>
      <c r="AD1723" s="285"/>
      <c r="AE1723" s="9"/>
      <c r="AF1723" s="40"/>
      <c r="AG1723" s="56"/>
      <c r="AH1723" s="56"/>
      <c r="AI1723" s="56"/>
      <c r="AJ1723" s="56"/>
    </row>
    <row r="1724" spans="1:36" ht="15" customHeight="1" x14ac:dyDescent="0.3">
      <c r="A1724" s="434" t="s">
        <v>2256</v>
      </c>
      <c r="B1724" s="414"/>
      <c r="C1724" s="51"/>
      <c r="D1724" s="51"/>
      <c r="E1724" s="264"/>
      <c r="F1724" s="264"/>
      <c r="G1724" s="264"/>
      <c r="H1724" s="264"/>
      <c r="I1724" s="264"/>
      <c r="J1724" s="264"/>
      <c r="K1724" s="264"/>
      <c r="L1724" s="264"/>
      <c r="M1724" s="38"/>
      <c r="N1724" s="264"/>
      <c r="O1724" s="134"/>
      <c r="P1724" s="264"/>
      <c r="Q1724" s="404"/>
      <c r="R1724" s="264"/>
      <c r="S1724" s="264"/>
      <c r="T1724" s="404"/>
      <c r="U1724" s="264"/>
      <c r="V1724" s="38"/>
      <c r="W1724" s="264"/>
      <c r="X1724" s="141"/>
      <c r="Y1724" s="285"/>
      <c r="Z1724" s="285"/>
      <c r="AA1724" s="285"/>
      <c r="AB1724" s="285"/>
      <c r="AC1724" s="285"/>
      <c r="AD1724" s="285"/>
      <c r="AE1724" s="9"/>
      <c r="AF1724" s="40"/>
      <c r="AG1724" s="56"/>
      <c r="AH1724" s="56"/>
      <c r="AI1724" s="56"/>
      <c r="AJ1724" s="56"/>
    </row>
    <row r="1725" spans="1:36" x14ac:dyDescent="0.3">
      <c r="A1725" s="47">
        <f>A1722+1</f>
        <v>1575</v>
      </c>
      <c r="B1725" s="414" t="s">
        <v>2258</v>
      </c>
      <c r="C1725" s="51">
        <f>D1725+K1725+L1725+N1725+P1725+R1725+S1725+U1725+V1725+W1725</f>
        <v>130000</v>
      </c>
      <c r="D1725" s="51">
        <f>E1725+F1725+G1725+H1725+I1725</f>
        <v>0</v>
      </c>
      <c r="E1725" s="51"/>
      <c r="F1725" s="51"/>
      <c r="G1725" s="51"/>
      <c r="H1725" s="51"/>
      <c r="I1725" s="51"/>
      <c r="J1725" s="51"/>
      <c r="K1725" s="51"/>
      <c r="L1725" s="51"/>
      <c r="M1725" s="35"/>
      <c r="N1725" s="51"/>
      <c r="O1725" s="82"/>
      <c r="P1725" s="399"/>
      <c r="Q1725" s="338"/>
      <c r="R1725" s="51"/>
      <c r="S1725" s="51"/>
      <c r="T1725" s="338"/>
      <c r="U1725" s="51"/>
      <c r="V1725" s="35"/>
      <c r="W1725" s="51">
        <v>130000</v>
      </c>
      <c r="X1725" s="141"/>
      <c r="Y1725" s="285"/>
      <c r="Z1725" s="285"/>
      <c r="AA1725" s="285"/>
      <c r="AB1725" s="285"/>
      <c r="AC1725" s="285"/>
      <c r="AD1725" s="285"/>
      <c r="AE1725" s="9"/>
      <c r="AF1725" s="40"/>
      <c r="AG1725" s="56"/>
      <c r="AH1725" s="56"/>
      <c r="AI1725" s="56"/>
      <c r="AJ1725" s="56"/>
    </row>
    <row r="1726" spans="1:36" x14ac:dyDescent="0.3">
      <c r="A1726" s="47">
        <f>A1725+1</f>
        <v>1576</v>
      </c>
      <c r="B1726" s="414" t="s">
        <v>2259</v>
      </c>
      <c r="C1726" s="51">
        <f>D1726+K1726+L1726+N1726+P1726+R1726+S1726+U1726+V1726+W1726</f>
        <v>130000</v>
      </c>
      <c r="D1726" s="51">
        <f>E1726+F1726+G1726+H1726+I1726</f>
        <v>0</v>
      </c>
      <c r="E1726" s="51"/>
      <c r="F1726" s="51"/>
      <c r="G1726" s="51"/>
      <c r="H1726" s="51"/>
      <c r="I1726" s="51"/>
      <c r="J1726" s="51"/>
      <c r="K1726" s="51"/>
      <c r="L1726" s="51"/>
      <c r="M1726" s="35"/>
      <c r="N1726" s="51"/>
      <c r="O1726" s="82"/>
      <c r="P1726" s="399"/>
      <c r="Q1726" s="338"/>
      <c r="R1726" s="51"/>
      <c r="S1726" s="51"/>
      <c r="T1726" s="338"/>
      <c r="U1726" s="51"/>
      <c r="V1726" s="35"/>
      <c r="W1726" s="51">
        <v>130000</v>
      </c>
      <c r="X1726" s="141"/>
      <c r="Y1726" s="285"/>
      <c r="Z1726" s="285"/>
      <c r="AA1726" s="285"/>
      <c r="AB1726" s="285"/>
      <c r="AC1726" s="285"/>
      <c r="AD1726" s="285"/>
      <c r="AE1726" s="9"/>
      <c r="AF1726" s="40"/>
      <c r="AG1726" s="56"/>
      <c r="AH1726" s="56"/>
      <c r="AI1726" s="56"/>
      <c r="AJ1726" s="56"/>
    </row>
    <row r="1727" spans="1:36" x14ac:dyDescent="0.3">
      <c r="A1727" s="47">
        <f t="shared" ref="A1727:A1728" si="381">A1726+1</f>
        <v>1577</v>
      </c>
      <c r="B1727" s="414" t="s">
        <v>2260</v>
      </c>
      <c r="C1727" s="51">
        <f>D1727+K1727+L1727+N1727+P1727+R1727+S1727+U1727+V1727+W1727</f>
        <v>130000</v>
      </c>
      <c r="D1727" s="51">
        <f>E1727+F1727+G1727+H1727+I1727</f>
        <v>0</v>
      </c>
      <c r="E1727" s="51"/>
      <c r="F1727" s="51"/>
      <c r="G1727" s="51"/>
      <c r="H1727" s="51"/>
      <c r="I1727" s="51"/>
      <c r="J1727" s="51"/>
      <c r="K1727" s="51"/>
      <c r="L1727" s="51"/>
      <c r="M1727" s="35"/>
      <c r="N1727" s="51"/>
      <c r="O1727" s="82"/>
      <c r="P1727" s="399"/>
      <c r="Q1727" s="338"/>
      <c r="R1727" s="51"/>
      <c r="S1727" s="51"/>
      <c r="T1727" s="338"/>
      <c r="U1727" s="51"/>
      <c r="V1727" s="35"/>
      <c r="W1727" s="51">
        <v>130000</v>
      </c>
      <c r="X1727" s="141"/>
      <c r="Y1727" s="285"/>
      <c r="Z1727" s="285"/>
      <c r="AA1727" s="285"/>
      <c r="AB1727" s="285"/>
      <c r="AC1727" s="285"/>
      <c r="AD1727" s="285"/>
      <c r="AE1727" s="9"/>
      <c r="AF1727" s="40"/>
      <c r="AG1727" s="56"/>
      <c r="AH1727" s="56"/>
      <c r="AI1727" s="56"/>
      <c r="AJ1727" s="56"/>
    </row>
    <row r="1728" spans="1:36" x14ac:dyDescent="0.3">
      <c r="A1728" s="47">
        <f t="shared" si="381"/>
        <v>1578</v>
      </c>
      <c r="B1728" s="414" t="s">
        <v>2261</v>
      </c>
      <c r="C1728" s="51">
        <f>D1728+K1728+L1728+N1728+P1728+R1728+S1728+U1728+V1728+W1728</f>
        <v>130000</v>
      </c>
      <c r="D1728" s="51">
        <f>E1728+F1728+G1728+H1728+I1728</f>
        <v>0</v>
      </c>
      <c r="E1728" s="51"/>
      <c r="F1728" s="51"/>
      <c r="G1728" s="51"/>
      <c r="H1728" s="51"/>
      <c r="I1728" s="51"/>
      <c r="J1728" s="51"/>
      <c r="K1728" s="51"/>
      <c r="L1728" s="51"/>
      <c r="M1728" s="35"/>
      <c r="N1728" s="51"/>
      <c r="O1728" s="82"/>
      <c r="P1728" s="51"/>
      <c r="Q1728" s="338"/>
      <c r="R1728" s="51"/>
      <c r="S1728" s="51"/>
      <c r="T1728" s="338"/>
      <c r="U1728" s="51"/>
      <c r="V1728" s="35"/>
      <c r="W1728" s="51">
        <v>130000</v>
      </c>
      <c r="X1728" s="141"/>
      <c r="Y1728" s="285"/>
      <c r="Z1728" s="285"/>
      <c r="AA1728" s="285"/>
      <c r="AB1728" s="285"/>
      <c r="AC1728" s="285"/>
      <c r="AD1728" s="285"/>
      <c r="AE1728" s="9"/>
      <c r="AF1728" s="40"/>
      <c r="AG1728" s="56"/>
      <c r="AH1728" s="56"/>
      <c r="AI1728" s="56"/>
      <c r="AJ1728" s="56"/>
    </row>
    <row r="1729" spans="1:36" x14ac:dyDescent="0.3">
      <c r="A1729" s="47"/>
      <c r="B1729" s="414" t="s">
        <v>211</v>
      </c>
      <c r="C1729" s="51">
        <f t="shared" ref="C1729:R1729" si="382">SUM(C1725:C1728)</f>
        <v>520000</v>
      </c>
      <c r="D1729" s="51">
        <f t="shared" si="382"/>
        <v>0</v>
      </c>
      <c r="E1729" s="51">
        <f t="shared" si="382"/>
        <v>0</v>
      </c>
      <c r="F1729" s="51">
        <f t="shared" si="382"/>
        <v>0</v>
      </c>
      <c r="G1729" s="51">
        <f t="shared" si="382"/>
        <v>0</v>
      </c>
      <c r="H1729" s="51">
        <f t="shared" si="382"/>
        <v>0</v>
      </c>
      <c r="I1729" s="51">
        <f t="shared" si="382"/>
        <v>0</v>
      </c>
      <c r="J1729" s="51">
        <f t="shared" si="382"/>
        <v>0</v>
      </c>
      <c r="K1729" s="51">
        <f t="shared" si="382"/>
        <v>0</v>
      </c>
      <c r="L1729" s="51">
        <f t="shared" si="382"/>
        <v>0</v>
      </c>
      <c r="M1729" s="35">
        <f t="shared" si="382"/>
        <v>0</v>
      </c>
      <c r="N1729" s="51">
        <f t="shared" si="382"/>
        <v>0</v>
      </c>
      <c r="O1729" s="82">
        <f t="shared" si="382"/>
        <v>0</v>
      </c>
      <c r="P1729" s="51">
        <f t="shared" si="382"/>
        <v>0</v>
      </c>
      <c r="Q1729" s="338">
        <f t="shared" si="382"/>
        <v>0</v>
      </c>
      <c r="R1729" s="51">
        <f t="shared" si="382"/>
        <v>0</v>
      </c>
      <c r="S1729" s="51">
        <f t="shared" ref="S1729:X1729" si="383">SUM(S1725:S1728)</f>
        <v>0</v>
      </c>
      <c r="T1729" s="338">
        <f t="shared" si="383"/>
        <v>0</v>
      </c>
      <c r="U1729" s="51">
        <f t="shared" si="383"/>
        <v>0</v>
      </c>
      <c r="V1729" s="35">
        <f t="shared" si="383"/>
        <v>0</v>
      </c>
      <c r="W1729" s="51">
        <f t="shared" si="383"/>
        <v>520000</v>
      </c>
      <c r="X1729" s="304">
        <f t="shared" si="383"/>
        <v>0</v>
      </c>
      <c r="Y1729" s="285"/>
      <c r="Z1729" s="285"/>
      <c r="AA1729" s="285"/>
      <c r="AB1729" s="285"/>
      <c r="AC1729" s="285"/>
      <c r="AD1729" s="285"/>
      <c r="AE1729" s="9"/>
      <c r="AF1729" s="40"/>
      <c r="AG1729" s="56"/>
      <c r="AH1729" s="56"/>
      <c r="AI1729" s="56"/>
      <c r="AJ1729" s="56"/>
    </row>
    <row r="1730" spans="1:36" ht="15" customHeight="1" x14ac:dyDescent="0.3">
      <c r="A1730" s="434" t="s">
        <v>2262</v>
      </c>
      <c r="B1730" s="414"/>
      <c r="C1730" s="51"/>
      <c r="D1730" s="51"/>
      <c r="E1730" s="264"/>
      <c r="F1730" s="264"/>
      <c r="G1730" s="264"/>
      <c r="H1730" s="264"/>
      <c r="I1730" s="264"/>
      <c r="J1730" s="264"/>
      <c r="K1730" s="264"/>
      <c r="L1730" s="264"/>
      <c r="M1730" s="38"/>
      <c r="N1730" s="264"/>
      <c r="O1730" s="134"/>
      <c r="P1730" s="264"/>
      <c r="Q1730" s="404"/>
      <c r="R1730" s="264"/>
      <c r="S1730" s="264"/>
      <c r="T1730" s="404"/>
      <c r="U1730" s="264"/>
      <c r="V1730" s="38"/>
      <c r="W1730" s="264"/>
      <c r="X1730" s="141"/>
      <c r="Y1730" s="285"/>
      <c r="Z1730" s="285"/>
      <c r="AA1730" s="285"/>
      <c r="AB1730" s="285"/>
      <c r="AC1730" s="285"/>
      <c r="AD1730" s="285"/>
      <c r="AE1730" s="9"/>
      <c r="AF1730" s="40"/>
      <c r="AG1730" s="56"/>
      <c r="AH1730" s="56"/>
      <c r="AI1730" s="56"/>
      <c r="AJ1730" s="56"/>
    </row>
    <row r="1731" spans="1:36" x14ac:dyDescent="0.3">
      <c r="A1731" s="47">
        <f>A1728+1</f>
        <v>1579</v>
      </c>
      <c r="B1731" s="414" t="s">
        <v>2269</v>
      </c>
      <c r="C1731" s="51">
        <f t="shared" ref="C1731:C1746" si="384">D1731+K1731+L1731+N1731+P1731+R1731+S1731+U1731+V1731+W1731</f>
        <v>106431</v>
      </c>
      <c r="D1731" s="51">
        <f t="shared" ref="D1731:D1746" si="385">E1731+F1731+G1731+H1731+I1731</f>
        <v>0</v>
      </c>
      <c r="E1731" s="51"/>
      <c r="F1731" s="51"/>
      <c r="G1731" s="51"/>
      <c r="H1731" s="51"/>
      <c r="I1731" s="51"/>
      <c r="J1731" s="51"/>
      <c r="K1731" s="51"/>
      <c r="L1731" s="51"/>
      <c r="M1731" s="35"/>
      <c r="N1731" s="51"/>
      <c r="O1731" s="82"/>
      <c r="P1731" s="399"/>
      <c r="Q1731" s="338">
        <v>13</v>
      </c>
      <c r="R1731" s="51">
        <f>Q1731*8187</f>
        <v>106431</v>
      </c>
      <c r="S1731" s="51"/>
      <c r="T1731" s="338"/>
      <c r="U1731" s="51"/>
      <c r="V1731" s="35"/>
      <c r="W1731" s="51"/>
      <c r="X1731" s="141"/>
      <c r="Y1731" s="285"/>
      <c r="Z1731" s="285"/>
      <c r="AA1731" s="285"/>
      <c r="AB1731" s="285">
        <v>113772.52</v>
      </c>
      <c r="AC1731" s="285"/>
      <c r="AD1731" s="285"/>
      <c r="AE1731" s="9"/>
      <c r="AF1731" s="40"/>
      <c r="AG1731" s="56"/>
      <c r="AH1731" s="56"/>
      <c r="AI1731" s="56"/>
      <c r="AJ1731" s="56"/>
    </row>
    <row r="1732" spans="1:36" x14ac:dyDescent="0.3">
      <c r="A1732" s="47">
        <f>A1731+1</f>
        <v>1580</v>
      </c>
      <c r="B1732" s="414" t="s">
        <v>2271</v>
      </c>
      <c r="C1732" s="51">
        <f t="shared" si="384"/>
        <v>7601702.7800000003</v>
      </c>
      <c r="D1732" s="51">
        <f t="shared" si="385"/>
        <v>0</v>
      </c>
      <c r="E1732" s="51"/>
      <c r="F1732" s="51"/>
      <c r="G1732" s="51"/>
      <c r="H1732" s="51"/>
      <c r="I1732" s="51"/>
      <c r="J1732" s="51"/>
      <c r="K1732" s="51"/>
      <c r="L1732" s="51"/>
      <c r="M1732" s="35"/>
      <c r="N1732" s="51"/>
      <c r="O1732" s="82"/>
      <c r="P1732" s="399"/>
      <c r="Q1732" s="338">
        <v>1155</v>
      </c>
      <c r="R1732" s="405">
        <v>7601702.7800000003</v>
      </c>
      <c r="S1732" s="51"/>
      <c r="T1732" s="338"/>
      <c r="U1732" s="51"/>
      <c r="V1732" s="35"/>
      <c r="W1732" s="51"/>
      <c r="X1732" s="356"/>
      <c r="Y1732" s="285"/>
      <c r="Z1732" s="285"/>
      <c r="AA1732" s="285"/>
      <c r="AB1732" s="285">
        <v>111628.36</v>
      </c>
      <c r="AC1732" s="285"/>
      <c r="AD1732" s="285"/>
      <c r="AE1732" s="9"/>
      <c r="AF1732" s="40"/>
      <c r="AG1732" s="56"/>
      <c r="AH1732" s="56"/>
      <c r="AI1732" s="56"/>
      <c r="AJ1732" s="56"/>
    </row>
    <row r="1733" spans="1:36" x14ac:dyDescent="0.3">
      <c r="A1733" s="47">
        <f t="shared" ref="A1733:A1739" si="386">A1732+1</f>
        <v>1581</v>
      </c>
      <c r="B1733" s="414" t="s">
        <v>2272</v>
      </c>
      <c r="C1733" s="51">
        <f t="shared" si="384"/>
        <v>5963581.9400000004</v>
      </c>
      <c r="D1733" s="51">
        <f t="shared" si="385"/>
        <v>0</v>
      </c>
      <c r="E1733" s="51"/>
      <c r="F1733" s="51"/>
      <c r="G1733" s="51"/>
      <c r="H1733" s="51"/>
      <c r="I1733" s="51"/>
      <c r="J1733" s="51"/>
      <c r="K1733" s="51"/>
      <c r="L1733" s="51"/>
      <c r="M1733" s="35"/>
      <c r="N1733" s="51"/>
      <c r="O1733" s="82"/>
      <c r="P1733" s="399"/>
      <c r="Q1733" s="338">
        <v>924</v>
      </c>
      <c r="R1733" s="51">
        <v>5963581.9400000004</v>
      </c>
      <c r="S1733" s="51"/>
      <c r="T1733" s="338"/>
      <c r="U1733" s="51"/>
      <c r="V1733" s="35"/>
      <c r="W1733" s="51"/>
      <c r="X1733" s="356"/>
      <c r="Y1733" s="285"/>
      <c r="Z1733" s="285"/>
      <c r="AA1733" s="285"/>
      <c r="AB1733" s="285">
        <v>102198.71</v>
      </c>
      <c r="AC1733" s="285"/>
      <c r="AD1733" s="285"/>
      <c r="AE1733" s="9"/>
      <c r="AF1733" s="40"/>
      <c r="AG1733" s="56"/>
      <c r="AH1733" s="56"/>
      <c r="AI1733" s="56"/>
      <c r="AJ1733" s="56"/>
    </row>
    <row r="1734" spans="1:36" x14ac:dyDescent="0.3">
      <c r="A1734" s="47">
        <f t="shared" si="386"/>
        <v>1582</v>
      </c>
      <c r="B1734" s="414" t="s">
        <v>2274</v>
      </c>
      <c r="C1734" s="51">
        <f t="shared" si="384"/>
        <v>5963581.9400000004</v>
      </c>
      <c r="D1734" s="51">
        <f t="shared" si="385"/>
        <v>0</v>
      </c>
      <c r="E1734" s="51"/>
      <c r="F1734" s="51"/>
      <c r="G1734" s="51"/>
      <c r="H1734" s="51"/>
      <c r="I1734" s="51"/>
      <c r="J1734" s="51"/>
      <c r="K1734" s="51"/>
      <c r="L1734" s="51"/>
      <c r="M1734" s="35"/>
      <c r="N1734" s="51"/>
      <c r="O1734" s="82"/>
      <c r="P1734" s="399"/>
      <c r="Q1734" s="338">
        <v>924</v>
      </c>
      <c r="R1734" s="51">
        <v>5963581.9400000004</v>
      </c>
      <c r="S1734" s="51"/>
      <c r="T1734" s="338"/>
      <c r="U1734" s="51"/>
      <c r="V1734" s="35"/>
      <c r="W1734" s="51"/>
      <c r="X1734" s="356"/>
      <c r="Y1734" s="285"/>
      <c r="Z1734" s="285"/>
      <c r="AA1734" s="285"/>
      <c r="AB1734" s="285">
        <v>118418.46</v>
      </c>
      <c r="AC1734" s="285"/>
      <c r="AD1734" s="285"/>
      <c r="AE1734" s="9"/>
      <c r="AF1734" s="40"/>
      <c r="AG1734" s="56"/>
      <c r="AH1734" s="56"/>
      <c r="AI1734" s="56"/>
      <c r="AJ1734" s="56"/>
    </row>
    <row r="1735" spans="1:36" x14ac:dyDescent="0.3">
      <c r="A1735" s="47">
        <f t="shared" si="386"/>
        <v>1583</v>
      </c>
      <c r="B1735" s="414" t="s">
        <v>2276</v>
      </c>
      <c r="C1735" s="51">
        <f t="shared" si="384"/>
        <v>10975578.84</v>
      </c>
      <c r="D1735" s="51">
        <f t="shared" si="385"/>
        <v>0</v>
      </c>
      <c r="E1735" s="51"/>
      <c r="F1735" s="51"/>
      <c r="G1735" s="51"/>
      <c r="H1735" s="51"/>
      <c r="I1735" s="51"/>
      <c r="J1735" s="51"/>
      <c r="K1735" s="51"/>
      <c r="L1735" s="51"/>
      <c r="M1735" s="35">
        <v>700</v>
      </c>
      <c r="N1735" s="51">
        <v>5011996.9000000004</v>
      </c>
      <c r="O1735" s="82"/>
      <c r="P1735" s="399"/>
      <c r="Q1735" s="338">
        <v>924</v>
      </c>
      <c r="R1735" s="51">
        <v>5963581.9400000004</v>
      </c>
      <c r="S1735" s="51"/>
      <c r="T1735" s="338"/>
      <c r="U1735" s="51"/>
      <c r="V1735" s="35"/>
      <c r="W1735" s="51"/>
      <c r="X1735" s="356"/>
      <c r="Y1735" s="285"/>
      <c r="Z1735" s="285"/>
      <c r="AA1735" s="285"/>
      <c r="AB1735" s="285"/>
      <c r="AC1735" s="285"/>
      <c r="AD1735" s="285"/>
      <c r="AE1735" s="9"/>
      <c r="AF1735" s="40"/>
      <c r="AG1735" s="56"/>
      <c r="AH1735" s="56">
        <v>201476.77</v>
      </c>
      <c r="AI1735" s="56"/>
      <c r="AJ1735" s="56"/>
    </row>
    <row r="1736" spans="1:36" x14ac:dyDescent="0.3">
      <c r="A1736" s="47">
        <f t="shared" si="386"/>
        <v>1584</v>
      </c>
      <c r="B1736" s="414" t="s">
        <v>2277</v>
      </c>
      <c r="C1736" s="51">
        <f t="shared" si="384"/>
        <v>5596452.4199999999</v>
      </c>
      <c r="D1736" s="51">
        <f t="shared" si="385"/>
        <v>3084087.26</v>
      </c>
      <c r="E1736" s="51">
        <v>393455.66</v>
      </c>
      <c r="F1736" s="51">
        <v>1556005.82</v>
      </c>
      <c r="G1736" s="51">
        <v>340207.3</v>
      </c>
      <c r="H1736" s="51">
        <v>613959.9</v>
      </c>
      <c r="I1736" s="51">
        <v>180458.58</v>
      </c>
      <c r="J1736" s="51"/>
      <c r="K1736" s="51"/>
      <c r="L1736" s="51"/>
      <c r="M1736" s="35"/>
      <c r="N1736" s="51"/>
      <c r="O1736" s="82"/>
      <c r="P1736" s="399"/>
      <c r="Q1736" s="338"/>
      <c r="R1736" s="51"/>
      <c r="S1736" s="51"/>
      <c r="T1736" s="338">
        <v>28.56</v>
      </c>
      <c r="U1736" s="51">
        <v>2512352.16</v>
      </c>
      <c r="V1736" s="35">
        <v>13</v>
      </c>
      <c r="W1736" s="51"/>
      <c r="X1736" s="141"/>
      <c r="Y1736" s="285"/>
      <c r="Z1736" s="285"/>
      <c r="AA1736" s="285"/>
      <c r="AB1736" s="285"/>
      <c r="AC1736" s="285"/>
      <c r="AD1736" s="285"/>
      <c r="AE1736" s="9"/>
      <c r="AF1736" s="40"/>
      <c r="AG1736" s="56"/>
      <c r="AH1736" s="56"/>
      <c r="AI1736" s="56"/>
      <c r="AJ1736" s="56"/>
    </row>
    <row r="1737" spans="1:36" x14ac:dyDescent="0.3">
      <c r="A1737" s="47">
        <f t="shared" si="386"/>
        <v>1585</v>
      </c>
      <c r="B1737" s="414" t="s">
        <v>2279</v>
      </c>
      <c r="C1737" s="51">
        <f t="shared" si="384"/>
        <v>9269417.1799999997</v>
      </c>
      <c r="D1737" s="51">
        <f t="shared" si="385"/>
        <v>3069167.34</v>
      </c>
      <c r="E1737" s="51">
        <v>378535.74</v>
      </c>
      <c r="F1737" s="51">
        <v>1556005.82</v>
      </c>
      <c r="G1737" s="51">
        <v>340207.3</v>
      </c>
      <c r="H1737" s="51">
        <v>613959.9</v>
      </c>
      <c r="I1737" s="51">
        <v>180458.58</v>
      </c>
      <c r="J1737" s="51"/>
      <c r="K1737" s="51"/>
      <c r="L1737" s="51"/>
      <c r="M1737" s="35"/>
      <c r="N1737" s="51"/>
      <c r="O1737" s="82"/>
      <c r="P1737" s="399"/>
      <c r="Q1737" s="338">
        <v>924</v>
      </c>
      <c r="R1737" s="51">
        <v>6200236.8399999999</v>
      </c>
      <c r="S1737" s="51"/>
      <c r="T1737" s="338"/>
      <c r="U1737" s="51"/>
      <c r="V1737" s="35">
        <v>13</v>
      </c>
      <c r="W1737" s="51"/>
      <c r="X1737" s="141"/>
      <c r="Y1737" s="285"/>
      <c r="Z1737" s="285"/>
      <c r="AA1737" s="285"/>
      <c r="AB1737" s="285"/>
      <c r="AC1737" s="285"/>
      <c r="AD1737" s="285"/>
      <c r="AE1737" s="9"/>
      <c r="AF1737" s="40"/>
      <c r="AG1737" s="56"/>
      <c r="AH1737" s="56"/>
      <c r="AI1737" s="56"/>
      <c r="AJ1737" s="56"/>
    </row>
    <row r="1738" spans="1:36" x14ac:dyDescent="0.3">
      <c r="A1738" s="47">
        <f t="shared" si="386"/>
        <v>1586</v>
      </c>
      <c r="B1738" s="414" t="s">
        <v>2294</v>
      </c>
      <c r="C1738" s="51">
        <f t="shared" si="384"/>
        <v>41522</v>
      </c>
      <c r="D1738" s="51">
        <f t="shared" si="385"/>
        <v>41522</v>
      </c>
      <c r="E1738" s="51"/>
      <c r="F1738" s="51"/>
      <c r="G1738" s="51"/>
      <c r="H1738" s="51"/>
      <c r="I1738" s="51">
        <f>13*3194</f>
        <v>41522</v>
      </c>
      <c r="J1738" s="51"/>
      <c r="K1738" s="51"/>
      <c r="L1738" s="51"/>
      <c r="M1738" s="35"/>
      <c r="N1738" s="51"/>
      <c r="O1738" s="82"/>
      <c r="P1738" s="399"/>
      <c r="Q1738" s="338"/>
      <c r="R1738" s="51"/>
      <c r="S1738" s="51"/>
      <c r="T1738" s="338"/>
      <c r="U1738" s="51"/>
      <c r="V1738" s="35"/>
      <c r="W1738" s="51"/>
      <c r="X1738" s="304"/>
      <c r="Y1738" s="48"/>
      <c r="Z1738" s="285"/>
      <c r="AA1738" s="285"/>
      <c r="AB1738" s="285"/>
      <c r="AC1738" s="285"/>
      <c r="AD1738" s="285"/>
      <c r="AE1738" s="285"/>
      <c r="AF1738" s="9"/>
      <c r="AG1738" s="40"/>
      <c r="AH1738" s="56"/>
      <c r="AI1738" s="56"/>
      <c r="AJ1738" s="56"/>
    </row>
    <row r="1739" spans="1:36" x14ac:dyDescent="0.3">
      <c r="A1739" s="47">
        <f t="shared" si="386"/>
        <v>1587</v>
      </c>
      <c r="B1739" s="414" t="s">
        <v>2280</v>
      </c>
      <c r="C1739" s="51">
        <f t="shared" si="384"/>
        <v>2915874.7399999998</v>
      </c>
      <c r="D1739" s="51">
        <f t="shared" si="385"/>
        <v>2915861.7399999998</v>
      </c>
      <c r="E1739" s="51">
        <v>405688.72</v>
      </c>
      <c r="F1739" s="51">
        <v>1556005.82</v>
      </c>
      <c r="G1739" s="51">
        <v>340207.3</v>
      </c>
      <c r="H1739" s="51">
        <v>613959.9</v>
      </c>
      <c r="I1739" s="51"/>
      <c r="J1739" s="51"/>
      <c r="K1739" s="51"/>
      <c r="L1739" s="51"/>
      <c r="M1739" s="35"/>
      <c r="N1739" s="51"/>
      <c r="O1739" s="82"/>
      <c r="P1739" s="399"/>
      <c r="Q1739" s="338"/>
      <c r="R1739" s="51"/>
      <c r="S1739" s="51"/>
      <c r="T1739" s="338"/>
      <c r="U1739" s="51"/>
      <c r="V1739" s="35">
        <v>13</v>
      </c>
      <c r="W1739" s="51"/>
      <c r="X1739" s="141"/>
      <c r="Y1739" s="285"/>
      <c r="Z1739" s="285"/>
      <c r="AA1739" s="285"/>
      <c r="AB1739" s="285">
        <v>99752.69</v>
      </c>
      <c r="AC1739" s="285"/>
      <c r="AD1739" s="285"/>
      <c r="AE1739" s="9"/>
      <c r="AF1739" s="40"/>
      <c r="AG1739" s="56"/>
      <c r="AH1739" s="56"/>
      <c r="AI1739" s="56"/>
      <c r="AJ1739" s="56"/>
    </row>
    <row r="1740" spans="1:36" ht="21.75" customHeight="1" x14ac:dyDescent="0.3">
      <c r="A1740" s="47">
        <f>A1739+1</f>
        <v>1588</v>
      </c>
      <c r="B1740" s="414" t="s">
        <v>2281</v>
      </c>
      <c r="C1740" s="51">
        <f t="shared" si="384"/>
        <v>3073788.12</v>
      </c>
      <c r="D1740" s="51">
        <f t="shared" si="385"/>
        <v>3073775.12</v>
      </c>
      <c r="E1740" s="51">
        <v>349368.5</v>
      </c>
      <c r="F1740" s="51">
        <v>1531565.66</v>
      </c>
      <c r="G1740" s="51">
        <v>338846.64</v>
      </c>
      <c r="H1740" s="51">
        <v>673512.14</v>
      </c>
      <c r="I1740" s="51">
        <v>180482.18</v>
      </c>
      <c r="J1740" s="51"/>
      <c r="K1740" s="51"/>
      <c r="L1740" s="51"/>
      <c r="M1740" s="35"/>
      <c r="N1740" s="51"/>
      <c r="O1740" s="82"/>
      <c r="P1740" s="399"/>
      <c r="Q1740" s="338"/>
      <c r="R1740" s="51"/>
      <c r="S1740" s="51"/>
      <c r="T1740" s="338"/>
      <c r="U1740" s="51"/>
      <c r="V1740" s="35">
        <v>13</v>
      </c>
      <c r="W1740" s="51"/>
      <c r="X1740" s="356" t="s">
        <v>2282</v>
      </c>
      <c r="Y1740" s="285"/>
      <c r="Z1740" s="285"/>
      <c r="AA1740" s="285"/>
      <c r="AB1740" s="285"/>
      <c r="AC1740" s="285"/>
      <c r="AD1740" s="285"/>
      <c r="AE1740" s="9">
        <v>207359.18</v>
      </c>
      <c r="AF1740" s="40"/>
      <c r="AG1740" s="56"/>
      <c r="AH1740" s="56"/>
      <c r="AI1740" s="56"/>
      <c r="AJ1740" s="56"/>
    </row>
    <row r="1741" spans="1:36" x14ac:dyDescent="0.3">
      <c r="A1741" s="47">
        <f t="shared" ref="A1741:A1746" si="387">A1740+1</f>
        <v>1589</v>
      </c>
      <c r="B1741" s="414" t="s">
        <v>2286</v>
      </c>
      <c r="C1741" s="51">
        <f t="shared" si="384"/>
        <v>1374565.04</v>
      </c>
      <c r="D1741" s="51">
        <f t="shared" si="385"/>
        <v>1374565.04</v>
      </c>
      <c r="E1741" s="51">
        <f>13*2688+358323</f>
        <v>393267</v>
      </c>
      <c r="F1741" s="51">
        <f>13*5502+607361</f>
        <v>678887</v>
      </c>
      <c r="G1741" s="51">
        <f t="shared" ref="G1741:H1743" si="388">13*3910</f>
        <v>50830</v>
      </c>
      <c r="H1741" s="51">
        <f t="shared" si="388"/>
        <v>50830</v>
      </c>
      <c r="I1741" s="51">
        <v>200751.04</v>
      </c>
      <c r="J1741" s="51"/>
      <c r="K1741" s="51"/>
      <c r="L1741" s="51"/>
      <c r="M1741" s="35"/>
      <c r="N1741" s="51"/>
      <c r="O1741" s="82"/>
      <c r="P1741" s="399"/>
      <c r="Q1741" s="338"/>
      <c r="R1741" s="51"/>
      <c r="S1741" s="51"/>
      <c r="T1741" s="338"/>
      <c r="U1741" s="51"/>
      <c r="V1741" s="35"/>
      <c r="W1741" s="51"/>
      <c r="X1741" s="356"/>
      <c r="Y1741" s="285"/>
      <c r="Z1741" s="285"/>
      <c r="AA1741" s="285"/>
      <c r="AB1741" s="285"/>
      <c r="AC1741" s="285"/>
      <c r="AD1741" s="285"/>
      <c r="AE1741" s="9"/>
      <c r="AF1741" s="40"/>
      <c r="AG1741" s="56"/>
      <c r="AH1741" s="56"/>
      <c r="AI1741" s="56"/>
      <c r="AJ1741" s="56"/>
    </row>
    <row r="1742" spans="1:36" x14ac:dyDescent="0.3">
      <c r="A1742" s="47">
        <f t="shared" si="387"/>
        <v>1590</v>
      </c>
      <c r="B1742" s="414" t="s">
        <v>2296</v>
      </c>
      <c r="C1742" s="51">
        <f t="shared" si="384"/>
        <v>1475141</v>
      </c>
      <c r="D1742" s="51">
        <f t="shared" si="385"/>
        <v>1215336</v>
      </c>
      <c r="E1742" s="51">
        <f>13*2688+358323</f>
        <v>393267</v>
      </c>
      <c r="F1742" s="51">
        <f>13*5502+607361</f>
        <v>678887</v>
      </c>
      <c r="G1742" s="51">
        <f t="shared" si="388"/>
        <v>50830</v>
      </c>
      <c r="H1742" s="51">
        <f t="shared" si="388"/>
        <v>50830</v>
      </c>
      <c r="I1742" s="51">
        <f>13*3194</f>
        <v>41522</v>
      </c>
      <c r="J1742" s="51"/>
      <c r="K1742" s="51"/>
      <c r="L1742" s="51"/>
      <c r="M1742" s="35">
        <v>13</v>
      </c>
      <c r="N1742" s="51">
        <f>M1742*8094</f>
        <v>105222</v>
      </c>
      <c r="O1742" s="82"/>
      <c r="P1742" s="399"/>
      <c r="Q1742" s="338"/>
      <c r="R1742" s="51"/>
      <c r="S1742" s="51"/>
      <c r="T1742" s="338">
        <v>13</v>
      </c>
      <c r="U1742" s="51">
        <f>T1742*11890</f>
        <v>154570</v>
      </c>
      <c r="V1742" s="35">
        <v>13</v>
      </c>
      <c r="W1742" s="51"/>
      <c r="X1742" s="141"/>
      <c r="Y1742" s="285"/>
      <c r="Z1742" s="285"/>
      <c r="AA1742" s="285"/>
      <c r="AB1742" s="285"/>
      <c r="AC1742" s="285"/>
      <c r="AD1742" s="285"/>
      <c r="AE1742" s="9"/>
      <c r="AF1742" s="40"/>
      <c r="AG1742" s="56"/>
      <c r="AH1742" s="56"/>
      <c r="AI1742" s="56"/>
      <c r="AJ1742" s="56"/>
    </row>
    <row r="1743" spans="1:36" x14ac:dyDescent="0.3">
      <c r="A1743" s="47">
        <f t="shared" si="387"/>
        <v>1591</v>
      </c>
      <c r="B1743" s="414" t="s">
        <v>2297</v>
      </c>
      <c r="C1743" s="51">
        <f t="shared" si="384"/>
        <v>1173827</v>
      </c>
      <c r="D1743" s="51">
        <f t="shared" si="385"/>
        <v>1173814</v>
      </c>
      <c r="E1743" s="51">
        <f>13*2688+358323</f>
        <v>393267</v>
      </c>
      <c r="F1743" s="51">
        <f>13*5502+607361</f>
        <v>678887</v>
      </c>
      <c r="G1743" s="51">
        <f t="shared" si="388"/>
        <v>50830</v>
      </c>
      <c r="H1743" s="51">
        <f t="shared" si="388"/>
        <v>50830</v>
      </c>
      <c r="I1743" s="51"/>
      <c r="J1743" s="51"/>
      <c r="K1743" s="51"/>
      <c r="L1743" s="51"/>
      <c r="M1743" s="35"/>
      <c r="N1743" s="51"/>
      <c r="O1743" s="82"/>
      <c r="P1743" s="399"/>
      <c r="Q1743" s="338"/>
      <c r="R1743" s="51"/>
      <c r="S1743" s="51"/>
      <c r="T1743" s="338"/>
      <c r="U1743" s="51"/>
      <c r="V1743" s="35">
        <v>13</v>
      </c>
      <c r="W1743" s="51"/>
      <c r="X1743" s="141"/>
      <c r="Y1743" s="285"/>
      <c r="Z1743" s="285"/>
      <c r="AA1743" s="285"/>
      <c r="AB1743" s="285"/>
      <c r="AC1743" s="285"/>
      <c r="AD1743" s="285"/>
      <c r="AE1743" s="9"/>
      <c r="AF1743" s="40"/>
      <c r="AG1743" s="56"/>
      <c r="AH1743" s="56"/>
      <c r="AI1743" s="56"/>
      <c r="AJ1743" s="56"/>
    </row>
    <row r="1744" spans="1:36" x14ac:dyDescent="0.3">
      <c r="A1744" s="47">
        <f t="shared" si="387"/>
        <v>1592</v>
      </c>
      <c r="B1744" s="414" t="s">
        <v>2301</v>
      </c>
      <c r="C1744" s="51">
        <f t="shared" si="384"/>
        <v>393267</v>
      </c>
      <c r="D1744" s="51">
        <f t="shared" si="385"/>
        <v>393267</v>
      </c>
      <c r="E1744" s="51">
        <f>13*2688+358323</f>
        <v>393267</v>
      </c>
      <c r="F1744" s="51"/>
      <c r="G1744" s="51"/>
      <c r="H1744" s="51"/>
      <c r="I1744" s="51"/>
      <c r="J1744" s="51"/>
      <c r="K1744" s="51"/>
      <c r="L1744" s="51"/>
      <c r="M1744" s="35"/>
      <c r="N1744" s="51"/>
      <c r="O1744" s="82"/>
      <c r="P1744" s="399"/>
      <c r="Q1744" s="338"/>
      <c r="R1744" s="51"/>
      <c r="S1744" s="51"/>
      <c r="T1744" s="338"/>
      <c r="U1744" s="51"/>
      <c r="V1744" s="35"/>
      <c r="W1744" s="51"/>
      <c r="X1744" s="356"/>
      <c r="Y1744" s="285">
        <v>109947.01</v>
      </c>
      <c r="Z1744" s="285"/>
      <c r="AA1744" s="285"/>
      <c r="AB1744" s="285"/>
      <c r="AC1744" s="285"/>
      <c r="AD1744" s="285"/>
      <c r="AE1744" s="9"/>
      <c r="AF1744" s="40"/>
      <c r="AG1744" s="56"/>
      <c r="AH1744" s="56"/>
      <c r="AI1744" s="56"/>
      <c r="AJ1744" s="56"/>
    </row>
    <row r="1745" spans="1:36" x14ac:dyDescent="0.3">
      <c r="A1745" s="47">
        <f t="shared" si="387"/>
        <v>1593</v>
      </c>
      <c r="B1745" s="414" t="s">
        <v>2305</v>
      </c>
      <c r="C1745" s="51">
        <f t="shared" si="384"/>
        <v>11392623</v>
      </c>
      <c r="D1745" s="51">
        <f t="shared" si="385"/>
        <v>0</v>
      </c>
      <c r="E1745" s="51"/>
      <c r="F1745" s="51"/>
      <c r="G1745" s="51"/>
      <c r="H1745" s="51"/>
      <c r="I1745" s="51"/>
      <c r="J1745" s="51"/>
      <c r="K1745" s="51"/>
      <c r="L1745" s="51"/>
      <c r="M1745" s="35"/>
      <c r="N1745" s="51"/>
      <c r="O1745" s="82">
        <v>431</v>
      </c>
      <c r="P1745" s="51">
        <f>O1745*26433</f>
        <v>11392623</v>
      </c>
      <c r="Q1745" s="338"/>
      <c r="R1745" s="51"/>
      <c r="S1745" s="51"/>
      <c r="T1745" s="338"/>
      <c r="U1745" s="51"/>
      <c r="V1745" s="35"/>
      <c r="W1745" s="51"/>
      <c r="X1745" s="141"/>
      <c r="Y1745" s="285"/>
      <c r="Z1745" s="285"/>
      <c r="AA1745" s="285"/>
      <c r="AB1745" s="285"/>
      <c r="AC1745" s="285"/>
      <c r="AD1745" s="285"/>
      <c r="AE1745" s="9"/>
      <c r="AF1745" s="40"/>
      <c r="AG1745" s="56"/>
      <c r="AH1745" s="56"/>
      <c r="AI1745" s="56"/>
      <c r="AJ1745" s="56"/>
    </row>
    <row r="1746" spans="1:36" ht="17.25" customHeight="1" x14ac:dyDescent="0.3">
      <c r="A1746" s="47">
        <f t="shared" si="387"/>
        <v>1594</v>
      </c>
      <c r="B1746" s="414" t="s">
        <v>2306</v>
      </c>
      <c r="C1746" s="51">
        <f t="shared" si="384"/>
        <v>16293042</v>
      </c>
      <c r="D1746" s="51">
        <f t="shared" si="385"/>
        <v>0</v>
      </c>
      <c r="E1746" s="51"/>
      <c r="F1746" s="51"/>
      <c r="G1746" s="51"/>
      <c r="H1746" s="51"/>
      <c r="I1746" s="51"/>
      <c r="J1746" s="51"/>
      <c r="K1746" s="51"/>
      <c r="L1746" s="51"/>
      <c r="M1746" s="35"/>
      <c r="N1746" s="51"/>
      <c r="O1746" s="82"/>
      <c r="P1746" s="51"/>
      <c r="Q1746" s="338">
        <v>964</v>
      </c>
      <c r="R1746" s="51">
        <f>Q1746*(10362+3641)</f>
        <v>13498892</v>
      </c>
      <c r="S1746" s="51"/>
      <c r="T1746" s="338">
        <v>235</v>
      </c>
      <c r="U1746" s="51">
        <f>T1746*11890</f>
        <v>2794150</v>
      </c>
      <c r="V1746" s="35"/>
      <c r="W1746" s="51"/>
      <c r="X1746" s="356" t="s">
        <v>2307</v>
      </c>
      <c r="Y1746" s="285"/>
      <c r="Z1746" s="285"/>
      <c r="AA1746" s="285"/>
      <c r="AB1746" s="285"/>
      <c r="AC1746" s="285"/>
      <c r="AD1746" s="285"/>
      <c r="AE1746" s="9"/>
      <c r="AF1746" s="40"/>
      <c r="AG1746" s="56"/>
      <c r="AH1746" s="56"/>
      <c r="AI1746" s="56"/>
      <c r="AJ1746" s="56"/>
    </row>
    <row r="1747" spans="1:36" x14ac:dyDescent="0.3">
      <c r="A1747" s="47"/>
      <c r="B1747" s="414" t="s">
        <v>211</v>
      </c>
      <c r="C1747" s="51">
        <f t="shared" ref="C1747:R1747" si="389">SUM(C1731:C1746)</f>
        <v>83610396</v>
      </c>
      <c r="D1747" s="51">
        <f t="shared" si="389"/>
        <v>16341395.5</v>
      </c>
      <c r="E1747" s="51">
        <f t="shared" si="389"/>
        <v>3100116.62</v>
      </c>
      <c r="F1747" s="51">
        <f t="shared" si="389"/>
        <v>8236244.1200000001</v>
      </c>
      <c r="G1747" s="51">
        <f t="shared" si="389"/>
        <v>1511958.54</v>
      </c>
      <c r="H1747" s="51">
        <f t="shared" si="389"/>
        <v>2667881.8400000003</v>
      </c>
      <c r="I1747" s="51">
        <f t="shared" si="389"/>
        <v>825194.38</v>
      </c>
      <c r="J1747" s="51">
        <f t="shared" si="389"/>
        <v>0</v>
      </c>
      <c r="K1747" s="51">
        <f t="shared" si="389"/>
        <v>0</v>
      </c>
      <c r="L1747" s="51">
        <f t="shared" si="389"/>
        <v>0</v>
      </c>
      <c r="M1747" s="35">
        <f t="shared" si="389"/>
        <v>713</v>
      </c>
      <c r="N1747" s="51">
        <f t="shared" si="389"/>
        <v>5117218.9000000004</v>
      </c>
      <c r="O1747" s="82">
        <f t="shared" si="389"/>
        <v>431</v>
      </c>
      <c r="P1747" s="51">
        <f t="shared" si="389"/>
        <v>11392623</v>
      </c>
      <c r="Q1747" s="338">
        <f t="shared" si="389"/>
        <v>5828</v>
      </c>
      <c r="R1747" s="51">
        <f t="shared" si="389"/>
        <v>45298008.439999998</v>
      </c>
      <c r="S1747" s="51">
        <f t="shared" ref="S1747:X1747" si="390">SUM(S1731:S1746)</f>
        <v>0</v>
      </c>
      <c r="T1747" s="338">
        <f t="shared" si="390"/>
        <v>276.56</v>
      </c>
      <c r="U1747" s="51">
        <f t="shared" si="390"/>
        <v>5461072.1600000001</v>
      </c>
      <c r="V1747" s="35">
        <f t="shared" si="390"/>
        <v>78</v>
      </c>
      <c r="W1747" s="51">
        <f t="shared" si="390"/>
        <v>0</v>
      </c>
      <c r="X1747" s="304">
        <f t="shared" si="390"/>
        <v>0</v>
      </c>
      <c r="Y1747" s="285"/>
      <c r="Z1747" s="285"/>
      <c r="AA1747" s="285"/>
      <c r="AB1747" s="285"/>
      <c r="AC1747" s="285"/>
      <c r="AD1747" s="285"/>
      <c r="AE1747" s="9"/>
      <c r="AF1747" s="40"/>
      <c r="AG1747" s="56"/>
      <c r="AH1747" s="56"/>
      <c r="AI1747" s="56"/>
      <c r="AJ1747" s="56"/>
    </row>
    <row r="1748" spans="1:36" ht="15" customHeight="1" x14ac:dyDescent="0.3">
      <c r="A1748" s="434" t="s">
        <v>2308</v>
      </c>
      <c r="B1748" s="414"/>
      <c r="C1748" s="51"/>
      <c r="D1748" s="51"/>
      <c r="E1748" s="51"/>
      <c r="F1748" s="51"/>
      <c r="G1748" s="51"/>
      <c r="H1748" s="51"/>
      <c r="I1748" s="51"/>
      <c r="J1748" s="51"/>
      <c r="K1748" s="51"/>
      <c r="L1748" s="51"/>
      <c r="M1748" s="35"/>
      <c r="N1748" s="51"/>
      <c r="O1748" s="82"/>
      <c r="P1748" s="51"/>
      <c r="Q1748" s="338"/>
      <c r="R1748" s="51"/>
      <c r="S1748" s="51"/>
      <c r="T1748" s="338"/>
      <c r="U1748" s="51"/>
      <c r="V1748" s="35"/>
      <c r="W1748" s="51"/>
      <c r="X1748" s="304" t="e">
        <f>#REF!+X1749</f>
        <v>#REF!</v>
      </c>
      <c r="Y1748" s="285"/>
      <c r="Z1748" s="285"/>
      <c r="AA1748" s="285"/>
      <c r="AB1748" s="285"/>
      <c r="AC1748" s="285"/>
      <c r="AD1748" s="285"/>
      <c r="AE1748" s="9"/>
      <c r="AF1748" s="40"/>
      <c r="AG1748" s="56"/>
      <c r="AH1748" s="56"/>
      <c r="AI1748" s="56"/>
      <c r="AJ1748" s="56"/>
    </row>
    <row r="1749" spans="1:36" x14ac:dyDescent="0.3">
      <c r="A1749" s="47">
        <f>A1746+1</f>
        <v>1595</v>
      </c>
      <c r="B1749" s="414" t="s">
        <v>2310</v>
      </c>
      <c r="C1749" s="51">
        <f>D1749+K1749+L1749+N1749+P1749+R1749+S1749+U1749+V1749+W1749</f>
        <v>130000</v>
      </c>
      <c r="D1749" s="51">
        <f>E1749+F1749+G1749+H1749+I1749</f>
        <v>0</v>
      </c>
      <c r="E1749" s="51"/>
      <c r="F1749" s="51"/>
      <c r="G1749" s="51"/>
      <c r="H1749" s="51"/>
      <c r="I1749" s="51"/>
      <c r="J1749" s="51"/>
      <c r="K1749" s="51"/>
      <c r="L1749" s="51"/>
      <c r="M1749" s="35"/>
      <c r="N1749" s="51"/>
      <c r="O1749" s="82"/>
      <c r="P1749" s="51"/>
      <c r="Q1749" s="338"/>
      <c r="R1749" s="51"/>
      <c r="S1749" s="51"/>
      <c r="T1749" s="338"/>
      <c r="U1749" s="51"/>
      <c r="V1749" s="35"/>
      <c r="W1749" s="51">
        <v>130000</v>
      </c>
      <c r="X1749" s="141"/>
      <c r="Y1749" s="285"/>
      <c r="Z1749" s="285"/>
      <c r="AA1749" s="285"/>
      <c r="AB1749" s="285"/>
      <c r="AC1749" s="285"/>
      <c r="AD1749" s="285"/>
      <c r="AE1749" s="9"/>
      <c r="AF1749" s="40"/>
      <c r="AG1749" s="56"/>
      <c r="AH1749" s="56"/>
      <c r="AI1749" s="56"/>
      <c r="AJ1749" s="56"/>
    </row>
    <row r="1750" spans="1:36" x14ac:dyDescent="0.3">
      <c r="A1750" s="47">
        <f>A1749+1</f>
        <v>1596</v>
      </c>
      <c r="B1750" s="414" t="s">
        <v>2309</v>
      </c>
      <c r="C1750" s="51">
        <f>D1750+K1750+L1750+N1750+P1750+R1750+S1750+U1750+V1750+W1750</f>
        <v>393267</v>
      </c>
      <c r="D1750" s="51">
        <f>E1750+F1750+G1750+H1750+I1750</f>
        <v>393267</v>
      </c>
      <c r="E1750" s="51">
        <f>13*2688+358323</f>
        <v>393267</v>
      </c>
      <c r="F1750" s="51"/>
      <c r="G1750" s="51"/>
      <c r="H1750" s="51"/>
      <c r="I1750" s="51"/>
      <c r="J1750" s="51"/>
      <c r="K1750" s="51"/>
      <c r="L1750" s="51"/>
      <c r="M1750" s="35"/>
      <c r="N1750" s="51"/>
      <c r="O1750" s="82"/>
      <c r="P1750" s="51"/>
      <c r="Q1750" s="338"/>
      <c r="R1750" s="51"/>
      <c r="S1750" s="51"/>
      <c r="T1750" s="338"/>
      <c r="U1750" s="51"/>
      <c r="V1750" s="35"/>
      <c r="W1750" s="51"/>
      <c r="X1750" s="304"/>
      <c r="Y1750" s="48"/>
      <c r="Z1750" s="285"/>
      <c r="AA1750" s="285"/>
      <c r="AB1750" s="285"/>
      <c r="AC1750" s="285"/>
      <c r="AD1750" s="285"/>
      <c r="AE1750" s="285"/>
      <c r="AF1750" s="9"/>
      <c r="AG1750" s="40"/>
      <c r="AH1750" s="56"/>
      <c r="AI1750" s="56"/>
      <c r="AJ1750" s="56"/>
    </row>
    <row r="1751" spans="1:36" x14ac:dyDescent="0.3">
      <c r="A1751" s="47"/>
      <c r="B1751" s="414" t="s">
        <v>211</v>
      </c>
      <c r="C1751" s="51">
        <f>SUM(C1749:C1750)</f>
        <v>523267</v>
      </c>
      <c r="D1751" s="51">
        <f t="shared" ref="D1751:W1751" si="391">SUM(D1749:D1750)</f>
        <v>393267</v>
      </c>
      <c r="E1751" s="51">
        <f t="shared" si="391"/>
        <v>393267</v>
      </c>
      <c r="F1751" s="51">
        <f t="shared" si="391"/>
        <v>0</v>
      </c>
      <c r="G1751" s="51">
        <f t="shared" si="391"/>
        <v>0</v>
      </c>
      <c r="H1751" s="51">
        <f t="shared" si="391"/>
        <v>0</v>
      </c>
      <c r="I1751" s="51">
        <f t="shared" si="391"/>
        <v>0</v>
      </c>
      <c r="J1751" s="51">
        <f t="shared" si="391"/>
        <v>0</v>
      </c>
      <c r="K1751" s="51">
        <f t="shared" si="391"/>
        <v>0</v>
      </c>
      <c r="L1751" s="51">
        <f t="shared" si="391"/>
        <v>0</v>
      </c>
      <c r="M1751" s="35">
        <f t="shared" si="391"/>
        <v>0</v>
      </c>
      <c r="N1751" s="51">
        <f t="shared" si="391"/>
        <v>0</v>
      </c>
      <c r="O1751" s="82">
        <f t="shared" si="391"/>
        <v>0</v>
      </c>
      <c r="P1751" s="51">
        <f t="shared" si="391"/>
        <v>0</v>
      </c>
      <c r="Q1751" s="338">
        <f t="shared" si="391"/>
        <v>0</v>
      </c>
      <c r="R1751" s="51">
        <f t="shared" si="391"/>
        <v>0</v>
      </c>
      <c r="S1751" s="51">
        <f t="shared" si="391"/>
        <v>0</v>
      </c>
      <c r="T1751" s="338">
        <f t="shared" si="391"/>
        <v>0</v>
      </c>
      <c r="U1751" s="51">
        <f t="shared" si="391"/>
        <v>0</v>
      </c>
      <c r="V1751" s="35">
        <f t="shared" si="391"/>
        <v>0</v>
      </c>
      <c r="W1751" s="51">
        <f t="shared" si="391"/>
        <v>130000</v>
      </c>
      <c r="X1751" s="304">
        <f>SUM(X1749:X1749)</f>
        <v>0</v>
      </c>
      <c r="Y1751" s="285"/>
      <c r="Z1751" s="285"/>
      <c r="AA1751" s="285"/>
      <c r="AB1751" s="285"/>
      <c r="AC1751" s="285"/>
      <c r="AD1751" s="285"/>
      <c r="AE1751" s="9"/>
      <c r="AF1751" s="40"/>
      <c r="AG1751" s="56"/>
      <c r="AH1751" s="56"/>
      <c r="AI1751" s="56"/>
      <c r="AJ1751" s="56"/>
    </row>
    <row r="1752" spans="1:36" ht="15" customHeight="1" x14ac:dyDescent="0.3">
      <c r="A1752" s="434" t="s">
        <v>2317</v>
      </c>
      <c r="B1752" s="414"/>
      <c r="C1752" s="51"/>
      <c r="D1752" s="51"/>
      <c r="E1752" s="264"/>
      <c r="F1752" s="264"/>
      <c r="G1752" s="264"/>
      <c r="H1752" s="264"/>
      <c r="I1752" s="264"/>
      <c r="J1752" s="264"/>
      <c r="K1752" s="264"/>
      <c r="L1752" s="264"/>
      <c r="M1752" s="38"/>
      <c r="N1752" s="264"/>
      <c r="O1752" s="134"/>
      <c r="P1752" s="264"/>
      <c r="Q1752" s="404"/>
      <c r="R1752" s="264"/>
      <c r="S1752" s="264"/>
      <c r="T1752" s="404"/>
      <c r="U1752" s="264"/>
      <c r="V1752" s="38"/>
      <c r="W1752" s="264"/>
      <c r="X1752" s="141"/>
      <c r="Y1752" s="285"/>
      <c r="Z1752" s="285"/>
      <c r="AA1752" s="285"/>
      <c r="AB1752" s="285"/>
      <c r="AC1752" s="285"/>
      <c r="AD1752" s="285"/>
      <c r="AE1752" s="9"/>
      <c r="AF1752" s="40"/>
      <c r="AG1752" s="56"/>
      <c r="AH1752" s="56"/>
      <c r="AI1752" s="56"/>
      <c r="AJ1752" s="56"/>
    </row>
    <row r="1753" spans="1:36" ht="21.75" customHeight="1" x14ac:dyDescent="0.3">
      <c r="A1753" s="47">
        <f>A1750+1</f>
        <v>1597</v>
      </c>
      <c r="B1753" s="414" t="s">
        <v>2318</v>
      </c>
      <c r="C1753" s="51">
        <f>D1753+K1753+L1753+N1753+P1753+R1753+S1753+U1753+V1753+W1753</f>
        <v>4256669.46</v>
      </c>
      <c r="D1753" s="51">
        <f>E1753+F1753+G1753+H1753+I1753</f>
        <v>0</v>
      </c>
      <c r="E1753" s="51"/>
      <c r="F1753" s="51"/>
      <c r="G1753" s="51"/>
      <c r="H1753" s="51"/>
      <c r="I1753" s="51"/>
      <c r="J1753" s="51"/>
      <c r="K1753" s="51"/>
      <c r="L1753" s="51"/>
      <c r="M1753" s="35"/>
      <c r="N1753" s="51"/>
      <c r="O1753" s="82"/>
      <c r="P1753" s="51"/>
      <c r="Q1753" s="338">
        <v>405.38</v>
      </c>
      <c r="R1753" s="51">
        <v>4256669.46</v>
      </c>
      <c r="S1753" s="51"/>
      <c r="T1753" s="338">
        <v>224.7</v>
      </c>
      <c r="U1753" s="51"/>
      <c r="V1753" s="35">
        <v>0</v>
      </c>
      <c r="W1753" s="51"/>
      <c r="X1753" s="356" t="s">
        <v>2319</v>
      </c>
      <c r="Y1753" s="285"/>
      <c r="Z1753" s="285"/>
      <c r="AA1753" s="285"/>
      <c r="AB1753" s="285"/>
      <c r="AC1753" s="285"/>
      <c r="AD1753" s="285"/>
      <c r="AE1753" s="9"/>
      <c r="AF1753" s="40"/>
      <c r="AG1753" s="56"/>
      <c r="AH1753" s="56">
        <v>166262.53</v>
      </c>
      <c r="AI1753" s="56"/>
      <c r="AJ1753" s="56"/>
    </row>
    <row r="1754" spans="1:36" ht="19.5" customHeight="1" x14ac:dyDescent="0.3">
      <c r="A1754" s="47">
        <f>A1753+1</f>
        <v>1598</v>
      </c>
      <c r="B1754" s="414" t="s">
        <v>2320</v>
      </c>
      <c r="C1754" s="51">
        <f>D1754+K1754+L1754+N1754+P1754+R1754+S1754+U1754+V1754+W1754</f>
        <v>4256669.46</v>
      </c>
      <c r="D1754" s="51">
        <f>E1754+F1754+G1754+H1754+I1754</f>
        <v>0</v>
      </c>
      <c r="E1754" s="51"/>
      <c r="F1754" s="51"/>
      <c r="G1754" s="51"/>
      <c r="H1754" s="51"/>
      <c r="I1754" s="51"/>
      <c r="J1754" s="51"/>
      <c r="K1754" s="51"/>
      <c r="L1754" s="51"/>
      <c r="M1754" s="35"/>
      <c r="N1754" s="51"/>
      <c r="O1754" s="82"/>
      <c r="P1754" s="51"/>
      <c r="Q1754" s="338">
        <v>405.38</v>
      </c>
      <c r="R1754" s="51">
        <v>4256669.46</v>
      </c>
      <c r="S1754" s="51"/>
      <c r="T1754" s="338">
        <v>224.7</v>
      </c>
      <c r="U1754" s="51"/>
      <c r="V1754" s="35">
        <v>0</v>
      </c>
      <c r="W1754" s="51"/>
      <c r="X1754" s="356" t="s">
        <v>2319</v>
      </c>
      <c r="Y1754" s="285"/>
      <c r="Z1754" s="285"/>
      <c r="AA1754" s="285"/>
      <c r="AB1754" s="285"/>
      <c r="AC1754" s="285"/>
      <c r="AD1754" s="285"/>
      <c r="AE1754" s="9"/>
      <c r="AF1754" s="40"/>
      <c r="AG1754" s="56"/>
      <c r="AH1754" s="56">
        <v>166262.53</v>
      </c>
      <c r="AI1754" s="56"/>
      <c r="AJ1754" s="56"/>
    </row>
    <row r="1755" spans="1:36" ht="19.5" customHeight="1" x14ac:dyDescent="0.3">
      <c r="A1755" s="47">
        <f>A1754+1</f>
        <v>1599</v>
      </c>
      <c r="B1755" s="414" t="s">
        <v>2321</v>
      </c>
      <c r="C1755" s="51">
        <f>D1755+K1755+L1755+N1755+P1755+R1755+S1755+U1755+V1755+W1755</f>
        <v>4256669.46</v>
      </c>
      <c r="D1755" s="51">
        <f>E1755+F1755+G1755+H1755+I1755</f>
        <v>0</v>
      </c>
      <c r="E1755" s="51"/>
      <c r="F1755" s="51"/>
      <c r="G1755" s="51"/>
      <c r="H1755" s="51"/>
      <c r="I1755" s="51"/>
      <c r="J1755" s="51"/>
      <c r="K1755" s="51"/>
      <c r="L1755" s="51"/>
      <c r="M1755" s="35"/>
      <c r="N1755" s="51"/>
      <c r="O1755" s="82"/>
      <c r="P1755" s="51"/>
      <c r="Q1755" s="338">
        <v>405.38</v>
      </c>
      <c r="R1755" s="51">
        <v>4256669.46</v>
      </c>
      <c r="S1755" s="51"/>
      <c r="T1755" s="338">
        <v>224.7</v>
      </c>
      <c r="U1755" s="51"/>
      <c r="V1755" s="35"/>
      <c r="W1755" s="51"/>
      <c r="X1755" s="356" t="s">
        <v>2319</v>
      </c>
      <c r="Y1755" s="285"/>
      <c r="Z1755" s="285"/>
      <c r="AA1755" s="285"/>
      <c r="AB1755" s="285"/>
      <c r="AC1755" s="285"/>
      <c r="AD1755" s="285"/>
      <c r="AE1755" s="9"/>
      <c r="AF1755" s="40"/>
      <c r="AG1755" s="56"/>
      <c r="AH1755" s="56">
        <v>166262.53</v>
      </c>
      <c r="AI1755" s="56"/>
      <c r="AJ1755" s="56"/>
    </row>
    <row r="1756" spans="1:36" x14ac:dyDescent="0.3">
      <c r="A1756" s="47"/>
      <c r="B1756" s="414" t="s">
        <v>211</v>
      </c>
      <c r="C1756" s="51">
        <f t="shared" ref="C1756:R1756" si="392">SUM(C1753:C1755)</f>
        <v>12770008.379999999</v>
      </c>
      <c r="D1756" s="51">
        <f t="shared" si="392"/>
        <v>0</v>
      </c>
      <c r="E1756" s="51">
        <f t="shared" si="392"/>
        <v>0</v>
      </c>
      <c r="F1756" s="51">
        <f t="shared" si="392"/>
        <v>0</v>
      </c>
      <c r="G1756" s="51">
        <f t="shared" si="392"/>
        <v>0</v>
      </c>
      <c r="H1756" s="51">
        <f t="shared" si="392"/>
        <v>0</v>
      </c>
      <c r="I1756" s="51">
        <f t="shared" si="392"/>
        <v>0</v>
      </c>
      <c r="J1756" s="51">
        <f t="shared" si="392"/>
        <v>0</v>
      </c>
      <c r="K1756" s="51">
        <f t="shared" si="392"/>
        <v>0</v>
      </c>
      <c r="L1756" s="51">
        <f t="shared" si="392"/>
        <v>0</v>
      </c>
      <c r="M1756" s="35">
        <f t="shared" si="392"/>
        <v>0</v>
      </c>
      <c r="N1756" s="51">
        <f t="shared" si="392"/>
        <v>0</v>
      </c>
      <c r="O1756" s="82">
        <f t="shared" si="392"/>
        <v>0</v>
      </c>
      <c r="P1756" s="51">
        <f t="shared" si="392"/>
        <v>0</v>
      </c>
      <c r="Q1756" s="338">
        <f t="shared" si="392"/>
        <v>1216.1399999999999</v>
      </c>
      <c r="R1756" s="51">
        <f t="shared" si="392"/>
        <v>12770008.379999999</v>
      </c>
      <c r="S1756" s="51">
        <f t="shared" ref="S1756:X1756" si="393">SUM(S1753:S1755)</f>
        <v>0</v>
      </c>
      <c r="T1756" s="338">
        <f t="shared" si="393"/>
        <v>674.09999999999991</v>
      </c>
      <c r="U1756" s="51">
        <f t="shared" si="393"/>
        <v>0</v>
      </c>
      <c r="V1756" s="35">
        <f t="shared" si="393"/>
        <v>0</v>
      </c>
      <c r="W1756" s="51">
        <f t="shared" si="393"/>
        <v>0</v>
      </c>
      <c r="X1756" s="304">
        <f t="shared" si="393"/>
        <v>0</v>
      </c>
      <c r="Y1756" s="285"/>
      <c r="Z1756" s="285"/>
      <c r="AA1756" s="285"/>
      <c r="AB1756" s="285"/>
      <c r="AC1756" s="285"/>
      <c r="AD1756" s="285"/>
      <c r="AE1756" s="9"/>
      <c r="AF1756" s="40"/>
      <c r="AG1756" s="56"/>
      <c r="AH1756" s="56"/>
      <c r="AI1756" s="56"/>
      <c r="AJ1756" s="56"/>
    </row>
    <row r="1757" spans="1:36" ht="15" customHeight="1" x14ac:dyDescent="0.3">
      <c r="A1757" s="434" t="s">
        <v>2324</v>
      </c>
      <c r="B1757" s="414"/>
      <c r="C1757" s="51"/>
      <c r="D1757" s="51"/>
      <c r="E1757" s="264"/>
      <c r="F1757" s="264"/>
      <c r="G1757" s="264"/>
      <c r="H1757" s="264"/>
      <c r="I1757" s="264"/>
      <c r="J1757" s="264"/>
      <c r="K1757" s="264"/>
      <c r="L1757" s="264"/>
      <c r="M1757" s="38"/>
      <c r="N1757" s="264"/>
      <c r="O1757" s="134"/>
      <c r="P1757" s="264"/>
      <c r="Q1757" s="404"/>
      <c r="R1757" s="264"/>
      <c r="S1757" s="264"/>
      <c r="T1757" s="404"/>
      <c r="U1757" s="264"/>
      <c r="V1757" s="38"/>
      <c r="W1757" s="264"/>
      <c r="X1757" s="141"/>
      <c r="Y1757" s="285"/>
      <c r="Z1757" s="285"/>
      <c r="AA1757" s="285"/>
      <c r="AB1757" s="285"/>
      <c r="AC1757" s="285"/>
      <c r="AD1757" s="285"/>
      <c r="AE1757" s="9"/>
      <c r="AF1757" s="40"/>
      <c r="AG1757" s="56"/>
      <c r="AH1757" s="56"/>
      <c r="AI1757" s="56"/>
      <c r="AJ1757" s="56"/>
    </row>
    <row r="1758" spans="1:36" x14ac:dyDescent="0.3">
      <c r="A1758" s="47">
        <f>A1755+1</f>
        <v>1600</v>
      </c>
      <c r="B1758" s="414" t="s">
        <v>2325</v>
      </c>
      <c r="C1758" s="51">
        <f t="shared" ref="C1758:C1767" si="394">D1758+K1758+L1758+N1758+P1758+R1758+S1758+U1758+V1758+W1758</f>
        <v>130000</v>
      </c>
      <c r="D1758" s="51">
        <f t="shared" ref="D1758:D1767" si="395">E1758+F1758+G1758+H1758+I1758</f>
        <v>0</v>
      </c>
      <c r="E1758" s="51"/>
      <c r="F1758" s="51"/>
      <c r="G1758" s="51"/>
      <c r="H1758" s="51"/>
      <c r="I1758" s="51"/>
      <c r="J1758" s="51"/>
      <c r="K1758" s="51"/>
      <c r="L1758" s="51"/>
      <c r="M1758" s="35"/>
      <c r="N1758" s="51"/>
      <c r="O1758" s="82"/>
      <c r="P1758" s="399"/>
      <c r="Q1758" s="338"/>
      <c r="R1758" s="51"/>
      <c r="S1758" s="51"/>
      <c r="T1758" s="338"/>
      <c r="U1758" s="51"/>
      <c r="V1758" s="35"/>
      <c r="W1758" s="51">
        <v>130000</v>
      </c>
      <c r="X1758" s="141"/>
      <c r="Y1758" s="285"/>
      <c r="Z1758" s="285"/>
      <c r="AA1758" s="285"/>
      <c r="AB1758" s="285"/>
      <c r="AC1758" s="285"/>
      <c r="AD1758" s="285"/>
      <c r="AE1758" s="9"/>
      <c r="AF1758" s="40"/>
      <c r="AG1758" s="56"/>
      <c r="AH1758" s="56"/>
      <c r="AI1758" s="56"/>
      <c r="AJ1758" s="56"/>
    </row>
    <row r="1759" spans="1:36" x14ac:dyDescent="0.3">
      <c r="A1759" s="47">
        <f>A1758+1</f>
        <v>1601</v>
      </c>
      <c r="B1759" s="414" t="s">
        <v>2326</v>
      </c>
      <c r="C1759" s="51">
        <f t="shared" si="394"/>
        <v>130000</v>
      </c>
      <c r="D1759" s="51">
        <f t="shared" si="395"/>
        <v>0</v>
      </c>
      <c r="E1759" s="51"/>
      <c r="F1759" s="51"/>
      <c r="G1759" s="51"/>
      <c r="H1759" s="51"/>
      <c r="I1759" s="51"/>
      <c r="J1759" s="51"/>
      <c r="K1759" s="51"/>
      <c r="L1759" s="51"/>
      <c r="M1759" s="35"/>
      <c r="N1759" s="51"/>
      <c r="O1759" s="82"/>
      <c r="P1759" s="51"/>
      <c r="Q1759" s="338"/>
      <c r="R1759" s="51"/>
      <c r="S1759" s="51"/>
      <c r="T1759" s="338"/>
      <c r="U1759" s="51"/>
      <c r="V1759" s="35"/>
      <c r="W1759" s="51">
        <v>130000</v>
      </c>
      <c r="X1759" s="141"/>
      <c r="Y1759" s="285"/>
      <c r="Z1759" s="285"/>
      <c r="AA1759" s="285"/>
      <c r="AB1759" s="285"/>
      <c r="AC1759" s="285"/>
      <c r="AD1759" s="285"/>
      <c r="AE1759" s="9"/>
      <c r="AF1759" s="40"/>
      <c r="AG1759" s="56"/>
      <c r="AH1759" s="56"/>
      <c r="AI1759" s="56"/>
      <c r="AJ1759" s="56"/>
    </row>
    <row r="1760" spans="1:36" x14ac:dyDescent="0.3">
      <c r="A1760" s="47">
        <f t="shared" ref="A1760:A1767" si="396">A1759+1</f>
        <v>1602</v>
      </c>
      <c r="B1760" s="414" t="s">
        <v>2327</v>
      </c>
      <c r="C1760" s="51">
        <f t="shared" si="394"/>
        <v>130000</v>
      </c>
      <c r="D1760" s="51">
        <f t="shared" si="395"/>
        <v>0</v>
      </c>
      <c r="E1760" s="51"/>
      <c r="F1760" s="51"/>
      <c r="G1760" s="51"/>
      <c r="H1760" s="51"/>
      <c r="I1760" s="51"/>
      <c r="J1760" s="51"/>
      <c r="K1760" s="51"/>
      <c r="L1760" s="51"/>
      <c r="M1760" s="35"/>
      <c r="N1760" s="51"/>
      <c r="O1760" s="82"/>
      <c r="P1760" s="51"/>
      <c r="Q1760" s="338"/>
      <c r="R1760" s="51"/>
      <c r="S1760" s="51"/>
      <c r="T1760" s="338"/>
      <c r="U1760" s="51"/>
      <c r="V1760" s="35"/>
      <c r="W1760" s="51">
        <v>130000</v>
      </c>
      <c r="X1760" s="141"/>
      <c r="Y1760" s="285"/>
      <c r="Z1760" s="285"/>
      <c r="AA1760" s="285"/>
      <c r="AB1760" s="285"/>
      <c r="AC1760" s="285"/>
      <c r="AD1760" s="285"/>
      <c r="AE1760" s="9"/>
      <c r="AF1760" s="40"/>
      <c r="AG1760" s="56"/>
      <c r="AH1760" s="56"/>
      <c r="AI1760" s="56"/>
      <c r="AJ1760" s="56"/>
    </row>
    <row r="1761" spans="1:36" x14ac:dyDescent="0.3">
      <c r="A1761" s="47">
        <f t="shared" si="396"/>
        <v>1603</v>
      </c>
      <c r="B1761" s="414" t="s">
        <v>2328</v>
      </c>
      <c r="C1761" s="51">
        <f t="shared" si="394"/>
        <v>130000</v>
      </c>
      <c r="D1761" s="51">
        <f t="shared" si="395"/>
        <v>0</v>
      </c>
      <c r="E1761" s="51"/>
      <c r="F1761" s="51"/>
      <c r="G1761" s="51"/>
      <c r="H1761" s="51"/>
      <c r="I1761" s="51"/>
      <c r="J1761" s="51"/>
      <c r="K1761" s="51"/>
      <c r="L1761" s="51"/>
      <c r="M1761" s="35"/>
      <c r="N1761" s="51"/>
      <c r="O1761" s="82"/>
      <c r="P1761" s="51"/>
      <c r="Q1761" s="338"/>
      <c r="R1761" s="51"/>
      <c r="S1761" s="51"/>
      <c r="T1761" s="338"/>
      <c r="U1761" s="51"/>
      <c r="V1761" s="35"/>
      <c r="W1761" s="51">
        <v>130000</v>
      </c>
      <c r="X1761" s="141"/>
      <c r="Y1761" s="285"/>
      <c r="Z1761" s="285"/>
      <c r="AA1761" s="285"/>
      <c r="AB1761" s="285"/>
      <c r="AC1761" s="285"/>
      <c r="AD1761" s="285"/>
      <c r="AE1761" s="9"/>
      <c r="AF1761" s="40"/>
      <c r="AG1761" s="56"/>
      <c r="AH1761" s="56"/>
      <c r="AI1761" s="56"/>
      <c r="AJ1761" s="56"/>
    </row>
    <row r="1762" spans="1:36" x14ac:dyDescent="0.3">
      <c r="A1762" s="47">
        <f t="shared" si="396"/>
        <v>1604</v>
      </c>
      <c r="B1762" s="414" t="s">
        <v>2329</v>
      </c>
      <c r="C1762" s="51">
        <f t="shared" si="394"/>
        <v>130000</v>
      </c>
      <c r="D1762" s="51">
        <f t="shared" si="395"/>
        <v>0</v>
      </c>
      <c r="E1762" s="51"/>
      <c r="F1762" s="51"/>
      <c r="G1762" s="51"/>
      <c r="H1762" s="51"/>
      <c r="I1762" s="51"/>
      <c r="J1762" s="51"/>
      <c r="K1762" s="51"/>
      <c r="L1762" s="51"/>
      <c r="M1762" s="35"/>
      <c r="N1762" s="51"/>
      <c r="O1762" s="82"/>
      <c r="P1762" s="51"/>
      <c r="Q1762" s="338"/>
      <c r="R1762" s="51"/>
      <c r="S1762" s="51"/>
      <c r="T1762" s="338"/>
      <c r="U1762" s="51"/>
      <c r="V1762" s="35"/>
      <c r="W1762" s="51">
        <v>130000</v>
      </c>
      <c r="X1762" s="141"/>
      <c r="Y1762" s="285"/>
      <c r="Z1762" s="285"/>
      <c r="AA1762" s="285"/>
      <c r="AB1762" s="285"/>
      <c r="AC1762" s="285"/>
      <c r="AD1762" s="285"/>
      <c r="AE1762" s="9"/>
      <c r="AF1762" s="40"/>
      <c r="AG1762" s="56"/>
      <c r="AH1762" s="56"/>
      <c r="AI1762" s="56"/>
      <c r="AJ1762" s="56"/>
    </row>
    <row r="1763" spans="1:36" x14ac:dyDescent="0.3">
      <c r="A1763" s="47">
        <f t="shared" si="396"/>
        <v>1605</v>
      </c>
      <c r="B1763" s="414" t="s">
        <v>2330</v>
      </c>
      <c r="C1763" s="51">
        <f t="shared" si="394"/>
        <v>130000</v>
      </c>
      <c r="D1763" s="51">
        <f t="shared" si="395"/>
        <v>0</v>
      </c>
      <c r="E1763" s="51"/>
      <c r="F1763" s="51"/>
      <c r="G1763" s="51"/>
      <c r="H1763" s="51"/>
      <c r="I1763" s="51"/>
      <c r="J1763" s="51"/>
      <c r="K1763" s="51"/>
      <c r="L1763" s="51"/>
      <c r="M1763" s="35"/>
      <c r="N1763" s="51"/>
      <c r="O1763" s="82"/>
      <c r="P1763" s="51"/>
      <c r="Q1763" s="338"/>
      <c r="R1763" s="51"/>
      <c r="S1763" s="51"/>
      <c r="T1763" s="338"/>
      <c r="U1763" s="51"/>
      <c r="V1763" s="35"/>
      <c r="W1763" s="51">
        <v>130000</v>
      </c>
      <c r="X1763" s="141"/>
      <c r="Y1763" s="285"/>
      <c r="Z1763" s="285"/>
      <c r="AA1763" s="285"/>
      <c r="AB1763" s="285"/>
      <c r="AC1763" s="285"/>
      <c r="AD1763" s="285"/>
      <c r="AE1763" s="9"/>
      <c r="AF1763" s="40"/>
      <c r="AG1763" s="56"/>
      <c r="AH1763" s="56"/>
      <c r="AI1763" s="56"/>
      <c r="AJ1763" s="56"/>
    </row>
    <row r="1764" spans="1:36" x14ac:dyDescent="0.3">
      <c r="A1764" s="47">
        <f t="shared" si="396"/>
        <v>1606</v>
      </c>
      <c r="B1764" s="414" t="s">
        <v>2331</v>
      </c>
      <c r="C1764" s="51">
        <f t="shared" si="394"/>
        <v>130000</v>
      </c>
      <c r="D1764" s="51">
        <f t="shared" si="395"/>
        <v>0</v>
      </c>
      <c r="E1764" s="51"/>
      <c r="F1764" s="51"/>
      <c r="G1764" s="51"/>
      <c r="H1764" s="51"/>
      <c r="I1764" s="51"/>
      <c r="J1764" s="51"/>
      <c r="K1764" s="51"/>
      <c r="L1764" s="51"/>
      <c r="M1764" s="35"/>
      <c r="N1764" s="51"/>
      <c r="O1764" s="82"/>
      <c r="P1764" s="51"/>
      <c r="Q1764" s="338"/>
      <c r="R1764" s="51"/>
      <c r="S1764" s="51"/>
      <c r="T1764" s="338"/>
      <c r="U1764" s="51"/>
      <c r="V1764" s="35"/>
      <c r="W1764" s="51">
        <v>130000</v>
      </c>
      <c r="X1764" s="141"/>
      <c r="Y1764" s="285"/>
      <c r="Z1764" s="285"/>
      <c r="AA1764" s="285"/>
      <c r="AB1764" s="285"/>
      <c r="AC1764" s="285"/>
      <c r="AD1764" s="285"/>
      <c r="AE1764" s="9"/>
      <c r="AF1764" s="40"/>
      <c r="AG1764" s="56"/>
      <c r="AH1764" s="56"/>
      <c r="AI1764" s="56"/>
      <c r="AJ1764" s="56"/>
    </row>
    <row r="1765" spans="1:36" x14ac:dyDescent="0.3">
      <c r="A1765" s="47">
        <f t="shared" si="396"/>
        <v>1607</v>
      </c>
      <c r="B1765" s="414" t="s">
        <v>2332</v>
      </c>
      <c r="C1765" s="51">
        <f t="shared" si="394"/>
        <v>130000</v>
      </c>
      <c r="D1765" s="51">
        <f t="shared" si="395"/>
        <v>0</v>
      </c>
      <c r="E1765" s="51"/>
      <c r="F1765" s="51"/>
      <c r="G1765" s="51"/>
      <c r="H1765" s="51"/>
      <c r="I1765" s="51"/>
      <c r="J1765" s="51"/>
      <c r="K1765" s="51"/>
      <c r="L1765" s="51"/>
      <c r="M1765" s="35"/>
      <c r="N1765" s="51"/>
      <c r="O1765" s="82"/>
      <c r="P1765" s="51"/>
      <c r="Q1765" s="338"/>
      <c r="R1765" s="51"/>
      <c r="S1765" s="51"/>
      <c r="T1765" s="338"/>
      <c r="U1765" s="51"/>
      <c r="V1765" s="35"/>
      <c r="W1765" s="51">
        <v>130000</v>
      </c>
      <c r="X1765" s="141"/>
      <c r="Y1765" s="285"/>
      <c r="Z1765" s="285"/>
      <c r="AA1765" s="285"/>
      <c r="AB1765" s="285"/>
      <c r="AC1765" s="285"/>
      <c r="AD1765" s="285"/>
      <c r="AE1765" s="9"/>
      <c r="AF1765" s="40"/>
      <c r="AG1765" s="56"/>
      <c r="AH1765" s="56"/>
      <c r="AI1765" s="56"/>
      <c r="AJ1765" s="56"/>
    </row>
    <row r="1766" spans="1:36" x14ac:dyDescent="0.3">
      <c r="A1766" s="47">
        <f t="shared" si="396"/>
        <v>1608</v>
      </c>
      <c r="B1766" s="414" t="s">
        <v>2333</v>
      </c>
      <c r="C1766" s="51">
        <f t="shared" si="394"/>
        <v>130000</v>
      </c>
      <c r="D1766" s="51">
        <f t="shared" si="395"/>
        <v>0</v>
      </c>
      <c r="E1766" s="51"/>
      <c r="F1766" s="51"/>
      <c r="G1766" s="51"/>
      <c r="H1766" s="51"/>
      <c r="I1766" s="51"/>
      <c r="J1766" s="51"/>
      <c r="K1766" s="51"/>
      <c r="L1766" s="51"/>
      <c r="M1766" s="35"/>
      <c r="N1766" s="51"/>
      <c r="O1766" s="82"/>
      <c r="P1766" s="51"/>
      <c r="Q1766" s="338"/>
      <c r="R1766" s="51"/>
      <c r="S1766" s="51"/>
      <c r="T1766" s="338"/>
      <c r="U1766" s="51"/>
      <c r="V1766" s="35"/>
      <c r="W1766" s="51">
        <v>130000</v>
      </c>
      <c r="X1766" s="141"/>
      <c r="Y1766" s="285"/>
      <c r="Z1766" s="285"/>
      <c r="AA1766" s="285"/>
      <c r="AB1766" s="285"/>
      <c r="AC1766" s="285"/>
      <c r="AD1766" s="285"/>
      <c r="AE1766" s="9"/>
      <c r="AF1766" s="40"/>
      <c r="AG1766" s="56"/>
      <c r="AH1766" s="56"/>
      <c r="AI1766" s="56"/>
      <c r="AJ1766" s="56"/>
    </row>
    <row r="1767" spans="1:36" x14ac:dyDescent="0.3">
      <c r="A1767" s="47">
        <f t="shared" si="396"/>
        <v>1609</v>
      </c>
      <c r="B1767" s="414" t="s">
        <v>2334</v>
      </c>
      <c r="C1767" s="51">
        <f t="shared" si="394"/>
        <v>130000</v>
      </c>
      <c r="D1767" s="51">
        <f t="shared" si="395"/>
        <v>0</v>
      </c>
      <c r="E1767" s="51"/>
      <c r="F1767" s="51"/>
      <c r="G1767" s="51"/>
      <c r="H1767" s="51"/>
      <c r="I1767" s="51"/>
      <c r="J1767" s="51"/>
      <c r="K1767" s="51"/>
      <c r="L1767" s="51"/>
      <c r="M1767" s="35"/>
      <c r="N1767" s="51"/>
      <c r="O1767" s="82"/>
      <c r="P1767" s="51"/>
      <c r="Q1767" s="338"/>
      <c r="R1767" s="51"/>
      <c r="S1767" s="51"/>
      <c r="T1767" s="338"/>
      <c r="U1767" s="51"/>
      <c r="V1767" s="35"/>
      <c r="W1767" s="51">
        <v>130000</v>
      </c>
      <c r="X1767" s="141"/>
      <c r="Y1767" s="285"/>
      <c r="Z1767" s="285"/>
      <c r="AA1767" s="285"/>
      <c r="AB1767" s="285"/>
      <c r="AC1767" s="285"/>
      <c r="AD1767" s="285"/>
      <c r="AE1767" s="9"/>
      <c r="AF1767" s="40"/>
      <c r="AG1767" s="56"/>
      <c r="AH1767" s="56"/>
      <c r="AI1767" s="56"/>
      <c r="AJ1767" s="56"/>
    </row>
    <row r="1768" spans="1:36" x14ac:dyDescent="0.3">
      <c r="A1768" s="47"/>
      <c r="B1768" s="414" t="s">
        <v>211</v>
      </c>
      <c r="C1768" s="51">
        <f t="shared" ref="C1768:R1768" si="397">SUM(C1758:C1767)</f>
        <v>1300000</v>
      </c>
      <c r="D1768" s="51">
        <f t="shared" si="397"/>
        <v>0</v>
      </c>
      <c r="E1768" s="51">
        <f t="shared" si="397"/>
        <v>0</v>
      </c>
      <c r="F1768" s="51">
        <f t="shared" si="397"/>
        <v>0</v>
      </c>
      <c r="G1768" s="51">
        <f t="shared" si="397"/>
        <v>0</v>
      </c>
      <c r="H1768" s="51">
        <f t="shared" si="397"/>
        <v>0</v>
      </c>
      <c r="I1768" s="51">
        <f t="shared" si="397"/>
        <v>0</v>
      </c>
      <c r="J1768" s="51">
        <f t="shared" si="397"/>
        <v>0</v>
      </c>
      <c r="K1768" s="51">
        <f t="shared" si="397"/>
        <v>0</v>
      </c>
      <c r="L1768" s="51">
        <f t="shared" si="397"/>
        <v>0</v>
      </c>
      <c r="M1768" s="35">
        <f t="shared" si="397"/>
        <v>0</v>
      </c>
      <c r="N1768" s="51">
        <f t="shared" si="397"/>
        <v>0</v>
      </c>
      <c r="O1768" s="82">
        <f t="shared" si="397"/>
        <v>0</v>
      </c>
      <c r="P1768" s="51">
        <f t="shared" si="397"/>
        <v>0</v>
      </c>
      <c r="Q1768" s="338">
        <f t="shared" si="397"/>
        <v>0</v>
      </c>
      <c r="R1768" s="51">
        <f t="shared" si="397"/>
        <v>0</v>
      </c>
      <c r="S1768" s="51">
        <f t="shared" ref="S1768:X1768" si="398">SUM(S1758:S1767)</f>
        <v>0</v>
      </c>
      <c r="T1768" s="338">
        <f t="shared" si="398"/>
        <v>0</v>
      </c>
      <c r="U1768" s="51">
        <f t="shared" si="398"/>
        <v>0</v>
      </c>
      <c r="V1768" s="35">
        <f t="shared" si="398"/>
        <v>0</v>
      </c>
      <c r="W1768" s="51">
        <f t="shared" si="398"/>
        <v>1300000</v>
      </c>
      <c r="X1768" s="304">
        <f t="shared" si="398"/>
        <v>0</v>
      </c>
      <c r="Y1768" s="285"/>
      <c r="Z1768" s="285"/>
      <c r="AA1768" s="285"/>
      <c r="AB1768" s="285"/>
      <c r="AC1768" s="285"/>
      <c r="AD1768" s="285"/>
      <c r="AE1768" s="9"/>
      <c r="AF1768" s="40"/>
      <c r="AG1768" s="56"/>
      <c r="AH1768" s="56"/>
      <c r="AI1768" s="56"/>
      <c r="AJ1768" s="56"/>
    </row>
    <row r="1769" spans="1:36" ht="15" customHeight="1" x14ac:dyDescent="0.3">
      <c r="A1769" s="434" t="s">
        <v>2335</v>
      </c>
      <c r="B1769" s="414"/>
      <c r="C1769" s="51"/>
      <c r="D1769" s="51"/>
      <c r="E1769" s="264"/>
      <c r="F1769" s="264"/>
      <c r="G1769" s="264"/>
      <c r="H1769" s="264"/>
      <c r="I1769" s="264"/>
      <c r="J1769" s="264"/>
      <c r="K1769" s="264"/>
      <c r="L1769" s="264"/>
      <c r="M1769" s="38"/>
      <c r="N1769" s="264"/>
      <c r="O1769" s="134"/>
      <c r="P1769" s="264"/>
      <c r="Q1769" s="404"/>
      <c r="R1769" s="264"/>
      <c r="S1769" s="264"/>
      <c r="T1769" s="404"/>
      <c r="U1769" s="264"/>
      <c r="V1769" s="38"/>
      <c r="W1769" s="264"/>
      <c r="X1769" s="141"/>
      <c r="Y1769" s="285"/>
      <c r="Z1769" s="285"/>
      <c r="AA1769" s="285"/>
      <c r="AB1769" s="285"/>
      <c r="AC1769" s="285"/>
      <c r="AD1769" s="285"/>
      <c r="AE1769" s="9"/>
      <c r="AF1769" s="40"/>
      <c r="AG1769" s="56"/>
      <c r="AH1769" s="56"/>
      <c r="AI1769" s="56"/>
      <c r="AJ1769" s="56"/>
    </row>
    <row r="1770" spans="1:36" ht="16.5" customHeight="1" x14ac:dyDescent="0.3">
      <c r="A1770" s="47">
        <f>A1767+1</f>
        <v>1610</v>
      </c>
      <c r="B1770" s="414" t="s">
        <v>2336</v>
      </c>
      <c r="C1770" s="51">
        <f>D1770+K1770+L1770+N1770+P1770+R1770+S1770+U1770+V1770+W1770</f>
        <v>130000</v>
      </c>
      <c r="D1770" s="51">
        <f>E1770+F1770+G1770+H1770+I1770</f>
        <v>0</v>
      </c>
      <c r="E1770" s="51"/>
      <c r="F1770" s="51"/>
      <c r="G1770" s="51"/>
      <c r="H1770" s="51"/>
      <c r="I1770" s="51"/>
      <c r="J1770" s="51"/>
      <c r="K1770" s="51"/>
      <c r="L1770" s="51"/>
      <c r="M1770" s="35"/>
      <c r="N1770" s="51"/>
      <c r="O1770" s="82"/>
      <c r="P1770" s="51"/>
      <c r="Q1770" s="338"/>
      <c r="R1770" s="51"/>
      <c r="S1770" s="51"/>
      <c r="T1770" s="338"/>
      <c r="U1770" s="51"/>
      <c r="V1770" s="35"/>
      <c r="W1770" s="51">
        <v>130000</v>
      </c>
      <c r="X1770" s="356" t="s">
        <v>2337</v>
      </c>
      <c r="Y1770" s="285"/>
      <c r="Z1770" s="285"/>
      <c r="AA1770" s="285"/>
      <c r="AB1770" s="285"/>
      <c r="AC1770" s="285"/>
      <c r="AD1770" s="285"/>
      <c r="AE1770" s="9"/>
      <c r="AF1770" s="40"/>
      <c r="AG1770" s="56"/>
      <c r="AH1770" s="56"/>
      <c r="AI1770" s="56"/>
      <c r="AJ1770" s="56"/>
    </row>
    <row r="1771" spans="1:36" x14ac:dyDescent="0.3">
      <c r="A1771" s="47">
        <f>A1770+1</f>
        <v>1611</v>
      </c>
      <c r="B1771" s="414" t="s">
        <v>2339</v>
      </c>
      <c r="C1771" s="51">
        <f>D1771+K1771+L1771+N1771+P1771+R1771+S1771+U1771+V1771+W1771</f>
        <v>130000</v>
      </c>
      <c r="D1771" s="51">
        <f>E1771+F1771+G1771+H1771+I1771</f>
        <v>0</v>
      </c>
      <c r="E1771" s="51"/>
      <c r="F1771" s="51"/>
      <c r="G1771" s="51"/>
      <c r="H1771" s="51"/>
      <c r="I1771" s="51"/>
      <c r="J1771" s="51"/>
      <c r="K1771" s="51"/>
      <c r="L1771" s="51"/>
      <c r="M1771" s="35"/>
      <c r="N1771" s="51"/>
      <c r="O1771" s="82"/>
      <c r="P1771" s="51"/>
      <c r="Q1771" s="338"/>
      <c r="R1771" s="51"/>
      <c r="S1771" s="51"/>
      <c r="T1771" s="338"/>
      <c r="U1771" s="51"/>
      <c r="V1771" s="35"/>
      <c r="W1771" s="51">
        <v>130000</v>
      </c>
      <c r="X1771" s="141"/>
      <c r="Y1771" s="285"/>
      <c r="Z1771" s="285"/>
      <c r="AA1771" s="285"/>
      <c r="AB1771" s="285"/>
      <c r="AC1771" s="285"/>
      <c r="AD1771" s="285"/>
      <c r="AE1771" s="9"/>
      <c r="AF1771" s="40"/>
      <c r="AG1771" s="56"/>
      <c r="AH1771" s="56"/>
      <c r="AI1771" s="56"/>
      <c r="AJ1771" s="56"/>
    </row>
    <row r="1772" spans="1:36" x14ac:dyDescent="0.3">
      <c r="A1772" s="47">
        <f t="shared" ref="A1772" si="399">A1771+1</f>
        <v>1612</v>
      </c>
      <c r="B1772" s="414" t="s">
        <v>2342</v>
      </c>
      <c r="C1772" s="51">
        <f>D1772+K1772+L1772+N1772+P1772+R1772+S1772+U1772+V1772+W1772</f>
        <v>130000</v>
      </c>
      <c r="D1772" s="51">
        <f>E1772+F1772+G1772+H1772+I1772</f>
        <v>0</v>
      </c>
      <c r="E1772" s="51"/>
      <c r="F1772" s="51"/>
      <c r="G1772" s="51"/>
      <c r="H1772" s="51"/>
      <c r="I1772" s="51"/>
      <c r="J1772" s="51"/>
      <c r="K1772" s="51"/>
      <c r="L1772" s="51"/>
      <c r="M1772" s="35"/>
      <c r="N1772" s="51"/>
      <c r="O1772" s="82"/>
      <c r="P1772" s="51"/>
      <c r="Q1772" s="338"/>
      <c r="R1772" s="51"/>
      <c r="S1772" s="51"/>
      <c r="T1772" s="338"/>
      <c r="U1772" s="51"/>
      <c r="V1772" s="35"/>
      <c r="W1772" s="51">
        <v>130000</v>
      </c>
      <c r="X1772" s="141"/>
      <c r="Y1772" s="285"/>
      <c r="Z1772" s="285"/>
      <c r="AA1772" s="285"/>
      <c r="AB1772" s="285"/>
      <c r="AC1772" s="285"/>
      <c r="AD1772" s="285"/>
      <c r="AE1772" s="9"/>
      <c r="AF1772" s="40"/>
      <c r="AG1772" s="56"/>
      <c r="AH1772" s="56"/>
      <c r="AI1772" s="56"/>
      <c r="AJ1772" s="56"/>
    </row>
    <row r="1773" spans="1:36" x14ac:dyDescent="0.3">
      <c r="A1773" s="47"/>
      <c r="B1773" s="414" t="s">
        <v>211</v>
      </c>
      <c r="C1773" s="51">
        <f t="shared" ref="C1773:R1773" si="400">SUM(C1770:C1772)</f>
        <v>390000</v>
      </c>
      <c r="D1773" s="51">
        <f t="shared" si="400"/>
        <v>0</v>
      </c>
      <c r="E1773" s="51">
        <f t="shared" si="400"/>
        <v>0</v>
      </c>
      <c r="F1773" s="51">
        <f t="shared" si="400"/>
        <v>0</v>
      </c>
      <c r="G1773" s="51">
        <f t="shared" si="400"/>
        <v>0</v>
      </c>
      <c r="H1773" s="51">
        <f t="shared" si="400"/>
        <v>0</v>
      </c>
      <c r="I1773" s="51">
        <f t="shared" si="400"/>
        <v>0</v>
      </c>
      <c r="J1773" s="51">
        <f t="shared" si="400"/>
        <v>0</v>
      </c>
      <c r="K1773" s="51">
        <f t="shared" si="400"/>
        <v>0</v>
      </c>
      <c r="L1773" s="51">
        <f t="shared" si="400"/>
        <v>0</v>
      </c>
      <c r="M1773" s="35">
        <f t="shared" si="400"/>
        <v>0</v>
      </c>
      <c r="N1773" s="51">
        <f t="shared" si="400"/>
        <v>0</v>
      </c>
      <c r="O1773" s="82">
        <f t="shared" si="400"/>
        <v>0</v>
      </c>
      <c r="P1773" s="51">
        <f t="shared" si="400"/>
        <v>0</v>
      </c>
      <c r="Q1773" s="338">
        <f t="shared" si="400"/>
        <v>0</v>
      </c>
      <c r="R1773" s="51">
        <f t="shared" si="400"/>
        <v>0</v>
      </c>
      <c r="S1773" s="51">
        <f t="shared" ref="S1773:X1773" si="401">SUM(S1770:S1772)</f>
        <v>0</v>
      </c>
      <c r="T1773" s="338">
        <f t="shared" si="401"/>
        <v>0</v>
      </c>
      <c r="U1773" s="51">
        <f t="shared" si="401"/>
        <v>0</v>
      </c>
      <c r="V1773" s="35">
        <f t="shared" si="401"/>
        <v>0</v>
      </c>
      <c r="W1773" s="51">
        <f t="shared" si="401"/>
        <v>390000</v>
      </c>
      <c r="X1773" s="304">
        <f t="shared" si="401"/>
        <v>0</v>
      </c>
      <c r="Y1773" s="285"/>
      <c r="Z1773" s="285"/>
      <c r="AA1773" s="285"/>
      <c r="AB1773" s="285"/>
      <c r="AC1773" s="285"/>
      <c r="AD1773" s="285"/>
      <c r="AE1773" s="9"/>
      <c r="AF1773" s="40"/>
      <c r="AG1773" s="56"/>
      <c r="AH1773" s="56"/>
      <c r="AI1773" s="56"/>
      <c r="AJ1773" s="56"/>
    </row>
    <row r="1774" spans="1:36" ht="15" customHeight="1" x14ac:dyDescent="0.3">
      <c r="A1774" s="434" t="s">
        <v>2343</v>
      </c>
      <c r="B1774" s="414"/>
      <c r="C1774" s="51"/>
      <c r="D1774" s="51"/>
      <c r="E1774" s="264"/>
      <c r="F1774" s="264"/>
      <c r="G1774" s="264"/>
      <c r="H1774" s="264"/>
      <c r="I1774" s="264"/>
      <c r="J1774" s="264"/>
      <c r="K1774" s="264"/>
      <c r="L1774" s="264"/>
      <c r="M1774" s="38"/>
      <c r="N1774" s="264"/>
      <c r="O1774" s="134"/>
      <c r="P1774" s="264"/>
      <c r="Q1774" s="404"/>
      <c r="R1774" s="264"/>
      <c r="S1774" s="264"/>
      <c r="T1774" s="404"/>
      <c r="U1774" s="264"/>
      <c r="V1774" s="38"/>
      <c r="W1774" s="264"/>
      <c r="X1774" s="141"/>
      <c r="Y1774" s="285"/>
      <c r="Z1774" s="285"/>
      <c r="AA1774" s="285"/>
      <c r="AB1774" s="285"/>
      <c r="AC1774" s="285"/>
      <c r="AD1774" s="285"/>
      <c r="AE1774" s="9"/>
      <c r="AF1774" s="40"/>
      <c r="AG1774" s="56"/>
      <c r="AH1774" s="56"/>
      <c r="AI1774" s="56"/>
      <c r="AJ1774" s="56"/>
    </row>
    <row r="1775" spans="1:36" x14ac:dyDescent="0.3">
      <c r="A1775" s="47">
        <f>A1772+1</f>
        <v>1613</v>
      </c>
      <c r="B1775" s="414" t="s">
        <v>2349</v>
      </c>
      <c r="C1775" s="51">
        <f t="shared" ref="C1775:C1780" si="402">D1775+K1775+L1775+N1775+P1775+R1775+S1775+U1775+V1775+W1775</f>
        <v>2431107.2400000002</v>
      </c>
      <c r="D1775" s="51">
        <f>E1775+F1775+G1775+H1775+I1775</f>
        <v>771239</v>
      </c>
      <c r="E1775" s="51"/>
      <c r="F1775" s="51">
        <f>13*5502+607361</f>
        <v>678887</v>
      </c>
      <c r="G1775" s="51">
        <f>13*3910</f>
        <v>50830</v>
      </c>
      <c r="H1775" s="51"/>
      <c r="I1775" s="51">
        <f>13*3194</f>
        <v>41522</v>
      </c>
      <c r="J1775" s="51"/>
      <c r="K1775" s="51"/>
      <c r="L1775" s="51"/>
      <c r="M1775" s="35">
        <v>760.9</v>
      </c>
      <c r="N1775" s="51">
        <v>1659868.24</v>
      </c>
      <c r="O1775" s="82"/>
      <c r="P1775" s="51"/>
      <c r="Q1775" s="338"/>
      <c r="R1775" s="51"/>
      <c r="S1775" s="51"/>
      <c r="T1775" s="338"/>
      <c r="U1775" s="51"/>
      <c r="V1775" s="35"/>
      <c r="W1775" s="51"/>
      <c r="X1775" s="304"/>
      <c r="Y1775" s="48"/>
      <c r="Z1775" s="285"/>
      <c r="AA1775" s="285"/>
      <c r="AB1775" s="285"/>
      <c r="AC1775" s="285"/>
      <c r="AD1775" s="285"/>
      <c r="AE1775" s="285"/>
      <c r="AF1775" s="9"/>
      <c r="AG1775" s="40"/>
      <c r="AH1775" s="56">
        <v>1268261.21</v>
      </c>
      <c r="AI1775" s="56"/>
      <c r="AJ1775" s="56"/>
    </row>
    <row r="1776" spans="1:36" x14ac:dyDescent="0.3">
      <c r="A1776" s="47">
        <f>A1775+1</f>
        <v>1614</v>
      </c>
      <c r="B1776" s="414" t="s">
        <v>2353</v>
      </c>
      <c r="C1776" s="51">
        <f t="shared" si="402"/>
        <v>771239</v>
      </c>
      <c r="D1776" s="51">
        <f>E1776+F1776+G1776+H1776+I1776</f>
        <v>771239</v>
      </c>
      <c r="E1776" s="51"/>
      <c r="F1776" s="51">
        <f>13*5502+607361</f>
        <v>678887</v>
      </c>
      <c r="G1776" s="51">
        <f>13*3910</f>
        <v>50830</v>
      </c>
      <c r="H1776" s="51"/>
      <c r="I1776" s="51">
        <f>13*3194</f>
        <v>41522</v>
      </c>
      <c r="J1776" s="51"/>
      <c r="K1776" s="51"/>
      <c r="L1776" s="51"/>
      <c r="M1776" s="35"/>
      <c r="N1776" s="51"/>
      <c r="O1776" s="82"/>
      <c r="P1776" s="51"/>
      <c r="Q1776" s="338"/>
      <c r="R1776" s="51"/>
      <c r="S1776" s="51"/>
      <c r="T1776" s="338"/>
      <c r="U1776" s="51"/>
      <c r="V1776" s="35"/>
      <c r="W1776" s="51"/>
      <c r="X1776" s="304"/>
      <c r="Y1776" s="48"/>
      <c r="Z1776" s="285"/>
      <c r="AA1776" s="285"/>
      <c r="AB1776" s="285"/>
      <c r="AC1776" s="285"/>
      <c r="AD1776" s="285"/>
      <c r="AE1776" s="285"/>
      <c r="AF1776" s="9"/>
      <c r="AG1776" s="40"/>
      <c r="AH1776" s="56">
        <v>1098796.6599999999</v>
      </c>
      <c r="AI1776" s="56"/>
      <c r="AJ1776" s="56"/>
    </row>
    <row r="1777" spans="1:36" x14ac:dyDescent="0.3">
      <c r="A1777" s="47">
        <f t="shared" ref="A1777:A1780" si="403">A1776+1</f>
        <v>1615</v>
      </c>
      <c r="B1777" s="414" t="s">
        <v>2354</v>
      </c>
      <c r="C1777" s="51">
        <f t="shared" si="402"/>
        <v>3793622.6</v>
      </c>
      <c r="D1777" s="51">
        <f>E1777+F1777+G1777+H1777+I1777</f>
        <v>771239</v>
      </c>
      <c r="E1777" s="51"/>
      <c r="F1777" s="51">
        <f>13*5502+607361</f>
        <v>678887</v>
      </c>
      <c r="G1777" s="51">
        <f>13*3910</f>
        <v>50830</v>
      </c>
      <c r="H1777" s="51"/>
      <c r="I1777" s="51">
        <f>13*3194</f>
        <v>41522</v>
      </c>
      <c r="J1777" s="51"/>
      <c r="K1777" s="51"/>
      <c r="L1777" s="51"/>
      <c r="M1777" s="35">
        <v>799.9</v>
      </c>
      <c r="N1777" s="51">
        <v>3022383.6</v>
      </c>
      <c r="O1777" s="82"/>
      <c r="P1777" s="51"/>
      <c r="Q1777" s="338"/>
      <c r="R1777" s="51"/>
      <c r="S1777" s="51"/>
      <c r="T1777" s="338"/>
      <c r="U1777" s="51"/>
      <c r="V1777" s="35"/>
      <c r="W1777" s="51"/>
      <c r="X1777" s="304"/>
      <c r="Y1777" s="48"/>
      <c r="Z1777" s="285"/>
      <c r="AA1777" s="285"/>
      <c r="AB1777" s="285"/>
      <c r="AC1777" s="285"/>
      <c r="AD1777" s="285"/>
      <c r="AE1777" s="285"/>
      <c r="AF1777" s="9"/>
      <c r="AG1777" s="40"/>
      <c r="AH1777" s="56"/>
      <c r="AI1777" s="56"/>
      <c r="AJ1777" s="56"/>
    </row>
    <row r="1778" spans="1:36" x14ac:dyDescent="0.3">
      <c r="A1778" s="47">
        <f t="shared" si="403"/>
        <v>1616</v>
      </c>
      <c r="B1778" s="414" t="s">
        <v>2355</v>
      </c>
      <c r="C1778" s="51">
        <f t="shared" si="402"/>
        <v>771239</v>
      </c>
      <c r="D1778" s="51">
        <f>E1778+F1778+G1778+H1778+I1778</f>
        <v>771239</v>
      </c>
      <c r="E1778" s="51"/>
      <c r="F1778" s="51">
        <f>13*5502+607361</f>
        <v>678887</v>
      </c>
      <c r="G1778" s="51">
        <f>13*3910</f>
        <v>50830</v>
      </c>
      <c r="H1778" s="51"/>
      <c r="I1778" s="51">
        <f>13*3194</f>
        <v>41522</v>
      </c>
      <c r="J1778" s="51"/>
      <c r="K1778" s="51"/>
      <c r="L1778" s="51"/>
      <c r="M1778" s="35"/>
      <c r="N1778" s="51"/>
      <c r="O1778" s="82"/>
      <c r="P1778" s="51"/>
      <c r="Q1778" s="338"/>
      <c r="R1778" s="51"/>
      <c r="S1778" s="51"/>
      <c r="T1778" s="338"/>
      <c r="U1778" s="51"/>
      <c r="V1778" s="35"/>
      <c r="W1778" s="51"/>
      <c r="X1778" s="304"/>
      <c r="Y1778" s="48"/>
      <c r="Z1778" s="285"/>
      <c r="AA1778" s="285"/>
      <c r="AB1778" s="285"/>
      <c r="AC1778" s="285"/>
      <c r="AD1778" s="285"/>
      <c r="AE1778" s="285"/>
      <c r="AF1778" s="9">
        <v>229750.84</v>
      </c>
      <c r="AG1778" s="40"/>
      <c r="AH1778" s="56">
        <v>776396.93</v>
      </c>
      <c r="AI1778" s="56"/>
      <c r="AJ1778" s="56"/>
    </row>
    <row r="1779" spans="1:36" x14ac:dyDescent="0.3">
      <c r="A1779" s="47">
        <f t="shared" si="403"/>
        <v>1617</v>
      </c>
      <c r="B1779" s="414" t="s">
        <v>2380</v>
      </c>
      <c r="C1779" s="51">
        <f t="shared" si="402"/>
        <v>236301.2</v>
      </c>
      <c r="D1779" s="51">
        <f>E1779+F1779+G1779+H1779+I1779</f>
        <v>236301.2</v>
      </c>
      <c r="E1779" s="51"/>
      <c r="F1779" s="51">
        <v>0</v>
      </c>
      <c r="G1779" s="51">
        <v>194779.2</v>
      </c>
      <c r="H1779" s="51">
        <v>0</v>
      </c>
      <c r="I1779" s="51">
        <f>13*3194</f>
        <v>41522</v>
      </c>
      <c r="J1779" s="51"/>
      <c r="K1779" s="51"/>
      <c r="L1779" s="51"/>
      <c r="M1779" s="35"/>
      <c r="N1779" s="51"/>
      <c r="O1779" s="82"/>
      <c r="P1779" s="51"/>
      <c r="Q1779" s="338"/>
      <c r="R1779" s="51"/>
      <c r="S1779" s="51"/>
      <c r="T1779" s="338"/>
      <c r="U1779" s="51"/>
      <c r="V1779" s="35"/>
      <c r="W1779" s="51"/>
      <c r="X1779" s="304"/>
      <c r="Y1779" s="48"/>
      <c r="Z1779" s="285"/>
      <c r="AA1779" s="285"/>
      <c r="AB1779" s="285"/>
      <c r="AC1779" s="285"/>
      <c r="AD1779" s="285">
        <v>119438.39</v>
      </c>
      <c r="AE1779" s="285">
        <v>98187.29</v>
      </c>
      <c r="AF1779" s="9">
        <v>180923.05</v>
      </c>
      <c r="AG1779" s="40"/>
      <c r="AH1779" s="56">
        <v>479385.82</v>
      </c>
      <c r="AI1779" s="56"/>
      <c r="AJ1779" s="56"/>
    </row>
    <row r="1780" spans="1:36" x14ac:dyDescent="0.3">
      <c r="A1780" s="47">
        <f t="shared" si="403"/>
        <v>1618</v>
      </c>
      <c r="B1780" s="414" t="s">
        <v>2386</v>
      </c>
      <c r="C1780" s="51">
        <f t="shared" si="402"/>
        <v>2771653.6</v>
      </c>
      <c r="D1780" s="51">
        <f t="shared" ref="D1780" si="404">E1780+F1780+G1780+H1780+I1780</f>
        <v>393267</v>
      </c>
      <c r="E1780" s="51">
        <f>13*2688+358323</f>
        <v>393267</v>
      </c>
      <c r="F1780" s="51"/>
      <c r="G1780" s="51"/>
      <c r="H1780" s="51"/>
      <c r="I1780" s="51"/>
      <c r="J1780" s="51"/>
      <c r="K1780" s="51"/>
      <c r="L1780" s="51"/>
      <c r="M1780" s="35">
        <v>305.89999999999998</v>
      </c>
      <c r="N1780" s="51">
        <v>2378373.6</v>
      </c>
      <c r="O1780" s="82"/>
      <c r="P1780" s="51"/>
      <c r="Q1780" s="338"/>
      <c r="R1780" s="51"/>
      <c r="S1780" s="51"/>
      <c r="T1780" s="338"/>
      <c r="U1780" s="51"/>
      <c r="V1780" s="35">
        <v>13</v>
      </c>
      <c r="W1780" s="51"/>
      <c r="X1780" s="141"/>
      <c r="Y1780" s="285"/>
      <c r="Z1780" s="285"/>
      <c r="AA1780" s="285">
        <v>101614.93</v>
      </c>
      <c r="AB1780" s="285"/>
      <c r="AC1780" s="285">
        <v>121321.73</v>
      </c>
      <c r="AD1780" s="285"/>
      <c r="AE1780" s="9"/>
      <c r="AF1780" s="40"/>
      <c r="AG1780" s="56"/>
      <c r="AH1780" s="56"/>
      <c r="AI1780" s="56"/>
      <c r="AJ1780" s="56"/>
    </row>
    <row r="1781" spans="1:36" x14ac:dyDescent="0.3">
      <c r="A1781" s="47"/>
      <c r="B1781" s="414" t="s">
        <v>211</v>
      </c>
      <c r="C1781" s="51">
        <f t="shared" ref="C1781:W1781" si="405">SUM(C1775:C1780)</f>
        <v>10775162.640000001</v>
      </c>
      <c r="D1781" s="51">
        <f t="shared" si="405"/>
        <v>3714524.2</v>
      </c>
      <c r="E1781" s="51">
        <f t="shared" si="405"/>
        <v>393267</v>
      </c>
      <c r="F1781" s="51">
        <f t="shared" si="405"/>
        <v>2715548</v>
      </c>
      <c r="G1781" s="51">
        <f t="shared" si="405"/>
        <v>398099.20000000001</v>
      </c>
      <c r="H1781" s="51">
        <f t="shared" si="405"/>
        <v>0</v>
      </c>
      <c r="I1781" s="51">
        <f t="shared" si="405"/>
        <v>207610</v>
      </c>
      <c r="J1781" s="51">
        <f t="shared" si="405"/>
        <v>0</v>
      </c>
      <c r="K1781" s="51">
        <f t="shared" si="405"/>
        <v>0</v>
      </c>
      <c r="L1781" s="51">
        <f t="shared" si="405"/>
        <v>0</v>
      </c>
      <c r="M1781" s="35">
        <f t="shared" si="405"/>
        <v>1866.6999999999998</v>
      </c>
      <c r="N1781" s="51">
        <f t="shared" si="405"/>
        <v>7060625.4399999995</v>
      </c>
      <c r="O1781" s="82">
        <f t="shared" si="405"/>
        <v>0</v>
      </c>
      <c r="P1781" s="51">
        <f t="shared" si="405"/>
        <v>0</v>
      </c>
      <c r="Q1781" s="338">
        <f t="shared" si="405"/>
        <v>0</v>
      </c>
      <c r="R1781" s="51">
        <f t="shared" si="405"/>
        <v>0</v>
      </c>
      <c r="S1781" s="51">
        <f t="shared" si="405"/>
        <v>0</v>
      </c>
      <c r="T1781" s="338">
        <f t="shared" si="405"/>
        <v>0</v>
      </c>
      <c r="U1781" s="51">
        <f t="shared" si="405"/>
        <v>0</v>
      </c>
      <c r="V1781" s="35">
        <f t="shared" si="405"/>
        <v>13</v>
      </c>
      <c r="W1781" s="51">
        <f t="shared" si="405"/>
        <v>0</v>
      </c>
      <c r="X1781" s="304">
        <f>SUM(X1779:X1780)</f>
        <v>0</v>
      </c>
      <c r="Y1781" s="285"/>
      <c r="Z1781" s="285"/>
      <c r="AA1781" s="285"/>
      <c r="AB1781" s="285"/>
      <c r="AC1781" s="285"/>
      <c r="AD1781" s="285"/>
      <c r="AE1781" s="9"/>
      <c r="AF1781" s="40"/>
      <c r="AG1781" s="56"/>
      <c r="AH1781" s="56"/>
      <c r="AI1781" s="56"/>
      <c r="AJ1781" s="56"/>
    </row>
    <row r="1782" spans="1:36" x14ac:dyDescent="0.3">
      <c r="A1782" s="47"/>
      <c r="B1782" s="414" t="s">
        <v>2394</v>
      </c>
      <c r="C1782" s="51">
        <f>C1723+C1729+C1747+C1751+C1756+C1768+C1773+C1781</f>
        <v>172198851.24000001</v>
      </c>
      <c r="D1782" s="51">
        <f t="shared" ref="D1782:W1782" si="406">D1723+D1729+D1747+D1751+D1756+D1768+D1773+D1781</f>
        <v>33916517.920000002</v>
      </c>
      <c r="E1782" s="51">
        <f t="shared" si="406"/>
        <v>5447773.8200000003</v>
      </c>
      <c r="F1782" s="51">
        <f t="shared" si="406"/>
        <v>19420285.740000002</v>
      </c>
      <c r="G1782" s="51">
        <f t="shared" si="406"/>
        <v>2755060.54</v>
      </c>
      <c r="H1782" s="51">
        <f t="shared" si="406"/>
        <v>2973429.8400000003</v>
      </c>
      <c r="I1782" s="51">
        <f t="shared" si="406"/>
        <v>3319967.98</v>
      </c>
      <c r="J1782" s="51">
        <f t="shared" si="406"/>
        <v>0</v>
      </c>
      <c r="K1782" s="51">
        <f t="shared" si="406"/>
        <v>0</v>
      </c>
      <c r="L1782" s="51">
        <f t="shared" si="406"/>
        <v>0</v>
      </c>
      <c r="M1782" s="35">
        <f t="shared" si="406"/>
        <v>2579.6999999999998</v>
      </c>
      <c r="N1782" s="51">
        <f t="shared" si="406"/>
        <v>12177844.34</v>
      </c>
      <c r="O1782" s="82">
        <f t="shared" si="406"/>
        <v>444</v>
      </c>
      <c r="P1782" s="51">
        <f t="shared" si="406"/>
        <v>11736252</v>
      </c>
      <c r="Q1782" s="338">
        <f t="shared" si="406"/>
        <v>12221.3</v>
      </c>
      <c r="R1782" s="51">
        <f t="shared" si="406"/>
        <v>103970677.33999999</v>
      </c>
      <c r="S1782" s="51">
        <f t="shared" si="406"/>
        <v>0</v>
      </c>
      <c r="T1782" s="338">
        <f t="shared" si="406"/>
        <v>950.65999999999985</v>
      </c>
      <c r="U1782" s="51">
        <f t="shared" si="406"/>
        <v>5461072.1600000001</v>
      </c>
      <c r="V1782" s="35">
        <f t="shared" si="406"/>
        <v>2596487.48</v>
      </c>
      <c r="W1782" s="51">
        <f t="shared" si="406"/>
        <v>2340000</v>
      </c>
      <c r="X1782" s="329" t="e">
        <f>X1723+X1729+X1747+X1751+#REF!+#REF!+X1756+X1768+X1773+X1781</f>
        <v>#REF!</v>
      </c>
      <c r="Y1782" s="285"/>
      <c r="Z1782" s="285"/>
      <c r="AA1782" s="285"/>
      <c r="AB1782" s="285"/>
      <c r="AC1782" s="285"/>
      <c r="AD1782" s="285"/>
      <c r="AE1782" s="9"/>
      <c r="AF1782" s="40"/>
      <c r="AG1782" s="56"/>
      <c r="AH1782" s="56"/>
      <c r="AI1782" s="56"/>
      <c r="AJ1782" s="56"/>
    </row>
    <row r="1783" spans="1:36" x14ac:dyDescent="0.3">
      <c r="A1783" s="436"/>
      <c r="B1783" s="363" t="s">
        <v>2395</v>
      </c>
      <c r="C1783" s="387"/>
      <c r="D1783" s="387"/>
      <c r="E1783" s="387"/>
      <c r="F1783" s="387"/>
      <c r="G1783" s="387"/>
      <c r="H1783" s="387"/>
      <c r="I1783" s="387"/>
      <c r="J1783" s="387"/>
      <c r="K1783" s="387"/>
      <c r="L1783" s="387"/>
      <c r="M1783" s="390"/>
      <c r="N1783" s="387"/>
      <c r="O1783" s="388"/>
      <c r="P1783" s="387"/>
      <c r="Q1783" s="389"/>
      <c r="R1783" s="387"/>
      <c r="S1783" s="387"/>
      <c r="T1783" s="389"/>
      <c r="U1783" s="387"/>
      <c r="V1783" s="390"/>
      <c r="W1783" s="387"/>
      <c r="X1783" s="298"/>
      <c r="Y1783" s="372"/>
      <c r="Z1783" s="179"/>
      <c r="AA1783" s="57"/>
      <c r="AB1783" s="58"/>
      <c r="AC1783" s="62"/>
      <c r="AD1783" s="58"/>
      <c r="AE1783" s="58"/>
    </row>
    <row r="1784" spans="1:36" x14ac:dyDescent="0.3">
      <c r="A1784" s="433" t="s">
        <v>2398</v>
      </c>
      <c r="B1784" s="363"/>
      <c r="C1784" s="51"/>
      <c r="D1784" s="51"/>
      <c r="E1784" s="51"/>
      <c r="F1784" s="51"/>
      <c r="G1784" s="51"/>
      <c r="H1784" s="51"/>
      <c r="I1784" s="51"/>
      <c r="J1784" s="51"/>
      <c r="K1784" s="51"/>
      <c r="L1784" s="51"/>
      <c r="M1784" s="35"/>
      <c r="N1784" s="51"/>
      <c r="O1784" s="82"/>
      <c r="P1784" s="51"/>
      <c r="Q1784" s="338"/>
      <c r="R1784" s="51"/>
      <c r="S1784" s="51"/>
      <c r="T1784" s="338"/>
      <c r="U1784" s="51"/>
      <c r="V1784" s="35"/>
      <c r="W1784" s="364"/>
      <c r="X1784" s="141"/>
      <c r="Y1784" s="48"/>
      <c r="Z1784" s="48"/>
      <c r="AA1784" s="48"/>
      <c r="AB1784" s="48"/>
      <c r="AC1784" s="48"/>
      <c r="AD1784" s="58"/>
      <c r="AE1784" s="58"/>
    </row>
    <row r="1785" spans="1:36" x14ac:dyDescent="0.3">
      <c r="A1785" s="47">
        <f>A1780+1</f>
        <v>1619</v>
      </c>
      <c r="B1785" s="414" t="s">
        <v>2399</v>
      </c>
      <c r="C1785" s="51">
        <f t="shared" ref="C1785:C1816" si="407">D1785+K1785+L1785+N1785+P1785+R1785+S1785+U1785+V1785+W1785</f>
        <v>559499.44999999995</v>
      </c>
      <c r="D1785" s="51">
        <f t="shared" ref="D1785:D1848" si="408">E1785+F1785+G1785+H1785+I1785</f>
        <v>0</v>
      </c>
      <c r="E1785" s="51"/>
      <c r="F1785" s="51"/>
      <c r="G1785" s="51"/>
      <c r="H1785" s="51"/>
      <c r="I1785" s="51"/>
      <c r="J1785" s="51"/>
      <c r="K1785" s="51"/>
      <c r="L1785" s="51"/>
      <c r="M1785" s="35"/>
      <c r="N1785" s="51"/>
      <c r="O1785" s="82"/>
      <c r="P1785" s="51"/>
      <c r="Q1785" s="338"/>
      <c r="R1785" s="51"/>
      <c r="S1785" s="51"/>
      <c r="T1785" s="338"/>
      <c r="U1785" s="51"/>
      <c r="V1785" s="35"/>
      <c r="W1785" s="364">
        <f>SUM(Y1785:AD1785)</f>
        <v>559499.44999999995</v>
      </c>
      <c r="X1785" s="141"/>
      <c r="Y1785" s="48"/>
      <c r="Z1785" s="48">
        <v>180279.78</v>
      </c>
      <c r="AA1785" s="48">
        <v>379219.67</v>
      </c>
      <c r="AB1785" s="48"/>
      <c r="AC1785" s="48"/>
      <c r="AD1785" s="58"/>
      <c r="AE1785" s="58" t="s">
        <v>1400</v>
      </c>
    </row>
    <row r="1786" spans="1:36" x14ac:dyDescent="0.3">
      <c r="A1786" s="47">
        <f>A1785+1</f>
        <v>1620</v>
      </c>
      <c r="B1786" s="414" t="s">
        <v>2400</v>
      </c>
      <c r="C1786" s="51">
        <f t="shared" si="407"/>
        <v>216547.48</v>
      </c>
      <c r="D1786" s="51">
        <f t="shared" si="408"/>
        <v>0</v>
      </c>
      <c r="E1786" s="51"/>
      <c r="F1786" s="51"/>
      <c r="G1786" s="51"/>
      <c r="H1786" s="51"/>
      <c r="I1786" s="51"/>
      <c r="J1786" s="51"/>
      <c r="K1786" s="51"/>
      <c r="L1786" s="51"/>
      <c r="M1786" s="35"/>
      <c r="N1786" s="51"/>
      <c r="O1786" s="82"/>
      <c r="P1786" s="51"/>
      <c r="Q1786" s="338"/>
      <c r="R1786" s="51"/>
      <c r="S1786" s="51"/>
      <c r="T1786" s="338"/>
      <c r="U1786" s="51"/>
      <c r="V1786" s="35"/>
      <c r="W1786" s="364">
        <f>SUM(Y1786:AD1786)</f>
        <v>216547.48</v>
      </c>
      <c r="X1786" s="141"/>
      <c r="Y1786" s="48">
        <v>78746.559999999998</v>
      </c>
      <c r="Z1786" s="48"/>
      <c r="AA1786" s="48"/>
      <c r="AB1786" s="48"/>
      <c r="AC1786" s="48">
        <v>137800.92000000001</v>
      </c>
      <c r="AD1786" s="58"/>
      <c r="AE1786" s="58" t="s">
        <v>1395</v>
      </c>
    </row>
    <row r="1787" spans="1:36" x14ac:dyDescent="0.3">
      <c r="A1787" s="47">
        <f t="shared" ref="A1787:A1789" si="409">A1786+1</f>
        <v>1621</v>
      </c>
      <c r="B1787" s="414" t="s">
        <v>2401</v>
      </c>
      <c r="C1787" s="51">
        <f t="shared" si="407"/>
        <v>1810627.7999999998</v>
      </c>
      <c r="D1787" s="51">
        <f t="shared" si="408"/>
        <v>0</v>
      </c>
      <c r="E1787" s="51"/>
      <c r="F1787" s="51"/>
      <c r="G1787" s="51"/>
      <c r="H1787" s="51"/>
      <c r="I1787" s="51"/>
      <c r="J1787" s="51"/>
      <c r="K1787" s="51"/>
      <c r="L1787" s="51"/>
      <c r="M1787" s="35">
        <v>223.7</v>
      </c>
      <c r="N1787" s="51">
        <f>M1787*8094</f>
        <v>1810627.7999999998</v>
      </c>
      <c r="O1787" s="82"/>
      <c r="P1787" s="51"/>
      <c r="Q1787" s="338"/>
      <c r="R1787" s="51"/>
      <c r="S1787" s="51"/>
      <c r="T1787" s="338"/>
      <c r="U1787" s="51"/>
      <c r="V1787" s="35"/>
      <c r="W1787" s="364"/>
      <c r="X1787" s="141"/>
      <c r="Y1787" s="48"/>
      <c r="Z1787" s="48"/>
      <c r="AA1787" s="57"/>
      <c r="AB1787" s="58"/>
      <c r="AC1787" s="58"/>
      <c r="AD1787" s="58"/>
      <c r="AE1787" s="58"/>
    </row>
    <row r="1788" spans="1:36" x14ac:dyDescent="0.3">
      <c r="A1788" s="47">
        <f t="shared" si="409"/>
        <v>1622</v>
      </c>
      <c r="B1788" s="414" t="s">
        <v>2402</v>
      </c>
      <c r="C1788" s="51">
        <f t="shared" si="407"/>
        <v>517954.93999999994</v>
      </c>
      <c r="D1788" s="51">
        <f t="shared" si="408"/>
        <v>0</v>
      </c>
      <c r="E1788" s="51"/>
      <c r="F1788" s="51"/>
      <c r="G1788" s="51"/>
      <c r="H1788" s="51"/>
      <c r="I1788" s="51"/>
      <c r="J1788" s="51"/>
      <c r="K1788" s="51"/>
      <c r="L1788" s="51"/>
      <c r="M1788" s="35"/>
      <c r="N1788" s="51"/>
      <c r="O1788" s="82"/>
      <c r="P1788" s="51"/>
      <c r="Q1788" s="338"/>
      <c r="R1788" s="51"/>
      <c r="S1788" s="51"/>
      <c r="T1788" s="338"/>
      <c r="U1788" s="51"/>
      <c r="V1788" s="35"/>
      <c r="W1788" s="364">
        <f t="shared" ref="W1788:W1819" si="410">SUM(Y1788:AD1788)</f>
        <v>517954.93999999994</v>
      </c>
      <c r="X1788" s="141"/>
      <c r="Y1788" s="48"/>
      <c r="Z1788" s="48">
        <v>157829.07999999999</v>
      </c>
      <c r="AA1788" s="48">
        <v>360125.86</v>
      </c>
      <c r="AB1788" s="48"/>
      <c r="AC1788" s="48"/>
      <c r="AD1788" s="58"/>
      <c r="AE1788" s="58"/>
    </row>
    <row r="1789" spans="1:36" x14ac:dyDescent="0.3">
      <c r="A1789" s="47">
        <f t="shared" si="409"/>
        <v>1623</v>
      </c>
      <c r="B1789" s="414" t="s">
        <v>2403</v>
      </c>
      <c r="C1789" s="51">
        <f t="shared" si="407"/>
        <v>137005.96</v>
      </c>
      <c r="D1789" s="51">
        <f t="shared" si="408"/>
        <v>0</v>
      </c>
      <c r="E1789" s="51"/>
      <c r="F1789" s="51"/>
      <c r="G1789" s="51"/>
      <c r="H1789" s="51"/>
      <c r="I1789" s="51"/>
      <c r="J1789" s="51"/>
      <c r="K1789" s="51"/>
      <c r="L1789" s="51"/>
      <c r="M1789" s="35"/>
      <c r="N1789" s="51"/>
      <c r="O1789" s="82"/>
      <c r="P1789" s="51"/>
      <c r="Q1789" s="338"/>
      <c r="R1789" s="51"/>
      <c r="S1789" s="51"/>
      <c r="T1789" s="338"/>
      <c r="U1789" s="51"/>
      <c r="V1789" s="35"/>
      <c r="W1789" s="364">
        <f t="shared" si="410"/>
        <v>137005.96</v>
      </c>
      <c r="X1789" s="141"/>
      <c r="Y1789" s="48"/>
      <c r="Z1789" s="48"/>
      <c r="AA1789" s="48"/>
      <c r="AB1789" s="48"/>
      <c r="AC1789" s="48">
        <v>137005.96</v>
      </c>
      <c r="AD1789" s="58"/>
      <c r="AE1789" s="58"/>
    </row>
    <row r="1790" spans="1:36" x14ac:dyDescent="0.3">
      <c r="A1790" s="47">
        <f t="shared" ref="A1790:A1848" si="411">A1789+1</f>
        <v>1624</v>
      </c>
      <c r="B1790" s="414" t="s">
        <v>2404</v>
      </c>
      <c r="C1790" s="51">
        <f t="shared" si="407"/>
        <v>538693.62</v>
      </c>
      <c r="D1790" s="51">
        <f t="shared" si="408"/>
        <v>0</v>
      </c>
      <c r="E1790" s="51"/>
      <c r="F1790" s="51"/>
      <c r="G1790" s="51"/>
      <c r="H1790" s="51"/>
      <c r="I1790" s="51"/>
      <c r="J1790" s="51"/>
      <c r="K1790" s="51"/>
      <c r="L1790" s="51"/>
      <c r="M1790" s="35"/>
      <c r="N1790" s="51"/>
      <c r="O1790" s="82"/>
      <c r="P1790" s="51"/>
      <c r="Q1790" s="338"/>
      <c r="R1790" s="51"/>
      <c r="S1790" s="51"/>
      <c r="T1790" s="338"/>
      <c r="U1790" s="51"/>
      <c r="V1790" s="35"/>
      <c r="W1790" s="364">
        <f t="shared" si="410"/>
        <v>538693.62</v>
      </c>
      <c r="X1790" s="141"/>
      <c r="Y1790" s="48"/>
      <c r="Z1790" s="48">
        <v>164217.9</v>
      </c>
      <c r="AA1790" s="48">
        <v>374475.72</v>
      </c>
      <c r="AB1790" s="48"/>
      <c r="AC1790" s="48"/>
      <c r="AD1790" s="58"/>
      <c r="AE1790" s="58"/>
    </row>
    <row r="1791" spans="1:36" x14ac:dyDescent="0.3">
      <c r="A1791" s="47">
        <f t="shared" si="411"/>
        <v>1625</v>
      </c>
      <c r="B1791" s="414" t="s">
        <v>2405</v>
      </c>
      <c r="C1791" s="51">
        <f t="shared" si="407"/>
        <v>520484.04000000004</v>
      </c>
      <c r="D1791" s="51">
        <f t="shared" si="408"/>
        <v>0</v>
      </c>
      <c r="E1791" s="51"/>
      <c r="F1791" s="51"/>
      <c r="G1791" s="51"/>
      <c r="H1791" s="51"/>
      <c r="I1791" s="51"/>
      <c r="J1791" s="51"/>
      <c r="K1791" s="51"/>
      <c r="L1791" s="51"/>
      <c r="M1791" s="35"/>
      <c r="N1791" s="51"/>
      <c r="O1791" s="82"/>
      <c r="P1791" s="51"/>
      <c r="Q1791" s="338"/>
      <c r="R1791" s="51"/>
      <c r="S1791" s="51"/>
      <c r="T1791" s="338"/>
      <c r="U1791" s="51"/>
      <c r="V1791" s="35"/>
      <c r="W1791" s="364">
        <f t="shared" si="410"/>
        <v>520484.04000000004</v>
      </c>
      <c r="X1791" s="141"/>
      <c r="Y1791" s="48"/>
      <c r="Z1791" s="48">
        <v>158608.21</v>
      </c>
      <c r="AA1791" s="48">
        <v>361875.83</v>
      </c>
      <c r="AB1791" s="48"/>
      <c r="AC1791" s="48"/>
      <c r="AD1791" s="58"/>
      <c r="AE1791" s="58"/>
    </row>
    <row r="1792" spans="1:36" x14ac:dyDescent="0.3">
      <c r="A1792" s="47">
        <f t="shared" si="411"/>
        <v>1626</v>
      </c>
      <c r="B1792" s="414" t="s">
        <v>2406</v>
      </c>
      <c r="C1792" s="51">
        <f t="shared" si="407"/>
        <v>141298.70000000001</v>
      </c>
      <c r="D1792" s="51">
        <f t="shared" si="408"/>
        <v>0</v>
      </c>
      <c r="E1792" s="51"/>
      <c r="F1792" s="51"/>
      <c r="G1792" s="51"/>
      <c r="H1792" s="51"/>
      <c r="I1792" s="51"/>
      <c r="J1792" s="51"/>
      <c r="K1792" s="51"/>
      <c r="L1792" s="51"/>
      <c r="M1792" s="35"/>
      <c r="N1792" s="51"/>
      <c r="O1792" s="82"/>
      <c r="P1792" s="51"/>
      <c r="Q1792" s="338"/>
      <c r="R1792" s="51"/>
      <c r="S1792" s="51"/>
      <c r="T1792" s="338"/>
      <c r="U1792" s="51"/>
      <c r="V1792" s="35"/>
      <c r="W1792" s="364">
        <f t="shared" si="410"/>
        <v>141298.70000000001</v>
      </c>
      <c r="X1792" s="141"/>
      <c r="Y1792" s="48"/>
      <c r="Z1792" s="48"/>
      <c r="AA1792" s="48"/>
      <c r="AB1792" s="48"/>
      <c r="AC1792" s="48">
        <v>141298.70000000001</v>
      </c>
      <c r="AD1792" s="58"/>
      <c r="AE1792" s="58"/>
    </row>
    <row r="1793" spans="1:31" x14ac:dyDescent="0.3">
      <c r="A1793" s="47">
        <f t="shared" si="411"/>
        <v>1627</v>
      </c>
      <c r="B1793" s="414" t="s">
        <v>2407</v>
      </c>
      <c r="C1793" s="51">
        <f t="shared" si="407"/>
        <v>646347.5</v>
      </c>
      <c r="D1793" s="51">
        <f t="shared" si="408"/>
        <v>0</v>
      </c>
      <c r="E1793" s="51"/>
      <c r="F1793" s="51"/>
      <c r="G1793" s="51"/>
      <c r="H1793" s="51"/>
      <c r="I1793" s="51"/>
      <c r="J1793" s="51"/>
      <c r="K1793" s="51"/>
      <c r="L1793" s="51"/>
      <c r="M1793" s="35"/>
      <c r="N1793" s="51"/>
      <c r="O1793" s="82"/>
      <c r="P1793" s="51"/>
      <c r="Q1793" s="338"/>
      <c r="R1793" s="51"/>
      <c r="S1793" s="51"/>
      <c r="T1793" s="338"/>
      <c r="U1793" s="51"/>
      <c r="V1793" s="35"/>
      <c r="W1793" s="364">
        <f t="shared" si="410"/>
        <v>646347.5</v>
      </c>
      <c r="X1793" s="141"/>
      <c r="Y1793" s="48">
        <v>96711.42</v>
      </c>
      <c r="Z1793" s="48">
        <v>160088.54</v>
      </c>
      <c r="AA1793" s="48">
        <v>389547.54</v>
      </c>
      <c r="AB1793" s="48"/>
      <c r="AC1793" s="48"/>
      <c r="AD1793" s="58"/>
      <c r="AE1793" s="58" t="s">
        <v>1395</v>
      </c>
    </row>
    <row r="1794" spans="1:31" x14ac:dyDescent="0.3">
      <c r="A1794" s="47">
        <f t="shared" si="411"/>
        <v>1628</v>
      </c>
      <c r="B1794" s="414" t="s">
        <v>2408</v>
      </c>
      <c r="C1794" s="51">
        <f t="shared" si="407"/>
        <v>562054.24</v>
      </c>
      <c r="D1794" s="51">
        <f t="shared" si="408"/>
        <v>0</v>
      </c>
      <c r="E1794" s="51"/>
      <c r="F1794" s="51"/>
      <c r="G1794" s="51"/>
      <c r="H1794" s="51"/>
      <c r="I1794" s="51"/>
      <c r="J1794" s="51"/>
      <c r="K1794" s="51"/>
      <c r="L1794" s="51"/>
      <c r="M1794" s="35"/>
      <c r="N1794" s="51"/>
      <c r="O1794" s="82"/>
      <c r="P1794" s="51"/>
      <c r="Q1794" s="338"/>
      <c r="R1794" s="51"/>
      <c r="S1794" s="51"/>
      <c r="T1794" s="338"/>
      <c r="U1794" s="51"/>
      <c r="V1794" s="35"/>
      <c r="W1794" s="364">
        <f t="shared" si="410"/>
        <v>562054.24</v>
      </c>
      <c r="X1794" s="141"/>
      <c r="Y1794" s="48"/>
      <c r="Z1794" s="48">
        <v>158997.76000000001</v>
      </c>
      <c r="AA1794" s="48">
        <v>403056.48</v>
      </c>
      <c r="AB1794" s="48"/>
      <c r="AC1794" s="48"/>
      <c r="AD1794" s="58"/>
      <c r="AE1794" s="58"/>
    </row>
    <row r="1795" spans="1:31" x14ac:dyDescent="0.3">
      <c r="A1795" s="47">
        <f t="shared" si="411"/>
        <v>1629</v>
      </c>
      <c r="B1795" s="414" t="s">
        <v>2409</v>
      </c>
      <c r="C1795" s="51">
        <f t="shared" si="407"/>
        <v>896011.09000000008</v>
      </c>
      <c r="D1795" s="51">
        <f t="shared" si="408"/>
        <v>0</v>
      </c>
      <c r="E1795" s="51"/>
      <c r="F1795" s="51"/>
      <c r="G1795" s="51"/>
      <c r="H1795" s="51"/>
      <c r="I1795" s="51"/>
      <c r="J1795" s="51"/>
      <c r="K1795" s="51"/>
      <c r="L1795" s="51"/>
      <c r="M1795" s="35"/>
      <c r="N1795" s="51"/>
      <c r="O1795" s="82"/>
      <c r="P1795" s="51"/>
      <c r="Q1795" s="338"/>
      <c r="R1795" s="51"/>
      <c r="S1795" s="51"/>
      <c r="T1795" s="338"/>
      <c r="U1795" s="51"/>
      <c r="V1795" s="35"/>
      <c r="W1795" s="364">
        <f t="shared" si="410"/>
        <v>896011.09000000008</v>
      </c>
      <c r="X1795" s="141"/>
      <c r="Y1795" s="48">
        <f>210057.31+210057.31+216197.68</f>
        <v>636312.30000000005</v>
      </c>
      <c r="Z1795" s="48"/>
      <c r="AA1795" s="48">
        <v>259698.79</v>
      </c>
      <c r="AB1795" s="58"/>
      <c r="AC1795" s="58"/>
      <c r="AD1795" s="58"/>
      <c r="AE1795" s="58" t="s">
        <v>2410</v>
      </c>
    </row>
    <row r="1796" spans="1:31" x14ac:dyDescent="0.3">
      <c r="A1796" s="47">
        <f t="shared" si="411"/>
        <v>1630</v>
      </c>
      <c r="B1796" s="414" t="s">
        <v>2411</v>
      </c>
      <c r="C1796" s="51">
        <f t="shared" si="407"/>
        <v>1616899.8599999999</v>
      </c>
      <c r="D1796" s="51">
        <f t="shared" si="408"/>
        <v>0</v>
      </c>
      <c r="E1796" s="51"/>
      <c r="F1796" s="51"/>
      <c r="G1796" s="51"/>
      <c r="H1796" s="51"/>
      <c r="I1796" s="51"/>
      <c r="J1796" s="51"/>
      <c r="K1796" s="51"/>
      <c r="L1796" s="51"/>
      <c r="M1796" s="35"/>
      <c r="N1796" s="51"/>
      <c r="O1796" s="82"/>
      <c r="P1796" s="51"/>
      <c r="Q1796" s="338"/>
      <c r="R1796" s="51"/>
      <c r="S1796" s="51"/>
      <c r="T1796" s="338"/>
      <c r="U1796" s="51"/>
      <c r="V1796" s="35"/>
      <c r="W1796" s="364">
        <f t="shared" si="410"/>
        <v>1616899.8599999999</v>
      </c>
      <c r="X1796" s="141"/>
      <c r="Y1796" s="48">
        <f>283378.9+348363.9+299275.86+277179.55</f>
        <v>1208198.21</v>
      </c>
      <c r="Z1796" s="48"/>
      <c r="AA1796" s="48">
        <v>408701.65</v>
      </c>
      <c r="AB1796" s="58"/>
      <c r="AC1796" s="58"/>
      <c r="AD1796" s="58"/>
      <c r="AE1796" s="58" t="s">
        <v>2412</v>
      </c>
    </row>
    <row r="1797" spans="1:31" x14ac:dyDescent="0.3">
      <c r="A1797" s="47">
        <f t="shared" si="411"/>
        <v>1631</v>
      </c>
      <c r="B1797" s="414" t="s">
        <v>2413</v>
      </c>
      <c r="C1797" s="51">
        <f t="shared" si="407"/>
        <v>706700.46</v>
      </c>
      <c r="D1797" s="51">
        <f t="shared" si="408"/>
        <v>0</v>
      </c>
      <c r="E1797" s="51"/>
      <c r="F1797" s="51"/>
      <c r="G1797" s="51"/>
      <c r="H1797" s="51"/>
      <c r="I1797" s="51"/>
      <c r="J1797" s="51"/>
      <c r="K1797" s="51"/>
      <c r="L1797" s="51"/>
      <c r="M1797" s="35"/>
      <c r="N1797" s="51"/>
      <c r="O1797" s="82"/>
      <c r="P1797" s="51"/>
      <c r="Q1797" s="338"/>
      <c r="R1797" s="51"/>
      <c r="S1797" s="51"/>
      <c r="T1797" s="338"/>
      <c r="U1797" s="51"/>
      <c r="V1797" s="35"/>
      <c r="W1797" s="364">
        <f t="shared" si="410"/>
        <v>706700.46</v>
      </c>
      <c r="X1797" s="141"/>
      <c r="Y1797" s="48">
        <f>348363.9+358336.56</f>
        <v>706700.46</v>
      </c>
      <c r="Z1797" s="48"/>
      <c r="AA1797" s="57"/>
      <c r="AB1797" s="58"/>
      <c r="AC1797" s="58"/>
      <c r="AD1797" s="58"/>
      <c r="AE1797" s="58" t="s">
        <v>2414</v>
      </c>
    </row>
    <row r="1798" spans="1:31" x14ac:dyDescent="0.3">
      <c r="A1798" s="47">
        <f t="shared" si="411"/>
        <v>1632</v>
      </c>
      <c r="B1798" s="414" t="s">
        <v>2415</v>
      </c>
      <c r="C1798" s="51">
        <f t="shared" si="407"/>
        <v>545087.49</v>
      </c>
      <c r="D1798" s="51">
        <f t="shared" si="408"/>
        <v>0</v>
      </c>
      <c r="E1798" s="51"/>
      <c r="F1798" s="51"/>
      <c r="G1798" s="51"/>
      <c r="H1798" s="51"/>
      <c r="I1798" s="51"/>
      <c r="J1798" s="51"/>
      <c r="K1798" s="51"/>
      <c r="L1798" s="51"/>
      <c r="M1798" s="35"/>
      <c r="N1798" s="51"/>
      <c r="O1798" s="82"/>
      <c r="P1798" s="51"/>
      <c r="Q1798" s="338"/>
      <c r="R1798" s="51"/>
      <c r="S1798" s="51"/>
      <c r="T1798" s="338"/>
      <c r="U1798" s="51"/>
      <c r="V1798" s="35"/>
      <c r="W1798" s="364">
        <f t="shared" si="410"/>
        <v>545087.49</v>
      </c>
      <c r="X1798" s="141"/>
      <c r="Y1798" s="48">
        <f>108836.68+126725.81+111893.88</f>
        <v>347456.37</v>
      </c>
      <c r="Z1798" s="48">
        <v>197631.12</v>
      </c>
      <c r="AA1798" s="57"/>
      <c r="AB1798" s="48"/>
      <c r="AC1798" s="58"/>
      <c r="AD1798" s="58"/>
      <c r="AE1798" s="58" t="s">
        <v>2416</v>
      </c>
    </row>
    <row r="1799" spans="1:31" x14ac:dyDescent="0.3">
      <c r="A1799" s="47">
        <f t="shared" si="411"/>
        <v>1633</v>
      </c>
      <c r="B1799" s="414" t="s">
        <v>2417</v>
      </c>
      <c r="C1799" s="51">
        <f t="shared" si="407"/>
        <v>2317979.9500000002</v>
      </c>
      <c r="D1799" s="51">
        <f t="shared" si="408"/>
        <v>741886.8</v>
      </c>
      <c r="E1799" s="51">
        <v>578008.80000000005</v>
      </c>
      <c r="F1799" s="51">
        <f>13*5502</f>
        <v>71526</v>
      </c>
      <c r="G1799" s="51">
        <f>13*3910</f>
        <v>50830</v>
      </c>
      <c r="H1799" s="51"/>
      <c r="I1799" s="51">
        <f>13*3194</f>
        <v>41522</v>
      </c>
      <c r="J1799" s="51"/>
      <c r="K1799" s="51"/>
      <c r="L1799" s="51"/>
      <c r="M1799" s="35"/>
      <c r="N1799" s="51"/>
      <c r="O1799" s="82"/>
      <c r="P1799" s="51"/>
      <c r="Q1799" s="338"/>
      <c r="R1799" s="51"/>
      <c r="S1799" s="51"/>
      <c r="T1799" s="338"/>
      <c r="U1799" s="51"/>
      <c r="V1799" s="35">
        <f>(214531+392996*2+117656)</f>
        <v>1118179</v>
      </c>
      <c r="W1799" s="364">
        <f t="shared" si="410"/>
        <v>457914.14999999997</v>
      </c>
      <c r="X1799" s="141"/>
      <c r="Y1799" s="48">
        <f>104464.21+134044.21+115355.41+104050.32</f>
        <v>457914.14999999997</v>
      </c>
      <c r="Z1799" s="48"/>
      <c r="AA1799" s="57"/>
      <c r="AB1799" s="58"/>
      <c r="AC1799" s="58"/>
      <c r="AD1799" s="58"/>
      <c r="AE1799" s="58" t="s">
        <v>2412</v>
      </c>
    </row>
    <row r="1800" spans="1:31" x14ac:dyDescent="0.3">
      <c r="A1800" s="47">
        <f>A1799+1</f>
        <v>1634</v>
      </c>
      <c r="B1800" s="414" t="s">
        <v>2418</v>
      </c>
      <c r="C1800" s="51">
        <f t="shared" si="407"/>
        <v>363804.95999999996</v>
      </c>
      <c r="D1800" s="51">
        <f t="shared" si="408"/>
        <v>0</v>
      </c>
      <c r="E1800" s="51"/>
      <c r="F1800" s="51"/>
      <c r="G1800" s="51"/>
      <c r="H1800" s="51"/>
      <c r="I1800" s="51"/>
      <c r="J1800" s="51"/>
      <c r="K1800" s="51"/>
      <c r="L1800" s="51"/>
      <c r="M1800" s="35"/>
      <c r="N1800" s="51"/>
      <c r="O1800" s="82"/>
      <c r="P1800" s="51"/>
      <c r="Q1800" s="338"/>
      <c r="R1800" s="51"/>
      <c r="S1800" s="51"/>
      <c r="T1800" s="338"/>
      <c r="U1800" s="51"/>
      <c r="V1800" s="35"/>
      <c r="W1800" s="364">
        <f t="shared" si="410"/>
        <v>363804.95999999996</v>
      </c>
      <c r="X1800" s="141"/>
      <c r="Y1800" s="48">
        <f>114372.25+132267.59+117165.12</f>
        <v>363804.95999999996</v>
      </c>
      <c r="Z1800" s="48"/>
      <c r="AA1800" s="57"/>
      <c r="AB1800" s="48"/>
      <c r="AC1800" s="58"/>
      <c r="AD1800" s="58"/>
      <c r="AE1800" s="58" t="s">
        <v>2419</v>
      </c>
    </row>
    <row r="1801" spans="1:31" x14ac:dyDescent="0.3">
      <c r="A1801" s="47">
        <f t="shared" si="411"/>
        <v>1635</v>
      </c>
      <c r="B1801" s="414" t="s">
        <v>2420</v>
      </c>
      <c r="C1801" s="51">
        <f t="shared" si="407"/>
        <v>1327505.83</v>
      </c>
      <c r="D1801" s="51">
        <f t="shared" si="408"/>
        <v>0</v>
      </c>
      <c r="E1801" s="51"/>
      <c r="F1801" s="51"/>
      <c r="G1801" s="51"/>
      <c r="H1801" s="51"/>
      <c r="I1801" s="51"/>
      <c r="J1801" s="51"/>
      <c r="K1801" s="51"/>
      <c r="L1801" s="51"/>
      <c r="M1801" s="35"/>
      <c r="N1801" s="51"/>
      <c r="O1801" s="82"/>
      <c r="P1801" s="51"/>
      <c r="Q1801" s="338"/>
      <c r="R1801" s="51"/>
      <c r="S1801" s="51"/>
      <c r="T1801" s="338"/>
      <c r="U1801" s="51"/>
      <c r="V1801" s="35"/>
      <c r="W1801" s="364">
        <f t="shared" si="410"/>
        <v>1327505.83</v>
      </c>
      <c r="X1801" s="141"/>
      <c r="Y1801" s="48">
        <v>323619.58</v>
      </c>
      <c r="Z1801" s="48">
        <v>563065.97</v>
      </c>
      <c r="AA1801" s="48">
        <v>440820.28</v>
      </c>
      <c r="AB1801" s="48"/>
      <c r="AC1801" s="58"/>
      <c r="AD1801" s="58"/>
      <c r="AE1801" s="58" t="s">
        <v>2421</v>
      </c>
    </row>
    <row r="1802" spans="1:31" x14ac:dyDescent="0.3">
      <c r="A1802" s="47">
        <f t="shared" si="411"/>
        <v>1636</v>
      </c>
      <c r="B1802" s="414" t="s">
        <v>2422</v>
      </c>
      <c r="C1802" s="51">
        <f t="shared" si="407"/>
        <v>692939.31</v>
      </c>
      <c r="D1802" s="51">
        <f t="shared" si="408"/>
        <v>0</v>
      </c>
      <c r="E1802" s="51"/>
      <c r="F1802" s="51"/>
      <c r="G1802" s="51"/>
      <c r="H1802" s="51"/>
      <c r="I1802" s="51"/>
      <c r="J1802" s="51"/>
      <c r="K1802" s="51"/>
      <c r="L1802" s="51"/>
      <c r="M1802" s="35"/>
      <c r="N1802" s="51"/>
      <c r="O1802" s="82"/>
      <c r="P1802" s="51"/>
      <c r="Q1802" s="338"/>
      <c r="R1802" s="51"/>
      <c r="S1802" s="51"/>
      <c r="T1802" s="338"/>
      <c r="U1802" s="51"/>
      <c r="V1802" s="35"/>
      <c r="W1802" s="364">
        <f t="shared" si="410"/>
        <v>692939.31</v>
      </c>
      <c r="X1802" s="141"/>
      <c r="Y1802" s="48"/>
      <c r="Z1802" s="48">
        <v>380090.65</v>
      </c>
      <c r="AA1802" s="48">
        <v>312848.65999999997</v>
      </c>
      <c r="AB1802" s="48"/>
      <c r="AC1802" s="58"/>
      <c r="AD1802" s="58"/>
      <c r="AE1802" s="58" t="s">
        <v>1400</v>
      </c>
    </row>
    <row r="1803" spans="1:31" x14ac:dyDescent="0.3">
      <c r="A1803" s="47">
        <f t="shared" si="411"/>
        <v>1637</v>
      </c>
      <c r="B1803" s="414" t="s">
        <v>2423</v>
      </c>
      <c r="C1803" s="51">
        <f t="shared" si="407"/>
        <v>1942792.95</v>
      </c>
      <c r="D1803" s="51">
        <f t="shared" si="408"/>
        <v>0</v>
      </c>
      <c r="E1803" s="51"/>
      <c r="F1803" s="51"/>
      <c r="G1803" s="51"/>
      <c r="H1803" s="51"/>
      <c r="I1803" s="51"/>
      <c r="J1803" s="51"/>
      <c r="K1803" s="51"/>
      <c r="L1803" s="51"/>
      <c r="M1803" s="35">
        <v>13</v>
      </c>
      <c r="N1803" s="51">
        <f>M1803*8094</f>
        <v>105222</v>
      </c>
      <c r="O1803" s="82"/>
      <c r="P1803" s="51"/>
      <c r="Q1803" s="338"/>
      <c r="R1803" s="51"/>
      <c r="S1803" s="51"/>
      <c r="T1803" s="338"/>
      <c r="U1803" s="51"/>
      <c r="V1803" s="35"/>
      <c r="W1803" s="364">
        <f t="shared" si="410"/>
        <v>1837570.95</v>
      </c>
      <c r="X1803" s="141"/>
      <c r="Y1803" s="48">
        <f>285875.02+350921.66+301598.72</f>
        <v>938395.39999999991</v>
      </c>
      <c r="Z1803" s="48">
        <v>502589.33</v>
      </c>
      <c r="AA1803" s="48">
        <v>396586.22</v>
      </c>
      <c r="AB1803" s="48"/>
      <c r="AC1803" s="58"/>
      <c r="AD1803" s="58"/>
      <c r="AE1803" s="58" t="s">
        <v>2424</v>
      </c>
    </row>
    <row r="1804" spans="1:31" x14ac:dyDescent="0.3">
      <c r="A1804" s="47">
        <f t="shared" si="411"/>
        <v>1638</v>
      </c>
      <c r="B1804" s="414" t="s">
        <v>2425</v>
      </c>
      <c r="C1804" s="51">
        <f t="shared" si="407"/>
        <v>2425877.83</v>
      </c>
      <c r="D1804" s="51">
        <f t="shared" si="408"/>
        <v>0</v>
      </c>
      <c r="E1804" s="51"/>
      <c r="F1804" s="51"/>
      <c r="G1804" s="51"/>
      <c r="H1804" s="51"/>
      <c r="I1804" s="51"/>
      <c r="J1804" s="51"/>
      <c r="K1804" s="51"/>
      <c r="L1804" s="51"/>
      <c r="M1804" s="35"/>
      <c r="N1804" s="51"/>
      <c r="O1804" s="82"/>
      <c r="P1804" s="51"/>
      <c r="Q1804" s="338"/>
      <c r="R1804" s="51"/>
      <c r="S1804" s="51"/>
      <c r="T1804" s="338"/>
      <c r="U1804" s="51"/>
      <c r="V1804" s="35"/>
      <c r="W1804" s="364">
        <f t="shared" si="410"/>
        <v>2425877.83</v>
      </c>
      <c r="X1804" s="141"/>
      <c r="Y1804" s="48"/>
      <c r="Z1804" s="48">
        <v>497231.95</v>
      </c>
      <c r="AA1804" s="48">
        <v>405072.66</v>
      </c>
      <c r="AB1804" s="48">
        <v>1523573.22</v>
      </c>
      <c r="AC1804" s="58"/>
      <c r="AD1804" s="58"/>
      <c r="AE1804" s="58" t="s">
        <v>1400</v>
      </c>
    </row>
    <row r="1805" spans="1:31" x14ac:dyDescent="0.3">
      <c r="A1805" s="47">
        <f t="shared" si="411"/>
        <v>1639</v>
      </c>
      <c r="B1805" s="414" t="s">
        <v>2426</v>
      </c>
      <c r="C1805" s="51">
        <f t="shared" si="407"/>
        <v>709884.84</v>
      </c>
      <c r="D1805" s="51">
        <f t="shared" si="408"/>
        <v>0</v>
      </c>
      <c r="E1805" s="51"/>
      <c r="F1805" s="51"/>
      <c r="G1805" s="51"/>
      <c r="H1805" s="51"/>
      <c r="I1805" s="51"/>
      <c r="J1805" s="51"/>
      <c r="K1805" s="51"/>
      <c r="L1805" s="51"/>
      <c r="M1805" s="35"/>
      <c r="N1805" s="51"/>
      <c r="O1805" s="82"/>
      <c r="P1805" s="51"/>
      <c r="Q1805" s="338"/>
      <c r="R1805" s="51"/>
      <c r="S1805" s="51"/>
      <c r="T1805" s="338"/>
      <c r="U1805" s="51"/>
      <c r="V1805" s="35"/>
      <c r="W1805" s="364">
        <f t="shared" si="410"/>
        <v>709884.84</v>
      </c>
      <c r="X1805" s="141"/>
      <c r="Y1805" s="48">
        <v>317245.15999999997</v>
      </c>
      <c r="Z1805" s="48"/>
      <c r="AA1805" s="57">
        <v>392639.68</v>
      </c>
      <c r="AB1805" s="58"/>
      <c r="AC1805" s="58"/>
      <c r="AD1805" s="58"/>
      <c r="AE1805" s="58" t="s">
        <v>1810</v>
      </c>
    </row>
    <row r="1806" spans="1:31" x14ac:dyDescent="0.3">
      <c r="A1806" s="47">
        <f t="shared" si="411"/>
        <v>1640</v>
      </c>
      <c r="B1806" s="414" t="s">
        <v>2427</v>
      </c>
      <c r="C1806" s="51">
        <f t="shared" si="407"/>
        <v>1211219.3799999999</v>
      </c>
      <c r="D1806" s="51">
        <f t="shared" si="408"/>
        <v>0</v>
      </c>
      <c r="E1806" s="51"/>
      <c r="F1806" s="51"/>
      <c r="G1806" s="51"/>
      <c r="H1806" s="51"/>
      <c r="I1806" s="51"/>
      <c r="J1806" s="51"/>
      <c r="K1806" s="51"/>
      <c r="L1806" s="51"/>
      <c r="M1806" s="35"/>
      <c r="N1806" s="51"/>
      <c r="O1806" s="82"/>
      <c r="P1806" s="51"/>
      <c r="Q1806" s="338"/>
      <c r="R1806" s="51"/>
      <c r="S1806" s="51"/>
      <c r="T1806" s="338"/>
      <c r="U1806" s="51"/>
      <c r="V1806" s="35"/>
      <c r="W1806" s="364">
        <f t="shared" si="410"/>
        <v>1211219.3799999999</v>
      </c>
      <c r="X1806" s="141"/>
      <c r="Y1806" s="48"/>
      <c r="Z1806" s="48"/>
      <c r="AA1806" s="48"/>
      <c r="AB1806" s="48">
        <v>1211219.3799999999</v>
      </c>
      <c r="AC1806" s="48"/>
      <c r="AD1806" s="58"/>
      <c r="AE1806" s="58" t="s">
        <v>1400</v>
      </c>
    </row>
    <row r="1807" spans="1:31" x14ac:dyDescent="0.3">
      <c r="A1807" s="47">
        <f t="shared" si="411"/>
        <v>1641</v>
      </c>
      <c r="B1807" s="414" t="s">
        <v>2428</v>
      </c>
      <c r="C1807" s="51">
        <f t="shared" si="407"/>
        <v>615116.93999999994</v>
      </c>
      <c r="D1807" s="51">
        <f t="shared" si="408"/>
        <v>0</v>
      </c>
      <c r="E1807" s="51"/>
      <c r="F1807" s="51"/>
      <c r="G1807" s="51"/>
      <c r="H1807" s="51"/>
      <c r="I1807" s="51"/>
      <c r="J1807" s="51"/>
      <c r="K1807" s="51"/>
      <c r="L1807" s="51"/>
      <c r="M1807" s="35"/>
      <c r="N1807" s="51"/>
      <c r="O1807" s="82"/>
      <c r="P1807" s="51"/>
      <c r="Q1807" s="338"/>
      <c r="R1807" s="51"/>
      <c r="S1807" s="51"/>
      <c r="T1807" s="338"/>
      <c r="U1807" s="51"/>
      <c r="V1807" s="35"/>
      <c r="W1807" s="364">
        <f t="shared" si="410"/>
        <v>615116.93999999994</v>
      </c>
      <c r="X1807" s="141"/>
      <c r="Y1807" s="48">
        <v>269972.62</v>
      </c>
      <c r="Z1807" s="48"/>
      <c r="AA1807" s="48">
        <v>345144.32000000001</v>
      </c>
      <c r="AB1807" s="48"/>
      <c r="AC1807" s="48"/>
      <c r="AD1807" s="58"/>
      <c r="AE1807" s="58" t="s">
        <v>1395</v>
      </c>
    </row>
    <row r="1808" spans="1:31" x14ac:dyDescent="0.3">
      <c r="A1808" s="47">
        <f t="shared" si="411"/>
        <v>1642</v>
      </c>
      <c r="B1808" s="414" t="s">
        <v>2429</v>
      </c>
      <c r="C1808" s="51">
        <f t="shared" si="407"/>
        <v>1590019.1500000001</v>
      </c>
      <c r="D1808" s="51">
        <f t="shared" si="408"/>
        <v>0</v>
      </c>
      <c r="E1808" s="51"/>
      <c r="F1808" s="51"/>
      <c r="G1808" s="51"/>
      <c r="H1808" s="51"/>
      <c r="I1808" s="51"/>
      <c r="J1808" s="51"/>
      <c r="K1808" s="51"/>
      <c r="L1808" s="51"/>
      <c r="M1808" s="35"/>
      <c r="N1808" s="51"/>
      <c r="O1808" s="82"/>
      <c r="P1808" s="51"/>
      <c r="Q1808" s="338"/>
      <c r="R1808" s="51"/>
      <c r="S1808" s="51"/>
      <c r="T1808" s="338"/>
      <c r="U1808" s="51"/>
      <c r="V1808" s="35"/>
      <c r="W1808" s="364">
        <f t="shared" si="410"/>
        <v>1590019.1500000001</v>
      </c>
      <c r="X1808" s="141"/>
      <c r="Y1808" s="48">
        <f>216197.68+271324.12+228042.68+210057.31</f>
        <v>925621.79</v>
      </c>
      <c r="Z1808" s="48"/>
      <c r="AA1808" s="48">
        <v>259698.79</v>
      </c>
      <c r="AB1808" s="48"/>
      <c r="AC1808" s="48">
        <v>404698.57</v>
      </c>
      <c r="AD1808" s="58"/>
      <c r="AE1808" s="58" t="s">
        <v>2430</v>
      </c>
    </row>
    <row r="1809" spans="1:31" x14ac:dyDescent="0.3">
      <c r="A1809" s="47">
        <f t="shared" si="411"/>
        <v>1643</v>
      </c>
      <c r="B1809" s="414" t="s">
        <v>2431</v>
      </c>
      <c r="C1809" s="51">
        <f t="shared" si="407"/>
        <v>753478.5</v>
      </c>
      <c r="D1809" s="51">
        <f t="shared" si="408"/>
        <v>0</v>
      </c>
      <c r="E1809" s="51"/>
      <c r="F1809" s="51"/>
      <c r="G1809" s="51"/>
      <c r="H1809" s="51"/>
      <c r="I1809" s="51"/>
      <c r="J1809" s="51"/>
      <c r="K1809" s="51"/>
      <c r="L1809" s="51"/>
      <c r="M1809" s="35"/>
      <c r="N1809" s="51"/>
      <c r="O1809" s="82"/>
      <c r="P1809" s="51"/>
      <c r="Q1809" s="338"/>
      <c r="R1809" s="51"/>
      <c r="S1809" s="51"/>
      <c r="T1809" s="338"/>
      <c r="U1809" s="51"/>
      <c r="V1809" s="35"/>
      <c r="W1809" s="364">
        <f t="shared" si="410"/>
        <v>753478.5</v>
      </c>
      <c r="X1809" s="141"/>
      <c r="Y1809" s="48">
        <v>140050.56</v>
      </c>
      <c r="Z1809" s="48">
        <v>240034.44</v>
      </c>
      <c r="AA1809" s="48">
        <v>373393.5</v>
      </c>
      <c r="AB1809" s="58"/>
      <c r="AC1809" s="58"/>
      <c r="AD1809" s="58"/>
      <c r="AE1809" s="58" t="s">
        <v>1395</v>
      </c>
    </row>
    <row r="1810" spans="1:31" x14ac:dyDescent="0.3">
      <c r="A1810" s="47">
        <f t="shared" si="411"/>
        <v>1644</v>
      </c>
      <c r="B1810" s="414" t="s">
        <v>2432</v>
      </c>
      <c r="C1810" s="51">
        <f t="shared" si="407"/>
        <v>155605.99</v>
      </c>
      <c r="D1810" s="51">
        <f t="shared" si="408"/>
        <v>0</v>
      </c>
      <c r="E1810" s="51"/>
      <c r="F1810" s="51"/>
      <c r="G1810" s="51"/>
      <c r="H1810" s="51"/>
      <c r="I1810" s="51"/>
      <c r="J1810" s="51"/>
      <c r="K1810" s="51"/>
      <c r="L1810" s="51"/>
      <c r="M1810" s="35"/>
      <c r="N1810" s="51"/>
      <c r="O1810" s="82"/>
      <c r="P1810" s="51"/>
      <c r="Q1810" s="338"/>
      <c r="R1810" s="51"/>
      <c r="S1810" s="51"/>
      <c r="T1810" s="338"/>
      <c r="U1810" s="51"/>
      <c r="V1810" s="35"/>
      <c r="W1810" s="364">
        <f t="shared" si="410"/>
        <v>155605.99</v>
      </c>
      <c r="X1810" s="141"/>
      <c r="Y1810" s="48"/>
      <c r="Z1810" s="48">
        <v>155605.99</v>
      </c>
      <c r="AA1810" s="57"/>
      <c r="AB1810" s="58"/>
      <c r="AC1810" s="58"/>
      <c r="AD1810" s="58"/>
      <c r="AE1810" s="58"/>
    </row>
    <row r="1811" spans="1:31" x14ac:dyDescent="0.3">
      <c r="A1811" s="47">
        <f t="shared" si="411"/>
        <v>1645</v>
      </c>
      <c r="B1811" s="414" t="s">
        <v>2433</v>
      </c>
      <c r="C1811" s="51">
        <f t="shared" si="407"/>
        <v>232178.5</v>
      </c>
      <c r="D1811" s="51">
        <f t="shared" si="408"/>
        <v>0</v>
      </c>
      <c r="E1811" s="51"/>
      <c r="F1811" s="51"/>
      <c r="G1811" s="51"/>
      <c r="H1811" s="51"/>
      <c r="I1811" s="51"/>
      <c r="J1811" s="51"/>
      <c r="K1811" s="51"/>
      <c r="L1811" s="51"/>
      <c r="M1811" s="35"/>
      <c r="N1811" s="51"/>
      <c r="O1811" s="82"/>
      <c r="P1811" s="51"/>
      <c r="Q1811" s="338"/>
      <c r="R1811" s="51"/>
      <c r="S1811" s="51"/>
      <c r="T1811" s="338"/>
      <c r="U1811" s="51"/>
      <c r="V1811" s="35"/>
      <c r="W1811" s="364">
        <f t="shared" si="410"/>
        <v>232178.5</v>
      </c>
      <c r="X1811" s="141"/>
      <c r="Y1811" s="48"/>
      <c r="Z1811" s="48"/>
      <c r="AA1811" s="48">
        <v>232178.5</v>
      </c>
      <c r="AB1811" s="48"/>
      <c r="AC1811" s="58"/>
      <c r="AD1811" s="58"/>
      <c r="AE1811" s="58" t="s">
        <v>2434</v>
      </c>
    </row>
    <row r="1812" spans="1:31" x14ac:dyDescent="0.3">
      <c r="A1812" s="47">
        <f>A1811+1</f>
        <v>1646</v>
      </c>
      <c r="B1812" s="414" t="s">
        <v>2435</v>
      </c>
      <c r="C1812" s="51">
        <f t="shared" si="407"/>
        <v>1009707.92</v>
      </c>
      <c r="D1812" s="51">
        <f t="shared" si="408"/>
        <v>751590</v>
      </c>
      <c r="E1812" s="51">
        <f>(13*2688)+(2*358323)</f>
        <v>751590</v>
      </c>
      <c r="F1812" s="51"/>
      <c r="G1812" s="51"/>
      <c r="H1812" s="51"/>
      <c r="I1812" s="51"/>
      <c r="J1812" s="51"/>
      <c r="K1812" s="51"/>
      <c r="L1812" s="51"/>
      <c r="M1812" s="35"/>
      <c r="N1812" s="51"/>
      <c r="O1812" s="82"/>
      <c r="P1812" s="51"/>
      <c r="Q1812" s="338"/>
      <c r="R1812" s="51"/>
      <c r="S1812" s="51"/>
      <c r="T1812" s="338"/>
      <c r="U1812" s="51"/>
      <c r="V1812" s="35"/>
      <c r="W1812" s="364">
        <f t="shared" si="410"/>
        <v>258117.92</v>
      </c>
      <c r="X1812" s="141"/>
      <c r="Y1812" s="48"/>
      <c r="Z1812" s="48"/>
      <c r="AA1812" s="48">
        <v>258117.92</v>
      </c>
      <c r="AB1812" s="58"/>
      <c r="AC1812" s="58"/>
      <c r="AD1812" s="58"/>
      <c r="AE1812" s="58"/>
    </row>
    <row r="1813" spans="1:31" x14ac:dyDescent="0.3">
      <c r="A1813" s="47">
        <f t="shared" si="411"/>
        <v>1647</v>
      </c>
      <c r="B1813" s="414" t="s">
        <v>2436</v>
      </c>
      <c r="C1813" s="51">
        <f t="shared" si="407"/>
        <v>755969.17</v>
      </c>
      <c r="D1813" s="51">
        <f t="shared" si="408"/>
        <v>0</v>
      </c>
      <c r="E1813" s="51"/>
      <c r="F1813" s="51"/>
      <c r="G1813" s="51"/>
      <c r="H1813" s="51"/>
      <c r="I1813" s="51"/>
      <c r="J1813" s="51"/>
      <c r="K1813" s="51"/>
      <c r="L1813" s="51"/>
      <c r="M1813" s="35"/>
      <c r="N1813" s="51"/>
      <c r="O1813" s="82"/>
      <c r="P1813" s="51"/>
      <c r="Q1813" s="338"/>
      <c r="R1813" s="51"/>
      <c r="S1813" s="51"/>
      <c r="T1813" s="338"/>
      <c r="U1813" s="51"/>
      <c r="V1813" s="35"/>
      <c r="W1813" s="364">
        <f t="shared" si="410"/>
        <v>755969.17</v>
      </c>
      <c r="X1813" s="141"/>
      <c r="Y1813" s="48">
        <f>216029.63+175932.14</f>
        <v>391961.77</v>
      </c>
      <c r="Z1813" s="48"/>
      <c r="AA1813" s="48">
        <v>364007.4</v>
      </c>
      <c r="AB1813" s="58"/>
      <c r="AC1813" s="58"/>
      <c r="AD1813" s="58"/>
      <c r="AE1813" s="58" t="s">
        <v>1448</v>
      </c>
    </row>
    <row r="1814" spans="1:31" x14ac:dyDescent="0.3">
      <c r="A1814" s="47">
        <f t="shared" si="411"/>
        <v>1648</v>
      </c>
      <c r="B1814" s="414" t="s">
        <v>2437</v>
      </c>
      <c r="C1814" s="51">
        <f t="shared" si="407"/>
        <v>582774.15999999992</v>
      </c>
      <c r="D1814" s="51">
        <f t="shared" si="408"/>
        <v>0</v>
      </c>
      <c r="E1814" s="51"/>
      <c r="F1814" s="51"/>
      <c r="G1814" s="51"/>
      <c r="H1814" s="51"/>
      <c r="I1814" s="51"/>
      <c r="J1814" s="51"/>
      <c r="K1814" s="51"/>
      <c r="L1814" s="51"/>
      <c r="M1814" s="35"/>
      <c r="N1814" s="51"/>
      <c r="O1814" s="82"/>
      <c r="P1814" s="51"/>
      <c r="Q1814" s="338"/>
      <c r="R1814" s="51"/>
      <c r="S1814" s="51"/>
      <c r="T1814" s="338"/>
      <c r="U1814" s="51"/>
      <c r="V1814" s="35"/>
      <c r="W1814" s="364">
        <f t="shared" si="410"/>
        <v>582774.15999999992</v>
      </c>
      <c r="X1814" s="141"/>
      <c r="Y1814" s="48">
        <f>166014.4+127651.6</f>
        <v>293666</v>
      </c>
      <c r="Z1814" s="48"/>
      <c r="AA1814" s="48">
        <v>289108.15999999997</v>
      </c>
      <c r="AB1814" s="58"/>
      <c r="AC1814" s="58"/>
      <c r="AD1814" s="58"/>
      <c r="AE1814" s="58" t="s">
        <v>1563</v>
      </c>
    </row>
    <row r="1815" spans="1:31" x14ac:dyDescent="0.3">
      <c r="A1815" s="47">
        <f t="shared" si="411"/>
        <v>1649</v>
      </c>
      <c r="B1815" s="414" t="s">
        <v>2438</v>
      </c>
      <c r="C1815" s="51">
        <f t="shared" si="407"/>
        <v>313488.24</v>
      </c>
      <c r="D1815" s="51">
        <f t="shared" si="408"/>
        <v>122356</v>
      </c>
      <c r="E1815" s="51"/>
      <c r="F1815" s="51">
        <f>13*5502</f>
        <v>71526</v>
      </c>
      <c r="G1815" s="51">
        <f>13*3910</f>
        <v>50830</v>
      </c>
      <c r="H1815" s="51"/>
      <c r="I1815" s="51"/>
      <c r="J1815" s="51"/>
      <c r="K1815" s="51"/>
      <c r="L1815" s="51"/>
      <c r="M1815" s="35"/>
      <c r="N1815" s="51"/>
      <c r="O1815" s="82"/>
      <c r="P1815" s="51"/>
      <c r="Q1815" s="338"/>
      <c r="R1815" s="51"/>
      <c r="S1815" s="51"/>
      <c r="T1815" s="338"/>
      <c r="U1815" s="51"/>
      <c r="V1815" s="35"/>
      <c r="W1815" s="364">
        <f t="shared" si="410"/>
        <v>191132.24</v>
      </c>
      <c r="X1815" s="141"/>
      <c r="Y1815" s="48">
        <v>103546.08</v>
      </c>
      <c r="Z1815" s="48"/>
      <c r="AA1815" s="48">
        <v>87586.16</v>
      </c>
      <c r="AB1815" s="58"/>
      <c r="AC1815" s="58"/>
      <c r="AD1815" s="58"/>
      <c r="AE1815" s="58" t="s">
        <v>25</v>
      </c>
    </row>
    <row r="1816" spans="1:31" x14ac:dyDescent="0.3">
      <c r="A1816" s="47">
        <f t="shared" si="411"/>
        <v>1650</v>
      </c>
      <c r="B1816" s="414" t="s">
        <v>2439</v>
      </c>
      <c r="C1816" s="51">
        <f t="shared" si="407"/>
        <v>195742.84</v>
      </c>
      <c r="D1816" s="51">
        <f t="shared" si="408"/>
        <v>122356</v>
      </c>
      <c r="E1816" s="51"/>
      <c r="F1816" s="51">
        <f>13*5502</f>
        <v>71526</v>
      </c>
      <c r="G1816" s="51">
        <f>13*3910</f>
        <v>50830</v>
      </c>
      <c r="H1816" s="51"/>
      <c r="I1816" s="51"/>
      <c r="J1816" s="51"/>
      <c r="K1816" s="51"/>
      <c r="L1816" s="51"/>
      <c r="M1816" s="35"/>
      <c r="N1816" s="51"/>
      <c r="O1816" s="82"/>
      <c r="P1816" s="51"/>
      <c r="Q1816" s="338"/>
      <c r="R1816" s="51"/>
      <c r="S1816" s="51"/>
      <c r="T1816" s="338"/>
      <c r="U1816" s="51"/>
      <c r="V1816" s="35"/>
      <c r="W1816" s="364">
        <f t="shared" si="410"/>
        <v>73386.84</v>
      </c>
      <c r="X1816" s="141"/>
      <c r="Y1816" s="48"/>
      <c r="Z1816" s="48"/>
      <c r="AA1816" s="48">
        <v>73386.84</v>
      </c>
      <c r="AB1816" s="58"/>
      <c r="AC1816" s="58"/>
      <c r="AD1816" s="58"/>
      <c r="AE1816" s="58" t="s">
        <v>379</v>
      </c>
    </row>
    <row r="1817" spans="1:31" x14ac:dyDescent="0.3">
      <c r="A1817" s="47">
        <f t="shared" si="411"/>
        <v>1651</v>
      </c>
      <c r="B1817" s="414" t="s">
        <v>2440</v>
      </c>
      <c r="C1817" s="51">
        <f t="shared" ref="C1817:C1848" si="412">D1817+K1817+L1817+N1817+P1817+R1817+S1817+U1817+V1817+W1817</f>
        <v>329421.70999999996</v>
      </c>
      <c r="D1817" s="51">
        <f t="shared" si="408"/>
        <v>0</v>
      </c>
      <c r="E1817" s="51"/>
      <c r="F1817" s="51"/>
      <c r="G1817" s="51"/>
      <c r="H1817" s="51"/>
      <c r="I1817" s="51"/>
      <c r="J1817" s="51"/>
      <c r="K1817" s="51"/>
      <c r="L1817" s="51"/>
      <c r="M1817" s="35"/>
      <c r="N1817" s="51"/>
      <c r="O1817" s="82"/>
      <c r="P1817" s="51"/>
      <c r="Q1817" s="338"/>
      <c r="R1817" s="51"/>
      <c r="S1817" s="51"/>
      <c r="T1817" s="338"/>
      <c r="U1817" s="51"/>
      <c r="V1817" s="35"/>
      <c r="W1817" s="364">
        <f t="shared" si="410"/>
        <v>329421.70999999996</v>
      </c>
      <c r="X1817" s="141"/>
      <c r="Y1817" s="48">
        <f>186271.24+143150.47</f>
        <v>329421.70999999996</v>
      </c>
      <c r="Z1817" s="48"/>
      <c r="AA1817" s="48"/>
      <c r="AB1817" s="48"/>
      <c r="AC1817" s="58"/>
      <c r="AD1817" s="58"/>
      <c r="AE1817" s="58" t="s">
        <v>1563</v>
      </c>
    </row>
    <row r="1818" spans="1:31" x14ac:dyDescent="0.3">
      <c r="A1818" s="47">
        <f t="shared" si="411"/>
        <v>1652</v>
      </c>
      <c r="B1818" s="414" t="s">
        <v>2441</v>
      </c>
      <c r="C1818" s="51">
        <f t="shared" si="412"/>
        <v>101322.67</v>
      </c>
      <c r="D1818" s="51">
        <f t="shared" si="408"/>
        <v>0</v>
      </c>
      <c r="E1818" s="51"/>
      <c r="F1818" s="51"/>
      <c r="G1818" s="51"/>
      <c r="H1818" s="51"/>
      <c r="I1818" s="51"/>
      <c r="J1818" s="51"/>
      <c r="K1818" s="51"/>
      <c r="L1818" s="51"/>
      <c r="M1818" s="35"/>
      <c r="N1818" s="51"/>
      <c r="O1818" s="82"/>
      <c r="P1818" s="51"/>
      <c r="Q1818" s="338"/>
      <c r="R1818" s="51"/>
      <c r="S1818" s="51"/>
      <c r="T1818" s="338"/>
      <c r="U1818" s="51"/>
      <c r="V1818" s="35"/>
      <c r="W1818" s="364">
        <f t="shared" si="410"/>
        <v>101322.67</v>
      </c>
      <c r="X1818" s="141"/>
      <c r="Y1818" s="48"/>
      <c r="Z1818" s="48"/>
      <c r="AA1818" s="48">
        <v>101322.67</v>
      </c>
      <c r="AB1818" s="48"/>
      <c r="AC1818" s="58"/>
      <c r="AD1818" s="58"/>
      <c r="AE1818" s="58" t="s">
        <v>1400</v>
      </c>
    </row>
    <row r="1819" spans="1:31" x14ac:dyDescent="0.3">
      <c r="A1819" s="47">
        <f t="shared" si="411"/>
        <v>1653</v>
      </c>
      <c r="B1819" s="414" t="s">
        <v>2442</v>
      </c>
      <c r="C1819" s="51">
        <f t="shared" si="412"/>
        <v>932041.07000000007</v>
      </c>
      <c r="D1819" s="51">
        <f t="shared" si="408"/>
        <v>0</v>
      </c>
      <c r="E1819" s="51"/>
      <c r="F1819" s="51"/>
      <c r="G1819" s="51"/>
      <c r="H1819" s="51"/>
      <c r="I1819" s="51"/>
      <c r="J1819" s="51"/>
      <c r="K1819" s="51"/>
      <c r="L1819" s="51"/>
      <c r="M1819" s="35"/>
      <c r="N1819" s="51"/>
      <c r="O1819" s="82"/>
      <c r="P1819" s="51"/>
      <c r="Q1819" s="338"/>
      <c r="R1819" s="51"/>
      <c r="S1819" s="51"/>
      <c r="T1819" s="338"/>
      <c r="U1819" s="51"/>
      <c r="V1819" s="35"/>
      <c r="W1819" s="364">
        <f t="shared" si="410"/>
        <v>932041.07000000007</v>
      </c>
      <c r="X1819" s="141"/>
      <c r="Y1819" s="48">
        <f>114044.26+143832.11+124266.18+112961.09</f>
        <v>495103.64</v>
      </c>
      <c r="Z1819" s="48">
        <v>230170.52</v>
      </c>
      <c r="AA1819" s="48"/>
      <c r="AB1819" s="48"/>
      <c r="AC1819" s="48">
        <v>206766.91</v>
      </c>
      <c r="AD1819" s="58"/>
      <c r="AE1819" s="58" t="s">
        <v>2443</v>
      </c>
    </row>
    <row r="1820" spans="1:31" x14ac:dyDescent="0.3">
      <c r="A1820" s="47">
        <f t="shared" si="411"/>
        <v>1654</v>
      </c>
      <c r="B1820" s="414" t="s">
        <v>2444</v>
      </c>
      <c r="C1820" s="51">
        <f t="shared" si="412"/>
        <v>130000</v>
      </c>
      <c r="D1820" s="51">
        <f t="shared" si="408"/>
        <v>0</v>
      </c>
      <c r="E1820" s="51"/>
      <c r="F1820" s="51"/>
      <c r="G1820" s="51"/>
      <c r="H1820" s="51"/>
      <c r="I1820" s="51"/>
      <c r="J1820" s="51"/>
      <c r="K1820" s="51"/>
      <c r="L1820" s="51"/>
      <c r="M1820" s="35"/>
      <c r="N1820" s="51"/>
      <c r="O1820" s="82"/>
      <c r="P1820" s="51"/>
      <c r="Q1820" s="338"/>
      <c r="R1820" s="51"/>
      <c r="S1820" s="51"/>
      <c r="T1820" s="338"/>
      <c r="U1820" s="51"/>
      <c r="V1820" s="35"/>
      <c r="W1820" s="364">
        <v>130000</v>
      </c>
      <c r="X1820" s="141"/>
      <c r="Y1820" s="48"/>
      <c r="Z1820" s="48"/>
      <c r="AA1820" s="57"/>
      <c r="AB1820" s="58"/>
      <c r="AC1820" s="58"/>
      <c r="AD1820" s="58"/>
      <c r="AE1820" s="58"/>
    </row>
    <row r="1821" spans="1:31" x14ac:dyDescent="0.3">
      <c r="A1821" s="47">
        <f t="shared" si="411"/>
        <v>1655</v>
      </c>
      <c r="B1821" s="414" t="s">
        <v>2445</v>
      </c>
      <c r="C1821" s="51">
        <f t="shared" si="412"/>
        <v>130000</v>
      </c>
      <c r="D1821" s="51">
        <f t="shared" si="408"/>
        <v>0</v>
      </c>
      <c r="E1821" s="51"/>
      <c r="F1821" s="51"/>
      <c r="G1821" s="51"/>
      <c r="H1821" s="51"/>
      <c r="I1821" s="51"/>
      <c r="J1821" s="51"/>
      <c r="K1821" s="51"/>
      <c r="L1821" s="51"/>
      <c r="M1821" s="35"/>
      <c r="N1821" s="51"/>
      <c r="O1821" s="82"/>
      <c r="P1821" s="51"/>
      <c r="Q1821" s="338"/>
      <c r="R1821" s="51"/>
      <c r="S1821" s="51"/>
      <c r="T1821" s="338"/>
      <c r="U1821" s="51"/>
      <c r="V1821" s="35"/>
      <c r="W1821" s="364">
        <v>130000</v>
      </c>
      <c r="X1821" s="141"/>
      <c r="Y1821" s="48"/>
      <c r="Z1821" s="48"/>
      <c r="AA1821" s="57"/>
      <c r="AB1821" s="58"/>
      <c r="AC1821" s="58"/>
      <c r="AD1821" s="58"/>
      <c r="AE1821" s="58"/>
    </row>
    <row r="1822" spans="1:31" x14ac:dyDescent="0.3">
      <c r="A1822" s="47">
        <f t="shared" si="411"/>
        <v>1656</v>
      </c>
      <c r="B1822" s="414" t="s">
        <v>2446</v>
      </c>
      <c r="C1822" s="51">
        <f t="shared" si="412"/>
        <v>1081682.26</v>
      </c>
      <c r="D1822" s="51">
        <f t="shared" si="408"/>
        <v>0</v>
      </c>
      <c r="E1822" s="51"/>
      <c r="F1822" s="51"/>
      <c r="G1822" s="51"/>
      <c r="H1822" s="51"/>
      <c r="I1822" s="51"/>
      <c r="J1822" s="51"/>
      <c r="K1822" s="51"/>
      <c r="L1822" s="51"/>
      <c r="M1822" s="35"/>
      <c r="N1822" s="51"/>
      <c r="O1822" s="82"/>
      <c r="P1822" s="51"/>
      <c r="Q1822" s="338"/>
      <c r="R1822" s="51"/>
      <c r="S1822" s="51"/>
      <c r="T1822" s="338"/>
      <c r="U1822" s="51"/>
      <c r="V1822" s="35"/>
      <c r="W1822" s="364">
        <f t="shared" ref="W1822:W1837" si="413">SUM(Y1822:AD1822)</f>
        <v>1081682.26</v>
      </c>
      <c r="X1822" s="141"/>
      <c r="Y1822" s="48">
        <f>231564.89+291690.65+242338.64</f>
        <v>765594.18</v>
      </c>
      <c r="Z1822" s="48"/>
      <c r="AA1822" s="48">
        <v>316088.08</v>
      </c>
      <c r="AB1822" s="48"/>
      <c r="AC1822" s="58"/>
      <c r="AD1822" s="58"/>
      <c r="AE1822" s="58" t="s">
        <v>2447</v>
      </c>
    </row>
    <row r="1823" spans="1:31" x14ac:dyDescent="0.3">
      <c r="A1823" s="47">
        <f t="shared" si="411"/>
        <v>1657</v>
      </c>
      <c r="B1823" s="414" t="s">
        <v>2448</v>
      </c>
      <c r="C1823" s="51">
        <f t="shared" si="412"/>
        <v>942215.24</v>
      </c>
      <c r="D1823" s="51">
        <f t="shared" si="408"/>
        <v>0</v>
      </c>
      <c r="E1823" s="51"/>
      <c r="F1823" s="51"/>
      <c r="G1823" s="51"/>
      <c r="H1823" s="51"/>
      <c r="I1823" s="51"/>
      <c r="J1823" s="51"/>
      <c r="K1823" s="51"/>
      <c r="L1823" s="51"/>
      <c r="M1823" s="35"/>
      <c r="N1823" s="51"/>
      <c r="O1823" s="82"/>
      <c r="P1823" s="51"/>
      <c r="Q1823" s="338"/>
      <c r="R1823" s="51"/>
      <c r="S1823" s="51"/>
      <c r="T1823" s="338"/>
      <c r="U1823" s="51"/>
      <c r="V1823" s="35"/>
      <c r="W1823" s="364">
        <f t="shared" si="413"/>
        <v>942215.24</v>
      </c>
      <c r="X1823" s="141"/>
      <c r="Y1823" s="48">
        <f>125708.59+148778.39+111893.88+121830.8</f>
        <v>508211.66</v>
      </c>
      <c r="Z1823" s="48">
        <v>224644.34</v>
      </c>
      <c r="AA1823" s="48"/>
      <c r="AB1823" s="48"/>
      <c r="AC1823" s="48">
        <v>209359.24</v>
      </c>
      <c r="AD1823" s="58"/>
      <c r="AE1823" s="58" t="s">
        <v>2443</v>
      </c>
    </row>
    <row r="1824" spans="1:31" x14ac:dyDescent="0.3">
      <c r="A1824" s="47">
        <f t="shared" si="411"/>
        <v>1658</v>
      </c>
      <c r="B1824" s="414" t="s">
        <v>2449</v>
      </c>
      <c r="C1824" s="51">
        <f t="shared" si="412"/>
        <v>272126.63</v>
      </c>
      <c r="D1824" s="51">
        <f t="shared" si="408"/>
        <v>0</v>
      </c>
      <c r="E1824" s="51"/>
      <c r="F1824" s="51"/>
      <c r="G1824" s="51"/>
      <c r="H1824" s="51"/>
      <c r="I1824" s="51"/>
      <c r="J1824" s="51"/>
      <c r="K1824" s="51"/>
      <c r="L1824" s="51"/>
      <c r="M1824" s="35"/>
      <c r="N1824" s="51"/>
      <c r="O1824" s="82"/>
      <c r="P1824" s="51"/>
      <c r="Q1824" s="338"/>
      <c r="R1824" s="51"/>
      <c r="S1824" s="51"/>
      <c r="T1824" s="338"/>
      <c r="U1824" s="51"/>
      <c r="V1824" s="35"/>
      <c r="W1824" s="364">
        <f t="shared" si="413"/>
        <v>272126.63</v>
      </c>
      <c r="X1824" s="141"/>
      <c r="Y1824" s="367">
        <v>272126.63</v>
      </c>
      <c r="Z1824" s="48"/>
      <c r="AA1824" s="57"/>
      <c r="AB1824" s="58"/>
      <c r="AC1824" s="58"/>
      <c r="AD1824" s="58"/>
      <c r="AE1824" s="58" t="s">
        <v>1395</v>
      </c>
    </row>
    <row r="1825" spans="1:31" x14ac:dyDescent="0.3">
      <c r="A1825" s="47">
        <f t="shared" si="411"/>
        <v>1659</v>
      </c>
      <c r="B1825" s="414" t="s">
        <v>2450</v>
      </c>
      <c r="C1825" s="51">
        <f t="shared" si="412"/>
        <v>682048.2</v>
      </c>
      <c r="D1825" s="51">
        <f t="shared" si="408"/>
        <v>0</v>
      </c>
      <c r="E1825" s="51"/>
      <c r="F1825" s="51"/>
      <c r="G1825" s="51"/>
      <c r="H1825" s="51"/>
      <c r="I1825" s="51"/>
      <c r="J1825" s="51"/>
      <c r="K1825" s="51"/>
      <c r="L1825" s="51"/>
      <c r="M1825" s="35"/>
      <c r="N1825" s="51"/>
      <c r="O1825" s="82"/>
      <c r="P1825" s="51"/>
      <c r="Q1825" s="338"/>
      <c r="R1825" s="51"/>
      <c r="S1825" s="51"/>
      <c r="T1825" s="338"/>
      <c r="U1825" s="51"/>
      <c r="V1825" s="35"/>
      <c r="W1825" s="364">
        <f t="shared" si="413"/>
        <v>682048.2</v>
      </c>
      <c r="X1825" s="141"/>
      <c r="Y1825" s="187">
        <v>283432.90000000002</v>
      </c>
      <c r="Z1825" s="48"/>
      <c r="AA1825" s="187">
        <v>398615.3</v>
      </c>
      <c r="AB1825" s="187"/>
      <c r="AC1825" s="187"/>
      <c r="AD1825" s="58"/>
      <c r="AE1825" s="58" t="s">
        <v>1395</v>
      </c>
    </row>
    <row r="1826" spans="1:31" x14ac:dyDescent="0.3">
      <c r="A1826" s="47">
        <f t="shared" si="411"/>
        <v>1660</v>
      </c>
      <c r="B1826" s="414" t="s">
        <v>2451</v>
      </c>
      <c r="C1826" s="51">
        <f t="shared" si="412"/>
        <v>709094.34000000008</v>
      </c>
      <c r="D1826" s="51">
        <f t="shared" si="408"/>
        <v>0</v>
      </c>
      <c r="E1826" s="51"/>
      <c r="F1826" s="51"/>
      <c r="G1826" s="51"/>
      <c r="H1826" s="51"/>
      <c r="I1826" s="51"/>
      <c r="J1826" s="51"/>
      <c r="K1826" s="51"/>
      <c r="L1826" s="51"/>
      <c r="M1826" s="35"/>
      <c r="N1826" s="51"/>
      <c r="O1826" s="82"/>
      <c r="P1826" s="51"/>
      <c r="Q1826" s="338"/>
      <c r="R1826" s="51"/>
      <c r="S1826" s="51"/>
      <c r="T1826" s="338"/>
      <c r="U1826" s="51"/>
      <c r="V1826" s="35"/>
      <c r="W1826" s="364">
        <f t="shared" si="413"/>
        <v>709094.34000000008</v>
      </c>
      <c r="X1826" s="141"/>
      <c r="Y1826" s="187">
        <f>208813.66+221173.84</f>
        <v>429987.5</v>
      </c>
      <c r="Z1826" s="187"/>
      <c r="AA1826" s="187">
        <v>279106.84000000003</v>
      </c>
      <c r="AB1826" s="187"/>
      <c r="AC1826" s="187"/>
      <c r="AD1826" s="58"/>
      <c r="AE1826" s="58" t="s">
        <v>2452</v>
      </c>
    </row>
    <row r="1827" spans="1:31" x14ac:dyDescent="0.3">
      <c r="A1827" s="47">
        <f t="shared" si="411"/>
        <v>1661</v>
      </c>
      <c r="B1827" s="414" t="s">
        <v>2453</v>
      </c>
      <c r="C1827" s="51">
        <f t="shared" si="412"/>
        <v>11125673.660000002</v>
      </c>
      <c r="D1827" s="51">
        <f t="shared" si="408"/>
        <v>0</v>
      </c>
      <c r="E1827" s="51"/>
      <c r="F1827" s="51"/>
      <c r="G1827" s="51"/>
      <c r="H1827" s="51"/>
      <c r="I1827" s="51"/>
      <c r="J1827" s="51"/>
      <c r="K1827" s="51"/>
      <c r="L1827" s="51"/>
      <c r="M1827" s="35">
        <v>1323.4</v>
      </c>
      <c r="N1827" s="51">
        <f>M1827*8094</f>
        <v>10711599.600000001</v>
      </c>
      <c r="O1827" s="82"/>
      <c r="P1827" s="51"/>
      <c r="Q1827" s="338"/>
      <c r="R1827" s="51"/>
      <c r="S1827" s="51"/>
      <c r="T1827" s="338"/>
      <c r="U1827" s="51"/>
      <c r="V1827" s="35"/>
      <c r="W1827" s="364">
        <f t="shared" si="413"/>
        <v>414074.06</v>
      </c>
      <c r="X1827" s="141"/>
      <c r="Y1827" s="48">
        <f>175869.02+238205.04</f>
        <v>414074.06</v>
      </c>
      <c r="Z1827" s="48"/>
      <c r="AA1827" s="187"/>
      <c r="AB1827" s="187"/>
      <c r="AC1827" s="187"/>
      <c r="AD1827" s="58"/>
      <c r="AE1827" s="58" t="s">
        <v>1556</v>
      </c>
    </row>
    <row r="1828" spans="1:31" x14ac:dyDescent="0.3">
      <c r="A1828" s="47">
        <f t="shared" si="411"/>
        <v>1662</v>
      </c>
      <c r="B1828" s="414" t="s">
        <v>2454</v>
      </c>
      <c r="C1828" s="51">
        <f t="shared" si="412"/>
        <v>583349.74</v>
      </c>
      <c r="D1828" s="51">
        <f t="shared" si="408"/>
        <v>0</v>
      </c>
      <c r="E1828" s="51"/>
      <c r="F1828" s="51"/>
      <c r="G1828" s="51"/>
      <c r="H1828" s="51"/>
      <c r="I1828" s="51"/>
      <c r="J1828" s="51"/>
      <c r="K1828" s="51"/>
      <c r="L1828" s="51"/>
      <c r="M1828" s="35"/>
      <c r="N1828" s="51"/>
      <c r="O1828" s="82"/>
      <c r="P1828" s="51"/>
      <c r="Q1828" s="338"/>
      <c r="R1828" s="51"/>
      <c r="S1828" s="51"/>
      <c r="T1828" s="338"/>
      <c r="U1828" s="51"/>
      <c r="V1828" s="35"/>
      <c r="W1828" s="364">
        <f t="shared" si="413"/>
        <v>583349.74</v>
      </c>
      <c r="X1828" s="141"/>
      <c r="Y1828" s="48">
        <f>100030.39+97720.84+97720.84+117960.68</f>
        <v>413432.74999999994</v>
      </c>
      <c r="Z1828" s="48"/>
      <c r="AA1828" s="187"/>
      <c r="AB1828" s="187"/>
      <c r="AC1828" s="48">
        <v>169916.99</v>
      </c>
      <c r="AD1828" s="58"/>
      <c r="AE1828" s="58" t="s">
        <v>2455</v>
      </c>
    </row>
    <row r="1829" spans="1:31" x14ac:dyDescent="0.3">
      <c r="A1829" s="47">
        <f t="shared" si="411"/>
        <v>1663</v>
      </c>
      <c r="B1829" s="414" t="s">
        <v>2456</v>
      </c>
      <c r="C1829" s="51">
        <f t="shared" si="412"/>
        <v>470158.76</v>
      </c>
      <c r="D1829" s="51">
        <f t="shared" si="408"/>
        <v>0</v>
      </c>
      <c r="E1829" s="51"/>
      <c r="F1829" s="51"/>
      <c r="G1829" s="51"/>
      <c r="H1829" s="51"/>
      <c r="I1829" s="51"/>
      <c r="J1829" s="51"/>
      <c r="K1829" s="51"/>
      <c r="L1829" s="51"/>
      <c r="M1829" s="35"/>
      <c r="N1829" s="51"/>
      <c r="O1829" s="82"/>
      <c r="P1829" s="51"/>
      <c r="Q1829" s="338"/>
      <c r="R1829" s="51"/>
      <c r="S1829" s="51"/>
      <c r="T1829" s="338"/>
      <c r="U1829" s="51"/>
      <c r="V1829" s="35"/>
      <c r="W1829" s="364">
        <f t="shared" si="413"/>
        <v>470158.76</v>
      </c>
      <c r="X1829" s="141"/>
      <c r="Y1829" s="48">
        <f>80302.39+77365.84+77365.84+95096.21</f>
        <v>330130.27999999997</v>
      </c>
      <c r="Z1829" s="48"/>
      <c r="AA1829" s="48"/>
      <c r="AB1829" s="48"/>
      <c r="AC1829" s="48">
        <v>140028.48000000001</v>
      </c>
      <c r="AD1829" s="58"/>
      <c r="AE1829" s="58" t="s">
        <v>2455</v>
      </c>
    </row>
    <row r="1830" spans="1:31" x14ac:dyDescent="0.3">
      <c r="A1830" s="47">
        <f t="shared" si="411"/>
        <v>1664</v>
      </c>
      <c r="B1830" s="414" t="s">
        <v>2457</v>
      </c>
      <c r="C1830" s="51">
        <f t="shared" si="412"/>
        <v>256782.18</v>
      </c>
      <c r="D1830" s="51">
        <f t="shared" si="408"/>
        <v>0</v>
      </c>
      <c r="E1830" s="51"/>
      <c r="F1830" s="51"/>
      <c r="G1830" s="51"/>
      <c r="H1830" s="51"/>
      <c r="I1830" s="51"/>
      <c r="J1830" s="51"/>
      <c r="K1830" s="51"/>
      <c r="L1830" s="51"/>
      <c r="M1830" s="35"/>
      <c r="N1830" s="51"/>
      <c r="O1830" s="82"/>
      <c r="P1830" s="51"/>
      <c r="Q1830" s="338"/>
      <c r="R1830" s="51"/>
      <c r="S1830" s="51"/>
      <c r="T1830" s="338"/>
      <c r="U1830" s="51"/>
      <c r="V1830" s="35"/>
      <c r="W1830" s="364">
        <f t="shared" si="413"/>
        <v>256782.18</v>
      </c>
      <c r="X1830" s="141"/>
      <c r="Y1830" s="48"/>
      <c r="Z1830" s="48"/>
      <c r="AA1830" s="187">
        <v>256782.18</v>
      </c>
      <c r="AB1830" s="187"/>
      <c r="AC1830" s="58"/>
      <c r="AD1830" s="58"/>
      <c r="AE1830" s="58"/>
    </row>
    <row r="1831" spans="1:31" x14ac:dyDescent="0.3">
      <c r="A1831" s="47">
        <f>A1830+1</f>
        <v>1665</v>
      </c>
      <c r="B1831" s="414" t="s">
        <v>2458</v>
      </c>
      <c r="C1831" s="51">
        <f t="shared" si="412"/>
        <v>1665216.6400000001</v>
      </c>
      <c r="D1831" s="51">
        <f t="shared" si="408"/>
        <v>1076352.2</v>
      </c>
      <c r="E1831" s="51">
        <v>953996.2</v>
      </c>
      <c r="F1831" s="51">
        <f>13*5502</f>
        <v>71526</v>
      </c>
      <c r="G1831" s="51">
        <f>13*3910</f>
        <v>50830</v>
      </c>
      <c r="H1831" s="51"/>
      <c r="I1831" s="51"/>
      <c r="J1831" s="51"/>
      <c r="K1831" s="51"/>
      <c r="L1831" s="51"/>
      <c r="M1831" s="35"/>
      <c r="N1831" s="426"/>
      <c r="O1831" s="82"/>
      <c r="P1831" s="51"/>
      <c r="Q1831" s="338"/>
      <c r="R1831" s="51"/>
      <c r="S1831" s="51"/>
      <c r="T1831" s="338"/>
      <c r="U1831" s="51"/>
      <c r="V1831" s="35"/>
      <c r="W1831" s="364">
        <f t="shared" si="413"/>
        <v>588864.44000000006</v>
      </c>
      <c r="X1831" s="141"/>
      <c r="Y1831" s="48">
        <f>136724.39+142917.41+177610.31+131612.33</f>
        <v>588864.44000000006</v>
      </c>
      <c r="Z1831" s="48"/>
      <c r="AA1831" s="187"/>
      <c r="AB1831" s="187"/>
      <c r="AC1831" s="58"/>
      <c r="AD1831" s="58"/>
      <c r="AE1831" s="58" t="s">
        <v>2459</v>
      </c>
    </row>
    <row r="1832" spans="1:31" x14ac:dyDescent="0.3">
      <c r="A1832" s="47">
        <f t="shared" si="411"/>
        <v>1666</v>
      </c>
      <c r="B1832" s="414" t="s">
        <v>2460</v>
      </c>
      <c r="C1832" s="51">
        <f t="shared" si="412"/>
        <v>315676.07</v>
      </c>
      <c r="D1832" s="51">
        <f t="shared" si="408"/>
        <v>0</v>
      </c>
      <c r="E1832" s="51"/>
      <c r="F1832" s="51"/>
      <c r="G1832" s="51"/>
      <c r="H1832" s="51"/>
      <c r="I1832" s="51"/>
      <c r="J1832" s="51"/>
      <c r="K1832" s="51"/>
      <c r="L1832" s="51"/>
      <c r="M1832" s="35"/>
      <c r="N1832" s="51"/>
      <c r="O1832" s="82"/>
      <c r="P1832" s="51"/>
      <c r="Q1832" s="338"/>
      <c r="R1832" s="51"/>
      <c r="S1832" s="51"/>
      <c r="T1832" s="338"/>
      <c r="U1832" s="51"/>
      <c r="V1832" s="35"/>
      <c r="W1832" s="364">
        <f t="shared" si="413"/>
        <v>315676.07</v>
      </c>
      <c r="X1832" s="141"/>
      <c r="Y1832" s="48"/>
      <c r="Z1832" s="48"/>
      <c r="AA1832" s="187">
        <v>315676.07</v>
      </c>
      <c r="AB1832" s="187"/>
      <c r="AC1832" s="58"/>
      <c r="AD1832" s="58"/>
      <c r="AE1832" s="58"/>
    </row>
    <row r="1833" spans="1:31" x14ac:dyDescent="0.3">
      <c r="A1833" s="47">
        <f t="shared" si="411"/>
        <v>1667</v>
      </c>
      <c r="B1833" s="414" t="s">
        <v>2461</v>
      </c>
      <c r="C1833" s="51">
        <f t="shared" si="412"/>
        <v>221569.5</v>
      </c>
      <c r="D1833" s="51">
        <f t="shared" si="408"/>
        <v>0</v>
      </c>
      <c r="E1833" s="51"/>
      <c r="F1833" s="51"/>
      <c r="G1833" s="51"/>
      <c r="H1833" s="51"/>
      <c r="I1833" s="51"/>
      <c r="J1833" s="51"/>
      <c r="K1833" s="51"/>
      <c r="L1833" s="51"/>
      <c r="M1833" s="35"/>
      <c r="N1833" s="51"/>
      <c r="O1833" s="82"/>
      <c r="P1833" s="51"/>
      <c r="Q1833" s="338"/>
      <c r="R1833" s="51"/>
      <c r="S1833" s="51"/>
      <c r="T1833" s="338"/>
      <c r="U1833" s="51"/>
      <c r="V1833" s="35"/>
      <c r="W1833" s="364">
        <f t="shared" si="413"/>
        <v>221569.5</v>
      </c>
      <c r="X1833" s="141"/>
      <c r="Y1833" s="48">
        <f>68786.75+83563.73+69219.02</f>
        <v>221569.5</v>
      </c>
      <c r="Z1833" s="48"/>
      <c r="AA1833" s="48"/>
      <c r="AB1833" s="48"/>
      <c r="AC1833" s="58"/>
      <c r="AD1833" s="58"/>
      <c r="AE1833" s="58" t="s">
        <v>2462</v>
      </c>
    </row>
    <row r="1834" spans="1:31" x14ac:dyDescent="0.3">
      <c r="A1834" s="47">
        <f t="shared" si="411"/>
        <v>1668</v>
      </c>
      <c r="B1834" s="414" t="s">
        <v>2463</v>
      </c>
      <c r="C1834" s="51">
        <f t="shared" si="412"/>
        <v>327068.03000000003</v>
      </c>
      <c r="D1834" s="51">
        <f t="shared" si="408"/>
        <v>0</v>
      </c>
      <c r="E1834" s="51"/>
      <c r="F1834" s="51"/>
      <c r="G1834" s="51"/>
      <c r="H1834" s="51"/>
      <c r="I1834" s="51"/>
      <c r="J1834" s="51"/>
      <c r="K1834" s="51"/>
      <c r="L1834" s="51"/>
      <c r="M1834" s="35"/>
      <c r="N1834" s="51"/>
      <c r="O1834" s="82"/>
      <c r="P1834" s="51"/>
      <c r="Q1834" s="338"/>
      <c r="R1834" s="51"/>
      <c r="S1834" s="51"/>
      <c r="T1834" s="338"/>
      <c r="U1834" s="51"/>
      <c r="V1834" s="35"/>
      <c r="W1834" s="364">
        <f t="shared" si="413"/>
        <v>327068.03000000003</v>
      </c>
      <c r="X1834" s="141"/>
      <c r="Y1834" s="48">
        <v>99656.44</v>
      </c>
      <c r="Z1834" s="48"/>
      <c r="AA1834" s="48">
        <v>227411.59</v>
      </c>
      <c r="AB1834" s="48"/>
      <c r="AC1834" s="58"/>
      <c r="AD1834" s="58"/>
      <c r="AE1834" s="58" t="s">
        <v>1438</v>
      </c>
    </row>
    <row r="1835" spans="1:31" x14ac:dyDescent="0.3">
      <c r="A1835" s="47">
        <f t="shared" si="411"/>
        <v>1669</v>
      </c>
      <c r="B1835" s="414" t="s">
        <v>2464</v>
      </c>
      <c r="C1835" s="51">
        <f t="shared" si="412"/>
        <v>583541.04</v>
      </c>
      <c r="D1835" s="51">
        <f t="shared" si="408"/>
        <v>0</v>
      </c>
      <c r="E1835" s="51"/>
      <c r="F1835" s="51"/>
      <c r="G1835" s="51"/>
      <c r="H1835" s="51"/>
      <c r="I1835" s="51"/>
      <c r="J1835" s="51"/>
      <c r="K1835" s="51"/>
      <c r="L1835" s="51"/>
      <c r="M1835" s="35"/>
      <c r="N1835" s="51"/>
      <c r="O1835" s="82"/>
      <c r="P1835" s="51"/>
      <c r="Q1835" s="338"/>
      <c r="R1835" s="51"/>
      <c r="S1835" s="51"/>
      <c r="T1835" s="338"/>
      <c r="U1835" s="51"/>
      <c r="V1835" s="35"/>
      <c r="W1835" s="364">
        <f t="shared" si="413"/>
        <v>583541.04</v>
      </c>
      <c r="X1835" s="141"/>
      <c r="Y1835" s="48">
        <v>115665.85</v>
      </c>
      <c r="Z1835" s="48"/>
      <c r="AA1835" s="48">
        <v>467875.19</v>
      </c>
      <c r="AB1835" s="48"/>
      <c r="AC1835" s="58"/>
      <c r="AD1835" s="58"/>
      <c r="AE1835" s="58" t="s">
        <v>1360</v>
      </c>
    </row>
    <row r="1836" spans="1:31" x14ac:dyDescent="0.3">
      <c r="A1836" s="47">
        <f t="shared" si="411"/>
        <v>1670</v>
      </c>
      <c r="B1836" s="414" t="s">
        <v>2465</v>
      </c>
      <c r="C1836" s="51">
        <f t="shared" si="412"/>
        <v>117965.82</v>
      </c>
      <c r="D1836" s="51">
        <f t="shared" si="408"/>
        <v>0</v>
      </c>
      <c r="E1836" s="51"/>
      <c r="F1836" s="51"/>
      <c r="G1836" s="51"/>
      <c r="H1836" s="51"/>
      <c r="I1836" s="51"/>
      <c r="J1836" s="51"/>
      <c r="K1836" s="51"/>
      <c r="L1836" s="51"/>
      <c r="M1836" s="35"/>
      <c r="N1836" s="51"/>
      <c r="O1836" s="82"/>
      <c r="P1836" s="51"/>
      <c r="Q1836" s="338"/>
      <c r="R1836" s="51"/>
      <c r="S1836" s="51"/>
      <c r="T1836" s="338"/>
      <c r="U1836" s="51"/>
      <c r="V1836" s="35"/>
      <c r="W1836" s="364">
        <f t="shared" si="413"/>
        <v>117965.82</v>
      </c>
      <c r="X1836" s="141"/>
      <c r="Y1836" s="48">
        <v>117965.82</v>
      </c>
      <c r="Z1836" s="48"/>
      <c r="AA1836" s="48"/>
      <c r="AB1836" s="48"/>
      <c r="AC1836" s="58"/>
      <c r="AD1836" s="58"/>
      <c r="AE1836" s="58" t="s">
        <v>1360</v>
      </c>
    </row>
    <row r="1837" spans="1:31" x14ac:dyDescent="0.3">
      <c r="A1837" s="47">
        <f>A1836+1</f>
        <v>1671</v>
      </c>
      <c r="B1837" s="414" t="s">
        <v>2466</v>
      </c>
      <c r="C1837" s="51">
        <f t="shared" si="412"/>
        <v>966033.44</v>
      </c>
      <c r="D1837" s="51">
        <f t="shared" si="408"/>
        <v>873946</v>
      </c>
      <c r="E1837" s="51">
        <f>(13*2688)+(2*358323)</f>
        <v>751590</v>
      </c>
      <c r="F1837" s="51">
        <f>13*5502</f>
        <v>71526</v>
      </c>
      <c r="G1837" s="51">
        <f>13*3910</f>
        <v>50830</v>
      </c>
      <c r="H1837" s="51"/>
      <c r="I1837" s="51"/>
      <c r="J1837" s="51"/>
      <c r="K1837" s="51"/>
      <c r="L1837" s="51"/>
      <c r="M1837" s="35"/>
      <c r="N1837" s="51"/>
      <c r="O1837" s="82"/>
      <c r="P1837" s="51"/>
      <c r="Q1837" s="338"/>
      <c r="R1837" s="51"/>
      <c r="S1837" s="51"/>
      <c r="T1837" s="338"/>
      <c r="U1837" s="51"/>
      <c r="V1837" s="35"/>
      <c r="W1837" s="364">
        <f t="shared" si="413"/>
        <v>92087.44</v>
      </c>
      <c r="X1837" s="141"/>
      <c r="Y1837" s="48">
        <v>92087.44</v>
      </c>
      <c r="Z1837" s="48"/>
      <c r="AA1837" s="48"/>
      <c r="AB1837" s="48"/>
      <c r="AC1837" s="58"/>
      <c r="AD1837" s="58"/>
      <c r="AE1837" s="58" t="s">
        <v>25</v>
      </c>
    </row>
    <row r="1838" spans="1:31" x14ac:dyDescent="0.3">
      <c r="A1838" s="47">
        <f t="shared" si="411"/>
        <v>1672</v>
      </c>
      <c r="B1838" s="414" t="s">
        <v>2467</v>
      </c>
      <c r="C1838" s="51">
        <f t="shared" si="412"/>
        <v>130000</v>
      </c>
      <c r="D1838" s="51">
        <f t="shared" si="408"/>
        <v>0</v>
      </c>
      <c r="E1838" s="51"/>
      <c r="F1838" s="51"/>
      <c r="G1838" s="51"/>
      <c r="H1838" s="51"/>
      <c r="I1838" s="51"/>
      <c r="J1838" s="51"/>
      <c r="K1838" s="51"/>
      <c r="L1838" s="51"/>
      <c r="M1838" s="35"/>
      <c r="N1838" s="51"/>
      <c r="O1838" s="82"/>
      <c r="P1838" s="51"/>
      <c r="Q1838" s="338"/>
      <c r="R1838" s="51"/>
      <c r="S1838" s="51"/>
      <c r="T1838" s="338"/>
      <c r="U1838" s="51"/>
      <c r="V1838" s="35"/>
      <c r="W1838" s="364">
        <v>130000</v>
      </c>
      <c r="X1838" s="141"/>
      <c r="Y1838" s="48"/>
      <c r="Z1838" s="48"/>
      <c r="AA1838" s="57"/>
      <c r="AB1838" s="58"/>
      <c r="AC1838" s="58"/>
      <c r="AD1838" s="58"/>
      <c r="AE1838" s="58"/>
    </row>
    <row r="1839" spans="1:31" x14ac:dyDescent="0.3">
      <c r="A1839" s="47">
        <f t="shared" si="411"/>
        <v>1673</v>
      </c>
      <c r="B1839" s="414" t="s">
        <v>2468</v>
      </c>
      <c r="C1839" s="51">
        <f t="shared" si="412"/>
        <v>396034.68000000005</v>
      </c>
      <c r="D1839" s="51">
        <f t="shared" si="408"/>
        <v>0</v>
      </c>
      <c r="E1839" s="51"/>
      <c r="F1839" s="51"/>
      <c r="G1839" s="51"/>
      <c r="H1839" s="51"/>
      <c r="I1839" s="51"/>
      <c r="J1839" s="51"/>
      <c r="K1839" s="51"/>
      <c r="L1839" s="51"/>
      <c r="M1839" s="35"/>
      <c r="N1839" s="51"/>
      <c r="O1839" s="82"/>
      <c r="P1839" s="51"/>
      <c r="Q1839" s="338"/>
      <c r="R1839" s="51"/>
      <c r="S1839" s="51"/>
      <c r="T1839" s="338"/>
      <c r="U1839" s="51"/>
      <c r="V1839" s="35"/>
      <c r="W1839" s="364">
        <f>SUM(Y1839:AD1839)</f>
        <v>396034.68000000005</v>
      </c>
      <c r="X1839" s="141"/>
      <c r="Y1839" s="48">
        <f>78255.1
+75369.38
+93046</f>
        <v>246670.48</v>
      </c>
      <c r="Z1839" s="48">
        <v>149364.20000000001</v>
      </c>
      <c r="AA1839" s="57"/>
      <c r="AB1839" s="48"/>
      <c r="AC1839" s="58"/>
      <c r="AD1839" s="58"/>
      <c r="AE1839" s="58" t="s">
        <v>1426</v>
      </c>
    </row>
    <row r="1840" spans="1:31" x14ac:dyDescent="0.3">
      <c r="A1840" s="47">
        <f t="shared" si="411"/>
        <v>1674</v>
      </c>
      <c r="B1840" s="414" t="s">
        <v>2469</v>
      </c>
      <c r="C1840" s="51">
        <f t="shared" si="412"/>
        <v>130000</v>
      </c>
      <c r="D1840" s="51">
        <f t="shared" si="408"/>
        <v>0</v>
      </c>
      <c r="E1840" s="51"/>
      <c r="F1840" s="51"/>
      <c r="G1840" s="51"/>
      <c r="H1840" s="51"/>
      <c r="I1840" s="51"/>
      <c r="J1840" s="51"/>
      <c r="K1840" s="51"/>
      <c r="L1840" s="51"/>
      <c r="M1840" s="35"/>
      <c r="N1840" s="51"/>
      <c r="O1840" s="82"/>
      <c r="P1840" s="51"/>
      <c r="Q1840" s="338"/>
      <c r="R1840" s="51"/>
      <c r="S1840" s="51"/>
      <c r="T1840" s="338"/>
      <c r="U1840" s="51"/>
      <c r="V1840" s="35"/>
      <c r="W1840" s="364">
        <v>130000</v>
      </c>
      <c r="X1840" s="141"/>
      <c r="Y1840" s="48"/>
      <c r="Z1840" s="48"/>
      <c r="AA1840" s="57"/>
      <c r="AB1840" s="48"/>
      <c r="AC1840" s="58"/>
      <c r="AD1840" s="58"/>
      <c r="AE1840" s="58"/>
    </row>
    <row r="1841" spans="1:31" x14ac:dyDescent="0.3">
      <c r="A1841" s="47">
        <f t="shared" si="411"/>
        <v>1675</v>
      </c>
      <c r="B1841" s="414" t="s">
        <v>2470</v>
      </c>
      <c r="C1841" s="51">
        <f t="shared" si="412"/>
        <v>2836707.37</v>
      </c>
      <c r="D1841" s="51">
        <f t="shared" si="408"/>
        <v>1877986</v>
      </c>
      <c r="E1841" s="51">
        <v>1755630</v>
      </c>
      <c r="F1841" s="51">
        <f>13*5502</f>
        <v>71526</v>
      </c>
      <c r="G1841" s="51">
        <f>13*3910</f>
        <v>50830</v>
      </c>
      <c r="H1841" s="51"/>
      <c r="I1841" s="51"/>
      <c r="J1841" s="51"/>
      <c r="K1841" s="51"/>
      <c r="L1841" s="51"/>
      <c r="M1841" s="35"/>
      <c r="N1841" s="51"/>
      <c r="O1841" s="82"/>
      <c r="P1841" s="51"/>
      <c r="Q1841" s="338"/>
      <c r="R1841" s="51"/>
      <c r="S1841" s="51"/>
      <c r="T1841" s="338"/>
      <c r="U1841" s="51"/>
      <c r="V1841" s="35"/>
      <c r="W1841" s="364">
        <f t="shared" ref="W1841:W1873" si="414">SUM(Y1841:AD1841)</f>
        <v>958721.37</v>
      </c>
      <c r="X1841" s="141"/>
      <c r="Y1841" s="48">
        <f>216876.3+223525.88+283457.52+234861.67</f>
        <v>958721.37</v>
      </c>
      <c r="Z1841" s="48"/>
      <c r="AA1841" s="57"/>
      <c r="AB1841" s="48"/>
      <c r="AC1841" s="58"/>
      <c r="AD1841" s="58"/>
      <c r="AE1841" s="58" t="s">
        <v>2471</v>
      </c>
    </row>
    <row r="1842" spans="1:31" x14ac:dyDescent="0.3">
      <c r="A1842" s="47">
        <f t="shared" si="411"/>
        <v>1676</v>
      </c>
      <c r="B1842" s="414" t="s">
        <v>2472</v>
      </c>
      <c r="C1842" s="51">
        <f t="shared" si="412"/>
        <v>2482975.79</v>
      </c>
      <c r="D1842" s="51">
        <f t="shared" si="408"/>
        <v>1530289.6</v>
      </c>
      <c r="E1842" s="51">
        <v>1407933.6</v>
      </c>
      <c r="F1842" s="51">
        <f>13*5502</f>
        <v>71526</v>
      </c>
      <c r="G1842" s="51">
        <f>13*3910</f>
        <v>50830</v>
      </c>
      <c r="H1842" s="51"/>
      <c r="I1842" s="51"/>
      <c r="J1842" s="51"/>
      <c r="K1842" s="51"/>
      <c r="L1842" s="51"/>
      <c r="M1842" s="35"/>
      <c r="N1842" s="51"/>
      <c r="O1842" s="82"/>
      <c r="P1842" s="51"/>
      <c r="Q1842" s="338"/>
      <c r="R1842" s="51"/>
      <c r="S1842" s="51"/>
      <c r="T1842" s="338"/>
      <c r="U1842" s="51"/>
      <c r="V1842" s="35"/>
      <c r="W1842" s="364">
        <f t="shared" si="414"/>
        <v>952686.19</v>
      </c>
      <c r="X1842" s="141"/>
      <c r="Y1842" s="48">
        <f>226603.16+286608.07+219737.48+219737.48</f>
        <v>952686.19</v>
      </c>
      <c r="Z1842" s="9"/>
      <c r="AA1842" s="57"/>
      <c r="AB1842" s="48"/>
      <c r="AC1842" s="58"/>
      <c r="AD1842" s="58"/>
      <c r="AE1842" s="58" t="s">
        <v>2473</v>
      </c>
    </row>
    <row r="1843" spans="1:31" x14ac:dyDescent="0.3">
      <c r="A1843" s="47">
        <f t="shared" si="411"/>
        <v>1677</v>
      </c>
      <c r="B1843" s="414" t="s">
        <v>2474</v>
      </c>
      <c r="C1843" s="51">
        <f t="shared" si="412"/>
        <v>2777872.67</v>
      </c>
      <c r="D1843" s="51">
        <f t="shared" si="408"/>
        <v>1864826.8</v>
      </c>
      <c r="E1843" s="51">
        <v>1742470.8</v>
      </c>
      <c r="F1843" s="51">
        <f>13*5502</f>
        <v>71526</v>
      </c>
      <c r="G1843" s="51">
        <f>13*3910</f>
        <v>50830</v>
      </c>
      <c r="H1843" s="51"/>
      <c r="I1843" s="51"/>
      <c r="J1843" s="51"/>
      <c r="K1843" s="51"/>
      <c r="L1843" s="51"/>
      <c r="M1843" s="35"/>
      <c r="N1843" s="51"/>
      <c r="O1843" s="82"/>
      <c r="P1843" s="51"/>
      <c r="Q1843" s="338"/>
      <c r="R1843" s="51"/>
      <c r="S1843" s="51"/>
      <c r="T1843" s="338"/>
      <c r="U1843" s="51"/>
      <c r="V1843" s="35"/>
      <c r="W1843" s="364">
        <f t="shared" si="414"/>
        <v>913045.87</v>
      </c>
      <c r="X1843" s="141"/>
      <c r="Y1843" s="48">
        <f>195971.28+250605.2+191241.28</f>
        <v>637817.76</v>
      </c>
      <c r="Z1843" s="48"/>
      <c r="AA1843" s="57">
        <v>275228.11</v>
      </c>
      <c r="AB1843" s="48"/>
      <c r="AC1843" s="58"/>
      <c r="AD1843" s="58"/>
      <c r="AE1843" s="58" t="s">
        <v>2475</v>
      </c>
    </row>
    <row r="1844" spans="1:31" x14ac:dyDescent="0.3">
      <c r="A1844" s="47">
        <f t="shared" si="411"/>
        <v>1678</v>
      </c>
      <c r="B1844" s="414" t="s">
        <v>2476</v>
      </c>
      <c r="C1844" s="51">
        <f t="shared" si="412"/>
        <v>644428.51</v>
      </c>
      <c r="D1844" s="51">
        <f t="shared" si="408"/>
        <v>0</v>
      </c>
      <c r="E1844" s="51"/>
      <c r="F1844" s="51"/>
      <c r="G1844" s="51"/>
      <c r="H1844" s="51"/>
      <c r="I1844" s="51"/>
      <c r="J1844" s="51"/>
      <c r="K1844" s="51"/>
      <c r="L1844" s="51"/>
      <c r="M1844" s="35"/>
      <c r="N1844" s="51"/>
      <c r="O1844" s="82"/>
      <c r="P1844" s="51"/>
      <c r="Q1844" s="338"/>
      <c r="R1844" s="51"/>
      <c r="S1844" s="51"/>
      <c r="T1844" s="338"/>
      <c r="U1844" s="51"/>
      <c r="V1844" s="35"/>
      <c r="W1844" s="364">
        <f t="shared" si="414"/>
        <v>644428.51</v>
      </c>
      <c r="X1844" s="141"/>
      <c r="Y1844" s="48">
        <f>83437.22+80422.9+80422.9+98235.61</f>
        <v>342518.63</v>
      </c>
      <c r="Z1844" s="48">
        <v>157157.26</v>
      </c>
      <c r="AA1844" s="48"/>
      <c r="AB1844" s="48"/>
      <c r="AC1844" s="48">
        <v>144752.62</v>
      </c>
      <c r="AD1844" s="58"/>
      <c r="AE1844" s="58" t="s">
        <v>2477</v>
      </c>
    </row>
    <row r="1845" spans="1:31" x14ac:dyDescent="0.3">
      <c r="A1845" s="47">
        <f t="shared" si="411"/>
        <v>1679</v>
      </c>
      <c r="B1845" s="414" t="s">
        <v>2478</v>
      </c>
      <c r="C1845" s="51">
        <f t="shared" si="412"/>
        <v>662598.6</v>
      </c>
      <c r="D1845" s="51">
        <f t="shared" si="408"/>
        <v>0</v>
      </c>
      <c r="E1845" s="51"/>
      <c r="F1845" s="51"/>
      <c r="G1845" s="51"/>
      <c r="H1845" s="51"/>
      <c r="I1845" s="51"/>
      <c r="J1845" s="51"/>
      <c r="K1845" s="51"/>
      <c r="L1845" s="51"/>
      <c r="M1845" s="35"/>
      <c r="N1845" s="51"/>
      <c r="O1845" s="82"/>
      <c r="P1845" s="51"/>
      <c r="Q1845" s="338"/>
      <c r="R1845" s="51"/>
      <c r="S1845" s="51"/>
      <c r="T1845" s="338"/>
      <c r="U1845" s="51"/>
      <c r="V1845" s="35"/>
      <c r="W1845" s="364">
        <f t="shared" si="414"/>
        <v>662598.6</v>
      </c>
      <c r="X1845" s="141"/>
      <c r="Y1845" s="48">
        <f>85174.2+83312.22+83312.22+103078.24</f>
        <v>354876.88</v>
      </c>
      <c r="Z1845" s="48">
        <v>160222.38</v>
      </c>
      <c r="AA1845" s="48"/>
      <c r="AB1845" s="48"/>
      <c r="AC1845" s="48">
        <v>147499.34</v>
      </c>
      <c r="AD1845" s="58"/>
      <c r="AE1845" s="58" t="s">
        <v>2477</v>
      </c>
    </row>
    <row r="1846" spans="1:31" x14ac:dyDescent="0.3">
      <c r="A1846" s="47">
        <f t="shared" si="411"/>
        <v>1680</v>
      </c>
      <c r="B1846" s="414" t="s">
        <v>2479</v>
      </c>
      <c r="C1846" s="51">
        <f t="shared" si="412"/>
        <v>471097.56</v>
      </c>
      <c r="D1846" s="51">
        <f t="shared" si="408"/>
        <v>0</v>
      </c>
      <c r="E1846" s="51"/>
      <c r="F1846" s="51"/>
      <c r="G1846" s="51"/>
      <c r="H1846" s="51"/>
      <c r="I1846" s="51"/>
      <c r="J1846" s="51"/>
      <c r="K1846" s="51"/>
      <c r="L1846" s="51"/>
      <c r="M1846" s="35"/>
      <c r="N1846" s="51"/>
      <c r="O1846" s="82"/>
      <c r="P1846" s="51"/>
      <c r="Q1846" s="338"/>
      <c r="R1846" s="51"/>
      <c r="S1846" s="51"/>
      <c r="T1846" s="338"/>
      <c r="U1846" s="51"/>
      <c r="V1846" s="35"/>
      <c r="W1846" s="364">
        <f t="shared" si="414"/>
        <v>471097.56</v>
      </c>
      <c r="X1846" s="141"/>
      <c r="Y1846" s="48">
        <f>100963.06+99257.62+99257.62</f>
        <v>299478.3</v>
      </c>
      <c r="Z1846" s="48"/>
      <c r="AA1846" s="57"/>
      <c r="AB1846" s="48"/>
      <c r="AC1846" s="48">
        <v>171619.26</v>
      </c>
      <c r="AD1846" s="58"/>
      <c r="AE1846" s="58" t="s">
        <v>2480</v>
      </c>
    </row>
    <row r="1847" spans="1:31" x14ac:dyDescent="0.3">
      <c r="A1847" s="47">
        <f t="shared" si="411"/>
        <v>1681</v>
      </c>
      <c r="B1847" s="414" t="s">
        <v>2481</v>
      </c>
      <c r="C1847" s="51">
        <f t="shared" si="412"/>
        <v>722700.96</v>
      </c>
      <c r="D1847" s="51">
        <f t="shared" si="408"/>
        <v>0</v>
      </c>
      <c r="E1847" s="51"/>
      <c r="F1847" s="51"/>
      <c r="G1847" s="51"/>
      <c r="H1847" s="51"/>
      <c r="I1847" s="51"/>
      <c r="J1847" s="51"/>
      <c r="K1847" s="51"/>
      <c r="L1847" s="51"/>
      <c r="M1847" s="35">
        <v>13</v>
      </c>
      <c r="N1847" s="51">
        <f>M1847*8094</f>
        <v>105222</v>
      </c>
      <c r="O1847" s="82"/>
      <c r="P1847" s="51"/>
      <c r="Q1847" s="338"/>
      <c r="R1847" s="51"/>
      <c r="S1847" s="51"/>
      <c r="T1847" s="338"/>
      <c r="U1847" s="51"/>
      <c r="V1847" s="35"/>
      <c r="W1847" s="364">
        <f t="shared" si="414"/>
        <v>617478.96</v>
      </c>
      <c r="X1847" s="141"/>
      <c r="Y1847" s="48">
        <f>344137.57
+273341.39</f>
        <v>617478.96</v>
      </c>
      <c r="Z1847" s="48"/>
      <c r="AA1847" s="57"/>
      <c r="AB1847" s="58"/>
      <c r="AC1847" s="58"/>
      <c r="AD1847" s="58"/>
      <c r="AE1847" s="58" t="s">
        <v>1448</v>
      </c>
    </row>
    <row r="1848" spans="1:31" x14ac:dyDescent="0.3">
      <c r="A1848" s="47">
        <f t="shared" si="411"/>
        <v>1682</v>
      </c>
      <c r="B1848" s="414" t="s">
        <v>2482</v>
      </c>
      <c r="C1848" s="51">
        <f t="shared" si="412"/>
        <v>274786.93</v>
      </c>
      <c r="D1848" s="51">
        <f t="shared" si="408"/>
        <v>0</v>
      </c>
      <c r="E1848" s="51"/>
      <c r="F1848" s="51"/>
      <c r="G1848" s="51"/>
      <c r="H1848" s="51"/>
      <c r="I1848" s="51"/>
      <c r="J1848" s="51"/>
      <c r="K1848" s="51"/>
      <c r="L1848" s="51"/>
      <c r="M1848" s="35"/>
      <c r="N1848" s="51"/>
      <c r="O1848" s="82"/>
      <c r="P1848" s="51"/>
      <c r="Q1848" s="338"/>
      <c r="R1848" s="51"/>
      <c r="S1848" s="51"/>
      <c r="T1848" s="338"/>
      <c r="U1848" s="51"/>
      <c r="V1848" s="35"/>
      <c r="W1848" s="364">
        <f t="shared" si="414"/>
        <v>274786.93</v>
      </c>
      <c r="X1848" s="141"/>
      <c r="Y1848" s="48">
        <v>274786.93</v>
      </c>
      <c r="Z1848" s="48"/>
      <c r="AA1848" s="57"/>
      <c r="AB1848" s="58"/>
      <c r="AC1848" s="58"/>
      <c r="AD1848" s="58"/>
      <c r="AE1848" s="58" t="s">
        <v>1810</v>
      </c>
    </row>
    <row r="1849" spans="1:31" x14ac:dyDescent="0.3">
      <c r="A1849" s="47">
        <f>A1848+1</f>
        <v>1683</v>
      </c>
      <c r="B1849" s="414" t="s">
        <v>2483</v>
      </c>
      <c r="C1849" s="51">
        <f t="shared" ref="C1849:C1880" si="415">D1849+K1849+L1849+N1849+P1849+R1849+S1849+U1849+V1849+W1849</f>
        <v>1044652.12</v>
      </c>
      <c r="D1849" s="51">
        <f t="shared" ref="D1849:D1911" si="416">E1849+F1849+G1849+H1849+I1849</f>
        <v>802420</v>
      </c>
      <c r="E1849" s="51">
        <f>(13*2688)+(2*358323)</f>
        <v>751590</v>
      </c>
      <c r="F1849" s="51"/>
      <c r="G1849" s="51">
        <f>13*3910</f>
        <v>50830</v>
      </c>
      <c r="H1849" s="51"/>
      <c r="I1849" s="51"/>
      <c r="J1849" s="51"/>
      <c r="K1849" s="51"/>
      <c r="L1849" s="51"/>
      <c r="M1849" s="35"/>
      <c r="N1849" s="51"/>
      <c r="O1849" s="82"/>
      <c r="P1849" s="51"/>
      <c r="Q1849" s="338"/>
      <c r="R1849" s="51"/>
      <c r="S1849" s="51"/>
      <c r="T1849" s="338"/>
      <c r="U1849" s="51"/>
      <c r="V1849" s="35"/>
      <c r="W1849" s="364">
        <f t="shared" si="414"/>
        <v>242232.12</v>
      </c>
      <c r="X1849" s="141"/>
      <c r="Y1849" s="48">
        <v>88191.3</v>
      </c>
      <c r="Z1849" s="48"/>
      <c r="AA1849" s="57"/>
      <c r="AB1849" s="58"/>
      <c r="AC1849" s="373">
        <v>154040.82</v>
      </c>
      <c r="AD1849" s="58"/>
      <c r="AE1849" s="58" t="s">
        <v>25</v>
      </c>
    </row>
    <row r="1850" spans="1:31" x14ac:dyDescent="0.3">
      <c r="A1850" s="47">
        <f t="shared" ref="A1850:A1913" si="417">A1849+1</f>
        <v>1684</v>
      </c>
      <c r="B1850" s="414" t="s">
        <v>2484</v>
      </c>
      <c r="C1850" s="51">
        <f t="shared" si="415"/>
        <v>1082120.6099999999</v>
      </c>
      <c r="D1850" s="51">
        <f t="shared" si="416"/>
        <v>0</v>
      </c>
      <c r="E1850" s="51"/>
      <c r="F1850" s="51"/>
      <c r="G1850" s="51"/>
      <c r="H1850" s="51"/>
      <c r="I1850" s="51"/>
      <c r="J1850" s="51"/>
      <c r="K1850" s="51"/>
      <c r="L1850" s="51"/>
      <c r="M1850" s="35"/>
      <c r="N1850" s="51"/>
      <c r="O1850" s="82"/>
      <c r="P1850" s="51"/>
      <c r="Q1850" s="338"/>
      <c r="R1850" s="51"/>
      <c r="S1850" s="51"/>
      <c r="T1850" s="338"/>
      <c r="U1850" s="51"/>
      <c r="V1850" s="35"/>
      <c r="W1850" s="364">
        <f t="shared" si="414"/>
        <v>1082120.6099999999</v>
      </c>
      <c r="X1850" s="141"/>
      <c r="Y1850" s="48">
        <f>167808.08+164231.94+164231.94</f>
        <v>496271.96</v>
      </c>
      <c r="Z1850" s="48"/>
      <c r="AA1850" s="48">
        <v>292301.15999999997</v>
      </c>
      <c r="AB1850" s="48"/>
      <c r="AC1850" s="48">
        <v>293547.49</v>
      </c>
      <c r="AD1850" s="58"/>
      <c r="AE1850" s="58" t="s">
        <v>2480</v>
      </c>
    </row>
    <row r="1851" spans="1:31" ht="31.2" x14ac:dyDescent="0.3">
      <c r="A1851" s="47">
        <f t="shared" si="417"/>
        <v>1685</v>
      </c>
      <c r="B1851" s="414" t="s">
        <v>2485</v>
      </c>
      <c r="C1851" s="51">
        <f t="shared" si="415"/>
        <v>417424.23000000004</v>
      </c>
      <c r="D1851" s="51">
        <f t="shared" si="416"/>
        <v>0</v>
      </c>
      <c r="E1851" s="51"/>
      <c r="F1851" s="51"/>
      <c r="G1851" s="51"/>
      <c r="H1851" s="51"/>
      <c r="I1851" s="51"/>
      <c r="J1851" s="51"/>
      <c r="K1851" s="51"/>
      <c r="L1851" s="51"/>
      <c r="M1851" s="35"/>
      <c r="N1851" s="51"/>
      <c r="O1851" s="82"/>
      <c r="P1851" s="51"/>
      <c r="Q1851" s="338"/>
      <c r="R1851" s="51"/>
      <c r="S1851" s="51"/>
      <c r="T1851" s="338"/>
      <c r="U1851" s="51"/>
      <c r="V1851" s="35"/>
      <c r="W1851" s="364">
        <f t="shared" si="414"/>
        <v>417424.23000000004</v>
      </c>
      <c r="X1851" s="141"/>
      <c r="Y1851" s="48">
        <f>70641.86+67945.09+85421.76+67945.09</f>
        <v>291953.80000000005</v>
      </c>
      <c r="Z1851" s="48"/>
      <c r="AA1851" s="57"/>
      <c r="AB1851" s="58"/>
      <c r="AC1851" s="48">
        <v>125470.43</v>
      </c>
      <c r="AD1851" s="58"/>
      <c r="AE1851" s="57" t="s">
        <v>2486</v>
      </c>
    </row>
    <row r="1852" spans="1:31" x14ac:dyDescent="0.3">
      <c r="A1852" s="47">
        <f t="shared" si="417"/>
        <v>1686</v>
      </c>
      <c r="B1852" s="414" t="s">
        <v>2487</v>
      </c>
      <c r="C1852" s="51">
        <f t="shared" si="415"/>
        <v>559946.32999999996</v>
      </c>
      <c r="D1852" s="51">
        <f t="shared" si="416"/>
        <v>0</v>
      </c>
      <c r="E1852" s="51"/>
      <c r="F1852" s="51"/>
      <c r="G1852" s="51"/>
      <c r="H1852" s="51"/>
      <c r="I1852" s="51"/>
      <c r="J1852" s="51"/>
      <c r="K1852" s="51"/>
      <c r="L1852" s="51"/>
      <c r="M1852" s="35"/>
      <c r="N1852" s="51"/>
      <c r="O1852" s="82"/>
      <c r="P1852" s="51"/>
      <c r="Q1852" s="338"/>
      <c r="R1852" s="51"/>
      <c r="S1852" s="51"/>
      <c r="T1852" s="338"/>
      <c r="U1852" s="51"/>
      <c r="V1852" s="35"/>
      <c r="W1852" s="364">
        <f t="shared" si="414"/>
        <v>559946.32999999996</v>
      </c>
      <c r="X1852" s="141"/>
      <c r="Y1852" s="48">
        <f>133787.99
+125685.49
+125685.49</f>
        <v>385158.97</v>
      </c>
      <c r="Z1852" s="48"/>
      <c r="AA1852" s="48">
        <v>174787.36</v>
      </c>
      <c r="AB1852" s="58"/>
      <c r="AC1852" s="58"/>
      <c r="AD1852" s="58"/>
      <c r="AE1852" s="58" t="s">
        <v>2480</v>
      </c>
    </row>
    <row r="1853" spans="1:31" x14ac:dyDescent="0.3">
      <c r="A1853" s="47">
        <f t="shared" si="417"/>
        <v>1687</v>
      </c>
      <c r="B1853" s="414" t="s">
        <v>2488</v>
      </c>
      <c r="C1853" s="51">
        <f t="shared" si="415"/>
        <v>438557.8</v>
      </c>
      <c r="D1853" s="51">
        <f t="shared" si="416"/>
        <v>0</v>
      </c>
      <c r="E1853" s="51"/>
      <c r="F1853" s="51"/>
      <c r="G1853" s="51"/>
      <c r="H1853" s="51"/>
      <c r="I1853" s="51"/>
      <c r="J1853" s="51"/>
      <c r="K1853" s="51"/>
      <c r="L1853" s="51"/>
      <c r="M1853" s="35"/>
      <c r="N1853" s="51"/>
      <c r="O1853" s="82"/>
      <c r="P1853" s="51"/>
      <c r="Q1853" s="338"/>
      <c r="R1853" s="51"/>
      <c r="S1853" s="51"/>
      <c r="T1853" s="338"/>
      <c r="U1853" s="51"/>
      <c r="V1853" s="35"/>
      <c r="W1853" s="364">
        <f t="shared" si="414"/>
        <v>438557.8</v>
      </c>
      <c r="X1853" s="141"/>
      <c r="Y1853" s="48">
        <f>219278.9+219278.9</f>
        <v>438557.8</v>
      </c>
      <c r="Z1853" s="48"/>
      <c r="AA1853" s="57"/>
      <c r="AB1853" s="58"/>
      <c r="AC1853" s="58"/>
      <c r="AD1853" s="58"/>
      <c r="AE1853" s="58" t="s">
        <v>1475</v>
      </c>
    </row>
    <row r="1854" spans="1:31" x14ac:dyDescent="0.3">
      <c r="A1854" s="47">
        <f t="shared" si="417"/>
        <v>1688</v>
      </c>
      <c r="B1854" s="414" t="s">
        <v>2489</v>
      </c>
      <c r="C1854" s="51">
        <f t="shared" si="415"/>
        <v>3334908.26</v>
      </c>
      <c r="D1854" s="51">
        <f t="shared" si="416"/>
        <v>1463761.6</v>
      </c>
      <c r="E1854" s="51">
        <v>1341405.6000000001</v>
      </c>
      <c r="F1854" s="51">
        <f>13*5502</f>
        <v>71526</v>
      </c>
      <c r="G1854" s="51">
        <f>13*3910</f>
        <v>50830</v>
      </c>
      <c r="H1854" s="51"/>
      <c r="I1854" s="51"/>
      <c r="J1854" s="51"/>
      <c r="K1854" s="51"/>
      <c r="L1854" s="51"/>
      <c r="M1854" s="35"/>
      <c r="N1854" s="51"/>
      <c r="O1854" s="82"/>
      <c r="P1854" s="51"/>
      <c r="Q1854" s="338"/>
      <c r="R1854" s="51"/>
      <c r="S1854" s="51"/>
      <c r="T1854" s="338"/>
      <c r="U1854" s="51"/>
      <c r="V1854" s="35">
        <f xml:space="preserve"> (214531+392996*2+117656)</f>
        <v>1118179</v>
      </c>
      <c r="W1854" s="364">
        <f t="shared" si="414"/>
        <v>752967.65999999992</v>
      </c>
      <c r="X1854" s="141"/>
      <c r="Y1854" s="48">
        <f>137410.13+187020.52+129055.1+129055.1</f>
        <v>582540.85</v>
      </c>
      <c r="Z1854" s="48"/>
      <c r="AA1854" s="48">
        <v>170426.81</v>
      </c>
      <c r="AB1854" s="48"/>
      <c r="AC1854" s="58"/>
      <c r="AD1854" s="58"/>
      <c r="AE1854" s="58" t="s">
        <v>2490</v>
      </c>
    </row>
    <row r="1855" spans="1:31" x14ac:dyDescent="0.3">
      <c r="A1855" s="47">
        <f t="shared" si="417"/>
        <v>1689</v>
      </c>
      <c r="B1855" s="414" t="s">
        <v>2491</v>
      </c>
      <c r="C1855" s="51">
        <f t="shared" si="415"/>
        <v>656411.88</v>
      </c>
      <c r="D1855" s="51">
        <f t="shared" si="416"/>
        <v>0</v>
      </c>
      <c r="E1855" s="51"/>
      <c r="F1855" s="51"/>
      <c r="G1855" s="51"/>
      <c r="H1855" s="51"/>
      <c r="I1855" s="51"/>
      <c r="J1855" s="51"/>
      <c r="K1855" s="51"/>
      <c r="L1855" s="51"/>
      <c r="M1855" s="35">
        <v>13</v>
      </c>
      <c r="N1855" s="51">
        <f>M1855*8094</f>
        <v>105222</v>
      </c>
      <c r="O1855" s="82"/>
      <c r="P1855" s="51"/>
      <c r="Q1855" s="338"/>
      <c r="R1855" s="51"/>
      <c r="S1855" s="51"/>
      <c r="T1855" s="338"/>
      <c r="U1855" s="51"/>
      <c r="V1855" s="35"/>
      <c r="W1855" s="364">
        <f t="shared" si="414"/>
        <v>551189.88</v>
      </c>
      <c r="X1855" s="141"/>
      <c r="Y1855" s="48">
        <f>152826.58+152826.58</f>
        <v>305653.15999999997</v>
      </c>
      <c r="Z1855" s="48"/>
      <c r="AA1855" s="48">
        <v>245536.72</v>
      </c>
      <c r="AB1855" s="48"/>
      <c r="AC1855" s="58"/>
      <c r="AD1855" s="58"/>
      <c r="AE1855" s="58" t="s">
        <v>1475</v>
      </c>
    </row>
    <row r="1856" spans="1:31" x14ac:dyDescent="0.3">
      <c r="A1856" s="47">
        <f t="shared" si="417"/>
        <v>1690</v>
      </c>
      <c r="B1856" s="414" t="s">
        <v>2492</v>
      </c>
      <c r="C1856" s="51">
        <f t="shared" si="415"/>
        <v>3797076.26</v>
      </c>
      <c r="D1856" s="51">
        <f t="shared" si="416"/>
        <v>71526</v>
      </c>
      <c r="E1856" s="51"/>
      <c r="F1856" s="51">
        <f>13*5502</f>
        <v>71526</v>
      </c>
      <c r="G1856" s="51"/>
      <c r="H1856" s="51"/>
      <c r="I1856" s="51"/>
      <c r="J1856" s="51"/>
      <c r="K1856" s="51"/>
      <c r="L1856" s="51"/>
      <c r="M1856" s="35"/>
      <c r="N1856" s="51"/>
      <c r="O1856" s="82"/>
      <c r="P1856" s="51"/>
      <c r="Q1856" s="338"/>
      <c r="R1856" s="51"/>
      <c r="S1856" s="51"/>
      <c r="T1856" s="338"/>
      <c r="U1856" s="51"/>
      <c r="V1856" s="35">
        <f>(214531+392996*6+117656)</f>
        <v>2690163</v>
      </c>
      <c r="W1856" s="364">
        <f t="shared" si="414"/>
        <v>1035387.26</v>
      </c>
      <c r="X1856" s="141"/>
      <c r="Y1856" s="48">
        <f>324615.78
+320166.18
+390605.3</f>
        <v>1035387.26</v>
      </c>
      <c r="Z1856" s="48"/>
      <c r="AA1856" s="57"/>
      <c r="AB1856" s="48"/>
      <c r="AC1856" s="58"/>
      <c r="AD1856" s="58"/>
      <c r="AE1856" s="58" t="s">
        <v>2493</v>
      </c>
    </row>
    <row r="1857" spans="1:31" x14ac:dyDescent="0.3">
      <c r="A1857" s="47">
        <f t="shared" si="417"/>
        <v>1691</v>
      </c>
      <c r="B1857" s="414" t="s">
        <v>2494</v>
      </c>
      <c r="C1857" s="51">
        <f t="shared" si="415"/>
        <v>1634808.2</v>
      </c>
      <c r="D1857" s="51">
        <f t="shared" si="416"/>
        <v>0</v>
      </c>
      <c r="E1857" s="51"/>
      <c r="F1857" s="51"/>
      <c r="G1857" s="51"/>
      <c r="H1857" s="51"/>
      <c r="I1857" s="51"/>
      <c r="J1857" s="51"/>
      <c r="K1857" s="51"/>
      <c r="L1857" s="51"/>
      <c r="M1857" s="35"/>
      <c r="N1857" s="51"/>
      <c r="O1857" s="82"/>
      <c r="P1857" s="51"/>
      <c r="Q1857" s="338"/>
      <c r="R1857" s="51"/>
      <c r="S1857" s="51"/>
      <c r="T1857" s="338"/>
      <c r="U1857" s="51"/>
      <c r="V1857" s="35"/>
      <c r="W1857" s="364">
        <f t="shared" si="414"/>
        <v>1634808.2</v>
      </c>
      <c r="X1857" s="141"/>
      <c r="Y1857" s="48">
        <f>368970.76
+361429.04
+439638.22</f>
        <v>1170038.02</v>
      </c>
      <c r="Z1857" s="48"/>
      <c r="AA1857" s="48">
        <v>464770.18</v>
      </c>
      <c r="AB1857" s="48"/>
      <c r="AC1857" s="58"/>
      <c r="AD1857" s="58"/>
      <c r="AE1857" s="58" t="s">
        <v>2493</v>
      </c>
    </row>
    <row r="1858" spans="1:31" x14ac:dyDescent="0.3">
      <c r="A1858" s="47">
        <f t="shared" si="417"/>
        <v>1692</v>
      </c>
      <c r="B1858" s="414" t="s">
        <v>2495</v>
      </c>
      <c r="C1858" s="51">
        <f t="shared" si="415"/>
        <v>4867825.4800000004</v>
      </c>
      <c r="D1858" s="51">
        <f t="shared" si="416"/>
        <v>2229724</v>
      </c>
      <c r="E1858" s="51">
        <v>2107368</v>
      </c>
      <c r="F1858" s="51">
        <f>13*5502</f>
        <v>71526</v>
      </c>
      <c r="G1858" s="51">
        <f>13*3910</f>
        <v>50830</v>
      </c>
      <c r="H1858" s="51"/>
      <c r="I1858" s="51"/>
      <c r="J1858" s="51"/>
      <c r="K1858" s="51"/>
      <c r="L1858" s="51"/>
      <c r="M1858" s="35"/>
      <c r="N1858" s="51"/>
      <c r="O1858" s="82"/>
      <c r="P1858" s="51"/>
      <c r="Q1858" s="338"/>
      <c r="R1858" s="51"/>
      <c r="S1858" s="51"/>
      <c r="T1858" s="338"/>
      <c r="U1858" s="51"/>
      <c r="V1858" s="35">
        <f>(214531+392996*4+117656)</f>
        <v>1904171</v>
      </c>
      <c r="W1858" s="364">
        <f t="shared" si="414"/>
        <v>733930.48</v>
      </c>
      <c r="X1858" s="141"/>
      <c r="Y1858" s="48">
        <f>226935.58+220046.52+286948.38</f>
        <v>733930.48</v>
      </c>
      <c r="Z1858" s="48"/>
      <c r="AA1858" s="57"/>
      <c r="AB1858" s="58"/>
      <c r="AC1858" s="58"/>
      <c r="AD1858" s="58"/>
      <c r="AE1858" s="58" t="s">
        <v>2493</v>
      </c>
    </row>
    <row r="1859" spans="1:31" x14ac:dyDescent="0.3">
      <c r="A1859" s="47">
        <f t="shared" si="417"/>
        <v>1693</v>
      </c>
      <c r="B1859" s="414" t="s">
        <v>2496</v>
      </c>
      <c r="C1859" s="51">
        <f t="shared" si="415"/>
        <v>685662.05</v>
      </c>
      <c r="D1859" s="51">
        <f t="shared" si="416"/>
        <v>0</v>
      </c>
      <c r="E1859" s="51"/>
      <c r="F1859" s="51"/>
      <c r="G1859" s="51"/>
      <c r="H1859" s="51"/>
      <c r="I1859" s="51"/>
      <c r="J1859" s="51"/>
      <c r="K1859" s="51"/>
      <c r="L1859" s="51"/>
      <c r="M1859" s="35">
        <v>13</v>
      </c>
      <c r="N1859" s="51">
        <f>M1859*8094</f>
        <v>105222</v>
      </c>
      <c r="O1859" s="82"/>
      <c r="P1859" s="51"/>
      <c r="Q1859" s="338"/>
      <c r="R1859" s="51"/>
      <c r="S1859" s="51"/>
      <c r="T1859" s="338"/>
      <c r="U1859" s="51"/>
      <c r="V1859" s="35"/>
      <c r="W1859" s="364">
        <f t="shared" si="414"/>
        <v>580440.05000000005</v>
      </c>
      <c r="X1859" s="141"/>
      <c r="Y1859" s="48">
        <f>99209.54+117087.96+97587.83+97587.83</f>
        <v>411473.16000000003</v>
      </c>
      <c r="Z1859" s="48"/>
      <c r="AA1859" s="57"/>
      <c r="AB1859" s="58"/>
      <c r="AC1859" s="58">
        <v>168966.89</v>
      </c>
      <c r="AD1859" s="58"/>
      <c r="AE1859" s="58" t="s">
        <v>1436</v>
      </c>
    </row>
    <row r="1860" spans="1:31" x14ac:dyDescent="0.3">
      <c r="A1860" s="47">
        <f t="shared" si="417"/>
        <v>1694</v>
      </c>
      <c r="B1860" s="414" t="s">
        <v>2497</v>
      </c>
      <c r="C1860" s="51">
        <f t="shared" si="415"/>
        <v>941530.78999999992</v>
      </c>
      <c r="D1860" s="51">
        <f t="shared" si="416"/>
        <v>0</v>
      </c>
      <c r="E1860" s="51"/>
      <c r="F1860" s="51"/>
      <c r="G1860" s="51"/>
      <c r="H1860" s="51"/>
      <c r="I1860" s="51"/>
      <c r="J1860" s="51"/>
      <c r="K1860" s="51"/>
      <c r="L1860" s="51"/>
      <c r="M1860" s="35"/>
      <c r="N1860" s="51"/>
      <c r="O1860" s="82"/>
      <c r="P1860" s="51"/>
      <c r="Q1860" s="338"/>
      <c r="R1860" s="51"/>
      <c r="S1860" s="51"/>
      <c r="T1860" s="338"/>
      <c r="U1860" s="51"/>
      <c r="V1860" s="35"/>
      <c r="W1860" s="364">
        <f t="shared" si="414"/>
        <v>941530.78999999992</v>
      </c>
      <c r="X1860" s="141"/>
      <c r="Y1860" s="48">
        <f>286709.66+280280.02</f>
        <v>566989.67999999993</v>
      </c>
      <c r="Z1860" s="48"/>
      <c r="AA1860" s="48">
        <v>374541.11</v>
      </c>
      <c r="AB1860" s="48"/>
      <c r="AC1860" s="58"/>
      <c r="AD1860" s="58"/>
      <c r="AE1860" s="58" t="s">
        <v>2498</v>
      </c>
    </row>
    <row r="1861" spans="1:31" x14ac:dyDescent="0.3">
      <c r="A1861" s="47">
        <f t="shared" si="417"/>
        <v>1695</v>
      </c>
      <c r="B1861" s="414" t="s">
        <v>2499</v>
      </c>
      <c r="C1861" s="51">
        <f t="shared" si="415"/>
        <v>24970173.68</v>
      </c>
      <c r="D1861" s="51">
        <f t="shared" si="416"/>
        <v>0</v>
      </c>
      <c r="E1861" s="51"/>
      <c r="F1861" s="51"/>
      <c r="G1861" s="51"/>
      <c r="H1861" s="51"/>
      <c r="I1861" s="51"/>
      <c r="J1861" s="51"/>
      <c r="K1861" s="51"/>
      <c r="L1861" s="51"/>
      <c r="M1861" s="35"/>
      <c r="N1861" s="51"/>
      <c r="O1861" s="82">
        <v>929.1</v>
      </c>
      <c r="P1861" s="51">
        <f>O1861*26433</f>
        <v>24558900.300000001</v>
      </c>
      <c r="Q1861" s="338"/>
      <c r="R1861" s="51"/>
      <c r="S1861" s="51"/>
      <c r="T1861" s="338"/>
      <c r="U1861" s="51"/>
      <c r="V1861" s="35"/>
      <c r="W1861" s="364">
        <f t="shared" si="414"/>
        <v>411273.38</v>
      </c>
      <c r="X1861" s="141"/>
      <c r="Y1861" s="48" t="s">
        <v>379</v>
      </c>
      <c r="Z1861" s="48">
        <v>411273.38</v>
      </c>
      <c r="AA1861" s="48" t="s">
        <v>379</v>
      </c>
      <c r="AB1861" s="48"/>
      <c r="AC1861" s="58"/>
      <c r="AD1861" s="58"/>
      <c r="AE1861" s="58" t="s">
        <v>379</v>
      </c>
    </row>
    <row r="1862" spans="1:31" x14ac:dyDescent="0.3">
      <c r="A1862" s="47">
        <f t="shared" si="417"/>
        <v>1696</v>
      </c>
      <c r="B1862" s="414" t="s">
        <v>2500</v>
      </c>
      <c r="C1862" s="51">
        <f t="shared" si="415"/>
        <v>911748.78</v>
      </c>
      <c r="D1862" s="51">
        <f t="shared" si="416"/>
        <v>0</v>
      </c>
      <c r="E1862" s="51"/>
      <c r="F1862" s="51"/>
      <c r="G1862" s="51"/>
      <c r="H1862" s="51"/>
      <c r="I1862" s="51"/>
      <c r="J1862" s="51"/>
      <c r="K1862" s="51"/>
      <c r="L1862" s="51"/>
      <c r="M1862" s="35"/>
      <c r="N1862" s="51"/>
      <c r="O1862" s="82"/>
      <c r="P1862" s="51"/>
      <c r="Q1862" s="338"/>
      <c r="R1862" s="51"/>
      <c r="S1862" s="51"/>
      <c r="T1862" s="338"/>
      <c r="U1862" s="51"/>
      <c r="V1862" s="35"/>
      <c r="W1862" s="364">
        <f t="shared" si="414"/>
        <v>911748.78</v>
      </c>
      <c r="X1862" s="141"/>
      <c r="Y1862" s="48">
        <f>196543.52
+251191.4
+191773.63</f>
        <v>639508.55000000005</v>
      </c>
      <c r="Z1862" s="48"/>
      <c r="AA1862" s="48">
        <v>272240.23</v>
      </c>
      <c r="AB1862" s="48"/>
      <c r="AC1862" s="58"/>
      <c r="AD1862" s="58"/>
      <c r="AE1862" s="58" t="s">
        <v>1794</v>
      </c>
    </row>
    <row r="1863" spans="1:31" x14ac:dyDescent="0.3">
      <c r="A1863" s="47">
        <f t="shared" si="417"/>
        <v>1697</v>
      </c>
      <c r="B1863" s="414" t="s">
        <v>2501</v>
      </c>
      <c r="C1863" s="51">
        <f t="shared" si="415"/>
        <v>824120.51</v>
      </c>
      <c r="D1863" s="51">
        <f t="shared" si="416"/>
        <v>0</v>
      </c>
      <c r="E1863" s="51"/>
      <c r="F1863" s="51"/>
      <c r="G1863" s="51"/>
      <c r="H1863" s="51"/>
      <c r="I1863" s="51"/>
      <c r="J1863" s="51"/>
      <c r="K1863" s="51"/>
      <c r="L1863" s="51"/>
      <c r="M1863" s="35"/>
      <c r="N1863" s="51"/>
      <c r="O1863" s="82"/>
      <c r="P1863" s="51"/>
      <c r="Q1863" s="338"/>
      <c r="R1863" s="51"/>
      <c r="S1863" s="51"/>
      <c r="T1863" s="338"/>
      <c r="U1863" s="51"/>
      <c r="V1863" s="35"/>
      <c r="W1863" s="364">
        <f t="shared" si="414"/>
        <v>824120.51</v>
      </c>
      <c r="X1863" s="141"/>
      <c r="Y1863" s="48">
        <v>337004.02</v>
      </c>
      <c r="Z1863" s="48"/>
      <c r="AA1863" s="48">
        <v>487116.49</v>
      </c>
      <c r="AB1863" s="48"/>
      <c r="AC1863" s="58"/>
      <c r="AD1863" s="58"/>
      <c r="AE1863" s="58" t="s">
        <v>1395</v>
      </c>
    </row>
    <row r="1864" spans="1:31" x14ac:dyDescent="0.3">
      <c r="A1864" s="47">
        <f t="shared" si="417"/>
        <v>1698</v>
      </c>
      <c r="B1864" s="414" t="s">
        <v>2502</v>
      </c>
      <c r="C1864" s="51">
        <f t="shared" si="415"/>
        <v>458475.27</v>
      </c>
      <c r="D1864" s="51">
        <f t="shared" si="416"/>
        <v>0</v>
      </c>
      <c r="E1864" s="51"/>
      <c r="F1864" s="51"/>
      <c r="G1864" s="51"/>
      <c r="H1864" s="51"/>
      <c r="I1864" s="51"/>
      <c r="J1864" s="51"/>
      <c r="K1864" s="51"/>
      <c r="L1864" s="51"/>
      <c r="M1864" s="35"/>
      <c r="N1864" s="51"/>
      <c r="O1864" s="82"/>
      <c r="P1864" s="51"/>
      <c r="Q1864" s="338"/>
      <c r="R1864" s="51"/>
      <c r="S1864" s="51"/>
      <c r="T1864" s="338"/>
      <c r="U1864" s="51"/>
      <c r="V1864" s="35"/>
      <c r="W1864" s="364">
        <f t="shared" si="414"/>
        <v>458475.27</v>
      </c>
      <c r="X1864" s="141"/>
      <c r="Y1864" s="48"/>
      <c r="Z1864" s="48">
        <v>268839.07</v>
      </c>
      <c r="AA1864" s="48">
        <v>189636.2</v>
      </c>
      <c r="AB1864" s="48"/>
      <c r="AC1864" s="58"/>
      <c r="AD1864" s="58"/>
      <c r="AE1864" s="58"/>
    </row>
    <row r="1865" spans="1:31" x14ac:dyDescent="0.3">
      <c r="A1865" s="47">
        <f t="shared" si="417"/>
        <v>1699</v>
      </c>
      <c r="B1865" s="414" t="s">
        <v>2503</v>
      </c>
      <c r="C1865" s="51">
        <f t="shared" si="415"/>
        <v>457842.56</v>
      </c>
      <c r="D1865" s="51">
        <f t="shared" si="416"/>
        <v>0</v>
      </c>
      <c r="E1865" s="51"/>
      <c r="F1865" s="51"/>
      <c r="G1865" s="51"/>
      <c r="H1865" s="51"/>
      <c r="I1865" s="51"/>
      <c r="J1865" s="51"/>
      <c r="K1865" s="51"/>
      <c r="L1865" s="51"/>
      <c r="M1865" s="35"/>
      <c r="N1865" s="51"/>
      <c r="O1865" s="82"/>
      <c r="P1865" s="51"/>
      <c r="Q1865" s="338"/>
      <c r="R1865" s="51"/>
      <c r="S1865" s="51"/>
      <c r="T1865" s="338"/>
      <c r="U1865" s="51"/>
      <c r="V1865" s="35"/>
      <c r="W1865" s="364">
        <f t="shared" si="414"/>
        <v>457842.56</v>
      </c>
      <c r="X1865" s="141"/>
      <c r="Y1865" s="48"/>
      <c r="Z1865" s="48">
        <v>269285.5</v>
      </c>
      <c r="AA1865" s="48">
        <v>188557.06</v>
      </c>
      <c r="AB1865" s="48"/>
      <c r="AC1865" s="58"/>
      <c r="AD1865" s="58"/>
      <c r="AE1865" s="58"/>
    </row>
    <row r="1866" spans="1:31" x14ac:dyDescent="0.3">
      <c r="A1866" s="47">
        <f t="shared" si="417"/>
        <v>1700</v>
      </c>
      <c r="B1866" s="414" t="s">
        <v>2504</v>
      </c>
      <c r="C1866" s="51">
        <f t="shared" si="415"/>
        <v>457141.69999999995</v>
      </c>
      <c r="D1866" s="51">
        <f t="shared" si="416"/>
        <v>0</v>
      </c>
      <c r="E1866" s="51"/>
      <c r="F1866" s="51"/>
      <c r="G1866" s="51"/>
      <c r="H1866" s="51"/>
      <c r="I1866" s="51"/>
      <c r="J1866" s="51"/>
      <c r="K1866" s="51"/>
      <c r="L1866" s="51"/>
      <c r="M1866" s="35"/>
      <c r="N1866" s="51"/>
      <c r="O1866" s="82"/>
      <c r="P1866" s="51"/>
      <c r="Q1866" s="338"/>
      <c r="R1866" s="51"/>
      <c r="S1866" s="51"/>
      <c r="T1866" s="338"/>
      <c r="U1866" s="51"/>
      <c r="V1866" s="35"/>
      <c r="W1866" s="364">
        <f t="shared" si="414"/>
        <v>457141.69999999995</v>
      </c>
      <c r="X1866" s="141"/>
      <c r="Y1866" s="48"/>
      <c r="Z1866" s="48">
        <v>268049.18</v>
      </c>
      <c r="AA1866" s="48">
        <v>189092.52</v>
      </c>
      <c r="AB1866" s="48"/>
      <c r="AC1866" s="58"/>
      <c r="AD1866" s="58"/>
      <c r="AE1866" s="58"/>
    </row>
    <row r="1867" spans="1:31" x14ac:dyDescent="0.3">
      <c r="A1867" s="47">
        <f t="shared" si="417"/>
        <v>1701</v>
      </c>
      <c r="B1867" s="414" t="s">
        <v>2505</v>
      </c>
      <c r="C1867" s="51">
        <f t="shared" si="415"/>
        <v>460968.43000000005</v>
      </c>
      <c r="D1867" s="51">
        <f t="shared" si="416"/>
        <v>0</v>
      </c>
      <c r="E1867" s="51"/>
      <c r="F1867" s="51"/>
      <c r="G1867" s="51"/>
      <c r="H1867" s="51"/>
      <c r="I1867" s="51"/>
      <c r="J1867" s="51"/>
      <c r="K1867" s="51"/>
      <c r="L1867" s="51"/>
      <c r="M1867" s="35"/>
      <c r="N1867" s="51"/>
      <c r="O1867" s="82"/>
      <c r="P1867" s="51"/>
      <c r="Q1867" s="338"/>
      <c r="R1867" s="51"/>
      <c r="S1867" s="51"/>
      <c r="T1867" s="338"/>
      <c r="U1867" s="51"/>
      <c r="V1867" s="35"/>
      <c r="W1867" s="364">
        <f t="shared" si="414"/>
        <v>460968.43000000005</v>
      </c>
      <c r="X1867" s="141"/>
      <c r="Y1867" s="48"/>
      <c r="Z1867" s="48">
        <v>270315.78000000003</v>
      </c>
      <c r="AA1867" s="48">
        <v>190652.65</v>
      </c>
      <c r="AB1867" s="48"/>
      <c r="AC1867" s="58"/>
      <c r="AD1867" s="58"/>
      <c r="AE1867" s="58"/>
    </row>
    <row r="1868" spans="1:31" x14ac:dyDescent="0.3">
      <c r="A1868" s="47">
        <f t="shared" si="417"/>
        <v>1702</v>
      </c>
      <c r="B1868" s="414" t="s">
        <v>2506</v>
      </c>
      <c r="C1868" s="51">
        <f t="shared" si="415"/>
        <v>662159.15</v>
      </c>
      <c r="D1868" s="51">
        <f t="shared" si="416"/>
        <v>0</v>
      </c>
      <c r="E1868" s="51"/>
      <c r="F1868" s="51"/>
      <c r="G1868" s="51"/>
      <c r="H1868" s="51"/>
      <c r="I1868" s="51"/>
      <c r="J1868" s="51"/>
      <c r="K1868" s="51"/>
      <c r="L1868" s="51"/>
      <c r="M1868" s="35"/>
      <c r="N1868" s="51"/>
      <c r="O1868" s="82"/>
      <c r="P1868" s="51"/>
      <c r="Q1868" s="338"/>
      <c r="R1868" s="51"/>
      <c r="S1868" s="51"/>
      <c r="T1868" s="338"/>
      <c r="U1868" s="51"/>
      <c r="V1868" s="35"/>
      <c r="W1868" s="364">
        <f t="shared" si="414"/>
        <v>662159.15</v>
      </c>
      <c r="X1868" s="141"/>
      <c r="Y1868" s="48"/>
      <c r="Z1868" s="48">
        <v>293805.84000000003</v>
      </c>
      <c r="AA1868" s="48">
        <v>368353.31</v>
      </c>
      <c r="AB1868" s="48"/>
      <c r="AC1868" s="58"/>
      <c r="AD1868" s="58"/>
      <c r="AE1868" s="58"/>
    </row>
    <row r="1869" spans="1:31" x14ac:dyDescent="0.3">
      <c r="A1869" s="47">
        <f t="shared" si="417"/>
        <v>1703</v>
      </c>
      <c r="B1869" s="414" t="s">
        <v>2507</v>
      </c>
      <c r="C1869" s="51">
        <f t="shared" si="415"/>
        <v>351340.08999999997</v>
      </c>
      <c r="D1869" s="51">
        <f t="shared" si="416"/>
        <v>0</v>
      </c>
      <c r="E1869" s="51"/>
      <c r="F1869" s="51"/>
      <c r="G1869" s="51"/>
      <c r="H1869" s="51"/>
      <c r="I1869" s="51"/>
      <c r="J1869" s="51"/>
      <c r="K1869" s="51"/>
      <c r="L1869" s="51"/>
      <c r="M1869" s="35"/>
      <c r="N1869" s="51"/>
      <c r="O1869" s="82"/>
      <c r="P1869" s="51"/>
      <c r="Q1869" s="338"/>
      <c r="R1869" s="51"/>
      <c r="S1869" s="51"/>
      <c r="T1869" s="338"/>
      <c r="U1869" s="51"/>
      <c r="V1869" s="35"/>
      <c r="W1869" s="364">
        <f t="shared" si="414"/>
        <v>351340.08999999997</v>
      </c>
      <c r="X1869" s="141"/>
      <c r="Y1869" s="48">
        <f>89861.08+90983.68</f>
        <v>180844.76</v>
      </c>
      <c r="Z1869" s="48">
        <v>170495.33</v>
      </c>
      <c r="AA1869" s="48"/>
      <c r="AB1869" s="48"/>
      <c r="AC1869" s="48"/>
      <c r="AD1869" s="58"/>
      <c r="AE1869" s="58" t="s">
        <v>2508</v>
      </c>
    </row>
    <row r="1870" spans="1:31" x14ac:dyDescent="0.3">
      <c r="A1870" s="47">
        <f t="shared" si="417"/>
        <v>1704</v>
      </c>
      <c r="B1870" s="414" t="s">
        <v>2509</v>
      </c>
      <c r="C1870" s="51">
        <f t="shared" si="415"/>
        <v>721887.03</v>
      </c>
      <c r="D1870" s="51">
        <f t="shared" si="416"/>
        <v>0</v>
      </c>
      <c r="E1870" s="51"/>
      <c r="F1870" s="51"/>
      <c r="G1870" s="51"/>
      <c r="H1870" s="51"/>
      <c r="I1870" s="51"/>
      <c r="J1870" s="51"/>
      <c r="K1870" s="51"/>
      <c r="L1870" s="51"/>
      <c r="M1870" s="35"/>
      <c r="N1870" s="51"/>
      <c r="O1870" s="82"/>
      <c r="P1870" s="51"/>
      <c r="Q1870" s="338"/>
      <c r="R1870" s="51"/>
      <c r="S1870" s="51"/>
      <c r="T1870" s="338"/>
      <c r="U1870" s="51"/>
      <c r="V1870" s="35"/>
      <c r="W1870" s="364">
        <f t="shared" si="414"/>
        <v>721887.03</v>
      </c>
      <c r="X1870" s="141"/>
      <c r="Y1870" s="48"/>
      <c r="Z1870" s="48">
        <v>394978.01</v>
      </c>
      <c r="AA1870" s="48">
        <v>326909.02</v>
      </c>
      <c r="AB1870" s="48"/>
      <c r="AC1870" s="58"/>
      <c r="AD1870" s="58"/>
      <c r="AE1870" s="58" t="s">
        <v>2510</v>
      </c>
    </row>
    <row r="1871" spans="1:31" x14ac:dyDescent="0.3">
      <c r="A1871" s="47">
        <f t="shared" si="417"/>
        <v>1705</v>
      </c>
      <c r="B1871" s="414" t="s">
        <v>2511</v>
      </c>
      <c r="C1871" s="51">
        <f t="shared" si="415"/>
        <v>1986379.06</v>
      </c>
      <c r="D1871" s="51">
        <f t="shared" si="416"/>
        <v>0</v>
      </c>
      <c r="E1871" s="51"/>
      <c r="F1871" s="51"/>
      <c r="G1871" s="51"/>
      <c r="H1871" s="51"/>
      <c r="I1871" s="51"/>
      <c r="J1871" s="51"/>
      <c r="K1871" s="51"/>
      <c r="L1871" s="51"/>
      <c r="M1871" s="35"/>
      <c r="N1871" s="51"/>
      <c r="O1871" s="82"/>
      <c r="P1871" s="51"/>
      <c r="Q1871" s="338"/>
      <c r="R1871" s="51"/>
      <c r="S1871" s="51"/>
      <c r="T1871" s="338"/>
      <c r="U1871" s="51"/>
      <c r="V1871" s="35"/>
      <c r="W1871" s="364">
        <f t="shared" si="414"/>
        <v>1986379.06</v>
      </c>
      <c r="X1871" s="141"/>
      <c r="Y1871" s="48"/>
      <c r="Z1871" s="48">
        <v>396574.91</v>
      </c>
      <c r="AA1871" s="48">
        <v>344416.62</v>
      </c>
      <c r="AB1871" s="48">
        <v>1245387.53</v>
      </c>
      <c r="AC1871" s="58"/>
      <c r="AD1871" s="58"/>
      <c r="AE1871" s="58" t="s">
        <v>2510</v>
      </c>
    </row>
    <row r="1872" spans="1:31" x14ac:dyDescent="0.3">
      <c r="A1872" s="47">
        <f t="shared" si="417"/>
        <v>1706</v>
      </c>
      <c r="B1872" s="414" t="s">
        <v>2512</v>
      </c>
      <c r="C1872" s="51">
        <f t="shared" si="415"/>
        <v>646312.82999999996</v>
      </c>
      <c r="D1872" s="51">
        <f t="shared" si="416"/>
        <v>0</v>
      </c>
      <c r="E1872" s="51"/>
      <c r="F1872" s="51"/>
      <c r="G1872" s="51"/>
      <c r="H1872" s="51"/>
      <c r="I1872" s="51"/>
      <c r="J1872" s="51"/>
      <c r="K1872" s="51"/>
      <c r="L1872" s="51"/>
      <c r="M1872" s="35"/>
      <c r="N1872" s="51"/>
      <c r="O1872" s="82"/>
      <c r="P1872" s="51"/>
      <c r="Q1872" s="338"/>
      <c r="R1872" s="51"/>
      <c r="S1872" s="51"/>
      <c r="T1872" s="338"/>
      <c r="U1872" s="51"/>
      <c r="V1872" s="35"/>
      <c r="W1872" s="364">
        <f t="shared" si="414"/>
        <v>646312.82999999996</v>
      </c>
      <c r="X1872" s="141"/>
      <c r="Y1872" s="48">
        <v>267648.78999999998</v>
      </c>
      <c r="Z1872" s="48"/>
      <c r="AA1872" s="48">
        <v>378664.04</v>
      </c>
      <c r="AB1872" s="58"/>
      <c r="AC1872" s="58"/>
      <c r="AD1872" s="58"/>
      <c r="AE1872" s="58" t="s">
        <v>1395</v>
      </c>
    </row>
    <row r="1873" spans="1:31" x14ac:dyDescent="0.3">
      <c r="A1873" s="47">
        <f t="shared" si="417"/>
        <v>1707</v>
      </c>
      <c r="B1873" s="414" t="s">
        <v>2513</v>
      </c>
      <c r="C1873" s="51">
        <f t="shared" si="415"/>
        <v>532964.76</v>
      </c>
      <c r="D1873" s="51">
        <f t="shared" si="416"/>
        <v>0</v>
      </c>
      <c r="E1873" s="51"/>
      <c r="F1873" s="51"/>
      <c r="G1873" s="51"/>
      <c r="H1873" s="51"/>
      <c r="I1873" s="51"/>
      <c r="J1873" s="51"/>
      <c r="K1873" s="51"/>
      <c r="L1873" s="51"/>
      <c r="M1873" s="35"/>
      <c r="N1873" s="51"/>
      <c r="O1873" s="82"/>
      <c r="P1873" s="51"/>
      <c r="Q1873" s="338"/>
      <c r="R1873" s="51"/>
      <c r="S1873" s="51"/>
      <c r="T1873" s="338"/>
      <c r="U1873" s="51"/>
      <c r="V1873" s="35"/>
      <c r="W1873" s="364">
        <f t="shared" si="414"/>
        <v>532964.76</v>
      </c>
      <c r="X1873" s="141"/>
      <c r="Y1873" s="48">
        <v>217225.85</v>
      </c>
      <c r="Z1873" s="48"/>
      <c r="AA1873" s="48">
        <v>315738.90999999997</v>
      </c>
      <c r="AB1873" s="48"/>
      <c r="AC1873" s="58"/>
      <c r="AD1873" s="58"/>
      <c r="AE1873" s="58" t="s">
        <v>1393</v>
      </c>
    </row>
    <row r="1874" spans="1:31" x14ac:dyDescent="0.3">
      <c r="A1874" s="47">
        <f t="shared" si="417"/>
        <v>1708</v>
      </c>
      <c r="B1874" s="414" t="s">
        <v>2514</v>
      </c>
      <c r="C1874" s="51">
        <f t="shared" si="415"/>
        <v>235222</v>
      </c>
      <c r="D1874" s="51">
        <f t="shared" si="416"/>
        <v>0</v>
      </c>
      <c r="E1874" s="51"/>
      <c r="F1874" s="51"/>
      <c r="G1874" s="51"/>
      <c r="H1874" s="51"/>
      <c r="I1874" s="51"/>
      <c r="J1874" s="51"/>
      <c r="K1874" s="51"/>
      <c r="L1874" s="51"/>
      <c r="M1874" s="35">
        <v>13</v>
      </c>
      <c r="N1874" s="51">
        <f>M1874*8094</f>
        <v>105222</v>
      </c>
      <c r="O1874" s="82"/>
      <c r="P1874" s="51"/>
      <c r="Q1874" s="338"/>
      <c r="R1874" s="51"/>
      <c r="S1874" s="51"/>
      <c r="T1874" s="338"/>
      <c r="U1874" s="51"/>
      <c r="V1874" s="35"/>
      <c r="W1874" s="364">
        <v>130000</v>
      </c>
      <c r="X1874" s="141"/>
      <c r="Y1874" s="48"/>
      <c r="Z1874" s="48"/>
      <c r="AA1874" s="57"/>
      <c r="AB1874" s="58"/>
      <c r="AC1874" s="58"/>
      <c r="AD1874" s="58"/>
      <c r="AE1874" s="58"/>
    </row>
    <row r="1875" spans="1:31" x14ac:dyDescent="0.3">
      <c r="A1875" s="47">
        <f t="shared" si="417"/>
        <v>1709</v>
      </c>
      <c r="B1875" s="414" t="s">
        <v>2515</v>
      </c>
      <c r="C1875" s="51">
        <f t="shared" si="415"/>
        <v>130000</v>
      </c>
      <c r="D1875" s="51">
        <f t="shared" si="416"/>
        <v>0</v>
      </c>
      <c r="E1875" s="51"/>
      <c r="F1875" s="51"/>
      <c r="G1875" s="51"/>
      <c r="H1875" s="51"/>
      <c r="I1875" s="51"/>
      <c r="J1875" s="51"/>
      <c r="K1875" s="51"/>
      <c r="L1875" s="51"/>
      <c r="M1875" s="35"/>
      <c r="N1875" s="51"/>
      <c r="O1875" s="82"/>
      <c r="P1875" s="51"/>
      <c r="Q1875" s="338"/>
      <c r="R1875" s="51"/>
      <c r="S1875" s="51"/>
      <c r="T1875" s="338"/>
      <c r="U1875" s="51"/>
      <c r="V1875" s="35"/>
      <c r="W1875" s="364">
        <v>130000</v>
      </c>
      <c r="X1875" s="141"/>
      <c r="Y1875" s="48"/>
      <c r="Z1875" s="48"/>
      <c r="AA1875" s="57"/>
      <c r="AB1875" s="58"/>
      <c r="AC1875" s="58"/>
      <c r="AD1875" s="58"/>
      <c r="AE1875" s="58"/>
    </row>
    <row r="1876" spans="1:31" x14ac:dyDescent="0.3">
      <c r="A1876" s="47">
        <f t="shared" si="417"/>
        <v>1710</v>
      </c>
      <c r="B1876" s="414" t="s">
        <v>2516</v>
      </c>
      <c r="C1876" s="51">
        <f t="shared" si="415"/>
        <v>130000</v>
      </c>
      <c r="D1876" s="51">
        <f t="shared" si="416"/>
        <v>0</v>
      </c>
      <c r="E1876" s="51"/>
      <c r="F1876" s="51"/>
      <c r="G1876" s="51"/>
      <c r="H1876" s="51"/>
      <c r="I1876" s="51"/>
      <c r="J1876" s="51"/>
      <c r="K1876" s="51"/>
      <c r="L1876" s="51"/>
      <c r="M1876" s="35"/>
      <c r="N1876" s="51"/>
      <c r="O1876" s="82"/>
      <c r="P1876" s="51"/>
      <c r="Q1876" s="338"/>
      <c r="R1876" s="51"/>
      <c r="S1876" s="51"/>
      <c r="T1876" s="338"/>
      <c r="U1876" s="51"/>
      <c r="V1876" s="35"/>
      <c r="W1876" s="364">
        <v>130000</v>
      </c>
      <c r="X1876" s="141"/>
      <c r="Y1876" s="48"/>
      <c r="Z1876" s="48"/>
      <c r="AA1876" s="57"/>
      <c r="AB1876" s="58"/>
      <c r="AC1876" s="48" t="s">
        <v>379</v>
      </c>
      <c r="AD1876" s="58"/>
      <c r="AE1876" s="58"/>
    </row>
    <row r="1877" spans="1:31" x14ac:dyDescent="0.3">
      <c r="A1877" s="47">
        <f>A1876+1</f>
        <v>1711</v>
      </c>
      <c r="B1877" s="414" t="s">
        <v>2517</v>
      </c>
      <c r="C1877" s="51">
        <f t="shared" si="415"/>
        <v>915792.04</v>
      </c>
      <c r="D1877" s="51">
        <f t="shared" si="416"/>
        <v>751590</v>
      </c>
      <c r="E1877" s="51">
        <f>(13*2688)+(2*358323)</f>
        <v>751590</v>
      </c>
      <c r="F1877" s="51"/>
      <c r="G1877" s="51"/>
      <c r="H1877" s="51"/>
      <c r="I1877" s="51"/>
      <c r="J1877" s="51"/>
      <c r="K1877" s="51"/>
      <c r="L1877" s="51"/>
      <c r="M1877" s="35"/>
      <c r="N1877" s="51"/>
      <c r="O1877" s="82"/>
      <c r="P1877" s="51"/>
      <c r="Q1877" s="338"/>
      <c r="R1877" s="51"/>
      <c r="S1877" s="51"/>
      <c r="T1877" s="338"/>
      <c r="U1877" s="51"/>
      <c r="V1877" s="35"/>
      <c r="W1877" s="364">
        <f t="shared" ref="W1877:W1882" si="418">SUM(Y1877:AD1877)</f>
        <v>164202.04</v>
      </c>
      <c r="X1877" s="141"/>
      <c r="Y1877" s="48"/>
      <c r="Z1877" s="48">
        <v>164202.04</v>
      </c>
      <c r="AA1877" s="57"/>
      <c r="AB1877" s="58"/>
      <c r="AC1877" s="58"/>
      <c r="AD1877" s="58"/>
      <c r="AE1877" s="58"/>
    </row>
    <row r="1878" spans="1:31" x14ac:dyDescent="0.3">
      <c r="A1878" s="47">
        <f t="shared" si="417"/>
        <v>1712</v>
      </c>
      <c r="B1878" s="414" t="s">
        <v>2518</v>
      </c>
      <c r="C1878" s="51">
        <f t="shared" si="415"/>
        <v>199468.41999999998</v>
      </c>
      <c r="D1878" s="51">
        <f t="shared" si="416"/>
        <v>0</v>
      </c>
      <c r="E1878" s="51"/>
      <c r="F1878" s="51"/>
      <c r="G1878" s="51"/>
      <c r="H1878" s="51"/>
      <c r="I1878" s="51"/>
      <c r="J1878" s="51"/>
      <c r="K1878" s="51"/>
      <c r="L1878" s="51"/>
      <c r="M1878" s="35">
        <v>13</v>
      </c>
      <c r="N1878" s="51">
        <f>M1878*8094</f>
        <v>105222</v>
      </c>
      <c r="O1878" s="82"/>
      <c r="P1878" s="51"/>
      <c r="Q1878" s="338"/>
      <c r="R1878" s="51"/>
      <c r="S1878" s="51"/>
      <c r="T1878" s="338"/>
      <c r="U1878" s="51"/>
      <c r="V1878" s="35"/>
      <c r="W1878" s="364">
        <f t="shared" si="418"/>
        <v>94246.42</v>
      </c>
      <c r="X1878" s="141"/>
      <c r="Y1878" s="48">
        <v>94246.42</v>
      </c>
      <c r="Z1878" s="48"/>
      <c r="AA1878" s="57"/>
      <c r="AB1878" s="58"/>
      <c r="AC1878" s="58"/>
      <c r="AD1878" s="58"/>
      <c r="AE1878" s="58" t="s">
        <v>25</v>
      </c>
    </row>
    <row r="1879" spans="1:31" x14ac:dyDescent="0.3">
      <c r="A1879" s="47">
        <f t="shared" si="417"/>
        <v>1713</v>
      </c>
      <c r="B1879" s="414" t="s">
        <v>2519</v>
      </c>
      <c r="C1879" s="51">
        <f t="shared" si="415"/>
        <v>618334.30000000005</v>
      </c>
      <c r="D1879" s="51">
        <f t="shared" si="416"/>
        <v>0</v>
      </c>
      <c r="E1879" s="51"/>
      <c r="F1879" s="51"/>
      <c r="G1879" s="51"/>
      <c r="H1879" s="51"/>
      <c r="I1879" s="51"/>
      <c r="J1879" s="51"/>
      <c r="K1879" s="51"/>
      <c r="L1879" s="51"/>
      <c r="M1879" s="35"/>
      <c r="N1879" s="51"/>
      <c r="O1879" s="82"/>
      <c r="P1879" s="51"/>
      <c r="Q1879" s="338"/>
      <c r="R1879" s="51"/>
      <c r="S1879" s="51"/>
      <c r="T1879" s="338"/>
      <c r="U1879" s="51"/>
      <c r="V1879" s="35"/>
      <c r="W1879" s="364">
        <f t="shared" si="418"/>
        <v>618334.30000000005</v>
      </c>
      <c r="X1879" s="141"/>
      <c r="Y1879" s="48">
        <v>276102.40999999997</v>
      </c>
      <c r="Z1879" s="48"/>
      <c r="AA1879" s="48">
        <v>342231.89</v>
      </c>
      <c r="AB1879" s="58"/>
      <c r="AC1879" s="58"/>
      <c r="AD1879" s="58"/>
      <c r="AE1879" s="58" t="s">
        <v>1395</v>
      </c>
    </row>
    <row r="1880" spans="1:31" x14ac:dyDescent="0.3">
      <c r="A1880" s="47">
        <f t="shared" si="417"/>
        <v>1714</v>
      </c>
      <c r="B1880" s="414" t="s">
        <v>2520</v>
      </c>
      <c r="C1880" s="51">
        <f t="shared" si="415"/>
        <v>494193.73</v>
      </c>
      <c r="D1880" s="51">
        <f t="shared" si="416"/>
        <v>0</v>
      </c>
      <c r="E1880" s="51"/>
      <c r="F1880" s="51"/>
      <c r="G1880" s="51"/>
      <c r="H1880" s="51"/>
      <c r="I1880" s="51"/>
      <c r="J1880" s="51"/>
      <c r="K1880" s="51"/>
      <c r="L1880" s="51"/>
      <c r="M1880" s="35"/>
      <c r="N1880" s="51"/>
      <c r="O1880" s="82"/>
      <c r="P1880" s="51"/>
      <c r="Q1880" s="338"/>
      <c r="R1880" s="51"/>
      <c r="S1880" s="51"/>
      <c r="T1880" s="338"/>
      <c r="U1880" s="51"/>
      <c r="V1880" s="35"/>
      <c r="W1880" s="364">
        <f t="shared" si="418"/>
        <v>494193.73</v>
      </c>
      <c r="X1880" s="141"/>
      <c r="Y1880" s="48">
        <v>207259.57</v>
      </c>
      <c r="Z1880" s="48"/>
      <c r="AA1880" s="48">
        <v>286934.15999999997</v>
      </c>
      <c r="AB1880" s="58"/>
      <c r="AC1880" s="58"/>
      <c r="AD1880" s="58"/>
      <c r="AE1880" s="58" t="s">
        <v>1395</v>
      </c>
    </row>
    <row r="1881" spans="1:31" x14ac:dyDescent="0.3">
      <c r="A1881" s="47">
        <f t="shared" si="417"/>
        <v>1715</v>
      </c>
      <c r="B1881" s="414" t="s">
        <v>2521</v>
      </c>
      <c r="C1881" s="51">
        <f t="shared" ref="C1881:C1912" si="419">D1881+K1881+L1881+N1881+P1881+R1881+S1881+U1881+V1881+W1881</f>
        <v>488105.82999999996</v>
      </c>
      <c r="D1881" s="51">
        <f t="shared" si="416"/>
        <v>0</v>
      </c>
      <c r="E1881" s="51"/>
      <c r="F1881" s="51"/>
      <c r="G1881" s="51"/>
      <c r="H1881" s="51"/>
      <c r="I1881" s="51"/>
      <c r="J1881" s="51"/>
      <c r="K1881" s="51"/>
      <c r="L1881" s="51"/>
      <c r="M1881" s="35"/>
      <c r="N1881" s="51"/>
      <c r="O1881" s="82"/>
      <c r="P1881" s="51"/>
      <c r="Q1881" s="338"/>
      <c r="R1881" s="51"/>
      <c r="S1881" s="51"/>
      <c r="T1881" s="338"/>
      <c r="U1881" s="51"/>
      <c r="V1881" s="35"/>
      <c r="W1881" s="364">
        <f t="shared" si="418"/>
        <v>488105.82999999996</v>
      </c>
      <c r="X1881" s="141"/>
      <c r="Y1881" s="48">
        <v>208899.6</v>
      </c>
      <c r="Z1881" s="48"/>
      <c r="AA1881" s="48">
        <v>279206.23</v>
      </c>
      <c r="AB1881" s="58"/>
      <c r="AC1881" s="58"/>
      <c r="AD1881" s="58"/>
      <c r="AE1881" s="58" t="s">
        <v>1395</v>
      </c>
    </row>
    <row r="1882" spans="1:31" x14ac:dyDescent="0.3">
      <c r="A1882" s="47">
        <f t="shared" si="417"/>
        <v>1716</v>
      </c>
      <c r="B1882" s="414" t="s">
        <v>2523</v>
      </c>
      <c r="C1882" s="51">
        <f t="shared" si="419"/>
        <v>382824.76</v>
      </c>
      <c r="D1882" s="51">
        <f t="shared" si="416"/>
        <v>0</v>
      </c>
      <c r="E1882" s="51"/>
      <c r="F1882" s="51"/>
      <c r="G1882" s="51"/>
      <c r="H1882" s="51"/>
      <c r="I1882" s="51"/>
      <c r="J1882" s="51"/>
      <c r="K1882" s="51"/>
      <c r="L1882" s="51"/>
      <c r="M1882" s="35">
        <v>13</v>
      </c>
      <c r="N1882" s="51">
        <f>M1882*8094</f>
        <v>105222</v>
      </c>
      <c r="O1882" s="382"/>
      <c r="P1882" s="51"/>
      <c r="Q1882" s="338"/>
      <c r="R1882" s="51"/>
      <c r="S1882" s="51"/>
      <c r="T1882" s="338"/>
      <c r="U1882" s="51"/>
      <c r="V1882" s="35"/>
      <c r="W1882" s="364">
        <f t="shared" si="418"/>
        <v>277602.76</v>
      </c>
      <c r="X1882" s="141"/>
      <c r="Y1882" s="48">
        <v>277602.76</v>
      </c>
      <c r="Z1882" s="48"/>
      <c r="AA1882" s="48"/>
      <c r="AB1882" s="58"/>
      <c r="AC1882" s="58"/>
      <c r="AD1882" s="58"/>
      <c r="AE1882" s="58" t="s">
        <v>1395</v>
      </c>
    </row>
    <row r="1883" spans="1:31" x14ac:dyDescent="0.3">
      <c r="A1883" s="47">
        <f t="shared" si="417"/>
        <v>1717</v>
      </c>
      <c r="B1883" s="414" t="s">
        <v>2524</v>
      </c>
      <c r="C1883" s="51">
        <f t="shared" si="419"/>
        <v>105222</v>
      </c>
      <c r="D1883" s="51">
        <f t="shared" si="416"/>
        <v>0</v>
      </c>
      <c r="E1883" s="51"/>
      <c r="F1883" s="51"/>
      <c r="G1883" s="51"/>
      <c r="H1883" s="51"/>
      <c r="I1883" s="51"/>
      <c r="J1883" s="51"/>
      <c r="K1883" s="51"/>
      <c r="L1883" s="51"/>
      <c r="M1883" s="35">
        <v>13</v>
      </c>
      <c r="N1883" s="51">
        <f>M1883*8094</f>
        <v>105222</v>
      </c>
      <c r="O1883" s="382"/>
      <c r="P1883" s="51"/>
      <c r="Q1883" s="338"/>
      <c r="R1883" s="51"/>
      <c r="S1883" s="51"/>
      <c r="T1883" s="338"/>
      <c r="U1883" s="51"/>
      <c r="V1883" s="35"/>
      <c r="W1883" s="364"/>
      <c r="X1883" s="141"/>
      <c r="Y1883" s="48"/>
      <c r="Z1883" s="48"/>
      <c r="AA1883" s="48"/>
      <c r="AB1883" s="58"/>
      <c r="AC1883" s="58"/>
      <c r="AD1883" s="58"/>
      <c r="AE1883" s="58"/>
    </row>
    <row r="1884" spans="1:31" x14ac:dyDescent="0.3">
      <c r="A1884" s="47">
        <f t="shared" si="417"/>
        <v>1718</v>
      </c>
      <c r="B1884" s="414" t="s">
        <v>2525</v>
      </c>
      <c r="C1884" s="51">
        <f t="shared" si="419"/>
        <v>404741.39</v>
      </c>
      <c r="D1884" s="51">
        <f t="shared" si="416"/>
        <v>0</v>
      </c>
      <c r="E1884" s="51"/>
      <c r="F1884" s="51"/>
      <c r="G1884" s="51"/>
      <c r="H1884" s="51"/>
      <c r="I1884" s="51"/>
      <c r="J1884" s="51"/>
      <c r="K1884" s="51"/>
      <c r="L1884" s="51"/>
      <c r="M1884" s="35"/>
      <c r="N1884" s="51"/>
      <c r="O1884" s="82"/>
      <c r="P1884" s="51"/>
      <c r="Q1884" s="338"/>
      <c r="R1884" s="51"/>
      <c r="S1884" s="51"/>
      <c r="T1884" s="338"/>
      <c r="U1884" s="51"/>
      <c r="V1884" s="35"/>
      <c r="W1884" s="364">
        <f t="shared" ref="W1884:W1910" si="420">SUM(Y1884:AD1884)</f>
        <v>404741.39</v>
      </c>
      <c r="X1884" s="141"/>
      <c r="Y1884" s="48"/>
      <c r="Z1884" s="48"/>
      <c r="AA1884" s="48">
        <v>404741.39</v>
      </c>
      <c r="AB1884" s="48"/>
      <c r="AC1884" s="58"/>
      <c r="AD1884" s="58"/>
      <c r="AE1884" s="58" t="s">
        <v>1400</v>
      </c>
    </row>
    <row r="1885" spans="1:31" x14ac:dyDescent="0.3">
      <c r="A1885" s="47">
        <f t="shared" si="417"/>
        <v>1719</v>
      </c>
      <c r="B1885" s="414" t="s">
        <v>2526</v>
      </c>
      <c r="C1885" s="51">
        <f t="shared" si="419"/>
        <v>233880.52</v>
      </c>
      <c r="D1885" s="51">
        <f t="shared" si="416"/>
        <v>0</v>
      </c>
      <c r="E1885" s="51"/>
      <c r="F1885" s="51"/>
      <c r="G1885" s="51"/>
      <c r="H1885" s="51"/>
      <c r="I1885" s="51"/>
      <c r="J1885" s="51"/>
      <c r="K1885" s="51"/>
      <c r="L1885" s="51"/>
      <c r="M1885" s="35"/>
      <c r="N1885" s="51"/>
      <c r="O1885" s="82"/>
      <c r="P1885" s="51"/>
      <c r="Q1885" s="338"/>
      <c r="R1885" s="51"/>
      <c r="S1885" s="51"/>
      <c r="T1885" s="338"/>
      <c r="U1885" s="51"/>
      <c r="V1885" s="35"/>
      <c r="W1885" s="364">
        <f t="shared" si="420"/>
        <v>233880.52</v>
      </c>
      <c r="X1885" s="141"/>
      <c r="Y1885" s="48">
        <f>45818.84+43738.18+43738.18</f>
        <v>133295.19999999998</v>
      </c>
      <c r="Z1885" s="48">
        <v>100585.32</v>
      </c>
      <c r="AA1885" s="48"/>
      <c r="AB1885" s="48"/>
      <c r="AC1885" s="58"/>
      <c r="AD1885" s="58"/>
      <c r="AE1885" s="58" t="s">
        <v>2480</v>
      </c>
    </row>
    <row r="1886" spans="1:31" x14ac:dyDescent="0.3">
      <c r="A1886" s="47">
        <f t="shared" si="417"/>
        <v>1720</v>
      </c>
      <c r="B1886" s="414" t="s">
        <v>2527</v>
      </c>
      <c r="C1886" s="51">
        <f t="shared" si="419"/>
        <v>687418.88</v>
      </c>
      <c r="D1886" s="51">
        <f t="shared" si="416"/>
        <v>480980.4</v>
      </c>
      <c r="E1886" s="51">
        <v>409454.4</v>
      </c>
      <c r="F1886" s="51">
        <f>13*5502</f>
        <v>71526</v>
      </c>
      <c r="G1886" s="51"/>
      <c r="H1886" s="51"/>
      <c r="I1886" s="51"/>
      <c r="J1886" s="51"/>
      <c r="K1886" s="51"/>
      <c r="L1886" s="51"/>
      <c r="M1886" s="35"/>
      <c r="N1886" s="51"/>
      <c r="O1886" s="82"/>
      <c r="P1886" s="51"/>
      <c r="Q1886" s="338"/>
      <c r="R1886" s="51"/>
      <c r="S1886" s="51"/>
      <c r="T1886" s="338"/>
      <c r="U1886" s="51"/>
      <c r="V1886" s="35"/>
      <c r="W1886" s="364">
        <f t="shared" si="420"/>
        <v>206438.48</v>
      </c>
      <c r="X1886" s="141"/>
      <c r="Y1886" s="48">
        <f>103219.24+103219.24</f>
        <v>206438.48</v>
      </c>
      <c r="Z1886" s="48"/>
      <c r="AA1886" s="57"/>
      <c r="AB1886" s="58"/>
      <c r="AC1886" s="58"/>
      <c r="AD1886" s="58"/>
      <c r="AE1886" s="58" t="s">
        <v>1475</v>
      </c>
    </row>
    <row r="1887" spans="1:31" x14ac:dyDescent="0.3">
      <c r="A1887" s="47">
        <f t="shared" si="417"/>
        <v>1721</v>
      </c>
      <c r="B1887" s="414" t="s">
        <v>2528</v>
      </c>
      <c r="C1887" s="51">
        <f t="shared" si="419"/>
        <v>231886</v>
      </c>
      <c r="D1887" s="51">
        <f t="shared" si="416"/>
        <v>0</v>
      </c>
      <c r="E1887" s="51"/>
      <c r="F1887" s="51"/>
      <c r="G1887" s="51"/>
      <c r="H1887" s="51"/>
      <c r="I1887" s="51"/>
      <c r="J1887" s="51"/>
      <c r="K1887" s="51"/>
      <c r="L1887" s="51"/>
      <c r="M1887" s="35"/>
      <c r="N1887" s="51"/>
      <c r="O1887" s="82"/>
      <c r="P1887" s="51"/>
      <c r="Q1887" s="338"/>
      <c r="R1887" s="51"/>
      <c r="S1887" s="51"/>
      <c r="T1887" s="338"/>
      <c r="U1887" s="51"/>
      <c r="V1887" s="35"/>
      <c r="W1887" s="364">
        <f t="shared" si="420"/>
        <v>231886</v>
      </c>
      <c r="X1887" s="141"/>
      <c r="Y1887" s="48">
        <f>45371.23+43301.45+43301.45</f>
        <v>131974.13</v>
      </c>
      <c r="Z1887" s="48">
        <v>99911.87</v>
      </c>
      <c r="AA1887" s="48"/>
      <c r="AB1887" s="48"/>
      <c r="AC1887" s="48"/>
      <c r="AD1887" s="58"/>
      <c r="AE1887" s="58" t="s">
        <v>2480</v>
      </c>
    </row>
    <row r="1888" spans="1:31" x14ac:dyDescent="0.3">
      <c r="A1888" s="47">
        <f t="shared" si="417"/>
        <v>1722</v>
      </c>
      <c r="B1888" s="414" t="s">
        <v>2529</v>
      </c>
      <c r="C1888" s="51">
        <f t="shared" si="419"/>
        <v>235236.78000000003</v>
      </c>
      <c r="D1888" s="51">
        <f t="shared" si="416"/>
        <v>0</v>
      </c>
      <c r="E1888" s="51"/>
      <c r="F1888" s="51"/>
      <c r="G1888" s="51"/>
      <c r="H1888" s="51"/>
      <c r="I1888" s="51"/>
      <c r="J1888" s="51"/>
      <c r="K1888" s="51"/>
      <c r="L1888" s="51"/>
      <c r="M1888" s="35"/>
      <c r="N1888" s="51"/>
      <c r="O1888" s="82"/>
      <c r="P1888" s="51"/>
      <c r="Q1888" s="338"/>
      <c r="R1888" s="51"/>
      <c r="S1888" s="51"/>
      <c r="T1888" s="338"/>
      <c r="U1888" s="51"/>
      <c r="V1888" s="35"/>
      <c r="W1888" s="364">
        <f t="shared" si="420"/>
        <v>235236.78000000003</v>
      </c>
      <c r="X1888" s="141"/>
      <c r="Y1888" s="48">
        <v>46010.6</v>
      </c>
      <c r="Z1888" s="48">
        <v>100873.97</v>
      </c>
      <c r="AA1888" s="48"/>
      <c r="AB1888" s="48"/>
      <c r="AC1888" s="48">
        <v>88352.21</v>
      </c>
      <c r="AD1888" s="58"/>
      <c r="AE1888" s="58" t="s">
        <v>1400</v>
      </c>
    </row>
    <row r="1889" spans="1:31" x14ac:dyDescent="0.3">
      <c r="A1889" s="47">
        <f t="shared" si="417"/>
        <v>1723</v>
      </c>
      <c r="B1889" s="414" t="s">
        <v>2530</v>
      </c>
      <c r="C1889" s="51">
        <f t="shared" si="419"/>
        <v>359699.6</v>
      </c>
      <c r="D1889" s="51">
        <f t="shared" si="416"/>
        <v>0</v>
      </c>
      <c r="E1889" s="51"/>
      <c r="F1889" s="51"/>
      <c r="G1889" s="51"/>
      <c r="H1889" s="51"/>
      <c r="I1889" s="51"/>
      <c r="J1889" s="51"/>
      <c r="K1889" s="51"/>
      <c r="L1889" s="51"/>
      <c r="M1889" s="35"/>
      <c r="N1889" s="51"/>
      <c r="O1889" s="82"/>
      <c r="P1889" s="51"/>
      <c r="Q1889" s="338"/>
      <c r="R1889" s="51"/>
      <c r="S1889" s="51"/>
      <c r="T1889" s="338"/>
      <c r="U1889" s="51"/>
      <c r="V1889" s="35"/>
      <c r="W1889" s="364">
        <f t="shared" si="420"/>
        <v>359699.6</v>
      </c>
      <c r="X1889" s="141"/>
      <c r="Y1889" s="48">
        <f>52152.37+49914.68+49914.68</f>
        <v>151981.73000000001</v>
      </c>
      <c r="Z1889" s="48">
        <v>110110.19</v>
      </c>
      <c r="AA1889" s="48"/>
      <c r="AB1889" s="48"/>
      <c r="AC1889" s="48">
        <v>97607.679999999993</v>
      </c>
      <c r="AD1889" s="58"/>
      <c r="AE1889" s="58" t="s">
        <v>2480</v>
      </c>
    </row>
    <row r="1890" spans="1:31" x14ac:dyDescent="0.3">
      <c r="A1890" s="47">
        <f t="shared" si="417"/>
        <v>1724</v>
      </c>
      <c r="B1890" s="414" t="s">
        <v>2531</v>
      </c>
      <c r="C1890" s="51">
        <f t="shared" si="419"/>
        <v>319274.12</v>
      </c>
      <c r="D1890" s="51">
        <f t="shared" si="416"/>
        <v>0</v>
      </c>
      <c r="E1890" s="51"/>
      <c r="F1890" s="51"/>
      <c r="G1890" s="51"/>
      <c r="H1890" s="51"/>
      <c r="I1890" s="51"/>
      <c r="J1890" s="51"/>
      <c r="K1890" s="51"/>
      <c r="L1890" s="51"/>
      <c r="M1890" s="35"/>
      <c r="N1890" s="51"/>
      <c r="O1890" s="82"/>
      <c r="P1890" s="51"/>
      <c r="Q1890" s="338"/>
      <c r="R1890" s="51"/>
      <c r="S1890" s="51"/>
      <c r="T1890" s="338"/>
      <c r="U1890" s="51"/>
      <c r="V1890" s="35"/>
      <c r="W1890" s="364">
        <f t="shared" si="420"/>
        <v>319274.12</v>
      </c>
      <c r="X1890" s="141"/>
      <c r="Y1890" s="48">
        <f>45371.23+43301.45+43301.45</f>
        <v>131974.13</v>
      </c>
      <c r="Z1890" s="48">
        <v>99911.87</v>
      </c>
      <c r="AA1890" s="48"/>
      <c r="AB1890" s="48"/>
      <c r="AC1890" s="48">
        <v>87388.12</v>
      </c>
      <c r="AD1890" s="58"/>
      <c r="AE1890" s="58" t="s">
        <v>2480</v>
      </c>
    </row>
    <row r="1891" spans="1:31" x14ac:dyDescent="0.3">
      <c r="A1891" s="47">
        <f t="shared" si="417"/>
        <v>1725</v>
      </c>
      <c r="B1891" s="414" t="s">
        <v>2532</v>
      </c>
      <c r="C1891" s="51">
        <f t="shared" si="419"/>
        <v>232740.66999999998</v>
      </c>
      <c r="D1891" s="51">
        <f t="shared" si="416"/>
        <v>0</v>
      </c>
      <c r="E1891" s="51"/>
      <c r="F1891" s="51"/>
      <c r="G1891" s="51"/>
      <c r="H1891" s="51"/>
      <c r="I1891" s="51"/>
      <c r="J1891" s="51"/>
      <c r="K1891" s="51"/>
      <c r="L1891" s="51"/>
      <c r="M1891" s="35"/>
      <c r="N1891" s="51"/>
      <c r="O1891" s="82"/>
      <c r="P1891" s="51"/>
      <c r="Q1891" s="338"/>
      <c r="R1891" s="51"/>
      <c r="S1891" s="51"/>
      <c r="T1891" s="338"/>
      <c r="U1891" s="51"/>
      <c r="V1891" s="35"/>
      <c r="W1891" s="364">
        <f t="shared" si="420"/>
        <v>232740.66999999998</v>
      </c>
      <c r="X1891" s="141"/>
      <c r="Y1891" s="48">
        <f>45562.97+43488.61+43488.61</f>
        <v>132540.19</v>
      </c>
      <c r="Z1891" s="48">
        <v>100200.48</v>
      </c>
      <c r="AA1891" s="48"/>
      <c r="AB1891" s="48"/>
      <c r="AC1891" s="58"/>
      <c r="AD1891" s="58"/>
      <c r="AE1891" s="58" t="s">
        <v>2480</v>
      </c>
    </row>
    <row r="1892" spans="1:31" x14ac:dyDescent="0.3">
      <c r="A1892" s="47">
        <f t="shared" si="417"/>
        <v>1726</v>
      </c>
      <c r="B1892" s="414" t="s">
        <v>2533</v>
      </c>
      <c r="C1892" s="51">
        <f t="shared" si="419"/>
        <v>97465.36</v>
      </c>
      <c r="D1892" s="51">
        <f t="shared" si="416"/>
        <v>0</v>
      </c>
      <c r="E1892" s="51"/>
      <c r="F1892" s="51"/>
      <c r="G1892" s="51"/>
      <c r="H1892" s="51"/>
      <c r="I1892" s="51"/>
      <c r="J1892" s="51"/>
      <c r="K1892" s="51"/>
      <c r="L1892" s="51"/>
      <c r="M1892" s="35"/>
      <c r="N1892" s="51"/>
      <c r="O1892" s="82"/>
      <c r="P1892" s="51"/>
      <c r="Q1892" s="338"/>
      <c r="R1892" s="51"/>
      <c r="S1892" s="51"/>
      <c r="T1892" s="338"/>
      <c r="U1892" s="51"/>
      <c r="V1892" s="35"/>
      <c r="W1892" s="364">
        <f t="shared" si="420"/>
        <v>97465.36</v>
      </c>
      <c r="X1892" s="141"/>
      <c r="Y1892" s="48">
        <v>97465.36</v>
      </c>
      <c r="Z1892" s="48"/>
      <c r="AA1892" s="57"/>
      <c r="AB1892" s="58"/>
      <c r="AC1892" s="58"/>
      <c r="AD1892" s="58"/>
      <c r="AE1892" s="58" t="s">
        <v>25</v>
      </c>
    </row>
    <row r="1893" spans="1:31" x14ac:dyDescent="0.3">
      <c r="A1893" s="47">
        <f t="shared" si="417"/>
        <v>1727</v>
      </c>
      <c r="B1893" s="414" t="s">
        <v>2534</v>
      </c>
      <c r="C1893" s="51">
        <f t="shared" si="419"/>
        <v>130000</v>
      </c>
      <c r="D1893" s="51">
        <f t="shared" si="416"/>
        <v>0</v>
      </c>
      <c r="E1893" s="51"/>
      <c r="F1893" s="51"/>
      <c r="G1893" s="51"/>
      <c r="H1893" s="51"/>
      <c r="I1893" s="51"/>
      <c r="J1893" s="51"/>
      <c r="K1893" s="51"/>
      <c r="L1893" s="51"/>
      <c r="M1893" s="35"/>
      <c r="N1893" s="51"/>
      <c r="O1893" s="82"/>
      <c r="P1893" s="51"/>
      <c r="Q1893" s="338"/>
      <c r="R1893" s="51"/>
      <c r="S1893" s="51"/>
      <c r="T1893" s="338"/>
      <c r="U1893" s="51"/>
      <c r="V1893" s="35"/>
      <c r="W1893" s="364">
        <v>130000</v>
      </c>
      <c r="X1893" s="141"/>
      <c r="Y1893" s="48"/>
      <c r="Z1893" s="48"/>
      <c r="AA1893" s="57"/>
      <c r="AB1893" s="48"/>
      <c r="AC1893" s="58"/>
      <c r="AD1893" s="58"/>
      <c r="AE1893" s="58"/>
    </row>
    <row r="1894" spans="1:31" x14ac:dyDescent="0.3">
      <c r="A1894" s="47">
        <f t="shared" si="417"/>
        <v>1728</v>
      </c>
      <c r="B1894" s="414" t="s">
        <v>2535</v>
      </c>
      <c r="C1894" s="51">
        <f t="shared" si="419"/>
        <v>253266.02000000002</v>
      </c>
      <c r="D1894" s="51">
        <f t="shared" si="416"/>
        <v>0</v>
      </c>
      <c r="E1894" s="51"/>
      <c r="F1894" s="51"/>
      <c r="G1894" s="51"/>
      <c r="H1894" s="51"/>
      <c r="I1894" s="51"/>
      <c r="J1894" s="51"/>
      <c r="K1894" s="51"/>
      <c r="L1894" s="51"/>
      <c r="M1894" s="35">
        <v>13</v>
      </c>
      <c r="N1894" s="51">
        <f>M1894*8094</f>
        <v>105222</v>
      </c>
      <c r="O1894" s="82"/>
      <c r="P1894" s="51"/>
      <c r="Q1894" s="338"/>
      <c r="R1894" s="51"/>
      <c r="S1894" s="51"/>
      <c r="T1894" s="338"/>
      <c r="U1894" s="51"/>
      <c r="V1894" s="35"/>
      <c r="W1894" s="364">
        <f t="shared" si="420"/>
        <v>148044.02000000002</v>
      </c>
      <c r="X1894" s="141"/>
      <c r="Y1894" s="48">
        <f>50835+48604.51+48604.51</f>
        <v>148044.02000000002</v>
      </c>
      <c r="Z1894" s="48"/>
      <c r="AA1894" s="48"/>
      <c r="AB1894" s="58"/>
      <c r="AC1894" s="58"/>
      <c r="AD1894" s="58"/>
      <c r="AE1894" s="58" t="s">
        <v>2480</v>
      </c>
    </row>
    <row r="1895" spans="1:31" x14ac:dyDescent="0.3">
      <c r="A1895" s="47">
        <f t="shared" si="417"/>
        <v>1729</v>
      </c>
      <c r="B1895" s="414" t="s">
        <v>2536</v>
      </c>
      <c r="C1895" s="51">
        <f t="shared" si="419"/>
        <v>381103.87000000005</v>
      </c>
      <c r="D1895" s="51">
        <f t="shared" si="416"/>
        <v>0</v>
      </c>
      <c r="E1895" s="51"/>
      <c r="F1895" s="51"/>
      <c r="G1895" s="51"/>
      <c r="H1895" s="51"/>
      <c r="I1895" s="51"/>
      <c r="J1895" s="51"/>
      <c r="K1895" s="51"/>
      <c r="L1895" s="51"/>
      <c r="M1895" s="35"/>
      <c r="N1895" s="51"/>
      <c r="O1895" s="82"/>
      <c r="P1895" s="51"/>
      <c r="Q1895" s="338"/>
      <c r="R1895" s="51"/>
      <c r="S1895" s="51"/>
      <c r="T1895" s="338"/>
      <c r="U1895" s="51"/>
      <c r="V1895" s="35"/>
      <c r="W1895" s="364">
        <f t="shared" si="420"/>
        <v>381103.87000000005</v>
      </c>
      <c r="X1895" s="141"/>
      <c r="Y1895" s="48">
        <f>63988.31+61456.66+78758.54+61456.66</f>
        <v>265660.17000000004</v>
      </c>
      <c r="Z1895" s="48"/>
      <c r="AA1895" s="48"/>
      <c r="AB1895" s="58"/>
      <c r="AC1895" s="48">
        <v>115443.7</v>
      </c>
      <c r="AD1895" s="58"/>
      <c r="AE1895" s="58" t="s">
        <v>2486</v>
      </c>
    </row>
    <row r="1896" spans="1:31" x14ac:dyDescent="0.3">
      <c r="A1896" s="47">
        <f t="shared" si="417"/>
        <v>1730</v>
      </c>
      <c r="B1896" s="414" t="s">
        <v>2537</v>
      </c>
      <c r="C1896" s="51">
        <f t="shared" si="419"/>
        <v>462176.07</v>
      </c>
      <c r="D1896" s="51">
        <f t="shared" si="416"/>
        <v>0</v>
      </c>
      <c r="E1896" s="51"/>
      <c r="F1896" s="51"/>
      <c r="G1896" s="51"/>
      <c r="H1896" s="51"/>
      <c r="I1896" s="51"/>
      <c r="J1896" s="51"/>
      <c r="K1896" s="51"/>
      <c r="L1896" s="51"/>
      <c r="M1896" s="35"/>
      <c r="N1896" s="51"/>
      <c r="O1896" s="82"/>
      <c r="P1896" s="51"/>
      <c r="Q1896" s="338"/>
      <c r="R1896" s="51"/>
      <c r="S1896" s="51"/>
      <c r="T1896" s="338"/>
      <c r="U1896" s="51"/>
      <c r="V1896" s="35"/>
      <c r="W1896" s="364">
        <f t="shared" si="420"/>
        <v>462176.07</v>
      </c>
      <c r="X1896" s="141"/>
      <c r="Y1896" s="48">
        <f>77798.27+95689.78+76159.01+76159.01</f>
        <v>325806.07</v>
      </c>
      <c r="Z1896" s="48"/>
      <c r="AA1896" s="48"/>
      <c r="AB1896" s="58"/>
      <c r="AC1896" s="48">
        <v>136370</v>
      </c>
      <c r="AD1896" s="58"/>
      <c r="AE1896" s="58" t="s">
        <v>2538</v>
      </c>
    </row>
    <row r="1897" spans="1:31" x14ac:dyDescent="0.3">
      <c r="A1897" s="47">
        <f t="shared" si="417"/>
        <v>1731</v>
      </c>
      <c r="B1897" s="414" t="s">
        <v>2539</v>
      </c>
      <c r="C1897" s="51">
        <f t="shared" si="419"/>
        <v>199841.08000000002</v>
      </c>
      <c r="D1897" s="51">
        <f t="shared" si="416"/>
        <v>0</v>
      </c>
      <c r="E1897" s="51"/>
      <c r="F1897" s="51"/>
      <c r="G1897" s="51"/>
      <c r="H1897" s="51"/>
      <c r="I1897" s="51"/>
      <c r="J1897" s="51"/>
      <c r="K1897" s="51"/>
      <c r="L1897" s="51"/>
      <c r="M1897" s="35">
        <v>13</v>
      </c>
      <c r="N1897" s="51">
        <f>M1897*8094</f>
        <v>105222</v>
      </c>
      <c r="O1897" s="82">
        <v>13</v>
      </c>
      <c r="P1897" s="51"/>
      <c r="Q1897" s="338"/>
      <c r="R1897" s="51"/>
      <c r="S1897" s="51"/>
      <c r="T1897" s="338"/>
      <c r="U1897" s="51"/>
      <c r="V1897" s="35"/>
      <c r="W1897" s="364">
        <f t="shared" si="420"/>
        <v>94619.08</v>
      </c>
      <c r="X1897" s="141"/>
      <c r="Y1897" s="48">
        <f>50194.64+44424.44</f>
        <v>94619.08</v>
      </c>
      <c r="Z1897" s="48"/>
      <c r="AA1897" s="48"/>
      <c r="AB1897" s="58"/>
      <c r="AC1897" s="58"/>
      <c r="AD1897" s="58"/>
      <c r="AE1897" s="58" t="s">
        <v>2498</v>
      </c>
    </row>
    <row r="1898" spans="1:31" x14ac:dyDescent="0.3">
      <c r="A1898" s="47">
        <f t="shared" si="417"/>
        <v>1732</v>
      </c>
      <c r="B1898" s="414" t="s">
        <v>2540</v>
      </c>
      <c r="C1898" s="51">
        <f t="shared" si="419"/>
        <v>244162.99</v>
      </c>
      <c r="D1898" s="51">
        <f t="shared" si="416"/>
        <v>0</v>
      </c>
      <c r="E1898" s="51"/>
      <c r="F1898" s="51"/>
      <c r="G1898" s="51"/>
      <c r="H1898" s="51"/>
      <c r="I1898" s="51"/>
      <c r="J1898" s="51"/>
      <c r="K1898" s="51"/>
      <c r="L1898" s="51"/>
      <c r="M1898" s="35"/>
      <c r="N1898" s="51"/>
      <c r="O1898" s="82"/>
      <c r="P1898" s="51"/>
      <c r="Q1898" s="338"/>
      <c r="R1898" s="51"/>
      <c r="S1898" s="51"/>
      <c r="T1898" s="338"/>
      <c r="U1898" s="51"/>
      <c r="V1898" s="35"/>
      <c r="W1898" s="364">
        <f t="shared" si="420"/>
        <v>244162.99</v>
      </c>
      <c r="X1898" s="141"/>
      <c r="Y1898" s="48">
        <f>48145.7+45984.18+45984.18</f>
        <v>140114.06</v>
      </c>
      <c r="Z1898" s="48">
        <v>104048.93</v>
      </c>
      <c r="AA1898" s="48"/>
      <c r="AB1898" s="58"/>
      <c r="AC1898" s="58"/>
      <c r="AD1898" s="58"/>
      <c r="AE1898" s="58" t="s">
        <v>2541</v>
      </c>
    </row>
    <row r="1899" spans="1:31" x14ac:dyDescent="0.3">
      <c r="A1899" s="47">
        <f t="shared" si="417"/>
        <v>1733</v>
      </c>
      <c r="B1899" s="414" t="s">
        <v>2542</v>
      </c>
      <c r="C1899" s="51">
        <f t="shared" si="419"/>
        <v>213428.13</v>
      </c>
      <c r="D1899" s="51">
        <f t="shared" si="416"/>
        <v>0</v>
      </c>
      <c r="E1899" s="51"/>
      <c r="F1899" s="51"/>
      <c r="G1899" s="51"/>
      <c r="H1899" s="51"/>
      <c r="I1899" s="51"/>
      <c r="J1899" s="51"/>
      <c r="K1899" s="51"/>
      <c r="L1899" s="51"/>
      <c r="M1899" s="35"/>
      <c r="N1899" s="51"/>
      <c r="O1899" s="82"/>
      <c r="P1899" s="51"/>
      <c r="Q1899" s="338"/>
      <c r="R1899" s="51"/>
      <c r="S1899" s="51"/>
      <c r="T1899" s="338"/>
      <c r="U1899" s="51"/>
      <c r="V1899" s="35"/>
      <c r="W1899" s="364">
        <f t="shared" si="420"/>
        <v>213428.13</v>
      </c>
      <c r="X1899" s="141"/>
      <c r="Y1899" s="48"/>
      <c r="Z1899" s="48">
        <v>157517.44</v>
      </c>
      <c r="AA1899" s="48">
        <v>55910.69</v>
      </c>
      <c r="AB1899" s="58"/>
      <c r="AC1899" s="58"/>
      <c r="AD1899" s="58"/>
      <c r="AE1899" s="58"/>
    </row>
    <row r="1900" spans="1:31" x14ac:dyDescent="0.3">
      <c r="A1900" s="47">
        <f t="shared" si="417"/>
        <v>1734</v>
      </c>
      <c r="B1900" s="414" t="s">
        <v>2543</v>
      </c>
      <c r="C1900" s="51">
        <f t="shared" si="419"/>
        <v>590975.94999999995</v>
      </c>
      <c r="D1900" s="51">
        <f t="shared" si="416"/>
        <v>0</v>
      </c>
      <c r="E1900" s="51"/>
      <c r="F1900" s="51"/>
      <c r="G1900" s="51"/>
      <c r="H1900" s="51"/>
      <c r="I1900" s="51"/>
      <c r="J1900" s="51"/>
      <c r="K1900" s="51"/>
      <c r="L1900" s="51"/>
      <c r="M1900" s="35"/>
      <c r="N1900" s="51"/>
      <c r="O1900" s="82"/>
      <c r="P1900" s="51"/>
      <c r="Q1900" s="338"/>
      <c r="R1900" s="51"/>
      <c r="S1900" s="51"/>
      <c r="T1900" s="338"/>
      <c r="U1900" s="51"/>
      <c r="V1900" s="35"/>
      <c r="W1900" s="364">
        <f t="shared" si="420"/>
        <v>590975.94999999995</v>
      </c>
      <c r="X1900" s="141"/>
      <c r="Y1900" s="48">
        <v>157596.85</v>
      </c>
      <c r="Z1900" s="48"/>
      <c r="AA1900" s="48">
        <v>433379.1</v>
      </c>
      <c r="AB1900" s="58"/>
      <c r="AC1900" s="58"/>
      <c r="AD1900" s="58"/>
      <c r="AE1900" s="58" t="s">
        <v>25</v>
      </c>
    </row>
    <row r="1901" spans="1:31" x14ac:dyDescent="0.3">
      <c r="A1901" s="47">
        <f t="shared" si="417"/>
        <v>1735</v>
      </c>
      <c r="B1901" s="414" t="s">
        <v>2544</v>
      </c>
      <c r="C1901" s="51">
        <f t="shared" si="419"/>
        <v>467763.98</v>
      </c>
      <c r="D1901" s="51">
        <f t="shared" si="416"/>
        <v>0</v>
      </c>
      <c r="E1901" s="51"/>
      <c r="F1901" s="51"/>
      <c r="G1901" s="51"/>
      <c r="H1901" s="51"/>
      <c r="I1901" s="51"/>
      <c r="J1901" s="51"/>
      <c r="K1901" s="51"/>
      <c r="L1901" s="51"/>
      <c r="M1901" s="35"/>
      <c r="N1901" s="51"/>
      <c r="O1901" s="82"/>
      <c r="P1901" s="51"/>
      <c r="Q1901" s="338"/>
      <c r="R1901" s="51"/>
      <c r="S1901" s="51"/>
      <c r="T1901" s="338"/>
      <c r="U1901" s="51"/>
      <c r="V1901" s="35"/>
      <c r="W1901" s="364">
        <f t="shared" si="420"/>
        <v>467763.98</v>
      </c>
      <c r="X1901" s="141"/>
      <c r="Y1901" s="48">
        <v>189018.58</v>
      </c>
      <c r="Z1901" s="48"/>
      <c r="AA1901" s="48">
        <v>278745.40000000002</v>
      </c>
      <c r="AB1901" s="58"/>
      <c r="AC1901" s="58"/>
      <c r="AD1901" s="58"/>
      <c r="AE1901" s="58" t="s">
        <v>1395</v>
      </c>
    </row>
    <row r="1902" spans="1:31" x14ac:dyDescent="0.3">
      <c r="A1902" s="47">
        <f t="shared" si="417"/>
        <v>1736</v>
      </c>
      <c r="B1902" s="414" t="s">
        <v>2545</v>
      </c>
      <c r="C1902" s="51">
        <f t="shared" si="419"/>
        <v>474787.62</v>
      </c>
      <c r="D1902" s="51">
        <f t="shared" si="416"/>
        <v>0</v>
      </c>
      <c r="E1902" s="51"/>
      <c r="F1902" s="51"/>
      <c r="G1902" s="51"/>
      <c r="H1902" s="51"/>
      <c r="I1902" s="51"/>
      <c r="J1902" s="51"/>
      <c r="K1902" s="51"/>
      <c r="L1902" s="51"/>
      <c r="M1902" s="35"/>
      <c r="N1902" s="51"/>
      <c r="O1902" s="82"/>
      <c r="P1902" s="51"/>
      <c r="Q1902" s="338"/>
      <c r="R1902" s="51"/>
      <c r="S1902" s="51"/>
      <c r="T1902" s="338"/>
      <c r="U1902" s="51"/>
      <c r="V1902" s="35"/>
      <c r="W1902" s="364">
        <f t="shared" si="420"/>
        <v>474787.62</v>
      </c>
      <c r="X1902" s="141"/>
      <c r="Y1902" s="48">
        <v>184325.8</v>
      </c>
      <c r="Z1902" s="48"/>
      <c r="AA1902" s="48">
        <v>290461.82</v>
      </c>
      <c r="AB1902" s="58"/>
      <c r="AC1902" s="58"/>
      <c r="AD1902" s="58"/>
      <c r="AE1902" s="58" t="s">
        <v>1395</v>
      </c>
    </row>
    <row r="1903" spans="1:31" x14ac:dyDescent="0.3">
      <c r="A1903" s="47">
        <f t="shared" si="417"/>
        <v>1737</v>
      </c>
      <c r="B1903" s="414" t="s">
        <v>2546</v>
      </c>
      <c r="C1903" s="51">
        <f t="shared" si="419"/>
        <v>789309.06</v>
      </c>
      <c r="D1903" s="51">
        <f t="shared" si="416"/>
        <v>0</v>
      </c>
      <c r="E1903" s="51"/>
      <c r="F1903" s="51"/>
      <c r="G1903" s="51"/>
      <c r="H1903" s="51"/>
      <c r="I1903" s="51"/>
      <c r="J1903" s="51"/>
      <c r="K1903" s="51"/>
      <c r="L1903" s="51"/>
      <c r="M1903" s="35"/>
      <c r="N1903" s="51"/>
      <c r="O1903" s="82"/>
      <c r="P1903" s="51"/>
      <c r="Q1903" s="338"/>
      <c r="R1903" s="51"/>
      <c r="S1903" s="51"/>
      <c r="T1903" s="338"/>
      <c r="U1903" s="51"/>
      <c r="V1903" s="35"/>
      <c r="W1903" s="364">
        <f t="shared" si="420"/>
        <v>789309.06</v>
      </c>
      <c r="X1903" s="141"/>
      <c r="Y1903" s="48"/>
      <c r="Z1903" s="48">
        <v>492705.49</v>
      </c>
      <c r="AA1903" s="48">
        <v>296603.57</v>
      </c>
      <c r="AB1903" s="48"/>
      <c r="AC1903" s="58"/>
      <c r="AD1903" s="58"/>
      <c r="AE1903" s="58" t="s">
        <v>1400</v>
      </c>
    </row>
    <row r="1904" spans="1:31" x14ac:dyDescent="0.3">
      <c r="A1904" s="47">
        <f t="shared" si="417"/>
        <v>1738</v>
      </c>
      <c r="B1904" s="414" t="s">
        <v>2547</v>
      </c>
      <c r="C1904" s="51">
        <f t="shared" si="419"/>
        <v>156146.35</v>
      </c>
      <c r="D1904" s="51">
        <f t="shared" si="416"/>
        <v>0</v>
      </c>
      <c r="E1904" s="51"/>
      <c r="F1904" s="51"/>
      <c r="G1904" s="51"/>
      <c r="H1904" s="51"/>
      <c r="I1904" s="51"/>
      <c r="J1904" s="51"/>
      <c r="K1904" s="51"/>
      <c r="L1904" s="51"/>
      <c r="M1904" s="35"/>
      <c r="N1904" s="51"/>
      <c r="O1904" s="82"/>
      <c r="P1904" s="51"/>
      <c r="Q1904" s="338"/>
      <c r="R1904" s="51"/>
      <c r="S1904" s="51"/>
      <c r="T1904" s="338"/>
      <c r="U1904" s="51"/>
      <c r="V1904" s="35"/>
      <c r="W1904" s="364">
        <f t="shared" si="420"/>
        <v>156146.35</v>
      </c>
      <c r="X1904" s="141"/>
      <c r="Y1904" s="48">
        <v>156146.35</v>
      </c>
      <c r="Z1904" s="48"/>
      <c r="AA1904" s="57"/>
      <c r="AB1904" s="58"/>
      <c r="AC1904" s="58"/>
      <c r="AD1904" s="58"/>
      <c r="AE1904" s="58" t="s">
        <v>25</v>
      </c>
    </row>
    <row r="1905" spans="1:31" x14ac:dyDescent="0.3">
      <c r="A1905" s="47">
        <f t="shared" si="417"/>
        <v>1739</v>
      </c>
      <c r="B1905" s="414" t="s">
        <v>2548</v>
      </c>
      <c r="C1905" s="51">
        <f t="shared" si="419"/>
        <v>157554.6</v>
      </c>
      <c r="D1905" s="51">
        <f t="shared" si="416"/>
        <v>0</v>
      </c>
      <c r="E1905" s="51"/>
      <c r="F1905" s="51"/>
      <c r="G1905" s="51"/>
      <c r="H1905" s="51"/>
      <c r="I1905" s="51"/>
      <c r="J1905" s="51"/>
      <c r="K1905" s="51"/>
      <c r="L1905" s="51"/>
      <c r="M1905" s="35"/>
      <c r="N1905" s="51"/>
      <c r="O1905" s="134"/>
      <c r="P1905" s="51"/>
      <c r="Q1905" s="338"/>
      <c r="R1905" s="51"/>
      <c r="S1905" s="51"/>
      <c r="T1905" s="338"/>
      <c r="U1905" s="51"/>
      <c r="V1905" s="35"/>
      <c r="W1905" s="364">
        <f t="shared" si="420"/>
        <v>157554.6</v>
      </c>
      <c r="X1905" s="141"/>
      <c r="Y1905" s="48">
        <v>157554.6</v>
      </c>
      <c r="Z1905" s="48"/>
      <c r="AA1905" s="57"/>
      <c r="AB1905" s="58"/>
      <c r="AC1905" s="58"/>
      <c r="AD1905" s="58"/>
      <c r="AE1905" s="58" t="s">
        <v>25</v>
      </c>
    </row>
    <row r="1906" spans="1:31" x14ac:dyDescent="0.3">
      <c r="A1906" s="47">
        <f t="shared" si="417"/>
        <v>1740</v>
      </c>
      <c r="B1906" s="414" t="s">
        <v>2549</v>
      </c>
      <c r="C1906" s="51">
        <f t="shared" si="419"/>
        <v>578977.97</v>
      </c>
      <c r="D1906" s="51">
        <f t="shared" si="416"/>
        <v>0</v>
      </c>
      <c r="E1906" s="51"/>
      <c r="F1906" s="51"/>
      <c r="G1906" s="51"/>
      <c r="H1906" s="51"/>
      <c r="I1906" s="51"/>
      <c r="J1906" s="51"/>
      <c r="K1906" s="51"/>
      <c r="L1906" s="51"/>
      <c r="M1906" s="35"/>
      <c r="N1906" s="51"/>
      <c r="O1906" s="82"/>
      <c r="P1906" s="51"/>
      <c r="Q1906" s="338"/>
      <c r="R1906" s="51"/>
      <c r="S1906" s="51"/>
      <c r="T1906" s="338"/>
      <c r="U1906" s="51"/>
      <c r="V1906" s="35"/>
      <c r="W1906" s="364">
        <f t="shared" si="420"/>
        <v>578977.97</v>
      </c>
      <c r="X1906" s="141"/>
      <c r="Y1906" s="48">
        <v>156949.06</v>
      </c>
      <c r="Z1906" s="48"/>
      <c r="AA1906" s="48">
        <v>422028.91</v>
      </c>
      <c r="AB1906" s="58"/>
      <c r="AC1906" s="58"/>
      <c r="AD1906" s="58"/>
      <c r="AE1906" s="58" t="s">
        <v>25</v>
      </c>
    </row>
    <row r="1907" spans="1:31" x14ac:dyDescent="0.3">
      <c r="A1907" s="47">
        <f t="shared" si="417"/>
        <v>1741</v>
      </c>
      <c r="B1907" s="414" t="s">
        <v>2550</v>
      </c>
      <c r="C1907" s="51">
        <f t="shared" si="419"/>
        <v>1269272.3999999999</v>
      </c>
      <c r="D1907" s="51">
        <f t="shared" si="416"/>
        <v>1269272.3999999999</v>
      </c>
      <c r="E1907" s="51">
        <v>1176920.3999999999</v>
      </c>
      <c r="F1907" s="51"/>
      <c r="G1907" s="51">
        <f>13*3910</f>
        <v>50830</v>
      </c>
      <c r="H1907" s="51"/>
      <c r="I1907" s="51">
        <f>13*3194</f>
        <v>41522</v>
      </c>
      <c r="J1907" s="51"/>
      <c r="K1907" s="51"/>
      <c r="L1907" s="51"/>
      <c r="M1907" s="35"/>
      <c r="N1907" s="51"/>
      <c r="O1907" s="82"/>
      <c r="P1907" s="51"/>
      <c r="Q1907" s="338"/>
      <c r="R1907" s="51"/>
      <c r="S1907" s="51"/>
      <c r="T1907" s="338"/>
      <c r="U1907" s="51"/>
      <c r="V1907" s="35"/>
      <c r="W1907" s="364">
        <f t="shared" si="420"/>
        <v>0</v>
      </c>
      <c r="X1907" s="141"/>
      <c r="Y1907" s="48"/>
      <c r="Z1907" s="48"/>
      <c r="AA1907" s="57"/>
      <c r="AB1907" s="48"/>
      <c r="AC1907" s="58"/>
      <c r="AD1907" s="58"/>
      <c r="AE1907" s="58" t="s">
        <v>1400</v>
      </c>
    </row>
    <row r="1908" spans="1:31" x14ac:dyDescent="0.3">
      <c r="A1908" s="47">
        <f t="shared" si="417"/>
        <v>1742</v>
      </c>
      <c r="B1908" s="414" t="s">
        <v>2551</v>
      </c>
      <c r="C1908" s="51">
        <f t="shared" si="419"/>
        <v>808863.99</v>
      </c>
      <c r="D1908" s="51">
        <f t="shared" si="416"/>
        <v>163878</v>
      </c>
      <c r="E1908" s="51"/>
      <c r="F1908" s="51">
        <f>13*5502</f>
        <v>71526</v>
      </c>
      <c r="G1908" s="51">
        <f>13*3910</f>
        <v>50830</v>
      </c>
      <c r="H1908" s="51"/>
      <c r="I1908" s="51">
        <f>13*3194</f>
        <v>41522</v>
      </c>
      <c r="J1908" s="51"/>
      <c r="K1908" s="51"/>
      <c r="L1908" s="51"/>
      <c r="M1908" s="35"/>
      <c r="N1908" s="51"/>
      <c r="O1908" s="82"/>
      <c r="P1908" s="51"/>
      <c r="Q1908" s="338"/>
      <c r="R1908" s="51"/>
      <c r="S1908" s="51"/>
      <c r="T1908" s="338"/>
      <c r="U1908" s="51"/>
      <c r="V1908" s="35"/>
      <c r="W1908" s="364">
        <f t="shared" si="420"/>
        <v>644985.99</v>
      </c>
      <c r="X1908" s="141"/>
      <c r="Y1908" s="48">
        <v>121203.3</v>
      </c>
      <c r="Z1908" s="48">
        <v>243569.9</v>
      </c>
      <c r="AA1908" s="48">
        <v>280212.78999999998</v>
      </c>
      <c r="AB1908" s="58"/>
      <c r="AC1908" s="58"/>
      <c r="AD1908" s="58"/>
      <c r="AE1908" s="58" t="s">
        <v>1395</v>
      </c>
    </row>
    <row r="1909" spans="1:31" x14ac:dyDescent="0.3">
      <c r="A1909" s="47">
        <f t="shared" si="417"/>
        <v>1743</v>
      </c>
      <c r="B1909" s="414" t="s">
        <v>2552</v>
      </c>
      <c r="C1909" s="51">
        <f t="shared" si="419"/>
        <v>3474652.4000000004</v>
      </c>
      <c r="D1909" s="51">
        <f t="shared" si="416"/>
        <v>1343171.2</v>
      </c>
      <c r="E1909" s="51">
        <v>1292341.2</v>
      </c>
      <c r="F1909" s="51"/>
      <c r="G1909" s="51">
        <f>13*3910</f>
        <v>50830</v>
      </c>
      <c r="H1909" s="51"/>
      <c r="I1909" s="51"/>
      <c r="J1909" s="51"/>
      <c r="K1909" s="51"/>
      <c r="L1909" s="51"/>
      <c r="M1909" s="35"/>
      <c r="N1909" s="51"/>
      <c r="O1909" s="82"/>
      <c r="P1909" s="51"/>
      <c r="Q1909" s="338"/>
      <c r="R1909" s="51"/>
      <c r="S1909" s="51"/>
      <c r="T1909" s="338"/>
      <c r="U1909" s="51"/>
      <c r="V1909" s="35">
        <f>(214531+392996*3+117656)</f>
        <v>1511175</v>
      </c>
      <c r="W1909" s="364">
        <f t="shared" si="420"/>
        <v>620306.19999999995</v>
      </c>
      <c r="X1909" s="141"/>
      <c r="Y1909" s="48"/>
      <c r="Z1909" s="48">
        <v>257659.73</v>
      </c>
      <c r="AA1909" s="48">
        <v>362646.47</v>
      </c>
      <c r="AB1909" s="48"/>
      <c r="AC1909" s="58"/>
      <c r="AD1909" s="58"/>
      <c r="AE1909" s="58" t="s">
        <v>1400</v>
      </c>
    </row>
    <row r="1910" spans="1:31" x14ac:dyDescent="0.3">
      <c r="A1910" s="47">
        <f t="shared" si="417"/>
        <v>1744</v>
      </c>
      <c r="B1910" s="414" t="s">
        <v>2553</v>
      </c>
      <c r="C1910" s="51">
        <f t="shared" si="419"/>
        <v>736983.79</v>
      </c>
      <c r="D1910" s="51">
        <f t="shared" si="416"/>
        <v>0</v>
      </c>
      <c r="E1910" s="51"/>
      <c r="F1910" s="51"/>
      <c r="G1910" s="51"/>
      <c r="H1910" s="51"/>
      <c r="I1910" s="51"/>
      <c r="J1910" s="51"/>
      <c r="K1910" s="51"/>
      <c r="L1910" s="51"/>
      <c r="M1910" s="35"/>
      <c r="N1910" s="51"/>
      <c r="O1910" s="82"/>
      <c r="P1910" s="51"/>
      <c r="Q1910" s="338"/>
      <c r="R1910" s="51"/>
      <c r="S1910" s="51"/>
      <c r="T1910" s="338"/>
      <c r="U1910" s="51"/>
      <c r="V1910" s="35"/>
      <c r="W1910" s="364">
        <f t="shared" si="420"/>
        <v>736983.79</v>
      </c>
      <c r="X1910" s="141"/>
      <c r="Y1910" s="48">
        <f>260895.49
+199044.88</f>
        <v>459940.37</v>
      </c>
      <c r="Z1910" s="48"/>
      <c r="AA1910" s="48">
        <v>277043.42</v>
      </c>
      <c r="AB1910" s="58"/>
      <c r="AC1910" s="58"/>
      <c r="AD1910" s="58"/>
      <c r="AE1910" s="58" t="s">
        <v>1563</v>
      </c>
    </row>
    <row r="1911" spans="1:31" x14ac:dyDescent="0.3">
      <c r="A1911" s="47">
        <f t="shared" si="417"/>
        <v>1745</v>
      </c>
      <c r="B1911" s="414" t="s">
        <v>2554</v>
      </c>
      <c r="C1911" s="51">
        <f t="shared" si="419"/>
        <v>1020690</v>
      </c>
      <c r="D1911" s="51">
        <f t="shared" si="416"/>
        <v>915468</v>
      </c>
      <c r="E1911" s="51">
        <f>(13*2688)+(2*358323)</f>
        <v>751590</v>
      </c>
      <c r="F1911" s="51">
        <f>13*5502</f>
        <v>71526</v>
      </c>
      <c r="G1911" s="51">
        <f>13*3910</f>
        <v>50830</v>
      </c>
      <c r="H1911" s="51"/>
      <c r="I1911" s="51">
        <f>13*3194</f>
        <v>41522</v>
      </c>
      <c r="J1911" s="51"/>
      <c r="K1911" s="51"/>
      <c r="L1911" s="51"/>
      <c r="M1911" s="35">
        <v>13</v>
      </c>
      <c r="N1911" s="51">
        <f>M1911*8094</f>
        <v>105222</v>
      </c>
      <c r="O1911" s="82"/>
      <c r="P1911" s="51"/>
      <c r="Q1911" s="338"/>
      <c r="R1911" s="51"/>
      <c r="S1911" s="51"/>
      <c r="T1911" s="338"/>
      <c r="U1911" s="51"/>
      <c r="V1911" s="35"/>
      <c r="W1911" s="364"/>
      <c r="X1911" s="141"/>
      <c r="Y1911" s="48"/>
      <c r="Z1911" s="48"/>
      <c r="AA1911" s="57"/>
      <c r="AB1911" s="58"/>
      <c r="AC1911" s="58"/>
      <c r="AD1911" s="58"/>
      <c r="AE1911" s="58"/>
    </row>
    <row r="1912" spans="1:31" x14ac:dyDescent="0.3">
      <c r="A1912" s="47">
        <f t="shared" si="417"/>
        <v>1746</v>
      </c>
      <c r="B1912" s="414" t="s">
        <v>2555</v>
      </c>
      <c r="C1912" s="51">
        <f t="shared" si="419"/>
        <v>1087242.1200000001</v>
      </c>
      <c r="D1912" s="51">
        <f t="shared" ref="D1912:D1941" si="421">E1912+F1912+G1912+H1912+I1912</f>
        <v>915468</v>
      </c>
      <c r="E1912" s="51">
        <f>(13*2688)+(2*358323)</f>
        <v>751590</v>
      </c>
      <c r="F1912" s="51">
        <f>13*5502</f>
        <v>71526</v>
      </c>
      <c r="G1912" s="51">
        <f>13*3910</f>
        <v>50830</v>
      </c>
      <c r="H1912" s="51"/>
      <c r="I1912" s="51">
        <f>13*3194</f>
        <v>41522</v>
      </c>
      <c r="J1912" s="51"/>
      <c r="K1912" s="51"/>
      <c r="L1912" s="51"/>
      <c r="M1912" s="35"/>
      <c r="N1912" s="51"/>
      <c r="O1912" s="82"/>
      <c r="P1912" s="51"/>
      <c r="Q1912" s="338"/>
      <c r="R1912" s="51"/>
      <c r="S1912" s="51"/>
      <c r="T1912" s="338"/>
      <c r="U1912" s="51"/>
      <c r="V1912" s="35"/>
      <c r="W1912" s="364">
        <f t="shared" ref="W1912:W1919" si="422">SUM(Y1912:AD1912)</f>
        <v>171774.12</v>
      </c>
      <c r="X1912" s="141"/>
      <c r="Y1912" s="48"/>
      <c r="Z1912" s="48"/>
      <c r="AA1912" s="48">
        <v>171774.12</v>
      </c>
      <c r="AB1912" s="58"/>
      <c r="AC1912" s="58"/>
      <c r="AD1912" s="58"/>
      <c r="AE1912" s="58"/>
    </row>
    <row r="1913" spans="1:31" x14ac:dyDescent="0.3">
      <c r="A1913" s="47">
        <f t="shared" si="417"/>
        <v>1747</v>
      </c>
      <c r="B1913" s="414" t="s">
        <v>2556</v>
      </c>
      <c r="C1913" s="51">
        <f t="shared" ref="C1913:C1941" si="423">D1913+K1913+L1913+N1913+P1913+R1913+S1913+U1913+V1913+W1913</f>
        <v>563614.01</v>
      </c>
      <c r="D1913" s="51">
        <f t="shared" si="421"/>
        <v>0</v>
      </c>
      <c r="E1913" s="51"/>
      <c r="F1913" s="51"/>
      <c r="G1913" s="51"/>
      <c r="H1913" s="51"/>
      <c r="I1913" s="51"/>
      <c r="J1913" s="51"/>
      <c r="K1913" s="51"/>
      <c r="L1913" s="51"/>
      <c r="M1913" s="35"/>
      <c r="N1913" s="51"/>
      <c r="O1913" s="82"/>
      <c r="P1913" s="51"/>
      <c r="Q1913" s="338"/>
      <c r="R1913" s="51"/>
      <c r="S1913" s="51"/>
      <c r="T1913" s="338"/>
      <c r="U1913" s="51"/>
      <c r="V1913" s="35"/>
      <c r="W1913" s="364">
        <f t="shared" si="422"/>
        <v>563614.01</v>
      </c>
      <c r="X1913" s="141"/>
      <c r="Y1913" s="48">
        <v>118143.95</v>
      </c>
      <c r="Z1913" s="48">
        <v>236484.64</v>
      </c>
      <c r="AA1913" s="48">
        <v>208985.42</v>
      </c>
      <c r="AB1913" s="48"/>
      <c r="AC1913" s="58"/>
      <c r="AD1913" s="58"/>
      <c r="AE1913" s="58" t="s">
        <v>1395</v>
      </c>
    </row>
    <row r="1914" spans="1:31" x14ac:dyDescent="0.3">
      <c r="A1914" s="47">
        <f t="shared" ref="A1914:A1941" si="424">A1913+1</f>
        <v>1748</v>
      </c>
      <c r="B1914" s="414" t="s">
        <v>2557</v>
      </c>
      <c r="C1914" s="51">
        <f t="shared" si="423"/>
        <v>502456.48</v>
      </c>
      <c r="D1914" s="51">
        <f t="shared" si="421"/>
        <v>0</v>
      </c>
      <c r="E1914" s="51"/>
      <c r="F1914" s="51"/>
      <c r="G1914" s="51"/>
      <c r="H1914" s="51"/>
      <c r="I1914" s="51"/>
      <c r="J1914" s="51"/>
      <c r="K1914" s="51"/>
      <c r="L1914" s="51"/>
      <c r="M1914" s="35"/>
      <c r="N1914" s="51"/>
      <c r="O1914" s="82"/>
      <c r="P1914" s="51"/>
      <c r="Q1914" s="338"/>
      <c r="R1914" s="51"/>
      <c r="S1914" s="51"/>
      <c r="T1914" s="338"/>
      <c r="U1914" s="51"/>
      <c r="V1914" s="35"/>
      <c r="W1914" s="364">
        <f t="shared" si="422"/>
        <v>502456.48</v>
      </c>
      <c r="X1914" s="141"/>
      <c r="Y1914" s="48">
        <v>209522.6</v>
      </c>
      <c r="Z1914" s="48"/>
      <c r="AA1914" s="48">
        <v>292933.88</v>
      </c>
      <c r="AB1914" s="58"/>
      <c r="AC1914" s="58"/>
      <c r="AD1914" s="58"/>
      <c r="AE1914" s="58" t="s">
        <v>1810</v>
      </c>
    </row>
    <row r="1915" spans="1:31" x14ac:dyDescent="0.3">
      <c r="A1915" s="47">
        <f t="shared" si="424"/>
        <v>1749</v>
      </c>
      <c r="B1915" s="414" t="s">
        <v>2558</v>
      </c>
      <c r="C1915" s="51">
        <f t="shared" si="423"/>
        <v>460846.82</v>
      </c>
      <c r="D1915" s="51">
        <f t="shared" si="421"/>
        <v>71526</v>
      </c>
      <c r="E1915" s="51"/>
      <c r="F1915" s="51">
        <f>13*5502</f>
        <v>71526</v>
      </c>
      <c r="G1915" s="51"/>
      <c r="H1915" s="51"/>
      <c r="I1915" s="51"/>
      <c r="J1915" s="51"/>
      <c r="K1915" s="51"/>
      <c r="L1915" s="51"/>
      <c r="M1915" s="35"/>
      <c r="N1915" s="51"/>
      <c r="O1915" s="82"/>
      <c r="P1915" s="51"/>
      <c r="Q1915" s="338"/>
      <c r="R1915" s="51"/>
      <c r="S1915" s="51"/>
      <c r="T1915" s="338"/>
      <c r="U1915" s="51"/>
      <c r="V1915" s="35"/>
      <c r="W1915" s="364">
        <f t="shared" si="422"/>
        <v>389320.82</v>
      </c>
      <c r="X1915" s="141"/>
      <c r="Y1915" s="48">
        <f>80485.28+80485.28+83501.22</f>
        <v>244471.78</v>
      </c>
      <c r="Z1915" s="48"/>
      <c r="AA1915" s="57"/>
      <c r="AB1915" s="58"/>
      <c r="AC1915" s="48">
        <v>144849.04</v>
      </c>
      <c r="AD1915" s="58"/>
      <c r="AE1915" s="58" t="s">
        <v>2410</v>
      </c>
    </row>
    <row r="1916" spans="1:31" x14ac:dyDescent="0.3">
      <c r="A1916" s="47">
        <f t="shared" si="424"/>
        <v>1750</v>
      </c>
      <c r="B1916" s="414" t="s">
        <v>2559</v>
      </c>
      <c r="C1916" s="51">
        <f t="shared" si="423"/>
        <v>161740.52000000002</v>
      </c>
      <c r="D1916" s="51">
        <f t="shared" si="421"/>
        <v>0</v>
      </c>
      <c r="E1916" s="51"/>
      <c r="F1916" s="51"/>
      <c r="G1916" s="51"/>
      <c r="H1916" s="51"/>
      <c r="I1916" s="51"/>
      <c r="J1916" s="51"/>
      <c r="K1916" s="51"/>
      <c r="L1916" s="51"/>
      <c r="M1916" s="35"/>
      <c r="N1916" s="51"/>
      <c r="O1916" s="82"/>
      <c r="P1916" s="51"/>
      <c r="Q1916" s="338"/>
      <c r="R1916" s="51"/>
      <c r="S1916" s="51"/>
      <c r="T1916" s="338"/>
      <c r="U1916" s="51"/>
      <c r="V1916" s="35"/>
      <c r="W1916" s="364">
        <f t="shared" si="422"/>
        <v>161740.52000000002</v>
      </c>
      <c r="X1916" s="141"/>
      <c r="Y1916" s="48">
        <f>81749.44+79991.08</f>
        <v>161740.52000000002</v>
      </c>
      <c r="Z1916" s="48"/>
      <c r="AA1916" s="57"/>
      <c r="AB1916" s="48"/>
      <c r="AC1916" s="58"/>
      <c r="AD1916" s="58"/>
      <c r="AE1916" s="58" t="s">
        <v>2560</v>
      </c>
    </row>
    <row r="1917" spans="1:31" x14ac:dyDescent="0.3">
      <c r="A1917" s="47">
        <f t="shared" si="424"/>
        <v>1751</v>
      </c>
      <c r="B1917" s="414" t="s">
        <v>2561</v>
      </c>
      <c r="C1917" s="51">
        <f t="shared" si="423"/>
        <v>156447.93</v>
      </c>
      <c r="D1917" s="51">
        <f t="shared" si="421"/>
        <v>0</v>
      </c>
      <c r="E1917" s="51"/>
      <c r="F1917" s="51"/>
      <c r="G1917" s="51"/>
      <c r="H1917" s="51"/>
      <c r="I1917" s="51"/>
      <c r="J1917" s="51"/>
      <c r="K1917" s="51"/>
      <c r="L1917" s="51"/>
      <c r="M1917" s="35"/>
      <c r="N1917" s="51"/>
      <c r="O1917" s="82"/>
      <c r="P1917" s="51"/>
      <c r="Q1917" s="338"/>
      <c r="R1917" s="51"/>
      <c r="S1917" s="51"/>
      <c r="T1917" s="338"/>
      <c r="U1917" s="51"/>
      <c r="V1917" s="35"/>
      <c r="W1917" s="364">
        <f t="shared" si="422"/>
        <v>156447.93</v>
      </c>
      <c r="X1917" s="141"/>
      <c r="Y1917" s="48">
        <f>79062.65+77385.28</f>
        <v>156447.93</v>
      </c>
      <c r="Z1917" s="48"/>
      <c r="AA1917" s="57"/>
      <c r="AB1917" s="58"/>
      <c r="AC1917" s="58"/>
      <c r="AD1917" s="58"/>
      <c r="AE1917" s="58" t="s">
        <v>2560</v>
      </c>
    </row>
    <row r="1918" spans="1:31" x14ac:dyDescent="0.3">
      <c r="A1918" s="47">
        <f t="shared" si="424"/>
        <v>1752</v>
      </c>
      <c r="B1918" s="414" t="s">
        <v>2562</v>
      </c>
      <c r="C1918" s="51">
        <f t="shared" si="423"/>
        <v>80297.66</v>
      </c>
      <c r="D1918" s="51">
        <f t="shared" si="421"/>
        <v>0</v>
      </c>
      <c r="E1918" s="51"/>
      <c r="F1918" s="51"/>
      <c r="G1918" s="51"/>
      <c r="H1918" s="51"/>
      <c r="I1918" s="51"/>
      <c r="J1918" s="51"/>
      <c r="K1918" s="51"/>
      <c r="L1918" s="51"/>
      <c r="M1918" s="35"/>
      <c r="N1918" s="51"/>
      <c r="O1918" s="82"/>
      <c r="P1918" s="51"/>
      <c r="Q1918" s="338"/>
      <c r="R1918" s="51"/>
      <c r="S1918" s="51"/>
      <c r="T1918" s="338"/>
      <c r="U1918" s="51"/>
      <c r="V1918" s="35"/>
      <c r="W1918" s="364">
        <f t="shared" si="422"/>
        <v>80297.66</v>
      </c>
      <c r="X1918" s="141"/>
      <c r="Y1918" s="48">
        <v>80297.66</v>
      </c>
      <c r="Z1918" s="48"/>
      <c r="AA1918" s="57"/>
      <c r="AB1918" s="48"/>
      <c r="AC1918" s="58"/>
      <c r="AD1918" s="58"/>
      <c r="AE1918" s="58" t="s">
        <v>2563</v>
      </c>
    </row>
    <row r="1919" spans="1:31" x14ac:dyDescent="0.3">
      <c r="A1919" s="47">
        <f t="shared" si="424"/>
        <v>1753</v>
      </c>
      <c r="B1919" s="414" t="s">
        <v>2564</v>
      </c>
      <c r="C1919" s="51">
        <f t="shared" si="423"/>
        <v>79122.48</v>
      </c>
      <c r="D1919" s="51">
        <f t="shared" si="421"/>
        <v>0</v>
      </c>
      <c r="E1919" s="51"/>
      <c r="F1919" s="51"/>
      <c r="G1919" s="51"/>
      <c r="H1919" s="51"/>
      <c r="I1919" s="51"/>
      <c r="J1919" s="51"/>
      <c r="K1919" s="51"/>
      <c r="L1919" s="51"/>
      <c r="M1919" s="35"/>
      <c r="N1919" s="51"/>
      <c r="O1919" s="82"/>
      <c r="P1919" s="51"/>
      <c r="Q1919" s="338"/>
      <c r="R1919" s="51"/>
      <c r="S1919" s="51"/>
      <c r="T1919" s="338"/>
      <c r="U1919" s="51"/>
      <c r="V1919" s="35"/>
      <c r="W1919" s="364">
        <f t="shared" si="422"/>
        <v>79122.48</v>
      </c>
      <c r="X1919" s="141"/>
      <c r="Y1919" s="48">
        <v>79122.48</v>
      </c>
      <c r="Z1919" s="374" t="s">
        <v>379</v>
      </c>
      <c r="AA1919" s="57"/>
      <c r="AB1919" s="58"/>
      <c r="AC1919" s="58"/>
      <c r="AD1919" s="58"/>
      <c r="AE1919" s="58" t="s">
        <v>25</v>
      </c>
    </row>
    <row r="1920" spans="1:31" x14ac:dyDescent="0.3">
      <c r="A1920" s="47">
        <f t="shared" si="424"/>
        <v>1754</v>
      </c>
      <c r="B1920" s="414" t="s">
        <v>2565</v>
      </c>
      <c r="C1920" s="51">
        <f t="shared" si="423"/>
        <v>130000</v>
      </c>
      <c r="D1920" s="51">
        <f t="shared" si="421"/>
        <v>0</v>
      </c>
      <c r="E1920" s="51"/>
      <c r="F1920" s="51"/>
      <c r="G1920" s="51"/>
      <c r="H1920" s="51"/>
      <c r="I1920" s="51"/>
      <c r="J1920" s="51"/>
      <c r="K1920" s="51"/>
      <c r="L1920" s="51"/>
      <c r="M1920" s="35"/>
      <c r="N1920" s="51"/>
      <c r="O1920" s="82"/>
      <c r="P1920" s="51"/>
      <c r="Q1920" s="338"/>
      <c r="R1920" s="51"/>
      <c r="S1920" s="51"/>
      <c r="T1920" s="338"/>
      <c r="U1920" s="51"/>
      <c r="V1920" s="35"/>
      <c r="W1920" s="364">
        <v>130000</v>
      </c>
      <c r="X1920" s="141"/>
      <c r="Y1920" s="48"/>
      <c r="Z1920" s="48"/>
      <c r="AA1920" s="57"/>
      <c r="AB1920" s="58"/>
      <c r="AC1920" s="58"/>
      <c r="AD1920" s="58"/>
      <c r="AE1920" s="58"/>
    </row>
    <row r="1921" spans="1:31" x14ac:dyDescent="0.3">
      <c r="A1921" s="47">
        <f t="shared" si="424"/>
        <v>1755</v>
      </c>
      <c r="B1921" s="414" t="s">
        <v>2566</v>
      </c>
      <c r="C1921" s="51">
        <f t="shared" si="423"/>
        <v>539744.25</v>
      </c>
      <c r="D1921" s="51">
        <f t="shared" si="421"/>
        <v>0</v>
      </c>
      <c r="E1921" s="51"/>
      <c r="F1921" s="51"/>
      <c r="G1921" s="51"/>
      <c r="H1921" s="51"/>
      <c r="I1921" s="51"/>
      <c r="J1921" s="51"/>
      <c r="K1921" s="51"/>
      <c r="L1921" s="51"/>
      <c r="M1921" s="35"/>
      <c r="N1921" s="51"/>
      <c r="O1921" s="82"/>
      <c r="P1921" s="51"/>
      <c r="Q1921" s="338"/>
      <c r="R1921" s="51"/>
      <c r="S1921" s="51"/>
      <c r="T1921" s="338"/>
      <c r="U1921" s="51"/>
      <c r="V1921" s="35"/>
      <c r="W1921" s="364">
        <f t="shared" ref="W1921:W1930" si="425">SUM(Y1921:AD1921)</f>
        <v>539744.25</v>
      </c>
      <c r="X1921" s="141"/>
      <c r="Y1921" s="48">
        <v>219680.29</v>
      </c>
      <c r="Z1921" s="48"/>
      <c r="AA1921" s="48">
        <v>320063.96000000002</v>
      </c>
      <c r="AB1921" s="48"/>
      <c r="AC1921" s="58"/>
      <c r="AD1921" s="58"/>
      <c r="AE1921" s="58" t="s">
        <v>1395</v>
      </c>
    </row>
    <row r="1922" spans="1:31" x14ac:dyDescent="0.3">
      <c r="A1922" s="47">
        <f t="shared" si="424"/>
        <v>1756</v>
      </c>
      <c r="B1922" s="414" t="s">
        <v>2567</v>
      </c>
      <c r="C1922" s="51">
        <f t="shared" si="423"/>
        <v>451961.79</v>
      </c>
      <c r="D1922" s="51">
        <f t="shared" si="421"/>
        <v>0</v>
      </c>
      <c r="E1922" s="51"/>
      <c r="F1922" s="51"/>
      <c r="G1922" s="51"/>
      <c r="H1922" s="51"/>
      <c r="I1922" s="51"/>
      <c r="J1922" s="51"/>
      <c r="K1922" s="51"/>
      <c r="L1922" s="51"/>
      <c r="M1922" s="35"/>
      <c r="N1922" s="51"/>
      <c r="O1922" s="82"/>
      <c r="P1922" s="51"/>
      <c r="Q1922" s="338"/>
      <c r="R1922" s="51"/>
      <c r="S1922" s="51"/>
      <c r="T1922" s="338"/>
      <c r="U1922" s="51"/>
      <c r="V1922" s="35"/>
      <c r="W1922" s="364">
        <f t="shared" si="425"/>
        <v>451961.79</v>
      </c>
      <c r="X1922" s="141"/>
      <c r="Y1922" s="48">
        <v>192160.46</v>
      </c>
      <c r="Z1922" s="48"/>
      <c r="AA1922" s="48">
        <v>259801.33</v>
      </c>
      <c r="AB1922" s="48"/>
      <c r="AC1922" s="58"/>
      <c r="AD1922" s="58"/>
      <c r="AE1922" s="58" t="s">
        <v>1395</v>
      </c>
    </row>
    <row r="1923" spans="1:31" x14ac:dyDescent="0.3">
      <c r="A1923" s="47">
        <f t="shared" si="424"/>
        <v>1757</v>
      </c>
      <c r="B1923" s="414" t="s">
        <v>2568</v>
      </c>
      <c r="C1923" s="51">
        <f t="shared" si="423"/>
        <v>720645.58000000007</v>
      </c>
      <c r="D1923" s="51">
        <f t="shared" si="421"/>
        <v>0</v>
      </c>
      <c r="E1923" s="51"/>
      <c r="F1923" s="51"/>
      <c r="G1923" s="51"/>
      <c r="H1923" s="51"/>
      <c r="I1923" s="51"/>
      <c r="J1923" s="51"/>
      <c r="K1923" s="51"/>
      <c r="L1923" s="51"/>
      <c r="M1923" s="35"/>
      <c r="N1923" s="51"/>
      <c r="O1923" s="82"/>
      <c r="P1923" s="51"/>
      <c r="Q1923" s="338"/>
      <c r="R1923" s="51"/>
      <c r="S1923" s="51"/>
      <c r="T1923" s="338"/>
      <c r="U1923" s="51"/>
      <c r="V1923" s="35"/>
      <c r="W1923" s="364">
        <f t="shared" si="425"/>
        <v>720645.58000000007</v>
      </c>
      <c r="X1923" s="141"/>
      <c r="Y1923" s="48"/>
      <c r="Z1923" s="48">
        <v>395407.28</v>
      </c>
      <c r="AA1923" s="48">
        <v>325238.3</v>
      </c>
      <c r="AB1923" s="48"/>
      <c r="AC1923" s="58"/>
      <c r="AD1923" s="58"/>
      <c r="AE1923" s="58" t="s">
        <v>1400</v>
      </c>
    </row>
    <row r="1924" spans="1:31" x14ac:dyDescent="0.3">
      <c r="A1924" s="47">
        <f t="shared" si="424"/>
        <v>1758</v>
      </c>
      <c r="B1924" s="414" t="s">
        <v>2569</v>
      </c>
      <c r="C1924" s="51">
        <f t="shared" si="423"/>
        <v>870082.19000000006</v>
      </c>
      <c r="D1924" s="51">
        <f t="shared" si="421"/>
        <v>0</v>
      </c>
      <c r="E1924" s="51"/>
      <c r="F1924" s="51"/>
      <c r="G1924" s="51"/>
      <c r="H1924" s="51"/>
      <c r="I1924" s="51"/>
      <c r="J1924" s="51"/>
      <c r="K1924" s="51"/>
      <c r="L1924" s="51"/>
      <c r="M1924" s="35"/>
      <c r="N1924" s="51"/>
      <c r="O1924" s="82"/>
      <c r="P1924" s="51"/>
      <c r="Q1924" s="338"/>
      <c r="R1924" s="51"/>
      <c r="S1924" s="51"/>
      <c r="T1924" s="338"/>
      <c r="U1924" s="51"/>
      <c r="V1924" s="35"/>
      <c r="W1924" s="364">
        <f t="shared" si="425"/>
        <v>870082.19000000006</v>
      </c>
      <c r="X1924" s="141"/>
      <c r="Y1924" s="48">
        <v>210142.7</v>
      </c>
      <c r="Z1924" s="48">
        <v>381241.12</v>
      </c>
      <c r="AA1924" s="48">
        <v>278698.37</v>
      </c>
      <c r="AB1924" s="58"/>
      <c r="AC1924" s="58"/>
      <c r="AD1924" s="58"/>
      <c r="AE1924" s="58" t="s">
        <v>1395</v>
      </c>
    </row>
    <row r="1925" spans="1:31" x14ac:dyDescent="0.3">
      <c r="A1925" s="47">
        <f t="shared" si="424"/>
        <v>1759</v>
      </c>
      <c r="B1925" s="414" t="s">
        <v>2570</v>
      </c>
      <c r="C1925" s="51">
        <f t="shared" si="423"/>
        <v>494922.14</v>
      </c>
      <c r="D1925" s="51">
        <f t="shared" si="421"/>
        <v>0</v>
      </c>
      <c r="E1925" s="51"/>
      <c r="F1925" s="51"/>
      <c r="G1925" s="51"/>
      <c r="H1925" s="51"/>
      <c r="I1925" s="51"/>
      <c r="J1925" s="51"/>
      <c r="K1925" s="51"/>
      <c r="L1925" s="51"/>
      <c r="M1925" s="35"/>
      <c r="N1925" s="51"/>
      <c r="O1925" s="82"/>
      <c r="P1925" s="51"/>
      <c r="Q1925" s="338"/>
      <c r="R1925" s="51"/>
      <c r="S1925" s="51"/>
      <c r="T1925" s="338"/>
      <c r="U1925" s="51"/>
      <c r="V1925" s="35"/>
      <c r="W1925" s="364">
        <f t="shared" si="425"/>
        <v>494922.14</v>
      </c>
      <c r="X1925" s="141"/>
      <c r="Y1925" s="48">
        <v>208470.92</v>
      </c>
      <c r="Z1925" s="48"/>
      <c r="AA1925" s="48">
        <v>286451.21999999997</v>
      </c>
      <c r="AB1925" s="58"/>
      <c r="AC1925" s="58"/>
      <c r="AD1925" s="58"/>
      <c r="AE1925" s="58" t="s">
        <v>1395</v>
      </c>
    </row>
    <row r="1926" spans="1:31" x14ac:dyDescent="0.3">
      <c r="A1926" s="47">
        <f t="shared" si="424"/>
        <v>1760</v>
      </c>
      <c r="B1926" s="414" t="s">
        <v>2571</v>
      </c>
      <c r="C1926" s="51">
        <f t="shared" si="423"/>
        <v>497376.71</v>
      </c>
      <c r="D1926" s="51">
        <f t="shared" si="421"/>
        <v>0</v>
      </c>
      <c r="E1926" s="51"/>
      <c r="F1926" s="51"/>
      <c r="G1926" s="51"/>
      <c r="H1926" s="51"/>
      <c r="I1926" s="51"/>
      <c r="J1926" s="51"/>
      <c r="K1926" s="51"/>
      <c r="L1926" s="51"/>
      <c r="M1926" s="35"/>
      <c r="N1926" s="51"/>
      <c r="O1926" s="82"/>
      <c r="P1926" s="51"/>
      <c r="Q1926" s="338"/>
      <c r="R1926" s="51"/>
      <c r="S1926" s="51"/>
      <c r="T1926" s="338"/>
      <c r="U1926" s="51"/>
      <c r="V1926" s="35"/>
      <c r="W1926" s="364">
        <f t="shared" si="425"/>
        <v>497376.71</v>
      </c>
      <c r="X1926" s="141"/>
      <c r="Y1926" s="48">
        <f>72437.1+75248.21+72437.1</f>
        <v>220122.41</v>
      </c>
      <c r="Z1926" s="48">
        <v>144842.29</v>
      </c>
      <c r="AA1926" s="48"/>
      <c r="AB1926" s="48"/>
      <c r="AC1926" s="48">
        <v>132412.01</v>
      </c>
      <c r="AD1926" s="58"/>
      <c r="AE1926" s="58" t="s">
        <v>2572</v>
      </c>
    </row>
    <row r="1927" spans="1:31" x14ac:dyDescent="0.3">
      <c r="A1927" s="47">
        <f t="shared" si="424"/>
        <v>1761</v>
      </c>
      <c r="B1927" s="414" t="s">
        <v>2573</v>
      </c>
      <c r="C1927" s="51">
        <f t="shared" si="423"/>
        <v>822641.71</v>
      </c>
      <c r="D1927" s="51">
        <f t="shared" si="421"/>
        <v>0</v>
      </c>
      <c r="E1927" s="51"/>
      <c r="F1927" s="51"/>
      <c r="G1927" s="51"/>
      <c r="H1927" s="51"/>
      <c r="I1927" s="51"/>
      <c r="J1927" s="51"/>
      <c r="K1927" s="51"/>
      <c r="L1927" s="51"/>
      <c r="M1927" s="35"/>
      <c r="N1927" s="51"/>
      <c r="O1927" s="82"/>
      <c r="P1927" s="51"/>
      <c r="Q1927" s="338"/>
      <c r="R1927" s="51"/>
      <c r="S1927" s="51"/>
      <c r="T1927" s="338"/>
      <c r="U1927" s="51"/>
      <c r="V1927" s="35"/>
      <c r="W1927" s="364">
        <f t="shared" si="425"/>
        <v>822641.71</v>
      </c>
      <c r="X1927" s="141"/>
      <c r="Y1927" s="48">
        <v>201194.23999999999</v>
      </c>
      <c r="Z1927" s="48">
        <v>374441.35</v>
      </c>
      <c r="AA1927" s="48">
        <v>247006.12</v>
      </c>
      <c r="AB1927" s="58"/>
      <c r="AC1927" s="58"/>
      <c r="AD1927" s="58"/>
      <c r="AE1927" s="58" t="s">
        <v>1395</v>
      </c>
    </row>
    <row r="1928" spans="1:31" x14ac:dyDescent="0.3">
      <c r="A1928" s="47">
        <f t="shared" si="424"/>
        <v>1762</v>
      </c>
      <c r="B1928" s="414" t="s">
        <v>2574</v>
      </c>
      <c r="C1928" s="51">
        <f t="shared" si="423"/>
        <v>469849.33999999997</v>
      </c>
      <c r="D1928" s="51">
        <f t="shared" si="421"/>
        <v>0</v>
      </c>
      <c r="E1928" s="51"/>
      <c r="F1928" s="51"/>
      <c r="G1928" s="51"/>
      <c r="H1928" s="51"/>
      <c r="I1928" s="51"/>
      <c r="J1928" s="51"/>
      <c r="K1928" s="51"/>
      <c r="L1928" s="51"/>
      <c r="M1928" s="35"/>
      <c r="N1928" s="51"/>
      <c r="O1928" s="82"/>
      <c r="P1928" s="51"/>
      <c r="Q1928" s="338"/>
      <c r="R1928" s="51"/>
      <c r="S1928" s="51"/>
      <c r="T1928" s="338"/>
      <c r="U1928" s="51"/>
      <c r="V1928" s="35"/>
      <c r="W1928" s="364">
        <f t="shared" si="425"/>
        <v>469849.33999999997</v>
      </c>
      <c r="X1928" s="141"/>
      <c r="Y1928" s="48">
        <v>204858.66</v>
      </c>
      <c r="Z1928" s="48"/>
      <c r="AA1928" s="48">
        <v>264990.68</v>
      </c>
      <c r="AB1928" s="58"/>
      <c r="AC1928" s="58"/>
      <c r="AD1928" s="58"/>
      <c r="AE1928" s="58" t="s">
        <v>1395</v>
      </c>
    </row>
    <row r="1929" spans="1:31" x14ac:dyDescent="0.3">
      <c r="A1929" s="47">
        <f t="shared" si="424"/>
        <v>1763</v>
      </c>
      <c r="B1929" s="414" t="s">
        <v>2575</v>
      </c>
      <c r="C1929" s="51">
        <f t="shared" si="423"/>
        <v>544443.53</v>
      </c>
      <c r="D1929" s="51">
        <f t="shared" si="421"/>
        <v>0</v>
      </c>
      <c r="E1929" s="51"/>
      <c r="F1929" s="51"/>
      <c r="G1929" s="51"/>
      <c r="H1929" s="51"/>
      <c r="I1929" s="51"/>
      <c r="J1929" s="51"/>
      <c r="K1929" s="51"/>
      <c r="L1929" s="51"/>
      <c r="M1929" s="35"/>
      <c r="N1929" s="51"/>
      <c r="O1929" s="82"/>
      <c r="P1929" s="51"/>
      <c r="Q1929" s="338"/>
      <c r="R1929" s="51"/>
      <c r="S1929" s="51"/>
      <c r="T1929" s="338"/>
      <c r="U1929" s="51"/>
      <c r="V1929" s="35"/>
      <c r="W1929" s="364">
        <f t="shared" si="425"/>
        <v>544443.53</v>
      </c>
      <c r="X1929" s="141"/>
      <c r="Y1929" s="48">
        <v>219080.22</v>
      </c>
      <c r="Z1929" s="48"/>
      <c r="AA1929" s="48">
        <v>325363.31</v>
      </c>
      <c r="AB1929" s="58"/>
      <c r="AC1929" s="58"/>
      <c r="AD1929" s="58"/>
      <c r="AE1929" s="58" t="s">
        <v>1395</v>
      </c>
    </row>
    <row r="1930" spans="1:31" x14ac:dyDescent="0.3">
      <c r="A1930" s="47">
        <f t="shared" si="424"/>
        <v>1764</v>
      </c>
      <c r="B1930" s="414" t="s">
        <v>2576</v>
      </c>
      <c r="C1930" s="51">
        <f t="shared" si="423"/>
        <v>938886.46</v>
      </c>
      <c r="D1930" s="51">
        <f t="shared" si="421"/>
        <v>0</v>
      </c>
      <c r="E1930" s="51"/>
      <c r="F1930" s="51"/>
      <c r="G1930" s="51"/>
      <c r="H1930" s="51"/>
      <c r="I1930" s="51"/>
      <c r="J1930" s="51"/>
      <c r="K1930" s="51"/>
      <c r="L1930" s="51"/>
      <c r="M1930" s="35"/>
      <c r="N1930" s="51"/>
      <c r="O1930" s="82"/>
      <c r="P1930" s="51"/>
      <c r="Q1930" s="338"/>
      <c r="R1930" s="51"/>
      <c r="S1930" s="51"/>
      <c r="T1930" s="338"/>
      <c r="U1930" s="51"/>
      <c r="V1930" s="35"/>
      <c r="W1930" s="364">
        <f t="shared" si="425"/>
        <v>938886.46</v>
      </c>
      <c r="X1930" s="141"/>
      <c r="Y1930" s="48">
        <v>218276.48000000001</v>
      </c>
      <c r="Z1930" s="48">
        <v>394273.98</v>
      </c>
      <c r="AA1930" s="48">
        <v>326336</v>
      </c>
      <c r="AB1930" s="48"/>
      <c r="AC1930" s="58"/>
      <c r="AD1930" s="58"/>
      <c r="AE1930" s="58" t="s">
        <v>1393</v>
      </c>
    </row>
    <row r="1931" spans="1:31" x14ac:dyDescent="0.3">
      <c r="A1931" s="47">
        <f t="shared" si="424"/>
        <v>1765</v>
      </c>
      <c r="B1931" s="414" t="s">
        <v>2577</v>
      </c>
      <c r="C1931" s="51">
        <f t="shared" si="423"/>
        <v>130000</v>
      </c>
      <c r="D1931" s="51">
        <f t="shared" si="421"/>
        <v>0</v>
      </c>
      <c r="E1931" s="51"/>
      <c r="F1931" s="51"/>
      <c r="G1931" s="51"/>
      <c r="H1931" s="51"/>
      <c r="I1931" s="51"/>
      <c r="J1931" s="51"/>
      <c r="K1931" s="51"/>
      <c r="L1931" s="51"/>
      <c r="M1931" s="35"/>
      <c r="N1931" s="51"/>
      <c r="O1931" s="82"/>
      <c r="P1931" s="51"/>
      <c r="Q1931" s="338"/>
      <c r="R1931" s="51"/>
      <c r="S1931" s="51"/>
      <c r="T1931" s="338"/>
      <c r="U1931" s="51"/>
      <c r="V1931" s="35"/>
      <c r="W1931" s="364">
        <v>130000</v>
      </c>
      <c r="X1931" s="141"/>
      <c r="Y1931" s="48"/>
      <c r="Z1931" s="48"/>
      <c r="AA1931" s="57"/>
      <c r="AB1931" s="58"/>
      <c r="AC1931" s="58"/>
      <c r="AD1931" s="58"/>
      <c r="AE1931" s="58"/>
    </row>
    <row r="1932" spans="1:31" x14ac:dyDescent="0.3">
      <c r="A1932" s="47">
        <f t="shared" si="424"/>
        <v>1766</v>
      </c>
      <c r="B1932" s="414" t="s">
        <v>2578</v>
      </c>
      <c r="C1932" s="51">
        <f t="shared" si="423"/>
        <v>363591.31</v>
      </c>
      <c r="D1932" s="51">
        <f t="shared" si="421"/>
        <v>0</v>
      </c>
      <c r="E1932" s="51"/>
      <c r="F1932" s="51"/>
      <c r="G1932" s="51"/>
      <c r="H1932" s="51"/>
      <c r="I1932" s="51"/>
      <c r="J1932" s="51"/>
      <c r="K1932" s="51"/>
      <c r="L1932" s="51"/>
      <c r="M1932" s="35"/>
      <c r="N1932" s="51"/>
      <c r="O1932" s="82"/>
      <c r="P1932" s="51"/>
      <c r="Q1932" s="338"/>
      <c r="R1932" s="51"/>
      <c r="S1932" s="51"/>
      <c r="T1932" s="338"/>
      <c r="U1932" s="51"/>
      <c r="V1932" s="35"/>
      <c r="W1932" s="364">
        <f t="shared" ref="W1932:W1941" si="426">SUM(Y1932:AD1932)</f>
        <v>363591.31</v>
      </c>
      <c r="X1932" s="141"/>
      <c r="Y1932" s="48">
        <f>123037.19+120277.06+120277.06</f>
        <v>363591.31</v>
      </c>
      <c r="Z1932" s="48"/>
      <c r="AA1932" s="57"/>
      <c r="AB1932" s="48"/>
      <c r="AC1932" s="58"/>
      <c r="AD1932" s="58"/>
      <c r="AE1932" s="58" t="s">
        <v>2579</v>
      </c>
    </row>
    <row r="1933" spans="1:31" x14ac:dyDescent="0.3">
      <c r="A1933" s="47">
        <f t="shared" si="424"/>
        <v>1767</v>
      </c>
      <c r="B1933" s="414" t="s">
        <v>2580</v>
      </c>
      <c r="C1933" s="51">
        <f t="shared" si="423"/>
        <v>120193.26</v>
      </c>
      <c r="D1933" s="51">
        <f t="shared" si="421"/>
        <v>0</v>
      </c>
      <c r="E1933" s="51"/>
      <c r="F1933" s="51"/>
      <c r="G1933" s="51"/>
      <c r="H1933" s="51"/>
      <c r="I1933" s="51"/>
      <c r="J1933" s="51"/>
      <c r="K1933" s="51"/>
      <c r="L1933" s="51"/>
      <c r="M1933" s="35"/>
      <c r="N1933" s="51"/>
      <c r="O1933" s="82"/>
      <c r="P1933" s="51"/>
      <c r="Q1933" s="338"/>
      <c r="R1933" s="51"/>
      <c r="S1933" s="51"/>
      <c r="T1933" s="338"/>
      <c r="U1933" s="51"/>
      <c r="V1933" s="35"/>
      <c r="W1933" s="364">
        <f t="shared" si="426"/>
        <v>120193.26</v>
      </c>
      <c r="X1933" s="141"/>
      <c r="Y1933" s="48">
        <v>120193.26</v>
      </c>
      <c r="Z1933" s="48"/>
      <c r="AA1933" s="57"/>
      <c r="AB1933" s="48"/>
      <c r="AC1933" s="58"/>
      <c r="AD1933" s="58"/>
      <c r="AE1933" s="58" t="s">
        <v>1395</v>
      </c>
    </row>
    <row r="1934" spans="1:31" x14ac:dyDescent="0.3">
      <c r="A1934" s="47">
        <f t="shared" si="424"/>
        <v>1768</v>
      </c>
      <c r="B1934" s="414" t="s">
        <v>2581</v>
      </c>
      <c r="C1934" s="51">
        <f t="shared" si="423"/>
        <v>268919.8</v>
      </c>
      <c r="D1934" s="51">
        <f t="shared" si="421"/>
        <v>0</v>
      </c>
      <c r="E1934" s="51"/>
      <c r="F1934" s="51"/>
      <c r="G1934" s="51"/>
      <c r="H1934" s="51"/>
      <c r="I1934" s="51"/>
      <c r="J1934" s="51"/>
      <c r="K1934" s="51"/>
      <c r="L1934" s="51"/>
      <c r="M1934" s="35"/>
      <c r="N1934" s="51"/>
      <c r="O1934" s="82"/>
      <c r="P1934" s="51"/>
      <c r="Q1934" s="338"/>
      <c r="R1934" s="51"/>
      <c r="S1934" s="51"/>
      <c r="T1934" s="338"/>
      <c r="U1934" s="51"/>
      <c r="V1934" s="35"/>
      <c r="W1934" s="364">
        <f t="shared" si="426"/>
        <v>268919.8</v>
      </c>
      <c r="X1934" s="141"/>
      <c r="Y1934" s="48"/>
      <c r="Z1934" s="48"/>
      <c r="AA1934" s="48">
        <v>268919.8</v>
      </c>
      <c r="AB1934" s="58"/>
      <c r="AC1934" s="58"/>
      <c r="AD1934" s="58"/>
      <c r="AE1934" s="58"/>
    </row>
    <row r="1935" spans="1:31" x14ac:dyDescent="0.3">
      <c r="A1935" s="47">
        <f t="shared" si="424"/>
        <v>1769</v>
      </c>
      <c r="B1935" s="414" t="s">
        <v>2582</v>
      </c>
      <c r="C1935" s="51">
        <f t="shared" si="423"/>
        <v>182231.66999999998</v>
      </c>
      <c r="D1935" s="51">
        <f t="shared" si="421"/>
        <v>0</v>
      </c>
      <c r="E1935" s="51"/>
      <c r="F1935" s="51"/>
      <c r="G1935" s="51"/>
      <c r="H1935" s="51"/>
      <c r="I1935" s="51"/>
      <c r="J1935" s="51"/>
      <c r="K1935" s="51"/>
      <c r="L1935" s="51"/>
      <c r="M1935" s="35"/>
      <c r="N1935" s="51"/>
      <c r="O1935" s="82"/>
      <c r="P1935" s="51"/>
      <c r="Q1935" s="338"/>
      <c r="R1935" s="51"/>
      <c r="S1935" s="51"/>
      <c r="T1935" s="338"/>
      <c r="U1935" s="51"/>
      <c r="V1935" s="35"/>
      <c r="W1935" s="364">
        <f t="shared" si="426"/>
        <v>182231.66999999998</v>
      </c>
      <c r="X1935" s="141"/>
      <c r="Y1935" s="48">
        <f>91748.54+90483.13</f>
        <v>182231.66999999998</v>
      </c>
      <c r="Z1935" s="48"/>
      <c r="AA1935" s="48"/>
      <c r="AB1935" s="48"/>
      <c r="AC1935" s="58"/>
      <c r="AD1935" s="58"/>
      <c r="AE1935" s="58" t="s">
        <v>2583</v>
      </c>
    </row>
    <row r="1936" spans="1:31" x14ac:dyDescent="0.3">
      <c r="A1936" s="47">
        <f t="shared" si="424"/>
        <v>1770</v>
      </c>
      <c r="B1936" s="414" t="s">
        <v>2584</v>
      </c>
      <c r="C1936" s="51">
        <f t="shared" si="423"/>
        <v>399886.78</v>
      </c>
      <c r="D1936" s="51">
        <f t="shared" si="421"/>
        <v>0</v>
      </c>
      <c r="E1936" s="51"/>
      <c r="F1936" s="51"/>
      <c r="G1936" s="51"/>
      <c r="H1936" s="51"/>
      <c r="I1936" s="51"/>
      <c r="J1936" s="51"/>
      <c r="K1936" s="51"/>
      <c r="L1936" s="51"/>
      <c r="M1936" s="35"/>
      <c r="N1936" s="51"/>
      <c r="O1936" s="82"/>
      <c r="P1936" s="51"/>
      <c r="Q1936" s="338"/>
      <c r="R1936" s="51"/>
      <c r="S1936" s="51"/>
      <c r="T1936" s="338"/>
      <c r="U1936" s="51"/>
      <c r="V1936" s="35"/>
      <c r="W1936" s="364">
        <f t="shared" si="426"/>
        <v>399886.78</v>
      </c>
      <c r="X1936" s="141"/>
      <c r="Y1936" s="48">
        <v>133521.65</v>
      </c>
      <c r="Z1936" s="48"/>
      <c r="AA1936" s="48">
        <v>266365.13</v>
      </c>
      <c r="AB1936" s="48"/>
      <c r="AC1936" s="58"/>
      <c r="AD1936" s="58"/>
      <c r="AE1936" s="58" t="s">
        <v>1438</v>
      </c>
    </row>
    <row r="1937" spans="1:31" x14ac:dyDescent="0.3">
      <c r="A1937" s="47">
        <f t="shared" si="424"/>
        <v>1771</v>
      </c>
      <c r="B1937" s="414" t="s">
        <v>2585</v>
      </c>
      <c r="C1937" s="51">
        <f t="shared" si="423"/>
        <v>1151476.78</v>
      </c>
      <c r="D1937" s="51">
        <f t="shared" si="421"/>
        <v>751590</v>
      </c>
      <c r="E1937" s="51">
        <f>(13*2688)+(2*358323)</f>
        <v>751590</v>
      </c>
      <c r="F1937" s="51"/>
      <c r="G1937" s="51"/>
      <c r="H1937" s="51"/>
      <c r="I1937" s="51"/>
      <c r="J1937" s="51"/>
      <c r="K1937" s="51"/>
      <c r="L1937" s="51"/>
      <c r="M1937" s="35"/>
      <c r="N1937" s="51"/>
      <c r="O1937" s="82"/>
      <c r="P1937" s="51"/>
      <c r="Q1937" s="338"/>
      <c r="R1937" s="51"/>
      <c r="S1937" s="51"/>
      <c r="T1937" s="338"/>
      <c r="U1937" s="51"/>
      <c r="V1937" s="35"/>
      <c r="W1937" s="364">
        <f t="shared" si="426"/>
        <v>399886.78</v>
      </c>
      <c r="X1937" s="141"/>
      <c r="Y1937" s="48">
        <v>133521.65</v>
      </c>
      <c r="Z1937" s="48"/>
      <c r="AA1937" s="48">
        <v>266365.13</v>
      </c>
      <c r="AB1937" s="48"/>
      <c r="AC1937" s="58"/>
      <c r="AD1937" s="58"/>
      <c r="AE1937" s="58" t="s">
        <v>1393</v>
      </c>
    </row>
    <row r="1938" spans="1:31" x14ac:dyDescent="0.3">
      <c r="A1938" s="47">
        <f t="shared" si="424"/>
        <v>1772</v>
      </c>
      <c r="B1938" s="414" t="s">
        <v>2586</v>
      </c>
      <c r="C1938" s="51">
        <f t="shared" si="423"/>
        <v>540370.17000000004</v>
      </c>
      <c r="D1938" s="51">
        <f t="shared" si="421"/>
        <v>0</v>
      </c>
      <c r="E1938" s="51"/>
      <c r="F1938" s="51"/>
      <c r="G1938" s="51"/>
      <c r="H1938" s="51"/>
      <c r="I1938" s="51"/>
      <c r="J1938" s="51"/>
      <c r="K1938" s="51"/>
      <c r="L1938" s="51"/>
      <c r="M1938" s="35"/>
      <c r="N1938" s="51"/>
      <c r="O1938" s="82"/>
      <c r="P1938" s="51"/>
      <c r="Q1938" s="338"/>
      <c r="R1938" s="51"/>
      <c r="S1938" s="51"/>
      <c r="T1938" s="338"/>
      <c r="U1938" s="51"/>
      <c r="V1938" s="35"/>
      <c r="W1938" s="364">
        <f t="shared" si="426"/>
        <v>540370.17000000004</v>
      </c>
      <c r="X1938" s="141"/>
      <c r="Y1938" s="48">
        <v>209681.08</v>
      </c>
      <c r="Z1938" s="48"/>
      <c r="AA1938" s="48">
        <v>330689.09000000003</v>
      </c>
      <c r="AB1938" s="48"/>
      <c r="AC1938" s="58"/>
      <c r="AD1938" s="58"/>
      <c r="AE1938" s="58" t="s">
        <v>1393</v>
      </c>
    </row>
    <row r="1939" spans="1:31" x14ac:dyDescent="0.3">
      <c r="A1939" s="47">
        <f t="shared" si="424"/>
        <v>1773</v>
      </c>
      <c r="B1939" s="414" t="s">
        <v>2587</v>
      </c>
      <c r="C1939" s="51">
        <f t="shared" si="423"/>
        <v>259198.42</v>
      </c>
      <c r="D1939" s="51">
        <f t="shared" si="421"/>
        <v>0</v>
      </c>
      <c r="E1939" s="51"/>
      <c r="F1939" s="51"/>
      <c r="G1939" s="51"/>
      <c r="H1939" s="51"/>
      <c r="I1939" s="51"/>
      <c r="J1939" s="51"/>
      <c r="K1939" s="51"/>
      <c r="L1939" s="51"/>
      <c r="M1939" s="35"/>
      <c r="N1939" s="51"/>
      <c r="O1939" s="82"/>
      <c r="P1939" s="51"/>
      <c r="Q1939" s="338"/>
      <c r="R1939" s="51"/>
      <c r="S1939" s="51"/>
      <c r="T1939" s="338"/>
      <c r="U1939" s="51"/>
      <c r="V1939" s="35"/>
      <c r="W1939" s="364">
        <f t="shared" si="426"/>
        <v>259198.42</v>
      </c>
      <c r="X1939" s="141"/>
      <c r="Y1939" s="48"/>
      <c r="Z1939" s="48"/>
      <c r="AA1939" s="48">
        <v>259198.42</v>
      </c>
      <c r="AB1939" s="58"/>
      <c r="AC1939" s="58"/>
      <c r="AD1939" s="58"/>
      <c r="AE1939" s="58"/>
    </row>
    <row r="1940" spans="1:31" x14ac:dyDescent="0.3">
      <c r="A1940" s="47">
        <f t="shared" si="424"/>
        <v>1774</v>
      </c>
      <c r="B1940" s="414" t="s">
        <v>2588</v>
      </c>
      <c r="C1940" s="51">
        <f t="shared" si="423"/>
        <v>431315.82</v>
      </c>
      <c r="D1940" s="51">
        <f t="shared" si="421"/>
        <v>0</v>
      </c>
      <c r="E1940" s="51"/>
      <c r="F1940" s="51"/>
      <c r="G1940" s="51"/>
      <c r="H1940" s="51"/>
      <c r="I1940" s="51"/>
      <c r="J1940" s="51"/>
      <c r="K1940" s="51"/>
      <c r="L1940" s="51"/>
      <c r="M1940" s="35"/>
      <c r="N1940" s="51"/>
      <c r="O1940" s="82"/>
      <c r="P1940" s="51"/>
      <c r="Q1940" s="338"/>
      <c r="R1940" s="51"/>
      <c r="S1940" s="51"/>
      <c r="T1940" s="338"/>
      <c r="U1940" s="51"/>
      <c r="V1940" s="35"/>
      <c r="W1940" s="364">
        <f t="shared" si="426"/>
        <v>431315.82</v>
      </c>
      <c r="X1940" s="141"/>
      <c r="Y1940" s="48">
        <v>136654.25</v>
      </c>
      <c r="Z1940" s="48"/>
      <c r="AA1940" s="48">
        <v>294661.57</v>
      </c>
      <c r="AB1940" s="58"/>
      <c r="AC1940" s="58"/>
      <c r="AD1940" s="58"/>
      <c r="AE1940" s="58" t="s">
        <v>1395</v>
      </c>
    </row>
    <row r="1941" spans="1:31" x14ac:dyDescent="0.3">
      <c r="A1941" s="47">
        <f t="shared" si="424"/>
        <v>1775</v>
      </c>
      <c r="B1941" s="414" t="s">
        <v>2589</v>
      </c>
      <c r="C1941" s="51">
        <f t="shared" si="423"/>
        <v>315877.34000000003</v>
      </c>
      <c r="D1941" s="51">
        <f t="shared" si="421"/>
        <v>0</v>
      </c>
      <c r="E1941" s="51"/>
      <c r="F1941" s="51"/>
      <c r="G1941" s="51"/>
      <c r="H1941" s="51"/>
      <c r="I1941" s="51"/>
      <c r="J1941" s="51"/>
      <c r="K1941" s="51"/>
      <c r="L1941" s="51"/>
      <c r="M1941" s="35"/>
      <c r="N1941" s="51"/>
      <c r="O1941" s="82"/>
      <c r="P1941" s="51"/>
      <c r="Q1941" s="338"/>
      <c r="R1941" s="51"/>
      <c r="S1941" s="51"/>
      <c r="T1941" s="338"/>
      <c r="U1941" s="51"/>
      <c r="V1941" s="35"/>
      <c r="W1941" s="364">
        <f t="shared" si="426"/>
        <v>315877.34000000003</v>
      </c>
      <c r="X1941" s="141"/>
      <c r="Y1941" s="48"/>
      <c r="Z1941" s="48"/>
      <c r="AA1941" s="48">
        <v>315877.34000000003</v>
      </c>
      <c r="AB1941" s="48"/>
      <c r="AC1941" s="58"/>
      <c r="AD1941" s="58"/>
      <c r="AE1941" s="58" t="s">
        <v>1400</v>
      </c>
    </row>
    <row r="1942" spans="1:31" x14ac:dyDescent="0.3">
      <c r="A1942" s="45" t="s">
        <v>211</v>
      </c>
      <c r="B1942" s="399"/>
      <c r="C1942" s="51">
        <f t="shared" ref="C1942:W1942" si="427">SUM(C1785:C1941)</f>
        <v>145632772.76000002</v>
      </c>
      <c r="D1942" s="51">
        <f t="shared" si="427"/>
        <v>20191965</v>
      </c>
      <c r="E1942" s="51">
        <f t="shared" si="427"/>
        <v>18026659</v>
      </c>
      <c r="F1942" s="51">
        <f t="shared" si="427"/>
        <v>1144416</v>
      </c>
      <c r="G1942" s="51">
        <f t="shared" si="427"/>
        <v>813280</v>
      </c>
      <c r="H1942" s="51">
        <f t="shared" si="427"/>
        <v>0</v>
      </c>
      <c r="I1942" s="51">
        <f t="shared" si="427"/>
        <v>207610</v>
      </c>
      <c r="J1942" s="51">
        <f t="shared" si="427"/>
        <v>0</v>
      </c>
      <c r="K1942" s="51">
        <f t="shared" si="427"/>
        <v>0</v>
      </c>
      <c r="L1942" s="51">
        <f t="shared" si="427"/>
        <v>0</v>
      </c>
      <c r="M1942" s="35">
        <f t="shared" si="427"/>
        <v>1690.1000000000001</v>
      </c>
      <c r="N1942" s="51">
        <f t="shared" si="427"/>
        <v>13679669.400000002</v>
      </c>
      <c r="O1942" s="82">
        <f t="shared" si="427"/>
        <v>942.1</v>
      </c>
      <c r="P1942" s="51">
        <f t="shared" si="427"/>
        <v>24558900.300000001</v>
      </c>
      <c r="Q1942" s="338">
        <f t="shared" si="427"/>
        <v>0</v>
      </c>
      <c r="R1942" s="51">
        <f t="shared" si="427"/>
        <v>0</v>
      </c>
      <c r="S1942" s="51">
        <f t="shared" si="427"/>
        <v>0</v>
      </c>
      <c r="T1942" s="338">
        <f t="shared" si="427"/>
        <v>0</v>
      </c>
      <c r="U1942" s="51">
        <f t="shared" si="427"/>
        <v>0</v>
      </c>
      <c r="V1942" s="35">
        <f t="shared" si="427"/>
        <v>8341867</v>
      </c>
      <c r="W1942" s="51">
        <f t="shared" si="427"/>
        <v>78860371.059999987</v>
      </c>
      <c r="X1942" s="141"/>
      <c r="Y1942" s="48"/>
      <c r="Z1942" s="48"/>
      <c r="AA1942" s="57"/>
      <c r="AB1942" s="58"/>
      <c r="AC1942" s="58"/>
      <c r="AD1942" s="58"/>
      <c r="AE1942" s="58"/>
    </row>
    <row r="1943" spans="1:31" ht="34.5" customHeight="1" x14ac:dyDescent="0.3">
      <c r="A1943" s="526" t="s">
        <v>2594</v>
      </c>
      <c r="B1943" s="527"/>
      <c r="C1943" s="51">
        <f>C1942</f>
        <v>145632772.76000002</v>
      </c>
      <c r="D1943" s="51">
        <f t="shared" ref="D1943:W1943" si="428">D1942</f>
        <v>20191965</v>
      </c>
      <c r="E1943" s="51">
        <f t="shared" si="428"/>
        <v>18026659</v>
      </c>
      <c r="F1943" s="51">
        <f t="shared" si="428"/>
        <v>1144416</v>
      </c>
      <c r="G1943" s="51">
        <f t="shared" si="428"/>
        <v>813280</v>
      </c>
      <c r="H1943" s="51">
        <f t="shared" si="428"/>
        <v>0</v>
      </c>
      <c r="I1943" s="51">
        <f t="shared" si="428"/>
        <v>207610</v>
      </c>
      <c r="J1943" s="51">
        <f t="shared" si="428"/>
        <v>0</v>
      </c>
      <c r="K1943" s="51">
        <f t="shared" si="428"/>
        <v>0</v>
      </c>
      <c r="L1943" s="51">
        <f t="shared" si="428"/>
        <v>0</v>
      </c>
      <c r="M1943" s="35">
        <f t="shared" si="428"/>
        <v>1690.1000000000001</v>
      </c>
      <c r="N1943" s="51">
        <f t="shared" si="428"/>
        <v>13679669.400000002</v>
      </c>
      <c r="O1943" s="82">
        <f t="shared" si="428"/>
        <v>942.1</v>
      </c>
      <c r="P1943" s="51">
        <f t="shared" si="428"/>
        <v>24558900.300000001</v>
      </c>
      <c r="Q1943" s="338">
        <f t="shared" si="428"/>
        <v>0</v>
      </c>
      <c r="R1943" s="51">
        <f t="shared" si="428"/>
        <v>0</v>
      </c>
      <c r="S1943" s="51">
        <f t="shared" si="428"/>
        <v>0</v>
      </c>
      <c r="T1943" s="338">
        <f t="shared" si="428"/>
        <v>0</v>
      </c>
      <c r="U1943" s="51">
        <f t="shared" si="428"/>
        <v>0</v>
      </c>
      <c r="V1943" s="35">
        <f t="shared" si="428"/>
        <v>8341867</v>
      </c>
      <c r="W1943" s="51">
        <f t="shared" si="428"/>
        <v>78860371.059999987</v>
      </c>
      <c r="X1943" s="141"/>
      <c r="Y1943" s="48"/>
      <c r="Z1943" s="48"/>
      <c r="AA1943" s="57"/>
      <c r="AB1943" s="58"/>
      <c r="AC1943" s="58"/>
      <c r="AD1943" s="58"/>
      <c r="AE1943" s="58"/>
    </row>
    <row r="1944" spans="1:31" x14ac:dyDescent="0.3">
      <c r="A1944" s="435" t="s">
        <v>2595</v>
      </c>
      <c r="B1944" s="363"/>
      <c r="C1944" s="363"/>
      <c r="D1944" s="363"/>
      <c r="E1944" s="363"/>
      <c r="F1944" s="363"/>
      <c r="G1944" s="363"/>
      <c r="H1944" s="363"/>
      <c r="I1944" s="363"/>
      <c r="J1944" s="363"/>
      <c r="K1944" s="363"/>
      <c r="L1944" s="363"/>
      <c r="M1944" s="393"/>
      <c r="N1944" s="363"/>
      <c r="O1944" s="391"/>
      <c r="P1944" s="363"/>
      <c r="Q1944" s="392"/>
      <c r="R1944" s="363"/>
      <c r="S1944" s="363"/>
      <c r="T1944" s="392"/>
      <c r="U1944" s="363"/>
      <c r="V1944" s="393"/>
      <c r="W1944" s="363"/>
      <c r="X1944" s="285"/>
      <c r="Y1944" s="9"/>
      <c r="Z1944" s="40"/>
      <c r="AA1944" s="7"/>
      <c r="AB1944" s="56"/>
      <c r="AC1944" s="56"/>
      <c r="AD1944" s="56"/>
    </row>
    <row r="1945" spans="1:31" x14ac:dyDescent="0.3">
      <c r="A1945" s="435" t="s">
        <v>2596</v>
      </c>
      <c r="B1945" s="363"/>
      <c r="C1945" s="51"/>
      <c r="D1945" s="51"/>
      <c r="E1945" s="51"/>
      <c r="F1945" s="51"/>
      <c r="G1945" s="51"/>
      <c r="H1945" s="51"/>
      <c r="I1945" s="51"/>
      <c r="J1945" s="51"/>
      <c r="K1945" s="51"/>
      <c r="L1945" s="51"/>
      <c r="M1945" s="35"/>
      <c r="N1945" s="51"/>
      <c r="O1945" s="82"/>
      <c r="P1945" s="51"/>
      <c r="Q1945" s="338"/>
      <c r="R1945" s="51"/>
      <c r="S1945" s="51"/>
      <c r="T1945" s="338"/>
      <c r="U1945" s="51"/>
      <c r="V1945" s="35"/>
      <c r="W1945" s="364"/>
      <c r="X1945" s="285"/>
      <c r="Y1945" s="9"/>
      <c r="Z1945" s="40"/>
      <c r="AA1945" s="7"/>
      <c r="AB1945" s="56"/>
      <c r="AC1945" s="56"/>
      <c r="AD1945" s="56"/>
    </row>
    <row r="1946" spans="1:31" x14ac:dyDescent="0.3">
      <c r="A1946" s="47">
        <f>A1941+1</f>
        <v>1776</v>
      </c>
      <c r="B1946" s="414" t="s">
        <v>2597</v>
      </c>
      <c r="C1946" s="51">
        <f>D1946+K1946+L1946+N1946+P1946+R1946+S1946+U1946+V1946+W1946</f>
        <v>5894640.6000000006</v>
      </c>
      <c r="D1946" s="51">
        <f>E1946+F1946+G1946+H1946+I1946</f>
        <v>0</v>
      </c>
      <c r="E1946" s="51"/>
      <c r="F1946" s="51"/>
      <c r="G1946" s="51"/>
      <c r="H1946" s="51"/>
      <c r="I1946" s="51"/>
      <c r="J1946" s="51"/>
      <c r="K1946" s="51"/>
      <c r="L1946" s="51"/>
      <c r="M1946" s="35">
        <v>944.2</v>
      </c>
      <c r="N1946" s="51">
        <f>M1946*6243</f>
        <v>5894640.6000000006</v>
      </c>
      <c r="O1946" s="82"/>
      <c r="P1946" s="51"/>
      <c r="Q1946" s="338"/>
      <c r="R1946" s="51"/>
      <c r="S1946" s="51"/>
      <c r="T1946" s="338"/>
      <c r="U1946" s="51"/>
      <c r="V1946" s="35"/>
      <c r="W1946" s="364"/>
      <c r="X1946" s="285"/>
      <c r="Y1946" s="9"/>
      <c r="Z1946" s="40"/>
      <c r="AA1946" s="7"/>
      <c r="AB1946" s="56"/>
      <c r="AC1946" s="56"/>
      <c r="AD1946" s="56"/>
    </row>
    <row r="1947" spans="1:31" x14ac:dyDescent="0.3">
      <c r="A1947" s="47">
        <f>A1946+1</f>
        <v>1777</v>
      </c>
      <c r="B1947" s="414" t="s">
        <v>2598</v>
      </c>
      <c r="C1947" s="51">
        <f>D1947+K1947+L1947+N1947+P1947+R1947+S1947+U1947+V1947+W1947</f>
        <v>25205400</v>
      </c>
      <c r="D1947" s="51">
        <f>E1947+F1947+G1947+H1947+I1947</f>
        <v>0</v>
      </c>
      <c r="E1947" s="51"/>
      <c r="F1947" s="51"/>
      <c r="G1947" s="51"/>
      <c r="H1947" s="51"/>
      <c r="I1947" s="51"/>
      <c r="J1947" s="51"/>
      <c r="K1947" s="51"/>
      <c r="L1947" s="51"/>
      <c r="M1947" s="35"/>
      <c r="N1947" s="51"/>
      <c r="O1947" s="82"/>
      <c r="P1947" s="51"/>
      <c r="Q1947" s="338">
        <v>1800</v>
      </c>
      <c r="R1947" s="51">
        <f>Q1947*14003</f>
        <v>25205400</v>
      </c>
      <c r="S1947" s="51"/>
      <c r="T1947" s="338"/>
      <c r="U1947" s="51"/>
      <c r="V1947" s="35"/>
      <c r="W1947" s="364"/>
      <c r="X1947" s="285"/>
      <c r="Y1947" s="9"/>
      <c r="Z1947" s="40"/>
      <c r="AA1947" s="7"/>
      <c r="AB1947" s="56"/>
      <c r="AC1947" s="56"/>
      <c r="AD1947" s="56"/>
    </row>
    <row r="1948" spans="1:31" x14ac:dyDescent="0.3">
      <c r="A1948" s="47">
        <f t="shared" ref="A1948" si="429">A1947+1</f>
        <v>1778</v>
      </c>
      <c r="B1948" s="414" t="s">
        <v>2599</v>
      </c>
      <c r="C1948" s="51">
        <f>D1948+K1948+L1948+N1948+P1948+R1948+S1948+U1948+V1948+W1948</f>
        <v>25205400</v>
      </c>
      <c r="D1948" s="51">
        <f>E1948+F1948+G1948+H1948+I1948</f>
        <v>0</v>
      </c>
      <c r="E1948" s="51"/>
      <c r="F1948" s="51"/>
      <c r="G1948" s="51"/>
      <c r="H1948" s="51"/>
      <c r="I1948" s="51"/>
      <c r="J1948" s="51"/>
      <c r="K1948" s="51"/>
      <c r="L1948" s="51"/>
      <c r="M1948" s="35"/>
      <c r="N1948" s="51"/>
      <c r="O1948" s="82"/>
      <c r="P1948" s="51"/>
      <c r="Q1948" s="338">
        <v>1800</v>
      </c>
      <c r="R1948" s="51">
        <f>Q1948*14003</f>
        <v>25205400</v>
      </c>
      <c r="S1948" s="51"/>
      <c r="T1948" s="338"/>
      <c r="U1948" s="51"/>
      <c r="V1948" s="35"/>
      <c r="W1948" s="364"/>
      <c r="X1948" s="285"/>
      <c r="Y1948" s="9"/>
      <c r="Z1948" s="40"/>
      <c r="AA1948" s="7"/>
      <c r="AB1948" s="56"/>
      <c r="AC1948" s="56"/>
      <c r="AD1948" s="56"/>
    </row>
    <row r="1949" spans="1:31" x14ac:dyDescent="0.3">
      <c r="A1949" s="439" t="s">
        <v>211</v>
      </c>
      <c r="B1949" s="399"/>
      <c r="C1949" s="51">
        <f>SUM(C1946:C1948)</f>
        <v>56305440.600000001</v>
      </c>
      <c r="D1949" s="51">
        <f t="shared" ref="D1949:W1949" si="430">SUM(D1947:D1948)</f>
        <v>0</v>
      </c>
      <c r="E1949" s="51">
        <f t="shared" si="430"/>
        <v>0</v>
      </c>
      <c r="F1949" s="51">
        <f t="shared" si="430"/>
        <v>0</v>
      </c>
      <c r="G1949" s="51">
        <f t="shared" si="430"/>
        <v>0</v>
      </c>
      <c r="H1949" s="51">
        <f t="shared" si="430"/>
        <v>0</v>
      </c>
      <c r="I1949" s="51">
        <f t="shared" si="430"/>
        <v>0</v>
      </c>
      <c r="J1949" s="51">
        <f t="shared" si="430"/>
        <v>0</v>
      </c>
      <c r="K1949" s="51">
        <f t="shared" si="430"/>
        <v>0</v>
      </c>
      <c r="L1949" s="51">
        <f t="shared" si="430"/>
        <v>0</v>
      </c>
      <c r="M1949" s="35">
        <f t="shared" si="430"/>
        <v>0</v>
      </c>
      <c r="N1949" s="51">
        <f t="shared" si="430"/>
        <v>0</v>
      </c>
      <c r="O1949" s="82">
        <f t="shared" si="430"/>
        <v>0</v>
      </c>
      <c r="P1949" s="51">
        <f t="shared" si="430"/>
        <v>0</v>
      </c>
      <c r="Q1949" s="338">
        <f t="shared" si="430"/>
        <v>3600</v>
      </c>
      <c r="R1949" s="51">
        <f t="shared" si="430"/>
        <v>50410800</v>
      </c>
      <c r="S1949" s="51">
        <f t="shared" si="430"/>
        <v>0</v>
      </c>
      <c r="T1949" s="338">
        <f t="shared" si="430"/>
        <v>0</v>
      </c>
      <c r="U1949" s="51">
        <f t="shared" si="430"/>
        <v>0</v>
      </c>
      <c r="V1949" s="35">
        <f t="shared" si="430"/>
        <v>0</v>
      </c>
      <c r="W1949" s="51">
        <f t="shared" si="430"/>
        <v>0</v>
      </c>
      <c r="X1949" s="285"/>
      <c r="Y1949" s="9"/>
      <c r="Z1949" s="40"/>
      <c r="AA1949" s="7"/>
      <c r="AB1949" s="56"/>
      <c r="AC1949" s="56"/>
      <c r="AD1949" s="56"/>
    </row>
    <row r="1950" spans="1:31" x14ac:dyDescent="0.3">
      <c r="A1950" s="435" t="s">
        <v>2600</v>
      </c>
      <c r="B1950" s="363"/>
      <c r="C1950" s="51"/>
      <c r="D1950" s="51"/>
      <c r="E1950" s="51"/>
      <c r="F1950" s="51"/>
      <c r="G1950" s="51"/>
      <c r="H1950" s="51"/>
      <c r="I1950" s="51"/>
      <c r="J1950" s="51"/>
      <c r="K1950" s="51"/>
      <c r="L1950" s="51"/>
      <c r="M1950" s="35"/>
      <c r="N1950" s="51"/>
      <c r="O1950" s="82"/>
      <c r="P1950" s="51"/>
      <c r="Q1950" s="338"/>
      <c r="R1950" s="51"/>
      <c r="S1950" s="51"/>
      <c r="T1950" s="338"/>
      <c r="U1950" s="51"/>
      <c r="V1950" s="35"/>
      <c r="W1950" s="364"/>
      <c r="X1950" s="285"/>
      <c r="Y1950" s="9"/>
      <c r="Z1950" s="40"/>
      <c r="AA1950" s="7"/>
      <c r="AB1950" s="56"/>
      <c r="AC1950" s="56"/>
      <c r="AD1950" s="56"/>
    </row>
    <row r="1951" spans="1:31" x14ac:dyDescent="0.3">
      <c r="A1951" s="47">
        <f>A1948+1</f>
        <v>1779</v>
      </c>
      <c r="B1951" s="414" t="s">
        <v>2601</v>
      </c>
      <c r="C1951" s="51">
        <f t="shared" ref="C1951:C1958" si="431">D1951+K1951+L1951+N1951+P1951+R1951+S1951+U1951+V1951+W1951</f>
        <v>23171490.140000001</v>
      </c>
      <c r="D1951" s="51">
        <f t="shared" ref="D1951:D1957" si="432">E1951+F1951+G1951+H1951+I1951</f>
        <v>7890921.6000000006</v>
      </c>
      <c r="E1951" s="51">
        <v>1151206.8</v>
      </c>
      <c r="F1951" s="51">
        <v>4040353.2</v>
      </c>
      <c r="G1951" s="51">
        <v>908744.4</v>
      </c>
      <c r="H1951" s="51">
        <v>1110997.2</v>
      </c>
      <c r="I1951" s="51">
        <v>679620</v>
      </c>
      <c r="J1951" s="51"/>
      <c r="K1951" s="51"/>
      <c r="L1951" s="51"/>
      <c r="M1951" s="35"/>
      <c r="N1951" s="51"/>
      <c r="O1951" s="82">
        <v>843</v>
      </c>
      <c r="P1951" s="51">
        <v>5853189.54</v>
      </c>
      <c r="Q1951" s="338"/>
      <c r="R1951" s="51"/>
      <c r="S1951" s="51"/>
      <c r="T1951" s="338"/>
      <c r="U1951" s="51"/>
      <c r="V1951" s="35">
        <f>13*(214531+392996+117656)</f>
        <v>9427379</v>
      </c>
      <c r="W1951" s="364"/>
      <c r="X1951" s="285"/>
      <c r="Y1951" s="9"/>
      <c r="Z1951" s="40"/>
      <c r="AA1951" s="7"/>
      <c r="AB1951" s="56"/>
      <c r="AC1951" s="56"/>
      <c r="AD1951" s="56"/>
    </row>
    <row r="1952" spans="1:31" x14ac:dyDescent="0.3">
      <c r="A1952" s="47">
        <f>A1951+1</f>
        <v>1780</v>
      </c>
      <c r="B1952" s="414" t="s">
        <v>2602</v>
      </c>
      <c r="C1952" s="51">
        <f t="shared" si="431"/>
        <v>9427379</v>
      </c>
      <c r="D1952" s="51">
        <f t="shared" si="432"/>
        <v>0</v>
      </c>
      <c r="E1952" s="51"/>
      <c r="F1952" s="51"/>
      <c r="G1952" s="51"/>
      <c r="H1952" s="51"/>
      <c r="I1952" s="51"/>
      <c r="J1952" s="51"/>
      <c r="K1952" s="51"/>
      <c r="L1952" s="51"/>
      <c r="M1952" s="35"/>
      <c r="N1952" s="51"/>
      <c r="O1952" s="82"/>
      <c r="P1952" s="51"/>
      <c r="Q1952" s="338"/>
      <c r="R1952" s="51"/>
      <c r="S1952" s="51"/>
      <c r="T1952" s="338"/>
      <c r="U1952" s="51"/>
      <c r="V1952" s="35">
        <f>13*(214531+392996+117656)</f>
        <v>9427379</v>
      </c>
      <c r="W1952" s="364"/>
      <c r="X1952" s="285"/>
      <c r="Y1952" s="9"/>
      <c r="Z1952" s="40"/>
      <c r="AA1952" s="9"/>
      <c r="AB1952" s="56"/>
      <c r="AC1952" s="56"/>
      <c r="AD1952" s="56"/>
    </row>
    <row r="1953" spans="1:30" x14ac:dyDescent="0.3">
      <c r="A1953" s="47">
        <f>A1952+1</f>
        <v>1781</v>
      </c>
      <c r="B1953" s="414" t="s">
        <v>2603</v>
      </c>
      <c r="C1953" s="51">
        <f t="shared" si="431"/>
        <v>2437134.88</v>
      </c>
      <c r="D1953" s="51">
        <f t="shared" si="432"/>
        <v>0</v>
      </c>
      <c r="E1953" s="51"/>
      <c r="F1953" s="51"/>
      <c r="G1953" s="51"/>
      <c r="H1953" s="51"/>
      <c r="I1953" s="51"/>
      <c r="J1953" s="51"/>
      <c r="K1953" s="51"/>
      <c r="L1953" s="51"/>
      <c r="M1953" s="35"/>
      <c r="N1953" s="51"/>
      <c r="O1953" s="82">
        <v>189.9</v>
      </c>
      <c r="P1953" s="51">
        <v>2307134.88</v>
      </c>
      <c r="Q1953" s="338"/>
      <c r="R1953" s="51"/>
      <c r="S1953" s="51"/>
      <c r="T1953" s="338"/>
      <c r="U1953" s="51"/>
      <c r="V1953" s="35"/>
      <c r="W1953" s="364">
        <v>130000</v>
      </c>
      <c r="X1953" s="285"/>
      <c r="Y1953" s="9"/>
      <c r="Z1953" s="40"/>
      <c r="AA1953" s="9"/>
      <c r="AB1953" s="56"/>
      <c r="AC1953" s="56"/>
      <c r="AD1953" s="56"/>
    </row>
    <row r="1954" spans="1:30" x14ac:dyDescent="0.3">
      <c r="A1954" s="47">
        <f>A1953+1</f>
        <v>1782</v>
      </c>
      <c r="B1954" s="414" t="s">
        <v>2604</v>
      </c>
      <c r="C1954" s="51">
        <f t="shared" si="431"/>
        <v>2437134.88</v>
      </c>
      <c r="D1954" s="51">
        <f t="shared" si="432"/>
        <v>0</v>
      </c>
      <c r="E1954" s="51"/>
      <c r="F1954" s="51"/>
      <c r="G1954" s="51"/>
      <c r="H1954" s="51"/>
      <c r="I1954" s="51"/>
      <c r="J1954" s="51"/>
      <c r="K1954" s="51"/>
      <c r="L1954" s="51"/>
      <c r="M1954" s="35"/>
      <c r="N1954" s="51"/>
      <c r="O1954" s="82">
        <v>189.9</v>
      </c>
      <c r="P1954" s="51">
        <v>2307134.88</v>
      </c>
      <c r="Q1954" s="338"/>
      <c r="R1954" s="51"/>
      <c r="S1954" s="51"/>
      <c r="T1954" s="338"/>
      <c r="U1954" s="51"/>
      <c r="V1954" s="35"/>
      <c r="W1954" s="364">
        <v>130000</v>
      </c>
      <c r="X1954" s="285"/>
      <c r="Y1954" s="9"/>
      <c r="Z1954" s="40"/>
      <c r="AA1954" s="9"/>
      <c r="AB1954" s="56"/>
      <c r="AC1954" s="56"/>
      <c r="AD1954" s="56"/>
    </row>
    <row r="1955" spans="1:30" x14ac:dyDescent="0.3">
      <c r="A1955" s="47">
        <f t="shared" ref="A1955:A1957" si="433">A1954+1</f>
        <v>1783</v>
      </c>
      <c r="B1955" s="414" t="s">
        <v>2606</v>
      </c>
      <c r="C1955" s="51">
        <f t="shared" si="431"/>
        <v>14353312.24</v>
      </c>
      <c r="D1955" s="51">
        <f t="shared" si="432"/>
        <v>966298</v>
      </c>
      <c r="E1955" s="51">
        <f>(2688*13)+(358323*2)</f>
        <v>751590</v>
      </c>
      <c r="F1955" s="51">
        <f>13*5502</f>
        <v>71526</v>
      </c>
      <c r="G1955" s="51">
        <f>13*3910</f>
        <v>50830</v>
      </c>
      <c r="H1955" s="51">
        <f>13*3910</f>
        <v>50830</v>
      </c>
      <c r="I1955" s="51">
        <f>13*3194</f>
        <v>41522</v>
      </c>
      <c r="J1955" s="51"/>
      <c r="K1955" s="51"/>
      <c r="L1955" s="51"/>
      <c r="M1955" s="35">
        <v>278</v>
      </c>
      <c r="N1955" s="51">
        <v>1652500.36</v>
      </c>
      <c r="O1955" s="82">
        <v>163</v>
      </c>
      <c r="P1955" s="51">
        <v>2307134.88</v>
      </c>
      <c r="Q1955" s="338"/>
      <c r="R1955" s="51"/>
      <c r="S1955" s="51"/>
      <c r="T1955" s="338"/>
      <c r="U1955" s="51"/>
      <c r="V1955" s="35">
        <f>13*(214531+392996+117656)</f>
        <v>9427379</v>
      </c>
      <c r="W1955" s="364"/>
      <c r="X1955" s="285"/>
      <c r="Y1955" s="9"/>
      <c r="Z1955" s="306"/>
      <c r="AA1955" s="9"/>
      <c r="AB1955" s="302"/>
      <c r="AC1955" s="302"/>
      <c r="AD1955" s="302"/>
    </row>
    <row r="1956" spans="1:30" x14ac:dyDescent="0.3">
      <c r="A1956" s="47">
        <f t="shared" si="433"/>
        <v>1784</v>
      </c>
      <c r="B1956" s="414" t="s">
        <v>2609</v>
      </c>
      <c r="C1956" s="51">
        <f t="shared" si="431"/>
        <v>9557379</v>
      </c>
      <c r="D1956" s="51">
        <f t="shared" si="432"/>
        <v>0</v>
      </c>
      <c r="E1956" s="51"/>
      <c r="F1956" s="51"/>
      <c r="G1956" s="51"/>
      <c r="H1956" s="51"/>
      <c r="I1956" s="51"/>
      <c r="J1956" s="51"/>
      <c r="K1956" s="51"/>
      <c r="L1956" s="51"/>
      <c r="M1956" s="35"/>
      <c r="N1956" s="51"/>
      <c r="O1956" s="82"/>
      <c r="P1956" s="51"/>
      <c r="Q1956" s="338"/>
      <c r="R1956" s="51"/>
      <c r="S1956" s="51"/>
      <c r="T1956" s="338"/>
      <c r="U1956" s="51"/>
      <c r="V1956" s="35">
        <f>13*(214531+392996+117656)</f>
        <v>9427379</v>
      </c>
      <c r="W1956" s="364">
        <v>130000</v>
      </c>
      <c r="X1956" s="285"/>
      <c r="Y1956" s="9"/>
      <c r="Z1956" s="306"/>
      <c r="AA1956" s="9"/>
      <c r="AB1956" s="302"/>
      <c r="AC1956" s="302"/>
      <c r="AD1956" s="302"/>
    </row>
    <row r="1957" spans="1:30" x14ac:dyDescent="0.3">
      <c r="A1957" s="47">
        <f t="shared" si="433"/>
        <v>1785</v>
      </c>
      <c r="B1957" s="414" t="s">
        <v>2611</v>
      </c>
      <c r="C1957" s="51">
        <f t="shared" si="431"/>
        <v>546108</v>
      </c>
      <c r="D1957" s="51">
        <f t="shared" si="432"/>
        <v>0</v>
      </c>
      <c r="E1957" s="51"/>
      <c r="F1957" s="51"/>
      <c r="G1957" s="51"/>
      <c r="H1957" s="51"/>
      <c r="I1957" s="51"/>
      <c r="J1957" s="51"/>
      <c r="K1957" s="51"/>
      <c r="L1957" s="51"/>
      <c r="M1957" s="35"/>
      <c r="N1957" s="51"/>
      <c r="O1957" s="82">
        <v>1106.7</v>
      </c>
      <c r="P1957" s="51">
        <v>546108</v>
      </c>
      <c r="Q1957" s="338"/>
      <c r="R1957" s="51"/>
      <c r="S1957" s="51"/>
      <c r="T1957" s="338"/>
      <c r="U1957" s="51"/>
      <c r="V1957" s="35"/>
      <c r="W1957" s="364"/>
      <c r="X1957" s="285"/>
      <c r="Y1957" s="9"/>
      <c r="Z1957" s="306"/>
      <c r="AA1957" s="9"/>
      <c r="AB1957" s="302"/>
      <c r="AC1957" s="302"/>
      <c r="AD1957" s="302"/>
    </row>
    <row r="1958" spans="1:30" x14ac:dyDescent="0.3">
      <c r="A1958" s="439" t="s">
        <v>211</v>
      </c>
      <c r="B1958" s="399"/>
      <c r="C1958" s="51">
        <f t="shared" si="431"/>
        <v>61929938.140000001</v>
      </c>
      <c r="D1958" s="51">
        <f t="shared" ref="D1958:W1958" si="434">SUM(D1951:D1957)</f>
        <v>8857219.6000000015</v>
      </c>
      <c r="E1958" s="51">
        <f t="shared" si="434"/>
        <v>1902796.8</v>
      </c>
      <c r="F1958" s="51">
        <f t="shared" si="434"/>
        <v>4111879.2</v>
      </c>
      <c r="G1958" s="51">
        <f t="shared" si="434"/>
        <v>959574.4</v>
      </c>
      <c r="H1958" s="51">
        <f t="shared" si="434"/>
        <v>1161827.2</v>
      </c>
      <c r="I1958" s="51">
        <f t="shared" si="434"/>
        <v>721142</v>
      </c>
      <c r="J1958" s="51">
        <f t="shared" si="434"/>
        <v>0</v>
      </c>
      <c r="K1958" s="51">
        <f t="shared" si="434"/>
        <v>0</v>
      </c>
      <c r="L1958" s="51">
        <f t="shared" si="434"/>
        <v>0</v>
      </c>
      <c r="M1958" s="35">
        <f t="shared" si="434"/>
        <v>278</v>
      </c>
      <c r="N1958" s="51">
        <f t="shared" si="434"/>
        <v>1652500.36</v>
      </c>
      <c r="O1958" s="82">
        <f t="shared" si="434"/>
        <v>2492.5</v>
      </c>
      <c r="P1958" s="51">
        <f t="shared" si="434"/>
        <v>13320702.18</v>
      </c>
      <c r="Q1958" s="338">
        <f t="shared" si="434"/>
        <v>0</v>
      </c>
      <c r="R1958" s="51">
        <f t="shared" si="434"/>
        <v>0</v>
      </c>
      <c r="S1958" s="51">
        <f t="shared" si="434"/>
        <v>0</v>
      </c>
      <c r="T1958" s="338">
        <f t="shared" si="434"/>
        <v>0</v>
      </c>
      <c r="U1958" s="51">
        <f t="shared" si="434"/>
        <v>0</v>
      </c>
      <c r="V1958" s="35">
        <f t="shared" si="434"/>
        <v>37709516</v>
      </c>
      <c r="W1958" s="51">
        <f t="shared" si="434"/>
        <v>390000</v>
      </c>
      <c r="X1958" s="285"/>
      <c r="Y1958" s="9"/>
      <c r="Z1958" s="306"/>
      <c r="AA1958" s="9"/>
      <c r="AB1958" s="302"/>
      <c r="AC1958" s="302"/>
      <c r="AD1958" s="302"/>
    </row>
    <row r="1959" spans="1:30" x14ac:dyDescent="0.3">
      <c r="A1959" s="435" t="s">
        <v>2614</v>
      </c>
      <c r="B1959" s="363"/>
      <c r="C1959" s="51"/>
      <c r="D1959" s="51"/>
      <c r="E1959" s="51"/>
      <c r="F1959" s="51"/>
      <c r="G1959" s="51"/>
      <c r="H1959" s="51"/>
      <c r="I1959" s="51"/>
      <c r="J1959" s="51"/>
      <c r="K1959" s="51"/>
      <c r="L1959" s="51"/>
      <c r="M1959" s="35"/>
      <c r="N1959" s="51"/>
      <c r="O1959" s="82"/>
      <c r="P1959" s="51"/>
      <c r="Q1959" s="338"/>
      <c r="R1959" s="51"/>
      <c r="S1959" s="51"/>
      <c r="T1959" s="338"/>
      <c r="U1959" s="51"/>
      <c r="V1959" s="35"/>
      <c r="W1959" s="364"/>
      <c r="X1959" s="285"/>
      <c r="Y1959" s="9"/>
      <c r="Z1959" s="306"/>
      <c r="AA1959" s="9"/>
      <c r="AB1959" s="302"/>
      <c r="AC1959" s="302"/>
      <c r="AD1959" s="302"/>
    </row>
    <row r="1960" spans="1:30" x14ac:dyDescent="0.3">
      <c r="A1960" s="47">
        <f>A1957+1</f>
        <v>1786</v>
      </c>
      <c r="B1960" s="414" t="s">
        <v>2615</v>
      </c>
      <c r="C1960" s="51">
        <f t="shared" ref="C1960:C1965" si="435">D1960+K1960+L1960+N1960+P1960+R1960+S1960+U1960+V1960+W1960</f>
        <v>304782.61</v>
      </c>
      <c r="D1960" s="51">
        <f t="shared" ref="D1960:D1965" si="436">E1960+F1960+G1960+H1960+I1960</f>
        <v>0</v>
      </c>
      <c r="E1960" s="51"/>
      <c r="F1960" s="51"/>
      <c r="G1960" s="51"/>
      <c r="H1960" s="51"/>
      <c r="I1960" s="51"/>
      <c r="J1960" s="51"/>
      <c r="K1960" s="51"/>
      <c r="L1960" s="51"/>
      <c r="M1960" s="35"/>
      <c r="N1960" s="51"/>
      <c r="O1960" s="82"/>
      <c r="P1960" s="51"/>
      <c r="Q1960" s="338"/>
      <c r="R1960" s="51"/>
      <c r="S1960" s="51"/>
      <c r="T1960" s="338"/>
      <c r="U1960" s="51"/>
      <c r="V1960" s="35"/>
      <c r="W1960" s="364">
        <f t="shared" ref="W1960:W1965" si="437">SUM(X1960:AD1960)</f>
        <v>304782.61</v>
      </c>
      <c r="X1960" s="285">
        <v>107164.56</v>
      </c>
      <c r="Y1960" s="9">
        <v>197618.05</v>
      </c>
      <c r="Z1960" s="306"/>
      <c r="AA1960" s="9"/>
      <c r="AB1960" s="302"/>
      <c r="AC1960" s="302"/>
      <c r="AD1960" s="302"/>
    </row>
    <row r="1961" spans="1:30" x14ac:dyDescent="0.3">
      <c r="A1961" s="47">
        <f>A1960+1</f>
        <v>1787</v>
      </c>
      <c r="B1961" s="414" t="s">
        <v>2616</v>
      </c>
      <c r="C1961" s="51">
        <f t="shared" si="435"/>
        <v>514069.18</v>
      </c>
      <c r="D1961" s="51">
        <f t="shared" si="436"/>
        <v>0</v>
      </c>
      <c r="E1961" s="51"/>
      <c r="F1961" s="51"/>
      <c r="G1961" s="51"/>
      <c r="H1961" s="51"/>
      <c r="I1961" s="51"/>
      <c r="J1961" s="51"/>
      <c r="K1961" s="51"/>
      <c r="L1961" s="51"/>
      <c r="M1961" s="35"/>
      <c r="N1961" s="51"/>
      <c r="O1961" s="82"/>
      <c r="P1961" s="51"/>
      <c r="Q1961" s="338"/>
      <c r="R1961" s="51"/>
      <c r="S1961" s="51"/>
      <c r="T1961" s="338"/>
      <c r="U1961" s="51"/>
      <c r="V1961" s="35"/>
      <c r="W1961" s="364">
        <f t="shared" si="437"/>
        <v>514069.18</v>
      </c>
      <c r="X1961" s="285">
        <f>102638.23+120893.3+101053.79</f>
        <v>324585.32</v>
      </c>
      <c r="Y1961" s="9">
        <v>189483.86</v>
      </c>
      <c r="Z1961" s="306"/>
      <c r="AA1961" s="9"/>
      <c r="AB1961" s="302"/>
      <c r="AC1961" s="302"/>
      <c r="AD1961" s="302"/>
    </row>
    <row r="1962" spans="1:30" x14ac:dyDescent="0.3">
      <c r="A1962" s="47">
        <f>A1961+1</f>
        <v>1788</v>
      </c>
      <c r="B1962" s="414" t="s">
        <v>2617</v>
      </c>
      <c r="C1962" s="51">
        <f t="shared" si="435"/>
        <v>514069.18</v>
      </c>
      <c r="D1962" s="51">
        <f t="shared" si="436"/>
        <v>0</v>
      </c>
      <c r="E1962" s="51"/>
      <c r="F1962" s="51"/>
      <c r="G1962" s="51"/>
      <c r="H1962" s="51"/>
      <c r="I1962" s="51"/>
      <c r="J1962" s="51"/>
      <c r="K1962" s="51"/>
      <c r="L1962" s="51"/>
      <c r="M1962" s="35"/>
      <c r="N1962" s="51"/>
      <c r="O1962" s="82"/>
      <c r="P1962" s="51"/>
      <c r="Q1962" s="338"/>
      <c r="R1962" s="51"/>
      <c r="S1962" s="51"/>
      <c r="T1962" s="338"/>
      <c r="U1962" s="51"/>
      <c r="V1962" s="35"/>
      <c r="W1962" s="364">
        <f t="shared" si="437"/>
        <v>514069.18</v>
      </c>
      <c r="X1962" s="285">
        <f>102638.23+120893.3+101053.79</f>
        <v>324585.32</v>
      </c>
      <c r="Y1962" s="9">
        <v>189483.86</v>
      </c>
      <c r="Z1962" s="306"/>
      <c r="AA1962" s="9"/>
      <c r="AB1962" s="302"/>
      <c r="AC1962" s="302"/>
      <c r="AD1962" s="302"/>
    </row>
    <row r="1963" spans="1:30" x14ac:dyDescent="0.3">
      <c r="A1963" s="47">
        <f>A1962+1</f>
        <v>1789</v>
      </c>
      <c r="B1963" s="414" t="s">
        <v>2618</v>
      </c>
      <c r="C1963" s="51">
        <f t="shared" si="435"/>
        <v>517932.61</v>
      </c>
      <c r="D1963" s="51">
        <f t="shared" si="436"/>
        <v>0</v>
      </c>
      <c r="E1963" s="51"/>
      <c r="F1963" s="51"/>
      <c r="G1963" s="51"/>
      <c r="H1963" s="51"/>
      <c r="I1963" s="51"/>
      <c r="J1963" s="51"/>
      <c r="K1963" s="51"/>
      <c r="L1963" s="51"/>
      <c r="M1963" s="35"/>
      <c r="N1963" s="51"/>
      <c r="O1963" s="82"/>
      <c r="P1963" s="51"/>
      <c r="Q1963" s="338"/>
      <c r="R1963" s="51"/>
      <c r="S1963" s="51"/>
      <c r="T1963" s="338"/>
      <c r="U1963" s="51"/>
      <c r="V1963" s="35"/>
      <c r="W1963" s="364">
        <f t="shared" si="437"/>
        <v>517932.61</v>
      </c>
      <c r="X1963" s="285">
        <f>103495.62+121755.54+101872.32</f>
        <v>327123.48</v>
      </c>
      <c r="Y1963" s="9">
        <v>190809.13</v>
      </c>
      <c r="Z1963" s="306"/>
      <c r="AA1963" s="9"/>
      <c r="AB1963" s="302"/>
      <c r="AC1963" s="302"/>
      <c r="AD1963" s="302"/>
    </row>
    <row r="1964" spans="1:30" x14ac:dyDescent="0.3">
      <c r="A1964" s="47">
        <f>A1963+1</f>
        <v>1790</v>
      </c>
      <c r="B1964" s="414" t="s">
        <v>2619</v>
      </c>
      <c r="C1964" s="51">
        <f t="shared" si="435"/>
        <v>517932.61</v>
      </c>
      <c r="D1964" s="51">
        <f t="shared" si="436"/>
        <v>0</v>
      </c>
      <c r="E1964" s="51"/>
      <c r="F1964" s="51"/>
      <c r="G1964" s="51"/>
      <c r="H1964" s="51"/>
      <c r="I1964" s="51"/>
      <c r="J1964" s="51"/>
      <c r="K1964" s="51"/>
      <c r="L1964" s="51"/>
      <c r="M1964" s="35"/>
      <c r="N1964" s="51"/>
      <c r="O1964" s="82"/>
      <c r="P1964" s="51"/>
      <c r="Q1964" s="338"/>
      <c r="R1964" s="51"/>
      <c r="S1964" s="51"/>
      <c r="T1964" s="338"/>
      <c r="U1964" s="51"/>
      <c r="V1964" s="35"/>
      <c r="W1964" s="364">
        <f t="shared" si="437"/>
        <v>517932.61</v>
      </c>
      <c r="X1964" s="285">
        <f>103495.62+121755.54+101872.32</f>
        <v>327123.48</v>
      </c>
      <c r="Y1964" s="9">
        <v>190809.13</v>
      </c>
      <c r="Z1964" s="306"/>
      <c r="AA1964" s="9"/>
      <c r="AB1964" s="302"/>
      <c r="AC1964" s="302"/>
      <c r="AD1964" s="302"/>
    </row>
    <row r="1965" spans="1:30" x14ac:dyDescent="0.3">
      <c r="A1965" s="47">
        <f>A1964+1</f>
        <v>1791</v>
      </c>
      <c r="B1965" s="414" t="s">
        <v>2620</v>
      </c>
      <c r="C1965" s="51">
        <f t="shared" si="435"/>
        <v>540518.56000000006</v>
      </c>
      <c r="D1965" s="51">
        <f t="shared" si="436"/>
        <v>0</v>
      </c>
      <c r="E1965" s="51"/>
      <c r="F1965" s="51"/>
      <c r="G1965" s="51"/>
      <c r="H1965" s="51"/>
      <c r="I1965" s="51"/>
      <c r="J1965" s="51"/>
      <c r="K1965" s="51"/>
      <c r="L1965" s="51"/>
      <c r="M1965" s="35"/>
      <c r="N1965" s="51"/>
      <c r="O1965" s="82"/>
      <c r="P1965" s="51"/>
      <c r="Q1965" s="338"/>
      <c r="R1965" s="51"/>
      <c r="S1965" s="51"/>
      <c r="T1965" s="338"/>
      <c r="U1965" s="51"/>
      <c r="V1965" s="35"/>
      <c r="W1965" s="364">
        <f t="shared" si="437"/>
        <v>540518.56000000006</v>
      </c>
      <c r="X1965" s="285">
        <f>108508.02+106657.58+126796.21</f>
        <v>341961.81</v>
      </c>
      <c r="Y1965" s="9">
        <v>198556.75</v>
      </c>
      <c r="Z1965" s="306"/>
      <c r="AA1965" s="9"/>
      <c r="AB1965" s="302"/>
      <c r="AC1965" s="302"/>
      <c r="AD1965" s="302"/>
    </row>
    <row r="1966" spans="1:30" x14ac:dyDescent="0.3">
      <c r="A1966" s="439" t="s">
        <v>211</v>
      </c>
      <c r="B1966" s="399"/>
      <c r="C1966" s="51">
        <f t="shared" ref="C1966:W1966" si="438">SUM(C1960:C1965)</f>
        <v>2909304.75</v>
      </c>
      <c r="D1966" s="51">
        <f t="shared" si="438"/>
        <v>0</v>
      </c>
      <c r="E1966" s="51">
        <f t="shared" si="438"/>
        <v>0</v>
      </c>
      <c r="F1966" s="51">
        <f t="shared" si="438"/>
        <v>0</v>
      </c>
      <c r="G1966" s="51">
        <f t="shared" si="438"/>
        <v>0</v>
      </c>
      <c r="H1966" s="51">
        <f t="shared" si="438"/>
        <v>0</v>
      </c>
      <c r="I1966" s="51">
        <f t="shared" si="438"/>
        <v>0</v>
      </c>
      <c r="J1966" s="51">
        <f t="shared" si="438"/>
        <v>0</v>
      </c>
      <c r="K1966" s="51">
        <f t="shared" si="438"/>
        <v>0</v>
      </c>
      <c r="L1966" s="51">
        <f t="shared" si="438"/>
        <v>0</v>
      </c>
      <c r="M1966" s="35">
        <f t="shared" si="438"/>
        <v>0</v>
      </c>
      <c r="N1966" s="51">
        <f t="shared" si="438"/>
        <v>0</v>
      </c>
      <c r="O1966" s="82">
        <f t="shared" si="438"/>
        <v>0</v>
      </c>
      <c r="P1966" s="51">
        <f t="shared" si="438"/>
        <v>0</v>
      </c>
      <c r="Q1966" s="338">
        <f t="shared" si="438"/>
        <v>0</v>
      </c>
      <c r="R1966" s="51">
        <f t="shared" si="438"/>
        <v>0</v>
      </c>
      <c r="S1966" s="51">
        <f t="shared" si="438"/>
        <v>0</v>
      </c>
      <c r="T1966" s="338">
        <f t="shared" si="438"/>
        <v>0</v>
      </c>
      <c r="U1966" s="51">
        <f t="shared" si="438"/>
        <v>0</v>
      </c>
      <c r="V1966" s="35">
        <f t="shared" si="438"/>
        <v>0</v>
      </c>
      <c r="W1966" s="51">
        <f t="shared" si="438"/>
        <v>2909304.75</v>
      </c>
      <c r="X1966" s="285"/>
      <c r="Y1966" s="9"/>
      <c r="Z1966" s="306"/>
      <c r="AA1966" s="9"/>
      <c r="AB1966" s="302"/>
      <c r="AC1966" s="302"/>
      <c r="AD1966" s="302"/>
    </row>
    <row r="1967" spans="1:30" x14ac:dyDescent="0.3">
      <c r="A1967" s="435" t="s">
        <v>2626</v>
      </c>
      <c r="B1967" s="363"/>
      <c r="C1967" s="51"/>
      <c r="D1967" s="51"/>
      <c r="E1967" s="51"/>
      <c r="F1967" s="51"/>
      <c r="G1967" s="51"/>
      <c r="H1967" s="51"/>
      <c r="I1967" s="51"/>
      <c r="J1967" s="51"/>
      <c r="K1967" s="51"/>
      <c r="L1967" s="51"/>
      <c r="M1967" s="35"/>
      <c r="N1967" s="51"/>
      <c r="O1967" s="82"/>
      <c r="P1967" s="51"/>
      <c r="Q1967" s="338"/>
      <c r="R1967" s="51"/>
      <c r="S1967" s="51"/>
      <c r="T1967" s="338"/>
      <c r="U1967" s="51"/>
      <c r="V1967" s="35"/>
      <c r="W1967" s="364"/>
      <c r="X1967" s="285"/>
      <c r="Y1967" s="9"/>
      <c r="Z1967" s="306"/>
      <c r="AA1967" s="9"/>
      <c r="AB1967" s="302"/>
      <c r="AC1967" s="302"/>
      <c r="AD1967" s="302"/>
    </row>
    <row r="1968" spans="1:30" x14ac:dyDescent="0.3">
      <c r="A1968" s="47">
        <f>A1965+1</f>
        <v>1792</v>
      </c>
      <c r="B1968" s="414" t="s">
        <v>2627</v>
      </c>
      <c r="C1968" s="51">
        <f t="shared" ref="C1968:C1983" si="439">D1968+K1968+L1968+N1968+P1968+R1968+S1968+U1968+V1968+W1968</f>
        <v>130000</v>
      </c>
      <c r="D1968" s="51">
        <f t="shared" ref="D1968:D1983" si="440">E1968+F1968+G1968+H1968+I1968</f>
        <v>0</v>
      </c>
      <c r="E1968" s="51"/>
      <c r="F1968" s="51"/>
      <c r="G1968" s="51"/>
      <c r="H1968" s="51"/>
      <c r="I1968" s="51"/>
      <c r="J1968" s="51"/>
      <c r="K1968" s="51"/>
      <c r="L1968" s="51"/>
      <c r="M1968" s="35"/>
      <c r="N1968" s="51"/>
      <c r="O1968" s="82"/>
      <c r="P1968" s="51"/>
      <c r="Q1968" s="338"/>
      <c r="R1968" s="51"/>
      <c r="S1968" s="51"/>
      <c r="T1968" s="338"/>
      <c r="U1968" s="51"/>
      <c r="V1968" s="35"/>
      <c r="W1968" s="364">
        <v>130000</v>
      </c>
      <c r="X1968" s="285"/>
      <c r="Y1968" s="9"/>
      <c r="Z1968" s="306"/>
      <c r="AA1968" s="9"/>
      <c r="AB1968" s="302"/>
      <c r="AC1968" s="302"/>
      <c r="AD1968" s="302"/>
    </row>
    <row r="1969" spans="1:30" x14ac:dyDescent="0.3">
      <c r="A1969" s="47">
        <f>A1968+1</f>
        <v>1793</v>
      </c>
      <c r="B1969" s="414" t="s">
        <v>2628</v>
      </c>
      <c r="C1969" s="51">
        <f t="shared" si="439"/>
        <v>130000</v>
      </c>
      <c r="D1969" s="51">
        <f t="shared" si="440"/>
        <v>0</v>
      </c>
      <c r="E1969" s="51"/>
      <c r="F1969" s="51"/>
      <c r="G1969" s="51"/>
      <c r="H1969" s="51"/>
      <c r="I1969" s="51"/>
      <c r="J1969" s="51"/>
      <c r="K1969" s="51"/>
      <c r="L1969" s="51"/>
      <c r="M1969" s="35"/>
      <c r="N1969" s="51"/>
      <c r="O1969" s="82"/>
      <c r="P1969" s="51"/>
      <c r="Q1969" s="338"/>
      <c r="R1969" s="51"/>
      <c r="S1969" s="51"/>
      <c r="T1969" s="338"/>
      <c r="U1969" s="51"/>
      <c r="V1969" s="35"/>
      <c r="W1969" s="364">
        <v>130000</v>
      </c>
      <c r="X1969" s="285"/>
      <c r="Y1969" s="9"/>
      <c r="Z1969" s="306"/>
      <c r="AA1969" s="9"/>
      <c r="AB1969" s="302"/>
      <c r="AC1969" s="302"/>
      <c r="AD1969" s="302"/>
    </row>
    <row r="1970" spans="1:30" x14ac:dyDescent="0.3">
      <c r="A1970" s="47">
        <f>A1969+1</f>
        <v>1794</v>
      </c>
      <c r="B1970" s="414" t="s">
        <v>2629</v>
      </c>
      <c r="C1970" s="51">
        <f t="shared" si="439"/>
        <v>130000</v>
      </c>
      <c r="D1970" s="51">
        <f t="shared" si="440"/>
        <v>0</v>
      </c>
      <c r="E1970" s="51"/>
      <c r="F1970" s="51"/>
      <c r="G1970" s="51"/>
      <c r="H1970" s="51"/>
      <c r="I1970" s="51"/>
      <c r="J1970" s="51"/>
      <c r="K1970" s="51"/>
      <c r="L1970" s="51"/>
      <c r="M1970" s="35"/>
      <c r="N1970" s="51"/>
      <c r="O1970" s="82"/>
      <c r="P1970" s="51"/>
      <c r="Q1970" s="338"/>
      <c r="R1970" s="51"/>
      <c r="S1970" s="51"/>
      <c r="T1970" s="338"/>
      <c r="U1970" s="51"/>
      <c r="V1970" s="35"/>
      <c r="W1970" s="364">
        <v>130000</v>
      </c>
      <c r="X1970" s="285"/>
      <c r="Y1970" s="9"/>
      <c r="Z1970" s="306"/>
      <c r="AA1970" s="9"/>
      <c r="AB1970" s="302"/>
      <c r="AC1970" s="302"/>
      <c r="AD1970" s="302"/>
    </row>
    <row r="1971" spans="1:30" x14ac:dyDescent="0.3">
      <c r="A1971" s="47">
        <f>A1970+1</f>
        <v>1795</v>
      </c>
      <c r="B1971" s="414" t="s">
        <v>2630</v>
      </c>
      <c r="C1971" s="51">
        <f t="shared" si="439"/>
        <v>130000</v>
      </c>
      <c r="D1971" s="51">
        <f t="shared" si="440"/>
        <v>0</v>
      </c>
      <c r="E1971" s="51"/>
      <c r="F1971" s="51"/>
      <c r="G1971" s="51"/>
      <c r="H1971" s="51"/>
      <c r="I1971" s="51"/>
      <c r="J1971" s="51"/>
      <c r="K1971" s="51"/>
      <c r="L1971" s="51"/>
      <c r="M1971" s="35"/>
      <c r="N1971" s="51"/>
      <c r="O1971" s="82"/>
      <c r="P1971" s="51"/>
      <c r="Q1971" s="338"/>
      <c r="R1971" s="51"/>
      <c r="S1971" s="51"/>
      <c r="T1971" s="338"/>
      <c r="U1971" s="51"/>
      <c r="V1971" s="35"/>
      <c r="W1971" s="364">
        <v>130000</v>
      </c>
      <c r="X1971" s="285"/>
      <c r="Y1971" s="9"/>
      <c r="Z1971" s="306"/>
      <c r="AA1971" s="9"/>
      <c r="AB1971" s="302"/>
      <c r="AC1971" s="302"/>
      <c r="AD1971" s="302"/>
    </row>
    <row r="1972" spans="1:30" x14ac:dyDescent="0.3">
      <c r="A1972" s="47">
        <f t="shared" ref="A1972:A1983" si="441">A1971+1</f>
        <v>1796</v>
      </c>
      <c r="B1972" s="414" t="s">
        <v>2631</v>
      </c>
      <c r="C1972" s="51">
        <f t="shared" si="439"/>
        <v>130000</v>
      </c>
      <c r="D1972" s="51">
        <f t="shared" si="440"/>
        <v>0</v>
      </c>
      <c r="E1972" s="51"/>
      <c r="F1972" s="51"/>
      <c r="G1972" s="51"/>
      <c r="H1972" s="51"/>
      <c r="I1972" s="51"/>
      <c r="J1972" s="51"/>
      <c r="K1972" s="51"/>
      <c r="L1972" s="51"/>
      <c r="M1972" s="35"/>
      <c r="N1972" s="51"/>
      <c r="O1972" s="82"/>
      <c r="P1972" s="51"/>
      <c r="Q1972" s="338"/>
      <c r="R1972" s="51"/>
      <c r="S1972" s="51"/>
      <c r="T1972" s="338"/>
      <c r="U1972" s="51"/>
      <c r="V1972" s="35"/>
      <c r="W1972" s="364">
        <v>130000</v>
      </c>
      <c r="X1972" s="285"/>
      <c r="Y1972" s="9"/>
      <c r="Z1972" s="306"/>
      <c r="AA1972" s="9"/>
      <c r="AB1972" s="302"/>
      <c r="AC1972" s="302"/>
      <c r="AD1972" s="302"/>
    </row>
    <row r="1973" spans="1:30" x14ac:dyDescent="0.3">
      <c r="A1973" s="47">
        <f t="shared" si="441"/>
        <v>1797</v>
      </c>
      <c r="B1973" s="414" t="s">
        <v>2632</v>
      </c>
      <c r="C1973" s="51">
        <f t="shared" si="439"/>
        <v>130000</v>
      </c>
      <c r="D1973" s="51">
        <f t="shared" si="440"/>
        <v>0</v>
      </c>
      <c r="E1973" s="51"/>
      <c r="F1973" s="51"/>
      <c r="G1973" s="51"/>
      <c r="H1973" s="51"/>
      <c r="I1973" s="51"/>
      <c r="J1973" s="51"/>
      <c r="K1973" s="51"/>
      <c r="L1973" s="51"/>
      <c r="M1973" s="35"/>
      <c r="N1973" s="51"/>
      <c r="O1973" s="82"/>
      <c r="P1973" s="51"/>
      <c r="Q1973" s="338"/>
      <c r="R1973" s="51"/>
      <c r="S1973" s="51"/>
      <c r="T1973" s="338"/>
      <c r="U1973" s="51"/>
      <c r="V1973" s="35"/>
      <c r="W1973" s="364">
        <v>130000</v>
      </c>
      <c r="X1973" s="285"/>
      <c r="Y1973" s="9"/>
      <c r="Z1973" s="306"/>
      <c r="AA1973" s="9"/>
      <c r="AB1973" s="302"/>
      <c r="AC1973" s="302"/>
      <c r="AD1973" s="302"/>
    </row>
    <row r="1974" spans="1:30" x14ac:dyDescent="0.3">
      <c r="A1974" s="47">
        <f t="shared" si="441"/>
        <v>1798</v>
      </c>
      <c r="B1974" s="414" t="s">
        <v>2633</v>
      </c>
      <c r="C1974" s="51">
        <f t="shared" si="439"/>
        <v>130000</v>
      </c>
      <c r="D1974" s="51">
        <f t="shared" si="440"/>
        <v>0</v>
      </c>
      <c r="E1974" s="51"/>
      <c r="F1974" s="51"/>
      <c r="G1974" s="51"/>
      <c r="H1974" s="51"/>
      <c r="I1974" s="51"/>
      <c r="J1974" s="51"/>
      <c r="K1974" s="51"/>
      <c r="L1974" s="51"/>
      <c r="M1974" s="35"/>
      <c r="N1974" s="51"/>
      <c r="O1974" s="82"/>
      <c r="P1974" s="51"/>
      <c r="Q1974" s="338"/>
      <c r="R1974" s="51"/>
      <c r="S1974" s="51"/>
      <c r="T1974" s="338"/>
      <c r="U1974" s="51"/>
      <c r="V1974" s="35"/>
      <c r="W1974" s="364">
        <v>130000</v>
      </c>
      <c r="X1974" s="285"/>
      <c r="Y1974" s="9"/>
      <c r="Z1974" s="306"/>
      <c r="AA1974" s="9"/>
      <c r="AB1974" s="302"/>
      <c r="AC1974" s="302"/>
      <c r="AD1974" s="302"/>
    </row>
    <row r="1975" spans="1:30" x14ac:dyDescent="0.3">
      <c r="A1975" s="47">
        <f t="shared" si="441"/>
        <v>1799</v>
      </c>
      <c r="B1975" s="414" t="s">
        <v>2634</v>
      </c>
      <c r="C1975" s="51">
        <f t="shared" si="439"/>
        <v>130000</v>
      </c>
      <c r="D1975" s="51">
        <f t="shared" si="440"/>
        <v>0</v>
      </c>
      <c r="E1975" s="51"/>
      <c r="F1975" s="51"/>
      <c r="G1975" s="51"/>
      <c r="H1975" s="51"/>
      <c r="I1975" s="51"/>
      <c r="J1975" s="51"/>
      <c r="K1975" s="51"/>
      <c r="L1975" s="51"/>
      <c r="M1975" s="35"/>
      <c r="N1975" s="51"/>
      <c r="O1975" s="82"/>
      <c r="P1975" s="51"/>
      <c r="Q1975" s="338"/>
      <c r="R1975" s="51"/>
      <c r="S1975" s="51"/>
      <c r="T1975" s="338"/>
      <c r="U1975" s="51"/>
      <c r="V1975" s="35"/>
      <c r="W1975" s="364">
        <v>130000</v>
      </c>
      <c r="X1975" s="285"/>
      <c r="Y1975" s="9"/>
      <c r="Z1975" s="306"/>
      <c r="AA1975" s="9"/>
      <c r="AB1975" s="302"/>
      <c r="AC1975" s="302"/>
      <c r="AD1975" s="302"/>
    </row>
    <row r="1976" spans="1:30" x14ac:dyDescent="0.3">
      <c r="A1976" s="47">
        <f t="shared" si="441"/>
        <v>1800</v>
      </c>
      <c r="B1976" s="414" t="s">
        <v>2635</v>
      </c>
      <c r="C1976" s="51">
        <f t="shared" si="439"/>
        <v>130000</v>
      </c>
      <c r="D1976" s="51">
        <f t="shared" si="440"/>
        <v>0</v>
      </c>
      <c r="E1976" s="51"/>
      <c r="F1976" s="51"/>
      <c r="G1976" s="51"/>
      <c r="H1976" s="51"/>
      <c r="I1976" s="51"/>
      <c r="J1976" s="51"/>
      <c r="K1976" s="51"/>
      <c r="L1976" s="51"/>
      <c r="M1976" s="35"/>
      <c r="N1976" s="51"/>
      <c r="O1976" s="82"/>
      <c r="P1976" s="51"/>
      <c r="Q1976" s="338"/>
      <c r="R1976" s="51"/>
      <c r="S1976" s="51"/>
      <c r="T1976" s="338"/>
      <c r="U1976" s="51"/>
      <c r="V1976" s="35"/>
      <c r="W1976" s="364">
        <v>130000</v>
      </c>
      <c r="X1976" s="285"/>
      <c r="Y1976" s="9"/>
      <c r="Z1976" s="306"/>
      <c r="AA1976" s="9"/>
      <c r="AB1976" s="302"/>
      <c r="AC1976" s="302"/>
      <c r="AD1976" s="302"/>
    </row>
    <row r="1977" spans="1:30" x14ac:dyDescent="0.3">
      <c r="A1977" s="47">
        <f t="shared" si="441"/>
        <v>1801</v>
      </c>
      <c r="B1977" s="414" t="s">
        <v>2636</v>
      </c>
      <c r="C1977" s="51">
        <f t="shared" si="439"/>
        <v>130000</v>
      </c>
      <c r="D1977" s="51">
        <f t="shared" si="440"/>
        <v>0</v>
      </c>
      <c r="E1977" s="51"/>
      <c r="F1977" s="51"/>
      <c r="G1977" s="51"/>
      <c r="H1977" s="51"/>
      <c r="I1977" s="51"/>
      <c r="J1977" s="51"/>
      <c r="K1977" s="51"/>
      <c r="L1977" s="51"/>
      <c r="M1977" s="35"/>
      <c r="N1977" s="51"/>
      <c r="O1977" s="82"/>
      <c r="P1977" s="51"/>
      <c r="Q1977" s="338"/>
      <c r="R1977" s="51"/>
      <c r="S1977" s="51"/>
      <c r="T1977" s="338"/>
      <c r="U1977" s="51"/>
      <c r="V1977" s="35"/>
      <c r="W1977" s="364">
        <v>130000</v>
      </c>
      <c r="X1977" s="285"/>
      <c r="Y1977" s="9"/>
      <c r="Z1977" s="306"/>
      <c r="AA1977" s="9"/>
      <c r="AB1977" s="302"/>
      <c r="AC1977" s="302"/>
      <c r="AD1977" s="302"/>
    </row>
    <row r="1978" spans="1:30" x14ac:dyDescent="0.3">
      <c r="A1978" s="47">
        <f t="shared" si="441"/>
        <v>1802</v>
      </c>
      <c r="B1978" s="414" t="s">
        <v>2637</v>
      </c>
      <c r="C1978" s="51">
        <f t="shared" si="439"/>
        <v>130000</v>
      </c>
      <c r="D1978" s="51">
        <f t="shared" si="440"/>
        <v>0</v>
      </c>
      <c r="E1978" s="51"/>
      <c r="F1978" s="51"/>
      <c r="G1978" s="51"/>
      <c r="H1978" s="51"/>
      <c r="I1978" s="51"/>
      <c r="J1978" s="51"/>
      <c r="K1978" s="51"/>
      <c r="L1978" s="51"/>
      <c r="M1978" s="35"/>
      <c r="N1978" s="51"/>
      <c r="O1978" s="82"/>
      <c r="P1978" s="51"/>
      <c r="Q1978" s="338"/>
      <c r="R1978" s="51"/>
      <c r="S1978" s="51"/>
      <c r="T1978" s="338"/>
      <c r="U1978" s="51"/>
      <c r="V1978" s="35"/>
      <c r="W1978" s="364">
        <v>130000</v>
      </c>
      <c r="X1978" s="285"/>
      <c r="Y1978" s="9"/>
      <c r="Z1978" s="306"/>
      <c r="AA1978" s="9"/>
      <c r="AB1978" s="302"/>
      <c r="AC1978" s="302"/>
      <c r="AD1978" s="302"/>
    </row>
    <row r="1979" spans="1:30" x14ac:dyDescent="0.3">
      <c r="A1979" s="47">
        <f t="shared" si="441"/>
        <v>1803</v>
      </c>
      <c r="B1979" s="414" t="s">
        <v>2638</v>
      </c>
      <c r="C1979" s="51">
        <f t="shared" si="439"/>
        <v>7398445.0599999996</v>
      </c>
      <c r="D1979" s="51">
        <f t="shared" si="440"/>
        <v>0</v>
      </c>
      <c r="E1979" s="51"/>
      <c r="F1979" s="51"/>
      <c r="G1979" s="51"/>
      <c r="H1979" s="51"/>
      <c r="I1979" s="51"/>
      <c r="J1979" s="51"/>
      <c r="K1979" s="51"/>
      <c r="L1979" s="51"/>
      <c r="M1979" s="35"/>
      <c r="N1979" s="51"/>
      <c r="O1979" s="82"/>
      <c r="P1979" s="51"/>
      <c r="Q1979" s="338"/>
      <c r="R1979" s="51"/>
      <c r="S1979" s="51"/>
      <c r="T1979" s="338">
        <v>681.5</v>
      </c>
      <c r="U1979" s="51">
        <v>7268445.0599999996</v>
      </c>
      <c r="V1979" s="35"/>
      <c r="W1979" s="364">
        <v>130000</v>
      </c>
      <c r="X1979" s="285"/>
      <c r="Y1979" s="9"/>
      <c r="Z1979" s="306"/>
      <c r="AA1979" s="9"/>
      <c r="AB1979" s="302"/>
      <c r="AC1979" s="302"/>
      <c r="AD1979" s="302"/>
    </row>
    <row r="1980" spans="1:30" x14ac:dyDescent="0.3">
      <c r="A1980" s="47">
        <f t="shared" si="441"/>
        <v>1804</v>
      </c>
      <c r="B1980" s="414" t="s">
        <v>2639</v>
      </c>
      <c r="C1980" s="51">
        <f t="shared" si="439"/>
        <v>130000</v>
      </c>
      <c r="D1980" s="51">
        <f t="shared" si="440"/>
        <v>0</v>
      </c>
      <c r="E1980" s="51"/>
      <c r="F1980" s="51"/>
      <c r="G1980" s="51"/>
      <c r="H1980" s="51"/>
      <c r="I1980" s="51"/>
      <c r="J1980" s="51"/>
      <c r="K1980" s="51"/>
      <c r="L1980" s="51"/>
      <c r="M1980" s="35"/>
      <c r="N1980" s="51"/>
      <c r="O1980" s="82"/>
      <c r="P1980" s="51"/>
      <c r="Q1980" s="338"/>
      <c r="R1980" s="51"/>
      <c r="S1980" s="51"/>
      <c r="T1980" s="338"/>
      <c r="U1980" s="51"/>
      <c r="V1980" s="35"/>
      <c r="W1980" s="364">
        <v>130000</v>
      </c>
      <c r="X1980" s="285"/>
      <c r="Y1980" s="9"/>
      <c r="Z1980" s="306"/>
      <c r="AA1980" s="9"/>
      <c r="AB1980" s="302"/>
      <c r="AC1980" s="302"/>
      <c r="AD1980" s="302"/>
    </row>
    <row r="1981" spans="1:30" x14ac:dyDescent="0.3">
      <c r="A1981" s="47">
        <f t="shared" si="441"/>
        <v>1805</v>
      </c>
      <c r="B1981" s="414" t="s">
        <v>2640</v>
      </c>
      <c r="C1981" s="51">
        <f t="shared" si="439"/>
        <v>130000</v>
      </c>
      <c r="D1981" s="51">
        <f t="shared" si="440"/>
        <v>0</v>
      </c>
      <c r="E1981" s="51"/>
      <c r="F1981" s="51"/>
      <c r="G1981" s="51"/>
      <c r="H1981" s="51"/>
      <c r="I1981" s="51"/>
      <c r="J1981" s="51"/>
      <c r="K1981" s="51"/>
      <c r="L1981" s="51"/>
      <c r="M1981" s="35"/>
      <c r="N1981" s="51"/>
      <c r="O1981" s="82"/>
      <c r="P1981" s="51"/>
      <c r="Q1981" s="338"/>
      <c r="R1981" s="51"/>
      <c r="S1981" s="51"/>
      <c r="T1981" s="338"/>
      <c r="U1981" s="51"/>
      <c r="V1981" s="35"/>
      <c r="W1981" s="364">
        <v>130000</v>
      </c>
      <c r="X1981" s="285"/>
      <c r="Y1981" s="9"/>
      <c r="Z1981" s="306"/>
      <c r="AA1981" s="9"/>
      <c r="AB1981" s="302"/>
      <c r="AC1981" s="302"/>
      <c r="AD1981" s="302"/>
    </row>
    <row r="1982" spans="1:30" x14ac:dyDescent="0.3">
      <c r="A1982" s="47">
        <f t="shared" si="441"/>
        <v>1806</v>
      </c>
      <c r="B1982" s="414" t="s">
        <v>2641</v>
      </c>
      <c r="C1982" s="51">
        <f t="shared" si="439"/>
        <v>130000</v>
      </c>
      <c r="D1982" s="51">
        <f t="shared" si="440"/>
        <v>0</v>
      </c>
      <c r="E1982" s="51"/>
      <c r="F1982" s="51"/>
      <c r="G1982" s="51"/>
      <c r="H1982" s="51"/>
      <c r="I1982" s="51"/>
      <c r="J1982" s="51"/>
      <c r="K1982" s="51"/>
      <c r="L1982" s="51"/>
      <c r="M1982" s="35"/>
      <c r="N1982" s="51"/>
      <c r="O1982" s="82"/>
      <c r="P1982" s="51"/>
      <c r="Q1982" s="338"/>
      <c r="R1982" s="51"/>
      <c r="S1982" s="51"/>
      <c r="T1982" s="338"/>
      <c r="U1982" s="51"/>
      <c r="V1982" s="35"/>
      <c r="W1982" s="364">
        <v>130000</v>
      </c>
      <c r="X1982" s="285"/>
      <c r="Y1982" s="9"/>
      <c r="Z1982" s="306"/>
      <c r="AA1982" s="9"/>
      <c r="AB1982" s="302"/>
      <c r="AC1982" s="302"/>
      <c r="AD1982" s="302"/>
    </row>
    <row r="1983" spans="1:30" x14ac:dyDescent="0.3">
      <c r="A1983" s="47">
        <f t="shared" si="441"/>
        <v>1807</v>
      </c>
      <c r="B1983" s="414" t="s">
        <v>2642</v>
      </c>
      <c r="C1983" s="51">
        <f t="shared" si="439"/>
        <v>130000</v>
      </c>
      <c r="D1983" s="51">
        <f t="shared" si="440"/>
        <v>0</v>
      </c>
      <c r="E1983" s="51"/>
      <c r="F1983" s="51"/>
      <c r="G1983" s="51"/>
      <c r="H1983" s="51"/>
      <c r="I1983" s="51"/>
      <c r="J1983" s="51"/>
      <c r="K1983" s="51"/>
      <c r="L1983" s="51"/>
      <c r="M1983" s="35"/>
      <c r="N1983" s="51"/>
      <c r="O1983" s="82"/>
      <c r="P1983" s="51"/>
      <c r="Q1983" s="338"/>
      <c r="R1983" s="51"/>
      <c r="S1983" s="51"/>
      <c r="T1983" s="338"/>
      <c r="U1983" s="51"/>
      <c r="V1983" s="35"/>
      <c r="W1983" s="364">
        <v>130000</v>
      </c>
      <c r="X1983" s="285"/>
      <c r="Y1983" s="9"/>
      <c r="Z1983" s="306"/>
      <c r="AA1983" s="9"/>
      <c r="AB1983" s="302"/>
      <c r="AC1983" s="302"/>
      <c r="AD1983" s="302"/>
    </row>
    <row r="1984" spans="1:30" x14ac:dyDescent="0.3">
      <c r="A1984" s="439" t="s">
        <v>211</v>
      </c>
      <c r="B1984" s="399"/>
      <c r="C1984" s="51">
        <f t="shared" ref="C1984:W1984" si="442">SUM(C1968:C1983)</f>
        <v>9348445.0599999987</v>
      </c>
      <c r="D1984" s="51">
        <f t="shared" si="442"/>
        <v>0</v>
      </c>
      <c r="E1984" s="51">
        <f t="shared" si="442"/>
        <v>0</v>
      </c>
      <c r="F1984" s="51">
        <f t="shared" si="442"/>
        <v>0</v>
      </c>
      <c r="G1984" s="51">
        <f t="shared" si="442"/>
        <v>0</v>
      </c>
      <c r="H1984" s="51">
        <f t="shared" si="442"/>
        <v>0</v>
      </c>
      <c r="I1984" s="51">
        <f t="shared" si="442"/>
        <v>0</v>
      </c>
      <c r="J1984" s="51">
        <f t="shared" si="442"/>
        <v>0</v>
      </c>
      <c r="K1984" s="51">
        <f t="shared" si="442"/>
        <v>0</v>
      </c>
      <c r="L1984" s="51">
        <f t="shared" si="442"/>
        <v>0</v>
      </c>
      <c r="M1984" s="35">
        <f t="shared" si="442"/>
        <v>0</v>
      </c>
      <c r="N1984" s="51">
        <f t="shared" si="442"/>
        <v>0</v>
      </c>
      <c r="O1984" s="82">
        <f t="shared" si="442"/>
        <v>0</v>
      </c>
      <c r="P1984" s="51">
        <f t="shared" si="442"/>
        <v>0</v>
      </c>
      <c r="Q1984" s="338">
        <f t="shared" si="442"/>
        <v>0</v>
      </c>
      <c r="R1984" s="51">
        <f t="shared" si="442"/>
        <v>0</v>
      </c>
      <c r="S1984" s="51">
        <f t="shared" si="442"/>
        <v>0</v>
      </c>
      <c r="T1984" s="338">
        <f t="shared" si="442"/>
        <v>681.5</v>
      </c>
      <c r="U1984" s="51">
        <f t="shared" si="442"/>
        <v>7268445.0599999996</v>
      </c>
      <c r="V1984" s="35">
        <f t="shared" si="442"/>
        <v>0</v>
      </c>
      <c r="W1984" s="51">
        <f t="shared" si="442"/>
        <v>2080000</v>
      </c>
      <c r="X1984" s="285"/>
      <c r="Y1984" s="9"/>
      <c r="Z1984" s="306"/>
      <c r="AA1984" s="9"/>
      <c r="AB1984" s="302"/>
      <c r="AC1984" s="302"/>
      <c r="AD1984" s="302"/>
    </row>
    <row r="1985" spans="1:30" x14ac:dyDescent="0.3">
      <c r="A1985" s="435" t="s">
        <v>2643</v>
      </c>
      <c r="B1985" s="363"/>
      <c r="C1985" s="51"/>
      <c r="D1985" s="51"/>
      <c r="E1985" s="51"/>
      <c r="F1985" s="51"/>
      <c r="G1985" s="51"/>
      <c r="H1985" s="51"/>
      <c r="I1985" s="51"/>
      <c r="J1985" s="51"/>
      <c r="K1985" s="51"/>
      <c r="L1985" s="51"/>
      <c r="M1985" s="35"/>
      <c r="N1985" s="51"/>
      <c r="O1985" s="82"/>
      <c r="P1985" s="51"/>
      <c r="Q1985" s="338"/>
      <c r="R1985" s="51"/>
      <c r="S1985" s="51"/>
      <c r="T1985" s="338"/>
      <c r="U1985" s="51"/>
      <c r="V1985" s="35"/>
      <c r="W1985" s="364"/>
      <c r="X1985" s="285"/>
      <c r="Y1985" s="9"/>
      <c r="Z1985" s="306"/>
      <c r="AA1985" s="9"/>
      <c r="AB1985" s="302"/>
      <c r="AC1985" s="302"/>
      <c r="AD1985" s="302"/>
    </row>
    <row r="1986" spans="1:30" x14ac:dyDescent="0.3">
      <c r="A1986" s="47">
        <f>A1983+1</f>
        <v>1808</v>
      </c>
      <c r="B1986" s="414" t="s">
        <v>2645</v>
      </c>
      <c r="C1986" s="51">
        <f>D1986+K1986+L1986+N1986+P1986+R1986+S1986+U1986+V1986+W1986</f>
        <v>736478.34000000008</v>
      </c>
      <c r="D1986" s="51">
        <f>E1986+F1986+G1986+H1986+I1986</f>
        <v>0</v>
      </c>
      <c r="E1986" s="51"/>
      <c r="F1986" s="51"/>
      <c r="G1986" s="51"/>
      <c r="H1986" s="51"/>
      <c r="I1986" s="51"/>
      <c r="J1986" s="51"/>
      <c r="K1986" s="51"/>
      <c r="L1986" s="51"/>
      <c r="M1986" s="35"/>
      <c r="N1986" s="51"/>
      <c r="O1986" s="82"/>
      <c r="P1986" s="51"/>
      <c r="Q1986" s="338"/>
      <c r="R1986" s="51"/>
      <c r="S1986" s="51"/>
      <c r="T1986" s="338"/>
      <c r="U1986" s="51"/>
      <c r="V1986" s="35"/>
      <c r="W1986" s="364">
        <f>SUM(X1986:AD1986)</f>
        <v>736478.34000000008</v>
      </c>
      <c r="X1986" s="285">
        <f>89139.88+93100.81+106968.2</f>
        <v>289208.89</v>
      </c>
      <c r="Y1986" s="9">
        <v>167445.18</v>
      </c>
      <c r="Z1986" s="306"/>
      <c r="AA1986" s="9">
        <v>279824.27</v>
      </c>
      <c r="AB1986" s="302"/>
      <c r="AC1986" s="302"/>
      <c r="AD1986" s="302"/>
    </row>
    <row r="1987" spans="1:30" x14ac:dyDescent="0.3">
      <c r="A1987" s="439" t="s">
        <v>211</v>
      </c>
      <c r="B1987" s="399"/>
      <c r="C1987" s="51">
        <f t="shared" ref="C1987:W1987" si="443">SUM(C1986:C1986)</f>
        <v>736478.34000000008</v>
      </c>
      <c r="D1987" s="51">
        <f t="shared" si="443"/>
        <v>0</v>
      </c>
      <c r="E1987" s="51">
        <f t="shared" si="443"/>
        <v>0</v>
      </c>
      <c r="F1987" s="51">
        <f t="shared" si="443"/>
        <v>0</v>
      </c>
      <c r="G1987" s="51">
        <f t="shared" si="443"/>
        <v>0</v>
      </c>
      <c r="H1987" s="51">
        <f t="shared" si="443"/>
        <v>0</v>
      </c>
      <c r="I1987" s="51">
        <f t="shared" si="443"/>
        <v>0</v>
      </c>
      <c r="J1987" s="51">
        <f t="shared" si="443"/>
        <v>0</v>
      </c>
      <c r="K1987" s="51">
        <f t="shared" si="443"/>
        <v>0</v>
      </c>
      <c r="L1987" s="51">
        <f t="shared" si="443"/>
        <v>0</v>
      </c>
      <c r="M1987" s="35">
        <f t="shared" si="443"/>
        <v>0</v>
      </c>
      <c r="N1987" s="51">
        <f t="shared" si="443"/>
        <v>0</v>
      </c>
      <c r="O1987" s="82">
        <f t="shared" si="443"/>
        <v>0</v>
      </c>
      <c r="P1987" s="51">
        <f t="shared" si="443"/>
        <v>0</v>
      </c>
      <c r="Q1987" s="338">
        <f t="shared" si="443"/>
        <v>0</v>
      </c>
      <c r="R1987" s="51">
        <f t="shared" si="443"/>
        <v>0</v>
      </c>
      <c r="S1987" s="51">
        <f t="shared" si="443"/>
        <v>0</v>
      </c>
      <c r="T1987" s="338">
        <f t="shared" si="443"/>
        <v>0</v>
      </c>
      <c r="U1987" s="51">
        <f t="shared" si="443"/>
        <v>0</v>
      </c>
      <c r="V1987" s="35">
        <f t="shared" si="443"/>
        <v>0</v>
      </c>
      <c r="W1987" s="51">
        <f t="shared" si="443"/>
        <v>736478.34000000008</v>
      </c>
      <c r="X1987" s="285"/>
      <c r="Y1987" s="9"/>
      <c r="Z1987" s="318"/>
      <c r="AA1987" s="9"/>
      <c r="AB1987" s="302"/>
      <c r="AC1987" s="302"/>
      <c r="AD1987" s="302"/>
    </row>
    <row r="1988" spans="1:30" x14ac:dyDescent="0.3">
      <c r="A1988" s="435" t="s">
        <v>2649</v>
      </c>
      <c r="B1988" s="363"/>
      <c r="C1988" s="51"/>
      <c r="D1988" s="51"/>
      <c r="E1988" s="51"/>
      <c r="F1988" s="51"/>
      <c r="G1988" s="51"/>
      <c r="H1988" s="51"/>
      <c r="I1988" s="51"/>
      <c r="J1988" s="51"/>
      <c r="K1988" s="51"/>
      <c r="L1988" s="51"/>
      <c r="M1988" s="35"/>
      <c r="N1988" s="51"/>
      <c r="O1988" s="82"/>
      <c r="P1988" s="51"/>
      <c r="Q1988" s="338"/>
      <c r="R1988" s="51"/>
      <c r="S1988" s="51"/>
      <c r="T1988" s="338"/>
      <c r="U1988" s="51"/>
      <c r="V1988" s="35"/>
      <c r="W1988" s="364"/>
      <c r="X1988" s="285"/>
      <c r="Y1988" s="9"/>
      <c r="Z1988" s="318"/>
      <c r="AA1988" s="9"/>
      <c r="AB1988" s="302"/>
      <c r="AC1988" s="302"/>
      <c r="AD1988" s="302"/>
    </row>
    <row r="1989" spans="1:30" x14ac:dyDescent="0.3">
      <c r="A1989" s="47">
        <f>A1986+1</f>
        <v>1809</v>
      </c>
      <c r="B1989" s="414" t="s">
        <v>2650</v>
      </c>
      <c r="C1989" s="51">
        <f>D1989+K1989+L1989+N1989+P1989+R1989+S1989+U1989+V1989+W1989</f>
        <v>3237936.42</v>
      </c>
      <c r="D1989" s="51">
        <f>E1989+F1989+G1989+H1989+I1989</f>
        <v>0</v>
      </c>
      <c r="E1989" s="51"/>
      <c r="F1989" s="51"/>
      <c r="G1989" s="51"/>
      <c r="H1989" s="51"/>
      <c r="I1989" s="51"/>
      <c r="J1989" s="51"/>
      <c r="K1989" s="51"/>
      <c r="L1989" s="51"/>
      <c r="M1989" s="35">
        <v>380</v>
      </c>
      <c r="N1989" s="51">
        <v>2114874</v>
      </c>
      <c r="O1989" s="82"/>
      <c r="P1989" s="51"/>
      <c r="Q1989" s="338"/>
      <c r="R1989" s="51"/>
      <c r="S1989" s="51"/>
      <c r="T1989" s="338">
        <v>620</v>
      </c>
      <c r="U1989" s="51">
        <v>1123062.42</v>
      </c>
      <c r="V1989" s="35"/>
      <c r="W1989" s="364"/>
      <c r="X1989" s="285"/>
      <c r="Y1989" s="9"/>
      <c r="Z1989" s="318"/>
      <c r="AA1989" s="9"/>
      <c r="AB1989" s="302"/>
      <c r="AC1989" s="302"/>
      <c r="AD1989" s="302"/>
    </row>
    <row r="1990" spans="1:30" x14ac:dyDescent="0.3">
      <c r="A1990" s="439" t="s">
        <v>211</v>
      </c>
      <c r="B1990" s="399"/>
      <c r="C1990" s="51">
        <f t="shared" ref="C1990:W1990" si="444">C1989</f>
        <v>3237936.42</v>
      </c>
      <c r="D1990" s="51">
        <f t="shared" si="444"/>
        <v>0</v>
      </c>
      <c r="E1990" s="51">
        <f t="shared" si="444"/>
        <v>0</v>
      </c>
      <c r="F1990" s="51">
        <f t="shared" si="444"/>
        <v>0</v>
      </c>
      <c r="G1990" s="51">
        <f t="shared" si="444"/>
        <v>0</v>
      </c>
      <c r="H1990" s="51">
        <f t="shared" si="444"/>
        <v>0</v>
      </c>
      <c r="I1990" s="51">
        <f t="shared" si="444"/>
        <v>0</v>
      </c>
      <c r="J1990" s="51">
        <f t="shared" si="444"/>
        <v>0</v>
      </c>
      <c r="K1990" s="51">
        <f t="shared" si="444"/>
        <v>0</v>
      </c>
      <c r="L1990" s="51">
        <f t="shared" si="444"/>
        <v>0</v>
      </c>
      <c r="M1990" s="35">
        <f t="shared" si="444"/>
        <v>380</v>
      </c>
      <c r="N1990" s="51">
        <f t="shared" si="444"/>
        <v>2114874</v>
      </c>
      <c r="O1990" s="82">
        <f t="shared" si="444"/>
        <v>0</v>
      </c>
      <c r="P1990" s="51">
        <f t="shared" si="444"/>
        <v>0</v>
      </c>
      <c r="Q1990" s="338">
        <f t="shared" si="444"/>
        <v>0</v>
      </c>
      <c r="R1990" s="51">
        <f t="shared" si="444"/>
        <v>0</v>
      </c>
      <c r="S1990" s="51">
        <f t="shared" si="444"/>
        <v>0</v>
      </c>
      <c r="T1990" s="338">
        <f t="shared" si="444"/>
        <v>620</v>
      </c>
      <c r="U1990" s="51">
        <f t="shared" si="444"/>
        <v>1123062.42</v>
      </c>
      <c r="V1990" s="35">
        <f t="shared" si="444"/>
        <v>0</v>
      </c>
      <c r="W1990" s="51">
        <f t="shared" si="444"/>
        <v>0</v>
      </c>
      <c r="X1990" s="285"/>
      <c r="Y1990" s="9"/>
      <c r="Z1990" s="318"/>
      <c r="AA1990" s="9"/>
      <c r="AB1990" s="302"/>
      <c r="AC1990" s="302"/>
      <c r="AD1990" s="302"/>
    </row>
    <row r="1991" spans="1:30" x14ac:dyDescent="0.3">
      <c r="A1991" s="435" t="s">
        <v>2663</v>
      </c>
      <c r="B1991" s="363"/>
      <c r="C1991" s="51"/>
      <c r="D1991" s="51"/>
      <c r="E1991" s="51"/>
      <c r="F1991" s="51"/>
      <c r="G1991" s="51"/>
      <c r="H1991" s="51"/>
      <c r="I1991" s="51"/>
      <c r="J1991" s="51"/>
      <c r="K1991" s="51"/>
      <c r="L1991" s="51"/>
      <c r="M1991" s="35"/>
      <c r="N1991" s="51"/>
      <c r="O1991" s="82"/>
      <c r="P1991" s="51"/>
      <c r="Q1991" s="338"/>
      <c r="R1991" s="51"/>
      <c r="S1991" s="51"/>
      <c r="T1991" s="338"/>
      <c r="U1991" s="51"/>
      <c r="V1991" s="35"/>
      <c r="W1991" s="364"/>
      <c r="X1991" s="285"/>
      <c r="Y1991" s="9"/>
      <c r="Z1991" s="318"/>
      <c r="AA1991" s="9"/>
      <c r="AB1991" s="302"/>
      <c r="AC1991" s="302"/>
      <c r="AD1991" s="302"/>
    </row>
    <row r="1992" spans="1:30" x14ac:dyDescent="0.3">
      <c r="A1992" s="47">
        <f>A1989+1</f>
        <v>1810</v>
      </c>
      <c r="B1992" s="414" t="s">
        <v>2664</v>
      </c>
      <c r="C1992" s="51">
        <f t="shared" ref="C1992:C1999" si="445">D1992+K1992+L1992+N1992+P1992+R1992+S1992+U1992+V1992+W1992</f>
        <v>130000</v>
      </c>
      <c r="D1992" s="51">
        <f t="shared" ref="D1992:D1999" si="446">E1992+F1992+G1992+H1992+I1992</f>
        <v>0</v>
      </c>
      <c r="E1992" s="51"/>
      <c r="F1992" s="51"/>
      <c r="G1992" s="51"/>
      <c r="H1992" s="51"/>
      <c r="I1992" s="51"/>
      <c r="J1992" s="51"/>
      <c r="K1992" s="51"/>
      <c r="L1992" s="51"/>
      <c r="M1992" s="35"/>
      <c r="N1992" s="51"/>
      <c r="O1992" s="82"/>
      <c r="P1992" s="51"/>
      <c r="Q1992" s="338"/>
      <c r="R1992" s="51"/>
      <c r="S1992" s="51"/>
      <c r="T1992" s="338"/>
      <c r="U1992" s="51"/>
      <c r="V1992" s="35"/>
      <c r="W1992" s="364">
        <v>130000</v>
      </c>
      <c r="X1992" s="285"/>
      <c r="Y1992" s="9"/>
      <c r="Z1992" s="318"/>
      <c r="AA1992" s="9"/>
      <c r="AB1992" s="302"/>
      <c r="AC1992" s="302"/>
      <c r="AD1992" s="302"/>
    </row>
    <row r="1993" spans="1:30" x14ac:dyDescent="0.3">
      <c r="A1993" s="47">
        <f>A1992+1</f>
        <v>1811</v>
      </c>
      <c r="B1993" s="414" t="s">
        <v>2665</v>
      </c>
      <c r="C1993" s="51">
        <f t="shared" si="445"/>
        <v>130000</v>
      </c>
      <c r="D1993" s="51">
        <f t="shared" si="446"/>
        <v>0</v>
      </c>
      <c r="E1993" s="51"/>
      <c r="F1993" s="51"/>
      <c r="G1993" s="51"/>
      <c r="H1993" s="51"/>
      <c r="I1993" s="51"/>
      <c r="J1993" s="51"/>
      <c r="K1993" s="51"/>
      <c r="L1993" s="51"/>
      <c r="M1993" s="35"/>
      <c r="N1993" s="51"/>
      <c r="O1993" s="82"/>
      <c r="P1993" s="51"/>
      <c r="Q1993" s="338"/>
      <c r="R1993" s="51"/>
      <c r="S1993" s="51"/>
      <c r="T1993" s="338"/>
      <c r="U1993" s="51"/>
      <c r="V1993" s="35"/>
      <c r="W1993" s="364">
        <v>130000</v>
      </c>
      <c r="X1993" s="285"/>
      <c r="Y1993" s="9"/>
      <c r="Z1993" s="318"/>
      <c r="AA1993" s="9"/>
      <c r="AB1993" s="302"/>
      <c r="AC1993" s="302"/>
      <c r="AD1993" s="302"/>
    </row>
    <row r="1994" spans="1:30" x14ac:dyDescent="0.3">
      <c r="A1994" s="47">
        <f>A1993+1</f>
        <v>1812</v>
      </c>
      <c r="B1994" s="414" t="s">
        <v>2666</v>
      </c>
      <c r="C1994" s="51">
        <f t="shared" si="445"/>
        <v>130000</v>
      </c>
      <c r="D1994" s="51">
        <f t="shared" si="446"/>
        <v>0</v>
      </c>
      <c r="E1994" s="51"/>
      <c r="F1994" s="51"/>
      <c r="G1994" s="51"/>
      <c r="H1994" s="51"/>
      <c r="I1994" s="51"/>
      <c r="J1994" s="51"/>
      <c r="K1994" s="51"/>
      <c r="L1994" s="51"/>
      <c r="M1994" s="35"/>
      <c r="N1994" s="51"/>
      <c r="O1994" s="82"/>
      <c r="P1994" s="51"/>
      <c r="Q1994" s="338"/>
      <c r="R1994" s="51"/>
      <c r="S1994" s="51"/>
      <c r="T1994" s="338"/>
      <c r="U1994" s="51"/>
      <c r="V1994" s="35"/>
      <c r="W1994" s="364">
        <v>130000</v>
      </c>
      <c r="X1994" s="285"/>
      <c r="Y1994" s="9"/>
      <c r="Z1994" s="318"/>
      <c r="AA1994" s="9"/>
      <c r="AB1994" s="302"/>
      <c r="AC1994" s="302"/>
      <c r="AD1994" s="302"/>
    </row>
    <row r="1995" spans="1:30" x14ac:dyDescent="0.3">
      <c r="A1995" s="47">
        <f>A1994+1</f>
        <v>1813</v>
      </c>
      <c r="B1995" s="414" t="s">
        <v>2667</v>
      </c>
      <c r="C1995" s="51">
        <f t="shared" si="445"/>
        <v>8417160.4900000002</v>
      </c>
      <c r="D1995" s="51">
        <f t="shared" si="446"/>
        <v>0</v>
      </c>
      <c r="E1995" s="51"/>
      <c r="F1995" s="51"/>
      <c r="G1995" s="51"/>
      <c r="H1995" s="51"/>
      <c r="I1995" s="51"/>
      <c r="J1995" s="51"/>
      <c r="K1995" s="51"/>
      <c r="L1995" s="51"/>
      <c r="M1995" s="35"/>
      <c r="N1995" s="51"/>
      <c r="O1995" s="82"/>
      <c r="P1995" s="51"/>
      <c r="Q1995" s="338"/>
      <c r="R1995" s="51"/>
      <c r="S1995" s="51"/>
      <c r="T1995" s="338">
        <v>664.2</v>
      </c>
      <c r="U1995" s="51">
        <f>T1995*11890</f>
        <v>7897338.0000000009</v>
      </c>
      <c r="V1995" s="35"/>
      <c r="W1995" s="364">
        <f>SUM(X1995:AD1995)</f>
        <v>519822.49</v>
      </c>
      <c r="X1995" s="285">
        <f>153299.74+123880.51+123900.4+118741.84</f>
        <v>519822.49</v>
      </c>
      <c r="Y1995" s="9"/>
      <c r="Z1995" s="318"/>
      <c r="AA1995" s="9"/>
      <c r="AB1995" s="302"/>
      <c r="AC1995" s="302"/>
      <c r="AD1995" s="302"/>
    </row>
    <row r="1996" spans="1:30" x14ac:dyDescent="0.3">
      <c r="A1996" s="47">
        <f>A1995+1</f>
        <v>1814</v>
      </c>
      <c r="B1996" s="414" t="s">
        <v>2668</v>
      </c>
      <c r="C1996" s="51">
        <f t="shared" si="445"/>
        <v>39878316.530000001</v>
      </c>
      <c r="D1996" s="51">
        <f t="shared" si="446"/>
        <v>27392413.550000004</v>
      </c>
      <c r="E1996" s="51">
        <v>2599442.4</v>
      </c>
      <c r="F1996" s="51">
        <v>11628182.4</v>
      </c>
      <c r="G1996" s="51">
        <v>3968596.8</v>
      </c>
      <c r="H1996" s="51">
        <v>8089971.5999999996</v>
      </c>
      <c r="I1996" s="51">
        <v>1106220.3500000001</v>
      </c>
      <c r="J1996" s="51"/>
      <c r="K1996" s="51"/>
      <c r="L1996" s="51"/>
      <c r="M1996" s="35">
        <v>824.27</v>
      </c>
      <c r="N1996" s="51">
        <v>2928523.98</v>
      </c>
      <c r="O1996" s="82"/>
      <c r="P1996" s="51"/>
      <c r="Q1996" s="338"/>
      <c r="R1996" s="51"/>
      <c r="S1996" s="51"/>
      <c r="T1996" s="338"/>
      <c r="U1996" s="51"/>
      <c r="V1996" s="35">
        <f>13*(214531+392996+117656)</f>
        <v>9427379</v>
      </c>
      <c r="W1996" s="364">
        <v>130000</v>
      </c>
      <c r="X1996" s="285"/>
      <c r="Y1996" s="9"/>
      <c r="Z1996" s="318"/>
      <c r="AA1996" s="9"/>
      <c r="AB1996" s="302"/>
      <c r="AC1996" s="302"/>
      <c r="AD1996" s="302"/>
    </row>
    <row r="1997" spans="1:30" x14ac:dyDescent="0.3">
      <c r="A1997" s="47">
        <f t="shared" ref="A1997:A1999" si="447">A1996+1</f>
        <v>1815</v>
      </c>
      <c r="B1997" s="414" t="s">
        <v>2669</v>
      </c>
      <c r="C1997" s="51">
        <f t="shared" si="445"/>
        <v>48804034.930000007</v>
      </c>
      <c r="D1997" s="51">
        <f t="shared" si="446"/>
        <v>27245749.550000004</v>
      </c>
      <c r="E1997" s="51">
        <v>2599442.4</v>
      </c>
      <c r="F1997" s="51">
        <v>11628182.4</v>
      </c>
      <c r="G1997" s="51">
        <v>3968596.8</v>
      </c>
      <c r="H1997" s="51">
        <v>7943307.5999999996</v>
      </c>
      <c r="I1997" s="51">
        <v>1106220.3500000001</v>
      </c>
      <c r="J1997" s="51"/>
      <c r="K1997" s="51"/>
      <c r="L1997" s="51"/>
      <c r="M1997" s="35">
        <v>824.27</v>
      </c>
      <c r="N1997" s="51">
        <v>2928523.98</v>
      </c>
      <c r="O1997" s="82"/>
      <c r="P1997" s="51"/>
      <c r="Q1997" s="338"/>
      <c r="R1997" s="51"/>
      <c r="S1997" s="51"/>
      <c r="T1997" s="338">
        <v>3498.7</v>
      </c>
      <c r="U1997" s="51">
        <v>9202382.4000000004</v>
      </c>
      <c r="V1997" s="35">
        <f>13*(214531+392996+117656)</f>
        <v>9427379</v>
      </c>
      <c r="W1997" s="364"/>
      <c r="X1997" s="285"/>
      <c r="Y1997" s="9"/>
      <c r="Z1997" s="318"/>
      <c r="AA1997" s="9"/>
      <c r="AB1997" s="302"/>
      <c r="AC1997" s="302"/>
      <c r="AD1997" s="302"/>
    </row>
    <row r="1998" spans="1:30" x14ac:dyDescent="0.3">
      <c r="A1998" s="47">
        <f t="shared" si="447"/>
        <v>1816</v>
      </c>
      <c r="B1998" s="414" t="s">
        <v>2670</v>
      </c>
      <c r="C1998" s="51">
        <f t="shared" si="445"/>
        <v>48804034.930000007</v>
      </c>
      <c r="D1998" s="51">
        <f t="shared" si="446"/>
        <v>27245749.550000004</v>
      </c>
      <c r="E1998" s="51">
        <v>2599442.4</v>
      </c>
      <c r="F1998" s="51">
        <v>11628182.4</v>
      </c>
      <c r="G1998" s="51">
        <v>3968596.8</v>
      </c>
      <c r="H1998" s="51">
        <v>7943307.5999999996</v>
      </c>
      <c r="I1998" s="51">
        <v>1106220.3500000001</v>
      </c>
      <c r="J1998" s="51"/>
      <c r="K1998" s="51"/>
      <c r="L1998" s="51"/>
      <c r="M1998" s="35">
        <v>824.27</v>
      </c>
      <c r="N1998" s="51">
        <v>2928523.98</v>
      </c>
      <c r="O1998" s="82"/>
      <c r="P1998" s="51"/>
      <c r="Q1998" s="338"/>
      <c r="R1998" s="51"/>
      <c r="S1998" s="51"/>
      <c r="T1998" s="338">
        <v>3502.6</v>
      </c>
      <c r="U1998" s="51">
        <v>9202382.4000000004</v>
      </c>
      <c r="V1998" s="35">
        <f>13*(214531+392996+117656)</f>
        <v>9427379</v>
      </c>
      <c r="W1998" s="364"/>
      <c r="X1998" s="285"/>
      <c r="Y1998" s="9"/>
      <c r="Z1998" s="318"/>
      <c r="AA1998" s="9"/>
      <c r="AB1998" s="302"/>
      <c r="AC1998" s="302"/>
      <c r="AD1998" s="302"/>
    </row>
    <row r="1999" spans="1:30" x14ac:dyDescent="0.3">
      <c r="A1999" s="47">
        <f t="shared" si="447"/>
        <v>1817</v>
      </c>
      <c r="B1999" s="414" t="s">
        <v>2671</v>
      </c>
      <c r="C1999" s="51">
        <f t="shared" si="445"/>
        <v>130000</v>
      </c>
      <c r="D1999" s="51">
        <f t="shared" si="446"/>
        <v>0</v>
      </c>
      <c r="E1999" s="51"/>
      <c r="F1999" s="51"/>
      <c r="G1999" s="51"/>
      <c r="H1999" s="51"/>
      <c r="I1999" s="51"/>
      <c r="J1999" s="51"/>
      <c r="K1999" s="51"/>
      <c r="L1999" s="51"/>
      <c r="M1999" s="35"/>
      <c r="N1999" s="51"/>
      <c r="O1999" s="82"/>
      <c r="P1999" s="51"/>
      <c r="Q1999" s="338"/>
      <c r="R1999" s="51"/>
      <c r="S1999" s="51"/>
      <c r="T1999" s="338"/>
      <c r="U1999" s="51"/>
      <c r="V1999" s="35"/>
      <c r="W1999" s="364">
        <v>130000</v>
      </c>
      <c r="X1999" s="285"/>
      <c r="Y1999" s="9"/>
      <c r="Z1999" s="318"/>
      <c r="AA1999" s="9"/>
      <c r="AB1999" s="302"/>
      <c r="AC1999" s="302"/>
      <c r="AD1999" s="302"/>
    </row>
    <row r="2000" spans="1:30" x14ac:dyDescent="0.3">
      <c r="A2000" s="439" t="s">
        <v>211</v>
      </c>
      <c r="B2000" s="399"/>
      <c r="C2000" s="51">
        <f t="shared" ref="C2000:W2000" si="448">SUM(C1992:C1999)</f>
        <v>146423546.88000003</v>
      </c>
      <c r="D2000" s="51">
        <f t="shared" si="448"/>
        <v>81883912.650000006</v>
      </c>
      <c r="E2000" s="51">
        <f t="shared" si="448"/>
        <v>7798327.1999999993</v>
      </c>
      <c r="F2000" s="51">
        <f t="shared" si="448"/>
        <v>34884547.200000003</v>
      </c>
      <c r="G2000" s="51">
        <f t="shared" si="448"/>
        <v>11905790.399999999</v>
      </c>
      <c r="H2000" s="51">
        <f t="shared" si="448"/>
        <v>23976586.799999997</v>
      </c>
      <c r="I2000" s="51">
        <f t="shared" si="448"/>
        <v>3318661.0500000003</v>
      </c>
      <c r="J2000" s="51">
        <f t="shared" si="448"/>
        <v>0</v>
      </c>
      <c r="K2000" s="51">
        <f t="shared" si="448"/>
        <v>0</v>
      </c>
      <c r="L2000" s="51">
        <f t="shared" si="448"/>
        <v>0</v>
      </c>
      <c r="M2000" s="35">
        <f t="shared" si="448"/>
        <v>2472.81</v>
      </c>
      <c r="N2000" s="51">
        <f t="shared" si="448"/>
        <v>8785571.9399999995</v>
      </c>
      <c r="O2000" s="82">
        <f t="shared" si="448"/>
        <v>0</v>
      </c>
      <c r="P2000" s="51">
        <f t="shared" si="448"/>
        <v>0</v>
      </c>
      <c r="Q2000" s="338">
        <f t="shared" si="448"/>
        <v>0</v>
      </c>
      <c r="R2000" s="51">
        <f t="shared" si="448"/>
        <v>0</v>
      </c>
      <c r="S2000" s="51">
        <f t="shared" si="448"/>
        <v>0</v>
      </c>
      <c r="T2000" s="338">
        <f t="shared" si="448"/>
        <v>7665.5</v>
      </c>
      <c r="U2000" s="51">
        <f t="shared" si="448"/>
        <v>26302102.800000004</v>
      </c>
      <c r="V2000" s="35">
        <f t="shared" si="448"/>
        <v>28282137</v>
      </c>
      <c r="W2000" s="51">
        <f t="shared" si="448"/>
        <v>1169822.49</v>
      </c>
      <c r="X2000" s="285"/>
      <c r="Y2000" s="9"/>
      <c r="Z2000" s="318"/>
      <c r="AA2000" s="9"/>
      <c r="AB2000" s="302"/>
      <c r="AC2000" s="302"/>
      <c r="AD2000" s="302"/>
    </row>
    <row r="2001" spans="1:30" x14ac:dyDescent="0.3">
      <c r="A2001" s="435" t="s">
        <v>2672</v>
      </c>
      <c r="B2001" s="363"/>
      <c r="C2001" s="51"/>
      <c r="D2001" s="51"/>
      <c r="E2001" s="51"/>
      <c r="F2001" s="51"/>
      <c r="G2001" s="51"/>
      <c r="H2001" s="51"/>
      <c r="I2001" s="51"/>
      <c r="J2001" s="51"/>
      <c r="K2001" s="51"/>
      <c r="L2001" s="51"/>
      <c r="M2001" s="35"/>
      <c r="N2001" s="51"/>
      <c r="O2001" s="82"/>
      <c r="P2001" s="51"/>
      <c r="Q2001" s="338"/>
      <c r="R2001" s="51"/>
      <c r="S2001" s="51"/>
      <c r="T2001" s="338"/>
      <c r="U2001" s="51"/>
      <c r="V2001" s="35"/>
      <c r="W2001" s="364"/>
      <c r="X2001" s="285"/>
      <c r="Y2001" s="9"/>
      <c r="Z2001" s="318"/>
      <c r="AA2001" s="9"/>
      <c r="AB2001" s="302"/>
      <c r="AC2001" s="302"/>
      <c r="AD2001" s="302"/>
    </row>
    <row r="2002" spans="1:30" x14ac:dyDescent="0.3">
      <c r="A2002" s="47"/>
      <c r="B2002" s="414" t="s">
        <v>3835</v>
      </c>
      <c r="C2002" s="51">
        <f>D2002+K2002+L2002+N2002+P2002+R2002+S2002+U2002+V2002+W2002</f>
        <v>105222</v>
      </c>
      <c r="D2002" s="51">
        <f>E2002+F2002+G2002+H2002+I2002</f>
        <v>0</v>
      </c>
      <c r="E2002" s="51"/>
      <c r="F2002" s="51"/>
      <c r="G2002" s="51"/>
      <c r="H2002" s="51"/>
      <c r="I2002" s="51"/>
      <c r="J2002" s="51"/>
      <c r="K2002" s="51"/>
      <c r="L2002" s="51"/>
      <c r="M2002" s="35">
        <v>13</v>
      </c>
      <c r="N2002" s="51">
        <f>13*8094</f>
        <v>105222</v>
      </c>
      <c r="O2002" s="82"/>
      <c r="P2002" s="51"/>
      <c r="Q2002" s="338"/>
      <c r="R2002" s="51"/>
      <c r="S2002" s="51"/>
      <c r="T2002" s="338"/>
      <c r="U2002" s="51"/>
      <c r="V2002" s="35"/>
      <c r="W2002" s="364"/>
      <c r="X2002" s="285"/>
      <c r="Y2002" s="9"/>
      <c r="Z2002" s="318"/>
      <c r="AA2002" s="9"/>
      <c r="AB2002" s="302"/>
      <c r="AC2002" s="302"/>
      <c r="AD2002" s="302"/>
    </row>
    <row r="2003" spans="1:30" x14ac:dyDescent="0.3">
      <c r="A2003" s="47">
        <f>A1999+1</f>
        <v>1818</v>
      </c>
      <c r="B2003" s="414" t="s">
        <v>2684</v>
      </c>
      <c r="C2003" s="51">
        <f>D2003+K2003+L2003+N2003+P2003+R2003+S2003+U2003+V2003+W2003</f>
        <v>33280154.32</v>
      </c>
      <c r="D2003" s="51">
        <f>E2003+F2003+G2003+H2003+I2003</f>
        <v>0</v>
      </c>
      <c r="E2003" s="51"/>
      <c r="F2003" s="51"/>
      <c r="G2003" s="51"/>
      <c r="H2003" s="51"/>
      <c r="I2003" s="51"/>
      <c r="J2003" s="51"/>
      <c r="K2003" s="51"/>
      <c r="L2003" s="51"/>
      <c r="M2003" s="35"/>
      <c r="N2003" s="51"/>
      <c r="O2003" s="82"/>
      <c r="P2003" s="51"/>
      <c r="Q2003" s="338">
        <v>3001</v>
      </c>
      <c r="R2003" s="51">
        <v>33280154.32</v>
      </c>
      <c r="S2003" s="51"/>
      <c r="T2003" s="338"/>
      <c r="U2003" s="51"/>
      <c r="V2003" s="35"/>
      <c r="W2003" s="364"/>
      <c r="X2003" s="285"/>
      <c r="Y2003" s="9"/>
      <c r="Z2003" s="318"/>
      <c r="AA2003" s="9"/>
      <c r="AB2003" s="302"/>
      <c r="AC2003" s="302"/>
      <c r="AD2003" s="302"/>
    </row>
    <row r="2004" spans="1:30" x14ac:dyDescent="0.3">
      <c r="A2004" s="439" t="s">
        <v>211</v>
      </c>
      <c r="B2004" s="399"/>
      <c r="C2004" s="51">
        <f t="shared" ref="C2004:W2004" si="449">SUM(C2002:C2003)</f>
        <v>33385376.32</v>
      </c>
      <c r="D2004" s="51">
        <f t="shared" si="449"/>
        <v>0</v>
      </c>
      <c r="E2004" s="51">
        <f t="shared" si="449"/>
        <v>0</v>
      </c>
      <c r="F2004" s="51">
        <f t="shared" si="449"/>
        <v>0</v>
      </c>
      <c r="G2004" s="51">
        <f t="shared" si="449"/>
        <v>0</v>
      </c>
      <c r="H2004" s="51">
        <f t="shared" si="449"/>
        <v>0</v>
      </c>
      <c r="I2004" s="51">
        <f t="shared" si="449"/>
        <v>0</v>
      </c>
      <c r="J2004" s="51">
        <f t="shared" si="449"/>
        <v>0</v>
      </c>
      <c r="K2004" s="51">
        <f t="shared" si="449"/>
        <v>0</v>
      </c>
      <c r="L2004" s="51">
        <f t="shared" si="449"/>
        <v>0</v>
      </c>
      <c r="M2004" s="35">
        <f t="shared" si="449"/>
        <v>13</v>
      </c>
      <c r="N2004" s="51">
        <f t="shared" si="449"/>
        <v>105222</v>
      </c>
      <c r="O2004" s="82">
        <f t="shared" si="449"/>
        <v>0</v>
      </c>
      <c r="P2004" s="51">
        <f t="shared" si="449"/>
        <v>0</v>
      </c>
      <c r="Q2004" s="338">
        <f t="shared" si="449"/>
        <v>3001</v>
      </c>
      <c r="R2004" s="51">
        <f t="shared" si="449"/>
        <v>33280154.32</v>
      </c>
      <c r="S2004" s="51">
        <f t="shared" si="449"/>
        <v>0</v>
      </c>
      <c r="T2004" s="338">
        <f t="shared" si="449"/>
        <v>0</v>
      </c>
      <c r="U2004" s="51">
        <f t="shared" si="449"/>
        <v>0</v>
      </c>
      <c r="V2004" s="35">
        <f t="shared" si="449"/>
        <v>0</v>
      </c>
      <c r="W2004" s="51">
        <f t="shared" si="449"/>
        <v>0</v>
      </c>
      <c r="X2004" s="285"/>
      <c r="Y2004" s="9"/>
      <c r="Z2004" s="318"/>
      <c r="AA2004" s="9"/>
      <c r="AB2004" s="302"/>
      <c r="AC2004" s="302"/>
      <c r="AD2004" s="302"/>
    </row>
    <row r="2005" spans="1:30" x14ac:dyDescent="0.3">
      <c r="A2005" s="435" t="s">
        <v>2685</v>
      </c>
      <c r="B2005" s="363"/>
      <c r="C2005" s="51"/>
      <c r="D2005" s="51"/>
      <c r="E2005" s="51"/>
      <c r="F2005" s="51"/>
      <c r="G2005" s="51"/>
      <c r="H2005" s="51"/>
      <c r="I2005" s="51"/>
      <c r="J2005" s="51"/>
      <c r="K2005" s="51"/>
      <c r="L2005" s="51"/>
      <c r="M2005" s="35"/>
      <c r="N2005" s="51"/>
      <c r="O2005" s="82"/>
      <c r="P2005" s="51"/>
      <c r="Q2005" s="338"/>
      <c r="R2005" s="51"/>
      <c r="S2005" s="51"/>
      <c r="T2005" s="338"/>
      <c r="U2005" s="51"/>
      <c r="V2005" s="35"/>
      <c r="W2005" s="364"/>
      <c r="X2005" s="285"/>
      <c r="Y2005" s="9"/>
      <c r="Z2005" s="318"/>
      <c r="AA2005" s="9"/>
      <c r="AB2005" s="302"/>
      <c r="AC2005" s="302"/>
      <c r="AD2005" s="302"/>
    </row>
    <row r="2006" spans="1:30" x14ac:dyDescent="0.3">
      <c r="A2006" s="47">
        <f>A2003+1</f>
        <v>1819</v>
      </c>
      <c r="B2006" s="414" t="s">
        <v>2687</v>
      </c>
      <c r="C2006" s="51">
        <f>D2006+K2006+L2006+N2006+P2006+R2006+S2006+U2006+V2006+W2006</f>
        <v>21526674.120000001</v>
      </c>
      <c r="D2006" s="51">
        <f>E2006+F2006+G2006+H2006+I2006</f>
        <v>0</v>
      </c>
      <c r="E2006" s="51"/>
      <c r="F2006" s="51"/>
      <c r="G2006" s="51"/>
      <c r="H2006" s="51"/>
      <c r="I2006" s="51"/>
      <c r="J2006" s="51"/>
      <c r="K2006" s="51"/>
      <c r="L2006" s="51"/>
      <c r="M2006" s="35"/>
      <c r="N2006" s="51"/>
      <c r="O2006" s="82"/>
      <c r="P2006" s="51"/>
      <c r="Q2006" s="338">
        <v>4320</v>
      </c>
      <c r="R2006" s="51">
        <v>21526674.120000001</v>
      </c>
      <c r="S2006" s="51"/>
      <c r="T2006" s="338"/>
      <c r="U2006" s="51"/>
      <c r="V2006" s="35"/>
      <c r="W2006" s="364"/>
      <c r="X2006" s="285"/>
      <c r="Y2006" s="9"/>
      <c r="Z2006" s="318">
        <v>407673.7</v>
      </c>
      <c r="AA2006" s="9"/>
      <c r="AB2006" s="302"/>
      <c r="AC2006" s="302"/>
      <c r="AD2006" s="302"/>
    </row>
    <row r="2007" spans="1:30" x14ac:dyDescent="0.3">
      <c r="A2007" s="439" t="s">
        <v>211</v>
      </c>
      <c r="B2007" s="399"/>
      <c r="C2007" s="51">
        <f t="shared" ref="C2007:W2007" si="450">SUM(C2006:C2006)</f>
        <v>21526674.120000001</v>
      </c>
      <c r="D2007" s="51">
        <f t="shared" si="450"/>
        <v>0</v>
      </c>
      <c r="E2007" s="51">
        <f t="shared" si="450"/>
        <v>0</v>
      </c>
      <c r="F2007" s="51">
        <f t="shared" si="450"/>
        <v>0</v>
      </c>
      <c r="G2007" s="51">
        <f t="shared" si="450"/>
        <v>0</v>
      </c>
      <c r="H2007" s="51">
        <f t="shared" si="450"/>
        <v>0</v>
      </c>
      <c r="I2007" s="51">
        <f t="shared" si="450"/>
        <v>0</v>
      </c>
      <c r="J2007" s="51">
        <f t="shared" si="450"/>
        <v>0</v>
      </c>
      <c r="K2007" s="51">
        <f t="shared" si="450"/>
        <v>0</v>
      </c>
      <c r="L2007" s="51">
        <f t="shared" si="450"/>
        <v>0</v>
      </c>
      <c r="M2007" s="35">
        <f t="shared" si="450"/>
        <v>0</v>
      </c>
      <c r="N2007" s="51">
        <f t="shared" si="450"/>
        <v>0</v>
      </c>
      <c r="O2007" s="82">
        <f t="shared" si="450"/>
        <v>0</v>
      </c>
      <c r="P2007" s="51">
        <f t="shared" si="450"/>
        <v>0</v>
      </c>
      <c r="Q2007" s="338">
        <f t="shared" si="450"/>
        <v>4320</v>
      </c>
      <c r="R2007" s="51">
        <f t="shared" si="450"/>
        <v>21526674.120000001</v>
      </c>
      <c r="S2007" s="51">
        <f t="shared" si="450"/>
        <v>0</v>
      </c>
      <c r="T2007" s="338">
        <f t="shared" si="450"/>
        <v>0</v>
      </c>
      <c r="U2007" s="51">
        <f t="shared" si="450"/>
        <v>0</v>
      </c>
      <c r="V2007" s="35">
        <f t="shared" si="450"/>
        <v>0</v>
      </c>
      <c r="W2007" s="51">
        <f t="shared" si="450"/>
        <v>0</v>
      </c>
      <c r="X2007" s="285"/>
      <c r="Y2007" s="9"/>
      <c r="Z2007" s="318"/>
      <c r="AA2007" s="9"/>
      <c r="AB2007" s="302"/>
      <c r="AC2007" s="302"/>
      <c r="AD2007" s="302"/>
    </row>
    <row r="2008" spans="1:30" x14ac:dyDescent="0.3">
      <c r="A2008" s="435" t="s">
        <v>2688</v>
      </c>
      <c r="B2008" s="363"/>
      <c r="C2008" s="51"/>
      <c r="D2008" s="51"/>
      <c r="E2008" s="51"/>
      <c r="F2008" s="51"/>
      <c r="G2008" s="51"/>
      <c r="H2008" s="51"/>
      <c r="I2008" s="51"/>
      <c r="J2008" s="51"/>
      <c r="K2008" s="51"/>
      <c r="L2008" s="51"/>
      <c r="M2008" s="35"/>
      <c r="N2008" s="51"/>
      <c r="O2008" s="82"/>
      <c r="P2008" s="51"/>
      <c r="Q2008" s="338"/>
      <c r="R2008" s="51"/>
      <c r="S2008" s="51"/>
      <c r="T2008" s="338"/>
      <c r="U2008" s="51"/>
      <c r="V2008" s="35"/>
      <c r="W2008" s="364"/>
      <c r="X2008" s="285"/>
      <c r="Y2008" s="9"/>
      <c r="Z2008" s="318"/>
      <c r="AA2008" s="9"/>
      <c r="AB2008" s="302"/>
      <c r="AC2008" s="302"/>
      <c r="AD2008" s="302"/>
    </row>
    <row r="2009" spans="1:30" x14ac:dyDescent="0.3">
      <c r="A2009" s="47">
        <f>A2006+1</f>
        <v>1820</v>
      </c>
      <c r="B2009" s="414" t="s">
        <v>2689</v>
      </c>
      <c r="C2009" s="51">
        <f t="shared" ref="C2009:C2015" si="451">D2009+K2009+L2009+N2009+P2009+R2009+S2009+U2009+V2009+W2009</f>
        <v>98261.36</v>
      </c>
      <c r="D2009" s="51">
        <f t="shared" ref="D2009:D2015" si="452">E2009+F2009+G2009+H2009+I2009</f>
        <v>0</v>
      </c>
      <c r="E2009" s="51"/>
      <c r="F2009" s="51"/>
      <c r="G2009" s="51"/>
      <c r="H2009" s="51"/>
      <c r="I2009" s="51"/>
      <c r="J2009" s="51"/>
      <c r="K2009" s="51"/>
      <c r="L2009" s="51"/>
      <c r="M2009" s="35"/>
      <c r="N2009" s="51"/>
      <c r="O2009" s="82"/>
      <c r="P2009" s="51"/>
      <c r="Q2009" s="338"/>
      <c r="R2009" s="51"/>
      <c r="S2009" s="51"/>
      <c r="T2009" s="338"/>
      <c r="U2009" s="51"/>
      <c r="V2009" s="35"/>
      <c r="W2009" s="364">
        <f>SUM(X2009:AD2009)</f>
        <v>98261.36</v>
      </c>
      <c r="X2009" s="285">
        <v>98261.36</v>
      </c>
      <c r="Y2009" s="9"/>
      <c r="Z2009" s="318"/>
      <c r="AA2009" s="9"/>
      <c r="AB2009" s="302"/>
      <c r="AC2009" s="302"/>
      <c r="AD2009" s="302"/>
    </row>
    <row r="2010" spans="1:30" x14ac:dyDescent="0.3">
      <c r="A2010" s="47">
        <f t="shared" ref="A2010:A2015" si="453">A2009+1</f>
        <v>1821</v>
      </c>
      <c r="B2010" s="414" t="s">
        <v>2690</v>
      </c>
      <c r="C2010" s="51">
        <f t="shared" si="451"/>
        <v>305710.40000000002</v>
      </c>
      <c r="D2010" s="51">
        <f t="shared" si="452"/>
        <v>0</v>
      </c>
      <c r="E2010" s="51"/>
      <c r="F2010" s="51"/>
      <c r="G2010" s="51"/>
      <c r="H2010" s="51"/>
      <c r="I2010" s="51"/>
      <c r="J2010" s="51"/>
      <c r="K2010" s="51"/>
      <c r="L2010" s="51"/>
      <c r="M2010" s="35"/>
      <c r="N2010" s="51"/>
      <c r="O2010" s="82"/>
      <c r="P2010" s="51"/>
      <c r="Q2010" s="338"/>
      <c r="R2010" s="51"/>
      <c r="S2010" s="51"/>
      <c r="T2010" s="338"/>
      <c r="U2010" s="51"/>
      <c r="V2010" s="35"/>
      <c r="W2010" s="364">
        <f>SUM(X2010:AD2010)</f>
        <v>305710.40000000002</v>
      </c>
      <c r="X2010" s="285"/>
      <c r="Y2010" s="9"/>
      <c r="Z2010" s="318">
        <v>305710.40000000002</v>
      </c>
      <c r="AA2010" s="9"/>
      <c r="AB2010" s="302"/>
      <c r="AC2010" s="302"/>
      <c r="AD2010" s="302"/>
    </row>
    <row r="2011" spans="1:30" x14ac:dyDescent="0.3">
      <c r="A2011" s="47">
        <f t="shared" si="453"/>
        <v>1822</v>
      </c>
      <c r="B2011" s="414" t="s">
        <v>2691</v>
      </c>
      <c r="C2011" s="51">
        <f t="shared" si="451"/>
        <v>130000</v>
      </c>
      <c r="D2011" s="51">
        <f t="shared" si="452"/>
        <v>0</v>
      </c>
      <c r="E2011" s="51"/>
      <c r="F2011" s="51"/>
      <c r="G2011" s="51"/>
      <c r="H2011" s="51"/>
      <c r="I2011" s="51"/>
      <c r="J2011" s="51"/>
      <c r="K2011" s="51"/>
      <c r="L2011" s="51"/>
      <c r="M2011" s="35"/>
      <c r="N2011" s="51"/>
      <c r="O2011" s="82"/>
      <c r="P2011" s="51"/>
      <c r="Q2011" s="338"/>
      <c r="R2011" s="51"/>
      <c r="S2011" s="51"/>
      <c r="T2011" s="338"/>
      <c r="U2011" s="51"/>
      <c r="V2011" s="35"/>
      <c r="W2011" s="364">
        <v>130000</v>
      </c>
      <c r="X2011" s="285"/>
      <c r="Y2011" s="9"/>
      <c r="Z2011" s="318"/>
      <c r="AA2011" s="9"/>
      <c r="AB2011" s="302"/>
      <c r="AC2011" s="302"/>
      <c r="AD2011" s="302"/>
    </row>
    <row r="2012" spans="1:30" x14ac:dyDescent="0.3">
      <c r="A2012" s="47">
        <f>A2011+1</f>
        <v>1823</v>
      </c>
      <c r="B2012" s="414" t="s">
        <v>2692</v>
      </c>
      <c r="C2012" s="51">
        <f t="shared" si="451"/>
        <v>130000</v>
      </c>
      <c r="D2012" s="51">
        <f t="shared" si="452"/>
        <v>0</v>
      </c>
      <c r="E2012" s="51"/>
      <c r="F2012" s="51"/>
      <c r="G2012" s="51"/>
      <c r="H2012" s="51"/>
      <c r="I2012" s="51"/>
      <c r="J2012" s="51"/>
      <c r="K2012" s="51"/>
      <c r="L2012" s="51"/>
      <c r="M2012" s="35"/>
      <c r="N2012" s="51"/>
      <c r="O2012" s="82"/>
      <c r="P2012" s="51"/>
      <c r="Q2012" s="338"/>
      <c r="R2012" s="51"/>
      <c r="S2012" s="51"/>
      <c r="T2012" s="338"/>
      <c r="U2012" s="51"/>
      <c r="V2012" s="35"/>
      <c r="W2012" s="364">
        <v>130000</v>
      </c>
      <c r="X2012" s="285"/>
      <c r="Y2012" s="9"/>
      <c r="Z2012" s="318"/>
      <c r="AA2012" s="9"/>
      <c r="AB2012" s="302"/>
      <c r="AC2012" s="302"/>
      <c r="AD2012" s="302"/>
    </row>
    <row r="2013" spans="1:30" x14ac:dyDescent="0.3">
      <c r="A2013" s="47">
        <f t="shared" si="453"/>
        <v>1824</v>
      </c>
      <c r="B2013" s="414" t="s">
        <v>2693</v>
      </c>
      <c r="C2013" s="51">
        <f t="shared" si="451"/>
        <v>99679.63</v>
      </c>
      <c r="D2013" s="51">
        <f t="shared" si="452"/>
        <v>0</v>
      </c>
      <c r="E2013" s="51"/>
      <c r="F2013" s="51"/>
      <c r="G2013" s="51"/>
      <c r="H2013" s="51"/>
      <c r="I2013" s="51"/>
      <c r="J2013" s="51"/>
      <c r="K2013" s="51"/>
      <c r="L2013" s="51"/>
      <c r="M2013" s="35"/>
      <c r="N2013" s="51"/>
      <c r="O2013" s="82"/>
      <c r="P2013" s="51"/>
      <c r="Q2013" s="338"/>
      <c r="R2013" s="51"/>
      <c r="S2013" s="51"/>
      <c r="T2013" s="338"/>
      <c r="U2013" s="51"/>
      <c r="V2013" s="35"/>
      <c r="W2013" s="364">
        <f>SUM(X2013:AD2013)</f>
        <v>99679.63</v>
      </c>
      <c r="X2013" s="285">
        <v>99679.63</v>
      </c>
      <c r="Y2013" s="9"/>
      <c r="Z2013" s="318"/>
      <c r="AA2013" s="9"/>
      <c r="AB2013" s="302"/>
      <c r="AC2013" s="302"/>
      <c r="AD2013" s="302"/>
    </row>
    <row r="2014" spans="1:30" x14ac:dyDescent="0.3">
      <c r="A2014" s="47">
        <f t="shared" si="453"/>
        <v>1825</v>
      </c>
      <c r="B2014" s="414" t="s">
        <v>2694</v>
      </c>
      <c r="C2014" s="51">
        <f t="shared" si="451"/>
        <v>130000</v>
      </c>
      <c r="D2014" s="51">
        <f t="shared" si="452"/>
        <v>0</v>
      </c>
      <c r="E2014" s="51"/>
      <c r="F2014" s="51"/>
      <c r="G2014" s="51"/>
      <c r="H2014" s="51"/>
      <c r="I2014" s="51"/>
      <c r="J2014" s="51"/>
      <c r="K2014" s="51"/>
      <c r="L2014" s="51"/>
      <c r="M2014" s="35"/>
      <c r="N2014" s="51"/>
      <c r="O2014" s="82"/>
      <c r="P2014" s="51"/>
      <c r="Q2014" s="338"/>
      <c r="R2014" s="51"/>
      <c r="S2014" s="51"/>
      <c r="T2014" s="338"/>
      <c r="U2014" s="51"/>
      <c r="V2014" s="35"/>
      <c r="W2014" s="364">
        <v>130000</v>
      </c>
      <c r="X2014" s="285"/>
      <c r="Y2014" s="9"/>
      <c r="Z2014" s="318"/>
      <c r="AA2014" s="9"/>
      <c r="AB2014" s="302"/>
      <c r="AC2014" s="302"/>
      <c r="AD2014" s="302"/>
    </row>
    <row r="2015" spans="1:30" x14ac:dyDescent="0.3">
      <c r="A2015" s="47">
        <f t="shared" si="453"/>
        <v>1826</v>
      </c>
      <c r="B2015" s="414" t="s">
        <v>2695</v>
      </c>
      <c r="C2015" s="51">
        <f t="shared" si="451"/>
        <v>130000</v>
      </c>
      <c r="D2015" s="51">
        <f t="shared" si="452"/>
        <v>0</v>
      </c>
      <c r="E2015" s="51"/>
      <c r="F2015" s="51"/>
      <c r="G2015" s="51"/>
      <c r="H2015" s="51"/>
      <c r="I2015" s="51"/>
      <c r="J2015" s="51"/>
      <c r="K2015" s="51"/>
      <c r="L2015" s="51"/>
      <c r="M2015" s="35"/>
      <c r="N2015" s="51"/>
      <c r="O2015" s="82"/>
      <c r="P2015" s="51"/>
      <c r="Q2015" s="338"/>
      <c r="R2015" s="51"/>
      <c r="S2015" s="51"/>
      <c r="T2015" s="338"/>
      <c r="U2015" s="51"/>
      <c r="V2015" s="35"/>
      <c r="W2015" s="364">
        <v>130000</v>
      </c>
      <c r="X2015" s="285"/>
      <c r="Y2015" s="9"/>
      <c r="Z2015" s="318"/>
      <c r="AA2015" s="9"/>
      <c r="AB2015" s="302"/>
      <c r="AC2015" s="302"/>
      <c r="AD2015" s="302"/>
    </row>
    <row r="2016" spans="1:30" x14ac:dyDescent="0.3">
      <c r="A2016" s="439" t="s">
        <v>211</v>
      </c>
      <c r="B2016" s="399"/>
      <c r="C2016" s="51">
        <f t="shared" ref="C2016:W2016" si="454">SUM(C2009:C2015)</f>
        <v>1023651.39</v>
      </c>
      <c r="D2016" s="51">
        <f t="shared" si="454"/>
        <v>0</v>
      </c>
      <c r="E2016" s="51">
        <f t="shared" si="454"/>
        <v>0</v>
      </c>
      <c r="F2016" s="51">
        <f t="shared" si="454"/>
        <v>0</v>
      </c>
      <c r="G2016" s="51">
        <f t="shared" si="454"/>
        <v>0</v>
      </c>
      <c r="H2016" s="51">
        <f t="shared" si="454"/>
        <v>0</v>
      </c>
      <c r="I2016" s="51">
        <f t="shared" si="454"/>
        <v>0</v>
      </c>
      <c r="J2016" s="51">
        <f t="shared" si="454"/>
        <v>0</v>
      </c>
      <c r="K2016" s="51">
        <f t="shared" si="454"/>
        <v>0</v>
      </c>
      <c r="L2016" s="51">
        <f t="shared" si="454"/>
        <v>0</v>
      </c>
      <c r="M2016" s="35">
        <f t="shared" si="454"/>
        <v>0</v>
      </c>
      <c r="N2016" s="51">
        <f t="shared" si="454"/>
        <v>0</v>
      </c>
      <c r="O2016" s="82">
        <f t="shared" si="454"/>
        <v>0</v>
      </c>
      <c r="P2016" s="51">
        <f t="shared" si="454"/>
        <v>0</v>
      </c>
      <c r="Q2016" s="338">
        <f t="shared" si="454"/>
        <v>0</v>
      </c>
      <c r="R2016" s="51">
        <f t="shared" si="454"/>
        <v>0</v>
      </c>
      <c r="S2016" s="51">
        <f t="shared" si="454"/>
        <v>0</v>
      </c>
      <c r="T2016" s="338">
        <f t="shared" si="454"/>
        <v>0</v>
      </c>
      <c r="U2016" s="51">
        <f t="shared" si="454"/>
        <v>0</v>
      </c>
      <c r="V2016" s="35">
        <f t="shared" si="454"/>
        <v>0</v>
      </c>
      <c r="W2016" s="51">
        <f t="shared" si="454"/>
        <v>1023651.39</v>
      </c>
      <c r="X2016" s="285"/>
      <c r="Y2016" s="9"/>
      <c r="Z2016" s="318"/>
      <c r="AA2016" s="9"/>
      <c r="AB2016" s="302"/>
      <c r="AC2016" s="302"/>
      <c r="AD2016" s="302"/>
    </row>
    <row r="2017" spans="1:38" x14ac:dyDescent="0.3">
      <c r="A2017" s="435" t="s">
        <v>2701</v>
      </c>
      <c r="B2017" s="363"/>
      <c r="C2017" s="51"/>
      <c r="D2017" s="51"/>
      <c r="E2017" s="51"/>
      <c r="F2017" s="51"/>
      <c r="G2017" s="51"/>
      <c r="H2017" s="51"/>
      <c r="I2017" s="51"/>
      <c r="J2017" s="51"/>
      <c r="K2017" s="51"/>
      <c r="L2017" s="51"/>
      <c r="M2017" s="35"/>
      <c r="N2017" s="51"/>
      <c r="O2017" s="82"/>
      <c r="P2017" s="51"/>
      <c r="Q2017" s="338"/>
      <c r="R2017" s="51"/>
      <c r="S2017" s="51"/>
      <c r="T2017" s="338"/>
      <c r="U2017" s="51"/>
      <c r="V2017" s="35"/>
      <c r="W2017" s="364"/>
      <c r="X2017" s="285"/>
      <c r="Y2017" s="9"/>
      <c r="Z2017" s="318"/>
      <c r="AA2017" s="9"/>
      <c r="AB2017" s="302"/>
      <c r="AC2017" s="302"/>
      <c r="AD2017" s="302"/>
    </row>
    <row r="2018" spans="1:38" x14ac:dyDescent="0.3">
      <c r="A2018" s="47">
        <f>A2015+1</f>
        <v>1827</v>
      </c>
      <c r="B2018" s="414" t="s">
        <v>2702</v>
      </c>
      <c r="C2018" s="51">
        <f t="shared" ref="C2018:C2026" si="455">D2018+K2018+L2018+N2018+P2018+R2018+S2018+U2018+V2018+W2018</f>
        <v>192030.89</v>
      </c>
      <c r="D2018" s="51">
        <f t="shared" ref="D2018:D2026" si="456">E2018+F2018+G2018+H2018+I2018</f>
        <v>0</v>
      </c>
      <c r="E2018" s="51"/>
      <c r="F2018" s="51"/>
      <c r="G2018" s="51"/>
      <c r="H2018" s="51"/>
      <c r="I2018" s="51"/>
      <c r="J2018" s="51"/>
      <c r="K2018" s="51"/>
      <c r="L2018" s="51"/>
      <c r="M2018" s="35"/>
      <c r="N2018" s="51"/>
      <c r="O2018" s="82"/>
      <c r="P2018" s="51"/>
      <c r="Q2018" s="338"/>
      <c r="R2018" s="51"/>
      <c r="S2018" s="51"/>
      <c r="T2018" s="338"/>
      <c r="U2018" s="51"/>
      <c r="V2018" s="35"/>
      <c r="W2018" s="364">
        <f t="shared" ref="W2018:W2026" si="457">SUM(X2018:AD2018)</f>
        <v>192030.89</v>
      </c>
      <c r="X2018" s="285">
        <v>192030.89</v>
      </c>
      <c r="Y2018" s="9"/>
      <c r="Z2018" s="318"/>
      <c r="AA2018" s="9"/>
      <c r="AB2018" s="302"/>
      <c r="AC2018" s="302"/>
      <c r="AD2018" s="302"/>
    </row>
    <row r="2019" spans="1:38" x14ac:dyDescent="0.3">
      <c r="A2019" s="47">
        <f t="shared" ref="A2019:A2020" si="458">A2018+1</f>
        <v>1828</v>
      </c>
      <c r="B2019" s="414" t="s">
        <v>2703</v>
      </c>
      <c r="C2019" s="51">
        <f t="shared" si="455"/>
        <v>562660.14</v>
      </c>
      <c r="D2019" s="51">
        <f t="shared" si="456"/>
        <v>0</v>
      </c>
      <c r="E2019" s="51"/>
      <c r="F2019" s="51"/>
      <c r="G2019" s="51"/>
      <c r="H2019" s="51"/>
      <c r="I2019" s="51"/>
      <c r="J2019" s="51"/>
      <c r="K2019" s="51"/>
      <c r="L2019" s="51"/>
      <c r="M2019" s="35"/>
      <c r="N2019" s="51"/>
      <c r="O2019" s="82"/>
      <c r="P2019" s="51"/>
      <c r="Q2019" s="338"/>
      <c r="R2019" s="51"/>
      <c r="S2019" s="51"/>
      <c r="T2019" s="338"/>
      <c r="U2019" s="51"/>
      <c r="V2019" s="35"/>
      <c r="W2019" s="364">
        <f t="shared" si="457"/>
        <v>562660.14</v>
      </c>
      <c r="X2019" s="285"/>
      <c r="Y2019" s="9"/>
      <c r="Z2019" s="318"/>
      <c r="AA2019" s="9">
        <v>562660.14</v>
      </c>
      <c r="AB2019" s="302"/>
      <c r="AC2019" s="302"/>
      <c r="AD2019" s="302"/>
    </row>
    <row r="2020" spans="1:38" x14ac:dyDescent="0.3">
      <c r="A2020" s="47">
        <f t="shared" si="458"/>
        <v>1829</v>
      </c>
      <c r="B2020" s="414" t="s">
        <v>2704</v>
      </c>
      <c r="C2020" s="51">
        <f t="shared" si="455"/>
        <v>580271.29</v>
      </c>
      <c r="D2020" s="51">
        <f t="shared" si="456"/>
        <v>0</v>
      </c>
      <c r="E2020" s="51"/>
      <c r="F2020" s="51"/>
      <c r="G2020" s="51"/>
      <c r="H2020" s="51"/>
      <c r="I2020" s="51"/>
      <c r="J2020" s="51"/>
      <c r="K2020" s="51"/>
      <c r="L2020" s="51"/>
      <c r="M2020" s="35"/>
      <c r="N2020" s="51"/>
      <c r="O2020" s="82"/>
      <c r="P2020" s="51"/>
      <c r="Q2020" s="338"/>
      <c r="R2020" s="51"/>
      <c r="S2020" s="51"/>
      <c r="T2020" s="338"/>
      <c r="U2020" s="51"/>
      <c r="V2020" s="35"/>
      <c r="W2020" s="364">
        <f t="shared" si="457"/>
        <v>580271.29</v>
      </c>
      <c r="X2020" s="285"/>
      <c r="Y2020" s="9"/>
      <c r="Z2020" s="318"/>
      <c r="AA2020" s="9">
        <v>580271.29</v>
      </c>
      <c r="AB2020" s="302"/>
      <c r="AC2020" s="302"/>
      <c r="AD2020" s="302"/>
    </row>
    <row r="2021" spans="1:38" x14ac:dyDescent="0.3">
      <c r="A2021" s="47">
        <f t="shared" ref="A2021:A2026" si="459">A2020+1</f>
        <v>1830</v>
      </c>
      <c r="B2021" s="414" t="s">
        <v>2705</v>
      </c>
      <c r="C2021" s="51">
        <f t="shared" si="455"/>
        <v>448446.39</v>
      </c>
      <c r="D2021" s="51">
        <f t="shared" si="456"/>
        <v>0</v>
      </c>
      <c r="E2021" s="51"/>
      <c r="F2021" s="51"/>
      <c r="G2021" s="51"/>
      <c r="H2021" s="51"/>
      <c r="I2021" s="51"/>
      <c r="J2021" s="51"/>
      <c r="K2021" s="51"/>
      <c r="L2021" s="51"/>
      <c r="M2021" s="35"/>
      <c r="N2021" s="51"/>
      <c r="O2021" s="82"/>
      <c r="P2021" s="51"/>
      <c r="Q2021" s="338"/>
      <c r="R2021" s="51"/>
      <c r="S2021" s="51"/>
      <c r="T2021" s="338"/>
      <c r="U2021" s="51"/>
      <c r="V2021" s="35"/>
      <c r="W2021" s="364">
        <f t="shared" si="457"/>
        <v>448446.39</v>
      </c>
      <c r="X2021" s="285"/>
      <c r="Y2021" s="9">
        <v>242144.32</v>
      </c>
      <c r="Z2021" s="318">
        <v>206302.07</v>
      </c>
      <c r="AA2021" s="9"/>
      <c r="AB2021" s="302"/>
      <c r="AC2021" s="302"/>
      <c r="AD2021" s="302"/>
    </row>
    <row r="2022" spans="1:38" x14ac:dyDescent="0.3">
      <c r="A2022" s="47">
        <f t="shared" si="459"/>
        <v>1831</v>
      </c>
      <c r="B2022" s="414" t="s">
        <v>2706</v>
      </c>
      <c r="C2022" s="51">
        <f t="shared" si="455"/>
        <v>838622.77</v>
      </c>
      <c r="D2022" s="51">
        <f t="shared" si="456"/>
        <v>0</v>
      </c>
      <c r="E2022" s="51"/>
      <c r="F2022" s="51"/>
      <c r="G2022" s="51"/>
      <c r="H2022" s="51"/>
      <c r="I2022" s="51"/>
      <c r="J2022" s="51"/>
      <c r="K2022" s="51"/>
      <c r="L2022" s="51"/>
      <c r="M2022" s="35"/>
      <c r="N2022" s="51"/>
      <c r="O2022" s="82"/>
      <c r="P2022" s="51"/>
      <c r="Q2022" s="338"/>
      <c r="R2022" s="51"/>
      <c r="S2022" s="51"/>
      <c r="T2022" s="338"/>
      <c r="U2022" s="51"/>
      <c r="V2022" s="35"/>
      <c r="W2022" s="364">
        <f t="shared" si="457"/>
        <v>838622.77</v>
      </c>
      <c r="X2022" s="285"/>
      <c r="Y2022" s="9"/>
      <c r="Z2022" s="318"/>
      <c r="AA2022" s="9">
        <v>838622.77</v>
      </c>
      <c r="AB2022" s="302"/>
      <c r="AC2022" s="302"/>
      <c r="AD2022" s="302"/>
    </row>
    <row r="2023" spans="1:38" x14ac:dyDescent="0.3">
      <c r="A2023" s="47">
        <f t="shared" si="459"/>
        <v>1832</v>
      </c>
      <c r="B2023" s="414" t="s">
        <v>2707</v>
      </c>
      <c r="C2023" s="51">
        <f t="shared" si="455"/>
        <v>202196.69</v>
      </c>
      <c r="D2023" s="51">
        <f t="shared" si="456"/>
        <v>0</v>
      </c>
      <c r="E2023" s="51"/>
      <c r="F2023" s="51"/>
      <c r="G2023" s="51"/>
      <c r="H2023" s="51"/>
      <c r="I2023" s="51"/>
      <c r="J2023" s="51"/>
      <c r="K2023" s="51"/>
      <c r="L2023" s="51"/>
      <c r="M2023" s="35"/>
      <c r="N2023" s="51"/>
      <c r="O2023" s="82"/>
      <c r="P2023" s="51"/>
      <c r="Q2023" s="338"/>
      <c r="R2023" s="51"/>
      <c r="S2023" s="51"/>
      <c r="T2023" s="338"/>
      <c r="U2023" s="51"/>
      <c r="V2023" s="35"/>
      <c r="W2023" s="364">
        <f t="shared" si="457"/>
        <v>202196.69</v>
      </c>
      <c r="X2023" s="285">
        <v>202196.69</v>
      </c>
      <c r="Y2023" s="9"/>
      <c r="Z2023" s="318"/>
      <c r="AA2023" s="9"/>
      <c r="AB2023" s="302"/>
      <c r="AC2023" s="302"/>
      <c r="AD2023" s="302"/>
    </row>
    <row r="2024" spans="1:38" x14ac:dyDescent="0.3">
      <c r="A2024" s="47">
        <f t="shared" si="459"/>
        <v>1833</v>
      </c>
      <c r="B2024" s="414" t="s">
        <v>2708</v>
      </c>
      <c r="C2024" s="51">
        <f t="shared" si="455"/>
        <v>202196.69</v>
      </c>
      <c r="D2024" s="51">
        <f t="shared" si="456"/>
        <v>0</v>
      </c>
      <c r="E2024" s="51"/>
      <c r="F2024" s="51"/>
      <c r="G2024" s="51"/>
      <c r="H2024" s="51"/>
      <c r="I2024" s="51"/>
      <c r="J2024" s="51"/>
      <c r="K2024" s="51"/>
      <c r="L2024" s="51"/>
      <c r="M2024" s="35"/>
      <c r="N2024" s="51"/>
      <c r="O2024" s="82"/>
      <c r="P2024" s="51"/>
      <c r="Q2024" s="338"/>
      <c r="R2024" s="51"/>
      <c r="S2024" s="51"/>
      <c r="T2024" s="338"/>
      <c r="U2024" s="51"/>
      <c r="V2024" s="35"/>
      <c r="W2024" s="364">
        <f t="shared" si="457"/>
        <v>202196.69</v>
      </c>
      <c r="X2024" s="285">
        <v>202196.69</v>
      </c>
      <c r="Y2024" s="9"/>
      <c r="Z2024" s="318"/>
      <c r="AA2024" s="9"/>
      <c r="AB2024" s="302"/>
      <c r="AC2024" s="302"/>
      <c r="AD2024" s="302"/>
    </row>
    <row r="2025" spans="1:38" x14ac:dyDescent="0.3">
      <c r="A2025" s="47">
        <f t="shared" si="459"/>
        <v>1834</v>
      </c>
      <c r="B2025" s="414" t="s">
        <v>2709</v>
      </c>
      <c r="C2025" s="51">
        <f t="shared" si="455"/>
        <v>202679.24</v>
      </c>
      <c r="D2025" s="51">
        <f t="shared" si="456"/>
        <v>0</v>
      </c>
      <c r="E2025" s="51"/>
      <c r="F2025" s="51"/>
      <c r="G2025" s="51"/>
      <c r="H2025" s="51"/>
      <c r="I2025" s="51"/>
      <c r="J2025" s="51"/>
      <c r="K2025" s="51"/>
      <c r="L2025" s="51"/>
      <c r="M2025" s="35"/>
      <c r="N2025" s="51"/>
      <c r="O2025" s="82"/>
      <c r="P2025" s="51"/>
      <c r="Q2025" s="338"/>
      <c r="R2025" s="51"/>
      <c r="S2025" s="51"/>
      <c r="T2025" s="338"/>
      <c r="U2025" s="51"/>
      <c r="V2025" s="35"/>
      <c r="W2025" s="364">
        <f t="shared" si="457"/>
        <v>202679.24</v>
      </c>
      <c r="X2025" s="285">
        <v>202679.24</v>
      </c>
      <c r="Y2025" s="9"/>
      <c r="Z2025" s="318"/>
      <c r="AA2025" s="9"/>
      <c r="AB2025" s="302"/>
      <c r="AC2025" s="302"/>
      <c r="AD2025" s="302"/>
    </row>
    <row r="2026" spans="1:38" x14ac:dyDescent="0.3">
      <c r="A2026" s="47">
        <f t="shared" si="459"/>
        <v>1835</v>
      </c>
      <c r="B2026" s="414" t="s">
        <v>2710</v>
      </c>
      <c r="C2026" s="51">
        <f t="shared" si="455"/>
        <v>982644.77</v>
      </c>
      <c r="D2026" s="51">
        <f t="shared" si="456"/>
        <v>0</v>
      </c>
      <c r="E2026" s="51"/>
      <c r="F2026" s="51"/>
      <c r="G2026" s="51"/>
      <c r="H2026" s="51"/>
      <c r="I2026" s="51"/>
      <c r="J2026" s="51"/>
      <c r="K2026" s="51"/>
      <c r="L2026" s="51"/>
      <c r="M2026" s="35"/>
      <c r="N2026" s="51"/>
      <c r="O2026" s="82"/>
      <c r="P2026" s="51"/>
      <c r="Q2026" s="338"/>
      <c r="R2026" s="51"/>
      <c r="S2026" s="51"/>
      <c r="T2026" s="338"/>
      <c r="U2026" s="51"/>
      <c r="V2026" s="35"/>
      <c r="W2026" s="364">
        <f t="shared" si="457"/>
        <v>982644.77</v>
      </c>
      <c r="X2026" s="285">
        <v>232177.03</v>
      </c>
      <c r="Y2026" s="9">
        <v>413111.87</v>
      </c>
      <c r="Z2026" s="318">
        <v>337355.87</v>
      </c>
      <c r="AA2026" s="9"/>
      <c r="AB2026" s="302"/>
      <c r="AC2026" s="302"/>
      <c r="AD2026" s="302"/>
    </row>
    <row r="2027" spans="1:38" x14ac:dyDescent="0.3">
      <c r="A2027" s="439" t="s">
        <v>211</v>
      </c>
      <c r="B2027" s="399"/>
      <c r="C2027" s="51">
        <f t="shared" ref="C2027:W2027" si="460">SUM(C2018:C2026)</f>
        <v>4211748.8699999992</v>
      </c>
      <c r="D2027" s="51">
        <f t="shared" si="460"/>
        <v>0</v>
      </c>
      <c r="E2027" s="51">
        <f t="shared" si="460"/>
        <v>0</v>
      </c>
      <c r="F2027" s="51">
        <f t="shared" si="460"/>
        <v>0</v>
      </c>
      <c r="G2027" s="51">
        <f t="shared" si="460"/>
        <v>0</v>
      </c>
      <c r="H2027" s="51">
        <f t="shared" si="460"/>
        <v>0</v>
      </c>
      <c r="I2027" s="51">
        <f t="shared" si="460"/>
        <v>0</v>
      </c>
      <c r="J2027" s="51">
        <f t="shared" si="460"/>
        <v>0</v>
      </c>
      <c r="K2027" s="51">
        <f t="shared" si="460"/>
        <v>0</v>
      </c>
      <c r="L2027" s="51">
        <f t="shared" si="460"/>
        <v>0</v>
      </c>
      <c r="M2027" s="35">
        <f t="shared" si="460"/>
        <v>0</v>
      </c>
      <c r="N2027" s="51">
        <f t="shared" si="460"/>
        <v>0</v>
      </c>
      <c r="O2027" s="82">
        <f t="shared" si="460"/>
        <v>0</v>
      </c>
      <c r="P2027" s="51">
        <f t="shared" si="460"/>
        <v>0</v>
      </c>
      <c r="Q2027" s="338">
        <f t="shared" si="460"/>
        <v>0</v>
      </c>
      <c r="R2027" s="51">
        <f t="shared" si="460"/>
        <v>0</v>
      </c>
      <c r="S2027" s="51">
        <f t="shared" si="460"/>
        <v>0</v>
      </c>
      <c r="T2027" s="338">
        <f t="shared" si="460"/>
        <v>0</v>
      </c>
      <c r="U2027" s="51">
        <f t="shared" si="460"/>
        <v>0</v>
      </c>
      <c r="V2027" s="35">
        <f t="shared" si="460"/>
        <v>0</v>
      </c>
      <c r="W2027" s="51">
        <f t="shared" si="460"/>
        <v>4211748.8699999992</v>
      </c>
      <c r="X2027" s="285"/>
      <c r="Y2027" s="9"/>
      <c r="Z2027" s="318"/>
      <c r="AA2027" s="9"/>
      <c r="AB2027" s="302"/>
      <c r="AC2027" s="302"/>
      <c r="AD2027" s="302"/>
    </row>
    <row r="2028" spans="1:38" x14ac:dyDescent="0.3">
      <c r="A2028" s="435" t="s">
        <v>2711</v>
      </c>
      <c r="B2028" s="363"/>
      <c r="C2028" s="51">
        <f>C2027+C2016+C2007+C2004+C2000+C1990+C1987+C1984+C1966+C1958+C1949</f>
        <v>341038540.89000005</v>
      </c>
      <c r="D2028" s="51">
        <f t="shared" ref="D2028:W2028" si="461">D2027+D2016+D2007+D2004+D2000+D1990+D1987+D1984+D1966+D1958+D1949</f>
        <v>90741132.25</v>
      </c>
      <c r="E2028" s="51">
        <f t="shared" si="461"/>
        <v>9701124</v>
      </c>
      <c r="F2028" s="51">
        <f t="shared" si="461"/>
        <v>38996426.400000006</v>
      </c>
      <c r="G2028" s="51">
        <f t="shared" si="461"/>
        <v>12865364.799999999</v>
      </c>
      <c r="H2028" s="51">
        <f t="shared" si="461"/>
        <v>25138413.999999996</v>
      </c>
      <c r="I2028" s="51">
        <f t="shared" si="461"/>
        <v>4039803.0500000003</v>
      </c>
      <c r="J2028" s="51">
        <f t="shared" si="461"/>
        <v>0</v>
      </c>
      <c r="K2028" s="51">
        <f t="shared" si="461"/>
        <v>0</v>
      </c>
      <c r="L2028" s="51">
        <f t="shared" si="461"/>
        <v>0</v>
      </c>
      <c r="M2028" s="35">
        <f t="shared" si="461"/>
        <v>3143.81</v>
      </c>
      <c r="N2028" s="51">
        <f t="shared" si="461"/>
        <v>12658168.299999999</v>
      </c>
      <c r="O2028" s="82">
        <f t="shared" si="461"/>
        <v>2492.5</v>
      </c>
      <c r="P2028" s="51">
        <f t="shared" si="461"/>
        <v>13320702.18</v>
      </c>
      <c r="Q2028" s="338">
        <f t="shared" si="461"/>
        <v>10921</v>
      </c>
      <c r="R2028" s="51">
        <f t="shared" si="461"/>
        <v>105217628.44</v>
      </c>
      <c r="S2028" s="51">
        <f t="shared" si="461"/>
        <v>0</v>
      </c>
      <c r="T2028" s="338">
        <f t="shared" si="461"/>
        <v>8967</v>
      </c>
      <c r="U2028" s="51">
        <f t="shared" si="461"/>
        <v>34693610.280000009</v>
      </c>
      <c r="V2028" s="35">
        <f t="shared" si="461"/>
        <v>65991653</v>
      </c>
      <c r="W2028" s="51">
        <f t="shared" si="461"/>
        <v>12521005.84</v>
      </c>
      <c r="X2028" s="285"/>
      <c r="Y2028" s="9"/>
      <c r="Z2028" s="318"/>
      <c r="AA2028" s="9"/>
      <c r="AB2028" s="302"/>
      <c r="AC2028" s="302"/>
      <c r="AD2028" s="302"/>
    </row>
    <row r="2029" spans="1:38" x14ac:dyDescent="0.3">
      <c r="A2029" s="435" t="s">
        <v>3836</v>
      </c>
      <c r="B2029" s="363"/>
      <c r="C2029" s="363"/>
      <c r="D2029" s="363"/>
      <c r="E2029" s="363"/>
      <c r="F2029" s="363"/>
      <c r="G2029" s="363"/>
      <c r="H2029" s="363"/>
      <c r="I2029" s="363"/>
      <c r="J2029" s="363"/>
      <c r="K2029" s="363"/>
      <c r="L2029" s="363"/>
      <c r="M2029" s="393"/>
      <c r="N2029" s="363"/>
      <c r="O2029" s="391"/>
      <c r="P2029" s="363"/>
      <c r="Q2029" s="392"/>
      <c r="R2029" s="363"/>
      <c r="S2029" s="363"/>
      <c r="T2029" s="392"/>
      <c r="U2029" s="363"/>
      <c r="V2029" s="393"/>
      <c r="W2029" s="363"/>
      <c r="X2029" s="144"/>
      <c r="Y2029" s="48"/>
      <c r="Z2029" s="48"/>
      <c r="AA2029" s="48"/>
      <c r="AB2029" s="48"/>
      <c r="AC2029" s="48"/>
      <c r="AD2029" s="48"/>
      <c r="AE2029" s="48"/>
      <c r="AF2029" s="48"/>
      <c r="AG2029" s="48"/>
      <c r="AH2029" s="187"/>
      <c r="AI2029" s="48"/>
      <c r="AJ2029" s="48"/>
      <c r="AK2029" s="48"/>
      <c r="AL2029" s="48"/>
    </row>
    <row r="2030" spans="1:38" x14ac:dyDescent="0.3">
      <c r="A2030" s="435" t="s">
        <v>3930</v>
      </c>
      <c r="B2030" s="363"/>
      <c r="C2030" s="51"/>
      <c r="D2030" s="51"/>
      <c r="E2030" s="51"/>
      <c r="F2030" s="51"/>
      <c r="G2030" s="51"/>
      <c r="H2030" s="51"/>
      <c r="I2030" s="51"/>
      <c r="J2030" s="51"/>
      <c r="K2030" s="51"/>
      <c r="L2030" s="51"/>
      <c r="M2030" s="35"/>
      <c r="N2030" s="51"/>
      <c r="O2030" s="82"/>
      <c r="P2030" s="51"/>
      <c r="Q2030" s="338"/>
      <c r="R2030" s="51"/>
      <c r="S2030" s="51"/>
      <c r="T2030" s="338"/>
      <c r="U2030" s="51"/>
      <c r="V2030" s="35"/>
      <c r="W2030" s="364"/>
      <c r="X2030" s="141"/>
      <c r="Y2030" s="48"/>
      <c r="Z2030" s="48"/>
      <c r="AA2030" s="48"/>
      <c r="AB2030" s="48"/>
      <c r="AC2030" s="48"/>
      <c r="AD2030" s="48"/>
      <c r="AE2030" s="48"/>
      <c r="AF2030" s="48"/>
      <c r="AG2030" s="48"/>
      <c r="AH2030" s="187"/>
      <c r="AI2030" s="48"/>
      <c r="AJ2030" s="48"/>
      <c r="AK2030" s="48"/>
      <c r="AL2030" s="48"/>
    </row>
    <row r="2031" spans="1:38" x14ac:dyDescent="0.3">
      <c r="A2031" s="47">
        <f>A2026+1</f>
        <v>1836</v>
      </c>
      <c r="B2031" s="414" t="s">
        <v>3931</v>
      </c>
      <c r="C2031" s="51">
        <f t="shared" ref="C2031:C2057" si="462">D2031+K2031+L2031+N2031+P2031+R2031+S2031+U2031+V2031+W2031</f>
        <v>294574.88</v>
      </c>
      <c r="D2031" s="51">
        <f t="shared" ref="D2031:D2057" si="463">E2031+F2031+G2031+H2031+I2031</f>
        <v>0</v>
      </c>
      <c r="E2031" s="51"/>
      <c r="F2031" s="51"/>
      <c r="G2031" s="51"/>
      <c r="H2031" s="51"/>
      <c r="I2031" s="51"/>
      <c r="J2031" s="51"/>
      <c r="K2031" s="51"/>
      <c r="L2031" s="51"/>
      <c r="M2031" s="35"/>
      <c r="N2031" s="51"/>
      <c r="O2031" s="82"/>
      <c r="P2031" s="51"/>
      <c r="Q2031" s="338"/>
      <c r="R2031" s="51"/>
      <c r="S2031" s="51"/>
      <c r="T2031" s="338"/>
      <c r="U2031" s="51"/>
      <c r="V2031" s="35"/>
      <c r="W2031" s="364">
        <f t="shared" ref="W2031:W2057" si="464">SUM(Y2031:AL2031)</f>
        <v>294574.88</v>
      </c>
      <c r="X2031" s="141"/>
      <c r="Y2031" s="48"/>
      <c r="Z2031" s="48"/>
      <c r="AA2031" s="48">
        <v>101939.7</v>
      </c>
      <c r="AB2031" s="48"/>
      <c r="AC2031" s="48"/>
      <c r="AD2031" s="48"/>
      <c r="AE2031" s="48"/>
      <c r="AF2031" s="48"/>
      <c r="AG2031" s="48">
        <v>192635.18</v>
      </c>
      <c r="AH2031" s="187"/>
      <c r="AI2031" s="48"/>
      <c r="AJ2031" s="48"/>
      <c r="AK2031" s="48"/>
      <c r="AL2031" s="48"/>
    </row>
    <row r="2032" spans="1:38" x14ac:dyDescent="0.3">
      <c r="A2032" s="47">
        <f t="shared" ref="A2032:A2033" si="465">A2031+1</f>
        <v>1837</v>
      </c>
      <c r="B2032" s="414" t="s">
        <v>3932</v>
      </c>
      <c r="C2032" s="51">
        <f t="shared" si="462"/>
        <v>266018.39</v>
      </c>
      <c r="D2032" s="51">
        <f t="shared" si="463"/>
        <v>0</v>
      </c>
      <c r="E2032" s="51"/>
      <c r="F2032" s="51"/>
      <c r="G2032" s="51"/>
      <c r="H2032" s="51"/>
      <c r="I2032" s="51"/>
      <c r="J2032" s="51"/>
      <c r="K2032" s="51"/>
      <c r="L2032" s="51"/>
      <c r="M2032" s="35"/>
      <c r="N2032" s="51"/>
      <c r="O2032" s="82"/>
      <c r="P2032" s="51"/>
      <c r="Q2032" s="338"/>
      <c r="R2032" s="51"/>
      <c r="S2032" s="51"/>
      <c r="T2032" s="338"/>
      <c r="U2032" s="51"/>
      <c r="V2032" s="35"/>
      <c r="W2032" s="364">
        <f t="shared" si="464"/>
        <v>266018.39</v>
      </c>
      <c r="X2032" s="141"/>
      <c r="Y2032" s="48"/>
      <c r="Z2032" s="48"/>
      <c r="AA2032" s="48">
        <v>90947.83</v>
      </c>
      <c r="AB2032" s="48"/>
      <c r="AC2032" s="48"/>
      <c r="AD2032" s="48"/>
      <c r="AE2032" s="48"/>
      <c r="AF2032" s="48"/>
      <c r="AG2032" s="48">
        <v>175070.56</v>
      </c>
      <c r="AH2032" s="187"/>
      <c r="AI2032" s="48"/>
      <c r="AJ2032" s="48"/>
      <c r="AK2032" s="48"/>
      <c r="AL2032" s="48"/>
    </row>
    <row r="2033" spans="1:38" x14ac:dyDescent="0.3">
      <c r="A2033" s="47">
        <f t="shared" si="465"/>
        <v>1838</v>
      </c>
      <c r="B2033" s="414" t="s">
        <v>3933</v>
      </c>
      <c r="C2033" s="51">
        <f t="shared" si="462"/>
        <v>307489.8</v>
      </c>
      <c r="D2033" s="51">
        <f t="shared" si="463"/>
        <v>0</v>
      </c>
      <c r="E2033" s="51"/>
      <c r="F2033" s="51"/>
      <c r="G2033" s="51"/>
      <c r="H2033" s="51"/>
      <c r="I2033" s="51"/>
      <c r="J2033" s="51"/>
      <c r="K2033" s="51"/>
      <c r="L2033" s="51"/>
      <c r="M2033" s="35"/>
      <c r="N2033" s="51"/>
      <c r="O2033" s="82"/>
      <c r="P2033" s="51"/>
      <c r="Q2033" s="338"/>
      <c r="R2033" s="51"/>
      <c r="S2033" s="51"/>
      <c r="T2033" s="338"/>
      <c r="U2033" s="51"/>
      <c r="V2033" s="35"/>
      <c r="W2033" s="364">
        <f t="shared" si="464"/>
        <v>307489.8</v>
      </c>
      <c r="X2033" s="141"/>
      <c r="Y2033" s="48"/>
      <c r="Z2033" s="48"/>
      <c r="AA2033" s="48">
        <v>106913.72</v>
      </c>
      <c r="AB2033" s="48"/>
      <c r="AC2033" s="48"/>
      <c r="AD2033" s="48"/>
      <c r="AE2033" s="48"/>
      <c r="AF2033" s="48"/>
      <c r="AG2033" s="48">
        <v>200576.08</v>
      </c>
      <c r="AH2033" s="187"/>
      <c r="AI2033" s="48"/>
      <c r="AJ2033" s="48"/>
      <c r="AK2033" s="48"/>
      <c r="AL2033" s="48"/>
    </row>
    <row r="2034" spans="1:38" x14ac:dyDescent="0.3">
      <c r="A2034" s="47">
        <f t="shared" ref="A2034:A2057" si="466">A2033+1</f>
        <v>1839</v>
      </c>
      <c r="B2034" s="414" t="s">
        <v>3934</v>
      </c>
      <c r="C2034" s="51">
        <f t="shared" si="462"/>
        <v>288967.08</v>
      </c>
      <c r="D2034" s="51">
        <f t="shared" si="463"/>
        <v>0</v>
      </c>
      <c r="E2034" s="51"/>
      <c r="F2034" s="51"/>
      <c r="G2034" s="51"/>
      <c r="H2034" s="51"/>
      <c r="I2034" s="51"/>
      <c r="J2034" s="51"/>
      <c r="K2034" s="51"/>
      <c r="L2034" s="51"/>
      <c r="M2034" s="35"/>
      <c r="N2034" s="51"/>
      <c r="O2034" s="82"/>
      <c r="P2034" s="51"/>
      <c r="Q2034" s="338"/>
      <c r="R2034" s="51"/>
      <c r="S2034" s="51"/>
      <c r="T2034" s="338"/>
      <c r="U2034" s="51"/>
      <c r="V2034" s="35"/>
      <c r="W2034" s="364">
        <f t="shared" si="464"/>
        <v>288967.08</v>
      </c>
      <c r="X2034" s="141"/>
      <c r="Y2034" s="48"/>
      <c r="Z2034" s="48"/>
      <c r="AA2034" s="48"/>
      <c r="AB2034" s="48"/>
      <c r="AC2034" s="48"/>
      <c r="AD2034" s="48"/>
      <c r="AE2034" s="48"/>
      <c r="AF2034" s="48"/>
      <c r="AG2034" s="48"/>
      <c r="AH2034" s="187">
        <v>288967.08</v>
      </c>
      <c r="AI2034" s="48"/>
      <c r="AJ2034" s="48"/>
      <c r="AK2034" s="48"/>
      <c r="AL2034" s="48"/>
    </row>
    <row r="2035" spans="1:38" x14ac:dyDescent="0.3">
      <c r="A2035" s="47">
        <f t="shared" si="466"/>
        <v>1840</v>
      </c>
      <c r="B2035" s="414" t="s">
        <v>3935</v>
      </c>
      <c r="C2035" s="51">
        <f t="shared" si="462"/>
        <v>303045.83999999997</v>
      </c>
      <c r="D2035" s="51">
        <f t="shared" si="463"/>
        <v>0</v>
      </c>
      <c r="E2035" s="51"/>
      <c r="F2035" s="51"/>
      <c r="G2035" s="51"/>
      <c r="H2035" s="51"/>
      <c r="I2035" s="51"/>
      <c r="J2035" s="51"/>
      <c r="K2035" s="51"/>
      <c r="L2035" s="51"/>
      <c r="M2035" s="35"/>
      <c r="N2035" s="51"/>
      <c r="O2035" s="82"/>
      <c r="P2035" s="51"/>
      <c r="Q2035" s="338"/>
      <c r="R2035" s="51"/>
      <c r="S2035" s="51"/>
      <c r="T2035" s="338"/>
      <c r="U2035" s="51"/>
      <c r="V2035" s="35"/>
      <c r="W2035" s="364">
        <f t="shared" si="464"/>
        <v>303045.83999999997</v>
      </c>
      <c r="X2035" s="141"/>
      <c r="Y2035" s="48"/>
      <c r="Z2035" s="48"/>
      <c r="AA2035" s="48">
        <v>105204.37</v>
      </c>
      <c r="AB2035" s="48"/>
      <c r="AC2035" s="48"/>
      <c r="AD2035" s="48"/>
      <c r="AE2035" s="48"/>
      <c r="AF2035" s="48"/>
      <c r="AG2035" s="48">
        <v>197841.47</v>
      </c>
      <c r="AH2035" s="187"/>
      <c r="AI2035" s="48"/>
      <c r="AJ2035" s="48"/>
      <c r="AK2035" s="48"/>
      <c r="AL2035" s="48"/>
    </row>
    <row r="2036" spans="1:38" x14ac:dyDescent="0.3">
      <c r="A2036" s="47">
        <f t="shared" si="466"/>
        <v>1841</v>
      </c>
      <c r="B2036" s="414" t="s">
        <v>3936</v>
      </c>
      <c r="C2036" s="51">
        <f t="shared" si="462"/>
        <v>505251.88</v>
      </c>
      <c r="D2036" s="51">
        <f t="shared" si="463"/>
        <v>0</v>
      </c>
      <c r="E2036" s="51"/>
      <c r="F2036" s="51"/>
      <c r="G2036" s="51"/>
      <c r="H2036" s="51"/>
      <c r="I2036" s="51"/>
      <c r="J2036" s="51"/>
      <c r="K2036" s="51"/>
      <c r="L2036" s="51"/>
      <c r="M2036" s="35"/>
      <c r="N2036" s="51"/>
      <c r="O2036" s="82"/>
      <c r="P2036" s="51"/>
      <c r="Q2036" s="338"/>
      <c r="R2036" s="51"/>
      <c r="S2036" s="51"/>
      <c r="T2036" s="338"/>
      <c r="U2036" s="51"/>
      <c r="V2036" s="35"/>
      <c r="W2036" s="364">
        <f t="shared" si="464"/>
        <v>505251.88</v>
      </c>
      <c r="X2036" s="141"/>
      <c r="Y2036" s="48"/>
      <c r="Z2036" s="48"/>
      <c r="AA2036" s="48"/>
      <c r="AB2036" s="48"/>
      <c r="AC2036" s="48"/>
      <c r="AD2036" s="48"/>
      <c r="AE2036" s="48"/>
      <c r="AF2036" s="48"/>
      <c r="AG2036" s="48">
        <v>216284.79999999999</v>
      </c>
      <c r="AH2036" s="187">
        <v>288967.08</v>
      </c>
      <c r="AI2036" s="48"/>
      <c r="AJ2036" s="48"/>
      <c r="AK2036" s="48"/>
      <c r="AL2036" s="48"/>
    </row>
    <row r="2037" spans="1:38" x14ac:dyDescent="0.3">
      <c r="A2037" s="47">
        <f t="shared" si="466"/>
        <v>1842</v>
      </c>
      <c r="B2037" s="414" t="s">
        <v>3937</v>
      </c>
      <c r="C2037" s="51">
        <f t="shared" si="462"/>
        <v>113597.11</v>
      </c>
      <c r="D2037" s="51">
        <f t="shared" si="463"/>
        <v>0</v>
      </c>
      <c r="E2037" s="51"/>
      <c r="F2037" s="51"/>
      <c r="G2037" s="51"/>
      <c r="H2037" s="51"/>
      <c r="I2037" s="51"/>
      <c r="J2037" s="51"/>
      <c r="K2037" s="51"/>
      <c r="L2037" s="51"/>
      <c r="M2037" s="35"/>
      <c r="N2037" s="51"/>
      <c r="O2037" s="82"/>
      <c r="P2037" s="51"/>
      <c r="Q2037" s="338"/>
      <c r="R2037" s="51"/>
      <c r="S2037" s="51"/>
      <c r="T2037" s="338"/>
      <c r="U2037" s="51"/>
      <c r="V2037" s="35"/>
      <c r="W2037" s="364">
        <f t="shared" si="464"/>
        <v>113597.11</v>
      </c>
      <c r="X2037" s="141"/>
      <c r="Y2037" s="48"/>
      <c r="Z2037" s="48"/>
      <c r="AA2037" s="48">
        <v>113597.11</v>
      </c>
      <c r="AB2037" s="48"/>
      <c r="AC2037" s="48"/>
      <c r="AD2037" s="48"/>
      <c r="AE2037" s="48"/>
      <c r="AF2037" s="48"/>
      <c r="AG2037" s="48"/>
      <c r="AH2037" s="187"/>
      <c r="AI2037" s="48"/>
      <c r="AJ2037" s="48"/>
      <c r="AK2037" s="48"/>
      <c r="AL2037" s="48"/>
    </row>
    <row r="2038" spans="1:38" x14ac:dyDescent="0.3">
      <c r="A2038" s="47">
        <f t="shared" si="466"/>
        <v>1843</v>
      </c>
      <c r="B2038" s="414" t="s">
        <v>3938</v>
      </c>
      <c r="C2038" s="51">
        <f t="shared" si="462"/>
        <v>130000</v>
      </c>
      <c r="D2038" s="51"/>
      <c r="E2038" s="51"/>
      <c r="F2038" s="51"/>
      <c r="G2038" s="51"/>
      <c r="H2038" s="51"/>
      <c r="I2038" s="51"/>
      <c r="J2038" s="51"/>
      <c r="K2038" s="51"/>
      <c r="L2038" s="51"/>
      <c r="M2038" s="35"/>
      <c r="N2038" s="51"/>
      <c r="O2038" s="82"/>
      <c r="P2038" s="51"/>
      <c r="Q2038" s="338"/>
      <c r="R2038" s="51"/>
      <c r="S2038" s="51"/>
      <c r="T2038" s="338"/>
      <c r="U2038" s="51"/>
      <c r="V2038" s="35"/>
      <c r="W2038" s="364">
        <v>130000</v>
      </c>
      <c r="X2038" s="355"/>
      <c r="Y2038" s="48"/>
      <c r="Z2038" s="48"/>
      <c r="AA2038" s="48"/>
      <c r="AB2038" s="48"/>
      <c r="AC2038" s="48"/>
      <c r="AD2038" s="48"/>
      <c r="AE2038" s="48"/>
      <c r="AF2038" s="48"/>
      <c r="AG2038" s="48"/>
      <c r="AH2038" s="187"/>
      <c r="AI2038" s="48"/>
      <c r="AJ2038" s="48"/>
      <c r="AK2038" s="48"/>
      <c r="AL2038" s="48"/>
    </row>
    <row r="2039" spans="1:38" x14ac:dyDescent="0.3">
      <c r="A2039" s="47">
        <f t="shared" si="466"/>
        <v>1844</v>
      </c>
      <c r="B2039" s="414" t="s">
        <v>3939</v>
      </c>
      <c r="C2039" s="51">
        <f t="shared" si="462"/>
        <v>111689.34</v>
      </c>
      <c r="D2039" s="51">
        <f t="shared" si="463"/>
        <v>0</v>
      </c>
      <c r="E2039" s="51"/>
      <c r="F2039" s="51"/>
      <c r="G2039" s="51"/>
      <c r="H2039" s="51"/>
      <c r="I2039" s="51"/>
      <c r="J2039" s="51"/>
      <c r="K2039" s="51"/>
      <c r="L2039" s="51"/>
      <c r="M2039" s="35"/>
      <c r="N2039" s="51"/>
      <c r="O2039" s="82"/>
      <c r="P2039" s="51"/>
      <c r="Q2039" s="338"/>
      <c r="R2039" s="51"/>
      <c r="S2039" s="51"/>
      <c r="T2039" s="338"/>
      <c r="U2039" s="51"/>
      <c r="V2039" s="35"/>
      <c r="W2039" s="364">
        <f t="shared" si="464"/>
        <v>111689.34</v>
      </c>
      <c r="X2039" s="141"/>
      <c r="Y2039" s="48"/>
      <c r="Z2039" s="48"/>
      <c r="AA2039" s="48">
        <v>111689.34</v>
      </c>
      <c r="AB2039" s="48"/>
      <c r="AC2039" s="48"/>
      <c r="AD2039" s="48"/>
      <c r="AE2039" s="48"/>
      <c r="AF2039" s="48"/>
      <c r="AG2039" s="48"/>
      <c r="AH2039" s="187"/>
      <c r="AI2039" s="48"/>
      <c r="AJ2039" s="48"/>
      <c r="AK2039" s="48"/>
      <c r="AL2039" s="48"/>
    </row>
    <row r="2040" spans="1:38" x14ac:dyDescent="0.3">
      <c r="A2040" s="47">
        <f t="shared" si="466"/>
        <v>1845</v>
      </c>
      <c r="B2040" s="414" t="s">
        <v>3940</v>
      </c>
      <c r="C2040" s="51">
        <f t="shared" si="462"/>
        <v>601818.74</v>
      </c>
      <c r="D2040" s="51">
        <f t="shared" si="463"/>
        <v>0</v>
      </c>
      <c r="E2040" s="51"/>
      <c r="F2040" s="51"/>
      <c r="G2040" s="51"/>
      <c r="H2040" s="51"/>
      <c r="I2040" s="51"/>
      <c r="J2040" s="51"/>
      <c r="K2040" s="51"/>
      <c r="L2040" s="51"/>
      <c r="M2040" s="35"/>
      <c r="N2040" s="51"/>
      <c r="O2040" s="82"/>
      <c r="P2040" s="51"/>
      <c r="Q2040" s="338"/>
      <c r="R2040" s="51"/>
      <c r="S2040" s="51"/>
      <c r="T2040" s="338"/>
      <c r="U2040" s="51"/>
      <c r="V2040" s="35"/>
      <c r="W2040" s="364">
        <f t="shared" si="464"/>
        <v>601818.74</v>
      </c>
      <c r="X2040" s="141"/>
      <c r="Y2040" s="48"/>
      <c r="Z2040" s="48"/>
      <c r="AA2040" s="48">
        <v>119811.06</v>
      </c>
      <c r="AB2040" s="48"/>
      <c r="AC2040" s="48">
        <v>121019.84</v>
      </c>
      <c r="AD2040" s="48">
        <v>142025.94</v>
      </c>
      <c r="AE2040" s="48"/>
      <c r="AF2040" s="48"/>
      <c r="AG2040" s="48">
        <v>218961.9</v>
      </c>
      <c r="AH2040" s="187"/>
      <c r="AI2040" s="48"/>
      <c r="AJ2040" s="48"/>
      <c r="AK2040" s="48"/>
      <c r="AL2040" s="48"/>
    </row>
    <row r="2041" spans="1:38" x14ac:dyDescent="0.3">
      <c r="A2041" s="47">
        <f t="shared" si="466"/>
        <v>1846</v>
      </c>
      <c r="B2041" s="414" t="s">
        <v>3941</v>
      </c>
      <c r="C2041" s="51">
        <f t="shared" si="462"/>
        <v>512145.28</v>
      </c>
      <c r="D2041" s="51">
        <f t="shared" si="463"/>
        <v>0</v>
      </c>
      <c r="E2041" s="51"/>
      <c r="F2041" s="51"/>
      <c r="G2041" s="51"/>
      <c r="H2041" s="51"/>
      <c r="I2041" s="51"/>
      <c r="J2041" s="51"/>
      <c r="K2041" s="51"/>
      <c r="L2041" s="51"/>
      <c r="M2041" s="35"/>
      <c r="N2041" s="51"/>
      <c r="O2041" s="82"/>
      <c r="P2041" s="51"/>
      <c r="Q2041" s="338"/>
      <c r="R2041" s="51"/>
      <c r="S2041" s="51"/>
      <c r="T2041" s="338"/>
      <c r="U2041" s="51"/>
      <c r="V2041" s="35"/>
      <c r="W2041" s="364">
        <f t="shared" si="464"/>
        <v>512145.28</v>
      </c>
      <c r="X2041" s="141"/>
      <c r="Y2041" s="48"/>
      <c r="Z2041" s="48"/>
      <c r="AA2041" s="48">
        <v>100332.65</v>
      </c>
      <c r="AB2041" s="48"/>
      <c r="AC2041" s="48">
        <v>99985.1</v>
      </c>
      <c r="AD2041" s="48">
        <v>121769.2</v>
      </c>
      <c r="AE2041" s="48"/>
      <c r="AF2041" s="48"/>
      <c r="AG2041" s="48">
        <v>190058.33</v>
      </c>
      <c r="AH2041" s="187"/>
      <c r="AI2041" s="48"/>
      <c r="AJ2041" s="48"/>
      <c r="AK2041" s="48"/>
      <c r="AL2041" s="48"/>
    </row>
    <row r="2042" spans="1:38" x14ac:dyDescent="0.3">
      <c r="A2042" s="47">
        <f t="shared" si="466"/>
        <v>1847</v>
      </c>
      <c r="B2042" s="414" t="s">
        <v>3942</v>
      </c>
      <c r="C2042" s="51">
        <f t="shared" si="462"/>
        <v>516268.32000000007</v>
      </c>
      <c r="D2042" s="51">
        <f t="shared" si="463"/>
        <v>0</v>
      </c>
      <c r="E2042" s="51"/>
      <c r="F2042" s="51"/>
      <c r="G2042" s="51"/>
      <c r="H2042" s="51"/>
      <c r="I2042" s="51"/>
      <c r="J2042" s="51"/>
      <c r="K2042" s="51"/>
      <c r="L2042" s="51"/>
      <c r="M2042" s="35"/>
      <c r="N2042" s="51"/>
      <c r="O2042" s="82"/>
      <c r="P2042" s="51"/>
      <c r="Q2042" s="338"/>
      <c r="R2042" s="51"/>
      <c r="S2042" s="51"/>
      <c r="T2042" s="338"/>
      <c r="U2042" s="51"/>
      <c r="V2042" s="35"/>
      <c r="W2042" s="364">
        <f t="shared" si="464"/>
        <v>516268.32000000007</v>
      </c>
      <c r="X2042" s="141"/>
      <c r="Y2042" s="48"/>
      <c r="Z2042" s="48"/>
      <c r="AA2042" s="48">
        <v>101222.45</v>
      </c>
      <c r="AB2042" s="48"/>
      <c r="AC2042" s="48">
        <v>100869.07</v>
      </c>
      <c r="AD2042" s="48">
        <v>122698.57</v>
      </c>
      <c r="AE2042" s="48"/>
      <c r="AF2042" s="48"/>
      <c r="AG2042" s="48">
        <v>191478.23</v>
      </c>
      <c r="AH2042" s="187"/>
      <c r="AI2042" s="48"/>
      <c r="AJ2042" s="48"/>
      <c r="AK2042" s="48"/>
      <c r="AL2042" s="48"/>
    </row>
    <row r="2043" spans="1:38" x14ac:dyDescent="0.3">
      <c r="A2043" s="47">
        <f t="shared" si="466"/>
        <v>1848</v>
      </c>
      <c r="B2043" s="414" t="s">
        <v>3943</v>
      </c>
      <c r="C2043" s="51">
        <f t="shared" si="462"/>
        <v>318280.22000000003</v>
      </c>
      <c r="D2043" s="51">
        <f t="shared" si="463"/>
        <v>0</v>
      </c>
      <c r="E2043" s="51"/>
      <c r="F2043" s="51"/>
      <c r="G2043" s="51"/>
      <c r="H2043" s="51"/>
      <c r="I2043" s="51"/>
      <c r="J2043" s="51"/>
      <c r="K2043" s="51"/>
      <c r="L2043" s="51"/>
      <c r="M2043" s="35"/>
      <c r="N2043" s="51"/>
      <c r="O2043" s="82"/>
      <c r="P2043" s="51"/>
      <c r="Q2043" s="338"/>
      <c r="R2043" s="51"/>
      <c r="S2043" s="51"/>
      <c r="T2043" s="338"/>
      <c r="U2043" s="51"/>
      <c r="V2043" s="35"/>
      <c r="W2043" s="364">
        <f t="shared" si="464"/>
        <v>318280.22000000003</v>
      </c>
      <c r="X2043" s="141"/>
      <c r="Y2043" s="48"/>
      <c r="Z2043" s="48"/>
      <c r="AA2043" s="48">
        <v>99078.05</v>
      </c>
      <c r="AB2043" s="48"/>
      <c r="AC2043" s="48">
        <v>98740.96</v>
      </c>
      <c r="AD2043" s="48">
        <v>120461.21</v>
      </c>
      <c r="AE2043" s="48"/>
      <c r="AF2043" s="48"/>
      <c r="AG2043" s="48"/>
      <c r="AH2043" s="187"/>
      <c r="AI2043" s="48"/>
      <c r="AJ2043" s="48"/>
      <c r="AK2043" s="48"/>
      <c r="AL2043" s="48"/>
    </row>
    <row r="2044" spans="1:38" x14ac:dyDescent="0.3">
      <c r="A2044" s="47">
        <f t="shared" si="466"/>
        <v>1849</v>
      </c>
      <c r="B2044" s="414" t="s">
        <v>3944</v>
      </c>
      <c r="C2044" s="51">
        <f t="shared" si="462"/>
        <v>324790.09000000003</v>
      </c>
      <c r="D2044" s="51">
        <f t="shared" si="463"/>
        <v>0</v>
      </c>
      <c r="E2044" s="51"/>
      <c r="F2044" s="51"/>
      <c r="G2044" s="51"/>
      <c r="H2044" s="51"/>
      <c r="I2044" s="51"/>
      <c r="J2044" s="51"/>
      <c r="K2044" s="51"/>
      <c r="L2044" s="51"/>
      <c r="M2044" s="35"/>
      <c r="N2044" s="51"/>
      <c r="O2044" s="82"/>
      <c r="P2044" s="51"/>
      <c r="Q2044" s="338"/>
      <c r="R2044" s="51"/>
      <c r="S2044" s="51"/>
      <c r="T2044" s="338"/>
      <c r="U2044" s="51"/>
      <c r="V2044" s="35"/>
      <c r="W2044" s="364">
        <f t="shared" si="464"/>
        <v>324790.09000000003</v>
      </c>
      <c r="X2044" s="141"/>
      <c r="Y2044" s="48"/>
      <c r="Z2044" s="48"/>
      <c r="AA2044" s="48">
        <v>101222.45</v>
      </c>
      <c r="AB2044" s="48"/>
      <c r="AC2044" s="48">
        <v>100869.07</v>
      </c>
      <c r="AD2044" s="48">
        <v>122698.57</v>
      </c>
      <c r="AE2044" s="48"/>
      <c r="AF2044" s="48"/>
      <c r="AG2044" s="48"/>
      <c r="AH2044" s="187"/>
      <c r="AI2044" s="48"/>
      <c r="AJ2044" s="48"/>
      <c r="AK2044" s="48"/>
      <c r="AL2044" s="48"/>
    </row>
    <row r="2045" spans="1:38" x14ac:dyDescent="0.3">
      <c r="A2045" s="47">
        <f t="shared" si="466"/>
        <v>1850</v>
      </c>
      <c r="B2045" s="414" t="s">
        <v>3945</v>
      </c>
      <c r="C2045" s="51">
        <f t="shared" si="462"/>
        <v>516268.32000000007</v>
      </c>
      <c r="D2045" s="51">
        <f t="shared" si="463"/>
        <v>0</v>
      </c>
      <c r="E2045" s="51"/>
      <c r="F2045" s="51"/>
      <c r="G2045" s="51"/>
      <c r="H2045" s="51"/>
      <c r="I2045" s="51"/>
      <c r="J2045" s="51"/>
      <c r="K2045" s="51"/>
      <c r="L2045" s="51"/>
      <c r="M2045" s="35"/>
      <c r="N2045" s="51"/>
      <c r="O2045" s="82"/>
      <c r="P2045" s="51"/>
      <c r="Q2045" s="338"/>
      <c r="R2045" s="51"/>
      <c r="S2045" s="51"/>
      <c r="T2045" s="338"/>
      <c r="U2045" s="51"/>
      <c r="V2045" s="35"/>
      <c r="W2045" s="364">
        <f t="shared" si="464"/>
        <v>516268.32000000007</v>
      </c>
      <c r="X2045" s="141"/>
      <c r="Y2045" s="48"/>
      <c r="Z2045" s="48"/>
      <c r="AA2045" s="48">
        <v>101222.45</v>
      </c>
      <c r="AB2045" s="48"/>
      <c r="AC2045" s="48">
        <v>100869.07</v>
      </c>
      <c r="AD2045" s="48">
        <v>122698.57</v>
      </c>
      <c r="AE2045" s="48"/>
      <c r="AF2045" s="48"/>
      <c r="AG2045" s="48">
        <v>191478.23</v>
      </c>
      <c r="AH2045" s="187"/>
      <c r="AI2045" s="48"/>
      <c r="AJ2045" s="48"/>
      <c r="AK2045" s="48"/>
      <c r="AL2045" s="48"/>
    </row>
    <row r="2046" spans="1:38" x14ac:dyDescent="0.3">
      <c r="A2046" s="47">
        <f t="shared" si="466"/>
        <v>1851</v>
      </c>
      <c r="B2046" s="414" t="s">
        <v>3946</v>
      </c>
      <c r="C2046" s="51">
        <f t="shared" si="462"/>
        <v>516268.32000000007</v>
      </c>
      <c r="D2046" s="51">
        <f t="shared" si="463"/>
        <v>0</v>
      </c>
      <c r="E2046" s="51"/>
      <c r="F2046" s="51"/>
      <c r="G2046" s="51"/>
      <c r="H2046" s="51"/>
      <c r="I2046" s="51"/>
      <c r="J2046" s="51"/>
      <c r="K2046" s="51"/>
      <c r="L2046" s="51"/>
      <c r="M2046" s="35"/>
      <c r="N2046" s="51"/>
      <c r="O2046" s="82"/>
      <c r="P2046" s="51"/>
      <c r="Q2046" s="338"/>
      <c r="R2046" s="51"/>
      <c r="S2046" s="51"/>
      <c r="T2046" s="338"/>
      <c r="U2046" s="51"/>
      <c r="V2046" s="35"/>
      <c r="W2046" s="364">
        <f t="shared" si="464"/>
        <v>516268.32000000007</v>
      </c>
      <c r="X2046" s="141"/>
      <c r="Y2046" s="48"/>
      <c r="Z2046" s="48"/>
      <c r="AA2046" s="48">
        <v>101222.45</v>
      </c>
      <c r="AB2046" s="48"/>
      <c r="AC2046" s="48">
        <v>100869.07</v>
      </c>
      <c r="AD2046" s="48">
        <v>122698.57</v>
      </c>
      <c r="AE2046" s="48"/>
      <c r="AF2046" s="48"/>
      <c r="AG2046" s="48">
        <v>191478.23</v>
      </c>
      <c r="AH2046" s="187"/>
      <c r="AI2046" s="48"/>
      <c r="AJ2046" s="48"/>
      <c r="AK2046" s="48"/>
      <c r="AL2046" s="48"/>
    </row>
    <row r="2047" spans="1:38" x14ac:dyDescent="0.3">
      <c r="A2047" s="47">
        <f t="shared" si="466"/>
        <v>1852</v>
      </c>
      <c r="B2047" s="414" t="s">
        <v>3947</v>
      </c>
      <c r="C2047" s="51">
        <f t="shared" si="462"/>
        <v>516268.32000000007</v>
      </c>
      <c r="D2047" s="51">
        <f t="shared" si="463"/>
        <v>0</v>
      </c>
      <c r="E2047" s="51"/>
      <c r="F2047" s="51"/>
      <c r="G2047" s="51"/>
      <c r="H2047" s="51"/>
      <c r="I2047" s="51"/>
      <c r="J2047" s="51"/>
      <c r="K2047" s="51"/>
      <c r="L2047" s="51"/>
      <c r="M2047" s="35"/>
      <c r="N2047" s="51"/>
      <c r="O2047" s="82"/>
      <c r="P2047" s="51"/>
      <c r="Q2047" s="338"/>
      <c r="R2047" s="51"/>
      <c r="S2047" s="51"/>
      <c r="T2047" s="338"/>
      <c r="U2047" s="51"/>
      <c r="V2047" s="35"/>
      <c r="W2047" s="364">
        <f t="shared" si="464"/>
        <v>516268.32000000007</v>
      </c>
      <c r="X2047" s="141"/>
      <c r="Y2047" s="48"/>
      <c r="Z2047" s="48"/>
      <c r="AA2047" s="48">
        <v>101222.45</v>
      </c>
      <c r="AB2047" s="48"/>
      <c r="AC2047" s="48">
        <v>100869.07</v>
      </c>
      <c r="AD2047" s="48">
        <v>122698.57</v>
      </c>
      <c r="AE2047" s="48"/>
      <c r="AF2047" s="48"/>
      <c r="AG2047" s="48">
        <v>191478.23</v>
      </c>
      <c r="AH2047" s="187"/>
      <c r="AI2047" s="48"/>
      <c r="AJ2047" s="48"/>
      <c r="AK2047" s="48"/>
      <c r="AL2047" s="48"/>
    </row>
    <row r="2048" spans="1:38" x14ac:dyDescent="0.3">
      <c r="A2048" s="47">
        <f t="shared" si="466"/>
        <v>1853</v>
      </c>
      <c r="B2048" s="414" t="s">
        <v>3948</v>
      </c>
      <c r="C2048" s="51">
        <f t="shared" si="462"/>
        <v>519164.72</v>
      </c>
      <c r="D2048" s="51">
        <f t="shared" si="463"/>
        <v>0</v>
      </c>
      <c r="E2048" s="51"/>
      <c r="F2048" s="51"/>
      <c r="G2048" s="51"/>
      <c r="H2048" s="51"/>
      <c r="I2048" s="51"/>
      <c r="J2048" s="51"/>
      <c r="K2048" s="51"/>
      <c r="L2048" s="51"/>
      <c r="M2048" s="35"/>
      <c r="N2048" s="51"/>
      <c r="O2048" s="82"/>
      <c r="P2048" s="51"/>
      <c r="Q2048" s="338"/>
      <c r="R2048" s="51"/>
      <c r="S2048" s="51"/>
      <c r="T2048" s="338"/>
      <c r="U2048" s="51"/>
      <c r="V2048" s="35"/>
      <c r="W2048" s="364">
        <f t="shared" si="464"/>
        <v>519164.72</v>
      </c>
      <c r="X2048" s="141"/>
      <c r="Y2048" s="48"/>
      <c r="Z2048" s="48"/>
      <c r="AA2048" s="48">
        <v>101843.59</v>
      </c>
      <c r="AB2048" s="48"/>
      <c r="AC2048" s="48">
        <v>101491.16</v>
      </c>
      <c r="AD2048" s="48">
        <v>123352.55</v>
      </c>
      <c r="AE2048" s="48"/>
      <c r="AF2048" s="48"/>
      <c r="AG2048" s="48">
        <v>192477.42</v>
      </c>
      <c r="AH2048" s="187"/>
      <c r="AI2048" s="48"/>
      <c r="AJ2048" s="48"/>
      <c r="AK2048" s="48"/>
      <c r="AL2048" s="48"/>
    </row>
    <row r="2049" spans="1:38" x14ac:dyDescent="0.3">
      <c r="A2049" s="47">
        <f t="shared" si="466"/>
        <v>1854</v>
      </c>
      <c r="B2049" s="414" t="s">
        <v>3949</v>
      </c>
      <c r="C2049" s="51">
        <f t="shared" si="462"/>
        <v>217116.78</v>
      </c>
      <c r="D2049" s="51">
        <f t="shared" si="463"/>
        <v>0</v>
      </c>
      <c r="E2049" s="51"/>
      <c r="F2049" s="51"/>
      <c r="G2049" s="51"/>
      <c r="H2049" s="51"/>
      <c r="I2049" s="51"/>
      <c r="J2049" s="51"/>
      <c r="K2049" s="51"/>
      <c r="L2049" s="51"/>
      <c r="M2049" s="35"/>
      <c r="N2049" s="51"/>
      <c r="O2049" s="82"/>
      <c r="P2049" s="51"/>
      <c r="Q2049" s="338"/>
      <c r="R2049" s="51"/>
      <c r="S2049" s="51"/>
      <c r="T2049" s="338"/>
      <c r="U2049" s="51"/>
      <c r="V2049" s="35"/>
      <c r="W2049" s="364">
        <f t="shared" si="464"/>
        <v>217116.78</v>
      </c>
      <c r="X2049" s="141"/>
      <c r="Y2049" s="48"/>
      <c r="Z2049" s="48"/>
      <c r="AA2049" s="48"/>
      <c r="AB2049" s="48"/>
      <c r="AC2049" s="48"/>
      <c r="AD2049" s="48"/>
      <c r="AE2049" s="48"/>
      <c r="AF2049" s="48"/>
      <c r="AG2049" s="48">
        <v>217116.78</v>
      </c>
      <c r="AH2049" s="187"/>
      <c r="AI2049" s="48"/>
      <c r="AJ2049" s="48"/>
      <c r="AK2049" s="48"/>
      <c r="AL2049" s="48"/>
    </row>
    <row r="2050" spans="1:38" x14ac:dyDescent="0.3">
      <c r="A2050" s="47">
        <f t="shared" si="466"/>
        <v>1855</v>
      </c>
      <c r="B2050" s="414" t="s">
        <v>3950</v>
      </c>
      <c r="C2050" s="51">
        <f t="shared" si="462"/>
        <v>318280.22000000003</v>
      </c>
      <c r="D2050" s="51">
        <f t="shared" si="463"/>
        <v>0</v>
      </c>
      <c r="E2050" s="51"/>
      <c r="F2050" s="51"/>
      <c r="G2050" s="51"/>
      <c r="H2050" s="51"/>
      <c r="I2050" s="51"/>
      <c r="J2050" s="51"/>
      <c r="K2050" s="51"/>
      <c r="L2050" s="51"/>
      <c r="M2050" s="35"/>
      <c r="N2050" s="51"/>
      <c r="O2050" s="82"/>
      <c r="P2050" s="51"/>
      <c r="Q2050" s="338"/>
      <c r="R2050" s="51"/>
      <c r="S2050" s="51"/>
      <c r="T2050" s="338"/>
      <c r="U2050" s="51"/>
      <c r="V2050" s="35"/>
      <c r="W2050" s="364">
        <f t="shared" si="464"/>
        <v>318280.22000000003</v>
      </c>
      <c r="X2050" s="141"/>
      <c r="Y2050" s="48"/>
      <c r="Z2050" s="48"/>
      <c r="AA2050" s="48">
        <v>99078.05</v>
      </c>
      <c r="AB2050" s="48"/>
      <c r="AC2050" s="48">
        <v>98740.96</v>
      </c>
      <c r="AD2050" s="48">
        <v>120461.21</v>
      </c>
      <c r="AE2050" s="48"/>
      <c r="AF2050" s="48"/>
      <c r="AG2050" s="48"/>
      <c r="AH2050" s="187"/>
      <c r="AI2050" s="48"/>
      <c r="AJ2050" s="48"/>
      <c r="AK2050" s="48"/>
      <c r="AL2050" s="48"/>
    </row>
    <row r="2051" spans="1:38" x14ac:dyDescent="0.3">
      <c r="A2051" s="47">
        <f t="shared" si="466"/>
        <v>1856</v>
      </c>
      <c r="B2051" s="414" t="s">
        <v>3951</v>
      </c>
      <c r="C2051" s="51">
        <f t="shared" si="462"/>
        <v>509394.51</v>
      </c>
      <c r="D2051" s="51">
        <f t="shared" si="463"/>
        <v>0</v>
      </c>
      <c r="E2051" s="51"/>
      <c r="F2051" s="51"/>
      <c r="G2051" s="51"/>
      <c r="H2051" s="51"/>
      <c r="I2051" s="51"/>
      <c r="J2051" s="51"/>
      <c r="K2051" s="51"/>
      <c r="L2051" s="51"/>
      <c r="M2051" s="35"/>
      <c r="N2051" s="51"/>
      <c r="O2051" s="82"/>
      <c r="P2051" s="51"/>
      <c r="Q2051" s="338"/>
      <c r="R2051" s="51"/>
      <c r="S2051" s="51"/>
      <c r="T2051" s="338"/>
      <c r="U2051" s="51"/>
      <c r="V2051" s="35"/>
      <c r="W2051" s="364">
        <f t="shared" si="464"/>
        <v>509394.51</v>
      </c>
      <c r="X2051" s="141"/>
      <c r="Y2051" s="48"/>
      <c r="Z2051" s="48"/>
      <c r="AA2051" s="48">
        <v>99737.39</v>
      </c>
      <c r="AB2051" s="48"/>
      <c r="AC2051" s="48">
        <v>99395.76</v>
      </c>
      <c r="AD2051" s="48">
        <v>121149.62</v>
      </c>
      <c r="AE2051" s="48"/>
      <c r="AF2051" s="48"/>
      <c r="AG2051" s="48">
        <v>189111.74</v>
      </c>
      <c r="AH2051" s="187"/>
      <c r="AI2051" s="48"/>
      <c r="AJ2051" s="48"/>
      <c r="AK2051" s="48"/>
      <c r="AL2051" s="48"/>
    </row>
    <row r="2052" spans="1:38" x14ac:dyDescent="0.3">
      <c r="A2052" s="47">
        <f t="shared" si="466"/>
        <v>1857</v>
      </c>
      <c r="B2052" s="414" t="s">
        <v>3952</v>
      </c>
      <c r="C2052" s="51">
        <f t="shared" si="462"/>
        <v>509458.01</v>
      </c>
      <c r="D2052" s="51">
        <f t="shared" si="463"/>
        <v>0</v>
      </c>
      <c r="E2052" s="51"/>
      <c r="F2052" s="51"/>
      <c r="G2052" s="51"/>
      <c r="H2052" s="51"/>
      <c r="I2052" s="51"/>
      <c r="J2052" s="51"/>
      <c r="K2052" s="51"/>
      <c r="L2052" s="51"/>
      <c r="M2052" s="35"/>
      <c r="N2052" s="51"/>
      <c r="O2052" s="82"/>
      <c r="P2052" s="51"/>
      <c r="Q2052" s="338"/>
      <c r="R2052" s="51"/>
      <c r="S2052" s="51"/>
      <c r="T2052" s="338"/>
      <c r="U2052" s="51"/>
      <c r="V2052" s="35"/>
      <c r="W2052" s="364">
        <f t="shared" si="464"/>
        <v>509458.01</v>
      </c>
      <c r="X2052" s="141"/>
      <c r="Y2052" s="48"/>
      <c r="Z2052" s="48"/>
      <c r="AA2052" s="48">
        <v>99378.77</v>
      </c>
      <c r="AB2052" s="48"/>
      <c r="AC2052" s="48">
        <v>100774.99</v>
      </c>
      <c r="AD2052" s="48">
        <v>120770.99</v>
      </c>
      <c r="AE2052" s="48"/>
      <c r="AF2052" s="48"/>
      <c r="AG2052" s="48">
        <v>188533.26</v>
      </c>
      <c r="AH2052" s="187"/>
      <c r="AI2052" s="48"/>
      <c r="AJ2052" s="48"/>
      <c r="AK2052" s="48"/>
      <c r="AL2052" s="48"/>
    </row>
    <row r="2053" spans="1:38" x14ac:dyDescent="0.3">
      <c r="A2053" s="47">
        <f t="shared" si="466"/>
        <v>1858</v>
      </c>
      <c r="B2053" s="414" t="s">
        <v>3953</v>
      </c>
      <c r="C2053" s="51">
        <f t="shared" si="462"/>
        <v>338398.98</v>
      </c>
      <c r="D2053" s="51">
        <f t="shared" si="463"/>
        <v>0</v>
      </c>
      <c r="E2053" s="51"/>
      <c r="F2053" s="51"/>
      <c r="G2053" s="51"/>
      <c r="H2053" s="51"/>
      <c r="I2053" s="51"/>
      <c r="J2053" s="51"/>
      <c r="K2053" s="51"/>
      <c r="L2053" s="51"/>
      <c r="M2053" s="35"/>
      <c r="N2053" s="51"/>
      <c r="O2053" s="82"/>
      <c r="P2053" s="51"/>
      <c r="Q2053" s="338"/>
      <c r="R2053" s="51"/>
      <c r="S2053" s="51"/>
      <c r="T2053" s="338"/>
      <c r="U2053" s="51"/>
      <c r="V2053" s="35"/>
      <c r="W2053" s="364">
        <f t="shared" si="464"/>
        <v>338398.98</v>
      </c>
      <c r="X2053" s="141"/>
      <c r="Y2053" s="48"/>
      <c r="Z2053" s="48"/>
      <c r="AA2053" s="48">
        <v>105697.36</v>
      </c>
      <c r="AB2053" s="48"/>
      <c r="AC2053" s="48">
        <v>105321.82</v>
      </c>
      <c r="AD2053" s="48">
        <v>127379.8</v>
      </c>
      <c r="AE2053" s="48"/>
      <c r="AF2053" s="48"/>
      <c r="AG2053" s="48"/>
      <c r="AH2053" s="187"/>
      <c r="AI2053" s="48"/>
      <c r="AJ2053" s="48"/>
      <c r="AK2053" s="48"/>
      <c r="AL2053" s="48"/>
    </row>
    <row r="2054" spans="1:38" x14ac:dyDescent="0.3">
      <c r="A2054" s="47">
        <f t="shared" si="466"/>
        <v>1859</v>
      </c>
      <c r="B2054" s="414" t="s">
        <v>3954</v>
      </c>
      <c r="C2054" s="51">
        <f t="shared" si="462"/>
        <v>519613.68</v>
      </c>
      <c r="D2054" s="51">
        <f t="shared" si="463"/>
        <v>0</v>
      </c>
      <c r="E2054" s="51"/>
      <c r="F2054" s="51"/>
      <c r="G2054" s="51"/>
      <c r="H2054" s="51"/>
      <c r="I2054" s="51"/>
      <c r="J2054" s="51"/>
      <c r="K2054" s="51"/>
      <c r="L2054" s="51"/>
      <c r="M2054" s="35"/>
      <c r="N2054" s="51"/>
      <c r="O2054" s="82"/>
      <c r="P2054" s="51"/>
      <c r="Q2054" s="338"/>
      <c r="R2054" s="51"/>
      <c r="S2054" s="51"/>
      <c r="T2054" s="338"/>
      <c r="U2054" s="51"/>
      <c r="V2054" s="35"/>
      <c r="W2054" s="364">
        <f t="shared" si="464"/>
        <v>519613.68</v>
      </c>
      <c r="X2054" s="141"/>
      <c r="Y2054" s="48"/>
      <c r="Z2054" s="48"/>
      <c r="AA2054" s="48">
        <v>99967.85</v>
      </c>
      <c r="AB2054" s="48"/>
      <c r="AC2054" s="48">
        <v>99624.95</v>
      </c>
      <c r="AD2054" s="48">
        <v>121390.58</v>
      </c>
      <c r="AE2054" s="48"/>
      <c r="AF2054" s="48"/>
      <c r="AG2054" s="48">
        <v>198630.3</v>
      </c>
      <c r="AH2054" s="187"/>
      <c r="AI2054" s="187"/>
      <c r="AJ2054" s="48"/>
      <c r="AK2054" s="48"/>
      <c r="AL2054" s="48"/>
    </row>
    <row r="2055" spans="1:38" x14ac:dyDescent="0.3">
      <c r="A2055" s="47">
        <f t="shared" si="466"/>
        <v>1860</v>
      </c>
      <c r="B2055" s="414" t="s">
        <v>3955</v>
      </c>
      <c r="C2055" s="51">
        <f t="shared" si="462"/>
        <v>338398.98</v>
      </c>
      <c r="D2055" s="51">
        <f t="shared" si="463"/>
        <v>0</v>
      </c>
      <c r="E2055" s="51"/>
      <c r="F2055" s="51"/>
      <c r="G2055" s="51"/>
      <c r="H2055" s="51"/>
      <c r="I2055" s="51"/>
      <c r="J2055" s="51"/>
      <c r="K2055" s="51"/>
      <c r="L2055" s="51"/>
      <c r="M2055" s="35"/>
      <c r="N2055" s="51"/>
      <c r="O2055" s="82"/>
      <c r="P2055" s="51"/>
      <c r="Q2055" s="338"/>
      <c r="R2055" s="51"/>
      <c r="S2055" s="51"/>
      <c r="T2055" s="338"/>
      <c r="U2055" s="51"/>
      <c r="V2055" s="35"/>
      <c r="W2055" s="364">
        <f t="shared" si="464"/>
        <v>338398.98</v>
      </c>
      <c r="X2055" s="141"/>
      <c r="Y2055" s="48"/>
      <c r="Z2055" s="48"/>
      <c r="AA2055" s="48">
        <v>105697.36</v>
      </c>
      <c r="AB2055" s="48"/>
      <c r="AC2055" s="48">
        <v>105321.82</v>
      </c>
      <c r="AD2055" s="48">
        <v>127379.8</v>
      </c>
      <c r="AE2055" s="48"/>
      <c r="AF2055" s="48"/>
      <c r="AG2055" s="48"/>
      <c r="AH2055" s="187"/>
      <c r="AI2055" s="48"/>
      <c r="AJ2055" s="48"/>
      <c r="AK2055" s="48"/>
      <c r="AL2055" s="48"/>
    </row>
    <row r="2056" spans="1:38" x14ac:dyDescent="0.3">
      <c r="A2056" s="47">
        <f t="shared" si="466"/>
        <v>1861</v>
      </c>
      <c r="B2056" s="414" t="s">
        <v>3956</v>
      </c>
      <c r="C2056" s="51">
        <f t="shared" si="462"/>
        <v>320679.61</v>
      </c>
      <c r="D2056" s="51">
        <f t="shared" si="463"/>
        <v>0</v>
      </c>
      <c r="E2056" s="51"/>
      <c r="F2056" s="51"/>
      <c r="G2056" s="51"/>
      <c r="H2056" s="51"/>
      <c r="I2056" s="51"/>
      <c r="J2056" s="51"/>
      <c r="K2056" s="51"/>
      <c r="L2056" s="51"/>
      <c r="M2056" s="35"/>
      <c r="N2056" s="51"/>
      <c r="O2056" s="82"/>
      <c r="P2056" s="51"/>
      <c r="Q2056" s="338"/>
      <c r="R2056" s="51"/>
      <c r="S2056" s="51"/>
      <c r="T2056" s="338"/>
      <c r="U2056" s="51"/>
      <c r="V2056" s="35"/>
      <c r="W2056" s="364">
        <f t="shared" si="464"/>
        <v>320679.61</v>
      </c>
      <c r="X2056" s="141"/>
      <c r="Y2056" s="48"/>
      <c r="Z2056" s="48"/>
      <c r="AA2056" s="48">
        <v>99865.57</v>
      </c>
      <c r="AB2056" s="48"/>
      <c r="AC2056" s="48">
        <v>99526.73</v>
      </c>
      <c r="AD2056" s="48">
        <v>121287.31</v>
      </c>
      <c r="AE2056" s="48"/>
      <c r="AF2056" s="48"/>
      <c r="AG2056" s="48"/>
      <c r="AH2056" s="187"/>
      <c r="AI2056" s="48"/>
      <c r="AJ2056" s="48"/>
      <c r="AK2056" s="48"/>
      <c r="AL2056" s="48"/>
    </row>
    <row r="2057" spans="1:38" x14ac:dyDescent="0.3">
      <c r="A2057" s="47">
        <f t="shared" si="466"/>
        <v>1862</v>
      </c>
      <c r="B2057" s="414" t="s">
        <v>3957</v>
      </c>
      <c r="C2057" s="51">
        <f t="shared" si="462"/>
        <v>338398.98</v>
      </c>
      <c r="D2057" s="51">
        <f t="shared" si="463"/>
        <v>0</v>
      </c>
      <c r="E2057" s="51"/>
      <c r="F2057" s="51"/>
      <c r="G2057" s="51"/>
      <c r="H2057" s="51"/>
      <c r="I2057" s="51"/>
      <c r="J2057" s="51"/>
      <c r="K2057" s="51"/>
      <c r="L2057" s="51"/>
      <c r="M2057" s="35"/>
      <c r="N2057" s="51"/>
      <c r="O2057" s="82"/>
      <c r="P2057" s="51"/>
      <c r="Q2057" s="338"/>
      <c r="R2057" s="51"/>
      <c r="S2057" s="51"/>
      <c r="T2057" s="338"/>
      <c r="U2057" s="51"/>
      <c r="V2057" s="35"/>
      <c r="W2057" s="364">
        <f t="shared" si="464"/>
        <v>338398.98</v>
      </c>
      <c r="X2057" s="141"/>
      <c r="Y2057" s="48"/>
      <c r="Z2057" s="48"/>
      <c r="AA2057" s="48">
        <v>105697.36</v>
      </c>
      <c r="AB2057" s="48"/>
      <c r="AC2057" s="48">
        <v>105321.82</v>
      </c>
      <c r="AD2057" s="48">
        <v>127379.8</v>
      </c>
      <c r="AE2057" s="48"/>
      <c r="AF2057" s="48"/>
      <c r="AG2057" s="48"/>
      <c r="AH2057" s="187"/>
      <c r="AI2057" s="48"/>
      <c r="AJ2057" s="48"/>
      <c r="AK2057" s="48"/>
      <c r="AL2057" s="48"/>
    </row>
    <row r="2058" spans="1:38" x14ac:dyDescent="0.3">
      <c r="A2058" s="439" t="s">
        <v>211</v>
      </c>
      <c r="B2058" s="399"/>
      <c r="C2058" s="51">
        <f t="shared" ref="C2058:W2058" si="467">SUM(C2031:C2057)</f>
        <v>10071646.4</v>
      </c>
      <c r="D2058" s="51">
        <f t="shared" si="467"/>
        <v>0</v>
      </c>
      <c r="E2058" s="51">
        <f t="shared" si="467"/>
        <v>0</v>
      </c>
      <c r="F2058" s="51">
        <f t="shared" si="467"/>
        <v>0</v>
      </c>
      <c r="G2058" s="51">
        <f t="shared" si="467"/>
        <v>0</v>
      </c>
      <c r="H2058" s="51">
        <f t="shared" si="467"/>
        <v>0</v>
      </c>
      <c r="I2058" s="51">
        <f t="shared" si="467"/>
        <v>0</v>
      </c>
      <c r="J2058" s="51">
        <f t="shared" si="467"/>
        <v>0</v>
      </c>
      <c r="K2058" s="51">
        <f t="shared" si="467"/>
        <v>0</v>
      </c>
      <c r="L2058" s="51">
        <f t="shared" si="467"/>
        <v>0</v>
      </c>
      <c r="M2058" s="35">
        <f t="shared" si="467"/>
        <v>0</v>
      </c>
      <c r="N2058" s="51">
        <f t="shared" si="467"/>
        <v>0</v>
      </c>
      <c r="O2058" s="82">
        <f t="shared" si="467"/>
        <v>0</v>
      </c>
      <c r="P2058" s="51">
        <f t="shared" si="467"/>
        <v>0</v>
      </c>
      <c r="Q2058" s="338">
        <f t="shared" si="467"/>
        <v>0</v>
      </c>
      <c r="R2058" s="51">
        <f t="shared" si="467"/>
        <v>0</v>
      </c>
      <c r="S2058" s="51">
        <f t="shared" si="467"/>
        <v>0</v>
      </c>
      <c r="T2058" s="338">
        <f t="shared" si="467"/>
        <v>0</v>
      </c>
      <c r="U2058" s="51">
        <f t="shared" si="467"/>
        <v>0</v>
      </c>
      <c r="V2058" s="35">
        <f t="shared" si="467"/>
        <v>0</v>
      </c>
      <c r="W2058" s="51">
        <f t="shared" si="467"/>
        <v>10071646.4</v>
      </c>
      <c r="X2058" s="304"/>
      <c r="Y2058" s="48"/>
      <c r="Z2058" s="48"/>
      <c r="AA2058" s="48"/>
      <c r="AB2058" s="48"/>
      <c r="AC2058" s="48"/>
      <c r="AD2058" s="48"/>
      <c r="AE2058" s="48"/>
      <c r="AF2058" s="48"/>
      <c r="AG2058" s="48"/>
      <c r="AH2058" s="187"/>
      <c r="AI2058" s="48"/>
      <c r="AJ2058" s="48"/>
      <c r="AK2058" s="48"/>
      <c r="AL2058" s="48"/>
    </row>
    <row r="2059" spans="1:38" x14ac:dyDescent="0.3">
      <c r="A2059" s="435" t="s">
        <v>3958</v>
      </c>
      <c r="B2059" s="363"/>
      <c r="C2059" s="51"/>
      <c r="D2059" s="51"/>
      <c r="E2059" s="51"/>
      <c r="F2059" s="51"/>
      <c r="G2059" s="51"/>
      <c r="H2059" s="51"/>
      <c r="I2059" s="51"/>
      <c r="J2059" s="51"/>
      <c r="K2059" s="51"/>
      <c r="L2059" s="51"/>
      <c r="M2059" s="35"/>
      <c r="N2059" s="51"/>
      <c r="O2059" s="82"/>
      <c r="P2059" s="51"/>
      <c r="Q2059" s="338"/>
      <c r="R2059" s="51"/>
      <c r="S2059" s="51"/>
      <c r="T2059" s="338"/>
      <c r="U2059" s="51"/>
      <c r="V2059" s="35"/>
      <c r="W2059" s="364"/>
      <c r="X2059" s="141"/>
      <c r="Y2059" s="48"/>
      <c r="Z2059" s="48"/>
      <c r="AA2059" s="48"/>
      <c r="AB2059" s="48"/>
      <c r="AC2059" s="48"/>
      <c r="AD2059" s="48"/>
      <c r="AE2059" s="48"/>
      <c r="AF2059" s="48"/>
      <c r="AG2059" s="48"/>
      <c r="AH2059" s="187"/>
      <c r="AI2059" s="48"/>
      <c r="AJ2059" s="48"/>
      <c r="AK2059" s="48"/>
      <c r="AL2059" s="48"/>
    </row>
    <row r="2060" spans="1:38" x14ac:dyDescent="0.3">
      <c r="A2060" s="47">
        <f>A2057+1</f>
        <v>1863</v>
      </c>
      <c r="B2060" s="414" t="s">
        <v>3959</v>
      </c>
      <c r="C2060" s="51">
        <f t="shared" ref="C2060:C2079" si="468">D2060+K2060+L2060+N2060+P2060+R2060+S2060+U2060+V2060+W2060</f>
        <v>130000</v>
      </c>
      <c r="D2060" s="51">
        <f t="shared" ref="D2060:D2079" si="469">E2060+F2060+G2060+H2060+I2060</f>
        <v>0</v>
      </c>
      <c r="E2060" s="51"/>
      <c r="F2060" s="51"/>
      <c r="G2060" s="51"/>
      <c r="H2060" s="51"/>
      <c r="I2060" s="51"/>
      <c r="J2060" s="51"/>
      <c r="K2060" s="51"/>
      <c r="L2060" s="51"/>
      <c r="M2060" s="35"/>
      <c r="N2060" s="51"/>
      <c r="O2060" s="82"/>
      <c r="P2060" s="51"/>
      <c r="Q2060" s="338"/>
      <c r="R2060" s="51"/>
      <c r="S2060" s="51"/>
      <c r="T2060" s="338"/>
      <c r="U2060" s="51"/>
      <c r="V2060" s="35"/>
      <c r="W2060" s="364">
        <v>130000</v>
      </c>
      <c r="X2060" s="141"/>
      <c r="Y2060" s="48"/>
      <c r="Z2060" s="48"/>
      <c r="AA2060" s="48"/>
      <c r="AB2060" s="48"/>
      <c r="AC2060" s="48"/>
      <c r="AD2060" s="48"/>
      <c r="AE2060" s="48"/>
      <c r="AF2060" s="48"/>
      <c r="AG2060" s="48"/>
      <c r="AH2060" s="187"/>
      <c r="AI2060" s="48"/>
      <c r="AJ2060" s="48"/>
      <c r="AK2060" s="48"/>
      <c r="AL2060" s="48"/>
    </row>
    <row r="2061" spans="1:38" x14ac:dyDescent="0.3">
      <c r="A2061" s="47">
        <f t="shared" ref="A2061:A2079" si="470">A2060+1</f>
        <v>1864</v>
      </c>
      <c r="B2061" s="414" t="s">
        <v>3960</v>
      </c>
      <c r="C2061" s="51">
        <f t="shared" si="468"/>
        <v>130000</v>
      </c>
      <c r="D2061" s="51">
        <f t="shared" si="469"/>
        <v>0</v>
      </c>
      <c r="E2061" s="51"/>
      <c r="F2061" s="51"/>
      <c r="G2061" s="51"/>
      <c r="H2061" s="51"/>
      <c r="I2061" s="51"/>
      <c r="J2061" s="51"/>
      <c r="K2061" s="51"/>
      <c r="L2061" s="51"/>
      <c r="M2061" s="35"/>
      <c r="N2061" s="51"/>
      <c r="O2061" s="82"/>
      <c r="P2061" s="51"/>
      <c r="Q2061" s="338"/>
      <c r="R2061" s="51"/>
      <c r="S2061" s="51"/>
      <c r="T2061" s="338"/>
      <c r="U2061" s="51"/>
      <c r="V2061" s="35"/>
      <c r="W2061" s="364">
        <v>130000</v>
      </c>
      <c r="X2061" s="141"/>
      <c r="Y2061" s="48"/>
      <c r="Z2061" s="48"/>
      <c r="AA2061" s="48"/>
      <c r="AB2061" s="48"/>
      <c r="AC2061" s="48"/>
      <c r="AD2061" s="48"/>
      <c r="AE2061" s="48"/>
      <c r="AF2061" s="48"/>
      <c r="AG2061" s="48"/>
      <c r="AH2061" s="187"/>
      <c r="AI2061" s="48"/>
      <c r="AJ2061" s="48"/>
      <c r="AK2061" s="48"/>
      <c r="AL2061" s="48"/>
    </row>
    <row r="2062" spans="1:38" x14ac:dyDescent="0.3">
      <c r="A2062" s="47">
        <f t="shared" si="470"/>
        <v>1865</v>
      </c>
      <c r="B2062" s="414" t="s">
        <v>3961</v>
      </c>
      <c r="C2062" s="51">
        <f t="shared" si="468"/>
        <v>130000</v>
      </c>
      <c r="D2062" s="51">
        <f t="shared" si="469"/>
        <v>0</v>
      </c>
      <c r="E2062" s="51"/>
      <c r="F2062" s="51"/>
      <c r="G2062" s="51"/>
      <c r="H2062" s="51"/>
      <c r="I2062" s="51"/>
      <c r="J2062" s="51"/>
      <c r="K2062" s="51"/>
      <c r="L2062" s="51"/>
      <c r="M2062" s="35"/>
      <c r="N2062" s="51"/>
      <c r="O2062" s="82"/>
      <c r="P2062" s="51"/>
      <c r="Q2062" s="338"/>
      <c r="R2062" s="51"/>
      <c r="S2062" s="51"/>
      <c r="T2062" s="338"/>
      <c r="U2062" s="51"/>
      <c r="V2062" s="35"/>
      <c r="W2062" s="364">
        <v>130000</v>
      </c>
      <c r="X2062" s="141"/>
      <c r="Y2062" s="48"/>
      <c r="Z2062" s="48"/>
      <c r="AA2062" s="48"/>
      <c r="AB2062" s="48"/>
      <c r="AC2062" s="48"/>
      <c r="AD2062" s="48"/>
      <c r="AE2062" s="48"/>
      <c r="AF2062" s="48"/>
      <c r="AG2062" s="48"/>
      <c r="AH2062" s="187"/>
      <c r="AI2062" s="48"/>
      <c r="AJ2062" s="48"/>
      <c r="AK2062" s="48"/>
      <c r="AL2062" s="48"/>
    </row>
    <row r="2063" spans="1:38" x14ac:dyDescent="0.3">
      <c r="A2063" s="47">
        <f t="shared" si="470"/>
        <v>1866</v>
      </c>
      <c r="B2063" s="414" t="s">
        <v>3962</v>
      </c>
      <c r="C2063" s="51">
        <f t="shared" si="468"/>
        <v>130000</v>
      </c>
      <c r="D2063" s="51">
        <f t="shared" si="469"/>
        <v>0</v>
      </c>
      <c r="E2063" s="51"/>
      <c r="F2063" s="51"/>
      <c r="G2063" s="51"/>
      <c r="H2063" s="51"/>
      <c r="I2063" s="51"/>
      <c r="J2063" s="51"/>
      <c r="K2063" s="51"/>
      <c r="L2063" s="51"/>
      <c r="M2063" s="35"/>
      <c r="N2063" s="51"/>
      <c r="O2063" s="82"/>
      <c r="P2063" s="51"/>
      <c r="Q2063" s="338"/>
      <c r="R2063" s="51"/>
      <c r="S2063" s="51"/>
      <c r="T2063" s="338"/>
      <c r="U2063" s="51"/>
      <c r="V2063" s="35"/>
      <c r="W2063" s="364">
        <v>130000</v>
      </c>
      <c r="X2063" s="141"/>
      <c r="Y2063" s="48"/>
      <c r="Z2063" s="48"/>
      <c r="AA2063" s="48"/>
      <c r="AB2063" s="48"/>
      <c r="AC2063" s="48"/>
      <c r="AD2063" s="48"/>
      <c r="AE2063" s="48"/>
      <c r="AF2063" s="48"/>
      <c r="AG2063" s="48"/>
      <c r="AH2063" s="187"/>
      <c r="AI2063" s="48"/>
      <c r="AJ2063" s="48"/>
      <c r="AK2063" s="48"/>
      <c r="AL2063" s="48"/>
    </row>
    <row r="2064" spans="1:38" x14ac:dyDescent="0.3">
      <c r="A2064" s="47">
        <f t="shared" si="470"/>
        <v>1867</v>
      </c>
      <c r="B2064" s="414" t="s">
        <v>3963</v>
      </c>
      <c r="C2064" s="51">
        <f t="shared" si="468"/>
        <v>130000</v>
      </c>
      <c r="D2064" s="51">
        <f t="shared" si="469"/>
        <v>0</v>
      </c>
      <c r="E2064" s="51"/>
      <c r="F2064" s="51"/>
      <c r="G2064" s="51"/>
      <c r="H2064" s="51"/>
      <c r="I2064" s="51"/>
      <c r="J2064" s="51"/>
      <c r="K2064" s="51"/>
      <c r="L2064" s="51"/>
      <c r="M2064" s="35"/>
      <c r="N2064" s="51"/>
      <c r="O2064" s="82"/>
      <c r="P2064" s="51"/>
      <c r="Q2064" s="338"/>
      <c r="R2064" s="51"/>
      <c r="S2064" s="51"/>
      <c r="T2064" s="338"/>
      <c r="U2064" s="51"/>
      <c r="V2064" s="35"/>
      <c r="W2064" s="364">
        <v>130000</v>
      </c>
      <c r="X2064" s="141"/>
      <c r="Y2064" s="48"/>
      <c r="Z2064" s="48"/>
      <c r="AA2064" s="48"/>
      <c r="AB2064" s="48"/>
      <c r="AC2064" s="48"/>
      <c r="AD2064" s="48"/>
      <c r="AE2064" s="48"/>
      <c r="AF2064" s="48"/>
      <c r="AG2064" s="48"/>
      <c r="AH2064" s="187"/>
      <c r="AI2064" s="48"/>
      <c r="AJ2064" s="48"/>
      <c r="AK2064" s="48"/>
      <c r="AL2064" s="48"/>
    </row>
    <row r="2065" spans="1:38" x14ac:dyDescent="0.3">
      <c r="A2065" s="47">
        <f t="shared" si="470"/>
        <v>1868</v>
      </c>
      <c r="B2065" s="414" t="s">
        <v>3964</v>
      </c>
      <c r="C2065" s="51">
        <f t="shared" si="468"/>
        <v>130000</v>
      </c>
      <c r="D2065" s="51">
        <f t="shared" si="469"/>
        <v>0</v>
      </c>
      <c r="E2065" s="51"/>
      <c r="F2065" s="51"/>
      <c r="G2065" s="51"/>
      <c r="H2065" s="51"/>
      <c r="I2065" s="51"/>
      <c r="J2065" s="51"/>
      <c r="K2065" s="51"/>
      <c r="L2065" s="51"/>
      <c r="M2065" s="35"/>
      <c r="N2065" s="51"/>
      <c r="O2065" s="82"/>
      <c r="P2065" s="51"/>
      <c r="Q2065" s="338"/>
      <c r="R2065" s="51"/>
      <c r="S2065" s="51"/>
      <c r="T2065" s="338"/>
      <c r="U2065" s="51"/>
      <c r="V2065" s="35"/>
      <c r="W2065" s="364">
        <v>130000</v>
      </c>
      <c r="X2065" s="141"/>
      <c r="Y2065" s="48"/>
      <c r="Z2065" s="48"/>
      <c r="AA2065" s="48"/>
      <c r="AB2065" s="48"/>
      <c r="AC2065" s="48"/>
      <c r="AD2065" s="48"/>
      <c r="AE2065" s="48"/>
      <c r="AF2065" s="48"/>
      <c r="AG2065" s="48"/>
      <c r="AH2065" s="187"/>
      <c r="AI2065" s="48"/>
      <c r="AJ2065" s="48"/>
      <c r="AK2065" s="48"/>
      <c r="AL2065" s="48"/>
    </row>
    <row r="2066" spans="1:38" x14ac:dyDescent="0.3">
      <c r="A2066" s="47">
        <f t="shared" si="470"/>
        <v>1869</v>
      </c>
      <c r="B2066" s="414" t="s">
        <v>3965</v>
      </c>
      <c r="C2066" s="51">
        <f t="shared" si="468"/>
        <v>130000</v>
      </c>
      <c r="D2066" s="51">
        <f t="shared" si="469"/>
        <v>0</v>
      </c>
      <c r="E2066" s="51"/>
      <c r="F2066" s="51"/>
      <c r="G2066" s="51"/>
      <c r="H2066" s="51"/>
      <c r="I2066" s="51"/>
      <c r="J2066" s="51"/>
      <c r="K2066" s="51"/>
      <c r="L2066" s="51"/>
      <c r="M2066" s="35"/>
      <c r="N2066" s="51"/>
      <c r="O2066" s="82"/>
      <c r="P2066" s="51"/>
      <c r="Q2066" s="338"/>
      <c r="R2066" s="51"/>
      <c r="S2066" s="51"/>
      <c r="T2066" s="338"/>
      <c r="U2066" s="51"/>
      <c r="V2066" s="35"/>
      <c r="W2066" s="364">
        <v>130000</v>
      </c>
      <c r="X2066" s="141"/>
      <c r="Y2066" s="48"/>
      <c r="Z2066" s="48"/>
      <c r="AA2066" s="48"/>
      <c r="AB2066" s="48"/>
      <c r="AC2066" s="48"/>
      <c r="AD2066" s="48"/>
      <c r="AE2066" s="48"/>
      <c r="AF2066" s="48"/>
      <c r="AG2066" s="48"/>
      <c r="AH2066" s="187"/>
      <c r="AI2066" s="48"/>
      <c r="AJ2066" s="48"/>
      <c r="AK2066" s="48"/>
      <c r="AL2066" s="48"/>
    </row>
    <row r="2067" spans="1:38" x14ac:dyDescent="0.3">
      <c r="A2067" s="47">
        <f t="shared" si="470"/>
        <v>1870</v>
      </c>
      <c r="B2067" s="414" t="s">
        <v>3966</v>
      </c>
      <c r="C2067" s="51">
        <f t="shared" si="468"/>
        <v>130000</v>
      </c>
      <c r="D2067" s="51">
        <f t="shared" si="469"/>
        <v>0</v>
      </c>
      <c r="E2067" s="51"/>
      <c r="F2067" s="51"/>
      <c r="G2067" s="51"/>
      <c r="H2067" s="51"/>
      <c r="I2067" s="51"/>
      <c r="J2067" s="51"/>
      <c r="K2067" s="51"/>
      <c r="L2067" s="51"/>
      <c r="M2067" s="35"/>
      <c r="N2067" s="51"/>
      <c r="O2067" s="82"/>
      <c r="P2067" s="51"/>
      <c r="Q2067" s="338"/>
      <c r="R2067" s="51"/>
      <c r="S2067" s="51"/>
      <c r="T2067" s="338"/>
      <c r="U2067" s="51"/>
      <c r="V2067" s="35"/>
      <c r="W2067" s="364">
        <v>130000</v>
      </c>
      <c r="X2067" s="141"/>
      <c r="Y2067" s="48"/>
      <c r="Z2067" s="48"/>
      <c r="AA2067" s="48"/>
      <c r="AB2067" s="48"/>
      <c r="AC2067" s="48"/>
      <c r="AD2067" s="48"/>
      <c r="AE2067" s="48"/>
      <c r="AF2067" s="48"/>
      <c r="AG2067" s="48"/>
      <c r="AH2067" s="187"/>
      <c r="AI2067" s="48"/>
      <c r="AJ2067" s="48"/>
      <c r="AK2067" s="48"/>
      <c r="AL2067" s="48"/>
    </row>
    <row r="2068" spans="1:38" x14ac:dyDescent="0.3">
      <c r="A2068" s="47">
        <f t="shared" si="470"/>
        <v>1871</v>
      </c>
      <c r="B2068" s="414" t="s">
        <v>3967</v>
      </c>
      <c r="C2068" s="51">
        <f t="shared" si="468"/>
        <v>492972.77</v>
      </c>
      <c r="D2068" s="51">
        <f t="shared" si="469"/>
        <v>0</v>
      </c>
      <c r="E2068" s="51"/>
      <c r="F2068" s="51"/>
      <c r="G2068" s="51"/>
      <c r="H2068" s="51"/>
      <c r="I2068" s="51"/>
      <c r="J2068" s="51"/>
      <c r="K2068" s="51"/>
      <c r="L2068" s="51"/>
      <c r="M2068" s="35"/>
      <c r="N2068" s="51"/>
      <c r="O2068" s="82"/>
      <c r="P2068" s="51"/>
      <c r="Q2068" s="338"/>
      <c r="R2068" s="51"/>
      <c r="S2068" s="51"/>
      <c r="T2068" s="338"/>
      <c r="U2068" s="51"/>
      <c r="V2068" s="35"/>
      <c r="W2068" s="364">
        <f>SUM(Y2068:AL2068)</f>
        <v>492972.77</v>
      </c>
      <c r="X2068" s="141"/>
      <c r="Y2068" s="48"/>
      <c r="Z2068" s="48"/>
      <c r="AA2068" s="48">
        <v>118684.68</v>
      </c>
      <c r="AB2068" s="48"/>
      <c r="AC2068" s="48"/>
      <c r="AD2068" s="48"/>
      <c r="AE2068" s="48"/>
      <c r="AF2068" s="48"/>
      <c r="AG2068" s="48"/>
      <c r="AH2068" s="187">
        <v>374288.09</v>
      </c>
      <c r="AI2068" s="48"/>
      <c r="AJ2068" s="48"/>
      <c r="AK2068" s="48"/>
      <c r="AL2068" s="48"/>
    </row>
    <row r="2069" spans="1:38" x14ac:dyDescent="0.3">
      <c r="A2069" s="47">
        <f t="shared" si="470"/>
        <v>1872</v>
      </c>
      <c r="B2069" s="414" t="s">
        <v>3968</v>
      </c>
      <c r="C2069" s="51">
        <f t="shared" si="468"/>
        <v>130000</v>
      </c>
      <c r="D2069" s="51">
        <f t="shared" si="469"/>
        <v>0</v>
      </c>
      <c r="E2069" s="51"/>
      <c r="F2069" s="51"/>
      <c r="G2069" s="51"/>
      <c r="H2069" s="51"/>
      <c r="I2069" s="51"/>
      <c r="J2069" s="51"/>
      <c r="K2069" s="51"/>
      <c r="L2069" s="51"/>
      <c r="M2069" s="35"/>
      <c r="N2069" s="51"/>
      <c r="O2069" s="82"/>
      <c r="P2069" s="51"/>
      <c r="Q2069" s="338"/>
      <c r="R2069" s="51"/>
      <c r="S2069" s="51"/>
      <c r="T2069" s="338"/>
      <c r="U2069" s="51"/>
      <c r="V2069" s="35"/>
      <c r="W2069" s="364">
        <v>130000</v>
      </c>
      <c r="X2069" s="141"/>
      <c r="Y2069" s="48"/>
      <c r="Z2069" s="48"/>
      <c r="AA2069" s="48"/>
      <c r="AB2069" s="48"/>
      <c r="AC2069" s="48"/>
      <c r="AD2069" s="48"/>
      <c r="AE2069" s="48"/>
      <c r="AF2069" s="48"/>
      <c r="AG2069" s="48"/>
      <c r="AH2069" s="187"/>
      <c r="AI2069" s="48"/>
      <c r="AJ2069" s="48"/>
      <c r="AK2069" s="48"/>
      <c r="AL2069" s="48"/>
    </row>
    <row r="2070" spans="1:38" x14ac:dyDescent="0.3">
      <c r="A2070" s="47">
        <f t="shared" si="470"/>
        <v>1873</v>
      </c>
      <c r="B2070" s="414" t="s">
        <v>3969</v>
      </c>
      <c r="C2070" s="51">
        <f t="shared" si="468"/>
        <v>115701.19</v>
      </c>
      <c r="D2070" s="51">
        <f t="shared" si="469"/>
        <v>0</v>
      </c>
      <c r="E2070" s="51"/>
      <c r="F2070" s="51"/>
      <c r="G2070" s="51"/>
      <c r="H2070" s="51"/>
      <c r="I2070" s="51"/>
      <c r="J2070" s="51"/>
      <c r="K2070" s="51"/>
      <c r="L2070" s="51"/>
      <c r="M2070" s="35"/>
      <c r="N2070" s="51"/>
      <c r="O2070" s="82"/>
      <c r="P2070" s="51"/>
      <c r="Q2070" s="338"/>
      <c r="R2070" s="51"/>
      <c r="S2070" s="51"/>
      <c r="T2070" s="338"/>
      <c r="U2070" s="51"/>
      <c r="V2070" s="35"/>
      <c r="W2070" s="364">
        <f>SUM(Y2070:AL2070)</f>
        <v>115701.19</v>
      </c>
      <c r="X2070" s="141"/>
      <c r="Y2070" s="48"/>
      <c r="Z2070" s="48"/>
      <c r="AA2070" s="48">
        <v>115701.19</v>
      </c>
      <c r="AB2070" s="48"/>
      <c r="AC2070" s="48"/>
      <c r="AD2070" s="48"/>
      <c r="AE2070" s="48"/>
      <c r="AF2070" s="48"/>
      <c r="AG2070" s="48"/>
      <c r="AH2070" s="187"/>
      <c r="AI2070" s="48"/>
      <c r="AJ2070" s="48"/>
      <c r="AK2070" s="48"/>
      <c r="AL2070" s="48"/>
    </row>
    <row r="2071" spans="1:38" x14ac:dyDescent="0.3">
      <c r="A2071" s="47">
        <f t="shared" si="470"/>
        <v>1874</v>
      </c>
      <c r="B2071" s="414" t="s">
        <v>3970</v>
      </c>
      <c r="C2071" s="51">
        <f t="shared" si="468"/>
        <v>130000</v>
      </c>
      <c r="D2071" s="51">
        <f t="shared" si="469"/>
        <v>0</v>
      </c>
      <c r="E2071" s="51"/>
      <c r="F2071" s="51"/>
      <c r="G2071" s="51"/>
      <c r="H2071" s="51"/>
      <c r="I2071" s="51"/>
      <c r="J2071" s="51"/>
      <c r="K2071" s="51"/>
      <c r="L2071" s="51"/>
      <c r="M2071" s="35"/>
      <c r="N2071" s="51"/>
      <c r="O2071" s="82"/>
      <c r="P2071" s="51"/>
      <c r="Q2071" s="338"/>
      <c r="R2071" s="51"/>
      <c r="S2071" s="51"/>
      <c r="T2071" s="338"/>
      <c r="U2071" s="51"/>
      <c r="V2071" s="35"/>
      <c r="W2071" s="364">
        <v>130000</v>
      </c>
      <c r="X2071" s="141"/>
      <c r="Y2071" s="48"/>
      <c r="Z2071" s="48"/>
      <c r="AA2071" s="48"/>
      <c r="AB2071" s="48"/>
      <c r="AC2071" s="48"/>
      <c r="AD2071" s="48"/>
      <c r="AE2071" s="48"/>
      <c r="AF2071" s="48"/>
      <c r="AG2071" s="48"/>
      <c r="AH2071" s="187"/>
      <c r="AI2071" s="48"/>
      <c r="AJ2071" s="48"/>
      <c r="AK2071" s="48"/>
      <c r="AL2071" s="48"/>
    </row>
    <row r="2072" spans="1:38" x14ac:dyDescent="0.3">
      <c r="A2072" s="47">
        <f t="shared" si="470"/>
        <v>1875</v>
      </c>
      <c r="B2072" s="414" t="s">
        <v>3971</v>
      </c>
      <c r="C2072" s="51">
        <f t="shared" si="468"/>
        <v>492338</v>
      </c>
      <c r="D2072" s="51">
        <f t="shared" si="469"/>
        <v>0</v>
      </c>
      <c r="E2072" s="51"/>
      <c r="F2072" s="51"/>
      <c r="G2072" s="51"/>
      <c r="H2072" s="51"/>
      <c r="I2072" s="51"/>
      <c r="J2072" s="51"/>
      <c r="K2072" s="51"/>
      <c r="L2072" s="51"/>
      <c r="M2072" s="35"/>
      <c r="N2072" s="51"/>
      <c r="O2072" s="82"/>
      <c r="P2072" s="51"/>
      <c r="Q2072" s="338"/>
      <c r="R2072" s="51"/>
      <c r="S2072" s="51"/>
      <c r="T2072" s="338"/>
      <c r="U2072" s="51"/>
      <c r="V2072" s="35"/>
      <c r="W2072" s="364">
        <f>SUM(Y2072:AL2072)</f>
        <v>492338</v>
      </c>
      <c r="X2072" s="141"/>
      <c r="Y2072" s="48"/>
      <c r="Z2072" s="48"/>
      <c r="AA2072" s="48">
        <v>120049.60000000001</v>
      </c>
      <c r="AB2072" s="48"/>
      <c r="AC2072" s="48">
        <v>117136.67</v>
      </c>
      <c r="AD2072" s="48">
        <v>138015.06</v>
      </c>
      <c r="AE2072" s="48"/>
      <c r="AF2072" s="48">
        <v>117136.67</v>
      </c>
      <c r="AG2072" s="48"/>
      <c r="AH2072" s="187"/>
      <c r="AI2072" s="48"/>
      <c r="AJ2072" s="48"/>
      <c r="AK2072" s="48"/>
      <c r="AL2072" s="48"/>
    </row>
    <row r="2073" spans="1:38" x14ac:dyDescent="0.3">
      <c r="A2073" s="47">
        <f t="shared" si="470"/>
        <v>1876</v>
      </c>
      <c r="B2073" s="414" t="s">
        <v>3972</v>
      </c>
      <c r="C2073" s="51">
        <f t="shared" si="468"/>
        <v>115701.19</v>
      </c>
      <c r="D2073" s="51">
        <f t="shared" si="469"/>
        <v>0</v>
      </c>
      <c r="E2073" s="51"/>
      <c r="F2073" s="51"/>
      <c r="G2073" s="51"/>
      <c r="H2073" s="51"/>
      <c r="I2073" s="51"/>
      <c r="J2073" s="51"/>
      <c r="K2073" s="51"/>
      <c r="L2073" s="51"/>
      <c r="M2073" s="35"/>
      <c r="N2073" s="51"/>
      <c r="O2073" s="82"/>
      <c r="P2073" s="51"/>
      <c r="Q2073" s="338"/>
      <c r="R2073" s="51"/>
      <c r="S2073" s="51"/>
      <c r="T2073" s="338"/>
      <c r="U2073" s="51"/>
      <c r="V2073" s="35"/>
      <c r="W2073" s="364">
        <f>SUM(Y2073:AL2073)</f>
        <v>115701.19</v>
      </c>
      <c r="X2073" s="141"/>
      <c r="Y2073" s="48"/>
      <c r="Z2073" s="48"/>
      <c r="AA2073" s="48">
        <v>115701.19</v>
      </c>
      <c r="AB2073" s="48"/>
      <c r="AC2073" s="48"/>
      <c r="AD2073" s="48"/>
      <c r="AE2073" s="48"/>
      <c r="AF2073" s="48"/>
      <c r="AG2073" s="48"/>
      <c r="AH2073" s="187"/>
      <c r="AI2073" s="48"/>
      <c r="AJ2073" s="48"/>
      <c r="AK2073" s="48"/>
      <c r="AL2073" s="48"/>
    </row>
    <row r="2074" spans="1:38" x14ac:dyDescent="0.3">
      <c r="A2074" s="47">
        <f t="shared" si="470"/>
        <v>1877</v>
      </c>
      <c r="B2074" s="414" t="s">
        <v>3973</v>
      </c>
      <c r="C2074" s="51">
        <f t="shared" si="468"/>
        <v>685961.49</v>
      </c>
      <c r="D2074" s="51">
        <f t="shared" si="469"/>
        <v>0</v>
      </c>
      <c r="E2074" s="51"/>
      <c r="F2074" s="51"/>
      <c r="G2074" s="51"/>
      <c r="H2074" s="51"/>
      <c r="I2074" s="51"/>
      <c r="J2074" s="51"/>
      <c r="K2074" s="51"/>
      <c r="L2074" s="51"/>
      <c r="M2074" s="35"/>
      <c r="N2074" s="51"/>
      <c r="O2074" s="82"/>
      <c r="P2074" s="51"/>
      <c r="Q2074" s="338"/>
      <c r="R2074" s="51"/>
      <c r="S2074" s="51"/>
      <c r="T2074" s="338"/>
      <c r="U2074" s="51"/>
      <c r="V2074" s="35"/>
      <c r="W2074" s="364">
        <f>SUM(Y2074:AL2074)</f>
        <v>685961.49</v>
      </c>
      <c r="X2074" s="141"/>
      <c r="Y2074" s="48"/>
      <c r="Z2074" s="48"/>
      <c r="AA2074" s="48">
        <v>118684.68</v>
      </c>
      <c r="AB2074" s="48"/>
      <c r="AC2074" s="48"/>
      <c r="AD2074" s="48"/>
      <c r="AE2074" s="48"/>
      <c r="AF2074" s="48"/>
      <c r="AG2074" s="48">
        <v>192988.72</v>
      </c>
      <c r="AH2074" s="187">
        <v>374288.09</v>
      </c>
      <c r="AI2074" s="48"/>
      <c r="AJ2074" s="48"/>
      <c r="AK2074" s="48"/>
      <c r="AL2074" s="48"/>
    </row>
    <row r="2075" spans="1:38" x14ac:dyDescent="0.3">
      <c r="A2075" s="47">
        <f t="shared" si="470"/>
        <v>1878</v>
      </c>
      <c r="B2075" s="414" t="s">
        <v>3974</v>
      </c>
      <c r="C2075" s="51">
        <f t="shared" si="468"/>
        <v>253808.77000000002</v>
      </c>
      <c r="D2075" s="51">
        <f t="shared" si="469"/>
        <v>0</v>
      </c>
      <c r="E2075" s="51"/>
      <c r="F2075" s="51"/>
      <c r="G2075" s="51"/>
      <c r="H2075" s="51"/>
      <c r="I2075" s="51"/>
      <c r="J2075" s="51"/>
      <c r="K2075" s="51"/>
      <c r="L2075" s="51"/>
      <c r="M2075" s="35"/>
      <c r="N2075" s="51"/>
      <c r="O2075" s="82"/>
      <c r="P2075" s="51"/>
      <c r="Q2075" s="338"/>
      <c r="R2075" s="51"/>
      <c r="S2075" s="51"/>
      <c r="T2075" s="338"/>
      <c r="U2075" s="51"/>
      <c r="V2075" s="35"/>
      <c r="W2075" s="364">
        <f>SUM(Y2075:AL2075)</f>
        <v>253808.77000000002</v>
      </c>
      <c r="X2075" s="141"/>
      <c r="Y2075" s="48"/>
      <c r="Z2075" s="48"/>
      <c r="AA2075" s="48">
        <v>93423.07</v>
      </c>
      <c r="AB2075" s="48"/>
      <c r="AC2075" s="48"/>
      <c r="AD2075" s="48"/>
      <c r="AE2075" s="48"/>
      <c r="AF2075" s="48"/>
      <c r="AG2075" s="48"/>
      <c r="AH2075" s="187"/>
      <c r="AI2075" s="48"/>
      <c r="AJ2075" s="48">
        <v>160385.70000000001</v>
      </c>
      <c r="AK2075" s="48"/>
      <c r="AL2075" s="48"/>
    </row>
    <row r="2076" spans="1:38" x14ac:dyDescent="0.3">
      <c r="A2076" s="47">
        <f t="shared" si="470"/>
        <v>1879</v>
      </c>
      <c r="B2076" s="414" t="s">
        <v>3975</v>
      </c>
      <c r="C2076" s="51">
        <f t="shared" si="468"/>
        <v>114779.33</v>
      </c>
      <c r="D2076" s="51">
        <f t="shared" si="469"/>
        <v>0</v>
      </c>
      <c r="E2076" s="51"/>
      <c r="F2076" s="51"/>
      <c r="G2076" s="51"/>
      <c r="H2076" s="51"/>
      <c r="I2076" s="51"/>
      <c r="J2076" s="51"/>
      <c r="K2076" s="51"/>
      <c r="L2076" s="51"/>
      <c r="M2076" s="35"/>
      <c r="N2076" s="51"/>
      <c r="O2076" s="82"/>
      <c r="P2076" s="51"/>
      <c r="Q2076" s="338"/>
      <c r="R2076" s="51"/>
      <c r="S2076" s="51"/>
      <c r="T2076" s="338"/>
      <c r="U2076" s="51"/>
      <c r="V2076" s="35"/>
      <c r="W2076" s="364">
        <f>SUM(Y2076:AL2076)</f>
        <v>114779.33</v>
      </c>
      <c r="X2076" s="141"/>
      <c r="Y2076" s="48"/>
      <c r="Z2076" s="48"/>
      <c r="AA2076" s="48">
        <v>114779.33</v>
      </c>
      <c r="AB2076" s="48"/>
      <c r="AC2076" s="48"/>
      <c r="AD2076" s="48"/>
      <c r="AE2076" s="48"/>
      <c r="AF2076" s="48"/>
      <c r="AG2076" s="48"/>
      <c r="AH2076" s="187"/>
      <c r="AI2076" s="48"/>
      <c r="AJ2076" s="48"/>
      <c r="AK2076" s="48"/>
      <c r="AL2076" s="48"/>
    </row>
    <row r="2077" spans="1:38" x14ac:dyDescent="0.3">
      <c r="A2077" s="47">
        <f t="shared" si="470"/>
        <v>1880</v>
      </c>
      <c r="B2077" s="414" t="s">
        <v>3976</v>
      </c>
      <c r="C2077" s="51">
        <f t="shared" si="468"/>
        <v>130</v>
      </c>
      <c r="D2077" s="51">
        <f t="shared" si="469"/>
        <v>0</v>
      </c>
      <c r="E2077" s="51"/>
      <c r="F2077" s="51"/>
      <c r="G2077" s="51"/>
      <c r="H2077" s="51"/>
      <c r="I2077" s="51"/>
      <c r="J2077" s="51"/>
      <c r="K2077" s="51"/>
      <c r="L2077" s="51"/>
      <c r="M2077" s="35"/>
      <c r="N2077" s="51"/>
      <c r="O2077" s="82"/>
      <c r="P2077" s="51"/>
      <c r="Q2077" s="338"/>
      <c r="R2077" s="51"/>
      <c r="S2077" s="51"/>
      <c r="T2077" s="338"/>
      <c r="U2077" s="51"/>
      <c r="V2077" s="35"/>
      <c r="W2077" s="364">
        <v>130</v>
      </c>
      <c r="X2077" s="141"/>
      <c r="Y2077" s="48"/>
      <c r="Z2077" s="48"/>
      <c r="AA2077" s="48"/>
      <c r="AB2077" s="48"/>
      <c r="AC2077" s="48"/>
      <c r="AD2077" s="48"/>
      <c r="AE2077" s="48"/>
      <c r="AF2077" s="48"/>
      <c r="AG2077" s="48"/>
      <c r="AH2077" s="187"/>
      <c r="AI2077" s="48"/>
      <c r="AJ2077" s="48"/>
      <c r="AK2077" s="48"/>
      <c r="AL2077" s="48"/>
    </row>
    <row r="2078" spans="1:38" x14ac:dyDescent="0.3">
      <c r="A2078" s="47">
        <f t="shared" si="470"/>
        <v>1881</v>
      </c>
      <c r="B2078" s="414" t="s">
        <v>3977</v>
      </c>
      <c r="C2078" s="51">
        <f t="shared" si="468"/>
        <v>130000</v>
      </c>
      <c r="D2078" s="51">
        <f t="shared" si="469"/>
        <v>0</v>
      </c>
      <c r="E2078" s="51"/>
      <c r="F2078" s="51"/>
      <c r="G2078" s="51"/>
      <c r="H2078" s="51"/>
      <c r="I2078" s="51"/>
      <c r="J2078" s="51"/>
      <c r="K2078" s="51"/>
      <c r="L2078" s="51"/>
      <c r="M2078" s="35"/>
      <c r="N2078" s="51"/>
      <c r="O2078" s="82"/>
      <c r="P2078" s="51"/>
      <c r="Q2078" s="338"/>
      <c r="R2078" s="51"/>
      <c r="S2078" s="51"/>
      <c r="T2078" s="338"/>
      <c r="U2078" s="51"/>
      <c r="V2078" s="35"/>
      <c r="W2078" s="364">
        <v>130000</v>
      </c>
      <c r="X2078" s="141"/>
      <c r="Y2078" s="48"/>
      <c r="Z2078" s="48"/>
      <c r="AA2078" s="48"/>
      <c r="AB2078" s="48"/>
      <c r="AC2078" s="48"/>
      <c r="AD2078" s="48"/>
      <c r="AE2078" s="48"/>
      <c r="AF2078" s="48"/>
      <c r="AG2078" s="48"/>
      <c r="AH2078" s="187"/>
      <c r="AI2078" s="48"/>
      <c r="AJ2078" s="48"/>
      <c r="AK2078" s="48"/>
      <c r="AL2078" s="48"/>
    </row>
    <row r="2079" spans="1:38" x14ac:dyDescent="0.3">
      <c r="A2079" s="47">
        <f t="shared" si="470"/>
        <v>1882</v>
      </c>
      <c r="B2079" s="414" t="s">
        <v>3978</v>
      </c>
      <c r="C2079" s="51">
        <f t="shared" si="468"/>
        <v>114779.33</v>
      </c>
      <c r="D2079" s="51">
        <f t="shared" si="469"/>
        <v>0</v>
      </c>
      <c r="E2079" s="51"/>
      <c r="F2079" s="51"/>
      <c r="G2079" s="51"/>
      <c r="H2079" s="51"/>
      <c r="I2079" s="51"/>
      <c r="J2079" s="51"/>
      <c r="K2079" s="51"/>
      <c r="L2079" s="51"/>
      <c r="M2079" s="35"/>
      <c r="N2079" s="51"/>
      <c r="O2079" s="82"/>
      <c r="P2079" s="51"/>
      <c r="Q2079" s="338"/>
      <c r="R2079" s="51"/>
      <c r="S2079" s="51"/>
      <c r="T2079" s="338"/>
      <c r="U2079" s="51"/>
      <c r="V2079" s="35"/>
      <c r="W2079" s="364">
        <f>SUM(Y2079:AL2079)</f>
        <v>114779.33</v>
      </c>
      <c r="X2079" s="141"/>
      <c r="Y2079" s="48"/>
      <c r="Z2079" s="48"/>
      <c r="AA2079" s="48">
        <v>114779.33</v>
      </c>
      <c r="AB2079" s="48"/>
      <c r="AC2079" s="48"/>
      <c r="AD2079" s="48"/>
      <c r="AE2079" s="48"/>
      <c r="AF2079" s="48"/>
      <c r="AG2079" s="48"/>
      <c r="AH2079" s="187"/>
      <c r="AI2079" s="48"/>
      <c r="AJ2079" s="48"/>
      <c r="AK2079" s="48"/>
      <c r="AL2079" s="48"/>
    </row>
    <row r="2080" spans="1:38" x14ac:dyDescent="0.3">
      <c r="A2080" s="439" t="s">
        <v>211</v>
      </c>
      <c r="B2080" s="399"/>
      <c r="C2080" s="51">
        <f t="shared" ref="C2080:W2080" si="471">SUM(C2060:C2079)</f>
        <v>3816172.07</v>
      </c>
      <c r="D2080" s="51">
        <f t="shared" si="471"/>
        <v>0</v>
      </c>
      <c r="E2080" s="51">
        <f t="shared" si="471"/>
        <v>0</v>
      </c>
      <c r="F2080" s="51">
        <f t="shared" si="471"/>
        <v>0</v>
      </c>
      <c r="G2080" s="51">
        <f t="shared" si="471"/>
        <v>0</v>
      </c>
      <c r="H2080" s="51">
        <f t="shared" si="471"/>
        <v>0</v>
      </c>
      <c r="I2080" s="51">
        <f t="shared" si="471"/>
        <v>0</v>
      </c>
      <c r="J2080" s="51">
        <f t="shared" si="471"/>
        <v>0</v>
      </c>
      <c r="K2080" s="51">
        <f t="shared" si="471"/>
        <v>0</v>
      </c>
      <c r="L2080" s="51">
        <f t="shared" si="471"/>
        <v>0</v>
      </c>
      <c r="M2080" s="35">
        <f t="shared" si="471"/>
        <v>0</v>
      </c>
      <c r="N2080" s="51">
        <f t="shared" si="471"/>
        <v>0</v>
      </c>
      <c r="O2080" s="82">
        <f t="shared" si="471"/>
        <v>0</v>
      </c>
      <c r="P2080" s="51">
        <f t="shared" si="471"/>
        <v>0</v>
      </c>
      <c r="Q2080" s="338">
        <f t="shared" si="471"/>
        <v>0</v>
      </c>
      <c r="R2080" s="51">
        <f t="shared" si="471"/>
        <v>0</v>
      </c>
      <c r="S2080" s="51">
        <f t="shared" si="471"/>
        <v>0</v>
      </c>
      <c r="T2080" s="338">
        <f t="shared" si="471"/>
        <v>0</v>
      </c>
      <c r="U2080" s="51">
        <f t="shared" si="471"/>
        <v>0</v>
      </c>
      <c r="V2080" s="35">
        <f t="shared" si="471"/>
        <v>0</v>
      </c>
      <c r="W2080" s="51">
        <f t="shared" si="471"/>
        <v>3816172.07</v>
      </c>
      <c r="X2080" s="304"/>
      <c r="Y2080" s="48"/>
      <c r="Z2080" s="48"/>
      <c r="AA2080" s="48"/>
      <c r="AB2080" s="48"/>
      <c r="AC2080" s="48"/>
      <c r="AD2080" s="48"/>
      <c r="AE2080" s="48"/>
      <c r="AF2080" s="48"/>
      <c r="AG2080" s="48"/>
      <c r="AH2080" s="187"/>
      <c r="AI2080" s="48"/>
      <c r="AJ2080" s="48"/>
      <c r="AK2080" s="48"/>
      <c r="AL2080" s="48"/>
    </row>
    <row r="2081" spans="1:38" x14ac:dyDescent="0.3">
      <c r="A2081" s="435" t="s">
        <v>3839</v>
      </c>
      <c r="B2081" s="363"/>
      <c r="C2081" s="51"/>
      <c r="D2081" s="51"/>
      <c r="E2081" s="51"/>
      <c r="F2081" s="51"/>
      <c r="G2081" s="51"/>
      <c r="H2081" s="51"/>
      <c r="I2081" s="51"/>
      <c r="J2081" s="51"/>
      <c r="K2081" s="51"/>
      <c r="L2081" s="51"/>
      <c r="M2081" s="35"/>
      <c r="N2081" s="51"/>
      <c r="O2081" s="82"/>
      <c r="P2081" s="51"/>
      <c r="Q2081" s="338"/>
      <c r="R2081" s="51"/>
      <c r="S2081" s="51"/>
      <c r="T2081" s="338"/>
      <c r="U2081" s="51"/>
      <c r="V2081" s="35"/>
      <c r="W2081" s="364"/>
      <c r="X2081" s="141"/>
      <c r="Y2081" s="48"/>
      <c r="Z2081" s="48"/>
      <c r="AA2081" s="48"/>
      <c r="AB2081" s="48"/>
      <c r="AC2081" s="48"/>
      <c r="AD2081" s="48"/>
      <c r="AE2081" s="48"/>
      <c r="AF2081" s="48"/>
      <c r="AG2081" s="48"/>
      <c r="AH2081" s="187"/>
      <c r="AI2081" s="48"/>
      <c r="AJ2081" s="48"/>
      <c r="AK2081" s="48"/>
      <c r="AL2081" s="48"/>
    </row>
    <row r="2082" spans="1:38" x14ac:dyDescent="0.3">
      <c r="A2082" s="47">
        <f>A2079+1</f>
        <v>1883</v>
      </c>
      <c r="B2082" s="414" t="s">
        <v>3840</v>
      </c>
      <c r="C2082" s="51">
        <f t="shared" ref="C2082:C2122" si="472">D2082+K2082+L2082+N2082+P2082+R2082+S2082+U2082+V2082+W2082</f>
        <v>477384.7</v>
      </c>
      <c r="D2082" s="51">
        <f t="shared" ref="D2082:D2137" si="473">E2082+F2082+G2082+H2082+I2082</f>
        <v>0</v>
      </c>
      <c r="E2082" s="51"/>
      <c r="F2082" s="51"/>
      <c r="G2082" s="51"/>
      <c r="H2082" s="51"/>
      <c r="I2082" s="51"/>
      <c r="J2082" s="51"/>
      <c r="K2082" s="51"/>
      <c r="L2082" s="51"/>
      <c r="M2082" s="35"/>
      <c r="N2082" s="51"/>
      <c r="O2082" s="82"/>
      <c r="P2082" s="51"/>
      <c r="Q2082" s="338"/>
      <c r="R2082" s="51"/>
      <c r="S2082" s="51"/>
      <c r="T2082" s="338"/>
      <c r="U2082" s="51"/>
      <c r="V2082" s="35"/>
      <c r="W2082" s="364">
        <f t="shared" ref="W2082:W2089" si="474">SUM(Y2082:AL2082)</f>
        <v>477384.7</v>
      </c>
      <c r="X2082" s="141"/>
      <c r="Y2082" s="48"/>
      <c r="Z2082" s="48"/>
      <c r="AA2082" s="48">
        <v>174421.63</v>
      </c>
      <c r="AB2082" s="48"/>
      <c r="AC2082" s="48"/>
      <c r="AD2082" s="48"/>
      <c r="AE2082" s="48">
        <v>165718.87</v>
      </c>
      <c r="AF2082" s="48"/>
      <c r="AG2082" s="48"/>
      <c r="AH2082" s="187">
        <v>137244.20000000001</v>
      </c>
      <c r="AI2082" s="48"/>
      <c r="AJ2082" s="48"/>
      <c r="AK2082" s="48"/>
      <c r="AL2082" s="48"/>
    </row>
    <row r="2083" spans="1:38" x14ac:dyDescent="0.3">
      <c r="A2083" s="47">
        <f t="shared" ref="A2083:A2085" si="475">A2082+1</f>
        <v>1884</v>
      </c>
      <c r="B2083" s="414" t="s">
        <v>3979</v>
      </c>
      <c r="C2083" s="51">
        <f t="shared" si="472"/>
        <v>1780519.58</v>
      </c>
      <c r="D2083" s="51">
        <f t="shared" si="473"/>
        <v>0</v>
      </c>
      <c r="E2083" s="51"/>
      <c r="F2083" s="51"/>
      <c r="G2083" s="51"/>
      <c r="H2083" s="51"/>
      <c r="I2083" s="51"/>
      <c r="J2083" s="51"/>
      <c r="K2083" s="51"/>
      <c r="L2083" s="51"/>
      <c r="M2083" s="35"/>
      <c r="N2083" s="51"/>
      <c r="O2083" s="82"/>
      <c r="P2083" s="51"/>
      <c r="Q2083" s="338"/>
      <c r="R2083" s="51"/>
      <c r="S2083" s="51"/>
      <c r="T2083" s="338"/>
      <c r="U2083" s="51"/>
      <c r="V2083" s="35"/>
      <c r="W2083" s="364">
        <f t="shared" si="474"/>
        <v>1780519.58</v>
      </c>
      <c r="X2083" s="141"/>
      <c r="Y2083" s="48"/>
      <c r="Z2083" s="48"/>
      <c r="AA2083" s="48">
        <v>182723.23</v>
      </c>
      <c r="AB2083" s="48">
        <v>185792.6</v>
      </c>
      <c r="AC2083" s="48"/>
      <c r="AD2083" s="48">
        <v>227969.21</v>
      </c>
      <c r="AE2083" s="48"/>
      <c r="AF2083" s="48"/>
      <c r="AG2083" s="48">
        <v>397212.85</v>
      </c>
      <c r="AH2083" s="187">
        <v>179706.57</v>
      </c>
      <c r="AI2083" s="48"/>
      <c r="AJ2083" s="48">
        <v>607115.12</v>
      </c>
      <c r="AK2083" s="48"/>
      <c r="AL2083" s="48"/>
    </row>
    <row r="2084" spans="1:38" x14ac:dyDescent="0.3">
      <c r="A2084" s="47">
        <f t="shared" si="475"/>
        <v>1885</v>
      </c>
      <c r="B2084" s="414" t="s">
        <v>3980</v>
      </c>
      <c r="C2084" s="51">
        <f t="shared" si="472"/>
        <v>1600813.51</v>
      </c>
      <c r="D2084" s="51">
        <f t="shared" si="473"/>
        <v>0</v>
      </c>
      <c r="E2084" s="51"/>
      <c r="F2084" s="51"/>
      <c r="G2084" s="51"/>
      <c r="H2084" s="51"/>
      <c r="I2084" s="51"/>
      <c r="J2084" s="51"/>
      <c r="K2084" s="51"/>
      <c r="L2084" s="51"/>
      <c r="M2084" s="35"/>
      <c r="N2084" s="51"/>
      <c r="O2084" s="82"/>
      <c r="P2084" s="51"/>
      <c r="Q2084" s="338"/>
      <c r="R2084" s="51"/>
      <c r="S2084" s="51"/>
      <c r="T2084" s="338"/>
      <c r="U2084" s="51"/>
      <c r="V2084" s="35"/>
      <c r="W2084" s="364">
        <f t="shared" si="474"/>
        <v>1600813.51</v>
      </c>
      <c r="X2084" s="141"/>
      <c r="Y2084" s="48"/>
      <c r="Z2084" s="48"/>
      <c r="AA2084" s="48">
        <v>182723.23</v>
      </c>
      <c r="AB2084" s="48">
        <v>185792.6</v>
      </c>
      <c r="AC2084" s="48"/>
      <c r="AD2084" s="48">
        <v>227969.21</v>
      </c>
      <c r="AE2084" s="48"/>
      <c r="AF2084" s="48"/>
      <c r="AG2084" s="48">
        <v>397212.85</v>
      </c>
      <c r="AH2084" s="187"/>
      <c r="AI2084" s="48"/>
      <c r="AJ2084" s="48">
        <v>607115.62</v>
      </c>
      <c r="AK2084" s="48"/>
      <c r="AL2084" s="48"/>
    </row>
    <row r="2085" spans="1:38" x14ac:dyDescent="0.3">
      <c r="A2085" s="47">
        <f t="shared" si="475"/>
        <v>1886</v>
      </c>
      <c r="B2085" s="414" t="s">
        <v>3981</v>
      </c>
      <c r="C2085" s="51">
        <f t="shared" si="472"/>
        <v>335983.25</v>
      </c>
      <c r="D2085" s="51">
        <f t="shared" si="473"/>
        <v>0</v>
      </c>
      <c r="E2085" s="51"/>
      <c r="F2085" s="51"/>
      <c r="G2085" s="51"/>
      <c r="H2085" s="51"/>
      <c r="I2085" s="51"/>
      <c r="J2085" s="51"/>
      <c r="K2085" s="51"/>
      <c r="L2085" s="51"/>
      <c r="M2085" s="35"/>
      <c r="N2085" s="51"/>
      <c r="O2085" s="82"/>
      <c r="P2085" s="51"/>
      <c r="Q2085" s="338"/>
      <c r="R2085" s="51"/>
      <c r="S2085" s="51"/>
      <c r="T2085" s="338"/>
      <c r="U2085" s="51"/>
      <c r="V2085" s="35"/>
      <c r="W2085" s="364">
        <f t="shared" si="474"/>
        <v>335983.25</v>
      </c>
      <c r="X2085" s="141"/>
      <c r="Y2085" s="48"/>
      <c r="Z2085" s="48"/>
      <c r="AA2085" s="48">
        <v>102534.97</v>
      </c>
      <c r="AB2085" s="48">
        <v>109372.86</v>
      </c>
      <c r="AC2085" s="48"/>
      <c r="AD2085" s="48">
        <v>124075.42</v>
      </c>
      <c r="AE2085" s="48"/>
      <c r="AF2085" s="48"/>
      <c r="AG2085" s="48"/>
      <c r="AH2085" s="187"/>
      <c r="AI2085" s="48"/>
      <c r="AJ2085" s="48"/>
      <c r="AK2085" s="48"/>
      <c r="AL2085" s="48"/>
    </row>
    <row r="2086" spans="1:38" x14ac:dyDescent="0.3">
      <c r="A2086" s="47">
        <f t="shared" ref="A2086:A2109" si="476">A2085+1</f>
        <v>1887</v>
      </c>
      <c r="B2086" s="414" t="s">
        <v>3982</v>
      </c>
      <c r="C2086" s="51">
        <f t="shared" si="472"/>
        <v>549718.75</v>
      </c>
      <c r="D2086" s="51">
        <f t="shared" si="473"/>
        <v>0</v>
      </c>
      <c r="E2086" s="51"/>
      <c r="F2086" s="51"/>
      <c r="G2086" s="51"/>
      <c r="H2086" s="51"/>
      <c r="I2086" s="51"/>
      <c r="J2086" s="51"/>
      <c r="K2086" s="51"/>
      <c r="L2086" s="51"/>
      <c r="M2086" s="35"/>
      <c r="N2086" s="51"/>
      <c r="O2086" s="82"/>
      <c r="P2086" s="51"/>
      <c r="Q2086" s="338"/>
      <c r="R2086" s="51"/>
      <c r="S2086" s="51"/>
      <c r="T2086" s="338"/>
      <c r="U2086" s="51"/>
      <c r="V2086" s="35"/>
      <c r="W2086" s="364">
        <f t="shared" si="474"/>
        <v>549718.75</v>
      </c>
      <c r="X2086" s="141"/>
      <c r="Y2086" s="48"/>
      <c r="Z2086" s="48"/>
      <c r="AA2086" s="48">
        <v>106881.68</v>
      </c>
      <c r="AB2086" s="48">
        <v>113694.62</v>
      </c>
      <c r="AC2086" s="48"/>
      <c r="AD2086" s="48">
        <v>128618.96</v>
      </c>
      <c r="AE2086" s="48"/>
      <c r="AF2086" s="48"/>
      <c r="AG2086" s="48">
        <v>200523.49</v>
      </c>
      <c r="AH2086" s="187"/>
      <c r="AI2086" s="48"/>
      <c r="AJ2086" s="48"/>
      <c r="AK2086" s="48"/>
      <c r="AL2086" s="48"/>
    </row>
    <row r="2087" spans="1:38" x14ac:dyDescent="0.3">
      <c r="A2087" s="47">
        <f t="shared" si="476"/>
        <v>1888</v>
      </c>
      <c r="B2087" s="414" t="s">
        <v>3983</v>
      </c>
      <c r="C2087" s="51">
        <f t="shared" si="472"/>
        <v>646534.38</v>
      </c>
      <c r="D2087" s="51">
        <f t="shared" si="473"/>
        <v>0</v>
      </c>
      <c r="E2087" s="51"/>
      <c r="F2087" s="51"/>
      <c r="G2087" s="51"/>
      <c r="H2087" s="51"/>
      <c r="I2087" s="51"/>
      <c r="J2087" s="51"/>
      <c r="K2087" s="51"/>
      <c r="L2087" s="51"/>
      <c r="M2087" s="35"/>
      <c r="N2087" s="51"/>
      <c r="O2087" s="82"/>
      <c r="P2087" s="51"/>
      <c r="Q2087" s="338"/>
      <c r="R2087" s="51"/>
      <c r="S2087" s="51"/>
      <c r="T2087" s="338"/>
      <c r="U2087" s="51"/>
      <c r="V2087" s="35"/>
      <c r="W2087" s="364">
        <f t="shared" si="474"/>
        <v>646534.38</v>
      </c>
      <c r="X2087" s="141"/>
      <c r="Y2087" s="48"/>
      <c r="Z2087" s="48"/>
      <c r="AA2087" s="48">
        <v>172031.34</v>
      </c>
      <c r="AB2087" s="48"/>
      <c r="AC2087" s="48"/>
      <c r="AD2087" s="48"/>
      <c r="AE2087" s="48"/>
      <c r="AF2087" s="48"/>
      <c r="AG2087" s="48">
        <v>377101.75</v>
      </c>
      <c r="AH2087" s="187">
        <v>97401.29</v>
      </c>
      <c r="AI2087" s="48"/>
      <c r="AJ2087" s="48"/>
      <c r="AK2087" s="48"/>
      <c r="AL2087" s="48"/>
    </row>
    <row r="2088" spans="1:38" x14ac:dyDescent="0.3">
      <c r="A2088" s="47">
        <f t="shared" si="476"/>
        <v>1889</v>
      </c>
      <c r="B2088" s="414" t="s">
        <v>3984</v>
      </c>
      <c r="C2088" s="51">
        <f t="shared" si="472"/>
        <v>579339.16</v>
      </c>
      <c r="D2088" s="51">
        <f t="shared" si="473"/>
        <v>0</v>
      </c>
      <c r="E2088" s="51"/>
      <c r="F2088" s="51"/>
      <c r="G2088" s="51"/>
      <c r="H2088" s="51"/>
      <c r="I2088" s="51"/>
      <c r="J2088" s="51"/>
      <c r="K2088" s="51"/>
      <c r="L2088" s="51"/>
      <c r="M2088" s="35"/>
      <c r="N2088" s="51"/>
      <c r="O2088" s="82"/>
      <c r="P2088" s="51"/>
      <c r="Q2088" s="338"/>
      <c r="R2088" s="51"/>
      <c r="S2088" s="51"/>
      <c r="T2088" s="338"/>
      <c r="U2088" s="51"/>
      <c r="V2088" s="35"/>
      <c r="W2088" s="364">
        <f t="shared" si="474"/>
        <v>579339.16</v>
      </c>
      <c r="X2088" s="141"/>
      <c r="Y2088" s="48"/>
      <c r="Z2088" s="48"/>
      <c r="AA2088" s="48">
        <v>113270.52</v>
      </c>
      <c r="AB2088" s="48">
        <v>120046.3</v>
      </c>
      <c r="AC2088" s="48"/>
      <c r="AD2088" s="48">
        <v>135296.63</v>
      </c>
      <c r="AE2088" s="48"/>
      <c r="AF2088" s="48"/>
      <c r="AG2088" s="48">
        <v>210725.71</v>
      </c>
      <c r="AH2088" s="187"/>
      <c r="AI2088" s="48"/>
      <c r="AJ2088" s="48"/>
      <c r="AK2088" s="48"/>
      <c r="AL2088" s="48"/>
    </row>
    <row r="2089" spans="1:38" x14ac:dyDescent="0.3">
      <c r="A2089" s="47">
        <f t="shared" si="476"/>
        <v>1890</v>
      </c>
      <c r="B2089" s="414" t="s">
        <v>3985</v>
      </c>
      <c r="C2089" s="51">
        <f t="shared" si="472"/>
        <v>355302.2</v>
      </c>
      <c r="D2089" s="51">
        <f t="shared" si="473"/>
        <v>0</v>
      </c>
      <c r="E2089" s="51"/>
      <c r="F2089" s="51"/>
      <c r="G2089" s="51"/>
      <c r="H2089" s="51"/>
      <c r="I2089" s="51"/>
      <c r="J2089" s="51"/>
      <c r="K2089" s="51"/>
      <c r="L2089" s="51"/>
      <c r="M2089" s="35"/>
      <c r="N2089" s="51"/>
      <c r="O2089" s="82"/>
      <c r="P2089" s="51"/>
      <c r="Q2089" s="338"/>
      <c r="R2089" s="51"/>
      <c r="S2089" s="51"/>
      <c r="T2089" s="338"/>
      <c r="U2089" s="51"/>
      <c r="V2089" s="35"/>
      <c r="W2089" s="364">
        <f t="shared" si="474"/>
        <v>355302.2</v>
      </c>
      <c r="X2089" s="141"/>
      <c r="Y2089" s="48"/>
      <c r="Z2089" s="48"/>
      <c r="AA2089" s="48">
        <v>108891.76</v>
      </c>
      <c r="AB2089" s="48">
        <v>115691.8</v>
      </c>
      <c r="AC2089" s="48"/>
      <c r="AD2089" s="48">
        <v>130718.64</v>
      </c>
      <c r="AE2089" s="48"/>
      <c r="AF2089" s="48"/>
      <c r="AG2089" s="48"/>
      <c r="AH2089" s="187"/>
      <c r="AI2089" s="48"/>
      <c r="AJ2089" s="48"/>
      <c r="AK2089" s="48"/>
      <c r="AL2089" s="48"/>
    </row>
    <row r="2090" spans="1:38" x14ac:dyDescent="0.3">
      <c r="A2090" s="47">
        <f t="shared" si="476"/>
        <v>1891</v>
      </c>
      <c r="B2090" s="414" t="s">
        <v>3841</v>
      </c>
      <c r="C2090" s="51">
        <f t="shared" si="472"/>
        <v>4263969</v>
      </c>
      <c r="D2090" s="51">
        <f t="shared" si="473"/>
        <v>0</v>
      </c>
      <c r="E2090" s="51"/>
      <c r="F2090" s="51"/>
      <c r="G2090" s="51"/>
      <c r="H2090" s="51"/>
      <c r="I2090" s="51"/>
      <c r="J2090" s="51"/>
      <c r="K2090" s="51"/>
      <c r="L2090" s="51"/>
      <c r="M2090" s="35">
        <v>683</v>
      </c>
      <c r="N2090" s="51">
        <v>4263969</v>
      </c>
      <c r="O2090" s="82"/>
      <c r="P2090" s="51"/>
      <c r="Q2090" s="338"/>
      <c r="R2090" s="51"/>
      <c r="S2090" s="51"/>
      <c r="T2090" s="338"/>
      <c r="U2090" s="51"/>
      <c r="V2090" s="35"/>
      <c r="W2090" s="418"/>
      <c r="X2090" s="141"/>
      <c r="Y2090" s="48"/>
      <c r="Z2090" s="48"/>
      <c r="AA2090" s="48"/>
      <c r="AB2090" s="48"/>
      <c r="AC2090" s="48"/>
      <c r="AD2090" s="48"/>
      <c r="AE2090" s="48"/>
      <c r="AF2090" s="48"/>
      <c r="AG2090" s="48">
        <v>295477.3</v>
      </c>
      <c r="AH2090" s="187"/>
      <c r="AI2090" s="48"/>
      <c r="AJ2090" s="48"/>
      <c r="AK2090" s="48"/>
      <c r="AL2090" s="48"/>
    </row>
    <row r="2091" spans="1:38" x14ac:dyDescent="0.3">
      <c r="A2091" s="47">
        <f t="shared" si="476"/>
        <v>1892</v>
      </c>
      <c r="B2091" s="414" t="s">
        <v>3986</v>
      </c>
      <c r="C2091" s="51">
        <f t="shared" si="472"/>
        <v>228297.78999999998</v>
      </c>
      <c r="D2091" s="51">
        <f t="shared" si="473"/>
        <v>0</v>
      </c>
      <c r="E2091" s="51"/>
      <c r="F2091" s="51"/>
      <c r="G2091" s="51"/>
      <c r="H2091" s="51"/>
      <c r="I2091" s="51"/>
      <c r="J2091" s="51"/>
      <c r="K2091" s="51"/>
      <c r="L2091" s="51"/>
      <c r="M2091" s="35"/>
      <c r="N2091" s="51"/>
      <c r="O2091" s="82"/>
      <c r="P2091" s="51"/>
      <c r="Q2091" s="338"/>
      <c r="R2091" s="51"/>
      <c r="S2091" s="51"/>
      <c r="T2091" s="338"/>
      <c r="U2091" s="51"/>
      <c r="V2091" s="35"/>
      <c r="W2091" s="364">
        <f t="shared" ref="W2091:W2096" si="477">SUM(Y2091:AL2091)</f>
        <v>228297.78999999998</v>
      </c>
      <c r="X2091" s="141"/>
      <c r="Y2091" s="48"/>
      <c r="Z2091" s="48"/>
      <c r="AA2091" s="48">
        <v>76910.210000000006</v>
      </c>
      <c r="AB2091" s="48"/>
      <c r="AC2091" s="48"/>
      <c r="AD2091" s="48"/>
      <c r="AE2091" s="48"/>
      <c r="AF2091" s="48"/>
      <c r="AG2091" s="48">
        <v>151387.57999999999</v>
      </c>
      <c r="AH2091" s="187"/>
      <c r="AI2091" s="48"/>
      <c r="AJ2091" s="48"/>
      <c r="AK2091" s="48"/>
      <c r="AL2091" s="48"/>
    </row>
    <row r="2092" spans="1:38" x14ac:dyDescent="0.3">
      <c r="A2092" s="47">
        <f t="shared" si="476"/>
        <v>1893</v>
      </c>
      <c r="B2092" s="414" t="s">
        <v>3987</v>
      </c>
      <c r="C2092" s="51">
        <f t="shared" si="472"/>
        <v>282950.68</v>
      </c>
      <c r="D2092" s="51">
        <f t="shared" si="473"/>
        <v>0</v>
      </c>
      <c r="E2092" s="51"/>
      <c r="F2092" s="51"/>
      <c r="G2092" s="51"/>
      <c r="H2092" s="51"/>
      <c r="I2092" s="51"/>
      <c r="J2092" s="51"/>
      <c r="K2092" s="51"/>
      <c r="L2092" s="51"/>
      <c r="M2092" s="35"/>
      <c r="N2092" s="51"/>
      <c r="O2092" s="82"/>
      <c r="P2092" s="51"/>
      <c r="Q2092" s="338"/>
      <c r="R2092" s="51"/>
      <c r="S2092" s="51"/>
      <c r="T2092" s="338"/>
      <c r="U2092" s="51"/>
      <c r="V2092" s="35"/>
      <c r="W2092" s="364">
        <f t="shared" si="477"/>
        <v>282950.68</v>
      </c>
      <c r="X2092" s="141"/>
      <c r="Y2092" s="48"/>
      <c r="Z2092" s="48"/>
      <c r="AA2092" s="48">
        <v>98134.12</v>
      </c>
      <c r="AB2092" s="48"/>
      <c r="AC2092" s="48"/>
      <c r="AD2092" s="48"/>
      <c r="AE2092" s="48"/>
      <c r="AF2092" s="48"/>
      <c r="AG2092" s="48">
        <v>184816.56</v>
      </c>
      <c r="AH2092" s="187"/>
      <c r="AI2092" s="48"/>
      <c r="AJ2092" s="48"/>
      <c r="AK2092" s="48"/>
      <c r="AL2092" s="48"/>
    </row>
    <row r="2093" spans="1:38" x14ac:dyDescent="0.3">
      <c r="A2093" s="47">
        <f t="shared" si="476"/>
        <v>1894</v>
      </c>
      <c r="B2093" s="414" t="s">
        <v>3988</v>
      </c>
      <c r="C2093" s="51">
        <f t="shared" si="472"/>
        <v>861061.80000000016</v>
      </c>
      <c r="D2093" s="51">
        <f t="shared" si="473"/>
        <v>0</v>
      </c>
      <c r="E2093" s="51"/>
      <c r="F2093" s="51"/>
      <c r="G2093" s="51"/>
      <c r="H2093" s="51"/>
      <c r="I2093" s="51"/>
      <c r="J2093" s="51"/>
      <c r="K2093" s="51"/>
      <c r="L2093" s="51"/>
      <c r="M2093" s="35"/>
      <c r="N2093" s="51"/>
      <c r="O2093" s="82"/>
      <c r="P2093" s="51"/>
      <c r="Q2093" s="338"/>
      <c r="R2093" s="51"/>
      <c r="S2093" s="51"/>
      <c r="T2093" s="338"/>
      <c r="U2093" s="51"/>
      <c r="V2093" s="35"/>
      <c r="W2093" s="364">
        <f t="shared" si="477"/>
        <v>861061.80000000016</v>
      </c>
      <c r="X2093" s="141"/>
      <c r="Y2093" s="48"/>
      <c r="Z2093" s="48"/>
      <c r="AA2093" s="48">
        <v>86338.6</v>
      </c>
      <c r="AB2093" s="48">
        <v>93264.49</v>
      </c>
      <c r="AC2093" s="48"/>
      <c r="AD2093" s="48">
        <v>107140.32</v>
      </c>
      <c r="AE2093" s="48"/>
      <c r="AF2093" s="48">
        <v>88125.82</v>
      </c>
      <c r="AG2093" s="48">
        <v>167708.12</v>
      </c>
      <c r="AH2093" s="187">
        <v>164547.66</v>
      </c>
      <c r="AI2093" s="48"/>
      <c r="AJ2093" s="48">
        <v>153936.79</v>
      </c>
      <c r="AK2093" s="48"/>
      <c r="AL2093" s="48"/>
    </row>
    <row r="2094" spans="1:38" x14ac:dyDescent="0.3">
      <c r="A2094" s="47">
        <f t="shared" si="476"/>
        <v>1895</v>
      </c>
      <c r="B2094" s="414" t="s">
        <v>3989</v>
      </c>
      <c r="C2094" s="51">
        <f t="shared" si="472"/>
        <v>327964.7</v>
      </c>
      <c r="D2094" s="51">
        <f t="shared" si="473"/>
        <v>0</v>
      </c>
      <c r="E2094" s="51"/>
      <c r="F2094" s="51"/>
      <c r="G2094" s="51"/>
      <c r="H2094" s="51"/>
      <c r="I2094" s="51"/>
      <c r="J2094" s="51"/>
      <c r="K2094" s="51"/>
      <c r="L2094" s="51"/>
      <c r="M2094" s="35"/>
      <c r="N2094" s="51"/>
      <c r="O2094" s="82"/>
      <c r="P2094" s="51"/>
      <c r="Q2094" s="338"/>
      <c r="R2094" s="51"/>
      <c r="S2094" s="51"/>
      <c r="T2094" s="338"/>
      <c r="U2094" s="51"/>
      <c r="V2094" s="35"/>
      <c r="W2094" s="364">
        <f t="shared" si="477"/>
        <v>327964.7</v>
      </c>
      <c r="X2094" s="141"/>
      <c r="Y2094" s="48"/>
      <c r="Z2094" s="48"/>
      <c r="AA2094" s="48"/>
      <c r="AB2094" s="48"/>
      <c r="AC2094" s="48"/>
      <c r="AD2094" s="48"/>
      <c r="AE2094" s="48"/>
      <c r="AF2094" s="48"/>
      <c r="AG2094" s="48"/>
      <c r="AH2094" s="187">
        <v>327964.7</v>
      </c>
      <c r="AI2094" s="48"/>
      <c r="AJ2094" s="48"/>
      <c r="AK2094" s="48"/>
      <c r="AL2094" s="48"/>
    </row>
    <row r="2095" spans="1:38" x14ac:dyDescent="0.3">
      <c r="A2095" s="47">
        <f t="shared" si="476"/>
        <v>1896</v>
      </c>
      <c r="B2095" s="414" t="s">
        <v>3842</v>
      </c>
      <c r="C2095" s="51">
        <f t="shared" si="472"/>
        <v>495327.28</v>
      </c>
      <c r="D2095" s="51">
        <f t="shared" si="473"/>
        <v>0</v>
      </c>
      <c r="E2095" s="51"/>
      <c r="F2095" s="51"/>
      <c r="G2095" s="51"/>
      <c r="H2095" s="51"/>
      <c r="I2095" s="51"/>
      <c r="J2095" s="51"/>
      <c r="K2095" s="51"/>
      <c r="L2095" s="51"/>
      <c r="M2095" s="35"/>
      <c r="N2095" s="51"/>
      <c r="O2095" s="82"/>
      <c r="P2095" s="51"/>
      <c r="Q2095" s="338"/>
      <c r="R2095" s="51"/>
      <c r="S2095" s="51"/>
      <c r="T2095" s="338"/>
      <c r="U2095" s="51"/>
      <c r="V2095" s="35"/>
      <c r="W2095" s="364">
        <f t="shared" si="477"/>
        <v>495327.28</v>
      </c>
      <c r="X2095" s="141"/>
      <c r="Y2095" s="48"/>
      <c r="Z2095" s="48">
        <v>495327.28</v>
      </c>
      <c r="AA2095" s="48"/>
      <c r="AB2095" s="48"/>
      <c r="AC2095" s="48"/>
      <c r="AD2095" s="48"/>
      <c r="AE2095" s="48"/>
      <c r="AF2095" s="48"/>
      <c r="AG2095" s="48"/>
      <c r="AH2095" s="187"/>
      <c r="AI2095" s="48"/>
      <c r="AJ2095" s="48"/>
      <c r="AK2095" s="48"/>
      <c r="AL2095" s="48"/>
    </row>
    <row r="2096" spans="1:38" x14ac:dyDescent="0.3">
      <c r="A2096" s="47">
        <f t="shared" si="476"/>
        <v>1897</v>
      </c>
      <c r="B2096" s="414" t="s">
        <v>3990</v>
      </c>
      <c r="C2096" s="51">
        <f t="shared" si="472"/>
        <v>405768.01</v>
      </c>
      <c r="D2096" s="51">
        <f t="shared" si="473"/>
        <v>0</v>
      </c>
      <c r="E2096" s="51"/>
      <c r="F2096" s="51"/>
      <c r="G2096" s="51"/>
      <c r="H2096" s="51"/>
      <c r="I2096" s="51"/>
      <c r="J2096" s="51"/>
      <c r="K2096" s="51"/>
      <c r="L2096" s="51"/>
      <c r="M2096" s="35"/>
      <c r="N2096" s="51"/>
      <c r="O2096" s="82"/>
      <c r="P2096" s="51"/>
      <c r="Q2096" s="338"/>
      <c r="R2096" s="51"/>
      <c r="S2096" s="51"/>
      <c r="T2096" s="338"/>
      <c r="U2096" s="51"/>
      <c r="V2096" s="35"/>
      <c r="W2096" s="364">
        <f t="shared" si="477"/>
        <v>405768.01</v>
      </c>
      <c r="X2096" s="141"/>
      <c r="Y2096" s="48"/>
      <c r="Z2096" s="48"/>
      <c r="AA2096" s="48"/>
      <c r="AB2096" s="48"/>
      <c r="AC2096" s="48"/>
      <c r="AD2096" s="48"/>
      <c r="AE2096" s="48"/>
      <c r="AF2096" s="48"/>
      <c r="AG2096" s="48"/>
      <c r="AH2096" s="187">
        <v>405768.01</v>
      </c>
      <c r="AI2096" s="48"/>
      <c r="AJ2096" s="48"/>
      <c r="AK2096" s="48"/>
      <c r="AL2096" s="48"/>
    </row>
    <row r="2097" spans="1:38" x14ac:dyDescent="0.3">
      <c r="A2097" s="47">
        <f t="shared" si="476"/>
        <v>1898</v>
      </c>
      <c r="B2097" s="414" t="s">
        <v>3846</v>
      </c>
      <c r="C2097" s="51">
        <f t="shared" si="472"/>
        <v>278408</v>
      </c>
      <c r="D2097" s="51">
        <f t="shared" si="473"/>
        <v>173186</v>
      </c>
      <c r="E2097" s="51"/>
      <c r="F2097" s="51">
        <v>71526</v>
      </c>
      <c r="G2097" s="51">
        <v>50830</v>
      </c>
      <c r="H2097" s="51">
        <v>50830</v>
      </c>
      <c r="I2097" s="51"/>
      <c r="J2097" s="418"/>
      <c r="K2097" s="51"/>
      <c r="L2097" s="51"/>
      <c r="M2097" s="35">
        <v>13</v>
      </c>
      <c r="N2097" s="51">
        <v>105222</v>
      </c>
      <c r="O2097" s="82"/>
      <c r="P2097" s="51"/>
      <c r="Q2097" s="338"/>
      <c r="R2097" s="51"/>
      <c r="S2097" s="51"/>
      <c r="T2097" s="338"/>
      <c r="U2097" s="51"/>
      <c r="V2097" s="35"/>
      <c r="W2097" s="364"/>
      <c r="X2097" s="141"/>
      <c r="Y2097" s="48"/>
      <c r="Z2097" s="48"/>
      <c r="AA2097" s="48"/>
      <c r="AB2097" s="48"/>
      <c r="AC2097" s="48"/>
      <c r="AD2097" s="48"/>
      <c r="AE2097" s="48"/>
      <c r="AF2097" s="48"/>
      <c r="AG2097" s="48"/>
      <c r="AH2097" s="187"/>
      <c r="AI2097" s="48"/>
      <c r="AJ2097" s="48"/>
      <c r="AK2097" s="48"/>
      <c r="AL2097" s="48"/>
    </row>
    <row r="2098" spans="1:38" x14ac:dyDescent="0.3">
      <c r="A2098" s="47">
        <f t="shared" si="476"/>
        <v>1899</v>
      </c>
      <c r="B2098" s="414" t="s">
        <v>3847</v>
      </c>
      <c r="C2098" s="51">
        <f t="shared" si="472"/>
        <v>5791006.7999999998</v>
      </c>
      <c r="D2098" s="51">
        <f t="shared" si="473"/>
        <v>0</v>
      </c>
      <c r="E2098" s="51"/>
      <c r="F2098" s="51"/>
      <c r="G2098" s="51"/>
      <c r="H2098" s="51"/>
      <c r="I2098" s="51"/>
      <c r="J2098" s="51"/>
      <c r="K2098" s="51"/>
      <c r="L2098" s="51"/>
      <c r="M2098" s="35">
        <v>927.6</v>
      </c>
      <c r="N2098" s="51">
        <v>5791006.7999999998</v>
      </c>
      <c r="O2098" s="82"/>
      <c r="P2098" s="51"/>
      <c r="Q2098" s="338"/>
      <c r="R2098" s="51"/>
      <c r="S2098" s="51"/>
      <c r="T2098" s="338"/>
      <c r="U2098" s="51"/>
      <c r="V2098" s="35"/>
      <c r="W2098" s="418"/>
      <c r="X2098" s="141"/>
      <c r="Y2098" s="48"/>
      <c r="Z2098" s="48"/>
      <c r="AA2098" s="48"/>
      <c r="AB2098" s="48"/>
      <c r="AC2098" s="48"/>
      <c r="AD2098" s="48"/>
      <c r="AE2098" s="48"/>
      <c r="AF2098" s="48"/>
      <c r="AG2098" s="48">
        <v>351458.79</v>
      </c>
      <c r="AH2098" s="187"/>
      <c r="AI2098" s="48"/>
      <c r="AJ2098" s="48"/>
      <c r="AK2098" s="48"/>
      <c r="AL2098" s="48"/>
    </row>
    <row r="2099" spans="1:38" x14ac:dyDescent="0.3">
      <c r="A2099" s="47">
        <f t="shared" si="476"/>
        <v>1900</v>
      </c>
      <c r="B2099" s="414" t="s">
        <v>3991</v>
      </c>
      <c r="C2099" s="51">
        <f t="shared" si="472"/>
        <v>288483.83</v>
      </c>
      <c r="D2099" s="51">
        <f t="shared" si="473"/>
        <v>0</v>
      </c>
      <c r="E2099" s="51"/>
      <c r="F2099" s="51"/>
      <c r="G2099" s="51"/>
      <c r="H2099" s="51"/>
      <c r="I2099" s="51"/>
      <c r="J2099" s="51"/>
      <c r="K2099" s="51"/>
      <c r="L2099" s="51"/>
      <c r="M2099" s="35"/>
      <c r="N2099" s="51"/>
      <c r="O2099" s="82"/>
      <c r="P2099" s="51"/>
      <c r="Q2099" s="338"/>
      <c r="R2099" s="51"/>
      <c r="S2099" s="51"/>
      <c r="T2099" s="338"/>
      <c r="U2099" s="51"/>
      <c r="V2099" s="35"/>
      <c r="W2099" s="364">
        <f t="shared" ref="W2099:W2107" si="478">SUM(Y2099:AL2099)</f>
        <v>288483.83</v>
      </c>
      <c r="X2099" s="141"/>
      <c r="Y2099" s="48"/>
      <c r="Z2099" s="48"/>
      <c r="AA2099" s="48"/>
      <c r="AB2099" s="48"/>
      <c r="AC2099" s="48"/>
      <c r="AD2099" s="48"/>
      <c r="AE2099" s="48"/>
      <c r="AF2099" s="48"/>
      <c r="AG2099" s="48">
        <v>288483.83</v>
      </c>
      <c r="AH2099" s="187"/>
      <c r="AI2099" s="48"/>
      <c r="AJ2099" s="48"/>
      <c r="AK2099" s="48"/>
      <c r="AL2099" s="48"/>
    </row>
    <row r="2100" spans="1:38" x14ac:dyDescent="0.3">
      <c r="A2100" s="47">
        <f t="shared" si="476"/>
        <v>1901</v>
      </c>
      <c r="B2100" s="414" t="s">
        <v>3992</v>
      </c>
      <c r="C2100" s="51">
        <f t="shared" si="472"/>
        <v>274518.8</v>
      </c>
      <c r="D2100" s="51">
        <f t="shared" si="473"/>
        <v>0</v>
      </c>
      <c r="E2100" s="51"/>
      <c r="F2100" s="51"/>
      <c r="G2100" s="51"/>
      <c r="H2100" s="51"/>
      <c r="I2100" s="51"/>
      <c r="J2100" s="51"/>
      <c r="K2100" s="51"/>
      <c r="L2100" s="51"/>
      <c r="M2100" s="35"/>
      <c r="N2100" s="51"/>
      <c r="O2100" s="82"/>
      <c r="P2100" s="51"/>
      <c r="Q2100" s="338"/>
      <c r="R2100" s="51"/>
      <c r="S2100" s="51"/>
      <c r="T2100" s="338"/>
      <c r="U2100" s="51"/>
      <c r="V2100" s="35"/>
      <c r="W2100" s="364">
        <f t="shared" si="478"/>
        <v>274518.8</v>
      </c>
      <c r="X2100" s="141"/>
      <c r="Y2100" s="48"/>
      <c r="Z2100" s="48"/>
      <c r="AA2100" s="48"/>
      <c r="AB2100" s="48">
        <v>126373.44</v>
      </c>
      <c r="AC2100" s="48"/>
      <c r="AD2100" s="48">
        <v>148145.35999999999</v>
      </c>
      <c r="AE2100" s="48"/>
      <c r="AF2100" s="48"/>
      <c r="AG2100" s="48"/>
      <c r="AH2100" s="187"/>
      <c r="AI2100" s="48"/>
      <c r="AJ2100" s="48"/>
      <c r="AK2100" s="48"/>
      <c r="AL2100" s="48"/>
    </row>
    <row r="2101" spans="1:38" x14ac:dyDescent="0.3">
      <c r="A2101" s="47">
        <f t="shared" si="476"/>
        <v>1902</v>
      </c>
      <c r="B2101" s="414" t="s">
        <v>3993</v>
      </c>
      <c r="C2101" s="51">
        <f t="shared" si="472"/>
        <v>31629761.48</v>
      </c>
      <c r="D2101" s="51">
        <f>E2101+F2101+G2101+H2101+I2101</f>
        <v>152490</v>
      </c>
      <c r="E2101" s="51"/>
      <c r="F2101" s="51"/>
      <c r="G2101" s="51">
        <f>13*3910</f>
        <v>50830</v>
      </c>
      <c r="H2101" s="51">
        <f>13*3910</f>
        <v>50830</v>
      </c>
      <c r="I2101" s="51">
        <f>13*3910</f>
        <v>50830</v>
      </c>
      <c r="J2101" s="51"/>
      <c r="K2101" s="51"/>
      <c r="L2101" s="51"/>
      <c r="M2101" s="35"/>
      <c r="N2101" s="51"/>
      <c r="O2101" s="82">
        <v>556</v>
      </c>
      <c r="P2101" s="51">
        <v>5407884</v>
      </c>
      <c r="Q2101" s="338">
        <v>3966.6</v>
      </c>
      <c r="R2101" s="51">
        <v>25366296</v>
      </c>
      <c r="S2101" s="51"/>
      <c r="T2101" s="338"/>
      <c r="U2101" s="51"/>
      <c r="V2101" s="35"/>
      <c r="W2101" s="364">
        <f>SUM(Y2101:AL2101)</f>
        <v>703091.48</v>
      </c>
      <c r="X2101" s="141"/>
      <c r="Y2101" s="48"/>
      <c r="Z2101" s="48"/>
      <c r="AA2101" s="48"/>
      <c r="AB2101" s="48"/>
      <c r="AC2101" s="48"/>
      <c r="AD2101" s="48"/>
      <c r="AE2101" s="48"/>
      <c r="AF2101" s="48"/>
      <c r="AG2101" s="48"/>
      <c r="AH2101" s="187"/>
      <c r="AI2101" s="48"/>
      <c r="AJ2101" s="48">
        <v>703091.48</v>
      </c>
      <c r="AK2101" s="48"/>
      <c r="AL2101" s="48"/>
    </row>
    <row r="2102" spans="1:38" x14ac:dyDescent="0.3">
      <c r="A2102" s="47">
        <f t="shared" si="476"/>
        <v>1903</v>
      </c>
      <c r="B2102" s="414" t="s">
        <v>3994</v>
      </c>
      <c r="C2102" s="51">
        <f t="shared" si="472"/>
        <v>627582.77</v>
      </c>
      <c r="D2102" s="51">
        <f t="shared" si="473"/>
        <v>0</v>
      </c>
      <c r="E2102" s="51"/>
      <c r="F2102" s="51"/>
      <c r="G2102" s="51"/>
      <c r="H2102" s="51"/>
      <c r="I2102" s="51"/>
      <c r="J2102" s="51"/>
      <c r="K2102" s="51"/>
      <c r="L2102" s="51"/>
      <c r="M2102" s="35"/>
      <c r="N2102" s="51"/>
      <c r="O2102" s="82"/>
      <c r="P2102" s="51"/>
      <c r="Q2102" s="338"/>
      <c r="R2102" s="51"/>
      <c r="S2102" s="51"/>
      <c r="T2102" s="338"/>
      <c r="U2102" s="51"/>
      <c r="V2102" s="35"/>
      <c r="W2102" s="364">
        <f t="shared" si="478"/>
        <v>627582.77</v>
      </c>
      <c r="X2102" s="141"/>
      <c r="Y2102" s="48"/>
      <c r="Z2102" s="48"/>
      <c r="AA2102" s="48"/>
      <c r="AB2102" s="48"/>
      <c r="AC2102" s="48"/>
      <c r="AD2102" s="48"/>
      <c r="AE2102" s="48"/>
      <c r="AF2102" s="48"/>
      <c r="AG2102" s="48">
        <v>197631</v>
      </c>
      <c r="AH2102" s="187"/>
      <c r="AI2102" s="48">
        <v>429951.77</v>
      </c>
      <c r="AJ2102" s="48"/>
      <c r="AK2102" s="48"/>
      <c r="AL2102" s="48"/>
    </row>
    <row r="2103" spans="1:38" x14ac:dyDescent="0.3">
      <c r="A2103" s="47">
        <f t="shared" si="476"/>
        <v>1904</v>
      </c>
      <c r="B2103" s="414" t="s">
        <v>3848</v>
      </c>
      <c r="C2103" s="51">
        <f t="shared" si="472"/>
        <v>626264.04</v>
      </c>
      <c r="D2103" s="51">
        <f t="shared" si="473"/>
        <v>0</v>
      </c>
      <c r="E2103" s="51"/>
      <c r="F2103" s="51"/>
      <c r="G2103" s="51"/>
      <c r="H2103" s="51"/>
      <c r="I2103" s="51"/>
      <c r="J2103" s="51"/>
      <c r="K2103" s="51"/>
      <c r="L2103" s="51"/>
      <c r="M2103" s="35"/>
      <c r="N2103" s="51"/>
      <c r="O2103" s="82"/>
      <c r="P2103" s="51"/>
      <c r="Q2103" s="338"/>
      <c r="R2103" s="51"/>
      <c r="S2103" s="51"/>
      <c r="T2103" s="338"/>
      <c r="U2103" s="51"/>
      <c r="V2103" s="35"/>
      <c r="W2103" s="364">
        <f t="shared" si="478"/>
        <v>626264.04</v>
      </c>
      <c r="X2103" s="141"/>
      <c r="Y2103" s="48"/>
      <c r="Z2103" s="48"/>
      <c r="AA2103" s="48">
        <v>67237.66</v>
      </c>
      <c r="AB2103" s="48"/>
      <c r="AC2103" s="48">
        <v>66572.539999999994</v>
      </c>
      <c r="AD2103" s="48"/>
      <c r="AE2103" s="48"/>
      <c r="AF2103" s="48">
        <v>66572.539999999994</v>
      </c>
      <c r="AG2103" s="48"/>
      <c r="AH2103" s="187"/>
      <c r="AI2103" s="48">
        <v>302531.92</v>
      </c>
      <c r="AJ2103" s="48">
        <v>123349.38</v>
      </c>
      <c r="AK2103" s="48"/>
      <c r="AL2103" s="48"/>
    </row>
    <row r="2104" spans="1:38" x14ac:dyDescent="0.3">
      <c r="A2104" s="47">
        <f t="shared" si="476"/>
        <v>1905</v>
      </c>
      <c r="B2104" s="414" t="s">
        <v>3995</v>
      </c>
      <c r="C2104" s="51">
        <f t="shared" si="472"/>
        <v>967287.21</v>
      </c>
      <c r="D2104" s="51">
        <f t="shared" si="473"/>
        <v>0</v>
      </c>
      <c r="E2104" s="51"/>
      <c r="F2104" s="51"/>
      <c r="G2104" s="51"/>
      <c r="H2104" s="51"/>
      <c r="I2104" s="51"/>
      <c r="J2104" s="51"/>
      <c r="K2104" s="51"/>
      <c r="L2104" s="51"/>
      <c r="M2104" s="35"/>
      <c r="N2104" s="51"/>
      <c r="O2104" s="82"/>
      <c r="P2104" s="51"/>
      <c r="Q2104" s="338"/>
      <c r="R2104" s="51"/>
      <c r="S2104" s="51"/>
      <c r="T2104" s="338"/>
      <c r="U2104" s="51"/>
      <c r="V2104" s="35"/>
      <c r="W2104" s="364">
        <f t="shared" si="478"/>
        <v>967287.21</v>
      </c>
      <c r="X2104" s="141"/>
      <c r="Y2104" s="48"/>
      <c r="Z2104" s="48"/>
      <c r="AA2104" s="48">
        <v>121187.3</v>
      </c>
      <c r="AB2104" s="48"/>
      <c r="AC2104" s="48"/>
      <c r="AD2104" s="48"/>
      <c r="AE2104" s="48"/>
      <c r="AF2104" s="48"/>
      <c r="AG2104" s="48">
        <v>228728.39</v>
      </c>
      <c r="AH2104" s="187"/>
      <c r="AI2104" s="48">
        <v>617371.52</v>
      </c>
      <c r="AJ2104" s="48"/>
      <c r="AK2104" s="48"/>
      <c r="AL2104" s="48"/>
    </row>
    <row r="2105" spans="1:38" x14ac:dyDescent="0.3">
      <c r="A2105" s="47">
        <f t="shared" si="476"/>
        <v>1906</v>
      </c>
      <c r="B2105" s="414" t="s">
        <v>3996</v>
      </c>
      <c r="C2105" s="51">
        <f t="shared" si="472"/>
        <v>583981.11</v>
      </c>
      <c r="D2105" s="51">
        <f t="shared" si="473"/>
        <v>0</v>
      </c>
      <c r="E2105" s="51"/>
      <c r="F2105" s="51"/>
      <c r="G2105" s="51"/>
      <c r="H2105" s="51"/>
      <c r="I2105" s="51"/>
      <c r="J2105" s="51"/>
      <c r="K2105" s="51"/>
      <c r="L2105" s="51"/>
      <c r="M2105" s="35"/>
      <c r="N2105" s="51"/>
      <c r="O2105" s="82"/>
      <c r="P2105" s="51"/>
      <c r="Q2105" s="338"/>
      <c r="R2105" s="51"/>
      <c r="S2105" s="51"/>
      <c r="T2105" s="338"/>
      <c r="U2105" s="51"/>
      <c r="V2105" s="35"/>
      <c r="W2105" s="364">
        <f t="shared" si="478"/>
        <v>583981.11</v>
      </c>
      <c r="X2105" s="141"/>
      <c r="Y2105" s="48"/>
      <c r="Z2105" s="48"/>
      <c r="AA2105" s="48"/>
      <c r="AB2105" s="48"/>
      <c r="AC2105" s="48"/>
      <c r="AD2105" s="48"/>
      <c r="AE2105" s="48"/>
      <c r="AF2105" s="48"/>
      <c r="AG2105" s="48">
        <v>199892.44</v>
      </c>
      <c r="AH2105" s="187"/>
      <c r="AI2105" s="48">
        <v>384088.67</v>
      </c>
      <c r="AJ2105" s="48"/>
      <c r="AK2105" s="48"/>
      <c r="AL2105" s="48"/>
    </row>
    <row r="2106" spans="1:38" x14ac:dyDescent="0.3">
      <c r="A2106" s="47">
        <f t="shared" si="476"/>
        <v>1907</v>
      </c>
      <c r="B2106" s="414" t="s">
        <v>3997</v>
      </c>
      <c r="C2106" s="51">
        <f t="shared" si="472"/>
        <v>604106.42000000004</v>
      </c>
      <c r="D2106" s="51">
        <f t="shared" si="473"/>
        <v>0</v>
      </c>
      <c r="E2106" s="51"/>
      <c r="F2106" s="51"/>
      <c r="G2106" s="51"/>
      <c r="H2106" s="51"/>
      <c r="I2106" s="51"/>
      <c r="J2106" s="51"/>
      <c r="K2106" s="51"/>
      <c r="L2106" s="51"/>
      <c r="M2106" s="35"/>
      <c r="N2106" s="51"/>
      <c r="O2106" s="82"/>
      <c r="P2106" s="51"/>
      <c r="Q2106" s="338"/>
      <c r="R2106" s="51"/>
      <c r="S2106" s="51"/>
      <c r="T2106" s="338"/>
      <c r="U2106" s="51"/>
      <c r="V2106" s="35"/>
      <c r="W2106" s="364">
        <f t="shared" si="478"/>
        <v>604106.42000000004</v>
      </c>
      <c r="X2106" s="141"/>
      <c r="Y2106" s="48"/>
      <c r="Z2106" s="48"/>
      <c r="AA2106" s="48"/>
      <c r="AB2106" s="48"/>
      <c r="AC2106" s="48"/>
      <c r="AD2106" s="48"/>
      <c r="AE2106" s="48"/>
      <c r="AF2106" s="48"/>
      <c r="AG2106" s="48">
        <v>604106.42000000004</v>
      </c>
      <c r="AH2106" s="187"/>
      <c r="AI2106" s="48"/>
      <c r="AJ2106" s="48"/>
      <c r="AK2106" s="48"/>
      <c r="AL2106" s="48"/>
    </row>
    <row r="2107" spans="1:38" x14ac:dyDescent="0.3">
      <c r="A2107" s="47">
        <f t="shared" si="476"/>
        <v>1908</v>
      </c>
      <c r="B2107" s="414" t="s">
        <v>3998</v>
      </c>
      <c r="C2107" s="51">
        <f t="shared" si="472"/>
        <v>793914.95</v>
      </c>
      <c r="D2107" s="51">
        <f t="shared" si="473"/>
        <v>0</v>
      </c>
      <c r="E2107" s="51"/>
      <c r="F2107" s="51"/>
      <c r="G2107" s="51"/>
      <c r="H2107" s="51"/>
      <c r="I2107" s="51"/>
      <c r="J2107" s="51"/>
      <c r="K2107" s="51"/>
      <c r="L2107" s="51"/>
      <c r="M2107" s="35"/>
      <c r="N2107" s="51"/>
      <c r="O2107" s="82"/>
      <c r="P2107" s="51"/>
      <c r="Q2107" s="338"/>
      <c r="R2107" s="51"/>
      <c r="S2107" s="51"/>
      <c r="T2107" s="338"/>
      <c r="U2107" s="51"/>
      <c r="V2107" s="35"/>
      <c r="W2107" s="364">
        <f t="shared" si="478"/>
        <v>793914.95</v>
      </c>
      <c r="X2107" s="141"/>
      <c r="Y2107" s="48"/>
      <c r="Z2107" s="48"/>
      <c r="AA2107" s="48">
        <v>113929.01</v>
      </c>
      <c r="AB2107" s="48"/>
      <c r="AC2107" s="48">
        <v>115562.42</v>
      </c>
      <c r="AD2107" s="48"/>
      <c r="AE2107" s="48"/>
      <c r="AF2107" s="48"/>
      <c r="AG2107" s="48"/>
      <c r="AH2107" s="187"/>
      <c r="AI2107" s="48">
        <v>564423.52</v>
      </c>
      <c r="AJ2107" s="48"/>
      <c r="AK2107" s="48"/>
      <c r="AL2107" s="48"/>
    </row>
    <row r="2108" spans="1:38" x14ac:dyDescent="0.3">
      <c r="A2108" s="47">
        <f t="shared" si="476"/>
        <v>1909</v>
      </c>
      <c r="B2108" s="414" t="s">
        <v>3850</v>
      </c>
      <c r="C2108" s="51">
        <f t="shared" si="472"/>
        <v>7254366</v>
      </c>
      <c r="D2108" s="51">
        <f t="shared" si="473"/>
        <v>0</v>
      </c>
      <c r="E2108" s="51"/>
      <c r="F2108" s="51"/>
      <c r="G2108" s="51"/>
      <c r="H2108" s="51"/>
      <c r="I2108" s="51"/>
      <c r="J2108" s="51"/>
      <c r="K2108" s="51"/>
      <c r="L2108" s="51"/>
      <c r="M2108" s="35">
        <v>1162</v>
      </c>
      <c r="N2108" s="51">
        <v>7254366</v>
      </c>
      <c r="O2108" s="82"/>
      <c r="P2108" s="51"/>
      <c r="Q2108" s="338"/>
      <c r="R2108" s="51"/>
      <c r="S2108" s="51"/>
      <c r="T2108" s="338"/>
      <c r="U2108" s="51"/>
      <c r="V2108" s="35"/>
      <c r="W2108" s="364"/>
      <c r="X2108" s="141"/>
      <c r="Y2108" s="48"/>
      <c r="Z2108" s="48"/>
      <c r="AA2108" s="48"/>
      <c r="AB2108" s="48"/>
      <c r="AC2108" s="48"/>
      <c r="AD2108" s="48"/>
      <c r="AE2108" s="48"/>
      <c r="AF2108" s="48"/>
      <c r="AG2108" s="48"/>
      <c r="AH2108" s="187"/>
      <c r="AI2108" s="48"/>
      <c r="AJ2108" s="48"/>
      <c r="AK2108" s="48"/>
      <c r="AL2108" s="48"/>
    </row>
    <row r="2109" spans="1:38" x14ac:dyDescent="0.3">
      <c r="A2109" s="47">
        <f t="shared" si="476"/>
        <v>1910</v>
      </c>
      <c r="B2109" s="414" t="s">
        <v>3999</v>
      </c>
      <c r="C2109" s="51">
        <f t="shared" si="472"/>
        <v>471618.12</v>
      </c>
      <c r="D2109" s="51">
        <f t="shared" si="473"/>
        <v>0</v>
      </c>
      <c r="E2109" s="51"/>
      <c r="F2109" s="51"/>
      <c r="G2109" s="51"/>
      <c r="H2109" s="51"/>
      <c r="I2109" s="51"/>
      <c r="J2109" s="51"/>
      <c r="K2109" s="51"/>
      <c r="L2109" s="51"/>
      <c r="M2109" s="35"/>
      <c r="N2109" s="51"/>
      <c r="O2109" s="82"/>
      <c r="P2109" s="51"/>
      <c r="Q2109" s="338"/>
      <c r="R2109" s="51"/>
      <c r="S2109" s="51"/>
      <c r="T2109" s="338"/>
      <c r="U2109" s="51"/>
      <c r="V2109" s="35"/>
      <c r="W2109" s="364">
        <f>SUM(Y2109:AL2109)</f>
        <v>471618.12</v>
      </c>
      <c r="X2109" s="141"/>
      <c r="Y2109" s="48"/>
      <c r="Z2109" s="48"/>
      <c r="AA2109" s="48">
        <v>111881.72</v>
      </c>
      <c r="AB2109" s="48"/>
      <c r="AC2109" s="48">
        <v>112998.04</v>
      </c>
      <c r="AD2109" s="48">
        <v>133740.32</v>
      </c>
      <c r="AE2109" s="48"/>
      <c r="AF2109" s="48">
        <v>112998.04</v>
      </c>
      <c r="AG2109" s="48"/>
      <c r="AH2109" s="187"/>
      <c r="AI2109" s="48"/>
      <c r="AJ2109" s="48"/>
      <c r="AK2109" s="48"/>
      <c r="AL2109" s="48"/>
    </row>
    <row r="2110" spans="1:38" x14ac:dyDescent="0.3">
      <c r="A2110" s="47">
        <f t="shared" ref="A2110:A2132" si="479">A2109+1</f>
        <v>1911</v>
      </c>
      <c r="B2110" s="414" t="s">
        <v>4000</v>
      </c>
      <c r="C2110" s="51">
        <f t="shared" si="472"/>
        <v>424922.85</v>
      </c>
      <c r="D2110" s="51">
        <f t="shared" si="473"/>
        <v>0</v>
      </c>
      <c r="E2110" s="51"/>
      <c r="F2110" s="51"/>
      <c r="G2110" s="51"/>
      <c r="H2110" s="51"/>
      <c r="I2110" s="51"/>
      <c r="J2110" s="51"/>
      <c r="K2110" s="51"/>
      <c r="L2110" s="51"/>
      <c r="M2110" s="35"/>
      <c r="N2110" s="51"/>
      <c r="O2110" s="82"/>
      <c r="P2110" s="51"/>
      <c r="Q2110" s="338"/>
      <c r="R2110" s="51"/>
      <c r="S2110" s="51"/>
      <c r="T2110" s="338"/>
      <c r="U2110" s="51"/>
      <c r="V2110" s="35"/>
      <c r="W2110" s="364">
        <f>SUM(Y2110:AL2110)</f>
        <v>424922.85</v>
      </c>
      <c r="X2110" s="141"/>
      <c r="Y2110" s="48"/>
      <c r="Z2110" s="48"/>
      <c r="AA2110" s="48">
        <v>81612.350000000006</v>
      </c>
      <c r="AB2110" s="48"/>
      <c r="AC2110" s="48">
        <v>82392.52</v>
      </c>
      <c r="AD2110" s="48">
        <v>102128.27</v>
      </c>
      <c r="AE2110" s="48"/>
      <c r="AF2110" s="48"/>
      <c r="AG2110" s="48">
        <v>158789.71</v>
      </c>
      <c r="AH2110" s="187"/>
      <c r="AI2110" s="48"/>
      <c r="AJ2110" s="48"/>
      <c r="AK2110" s="48"/>
      <c r="AL2110" s="48"/>
    </row>
    <row r="2111" spans="1:38" x14ac:dyDescent="0.3">
      <c r="A2111" s="47">
        <f t="shared" si="479"/>
        <v>1912</v>
      </c>
      <c r="B2111" s="414" t="s">
        <v>4001</v>
      </c>
      <c r="C2111" s="51">
        <f t="shared" si="472"/>
        <v>130000</v>
      </c>
      <c r="D2111" s="51">
        <f t="shared" si="473"/>
        <v>0</v>
      </c>
      <c r="E2111" s="51"/>
      <c r="F2111" s="51"/>
      <c r="G2111" s="51"/>
      <c r="H2111" s="51"/>
      <c r="I2111" s="51"/>
      <c r="J2111" s="51"/>
      <c r="K2111" s="51"/>
      <c r="L2111" s="51"/>
      <c r="M2111" s="35"/>
      <c r="N2111" s="51"/>
      <c r="O2111" s="82"/>
      <c r="P2111" s="51"/>
      <c r="Q2111" s="338"/>
      <c r="R2111" s="51"/>
      <c r="S2111" s="51"/>
      <c r="T2111" s="338"/>
      <c r="U2111" s="51"/>
      <c r="V2111" s="35"/>
      <c r="W2111" s="364">
        <v>130000</v>
      </c>
      <c r="X2111" s="141"/>
      <c r="Y2111" s="48"/>
      <c r="Z2111" s="48"/>
      <c r="AA2111" s="48"/>
      <c r="AB2111" s="48"/>
      <c r="AC2111" s="48"/>
      <c r="AD2111" s="48"/>
      <c r="AE2111" s="48"/>
      <c r="AF2111" s="48"/>
      <c r="AG2111" s="48"/>
      <c r="AH2111" s="187"/>
      <c r="AI2111" s="48"/>
      <c r="AJ2111" s="48"/>
      <c r="AK2111" s="48"/>
      <c r="AL2111" s="48"/>
    </row>
    <row r="2112" spans="1:38" x14ac:dyDescent="0.3">
      <c r="A2112" s="47">
        <f t="shared" si="479"/>
        <v>1913</v>
      </c>
      <c r="B2112" s="414" t="s">
        <v>4002</v>
      </c>
      <c r="C2112" s="51">
        <f t="shared" si="472"/>
        <v>196098.16</v>
      </c>
      <c r="D2112" s="51">
        <f t="shared" si="473"/>
        <v>0</v>
      </c>
      <c r="E2112" s="51"/>
      <c r="F2112" s="51"/>
      <c r="G2112" s="51"/>
      <c r="H2112" s="51"/>
      <c r="I2112" s="51"/>
      <c r="J2112" s="51"/>
      <c r="K2112" s="51"/>
      <c r="L2112" s="51"/>
      <c r="M2112" s="35"/>
      <c r="N2112" s="51"/>
      <c r="O2112" s="82"/>
      <c r="P2112" s="51"/>
      <c r="Q2112" s="338"/>
      <c r="R2112" s="51"/>
      <c r="S2112" s="51"/>
      <c r="T2112" s="338"/>
      <c r="U2112" s="51"/>
      <c r="V2112" s="35"/>
      <c r="W2112" s="364">
        <f t="shared" ref="W2112:W2119" si="480">SUM(Y2112:AL2112)</f>
        <v>196098.16</v>
      </c>
      <c r="X2112" s="141"/>
      <c r="Y2112" s="48"/>
      <c r="Z2112" s="48"/>
      <c r="AA2112" s="48">
        <v>64532.959999999999</v>
      </c>
      <c r="AB2112" s="48"/>
      <c r="AC2112" s="48"/>
      <c r="AD2112" s="48"/>
      <c r="AE2112" s="48"/>
      <c r="AF2112" s="48"/>
      <c r="AG2112" s="48">
        <v>131565.20000000001</v>
      </c>
      <c r="AH2112" s="187"/>
      <c r="AI2112" s="48"/>
      <c r="AJ2112" s="48"/>
      <c r="AK2112" s="48"/>
      <c r="AL2112" s="48"/>
    </row>
    <row r="2113" spans="1:38" x14ac:dyDescent="0.3">
      <c r="A2113" s="47">
        <f t="shared" si="479"/>
        <v>1914</v>
      </c>
      <c r="B2113" s="414" t="s">
        <v>4003</v>
      </c>
      <c r="C2113" s="51">
        <f t="shared" si="472"/>
        <v>313683.09999999998</v>
      </c>
      <c r="D2113" s="51">
        <f t="shared" si="473"/>
        <v>0</v>
      </c>
      <c r="E2113" s="51"/>
      <c r="F2113" s="51"/>
      <c r="G2113" s="51"/>
      <c r="H2113" s="51"/>
      <c r="I2113" s="51"/>
      <c r="J2113" s="51"/>
      <c r="K2113" s="51"/>
      <c r="L2113" s="51"/>
      <c r="M2113" s="35"/>
      <c r="N2113" s="51"/>
      <c r="O2113" s="82"/>
      <c r="P2113" s="51"/>
      <c r="Q2113" s="338"/>
      <c r="R2113" s="51"/>
      <c r="S2113" s="51"/>
      <c r="T2113" s="338"/>
      <c r="U2113" s="51"/>
      <c r="V2113" s="35"/>
      <c r="W2113" s="364">
        <f t="shared" si="480"/>
        <v>313683.09999999998</v>
      </c>
      <c r="X2113" s="141"/>
      <c r="Y2113" s="48"/>
      <c r="Z2113" s="48"/>
      <c r="AA2113" s="48">
        <v>64166.33</v>
      </c>
      <c r="AB2113" s="48"/>
      <c r="AC2113" s="48"/>
      <c r="AD2113" s="48"/>
      <c r="AE2113" s="48"/>
      <c r="AF2113" s="48"/>
      <c r="AG2113" s="48">
        <v>130987.93</v>
      </c>
      <c r="AH2113" s="187"/>
      <c r="AI2113" s="48"/>
      <c r="AJ2113" s="48">
        <v>118528.84</v>
      </c>
      <c r="AK2113" s="48"/>
      <c r="AL2113" s="48"/>
    </row>
    <row r="2114" spans="1:38" x14ac:dyDescent="0.3">
      <c r="A2114" s="47">
        <f t="shared" si="479"/>
        <v>1915</v>
      </c>
      <c r="B2114" s="414" t="s">
        <v>4004</v>
      </c>
      <c r="C2114" s="51">
        <f t="shared" si="472"/>
        <v>431662.08999999997</v>
      </c>
      <c r="D2114" s="51">
        <f t="shared" si="473"/>
        <v>0</v>
      </c>
      <c r="E2114" s="51"/>
      <c r="F2114" s="51"/>
      <c r="G2114" s="51"/>
      <c r="H2114" s="51"/>
      <c r="I2114" s="51"/>
      <c r="J2114" s="51"/>
      <c r="K2114" s="51"/>
      <c r="L2114" s="51"/>
      <c r="M2114" s="35"/>
      <c r="N2114" s="51"/>
      <c r="O2114" s="82"/>
      <c r="P2114" s="51"/>
      <c r="Q2114" s="338"/>
      <c r="R2114" s="51"/>
      <c r="S2114" s="51"/>
      <c r="T2114" s="338"/>
      <c r="U2114" s="51"/>
      <c r="V2114" s="35"/>
      <c r="W2114" s="364">
        <f t="shared" si="480"/>
        <v>431662.08999999997</v>
      </c>
      <c r="X2114" s="141"/>
      <c r="Y2114" s="48"/>
      <c r="Z2114" s="48"/>
      <c r="AA2114" s="48">
        <v>177839.57</v>
      </c>
      <c r="AB2114" s="48"/>
      <c r="AC2114" s="48"/>
      <c r="AD2114" s="48"/>
      <c r="AE2114" s="48"/>
      <c r="AF2114" s="48"/>
      <c r="AG2114" s="48"/>
      <c r="AH2114" s="187">
        <v>253822.52</v>
      </c>
      <c r="AI2114" s="48"/>
      <c r="AJ2114" s="48"/>
      <c r="AK2114" s="48"/>
      <c r="AL2114" s="48"/>
    </row>
    <row r="2115" spans="1:38" x14ac:dyDescent="0.3">
      <c r="A2115" s="47">
        <f t="shared" si="479"/>
        <v>1916</v>
      </c>
      <c r="B2115" s="414" t="s">
        <v>4005</v>
      </c>
      <c r="C2115" s="51">
        <f t="shared" si="472"/>
        <v>269549.98</v>
      </c>
      <c r="D2115" s="51">
        <f t="shared" si="473"/>
        <v>0</v>
      </c>
      <c r="E2115" s="51"/>
      <c r="F2115" s="51"/>
      <c r="G2115" s="51"/>
      <c r="H2115" s="51"/>
      <c r="I2115" s="51"/>
      <c r="J2115" s="51"/>
      <c r="K2115" s="51"/>
      <c r="L2115" s="51"/>
      <c r="M2115" s="35"/>
      <c r="N2115" s="51"/>
      <c r="O2115" s="82"/>
      <c r="P2115" s="51"/>
      <c r="Q2115" s="338"/>
      <c r="R2115" s="51"/>
      <c r="S2115" s="51"/>
      <c r="T2115" s="338"/>
      <c r="U2115" s="51"/>
      <c r="V2115" s="35"/>
      <c r="W2115" s="364">
        <f t="shared" si="480"/>
        <v>269549.98</v>
      </c>
      <c r="X2115" s="141"/>
      <c r="Y2115" s="48"/>
      <c r="Z2115" s="48"/>
      <c r="AA2115" s="48"/>
      <c r="AB2115" s="48"/>
      <c r="AC2115" s="48"/>
      <c r="AD2115" s="48"/>
      <c r="AE2115" s="48"/>
      <c r="AF2115" s="48"/>
      <c r="AG2115" s="48"/>
      <c r="AH2115" s="187">
        <v>269549.98</v>
      </c>
      <c r="AI2115" s="48"/>
      <c r="AJ2115" s="48"/>
      <c r="AK2115" s="48"/>
      <c r="AL2115" s="48"/>
    </row>
    <row r="2116" spans="1:38" x14ac:dyDescent="0.3">
      <c r="A2116" s="47">
        <f t="shared" si="479"/>
        <v>1917</v>
      </c>
      <c r="B2116" s="414" t="s">
        <v>4006</v>
      </c>
      <c r="C2116" s="51">
        <f t="shared" si="472"/>
        <v>839913.58</v>
      </c>
      <c r="D2116" s="51">
        <f t="shared" si="473"/>
        <v>0</v>
      </c>
      <c r="E2116" s="51"/>
      <c r="F2116" s="51"/>
      <c r="G2116" s="51"/>
      <c r="H2116" s="51"/>
      <c r="I2116" s="51"/>
      <c r="J2116" s="51"/>
      <c r="K2116" s="51"/>
      <c r="L2116" s="51"/>
      <c r="M2116" s="35"/>
      <c r="N2116" s="51"/>
      <c r="O2116" s="82"/>
      <c r="P2116" s="51"/>
      <c r="Q2116" s="338"/>
      <c r="R2116" s="51"/>
      <c r="S2116" s="51"/>
      <c r="T2116" s="338"/>
      <c r="U2116" s="51"/>
      <c r="V2116" s="35"/>
      <c r="W2116" s="364">
        <f t="shared" si="480"/>
        <v>839913.58</v>
      </c>
      <c r="X2116" s="141"/>
      <c r="Y2116" s="48"/>
      <c r="Z2116" s="48"/>
      <c r="AA2116" s="48">
        <v>118815.29</v>
      </c>
      <c r="AB2116" s="48">
        <v>128704.49</v>
      </c>
      <c r="AC2116" s="48"/>
      <c r="AD2116" s="48">
        <v>103383.31</v>
      </c>
      <c r="AE2116" s="48"/>
      <c r="AF2116" s="48"/>
      <c r="AG2116" s="48">
        <v>247289.65</v>
      </c>
      <c r="AH2116" s="187">
        <v>241720.84</v>
      </c>
      <c r="AI2116" s="48"/>
      <c r="AJ2116" s="48"/>
      <c r="AK2116" s="48"/>
      <c r="AL2116" s="48"/>
    </row>
    <row r="2117" spans="1:38" x14ac:dyDescent="0.3">
      <c r="A2117" s="47">
        <f t="shared" si="479"/>
        <v>1918</v>
      </c>
      <c r="B2117" s="414" t="s">
        <v>4007</v>
      </c>
      <c r="C2117" s="51">
        <f t="shared" si="472"/>
        <v>704307.36</v>
      </c>
      <c r="D2117" s="51">
        <f t="shared" si="473"/>
        <v>0</v>
      </c>
      <c r="E2117" s="51"/>
      <c r="F2117" s="51"/>
      <c r="G2117" s="51"/>
      <c r="H2117" s="51"/>
      <c r="I2117" s="51"/>
      <c r="J2117" s="51"/>
      <c r="K2117" s="51"/>
      <c r="L2117" s="51"/>
      <c r="M2117" s="35"/>
      <c r="N2117" s="51"/>
      <c r="O2117" s="82"/>
      <c r="P2117" s="51"/>
      <c r="Q2117" s="338"/>
      <c r="R2117" s="51"/>
      <c r="S2117" s="51"/>
      <c r="T2117" s="338"/>
      <c r="U2117" s="51"/>
      <c r="V2117" s="35"/>
      <c r="W2117" s="364">
        <f t="shared" si="480"/>
        <v>704307.36</v>
      </c>
      <c r="X2117" s="141"/>
      <c r="Y2117" s="48"/>
      <c r="Z2117" s="48"/>
      <c r="AA2117" s="48">
        <v>348993.47</v>
      </c>
      <c r="AB2117" s="48"/>
      <c r="AC2117" s="48"/>
      <c r="AD2117" s="48"/>
      <c r="AE2117" s="48"/>
      <c r="AF2117" s="48"/>
      <c r="AG2117" s="48"/>
      <c r="AH2117" s="187">
        <v>355313.89</v>
      </c>
      <c r="AI2117" s="48"/>
      <c r="AJ2117" s="48"/>
      <c r="AK2117" s="48"/>
      <c r="AL2117" s="48"/>
    </row>
    <row r="2118" spans="1:38" x14ac:dyDescent="0.3">
      <c r="A2118" s="47">
        <f t="shared" si="479"/>
        <v>1919</v>
      </c>
      <c r="B2118" s="414" t="s">
        <v>4008</v>
      </c>
      <c r="C2118" s="51">
        <f t="shared" si="472"/>
        <v>335112.57</v>
      </c>
      <c r="D2118" s="51">
        <f t="shared" si="473"/>
        <v>0</v>
      </c>
      <c r="E2118" s="51"/>
      <c r="F2118" s="51"/>
      <c r="G2118" s="51"/>
      <c r="H2118" s="51"/>
      <c r="I2118" s="51"/>
      <c r="J2118" s="51"/>
      <c r="K2118" s="51"/>
      <c r="L2118" s="51"/>
      <c r="M2118" s="35"/>
      <c r="N2118" s="51"/>
      <c r="O2118" s="82"/>
      <c r="P2118" s="51"/>
      <c r="Q2118" s="338"/>
      <c r="R2118" s="51"/>
      <c r="S2118" s="51"/>
      <c r="T2118" s="338"/>
      <c r="U2118" s="51"/>
      <c r="V2118" s="35"/>
      <c r="W2118" s="364">
        <f t="shared" si="480"/>
        <v>335112.57</v>
      </c>
      <c r="X2118" s="141"/>
      <c r="Y2118" s="48"/>
      <c r="Z2118" s="48"/>
      <c r="AA2118" s="48">
        <v>36611.449999999997</v>
      </c>
      <c r="AB2118" s="48"/>
      <c r="AC2118" s="48">
        <v>35440.44</v>
      </c>
      <c r="AD2118" s="48">
        <v>52041.64</v>
      </c>
      <c r="AE2118" s="48"/>
      <c r="AF2118" s="48">
        <v>35440.44</v>
      </c>
      <c r="AG2118" s="48">
        <v>87789.3</v>
      </c>
      <c r="AH2118" s="187"/>
      <c r="AI2118" s="48"/>
      <c r="AJ2118" s="48">
        <v>87789.3</v>
      </c>
      <c r="AK2118" s="48"/>
      <c r="AL2118" s="48"/>
    </row>
    <row r="2119" spans="1:38" x14ac:dyDescent="0.3">
      <c r="A2119" s="47">
        <f t="shared" si="479"/>
        <v>1920</v>
      </c>
      <c r="B2119" s="414" t="s">
        <v>4009</v>
      </c>
      <c r="C2119" s="51">
        <f t="shared" si="472"/>
        <v>740166.06</v>
      </c>
      <c r="D2119" s="51">
        <f t="shared" si="473"/>
        <v>0</v>
      </c>
      <c r="E2119" s="51"/>
      <c r="F2119" s="51"/>
      <c r="G2119" s="51"/>
      <c r="H2119" s="51"/>
      <c r="I2119" s="51"/>
      <c r="J2119" s="51"/>
      <c r="K2119" s="51"/>
      <c r="L2119" s="51"/>
      <c r="M2119" s="35"/>
      <c r="N2119" s="51"/>
      <c r="O2119" s="82"/>
      <c r="P2119" s="51"/>
      <c r="Q2119" s="338"/>
      <c r="R2119" s="51"/>
      <c r="S2119" s="51"/>
      <c r="T2119" s="338"/>
      <c r="U2119" s="51"/>
      <c r="V2119" s="35"/>
      <c r="W2119" s="364">
        <f t="shared" si="480"/>
        <v>740166.06</v>
      </c>
      <c r="X2119" s="141"/>
      <c r="Y2119" s="48"/>
      <c r="Z2119" s="48"/>
      <c r="AA2119" s="48"/>
      <c r="AB2119" s="48"/>
      <c r="AC2119" s="48"/>
      <c r="AD2119" s="48"/>
      <c r="AE2119" s="48"/>
      <c r="AF2119" s="48"/>
      <c r="AG2119" s="48">
        <v>438548.75</v>
      </c>
      <c r="AH2119" s="187">
        <v>301617.31</v>
      </c>
      <c r="AI2119" s="48"/>
      <c r="AJ2119" s="48"/>
      <c r="AK2119" s="48"/>
      <c r="AL2119" s="48"/>
    </row>
    <row r="2120" spans="1:38" x14ac:dyDescent="0.3">
      <c r="A2120" s="47">
        <f t="shared" si="479"/>
        <v>1921</v>
      </c>
      <c r="B2120" s="414" t="s">
        <v>3851</v>
      </c>
      <c r="C2120" s="51">
        <f t="shared" si="472"/>
        <v>9052350</v>
      </c>
      <c r="D2120" s="51">
        <f t="shared" si="473"/>
        <v>0</v>
      </c>
      <c r="E2120" s="51"/>
      <c r="F2120" s="51"/>
      <c r="G2120" s="51"/>
      <c r="H2120" s="51"/>
      <c r="I2120" s="51"/>
      <c r="J2120" s="51"/>
      <c r="K2120" s="51"/>
      <c r="L2120" s="51"/>
      <c r="M2120" s="35">
        <v>1450</v>
      </c>
      <c r="N2120" s="51">
        <v>9052350</v>
      </c>
      <c r="O2120" s="82"/>
      <c r="P2120" s="51"/>
      <c r="Q2120" s="338"/>
      <c r="R2120" s="51"/>
      <c r="S2120" s="51"/>
      <c r="T2120" s="338"/>
      <c r="U2120" s="51"/>
      <c r="V2120" s="35"/>
      <c r="W2120" s="418"/>
      <c r="X2120" s="141"/>
      <c r="Y2120" s="48"/>
      <c r="Z2120" s="48"/>
      <c r="AA2120" s="48"/>
      <c r="AB2120" s="48"/>
      <c r="AC2120" s="48"/>
      <c r="AD2120" s="48"/>
      <c r="AE2120" s="48"/>
      <c r="AF2120" s="48"/>
      <c r="AG2120" s="48">
        <v>508876.13</v>
      </c>
      <c r="AH2120" s="187"/>
      <c r="AI2120" s="48"/>
      <c r="AJ2120" s="48"/>
      <c r="AK2120" s="48"/>
      <c r="AL2120" s="48"/>
    </row>
    <row r="2121" spans="1:38" x14ac:dyDescent="0.3">
      <c r="A2121" s="47">
        <f t="shared" si="479"/>
        <v>1922</v>
      </c>
      <c r="B2121" s="414" t="s">
        <v>3852</v>
      </c>
      <c r="C2121" s="51">
        <f t="shared" si="472"/>
        <v>12991683</v>
      </c>
      <c r="D2121" s="51">
        <f t="shared" si="473"/>
        <v>0</v>
      </c>
      <c r="E2121" s="51"/>
      <c r="F2121" s="51"/>
      <c r="G2121" s="51"/>
      <c r="H2121" s="51"/>
      <c r="I2121" s="51"/>
      <c r="J2121" s="51"/>
      <c r="K2121" s="51"/>
      <c r="L2121" s="51"/>
      <c r="M2121" s="35">
        <v>2081</v>
      </c>
      <c r="N2121" s="51">
        <v>12991683</v>
      </c>
      <c r="O2121" s="82"/>
      <c r="P2121" s="51"/>
      <c r="Q2121" s="338"/>
      <c r="R2121" s="51"/>
      <c r="S2121" s="51"/>
      <c r="T2121" s="338"/>
      <c r="U2121" s="51"/>
      <c r="V2121" s="35"/>
      <c r="W2121" s="418"/>
      <c r="X2121" s="141"/>
      <c r="Y2121" s="48"/>
      <c r="Z2121" s="48"/>
      <c r="AA2121" s="48"/>
      <c r="AB2121" s="48"/>
      <c r="AC2121" s="48"/>
      <c r="AD2121" s="48"/>
      <c r="AE2121" s="48"/>
      <c r="AF2121" s="48"/>
      <c r="AG2121" s="48">
        <v>602647.38</v>
      </c>
      <c r="AH2121" s="187"/>
      <c r="AI2121" s="48"/>
      <c r="AJ2121" s="48"/>
      <c r="AK2121" s="48"/>
      <c r="AL2121" s="48"/>
    </row>
    <row r="2122" spans="1:38" x14ac:dyDescent="0.3">
      <c r="A2122" s="47">
        <f t="shared" si="479"/>
        <v>1923</v>
      </c>
      <c r="B2122" s="414" t="s">
        <v>4010</v>
      </c>
      <c r="C2122" s="51">
        <f t="shared" si="472"/>
        <v>916578.73</v>
      </c>
      <c r="D2122" s="51">
        <f t="shared" si="473"/>
        <v>0</v>
      </c>
      <c r="E2122" s="51"/>
      <c r="F2122" s="51"/>
      <c r="G2122" s="51"/>
      <c r="H2122" s="51"/>
      <c r="I2122" s="51"/>
      <c r="J2122" s="51"/>
      <c r="K2122" s="51"/>
      <c r="L2122" s="51"/>
      <c r="M2122" s="35"/>
      <c r="N2122" s="51"/>
      <c r="O2122" s="82"/>
      <c r="P2122" s="51"/>
      <c r="Q2122" s="338"/>
      <c r="R2122" s="51"/>
      <c r="S2122" s="51"/>
      <c r="T2122" s="338"/>
      <c r="U2122" s="51"/>
      <c r="V2122" s="35"/>
      <c r="W2122" s="364">
        <f>SUM(Y2122:AL2122)</f>
        <v>916578.73</v>
      </c>
      <c r="X2122" s="141"/>
      <c r="Y2122" s="48"/>
      <c r="Z2122" s="48"/>
      <c r="AA2122" s="48">
        <v>94348.54</v>
      </c>
      <c r="AB2122" s="48"/>
      <c r="AC2122" s="48">
        <v>95268.3</v>
      </c>
      <c r="AD2122" s="48"/>
      <c r="AE2122" s="48"/>
      <c r="AF2122" s="48">
        <v>95268.3</v>
      </c>
      <c r="AG2122" s="48">
        <v>178847.11</v>
      </c>
      <c r="AH2122" s="187"/>
      <c r="AI2122" s="48">
        <v>452846.48</v>
      </c>
      <c r="AJ2122" s="48"/>
      <c r="AK2122" s="48"/>
      <c r="AL2122" s="48"/>
    </row>
    <row r="2123" spans="1:38" x14ac:dyDescent="0.3">
      <c r="A2123" s="47">
        <f t="shared" si="479"/>
        <v>1924</v>
      </c>
      <c r="B2123" s="414" t="s">
        <v>3853</v>
      </c>
      <c r="C2123" s="51">
        <f>D2123+K2123+L2123+N2123+P2123+R2123+S2123+U2123+V2123+'2020'!W595</f>
        <v>210784.79</v>
      </c>
      <c r="D2123" s="51">
        <f t="shared" si="473"/>
        <v>0</v>
      </c>
      <c r="E2123" s="51"/>
      <c r="F2123" s="51"/>
      <c r="G2123" s="51"/>
      <c r="H2123" s="51"/>
      <c r="I2123" s="51"/>
      <c r="J2123" s="51"/>
      <c r="K2123" s="51"/>
      <c r="L2123" s="51"/>
      <c r="M2123" s="35"/>
      <c r="N2123" s="51"/>
      <c r="O2123" s="82"/>
      <c r="P2123" s="51"/>
      <c r="Q2123" s="338"/>
      <c r="R2123" s="51"/>
      <c r="S2123" s="51"/>
      <c r="T2123" s="338"/>
      <c r="U2123" s="51"/>
      <c r="V2123" s="35"/>
      <c r="W2123" s="418"/>
      <c r="X2123" s="141"/>
      <c r="Y2123" s="48"/>
      <c r="Z2123" s="48"/>
      <c r="AA2123" s="48"/>
      <c r="AB2123" s="48"/>
      <c r="AC2123" s="48"/>
      <c r="AD2123" s="48"/>
      <c r="AE2123" s="48"/>
      <c r="AF2123" s="48"/>
      <c r="AG2123" s="48">
        <v>210784.79</v>
      </c>
      <c r="AH2123" s="187"/>
      <c r="AI2123" s="48"/>
      <c r="AJ2123" s="48"/>
      <c r="AK2123" s="48"/>
      <c r="AL2123" s="48"/>
    </row>
    <row r="2124" spans="1:38" x14ac:dyDescent="0.3">
      <c r="A2124" s="47">
        <f t="shared" si="479"/>
        <v>1925</v>
      </c>
      <c r="B2124" s="414" t="s">
        <v>3854</v>
      </c>
      <c r="C2124" s="51">
        <f t="shared" ref="C2124:C2137" si="481">D2124+K2124+L2124+N2124+P2124+R2124+S2124+U2124+V2124+W2124</f>
        <v>985526.07000000007</v>
      </c>
      <c r="D2124" s="51">
        <f t="shared" si="473"/>
        <v>0</v>
      </c>
      <c r="E2124" s="51"/>
      <c r="F2124" s="51"/>
      <c r="G2124" s="51"/>
      <c r="H2124" s="51"/>
      <c r="I2124" s="51"/>
      <c r="J2124" s="51"/>
      <c r="K2124" s="51"/>
      <c r="L2124" s="51"/>
      <c r="M2124" s="35"/>
      <c r="N2124" s="51"/>
      <c r="O2124" s="82"/>
      <c r="P2124" s="51"/>
      <c r="Q2124" s="338"/>
      <c r="R2124" s="51"/>
      <c r="S2124" s="51"/>
      <c r="T2124" s="338"/>
      <c r="U2124" s="51"/>
      <c r="V2124" s="35"/>
      <c r="W2124" s="364">
        <f t="shared" ref="W2124:W2137" si="482">SUM(Y2124:AL2124)</f>
        <v>985526.07000000007</v>
      </c>
      <c r="X2124" s="141"/>
      <c r="Y2124" s="48"/>
      <c r="Z2124" s="48"/>
      <c r="AA2124" s="48">
        <v>252748.56</v>
      </c>
      <c r="AB2124" s="48"/>
      <c r="AC2124" s="48">
        <v>241843.79</v>
      </c>
      <c r="AD2124" s="48">
        <v>249089.93</v>
      </c>
      <c r="AE2124" s="48"/>
      <c r="AF2124" s="48">
        <v>241843.79</v>
      </c>
      <c r="AG2124" s="48"/>
      <c r="AH2124" s="187"/>
      <c r="AI2124" s="48"/>
      <c r="AJ2124" s="48"/>
      <c r="AK2124" s="48"/>
      <c r="AL2124" s="48"/>
    </row>
    <row r="2125" spans="1:38" x14ac:dyDescent="0.3">
      <c r="A2125" s="47">
        <f t="shared" si="479"/>
        <v>1926</v>
      </c>
      <c r="B2125" s="414" t="s">
        <v>3855</v>
      </c>
      <c r="C2125" s="51">
        <f t="shared" si="481"/>
        <v>247663.64</v>
      </c>
      <c r="D2125" s="51">
        <f t="shared" si="473"/>
        <v>0</v>
      </c>
      <c r="E2125" s="51"/>
      <c r="F2125" s="51"/>
      <c r="G2125" s="51"/>
      <c r="H2125" s="51"/>
      <c r="I2125" s="51"/>
      <c r="J2125" s="51"/>
      <c r="K2125" s="51"/>
      <c r="L2125" s="51"/>
      <c r="M2125" s="35"/>
      <c r="N2125" s="51"/>
      <c r="O2125" s="82"/>
      <c r="P2125" s="51"/>
      <c r="Q2125" s="338"/>
      <c r="R2125" s="51"/>
      <c r="S2125" s="51"/>
      <c r="T2125" s="338"/>
      <c r="U2125" s="51"/>
      <c r="V2125" s="35"/>
      <c r="W2125" s="364">
        <f t="shared" si="482"/>
        <v>247663.64</v>
      </c>
      <c r="X2125" s="141"/>
      <c r="Y2125" s="48"/>
      <c r="Z2125" s="48">
        <v>247663.64</v>
      </c>
      <c r="AA2125" s="48"/>
      <c r="AB2125" s="48"/>
      <c r="AC2125" s="48"/>
      <c r="AD2125" s="48"/>
      <c r="AE2125" s="48"/>
      <c r="AF2125" s="48"/>
      <c r="AG2125" s="48"/>
      <c r="AH2125" s="187"/>
      <c r="AI2125" s="48"/>
      <c r="AJ2125" s="48"/>
      <c r="AK2125" s="48"/>
      <c r="AL2125" s="48"/>
    </row>
    <row r="2126" spans="1:38" x14ac:dyDescent="0.3">
      <c r="A2126" s="47">
        <f t="shared" si="479"/>
        <v>1927</v>
      </c>
      <c r="B2126" s="414" t="s">
        <v>3856</v>
      </c>
      <c r="C2126" s="51">
        <f t="shared" si="481"/>
        <v>247827.36</v>
      </c>
      <c r="D2126" s="51">
        <f t="shared" si="473"/>
        <v>0</v>
      </c>
      <c r="E2126" s="51"/>
      <c r="F2126" s="51"/>
      <c r="G2126" s="51"/>
      <c r="H2126" s="51"/>
      <c r="I2126" s="51"/>
      <c r="J2126" s="51"/>
      <c r="K2126" s="51"/>
      <c r="L2126" s="51"/>
      <c r="M2126" s="35"/>
      <c r="N2126" s="51"/>
      <c r="O2126" s="82"/>
      <c r="P2126" s="51"/>
      <c r="Q2126" s="338"/>
      <c r="R2126" s="51"/>
      <c r="S2126" s="51"/>
      <c r="T2126" s="338"/>
      <c r="U2126" s="51"/>
      <c r="V2126" s="35"/>
      <c r="W2126" s="364">
        <f t="shared" si="482"/>
        <v>247827.36</v>
      </c>
      <c r="X2126" s="141"/>
      <c r="Y2126" s="48"/>
      <c r="Z2126" s="48">
        <v>247827.36</v>
      </c>
      <c r="AA2126" s="48"/>
      <c r="AB2126" s="48"/>
      <c r="AC2126" s="48"/>
      <c r="AD2126" s="48"/>
      <c r="AE2126" s="48"/>
      <c r="AF2126" s="48"/>
      <c r="AG2126" s="48"/>
      <c r="AH2126" s="187"/>
      <c r="AI2126" s="48"/>
      <c r="AJ2126" s="48"/>
      <c r="AK2126" s="48"/>
      <c r="AL2126" s="48"/>
    </row>
    <row r="2127" spans="1:38" x14ac:dyDescent="0.3">
      <c r="A2127" s="47">
        <f t="shared" si="479"/>
        <v>1928</v>
      </c>
      <c r="B2127" s="414" t="s">
        <v>4180</v>
      </c>
      <c r="C2127" s="51">
        <f t="shared" si="481"/>
        <v>130000</v>
      </c>
      <c r="D2127" s="51"/>
      <c r="E2127" s="51"/>
      <c r="F2127" s="51"/>
      <c r="G2127" s="51"/>
      <c r="H2127" s="51"/>
      <c r="I2127" s="51"/>
      <c r="J2127" s="51"/>
      <c r="K2127" s="51"/>
      <c r="L2127" s="51"/>
      <c r="M2127" s="35"/>
      <c r="N2127" s="51"/>
      <c r="O2127" s="82"/>
      <c r="P2127" s="51"/>
      <c r="Q2127" s="338"/>
      <c r="R2127" s="51"/>
      <c r="S2127" s="51"/>
      <c r="T2127" s="338"/>
      <c r="U2127" s="51"/>
      <c r="V2127" s="35"/>
      <c r="W2127" s="364">
        <v>130000</v>
      </c>
      <c r="X2127" s="355"/>
      <c r="Y2127" s="48"/>
      <c r="Z2127" s="48"/>
      <c r="AA2127" s="48"/>
      <c r="AB2127" s="48"/>
      <c r="AC2127" s="48"/>
      <c r="AD2127" s="48"/>
      <c r="AE2127" s="48"/>
      <c r="AF2127" s="48"/>
      <c r="AG2127" s="48"/>
      <c r="AH2127" s="187"/>
      <c r="AI2127" s="48"/>
      <c r="AJ2127" s="48"/>
      <c r="AK2127" s="48"/>
      <c r="AL2127" s="48"/>
    </row>
    <row r="2128" spans="1:38" x14ac:dyDescent="0.3">
      <c r="A2128" s="47">
        <f t="shared" si="479"/>
        <v>1929</v>
      </c>
      <c r="B2128" s="414" t="s">
        <v>4011</v>
      </c>
      <c r="C2128" s="51">
        <f t="shared" si="481"/>
        <v>258700.98</v>
      </c>
      <c r="D2128" s="51">
        <f t="shared" si="473"/>
        <v>0</v>
      </c>
      <c r="E2128" s="51"/>
      <c r="F2128" s="51"/>
      <c r="G2128" s="51"/>
      <c r="H2128" s="51"/>
      <c r="I2128" s="51"/>
      <c r="J2128" s="51"/>
      <c r="K2128" s="51"/>
      <c r="L2128" s="51"/>
      <c r="M2128" s="35"/>
      <c r="N2128" s="51"/>
      <c r="O2128" s="82"/>
      <c r="P2128" s="51"/>
      <c r="Q2128" s="338"/>
      <c r="R2128" s="51"/>
      <c r="S2128" s="51"/>
      <c r="T2128" s="338"/>
      <c r="U2128" s="51"/>
      <c r="V2128" s="35"/>
      <c r="W2128" s="364">
        <f t="shared" si="482"/>
        <v>258700.98</v>
      </c>
      <c r="X2128" s="141"/>
      <c r="Y2128" s="48"/>
      <c r="Z2128" s="48"/>
      <c r="AA2128" s="48"/>
      <c r="AB2128" s="48">
        <v>121683.32</v>
      </c>
      <c r="AC2128" s="48"/>
      <c r="AD2128" s="48">
        <v>137017.66</v>
      </c>
      <c r="AE2128" s="48"/>
      <c r="AF2128" s="48"/>
      <c r="AG2128" s="48"/>
      <c r="AH2128" s="187"/>
      <c r="AI2128" s="48"/>
      <c r="AJ2128" s="48"/>
      <c r="AK2128" s="48"/>
      <c r="AL2128" s="48"/>
    </row>
    <row r="2129" spans="1:38" x14ac:dyDescent="0.3">
      <c r="A2129" s="47">
        <f t="shared" si="479"/>
        <v>1930</v>
      </c>
      <c r="B2129" s="414" t="s">
        <v>3859</v>
      </c>
      <c r="C2129" s="51">
        <f t="shared" si="481"/>
        <v>280714.28000000003</v>
      </c>
      <c r="D2129" s="51">
        <f t="shared" si="473"/>
        <v>0</v>
      </c>
      <c r="E2129" s="51"/>
      <c r="F2129" s="51"/>
      <c r="G2129" s="51"/>
      <c r="H2129" s="51"/>
      <c r="I2129" s="51"/>
      <c r="J2129" s="51"/>
      <c r="K2129" s="51"/>
      <c r="L2129" s="51"/>
      <c r="M2129" s="35"/>
      <c r="N2129" s="51"/>
      <c r="O2129" s="82"/>
      <c r="P2129" s="51"/>
      <c r="Q2129" s="338"/>
      <c r="R2129" s="51"/>
      <c r="S2129" s="51"/>
      <c r="T2129" s="338"/>
      <c r="U2129" s="51"/>
      <c r="V2129" s="35"/>
      <c r="W2129" s="364">
        <f t="shared" si="482"/>
        <v>280714.28000000003</v>
      </c>
      <c r="X2129" s="141"/>
      <c r="Y2129" s="48"/>
      <c r="Z2129" s="48"/>
      <c r="AA2129" s="48">
        <v>66333.05</v>
      </c>
      <c r="AB2129" s="48"/>
      <c r="AC2129" s="48">
        <v>65655.41</v>
      </c>
      <c r="AD2129" s="48">
        <v>83070.41</v>
      </c>
      <c r="AE2129" s="48"/>
      <c r="AF2129" s="48">
        <v>65655.41</v>
      </c>
      <c r="AG2129" s="48"/>
      <c r="AH2129" s="187"/>
      <c r="AI2129" s="48"/>
      <c r="AJ2129" s="48"/>
      <c r="AK2129" s="48"/>
      <c r="AL2129" s="48"/>
    </row>
    <row r="2130" spans="1:38" x14ac:dyDescent="0.3">
      <c r="A2130" s="47">
        <f t="shared" si="479"/>
        <v>1931</v>
      </c>
      <c r="B2130" s="414" t="s">
        <v>3860</v>
      </c>
      <c r="C2130" s="51">
        <f t="shared" si="481"/>
        <v>459563.00000000006</v>
      </c>
      <c r="D2130" s="51">
        <f t="shared" si="473"/>
        <v>0</v>
      </c>
      <c r="E2130" s="51"/>
      <c r="F2130" s="51"/>
      <c r="G2130" s="51"/>
      <c r="H2130" s="51"/>
      <c r="I2130" s="51"/>
      <c r="J2130" s="51"/>
      <c r="K2130" s="51"/>
      <c r="L2130" s="51"/>
      <c r="M2130" s="35"/>
      <c r="N2130" s="51"/>
      <c r="O2130" s="82"/>
      <c r="P2130" s="51"/>
      <c r="Q2130" s="338"/>
      <c r="R2130" s="51"/>
      <c r="S2130" s="51"/>
      <c r="T2130" s="338"/>
      <c r="U2130" s="51"/>
      <c r="V2130" s="35"/>
      <c r="W2130" s="364">
        <f t="shared" si="482"/>
        <v>459563.00000000006</v>
      </c>
      <c r="X2130" s="141"/>
      <c r="Y2130" s="48"/>
      <c r="Z2130" s="48"/>
      <c r="AA2130" s="48">
        <v>118596.37</v>
      </c>
      <c r="AB2130" s="48"/>
      <c r="AC2130" s="48">
        <v>116292.96</v>
      </c>
      <c r="AD2130" s="48">
        <v>108380.71</v>
      </c>
      <c r="AE2130" s="48"/>
      <c r="AF2130" s="48">
        <v>116292.96</v>
      </c>
      <c r="AG2130" s="48"/>
      <c r="AH2130" s="187"/>
      <c r="AI2130" s="48"/>
      <c r="AJ2130" s="48"/>
      <c r="AK2130" s="48"/>
      <c r="AL2130" s="48"/>
    </row>
    <row r="2131" spans="1:38" x14ac:dyDescent="0.3">
      <c r="A2131" s="47">
        <f t="shared" si="479"/>
        <v>1932</v>
      </c>
      <c r="B2131" s="414" t="s">
        <v>3861</v>
      </c>
      <c r="C2131" s="51">
        <f t="shared" si="481"/>
        <v>567564.13</v>
      </c>
      <c r="D2131" s="51">
        <f t="shared" si="473"/>
        <v>0</v>
      </c>
      <c r="E2131" s="51"/>
      <c r="F2131" s="51"/>
      <c r="G2131" s="51"/>
      <c r="H2131" s="51"/>
      <c r="I2131" s="51"/>
      <c r="J2131" s="51"/>
      <c r="K2131" s="51"/>
      <c r="L2131" s="51"/>
      <c r="M2131" s="35"/>
      <c r="N2131" s="51"/>
      <c r="O2131" s="82"/>
      <c r="P2131" s="51"/>
      <c r="Q2131" s="338"/>
      <c r="R2131" s="51"/>
      <c r="S2131" s="51"/>
      <c r="T2131" s="338"/>
      <c r="U2131" s="51"/>
      <c r="V2131" s="35"/>
      <c r="W2131" s="364">
        <f t="shared" si="482"/>
        <v>567564.13</v>
      </c>
      <c r="X2131" s="141"/>
      <c r="Y2131" s="48"/>
      <c r="Z2131" s="48"/>
      <c r="AA2131" s="48">
        <v>146473.98000000001</v>
      </c>
      <c r="AB2131" s="48"/>
      <c r="AC2131" s="48">
        <v>141938.26</v>
      </c>
      <c r="AD2131" s="48">
        <v>137213.63</v>
      </c>
      <c r="AE2131" s="48"/>
      <c r="AF2131" s="48">
        <v>141938.26</v>
      </c>
      <c r="AG2131" s="48"/>
      <c r="AH2131" s="187"/>
      <c r="AI2131" s="48"/>
      <c r="AJ2131" s="48"/>
      <c r="AK2131" s="48"/>
      <c r="AL2131" s="48"/>
    </row>
    <row r="2132" spans="1:38" x14ac:dyDescent="0.3">
      <c r="A2132" s="47">
        <f t="shared" si="479"/>
        <v>1933</v>
      </c>
      <c r="B2132" s="414" t="s">
        <v>4012</v>
      </c>
      <c r="C2132" s="51">
        <f t="shared" si="481"/>
        <v>626808.98</v>
      </c>
      <c r="D2132" s="51">
        <f t="shared" si="473"/>
        <v>0</v>
      </c>
      <c r="E2132" s="51"/>
      <c r="F2132" s="51"/>
      <c r="G2132" s="51"/>
      <c r="H2132" s="51"/>
      <c r="I2132" s="51"/>
      <c r="J2132" s="51"/>
      <c r="K2132" s="51"/>
      <c r="L2132" s="51"/>
      <c r="M2132" s="35"/>
      <c r="N2132" s="51"/>
      <c r="O2132" s="82"/>
      <c r="P2132" s="51"/>
      <c r="Q2132" s="338"/>
      <c r="R2132" s="51"/>
      <c r="S2132" s="51"/>
      <c r="T2132" s="338"/>
      <c r="U2132" s="51"/>
      <c r="V2132" s="35"/>
      <c r="W2132" s="364">
        <f t="shared" si="482"/>
        <v>626808.98</v>
      </c>
      <c r="X2132" s="141"/>
      <c r="Y2132" s="48"/>
      <c r="Z2132" s="48"/>
      <c r="AA2132" s="48">
        <v>102208.39</v>
      </c>
      <c r="AB2132" s="48"/>
      <c r="AC2132" s="48">
        <v>103906.76</v>
      </c>
      <c r="AD2132" s="48">
        <v>123731.18</v>
      </c>
      <c r="AE2132" s="48"/>
      <c r="AF2132" s="48">
        <v>103906.76</v>
      </c>
      <c r="AG2132" s="48">
        <v>193055.89</v>
      </c>
      <c r="AH2132" s="187"/>
      <c r="AI2132" s="48"/>
      <c r="AJ2132" s="48"/>
      <c r="AK2132" s="48"/>
      <c r="AL2132" s="48"/>
    </row>
    <row r="2133" spans="1:38" x14ac:dyDescent="0.3">
      <c r="A2133" s="47">
        <f t="shared" ref="A2133:A2137" si="483">A2132+1</f>
        <v>1934</v>
      </c>
      <c r="B2133" s="414" t="s">
        <v>4013</v>
      </c>
      <c r="C2133" s="51">
        <f t="shared" si="481"/>
        <v>696710.91</v>
      </c>
      <c r="D2133" s="51">
        <f t="shared" si="473"/>
        <v>0</v>
      </c>
      <c r="E2133" s="51"/>
      <c r="F2133" s="51"/>
      <c r="G2133" s="51"/>
      <c r="H2133" s="51"/>
      <c r="I2133" s="51"/>
      <c r="J2133" s="51"/>
      <c r="K2133" s="51"/>
      <c r="L2133" s="51"/>
      <c r="M2133" s="35"/>
      <c r="N2133" s="51"/>
      <c r="O2133" s="82"/>
      <c r="P2133" s="51"/>
      <c r="Q2133" s="338"/>
      <c r="R2133" s="51"/>
      <c r="S2133" s="51"/>
      <c r="T2133" s="338"/>
      <c r="U2133" s="51"/>
      <c r="V2133" s="35"/>
      <c r="W2133" s="364">
        <f t="shared" si="482"/>
        <v>696710.91</v>
      </c>
      <c r="X2133" s="141"/>
      <c r="Y2133" s="48"/>
      <c r="Z2133" s="48"/>
      <c r="AA2133" s="48">
        <v>114621.25</v>
      </c>
      <c r="AB2133" s="48"/>
      <c r="AC2133" s="48">
        <v>116249.96</v>
      </c>
      <c r="AD2133" s="48">
        <v>136707.89000000001</v>
      </c>
      <c r="AE2133" s="48"/>
      <c r="AF2133" s="48">
        <v>116249.96</v>
      </c>
      <c r="AG2133" s="48">
        <v>212881.85</v>
      </c>
      <c r="AH2133" s="187"/>
      <c r="AI2133" s="48"/>
      <c r="AJ2133" s="48"/>
      <c r="AK2133" s="48"/>
      <c r="AL2133" s="48"/>
    </row>
    <row r="2134" spans="1:38" x14ac:dyDescent="0.3">
      <c r="A2134" s="47">
        <f t="shared" si="483"/>
        <v>1935</v>
      </c>
      <c r="B2134" s="414" t="s">
        <v>3862</v>
      </c>
      <c r="C2134" s="51">
        <f t="shared" si="481"/>
        <v>429616.4</v>
      </c>
      <c r="D2134" s="51">
        <f t="shared" si="473"/>
        <v>0</v>
      </c>
      <c r="E2134" s="51"/>
      <c r="F2134" s="51"/>
      <c r="G2134" s="51"/>
      <c r="H2134" s="51"/>
      <c r="I2134" s="51"/>
      <c r="J2134" s="51"/>
      <c r="K2134" s="51"/>
      <c r="L2134" s="51"/>
      <c r="M2134" s="35"/>
      <c r="N2134" s="51"/>
      <c r="O2134" s="82"/>
      <c r="P2134" s="51"/>
      <c r="Q2134" s="338"/>
      <c r="R2134" s="51"/>
      <c r="S2134" s="51"/>
      <c r="T2134" s="338"/>
      <c r="U2134" s="51"/>
      <c r="V2134" s="35"/>
      <c r="W2134" s="364">
        <f t="shared" si="482"/>
        <v>429616.4</v>
      </c>
      <c r="X2134" s="141"/>
      <c r="Y2134" s="48"/>
      <c r="Z2134" s="48"/>
      <c r="AA2134" s="48">
        <v>110866.46</v>
      </c>
      <c r="AB2134" s="48"/>
      <c r="AC2134" s="48">
        <v>109182.02</v>
      </c>
      <c r="AD2134" s="48">
        <v>100385.9</v>
      </c>
      <c r="AE2134" s="48"/>
      <c r="AF2134" s="48">
        <v>109182.02</v>
      </c>
      <c r="AG2134" s="48"/>
      <c r="AH2134" s="187"/>
      <c r="AI2134" s="48"/>
      <c r="AJ2134" s="48"/>
      <c r="AK2134" s="48"/>
      <c r="AL2134" s="48"/>
    </row>
    <row r="2135" spans="1:38" x14ac:dyDescent="0.3">
      <c r="A2135" s="47">
        <f t="shared" si="483"/>
        <v>1936</v>
      </c>
      <c r="B2135" s="414" t="s">
        <v>3863</v>
      </c>
      <c r="C2135" s="51">
        <f t="shared" si="481"/>
        <v>472657.49</v>
      </c>
      <c r="D2135" s="51">
        <f t="shared" si="473"/>
        <v>0</v>
      </c>
      <c r="E2135" s="51"/>
      <c r="F2135" s="51"/>
      <c r="G2135" s="51"/>
      <c r="H2135" s="51"/>
      <c r="I2135" s="51"/>
      <c r="J2135" s="51"/>
      <c r="K2135" s="51"/>
      <c r="L2135" s="51"/>
      <c r="M2135" s="35"/>
      <c r="N2135" s="51"/>
      <c r="O2135" s="82"/>
      <c r="P2135" s="51"/>
      <c r="Q2135" s="338"/>
      <c r="R2135" s="51"/>
      <c r="S2135" s="51"/>
      <c r="T2135" s="338"/>
      <c r="U2135" s="51"/>
      <c r="V2135" s="35"/>
      <c r="W2135" s="364">
        <f t="shared" si="482"/>
        <v>472657.49</v>
      </c>
      <c r="X2135" s="141"/>
      <c r="Y2135" s="48"/>
      <c r="Z2135" s="48"/>
      <c r="AA2135" s="48">
        <v>121976.36</v>
      </c>
      <c r="AB2135" s="48"/>
      <c r="AC2135" s="48">
        <v>119402.3</v>
      </c>
      <c r="AD2135" s="48">
        <v>111876.53</v>
      </c>
      <c r="AE2135" s="48"/>
      <c r="AF2135" s="48">
        <v>119402.3</v>
      </c>
      <c r="AG2135" s="48"/>
      <c r="AH2135" s="187"/>
      <c r="AI2135" s="48"/>
      <c r="AJ2135" s="48"/>
      <c r="AK2135" s="48"/>
      <c r="AL2135" s="48"/>
    </row>
    <row r="2136" spans="1:38" x14ac:dyDescent="0.3">
      <c r="A2136" s="47">
        <f t="shared" si="483"/>
        <v>1937</v>
      </c>
      <c r="B2136" s="414" t="s">
        <v>4014</v>
      </c>
      <c r="C2136" s="51">
        <f t="shared" si="481"/>
        <v>472657.49</v>
      </c>
      <c r="D2136" s="51">
        <f t="shared" si="473"/>
        <v>0</v>
      </c>
      <c r="E2136" s="51"/>
      <c r="F2136" s="51"/>
      <c r="G2136" s="51"/>
      <c r="H2136" s="51"/>
      <c r="I2136" s="51"/>
      <c r="J2136" s="51"/>
      <c r="K2136" s="51"/>
      <c r="L2136" s="51"/>
      <c r="M2136" s="35"/>
      <c r="N2136" s="51"/>
      <c r="O2136" s="82"/>
      <c r="P2136" s="51"/>
      <c r="Q2136" s="338"/>
      <c r="R2136" s="51"/>
      <c r="S2136" s="51"/>
      <c r="T2136" s="338"/>
      <c r="U2136" s="51"/>
      <c r="V2136" s="35"/>
      <c r="W2136" s="364">
        <f t="shared" si="482"/>
        <v>472657.49</v>
      </c>
      <c r="X2136" s="141"/>
      <c r="Y2136" s="48"/>
      <c r="Z2136" s="48"/>
      <c r="AA2136" s="48">
        <v>121976.36</v>
      </c>
      <c r="AB2136" s="48"/>
      <c r="AC2136" s="48">
        <v>119402.3</v>
      </c>
      <c r="AD2136" s="48">
        <v>111876.53</v>
      </c>
      <c r="AE2136" s="48"/>
      <c r="AF2136" s="48">
        <v>119402.3</v>
      </c>
      <c r="AG2136" s="48"/>
      <c r="AH2136" s="187"/>
      <c r="AI2136" s="48"/>
      <c r="AJ2136" s="48"/>
      <c r="AK2136" s="48"/>
      <c r="AL2136" s="48"/>
    </row>
    <row r="2137" spans="1:38" x14ac:dyDescent="0.3">
      <c r="A2137" s="47">
        <f t="shared" si="483"/>
        <v>1938</v>
      </c>
      <c r="B2137" s="414" t="s">
        <v>3864</v>
      </c>
      <c r="C2137" s="51">
        <f t="shared" si="481"/>
        <v>569860.55000000005</v>
      </c>
      <c r="D2137" s="51">
        <f t="shared" si="473"/>
        <v>0</v>
      </c>
      <c r="E2137" s="51"/>
      <c r="F2137" s="51"/>
      <c r="G2137" s="51"/>
      <c r="H2137" s="51"/>
      <c r="I2137" s="51"/>
      <c r="J2137" s="51"/>
      <c r="K2137" s="51"/>
      <c r="L2137" s="51"/>
      <c r="M2137" s="35"/>
      <c r="N2137" s="51"/>
      <c r="O2137" s="82"/>
      <c r="P2137" s="51"/>
      <c r="Q2137" s="338"/>
      <c r="R2137" s="51"/>
      <c r="S2137" s="51"/>
      <c r="T2137" s="338"/>
      <c r="U2137" s="51"/>
      <c r="V2137" s="35"/>
      <c r="W2137" s="364">
        <f t="shared" si="482"/>
        <v>569860.55000000005</v>
      </c>
      <c r="X2137" s="141"/>
      <c r="Y2137" s="48"/>
      <c r="Z2137" s="48"/>
      <c r="AA2137" s="48">
        <v>179224.2</v>
      </c>
      <c r="AB2137" s="48"/>
      <c r="AC2137" s="48"/>
      <c r="AD2137" s="48"/>
      <c r="AE2137" s="48"/>
      <c r="AF2137" s="48"/>
      <c r="AG2137" s="48">
        <v>390636.35</v>
      </c>
      <c r="AH2137" s="187"/>
      <c r="AI2137" s="48"/>
      <c r="AJ2137" s="48"/>
      <c r="AK2137" s="48"/>
      <c r="AL2137" s="48"/>
    </row>
    <row r="2138" spans="1:38" x14ac:dyDescent="0.3">
      <c r="A2138" s="439" t="s">
        <v>211</v>
      </c>
      <c r="B2138" s="399"/>
      <c r="C2138" s="51">
        <f>SUM(C2082:C2137)</f>
        <v>97384917.870000005</v>
      </c>
      <c r="D2138" s="51">
        <f t="shared" ref="D2138:W2138" si="484">SUM(D2082:D2137)</f>
        <v>325676</v>
      </c>
      <c r="E2138" s="51">
        <f t="shared" si="484"/>
        <v>0</v>
      </c>
      <c r="F2138" s="51">
        <f t="shared" si="484"/>
        <v>71526</v>
      </c>
      <c r="G2138" s="51">
        <f t="shared" si="484"/>
        <v>101660</v>
      </c>
      <c r="H2138" s="51">
        <f t="shared" si="484"/>
        <v>101660</v>
      </c>
      <c r="I2138" s="51">
        <f t="shared" si="484"/>
        <v>50830</v>
      </c>
      <c r="J2138" s="51">
        <f t="shared" si="484"/>
        <v>0</v>
      </c>
      <c r="K2138" s="51">
        <f t="shared" si="484"/>
        <v>0</v>
      </c>
      <c r="L2138" s="51">
        <f t="shared" si="484"/>
        <v>0</v>
      </c>
      <c r="M2138" s="35">
        <f t="shared" si="484"/>
        <v>6316.6</v>
      </c>
      <c r="N2138" s="51">
        <f t="shared" si="484"/>
        <v>39458596.799999997</v>
      </c>
      <c r="O2138" s="82">
        <f t="shared" si="484"/>
        <v>556</v>
      </c>
      <c r="P2138" s="51">
        <f t="shared" si="484"/>
        <v>5407884</v>
      </c>
      <c r="Q2138" s="338">
        <f t="shared" si="484"/>
        <v>3966.6</v>
      </c>
      <c r="R2138" s="51">
        <f t="shared" si="484"/>
        <v>25366296</v>
      </c>
      <c r="S2138" s="51">
        <f t="shared" si="484"/>
        <v>0</v>
      </c>
      <c r="T2138" s="338">
        <f t="shared" si="484"/>
        <v>0</v>
      </c>
      <c r="U2138" s="51">
        <f t="shared" si="484"/>
        <v>0</v>
      </c>
      <c r="V2138" s="35">
        <f t="shared" si="484"/>
        <v>0</v>
      </c>
      <c r="W2138" s="51">
        <f t="shared" si="484"/>
        <v>26615680.279999994</v>
      </c>
      <c r="X2138" s="304"/>
      <c r="Y2138" s="48"/>
      <c r="Z2138" s="48"/>
      <c r="AA2138" s="48"/>
      <c r="AB2138" s="48"/>
      <c r="AC2138" s="48"/>
      <c r="AD2138" s="48"/>
      <c r="AE2138" s="48"/>
      <c r="AF2138" s="48"/>
      <c r="AG2138" s="48"/>
      <c r="AH2138" s="187"/>
      <c r="AI2138" s="48"/>
      <c r="AJ2138" s="48"/>
      <c r="AK2138" s="48"/>
      <c r="AL2138" s="48"/>
    </row>
    <row r="2139" spans="1:38" x14ac:dyDescent="0.3">
      <c r="A2139" s="435" t="s">
        <v>3866</v>
      </c>
      <c r="B2139" s="363"/>
      <c r="C2139" s="51"/>
      <c r="D2139" s="51"/>
      <c r="E2139" s="51"/>
      <c r="F2139" s="51"/>
      <c r="G2139" s="51"/>
      <c r="H2139" s="51"/>
      <c r="I2139" s="51"/>
      <c r="J2139" s="51"/>
      <c r="K2139" s="51"/>
      <c r="L2139" s="51"/>
      <c r="M2139" s="35"/>
      <c r="N2139" s="51"/>
      <c r="O2139" s="82"/>
      <c r="P2139" s="51"/>
      <c r="Q2139" s="338"/>
      <c r="R2139" s="51"/>
      <c r="S2139" s="51"/>
      <c r="T2139" s="338"/>
      <c r="U2139" s="51"/>
      <c r="V2139" s="35"/>
      <c r="W2139" s="364"/>
      <c r="X2139" s="141"/>
      <c r="Y2139" s="48"/>
      <c r="Z2139" s="48"/>
      <c r="AA2139" s="48"/>
      <c r="AB2139" s="48"/>
      <c r="AC2139" s="48"/>
      <c r="AD2139" s="48"/>
      <c r="AE2139" s="48"/>
      <c r="AF2139" s="48"/>
      <c r="AG2139" s="48"/>
      <c r="AH2139" s="187"/>
      <c r="AI2139" s="48"/>
      <c r="AJ2139" s="48"/>
      <c r="AK2139" s="48"/>
      <c r="AL2139" s="48"/>
    </row>
    <row r="2140" spans="1:38" x14ac:dyDescent="0.3">
      <c r="A2140" s="47">
        <f>A2137+1</f>
        <v>1939</v>
      </c>
      <c r="B2140" s="414" t="s">
        <v>4015</v>
      </c>
      <c r="C2140" s="51">
        <f t="shared" ref="C2140:C2145" si="485">D2140+K2140+L2140+N2140+P2140+R2140+S2140+U2140+V2140+W2140</f>
        <v>1696902</v>
      </c>
      <c r="D2140" s="51">
        <f t="shared" ref="D2140:D2145" si="486">E2140+F2140+G2140+H2140+I2140</f>
        <v>1696902</v>
      </c>
      <c r="E2140" s="51">
        <v>1696902</v>
      </c>
      <c r="F2140" s="51"/>
      <c r="G2140" s="51"/>
      <c r="H2140" s="51"/>
      <c r="I2140" s="51"/>
      <c r="J2140" s="51"/>
      <c r="K2140" s="51"/>
      <c r="L2140" s="51"/>
      <c r="M2140" s="35"/>
      <c r="N2140" s="51"/>
      <c r="O2140" s="82"/>
      <c r="P2140" s="51"/>
      <c r="Q2140" s="338"/>
      <c r="R2140" s="51"/>
      <c r="S2140" s="51"/>
      <c r="T2140" s="338"/>
      <c r="U2140" s="51"/>
      <c r="V2140" s="35"/>
      <c r="W2140" s="364"/>
      <c r="X2140" s="141"/>
      <c r="Y2140" s="48"/>
      <c r="Z2140" s="48"/>
      <c r="AA2140" s="48"/>
      <c r="AB2140" s="48"/>
      <c r="AC2140" s="48"/>
      <c r="AD2140" s="48"/>
      <c r="AE2140" s="48"/>
      <c r="AF2140" s="48"/>
      <c r="AG2140" s="48"/>
      <c r="AH2140" s="187"/>
      <c r="AI2140" s="48"/>
      <c r="AJ2140" s="48"/>
      <c r="AK2140" s="48"/>
    </row>
    <row r="2141" spans="1:38" x14ac:dyDescent="0.3">
      <c r="A2141" s="47">
        <f t="shared" ref="A2141" si="487">A2140+1</f>
        <v>1940</v>
      </c>
      <c r="B2141" s="414" t="s">
        <v>4016</v>
      </c>
      <c r="C2141" s="51">
        <f t="shared" si="485"/>
        <v>130000</v>
      </c>
      <c r="D2141" s="51">
        <f t="shared" si="486"/>
        <v>0</v>
      </c>
      <c r="E2141" s="51"/>
      <c r="F2141" s="51"/>
      <c r="G2141" s="51"/>
      <c r="H2141" s="51"/>
      <c r="I2141" s="51"/>
      <c r="J2141" s="51"/>
      <c r="K2141" s="51"/>
      <c r="L2141" s="51"/>
      <c r="M2141" s="35"/>
      <c r="N2141" s="51"/>
      <c r="O2141" s="82"/>
      <c r="P2141" s="51"/>
      <c r="Q2141" s="338"/>
      <c r="R2141" s="51"/>
      <c r="S2141" s="51"/>
      <c r="T2141" s="338"/>
      <c r="U2141" s="51"/>
      <c r="V2141" s="35"/>
      <c r="W2141" s="364">
        <v>130000</v>
      </c>
      <c r="X2141" s="141"/>
      <c r="Y2141" s="48"/>
      <c r="Z2141" s="48"/>
      <c r="AA2141" s="48"/>
      <c r="AB2141" s="48"/>
      <c r="AC2141" s="48"/>
      <c r="AD2141" s="48"/>
      <c r="AE2141" s="48"/>
      <c r="AF2141" s="48"/>
      <c r="AG2141" s="48"/>
      <c r="AH2141" s="187"/>
      <c r="AI2141" s="48"/>
      <c r="AJ2141" s="48"/>
      <c r="AK2141" s="48"/>
      <c r="AL2141" s="48"/>
    </row>
    <row r="2142" spans="1:38" x14ac:dyDescent="0.3">
      <c r="A2142" s="47">
        <f>A2141+1</f>
        <v>1941</v>
      </c>
      <c r="B2142" s="414" t="s">
        <v>4017</v>
      </c>
      <c r="C2142" s="51">
        <f t="shared" si="485"/>
        <v>241245.26</v>
      </c>
      <c r="D2142" s="51">
        <f t="shared" si="486"/>
        <v>0</v>
      </c>
      <c r="E2142" s="51"/>
      <c r="F2142" s="51"/>
      <c r="G2142" s="51"/>
      <c r="H2142" s="51"/>
      <c r="I2142" s="51"/>
      <c r="J2142" s="51"/>
      <c r="K2142" s="51"/>
      <c r="L2142" s="51"/>
      <c r="M2142" s="35"/>
      <c r="N2142" s="51"/>
      <c r="O2142" s="82"/>
      <c r="P2142" s="51"/>
      <c r="Q2142" s="338"/>
      <c r="R2142" s="51"/>
      <c r="S2142" s="51"/>
      <c r="T2142" s="338"/>
      <c r="U2142" s="51"/>
      <c r="V2142" s="35"/>
      <c r="W2142" s="364">
        <f>SUM(Y2142:AL2142)</f>
        <v>241245.26</v>
      </c>
      <c r="X2142" s="141"/>
      <c r="Y2142" s="48"/>
      <c r="Z2142" s="48"/>
      <c r="AA2142" s="48"/>
      <c r="AB2142" s="48"/>
      <c r="AC2142" s="48"/>
      <c r="AD2142" s="48"/>
      <c r="AE2142" s="48"/>
      <c r="AF2142" s="48"/>
      <c r="AG2142" s="48"/>
      <c r="AH2142" s="187">
        <v>241245.26</v>
      </c>
      <c r="AI2142" s="48"/>
      <c r="AJ2142" s="48"/>
      <c r="AK2142" s="48"/>
      <c r="AL2142" s="48"/>
    </row>
    <row r="2143" spans="1:38" x14ac:dyDescent="0.3">
      <c r="A2143" s="47">
        <f>A2142+1</f>
        <v>1942</v>
      </c>
      <c r="B2143" s="414" t="s">
        <v>4018</v>
      </c>
      <c r="C2143" s="51">
        <f t="shared" si="485"/>
        <v>130000</v>
      </c>
      <c r="D2143" s="51">
        <f t="shared" si="486"/>
        <v>0</v>
      </c>
      <c r="E2143" s="51"/>
      <c r="F2143" s="51"/>
      <c r="G2143" s="51"/>
      <c r="H2143" s="51"/>
      <c r="I2143" s="51"/>
      <c r="J2143" s="51"/>
      <c r="K2143" s="51"/>
      <c r="L2143" s="51"/>
      <c r="M2143" s="35"/>
      <c r="N2143" s="51"/>
      <c r="O2143" s="82"/>
      <c r="P2143" s="51"/>
      <c r="Q2143" s="338"/>
      <c r="R2143" s="51"/>
      <c r="S2143" s="51"/>
      <c r="T2143" s="338"/>
      <c r="U2143" s="51"/>
      <c r="V2143" s="35"/>
      <c r="W2143" s="364">
        <v>130000</v>
      </c>
      <c r="X2143" s="141"/>
      <c r="Y2143" s="48"/>
      <c r="Z2143" s="48"/>
      <c r="AA2143" s="48"/>
      <c r="AB2143" s="48"/>
      <c r="AC2143" s="48"/>
      <c r="AD2143" s="48"/>
      <c r="AE2143" s="48"/>
      <c r="AF2143" s="48"/>
      <c r="AG2143" s="48"/>
      <c r="AH2143" s="187"/>
      <c r="AI2143" s="48"/>
      <c r="AJ2143" s="48"/>
      <c r="AK2143" s="48"/>
      <c r="AL2143" s="48"/>
    </row>
    <row r="2144" spans="1:38" x14ac:dyDescent="0.3">
      <c r="A2144" s="47">
        <f>A2143+1</f>
        <v>1943</v>
      </c>
      <c r="B2144" s="414" t="s">
        <v>4019</v>
      </c>
      <c r="C2144" s="51">
        <f t="shared" si="485"/>
        <v>340446.62</v>
      </c>
      <c r="D2144" s="51">
        <f t="shared" si="486"/>
        <v>0</v>
      </c>
      <c r="E2144" s="51"/>
      <c r="F2144" s="51"/>
      <c r="G2144" s="51"/>
      <c r="H2144" s="51"/>
      <c r="I2144" s="51"/>
      <c r="J2144" s="51"/>
      <c r="K2144" s="51"/>
      <c r="L2144" s="51"/>
      <c r="M2144" s="35"/>
      <c r="N2144" s="51"/>
      <c r="O2144" s="82"/>
      <c r="P2144" s="51"/>
      <c r="Q2144" s="338"/>
      <c r="R2144" s="51"/>
      <c r="S2144" s="51"/>
      <c r="T2144" s="338"/>
      <c r="U2144" s="51"/>
      <c r="V2144" s="35"/>
      <c r="W2144" s="364">
        <f>SUM(Y2144:AL2144)</f>
        <v>340446.62</v>
      </c>
      <c r="X2144" s="141"/>
      <c r="Y2144" s="48"/>
      <c r="Z2144" s="48"/>
      <c r="AA2144" s="48"/>
      <c r="AB2144" s="48"/>
      <c r="AC2144" s="48"/>
      <c r="AD2144" s="48"/>
      <c r="AE2144" s="48"/>
      <c r="AF2144" s="48"/>
      <c r="AG2144" s="48"/>
      <c r="AH2144" s="187">
        <v>340446.62</v>
      </c>
      <c r="AI2144" s="48"/>
      <c r="AJ2144" s="48"/>
      <c r="AK2144" s="48"/>
      <c r="AL2144" s="48"/>
    </row>
    <row r="2145" spans="1:38" x14ac:dyDescent="0.3">
      <c r="A2145" s="47">
        <f>A2144+1</f>
        <v>1944</v>
      </c>
      <c r="B2145" s="414" t="s">
        <v>4020</v>
      </c>
      <c r="C2145" s="51">
        <f t="shared" si="485"/>
        <v>259048.93</v>
      </c>
      <c r="D2145" s="51">
        <f t="shared" si="486"/>
        <v>0</v>
      </c>
      <c r="E2145" s="51"/>
      <c r="F2145" s="51"/>
      <c r="G2145" s="51"/>
      <c r="H2145" s="51"/>
      <c r="I2145" s="51"/>
      <c r="J2145" s="51"/>
      <c r="K2145" s="51"/>
      <c r="L2145" s="51"/>
      <c r="M2145" s="35"/>
      <c r="N2145" s="51"/>
      <c r="O2145" s="82"/>
      <c r="P2145" s="51"/>
      <c r="Q2145" s="338"/>
      <c r="R2145" s="51"/>
      <c r="S2145" s="51"/>
      <c r="T2145" s="338"/>
      <c r="U2145" s="51"/>
      <c r="V2145" s="35"/>
      <c r="W2145" s="364">
        <f>SUM(Y2145:AL2145)</f>
        <v>259048.93</v>
      </c>
      <c r="X2145" s="141"/>
      <c r="Y2145" s="48"/>
      <c r="Z2145" s="48"/>
      <c r="AA2145" s="48"/>
      <c r="AB2145" s="48"/>
      <c r="AC2145" s="48"/>
      <c r="AD2145" s="48"/>
      <c r="AE2145" s="48"/>
      <c r="AF2145" s="48"/>
      <c r="AG2145" s="48"/>
      <c r="AH2145" s="187">
        <v>259048.93</v>
      </c>
      <c r="AI2145" s="48"/>
      <c r="AJ2145" s="48"/>
      <c r="AK2145" s="48"/>
      <c r="AL2145" s="48"/>
    </row>
    <row r="2146" spans="1:38" ht="22.5" customHeight="1" x14ac:dyDescent="0.3">
      <c r="A2146" s="439" t="s">
        <v>211</v>
      </c>
      <c r="B2146" s="399"/>
      <c r="C2146" s="51">
        <f>SUM(C2140:C2145)</f>
        <v>2797642.81</v>
      </c>
      <c r="D2146" s="51">
        <f t="shared" ref="D2146:W2146" si="488">SUM(D2140:D2145)</f>
        <v>1696902</v>
      </c>
      <c r="E2146" s="51">
        <f t="shared" si="488"/>
        <v>1696902</v>
      </c>
      <c r="F2146" s="51">
        <f t="shared" si="488"/>
        <v>0</v>
      </c>
      <c r="G2146" s="51">
        <f t="shared" si="488"/>
        <v>0</v>
      </c>
      <c r="H2146" s="51">
        <f t="shared" si="488"/>
        <v>0</v>
      </c>
      <c r="I2146" s="51">
        <f t="shared" si="488"/>
        <v>0</v>
      </c>
      <c r="J2146" s="51">
        <f t="shared" si="488"/>
        <v>0</v>
      </c>
      <c r="K2146" s="51">
        <f t="shared" si="488"/>
        <v>0</v>
      </c>
      <c r="L2146" s="51">
        <f t="shared" si="488"/>
        <v>0</v>
      </c>
      <c r="M2146" s="35">
        <f t="shared" si="488"/>
        <v>0</v>
      </c>
      <c r="N2146" s="51">
        <f t="shared" si="488"/>
        <v>0</v>
      </c>
      <c r="O2146" s="82">
        <f t="shared" si="488"/>
        <v>0</v>
      </c>
      <c r="P2146" s="51">
        <f t="shared" si="488"/>
        <v>0</v>
      </c>
      <c r="Q2146" s="338">
        <f t="shared" si="488"/>
        <v>0</v>
      </c>
      <c r="R2146" s="51">
        <f t="shared" si="488"/>
        <v>0</v>
      </c>
      <c r="S2146" s="51">
        <f t="shared" si="488"/>
        <v>0</v>
      </c>
      <c r="T2146" s="338">
        <f t="shared" si="488"/>
        <v>0</v>
      </c>
      <c r="U2146" s="51">
        <f t="shared" si="488"/>
        <v>0</v>
      </c>
      <c r="V2146" s="35">
        <f t="shared" si="488"/>
        <v>0</v>
      </c>
      <c r="W2146" s="51">
        <f t="shared" si="488"/>
        <v>1100740.81</v>
      </c>
      <c r="X2146" s="304"/>
      <c r="Y2146" s="48"/>
      <c r="Z2146" s="48"/>
      <c r="AA2146" s="48"/>
      <c r="AB2146" s="48"/>
      <c r="AC2146" s="48"/>
      <c r="AD2146" s="48"/>
      <c r="AE2146" s="48"/>
      <c r="AF2146" s="48"/>
      <c r="AG2146" s="48"/>
      <c r="AH2146" s="187"/>
      <c r="AI2146" s="48"/>
      <c r="AJ2146" s="48"/>
      <c r="AK2146" s="48"/>
      <c r="AL2146" s="48"/>
    </row>
    <row r="2147" spans="1:38" ht="22.5" customHeight="1" x14ac:dyDescent="0.3">
      <c r="A2147" s="435" t="s">
        <v>3870</v>
      </c>
      <c r="B2147" s="363"/>
      <c r="C2147" s="51"/>
      <c r="D2147" s="51"/>
      <c r="E2147" s="51"/>
      <c r="F2147" s="51"/>
      <c r="G2147" s="51"/>
      <c r="H2147" s="51"/>
      <c r="I2147" s="51"/>
      <c r="J2147" s="51"/>
      <c r="K2147" s="51"/>
      <c r="L2147" s="51"/>
      <c r="M2147" s="35"/>
      <c r="N2147" s="51"/>
      <c r="O2147" s="82"/>
      <c r="P2147" s="51"/>
      <c r="Q2147" s="338"/>
      <c r="R2147" s="51"/>
      <c r="S2147" s="51"/>
      <c r="T2147" s="338"/>
      <c r="U2147" s="51"/>
      <c r="V2147" s="35"/>
      <c r="W2147" s="364"/>
      <c r="X2147" s="141"/>
      <c r="Y2147" s="48"/>
      <c r="Z2147" s="48"/>
      <c r="AA2147" s="48"/>
      <c r="AB2147" s="48"/>
      <c r="AC2147" s="48"/>
      <c r="AD2147" s="48"/>
      <c r="AE2147" s="48"/>
      <c r="AF2147" s="48"/>
      <c r="AG2147" s="48"/>
      <c r="AH2147" s="187"/>
      <c r="AI2147" s="48"/>
      <c r="AJ2147" s="48"/>
      <c r="AK2147" s="48"/>
      <c r="AL2147" s="48"/>
    </row>
    <row r="2148" spans="1:38" x14ac:dyDescent="0.3">
      <c r="A2148" s="47">
        <f>A2145+1</f>
        <v>1945</v>
      </c>
      <c r="B2148" s="414" t="s">
        <v>3876</v>
      </c>
      <c r="C2148" s="51">
        <f>D2148+K2148+L2148+N2148+P2148+R2148+S2148+U2148+V2148+W2148</f>
        <v>16206675.6</v>
      </c>
      <c r="D2148" s="51">
        <f>E2148+F2148+G2148+H2148+I2148</f>
        <v>0</v>
      </c>
      <c r="E2148" s="51"/>
      <c r="F2148" s="51"/>
      <c r="G2148" s="51"/>
      <c r="H2148" s="51"/>
      <c r="I2148" s="51"/>
      <c r="J2148" s="51"/>
      <c r="K2148" s="51"/>
      <c r="L2148" s="51"/>
      <c r="M2148" s="35"/>
      <c r="N2148" s="51"/>
      <c r="O2148" s="82">
        <v>923.3</v>
      </c>
      <c r="P2148" s="51">
        <v>16206675.6</v>
      </c>
      <c r="Q2148" s="338"/>
      <c r="R2148" s="51"/>
      <c r="S2148" s="51"/>
      <c r="T2148" s="338"/>
      <c r="U2148" s="51"/>
      <c r="V2148" s="35"/>
      <c r="W2148" s="364"/>
      <c r="X2148" s="141"/>
      <c r="Y2148" s="48"/>
      <c r="Z2148" s="48"/>
      <c r="AA2148" s="48"/>
      <c r="AB2148" s="48"/>
      <c r="AC2148" s="48"/>
      <c r="AD2148" s="48"/>
      <c r="AE2148" s="48"/>
      <c r="AF2148" s="48"/>
      <c r="AG2148" s="48"/>
      <c r="AH2148" s="187"/>
      <c r="AI2148" s="48"/>
      <c r="AJ2148" s="48"/>
      <c r="AK2148" s="48"/>
      <c r="AL2148" s="48"/>
    </row>
    <row r="2149" spans="1:38" x14ac:dyDescent="0.3">
      <c r="A2149" s="47">
        <f t="shared" ref="A2149" si="489">A2148+1</f>
        <v>1946</v>
      </c>
      <c r="B2149" s="414" t="s">
        <v>4021</v>
      </c>
      <c r="C2149" s="51">
        <f>D2149+K2149+L2149+N2149+P2149+R2149+S2149+U2149+V2149+W2149</f>
        <v>17209218</v>
      </c>
      <c r="D2149" s="51">
        <f>E2149+F2149+G2149+H2149+I2149</f>
        <v>0</v>
      </c>
      <c r="E2149" s="51"/>
      <c r="F2149" s="51"/>
      <c r="G2149" s="51"/>
      <c r="H2149" s="51"/>
      <c r="I2149" s="51"/>
      <c r="J2149" s="51"/>
      <c r="K2149" s="51"/>
      <c r="L2149" s="51"/>
      <c r="M2149" s="35"/>
      <c r="N2149" s="51"/>
      <c r="O2149" s="82">
        <v>835.3</v>
      </c>
      <c r="P2149" s="51">
        <v>17209218</v>
      </c>
      <c r="Q2149" s="338"/>
      <c r="R2149" s="51"/>
      <c r="S2149" s="51"/>
      <c r="T2149" s="338"/>
      <c r="U2149" s="51"/>
      <c r="V2149" s="35"/>
      <c r="W2149" s="364"/>
      <c r="X2149" s="141"/>
      <c r="Y2149" s="48"/>
      <c r="Z2149" s="48"/>
      <c r="AA2149" s="48"/>
      <c r="AB2149" s="48"/>
      <c r="AC2149" s="48"/>
      <c r="AD2149" s="48"/>
      <c r="AE2149" s="48"/>
      <c r="AF2149" s="48"/>
      <c r="AG2149" s="48"/>
      <c r="AH2149" s="187"/>
      <c r="AI2149" s="48"/>
      <c r="AJ2149" s="48"/>
      <c r="AK2149" s="48"/>
      <c r="AL2149" s="48"/>
    </row>
    <row r="2150" spans="1:38" x14ac:dyDescent="0.3">
      <c r="A2150" s="47">
        <f>A2149+1</f>
        <v>1947</v>
      </c>
      <c r="B2150" s="414" t="s">
        <v>4022</v>
      </c>
      <c r="C2150" s="51">
        <f>D2150+K2150+L2150+N2150+P2150+R2150+S2150+U2150+V2150+W2150</f>
        <v>10623490.800000001</v>
      </c>
      <c r="D2150" s="51">
        <f>E2150+F2150+G2150+H2150+I2150</f>
        <v>0</v>
      </c>
      <c r="E2150" s="51"/>
      <c r="F2150" s="51"/>
      <c r="G2150" s="51"/>
      <c r="H2150" s="51"/>
      <c r="I2150" s="51"/>
      <c r="J2150" s="51"/>
      <c r="K2150" s="51"/>
      <c r="L2150" s="51"/>
      <c r="M2150" s="35"/>
      <c r="N2150" s="51"/>
      <c r="O2150" s="82">
        <v>642.6</v>
      </c>
      <c r="P2150" s="51">
        <v>10623490.800000001</v>
      </c>
      <c r="Q2150" s="338"/>
      <c r="R2150" s="51"/>
      <c r="S2150" s="51"/>
      <c r="T2150" s="338"/>
      <c r="U2150" s="51"/>
      <c r="V2150" s="35"/>
      <c r="W2150" s="364"/>
      <c r="X2150" s="141"/>
      <c r="Y2150" s="48"/>
      <c r="Z2150" s="48"/>
      <c r="AA2150" s="48"/>
      <c r="AB2150" s="48"/>
      <c r="AC2150" s="48"/>
      <c r="AD2150" s="48"/>
      <c r="AE2150" s="48"/>
      <c r="AF2150" s="48"/>
      <c r="AG2150" s="48"/>
      <c r="AH2150" s="187"/>
      <c r="AI2150" s="48"/>
      <c r="AJ2150" s="48"/>
      <c r="AK2150" s="48"/>
      <c r="AL2150" s="48"/>
    </row>
    <row r="2151" spans="1:38" x14ac:dyDescent="0.3">
      <c r="A2151" s="439" t="s">
        <v>211</v>
      </c>
      <c r="B2151" s="399"/>
      <c r="C2151" s="51">
        <f t="shared" ref="C2151:W2151" si="490">SUM(C2148:C2150)</f>
        <v>44039384.400000006</v>
      </c>
      <c r="D2151" s="51">
        <f t="shared" si="490"/>
        <v>0</v>
      </c>
      <c r="E2151" s="51">
        <f t="shared" si="490"/>
        <v>0</v>
      </c>
      <c r="F2151" s="51">
        <f t="shared" si="490"/>
        <v>0</v>
      </c>
      <c r="G2151" s="51">
        <f t="shared" si="490"/>
        <v>0</v>
      </c>
      <c r="H2151" s="51">
        <f t="shared" si="490"/>
        <v>0</v>
      </c>
      <c r="I2151" s="51">
        <f t="shared" si="490"/>
        <v>0</v>
      </c>
      <c r="J2151" s="51">
        <f t="shared" si="490"/>
        <v>0</v>
      </c>
      <c r="K2151" s="51">
        <f t="shared" si="490"/>
        <v>0</v>
      </c>
      <c r="L2151" s="51">
        <f t="shared" si="490"/>
        <v>0</v>
      </c>
      <c r="M2151" s="35">
        <f t="shared" si="490"/>
        <v>0</v>
      </c>
      <c r="N2151" s="51">
        <f t="shared" si="490"/>
        <v>0</v>
      </c>
      <c r="O2151" s="82">
        <f t="shared" si="490"/>
        <v>2401.1999999999998</v>
      </c>
      <c r="P2151" s="51">
        <f t="shared" si="490"/>
        <v>44039384.400000006</v>
      </c>
      <c r="Q2151" s="338">
        <f t="shared" si="490"/>
        <v>0</v>
      </c>
      <c r="R2151" s="51">
        <f t="shared" si="490"/>
        <v>0</v>
      </c>
      <c r="S2151" s="51">
        <f t="shared" si="490"/>
        <v>0</v>
      </c>
      <c r="T2151" s="338">
        <f t="shared" si="490"/>
        <v>0</v>
      </c>
      <c r="U2151" s="51">
        <f t="shared" si="490"/>
        <v>0</v>
      </c>
      <c r="V2151" s="35">
        <f t="shared" si="490"/>
        <v>0</v>
      </c>
      <c r="W2151" s="51">
        <f t="shared" si="490"/>
        <v>0</v>
      </c>
      <c r="X2151" s="304"/>
      <c r="Y2151" s="48"/>
      <c r="Z2151" s="48"/>
      <c r="AA2151" s="48"/>
      <c r="AB2151" s="48"/>
      <c r="AC2151" s="48"/>
      <c r="AD2151" s="48"/>
      <c r="AE2151" s="48"/>
      <c r="AF2151" s="48"/>
      <c r="AG2151" s="48"/>
      <c r="AH2151" s="187"/>
      <c r="AI2151" s="48"/>
      <c r="AJ2151" s="48"/>
      <c r="AK2151" s="48"/>
      <c r="AL2151" s="48"/>
    </row>
    <row r="2152" spans="1:38" x14ac:dyDescent="0.3">
      <c r="A2152" s="435" t="s">
        <v>3884</v>
      </c>
      <c r="B2152" s="363"/>
      <c r="C2152" s="51"/>
      <c r="D2152" s="51"/>
      <c r="E2152" s="51"/>
      <c r="F2152" s="51"/>
      <c r="G2152" s="51"/>
      <c r="H2152" s="51"/>
      <c r="I2152" s="51"/>
      <c r="J2152" s="51"/>
      <c r="K2152" s="51"/>
      <c r="L2152" s="51"/>
      <c r="M2152" s="35"/>
      <c r="N2152" s="51"/>
      <c r="O2152" s="82"/>
      <c r="P2152" s="51"/>
      <c r="Q2152" s="338"/>
      <c r="R2152" s="51"/>
      <c r="S2152" s="51"/>
      <c r="T2152" s="338"/>
      <c r="U2152" s="51"/>
      <c r="V2152" s="35"/>
      <c r="W2152" s="364"/>
      <c r="X2152" s="141"/>
      <c r="Y2152" s="48"/>
      <c r="Z2152" s="48"/>
      <c r="AA2152" s="48"/>
      <c r="AB2152" s="48"/>
      <c r="AC2152" s="48"/>
      <c r="AD2152" s="48"/>
      <c r="AE2152" s="48"/>
      <c r="AF2152" s="48"/>
      <c r="AG2152" s="48"/>
      <c r="AH2152" s="187"/>
      <c r="AI2152" s="48"/>
      <c r="AJ2152" s="48"/>
      <c r="AK2152" s="48"/>
      <c r="AL2152" s="48"/>
    </row>
    <row r="2153" spans="1:38" x14ac:dyDescent="0.3">
      <c r="A2153" s="47">
        <f>A2150+1</f>
        <v>1948</v>
      </c>
      <c r="B2153" s="414" t="s">
        <v>4023</v>
      </c>
      <c r="C2153" s="51">
        <f>D2153+K2153+L2153+N2153+P2153+R2153+S2153+U2153+V2153+W2153</f>
        <v>376786.94999999995</v>
      </c>
      <c r="D2153" s="51">
        <f>E2153+F2153+G2153+H2153+I2153</f>
        <v>0</v>
      </c>
      <c r="E2153" s="51"/>
      <c r="F2153" s="51"/>
      <c r="G2153" s="51"/>
      <c r="H2153" s="51"/>
      <c r="I2153" s="51"/>
      <c r="J2153" s="51"/>
      <c r="K2153" s="51"/>
      <c r="L2153" s="51"/>
      <c r="M2153" s="35"/>
      <c r="N2153" s="51"/>
      <c r="O2153" s="82"/>
      <c r="P2153" s="51"/>
      <c r="Q2153" s="338"/>
      <c r="R2153" s="51"/>
      <c r="S2153" s="51"/>
      <c r="T2153" s="338"/>
      <c r="U2153" s="51"/>
      <c r="V2153" s="35"/>
      <c r="W2153" s="364">
        <f>SUM(Y2153:AL2153)</f>
        <v>376786.94999999995</v>
      </c>
      <c r="X2153" s="141"/>
      <c r="Y2153" s="48"/>
      <c r="Z2153" s="48"/>
      <c r="AA2153" s="48">
        <v>190570.18</v>
      </c>
      <c r="AB2153" s="48"/>
      <c r="AC2153" s="48">
        <v>186216.77</v>
      </c>
      <c r="AD2153" s="48"/>
      <c r="AE2153" s="48"/>
      <c r="AF2153" s="48"/>
      <c r="AG2153" s="48"/>
      <c r="AH2153" s="187"/>
      <c r="AI2153" s="48"/>
      <c r="AJ2153" s="48"/>
      <c r="AK2153" s="48"/>
      <c r="AL2153" s="48"/>
    </row>
    <row r="2154" spans="1:38" x14ac:dyDescent="0.3">
      <c r="A2154" s="439" t="s">
        <v>211</v>
      </c>
      <c r="B2154" s="399"/>
      <c r="C2154" s="51">
        <f t="shared" ref="C2154:W2154" si="491">SUM(C2153:C2153)</f>
        <v>376786.94999999995</v>
      </c>
      <c r="D2154" s="51">
        <f t="shared" si="491"/>
        <v>0</v>
      </c>
      <c r="E2154" s="51">
        <f t="shared" si="491"/>
        <v>0</v>
      </c>
      <c r="F2154" s="51">
        <f t="shared" si="491"/>
        <v>0</v>
      </c>
      <c r="G2154" s="51">
        <f t="shared" si="491"/>
        <v>0</v>
      </c>
      <c r="H2154" s="51">
        <f t="shared" si="491"/>
        <v>0</v>
      </c>
      <c r="I2154" s="51">
        <f t="shared" si="491"/>
        <v>0</v>
      </c>
      <c r="J2154" s="51">
        <f t="shared" si="491"/>
        <v>0</v>
      </c>
      <c r="K2154" s="51">
        <f t="shared" si="491"/>
        <v>0</v>
      </c>
      <c r="L2154" s="51">
        <f t="shared" si="491"/>
        <v>0</v>
      </c>
      <c r="M2154" s="35">
        <f t="shared" si="491"/>
        <v>0</v>
      </c>
      <c r="N2154" s="51">
        <f t="shared" si="491"/>
        <v>0</v>
      </c>
      <c r="O2154" s="82">
        <f t="shared" si="491"/>
        <v>0</v>
      </c>
      <c r="P2154" s="51">
        <f t="shared" si="491"/>
        <v>0</v>
      </c>
      <c r="Q2154" s="338">
        <f t="shared" si="491"/>
        <v>0</v>
      </c>
      <c r="R2154" s="51">
        <f t="shared" si="491"/>
        <v>0</v>
      </c>
      <c r="S2154" s="51">
        <f t="shared" si="491"/>
        <v>0</v>
      </c>
      <c r="T2154" s="338">
        <f t="shared" si="491"/>
        <v>0</v>
      </c>
      <c r="U2154" s="51">
        <f t="shared" si="491"/>
        <v>0</v>
      </c>
      <c r="V2154" s="35">
        <f t="shared" si="491"/>
        <v>0</v>
      </c>
      <c r="W2154" s="51">
        <f t="shared" si="491"/>
        <v>376786.94999999995</v>
      </c>
      <c r="X2154" s="304"/>
      <c r="Y2154" s="48"/>
      <c r="Z2154" s="48"/>
      <c r="AA2154" s="48"/>
      <c r="AB2154" s="48"/>
      <c r="AC2154" s="48"/>
      <c r="AD2154" s="48"/>
      <c r="AE2154" s="48"/>
      <c r="AF2154" s="48"/>
      <c r="AG2154" s="48"/>
      <c r="AH2154" s="187"/>
      <c r="AI2154" s="48"/>
      <c r="AJ2154" s="48"/>
      <c r="AK2154" s="48"/>
      <c r="AL2154" s="48"/>
    </row>
    <row r="2155" spans="1:38" x14ac:dyDescent="0.3">
      <c r="A2155" s="435" t="s">
        <v>3887</v>
      </c>
      <c r="B2155" s="363"/>
      <c r="C2155" s="51"/>
      <c r="D2155" s="51"/>
      <c r="E2155" s="51"/>
      <c r="F2155" s="51"/>
      <c r="G2155" s="51"/>
      <c r="H2155" s="51"/>
      <c r="I2155" s="51"/>
      <c r="J2155" s="51"/>
      <c r="K2155" s="51"/>
      <c r="L2155" s="51"/>
      <c r="M2155" s="35"/>
      <c r="N2155" s="51"/>
      <c r="O2155" s="82"/>
      <c r="P2155" s="51"/>
      <c r="Q2155" s="338"/>
      <c r="R2155" s="51"/>
      <c r="S2155" s="51"/>
      <c r="T2155" s="338"/>
      <c r="U2155" s="51"/>
      <c r="V2155" s="35"/>
      <c r="W2155" s="364"/>
      <c r="X2155" s="141"/>
      <c r="Y2155" s="48"/>
      <c r="Z2155" s="48"/>
      <c r="AA2155" s="48"/>
      <c r="AB2155" s="48"/>
      <c r="AC2155" s="48"/>
      <c r="AD2155" s="48"/>
      <c r="AE2155" s="48"/>
      <c r="AF2155" s="48"/>
      <c r="AG2155" s="48"/>
      <c r="AH2155" s="187"/>
      <c r="AI2155" s="48"/>
      <c r="AJ2155" s="48"/>
      <c r="AK2155" s="48"/>
      <c r="AL2155" s="48"/>
    </row>
    <row r="2156" spans="1:38" x14ac:dyDescent="0.3">
      <c r="A2156" s="47">
        <f>A2153+1</f>
        <v>1949</v>
      </c>
      <c r="B2156" s="414" t="s">
        <v>3888</v>
      </c>
      <c r="C2156" s="51">
        <f>D2156+K2156+L2156+N2156+P2156+R2156+S2156+U2156+V2156+W2156</f>
        <v>103211.48</v>
      </c>
      <c r="D2156" s="51">
        <f>E2156+F2156+G2156+H2156+I2156</f>
        <v>0</v>
      </c>
      <c r="E2156" s="51"/>
      <c r="F2156" s="51"/>
      <c r="G2156" s="51"/>
      <c r="H2156" s="51"/>
      <c r="I2156" s="51"/>
      <c r="J2156" s="51"/>
      <c r="K2156" s="51"/>
      <c r="L2156" s="51"/>
      <c r="M2156" s="35"/>
      <c r="N2156" s="51"/>
      <c r="O2156" s="82"/>
      <c r="P2156" s="51"/>
      <c r="Q2156" s="338"/>
      <c r="R2156" s="51"/>
      <c r="S2156" s="51"/>
      <c r="T2156" s="338"/>
      <c r="U2156" s="51"/>
      <c r="V2156" s="35"/>
      <c r="W2156" s="364">
        <f>SUM(Y2156:AL2156)</f>
        <v>103211.48</v>
      </c>
      <c r="X2156" s="141"/>
      <c r="Y2156" s="48"/>
      <c r="Z2156" s="48"/>
      <c r="AA2156" s="48">
        <v>103211.48</v>
      </c>
      <c r="AB2156" s="48"/>
      <c r="AC2156" s="48"/>
      <c r="AD2156" s="48"/>
      <c r="AE2156" s="48"/>
      <c r="AF2156" s="48"/>
      <c r="AG2156" s="48"/>
      <c r="AH2156" s="187"/>
      <c r="AI2156" s="48"/>
      <c r="AJ2156" s="48"/>
      <c r="AK2156" s="48"/>
      <c r="AL2156" s="48"/>
    </row>
    <row r="2157" spans="1:38" x14ac:dyDescent="0.3">
      <c r="A2157" s="47">
        <f t="shared" ref="A2157" si="492">A2156+1</f>
        <v>1950</v>
      </c>
      <c r="B2157" s="414" t="s">
        <v>3889</v>
      </c>
      <c r="C2157" s="51">
        <f>D2157+K2157+L2157+N2157+P2157+R2157+S2157+U2157+V2157+W2157</f>
        <v>105130.6</v>
      </c>
      <c r="D2157" s="51">
        <f>E2157+F2157+G2157+H2157+I2157</f>
        <v>0</v>
      </c>
      <c r="E2157" s="51"/>
      <c r="F2157" s="51"/>
      <c r="G2157" s="51"/>
      <c r="H2157" s="51"/>
      <c r="I2157" s="51"/>
      <c r="J2157" s="51"/>
      <c r="K2157" s="51"/>
      <c r="L2157" s="51"/>
      <c r="M2157" s="35"/>
      <c r="N2157" s="51"/>
      <c r="O2157" s="82"/>
      <c r="P2157" s="51"/>
      <c r="Q2157" s="338"/>
      <c r="R2157" s="51"/>
      <c r="S2157" s="51"/>
      <c r="T2157" s="338"/>
      <c r="U2157" s="51"/>
      <c r="V2157" s="35"/>
      <c r="W2157" s="364">
        <f>SUM(Y2157:AL2157)</f>
        <v>105130.6</v>
      </c>
      <c r="X2157" s="141"/>
      <c r="Y2157" s="48"/>
      <c r="Z2157" s="48"/>
      <c r="AA2157" s="48">
        <v>105130.6</v>
      </c>
      <c r="AB2157" s="48"/>
      <c r="AC2157" s="48"/>
      <c r="AD2157" s="48"/>
      <c r="AE2157" s="48"/>
      <c r="AF2157" s="48"/>
      <c r="AG2157" s="48"/>
      <c r="AH2157" s="187"/>
      <c r="AI2157" s="48"/>
      <c r="AJ2157" s="48"/>
      <c r="AK2157" s="48"/>
      <c r="AL2157" s="48"/>
    </row>
    <row r="2158" spans="1:38" x14ac:dyDescent="0.3">
      <c r="A2158" s="47">
        <f>A2157+1</f>
        <v>1951</v>
      </c>
      <c r="B2158" s="414" t="s">
        <v>3890</v>
      </c>
      <c r="C2158" s="51">
        <f>D2158+K2158+L2158+N2158+P2158+R2158+S2158+U2158+V2158+W2158</f>
        <v>248299.62</v>
      </c>
      <c r="D2158" s="51">
        <f>E2158+F2158+G2158+H2158+I2158</f>
        <v>0</v>
      </c>
      <c r="E2158" s="51"/>
      <c r="F2158" s="51"/>
      <c r="G2158" s="51"/>
      <c r="H2158" s="51"/>
      <c r="I2158" s="51"/>
      <c r="J2158" s="51"/>
      <c r="K2158" s="51"/>
      <c r="L2158" s="51"/>
      <c r="M2158" s="35"/>
      <c r="N2158" s="51"/>
      <c r="O2158" s="82"/>
      <c r="P2158" s="51"/>
      <c r="Q2158" s="338"/>
      <c r="R2158" s="51"/>
      <c r="S2158" s="51"/>
      <c r="T2158" s="338"/>
      <c r="U2158" s="51"/>
      <c r="V2158" s="35"/>
      <c r="W2158" s="364">
        <f>SUM(Y2158:AL2158)</f>
        <v>248299.62</v>
      </c>
      <c r="X2158" s="141"/>
      <c r="Y2158" s="48"/>
      <c r="Z2158" s="48"/>
      <c r="AA2158" s="48"/>
      <c r="AB2158" s="48"/>
      <c r="AC2158" s="48"/>
      <c r="AD2158" s="48"/>
      <c r="AE2158" s="48"/>
      <c r="AF2158" s="48"/>
      <c r="AG2158" s="48"/>
      <c r="AH2158" s="187">
        <v>248299.62</v>
      </c>
      <c r="AI2158" s="48"/>
      <c r="AJ2158" s="48"/>
      <c r="AK2158" s="48"/>
      <c r="AL2158" s="48"/>
    </row>
    <row r="2159" spans="1:38" x14ac:dyDescent="0.3">
      <c r="A2159" s="47">
        <f>A2158+1</f>
        <v>1952</v>
      </c>
      <c r="B2159" s="414" t="s">
        <v>3891</v>
      </c>
      <c r="C2159" s="51">
        <f>D2159+K2159+L2159+N2159+P2159+R2159+S2159+U2159+V2159+W2159</f>
        <v>304130.2</v>
      </c>
      <c r="D2159" s="51">
        <f>E2159+F2159+G2159+H2159+I2159</f>
        <v>0</v>
      </c>
      <c r="E2159" s="51"/>
      <c r="F2159" s="51"/>
      <c r="G2159" s="51"/>
      <c r="H2159" s="51"/>
      <c r="I2159" s="51"/>
      <c r="J2159" s="51"/>
      <c r="K2159" s="51"/>
      <c r="L2159" s="51"/>
      <c r="M2159" s="35"/>
      <c r="N2159" s="51"/>
      <c r="O2159" s="82"/>
      <c r="P2159" s="51"/>
      <c r="Q2159" s="338"/>
      <c r="R2159" s="51"/>
      <c r="S2159" s="51"/>
      <c r="T2159" s="338"/>
      <c r="U2159" s="51"/>
      <c r="V2159" s="35"/>
      <c r="W2159" s="364">
        <f>SUM(Y2159:AL2159)</f>
        <v>304130.2</v>
      </c>
      <c r="X2159" s="141"/>
      <c r="Y2159" s="48"/>
      <c r="Z2159" s="48"/>
      <c r="AA2159" s="48"/>
      <c r="AB2159" s="48"/>
      <c r="AC2159" s="48"/>
      <c r="AD2159" s="48"/>
      <c r="AE2159" s="48"/>
      <c r="AF2159" s="48"/>
      <c r="AG2159" s="48">
        <v>304130.2</v>
      </c>
      <c r="AH2159" s="187"/>
      <c r="AI2159" s="48"/>
      <c r="AJ2159" s="48"/>
      <c r="AK2159" s="48"/>
      <c r="AL2159" s="48"/>
    </row>
    <row r="2160" spans="1:38" x14ac:dyDescent="0.3">
      <c r="A2160" s="439" t="s">
        <v>211</v>
      </c>
      <c r="B2160" s="399"/>
      <c r="C2160" s="51">
        <f t="shared" ref="C2160:W2160" si="493">SUM(C2156:C2159)</f>
        <v>760771.9</v>
      </c>
      <c r="D2160" s="51">
        <f t="shared" si="493"/>
        <v>0</v>
      </c>
      <c r="E2160" s="51">
        <f t="shared" si="493"/>
        <v>0</v>
      </c>
      <c r="F2160" s="51">
        <f t="shared" si="493"/>
        <v>0</v>
      </c>
      <c r="G2160" s="51">
        <f t="shared" si="493"/>
        <v>0</v>
      </c>
      <c r="H2160" s="51">
        <f t="shared" si="493"/>
        <v>0</v>
      </c>
      <c r="I2160" s="51">
        <f t="shared" si="493"/>
        <v>0</v>
      </c>
      <c r="J2160" s="51">
        <f t="shared" si="493"/>
        <v>0</v>
      </c>
      <c r="K2160" s="51">
        <f t="shared" si="493"/>
        <v>0</v>
      </c>
      <c r="L2160" s="51">
        <f t="shared" si="493"/>
        <v>0</v>
      </c>
      <c r="M2160" s="35">
        <f t="shared" si="493"/>
        <v>0</v>
      </c>
      <c r="N2160" s="51">
        <f t="shared" si="493"/>
        <v>0</v>
      </c>
      <c r="O2160" s="82">
        <f t="shared" si="493"/>
        <v>0</v>
      </c>
      <c r="P2160" s="51">
        <f t="shared" si="493"/>
        <v>0</v>
      </c>
      <c r="Q2160" s="338">
        <f t="shared" si="493"/>
        <v>0</v>
      </c>
      <c r="R2160" s="51">
        <f t="shared" si="493"/>
        <v>0</v>
      </c>
      <c r="S2160" s="51">
        <f t="shared" si="493"/>
        <v>0</v>
      </c>
      <c r="T2160" s="338">
        <f t="shared" si="493"/>
        <v>0</v>
      </c>
      <c r="U2160" s="51">
        <f t="shared" si="493"/>
        <v>0</v>
      </c>
      <c r="V2160" s="35">
        <f t="shared" si="493"/>
        <v>0</v>
      </c>
      <c r="W2160" s="51">
        <f t="shared" si="493"/>
        <v>760771.9</v>
      </c>
      <c r="X2160" s="304"/>
      <c r="Y2160" s="48"/>
      <c r="Z2160" s="48"/>
      <c r="AA2160" s="48"/>
      <c r="AB2160" s="48"/>
      <c r="AC2160" s="48"/>
      <c r="AD2160" s="48"/>
      <c r="AE2160" s="48"/>
      <c r="AF2160" s="48"/>
      <c r="AG2160" s="48"/>
      <c r="AH2160" s="187"/>
      <c r="AI2160" s="48"/>
      <c r="AJ2160" s="48"/>
      <c r="AK2160" s="48"/>
      <c r="AL2160" s="48"/>
    </row>
    <row r="2161" spans="1:38" x14ac:dyDescent="0.3">
      <c r="A2161" s="435" t="s">
        <v>3894</v>
      </c>
      <c r="B2161" s="363"/>
      <c r="C2161" s="51"/>
      <c r="D2161" s="51"/>
      <c r="E2161" s="51"/>
      <c r="F2161" s="51"/>
      <c r="G2161" s="51"/>
      <c r="H2161" s="51"/>
      <c r="I2161" s="51"/>
      <c r="J2161" s="51"/>
      <c r="K2161" s="51"/>
      <c r="L2161" s="51"/>
      <c r="M2161" s="35"/>
      <c r="N2161" s="51"/>
      <c r="O2161" s="82"/>
      <c r="P2161" s="51"/>
      <c r="Q2161" s="338"/>
      <c r="R2161" s="51"/>
      <c r="S2161" s="51"/>
      <c r="T2161" s="338"/>
      <c r="U2161" s="51"/>
      <c r="V2161" s="35"/>
      <c r="W2161" s="364"/>
      <c r="X2161" s="141"/>
      <c r="Y2161" s="48"/>
      <c r="Z2161" s="48"/>
      <c r="AA2161" s="48"/>
      <c r="AB2161" s="48"/>
      <c r="AC2161" s="48"/>
      <c r="AD2161" s="48"/>
      <c r="AE2161" s="48"/>
      <c r="AF2161" s="48"/>
      <c r="AG2161" s="48"/>
      <c r="AH2161" s="187"/>
      <c r="AI2161" s="48"/>
      <c r="AJ2161" s="48"/>
      <c r="AK2161" s="48"/>
      <c r="AL2161" s="48"/>
    </row>
    <row r="2162" spans="1:38" x14ac:dyDescent="0.3">
      <c r="A2162" s="47">
        <f>A2159+1</f>
        <v>1953</v>
      </c>
      <c r="B2162" s="414" t="s">
        <v>4024</v>
      </c>
      <c r="C2162" s="51">
        <f t="shared" ref="C2162:C2167" si="494">D2162+K2162+L2162+N2162+P2162+R2162+S2162+U2162+V2162+W2162</f>
        <v>125902.60999999999</v>
      </c>
      <c r="D2162" s="51">
        <f t="shared" ref="D2162:D2167" si="495">E2162+F2162+G2162+H2162+I2162</f>
        <v>0</v>
      </c>
      <c r="E2162" s="51"/>
      <c r="F2162" s="51"/>
      <c r="G2162" s="51"/>
      <c r="H2162" s="51"/>
      <c r="I2162" s="51"/>
      <c r="J2162" s="51"/>
      <c r="K2162" s="51"/>
      <c r="L2162" s="51"/>
      <c r="M2162" s="35"/>
      <c r="N2162" s="51"/>
      <c r="O2162" s="82"/>
      <c r="P2162" s="51"/>
      <c r="Q2162" s="338"/>
      <c r="R2162" s="51"/>
      <c r="S2162" s="51"/>
      <c r="T2162" s="338"/>
      <c r="U2162" s="51"/>
      <c r="V2162" s="35"/>
      <c r="W2162" s="364">
        <f>SUM(Y2162:AL2162)</f>
        <v>125902.60999999999</v>
      </c>
      <c r="X2162" s="141"/>
      <c r="Y2162" s="48"/>
      <c r="Z2162" s="48"/>
      <c r="AA2162" s="48">
        <v>41848.49</v>
      </c>
      <c r="AB2162" s="48"/>
      <c r="AC2162" s="48"/>
      <c r="AD2162" s="48"/>
      <c r="AE2162" s="48"/>
      <c r="AF2162" s="48"/>
      <c r="AG2162" s="48">
        <v>84054.12</v>
      </c>
      <c r="AH2162" s="187"/>
      <c r="AI2162" s="48"/>
      <c r="AJ2162" s="48"/>
      <c r="AK2162" s="48"/>
      <c r="AL2162" s="48"/>
    </row>
    <row r="2163" spans="1:38" x14ac:dyDescent="0.3">
      <c r="A2163" s="47">
        <f t="shared" ref="A2163" si="496">A2162+1</f>
        <v>1954</v>
      </c>
      <c r="B2163" s="414" t="s">
        <v>4025</v>
      </c>
      <c r="C2163" s="51">
        <f t="shared" si="494"/>
        <v>272687.41000000003</v>
      </c>
      <c r="D2163" s="51">
        <f t="shared" si="495"/>
        <v>0</v>
      </c>
      <c r="E2163" s="51"/>
      <c r="F2163" s="51"/>
      <c r="G2163" s="51"/>
      <c r="H2163" s="51"/>
      <c r="I2163" s="51"/>
      <c r="J2163" s="51"/>
      <c r="K2163" s="51"/>
      <c r="L2163" s="51"/>
      <c r="M2163" s="35"/>
      <c r="N2163" s="51"/>
      <c r="O2163" s="82"/>
      <c r="P2163" s="51"/>
      <c r="Q2163" s="338"/>
      <c r="R2163" s="51"/>
      <c r="S2163" s="51"/>
      <c r="T2163" s="338"/>
      <c r="U2163" s="51"/>
      <c r="V2163" s="35"/>
      <c r="W2163" s="364">
        <f>SUM(Y2163:AL2163)</f>
        <v>272687.41000000003</v>
      </c>
      <c r="X2163" s="141"/>
      <c r="Y2163" s="48"/>
      <c r="Z2163" s="48"/>
      <c r="AA2163" s="48">
        <v>93514.93</v>
      </c>
      <c r="AB2163" s="48"/>
      <c r="AC2163" s="48"/>
      <c r="AD2163" s="48"/>
      <c r="AE2163" s="48"/>
      <c r="AF2163" s="48"/>
      <c r="AG2163" s="48">
        <v>179172.48000000001</v>
      </c>
      <c r="AH2163" s="187"/>
      <c r="AI2163" s="48"/>
      <c r="AJ2163" s="48"/>
      <c r="AK2163" s="48"/>
      <c r="AL2163" s="48"/>
    </row>
    <row r="2164" spans="1:38" x14ac:dyDescent="0.3">
      <c r="A2164" s="47">
        <f>A2163+1</f>
        <v>1955</v>
      </c>
      <c r="B2164" s="414" t="s">
        <v>4026</v>
      </c>
      <c r="C2164" s="51">
        <f t="shared" si="494"/>
        <v>3038780.4</v>
      </c>
      <c r="D2164" s="51">
        <f t="shared" si="495"/>
        <v>0</v>
      </c>
      <c r="E2164" s="51"/>
      <c r="F2164" s="51"/>
      <c r="G2164" s="51"/>
      <c r="H2164" s="51"/>
      <c r="I2164" s="51"/>
      <c r="J2164" s="51"/>
      <c r="K2164" s="51"/>
      <c r="L2164" s="51"/>
      <c r="M2164" s="35">
        <v>274</v>
      </c>
      <c r="N2164" s="51">
        <v>3038780.4</v>
      </c>
      <c r="O2164" s="82"/>
      <c r="P2164" s="51"/>
      <c r="Q2164" s="338"/>
      <c r="R2164" s="51"/>
      <c r="S2164" s="51"/>
      <c r="T2164" s="338"/>
      <c r="U2164" s="51"/>
      <c r="V2164" s="35"/>
      <c r="W2164" s="364"/>
      <c r="X2164" s="141"/>
      <c r="Y2164" s="48"/>
      <c r="Z2164" s="48"/>
      <c r="AA2164" s="48"/>
      <c r="AB2164" s="48"/>
      <c r="AC2164" s="48"/>
      <c r="AD2164" s="48"/>
      <c r="AE2164" s="48"/>
      <c r="AF2164" s="48"/>
      <c r="AG2164" s="48"/>
      <c r="AH2164" s="187"/>
      <c r="AI2164" s="48"/>
      <c r="AJ2164" s="48"/>
      <c r="AK2164" s="48"/>
      <c r="AL2164" s="48"/>
    </row>
    <row r="2165" spans="1:38" x14ac:dyDescent="0.3">
      <c r="A2165" s="47">
        <f>A2164+1</f>
        <v>1956</v>
      </c>
      <c r="B2165" s="414" t="s">
        <v>3901</v>
      </c>
      <c r="C2165" s="51">
        <f t="shared" si="494"/>
        <v>5738364</v>
      </c>
      <c r="D2165" s="51">
        <f t="shared" si="495"/>
        <v>0</v>
      </c>
      <c r="E2165" s="51"/>
      <c r="F2165" s="51"/>
      <c r="G2165" s="51"/>
      <c r="H2165" s="51"/>
      <c r="I2165" s="51"/>
      <c r="J2165" s="51"/>
      <c r="K2165" s="51"/>
      <c r="L2165" s="51"/>
      <c r="M2165" s="35">
        <v>1090</v>
      </c>
      <c r="N2165" s="51">
        <v>5738364</v>
      </c>
      <c r="O2165" s="82"/>
      <c r="P2165" s="51"/>
      <c r="Q2165" s="338"/>
      <c r="R2165" s="51"/>
      <c r="S2165" s="51"/>
      <c r="T2165" s="338"/>
      <c r="U2165" s="51"/>
      <c r="V2165" s="35"/>
      <c r="W2165" s="364"/>
      <c r="X2165" s="141"/>
      <c r="Y2165" s="48"/>
      <c r="Z2165" s="48"/>
      <c r="AA2165" s="48"/>
      <c r="AB2165" s="48"/>
      <c r="AC2165" s="48"/>
      <c r="AD2165" s="48"/>
      <c r="AE2165" s="48"/>
      <c r="AF2165" s="48"/>
      <c r="AG2165" s="48"/>
      <c r="AH2165" s="187"/>
      <c r="AI2165" s="48"/>
      <c r="AJ2165" s="48"/>
      <c r="AK2165" s="48"/>
      <c r="AL2165" s="48"/>
    </row>
    <row r="2166" spans="1:38" x14ac:dyDescent="0.3">
      <c r="A2166" s="47">
        <f>A2165+1</f>
        <v>1957</v>
      </c>
      <c r="B2166" s="414" t="s">
        <v>4027</v>
      </c>
      <c r="C2166" s="51">
        <f t="shared" si="494"/>
        <v>304246.27999999997</v>
      </c>
      <c r="D2166" s="51">
        <f t="shared" si="495"/>
        <v>0</v>
      </c>
      <c r="E2166" s="51"/>
      <c r="F2166" s="51"/>
      <c r="G2166" s="51"/>
      <c r="H2166" s="51"/>
      <c r="I2166" s="51"/>
      <c r="J2166" s="51"/>
      <c r="K2166" s="51"/>
      <c r="L2166" s="51"/>
      <c r="M2166" s="35"/>
      <c r="N2166" s="51"/>
      <c r="O2166" s="82"/>
      <c r="P2166" s="51"/>
      <c r="Q2166" s="338"/>
      <c r="R2166" s="51"/>
      <c r="S2166" s="51"/>
      <c r="T2166" s="338"/>
      <c r="U2166" s="51"/>
      <c r="V2166" s="35"/>
      <c r="W2166" s="364">
        <f>SUM(Y2166:AL2166)</f>
        <v>304246.27999999997</v>
      </c>
      <c r="X2166" s="141"/>
      <c r="Y2166" s="48"/>
      <c r="Z2166" s="48"/>
      <c r="AA2166" s="48">
        <v>51319.1</v>
      </c>
      <c r="AB2166" s="48"/>
      <c r="AC2166" s="48">
        <v>50613.42</v>
      </c>
      <c r="AD2166" s="48">
        <v>61690.27</v>
      </c>
      <c r="AE2166" s="48"/>
      <c r="AF2166" s="48">
        <v>50613.42</v>
      </c>
      <c r="AG2166" s="48"/>
      <c r="AH2166" s="187"/>
      <c r="AI2166" s="48"/>
      <c r="AJ2166" s="48">
        <v>90010.07</v>
      </c>
      <c r="AK2166" s="48"/>
      <c r="AL2166" s="48"/>
    </row>
    <row r="2167" spans="1:38" x14ac:dyDescent="0.3">
      <c r="A2167" s="47">
        <f>A2166+1</f>
        <v>1958</v>
      </c>
      <c r="B2167" s="414" t="s">
        <v>3904</v>
      </c>
      <c r="C2167" s="51">
        <f t="shared" si="494"/>
        <v>1532317.2</v>
      </c>
      <c r="D2167" s="51">
        <f t="shared" si="495"/>
        <v>0</v>
      </c>
      <c r="E2167" s="51"/>
      <c r="F2167" s="51"/>
      <c r="G2167" s="51"/>
      <c r="H2167" s="51"/>
      <c r="I2167" s="51"/>
      <c r="J2167" s="51"/>
      <c r="K2167" s="51"/>
      <c r="L2167" s="51"/>
      <c r="M2167" s="35">
        <v>232.05</v>
      </c>
      <c r="N2167" s="51">
        <v>1532317.2</v>
      </c>
      <c r="O2167" s="82"/>
      <c r="P2167" s="51"/>
      <c r="Q2167" s="338"/>
      <c r="R2167" s="51"/>
      <c r="S2167" s="51"/>
      <c r="T2167" s="338"/>
      <c r="U2167" s="51"/>
      <c r="V2167" s="35"/>
      <c r="W2167" s="364"/>
      <c r="X2167" s="141"/>
      <c r="Y2167" s="48"/>
      <c r="Z2167" s="48"/>
      <c r="AA2167" s="48"/>
      <c r="AB2167" s="48"/>
      <c r="AC2167" s="48"/>
      <c r="AD2167" s="48"/>
      <c r="AE2167" s="48"/>
      <c r="AF2167" s="48"/>
      <c r="AG2167" s="48"/>
      <c r="AH2167" s="187"/>
      <c r="AI2167" s="48"/>
      <c r="AJ2167" s="48"/>
      <c r="AK2167" s="48"/>
      <c r="AL2167" s="48"/>
    </row>
    <row r="2168" spans="1:38" x14ac:dyDescent="0.3">
      <c r="A2168" s="439" t="s">
        <v>211</v>
      </c>
      <c r="B2168" s="399"/>
      <c r="C2168" s="51">
        <f t="shared" ref="C2168:W2168" si="497">SUM(C2162:C2167)</f>
        <v>11012297.899999999</v>
      </c>
      <c r="D2168" s="51">
        <f t="shared" si="497"/>
        <v>0</v>
      </c>
      <c r="E2168" s="51">
        <f t="shared" si="497"/>
        <v>0</v>
      </c>
      <c r="F2168" s="51">
        <f t="shared" si="497"/>
        <v>0</v>
      </c>
      <c r="G2168" s="51">
        <f t="shared" si="497"/>
        <v>0</v>
      </c>
      <c r="H2168" s="51">
        <f t="shared" si="497"/>
        <v>0</v>
      </c>
      <c r="I2168" s="51">
        <f t="shared" si="497"/>
        <v>0</v>
      </c>
      <c r="J2168" s="51">
        <f t="shared" si="497"/>
        <v>0</v>
      </c>
      <c r="K2168" s="51">
        <f t="shared" si="497"/>
        <v>0</v>
      </c>
      <c r="L2168" s="51">
        <f t="shared" si="497"/>
        <v>0</v>
      </c>
      <c r="M2168" s="35">
        <f t="shared" si="497"/>
        <v>1596.05</v>
      </c>
      <c r="N2168" s="51">
        <f t="shared" si="497"/>
        <v>10309461.6</v>
      </c>
      <c r="O2168" s="82">
        <f t="shared" si="497"/>
        <v>0</v>
      </c>
      <c r="P2168" s="51">
        <f t="shared" si="497"/>
        <v>0</v>
      </c>
      <c r="Q2168" s="338">
        <f t="shared" si="497"/>
        <v>0</v>
      </c>
      <c r="R2168" s="51">
        <f t="shared" si="497"/>
        <v>0</v>
      </c>
      <c r="S2168" s="51">
        <f t="shared" si="497"/>
        <v>0</v>
      </c>
      <c r="T2168" s="338">
        <f t="shared" si="497"/>
        <v>0</v>
      </c>
      <c r="U2168" s="51">
        <f t="shared" si="497"/>
        <v>0</v>
      </c>
      <c r="V2168" s="35">
        <f t="shared" si="497"/>
        <v>0</v>
      </c>
      <c r="W2168" s="51">
        <f t="shared" si="497"/>
        <v>702836.3</v>
      </c>
      <c r="X2168" s="304"/>
      <c r="Y2168" s="48"/>
      <c r="Z2168" s="48"/>
      <c r="AA2168" s="48"/>
      <c r="AB2168" s="48"/>
      <c r="AC2168" s="48"/>
      <c r="AD2168" s="48"/>
      <c r="AE2168" s="48"/>
      <c r="AF2168" s="48"/>
      <c r="AG2168" s="48"/>
      <c r="AH2168" s="187"/>
      <c r="AI2168" s="48"/>
      <c r="AJ2168" s="48"/>
      <c r="AK2168" s="48"/>
      <c r="AL2168" s="48"/>
    </row>
    <row r="2169" spans="1:38" x14ac:dyDescent="0.3">
      <c r="A2169" s="435" t="s">
        <v>3905</v>
      </c>
      <c r="B2169" s="363"/>
      <c r="C2169" s="51"/>
      <c r="D2169" s="51"/>
      <c r="E2169" s="51"/>
      <c r="F2169" s="51"/>
      <c r="G2169" s="51"/>
      <c r="H2169" s="51"/>
      <c r="I2169" s="51"/>
      <c r="J2169" s="51"/>
      <c r="K2169" s="51"/>
      <c r="L2169" s="51"/>
      <c r="M2169" s="35"/>
      <c r="N2169" s="51"/>
      <c r="O2169" s="82"/>
      <c r="P2169" s="51"/>
      <c r="Q2169" s="338"/>
      <c r="R2169" s="51"/>
      <c r="S2169" s="51"/>
      <c r="T2169" s="338"/>
      <c r="U2169" s="51"/>
      <c r="V2169" s="35"/>
      <c r="W2169" s="364"/>
      <c r="X2169" s="141"/>
      <c r="Y2169" s="48"/>
      <c r="Z2169" s="48"/>
      <c r="AA2169" s="48"/>
      <c r="AB2169" s="48"/>
      <c r="AC2169" s="48"/>
      <c r="AD2169" s="48"/>
      <c r="AE2169" s="48"/>
      <c r="AF2169" s="48"/>
      <c r="AG2169" s="48"/>
      <c r="AH2169" s="187"/>
      <c r="AI2169" s="48"/>
      <c r="AJ2169" s="48"/>
      <c r="AK2169" s="48"/>
      <c r="AL2169" s="48"/>
    </row>
    <row r="2170" spans="1:38" x14ac:dyDescent="0.3">
      <c r="A2170" s="47">
        <f>A2167+1</f>
        <v>1959</v>
      </c>
      <c r="B2170" s="414" t="s">
        <v>3906</v>
      </c>
      <c r="C2170" s="51">
        <f>D2170+K2170+L2170+N2170+P2170+R2170+S2170+U2170+V2170+W2170</f>
        <v>339351.6</v>
      </c>
      <c r="D2170" s="51">
        <f>E2170+F2170+G2170+H2170+I2170</f>
        <v>0</v>
      </c>
      <c r="E2170" s="51"/>
      <c r="F2170" s="51"/>
      <c r="G2170" s="51"/>
      <c r="H2170" s="51"/>
      <c r="I2170" s="51"/>
      <c r="J2170" s="51"/>
      <c r="K2170" s="51"/>
      <c r="L2170" s="51"/>
      <c r="M2170" s="35"/>
      <c r="N2170" s="51"/>
      <c r="O2170" s="82"/>
      <c r="P2170" s="51"/>
      <c r="Q2170" s="338"/>
      <c r="R2170" s="51"/>
      <c r="S2170" s="51"/>
      <c r="T2170" s="338">
        <v>673.8</v>
      </c>
      <c r="U2170" s="51">
        <v>339351.6</v>
      </c>
      <c r="V2170" s="35"/>
      <c r="W2170" s="364"/>
      <c r="X2170" s="141"/>
      <c r="Y2170" s="48"/>
      <c r="Z2170" s="48"/>
      <c r="AA2170" s="48"/>
      <c r="AB2170" s="48"/>
      <c r="AC2170" s="48"/>
      <c r="AD2170" s="48"/>
      <c r="AE2170" s="48"/>
      <c r="AF2170" s="48"/>
      <c r="AG2170" s="48"/>
      <c r="AH2170" s="187"/>
      <c r="AI2170" s="48"/>
      <c r="AJ2170" s="48"/>
      <c r="AK2170" s="48"/>
      <c r="AL2170" s="48"/>
    </row>
    <row r="2171" spans="1:38" x14ac:dyDescent="0.3">
      <c r="A2171" s="47">
        <f t="shared" ref="A2171" si="498">A2170+1</f>
        <v>1960</v>
      </c>
      <c r="B2171" s="414" t="s">
        <v>3907</v>
      </c>
      <c r="C2171" s="51">
        <f>D2171+K2171+L2171+N2171+P2171+R2171+S2171+U2171+V2171+W2171</f>
        <v>337110</v>
      </c>
      <c r="D2171" s="51">
        <f>E2171+F2171+G2171+H2171+I2171</f>
        <v>0</v>
      </c>
      <c r="E2171" s="51"/>
      <c r="F2171" s="51"/>
      <c r="G2171" s="51"/>
      <c r="H2171" s="51"/>
      <c r="I2171" s="51"/>
      <c r="J2171" s="51"/>
      <c r="K2171" s="51"/>
      <c r="L2171" s="51"/>
      <c r="M2171" s="35"/>
      <c r="N2171" s="51"/>
      <c r="O2171" s="82"/>
      <c r="P2171" s="51"/>
      <c r="Q2171" s="338"/>
      <c r="R2171" s="51"/>
      <c r="S2171" s="51"/>
      <c r="T2171" s="338">
        <v>659.8</v>
      </c>
      <c r="U2171" s="51">
        <v>337110</v>
      </c>
      <c r="V2171" s="35"/>
      <c r="W2171" s="364"/>
      <c r="X2171" s="141"/>
      <c r="Y2171" s="48"/>
      <c r="Z2171" s="48"/>
      <c r="AA2171" s="48"/>
      <c r="AB2171" s="48"/>
      <c r="AC2171" s="48"/>
      <c r="AD2171" s="48"/>
      <c r="AE2171" s="48"/>
      <c r="AF2171" s="48"/>
      <c r="AG2171" s="48"/>
      <c r="AH2171" s="187"/>
      <c r="AI2171" s="48"/>
      <c r="AJ2171" s="48"/>
      <c r="AK2171" s="48"/>
      <c r="AL2171" s="48"/>
    </row>
    <row r="2172" spans="1:38" x14ac:dyDescent="0.3">
      <c r="A2172" s="439" t="s">
        <v>211</v>
      </c>
      <c r="B2172" s="399"/>
      <c r="C2172" s="51">
        <f t="shared" ref="C2172:W2172" si="499">SUM(C2170:C2171)</f>
        <v>676461.6</v>
      </c>
      <c r="D2172" s="51">
        <f t="shared" si="499"/>
        <v>0</v>
      </c>
      <c r="E2172" s="51">
        <f t="shared" si="499"/>
        <v>0</v>
      </c>
      <c r="F2172" s="51">
        <f t="shared" si="499"/>
        <v>0</v>
      </c>
      <c r="G2172" s="51">
        <f t="shared" si="499"/>
        <v>0</v>
      </c>
      <c r="H2172" s="51">
        <f t="shared" si="499"/>
        <v>0</v>
      </c>
      <c r="I2172" s="51">
        <f t="shared" si="499"/>
        <v>0</v>
      </c>
      <c r="J2172" s="51">
        <f t="shared" si="499"/>
        <v>0</v>
      </c>
      <c r="K2172" s="51">
        <f t="shared" si="499"/>
        <v>0</v>
      </c>
      <c r="L2172" s="51">
        <f t="shared" si="499"/>
        <v>0</v>
      </c>
      <c r="M2172" s="35">
        <f t="shared" si="499"/>
        <v>0</v>
      </c>
      <c r="N2172" s="51">
        <f t="shared" si="499"/>
        <v>0</v>
      </c>
      <c r="O2172" s="82">
        <f t="shared" si="499"/>
        <v>0</v>
      </c>
      <c r="P2172" s="51">
        <f t="shared" si="499"/>
        <v>0</v>
      </c>
      <c r="Q2172" s="338">
        <f t="shared" si="499"/>
        <v>0</v>
      </c>
      <c r="R2172" s="51">
        <f t="shared" si="499"/>
        <v>0</v>
      </c>
      <c r="S2172" s="51">
        <f t="shared" si="499"/>
        <v>0</v>
      </c>
      <c r="T2172" s="338">
        <f t="shared" si="499"/>
        <v>1333.6</v>
      </c>
      <c r="U2172" s="51">
        <f t="shared" si="499"/>
        <v>676461.6</v>
      </c>
      <c r="V2172" s="35">
        <f t="shared" si="499"/>
        <v>0</v>
      </c>
      <c r="W2172" s="51">
        <f t="shared" si="499"/>
        <v>0</v>
      </c>
      <c r="X2172" s="304"/>
      <c r="Y2172" s="48"/>
      <c r="Z2172" s="48"/>
      <c r="AA2172" s="48"/>
      <c r="AB2172" s="48"/>
      <c r="AC2172" s="48"/>
      <c r="AD2172" s="48"/>
      <c r="AE2172" s="48"/>
      <c r="AF2172" s="48"/>
      <c r="AG2172" s="48"/>
      <c r="AH2172" s="187"/>
      <c r="AI2172" s="48"/>
      <c r="AJ2172" s="48"/>
      <c r="AK2172" s="48"/>
      <c r="AL2172" s="48"/>
    </row>
    <row r="2173" spans="1:38" x14ac:dyDescent="0.3">
      <c r="A2173" s="435" t="s">
        <v>3909</v>
      </c>
      <c r="B2173" s="363"/>
      <c r="C2173" s="51"/>
      <c r="D2173" s="51"/>
      <c r="E2173" s="51"/>
      <c r="F2173" s="51"/>
      <c r="G2173" s="51"/>
      <c r="H2173" s="51"/>
      <c r="I2173" s="51"/>
      <c r="J2173" s="51"/>
      <c r="K2173" s="51"/>
      <c r="L2173" s="51"/>
      <c r="M2173" s="35"/>
      <c r="N2173" s="51"/>
      <c r="O2173" s="82"/>
      <c r="P2173" s="51"/>
      <c r="Q2173" s="338"/>
      <c r="R2173" s="51"/>
      <c r="S2173" s="51"/>
      <c r="T2173" s="338"/>
      <c r="U2173" s="51"/>
      <c r="V2173" s="35"/>
      <c r="W2173" s="364"/>
      <c r="X2173" s="141"/>
      <c r="Y2173" s="48"/>
      <c r="Z2173" s="48"/>
      <c r="AA2173" s="48"/>
      <c r="AB2173" s="48"/>
      <c r="AC2173" s="48"/>
      <c r="AD2173" s="48"/>
      <c r="AE2173" s="48"/>
      <c r="AF2173" s="48"/>
      <c r="AG2173" s="48"/>
      <c r="AH2173" s="187"/>
      <c r="AI2173" s="48"/>
      <c r="AJ2173" s="48"/>
      <c r="AK2173" s="48"/>
      <c r="AL2173" s="48"/>
    </row>
    <row r="2174" spans="1:38" x14ac:dyDescent="0.3">
      <c r="A2174" s="47">
        <f>A2171+1</f>
        <v>1961</v>
      </c>
      <c r="B2174" s="414" t="s">
        <v>4028</v>
      </c>
      <c r="C2174" s="51">
        <f>D2174+K2174+L2174+N2174+P2174+R2174+S2174+U2174+V2174+W2174</f>
        <v>181959.67</v>
      </c>
      <c r="D2174" s="51">
        <f>E2174+F2174+G2174+H2174+I2174</f>
        <v>0</v>
      </c>
      <c r="E2174" s="51"/>
      <c r="F2174" s="51"/>
      <c r="G2174" s="51"/>
      <c r="H2174" s="51"/>
      <c r="I2174" s="51"/>
      <c r="J2174" s="51"/>
      <c r="K2174" s="51"/>
      <c r="L2174" s="51"/>
      <c r="M2174" s="35"/>
      <c r="N2174" s="51"/>
      <c r="O2174" s="82"/>
      <c r="P2174" s="51"/>
      <c r="Q2174" s="338"/>
      <c r="R2174" s="51"/>
      <c r="S2174" s="51"/>
      <c r="T2174" s="338"/>
      <c r="U2174" s="51"/>
      <c r="V2174" s="35"/>
      <c r="W2174" s="364">
        <f>SUM(Y2174:AL2174)</f>
        <v>181959.67</v>
      </c>
      <c r="X2174" s="141"/>
      <c r="Y2174" s="48"/>
      <c r="Z2174" s="48"/>
      <c r="AA2174" s="48"/>
      <c r="AB2174" s="48"/>
      <c r="AC2174" s="48"/>
      <c r="AD2174" s="48"/>
      <c r="AE2174" s="48"/>
      <c r="AF2174" s="48"/>
      <c r="AG2174" s="48">
        <v>181959.67</v>
      </c>
      <c r="AH2174" s="187"/>
      <c r="AI2174" s="48"/>
      <c r="AJ2174" s="48"/>
      <c r="AK2174" s="48"/>
      <c r="AL2174" s="48"/>
    </row>
    <row r="2175" spans="1:38" x14ac:dyDescent="0.3">
      <c r="A2175" s="47">
        <f t="shared" ref="A2175" si="500">A2174+1</f>
        <v>1962</v>
      </c>
      <c r="B2175" s="414" t="s">
        <v>4029</v>
      </c>
      <c r="C2175" s="51">
        <f>D2175+K2175+L2175+N2175+P2175+R2175+S2175+U2175+V2175+W2175</f>
        <v>169864.26</v>
      </c>
      <c r="D2175" s="51">
        <f>E2175+F2175+G2175+H2175+I2175</f>
        <v>0</v>
      </c>
      <c r="E2175" s="51"/>
      <c r="F2175" s="51"/>
      <c r="G2175" s="51"/>
      <c r="H2175" s="51"/>
      <c r="I2175" s="51"/>
      <c r="J2175" s="51"/>
      <c r="K2175" s="51"/>
      <c r="L2175" s="51"/>
      <c r="M2175" s="35"/>
      <c r="N2175" s="51"/>
      <c r="O2175" s="82"/>
      <c r="P2175" s="51"/>
      <c r="Q2175" s="338"/>
      <c r="R2175" s="51"/>
      <c r="S2175" s="51"/>
      <c r="T2175" s="338"/>
      <c r="U2175" s="51"/>
      <c r="V2175" s="35"/>
      <c r="W2175" s="364">
        <f>SUM(Y2175:AL2175)</f>
        <v>169864.26</v>
      </c>
      <c r="X2175" s="141"/>
      <c r="Y2175" s="48"/>
      <c r="Z2175" s="48"/>
      <c r="AA2175" s="48"/>
      <c r="AB2175" s="48"/>
      <c r="AC2175" s="48"/>
      <c r="AD2175" s="48"/>
      <c r="AE2175" s="48"/>
      <c r="AF2175" s="48"/>
      <c r="AG2175" s="48">
        <v>169864.26</v>
      </c>
      <c r="AH2175" s="187"/>
      <c r="AI2175" s="48"/>
      <c r="AJ2175" s="48"/>
      <c r="AK2175" s="48"/>
      <c r="AL2175" s="48"/>
    </row>
    <row r="2176" spans="1:38" x14ac:dyDescent="0.3">
      <c r="A2176" s="47">
        <f>A2175+1</f>
        <v>1963</v>
      </c>
      <c r="B2176" s="414" t="s">
        <v>4030</v>
      </c>
      <c r="C2176" s="51">
        <f>D2176+K2176+L2176+N2176+P2176+R2176+S2176+U2176+V2176+W2176</f>
        <v>188959.93</v>
      </c>
      <c r="D2176" s="51">
        <f>E2176+F2176+G2176+H2176+I2176</f>
        <v>0</v>
      </c>
      <c r="E2176" s="51"/>
      <c r="F2176" s="51"/>
      <c r="G2176" s="51"/>
      <c r="H2176" s="51"/>
      <c r="I2176" s="51"/>
      <c r="J2176" s="51"/>
      <c r="K2176" s="51"/>
      <c r="L2176" s="51"/>
      <c r="M2176" s="35"/>
      <c r="N2176" s="51"/>
      <c r="O2176" s="82"/>
      <c r="P2176" s="51"/>
      <c r="Q2176" s="338"/>
      <c r="R2176" s="51"/>
      <c r="S2176" s="51"/>
      <c r="T2176" s="338"/>
      <c r="U2176" s="51"/>
      <c r="V2176" s="35"/>
      <c r="W2176" s="364">
        <f>SUM(Y2176:AL2176)</f>
        <v>188959.93</v>
      </c>
      <c r="X2176" s="141"/>
      <c r="Y2176" s="48"/>
      <c r="Z2176" s="48"/>
      <c r="AA2176" s="48">
        <v>68155.460000000006</v>
      </c>
      <c r="AB2176" s="48"/>
      <c r="AC2176" s="48"/>
      <c r="AD2176" s="48"/>
      <c r="AE2176" s="48"/>
      <c r="AF2176" s="48"/>
      <c r="AG2176" s="48">
        <v>120804.47</v>
      </c>
      <c r="AH2176" s="187"/>
      <c r="AI2176" s="48"/>
      <c r="AJ2176" s="48"/>
      <c r="AK2176" s="48"/>
      <c r="AL2176" s="48"/>
    </row>
    <row r="2177" spans="1:38" x14ac:dyDescent="0.3">
      <c r="A2177" s="439" t="s">
        <v>211</v>
      </c>
      <c r="B2177" s="399"/>
      <c r="C2177" s="51">
        <f t="shared" ref="C2177:W2177" si="501">SUM(C2174:C2176)</f>
        <v>540783.8600000001</v>
      </c>
      <c r="D2177" s="51">
        <f t="shared" si="501"/>
        <v>0</v>
      </c>
      <c r="E2177" s="51">
        <f t="shared" si="501"/>
        <v>0</v>
      </c>
      <c r="F2177" s="51">
        <f t="shared" si="501"/>
        <v>0</v>
      </c>
      <c r="G2177" s="51">
        <f t="shared" si="501"/>
        <v>0</v>
      </c>
      <c r="H2177" s="51">
        <f t="shared" si="501"/>
        <v>0</v>
      </c>
      <c r="I2177" s="51">
        <f t="shared" si="501"/>
        <v>0</v>
      </c>
      <c r="J2177" s="51">
        <f t="shared" si="501"/>
        <v>0</v>
      </c>
      <c r="K2177" s="51">
        <f t="shared" si="501"/>
        <v>0</v>
      </c>
      <c r="L2177" s="51">
        <f t="shared" si="501"/>
        <v>0</v>
      </c>
      <c r="M2177" s="35">
        <f t="shared" si="501"/>
        <v>0</v>
      </c>
      <c r="N2177" s="51">
        <f t="shared" si="501"/>
        <v>0</v>
      </c>
      <c r="O2177" s="82">
        <f t="shared" si="501"/>
        <v>0</v>
      </c>
      <c r="P2177" s="51">
        <f t="shared" si="501"/>
        <v>0</v>
      </c>
      <c r="Q2177" s="338">
        <f t="shared" si="501"/>
        <v>0</v>
      </c>
      <c r="R2177" s="51">
        <f t="shared" si="501"/>
        <v>0</v>
      </c>
      <c r="S2177" s="51">
        <f t="shared" si="501"/>
        <v>0</v>
      </c>
      <c r="T2177" s="338">
        <f t="shared" si="501"/>
        <v>0</v>
      </c>
      <c r="U2177" s="51">
        <f t="shared" si="501"/>
        <v>0</v>
      </c>
      <c r="V2177" s="35">
        <f t="shared" si="501"/>
        <v>0</v>
      </c>
      <c r="W2177" s="51">
        <f t="shared" si="501"/>
        <v>540783.8600000001</v>
      </c>
      <c r="X2177" s="304"/>
      <c r="Y2177" s="48"/>
      <c r="Z2177" s="48"/>
      <c r="AA2177" s="48"/>
      <c r="AB2177" s="48"/>
      <c r="AC2177" s="48"/>
      <c r="AD2177" s="48"/>
      <c r="AE2177" s="48"/>
      <c r="AF2177" s="48"/>
      <c r="AG2177" s="48"/>
      <c r="AH2177" s="187"/>
      <c r="AI2177" s="48"/>
      <c r="AJ2177" s="48"/>
      <c r="AK2177" s="48"/>
      <c r="AL2177" s="48"/>
    </row>
    <row r="2178" spans="1:38" x14ac:dyDescent="0.3">
      <c r="A2178" s="435" t="s">
        <v>4031</v>
      </c>
      <c r="B2178" s="363"/>
      <c r="C2178" s="51"/>
      <c r="D2178" s="51"/>
      <c r="E2178" s="51"/>
      <c r="F2178" s="51"/>
      <c r="G2178" s="51"/>
      <c r="H2178" s="51"/>
      <c r="I2178" s="51"/>
      <c r="J2178" s="51"/>
      <c r="K2178" s="51"/>
      <c r="L2178" s="51"/>
      <c r="M2178" s="35"/>
      <c r="N2178" s="51"/>
      <c r="O2178" s="82"/>
      <c r="P2178" s="51"/>
      <c r="Q2178" s="338"/>
      <c r="R2178" s="51"/>
      <c r="S2178" s="51"/>
      <c r="T2178" s="338"/>
      <c r="U2178" s="51"/>
      <c r="V2178" s="35"/>
      <c r="W2178" s="364"/>
      <c r="X2178" s="141"/>
      <c r="Y2178" s="48"/>
      <c r="Z2178" s="48"/>
      <c r="AA2178" s="48"/>
      <c r="AB2178" s="48"/>
      <c r="AC2178" s="48"/>
      <c r="AD2178" s="48"/>
      <c r="AE2178" s="48"/>
      <c r="AF2178" s="48"/>
      <c r="AG2178" s="48"/>
      <c r="AH2178" s="187"/>
      <c r="AI2178" s="48"/>
      <c r="AJ2178" s="48"/>
      <c r="AK2178" s="48"/>
      <c r="AL2178" s="48"/>
    </row>
    <row r="2179" spans="1:38" x14ac:dyDescent="0.3">
      <c r="A2179" s="47">
        <f>A2176+1</f>
        <v>1964</v>
      </c>
      <c r="B2179" s="414" t="s">
        <v>4032</v>
      </c>
      <c r="C2179" s="51">
        <f>D2179+K2179+L2179+N2179+P2179+R2179+S2179+U2179+V2179+W2179</f>
        <v>575381.89</v>
      </c>
      <c r="D2179" s="51">
        <f>E2179+F2179+G2179+H2179+I2179</f>
        <v>0</v>
      </c>
      <c r="E2179" s="51"/>
      <c r="F2179" s="51"/>
      <c r="G2179" s="51"/>
      <c r="H2179" s="51"/>
      <c r="I2179" s="51"/>
      <c r="J2179" s="51"/>
      <c r="K2179" s="51"/>
      <c r="L2179" s="51"/>
      <c r="M2179" s="35"/>
      <c r="N2179" s="51"/>
      <c r="O2179" s="82"/>
      <c r="P2179" s="51"/>
      <c r="Q2179" s="338"/>
      <c r="R2179" s="51"/>
      <c r="S2179" s="51"/>
      <c r="T2179" s="338"/>
      <c r="U2179" s="51"/>
      <c r="V2179" s="35"/>
      <c r="W2179" s="364">
        <f>SUM(Y2179:AL2179)</f>
        <v>575381.89</v>
      </c>
      <c r="X2179" s="141"/>
      <c r="Y2179" s="48"/>
      <c r="Z2179" s="48"/>
      <c r="AA2179" s="48">
        <v>114105.38</v>
      </c>
      <c r="AB2179" s="48"/>
      <c r="AC2179" s="48">
        <v>115246.18</v>
      </c>
      <c r="AD2179" s="48">
        <v>136062.42000000001</v>
      </c>
      <c r="AE2179" s="48"/>
      <c r="AF2179" s="48"/>
      <c r="AG2179" s="48">
        <v>209967.91</v>
      </c>
      <c r="AH2179" s="187"/>
      <c r="AI2179" s="48"/>
      <c r="AJ2179" s="48"/>
      <c r="AK2179" s="48"/>
      <c r="AL2179" s="48"/>
    </row>
    <row r="2180" spans="1:38" x14ac:dyDescent="0.3">
      <c r="A2180" s="47">
        <f t="shared" ref="A2180" si="502">A2179+1</f>
        <v>1965</v>
      </c>
      <c r="B2180" s="414" t="s">
        <v>4033</v>
      </c>
      <c r="C2180" s="51">
        <f>D2180+K2180+L2180+N2180+P2180+R2180+S2180+U2180+V2180+W2180</f>
        <v>365413.98</v>
      </c>
      <c r="D2180" s="51">
        <f>E2180+F2180+G2180+H2180+I2180</f>
        <v>0</v>
      </c>
      <c r="E2180" s="51"/>
      <c r="F2180" s="51"/>
      <c r="G2180" s="51"/>
      <c r="H2180" s="51"/>
      <c r="I2180" s="51"/>
      <c r="J2180" s="51"/>
      <c r="K2180" s="51"/>
      <c r="L2180" s="51"/>
      <c r="M2180" s="35"/>
      <c r="N2180" s="51"/>
      <c r="O2180" s="82"/>
      <c r="P2180" s="51"/>
      <c r="Q2180" s="338"/>
      <c r="R2180" s="51"/>
      <c r="S2180" s="51"/>
      <c r="T2180" s="338"/>
      <c r="U2180" s="51"/>
      <c r="V2180" s="35"/>
      <c r="W2180" s="364">
        <f>SUM(Y2180:AL2180)</f>
        <v>365413.98</v>
      </c>
      <c r="X2180" s="141"/>
      <c r="Y2180" s="48"/>
      <c r="Z2180" s="48"/>
      <c r="AA2180" s="48">
        <v>114105.38</v>
      </c>
      <c r="AB2180" s="48"/>
      <c r="AC2180" s="48">
        <v>115246.18</v>
      </c>
      <c r="AD2180" s="48">
        <v>136062.42000000001</v>
      </c>
      <c r="AE2180" s="48"/>
      <c r="AF2180" s="48"/>
      <c r="AG2180" s="48"/>
      <c r="AH2180" s="187"/>
      <c r="AI2180" s="48"/>
      <c r="AJ2180" s="48"/>
      <c r="AK2180" s="48"/>
      <c r="AL2180" s="48"/>
    </row>
    <row r="2181" spans="1:38" x14ac:dyDescent="0.3">
      <c r="A2181" s="439" t="s">
        <v>211</v>
      </c>
      <c r="B2181" s="399"/>
      <c r="C2181" s="51">
        <f t="shared" ref="C2181:W2181" si="503">SUM(C2179:C2180)</f>
        <v>940795.87</v>
      </c>
      <c r="D2181" s="51">
        <f t="shared" si="503"/>
        <v>0</v>
      </c>
      <c r="E2181" s="51">
        <f t="shared" si="503"/>
        <v>0</v>
      </c>
      <c r="F2181" s="51">
        <f t="shared" si="503"/>
        <v>0</v>
      </c>
      <c r="G2181" s="51">
        <f t="shared" si="503"/>
        <v>0</v>
      </c>
      <c r="H2181" s="51">
        <f t="shared" si="503"/>
        <v>0</v>
      </c>
      <c r="I2181" s="51">
        <f t="shared" si="503"/>
        <v>0</v>
      </c>
      <c r="J2181" s="51">
        <f t="shared" si="503"/>
        <v>0</v>
      </c>
      <c r="K2181" s="51">
        <f t="shared" si="503"/>
        <v>0</v>
      </c>
      <c r="L2181" s="51">
        <f t="shared" si="503"/>
        <v>0</v>
      </c>
      <c r="M2181" s="35">
        <f t="shared" si="503"/>
        <v>0</v>
      </c>
      <c r="N2181" s="51">
        <f t="shared" si="503"/>
        <v>0</v>
      </c>
      <c r="O2181" s="82">
        <f t="shared" si="503"/>
        <v>0</v>
      </c>
      <c r="P2181" s="51">
        <f t="shared" si="503"/>
        <v>0</v>
      </c>
      <c r="Q2181" s="338">
        <f t="shared" si="503"/>
        <v>0</v>
      </c>
      <c r="R2181" s="51">
        <f t="shared" si="503"/>
        <v>0</v>
      </c>
      <c r="S2181" s="51">
        <f t="shared" si="503"/>
        <v>0</v>
      </c>
      <c r="T2181" s="338">
        <f t="shared" si="503"/>
        <v>0</v>
      </c>
      <c r="U2181" s="51">
        <f t="shared" si="503"/>
        <v>0</v>
      </c>
      <c r="V2181" s="35">
        <f t="shared" si="503"/>
        <v>0</v>
      </c>
      <c r="W2181" s="51">
        <f t="shared" si="503"/>
        <v>940795.87</v>
      </c>
      <c r="X2181" s="304"/>
      <c r="Y2181" s="48"/>
      <c r="Z2181" s="48"/>
      <c r="AA2181" s="48"/>
      <c r="AB2181" s="48"/>
      <c r="AC2181" s="48"/>
      <c r="AD2181" s="48"/>
      <c r="AE2181" s="48"/>
      <c r="AF2181" s="48"/>
      <c r="AG2181" s="48"/>
      <c r="AH2181" s="187"/>
      <c r="AI2181" s="48"/>
      <c r="AJ2181" s="48"/>
      <c r="AK2181" s="48"/>
      <c r="AL2181" s="48"/>
    </row>
    <row r="2182" spans="1:38" ht="15" customHeight="1" x14ac:dyDescent="0.3">
      <c r="A2182" s="435" t="s">
        <v>4034</v>
      </c>
      <c r="B2182" s="363"/>
      <c r="C2182" s="51"/>
      <c r="D2182" s="51"/>
      <c r="E2182" s="51"/>
      <c r="F2182" s="51"/>
      <c r="G2182" s="51"/>
      <c r="H2182" s="51"/>
      <c r="I2182" s="51"/>
      <c r="J2182" s="51"/>
      <c r="K2182" s="51"/>
      <c r="L2182" s="51"/>
      <c r="M2182" s="35"/>
      <c r="N2182" s="51"/>
      <c r="O2182" s="82"/>
      <c r="P2182" s="51"/>
      <c r="Q2182" s="338"/>
      <c r="R2182" s="51"/>
      <c r="S2182" s="51"/>
      <c r="T2182" s="338"/>
      <c r="U2182" s="51"/>
      <c r="V2182" s="35"/>
      <c r="W2182" s="364"/>
      <c r="X2182" s="141"/>
      <c r="Y2182" s="48"/>
      <c r="Z2182" s="48"/>
      <c r="AA2182" s="48"/>
      <c r="AB2182" s="48"/>
      <c r="AC2182" s="48"/>
      <c r="AD2182" s="48"/>
      <c r="AE2182" s="48"/>
      <c r="AF2182" s="48"/>
      <c r="AG2182" s="48"/>
      <c r="AH2182" s="187"/>
      <c r="AI2182" s="48"/>
      <c r="AJ2182" s="48"/>
      <c r="AK2182" s="48"/>
      <c r="AL2182" s="48"/>
    </row>
    <row r="2183" spans="1:38" ht="15" customHeight="1" x14ac:dyDescent="0.3">
      <c r="A2183" s="47">
        <f>A2180+1</f>
        <v>1966</v>
      </c>
      <c r="B2183" s="414" t="s">
        <v>4035</v>
      </c>
      <c r="C2183" s="51">
        <f t="shared" ref="C2183:C2200" si="504">D2183+K2183+L2183+N2183+P2183+R2183+S2183+U2183+V2183+W2183</f>
        <v>0</v>
      </c>
      <c r="D2183" s="51">
        <f t="shared" ref="D2183:D2200" si="505">E2183+F2183+G2183+H2183+I2183</f>
        <v>0</v>
      </c>
      <c r="E2183" s="51"/>
      <c r="F2183" s="51"/>
      <c r="G2183" s="51"/>
      <c r="H2183" s="51"/>
      <c r="I2183" s="51"/>
      <c r="J2183" s="51"/>
      <c r="K2183" s="51"/>
      <c r="L2183" s="51"/>
      <c r="M2183" s="35"/>
      <c r="N2183" s="51"/>
      <c r="O2183" s="82"/>
      <c r="P2183" s="51"/>
      <c r="Q2183" s="338"/>
      <c r="R2183" s="51"/>
      <c r="S2183" s="51"/>
      <c r="T2183" s="338"/>
      <c r="U2183" s="51"/>
      <c r="V2183" s="35"/>
      <c r="W2183" s="364"/>
      <c r="X2183" s="141"/>
      <c r="Y2183" s="48"/>
      <c r="Z2183" s="48"/>
      <c r="AA2183" s="48"/>
      <c r="AB2183" s="48"/>
      <c r="AC2183" s="48"/>
      <c r="AD2183" s="48"/>
      <c r="AE2183" s="48"/>
      <c r="AF2183" s="48"/>
      <c r="AG2183" s="48"/>
      <c r="AH2183" s="187"/>
      <c r="AI2183" s="48"/>
      <c r="AJ2183" s="48"/>
      <c r="AK2183" s="48"/>
      <c r="AL2183" s="48"/>
    </row>
    <row r="2184" spans="1:38" ht="15" customHeight="1" x14ac:dyDescent="0.3">
      <c r="A2184" s="47">
        <f t="shared" ref="A2184" si="506">A2183+1</f>
        <v>1967</v>
      </c>
      <c r="B2184" s="414" t="s">
        <v>4036</v>
      </c>
      <c r="C2184" s="51">
        <f t="shared" si="504"/>
        <v>0</v>
      </c>
      <c r="D2184" s="51">
        <f t="shared" si="505"/>
        <v>0</v>
      </c>
      <c r="E2184" s="51"/>
      <c r="F2184" s="51"/>
      <c r="G2184" s="51"/>
      <c r="H2184" s="51"/>
      <c r="I2184" s="51"/>
      <c r="J2184" s="51"/>
      <c r="K2184" s="51"/>
      <c r="L2184" s="51"/>
      <c r="M2184" s="35"/>
      <c r="N2184" s="51"/>
      <c r="O2184" s="82"/>
      <c r="P2184" s="51"/>
      <c r="Q2184" s="338"/>
      <c r="R2184" s="51"/>
      <c r="S2184" s="51"/>
      <c r="T2184" s="338"/>
      <c r="U2184" s="51"/>
      <c r="V2184" s="35"/>
      <c r="W2184" s="364"/>
      <c r="X2184" s="141"/>
      <c r="Y2184" s="48"/>
      <c r="Z2184" s="48"/>
      <c r="AA2184" s="48">
        <v>100460.82</v>
      </c>
      <c r="AB2184" s="48"/>
      <c r="AC2184" s="48"/>
      <c r="AD2184" s="48"/>
      <c r="AE2184" s="48"/>
      <c r="AF2184" s="48"/>
      <c r="AG2184" s="48"/>
      <c r="AH2184" s="187"/>
      <c r="AI2184" s="48">
        <v>482406.79</v>
      </c>
      <c r="AJ2184" s="48"/>
      <c r="AK2184" s="48"/>
      <c r="AL2184" s="48"/>
    </row>
    <row r="2185" spans="1:38" ht="15" customHeight="1" x14ac:dyDescent="0.3">
      <c r="A2185" s="47">
        <f t="shared" ref="A2185:A2200" si="507">A2184+1</f>
        <v>1968</v>
      </c>
      <c r="B2185" s="414" t="s">
        <v>4037</v>
      </c>
      <c r="C2185" s="51">
        <f t="shared" si="504"/>
        <v>0</v>
      </c>
      <c r="D2185" s="51">
        <f t="shared" si="505"/>
        <v>0</v>
      </c>
      <c r="E2185" s="51"/>
      <c r="F2185" s="51"/>
      <c r="G2185" s="51"/>
      <c r="H2185" s="51"/>
      <c r="I2185" s="51"/>
      <c r="J2185" s="51"/>
      <c r="K2185" s="51"/>
      <c r="L2185" s="51"/>
      <c r="M2185" s="35"/>
      <c r="N2185" s="51"/>
      <c r="O2185" s="82"/>
      <c r="P2185" s="51"/>
      <c r="Q2185" s="338"/>
      <c r="R2185" s="51"/>
      <c r="S2185" s="51"/>
      <c r="T2185" s="338"/>
      <c r="U2185" s="51"/>
      <c r="V2185" s="35"/>
      <c r="W2185" s="364"/>
      <c r="X2185" s="141"/>
      <c r="Y2185" s="48"/>
      <c r="Z2185" s="48"/>
      <c r="AA2185" s="48">
        <v>108038.58</v>
      </c>
      <c r="AB2185" s="48"/>
      <c r="AC2185" s="48"/>
      <c r="AD2185" s="48"/>
      <c r="AE2185" s="48"/>
      <c r="AF2185" s="48"/>
      <c r="AG2185" s="48"/>
      <c r="AH2185" s="187">
        <v>110432.71</v>
      </c>
      <c r="AI2185" s="48">
        <v>515818.39</v>
      </c>
      <c r="AJ2185" s="48"/>
      <c r="AK2185" s="48"/>
      <c r="AL2185" s="48"/>
    </row>
    <row r="2186" spans="1:38" ht="15" customHeight="1" x14ac:dyDescent="0.3">
      <c r="A2186" s="47">
        <f t="shared" si="507"/>
        <v>1969</v>
      </c>
      <c r="B2186" s="414" t="s">
        <v>4038</v>
      </c>
      <c r="C2186" s="51">
        <f t="shared" si="504"/>
        <v>0</v>
      </c>
      <c r="D2186" s="51">
        <f t="shared" si="505"/>
        <v>0</v>
      </c>
      <c r="E2186" s="51"/>
      <c r="F2186" s="51"/>
      <c r="G2186" s="51"/>
      <c r="H2186" s="51"/>
      <c r="I2186" s="51"/>
      <c r="J2186" s="51"/>
      <c r="K2186" s="51"/>
      <c r="L2186" s="51"/>
      <c r="M2186" s="35"/>
      <c r="N2186" s="51"/>
      <c r="O2186" s="82"/>
      <c r="P2186" s="51"/>
      <c r="Q2186" s="338"/>
      <c r="R2186" s="51"/>
      <c r="S2186" s="51"/>
      <c r="T2186" s="338"/>
      <c r="U2186" s="51"/>
      <c r="V2186" s="35"/>
      <c r="W2186" s="364"/>
      <c r="X2186" s="141"/>
      <c r="Y2186" s="48"/>
      <c r="Z2186" s="48"/>
      <c r="AA2186" s="48"/>
      <c r="AB2186" s="48"/>
      <c r="AC2186" s="48"/>
      <c r="AD2186" s="48">
        <v>123455.83</v>
      </c>
      <c r="AE2186" s="48"/>
      <c r="AF2186" s="48"/>
      <c r="AG2186" s="48"/>
      <c r="AH2186" s="187"/>
      <c r="AI2186" s="48">
        <v>488200.84</v>
      </c>
      <c r="AJ2186" s="48"/>
      <c r="AK2186" s="48"/>
      <c r="AL2186" s="48"/>
    </row>
    <row r="2187" spans="1:38" ht="15" customHeight="1" x14ac:dyDescent="0.3">
      <c r="A2187" s="47">
        <f t="shared" si="507"/>
        <v>1970</v>
      </c>
      <c r="B2187" s="414" t="s">
        <v>4039</v>
      </c>
      <c r="C2187" s="51">
        <f t="shared" si="504"/>
        <v>0</v>
      </c>
      <c r="D2187" s="51">
        <f t="shared" si="505"/>
        <v>0</v>
      </c>
      <c r="E2187" s="51"/>
      <c r="F2187" s="51"/>
      <c r="G2187" s="51"/>
      <c r="H2187" s="51"/>
      <c r="I2187" s="51"/>
      <c r="J2187" s="51"/>
      <c r="K2187" s="51"/>
      <c r="L2187" s="51"/>
      <c r="M2187" s="35"/>
      <c r="N2187" s="51"/>
      <c r="O2187" s="82"/>
      <c r="P2187" s="51"/>
      <c r="Q2187" s="338"/>
      <c r="R2187" s="51"/>
      <c r="S2187" s="51"/>
      <c r="T2187" s="338"/>
      <c r="U2187" s="51"/>
      <c r="V2187" s="35"/>
      <c r="W2187" s="364"/>
      <c r="X2187" s="141"/>
      <c r="Y2187" s="48"/>
      <c r="Z2187" s="48"/>
      <c r="AA2187" s="48"/>
      <c r="AB2187" s="48"/>
      <c r="AC2187" s="48"/>
      <c r="AD2187" s="48"/>
      <c r="AE2187" s="48"/>
      <c r="AF2187" s="48"/>
      <c r="AG2187" s="48">
        <v>383073.24</v>
      </c>
      <c r="AH2187" s="187">
        <v>379168.18</v>
      </c>
      <c r="AI2187" s="48">
        <v>1222940.95</v>
      </c>
      <c r="AJ2187" s="48"/>
      <c r="AK2187" s="48"/>
      <c r="AL2187" s="48"/>
    </row>
    <row r="2188" spans="1:38" ht="15" customHeight="1" x14ac:dyDescent="0.3">
      <c r="A2188" s="47">
        <f t="shared" si="507"/>
        <v>1971</v>
      </c>
      <c r="B2188" s="414" t="s">
        <v>4040</v>
      </c>
      <c r="C2188" s="51">
        <f t="shared" si="504"/>
        <v>0</v>
      </c>
      <c r="D2188" s="51">
        <f t="shared" si="505"/>
        <v>0</v>
      </c>
      <c r="E2188" s="51"/>
      <c r="F2188" s="51"/>
      <c r="G2188" s="51"/>
      <c r="H2188" s="51"/>
      <c r="I2188" s="51"/>
      <c r="J2188" s="51"/>
      <c r="K2188" s="51"/>
      <c r="L2188" s="51"/>
      <c r="M2188" s="35"/>
      <c r="N2188" s="51"/>
      <c r="O2188" s="82"/>
      <c r="P2188" s="51"/>
      <c r="Q2188" s="338"/>
      <c r="R2188" s="51"/>
      <c r="S2188" s="51"/>
      <c r="T2188" s="338"/>
      <c r="U2188" s="51"/>
      <c r="V2188" s="35"/>
      <c r="W2188" s="364"/>
      <c r="X2188" s="141"/>
      <c r="Y2188" s="48"/>
      <c r="Z2188" s="48"/>
      <c r="AA2188" s="48"/>
      <c r="AB2188" s="48"/>
      <c r="AC2188" s="48"/>
      <c r="AD2188" s="48"/>
      <c r="AE2188" s="48"/>
      <c r="AF2188" s="48"/>
      <c r="AG2188" s="48"/>
      <c r="AH2188" s="187"/>
      <c r="AI2188" s="48">
        <v>482793.07</v>
      </c>
      <c r="AJ2188" s="48"/>
      <c r="AK2188" s="48"/>
      <c r="AL2188" s="48"/>
    </row>
    <row r="2189" spans="1:38" ht="15" customHeight="1" x14ac:dyDescent="0.3">
      <c r="A2189" s="47">
        <f t="shared" si="507"/>
        <v>1972</v>
      </c>
      <c r="B2189" s="414" t="s">
        <v>4041</v>
      </c>
      <c r="C2189" s="51">
        <f t="shared" si="504"/>
        <v>0</v>
      </c>
      <c r="D2189" s="51">
        <f t="shared" si="505"/>
        <v>0</v>
      </c>
      <c r="E2189" s="51"/>
      <c r="F2189" s="51"/>
      <c r="G2189" s="51"/>
      <c r="H2189" s="51"/>
      <c r="I2189" s="51"/>
      <c r="J2189" s="51"/>
      <c r="K2189" s="51"/>
      <c r="L2189" s="51"/>
      <c r="M2189" s="35"/>
      <c r="N2189" s="51"/>
      <c r="O2189" s="82"/>
      <c r="P2189" s="51"/>
      <c r="Q2189" s="338"/>
      <c r="R2189" s="51"/>
      <c r="S2189" s="51"/>
      <c r="T2189" s="338"/>
      <c r="U2189" s="51"/>
      <c r="V2189" s="35"/>
      <c r="W2189" s="364"/>
      <c r="X2189" s="141"/>
      <c r="Y2189" s="48"/>
      <c r="Z2189" s="48"/>
      <c r="AA2189" s="48"/>
      <c r="AB2189" s="48"/>
      <c r="AC2189" s="48"/>
      <c r="AD2189" s="48">
        <v>123800.03</v>
      </c>
      <c r="AE2189" s="48"/>
      <c r="AF2189" s="48"/>
      <c r="AG2189" s="48"/>
      <c r="AH2189" s="187"/>
      <c r="AI2189" s="48">
        <v>489488.4</v>
      </c>
      <c r="AJ2189" s="48"/>
      <c r="AK2189" s="48"/>
      <c r="AL2189" s="48"/>
    </row>
    <row r="2190" spans="1:38" ht="15" customHeight="1" x14ac:dyDescent="0.3">
      <c r="A2190" s="47">
        <f t="shared" si="507"/>
        <v>1973</v>
      </c>
      <c r="B2190" s="414" t="s">
        <v>4042</v>
      </c>
      <c r="C2190" s="51">
        <f t="shared" si="504"/>
        <v>0</v>
      </c>
      <c r="D2190" s="51">
        <f t="shared" si="505"/>
        <v>0</v>
      </c>
      <c r="E2190" s="51"/>
      <c r="F2190" s="51"/>
      <c r="G2190" s="51"/>
      <c r="H2190" s="51"/>
      <c r="I2190" s="51"/>
      <c r="J2190" s="51"/>
      <c r="K2190" s="51"/>
      <c r="L2190" s="51"/>
      <c r="M2190" s="35"/>
      <c r="N2190" s="51"/>
      <c r="O2190" s="82"/>
      <c r="P2190" s="51"/>
      <c r="Q2190" s="338"/>
      <c r="R2190" s="51"/>
      <c r="S2190" s="51"/>
      <c r="T2190" s="338"/>
      <c r="U2190" s="51"/>
      <c r="V2190" s="35"/>
      <c r="W2190" s="364"/>
      <c r="X2190" s="141"/>
      <c r="Y2190" s="48"/>
      <c r="Z2190" s="48"/>
      <c r="AA2190" s="48">
        <v>172165.25</v>
      </c>
      <c r="AB2190" s="48"/>
      <c r="AC2190" s="48"/>
      <c r="AD2190" s="48"/>
      <c r="AE2190" s="48"/>
      <c r="AF2190" s="48"/>
      <c r="AG2190" s="48"/>
      <c r="AH2190" s="187"/>
      <c r="AI2190" s="48"/>
      <c r="AJ2190" s="48"/>
      <c r="AK2190" s="48"/>
      <c r="AL2190" s="48"/>
    </row>
    <row r="2191" spans="1:38" ht="15" customHeight="1" x14ac:dyDescent="0.3">
      <c r="A2191" s="47">
        <f t="shared" si="507"/>
        <v>1974</v>
      </c>
      <c r="B2191" s="414" t="s">
        <v>4043</v>
      </c>
      <c r="C2191" s="51">
        <f t="shared" si="504"/>
        <v>0</v>
      </c>
      <c r="D2191" s="51">
        <f t="shared" si="505"/>
        <v>0</v>
      </c>
      <c r="E2191" s="51"/>
      <c r="F2191" s="51"/>
      <c r="G2191" s="51"/>
      <c r="H2191" s="51"/>
      <c r="I2191" s="51"/>
      <c r="J2191" s="51"/>
      <c r="K2191" s="51"/>
      <c r="L2191" s="51"/>
      <c r="M2191" s="35"/>
      <c r="N2191" s="51"/>
      <c r="O2191" s="82"/>
      <c r="P2191" s="51"/>
      <c r="Q2191" s="338"/>
      <c r="R2191" s="51"/>
      <c r="S2191" s="51"/>
      <c r="T2191" s="338"/>
      <c r="U2191" s="51"/>
      <c r="V2191" s="35"/>
      <c r="W2191" s="364"/>
      <c r="X2191" s="141"/>
      <c r="Y2191" s="48"/>
      <c r="Z2191" s="48"/>
      <c r="AA2191" s="48">
        <v>210214.81</v>
      </c>
      <c r="AB2191" s="48"/>
      <c r="AC2191" s="48"/>
      <c r="AD2191" s="48"/>
      <c r="AE2191" s="48"/>
      <c r="AF2191" s="48"/>
      <c r="AG2191" s="48"/>
      <c r="AH2191" s="187">
        <v>325573.78000000003</v>
      </c>
      <c r="AI2191" s="48">
        <v>1203341.71</v>
      </c>
      <c r="AJ2191" s="48"/>
      <c r="AK2191" s="48"/>
      <c r="AL2191" s="48"/>
    </row>
    <row r="2192" spans="1:38" ht="15" customHeight="1" x14ac:dyDescent="0.3">
      <c r="A2192" s="47">
        <f t="shared" si="507"/>
        <v>1975</v>
      </c>
      <c r="B2192" s="414" t="s">
        <v>4044</v>
      </c>
      <c r="C2192" s="51">
        <f t="shared" si="504"/>
        <v>0</v>
      </c>
      <c r="D2192" s="51">
        <f t="shared" si="505"/>
        <v>0</v>
      </c>
      <c r="E2192" s="51"/>
      <c r="F2192" s="51"/>
      <c r="G2192" s="51"/>
      <c r="H2192" s="51"/>
      <c r="I2192" s="51"/>
      <c r="J2192" s="51"/>
      <c r="K2192" s="51"/>
      <c r="L2192" s="51"/>
      <c r="M2192" s="35"/>
      <c r="N2192" s="51"/>
      <c r="O2192" s="82"/>
      <c r="P2192" s="51"/>
      <c r="Q2192" s="338"/>
      <c r="R2192" s="51"/>
      <c r="S2192" s="51"/>
      <c r="T2192" s="338"/>
      <c r="U2192" s="51"/>
      <c r="V2192" s="35"/>
      <c r="W2192" s="364"/>
      <c r="X2192" s="141"/>
      <c r="Y2192" s="48"/>
      <c r="Z2192" s="48"/>
      <c r="AA2192" s="48"/>
      <c r="AB2192" s="48"/>
      <c r="AC2192" s="48"/>
      <c r="AD2192" s="48"/>
      <c r="AE2192" s="48"/>
      <c r="AF2192" s="48"/>
      <c r="AG2192" s="48">
        <v>376045.94</v>
      </c>
      <c r="AH2192" s="187">
        <v>183240.88</v>
      </c>
      <c r="AI2192" s="48">
        <v>1203246.8</v>
      </c>
      <c r="AJ2192" s="48"/>
      <c r="AK2192" s="48"/>
      <c r="AL2192" s="48"/>
    </row>
    <row r="2193" spans="1:38" ht="15" customHeight="1" x14ac:dyDescent="0.3">
      <c r="A2193" s="47">
        <f t="shared" si="507"/>
        <v>1976</v>
      </c>
      <c r="B2193" s="414" t="s">
        <v>4045</v>
      </c>
      <c r="C2193" s="51">
        <f t="shared" si="504"/>
        <v>0</v>
      </c>
      <c r="D2193" s="51">
        <f t="shared" si="505"/>
        <v>0</v>
      </c>
      <c r="E2193" s="51"/>
      <c r="F2193" s="51"/>
      <c r="G2193" s="51"/>
      <c r="H2193" s="51"/>
      <c r="I2193" s="51"/>
      <c r="J2193" s="51"/>
      <c r="K2193" s="51"/>
      <c r="L2193" s="51"/>
      <c r="M2193" s="35"/>
      <c r="N2193" s="51"/>
      <c r="O2193" s="82"/>
      <c r="P2193" s="51"/>
      <c r="Q2193" s="338"/>
      <c r="R2193" s="51"/>
      <c r="S2193" s="51"/>
      <c r="T2193" s="338"/>
      <c r="U2193" s="51"/>
      <c r="V2193" s="35"/>
      <c r="W2193" s="364"/>
      <c r="X2193" s="141"/>
      <c r="Y2193" s="48"/>
      <c r="Z2193" s="48"/>
      <c r="AA2193" s="48">
        <v>210666.14</v>
      </c>
      <c r="AB2193" s="48"/>
      <c r="AC2193" s="48"/>
      <c r="AD2193" s="48"/>
      <c r="AE2193" s="48"/>
      <c r="AF2193" s="48"/>
      <c r="AG2193" s="48"/>
      <c r="AH2193" s="187"/>
      <c r="AI2193" s="48"/>
      <c r="AJ2193" s="48"/>
      <c r="AK2193" s="48"/>
      <c r="AL2193" s="48"/>
    </row>
    <row r="2194" spans="1:38" ht="15" customHeight="1" x14ac:dyDescent="0.3">
      <c r="A2194" s="47">
        <f t="shared" si="507"/>
        <v>1977</v>
      </c>
      <c r="B2194" s="414" t="s">
        <v>4046</v>
      </c>
      <c r="C2194" s="51">
        <f t="shared" si="504"/>
        <v>0</v>
      </c>
      <c r="D2194" s="51">
        <f t="shared" si="505"/>
        <v>0</v>
      </c>
      <c r="E2194" s="51"/>
      <c r="F2194" s="51"/>
      <c r="G2194" s="51"/>
      <c r="H2194" s="51"/>
      <c r="I2194" s="51"/>
      <c r="J2194" s="51"/>
      <c r="K2194" s="51"/>
      <c r="L2194" s="51"/>
      <c r="M2194" s="35"/>
      <c r="N2194" s="51"/>
      <c r="O2194" s="82"/>
      <c r="P2194" s="51"/>
      <c r="Q2194" s="338"/>
      <c r="R2194" s="51"/>
      <c r="S2194" s="51"/>
      <c r="T2194" s="338"/>
      <c r="U2194" s="51"/>
      <c r="V2194" s="35"/>
      <c r="W2194" s="364"/>
      <c r="X2194" s="141"/>
      <c r="Y2194" s="48"/>
      <c r="Z2194" s="48"/>
      <c r="AA2194" s="48"/>
      <c r="AB2194" s="48"/>
      <c r="AC2194" s="48"/>
      <c r="AD2194" s="48"/>
      <c r="AE2194" s="48"/>
      <c r="AF2194" s="48"/>
      <c r="AG2194" s="48"/>
      <c r="AH2194" s="187">
        <v>344343.42</v>
      </c>
      <c r="AI2194" s="48">
        <v>1232194.82</v>
      </c>
      <c r="AJ2194" s="48"/>
      <c r="AK2194" s="48"/>
      <c r="AL2194" s="48"/>
    </row>
    <row r="2195" spans="1:38" ht="15" customHeight="1" x14ac:dyDescent="0.3">
      <c r="A2195" s="47">
        <f t="shared" si="507"/>
        <v>1978</v>
      </c>
      <c r="B2195" s="414" t="s">
        <v>4047</v>
      </c>
      <c r="C2195" s="51">
        <f t="shared" si="504"/>
        <v>0</v>
      </c>
      <c r="D2195" s="51">
        <f t="shared" si="505"/>
        <v>0</v>
      </c>
      <c r="E2195" s="51"/>
      <c r="F2195" s="51"/>
      <c r="G2195" s="51"/>
      <c r="H2195" s="51"/>
      <c r="I2195" s="51"/>
      <c r="J2195" s="51"/>
      <c r="K2195" s="51"/>
      <c r="L2195" s="51"/>
      <c r="M2195" s="35"/>
      <c r="N2195" s="51"/>
      <c r="O2195" s="82"/>
      <c r="P2195" s="51"/>
      <c r="Q2195" s="338"/>
      <c r="R2195" s="51"/>
      <c r="S2195" s="51"/>
      <c r="T2195" s="338"/>
      <c r="U2195" s="51"/>
      <c r="V2195" s="35"/>
      <c r="W2195" s="364"/>
      <c r="X2195" s="141"/>
      <c r="Y2195" s="48"/>
      <c r="Z2195" s="48"/>
      <c r="AA2195" s="48"/>
      <c r="AB2195" s="48"/>
      <c r="AC2195" s="48"/>
      <c r="AD2195" s="48"/>
      <c r="AE2195" s="48"/>
      <c r="AF2195" s="48"/>
      <c r="AG2195" s="48"/>
      <c r="AH2195" s="187">
        <v>344343.42</v>
      </c>
      <c r="AI2195" s="48">
        <v>1232194.82</v>
      </c>
      <c r="AJ2195" s="48"/>
      <c r="AK2195" s="48"/>
      <c r="AL2195" s="48"/>
    </row>
    <row r="2196" spans="1:38" ht="15" customHeight="1" x14ac:dyDescent="0.3">
      <c r="A2196" s="47">
        <f t="shared" si="507"/>
        <v>1979</v>
      </c>
      <c r="B2196" s="414" t="s">
        <v>4048</v>
      </c>
      <c r="C2196" s="51">
        <f t="shared" si="504"/>
        <v>0</v>
      </c>
      <c r="D2196" s="51">
        <f t="shared" si="505"/>
        <v>0</v>
      </c>
      <c r="E2196" s="51"/>
      <c r="F2196" s="51"/>
      <c r="G2196" s="51"/>
      <c r="H2196" s="51"/>
      <c r="I2196" s="51"/>
      <c r="J2196" s="51"/>
      <c r="K2196" s="51"/>
      <c r="L2196" s="51"/>
      <c r="M2196" s="35"/>
      <c r="N2196" s="51"/>
      <c r="O2196" s="82"/>
      <c r="P2196" s="51"/>
      <c r="Q2196" s="338"/>
      <c r="R2196" s="51"/>
      <c r="S2196" s="51"/>
      <c r="T2196" s="338"/>
      <c r="U2196" s="51"/>
      <c r="V2196" s="35"/>
      <c r="W2196" s="364"/>
      <c r="X2196" s="141"/>
      <c r="Y2196" s="48"/>
      <c r="Z2196" s="48"/>
      <c r="AA2196" s="48">
        <v>100953.78</v>
      </c>
      <c r="AB2196" s="48"/>
      <c r="AC2196" s="48"/>
      <c r="AD2196" s="48">
        <v>122423.2</v>
      </c>
      <c r="AE2196" s="48"/>
      <c r="AF2196" s="48"/>
      <c r="AG2196" s="48"/>
      <c r="AH2196" s="187"/>
      <c r="AI2196" s="48">
        <v>484338.14</v>
      </c>
      <c r="AJ2196" s="48"/>
      <c r="AK2196" s="48"/>
      <c r="AL2196" s="48"/>
    </row>
    <row r="2197" spans="1:38" ht="15" customHeight="1" x14ac:dyDescent="0.3">
      <c r="A2197" s="47">
        <f t="shared" si="507"/>
        <v>1980</v>
      </c>
      <c r="B2197" s="414" t="s">
        <v>4049</v>
      </c>
      <c r="C2197" s="51">
        <f t="shared" si="504"/>
        <v>0</v>
      </c>
      <c r="D2197" s="51">
        <f t="shared" si="505"/>
        <v>0</v>
      </c>
      <c r="E2197" s="51"/>
      <c r="F2197" s="51"/>
      <c r="G2197" s="51"/>
      <c r="H2197" s="51"/>
      <c r="I2197" s="51"/>
      <c r="J2197" s="51"/>
      <c r="K2197" s="51"/>
      <c r="L2197" s="51"/>
      <c r="M2197" s="35"/>
      <c r="N2197" s="51"/>
      <c r="O2197" s="82"/>
      <c r="P2197" s="51"/>
      <c r="Q2197" s="338"/>
      <c r="R2197" s="51"/>
      <c r="S2197" s="51"/>
      <c r="T2197" s="338"/>
      <c r="U2197" s="51"/>
      <c r="V2197" s="35"/>
      <c r="W2197" s="364"/>
      <c r="X2197" s="141"/>
      <c r="Y2197" s="48"/>
      <c r="Z2197" s="48"/>
      <c r="AA2197" s="48">
        <v>101484.96</v>
      </c>
      <c r="AB2197" s="48"/>
      <c r="AC2197" s="48"/>
      <c r="AD2197" s="48">
        <v>122973.95</v>
      </c>
      <c r="AE2197" s="48"/>
      <c r="AF2197" s="48"/>
      <c r="AG2197" s="48"/>
      <c r="AH2197" s="187"/>
      <c r="AI2197" s="48">
        <v>486398.23</v>
      </c>
      <c r="AJ2197" s="48"/>
      <c r="AK2197" s="48"/>
      <c r="AL2197" s="48"/>
    </row>
    <row r="2198" spans="1:38" ht="15" customHeight="1" x14ac:dyDescent="0.3">
      <c r="A2198" s="47">
        <f t="shared" si="507"/>
        <v>1981</v>
      </c>
      <c r="B2198" s="414" t="s">
        <v>4050</v>
      </c>
      <c r="C2198" s="51">
        <f t="shared" si="504"/>
        <v>0</v>
      </c>
      <c r="D2198" s="51">
        <f t="shared" si="505"/>
        <v>0</v>
      </c>
      <c r="E2198" s="51"/>
      <c r="F2198" s="51"/>
      <c r="G2198" s="51"/>
      <c r="H2198" s="51"/>
      <c r="I2198" s="51"/>
      <c r="J2198" s="51"/>
      <c r="K2198" s="51"/>
      <c r="L2198" s="51"/>
      <c r="M2198" s="35"/>
      <c r="N2198" s="51"/>
      <c r="O2198" s="82"/>
      <c r="P2198" s="51"/>
      <c r="Q2198" s="338"/>
      <c r="R2198" s="51"/>
      <c r="S2198" s="51"/>
      <c r="T2198" s="338"/>
      <c r="U2198" s="51"/>
      <c r="V2198" s="35"/>
      <c r="W2198" s="364"/>
      <c r="X2198" s="141"/>
      <c r="Y2198" s="48"/>
      <c r="Z2198" s="48"/>
      <c r="AA2198" s="48"/>
      <c r="AB2198" s="48"/>
      <c r="AC2198" s="48"/>
      <c r="AD2198" s="48"/>
      <c r="AE2198" s="48"/>
      <c r="AF2198" s="48"/>
      <c r="AG2198" s="48"/>
      <c r="AH2198" s="187">
        <v>219527.34</v>
      </c>
      <c r="AI2198" s="48">
        <v>1074356.95</v>
      </c>
      <c r="AJ2198" s="48"/>
      <c r="AK2198" s="48"/>
      <c r="AL2198" s="48"/>
    </row>
    <row r="2199" spans="1:38" ht="15" customHeight="1" x14ac:dyDescent="0.3">
      <c r="A2199" s="47">
        <f t="shared" si="507"/>
        <v>1982</v>
      </c>
      <c r="B2199" s="414" t="s">
        <v>4051</v>
      </c>
      <c r="C2199" s="51">
        <f t="shared" si="504"/>
        <v>0</v>
      </c>
      <c r="D2199" s="51">
        <f t="shared" si="505"/>
        <v>0</v>
      </c>
      <c r="E2199" s="51"/>
      <c r="F2199" s="51"/>
      <c r="G2199" s="51"/>
      <c r="H2199" s="51"/>
      <c r="I2199" s="51"/>
      <c r="J2199" s="51"/>
      <c r="K2199" s="51"/>
      <c r="L2199" s="51"/>
      <c r="M2199" s="35"/>
      <c r="N2199" s="51"/>
      <c r="O2199" s="82"/>
      <c r="P2199" s="51"/>
      <c r="Q2199" s="338"/>
      <c r="R2199" s="51"/>
      <c r="S2199" s="51"/>
      <c r="T2199" s="338"/>
      <c r="U2199" s="51"/>
      <c r="V2199" s="35"/>
      <c r="W2199" s="364"/>
      <c r="X2199" s="141"/>
      <c r="Y2199" s="48"/>
      <c r="Z2199" s="48"/>
      <c r="AA2199" s="48">
        <v>180664.2</v>
      </c>
      <c r="AB2199" s="48"/>
      <c r="AC2199" s="48"/>
      <c r="AD2199" s="48"/>
      <c r="AE2199" s="48"/>
      <c r="AF2199" s="48"/>
      <c r="AG2199" s="48">
        <v>329377.77</v>
      </c>
      <c r="AH2199" s="187">
        <v>219085.63</v>
      </c>
      <c r="AI2199" s="48">
        <v>1072458.72</v>
      </c>
      <c r="AJ2199" s="48"/>
      <c r="AK2199" s="48"/>
      <c r="AL2199" s="48"/>
    </row>
    <row r="2200" spans="1:38" ht="15" customHeight="1" x14ac:dyDescent="0.3">
      <c r="A2200" s="47">
        <f t="shared" si="507"/>
        <v>1983</v>
      </c>
      <c r="B2200" s="414" t="s">
        <v>4052</v>
      </c>
      <c r="C2200" s="51">
        <f t="shared" si="504"/>
        <v>0</v>
      </c>
      <c r="D2200" s="51">
        <f t="shared" si="505"/>
        <v>0</v>
      </c>
      <c r="E2200" s="51"/>
      <c r="F2200" s="51"/>
      <c r="G2200" s="51"/>
      <c r="H2200" s="51"/>
      <c r="I2200" s="51"/>
      <c r="J2200" s="51"/>
      <c r="K2200" s="51"/>
      <c r="L2200" s="51"/>
      <c r="M2200" s="35"/>
      <c r="N2200" s="51"/>
      <c r="O2200" s="82"/>
      <c r="P2200" s="51"/>
      <c r="Q2200" s="338"/>
      <c r="R2200" s="51"/>
      <c r="S2200" s="51"/>
      <c r="T2200" s="338"/>
      <c r="U2200" s="51"/>
      <c r="V2200" s="35"/>
      <c r="W2200" s="364"/>
      <c r="X2200" s="141"/>
      <c r="Y2200" s="48"/>
      <c r="Z2200" s="48"/>
      <c r="AA2200" s="48"/>
      <c r="AB2200" s="48"/>
      <c r="AC2200" s="48"/>
      <c r="AD2200" s="48"/>
      <c r="AE2200" s="48"/>
      <c r="AF2200" s="48"/>
      <c r="AG2200" s="48">
        <v>230818.44</v>
      </c>
      <c r="AH2200" s="187">
        <v>267489.37</v>
      </c>
      <c r="AI2200" s="48">
        <v>430556.18</v>
      </c>
      <c r="AJ2200" s="48"/>
      <c r="AK2200" s="48"/>
      <c r="AL2200" s="48"/>
    </row>
    <row r="2201" spans="1:38" ht="15" customHeight="1" x14ac:dyDescent="0.3">
      <c r="A2201" s="439" t="s">
        <v>211</v>
      </c>
      <c r="B2201" s="399"/>
      <c r="C2201" s="51">
        <f t="shared" ref="C2201:W2201" si="508">SUM(C2183:C2200)</f>
        <v>0</v>
      </c>
      <c r="D2201" s="51">
        <f t="shared" si="508"/>
        <v>0</v>
      </c>
      <c r="E2201" s="51">
        <f t="shared" si="508"/>
        <v>0</v>
      </c>
      <c r="F2201" s="51">
        <f t="shared" si="508"/>
        <v>0</v>
      </c>
      <c r="G2201" s="51">
        <f t="shared" si="508"/>
        <v>0</v>
      </c>
      <c r="H2201" s="51">
        <f t="shared" si="508"/>
        <v>0</v>
      </c>
      <c r="I2201" s="51">
        <f t="shared" si="508"/>
        <v>0</v>
      </c>
      <c r="J2201" s="51">
        <f t="shared" si="508"/>
        <v>0</v>
      </c>
      <c r="K2201" s="51">
        <f t="shared" si="508"/>
        <v>0</v>
      </c>
      <c r="L2201" s="51">
        <f t="shared" si="508"/>
        <v>0</v>
      </c>
      <c r="M2201" s="35">
        <f t="shared" si="508"/>
        <v>0</v>
      </c>
      <c r="N2201" s="51">
        <f t="shared" si="508"/>
        <v>0</v>
      </c>
      <c r="O2201" s="82">
        <f t="shared" si="508"/>
        <v>0</v>
      </c>
      <c r="P2201" s="51">
        <f t="shared" si="508"/>
        <v>0</v>
      </c>
      <c r="Q2201" s="338">
        <f t="shared" si="508"/>
        <v>0</v>
      </c>
      <c r="R2201" s="51">
        <f t="shared" si="508"/>
        <v>0</v>
      </c>
      <c r="S2201" s="51">
        <f t="shared" si="508"/>
        <v>0</v>
      </c>
      <c r="T2201" s="338">
        <f t="shared" si="508"/>
        <v>0</v>
      </c>
      <c r="U2201" s="51">
        <f t="shared" si="508"/>
        <v>0</v>
      </c>
      <c r="V2201" s="35">
        <f t="shared" si="508"/>
        <v>0</v>
      </c>
      <c r="W2201" s="51">
        <f t="shared" si="508"/>
        <v>0</v>
      </c>
      <c r="X2201" s="329"/>
      <c r="Y2201" s="285"/>
      <c r="Z2201" s="285"/>
      <c r="AA2201" s="285"/>
      <c r="AB2201" s="285"/>
      <c r="AC2201" s="285"/>
      <c r="AD2201" s="285"/>
      <c r="AE2201" s="285"/>
      <c r="AF2201" s="285"/>
      <c r="AG2201" s="9"/>
      <c r="AH2201" s="318"/>
      <c r="AI2201" s="9"/>
      <c r="AJ2201" s="9"/>
      <c r="AK2201" s="9"/>
      <c r="AL2201" s="9"/>
    </row>
    <row r="2202" spans="1:38" x14ac:dyDescent="0.3">
      <c r="A2202" s="435" t="s">
        <v>3914</v>
      </c>
      <c r="B2202" s="363"/>
      <c r="C2202" s="364">
        <f>C2058+C2080+C2138+C2146+C2151+C2154+C2160+C2168+C2172+C2177+C2181+C2201</f>
        <v>172417661.63000003</v>
      </c>
      <c r="D2202" s="364">
        <f t="shared" ref="D2202:W2202" si="509">D2058+D2080+D2138+D2146+D2151+D2154+D2160+D2168+D2172+D2177+D2181+D2201</f>
        <v>2022578</v>
      </c>
      <c r="E2202" s="364">
        <f t="shared" si="509"/>
        <v>1696902</v>
      </c>
      <c r="F2202" s="364">
        <f t="shared" si="509"/>
        <v>71526</v>
      </c>
      <c r="G2202" s="364">
        <f t="shared" si="509"/>
        <v>101660</v>
      </c>
      <c r="H2202" s="364">
        <f t="shared" si="509"/>
        <v>101660</v>
      </c>
      <c r="I2202" s="364">
        <f t="shared" si="509"/>
        <v>50830</v>
      </c>
      <c r="J2202" s="364">
        <f t="shared" si="509"/>
        <v>0</v>
      </c>
      <c r="K2202" s="364">
        <f t="shared" si="509"/>
        <v>0</v>
      </c>
      <c r="L2202" s="364">
        <f t="shared" si="509"/>
        <v>0</v>
      </c>
      <c r="M2202" s="181">
        <f t="shared" si="509"/>
        <v>7912.6500000000005</v>
      </c>
      <c r="N2202" s="364">
        <f t="shared" si="509"/>
        <v>49768058.399999999</v>
      </c>
      <c r="O2202" s="129">
        <f t="shared" si="509"/>
        <v>2957.2</v>
      </c>
      <c r="P2202" s="364">
        <f t="shared" si="509"/>
        <v>49447268.400000006</v>
      </c>
      <c r="Q2202" s="406">
        <f t="shared" si="509"/>
        <v>3966.6</v>
      </c>
      <c r="R2202" s="364">
        <f t="shared" si="509"/>
        <v>25366296</v>
      </c>
      <c r="S2202" s="364">
        <f t="shared" si="509"/>
        <v>0</v>
      </c>
      <c r="T2202" s="406">
        <f t="shared" si="509"/>
        <v>1333.6</v>
      </c>
      <c r="U2202" s="364">
        <f t="shared" si="509"/>
        <v>676461.6</v>
      </c>
      <c r="V2202" s="181">
        <f t="shared" si="509"/>
        <v>0</v>
      </c>
      <c r="W2202" s="364">
        <f t="shared" si="509"/>
        <v>44926214.43999999</v>
      </c>
      <c r="X2202" s="9"/>
      <c r="Y2202" s="285"/>
      <c r="Z2202" s="285"/>
      <c r="AA2202" s="285"/>
      <c r="AB2202" s="285"/>
      <c r="AC2202" s="285"/>
      <c r="AD2202" s="285"/>
      <c r="AE2202" s="285"/>
      <c r="AF2202" s="285"/>
      <c r="AG2202" s="9"/>
      <c r="AH2202" s="318"/>
      <c r="AI2202" s="9"/>
      <c r="AJ2202" s="9"/>
      <c r="AK2202" s="9"/>
      <c r="AL2202" s="9"/>
    </row>
    <row r="2203" spans="1:38" x14ac:dyDescent="0.3">
      <c r="A2203" s="435" t="s">
        <v>2712</v>
      </c>
      <c r="B2203" s="363"/>
      <c r="C2203" s="363"/>
      <c r="D2203" s="363"/>
      <c r="E2203" s="363"/>
      <c r="F2203" s="363"/>
      <c r="G2203" s="363"/>
      <c r="H2203" s="363"/>
      <c r="I2203" s="363"/>
      <c r="J2203" s="363"/>
      <c r="K2203" s="363"/>
      <c r="L2203" s="363"/>
      <c r="M2203" s="393"/>
      <c r="N2203" s="363"/>
      <c r="O2203" s="391"/>
      <c r="P2203" s="363"/>
      <c r="Q2203" s="392"/>
      <c r="R2203" s="363"/>
      <c r="S2203" s="363"/>
      <c r="T2203" s="392"/>
      <c r="U2203" s="363"/>
      <c r="V2203" s="393"/>
      <c r="W2203" s="363"/>
      <c r="X2203" s="298"/>
      <c r="Y2203" s="48"/>
      <c r="Z2203" s="48"/>
      <c r="AA2203" s="57"/>
      <c r="AB2203" s="58"/>
      <c r="AC2203" s="58"/>
      <c r="AD2203" s="58"/>
      <c r="AE2203" s="56"/>
      <c r="AF2203" s="56"/>
    </row>
    <row r="2204" spans="1:38" x14ac:dyDescent="0.3">
      <c r="A2204" s="435" t="s">
        <v>2713</v>
      </c>
      <c r="B2204" s="363"/>
      <c r="C2204" s="387"/>
      <c r="D2204" s="387"/>
      <c r="E2204" s="387"/>
      <c r="F2204" s="387"/>
      <c r="G2204" s="387"/>
      <c r="H2204" s="387"/>
      <c r="I2204" s="387"/>
      <c r="J2204" s="387"/>
      <c r="K2204" s="387"/>
      <c r="L2204" s="387"/>
      <c r="M2204" s="390"/>
      <c r="N2204" s="387"/>
      <c r="O2204" s="388"/>
      <c r="P2204" s="387"/>
      <c r="Q2204" s="389"/>
      <c r="R2204" s="387"/>
      <c r="S2204" s="387"/>
      <c r="T2204" s="389"/>
      <c r="U2204" s="387"/>
      <c r="V2204" s="390"/>
      <c r="W2204" s="387"/>
      <c r="X2204" s="298"/>
      <c r="Y2204" s="48"/>
      <c r="Z2204" s="48"/>
      <c r="AA2204" s="57"/>
      <c r="AB2204" s="58"/>
      <c r="AC2204" s="58"/>
      <c r="AD2204" s="58"/>
      <c r="AE2204" s="56"/>
      <c r="AF2204" s="56"/>
    </row>
    <row r="2205" spans="1:38" x14ac:dyDescent="0.3">
      <c r="A2205" s="47">
        <f>A2200+1</f>
        <v>1984</v>
      </c>
      <c r="B2205" s="414" t="s">
        <v>2714</v>
      </c>
      <c r="C2205" s="51">
        <f>D2205+K2205+L2205+N2205+P2205+R2205+S2205+U2205+V2205+W2205</f>
        <v>31505929.199999999</v>
      </c>
      <c r="D2205" s="51">
        <f>E2205+F2205+G2205+H2205+I2205</f>
        <v>0</v>
      </c>
      <c r="E2205" s="51"/>
      <c r="F2205" s="51"/>
      <c r="G2205" s="51"/>
      <c r="H2205" s="51"/>
      <c r="I2205" s="51"/>
      <c r="J2205" s="51"/>
      <c r="K2205" s="51"/>
      <c r="L2205" s="51"/>
      <c r="M2205" s="35"/>
      <c r="N2205" s="51"/>
      <c r="O2205" s="82"/>
      <c r="P2205" s="51"/>
      <c r="Q2205" s="338">
        <v>5810</v>
      </c>
      <c r="R2205" s="51">
        <v>31505929.199999999</v>
      </c>
      <c r="S2205" s="51"/>
      <c r="T2205" s="338"/>
      <c r="U2205" s="51"/>
      <c r="V2205" s="35"/>
      <c r="W2205" s="364"/>
      <c r="X2205" s="285"/>
      <c r="Y2205" s="48"/>
      <c r="Z2205" s="48"/>
      <c r="AA2205" s="57"/>
      <c r="AB2205" s="58"/>
      <c r="AC2205" s="58"/>
      <c r="AD2205" s="58"/>
      <c r="AE2205" s="56"/>
      <c r="AF2205" s="56"/>
    </row>
    <row r="2206" spans="1:38" x14ac:dyDescent="0.3">
      <c r="A2206" s="47">
        <f t="shared" ref="A2206" si="510">A2205+1</f>
        <v>1985</v>
      </c>
      <c r="B2206" s="414" t="s">
        <v>2716</v>
      </c>
      <c r="C2206" s="51">
        <f>D2206+K2206+L2206+N2206+P2206+R2206+S2206+U2206+V2206+W2206</f>
        <v>11415191.380000001</v>
      </c>
      <c r="D2206" s="51">
        <f>E2206+F2206+G2206+H2206+I2206</f>
        <v>0</v>
      </c>
      <c r="E2206" s="51"/>
      <c r="F2206" s="51"/>
      <c r="G2206" s="51"/>
      <c r="H2206" s="51"/>
      <c r="I2206" s="51"/>
      <c r="J2206" s="51"/>
      <c r="K2206" s="51"/>
      <c r="L2206" s="51"/>
      <c r="M2206" s="35"/>
      <c r="N2206" s="51"/>
      <c r="O2206" s="82"/>
      <c r="P2206" s="51"/>
      <c r="Q2206" s="338">
        <v>2464</v>
      </c>
      <c r="R2206" s="51">
        <v>11415191.380000001</v>
      </c>
      <c r="S2206" s="51"/>
      <c r="T2206" s="338"/>
      <c r="U2206" s="51"/>
      <c r="V2206" s="35"/>
      <c r="W2206" s="364"/>
      <c r="X2206" s="285"/>
      <c r="Y2206" s="48"/>
      <c r="Z2206" s="48"/>
      <c r="AA2206" s="57"/>
      <c r="AB2206" s="58"/>
      <c r="AC2206" s="58"/>
      <c r="AD2206" s="58"/>
      <c r="AE2206" s="56"/>
      <c r="AF2206" s="56"/>
    </row>
    <row r="2207" spans="1:38" x14ac:dyDescent="0.3">
      <c r="A2207" s="47">
        <f>A2206+1</f>
        <v>1986</v>
      </c>
      <c r="B2207" s="414" t="s">
        <v>2717</v>
      </c>
      <c r="C2207" s="51">
        <f>D2207+K2207+L2207+N2207+P2207+R2207+S2207+U2207+V2207+W2207</f>
        <v>13389081.220000001</v>
      </c>
      <c r="D2207" s="51">
        <f>E2207+F2207+G2207+H2207+I2207</f>
        <v>0</v>
      </c>
      <c r="E2207" s="51"/>
      <c r="F2207" s="51"/>
      <c r="G2207" s="51"/>
      <c r="H2207" s="51"/>
      <c r="I2207" s="51"/>
      <c r="J2207" s="51"/>
      <c r="K2207" s="51"/>
      <c r="L2207" s="51"/>
      <c r="M2207" s="35"/>
      <c r="N2207" s="51"/>
      <c r="O2207" s="82"/>
      <c r="P2207" s="51"/>
      <c r="Q2207" s="338">
        <v>2924</v>
      </c>
      <c r="R2207" s="51">
        <v>13389081.220000001</v>
      </c>
      <c r="S2207" s="51"/>
      <c r="T2207" s="338"/>
      <c r="U2207" s="51"/>
      <c r="V2207" s="35"/>
      <c r="W2207" s="364"/>
      <c r="X2207" s="285"/>
      <c r="Y2207" s="48"/>
      <c r="Z2207" s="48"/>
      <c r="AA2207" s="57"/>
      <c r="AB2207" s="58"/>
      <c r="AC2207" s="58"/>
      <c r="AD2207" s="58"/>
      <c r="AE2207" s="56"/>
      <c r="AF2207" s="56"/>
    </row>
    <row r="2208" spans="1:38" x14ac:dyDescent="0.3">
      <c r="A2208" s="47">
        <f>A2207+1</f>
        <v>1987</v>
      </c>
      <c r="B2208" s="414" t="s">
        <v>2718</v>
      </c>
      <c r="C2208" s="51">
        <f>D2208+K2208+L2208+N2208+P2208+R2208+S2208+U2208+V2208+W2208</f>
        <v>15949491.24</v>
      </c>
      <c r="D2208" s="51">
        <f>E2208+F2208+G2208+H2208+I2208</f>
        <v>0</v>
      </c>
      <c r="E2208" s="51"/>
      <c r="F2208" s="51"/>
      <c r="G2208" s="51"/>
      <c r="H2208" s="51"/>
      <c r="I2208" s="51"/>
      <c r="J2208" s="51"/>
      <c r="K2208" s="51"/>
      <c r="L2208" s="51"/>
      <c r="M2208" s="35"/>
      <c r="N2208" s="51"/>
      <c r="O2208" s="82"/>
      <c r="P2208" s="51"/>
      <c r="Q2208" s="338">
        <v>2835</v>
      </c>
      <c r="R2208" s="51">
        <v>15949491.24</v>
      </c>
      <c r="S2208" s="51"/>
      <c r="T2208" s="338"/>
      <c r="U2208" s="51"/>
      <c r="V2208" s="35"/>
      <c r="W2208" s="364"/>
      <c r="X2208" s="285"/>
      <c r="Y2208" s="48"/>
      <c r="Z2208" s="48"/>
      <c r="AA2208" s="57">
        <v>115125.12</v>
      </c>
      <c r="AB2208" s="58"/>
      <c r="AC2208" s="58"/>
      <c r="AD2208" s="58"/>
      <c r="AE2208" s="56"/>
      <c r="AF2208" s="56"/>
    </row>
    <row r="2209" spans="1:34" x14ac:dyDescent="0.3">
      <c r="A2209" s="439" t="s">
        <v>211</v>
      </c>
      <c r="B2209" s="399"/>
      <c r="C2209" s="51">
        <f t="shared" ref="C2209:W2209" si="511">SUM(C2205:C2208)</f>
        <v>72259693.039999992</v>
      </c>
      <c r="D2209" s="51">
        <f t="shared" si="511"/>
        <v>0</v>
      </c>
      <c r="E2209" s="51">
        <f t="shared" si="511"/>
        <v>0</v>
      </c>
      <c r="F2209" s="51">
        <f t="shared" si="511"/>
        <v>0</v>
      </c>
      <c r="G2209" s="51">
        <f t="shared" si="511"/>
        <v>0</v>
      </c>
      <c r="H2209" s="51">
        <f t="shared" si="511"/>
        <v>0</v>
      </c>
      <c r="I2209" s="51">
        <f t="shared" si="511"/>
        <v>0</v>
      </c>
      <c r="J2209" s="51">
        <f t="shared" si="511"/>
        <v>0</v>
      </c>
      <c r="K2209" s="51">
        <f t="shared" si="511"/>
        <v>0</v>
      </c>
      <c r="L2209" s="51">
        <f t="shared" si="511"/>
        <v>0</v>
      </c>
      <c r="M2209" s="35">
        <f t="shared" si="511"/>
        <v>0</v>
      </c>
      <c r="N2209" s="51">
        <f t="shared" si="511"/>
        <v>0</v>
      </c>
      <c r="O2209" s="82">
        <f t="shared" si="511"/>
        <v>0</v>
      </c>
      <c r="P2209" s="51">
        <f t="shared" si="511"/>
        <v>0</v>
      </c>
      <c r="Q2209" s="338">
        <f t="shared" si="511"/>
        <v>14033</v>
      </c>
      <c r="R2209" s="51">
        <f t="shared" si="511"/>
        <v>72259693.039999992</v>
      </c>
      <c r="S2209" s="51">
        <f t="shared" si="511"/>
        <v>0</v>
      </c>
      <c r="T2209" s="338">
        <f t="shared" si="511"/>
        <v>0</v>
      </c>
      <c r="U2209" s="51">
        <f t="shared" si="511"/>
        <v>0</v>
      </c>
      <c r="V2209" s="35">
        <f t="shared" si="511"/>
        <v>0</v>
      </c>
      <c r="W2209" s="51">
        <f t="shared" si="511"/>
        <v>0</v>
      </c>
      <c r="X2209" s="285"/>
      <c r="Y2209" s="48"/>
      <c r="Z2209" s="48"/>
      <c r="AA2209" s="57"/>
      <c r="AB2209" s="58"/>
      <c r="AC2209" s="58"/>
      <c r="AD2209" s="58"/>
      <c r="AE2209" s="56"/>
      <c r="AF2209" s="56"/>
    </row>
    <row r="2210" spans="1:34" x14ac:dyDescent="0.3">
      <c r="A2210" s="435" t="s">
        <v>2719</v>
      </c>
      <c r="B2210" s="363"/>
      <c r="C2210" s="51"/>
      <c r="D2210" s="51"/>
      <c r="E2210" s="51"/>
      <c r="F2210" s="51"/>
      <c r="G2210" s="51"/>
      <c r="H2210" s="51"/>
      <c r="I2210" s="51"/>
      <c r="J2210" s="51"/>
      <c r="K2210" s="51"/>
      <c r="L2210" s="51"/>
      <c r="M2210" s="35"/>
      <c r="N2210" s="51"/>
      <c r="O2210" s="82"/>
      <c r="P2210" s="51"/>
      <c r="Q2210" s="338"/>
      <c r="R2210" s="51"/>
      <c r="S2210" s="51"/>
      <c r="T2210" s="338"/>
      <c r="U2210" s="51"/>
      <c r="V2210" s="35"/>
      <c r="W2210" s="364"/>
      <c r="X2210" s="285"/>
      <c r="Y2210" s="48"/>
      <c r="Z2210" s="48"/>
      <c r="AA2210" s="61"/>
      <c r="AB2210" s="62"/>
      <c r="AC2210" s="62"/>
      <c r="AD2210" s="58"/>
    </row>
    <row r="2211" spans="1:34" x14ac:dyDescent="0.3">
      <c r="A2211" s="47">
        <f>A2206+1</f>
        <v>1986</v>
      </c>
      <c r="B2211" s="414" t="s">
        <v>2726</v>
      </c>
      <c r="C2211" s="51">
        <f>D2211+K2211+L2211+N2211+P2211+R2211+S2211+U2211+V2211+W2211</f>
        <v>1454900</v>
      </c>
      <c r="D2211" s="51">
        <f>E2211+F2211+G2211+H2211+I2211</f>
        <v>729717</v>
      </c>
      <c r="E2211" s="51"/>
      <c r="F2211" s="51">
        <f>5502*13+607361</f>
        <v>678887</v>
      </c>
      <c r="G2211" s="51">
        <f>3910*13</f>
        <v>50830</v>
      </c>
      <c r="H2211" s="51"/>
      <c r="I2211" s="51"/>
      <c r="J2211" s="51"/>
      <c r="K2211" s="51"/>
      <c r="L2211" s="51"/>
      <c r="M2211" s="35"/>
      <c r="N2211" s="51"/>
      <c r="O2211" s="82"/>
      <c r="P2211" s="51"/>
      <c r="Q2211" s="338"/>
      <c r="R2211" s="51"/>
      <c r="S2211" s="51"/>
      <c r="T2211" s="338"/>
      <c r="U2211" s="51"/>
      <c r="V2211" s="35">
        <f>214531+392996+117656</f>
        <v>725183</v>
      </c>
      <c r="W2211" s="364"/>
      <c r="X2211" s="285"/>
      <c r="Y2211" s="48"/>
      <c r="Z2211" s="48"/>
      <c r="AA2211" s="61"/>
      <c r="AB2211" s="62"/>
      <c r="AC2211" s="62"/>
      <c r="AD2211" s="58"/>
    </row>
    <row r="2212" spans="1:34" x14ac:dyDescent="0.3">
      <c r="A2212" s="439" t="s">
        <v>211</v>
      </c>
      <c r="B2212" s="399"/>
      <c r="C2212" s="51">
        <f t="shared" ref="C2212:W2212" si="512">SUM(C2211:C2211)</f>
        <v>1454900</v>
      </c>
      <c r="D2212" s="51">
        <f t="shared" si="512"/>
        <v>729717</v>
      </c>
      <c r="E2212" s="51">
        <f t="shared" si="512"/>
        <v>0</v>
      </c>
      <c r="F2212" s="51">
        <f t="shared" si="512"/>
        <v>678887</v>
      </c>
      <c r="G2212" s="51">
        <f t="shared" si="512"/>
        <v>50830</v>
      </c>
      <c r="H2212" s="51">
        <f t="shared" si="512"/>
        <v>0</v>
      </c>
      <c r="I2212" s="51">
        <f t="shared" si="512"/>
        <v>0</v>
      </c>
      <c r="J2212" s="51">
        <f t="shared" si="512"/>
        <v>0</v>
      </c>
      <c r="K2212" s="51">
        <f t="shared" si="512"/>
        <v>0</v>
      </c>
      <c r="L2212" s="51">
        <f t="shared" si="512"/>
        <v>0</v>
      </c>
      <c r="M2212" s="35">
        <f t="shared" si="512"/>
        <v>0</v>
      </c>
      <c r="N2212" s="51">
        <f t="shared" si="512"/>
        <v>0</v>
      </c>
      <c r="O2212" s="82">
        <f t="shared" si="512"/>
        <v>0</v>
      </c>
      <c r="P2212" s="51">
        <f t="shared" si="512"/>
        <v>0</v>
      </c>
      <c r="Q2212" s="338">
        <f t="shared" si="512"/>
        <v>0</v>
      </c>
      <c r="R2212" s="51">
        <f t="shared" si="512"/>
        <v>0</v>
      </c>
      <c r="S2212" s="51">
        <f t="shared" si="512"/>
        <v>0</v>
      </c>
      <c r="T2212" s="338">
        <f t="shared" si="512"/>
        <v>0</v>
      </c>
      <c r="U2212" s="51">
        <f t="shared" si="512"/>
        <v>0</v>
      </c>
      <c r="V2212" s="35">
        <f t="shared" si="512"/>
        <v>725183</v>
      </c>
      <c r="W2212" s="51">
        <f t="shared" si="512"/>
        <v>0</v>
      </c>
      <c r="X2212" s="285"/>
      <c r="Y2212" s="48"/>
      <c r="Z2212" s="48"/>
      <c r="AA2212" s="61"/>
      <c r="AB2212" s="62"/>
      <c r="AC2212" s="62"/>
      <c r="AD2212" s="58"/>
    </row>
    <row r="2213" spans="1:34" x14ac:dyDescent="0.3">
      <c r="A2213" s="435" t="s">
        <v>2732</v>
      </c>
      <c r="B2213" s="363"/>
      <c r="C2213" s="51"/>
      <c r="D2213" s="51"/>
      <c r="E2213" s="51"/>
      <c r="F2213" s="51"/>
      <c r="G2213" s="51"/>
      <c r="H2213" s="51"/>
      <c r="I2213" s="51"/>
      <c r="J2213" s="51"/>
      <c r="K2213" s="51"/>
      <c r="L2213" s="51"/>
      <c r="M2213" s="35"/>
      <c r="N2213" s="51"/>
      <c r="O2213" s="82"/>
      <c r="P2213" s="51"/>
      <c r="Q2213" s="338"/>
      <c r="R2213" s="51"/>
      <c r="S2213" s="51"/>
      <c r="T2213" s="338"/>
      <c r="U2213" s="51"/>
      <c r="V2213" s="35"/>
      <c r="W2213" s="364"/>
      <c r="X2213" s="285"/>
      <c r="Y2213" s="48"/>
      <c r="Z2213" s="48"/>
      <c r="AA2213" s="61"/>
      <c r="AB2213" s="62"/>
      <c r="AC2213" s="62"/>
      <c r="AD2213" s="58"/>
      <c r="AE2213" s="56"/>
      <c r="AF2213" s="56"/>
    </row>
    <row r="2214" spans="1:34" x14ac:dyDescent="0.3">
      <c r="A2214" s="47">
        <f>A2211+1</f>
        <v>1987</v>
      </c>
      <c r="B2214" s="414" t="s">
        <v>2734</v>
      </c>
      <c r="C2214" s="51">
        <f>D2214+K2214+L2214+N2214+P2214+R2214+S2214+U2214+V2214+W2214</f>
        <v>23205600.34</v>
      </c>
      <c r="D2214" s="51">
        <f>E2214+F2214+G2214+H2214+I2214</f>
        <v>0</v>
      </c>
      <c r="E2214" s="51"/>
      <c r="F2214" s="51"/>
      <c r="G2214" s="51"/>
      <c r="H2214" s="51"/>
      <c r="I2214" s="51"/>
      <c r="J2214" s="51"/>
      <c r="K2214" s="51"/>
      <c r="L2214" s="51"/>
      <c r="M2214" s="35"/>
      <c r="N2214" s="51"/>
      <c r="O2214" s="82"/>
      <c r="P2214" s="51"/>
      <c r="Q2214" s="338">
        <v>5913.375</v>
      </c>
      <c r="R2214" s="51">
        <v>23205600.34</v>
      </c>
      <c r="S2214" s="51"/>
      <c r="T2214" s="338"/>
      <c r="U2214" s="51"/>
      <c r="V2214" s="35"/>
      <c r="W2214" s="364"/>
      <c r="X2214" s="285"/>
      <c r="Y2214" s="48"/>
      <c r="Z2214" s="48"/>
      <c r="AA2214" s="61"/>
      <c r="AB2214" s="62"/>
      <c r="AC2214" s="62"/>
      <c r="AD2214" s="58"/>
      <c r="AE2214" s="56"/>
      <c r="AF2214" s="56"/>
    </row>
    <row r="2215" spans="1:34" x14ac:dyDescent="0.3">
      <c r="A2215" s="47">
        <f>A2214+1</f>
        <v>1988</v>
      </c>
      <c r="B2215" s="414" t="s">
        <v>2735</v>
      </c>
      <c r="C2215" s="51">
        <f>D2215+K2215+L2215+N2215+P2215+R2215+S2215+U2215+V2215+W2215</f>
        <v>14759862</v>
      </c>
      <c r="D2215" s="51">
        <f>E2215+F2215+G2215+H2215+I2215</f>
        <v>0</v>
      </c>
      <c r="E2215" s="51"/>
      <c r="F2215" s="51"/>
      <c r="G2215" s="51"/>
      <c r="H2215" s="51"/>
      <c r="I2215" s="51"/>
      <c r="J2215" s="51"/>
      <c r="K2215" s="51"/>
      <c r="L2215" s="51"/>
      <c r="M2215" s="35"/>
      <c r="N2215" s="51"/>
      <c r="O2215" s="82"/>
      <c r="P2215" s="51"/>
      <c r="Q2215" s="338">
        <v>2756</v>
      </c>
      <c r="R2215" s="51">
        <v>14759862</v>
      </c>
      <c r="S2215" s="51"/>
      <c r="T2215" s="338"/>
      <c r="U2215" s="51"/>
      <c r="V2215" s="35"/>
      <c r="W2215" s="364"/>
      <c r="X2215" s="285"/>
      <c r="Y2215" s="48"/>
      <c r="Z2215" s="48"/>
      <c r="AA2215" s="61"/>
      <c r="AB2215" s="62"/>
      <c r="AC2215" s="62"/>
      <c r="AD2215" s="58"/>
      <c r="AE2215" s="56"/>
      <c r="AF2215" s="56"/>
    </row>
    <row r="2216" spans="1:34" x14ac:dyDescent="0.3">
      <c r="A2216" s="47">
        <f t="shared" ref="A2216:A2217" si="513">A2215+1</f>
        <v>1989</v>
      </c>
      <c r="B2216" s="414" t="s">
        <v>2739</v>
      </c>
      <c r="C2216" s="51">
        <f>D2216+K2216+L2216+N2216+P2216+R2216+S2216+U2216+V2216+W2216</f>
        <v>18300116.140000001</v>
      </c>
      <c r="D2216" s="51">
        <f>E2216+F2216+G2216+H2216+I2216</f>
        <v>0</v>
      </c>
      <c r="E2216" s="51"/>
      <c r="F2216" s="51"/>
      <c r="G2216" s="51"/>
      <c r="H2216" s="51"/>
      <c r="I2216" s="51"/>
      <c r="J2216" s="51"/>
      <c r="K2216" s="51"/>
      <c r="L2216" s="51"/>
      <c r="M2216" s="35"/>
      <c r="N2216" s="51"/>
      <c r="O2216" s="82"/>
      <c r="P2216" s="51"/>
      <c r="Q2216" s="338">
        <v>4044.91</v>
      </c>
      <c r="R2216" s="51">
        <v>18300116.140000001</v>
      </c>
      <c r="S2216" s="51"/>
      <c r="T2216" s="338"/>
      <c r="U2216" s="51"/>
      <c r="V2216" s="35"/>
      <c r="W2216" s="364"/>
      <c r="X2216" s="285"/>
      <c r="Y2216" s="48"/>
      <c r="Z2216" s="48"/>
      <c r="AA2216" s="61"/>
      <c r="AB2216" s="62"/>
      <c r="AC2216" s="62"/>
      <c r="AD2216" s="58"/>
      <c r="AE2216" s="56"/>
      <c r="AF2216" s="56"/>
    </row>
    <row r="2217" spans="1:34" x14ac:dyDescent="0.3">
      <c r="A2217" s="47">
        <f t="shared" si="513"/>
        <v>1990</v>
      </c>
      <c r="B2217" s="414" t="s">
        <v>2740</v>
      </c>
      <c r="C2217" s="51">
        <f>D2217+K2217+L2217+N2217+P2217+R2217+S2217+U2217+V2217+W2217</f>
        <v>678887</v>
      </c>
      <c r="D2217" s="51">
        <f>E2217+F2217+G2217+H2217+I2217</f>
        <v>678887</v>
      </c>
      <c r="E2217" s="51"/>
      <c r="F2217" s="51">
        <f>5502*13+607361</f>
        <v>678887</v>
      </c>
      <c r="G2217" s="51"/>
      <c r="H2217" s="51"/>
      <c r="I2217" s="51"/>
      <c r="J2217" s="51"/>
      <c r="K2217" s="51"/>
      <c r="L2217" s="51"/>
      <c r="M2217" s="35"/>
      <c r="N2217" s="51"/>
      <c r="O2217" s="82"/>
      <c r="P2217" s="51"/>
      <c r="Q2217" s="338"/>
      <c r="R2217" s="51"/>
      <c r="S2217" s="51"/>
      <c r="T2217" s="338"/>
      <c r="U2217" s="51"/>
      <c r="V2217" s="35"/>
      <c r="W2217" s="364"/>
      <c r="X2217" s="285"/>
      <c r="Y2217" s="48"/>
      <c r="Z2217" s="48"/>
      <c r="AA2217" s="61"/>
      <c r="AB2217" s="62"/>
      <c r="AC2217" s="62"/>
      <c r="AD2217" s="58"/>
    </row>
    <row r="2218" spans="1:34" x14ac:dyDescent="0.3">
      <c r="A2218" s="439" t="s">
        <v>211</v>
      </c>
      <c r="B2218" s="399"/>
      <c r="C2218" s="51">
        <f>SUM(C2214:C2217)</f>
        <v>56944465.480000004</v>
      </c>
      <c r="D2218" s="51">
        <f t="shared" ref="D2218:W2218" si="514">SUM(D2214:D2217)</f>
        <v>678887</v>
      </c>
      <c r="E2218" s="51">
        <f t="shared" si="514"/>
        <v>0</v>
      </c>
      <c r="F2218" s="51">
        <f t="shared" si="514"/>
        <v>678887</v>
      </c>
      <c r="G2218" s="51">
        <f t="shared" si="514"/>
        <v>0</v>
      </c>
      <c r="H2218" s="51">
        <f t="shared" si="514"/>
        <v>0</v>
      </c>
      <c r="I2218" s="51">
        <f t="shared" si="514"/>
        <v>0</v>
      </c>
      <c r="J2218" s="51">
        <f t="shared" si="514"/>
        <v>0</v>
      </c>
      <c r="K2218" s="51">
        <f t="shared" si="514"/>
        <v>0</v>
      </c>
      <c r="L2218" s="51">
        <f t="shared" si="514"/>
        <v>0</v>
      </c>
      <c r="M2218" s="35">
        <f t="shared" si="514"/>
        <v>0</v>
      </c>
      <c r="N2218" s="51">
        <f t="shared" si="514"/>
        <v>0</v>
      </c>
      <c r="O2218" s="82">
        <f t="shared" si="514"/>
        <v>0</v>
      </c>
      <c r="P2218" s="51">
        <f t="shared" si="514"/>
        <v>0</v>
      </c>
      <c r="Q2218" s="338">
        <f t="shared" si="514"/>
        <v>12714.285</v>
      </c>
      <c r="R2218" s="51">
        <f t="shared" si="514"/>
        <v>56265578.480000004</v>
      </c>
      <c r="S2218" s="51">
        <f t="shared" si="514"/>
        <v>0</v>
      </c>
      <c r="T2218" s="338">
        <f t="shared" si="514"/>
        <v>0</v>
      </c>
      <c r="U2218" s="51">
        <f t="shared" si="514"/>
        <v>0</v>
      </c>
      <c r="V2218" s="35">
        <f t="shared" si="514"/>
        <v>0</v>
      </c>
      <c r="W2218" s="51">
        <f t="shared" si="514"/>
        <v>0</v>
      </c>
      <c r="X2218" s="285"/>
      <c r="Y2218" s="48"/>
      <c r="Z2218" s="48"/>
      <c r="AA2218" s="61"/>
      <c r="AB2218" s="62"/>
      <c r="AC2218" s="62"/>
      <c r="AD2218" s="58"/>
      <c r="AE2218" s="56"/>
      <c r="AF2218" s="56"/>
    </row>
    <row r="2219" spans="1:34" x14ac:dyDescent="0.3">
      <c r="A2219" s="435" t="s">
        <v>2741</v>
      </c>
      <c r="B2219" s="363"/>
      <c r="C2219" s="51">
        <f>C2209+C2218+C2212</f>
        <v>130659058.52</v>
      </c>
      <c r="D2219" s="51">
        <f t="shared" ref="D2219:W2219" si="515">D2209+D2218+D2212</f>
        <v>1408604</v>
      </c>
      <c r="E2219" s="51">
        <f t="shared" si="515"/>
        <v>0</v>
      </c>
      <c r="F2219" s="51">
        <f t="shared" si="515"/>
        <v>1357774</v>
      </c>
      <c r="G2219" s="51">
        <f t="shared" si="515"/>
        <v>50830</v>
      </c>
      <c r="H2219" s="51">
        <f t="shared" si="515"/>
        <v>0</v>
      </c>
      <c r="I2219" s="51">
        <f t="shared" si="515"/>
        <v>0</v>
      </c>
      <c r="J2219" s="51">
        <f t="shared" si="515"/>
        <v>0</v>
      </c>
      <c r="K2219" s="51">
        <f t="shared" si="515"/>
        <v>0</v>
      </c>
      <c r="L2219" s="51">
        <f t="shared" si="515"/>
        <v>0</v>
      </c>
      <c r="M2219" s="35">
        <f t="shared" si="515"/>
        <v>0</v>
      </c>
      <c r="N2219" s="51">
        <f t="shared" si="515"/>
        <v>0</v>
      </c>
      <c r="O2219" s="82">
        <f t="shared" si="515"/>
        <v>0</v>
      </c>
      <c r="P2219" s="51">
        <f t="shared" si="515"/>
        <v>0</v>
      </c>
      <c r="Q2219" s="338">
        <f t="shared" si="515"/>
        <v>26747.285</v>
      </c>
      <c r="R2219" s="51">
        <f t="shared" si="515"/>
        <v>128525271.52</v>
      </c>
      <c r="S2219" s="51">
        <f t="shared" si="515"/>
        <v>0</v>
      </c>
      <c r="T2219" s="338">
        <f t="shared" si="515"/>
        <v>0</v>
      </c>
      <c r="U2219" s="51">
        <f t="shared" si="515"/>
        <v>0</v>
      </c>
      <c r="V2219" s="35">
        <f t="shared" si="515"/>
        <v>725183</v>
      </c>
      <c r="W2219" s="51">
        <f t="shared" si="515"/>
        <v>0</v>
      </c>
      <c r="X2219" s="285"/>
      <c r="Y2219" s="48"/>
      <c r="Z2219" s="48"/>
      <c r="AA2219" s="61"/>
      <c r="AB2219" s="62"/>
      <c r="AC2219" s="62"/>
      <c r="AD2219" s="58"/>
      <c r="AE2219" s="56"/>
      <c r="AF2219" s="56"/>
    </row>
    <row r="2220" spans="1:34" x14ac:dyDescent="0.3">
      <c r="A2220" s="435" t="s">
        <v>2744</v>
      </c>
      <c r="B2220" s="363"/>
      <c r="C2220" s="363"/>
      <c r="D2220" s="363"/>
      <c r="E2220" s="363"/>
      <c r="F2220" s="363"/>
      <c r="G2220" s="363"/>
      <c r="H2220" s="363"/>
      <c r="I2220" s="363"/>
      <c r="J2220" s="363"/>
      <c r="K2220" s="363"/>
      <c r="L2220" s="363"/>
      <c r="M2220" s="393"/>
      <c r="N2220" s="363"/>
      <c r="O2220" s="391"/>
      <c r="P2220" s="363"/>
      <c r="Q2220" s="392"/>
      <c r="R2220" s="363"/>
      <c r="S2220" s="363"/>
      <c r="T2220" s="392"/>
      <c r="U2220" s="363"/>
      <c r="V2220" s="393"/>
      <c r="W2220" s="363"/>
      <c r="X2220" s="9"/>
      <c r="Y2220" s="9"/>
      <c r="Z2220" s="9"/>
      <c r="AA2220" s="9"/>
      <c r="AB2220" s="9"/>
      <c r="AC2220" s="9"/>
      <c r="AD2220" s="40"/>
      <c r="AE2220" s="56"/>
      <c r="AF2220" s="56"/>
      <c r="AG2220" s="56"/>
      <c r="AH2220" s="56"/>
    </row>
    <row r="2221" spans="1:34" ht="15" customHeight="1" x14ac:dyDescent="0.3">
      <c r="A2221" s="434" t="s">
        <v>3915</v>
      </c>
      <c r="B2221" s="414"/>
      <c r="C2221" s="51"/>
      <c r="D2221" s="51"/>
      <c r="E2221" s="51"/>
      <c r="F2221" s="51"/>
      <c r="G2221" s="51"/>
      <c r="H2221" s="51"/>
      <c r="I2221" s="51"/>
      <c r="J2221" s="51"/>
      <c r="K2221" s="51"/>
      <c r="L2221" s="51"/>
      <c r="M2221" s="35"/>
      <c r="N2221" s="51"/>
      <c r="O2221" s="82"/>
      <c r="P2221" s="51"/>
      <c r="Q2221" s="338"/>
      <c r="R2221" s="51"/>
      <c r="S2221" s="51"/>
      <c r="T2221" s="338"/>
      <c r="U2221" s="51"/>
      <c r="V2221" s="35"/>
      <c r="W2221" s="51"/>
      <c r="X2221" s="9"/>
      <c r="Y2221" s="9"/>
      <c r="Z2221" s="9"/>
      <c r="AA2221" s="9"/>
      <c r="AB2221" s="9"/>
      <c r="AC2221" s="9"/>
      <c r="AD2221" s="40"/>
      <c r="AE2221" s="56"/>
      <c r="AF2221" s="56"/>
      <c r="AG2221" s="56"/>
      <c r="AH2221" s="56"/>
    </row>
    <row r="2222" spans="1:34" x14ac:dyDescent="0.3">
      <c r="A2222" s="47">
        <f>A2217+1</f>
        <v>1991</v>
      </c>
      <c r="B2222" s="414" t="s">
        <v>3916</v>
      </c>
      <c r="C2222" s="51">
        <f>D2222+K2222+L2222+N2222+P2222+R2222+S2222+U2222+V2222+W2222</f>
        <v>105222</v>
      </c>
      <c r="D2222" s="51">
        <f>E2222+F2222+G2222+H2222+I2222</f>
        <v>0</v>
      </c>
      <c r="E2222" s="51"/>
      <c r="F2222" s="51"/>
      <c r="G2222" s="51"/>
      <c r="H2222" s="51"/>
      <c r="I2222" s="51"/>
      <c r="J2222" s="51"/>
      <c r="K2222" s="51"/>
      <c r="L2222" s="51"/>
      <c r="M2222" s="35">
        <v>13</v>
      </c>
      <c r="N2222" s="51">
        <f>13*8094</f>
        <v>105222</v>
      </c>
      <c r="O2222" s="82"/>
      <c r="P2222" s="51"/>
      <c r="Q2222" s="338"/>
      <c r="R2222" s="51"/>
      <c r="S2222" s="51"/>
      <c r="T2222" s="338"/>
      <c r="U2222" s="51"/>
      <c r="V2222" s="35"/>
      <c r="W2222" s="51"/>
      <c r="X2222" s="9"/>
      <c r="Y2222" s="9"/>
      <c r="Z2222" s="9"/>
      <c r="AA2222" s="9"/>
      <c r="AB2222" s="9"/>
      <c r="AC2222" s="9"/>
      <c r="AD2222" s="40"/>
      <c r="AE2222" s="56"/>
      <c r="AF2222" s="56"/>
      <c r="AG2222" s="56"/>
      <c r="AH2222" s="56"/>
    </row>
    <row r="2223" spans="1:34" x14ac:dyDescent="0.3">
      <c r="A2223" s="439" t="s">
        <v>211</v>
      </c>
      <c r="B2223" s="399"/>
      <c r="C2223" s="51">
        <f>C2222</f>
        <v>105222</v>
      </c>
      <c r="D2223" s="51">
        <f>D2222</f>
        <v>0</v>
      </c>
      <c r="E2223" s="51"/>
      <c r="F2223" s="51"/>
      <c r="G2223" s="51"/>
      <c r="H2223" s="51"/>
      <c r="I2223" s="51"/>
      <c r="J2223" s="51"/>
      <c r="K2223" s="51"/>
      <c r="L2223" s="51"/>
      <c r="M2223" s="35"/>
      <c r="N2223" s="51"/>
      <c r="O2223" s="82"/>
      <c r="P2223" s="51"/>
      <c r="Q2223" s="338"/>
      <c r="R2223" s="51"/>
      <c r="S2223" s="51"/>
      <c r="T2223" s="338"/>
      <c r="U2223" s="51"/>
      <c r="V2223" s="35"/>
      <c r="W2223" s="51"/>
      <c r="X2223" s="9"/>
      <c r="Y2223" s="9"/>
      <c r="Z2223" s="9"/>
      <c r="AA2223" s="9"/>
      <c r="AB2223" s="9"/>
      <c r="AC2223" s="9"/>
      <c r="AD2223" s="40"/>
      <c r="AE2223" s="56"/>
      <c r="AF2223" s="56"/>
      <c r="AG2223" s="56"/>
      <c r="AH2223" s="56"/>
    </row>
    <row r="2224" spans="1:34" x14ac:dyDescent="0.3">
      <c r="A2224" s="435" t="s">
        <v>2755</v>
      </c>
      <c r="B2224" s="363"/>
      <c r="C2224" s="51"/>
      <c r="D2224" s="51"/>
      <c r="E2224" s="51"/>
      <c r="F2224" s="51"/>
      <c r="G2224" s="51"/>
      <c r="H2224" s="51"/>
      <c r="I2224" s="51"/>
      <c r="J2224" s="51"/>
      <c r="K2224" s="51"/>
      <c r="L2224" s="51"/>
      <c r="M2224" s="35"/>
      <c r="N2224" s="51"/>
      <c r="O2224" s="82"/>
      <c r="P2224" s="51"/>
      <c r="Q2224" s="338"/>
      <c r="R2224" s="51"/>
      <c r="S2224" s="51"/>
      <c r="T2224" s="338"/>
      <c r="U2224" s="51"/>
      <c r="V2224" s="35"/>
      <c r="W2224" s="364"/>
      <c r="X2224" s="9"/>
      <c r="Y2224" s="9"/>
      <c r="Z2224" s="9"/>
      <c r="AA2224" s="9"/>
      <c r="AB2224" s="9"/>
      <c r="AC2224" s="9"/>
      <c r="AD2224" s="40"/>
      <c r="AE2224" s="56"/>
      <c r="AF2224" s="56"/>
      <c r="AG2224" s="56"/>
      <c r="AH2224" s="56"/>
    </row>
    <row r="2225" spans="1:34" x14ac:dyDescent="0.3">
      <c r="A2225" s="47">
        <f>A2222+1</f>
        <v>1992</v>
      </c>
      <c r="B2225" s="414" t="s">
        <v>2759</v>
      </c>
      <c r="C2225" s="51">
        <f>D2225+K2225+L2225+N2225+P2225+R2225+S2225+U2225+V2225+W2225</f>
        <v>393267</v>
      </c>
      <c r="D2225" s="51">
        <f>E2225+F2225+G2225+H2225+I2225</f>
        <v>393267</v>
      </c>
      <c r="E2225" s="51">
        <f>13*2688+358323</f>
        <v>393267</v>
      </c>
      <c r="F2225" s="51"/>
      <c r="G2225" s="51"/>
      <c r="H2225" s="51"/>
      <c r="I2225" s="51"/>
      <c r="J2225" s="51"/>
      <c r="K2225" s="51"/>
      <c r="L2225" s="51"/>
      <c r="M2225" s="35"/>
      <c r="N2225" s="51"/>
      <c r="O2225" s="82"/>
      <c r="P2225" s="51"/>
      <c r="Q2225" s="338"/>
      <c r="R2225" s="51"/>
      <c r="S2225" s="51"/>
      <c r="T2225" s="338"/>
      <c r="U2225" s="51"/>
      <c r="V2225" s="35"/>
      <c r="W2225" s="364"/>
      <c r="X2225" s="9"/>
      <c r="Y2225" s="9"/>
      <c r="Z2225" s="9"/>
      <c r="AA2225" s="9"/>
      <c r="AB2225" s="9"/>
      <c r="AC2225" s="9"/>
      <c r="AD2225" s="40"/>
      <c r="AE2225" s="56"/>
      <c r="AF2225" s="56"/>
      <c r="AG2225" s="56"/>
      <c r="AH2225" s="56"/>
    </row>
    <row r="2226" spans="1:34" x14ac:dyDescent="0.3">
      <c r="A2226" s="439" t="s">
        <v>211</v>
      </c>
      <c r="B2226" s="399"/>
      <c r="C2226" s="51">
        <f t="shared" ref="C2226:R2226" si="516">SUM(C2225:C2225)</f>
        <v>393267</v>
      </c>
      <c r="D2226" s="51">
        <f t="shared" si="516"/>
        <v>393267</v>
      </c>
      <c r="E2226" s="51">
        <f t="shared" si="516"/>
        <v>393267</v>
      </c>
      <c r="F2226" s="51">
        <f t="shared" si="516"/>
        <v>0</v>
      </c>
      <c r="G2226" s="51">
        <f t="shared" si="516"/>
        <v>0</v>
      </c>
      <c r="H2226" s="51">
        <f t="shared" si="516"/>
        <v>0</v>
      </c>
      <c r="I2226" s="51">
        <f t="shared" si="516"/>
        <v>0</v>
      </c>
      <c r="J2226" s="51">
        <f t="shared" si="516"/>
        <v>0</v>
      </c>
      <c r="K2226" s="51">
        <f t="shared" si="516"/>
        <v>0</v>
      </c>
      <c r="L2226" s="51">
        <f t="shared" si="516"/>
        <v>0</v>
      </c>
      <c r="M2226" s="35">
        <f t="shared" si="516"/>
        <v>0</v>
      </c>
      <c r="N2226" s="51">
        <f t="shared" si="516"/>
        <v>0</v>
      </c>
      <c r="O2226" s="82">
        <f t="shared" si="516"/>
        <v>0</v>
      </c>
      <c r="P2226" s="51">
        <f t="shared" si="516"/>
        <v>0</v>
      </c>
      <c r="Q2226" s="338">
        <f t="shared" si="516"/>
        <v>0</v>
      </c>
      <c r="R2226" s="51">
        <f t="shared" si="516"/>
        <v>0</v>
      </c>
      <c r="S2226" s="51">
        <f>SUM(S2225:S2225)</f>
        <v>0</v>
      </c>
      <c r="T2226" s="338">
        <f>SUM(T2225:T2225)</f>
        <v>0</v>
      </c>
      <c r="U2226" s="51">
        <f>SUM(U2225:U2225)</f>
        <v>0</v>
      </c>
      <c r="V2226" s="35">
        <f>SUM(V2225:V2225)</f>
        <v>0</v>
      </c>
      <c r="W2226" s="51">
        <f>SUM(W2225:W2225)</f>
        <v>0</v>
      </c>
      <c r="X2226" s="9"/>
      <c r="Y2226" s="9"/>
      <c r="Z2226" s="9"/>
      <c r="AA2226" s="9"/>
      <c r="AB2226" s="9"/>
      <c r="AC2226" s="9"/>
      <c r="AD2226" s="40"/>
      <c r="AE2226" s="56"/>
      <c r="AF2226" s="56"/>
      <c r="AG2226" s="56"/>
      <c r="AH2226" s="56"/>
    </row>
    <row r="2227" spans="1:34" x14ac:dyDescent="0.3">
      <c r="A2227" s="435" t="s">
        <v>2765</v>
      </c>
      <c r="B2227" s="363"/>
      <c r="C2227" s="51"/>
      <c r="D2227" s="51"/>
      <c r="E2227" s="51"/>
      <c r="F2227" s="51"/>
      <c r="G2227" s="51"/>
      <c r="H2227" s="51"/>
      <c r="I2227" s="51"/>
      <c r="J2227" s="51"/>
      <c r="K2227" s="51"/>
      <c r="L2227" s="51"/>
      <c r="M2227" s="35"/>
      <c r="N2227" s="51"/>
      <c r="O2227" s="82"/>
      <c r="P2227" s="51"/>
      <c r="Q2227" s="338"/>
      <c r="R2227" s="51"/>
      <c r="S2227" s="51"/>
      <c r="T2227" s="338"/>
      <c r="U2227" s="51"/>
      <c r="V2227" s="35"/>
      <c r="W2227" s="364"/>
      <c r="X2227" s="9"/>
      <c r="Y2227" s="9"/>
      <c r="Z2227" s="9"/>
      <c r="AA2227" s="9"/>
      <c r="AB2227" s="9"/>
      <c r="AC2227" s="9"/>
      <c r="AD2227" s="40"/>
      <c r="AE2227" s="56"/>
      <c r="AF2227" s="56"/>
      <c r="AG2227" s="56"/>
      <c r="AH2227" s="56"/>
    </row>
    <row r="2228" spans="1:34" x14ac:dyDescent="0.3">
      <c r="A2228" s="47">
        <f>A2225+1</f>
        <v>1993</v>
      </c>
      <c r="B2228" s="414" t="s">
        <v>2774</v>
      </c>
      <c r="C2228" s="51">
        <f>D2228+K2228+L2228+N2228+P2228+R2228+S2228+U2228+V2228+W2228</f>
        <v>2367641.36</v>
      </c>
      <c r="D2228" s="51">
        <f>E2228+F2228+G2228+H2228+I2228</f>
        <v>0</v>
      </c>
      <c r="E2228" s="51"/>
      <c r="F2228" s="51"/>
      <c r="G2228" s="51"/>
      <c r="H2228" s="51"/>
      <c r="I2228" s="51"/>
      <c r="J2228" s="51"/>
      <c r="K2228" s="51"/>
      <c r="L2228" s="51"/>
      <c r="M2228" s="35">
        <v>443</v>
      </c>
      <c r="N2228" s="51">
        <v>2367641.36</v>
      </c>
      <c r="O2228" s="82"/>
      <c r="P2228" s="51"/>
      <c r="Q2228" s="338"/>
      <c r="R2228" s="51"/>
      <c r="S2228" s="51"/>
      <c r="T2228" s="338"/>
      <c r="U2228" s="51"/>
      <c r="V2228" s="35"/>
      <c r="W2228" s="364"/>
      <c r="X2228" s="9"/>
      <c r="Y2228" s="9"/>
      <c r="Z2228" s="9"/>
      <c r="AA2228" s="9"/>
      <c r="AB2228" s="9"/>
      <c r="AC2228" s="9"/>
      <c r="AD2228" s="40"/>
      <c r="AE2228" s="56"/>
      <c r="AF2228" s="56"/>
      <c r="AG2228" s="56"/>
      <c r="AH2228" s="56"/>
    </row>
    <row r="2229" spans="1:34" x14ac:dyDescent="0.3">
      <c r="A2229" s="439" t="s">
        <v>211</v>
      </c>
      <c r="B2229" s="399"/>
      <c r="C2229" s="51">
        <f t="shared" ref="C2229:R2229" si="517">SUM(C2228:C2228)</f>
        <v>2367641.36</v>
      </c>
      <c r="D2229" s="51">
        <f t="shared" si="517"/>
        <v>0</v>
      </c>
      <c r="E2229" s="51">
        <f t="shared" si="517"/>
        <v>0</v>
      </c>
      <c r="F2229" s="51">
        <f t="shared" si="517"/>
        <v>0</v>
      </c>
      <c r="G2229" s="51">
        <f t="shared" si="517"/>
        <v>0</v>
      </c>
      <c r="H2229" s="51">
        <f t="shared" si="517"/>
        <v>0</v>
      </c>
      <c r="I2229" s="51">
        <f t="shared" si="517"/>
        <v>0</v>
      </c>
      <c r="J2229" s="51">
        <f t="shared" si="517"/>
        <v>0</v>
      </c>
      <c r="K2229" s="51">
        <f t="shared" si="517"/>
        <v>0</v>
      </c>
      <c r="L2229" s="51">
        <f t="shared" si="517"/>
        <v>0</v>
      </c>
      <c r="M2229" s="35">
        <f t="shared" si="517"/>
        <v>443</v>
      </c>
      <c r="N2229" s="51">
        <f t="shared" si="517"/>
        <v>2367641.36</v>
      </c>
      <c r="O2229" s="82">
        <f t="shared" si="517"/>
        <v>0</v>
      </c>
      <c r="P2229" s="51">
        <f t="shared" si="517"/>
        <v>0</v>
      </c>
      <c r="Q2229" s="338">
        <f t="shared" si="517"/>
        <v>0</v>
      </c>
      <c r="R2229" s="51">
        <f t="shared" si="517"/>
        <v>0</v>
      </c>
      <c r="S2229" s="51">
        <f>SUM(S2228:S2228)</f>
        <v>0</v>
      </c>
      <c r="T2229" s="338">
        <f>SUM(T2228:T2228)</f>
        <v>0</v>
      </c>
      <c r="U2229" s="51">
        <f>SUM(U2228:U2228)</f>
        <v>0</v>
      </c>
      <c r="V2229" s="35">
        <f>SUM(V2228:V2228)</f>
        <v>0</v>
      </c>
      <c r="W2229" s="51">
        <f>SUM(W2228:W2228)</f>
        <v>0</v>
      </c>
      <c r="X2229" s="9"/>
      <c r="Y2229" s="9"/>
      <c r="Z2229" s="9"/>
      <c r="AA2229" s="9"/>
      <c r="AB2229" s="9"/>
      <c r="AC2229" s="9"/>
      <c r="AD2229" s="40"/>
      <c r="AE2229" s="56"/>
      <c r="AF2229" s="56"/>
      <c r="AG2229" s="56"/>
      <c r="AH2229" s="56"/>
    </row>
    <row r="2230" spans="1:34" x14ac:dyDescent="0.3">
      <c r="A2230" s="435" t="s">
        <v>2778</v>
      </c>
      <c r="B2230" s="363"/>
      <c r="C2230" s="51"/>
      <c r="D2230" s="51"/>
      <c r="E2230" s="51"/>
      <c r="F2230" s="51"/>
      <c r="G2230" s="51"/>
      <c r="H2230" s="51"/>
      <c r="I2230" s="51"/>
      <c r="J2230" s="51"/>
      <c r="K2230" s="51"/>
      <c r="L2230" s="51"/>
      <c r="M2230" s="35"/>
      <c r="N2230" s="51"/>
      <c r="O2230" s="82"/>
      <c r="P2230" s="51"/>
      <c r="Q2230" s="338"/>
      <c r="R2230" s="51"/>
      <c r="S2230" s="51"/>
      <c r="T2230" s="338"/>
      <c r="U2230" s="51"/>
      <c r="V2230" s="35"/>
      <c r="W2230" s="364"/>
      <c r="X2230" s="9"/>
      <c r="Y2230" s="9"/>
      <c r="Z2230" s="9"/>
      <c r="AA2230" s="9"/>
      <c r="AB2230" s="9"/>
      <c r="AC2230" s="9"/>
      <c r="AD2230" s="40"/>
      <c r="AE2230" s="56"/>
      <c r="AF2230" s="56"/>
      <c r="AG2230" s="56"/>
      <c r="AH2230" s="56"/>
    </row>
    <row r="2231" spans="1:34" x14ac:dyDescent="0.3">
      <c r="A2231" s="47">
        <f>A2228+1</f>
        <v>1994</v>
      </c>
      <c r="B2231" s="414" t="s">
        <v>2779</v>
      </c>
      <c r="C2231" s="51">
        <f t="shared" ref="C2231:C2238" si="518">D2231+K2231+L2231+N2231+P2231+R2231+S2231+U2231+V2231+W2231</f>
        <v>143568.54</v>
      </c>
      <c r="D2231" s="51">
        <f t="shared" ref="D2231:D2267" si="519">E2231+F2231+G2231+H2231+I2231</f>
        <v>0</v>
      </c>
      <c r="E2231" s="51"/>
      <c r="F2231" s="51"/>
      <c r="G2231" s="51"/>
      <c r="H2231" s="51"/>
      <c r="I2231" s="51"/>
      <c r="J2231" s="51"/>
      <c r="K2231" s="51"/>
      <c r="L2231" s="51"/>
      <c r="M2231" s="35"/>
      <c r="N2231" s="51"/>
      <c r="O2231" s="82"/>
      <c r="P2231" s="51"/>
      <c r="Q2231" s="338"/>
      <c r="R2231" s="51"/>
      <c r="S2231" s="51"/>
      <c r="T2231" s="338"/>
      <c r="U2231" s="51"/>
      <c r="V2231" s="35"/>
      <c r="W2231" s="364">
        <f t="shared" ref="W2231:W2267" si="520">SUM(X2231:AH2231)</f>
        <v>143568.54</v>
      </c>
      <c r="X2231" s="9"/>
      <c r="Y2231" s="9"/>
      <c r="Z2231" s="9"/>
      <c r="AA2231" s="9"/>
      <c r="AB2231" s="9"/>
      <c r="AC2231" s="9">
        <v>143568.54</v>
      </c>
      <c r="AD2231" s="40"/>
      <c r="AE2231" s="56"/>
      <c r="AF2231" s="56"/>
      <c r="AG2231" s="56"/>
      <c r="AH2231" s="56"/>
    </row>
    <row r="2232" spans="1:34" x14ac:dyDescent="0.3">
      <c r="A2232" s="47">
        <f>A2231+1</f>
        <v>1995</v>
      </c>
      <c r="B2232" s="414" t="s">
        <v>2780</v>
      </c>
      <c r="C2232" s="51">
        <f t="shared" si="518"/>
        <v>143876.62</v>
      </c>
      <c r="D2232" s="51">
        <f t="shared" si="519"/>
        <v>0</v>
      </c>
      <c r="E2232" s="51"/>
      <c r="F2232" s="51"/>
      <c r="G2232" s="51"/>
      <c r="H2232" s="51"/>
      <c r="I2232" s="51"/>
      <c r="J2232" s="51"/>
      <c r="K2232" s="51"/>
      <c r="L2232" s="51"/>
      <c r="M2232" s="35"/>
      <c r="N2232" s="51"/>
      <c r="O2232" s="82"/>
      <c r="P2232" s="51"/>
      <c r="Q2232" s="338"/>
      <c r="R2232" s="51"/>
      <c r="S2232" s="51"/>
      <c r="T2232" s="338"/>
      <c r="U2232" s="51"/>
      <c r="V2232" s="35"/>
      <c r="W2232" s="364">
        <f t="shared" si="520"/>
        <v>143876.62</v>
      </c>
      <c r="X2232" s="9"/>
      <c r="Y2232" s="9"/>
      <c r="Z2232" s="9"/>
      <c r="AA2232" s="9"/>
      <c r="AB2232" s="9"/>
      <c r="AC2232" s="9">
        <v>143876.62</v>
      </c>
      <c r="AD2232" s="40"/>
      <c r="AE2232" s="56"/>
      <c r="AF2232" s="56"/>
      <c r="AG2232" s="56"/>
      <c r="AH2232" s="56"/>
    </row>
    <row r="2233" spans="1:34" x14ac:dyDescent="0.3">
      <c r="A2233" s="47">
        <f t="shared" ref="A2233:A2267" si="521">A2232+1</f>
        <v>1996</v>
      </c>
      <c r="B2233" s="414" t="s">
        <v>2781</v>
      </c>
      <c r="C2233" s="51">
        <f t="shared" si="518"/>
        <v>143106.43</v>
      </c>
      <c r="D2233" s="51">
        <f t="shared" si="519"/>
        <v>0</v>
      </c>
      <c r="E2233" s="51"/>
      <c r="F2233" s="51"/>
      <c r="G2233" s="51"/>
      <c r="H2233" s="51"/>
      <c r="I2233" s="51"/>
      <c r="J2233" s="51"/>
      <c r="K2233" s="51"/>
      <c r="L2233" s="51"/>
      <c r="M2233" s="35"/>
      <c r="N2233" s="51"/>
      <c r="O2233" s="82"/>
      <c r="P2233" s="51"/>
      <c r="Q2233" s="338"/>
      <c r="R2233" s="51"/>
      <c r="S2233" s="51"/>
      <c r="T2233" s="338"/>
      <c r="U2233" s="51"/>
      <c r="V2233" s="35"/>
      <c r="W2233" s="364">
        <f t="shared" si="520"/>
        <v>143106.43</v>
      </c>
      <c r="X2233" s="9"/>
      <c r="Y2233" s="9"/>
      <c r="Z2233" s="9"/>
      <c r="AA2233" s="9"/>
      <c r="AB2233" s="9"/>
      <c r="AC2233" s="9">
        <v>143106.43</v>
      </c>
      <c r="AD2233" s="40"/>
      <c r="AE2233" s="56"/>
      <c r="AF2233" s="56"/>
      <c r="AG2233" s="56"/>
      <c r="AH2233" s="56"/>
    </row>
    <row r="2234" spans="1:34" x14ac:dyDescent="0.3">
      <c r="A2234" s="47">
        <f t="shared" si="521"/>
        <v>1997</v>
      </c>
      <c r="B2234" s="414" t="s">
        <v>2782</v>
      </c>
      <c r="C2234" s="51">
        <f t="shared" si="518"/>
        <v>144107.69</v>
      </c>
      <c r="D2234" s="51">
        <f t="shared" si="519"/>
        <v>0</v>
      </c>
      <c r="E2234" s="51"/>
      <c r="F2234" s="51"/>
      <c r="G2234" s="51"/>
      <c r="H2234" s="51"/>
      <c r="I2234" s="51"/>
      <c r="J2234" s="51"/>
      <c r="K2234" s="51"/>
      <c r="L2234" s="51"/>
      <c r="M2234" s="35"/>
      <c r="N2234" s="51"/>
      <c r="O2234" s="82"/>
      <c r="P2234" s="51"/>
      <c r="Q2234" s="338"/>
      <c r="R2234" s="51"/>
      <c r="S2234" s="51"/>
      <c r="T2234" s="338"/>
      <c r="U2234" s="51"/>
      <c r="V2234" s="35"/>
      <c r="W2234" s="364">
        <f t="shared" si="520"/>
        <v>144107.69</v>
      </c>
      <c r="X2234" s="9"/>
      <c r="Y2234" s="9"/>
      <c r="Z2234" s="9"/>
      <c r="AA2234" s="9"/>
      <c r="AB2234" s="9"/>
      <c r="AC2234" s="9">
        <v>144107.69</v>
      </c>
      <c r="AD2234" s="40"/>
      <c r="AE2234" s="56"/>
      <c r="AF2234" s="56"/>
      <c r="AG2234" s="56"/>
      <c r="AH2234" s="56"/>
    </row>
    <row r="2235" spans="1:34" x14ac:dyDescent="0.3">
      <c r="A2235" s="47">
        <f t="shared" si="521"/>
        <v>1998</v>
      </c>
      <c r="B2235" s="414" t="s">
        <v>2785</v>
      </c>
      <c r="C2235" s="51">
        <f t="shared" si="518"/>
        <v>148189.72</v>
      </c>
      <c r="D2235" s="51">
        <f t="shared" si="519"/>
        <v>0</v>
      </c>
      <c r="E2235" s="51"/>
      <c r="F2235" s="51"/>
      <c r="G2235" s="51"/>
      <c r="H2235" s="51"/>
      <c r="I2235" s="51"/>
      <c r="J2235" s="51"/>
      <c r="K2235" s="51"/>
      <c r="L2235" s="51"/>
      <c r="M2235" s="35"/>
      <c r="N2235" s="51"/>
      <c r="O2235" s="82"/>
      <c r="P2235" s="51"/>
      <c r="Q2235" s="338"/>
      <c r="R2235" s="51"/>
      <c r="S2235" s="51"/>
      <c r="T2235" s="338"/>
      <c r="U2235" s="51"/>
      <c r="V2235" s="35"/>
      <c r="W2235" s="364">
        <f t="shared" si="520"/>
        <v>148189.72</v>
      </c>
      <c r="X2235" s="9"/>
      <c r="Y2235" s="9"/>
      <c r="Z2235" s="9"/>
      <c r="AA2235" s="9"/>
      <c r="AB2235" s="9"/>
      <c r="AC2235" s="9">
        <v>148189.72</v>
      </c>
      <c r="AD2235" s="40"/>
      <c r="AE2235" s="56"/>
      <c r="AF2235" s="56"/>
      <c r="AG2235" s="56"/>
      <c r="AH2235" s="56"/>
    </row>
    <row r="2236" spans="1:34" x14ac:dyDescent="0.3">
      <c r="A2236" s="47">
        <f t="shared" si="521"/>
        <v>1999</v>
      </c>
      <c r="B2236" s="414" t="s">
        <v>2786</v>
      </c>
      <c r="C2236" s="51">
        <f t="shared" si="518"/>
        <v>76153.09</v>
      </c>
      <c r="D2236" s="51">
        <f t="shared" si="519"/>
        <v>0</v>
      </c>
      <c r="E2236" s="51"/>
      <c r="F2236" s="51"/>
      <c r="G2236" s="51"/>
      <c r="H2236" s="51"/>
      <c r="I2236" s="51"/>
      <c r="J2236" s="51"/>
      <c r="K2236" s="51"/>
      <c r="L2236" s="51"/>
      <c r="M2236" s="35"/>
      <c r="N2236" s="51"/>
      <c r="O2236" s="82"/>
      <c r="P2236" s="51"/>
      <c r="Q2236" s="338"/>
      <c r="R2236" s="51"/>
      <c r="S2236" s="51"/>
      <c r="T2236" s="338"/>
      <c r="U2236" s="51"/>
      <c r="V2236" s="35"/>
      <c r="W2236" s="364">
        <f t="shared" si="520"/>
        <v>76153.09</v>
      </c>
      <c r="X2236" s="9"/>
      <c r="Y2236" s="9"/>
      <c r="Z2236" s="9"/>
      <c r="AA2236" s="9"/>
      <c r="AB2236" s="9">
        <v>76153.09</v>
      </c>
      <c r="AC2236" s="9"/>
      <c r="AD2236" s="40"/>
      <c r="AE2236" s="56"/>
      <c r="AF2236" s="56"/>
      <c r="AG2236" s="56"/>
      <c r="AH2236" s="56"/>
    </row>
    <row r="2237" spans="1:34" x14ac:dyDescent="0.3">
      <c r="A2237" s="47">
        <f t="shared" si="521"/>
        <v>2000</v>
      </c>
      <c r="B2237" s="414" t="s">
        <v>2787</v>
      </c>
      <c r="C2237" s="51">
        <f t="shared" si="518"/>
        <v>147573.56</v>
      </c>
      <c r="D2237" s="51">
        <f t="shared" si="519"/>
        <v>0</v>
      </c>
      <c r="E2237" s="51"/>
      <c r="F2237" s="51"/>
      <c r="G2237" s="51"/>
      <c r="H2237" s="51"/>
      <c r="I2237" s="51"/>
      <c r="J2237" s="51"/>
      <c r="K2237" s="51"/>
      <c r="L2237" s="51"/>
      <c r="M2237" s="35"/>
      <c r="N2237" s="51"/>
      <c r="O2237" s="82"/>
      <c r="P2237" s="51"/>
      <c r="Q2237" s="338"/>
      <c r="R2237" s="51"/>
      <c r="S2237" s="51"/>
      <c r="T2237" s="338"/>
      <c r="U2237" s="51"/>
      <c r="V2237" s="35"/>
      <c r="W2237" s="364">
        <f t="shared" si="520"/>
        <v>147573.56</v>
      </c>
      <c r="X2237" s="9"/>
      <c r="Y2237" s="9"/>
      <c r="Z2237" s="9"/>
      <c r="AA2237" s="9"/>
      <c r="AB2237" s="9"/>
      <c r="AC2237" s="9">
        <v>147573.56</v>
      </c>
      <c r="AD2237" s="40"/>
      <c r="AE2237" s="56"/>
      <c r="AF2237" s="56"/>
      <c r="AG2237" s="56"/>
      <c r="AH2237" s="56"/>
    </row>
    <row r="2238" spans="1:34" x14ac:dyDescent="0.3">
      <c r="A2238" s="47">
        <f t="shared" si="521"/>
        <v>2001</v>
      </c>
      <c r="B2238" s="414" t="s">
        <v>2783</v>
      </c>
      <c r="C2238" s="51">
        <f t="shared" si="518"/>
        <v>130000</v>
      </c>
      <c r="D2238" s="51"/>
      <c r="E2238" s="51"/>
      <c r="F2238" s="51"/>
      <c r="G2238" s="51"/>
      <c r="H2238" s="51"/>
      <c r="I2238" s="51"/>
      <c r="J2238" s="51"/>
      <c r="K2238" s="51"/>
      <c r="L2238" s="51"/>
      <c r="M2238" s="35"/>
      <c r="N2238" s="51"/>
      <c r="O2238" s="82"/>
      <c r="P2238" s="51"/>
      <c r="Q2238" s="338"/>
      <c r="R2238" s="51"/>
      <c r="S2238" s="51"/>
      <c r="T2238" s="338"/>
      <c r="U2238" s="51"/>
      <c r="V2238" s="35"/>
      <c r="W2238" s="364">
        <v>130000</v>
      </c>
      <c r="X2238" s="9"/>
      <c r="Y2238" s="9"/>
      <c r="Z2238" s="9"/>
      <c r="AA2238" s="9"/>
      <c r="AB2238" s="9"/>
      <c r="AC2238" s="9"/>
      <c r="AD2238" s="40"/>
      <c r="AE2238" s="56"/>
      <c r="AF2238" s="56"/>
      <c r="AG2238" s="56"/>
      <c r="AH2238" s="56"/>
    </row>
    <row r="2239" spans="1:34" x14ac:dyDescent="0.3">
      <c r="A2239" s="47">
        <f t="shared" si="521"/>
        <v>2002</v>
      </c>
      <c r="B2239" s="414" t="s">
        <v>2784</v>
      </c>
      <c r="C2239" s="51">
        <f t="shared" ref="C2239:C2240" si="522">D2239+K2239+L2239+N2239+P2239+R2239+S2239+U2239+V2239+W2239</f>
        <v>130000</v>
      </c>
      <c r="D2239" s="51"/>
      <c r="E2239" s="51"/>
      <c r="F2239" s="51"/>
      <c r="G2239" s="51"/>
      <c r="H2239" s="51"/>
      <c r="I2239" s="51"/>
      <c r="J2239" s="51"/>
      <c r="K2239" s="51"/>
      <c r="L2239" s="51"/>
      <c r="M2239" s="35"/>
      <c r="N2239" s="51"/>
      <c r="O2239" s="82"/>
      <c r="P2239" s="51"/>
      <c r="Q2239" s="338"/>
      <c r="R2239" s="51"/>
      <c r="S2239" s="51"/>
      <c r="T2239" s="338"/>
      <c r="U2239" s="51"/>
      <c r="V2239" s="35"/>
      <c r="W2239" s="364">
        <v>130000</v>
      </c>
      <c r="X2239" s="9"/>
      <c r="Y2239" s="9"/>
      <c r="Z2239" s="9"/>
      <c r="AA2239" s="9"/>
      <c r="AB2239" s="9"/>
      <c r="AC2239" s="9"/>
      <c r="AD2239" s="40"/>
      <c r="AE2239" s="56"/>
      <c r="AF2239" s="56"/>
      <c r="AG2239" s="56"/>
      <c r="AH2239" s="56"/>
    </row>
    <row r="2240" spans="1:34" x14ac:dyDescent="0.3">
      <c r="A2240" s="47">
        <f t="shared" si="521"/>
        <v>2003</v>
      </c>
      <c r="B2240" s="414" t="s">
        <v>2788</v>
      </c>
      <c r="C2240" s="51">
        <f t="shared" si="522"/>
        <v>401448.62</v>
      </c>
      <c r="D2240" s="51">
        <f t="shared" si="519"/>
        <v>0</v>
      </c>
      <c r="E2240" s="51"/>
      <c r="F2240" s="51"/>
      <c r="G2240" s="51"/>
      <c r="H2240" s="51"/>
      <c r="I2240" s="51"/>
      <c r="J2240" s="51"/>
      <c r="K2240" s="51"/>
      <c r="L2240" s="51"/>
      <c r="M2240" s="35"/>
      <c r="N2240" s="51"/>
      <c r="O2240" s="82"/>
      <c r="P2240" s="51"/>
      <c r="Q2240" s="338"/>
      <c r="R2240" s="51"/>
      <c r="S2240" s="51"/>
      <c r="T2240" s="338"/>
      <c r="U2240" s="51"/>
      <c r="V2240" s="35"/>
      <c r="W2240" s="364">
        <f t="shared" si="520"/>
        <v>401448.62</v>
      </c>
      <c r="X2240" s="9"/>
      <c r="Y2240" s="9"/>
      <c r="Z2240" s="9"/>
      <c r="AA2240" s="9"/>
      <c r="AB2240" s="9"/>
      <c r="AC2240" s="9">
        <v>279647.5</v>
      </c>
      <c r="AD2240" s="40">
        <v>121801.12</v>
      </c>
      <c r="AE2240" s="56"/>
      <c r="AF2240" s="56"/>
      <c r="AG2240" s="56"/>
      <c r="AH2240" s="56"/>
    </row>
    <row r="2241" spans="1:34" x14ac:dyDescent="0.3">
      <c r="A2241" s="47">
        <f t="shared" si="521"/>
        <v>2004</v>
      </c>
      <c r="B2241" s="414" t="s">
        <v>2789</v>
      </c>
      <c r="C2241" s="51">
        <f t="shared" ref="C2241:C2267" si="523">D2241+K2241+L2241+N2241+P2241+R2241+S2241+U2241+V2241+W2241</f>
        <v>134674.22</v>
      </c>
      <c r="D2241" s="51">
        <f t="shared" si="519"/>
        <v>0</v>
      </c>
      <c r="E2241" s="51"/>
      <c r="F2241" s="51"/>
      <c r="G2241" s="51"/>
      <c r="H2241" s="51"/>
      <c r="I2241" s="51"/>
      <c r="J2241" s="51"/>
      <c r="K2241" s="51"/>
      <c r="L2241" s="51"/>
      <c r="M2241" s="35"/>
      <c r="N2241" s="51"/>
      <c r="O2241" s="82"/>
      <c r="P2241" s="51"/>
      <c r="Q2241" s="338"/>
      <c r="R2241" s="51"/>
      <c r="S2241" s="51"/>
      <c r="T2241" s="338"/>
      <c r="U2241" s="51"/>
      <c r="V2241" s="35"/>
      <c r="W2241" s="364">
        <f t="shared" si="520"/>
        <v>134674.22</v>
      </c>
      <c r="X2241" s="9"/>
      <c r="Y2241" s="9"/>
      <c r="Z2241" s="9"/>
      <c r="AA2241" s="9"/>
      <c r="AB2241" s="9">
        <v>41032.629999999997</v>
      </c>
      <c r="AC2241" s="9">
        <v>93641.59</v>
      </c>
      <c r="AD2241" s="40"/>
      <c r="AE2241" s="56"/>
      <c r="AF2241" s="56"/>
      <c r="AG2241" s="56"/>
      <c r="AH2241" s="56"/>
    </row>
    <row r="2242" spans="1:34" x14ac:dyDescent="0.3">
      <c r="A2242" s="47">
        <f t="shared" si="521"/>
        <v>2005</v>
      </c>
      <c r="B2242" s="414" t="s">
        <v>2790</v>
      </c>
      <c r="C2242" s="51">
        <f t="shared" si="523"/>
        <v>134674.22</v>
      </c>
      <c r="D2242" s="51">
        <f t="shared" si="519"/>
        <v>0</v>
      </c>
      <c r="E2242" s="51"/>
      <c r="F2242" s="51"/>
      <c r="G2242" s="51"/>
      <c r="H2242" s="51"/>
      <c r="I2242" s="51"/>
      <c r="J2242" s="51"/>
      <c r="K2242" s="51"/>
      <c r="L2242" s="51"/>
      <c r="M2242" s="35"/>
      <c r="N2242" s="51"/>
      <c r="O2242" s="82"/>
      <c r="P2242" s="51"/>
      <c r="Q2242" s="338"/>
      <c r="R2242" s="51"/>
      <c r="S2242" s="51"/>
      <c r="T2242" s="338"/>
      <c r="U2242" s="51"/>
      <c r="V2242" s="35"/>
      <c r="W2242" s="364">
        <f t="shared" si="520"/>
        <v>134674.22</v>
      </c>
      <c r="X2242" s="9"/>
      <c r="Y2242" s="9"/>
      <c r="Z2242" s="9"/>
      <c r="AA2242" s="9"/>
      <c r="AB2242" s="9">
        <v>41032.629999999997</v>
      </c>
      <c r="AC2242" s="9">
        <v>93641.59</v>
      </c>
      <c r="AD2242" s="40"/>
      <c r="AE2242" s="56"/>
      <c r="AF2242" s="56"/>
      <c r="AG2242" s="56"/>
      <c r="AH2242" s="56"/>
    </row>
    <row r="2243" spans="1:34" x14ac:dyDescent="0.3">
      <c r="A2243" s="47">
        <f t="shared" si="521"/>
        <v>2006</v>
      </c>
      <c r="B2243" s="414" t="s">
        <v>2791</v>
      </c>
      <c r="C2243" s="51">
        <f t="shared" si="523"/>
        <v>138531.21</v>
      </c>
      <c r="D2243" s="51">
        <f t="shared" si="519"/>
        <v>0</v>
      </c>
      <c r="E2243" s="51"/>
      <c r="F2243" s="51"/>
      <c r="G2243" s="51"/>
      <c r="H2243" s="51"/>
      <c r="I2243" s="51"/>
      <c r="J2243" s="51"/>
      <c r="K2243" s="51"/>
      <c r="L2243" s="51"/>
      <c r="M2243" s="35"/>
      <c r="N2243" s="51"/>
      <c r="O2243" s="82"/>
      <c r="P2243" s="51"/>
      <c r="Q2243" s="338"/>
      <c r="R2243" s="51"/>
      <c r="S2243" s="51"/>
      <c r="T2243" s="338"/>
      <c r="U2243" s="51"/>
      <c r="V2243" s="35"/>
      <c r="W2243" s="364">
        <f t="shared" si="520"/>
        <v>138531.21</v>
      </c>
      <c r="X2243" s="9"/>
      <c r="Y2243" s="9"/>
      <c r="Z2243" s="9"/>
      <c r="AA2243" s="9"/>
      <c r="AB2243" s="9">
        <v>42563.38</v>
      </c>
      <c r="AC2243" s="9">
        <v>95967.83</v>
      </c>
      <c r="AD2243" s="40"/>
      <c r="AE2243" s="56"/>
      <c r="AF2243" s="56"/>
      <c r="AG2243" s="56"/>
      <c r="AH2243" s="56"/>
    </row>
    <row r="2244" spans="1:34" x14ac:dyDescent="0.3">
      <c r="A2244" s="47">
        <f t="shared" si="521"/>
        <v>2007</v>
      </c>
      <c r="B2244" s="414" t="s">
        <v>2792</v>
      </c>
      <c r="C2244" s="51">
        <f t="shared" si="523"/>
        <v>189626.27</v>
      </c>
      <c r="D2244" s="51">
        <f t="shared" si="519"/>
        <v>0</v>
      </c>
      <c r="E2244" s="51"/>
      <c r="F2244" s="51"/>
      <c r="G2244" s="51"/>
      <c r="H2244" s="51"/>
      <c r="I2244" s="51"/>
      <c r="J2244" s="51"/>
      <c r="K2244" s="51"/>
      <c r="L2244" s="51"/>
      <c r="M2244" s="35"/>
      <c r="N2244" s="51"/>
      <c r="O2244" s="82"/>
      <c r="P2244" s="51"/>
      <c r="Q2244" s="338"/>
      <c r="R2244" s="51"/>
      <c r="S2244" s="51"/>
      <c r="T2244" s="338"/>
      <c r="U2244" s="51"/>
      <c r="V2244" s="35"/>
      <c r="W2244" s="364">
        <f t="shared" si="520"/>
        <v>189626.27</v>
      </c>
      <c r="X2244" s="9"/>
      <c r="Y2244" s="9"/>
      <c r="Z2244" s="9"/>
      <c r="AA2244" s="9"/>
      <c r="AB2244" s="9"/>
      <c r="AC2244" s="9">
        <v>189626.27</v>
      </c>
      <c r="AD2244" s="40"/>
      <c r="AE2244" s="56"/>
      <c r="AF2244" s="56"/>
      <c r="AG2244" s="56"/>
      <c r="AH2244" s="56"/>
    </row>
    <row r="2245" spans="1:34" x14ac:dyDescent="0.3">
      <c r="A2245" s="47">
        <f t="shared" si="521"/>
        <v>2008</v>
      </c>
      <c r="B2245" s="414" t="s">
        <v>2793</v>
      </c>
      <c r="C2245" s="51">
        <f t="shared" si="523"/>
        <v>368356.44</v>
      </c>
      <c r="D2245" s="51">
        <f t="shared" si="519"/>
        <v>0</v>
      </c>
      <c r="E2245" s="51"/>
      <c r="F2245" s="51"/>
      <c r="G2245" s="51"/>
      <c r="H2245" s="51"/>
      <c r="I2245" s="51"/>
      <c r="J2245" s="51"/>
      <c r="K2245" s="51"/>
      <c r="L2245" s="51"/>
      <c r="M2245" s="35"/>
      <c r="N2245" s="51"/>
      <c r="O2245" s="82"/>
      <c r="P2245" s="51"/>
      <c r="Q2245" s="338"/>
      <c r="R2245" s="51"/>
      <c r="S2245" s="51"/>
      <c r="T2245" s="338"/>
      <c r="U2245" s="51"/>
      <c r="V2245" s="35"/>
      <c r="W2245" s="364">
        <f t="shared" si="520"/>
        <v>368356.44</v>
      </c>
      <c r="X2245" s="9"/>
      <c r="Y2245" s="9"/>
      <c r="Z2245" s="9"/>
      <c r="AA2245" s="9"/>
      <c r="AB2245" s="9"/>
      <c r="AC2245" s="9"/>
      <c r="AD2245" s="40"/>
      <c r="AE2245" s="56">
        <v>368356.44</v>
      </c>
      <c r="AF2245" s="56"/>
      <c r="AG2245" s="56"/>
      <c r="AH2245" s="56"/>
    </row>
    <row r="2246" spans="1:34" x14ac:dyDescent="0.3">
      <c r="A2246" s="47">
        <f t="shared" si="521"/>
        <v>2009</v>
      </c>
      <c r="B2246" s="414" t="s">
        <v>2794</v>
      </c>
      <c r="C2246" s="51">
        <f t="shared" si="523"/>
        <v>190550.5</v>
      </c>
      <c r="D2246" s="51">
        <f t="shared" si="519"/>
        <v>0</v>
      </c>
      <c r="E2246" s="51"/>
      <c r="F2246" s="51"/>
      <c r="G2246" s="51"/>
      <c r="H2246" s="51"/>
      <c r="I2246" s="51"/>
      <c r="J2246" s="51"/>
      <c r="K2246" s="51"/>
      <c r="L2246" s="51"/>
      <c r="M2246" s="35"/>
      <c r="N2246" s="51"/>
      <c r="O2246" s="82"/>
      <c r="P2246" s="51"/>
      <c r="Q2246" s="338"/>
      <c r="R2246" s="51"/>
      <c r="S2246" s="51"/>
      <c r="T2246" s="338"/>
      <c r="U2246" s="51"/>
      <c r="V2246" s="35"/>
      <c r="W2246" s="364">
        <f t="shared" si="520"/>
        <v>190550.5</v>
      </c>
      <c r="X2246" s="9"/>
      <c r="Y2246" s="9"/>
      <c r="Z2246" s="9"/>
      <c r="AA2246" s="9"/>
      <c r="AB2246" s="9"/>
      <c r="AC2246" s="9">
        <v>190550.5</v>
      </c>
      <c r="AD2246" s="40"/>
      <c r="AE2246" s="56"/>
      <c r="AF2246" s="56"/>
      <c r="AG2246" s="56"/>
      <c r="AH2246" s="56"/>
    </row>
    <row r="2247" spans="1:34" x14ac:dyDescent="0.3">
      <c r="A2247" s="47">
        <f t="shared" si="521"/>
        <v>2010</v>
      </c>
      <c r="B2247" s="414" t="s">
        <v>2795</v>
      </c>
      <c r="C2247" s="51">
        <f t="shared" si="523"/>
        <v>374534.99</v>
      </c>
      <c r="D2247" s="51">
        <f t="shared" si="519"/>
        <v>0</v>
      </c>
      <c r="E2247" s="51"/>
      <c r="F2247" s="51"/>
      <c r="G2247" s="51"/>
      <c r="H2247" s="51"/>
      <c r="I2247" s="51"/>
      <c r="J2247" s="51"/>
      <c r="K2247" s="51"/>
      <c r="L2247" s="51"/>
      <c r="M2247" s="35"/>
      <c r="N2247" s="51"/>
      <c r="O2247" s="82"/>
      <c r="P2247" s="51"/>
      <c r="Q2247" s="338"/>
      <c r="R2247" s="51"/>
      <c r="S2247" s="51"/>
      <c r="T2247" s="338"/>
      <c r="U2247" s="51"/>
      <c r="V2247" s="35"/>
      <c r="W2247" s="364">
        <f t="shared" si="520"/>
        <v>374534.99</v>
      </c>
      <c r="X2247" s="9"/>
      <c r="Y2247" s="9"/>
      <c r="Z2247" s="9"/>
      <c r="AA2247" s="9"/>
      <c r="AB2247" s="9"/>
      <c r="AC2247" s="9"/>
      <c r="AD2247" s="40"/>
      <c r="AE2247" s="56">
        <v>374534.99</v>
      </c>
      <c r="AF2247" s="56"/>
      <c r="AG2247" s="56"/>
      <c r="AH2247" s="56"/>
    </row>
    <row r="2248" spans="1:34" x14ac:dyDescent="0.3">
      <c r="A2248" s="47">
        <f t="shared" si="521"/>
        <v>2011</v>
      </c>
      <c r="B2248" s="414" t="s">
        <v>2796</v>
      </c>
      <c r="C2248" s="51">
        <f t="shared" si="523"/>
        <v>187750.85</v>
      </c>
      <c r="D2248" s="51">
        <f t="shared" si="519"/>
        <v>0</v>
      </c>
      <c r="E2248" s="51"/>
      <c r="F2248" s="51"/>
      <c r="G2248" s="51"/>
      <c r="H2248" s="51"/>
      <c r="I2248" s="51"/>
      <c r="J2248" s="51"/>
      <c r="K2248" s="51"/>
      <c r="L2248" s="51"/>
      <c r="M2248" s="35"/>
      <c r="N2248" s="51"/>
      <c r="O2248" s="82"/>
      <c r="P2248" s="51"/>
      <c r="Q2248" s="338"/>
      <c r="R2248" s="51"/>
      <c r="S2248" s="51"/>
      <c r="T2248" s="338"/>
      <c r="U2248" s="51"/>
      <c r="V2248" s="35"/>
      <c r="W2248" s="364">
        <f t="shared" si="520"/>
        <v>187750.85</v>
      </c>
      <c r="X2248" s="9"/>
      <c r="Y2248" s="9"/>
      <c r="Z2248" s="9"/>
      <c r="AA2248" s="9"/>
      <c r="AB2248" s="9"/>
      <c r="AC2248" s="9">
        <v>187750.85</v>
      </c>
      <c r="AD2248" s="40"/>
      <c r="AE2248" s="56"/>
      <c r="AF2248" s="56"/>
      <c r="AG2248" s="56"/>
      <c r="AH2248" s="56"/>
    </row>
    <row r="2249" spans="1:34" x14ac:dyDescent="0.3">
      <c r="A2249" s="47">
        <f t="shared" si="521"/>
        <v>2012</v>
      </c>
      <c r="B2249" s="414" t="s">
        <v>2797</v>
      </c>
      <c r="C2249" s="51">
        <f t="shared" si="523"/>
        <v>234469.56</v>
      </c>
      <c r="D2249" s="51">
        <f t="shared" si="519"/>
        <v>0</v>
      </c>
      <c r="E2249" s="51"/>
      <c r="F2249" s="51"/>
      <c r="G2249" s="51"/>
      <c r="H2249" s="51"/>
      <c r="I2249" s="51"/>
      <c r="J2249" s="51"/>
      <c r="K2249" s="51"/>
      <c r="L2249" s="51"/>
      <c r="M2249" s="35"/>
      <c r="N2249" s="51"/>
      <c r="O2249" s="82"/>
      <c r="P2249" s="51"/>
      <c r="Q2249" s="338"/>
      <c r="R2249" s="51"/>
      <c r="S2249" s="51"/>
      <c r="T2249" s="338"/>
      <c r="U2249" s="51"/>
      <c r="V2249" s="35"/>
      <c r="W2249" s="364">
        <f t="shared" si="520"/>
        <v>234469.56</v>
      </c>
      <c r="X2249" s="9"/>
      <c r="Y2249" s="9"/>
      <c r="Z2249" s="9"/>
      <c r="AA2249" s="9"/>
      <c r="AB2249" s="9">
        <v>80503.360000000001</v>
      </c>
      <c r="AC2249" s="9">
        <v>153966.20000000001</v>
      </c>
      <c r="AD2249" s="40"/>
      <c r="AE2249" s="56"/>
      <c r="AF2249" s="56"/>
      <c r="AG2249" s="56"/>
      <c r="AH2249" s="56"/>
    </row>
    <row r="2250" spans="1:34" x14ac:dyDescent="0.3">
      <c r="A2250" s="47">
        <f t="shared" si="521"/>
        <v>2013</v>
      </c>
      <c r="B2250" s="414" t="s">
        <v>2798</v>
      </c>
      <c r="C2250" s="51">
        <f t="shared" si="523"/>
        <v>199253.71</v>
      </c>
      <c r="D2250" s="51">
        <f t="shared" si="519"/>
        <v>0</v>
      </c>
      <c r="E2250" s="51"/>
      <c r="F2250" s="51"/>
      <c r="G2250" s="51"/>
      <c r="H2250" s="51"/>
      <c r="I2250" s="51"/>
      <c r="J2250" s="51"/>
      <c r="K2250" s="51"/>
      <c r="L2250" s="51"/>
      <c r="M2250" s="35"/>
      <c r="N2250" s="51"/>
      <c r="O2250" s="82"/>
      <c r="P2250" s="51"/>
      <c r="Q2250" s="338"/>
      <c r="R2250" s="51"/>
      <c r="S2250" s="51"/>
      <c r="T2250" s="338"/>
      <c r="U2250" s="51"/>
      <c r="V2250" s="35"/>
      <c r="W2250" s="364">
        <f t="shared" si="520"/>
        <v>199253.71</v>
      </c>
      <c r="X2250" s="9"/>
      <c r="Y2250" s="9"/>
      <c r="Z2250" s="9"/>
      <c r="AA2250" s="9"/>
      <c r="AB2250" s="9"/>
      <c r="AC2250" s="9">
        <v>199253.71</v>
      </c>
      <c r="AD2250" s="40"/>
      <c r="AE2250" s="56"/>
      <c r="AF2250" s="56"/>
      <c r="AG2250" s="56"/>
      <c r="AH2250" s="56"/>
    </row>
    <row r="2251" spans="1:34" x14ac:dyDescent="0.3">
      <c r="A2251" s="47">
        <f t="shared" si="521"/>
        <v>2014</v>
      </c>
      <c r="B2251" s="414" t="s">
        <v>2799</v>
      </c>
      <c r="C2251" s="51">
        <f t="shared" si="523"/>
        <v>186680.46</v>
      </c>
      <c r="D2251" s="51">
        <f t="shared" si="519"/>
        <v>0</v>
      </c>
      <c r="E2251" s="51"/>
      <c r="F2251" s="51"/>
      <c r="G2251" s="51"/>
      <c r="H2251" s="51"/>
      <c r="I2251" s="51"/>
      <c r="J2251" s="51"/>
      <c r="K2251" s="51"/>
      <c r="L2251" s="51"/>
      <c r="M2251" s="35"/>
      <c r="N2251" s="51"/>
      <c r="O2251" s="82"/>
      <c r="P2251" s="51"/>
      <c r="Q2251" s="338"/>
      <c r="R2251" s="51"/>
      <c r="S2251" s="51"/>
      <c r="T2251" s="338"/>
      <c r="U2251" s="51"/>
      <c r="V2251" s="35"/>
      <c r="W2251" s="364">
        <f t="shared" si="520"/>
        <v>186680.46</v>
      </c>
      <c r="X2251" s="9"/>
      <c r="Y2251" s="9"/>
      <c r="Z2251" s="9"/>
      <c r="AA2251" s="9"/>
      <c r="AB2251" s="9"/>
      <c r="AC2251" s="9">
        <v>186680.46</v>
      </c>
      <c r="AD2251" s="40"/>
      <c r="AE2251" s="56"/>
      <c r="AF2251" s="56"/>
      <c r="AG2251" s="56"/>
      <c r="AH2251" s="56"/>
    </row>
    <row r="2252" spans="1:34" x14ac:dyDescent="0.3">
      <c r="A2252" s="47">
        <f t="shared" si="521"/>
        <v>2015</v>
      </c>
      <c r="B2252" s="414" t="s">
        <v>2800</v>
      </c>
      <c r="C2252" s="51">
        <f t="shared" si="523"/>
        <v>183520.24</v>
      </c>
      <c r="D2252" s="51">
        <f t="shared" si="519"/>
        <v>0</v>
      </c>
      <c r="E2252" s="51"/>
      <c r="F2252" s="51"/>
      <c r="G2252" s="51"/>
      <c r="H2252" s="51"/>
      <c r="I2252" s="51"/>
      <c r="J2252" s="51"/>
      <c r="K2252" s="51"/>
      <c r="L2252" s="51"/>
      <c r="M2252" s="35"/>
      <c r="N2252" s="51"/>
      <c r="O2252" s="82"/>
      <c r="P2252" s="51"/>
      <c r="Q2252" s="338"/>
      <c r="R2252" s="51"/>
      <c r="S2252" s="51"/>
      <c r="T2252" s="338"/>
      <c r="U2252" s="51"/>
      <c r="V2252" s="35"/>
      <c r="W2252" s="364">
        <f t="shared" si="520"/>
        <v>183520.24</v>
      </c>
      <c r="X2252" s="9"/>
      <c r="Y2252" s="9"/>
      <c r="Z2252" s="9"/>
      <c r="AA2252" s="9"/>
      <c r="AB2252" s="9"/>
      <c r="AC2252" s="9">
        <v>183520.24</v>
      </c>
      <c r="AD2252" s="40"/>
      <c r="AE2252" s="56"/>
      <c r="AF2252" s="56"/>
      <c r="AG2252" s="56"/>
      <c r="AH2252" s="56"/>
    </row>
    <row r="2253" spans="1:34" x14ac:dyDescent="0.3">
      <c r="A2253" s="47">
        <f t="shared" si="521"/>
        <v>2016</v>
      </c>
      <c r="B2253" s="414" t="s">
        <v>2801</v>
      </c>
      <c r="C2253" s="51">
        <f t="shared" si="523"/>
        <v>196212.08</v>
      </c>
      <c r="D2253" s="51">
        <f t="shared" si="519"/>
        <v>0</v>
      </c>
      <c r="E2253" s="51"/>
      <c r="F2253" s="51"/>
      <c r="G2253" s="51"/>
      <c r="H2253" s="51"/>
      <c r="I2253" s="51"/>
      <c r="J2253" s="51"/>
      <c r="K2253" s="51"/>
      <c r="L2253" s="51"/>
      <c r="M2253" s="35"/>
      <c r="N2253" s="51"/>
      <c r="O2253" s="82"/>
      <c r="P2253" s="51"/>
      <c r="Q2253" s="338"/>
      <c r="R2253" s="51"/>
      <c r="S2253" s="51"/>
      <c r="T2253" s="338"/>
      <c r="U2253" s="51"/>
      <c r="V2253" s="35"/>
      <c r="W2253" s="364">
        <f t="shared" si="520"/>
        <v>196212.08</v>
      </c>
      <c r="X2253" s="9"/>
      <c r="Y2253" s="9"/>
      <c r="Z2253" s="9"/>
      <c r="AA2253" s="9"/>
      <c r="AB2253" s="9"/>
      <c r="AC2253" s="9">
        <v>196212.08</v>
      </c>
      <c r="AD2253" s="40"/>
      <c r="AE2253" s="56"/>
      <c r="AF2253" s="56"/>
      <c r="AG2253" s="56"/>
      <c r="AH2253" s="56"/>
    </row>
    <row r="2254" spans="1:34" x14ac:dyDescent="0.3">
      <c r="A2254" s="47">
        <f t="shared" si="521"/>
        <v>2017</v>
      </c>
      <c r="B2254" s="414" t="s">
        <v>2802</v>
      </c>
      <c r="C2254" s="51">
        <f t="shared" si="523"/>
        <v>195294.59</v>
      </c>
      <c r="D2254" s="51">
        <f t="shared" si="519"/>
        <v>0</v>
      </c>
      <c r="E2254" s="51"/>
      <c r="F2254" s="51"/>
      <c r="G2254" s="51"/>
      <c r="H2254" s="51"/>
      <c r="I2254" s="51"/>
      <c r="J2254" s="51"/>
      <c r="K2254" s="51"/>
      <c r="L2254" s="51"/>
      <c r="M2254" s="35"/>
      <c r="N2254" s="51"/>
      <c r="O2254" s="82"/>
      <c r="P2254" s="51"/>
      <c r="Q2254" s="338"/>
      <c r="R2254" s="51"/>
      <c r="S2254" s="51"/>
      <c r="T2254" s="338"/>
      <c r="U2254" s="51"/>
      <c r="V2254" s="35"/>
      <c r="W2254" s="364">
        <f t="shared" si="520"/>
        <v>195294.59</v>
      </c>
      <c r="X2254" s="9"/>
      <c r="Y2254" s="9"/>
      <c r="Z2254" s="9"/>
      <c r="AA2254" s="9"/>
      <c r="AB2254" s="9"/>
      <c r="AC2254" s="9">
        <v>195294.59</v>
      </c>
      <c r="AD2254" s="40"/>
      <c r="AE2254" s="56"/>
      <c r="AF2254" s="56"/>
      <c r="AG2254" s="56"/>
      <c r="AH2254" s="56"/>
    </row>
    <row r="2255" spans="1:34" x14ac:dyDescent="0.3">
      <c r="A2255" s="47">
        <f t="shared" si="521"/>
        <v>2018</v>
      </c>
      <c r="B2255" s="414" t="s">
        <v>2803</v>
      </c>
      <c r="C2255" s="51">
        <f t="shared" si="523"/>
        <v>190781.56</v>
      </c>
      <c r="D2255" s="51">
        <f t="shared" si="519"/>
        <v>0</v>
      </c>
      <c r="E2255" s="51"/>
      <c r="F2255" s="51"/>
      <c r="G2255" s="51"/>
      <c r="H2255" s="51"/>
      <c r="I2255" s="51"/>
      <c r="J2255" s="51"/>
      <c r="K2255" s="51"/>
      <c r="L2255" s="51"/>
      <c r="M2255" s="35"/>
      <c r="N2255" s="51"/>
      <c r="O2255" s="82"/>
      <c r="P2255" s="51"/>
      <c r="Q2255" s="338"/>
      <c r="R2255" s="51"/>
      <c r="S2255" s="51"/>
      <c r="T2255" s="338"/>
      <c r="U2255" s="51"/>
      <c r="V2255" s="35"/>
      <c r="W2255" s="364">
        <f t="shared" si="520"/>
        <v>190781.56</v>
      </c>
      <c r="X2255" s="9"/>
      <c r="Y2255" s="9"/>
      <c r="Z2255" s="9"/>
      <c r="AA2255" s="9"/>
      <c r="AB2255" s="9"/>
      <c r="AC2255" s="9">
        <v>190781.56</v>
      </c>
      <c r="AD2255" s="40"/>
      <c r="AE2255" s="56"/>
      <c r="AF2255" s="56"/>
      <c r="AG2255" s="56"/>
      <c r="AH2255" s="56"/>
    </row>
    <row r="2256" spans="1:34" x14ac:dyDescent="0.3">
      <c r="A2256" s="47">
        <f t="shared" si="521"/>
        <v>2019</v>
      </c>
      <c r="B2256" s="414" t="s">
        <v>2804</v>
      </c>
      <c r="C2256" s="51">
        <f t="shared" si="523"/>
        <v>192475.99</v>
      </c>
      <c r="D2256" s="51">
        <f t="shared" si="519"/>
        <v>0</v>
      </c>
      <c r="E2256" s="51"/>
      <c r="F2256" s="51"/>
      <c r="G2256" s="51"/>
      <c r="H2256" s="51"/>
      <c r="I2256" s="51"/>
      <c r="J2256" s="51"/>
      <c r="K2256" s="51"/>
      <c r="L2256" s="51"/>
      <c r="M2256" s="35"/>
      <c r="N2256" s="51"/>
      <c r="O2256" s="82"/>
      <c r="P2256" s="51"/>
      <c r="Q2256" s="338"/>
      <c r="R2256" s="51"/>
      <c r="S2256" s="51"/>
      <c r="T2256" s="338"/>
      <c r="U2256" s="51"/>
      <c r="V2256" s="35"/>
      <c r="W2256" s="364">
        <f t="shared" si="520"/>
        <v>192475.99</v>
      </c>
      <c r="X2256" s="9"/>
      <c r="Y2256" s="9"/>
      <c r="Z2256" s="9"/>
      <c r="AA2256" s="9"/>
      <c r="AB2256" s="9"/>
      <c r="AC2256" s="9">
        <v>192475.99</v>
      </c>
      <c r="AD2256" s="40"/>
      <c r="AE2256" s="56"/>
      <c r="AF2256" s="56"/>
      <c r="AG2256" s="56"/>
      <c r="AH2256" s="56"/>
    </row>
    <row r="2257" spans="1:34" x14ac:dyDescent="0.3">
      <c r="A2257" s="47">
        <f t="shared" si="521"/>
        <v>2020</v>
      </c>
      <c r="B2257" s="414" t="s">
        <v>2805</v>
      </c>
      <c r="C2257" s="51">
        <f t="shared" si="523"/>
        <v>192475.99</v>
      </c>
      <c r="D2257" s="51">
        <f t="shared" si="519"/>
        <v>0</v>
      </c>
      <c r="E2257" s="51"/>
      <c r="F2257" s="51"/>
      <c r="G2257" s="51"/>
      <c r="H2257" s="51"/>
      <c r="I2257" s="51"/>
      <c r="J2257" s="51"/>
      <c r="K2257" s="51"/>
      <c r="L2257" s="51"/>
      <c r="M2257" s="35"/>
      <c r="N2257" s="51"/>
      <c r="O2257" s="82"/>
      <c r="P2257" s="51"/>
      <c r="Q2257" s="338"/>
      <c r="R2257" s="51"/>
      <c r="S2257" s="51"/>
      <c r="T2257" s="338"/>
      <c r="U2257" s="51"/>
      <c r="V2257" s="35"/>
      <c r="W2257" s="364">
        <f t="shared" si="520"/>
        <v>192475.99</v>
      </c>
      <c r="X2257" s="9"/>
      <c r="Y2257" s="9"/>
      <c r="Z2257" s="9"/>
      <c r="AA2257" s="9"/>
      <c r="AB2257" s="9"/>
      <c r="AC2257" s="9">
        <v>192475.99</v>
      </c>
      <c r="AD2257" s="40"/>
      <c r="AE2257" s="56"/>
      <c r="AF2257" s="56"/>
      <c r="AG2257" s="56"/>
      <c r="AH2257" s="56"/>
    </row>
    <row r="2258" spans="1:34" x14ac:dyDescent="0.3">
      <c r="A2258" s="47">
        <f t="shared" si="521"/>
        <v>2021</v>
      </c>
      <c r="B2258" s="414" t="s">
        <v>2806</v>
      </c>
      <c r="C2258" s="51">
        <f t="shared" si="523"/>
        <v>190550.5</v>
      </c>
      <c r="D2258" s="51">
        <f t="shared" si="519"/>
        <v>0</v>
      </c>
      <c r="E2258" s="51"/>
      <c r="F2258" s="51"/>
      <c r="G2258" s="51"/>
      <c r="H2258" s="51"/>
      <c r="I2258" s="51"/>
      <c r="J2258" s="51"/>
      <c r="K2258" s="51"/>
      <c r="L2258" s="51"/>
      <c r="M2258" s="35"/>
      <c r="N2258" s="51"/>
      <c r="O2258" s="82"/>
      <c r="P2258" s="51"/>
      <c r="Q2258" s="338"/>
      <c r="R2258" s="51"/>
      <c r="S2258" s="51"/>
      <c r="T2258" s="338"/>
      <c r="U2258" s="51"/>
      <c r="V2258" s="35"/>
      <c r="W2258" s="364">
        <f t="shared" si="520"/>
        <v>190550.5</v>
      </c>
      <c r="X2258" s="9"/>
      <c r="Y2258" s="9"/>
      <c r="Z2258" s="9"/>
      <c r="AA2258" s="9"/>
      <c r="AB2258" s="9"/>
      <c r="AC2258" s="9">
        <v>190550.5</v>
      </c>
      <c r="AD2258" s="40"/>
      <c r="AE2258" s="56"/>
      <c r="AF2258" s="56"/>
      <c r="AG2258" s="56"/>
      <c r="AH2258" s="56"/>
    </row>
    <row r="2259" spans="1:34" x14ac:dyDescent="0.3">
      <c r="A2259" s="47">
        <f t="shared" si="521"/>
        <v>2022</v>
      </c>
      <c r="B2259" s="414" t="s">
        <v>2807</v>
      </c>
      <c r="C2259" s="51">
        <f t="shared" si="523"/>
        <v>191397.72</v>
      </c>
      <c r="D2259" s="51">
        <f t="shared" si="519"/>
        <v>0</v>
      </c>
      <c r="E2259" s="51"/>
      <c r="F2259" s="51"/>
      <c r="G2259" s="51"/>
      <c r="H2259" s="51"/>
      <c r="I2259" s="51"/>
      <c r="J2259" s="51"/>
      <c r="K2259" s="51"/>
      <c r="L2259" s="51"/>
      <c r="M2259" s="35"/>
      <c r="N2259" s="51"/>
      <c r="O2259" s="82"/>
      <c r="P2259" s="51"/>
      <c r="Q2259" s="338"/>
      <c r="R2259" s="51"/>
      <c r="S2259" s="51"/>
      <c r="T2259" s="338"/>
      <c r="U2259" s="51"/>
      <c r="V2259" s="35"/>
      <c r="W2259" s="364">
        <f t="shared" si="520"/>
        <v>191397.72</v>
      </c>
      <c r="X2259" s="9"/>
      <c r="Y2259" s="9"/>
      <c r="Z2259" s="9"/>
      <c r="AA2259" s="9"/>
      <c r="AB2259" s="9"/>
      <c r="AC2259" s="9">
        <v>191397.72</v>
      </c>
      <c r="AD2259" s="40"/>
      <c r="AE2259" s="56"/>
      <c r="AF2259" s="56"/>
      <c r="AG2259" s="56"/>
      <c r="AH2259" s="56"/>
    </row>
    <row r="2260" spans="1:34" x14ac:dyDescent="0.3">
      <c r="A2260" s="47">
        <f t="shared" si="521"/>
        <v>2023</v>
      </c>
      <c r="B2260" s="414" t="s">
        <v>2808</v>
      </c>
      <c r="C2260" s="51">
        <f t="shared" si="523"/>
        <v>344149.42</v>
      </c>
      <c r="D2260" s="51">
        <f t="shared" si="519"/>
        <v>0</v>
      </c>
      <c r="E2260" s="51"/>
      <c r="F2260" s="51"/>
      <c r="G2260" s="51"/>
      <c r="H2260" s="51"/>
      <c r="I2260" s="51"/>
      <c r="J2260" s="51"/>
      <c r="K2260" s="51"/>
      <c r="L2260" s="51"/>
      <c r="M2260" s="35"/>
      <c r="N2260" s="51"/>
      <c r="O2260" s="82"/>
      <c r="P2260" s="51"/>
      <c r="Q2260" s="338"/>
      <c r="R2260" s="51"/>
      <c r="S2260" s="51"/>
      <c r="T2260" s="338"/>
      <c r="U2260" s="51"/>
      <c r="V2260" s="35"/>
      <c r="W2260" s="364">
        <f t="shared" si="520"/>
        <v>344149.42</v>
      </c>
      <c r="X2260" s="9"/>
      <c r="Y2260" s="9"/>
      <c r="Z2260" s="9"/>
      <c r="AA2260" s="9"/>
      <c r="AB2260" s="9"/>
      <c r="AC2260" s="9"/>
      <c r="AD2260" s="40"/>
      <c r="AE2260" s="56">
        <v>344149.42</v>
      </c>
      <c r="AF2260" s="56"/>
      <c r="AG2260" s="56"/>
      <c r="AH2260" s="56"/>
    </row>
    <row r="2261" spans="1:34" x14ac:dyDescent="0.3">
      <c r="A2261" s="47">
        <f t="shared" si="521"/>
        <v>2024</v>
      </c>
      <c r="B2261" s="414" t="s">
        <v>2809</v>
      </c>
      <c r="C2261" s="51">
        <f t="shared" si="523"/>
        <v>140872.87</v>
      </c>
      <c r="D2261" s="51">
        <f t="shared" si="519"/>
        <v>0</v>
      </c>
      <c r="E2261" s="51"/>
      <c r="F2261" s="51"/>
      <c r="G2261" s="51"/>
      <c r="H2261" s="51"/>
      <c r="I2261" s="51"/>
      <c r="J2261" s="51"/>
      <c r="K2261" s="51"/>
      <c r="L2261" s="51"/>
      <c r="M2261" s="35"/>
      <c r="N2261" s="51"/>
      <c r="O2261" s="82"/>
      <c r="P2261" s="51"/>
      <c r="Q2261" s="338"/>
      <c r="R2261" s="51"/>
      <c r="S2261" s="51"/>
      <c r="T2261" s="338"/>
      <c r="U2261" s="51"/>
      <c r="V2261" s="35"/>
      <c r="W2261" s="364">
        <f t="shared" si="520"/>
        <v>140872.87</v>
      </c>
      <c r="X2261" s="9"/>
      <c r="Y2261" s="9"/>
      <c r="Z2261" s="9"/>
      <c r="AA2261" s="9"/>
      <c r="AB2261" s="9"/>
      <c r="AC2261" s="9">
        <v>140872.87</v>
      </c>
      <c r="AD2261" s="40"/>
      <c r="AE2261" s="56"/>
      <c r="AF2261" s="56"/>
      <c r="AG2261" s="56"/>
      <c r="AH2261" s="56"/>
    </row>
    <row r="2262" spans="1:34" x14ac:dyDescent="0.3">
      <c r="A2262" s="47">
        <f t="shared" si="521"/>
        <v>2025</v>
      </c>
      <c r="B2262" s="414" t="s">
        <v>2810</v>
      </c>
      <c r="C2262" s="51">
        <f t="shared" si="523"/>
        <v>144338.74</v>
      </c>
      <c r="D2262" s="51">
        <f t="shared" si="519"/>
        <v>0</v>
      </c>
      <c r="E2262" s="51"/>
      <c r="F2262" s="51"/>
      <c r="G2262" s="51"/>
      <c r="H2262" s="51"/>
      <c r="I2262" s="51"/>
      <c r="J2262" s="51"/>
      <c r="K2262" s="51"/>
      <c r="L2262" s="51"/>
      <c r="M2262" s="35"/>
      <c r="N2262" s="51"/>
      <c r="O2262" s="82"/>
      <c r="P2262" s="51"/>
      <c r="Q2262" s="338"/>
      <c r="R2262" s="51"/>
      <c r="S2262" s="51"/>
      <c r="T2262" s="338"/>
      <c r="U2262" s="51"/>
      <c r="V2262" s="35"/>
      <c r="W2262" s="364">
        <f t="shared" si="520"/>
        <v>144338.74</v>
      </c>
      <c r="X2262" s="9"/>
      <c r="Y2262" s="9"/>
      <c r="Z2262" s="9"/>
      <c r="AA2262" s="9"/>
      <c r="AB2262" s="9"/>
      <c r="AC2262" s="9">
        <v>144338.74</v>
      </c>
      <c r="AD2262" s="40"/>
      <c r="AE2262" s="56"/>
      <c r="AF2262" s="56"/>
      <c r="AG2262" s="56"/>
      <c r="AH2262" s="56"/>
    </row>
    <row r="2263" spans="1:34" x14ac:dyDescent="0.3">
      <c r="A2263" s="47">
        <f t="shared" si="521"/>
        <v>2026</v>
      </c>
      <c r="B2263" s="414" t="s">
        <v>2811</v>
      </c>
      <c r="C2263" s="51">
        <f t="shared" si="523"/>
        <v>150267.91999999998</v>
      </c>
      <c r="D2263" s="51">
        <f t="shared" si="519"/>
        <v>0</v>
      </c>
      <c r="E2263" s="51"/>
      <c r="F2263" s="51"/>
      <c r="G2263" s="51"/>
      <c r="H2263" s="51"/>
      <c r="I2263" s="51"/>
      <c r="J2263" s="51"/>
      <c r="K2263" s="51"/>
      <c r="L2263" s="51"/>
      <c r="M2263" s="35"/>
      <c r="N2263" s="51"/>
      <c r="O2263" s="82"/>
      <c r="P2263" s="51"/>
      <c r="Q2263" s="338"/>
      <c r="R2263" s="51"/>
      <c r="S2263" s="51"/>
      <c r="T2263" s="338"/>
      <c r="U2263" s="51"/>
      <c r="V2263" s="35"/>
      <c r="W2263" s="364">
        <f t="shared" si="520"/>
        <v>150267.91999999998</v>
      </c>
      <c r="X2263" s="9"/>
      <c r="Y2263" s="9"/>
      <c r="Z2263" s="9"/>
      <c r="AA2263" s="9"/>
      <c r="AB2263" s="9">
        <v>47228.36</v>
      </c>
      <c r="AC2263" s="9">
        <v>103039.56</v>
      </c>
      <c r="AD2263" s="40"/>
      <c r="AE2263" s="56"/>
      <c r="AF2263" s="56"/>
      <c r="AG2263" s="56"/>
      <c r="AH2263" s="56"/>
    </row>
    <row r="2264" spans="1:34" x14ac:dyDescent="0.3">
      <c r="A2264" s="47">
        <f t="shared" si="521"/>
        <v>2027</v>
      </c>
      <c r="B2264" s="414" t="s">
        <v>2812</v>
      </c>
      <c r="C2264" s="51">
        <f t="shared" si="523"/>
        <v>141643.04</v>
      </c>
      <c r="D2264" s="51">
        <f t="shared" si="519"/>
        <v>0</v>
      </c>
      <c r="E2264" s="51"/>
      <c r="F2264" s="51"/>
      <c r="G2264" s="51"/>
      <c r="H2264" s="51"/>
      <c r="I2264" s="51"/>
      <c r="J2264" s="51"/>
      <c r="K2264" s="51"/>
      <c r="L2264" s="51"/>
      <c r="M2264" s="35"/>
      <c r="N2264" s="51"/>
      <c r="O2264" s="82"/>
      <c r="P2264" s="51"/>
      <c r="Q2264" s="338"/>
      <c r="R2264" s="51"/>
      <c r="S2264" s="51"/>
      <c r="T2264" s="338"/>
      <c r="U2264" s="51"/>
      <c r="V2264" s="35"/>
      <c r="W2264" s="364">
        <f t="shared" si="520"/>
        <v>141643.04</v>
      </c>
      <c r="X2264" s="9"/>
      <c r="Y2264" s="9"/>
      <c r="Z2264" s="9"/>
      <c r="AA2264" s="9"/>
      <c r="AB2264" s="9"/>
      <c r="AC2264" s="9">
        <v>141643.04</v>
      </c>
      <c r="AD2264" s="40"/>
      <c r="AE2264" s="56"/>
      <c r="AF2264" s="56"/>
      <c r="AG2264" s="56"/>
      <c r="AH2264" s="56"/>
    </row>
    <row r="2265" spans="1:34" x14ac:dyDescent="0.3">
      <c r="A2265" s="47">
        <f t="shared" si="521"/>
        <v>2028</v>
      </c>
      <c r="B2265" s="414" t="s">
        <v>2813</v>
      </c>
      <c r="C2265" s="51">
        <f t="shared" si="523"/>
        <v>141643.04</v>
      </c>
      <c r="D2265" s="51">
        <f t="shared" si="519"/>
        <v>0</v>
      </c>
      <c r="E2265" s="51"/>
      <c r="F2265" s="51"/>
      <c r="G2265" s="51"/>
      <c r="H2265" s="51"/>
      <c r="I2265" s="51"/>
      <c r="J2265" s="51"/>
      <c r="K2265" s="51"/>
      <c r="L2265" s="51"/>
      <c r="M2265" s="35"/>
      <c r="N2265" s="51"/>
      <c r="O2265" s="82"/>
      <c r="P2265" s="51"/>
      <c r="Q2265" s="338"/>
      <c r="R2265" s="51"/>
      <c r="S2265" s="51"/>
      <c r="T2265" s="338"/>
      <c r="U2265" s="51"/>
      <c r="V2265" s="35"/>
      <c r="W2265" s="364">
        <f t="shared" si="520"/>
        <v>141643.04</v>
      </c>
      <c r="X2265" s="9"/>
      <c r="Y2265" s="9"/>
      <c r="Z2265" s="9"/>
      <c r="AA2265" s="9"/>
      <c r="AB2265" s="9"/>
      <c r="AC2265" s="9">
        <v>141643.04</v>
      </c>
      <c r="AD2265" s="40"/>
      <c r="AE2265" s="56"/>
      <c r="AF2265" s="56"/>
      <c r="AG2265" s="56"/>
      <c r="AH2265" s="56"/>
    </row>
    <row r="2266" spans="1:34" x14ac:dyDescent="0.3">
      <c r="A2266" s="47">
        <f t="shared" si="521"/>
        <v>2029</v>
      </c>
      <c r="B2266" s="414" t="s">
        <v>2814</v>
      </c>
      <c r="C2266" s="51">
        <f t="shared" si="523"/>
        <v>390676.58</v>
      </c>
      <c r="D2266" s="51">
        <f t="shared" si="519"/>
        <v>0</v>
      </c>
      <c r="E2266" s="51"/>
      <c r="F2266" s="51"/>
      <c r="G2266" s="51"/>
      <c r="H2266" s="51"/>
      <c r="I2266" s="51"/>
      <c r="J2266" s="51"/>
      <c r="K2266" s="51"/>
      <c r="L2266" s="51"/>
      <c r="M2266" s="35"/>
      <c r="N2266" s="51"/>
      <c r="O2266" s="82"/>
      <c r="P2266" s="51"/>
      <c r="Q2266" s="338"/>
      <c r="R2266" s="51"/>
      <c r="S2266" s="51"/>
      <c r="T2266" s="338"/>
      <c r="U2266" s="51"/>
      <c r="V2266" s="35"/>
      <c r="W2266" s="364">
        <f t="shared" si="520"/>
        <v>390676.58</v>
      </c>
      <c r="X2266" s="9"/>
      <c r="Y2266" s="9"/>
      <c r="Z2266" s="9"/>
      <c r="AA2266" s="9"/>
      <c r="AB2266" s="9"/>
      <c r="AC2266" s="9"/>
      <c r="AD2266" s="40"/>
      <c r="AE2266" s="56">
        <v>390676.58</v>
      </c>
      <c r="AF2266" s="56"/>
      <c r="AG2266" s="56"/>
      <c r="AH2266" s="56"/>
    </row>
    <row r="2267" spans="1:34" x14ac:dyDescent="0.3">
      <c r="A2267" s="47">
        <f t="shared" si="521"/>
        <v>2030</v>
      </c>
      <c r="B2267" s="414" t="s">
        <v>2815</v>
      </c>
      <c r="C2267" s="51">
        <f t="shared" si="523"/>
        <v>213889.63</v>
      </c>
      <c r="D2267" s="51">
        <f t="shared" si="519"/>
        <v>0</v>
      </c>
      <c r="E2267" s="51"/>
      <c r="F2267" s="51"/>
      <c r="G2267" s="51"/>
      <c r="H2267" s="51"/>
      <c r="I2267" s="51"/>
      <c r="J2267" s="51"/>
      <c r="K2267" s="51"/>
      <c r="L2267" s="51"/>
      <c r="M2267" s="35"/>
      <c r="N2267" s="51"/>
      <c r="O2267" s="82"/>
      <c r="P2267" s="51"/>
      <c r="Q2267" s="338"/>
      <c r="R2267" s="51"/>
      <c r="S2267" s="51"/>
      <c r="T2267" s="338"/>
      <c r="U2267" s="51"/>
      <c r="V2267" s="35"/>
      <c r="W2267" s="364">
        <f t="shared" si="520"/>
        <v>213889.63</v>
      </c>
      <c r="X2267" s="9"/>
      <c r="Y2267" s="9"/>
      <c r="Z2267" s="9"/>
      <c r="AA2267" s="9"/>
      <c r="AB2267" s="9">
        <v>72513.740000000005</v>
      </c>
      <c r="AC2267" s="9">
        <v>141375.89000000001</v>
      </c>
      <c r="AD2267" s="40"/>
      <c r="AE2267" s="56"/>
      <c r="AF2267" s="56"/>
      <c r="AG2267" s="56"/>
      <c r="AH2267" s="56"/>
    </row>
    <row r="2268" spans="1:34" x14ac:dyDescent="0.3">
      <c r="A2268" s="439" t="s">
        <v>211</v>
      </c>
      <c r="B2268" s="399"/>
      <c r="C2268" s="51">
        <f t="shared" ref="C2268:R2268" si="524">SUM(C2231:C2267)</f>
        <v>7147316.6100000003</v>
      </c>
      <c r="D2268" s="51">
        <f t="shared" si="524"/>
        <v>0</v>
      </c>
      <c r="E2268" s="51">
        <f t="shared" si="524"/>
        <v>0</v>
      </c>
      <c r="F2268" s="51">
        <f t="shared" si="524"/>
        <v>0</v>
      </c>
      <c r="G2268" s="51">
        <f t="shared" si="524"/>
        <v>0</v>
      </c>
      <c r="H2268" s="51">
        <f t="shared" si="524"/>
        <v>0</v>
      </c>
      <c r="I2268" s="51">
        <f t="shared" si="524"/>
        <v>0</v>
      </c>
      <c r="J2268" s="51">
        <f t="shared" si="524"/>
        <v>0</v>
      </c>
      <c r="K2268" s="51">
        <f t="shared" si="524"/>
        <v>0</v>
      </c>
      <c r="L2268" s="51">
        <f t="shared" si="524"/>
        <v>0</v>
      </c>
      <c r="M2268" s="35">
        <f t="shared" si="524"/>
        <v>0</v>
      </c>
      <c r="N2268" s="51">
        <f t="shared" si="524"/>
        <v>0</v>
      </c>
      <c r="O2268" s="82">
        <f t="shared" si="524"/>
        <v>0</v>
      </c>
      <c r="P2268" s="51">
        <f t="shared" si="524"/>
        <v>0</v>
      </c>
      <c r="Q2268" s="338">
        <f t="shared" si="524"/>
        <v>0</v>
      </c>
      <c r="R2268" s="51">
        <f t="shared" si="524"/>
        <v>0</v>
      </c>
      <c r="S2268" s="51">
        <f>SUM(S2231:S2267)</f>
        <v>0</v>
      </c>
      <c r="T2268" s="338">
        <f>SUM(T2231:T2267)</f>
        <v>0</v>
      </c>
      <c r="U2268" s="51">
        <f>SUM(U2231:U2267)</f>
        <v>0</v>
      </c>
      <c r="V2268" s="35">
        <f>SUM(V2231:V2267)</f>
        <v>0</v>
      </c>
      <c r="W2268" s="51">
        <f>SUM(W2231:W2267)</f>
        <v>7147316.6100000003</v>
      </c>
      <c r="X2268" s="9"/>
      <c r="Y2268" s="9"/>
      <c r="Z2268" s="9"/>
      <c r="AA2268" s="9"/>
      <c r="AB2268" s="9"/>
      <c r="AC2268" s="9"/>
      <c r="AD2268" s="40"/>
      <c r="AE2268" s="56"/>
      <c r="AF2268" s="56"/>
      <c r="AG2268" s="56"/>
      <c r="AH2268" s="56"/>
    </row>
    <row r="2269" spans="1:34" x14ac:dyDescent="0.3">
      <c r="A2269" s="435" t="s">
        <v>2816</v>
      </c>
      <c r="B2269" s="363"/>
      <c r="C2269" s="51"/>
      <c r="D2269" s="51"/>
      <c r="E2269" s="51"/>
      <c r="F2269" s="51"/>
      <c r="G2269" s="51"/>
      <c r="H2269" s="51"/>
      <c r="I2269" s="51"/>
      <c r="J2269" s="51"/>
      <c r="K2269" s="51"/>
      <c r="L2269" s="51"/>
      <c r="M2269" s="35"/>
      <c r="N2269" s="51"/>
      <c r="O2269" s="82"/>
      <c r="P2269" s="51"/>
      <c r="Q2269" s="338"/>
      <c r="R2269" s="51"/>
      <c r="S2269" s="51"/>
      <c r="T2269" s="338"/>
      <c r="U2269" s="51"/>
      <c r="V2269" s="35"/>
      <c r="W2269" s="364"/>
      <c r="X2269" s="9"/>
      <c r="Y2269" s="9"/>
      <c r="Z2269" s="9"/>
      <c r="AA2269" s="9"/>
      <c r="AB2269" s="9"/>
      <c r="AC2269" s="9"/>
      <c r="AD2269" s="40"/>
      <c r="AE2269" s="56"/>
      <c r="AF2269" s="56"/>
      <c r="AG2269" s="56"/>
      <c r="AH2269" s="56"/>
    </row>
    <row r="2270" spans="1:34" x14ac:dyDescent="0.3">
      <c r="A2270" s="47">
        <f>A2267+1</f>
        <v>2031</v>
      </c>
      <c r="B2270" s="414" t="s">
        <v>2817</v>
      </c>
      <c r="C2270" s="51">
        <f t="shared" ref="C2270:C2279" si="525">D2270+K2270+L2270+N2270+P2270+R2270+S2270+U2270+V2270+W2270</f>
        <v>264084.49</v>
      </c>
      <c r="D2270" s="51">
        <f t="shared" ref="D2270:D2279" si="526">E2270+F2270+G2270+H2270+I2270</f>
        <v>0</v>
      </c>
      <c r="E2270" s="51"/>
      <c r="F2270" s="51"/>
      <c r="G2270" s="51"/>
      <c r="H2270" s="51"/>
      <c r="I2270" s="51"/>
      <c r="J2270" s="51"/>
      <c r="K2270" s="51"/>
      <c r="L2270" s="51"/>
      <c r="M2270" s="35"/>
      <c r="N2270" s="51"/>
      <c r="O2270" s="82"/>
      <c r="P2270" s="51"/>
      <c r="Q2270" s="338"/>
      <c r="R2270" s="51"/>
      <c r="S2270" s="51"/>
      <c r="T2270" s="338"/>
      <c r="U2270" s="51"/>
      <c r="V2270" s="35"/>
      <c r="W2270" s="364">
        <f t="shared" ref="W2270:W2279" si="527">SUM(X2270:AH2270)</f>
        <v>264084.49</v>
      </c>
      <c r="X2270" s="9">
        <v>142553.70000000001</v>
      </c>
      <c r="Y2270" s="9">
        <v>121530.79</v>
      </c>
      <c r="Z2270" s="9"/>
      <c r="AA2270" s="9"/>
      <c r="AB2270" s="9"/>
      <c r="AC2270" s="9"/>
      <c r="AD2270" s="40"/>
      <c r="AE2270" s="56"/>
      <c r="AF2270" s="56"/>
      <c r="AG2270" s="56"/>
      <c r="AH2270" s="56"/>
    </row>
    <row r="2271" spans="1:34" x14ac:dyDescent="0.3">
      <c r="A2271" s="47">
        <f>A2270+1</f>
        <v>2032</v>
      </c>
      <c r="B2271" s="414" t="s">
        <v>2818</v>
      </c>
      <c r="C2271" s="51">
        <f t="shared" si="525"/>
        <v>431312.18</v>
      </c>
      <c r="D2271" s="51">
        <f t="shared" si="526"/>
        <v>0</v>
      </c>
      <c r="E2271" s="51"/>
      <c r="F2271" s="51"/>
      <c r="G2271" s="51"/>
      <c r="H2271" s="51"/>
      <c r="I2271" s="51"/>
      <c r="J2271" s="51"/>
      <c r="K2271" s="51"/>
      <c r="L2271" s="51"/>
      <c r="M2271" s="35"/>
      <c r="N2271" s="51"/>
      <c r="O2271" s="82"/>
      <c r="P2271" s="51"/>
      <c r="Q2271" s="338"/>
      <c r="R2271" s="51"/>
      <c r="S2271" s="51"/>
      <c r="T2271" s="338"/>
      <c r="U2271" s="51"/>
      <c r="V2271" s="35"/>
      <c r="W2271" s="364">
        <f t="shared" si="527"/>
        <v>431312.18</v>
      </c>
      <c r="X2271" s="9"/>
      <c r="Y2271" s="9"/>
      <c r="Z2271" s="9"/>
      <c r="AA2271" s="9"/>
      <c r="AB2271" s="9"/>
      <c r="AC2271" s="9">
        <v>391320.55</v>
      </c>
      <c r="AD2271" s="40">
        <v>39991.629999999997</v>
      </c>
      <c r="AE2271" s="56"/>
      <c r="AF2271" s="56"/>
      <c r="AG2271" s="56"/>
      <c r="AH2271" s="56"/>
    </row>
    <row r="2272" spans="1:34" x14ac:dyDescent="0.3">
      <c r="A2272" s="47">
        <f t="shared" ref="A2272:A2275" si="528">A2271+1</f>
        <v>2033</v>
      </c>
      <c r="B2272" s="414" t="s">
        <v>2819</v>
      </c>
      <c r="C2272" s="51">
        <f t="shared" si="525"/>
        <v>104973.91</v>
      </c>
      <c r="D2272" s="51">
        <f t="shared" si="526"/>
        <v>0</v>
      </c>
      <c r="E2272" s="51"/>
      <c r="F2272" s="51"/>
      <c r="G2272" s="51"/>
      <c r="H2272" s="51"/>
      <c r="I2272" s="51"/>
      <c r="J2272" s="51"/>
      <c r="K2272" s="51"/>
      <c r="L2272" s="51"/>
      <c r="M2272" s="35"/>
      <c r="N2272" s="51"/>
      <c r="O2272" s="82"/>
      <c r="P2272" s="51"/>
      <c r="Q2272" s="338"/>
      <c r="R2272" s="51"/>
      <c r="S2272" s="51"/>
      <c r="T2272" s="338"/>
      <c r="U2272" s="51"/>
      <c r="V2272" s="35"/>
      <c r="W2272" s="364">
        <f t="shared" si="527"/>
        <v>104973.91</v>
      </c>
      <c r="X2272" s="9"/>
      <c r="Y2272" s="9"/>
      <c r="Z2272" s="9"/>
      <c r="AA2272" s="9"/>
      <c r="AB2272" s="9">
        <v>104973.91</v>
      </c>
      <c r="AC2272" s="9"/>
      <c r="AD2272" s="40"/>
      <c r="AE2272" s="56"/>
      <c r="AF2272" s="56"/>
      <c r="AG2272" s="56"/>
      <c r="AH2272" s="56"/>
    </row>
    <row r="2273" spans="1:34" x14ac:dyDescent="0.3">
      <c r="A2273" s="47">
        <f t="shared" si="528"/>
        <v>2034</v>
      </c>
      <c r="B2273" s="414" t="s">
        <v>2820</v>
      </c>
      <c r="C2273" s="51">
        <f t="shared" si="525"/>
        <v>401324.60000000003</v>
      </c>
      <c r="D2273" s="51">
        <f t="shared" si="526"/>
        <v>0</v>
      </c>
      <c r="E2273" s="51"/>
      <c r="F2273" s="51"/>
      <c r="G2273" s="51"/>
      <c r="H2273" s="51"/>
      <c r="I2273" s="51"/>
      <c r="J2273" s="51"/>
      <c r="K2273" s="51"/>
      <c r="L2273" s="51"/>
      <c r="M2273" s="35"/>
      <c r="N2273" s="51"/>
      <c r="O2273" s="82"/>
      <c r="P2273" s="51"/>
      <c r="Q2273" s="338"/>
      <c r="R2273" s="51"/>
      <c r="S2273" s="51"/>
      <c r="T2273" s="338"/>
      <c r="U2273" s="51"/>
      <c r="V2273" s="35"/>
      <c r="W2273" s="364">
        <f t="shared" si="527"/>
        <v>401324.60000000003</v>
      </c>
      <c r="X2273" s="9"/>
      <c r="Y2273" s="9"/>
      <c r="Z2273" s="9"/>
      <c r="AA2273" s="9"/>
      <c r="AB2273" s="9">
        <v>108192.56</v>
      </c>
      <c r="AC2273" s="9">
        <v>201858.58</v>
      </c>
      <c r="AD2273" s="40">
        <v>91273.46</v>
      </c>
      <c r="AE2273" s="56"/>
      <c r="AF2273" s="56"/>
      <c r="AG2273" s="56"/>
      <c r="AH2273" s="56"/>
    </row>
    <row r="2274" spans="1:34" x14ac:dyDescent="0.3">
      <c r="A2274" s="47">
        <f t="shared" si="528"/>
        <v>2035</v>
      </c>
      <c r="B2274" s="414" t="s">
        <v>2821</v>
      </c>
      <c r="C2274" s="51">
        <f t="shared" si="525"/>
        <v>229182.69</v>
      </c>
      <c r="D2274" s="51">
        <f t="shared" si="526"/>
        <v>0</v>
      </c>
      <c r="E2274" s="51"/>
      <c r="F2274" s="51"/>
      <c r="G2274" s="51"/>
      <c r="H2274" s="51"/>
      <c r="I2274" s="51"/>
      <c r="J2274" s="51"/>
      <c r="K2274" s="51"/>
      <c r="L2274" s="51"/>
      <c r="M2274" s="35"/>
      <c r="N2274" s="51"/>
      <c r="O2274" s="82"/>
      <c r="P2274" s="51"/>
      <c r="Q2274" s="338"/>
      <c r="R2274" s="51"/>
      <c r="S2274" s="51"/>
      <c r="T2274" s="338"/>
      <c r="U2274" s="51"/>
      <c r="V2274" s="35"/>
      <c r="W2274" s="364">
        <f t="shared" si="527"/>
        <v>229182.69</v>
      </c>
      <c r="X2274" s="9">
        <v>124522.87</v>
      </c>
      <c r="Y2274" s="9">
        <v>104659.82</v>
      </c>
      <c r="Z2274" s="9"/>
      <c r="AA2274" s="9"/>
      <c r="AB2274" s="9"/>
      <c r="AC2274" s="9"/>
      <c r="AD2274" s="40"/>
      <c r="AE2274" s="56"/>
      <c r="AF2274" s="56"/>
      <c r="AG2274" s="56"/>
      <c r="AH2274" s="56"/>
    </row>
    <row r="2275" spans="1:34" x14ac:dyDescent="0.3">
      <c r="A2275" s="47">
        <f t="shared" si="528"/>
        <v>2036</v>
      </c>
      <c r="B2275" s="414" t="s">
        <v>2822</v>
      </c>
      <c r="C2275" s="51">
        <f t="shared" si="525"/>
        <v>108177.88</v>
      </c>
      <c r="D2275" s="51">
        <f t="shared" si="526"/>
        <v>0</v>
      </c>
      <c r="E2275" s="51"/>
      <c r="F2275" s="51"/>
      <c r="G2275" s="51"/>
      <c r="H2275" s="51"/>
      <c r="I2275" s="51"/>
      <c r="J2275" s="51"/>
      <c r="K2275" s="51"/>
      <c r="L2275" s="51"/>
      <c r="M2275" s="35"/>
      <c r="N2275" s="51"/>
      <c r="O2275" s="82"/>
      <c r="P2275" s="51"/>
      <c r="Q2275" s="338"/>
      <c r="R2275" s="51"/>
      <c r="S2275" s="51"/>
      <c r="T2275" s="338"/>
      <c r="U2275" s="51"/>
      <c r="V2275" s="35"/>
      <c r="W2275" s="364">
        <f t="shared" si="527"/>
        <v>108177.88</v>
      </c>
      <c r="X2275" s="9"/>
      <c r="Y2275" s="9"/>
      <c r="Z2275" s="9"/>
      <c r="AA2275" s="9"/>
      <c r="AB2275" s="9">
        <v>108177.88</v>
      </c>
      <c r="AC2275" s="9"/>
      <c r="AD2275" s="40"/>
      <c r="AE2275" s="56"/>
      <c r="AF2275" s="56"/>
      <c r="AG2275" s="56"/>
      <c r="AH2275" s="56"/>
    </row>
    <row r="2276" spans="1:34" x14ac:dyDescent="0.3">
      <c r="A2276" s="47">
        <f t="shared" ref="A2276:A2279" si="529">A2275+1</f>
        <v>2037</v>
      </c>
      <c r="B2276" s="414" t="s">
        <v>2823</v>
      </c>
      <c r="C2276" s="51">
        <f t="shared" si="525"/>
        <v>106610.99</v>
      </c>
      <c r="D2276" s="51">
        <f t="shared" si="526"/>
        <v>0</v>
      </c>
      <c r="E2276" s="51"/>
      <c r="F2276" s="51"/>
      <c r="G2276" s="51"/>
      <c r="H2276" s="51"/>
      <c r="I2276" s="51"/>
      <c r="J2276" s="51"/>
      <c r="K2276" s="51"/>
      <c r="L2276" s="51"/>
      <c r="M2276" s="35"/>
      <c r="N2276" s="51"/>
      <c r="O2276" s="82"/>
      <c r="P2276" s="51"/>
      <c r="Q2276" s="338"/>
      <c r="R2276" s="51"/>
      <c r="S2276" s="51"/>
      <c r="T2276" s="338"/>
      <c r="U2276" s="51"/>
      <c r="V2276" s="35"/>
      <c r="W2276" s="364">
        <f t="shared" si="527"/>
        <v>106610.99</v>
      </c>
      <c r="X2276" s="9"/>
      <c r="Y2276" s="9"/>
      <c r="Z2276" s="9"/>
      <c r="AA2276" s="9"/>
      <c r="AB2276" s="9">
        <v>106610.99</v>
      </c>
      <c r="AC2276" s="9"/>
      <c r="AD2276" s="40"/>
      <c r="AE2276" s="56"/>
      <c r="AF2276" s="56"/>
      <c r="AG2276" s="56"/>
      <c r="AH2276" s="56"/>
    </row>
    <row r="2277" spans="1:34" x14ac:dyDescent="0.3">
      <c r="A2277" s="47">
        <f t="shared" si="529"/>
        <v>2038</v>
      </c>
      <c r="B2277" s="414" t="s">
        <v>2824</v>
      </c>
      <c r="C2277" s="51">
        <f t="shared" si="525"/>
        <v>397259.01999999996</v>
      </c>
      <c r="D2277" s="51">
        <f t="shared" si="526"/>
        <v>0</v>
      </c>
      <c r="E2277" s="51"/>
      <c r="F2277" s="51"/>
      <c r="G2277" s="51"/>
      <c r="H2277" s="51"/>
      <c r="I2277" s="51"/>
      <c r="J2277" s="51"/>
      <c r="K2277" s="51"/>
      <c r="L2277" s="51"/>
      <c r="M2277" s="35"/>
      <c r="N2277" s="51"/>
      <c r="O2277" s="82"/>
      <c r="P2277" s="51"/>
      <c r="Q2277" s="338"/>
      <c r="R2277" s="51"/>
      <c r="S2277" s="51"/>
      <c r="T2277" s="338"/>
      <c r="U2277" s="51"/>
      <c r="V2277" s="35"/>
      <c r="W2277" s="364">
        <f t="shared" si="527"/>
        <v>397259.01999999996</v>
      </c>
      <c r="X2277" s="9"/>
      <c r="Y2277" s="9"/>
      <c r="Z2277" s="9"/>
      <c r="AA2277" s="9"/>
      <c r="AB2277" s="9">
        <v>107819.42</v>
      </c>
      <c r="AC2277" s="9">
        <v>198906.74</v>
      </c>
      <c r="AD2277" s="40">
        <v>90532.86</v>
      </c>
      <c r="AE2277" s="56"/>
      <c r="AF2277" s="56"/>
      <c r="AG2277" s="56"/>
      <c r="AH2277" s="56"/>
    </row>
    <row r="2278" spans="1:34" x14ac:dyDescent="0.3">
      <c r="A2278" s="47">
        <f t="shared" si="529"/>
        <v>2039</v>
      </c>
      <c r="B2278" s="414" t="s">
        <v>2825</v>
      </c>
      <c r="C2278" s="51">
        <f t="shared" si="525"/>
        <v>102963.85</v>
      </c>
      <c r="D2278" s="51">
        <f t="shared" si="526"/>
        <v>0</v>
      </c>
      <c r="E2278" s="51"/>
      <c r="F2278" s="51"/>
      <c r="G2278" s="51"/>
      <c r="H2278" s="51"/>
      <c r="I2278" s="51"/>
      <c r="J2278" s="51"/>
      <c r="K2278" s="51"/>
      <c r="L2278" s="51"/>
      <c r="M2278" s="35"/>
      <c r="N2278" s="51"/>
      <c r="O2278" s="82"/>
      <c r="P2278" s="51"/>
      <c r="Q2278" s="338"/>
      <c r="R2278" s="51"/>
      <c r="S2278" s="51"/>
      <c r="T2278" s="338"/>
      <c r="U2278" s="51"/>
      <c r="V2278" s="35"/>
      <c r="W2278" s="364">
        <f t="shared" si="527"/>
        <v>102963.85</v>
      </c>
      <c r="X2278" s="9"/>
      <c r="Y2278" s="9"/>
      <c r="Z2278" s="9"/>
      <c r="AA2278" s="9"/>
      <c r="AB2278" s="9">
        <v>102963.85</v>
      </c>
      <c r="AC2278" s="9"/>
      <c r="AD2278" s="40"/>
      <c r="AE2278" s="56"/>
      <c r="AF2278" s="56"/>
      <c r="AG2278" s="56"/>
      <c r="AH2278" s="56"/>
    </row>
    <row r="2279" spans="1:34" x14ac:dyDescent="0.3">
      <c r="A2279" s="47">
        <f t="shared" si="529"/>
        <v>2040</v>
      </c>
      <c r="B2279" s="414" t="s">
        <v>2826</v>
      </c>
      <c r="C2279" s="51">
        <f t="shared" si="525"/>
        <v>534736.31999999995</v>
      </c>
      <c r="D2279" s="51">
        <f t="shared" si="526"/>
        <v>0</v>
      </c>
      <c r="E2279" s="51"/>
      <c r="F2279" s="51"/>
      <c r="G2279" s="51"/>
      <c r="H2279" s="51"/>
      <c r="I2279" s="51"/>
      <c r="J2279" s="51"/>
      <c r="K2279" s="51"/>
      <c r="L2279" s="51"/>
      <c r="M2279" s="35"/>
      <c r="N2279" s="51"/>
      <c r="O2279" s="82"/>
      <c r="P2279" s="51"/>
      <c r="Q2279" s="338"/>
      <c r="R2279" s="51"/>
      <c r="S2279" s="51"/>
      <c r="T2279" s="338"/>
      <c r="U2279" s="51"/>
      <c r="V2279" s="35"/>
      <c r="W2279" s="364">
        <f t="shared" si="527"/>
        <v>534736.31999999995</v>
      </c>
      <c r="X2279" s="9"/>
      <c r="Y2279" s="9"/>
      <c r="Z2279" s="9"/>
      <c r="AA2279" s="9"/>
      <c r="AB2279" s="9">
        <v>169855.3</v>
      </c>
      <c r="AC2279" s="9">
        <v>316214.14</v>
      </c>
      <c r="AD2279" s="40">
        <v>48666.879999999997</v>
      </c>
      <c r="AE2279" s="56"/>
      <c r="AF2279" s="56"/>
      <c r="AG2279" s="56"/>
      <c r="AH2279" s="56"/>
    </row>
    <row r="2280" spans="1:34" x14ac:dyDescent="0.3">
      <c r="A2280" s="439" t="s">
        <v>211</v>
      </c>
      <c r="B2280" s="399"/>
      <c r="C2280" s="51">
        <f t="shared" ref="C2280:R2280" si="530">SUM(C2270:C2279)</f>
        <v>2680625.9299999997</v>
      </c>
      <c r="D2280" s="51">
        <f t="shared" si="530"/>
        <v>0</v>
      </c>
      <c r="E2280" s="51">
        <f t="shared" si="530"/>
        <v>0</v>
      </c>
      <c r="F2280" s="51">
        <f t="shared" si="530"/>
        <v>0</v>
      </c>
      <c r="G2280" s="51">
        <f t="shared" si="530"/>
        <v>0</v>
      </c>
      <c r="H2280" s="51">
        <f t="shared" si="530"/>
        <v>0</v>
      </c>
      <c r="I2280" s="51">
        <f t="shared" si="530"/>
        <v>0</v>
      </c>
      <c r="J2280" s="51">
        <f t="shared" si="530"/>
        <v>0</v>
      </c>
      <c r="K2280" s="51">
        <f t="shared" si="530"/>
        <v>0</v>
      </c>
      <c r="L2280" s="51">
        <f t="shared" si="530"/>
        <v>0</v>
      </c>
      <c r="M2280" s="35">
        <f t="shared" si="530"/>
        <v>0</v>
      </c>
      <c r="N2280" s="51">
        <f t="shared" si="530"/>
        <v>0</v>
      </c>
      <c r="O2280" s="82">
        <f t="shared" si="530"/>
        <v>0</v>
      </c>
      <c r="P2280" s="51">
        <f t="shared" si="530"/>
        <v>0</v>
      </c>
      <c r="Q2280" s="338">
        <f t="shared" si="530"/>
        <v>0</v>
      </c>
      <c r="R2280" s="51">
        <f t="shared" si="530"/>
        <v>0</v>
      </c>
      <c r="S2280" s="51">
        <f>SUM(S2270:S2279)</f>
        <v>0</v>
      </c>
      <c r="T2280" s="338">
        <f>SUM(T2270:T2279)</f>
        <v>0</v>
      </c>
      <c r="U2280" s="51">
        <f>SUM(U2270:U2279)</f>
        <v>0</v>
      </c>
      <c r="V2280" s="35">
        <f>SUM(V2270:V2279)</f>
        <v>0</v>
      </c>
      <c r="W2280" s="51">
        <f>SUM(W2270:W2279)</f>
        <v>2680625.9299999997</v>
      </c>
      <c r="X2280" s="9"/>
      <c r="Y2280" s="9"/>
      <c r="Z2280" s="9"/>
      <c r="AA2280" s="9"/>
      <c r="AB2280" s="9"/>
      <c r="AC2280" s="9"/>
      <c r="AD2280" s="40"/>
      <c r="AE2280" s="56"/>
      <c r="AF2280" s="56"/>
      <c r="AG2280" s="56"/>
      <c r="AH2280" s="56"/>
    </row>
    <row r="2281" spans="1:34" x14ac:dyDescent="0.3">
      <c r="A2281" s="435" t="s">
        <v>2827</v>
      </c>
      <c r="B2281" s="363"/>
      <c r="C2281" s="51"/>
      <c r="D2281" s="51"/>
      <c r="E2281" s="51"/>
      <c r="F2281" s="51"/>
      <c r="G2281" s="51"/>
      <c r="H2281" s="51"/>
      <c r="I2281" s="51"/>
      <c r="J2281" s="51"/>
      <c r="K2281" s="51"/>
      <c r="L2281" s="51"/>
      <c r="M2281" s="35"/>
      <c r="N2281" s="51"/>
      <c r="O2281" s="82"/>
      <c r="P2281" s="51"/>
      <c r="Q2281" s="338"/>
      <c r="R2281" s="51"/>
      <c r="S2281" s="51"/>
      <c r="T2281" s="338"/>
      <c r="U2281" s="51"/>
      <c r="V2281" s="35"/>
      <c r="W2281" s="364"/>
      <c r="X2281" s="9"/>
      <c r="Y2281" s="9"/>
      <c r="Z2281" s="9"/>
      <c r="AA2281" s="9"/>
      <c r="AB2281" s="9"/>
      <c r="AC2281" s="9"/>
      <c r="AD2281" s="40"/>
      <c r="AE2281" s="56"/>
      <c r="AF2281" s="56"/>
      <c r="AG2281" s="56"/>
      <c r="AH2281" s="56"/>
    </row>
    <row r="2282" spans="1:34" x14ac:dyDescent="0.3">
      <c r="A2282" s="47">
        <f>A2279+1</f>
        <v>2041</v>
      </c>
      <c r="B2282" s="414" t="s">
        <v>2830</v>
      </c>
      <c r="C2282" s="51">
        <f t="shared" ref="C2282:C2304" si="531">D2282+K2282+L2282+N2282+P2282+R2282+S2282+U2282+V2282+W2282</f>
        <v>203212.37</v>
      </c>
      <c r="D2282" s="51">
        <f t="shared" ref="D2282:D2304" si="532">E2282+F2282+G2282+H2282+I2282</f>
        <v>0</v>
      </c>
      <c r="E2282" s="51"/>
      <c r="F2282" s="51"/>
      <c r="G2282" s="51"/>
      <c r="H2282" s="51"/>
      <c r="I2282" s="51"/>
      <c r="J2282" s="51"/>
      <c r="K2282" s="51"/>
      <c r="L2282" s="51"/>
      <c r="M2282" s="35"/>
      <c r="N2282" s="51"/>
      <c r="O2282" s="82"/>
      <c r="P2282" s="51"/>
      <c r="Q2282" s="338"/>
      <c r="R2282" s="51"/>
      <c r="S2282" s="51"/>
      <c r="T2282" s="338"/>
      <c r="U2282" s="51"/>
      <c r="V2282" s="35"/>
      <c r="W2282" s="364">
        <f t="shared" ref="W2282:W2304" si="533">SUM(X2282:AH2282)</f>
        <v>203212.37</v>
      </c>
      <c r="X2282" s="9"/>
      <c r="Y2282" s="9"/>
      <c r="Z2282" s="9"/>
      <c r="AA2282" s="9"/>
      <c r="AB2282" s="9"/>
      <c r="AC2282" s="9">
        <v>203212.37</v>
      </c>
      <c r="AD2282" s="40"/>
      <c r="AE2282" s="56"/>
      <c r="AF2282" s="56"/>
      <c r="AG2282" s="56"/>
      <c r="AH2282" s="56"/>
    </row>
    <row r="2283" spans="1:34" x14ac:dyDescent="0.3">
      <c r="A2283" s="47">
        <f>A2282+1</f>
        <v>2042</v>
      </c>
      <c r="B2283" s="414" t="s">
        <v>2831</v>
      </c>
      <c r="C2283" s="51">
        <f t="shared" si="531"/>
        <v>194213.21</v>
      </c>
      <c r="D2283" s="51">
        <f t="shared" si="532"/>
        <v>0</v>
      </c>
      <c r="E2283" s="51"/>
      <c r="F2283" s="51"/>
      <c r="G2283" s="51"/>
      <c r="H2283" s="51"/>
      <c r="I2283" s="51"/>
      <c r="J2283" s="51"/>
      <c r="K2283" s="51"/>
      <c r="L2283" s="51"/>
      <c r="M2283" s="35"/>
      <c r="N2283" s="51"/>
      <c r="O2283" s="82"/>
      <c r="P2283" s="51"/>
      <c r="Q2283" s="338"/>
      <c r="R2283" s="51"/>
      <c r="S2283" s="51"/>
      <c r="T2283" s="338"/>
      <c r="U2283" s="51"/>
      <c r="V2283" s="35"/>
      <c r="W2283" s="364">
        <f t="shared" si="533"/>
        <v>194213.21</v>
      </c>
      <c r="X2283" s="9"/>
      <c r="Y2283" s="9"/>
      <c r="Z2283" s="9"/>
      <c r="AA2283" s="9"/>
      <c r="AB2283" s="9"/>
      <c r="AC2283" s="9"/>
      <c r="AD2283" s="40">
        <v>194213.21</v>
      </c>
      <c r="AE2283" s="56"/>
      <c r="AF2283" s="56"/>
      <c r="AG2283" s="56"/>
      <c r="AH2283" s="56"/>
    </row>
    <row r="2284" spans="1:34" x14ac:dyDescent="0.3">
      <c r="A2284" s="47">
        <f t="shared" ref="A2284:A2287" si="534">A2283+1</f>
        <v>2043</v>
      </c>
      <c r="B2284" s="414" t="s">
        <v>2832</v>
      </c>
      <c r="C2284" s="51">
        <f t="shared" si="531"/>
        <v>443192.14</v>
      </c>
      <c r="D2284" s="51">
        <f t="shared" si="532"/>
        <v>0</v>
      </c>
      <c r="E2284" s="51"/>
      <c r="F2284" s="51"/>
      <c r="G2284" s="51"/>
      <c r="H2284" s="51"/>
      <c r="I2284" s="51"/>
      <c r="J2284" s="51"/>
      <c r="K2284" s="51"/>
      <c r="L2284" s="51"/>
      <c r="M2284" s="35"/>
      <c r="N2284" s="51"/>
      <c r="O2284" s="82"/>
      <c r="P2284" s="51"/>
      <c r="Q2284" s="338"/>
      <c r="R2284" s="51"/>
      <c r="S2284" s="51"/>
      <c r="T2284" s="338"/>
      <c r="U2284" s="51"/>
      <c r="V2284" s="35"/>
      <c r="W2284" s="364">
        <f t="shared" si="533"/>
        <v>443192.14</v>
      </c>
      <c r="X2284" s="9"/>
      <c r="Y2284" s="9"/>
      <c r="Z2284" s="9"/>
      <c r="AA2284" s="9"/>
      <c r="AB2284" s="9"/>
      <c r="AC2284" s="9">
        <v>187343.08</v>
      </c>
      <c r="AD2284" s="40">
        <v>255849.06</v>
      </c>
      <c r="AE2284" s="56"/>
      <c r="AF2284" s="56"/>
      <c r="AG2284" s="56"/>
      <c r="AH2284" s="56"/>
    </row>
    <row r="2285" spans="1:34" x14ac:dyDescent="0.3">
      <c r="A2285" s="47">
        <f t="shared" si="534"/>
        <v>2044</v>
      </c>
      <c r="B2285" s="414" t="s">
        <v>2833</v>
      </c>
      <c r="C2285" s="51">
        <f t="shared" si="531"/>
        <v>91100.87</v>
      </c>
      <c r="D2285" s="51">
        <f t="shared" si="532"/>
        <v>0</v>
      </c>
      <c r="E2285" s="51"/>
      <c r="F2285" s="51"/>
      <c r="G2285" s="51"/>
      <c r="H2285" s="51"/>
      <c r="I2285" s="51"/>
      <c r="J2285" s="51"/>
      <c r="K2285" s="51"/>
      <c r="L2285" s="51"/>
      <c r="M2285" s="35"/>
      <c r="N2285" s="51"/>
      <c r="O2285" s="82"/>
      <c r="P2285" s="51"/>
      <c r="Q2285" s="338"/>
      <c r="R2285" s="51"/>
      <c r="S2285" s="51"/>
      <c r="T2285" s="338"/>
      <c r="U2285" s="51"/>
      <c r="V2285" s="35"/>
      <c r="W2285" s="364">
        <f t="shared" si="533"/>
        <v>91100.87</v>
      </c>
      <c r="X2285" s="9"/>
      <c r="Y2285" s="9"/>
      <c r="Z2285" s="9"/>
      <c r="AA2285" s="9"/>
      <c r="AB2285" s="9"/>
      <c r="AC2285" s="9"/>
      <c r="AD2285" s="40">
        <v>91100.87</v>
      </c>
      <c r="AE2285" s="56"/>
      <c r="AF2285" s="56"/>
      <c r="AG2285" s="56"/>
      <c r="AH2285" s="56"/>
    </row>
    <row r="2286" spans="1:34" x14ac:dyDescent="0.3">
      <c r="A2286" s="47">
        <f t="shared" si="534"/>
        <v>2045</v>
      </c>
      <c r="B2286" s="414" t="s">
        <v>2834</v>
      </c>
      <c r="C2286" s="51">
        <f t="shared" si="531"/>
        <v>91100.87</v>
      </c>
      <c r="D2286" s="51">
        <f t="shared" si="532"/>
        <v>0</v>
      </c>
      <c r="E2286" s="51"/>
      <c r="F2286" s="51"/>
      <c r="G2286" s="51"/>
      <c r="H2286" s="51"/>
      <c r="I2286" s="51"/>
      <c r="J2286" s="51"/>
      <c r="K2286" s="51"/>
      <c r="L2286" s="51"/>
      <c r="M2286" s="35"/>
      <c r="N2286" s="51"/>
      <c r="O2286" s="82"/>
      <c r="P2286" s="51"/>
      <c r="Q2286" s="338"/>
      <c r="R2286" s="51"/>
      <c r="S2286" s="51"/>
      <c r="T2286" s="338"/>
      <c r="U2286" s="51"/>
      <c r="V2286" s="35"/>
      <c r="W2286" s="364">
        <f t="shared" si="533"/>
        <v>91100.87</v>
      </c>
      <c r="X2286" s="9"/>
      <c r="Y2286" s="9"/>
      <c r="Z2286" s="9"/>
      <c r="AA2286" s="9"/>
      <c r="AB2286" s="9"/>
      <c r="AC2286" s="9"/>
      <c r="AD2286" s="40">
        <v>91100.87</v>
      </c>
      <c r="AE2286" s="56"/>
      <c r="AF2286" s="56"/>
      <c r="AG2286" s="56"/>
      <c r="AH2286" s="56"/>
    </row>
    <row r="2287" spans="1:34" x14ac:dyDescent="0.3">
      <c r="A2287" s="47">
        <f t="shared" si="534"/>
        <v>2046</v>
      </c>
      <c r="B2287" s="414" t="s">
        <v>2835</v>
      </c>
      <c r="C2287" s="51">
        <f t="shared" si="531"/>
        <v>407315.01</v>
      </c>
      <c r="D2287" s="51">
        <f t="shared" si="532"/>
        <v>0</v>
      </c>
      <c r="E2287" s="51"/>
      <c r="F2287" s="51"/>
      <c r="G2287" s="51"/>
      <c r="H2287" s="51"/>
      <c r="I2287" s="51"/>
      <c r="J2287" s="51"/>
      <c r="K2287" s="51"/>
      <c r="L2287" s="51"/>
      <c r="M2287" s="35"/>
      <c r="N2287" s="51"/>
      <c r="O2287" s="82"/>
      <c r="P2287" s="51"/>
      <c r="Q2287" s="338"/>
      <c r="R2287" s="51"/>
      <c r="S2287" s="51"/>
      <c r="T2287" s="338"/>
      <c r="U2287" s="51"/>
      <c r="V2287" s="35"/>
      <c r="W2287" s="364">
        <f t="shared" si="533"/>
        <v>407315.01</v>
      </c>
      <c r="X2287" s="9"/>
      <c r="Y2287" s="9"/>
      <c r="Z2287" s="9"/>
      <c r="AA2287" s="9"/>
      <c r="AB2287" s="9"/>
      <c r="AC2287" s="9">
        <v>316214.14</v>
      </c>
      <c r="AD2287" s="40">
        <v>91100.87</v>
      </c>
      <c r="AE2287" s="56"/>
      <c r="AF2287" s="56"/>
      <c r="AG2287" s="56"/>
      <c r="AH2287" s="56"/>
    </row>
    <row r="2288" spans="1:34" x14ac:dyDescent="0.3">
      <c r="A2288" s="47">
        <f t="shared" ref="A2288:A2304" si="535">A2287+1</f>
        <v>2047</v>
      </c>
      <c r="B2288" s="414" t="s">
        <v>2836</v>
      </c>
      <c r="C2288" s="51">
        <f t="shared" si="531"/>
        <v>184464.44</v>
      </c>
      <c r="D2288" s="51">
        <f t="shared" si="532"/>
        <v>0</v>
      </c>
      <c r="E2288" s="51"/>
      <c r="F2288" s="51"/>
      <c r="G2288" s="51"/>
      <c r="H2288" s="51"/>
      <c r="I2288" s="51"/>
      <c r="J2288" s="51"/>
      <c r="K2288" s="51"/>
      <c r="L2288" s="51"/>
      <c r="M2288" s="35"/>
      <c r="N2288" s="51"/>
      <c r="O2288" s="82"/>
      <c r="P2288" s="51"/>
      <c r="Q2288" s="338"/>
      <c r="R2288" s="51"/>
      <c r="S2288" s="51"/>
      <c r="T2288" s="338"/>
      <c r="U2288" s="51"/>
      <c r="V2288" s="35"/>
      <c r="W2288" s="364">
        <f t="shared" si="533"/>
        <v>184464.44</v>
      </c>
      <c r="X2288" s="9"/>
      <c r="Y2288" s="9"/>
      <c r="Z2288" s="9"/>
      <c r="AA2288" s="9"/>
      <c r="AB2288" s="9"/>
      <c r="AC2288" s="9">
        <v>184464.44</v>
      </c>
      <c r="AD2288" s="40"/>
      <c r="AE2288" s="56"/>
      <c r="AF2288" s="56"/>
      <c r="AG2288" s="56"/>
      <c r="AH2288" s="56"/>
    </row>
    <row r="2289" spans="1:34" x14ac:dyDescent="0.3">
      <c r="A2289" s="47">
        <f t="shared" si="535"/>
        <v>2048</v>
      </c>
      <c r="B2289" s="414" t="s">
        <v>2837</v>
      </c>
      <c r="C2289" s="51">
        <f t="shared" si="531"/>
        <v>346673.63</v>
      </c>
      <c r="D2289" s="51">
        <f t="shared" si="532"/>
        <v>0</v>
      </c>
      <c r="E2289" s="51"/>
      <c r="F2289" s="51"/>
      <c r="G2289" s="51"/>
      <c r="H2289" s="51"/>
      <c r="I2289" s="51"/>
      <c r="J2289" s="51"/>
      <c r="K2289" s="51"/>
      <c r="L2289" s="51"/>
      <c r="M2289" s="35"/>
      <c r="N2289" s="51"/>
      <c r="O2289" s="82"/>
      <c r="P2289" s="51"/>
      <c r="Q2289" s="338"/>
      <c r="R2289" s="51"/>
      <c r="S2289" s="51"/>
      <c r="T2289" s="338"/>
      <c r="U2289" s="51"/>
      <c r="V2289" s="35"/>
      <c r="W2289" s="364">
        <f t="shared" si="533"/>
        <v>346673.63</v>
      </c>
      <c r="X2289" s="9">
        <v>127173.29</v>
      </c>
      <c r="Y2289" s="9"/>
      <c r="Z2289" s="9">
        <v>107180.83</v>
      </c>
      <c r="AA2289" s="9">
        <v>112319.51</v>
      </c>
      <c r="AB2289" s="9"/>
      <c r="AC2289" s="9"/>
      <c r="AD2289" s="40"/>
      <c r="AE2289" s="56"/>
      <c r="AF2289" s="56"/>
      <c r="AG2289" s="56"/>
      <c r="AH2289" s="56"/>
    </row>
    <row r="2290" spans="1:34" x14ac:dyDescent="0.3">
      <c r="A2290" s="47">
        <f t="shared" si="535"/>
        <v>2049</v>
      </c>
      <c r="B2290" s="414" t="s">
        <v>2838</v>
      </c>
      <c r="C2290" s="51">
        <f t="shared" si="531"/>
        <v>200521.82</v>
      </c>
      <c r="D2290" s="51">
        <f t="shared" si="532"/>
        <v>0</v>
      </c>
      <c r="E2290" s="51"/>
      <c r="F2290" s="51"/>
      <c r="G2290" s="51"/>
      <c r="H2290" s="51"/>
      <c r="I2290" s="51"/>
      <c r="J2290" s="51"/>
      <c r="K2290" s="51"/>
      <c r="L2290" s="51"/>
      <c r="M2290" s="35"/>
      <c r="N2290" s="51"/>
      <c r="O2290" s="82"/>
      <c r="P2290" s="51"/>
      <c r="Q2290" s="338"/>
      <c r="R2290" s="51"/>
      <c r="S2290" s="51"/>
      <c r="T2290" s="338"/>
      <c r="U2290" s="51"/>
      <c r="V2290" s="35"/>
      <c r="W2290" s="364">
        <f t="shared" si="533"/>
        <v>200521.82</v>
      </c>
      <c r="X2290" s="9"/>
      <c r="Y2290" s="9"/>
      <c r="Z2290" s="9"/>
      <c r="AA2290" s="9"/>
      <c r="AB2290" s="9"/>
      <c r="AC2290" s="9"/>
      <c r="AD2290" s="40">
        <v>200521.82</v>
      </c>
      <c r="AE2290" s="56"/>
      <c r="AF2290" s="56"/>
      <c r="AG2290" s="56"/>
      <c r="AH2290" s="56"/>
    </row>
    <row r="2291" spans="1:34" x14ac:dyDescent="0.3">
      <c r="A2291" s="47">
        <f t="shared" si="535"/>
        <v>2050</v>
      </c>
      <c r="B2291" s="414" t="s">
        <v>2840</v>
      </c>
      <c r="C2291" s="51">
        <f t="shared" si="531"/>
        <v>239492.8</v>
      </c>
      <c r="D2291" s="51">
        <f t="shared" si="532"/>
        <v>0</v>
      </c>
      <c r="E2291" s="51"/>
      <c r="F2291" s="51"/>
      <c r="G2291" s="51"/>
      <c r="H2291" s="51"/>
      <c r="I2291" s="51"/>
      <c r="J2291" s="51"/>
      <c r="K2291" s="51"/>
      <c r="L2291" s="51"/>
      <c r="M2291" s="35"/>
      <c r="N2291" s="51"/>
      <c r="O2291" s="82"/>
      <c r="P2291" s="51"/>
      <c r="Q2291" s="338"/>
      <c r="R2291" s="51"/>
      <c r="S2291" s="51"/>
      <c r="T2291" s="338"/>
      <c r="U2291" s="51"/>
      <c r="V2291" s="35"/>
      <c r="W2291" s="364">
        <f t="shared" si="533"/>
        <v>239492.8</v>
      </c>
      <c r="X2291" s="9">
        <v>127173.29</v>
      </c>
      <c r="Y2291" s="9"/>
      <c r="Z2291" s="9"/>
      <c r="AA2291" s="9">
        <v>112319.51</v>
      </c>
      <c r="AB2291" s="9"/>
      <c r="AC2291" s="9"/>
      <c r="AD2291" s="40"/>
      <c r="AE2291" s="56"/>
      <c r="AF2291" s="56"/>
      <c r="AG2291" s="56"/>
      <c r="AH2291" s="56"/>
    </row>
    <row r="2292" spans="1:34" x14ac:dyDescent="0.3">
      <c r="A2292" s="47">
        <f t="shared" si="535"/>
        <v>2051</v>
      </c>
      <c r="B2292" s="414" t="s">
        <v>2841</v>
      </c>
      <c r="C2292" s="51">
        <f t="shared" si="531"/>
        <v>239492.8</v>
      </c>
      <c r="D2292" s="51">
        <f t="shared" si="532"/>
        <v>0</v>
      </c>
      <c r="E2292" s="51"/>
      <c r="F2292" s="51"/>
      <c r="G2292" s="51"/>
      <c r="H2292" s="51"/>
      <c r="I2292" s="51"/>
      <c r="J2292" s="51"/>
      <c r="K2292" s="51"/>
      <c r="L2292" s="51"/>
      <c r="M2292" s="35"/>
      <c r="N2292" s="51"/>
      <c r="O2292" s="82"/>
      <c r="P2292" s="51"/>
      <c r="Q2292" s="338"/>
      <c r="R2292" s="51"/>
      <c r="S2292" s="51"/>
      <c r="T2292" s="338"/>
      <c r="U2292" s="51"/>
      <c r="V2292" s="35"/>
      <c r="W2292" s="364">
        <f t="shared" si="533"/>
        <v>239492.8</v>
      </c>
      <c r="X2292" s="9">
        <v>127173.29</v>
      </c>
      <c r="Y2292" s="9"/>
      <c r="Z2292" s="9"/>
      <c r="AA2292" s="9">
        <v>112319.51</v>
      </c>
      <c r="AB2292" s="9"/>
      <c r="AC2292" s="9"/>
      <c r="AD2292" s="40"/>
      <c r="AE2292" s="56"/>
      <c r="AF2292" s="56"/>
      <c r="AG2292" s="56"/>
      <c r="AH2292" s="56"/>
    </row>
    <row r="2293" spans="1:34" x14ac:dyDescent="0.3">
      <c r="A2293" s="47">
        <f t="shared" si="535"/>
        <v>2052</v>
      </c>
      <c r="B2293" s="414" t="s">
        <v>2842</v>
      </c>
      <c r="C2293" s="51">
        <f t="shared" si="531"/>
        <v>239492.8</v>
      </c>
      <c r="D2293" s="51">
        <f t="shared" si="532"/>
        <v>0</v>
      </c>
      <c r="E2293" s="51"/>
      <c r="F2293" s="51"/>
      <c r="G2293" s="51"/>
      <c r="H2293" s="51"/>
      <c r="I2293" s="51"/>
      <c r="J2293" s="51"/>
      <c r="K2293" s="51"/>
      <c r="L2293" s="51"/>
      <c r="M2293" s="35"/>
      <c r="N2293" s="51"/>
      <c r="O2293" s="82"/>
      <c r="P2293" s="51"/>
      <c r="Q2293" s="338"/>
      <c r="R2293" s="51"/>
      <c r="S2293" s="51"/>
      <c r="T2293" s="338"/>
      <c r="U2293" s="51"/>
      <c r="V2293" s="35"/>
      <c r="W2293" s="364">
        <f t="shared" si="533"/>
        <v>239492.8</v>
      </c>
      <c r="X2293" s="9">
        <v>127173.29</v>
      </c>
      <c r="Y2293" s="9"/>
      <c r="Z2293" s="9"/>
      <c r="AA2293" s="9">
        <v>112319.51</v>
      </c>
      <c r="AB2293" s="9"/>
      <c r="AC2293" s="9"/>
      <c r="AD2293" s="40"/>
      <c r="AE2293" s="56"/>
      <c r="AF2293" s="56"/>
      <c r="AG2293" s="56"/>
      <c r="AH2293" s="56"/>
    </row>
    <row r="2294" spans="1:34" x14ac:dyDescent="0.3">
      <c r="A2294" s="47">
        <f t="shared" si="535"/>
        <v>2053</v>
      </c>
      <c r="B2294" s="414" t="s">
        <v>2843</v>
      </c>
      <c r="C2294" s="51">
        <f t="shared" si="531"/>
        <v>239492.8</v>
      </c>
      <c r="D2294" s="51">
        <f t="shared" si="532"/>
        <v>0</v>
      </c>
      <c r="E2294" s="51"/>
      <c r="F2294" s="51"/>
      <c r="G2294" s="51"/>
      <c r="H2294" s="51"/>
      <c r="I2294" s="51"/>
      <c r="J2294" s="51"/>
      <c r="K2294" s="51"/>
      <c r="L2294" s="51"/>
      <c r="M2294" s="35"/>
      <c r="N2294" s="51"/>
      <c r="O2294" s="82"/>
      <c r="P2294" s="51"/>
      <c r="Q2294" s="338"/>
      <c r="R2294" s="51"/>
      <c r="S2294" s="51"/>
      <c r="T2294" s="338"/>
      <c r="U2294" s="51"/>
      <c r="V2294" s="35"/>
      <c r="W2294" s="364">
        <f t="shared" si="533"/>
        <v>239492.8</v>
      </c>
      <c r="X2294" s="9">
        <v>127173.29</v>
      </c>
      <c r="Y2294" s="9"/>
      <c r="Z2294" s="9"/>
      <c r="AA2294" s="9">
        <v>112319.51</v>
      </c>
      <c r="AB2294" s="9"/>
      <c r="AC2294" s="9"/>
      <c r="AD2294" s="40"/>
      <c r="AE2294" s="56"/>
      <c r="AF2294" s="56"/>
      <c r="AG2294" s="56"/>
      <c r="AH2294" s="56"/>
    </row>
    <row r="2295" spans="1:34" x14ac:dyDescent="0.3">
      <c r="A2295" s="47">
        <f t="shared" si="535"/>
        <v>2054</v>
      </c>
      <c r="B2295" s="414" t="s">
        <v>2844</v>
      </c>
      <c r="C2295" s="51">
        <f t="shared" si="531"/>
        <v>385036.01</v>
      </c>
      <c r="D2295" s="51">
        <f t="shared" si="532"/>
        <v>0</v>
      </c>
      <c r="E2295" s="51"/>
      <c r="F2295" s="51"/>
      <c r="G2295" s="51"/>
      <c r="H2295" s="51"/>
      <c r="I2295" s="51"/>
      <c r="J2295" s="51"/>
      <c r="K2295" s="51"/>
      <c r="L2295" s="51"/>
      <c r="M2295" s="35"/>
      <c r="N2295" s="51"/>
      <c r="O2295" s="82"/>
      <c r="P2295" s="51"/>
      <c r="Q2295" s="338"/>
      <c r="R2295" s="51"/>
      <c r="S2295" s="51"/>
      <c r="T2295" s="338"/>
      <c r="U2295" s="51"/>
      <c r="V2295" s="35"/>
      <c r="W2295" s="364">
        <f t="shared" si="533"/>
        <v>385036.01</v>
      </c>
      <c r="X2295" s="9">
        <v>140390.92000000001</v>
      </c>
      <c r="Y2295" s="9"/>
      <c r="Z2295" s="9">
        <v>119753.21</v>
      </c>
      <c r="AA2295" s="9">
        <v>124891.88</v>
      </c>
      <c r="AB2295" s="9"/>
      <c r="AC2295" s="9"/>
      <c r="AD2295" s="40"/>
      <c r="AE2295" s="56"/>
      <c r="AF2295" s="56"/>
      <c r="AG2295" s="56"/>
      <c r="AH2295" s="56"/>
    </row>
    <row r="2296" spans="1:34" x14ac:dyDescent="0.3">
      <c r="A2296" s="47">
        <f t="shared" si="535"/>
        <v>2055</v>
      </c>
      <c r="B2296" s="414" t="s">
        <v>2845</v>
      </c>
      <c r="C2296" s="51">
        <f t="shared" si="531"/>
        <v>385036.01</v>
      </c>
      <c r="D2296" s="51">
        <f t="shared" si="532"/>
        <v>0</v>
      </c>
      <c r="E2296" s="51"/>
      <c r="F2296" s="51"/>
      <c r="G2296" s="51"/>
      <c r="H2296" s="51"/>
      <c r="I2296" s="51"/>
      <c r="J2296" s="51"/>
      <c r="K2296" s="51"/>
      <c r="L2296" s="51"/>
      <c r="M2296" s="35"/>
      <c r="N2296" s="51"/>
      <c r="O2296" s="82"/>
      <c r="P2296" s="51"/>
      <c r="Q2296" s="338"/>
      <c r="R2296" s="51"/>
      <c r="S2296" s="51"/>
      <c r="T2296" s="338"/>
      <c r="U2296" s="51"/>
      <c r="V2296" s="35"/>
      <c r="W2296" s="364">
        <f t="shared" si="533"/>
        <v>385036.01</v>
      </c>
      <c r="X2296" s="9">
        <v>140390.92000000001</v>
      </c>
      <c r="Y2296" s="9"/>
      <c r="Z2296" s="9">
        <v>119753.21</v>
      </c>
      <c r="AA2296" s="9">
        <v>124891.88</v>
      </c>
      <c r="AB2296" s="9"/>
      <c r="AC2296" s="9"/>
      <c r="AD2296" s="40"/>
      <c r="AE2296" s="56"/>
      <c r="AF2296" s="56"/>
      <c r="AG2296" s="56"/>
      <c r="AH2296" s="56"/>
    </row>
    <row r="2297" spans="1:34" x14ac:dyDescent="0.3">
      <c r="A2297" s="47">
        <f t="shared" si="535"/>
        <v>2056</v>
      </c>
      <c r="B2297" s="414" t="s">
        <v>2846</v>
      </c>
      <c r="C2297" s="51">
        <f t="shared" si="531"/>
        <v>385036.01</v>
      </c>
      <c r="D2297" s="51">
        <f t="shared" si="532"/>
        <v>0</v>
      </c>
      <c r="E2297" s="51"/>
      <c r="F2297" s="51"/>
      <c r="G2297" s="51"/>
      <c r="H2297" s="51"/>
      <c r="I2297" s="51"/>
      <c r="J2297" s="51"/>
      <c r="K2297" s="51"/>
      <c r="L2297" s="51"/>
      <c r="M2297" s="35"/>
      <c r="N2297" s="51"/>
      <c r="O2297" s="82"/>
      <c r="P2297" s="51"/>
      <c r="Q2297" s="338"/>
      <c r="R2297" s="51"/>
      <c r="S2297" s="51"/>
      <c r="T2297" s="338"/>
      <c r="U2297" s="51"/>
      <c r="V2297" s="35"/>
      <c r="W2297" s="364">
        <f t="shared" si="533"/>
        <v>385036.01</v>
      </c>
      <c r="X2297" s="9">
        <v>140390.92000000001</v>
      </c>
      <c r="Y2297" s="9"/>
      <c r="Z2297" s="9">
        <v>119753.21</v>
      </c>
      <c r="AA2297" s="9">
        <v>124891.88</v>
      </c>
      <c r="AB2297" s="9"/>
      <c r="AC2297" s="9"/>
      <c r="AD2297" s="40"/>
      <c r="AE2297" s="56"/>
      <c r="AF2297" s="56"/>
      <c r="AG2297" s="56"/>
      <c r="AH2297" s="56"/>
    </row>
    <row r="2298" spans="1:34" x14ac:dyDescent="0.3">
      <c r="A2298" s="47">
        <f t="shared" si="535"/>
        <v>2057</v>
      </c>
      <c r="B2298" s="414" t="s">
        <v>2847</v>
      </c>
      <c r="C2298" s="51">
        <f t="shared" si="531"/>
        <v>596302.76</v>
      </c>
      <c r="D2298" s="51">
        <f t="shared" si="532"/>
        <v>0</v>
      </c>
      <c r="E2298" s="51"/>
      <c r="F2298" s="51"/>
      <c r="G2298" s="51"/>
      <c r="H2298" s="51"/>
      <c r="I2298" s="51"/>
      <c r="J2298" s="51"/>
      <c r="K2298" s="51"/>
      <c r="L2298" s="51"/>
      <c r="M2298" s="35"/>
      <c r="N2298" s="51"/>
      <c r="O2298" s="82"/>
      <c r="P2298" s="51"/>
      <c r="Q2298" s="338"/>
      <c r="R2298" s="51"/>
      <c r="S2298" s="51"/>
      <c r="T2298" s="338"/>
      <c r="U2298" s="51"/>
      <c r="V2298" s="35"/>
      <c r="W2298" s="364">
        <f t="shared" si="533"/>
        <v>596302.76</v>
      </c>
      <c r="X2298" s="9"/>
      <c r="Y2298" s="9"/>
      <c r="Z2298" s="9"/>
      <c r="AA2298" s="9"/>
      <c r="AB2298" s="9"/>
      <c r="AC2298" s="9">
        <v>413601.99</v>
      </c>
      <c r="AD2298" s="40">
        <v>182700.77</v>
      </c>
      <c r="AE2298" s="56"/>
      <c r="AF2298" s="56"/>
      <c r="AG2298" s="56"/>
      <c r="AH2298" s="56"/>
    </row>
    <row r="2299" spans="1:34" x14ac:dyDescent="0.3">
      <c r="A2299" s="47">
        <f t="shared" si="535"/>
        <v>2058</v>
      </c>
      <c r="B2299" s="414" t="s">
        <v>2848</v>
      </c>
      <c r="C2299" s="51">
        <f t="shared" si="531"/>
        <v>503178.27</v>
      </c>
      <c r="D2299" s="51">
        <f t="shared" si="532"/>
        <v>0</v>
      </c>
      <c r="E2299" s="51"/>
      <c r="F2299" s="51"/>
      <c r="G2299" s="51"/>
      <c r="H2299" s="51"/>
      <c r="I2299" s="51"/>
      <c r="J2299" s="51"/>
      <c r="K2299" s="51"/>
      <c r="L2299" s="51"/>
      <c r="M2299" s="35"/>
      <c r="N2299" s="51"/>
      <c r="O2299" s="82"/>
      <c r="P2299" s="51"/>
      <c r="Q2299" s="338"/>
      <c r="R2299" s="51"/>
      <c r="S2299" s="51"/>
      <c r="T2299" s="338"/>
      <c r="U2299" s="51"/>
      <c r="V2299" s="35"/>
      <c r="W2299" s="364">
        <f t="shared" si="533"/>
        <v>503178.27</v>
      </c>
      <c r="X2299" s="9">
        <v>140390.92000000001</v>
      </c>
      <c r="Y2299" s="9"/>
      <c r="Z2299" s="9">
        <v>119753.21</v>
      </c>
      <c r="AA2299" s="9">
        <v>124891.88</v>
      </c>
      <c r="AB2299" s="9">
        <v>118142.26</v>
      </c>
      <c r="AC2299" s="9"/>
      <c r="AD2299" s="40"/>
      <c r="AE2299" s="56"/>
      <c r="AF2299" s="56"/>
      <c r="AG2299" s="56"/>
      <c r="AH2299" s="56"/>
    </row>
    <row r="2300" spans="1:34" x14ac:dyDescent="0.3">
      <c r="A2300" s="47">
        <f t="shared" si="535"/>
        <v>2059</v>
      </c>
      <c r="B2300" s="414" t="s">
        <v>2849</v>
      </c>
      <c r="C2300" s="51">
        <f t="shared" si="531"/>
        <v>8619627.4299999997</v>
      </c>
      <c r="D2300" s="51">
        <f t="shared" si="532"/>
        <v>5280981.16</v>
      </c>
      <c r="E2300" s="51">
        <v>575866.16</v>
      </c>
      <c r="F2300" s="51">
        <f>423*5502+607361</f>
        <v>2934707</v>
      </c>
      <c r="G2300" s="51">
        <f>150*3910</f>
        <v>586500</v>
      </c>
      <c r="H2300" s="35">
        <v>1183908</v>
      </c>
      <c r="I2300" s="51"/>
      <c r="J2300" s="51"/>
      <c r="K2300" s="51"/>
      <c r="L2300" s="51"/>
      <c r="M2300" s="35">
        <v>600.79999999999995</v>
      </c>
      <c r="N2300" s="51">
        <v>2835468</v>
      </c>
      <c r="O2300" s="82"/>
      <c r="P2300" s="51"/>
      <c r="Q2300" s="338"/>
      <c r="R2300" s="51"/>
      <c r="S2300" s="51"/>
      <c r="T2300" s="338"/>
      <c r="U2300" s="51"/>
      <c r="V2300" s="35"/>
      <c r="W2300" s="364">
        <f t="shared" si="533"/>
        <v>503178.27</v>
      </c>
      <c r="X2300" s="9">
        <v>140390.92000000001</v>
      </c>
      <c r="Y2300" s="9"/>
      <c r="Z2300" s="9">
        <v>119753.21</v>
      </c>
      <c r="AA2300" s="9">
        <v>124891.88</v>
      </c>
      <c r="AB2300" s="9">
        <v>118142.26</v>
      </c>
      <c r="AC2300" s="9"/>
      <c r="AD2300" s="40"/>
      <c r="AE2300" s="56"/>
      <c r="AF2300" s="56"/>
      <c r="AG2300" s="56"/>
      <c r="AH2300" s="56"/>
    </row>
    <row r="2301" spans="1:34" x14ac:dyDescent="0.3">
      <c r="A2301" s="47">
        <f t="shared" si="535"/>
        <v>2060</v>
      </c>
      <c r="B2301" s="414" t="s">
        <v>2850</v>
      </c>
      <c r="C2301" s="51">
        <f t="shared" si="531"/>
        <v>385036.01</v>
      </c>
      <c r="D2301" s="51">
        <f t="shared" si="532"/>
        <v>0</v>
      </c>
      <c r="E2301" s="51"/>
      <c r="F2301" s="51"/>
      <c r="G2301" s="51"/>
      <c r="H2301" s="35"/>
      <c r="I2301" s="51"/>
      <c r="J2301" s="51"/>
      <c r="K2301" s="51"/>
      <c r="L2301" s="51"/>
      <c r="M2301" s="35"/>
      <c r="N2301" s="51"/>
      <c r="O2301" s="82"/>
      <c r="P2301" s="51"/>
      <c r="Q2301" s="338"/>
      <c r="R2301" s="51"/>
      <c r="S2301" s="51"/>
      <c r="T2301" s="338"/>
      <c r="U2301" s="51"/>
      <c r="V2301" s="35"/>
      <c r="W2301" s="364">
        <f t="shared" si="533"/>
        <v>385036.01</v>
      </c>
      <c r="X2301" s="9">
        <v>140390.92000000001</v>
      </c>
      <c r="Y2301" s="9"/>
      <c r="Z2301" s="9">
        <v>119753.21</v>
      </c>
      <c r="AA2301" s="9">
        <v>124891.88</v>
      </c>
      <c r="AB2301" s="9"/>
      <c r="AC2301" s="9"/>
      <c r="AD2301" s="40"/>
      <c r="AE2301" s="56"/>
      <c r="AF2301" s="56"/>
      <c r="AG2301" s="56"/>
      <c r="AH2301" s="56"/>
    </row>
    <row r="2302" spans="1:34" x14ac:dyDescent="0.3">
      <c r="A2302" s="47">
        <f t="shared" si="535"/>
        <v>2061</v>
      </c>
      <c r="B2302" s="414" t="s">
        <v>2851</v>
      </c>
      <c r="C2302" s="51">
        <f t="shared" si="531"/>
        <v>503178.27</v>
      </c>
      <c r="D2302" s="51">
        <f t="shared" si="532"/>
        <v>0</v>
      </c>
      <c r="E2302" s="51"/>
      <c r="F2302" s="51"/>
      <c r="G2302" s="51"/>
      <c r="H2302" s="35"/>
      <c r="I2302" s="51"/>
      <c r="J2302" s="51"/>
      <c r="K2302" s="51"/>
      <c r="L2302" s="51"/>
      <c r="M2302" s="35"/>
      <c r="N2302" s="51"/>
      <c r="O2302" s="82"/>
      <c r="P2302" s="51"/>
      <c r="Q2302" s="338"/>
      <c r="R2302" s="51"/>
      <c r="S2302" s="51"/>
      <c r="T2302" s="338"/>
      <c r="U2302" s="51"/>
      <c r="V2302" s="35"/>
      <c r="W2302" s="364">
        <f t="shared" si="533"/>
        <v>503178.27</v>
      </c>
      <c r="X2302" s="9">
        <v>140390.92000000001</v>
      </c>
      <c r="Y2302" s="9"/>
      <c r="Z2302" s="9">
        <v>119753.21</v>
      </c>
      <c r="AA2302" s="9">
        <v>124891.88</v>
      </c>
      <c r="AB2302" s="9">
        <v>118142.26</v>
      </c>
      <c r="AC2302" s="9"/>
      <c r="AD2302" s="40"/>
      <c r="AE2302" s="56"/>
      <c r="AF2302" s="56"/>
      <c r="AG2302" s="56"/>
      <c r="AH2302" s="56"/>
    </row>
    <row r="2303" spans="1:34" x14ac:dyDescent="0.3">
      <c r="A2303" s="47">
        <f t="shared" si="535"/>
        <v>2062</v>
      </c>
      <c r="B2303" s="414" t="s">
        <v>2852</v>
      </c>
      <c r="C2303" s="51">
        <f t="shared" si="531"/>
        <v>8443099.2100000009</v>
      </c>
      <c r="D2303" s="51">
        <f t="shared" si="532"/>
        <v>4988528.74</v>
      </c>
      <c r="E2303" s="51">
        <v>572054.54</v>
      </c>
      <c r="F2303" s="51">
        <f>423*5502+607361</f>
        <v>2934707</v>
      </c>
      <c r="G2303" s="51">
        <f>150*3910</f>
        <v>586500</v>
      </c>
      <c r="H2303" s="35">
        <v>895267.2</v>
      </c>
      <c r="I2303" s="51"/>
      <c r="J2303" s="51"/>
      <c r="K2303" s="51"/>
      <c r="L2303" s="51"/>
      <c r="M2303" s="35">
        <v>600.79999999999995</v>
      </c>
      <c r="N2303" s="51">
        <v>2747216.4</v>
      </c>
      <c r="O2303" s="82"/>
      <c r="P2303" s="51"/>
      <c r="Q2303" s="338"/>
      <c r="R2303" s="51"/>
      <c r="S2303" s="51"/>
      <c r="T2303" s="338"/>
      <c r="U2303" s="51"/>
      <c r="V2303" s="35"/>
      <c r="W2303" s="364">
        <f t="shared" si="533"/>
        <v>707354.07000000007</v>
      </c>
      <c r="X2303" s="9">
        <v>140390.92000000001</v>
      </c>
      <c r="Y2303" s="9"/>
      <c r="Z2303" s="9">
        <v>119753.21</v>
      </c>
      <c r="AA2303" s="9">
        <v>124891.88</v>
      </c>
      <c r="AB2303" s="9">
        <v>118142.26</v>
      </c>
      <c r="AC2303" s="9"/>
      <c r="AD2303" s="40"/>
      <c r="AE2303" s="56"/>
      <c r="AF2303" s="56"/>
      <c r="AG2303" s="56">
        <v>204175.8</v>
      </c>
      <c r="AH2303" s="56"/>
    </row>
    <row r="2304" spans="1:34" x14ac:dyDescent="0.3">
      <c r="A2304" s="47">
        <f t="shared" si="535"/>
        <v>2063</v>
      </c>
      <c r="B2304" s="414" t="s">
        <v>2853</v>
      </c>
      <c r="C2304" s="51">
        <f t="shared" si="531"/>
        <v>6204189.0200000005</v>
      </c>
      <c r="D2304" s="51">
        <f t="shared" si="532"/>
        <v>5494347.2800000003</v>
      </c>
      <c r="E2304" s="51">
        <v>598773.07999999996</v>
      </c>
      <c r="F2304" s="51">
        <f>423*5502+607361</f>
        <v>2934707</v>
      </c>
      <c r="G2304" s="51">
        <f>150*3910</f>
        <v>586500</v>
      </c>
      <c r="H2304" s="35">
        <v>895267.2</v>
      </c>
      <c r="I2304" s="51">
        <f>150*3194</f>
        <v>479100</v>
      </c>
      <c r="J2304" s="51"/>
      <c r="K2304" s="51"/>
      <c r="L2304" s="51"/>
      <c r="M2304" s="35"/>
      <c r="N2304" s="51"/>
      <c r="O2304" s="82"/>
      <c r="P2304" s="51"/>
      <c r="Q2304" s="338"/>
      <c r="R2304" s="51"/>
      <c r="S2304" s="51"/>
      <c r="T2304" s="338"/>
      <c r="U2304" s="51"/>
      <c r="V2304" s="35"/>
      <c r="W2304" s="364">
        <f t="shared" si="533"/>
        <v>709841.74</v>
      </c>
      <c r="X2304" s="9">
        <v>140390.92000000001</v>
      </c>
      <c r="Y2304" s="9"/>
      <c r="Z2304" s="9">
        <v>119753.21</v>
      </c>
      <c r="AA2304" s="9">
        <v>124891.88</v>
      </c>
      <c r="AB2304" s="9">
        <v>118142.26</v>
      </c>
      <c r="AC2304" s="9"/>
      <c r="AD2304" s="40"/>
      <c r="AE2304" s="56"/>
      <c r="AF2304" s="56"/>
      <c r="AG2304" s="56">
        <v>206663.47</v>
      </c>
      <c r="AH2304" s="56"/>
    </row>
    <row r="2305" spans="1:34" x14ac:dyDescent="0.3">
      <c r="A2305" s="439" t="s">
        <v>211</v>
      </c>
      <c r="B2305" s="399"/>
      <c r="C2305" s="51">
        <f t="shared" ref="C2305:R2305" si="536">SUM(C2282:C2304)</f>
        <v>29529484.559999999</v>
      </c>
      <c r="D2305" s="51">
        <f t="shared" si="536"/>
        <v>15763857.18</v>
      </c>
      <c r="E2305" s="51">
        <f t="shared" si="536"/>
        <v>1746693.7800000003</v>
      </c>
      <c r="F2305" s="51">
        <f t="shared" si="536"/>
        <v>8804121</v>
      </c>
      <c r="G2305" s="51">
        <f t="shared" si="536"/>
        <v>1759500</v>
      </c>
      <c r="H2305" s="35">
        <f t="shared" si="536"/>
        <v>2974442.4</v>
      </c>
      <c r="I2305" s="51">
        <f t="shared" si="536"/>
        <v>479100</v>
      </c>
      <c r="J2305" s="51">
        <f t="shared" si="536"/>
        <v>0</v>
      </c>
      <c r="K2305" s="51">
        <f t="shared" si="536"/>
        <v>0</v>
      </c>
      <c r="L2305" s="51">
        <f t="shared" si="536"/>
        <v>0</v>
      </c>
      <c r="M2305" s="35">
        <f t="shared" si="536"/>
        <v>1201.5999999999999</v>
      </c>
      <c r="N2305" s="51">
        <f t="shared" si="536"/>
        <v>5582684.4000000004</v>
      </c>
      <c r="O2305" s="82">
        <f t="shared" si="536"/>
        <v>0</v>
      </c>
      <c r="P2305" s="51">
        <f t="shared" si="536"/>
        <v>0</v>
      </c>
      <c r="Q2305" s="338">
        <f t="shared" si="536"/>
        <v>0</v>
      </c>
      <c r="R2305" s="51">
        <f t="shared" si="536"/>
        <v>0</v>
      </c>
      <c r="S2305" s="51">
        <f>SUM(S2282:S2304)</f>
        <v>0</v>
      </c>
      <c r="T2305" s="338">
        <f>SUM(T2282:T2304)</f>
        <v>0</v>
      </c>
      <c r="U2305" s="51">
        <f>SUM(U2282:U2304)</f>
        <v>0</v>
      </c>
      <c r="V2305" s="35">
        <f>SUM(V2282:V2304)</f>
        <v>0</v>
      </c>
      <c r="W2305" s="51">
        <f>SUM(W2282:W2304)</f>
        <v>8182942.9799999986</v>
      </c>
      <c r="X2305" s="9"/>
      <c r="Y2305" s="9"/>
      <c r="Z2305" s="9"/>
      <c r="AA2305" s="9"/>
      <c r="AB2305" s="9"/>
      <c r="AC2305" s="9"/>
      <c r="AD2305" s="40"/>
      <c r="AE2305" s="56"/>
      <c r="AF2305" s="56"/>
      <c r="AG2305" s="56"/>
      <c r="AH2305" s="56"/>
    </row>
    <row r="2306" spans="1:34" x14ac:dyDescent="0.3">
      <c r="A2306" s="435" t="s">
        <v>2854</v>
      </c>
      <c r="B2306" s="363"/>
      <c r="C2306" s="51"/>
      <c r="D2306" s="51">
        <f>E2306+F2306+G2306+H2306+I2306</f>
        <v>0</v>
      </c>
      <c r="E2306" s="51"/>
      <c r="F2306" s="51"/>
      <c r="G2306" s="51"/>
      <c r="H2306" s="51"/>
      <c r="I2306" s="51"/>
      <c r="J2306" s="51"/>
      <c r="K2306" s="51"/>
      <c r="L2306" s="51"/>
      <c r="M2306" s="35"/>
      <c r="N2306" s="51"/>
      <c r="O2306" s="82"/>
      <c r="P2306" s="51"/>
      <c r="Q2306" s="338"/>
      <c r="R2306" s="51"/>
      <c r="S2306" s="51"/>
      <c r="T2306" s="338"/>
      <c r="U2306" s="51"/>
      <c r="V2306" s="35"/>
      <c r="W2306" s="364"/>
      <c r="X2306" s="9"/>
      <c r="Y2306" s="9"/>
      <c r="Z2306" s="9"/>
      <c r="AA2306" s="9"/>
      <c r="AB2306" s="9"/>
      <c r="AC2306" s="9"/>
      <c r="AD2306" s="40"/>
      <c r="AE2306" s="56"/>
      <c r="AF2306" s="56"/>
      <c r="AG2306" s="56"/>
      <c r="AH2306" s="56"/>
    </row>
    <row r="2307" spans="1:34" x14ac:dyDescent="0.3">
      <c r="A2307" s="47">
        <f>A2304+1</f>
        <v>2064</v>
      </c>
      <c r="B2307" s="414" t="s">
        <v>2855</v>
      </c>
      <c r="C2307" s="51">
        <f>D2307+K2307+L2307+N2307+P2307+R2307+S2307+U2307+V2307+W2307</f>
        <v>212527.87</v>
      </c>
      <c r="D2307" s="51">
        <f>E2307+F2307+G2307+H2307+I2307</f>
        <v>0</v>
      </c>
      <c r="E2307" s="51"/>
      <c r="F2307" s="51"/>
      <c r="G2307" s="51"/>
      <c r="H2307" s="51"/>
      <c r="I2307" s="51"/>
      <c r="J2307" s="51"/>
      <c r="K2307" s="51"/>
      <c r="L2307" s="51"/>
      <c r="M2307" s="35"/>
      <c r="N2307" s="51"/>
      <c r="O2307" s="82"/>
      <c r="P2307" s="51"/>
      <c r="Q2307" s="338"/>
      <c r="R2307" s="51"/>
      <c r="S2307" s="51"/>
      <c r="T2307" s="338"/>
      <c r="U2307" s="51"/>
      <c r="V2307" s="35"/>
      <c r="W2307" s="364">
        <f>SUM(X2307:AH2307)</f>
        <v>212527.87</v>
      </c>
      <c r="X2307" s="9"/>
      <c r="Y2307" s="9"/>
      <c r="Z2307" s="9"/>
      <c r="AA2307" s="9"/>
      <c r="AB2307" s="9"/>
      <c r="AC2307" s="9"/>
      <c r="AD2307" s="40">
        <v>212527.87</v>
      </c>
      <c r="AE2307" s="56"/>
      <c r="AF2307" s="56"/>
      <c r="AG2307" s="56"/>
      <c r="AH2307" s="56"/>
    </row>
    <row r="2308" spans="1:34" x14ac:dyDescent="0.3">
      <c r="A2308" s="47">
        <f>A2307+1</f>
        <v>2065</v>
      </c>
      <c r="B2308" s="414" t="s">
        <v>2856</v>
      </c>
      <c r="C2308" s="51">
        <f>D2308+K2308+L2308+N2308+P2308+R2308+S2308+U2308+V2308+W2308</f>
        <v>212105.15</v>
      </c>
      <c r="D2308" s="51">
        <f>E2308+F2308+G2308+H2308+I2308</f>
        <v>0</v>
      </c>
      <c r="E2308" s="51"/>
      <c r="F2308" s="51"/>
      <c r="G2308" s="51"/>
      <c r="H2308" s="51"/>
      <c r="I2308" s="51"/>
      <c r="J2308" s="51"/>
      <c r="K2308" s="51"/>
      <c r="L2308" s="51"/>
      <c r="M2308" s="35"/>
      <c r="N2308" s="51"/>
      <c r="O2308" s="82"/>
      <c r="P2308" s="51"/>
      <c r="Q2308" s="338"/>
      <c r="R2308" s="51"/>
      <c r="S2308" s="51"/>
      <c r="T2308" s="338"/>
      <c r="U2308" s="51"/>
      <c r="V2308" s="35"/>
      <c r="W2308" s="364">
        <f>SUM(X2308:AH2308)</f>
        <v>212105.15</v>
      </c>
      <c r="X2308" s="9"/>
      <c r="Y2308" s="9"/>
      <c r="Z2308" s="9"/>
      <c r="AA2308" s="9"/>
      <c r="AB2308" s="9"/>
      <c r="AC2308" s="9"/>
      <c r="AD2308" s="40">
        <v>212105.15</v>
      </c>
      <c r="AE2308" s="56"/>
      <c r="AF2308" s="56"/>
      <c r="AG2308" s="56"/>
      <c r="AH2308" s="56"/>
    </row>
    <row r="2309" spans="1:34" x14ac:dyDescent="0.3">
      <c r="A2309" s="439" t="s">
        <v>211</v>
      </c>
      <c r="B2309" s="399"/>
      <c r="C2309" s="51">
        <f t="shared" ref="C2309:R2309" si="537">SUM(C2307:C2308)</f>
        <v>424633.02</v>
      </c>
      <c r="D2309" s="51">
        <f t="shared" si="537"/>
        <v>0</v>
      </c>
      <c r="E2309" s="51">
        <f t="shared" si="537"/>
        <v>0</v>
      </c>
      <c r="F2309" s="51">
        <f t="shared" si="537"/>
        <v>0</v>
      </c>
      <c r="G2309" s="51">
        <f t="shared" si="537"/>
        <v>0</v>
      </c>
      <c r="H2309" s="51">
        <f t="shared" si="537"/>
        <v>0</v>
      </c>
      <c r="I2309" s="51">
        <f t="shared" si="537"/>
        <v>0</v>
      </c>
      <c r="J2309" s="51">
        <f t="shared" si="537"/>
        <v>0</v>
      </c>
      <c r="K2309" s="51">
        <f t="shared" si="537"/>
        <v>0</v>
      </c>
      <c r="L2309" s="51">
        <f t="shared" si="537"/>
        <v>0</v>
      </c>
      <c r="M2309" s="35">
        <f t="shared" si="537"/>
        <v>0</v>
      </c>
      <c r="N2309" s="51">
        <f t="shared" si="537"/>
        <v>0</v>
      </c>
      <c r="O2309" s="82">
        <f t="shared" si="537"/>
        <v>0</v>
      </c>
      <c r="P2309" s="51">
        <f t="shared" si="537"/>
        <v>0</v>
      </c>
      <c r="Q2309" s="338">
        <f t="shared" si="537"/>
        <v>0</v>
      </c>
      <c r="R2309" s="51">
        <f t="shared" si="537"/>
        <v>0</v>
      </c>
      <c r="S2309" s="51">
        <f>SUM(S2307:S2308)</f>
        <v>0</v>
      </c>
      <c r="T2309" s="338">
        <f>SUM(T2307:T2308)</f>
        <v>0</v>
      </c>
      <c r="U2309" s="51">
        <f>SUM(U2307:U2308)</f>
        <v>0</v>
      </c>
      <c r="V2309" s="35">
        <f>SUM(V2307:V2308)</f>
        <v>0</v>
      </c>
      <c r="W2309" s="51">
        <f>SUM(W2307:W2308)</f>
        <v>424633.02</v>
      </c>
      <c r="X2309" s="9"/>
      <c r="Y2309" s="9"/>
      <c r="Z2309" s="9"/>
      <c r="AA2309" s="9"/>
      <c r="AB2309" s="9"/>
      <c r="AC2309" s="9"/>
      <c r="AD2309" s="40"/>
      <c r="AE2309" s="56"/>
      <c r="AF2309" s="56"/>
      <c r="AG2309" s="56"/>
      <c r="AH2309" s="56"/>
    </row>
    <row r="2310" spans="1:34" x14ac:dyDescent="0.3">
      <c r="A2310" s="435" t="s">
        <v>2857</v>
      </c>
      <c r="B2310" s="363"/>
      <c r="C2310" s="51"/>
      <c r="D2310" s="51"/>
      <c r="E2310" s="51"/>
      <c r="F2310" s="51"/>
      <c r="G2310" s="51"/>
      <c r="H2310" s="51"/>
      <c r="I2310" s="51"/>
      <c r="J2310" s="51"/>
      <c r="K2310" s="51"/>
      <c r="L2310" s="51"/>
      <c r="M2310" s="35"/>
      <c r="N2310" s="51"/>
      <c r="O2310" s="82"/>
      <c r="P2310" s="51"/>
      <c r="Q2310" s="338"/>
      <c r="R2310" s="51"/>
      <c r="S2310" s="51"/>
      <c r="T2310" s="338"/>
      <c r="U2310" s="51"/>
      <c r="V2310" s="35"/>
      <c r="W2310" s="364"/>
      <c r="X2310" s="9"/>
      <c r="Y2310" s="9"/>
      <c r="Z2310" s="9"/>
      <c r="AA2310" s="9"/>
      <c r="AB2310" s="9"/>
      <c r="AC2310" s="9"/>
      <c r="AD2310" s="40"/>
      <c r="AE2310" s="56"/>
      <c r="AF2310" s="56"/>
      <c r="AG2310" s="56"/>
      <c r="AH2310" s="56"/>
    </row>
    <row r="2311" spans="1:34" x14ac:dyDescent="0.3">
      <c r="A2311" s="47">
        <f>A2308+1</f>
        <v>2066</v>
      </c>
      <c r="B2311" s="414" t="s">
        <v>2858</v>
      </c>
      <c r="C2311" s="51">
        <f t="shared" ref="C2311:C2340" si="538">D2311+K2311+L2311+N2311+P2311+R2311+S2311+U2311+V2311+W2311</f>
        <v>111665.21</v>
      </c>
      <c r="D2311" s="51">
        <f t="shared" ref="D2311:D2340" si="539">E2311+F2311+G2311+H2311+I2311</f>
        <v>0</v>
      </c>
      <c r="E2311" s="51"/>
      <c r="F2311" s="51"/>
      <c r="G2311" s="51"/>
      <c r="H2311" s="51"/>
      <c r="I2311" s="51"/>
      <c r="J2311" s="51"/>
      <c r="K2311" s="51"/>
      <c r="L2311" s="51"/>
      <c r="M2311" s="35"/>
      <c r="N2311" s="51"/>
      <c r="O2311" s="82"/>
      <c r="P2311" s="51"/>
      <c r="Q2311" s="338"/>
      <c r="R2311" s="51"/>
      <c r="S2311" s="51"/>
      <c r="T2311" s="338"/>
      <c r="U2311" s="51"/>
      <c r="V2311" s="35"/>
      <c r="W2311" s="364">
        <f t="shared" ref="W2311:W2340" si="540">SUM(X2311:AH2311)</f>
        <v>111665.21</v>
      </c>
      <c r="X2311" s="9"/>
      <c r="Y2311" s="9"/>
      <c r="Z2311" s="9"/>
      <c r="AA2311" s="9"/>
      <c r="AB2311" s="9"/>
      <c r="AC2311" s="9"/>
      <c r="AD2311" s="40">
        <v>111665.21</v>
      </c>
      <c r="AE2311" s="56"/>
      <c r="AF2311" s="56"/>
      <c r="AG2311" s="56"/>
      <c r="AH2311" s="56"/>
    </row>
    <row r="2312" spans="1:34" x14ac:dyDescent="0.3">
      <c r="A2312" s="47">
        <f t="shared" ref="A2312:A2340" si="541">A2311+1</f>
        <v>2067</v>
      </c>
      <c r="B2312" s="414" t="s">
        <v>2859</v>
      </c>
      <c r="C2312" s="51">
        <f t="shared" si="538"/>
        <v>224789.64</v>
      </c>
      <c r="D2312" s="51">
        <f t="shared" si="539"/>
        <v>0</v>
      </c>
      <c r="E2312" s="51"/>
      <c r="F2312" s="51"/>
      <c r="G2312" s="51"/>
      <c r="H2312" s="51"/>
      <c r="I2312" s="51"/>
      <c r="J2312" s="51"/>
      <c r="K2312" s="51"/>
      <c r="L2312" s="51"/>
      <c r="M2312" s="35"/>
      <c r="N2312" s="51"/>
      <c r="O2312" s="82"/>
      <c r="P2312" s="51"/>
      <c r="Q2312" s="338"/>
      <c r="R2312" s="51"/>
      <c r="S2312" s="51"/>
      <c r="T2312" s="338"/>
      <c r="U2312" s="51"/>
      <c r="V2312" s="35"/>
      <c r="W2312" s="364">
        <f t="shared" si="540"/>
        <v>224789.64</v>
      </c>
      <c r="X2312" s="9"/>
      <c r="Y2312" s="9"/>
      <c r="Z2312" s="9"/>
      <c r="AA2312" s="9"/>
      <c r="AB2312" s="9"/>
      <c r="AC2312" s="9"/>
      <c r="AD2312" s="40">
        <v>224789.64</v>
      </c>
      <c r="AE2312" s="56"/>
      <c r="AF2312" s="56"/>
      <c r="AG2312" s="56"/>
      <c r="AH2312" s="56"/>
    </row>
    <row r="2313" spans="1:34" x14ac:dyDescent="0.3">
      <c r="A2313" s="47">
        <f t="shared" si="541"/>
        <v>2068</v>
      </c>
      <c r="B2313" s="414" t="s">
        <v>2860</v>
      </c>
      <c r="C2313" s="51">
        <f t="shared" si="538"/>
        <v>296832.27</v>
      </c>
      <c r="D2313" s="51">
        <f t="shared" si="539"/>
        <v>0</v>
      </c>
      <c r="E2313" s="51"/>
      <c r="F2313" s="51"/>
      <c r="G2313" s="51"/>
      <c r="H2313" s="51"/>
      <c r="I2313" s="51"/>
      <c r="J2313" s="51"/>
      <c r="K2313" s="51"/>
      <c r="L2313" s="51"/>
      <c r="M2313" s="35"/>
      <c r="N2313" s="51"/>
      <c r="O2313" s="82"/>
      <c r="P2313" s="51"/>
      <c r="Q2313" s="338"/>
      <c r="R2313" s="51"/>
      <c r="S2313" s="51"/>
      <c r="T2313" s="338"/>
      <c r="U2313" s="51"/>
      <c r="V2313" s="35"/>
      <c r="W2313" s="364">
        <f t="shared" si="540"/>
        <v>296832.27</v>
      </c>
      <c r="X2313" s="9"/>
      <c r="Y2313" s="9"/>
      <c r="Z2313" s="9"/>
      <c r="AA2313" s="9"/>
      <c r="AB2313" s="9">
        <v>110613.71</v>
      </c>
      <c r="AC2313" s="9"/>
      <c r="AD2313" s="40">
        <v>186218.56</v>
      </c>
      <c r="AE2313" s="56"/>
      <c r="AF2313" s="56"/>
      <c r="AG2313" s="56"/>
      <c r="AH2313" s="56"/>
    </row>
    <row r="2314" spans="1:34" x14ac:dyDescent="0.3">
      <c r="A2314" s="47">
        <f t="shared" si="541"/>
        <v>2069</v>
      </c>
      <c r="B2314" s="414" t="s">
        <v>2861</v>
      </c>
      <c r="C2314" s="51">
        <f t="shared" si="538"/>
        <v>296832.27</v>
      </c>
      <c r="D2314" s="51">
        <f t="shared" si="539"/>
        <v>0</v>
      </c>
      <c r="E2314" s="51"/>
      <c r="F2314" s="51"/>
      <c r="G2314" s="51"/>
      <c r="H2314" s="51"/>
      <c r="I2314" s="51"/>
      <c r="J2314" s="51"/>
      <c r="K2314" s="51"/>
      <c r="L2314" s="51"/>
      <c r="M2314" s="35"/>
      <c r="N2314" s="51"/>
      <c r="O2314" s="82"/>
      <c r="P2314" s="51"/>
      <c r="Q2314" s="338"/>
      <c r="R2314" s="51"/>
      <c r="S2314" s="51"/>
      <c r="T2314" s="338"/>
      <c r="U2314" s="51"/>
      <c r="V2314" s="35"/>
      <c r="W2314" s="364">
        <f t="shared" si="540"/>
        <v>296832.27</v>
      </c>
      <c r="X2314" s="9"/>
      <c r="Y2314" s="9"/>
      <c r="Z2314" s="9"/>
      <c r="AA2314" s="9"/>
      <c r="AB2314" s="9">
        <v>110613.71</v>
      </c>
      <c r="AC2314" s="9"/>
      <c r="AD2314" s="40">
        <v>186218.56</v>
      </c>
      <c r="AE2314" s="56"/>
      <c r="AF2314" s="56"/>
      <c r="AG2314" s="56"/>
      <c r="AH2314" s="56"/>
    </row>
    <row r="2315" spans="1:34" x14ac:dyDescent="0.3">
      <c r="A2315" s="47">
        <f t="shared" si="541"/>
        <v>2070</v>
      </c>
      <c r="B2315" s="414" t="s">
        <v>2862</v>
      </c>
      <c r="C2315" s="51">
        <f t="shared" si="538"/>
        <v>210280.14</v>
      </c>
      <c r="D2315" s="51">
        <f t="shared" si="539"/>
        <v>0</v>
      </c>
      <c r="E2315" s="51"/>
      <c r="F2315" s="51"/>
      <c r="G2315" s="51"/>
      <c r="H2315" s="51"/>
      <c r="I2315" s="51"/>
      <c r="J2315" s="51"/>
      <c r="K2315" s="51"/>
      <c r="L2315" s="51"/>
      <c r="M2315" s="35"/>
      <c r="N2315" s="51"/>
      <c r="O2315" s="82"/>
      <c r="P2315" s="51"/>
      <c r="Q2315" s="338"/>
      <c r="R2315" s="51"/>
      <c r="S2315" s="51"/>
      <c r="T2315" s="338"/>
      <c r="U2315" s="51"/>
      <c r="V2315" s="35"/>
      <c r="W2315" s="364">
        <f t="shared" si="540"/>
        <v>210280.14</v>
      </c>
      <c r="X2315" s="9"/>
      <c r="Y2315" s="9"/>
      <c r="Z2315" s="9"/>
      <c r="AA2315" s="9"/>
      <c r="AB2315" s="9"/>
      <c r="AC2315" s="9">
        <v>210280.14</v>
      </c>
      <c r="AD2315" s="40"/>
      <c r="AE2315" s="56"/>
      <c r="AF2315" s="56"/>
      <c r="AG2315" s="56"/>
      <c r="AH2315" s="56"/>
    </row>
    <row r="2316" spans="1:34" x14ac:dyDescent="0.3">
      <c r="A2316" s="47">
        <f t="shared" si="541"/>
        <v>2071</v>
      </c>
      <c r="B2316" s="414" t="s">
        <v>2863</v>
      </c>
      <c r="C2316" s="51">
        <f t="shared" si="538"/>
        <v>441655.56</v>
      </c>
      <c r="D2316" s="51">
        <f t="shared" si="539"/>
        <v>0</v>
      </c>
      <c r="E2316" s="51"/>
      <c r="F2316" s="51"/>
      <c r="G2316" s="51"/>
      <c r="H2316" s="51"/>
      <c r="I2316" s="51"/>
      <c r="J2316" s="51"/>
      <c r="K2316" s="51"/>
      <c r="L2316" s="51"/>
      <c r="M2316" s="35"/>
      <c r="N2316" s="51"/>
      <c r="O2316" s="82"/>
      <c r="P2316" s="51"/>
      <c r="Q2316" s="338"/>
      <c r="R2316" s="51"/>
      <c r="S2316" s="51"/>
      <c r="T2316" s="338"/>
      <c r="U2316" s="51"/>
      <c r="V2316" s="35"/>
      <c r="W2316" s="364">
        <f t="shared" si="540"/>
        <v>441655.56</v>
      </c>
      <c r="X2316" s="9">
        <v>137637.24</v>
      </c>
      <c r="Y2316" s="9">
        <v>117133.97</v>
      </c>
      <c r="Z2316" s="9"/>
      <c r="AA2316" s="9"/>
      <c r="AB2316" s="9"/>
      <c r="AC2316" s="9">
        <v>186884.35</v>
      </c>
      <c r="AD2316" s="40"/>
      <c r="AE2316" s="56"/>
      <c r="AF2316" s="56"/>
      <c r="AG2316" s="56"/>
      <c r="AH2316" s="56"/>
    </row>
    <row r="2317" spans="1:34" x14ac:dyDescent="0.3">
      <c r="A2317" s="47">
        <f t="shared" si="541"/>
        <v>2072</v>
      </c>
      <c r="B2317" s="414" t="s">
        <v>2864</v>
      </c>
      <c r="C2317" s="51">
        <f t="shared" si="538"/>
        <v>186689.28</v>
      </c>
      <c r="D2317" s="51">
        <f t="shared" si="539"/>
        <v>0</v>
      </c>
      <c r="E2317" s="51"/>
      <c r="F2317" s="51"/>
      <c r="G2317" s="51"/>
      <c r="H2317" s="51"/>
      <c r="I2317" s="51"/>
      <c r="J2317" s="51"/>
      <c r="K2317" s="51"/>
      <c r="L2317" s="51"/>
      <c r="M2317" s="35"/>
      <c r="N2317" s="51"/>
      <c r="O2317" s="82"/>
      <c r="P2317" s="51"/>
      <c r="Q2317" s="338"/>
      <c r="R2317" s="51"/>
      <c r="S2317" s="51"/>
      <c r="T2317" s="338"/>
      <c r="U2317" s="51"/>
      <c r="V2317" s="35"/>
      <c r="W2317" s="364">
        <f t="shared" si="540"/>
        <v>186689.28</v>
      </c>
      <c r="X2317" s="9"/>
      <c r="Y2317" s="9"/>
      <c r="Z2317" s="9"/>
      <c r="AA2317" s="9"/>
      <c r="AB2317" s="9"/>
      <c r="AC2317" s="9"/>
      <c r="AD2317" s="40">
        <v>186689.28</v>
      </c>
      <c r="AE2317" s="56"/>
      <c r="AF2317" s="56"/>
      <c r="AG2317" s="56"/>
      <c r="AH2317" s="56"/>
    </row>
    <row r="2318" spans="1:34" x14ac:dyDescent="0.3">
      <c r="A2318" s="47">
        <f t="shared" si="541"/>
        <v>2073</v>
      </c>
      <c r="B2318" s="414" t="s">
        <v>2865</v>
      </c>
      <c r="C2318" s="51">
        <f t="shared" si="538"/>
        <v>487263.13</v>
      </c>
      <c r="D2318" s="51">
        <f t="shared" si="539"/>
        <v>0</v>
      </c>
      <c r="E2318" s="51"/>
      <c r="F2318" s="51"/>
      <c r="G2318" s="51"/>
      <c r="H2318" s="51"/>
      <c r="I2318" s="51"/>
      <c r="J2318" s="51"/>
      <c r="K2318" s="51"/>
      <c r="L2318" s="51"/>
      <c r="M2318" s="35"/>
      <c r="N2318" s="51"/>
      <c r="O2318" s="82"/>
      <c r="P2318" s="51"/>
      <c r="Q2318" s="338"/>
      <c r="R2318" s="51"/>
      <c r="S2318" s="51"/>
      <c r="T2318" s="338"/>
      <c r="U2318" s="51"/>
      <c r="V2318" s="35"/>
      <c r="W2318" s="364">
        <f t="shared" si="540"/>
        <v>487263.13</v>
      </c>
      <c r="X2318" s="9"/>
      <c r="Y2318" s="9"/>
      <c r="Z2318" s="9"/>
      <c r="AA2318" s="9"/>
      <c r="AB2318" s="9">
        <v>100825.61</v>
      </c>
      <c r="AC2318" s="9">
        <v>209617.52</v>
      </c>
      <c r="AD2318" s="40"/>
      <c r="AE2318" s="56"/>
      <c r="AF2318" s="56"/>
      <c r="AG2318" s="56">
        <v>176820</v>
      </c>
      <c r="AH2318" s="56"/>
    </row>
    <row r="2319" spans="1:34" x14ac:dyDescent="0.3">
      <c r="A2319" s="47">
        <f t="shared" si="541"/>
        <v>2074</v>
      </c>
      <c r="B2319" s="414" t="s">
        <v>2866</v>
      </c>
      <c r="C2319" s="51">
        <f t="shared" si="538"/>
        <v>117614.3</v>
      </c>
      <c r="D2319" s="51">
        <f t="shared" si="539"/>
        <v>0</v>
      </c>
      <c r="E2319" s="51"/>
      <c r="F2319" s="51"/>
      <c r="G2319" s="51"/>
      <c r="H2319" s="51"/>
      <c r="I2319" s="51"/>
      <c r="J2319" s="51"/>
      <c r="K2319" s="51"/>
      <c r="L2319" s="51"/>
      <c r="M2319" s="35"/>
      <c r="N2319" s="51"/>
      <c r="O2319" s="82"/>
      <c r="P2319" s="51"/>
      <c r="Q2319" s="338"/>
      <c r="R2319" s="51"/>
      <c r="S2319" s="51"/>
      <c r="T2319" s="338"/>
      <c r="U2319" s="51"/>
      <c r="V2319" s="35"/>
      <c r="W2319" s="364">
        <f t="shared" si="540"/>
        <v>117614.3</v>
      </c>
      <c r="X2319" s="9"/>
      <c r="Y2319" s="9"/>
      <c r="Z2319" s="9"/>
      <c r="AA2319" s="9"/>
      <c r="AB2319" s="9"/>
      <c r="AC2319" s="9"/>
      <c r="AD2319" s="40">
        <v>117614.3</v>
      </c>
      <c r="AE2319" s="56"/>
      <c r="AF2319" s="56"/>
      <c r="AG2319" s="56"/>
      <c r="AH2319" s="56"/>
    </row>
    <row r="2320" spans="1:34" x14ac:dyDescent="0.3">
      <c r="A2320" s="47">
        <f t="shared" si="541"/>
        <v>2075</v>
      </c>
      <c r="B2320" s="414" t="s">
        <v>2867</v>
      </c>
      <c r="C2320" s="51">
        <f t="shared" si="538"/>
        <v>185841.98</v>
      </c>
      <c r="D2320" s="51">
        <f t="shared" si="539"/>
        <v>0</v>
      </c>
      <c r="E2320" s="51"/>
      <c r="F2320" s="51"/>
      <c r="G2320" s="51"/>
      <c r="H2320" s="51"/>
      <c r="I2320" s="51"/>
      <c r="J2320" s="51"/>
      <c r="K2320" s="51"/>
      <c r="L2320" s="51"/>
      <c r="M2320" s="35"/>
      <c r="N2320" s="51"/>
      <c r="O2320" s="82"/>
      <c r="P2320" s="51"/>
      <c r="Q2320" s="338"/>
      <c r="R2320" s="51"/>
      <c r="S2320" s="51"/>
      <c r="T2320" s="338"/>
      <c r="U2320" s="51"/>
      <c r="V2320" s="35"/>
      <c r="W2320" s="364">
        <f t="shared" si="540"/>
        <v>185841.98</v>
      </c>
      <c r="X2320" s="9"/>
      <c r="Y2320" s="9"/>
      <c r="Z2320" s="9"/>
      <c r="AA2320" s="9"/>
      <c r="AB2320" s="9"/>
      <c r="AC2320" s="9"/>
      <c r="AD2320" s="40">
        <v>185841.98</v>
      </c>
      <c r="AE2320" s="56"/>
      <c r="AF2320" s="56"/>
      <c r="AG2320" s="56"/>
      <c r="AH2320" s="56"/>
    </row>
    <row r="2321" spans="1:34" x14ac:dyDescent="0.3">
      <c r="A2321" s="47">
        <f t="shared" si="541"/>
        <v>2076</v>
      </c>
      <c r="B2321" s="414" t="s">
        <v>2868</v>
      </c>
      <c r="C2321" s="51">
        <f t="shared" si="538"/>
        <v>186155.8</v>
      </c>
      <c r="D2321" s="51">
        <f t="shared" si="539"/>
        <v>0</v>
      </c>
      <c r="E2321" s="51"/>
      <c r="F2321" s="51"/>
      <c r="G2321" s="51"/>
      <c r="H2321" s="51"/>
      <c r="I2321" s="51"/>
      <c r="J2321" s="51"/>
      <c r="K2321" s="51"/>
      <c r="L2321" s="51"/>
      <c r="M2321" s="35"/>
      <c r="N2321" s="51"/>
      <c r="O2321" s="82"/>
      <c r="P2321" s="51"/>
      <c r="Q2321" s="338"/>
      <c r="R2321" s="51"/>
      <c r="S2321" s="51"/>
      <c r="T2321" s="338"/>
      <c r="U2321" s="51"/>
      <c r="V2321" s="35"/>
      <c r="W2321" s="364">
        <f t="shared" si="540"/>
        <v>186155.8</v>
      </c>
      <c r="X2321" s="9"/>
      <c r="Y2321" s="9"/>
      <c r="Z2321" s="9"/>
      <c r="AA2321" s="9"/>
      <c r="AB2321" s="9"/>
      <c r="AC2321" s="9"/>
      <c r="AD2321" s="40">
        <v>186155.8</v>
      </c>
      <c r="AE2321" s="56"/>
      <c r="AF2321" s="56"/>
      <c r="AG2321" s="56"/>
      <c r="AH2321" s="56"/>
    </row>
    <row r="2322" spans="1:34" x14ac:dyDescent="0.3">
      <c r="A2322" s="47">
        <f t="shared" si="541"/>
        <v>2077</v>
      </c>
      <c r="B2322" s="414" t="s">
        <v>2869</v>
      </c>
      <c r="C2322" s="51">
        <f t="shared" si="538"/>
        <v>49593.8</v>
      </c>
      <c r="D2322" s="51">
        <f t="shared" si="539"/>
        <v>0</v>
      </c>
      <c r="E2322" s="51"/>
      <c r="F2322" s="51"/>
      <c r="G2322" s="51"/>
      <c r="H2322" s="51"/>
      <c r="I2322" s="51"/>
      <c r="J2322" s="51"/>
      <c r="K2322" s="51"/>
      <c r="L2322" s="51"/>
      <c r="M2322" s="35"/>
      <c r="N2322" s="51"/>
      <c r="O2322" s="82"/>
      <c r="P2322" s="51"/>
      <c r="Q2322" s="338"/>
      <c r="R2322" s="51"/>
      <c r="S2322" s="51"/>
      <c r="T2322" s="338"/>
      <c r="U2322" s="51"/>
      <c r="V2322" s="35"/>
      <c r="W2322" s="364">
        <f t="shared" si="540"/>
        <v>49593.8</v>
      </c>
      <c r="X2322" s="9"/>
      <c r="Y2322" s="9"/>
      <c r="Z2322" s="9"/>
      <c r="AA2322" s="9"/>
      <c r="AB2322" s="9">
        <v>49593.8</v>
      </c>
      <c r="AC2322" s="9"/>
      <c r="AD2322" s="40"/>
      <c r="AE2322" s="56"/>
      <c r="AF2322" s="56"/>
      <c r="AG2322" s="56"/>
      <c r="AH2322" s="56"/>
    </row>
    <row r="2323" spans="1:34" x14ac:dyDescent="0.3">
      <c r="A2323" s="47">
        <f t="shared" si="541"/>
        <v>2078</v>
      </c>
      <c r="B2323" s="414" t="s">
        <v>2870</v>
      </c>
      <c r="C2323" s="51">
        <f t="shared" si="538"/>
        <v>496170.18999999994</v>
      </c>
      <c r="D2323" s="51">
        <f t="shared" si="539"/>
        <v>0</v>
      </c>
      <c r="E2323" s="51"/>
      <c r="F2323" s="51"/>
      <c r="G2323" s="51"/>
      <c r="H2323" s="51"/>
      <c r="I2323" s="51"/>
      <c r="J2323" s="51"/>
      <c r="K2323" s="51"/>
      <c r="L2323" s="51"/>
      <c r="M2323" s="35"/>
      <c r="N2323" s="51"/>
      <c r="O2323" s="82"/>
      <c r="P2323" s="51"/>
      <c r="Q2323" s="338"/>
      <c r="R2323" s="51"/>
      <c r="S2323" s="51"/>
      <c r="T2323" s="338"/>
      <c r="U2323" s="51"/>
      <c r="V2323" s="35"/>
      <c r="W2323" s="364">
        <f t="shared" si="540"/>
        <v>496170.18999999994</v>
      </c>
      <c r="X2323" s="9"/>
      <c r="Y2323" s="9"/>
      <c r="Z2323" s="9"/>
      <c r="AA2323" s="9"/>
      <c r="AB2323" s="9">
        <v>109063.27</v>
      </c>
      <c r="AC2323" s="9">
        <v>203241.96</v>
      </c>
      <c r="AD2323" s="40">
        <v>183864.95999999999</v>
      </c>
      <c r="AE2323" s="56"/>
      <c r="AF2323" s="56"/>
      <c r="AG2323" s="56"/>
      <c r="AH2323" s="56"/>
    </row>
    <row r="2324" spans="1:34" x14ac:dyDescent="0.3">
      <c r="A2324" s="47">
        <f t="shared" si="541"/>
        <v>2079</v>
      </c>
      <c r="B2324" s="414" t="s">
        <v>2871</v>
      </c>
      <c r="C2324" s="51">
        <f t="shared" si="538"/>
        <v>495629.97</v>
      </c>
      <c r="D2324" s="51">
        <f t="shared" si="539"/>
        <v>0</v>
      </c>
      <c r="E2324" s="51"/>
      <c r="F2324" s="51"/>
      <c r="G2324" s="51"/>
      <c r="H2324" s="51"/>
      <c r="I2324" s="51"/>
      <c r="J2324" s="51"/>
      <c r="K2324" s="51"/>
      <c r="L2324" s="51"/>
      <c r="M2324" s="35"/>
      <c r="N2324" s="51"/>
      <c r="O2324" s="82"/>
      <c r="P2324" s="51"/>
      <c r="Q2324" s="338"/>
      <c r="R2324" s="51"/>
      <c r="S2324" s="51"/>
      <c r="T2324" s="338"/>
      <c r="U2324" s="51"/>
      <c r="V2324" s="35"/>
      <c r="W2324" s="364">
        <f t="shared" si="540"/>
        <v>495629.97</v>
      </c>
      <c r="X2324" s="9"/>
      <c r="Y2324" s="9"/>
      <c r="Z2324" s="9"/>
      <c r="AA2324" s="9"/>
      <c r="AB2324" s="9">
        <v>108852.43</v>
      </c>
      <c r="AC2324" s="9">
        <v>202912.58</v>
      </c>
      <c r="AD2324" s="40">
        <v>183864.95999999999</v>
      </c>
      <c r="AE2324" s="56"/>
      <c r="AF2324" s="56"/>
      <c r="AG2324" s="56"/>
      <c r="AH2324" s="56"/>
    </row>
    <row r="2325" spans="1:34" x14ac:dyDescent="0.3">
      <c r="A2325" s="47">
        <f t="shared" si="541"/>
        <v>2080</v>
      </c>
      <c r="B2325" s="414" t="s">
        <v>2872</v>
      </c>
      <c r="C2325" s="51">
        <f t="shared" si="538"/>
        <v>477706.72</v>
      </c>
      <c r="D2325" s="51">
        <f t="shared" si="539"/>
        <v>0</v>
      </c>
      <c r="E2325" s="51"/>
      <c r="F2325" s="51"/>
      <c r="G2325" s="51"/>
      <c r="H2325" s="51"/>
      <c r="I2325" s="51"/>
      <c r="J2325" s="51"/>
      <c r="K2325" s="51"/>
      <c r="L2325" s="51"/>
      <c r="M2325" s="35"/>
      <c r="N2325" s="51"/>
      <c r="O2325" s="82"/>
      <c r="P2325" s="51"/>
      <c r="Q2325" s="338"/>
      <c r="R2325" s="51"/>
      <c r="S2325" s="51"/>
      <c r="T2325" s="338"/>
      <c r="U2325" s="51"/>
      <c r="V2325" s="35"/>
      <c r="W2325" s="364">
        <f t="shared" si="540"/>
        <v>477706.72</v>
      </c>
      <c r="X2325" s="9"/>
      <c r="Y2325" s="9"/>
      <c r="Z2325" s="9"/>
      <c r="AA2325" s="9"/>
      <c r="AB2325" s="9">
        <v>115901.72</v>
      </c>
      <c r="AC2325" s="9"/>
      <c r="AD2325" s="40"/>
      <c r="AE2325" s="56">
        <v>361805</v>
      </c>
      <c r="AF2325" s="56"/>
      <c r="AG2325" s="56"/>
      <c r="AH2325" s="56"/>
    </row>
    <row r="2326" spans="1:34" x14ac:dyDescent="0.3">
      <c r="A2326" s="47">
        <f t="shared" si="541"/>
        <v>2081</v>
      </c>
      <c r="B2326" s="414" t="s">
        <v>2873</v>
      </c>
      <c r="C2326" s="51">
        <f t="shared" si="538"/>
        <v>476944.32</v>
      </c>
      <c r="D2326" s="51">
        <f t="shared" si="539"/>
        <v>0</v>
      </c>
      <c r="E2326" s="51"/>
      <c r="F2326" s="51"/>
      <c r="G2326" s="51"/>
      <c r="H2326" s="51"/>
      <c r="I2326" s="51"/>
      <c r="J2326" s="51"/>
      <c r="K2326" s="51"/>
      <c r="L2326" s="51"/>
      <c r="M2326" s="35"/>
      <c r="N2326" s="51"/>
      <c r="O2326" s="82"/>
      <c r="P2326" s="51"/>
      <c r="Q2326" s="338"/>
      <c r="R2326" s="51"/>
      <c r="S2326" s="51"/>
      <c r="T2326" s="338"/>
      <c r="U2326" s="51"/>
      <c r="V2326" s="35"/>
      <c r="W2326" s="364">
        <f t="shared" si="540"/>
        <v>476944.32</v>
      </c>
      <c r="X2326" s="9"/>
      <c r="Y2326" s="9"/>
      <c r="Z2326" s="9"/>
      <c r="AA2326" s="9"/>
      <c r="AB2326" s="9">
        <v>104373.55</v>
      </c>
      <c r="AC2326" s="9">
        <v>195798.01</v>
      </c>
      <c r="AD2326" s="40">
        <v>176772.76</v>
      </c>
      <c r="AE2326" s="56"/>
      <c r="AF2326" s="56"/>
      <c r="AG2326" s="56"/>
      <c r="AH2326" s="56"/>
    </row>
    <row r="2327" spans="1:34" x14ac:dyDescent="0.3">
      <c r="A2327" s="47">
        <f t="shared" si="541"/>
        <v>2082</v>
      </c>
      <c r="B2327" s="414" t="s">
        <v>2874</v>
      </c>
      <c r="C2327" s="51">
        <f t="shared" si="538"/>
        <v>304574.46999999997</v>
      </c>
      <c r="D2327" s="51">
        <f t="shared" si="539"/>
        <v>0</v>
      </c>
      <c r="E2327" s="51"/>
      <c r="F2327" s="51"/>
      <c r="G2327" s="51"/>
      <c r="H2327" s="51"/>
      <c r="I2327" s="51"/>
      <c r="J2327" s="51"/>
      <c r="K2327" s="51"/>
      <c r="L2327" s="51"/>
      <c r="M2327" s="35"/>
      <c r="N2327" s="51"/>
      <c r="O2327" s="82"/>
      <c r="P2327" s="51"/>
      <c r="Q2327" s="338"/>
      <c r="R2327" s="51"/>
      <c r="S2327" s="51"/>
      <c r="T2327" s="338"/>
      <c r="U2327" s="51"/>
      <c r="V2327" s="35"/>
      <c r="W2327" s="364">
        <f t="shared" si="540"/>
        <v>304574.46999999997</v>
      </c>
      <c r="X2327" s="9"/>
      <c r="Y2327" s="9"/>
      <c r="Z2327" s="9"/>
      <c r="AA2327" s="9"/>
      <c r="AB2327" s="9">
        <v>107444.9</v>
      </c>
      <c r="AC2327" s="9">
        <v>197129.57</v>
      </c>
      <c r="AD2327" s="40"/>
      <c r="AE2327" s="56"/>
      <c r="AF2327" s="56"/>
      <c r="AG2327" s="56"/>
      <c r="AH2327" s="56"/>
    </row>
    <row r="2328" spans="1:34" x14ac:dyDescent="0.3">
      <c r="A2328" s="47">
        <f t="shared" si="541"/>
        <v>2083</v>
      </c>
      <c r="B2328" s="414" t="s">
        <v>2875</v>
      </c>
      <c r="C2328" s="51">
        <f t="shared" si="538"/>
        <v>452657.43</v>
      </c>
      <c r="D2328" s="51">
        <f t="shared" si="539"/>
        <v>0</v>
      </c>
      <c r="E2328" s="51"/>
      <c r="F2328" s="51"/>
      <c r="G2328" s="51"/>
      <c r="H2328" s="51"/>
      <c r="I2328" s="51"/>
      <c r="J2328" s="51"/>
      <c r="K2328" s="51"/>
      <c r="L2328" s="51"/>
      <c r="M2328" s="35"/>
      <c r="N2328" s="51"/>
      <c r="O2328" s="82"/>
      <c r="P2328" s="51"/>
      <c r="Q2328" s="338"/>
      <c r="R2328" s="51"/>
      <c r="S2328" s="51"/>
      <c r="T2328" s="338"/>
      <c r="U2328" s="51"/>
      <c r="V2328" s="35"/>
      <c r="W2328" s="364">
        <f t="shared" si="540"/>
        <v>452657.43</v>
      </c>
      <c r="X2328" s="9"/>
      <c r="Y2328" s="9"/>
      <c r="Z2328" s="9"/>
      <c r="AA2328" s="9"/>
      <c r="AB2328" s="9">
        <v>72229.31</v>
      </c>
      <c r="AC2328" s="9">
        <v>140947.85999999999</v>
      </c>
      <c r="AD2328" s="40"/>
      <c r="AE2328" s="56">
        <v>239480.26</v>
      </c>
      <c r="AF2328" s="56"/>
      <c r="AG2328" s="56"/>
      <c r="AH2328" s="56"/>
    </row>
    <row r="2329" spans="1:34" x14ac:dyDescent="0.3">
      <c r="A2329" s="47">
        <f t="shared" si="541"/>
        <v>2084</v>
      </c>
      <c r="B2329" s="414" t="s">
        <v>2876</v>
      </c>
      <c r="C2329" s="51">
        <f t="shared" si="538"/>
        <v>219996.02000000002</v>
      </c>
      <c r="D2329" s="51">
        <f t="shared" si="539"/>
        <v>0</v>
      </c>
      <c r="E2329" s="51"/>
      <c r="F2329" s="51"/>
      <c r="G2329" s="51"/>
      <c r="H2329" s="51"/>
      <c r="I2329" s="51"/>
      <c r="J2329" s="51"/>
      <c r="K2329" s="51"/>
      <c r="L2329" s="51"/>
      <c r="M2329" s="35"/>
      <c r="N2329" s="51"/>
      <c r="O2329" s="82"/>
      <c r="P2329" s="51"/>
      <c r="Q2329" s="338"/>
      <c r="R2329" s="51"/>
      <c r="S2329" s="51"/>
      <c r="T2329" s="338"/>
      <c r="U2329" s="51"/>
      <c r="V2329" s="35"/>
      <c r="W2329" s="364">
        <f t="shared" si="540"/>
        <v>219996.02000000002</v>
      </c>
      <c r="X2329" s="9"/>
      <c r="Y2329" s="9"/>
      <c r="Z2329" s="9"/>
      <c r="AA2329" s="9"/>
      <c r="AB2329" s="9">
        <v>15300.47</v>
      </c>
      <c r="AC2329" s="9">
        <v>132246.67000000001</v>
      </c>
      <c r="AD2329" s="40"/>
      <c r="AE2329" s="56">
        <v>72448.88</v>
      </c>
      <c r="AF2329" s="56"/>
      <c r="AG2329" s="56"/>
      <c r="AH2329" s="56"/>
    </row>
    <row r="2330" spans="1:34" x14ac:dyDescent="0.3">
      <c r="A2330" s="47">
        <f t="shared" si="541"/>
        <v>2085</v>
      </c>
      <c r="B2330" s="414" t="s">
        <v>2877</v>
      </c>
      <c r="C2330" s="51">
        <f t="shared" si="538"/>
        <v>104299.67</v>
      </c>
      <c r="D2330" s="51">
        <f t="shared" si="539"/>
        <v>0</v>
      </c>
      <c r="E2330" s="51"/>
      <c r="F2330" s="51"/>
      <c r="G2330" s="51"/>
      <c r="H2330" s="51"/>
      <c r="I2330" s="51"/>
      <c r="J2330" s="51"/>
      <c r="K2330" s="51"/>
      <c r="L2330" s="51"/>
      <c r="M2330" s="35"/>
      <c r="N2330" s="51"/>
      <c r="O2330" s="82"/>
      <c r="P2330" s="51"/>
      <c r="Q2330" s="338"/>
      <c r="R2330" s="51"/>
      <c r="S2330" s="51"/>
      <c r="T2330" s="338"/>
      <c r="U2330" s="51"/>
      <c r="V2330" s="35"/>
      <c r="W2330" s="364">
        <f t="shared" si="540"/>
        <v>104299.67</v>
      </c>
      <c r="X2330" s="9"/>
      <c r="Y2330" s="9"/>
      <c r="Z2330" s="9">
        <v>104299.67</v>
      </c>
      <c r="AA2330" s="9"/>
      <c r="AB2330" s="9"/>
      <c r="AC2330" s="9"/>
      <c r="AD2330" s="40"/>
      <c r="AE2330" s="56"/>
      <c r="AF2330" s="56"/>
      <c r="AG2330" s="56"/>
      <c r="AH2330" s="56"/>
    </row>
    <row r="2331" spans="1:34" x14ac:dyDescent="0.3">
      <c r="A2331" s="47">
        <f t="shared" si="541"/>
        <v>2086</v>
      </c>
      <c r="B2331" s="414" t="s">
        <v>2878</v>
      </c>
      <c r="C2331" s="51">
        <f t="shared" si="538"/>
        <v>49477.96</v>
      </c>
      <c r="D2331" s="51">
        <f t="shared" si="539"/>
        <v>0</v>
      </c>
      <c r="E2331" s="51"/>
      <c r="F2331" s="51"/>
      <c r="G2331" s="51"/>
      <c r="H2331" s="51"/>
      <c r="I2331" s="51"/>
      <c r="J2331" s="51"/>
      <c r="K2331" s="51"/>
      <c r="L2331" s="51"/>
      <c r="M2331" s="35"/>
      <c r="N2331" s="51"/>
      <c r="O2331" s="82"/>
      <c r="P2331" s="51"/>
      <c r="Q2331" s="338"/>
      <c r="R2331" s="51"/>
      <c r="S2331" s="51"/>
      <c r="T2331" s="338"/>
      <c r="U2331" s="51"/>
      <c r="V2331" s="35"/>
      <c r="W2331" s="364">
        <f t="shared" si="540"/>
        <v>49477.96</v>
      </c>
      <c r="X2331" s="9"/>
      <c r="Y2331" s="9"/>
      <c r="Z2331" s="9">
        <v>49477.96</v>
      </c>
      <c r="AA2331" s="9"/>
      <c r="AB2331" s="9"/>
      <c r="AC2331" s="9"/>
      <c r="AD2331" s="40"/>
      <c r="AE2331" s="56"/>
      <c r="AF2331" s="56"/>
      <c r="AG2331" s="56"/>
      <c r="AH2331" s="56"/>
    </row>
    <row r="2332" spans="1:34" x14ac:dyDescent="0.3">
      <c r="A2332" s="47">
        <f t="shared" si="541"/>
        <v>2087</v>
      </c>
      <c r="B2332" s="414" t="s">
        <v>2879</v>
      </c>
      <c r="C2332" s="51">
        <f t="shared" si="538"/>
        <v>1135400.1600000001</v>
      </c>
      <c r="D2332" s="51">
        <f t="shared" si="539"/>
        <v>0</v>
      </c>
      <c r="E2332" s="51"/>
      <c r="F2332" s="51"/>
      <c r="G2332" s="51"/>
      <c r="H2332" s="51"/>
      <c r="I2332" s="51"/>
      <c r="J2332" s="51"/>
      <c r="K2332" s="51"/>
      <c r="L2332" s="51"/>
      <c r="M2332" s="35"/>
      <c r="N2332" s="51"/>
      <c r="O2332" s="82"/>
      <c r="P2332" s="51"/>
      <c r="Q2332" s="338"/>
      <c r="R2332" s="51"/>
      <c r="S2332" s="51"/>
      <c r="T2332" s="338"/>
      <c r="U2332" s="51"/>
      <c r="V2332" s="35"/>
      <c r="W2332" s="364">
        <f t="shared" si="540"/>
        <v>1135400.1600000001</v>
      </c>
      <c r="X2332" s="9"/>
      <c r="Y2332" s="9"/>
      <c r="Z2332" s="9"/>
      <c r="AA2332" s="9"/>
      <c r="AB2332" s="9"/>
      <c r="AC2332" s="9">
        <v>318772.62</v>
      </c>
      <c r="AD2332" s="40">
        <v>98105.02</v>
      </c>
      <c r="AE2332" s="56">
        <v>718522.52</v>
      </c>
      <c r="AF2332" s="56"/>
      <c r="AG2332" s="56"/>
      <c r="AH2332" s="56"/>
    </row>
    <row r="2333" spans="1:34" x14ac:dyDescent="0.3">
      <c r="A2333" s="47">
        <f t="shared" si="541"/>
        <v>2088</v>
      </c>
      <c r="B2333" s="414" t="s">
        <v>2880</v>
      </c>
      <c r="C2333" s="51">
        <f t="shared" si="538"/>
        <v>1184452.6600000001</v>
      </c>
      <c r="D2333" s="51">
        <f t="shared" si="539"/>
        <v>0</v>
      </c>
      <c r="E2333" s="51"/>
      <c r="F2333" s="51"/>
      <c r="G2333" s="51"/>
      <c r="H2333" s="51"/>
      <c r="I2333" s="51"/>
      <c r="J2333" s="51"/>
      <c r="K2333" s="51"/>
      <c r="L2333" s="51"/>
      <c r="M2333" s="35"/>
      <c r="N2333" s="51"/>
      <c r="O2333" s="82"/>
      <c r="P2333" s="51"/>
      <c r="Q2333" s="338"/>
      <c r="R2333" s="51"/>
      <c r="S2333" s="51"/>
      <c r="T2333" s="338"/>
      <c r="U2333" s="51"/>
      <c r="V2333" s="35"/>
      <c r="W2333" s="364">
        <f t="shared" si="540"/>
        <v>1184452.6600000001</v>
      </c>
      <c r="X2333" s="9"/>
      <c r="Y2333" s="9"/>
      <c r="Z2333" s="9"/>
      <c r="AA2333" s="9"/>
      <c r="AB2333" s="9"/>
      <c r="AC2333" s="9">
        <v>318772.62</v>
      </c>
      <c r="AD2333" s="40">
        <v>147157.51999999999</v>
      </c>
      <c r="AE2333" s="56">
        <v>718522.52</v>
      </c>
      <c r="AF2333" s="56"/>
      <c r="AG2333" s="56"/>
      <c r="AH2333" s="56"/>
    </row>
    <row r="2334" spans="1:34" x14ac:dyDescent="0.3">
      <c r="A2334" s="47">
        <f t="shared" si="541"/>
        <v>2089</v>
      </c>
      <c r="B2334" s="414" t="s">
        <v>2881</v>
      </c>
      <c r="C2334" s="51">
        <f t="shared" si="538"/>
        <v>448949.51</v>
      </c>
      <c r="D2334" s="51">
        <f t="shared" si="539"/>
        <v>0</v>
      </c>
      <c r="E2334" s="51"/>
      <c r="F2334" s="51"/>
      <c r="G2334" s="51"/>
      <c r="H2334" s="51"/>
      <c r="I2334" s="51"/>
      <c r="J2334" s="51"/>
      <c r="K2334" s="51"/>
      <c r="L2334" s="51"/>
      <c r="M2334" s="35"/>
      <c r="N2334" s="51"/>
      <c r="O2334" s="82"/>
      <c r="P2334" s="51"/>
      <c r="Q2334" s="338"/>
      <c r="R2334" s="51"/>
      <c r="S2334" s="51"/>
      <c r="T2334" s="338"/>
      <c r="U2334" s="51"/>
      <c r="V2334" s="35"/>
      <c r="W2334" s="364">
        <f t="shared" si="540"/>
        <v>448949.51</v>
      </c>
      <c r="X2334" s="9"/>
      <c r="Y2334" s="9"/>
      <c r="Z2334" s="9"/>
      <c r="AA2334" s="9"/>
      <c r="AB2334" s="9"/>
      <c r="AC2334" s="9">
        <v>448949.51</v>
      </c>
      <c r="AD2334" s="40"/>
      <c r="AE2334" s="56"/>
      <c r="AF2334" s="56"/>
      <c r="AG2334" s="56"/>
      <c r="AH2334" s="56"/>
    </row>
    <row r="2335" spans="1:34" x14ac:dyDescent="0.3">
      <c r="A2335" s="47">
        <f t="shared" si="541"/>
        <v>2090</v>
      </c>
      <c r="B2335" s="414" t="s">
        <v>2882</v>
      </c>
      <c r="C2335" s="51">
        <f t="shared" si="538"/>
        <v>453115.64</v>
      </c>
      <c r="D2335" s="51">
        <f t="shared" si="539"/>
        <v>0</v>
      </c>
      <c r="E2335" s="51"/>
      <c r="F2335" s="51"/>
      <c r="G2335" s="51"/>
      <c r="H2335" s="51"/>
      <c r="I2335" s="51"/>
      <c r="J2335" s="51"/>
      <c r="K2335" s="51"/>
      <c r="L2335" s="51"/>
      <c r="M2335" s="35"/>
      <c r="N2335" s="51"/>
      <c r="O2335" s="82"/>
      <c r="P2335" s="51"/>
      <c r="Q2335" s="338"/>
      <c r="R2335" s="51"/>
      <c r="S2335" s="51"/>
      <c r="T2335" s="338"/>
      <c r="U2335" s="51"/>
      <c r="V2335" s="35"/>
      <c r="W2335" s="364">
        <f t="shared" si="540"/>
        <v>453115.64</v>
      </c>
      <c r="X2335" s="9"/>
      <c r="Y2335" s="9"/>
      <c r="Z2335" s="9"/>
      <c r="AA2335" s="9"/>
      <c r="AB2335" s="9"/>
      <c r="AC2335" s="9">
        <v>453115.64</v>
      </c>
      <c r="AD2335" s="40"/>
      <c r="AE2335" s="56"/>
      <c r="AF2335" s="56"/>
      <c r="AG2335" s="56"/>
      <c r="AH2335" s="56"/>
    </row>
    <row r="2336" spans="1:34" x14ac:dyDescent="0.3">
      <c r="A2336" s="47">
        <f t="shared" si="541"/>
        <v>2091</v>
      </c>
      <c r="B2336" s="414" t="s">
        <v>2883</v>
      </c>
      <c r="C2336" s="51">
        <f t="shared" si="538"/>
        <v>191397.72</v>
      </c>
      <c r="D2336" s="51">
        <f t="shared" si="539"/>
        <v>0</v>
      </c>
      <c r="E2336" s="51"/>
      <c r="F2336" s="51"/>
      <c r="G2336" s="51"/>
      <c r="H2336" s="51"/>
      <c r="I2336" s="51"/>
      <c r="J2336" s="51"/>
      <c r="K2336" s="51"/>
      <c r="L2336" s="51"/>
      <c r="M2336" s="35"/>
      <c r="N2336" s="51"/>
      <c r="O2336" s="82"/>
      <c r="P2336" s="51"/>
      <c r="Q2336" s="338"/>
      <c r="R2336" s="51"/>
      <c r="S2336" s="51"/>
      <c r="T2336" s="338"/>
      <c r="U2336" s="51"/>
      <c r="V2336" s="35"/>
      <c r="W2336" s="364">
        <f t="shared" si="540"/>
        <v>191397.72</v>
      </c>
      <c r="X2336" s="9"/>
      <c r="Y2336" s="9"/>
      <c r="Z2336" s="9"/>
      <c r="AA2336" s="9"/>
      <c r="AB2336" s="9"/>
      <c r="AC2336" s="9">
        <v>191397.72</v>
      </c>
      <c r="AD2336" s="40"/>
      <c r="AE2336" s="56"/>
      <c r="AF2336" s="56"/>
      <c r="AG2336" s="56"/>
      <c r="AH2336" s="56"/>
    </row>
    <row r="2337" spans="1:40" x14ac:dyDescent="0.3">
      <c r="A2337" s="47">
        <f t="shared" si="541"/>
        <v>2092</v>
      </c>
      <c r="B2337" s="414" t="s">
        <v>2884</v>
      </c>
      <c r="C2337" s="51">
        <f t="shared" si="538"/>
        <v>7322080.4899999993</v>
      </c>
      <c r="D2337" s="51">
        <f t="shared" si="539"/>
        <v>0</v>
      </c>
      <c r="E2337" s="51"/>
      <c r="F2337" s="51"/>
      <c r="G2337" s="51"/>
      <c r="H2337" s="51"/>
      <c r="I2337" s="51"/>
      <c r="J2337" s="51"/>
      <c r="K2337" s="51"/>
      <c r="L2337" s="51"/>
      <c r="M2337" s="35"/>
      <c r="N2337" s="51">
        <v>6903509.3999999994</v>
      </c>
      <c r="O2337" s="82"/>
      <c r="P2337" s="51"/>
      <c r="Q2337" s="338"/>
      <c r="R2337" s="51"/>
      <c r="S2337" s="51"/>
      <c r="T2337" s="338"/>
      <c r="U2337" s="51"/>
      <c r="V2337" s="35"/>
      <c r="W2337" s="364">
        <f t="shared" si="540"/>
        <v>418571.09</v>
      </c>
      <c r="X2337" s="9"/>
      <c r="Y2337" s="9"/>
      <c r="Z2337" s="9"/>
      <c r="AA2337" s="9"/>
      <c r="AB2337" s="9"/>
      <c r="AC2337" s="187">
        <v>418571.09</v>
      </c>
      <c r="AD2337" s="40"/>
      <c r="AE2337" s="56"/>
      <c r="AF2337" s="56"/>
      <c r="AG2337" s="56"/>
      <c r="AH2337" s="56"/>
    </row>
    <row r="2338" spans="1:40" x14ac:dyDescent="0.3">
      <c r="A2338" s="47">
        <f t="shared" si="541"/>
        <v>2093</v>
      </c>
      <c r="B2338" s="414" t="s">
        <v>2885</v>
      </c>
      <c r="C2338" s="51">
        <f t="shared" si="538"/>
        <v>385732.06999999995</v>
      </c>
      <c r="D2338" s="51">
        <f t="shared" si="539"/>
        <v>0</v>
      </c>
      <c r="E2338" s="51"/>
      <c r="F2338" s="51"/>
      <c r="G2338" s="51"/>
      <c r="H2338" s="51"/>
      <c r="I2338" s="51"/>
      <c r="J2338" s="51"/>
      <c r="K2338" s="51"/>
      <c r="L2338" s="51"/>
      <c r="M2338" s="35"/>
      <c r="N2338" s="51"/>
      <c r="O2338" s="82"/>
      <c r="P2338" s="51"/>
      <c r="Q2338" s="338"/>
      <c r="R2338" s="51"/>
      <c r="S2338" s="51"/>
      <c r="T2338" s="338"/>
      <c r="U2338" s="51"/>
      <c r="V2338" s="35"/>
      <c r="W2338" s="364">
        <f t="shared" si="540"/>
        <v>385732.06999999995</v>
      </c>
      <c r="X2338" s="9"/>
      <c r="Y2338" s="9">
        <v>101287.21</v>
      </c>
      <c r="Z2338" s="9"/>
      <c r="AA2338" s="9"/>
      <c r="AB2338" s="9">
        <v>100302.39999999999</v>
      </c>
      <c r="AC2338" s="9">
        <v>184142.46</v>
      </c>
      <c r="AD2338" s="40"/>
      <c r="AE2338" s="56"/>
      <c r="AF2338" s="56"/>
      <c r="AG2338" s="56"/>
      <c r="AH2338" s="56"/>
    </row>
    <row r="2339" spans="1:40" x14ac:dyDescent="0.3">
      <c r="A2339" s="47">
        <f t="shared" si="541"/>
        <v>2094</v>
      </c>
      <c r="B2339" s="414" t="s">
        <v>2886</v>
      </c>
      <c r="C2339" s="51">
        <f t="shared" si="538"/>
        <v>320305.99000000005</v>
      </c>
      <c r="D2339" s="51">
        <f t="shared" si="539"/>
        <v>0</v>
      </c>
      <c r="E2339" s="51"/>
      <c r="F2339" s="51"/>
      <c r="G2339" s="51"/>
      <c r="H2339" s="51"/>
      <c r="I2339" s="51"/>
      <c r="J2339" s="51"/>
      <c r="K2339" s="51"/>
      <c r="L2339" s="51"/>
      <c r="M2339" s="35"/>
      <c r="N2339" s="51"/>
      <c r="O2339" s="82"/>
      <c r="P2339" s="51"/>
      <c r="Q2339" s="338"/>
      <c r="R2339" s="51"/>
      <c r="S2339" s="51"/>
      <c r="T2339" s="338"/>
      <c r="U2339" s="51"/>
      <c r="V2339" s="35"/>
      <c r="W2339" s="364">
        <f t="shared" si="540"/>
        <v>320305.99000000005</v>
      </c>
      <c r="X2339" s="9"/>
      <c r="Y2339" s="9"/>
      <c r="Z2339" s="9"/>
      <c r="AA2339" s="9"/>
      <c r="AB2339" s="9">
        <v>104147.56</v>
      </c>
      <c r="AC2339" s="9">
        <v>190011.35</v>
      </c>
      <c r="AD2339" s="40">
        <v>26147.08</v>
      </c>
      <c r="AE2339" s="56"/>
      <c r="AF2339" s="56"/>
      <c r="AG2339" s="56"/>
      <c r="AH2339" s="56"/>
    </row>
    <row r="2340" spans="1:40" x14ac:dyDescent="0.3">
      <c r="A2340" s="47">
        <f t="shared" si="541"/>
        <v>2095</v>
      </c>
      <c r="B2340" s="414" t="s">
        <v>2887</v>
      </c>
      <c r="C2340" s="51">
        <f t="shared" si="538"/>
        <v>581890.53</v>
      </c>
      <c r="D2340" s="51">
        <f t="shared" si="539"/>
        <v>0</v>
      </c>
      <c r="E2340" s="51"/>
      <c r="F2340" s="51"/>
      <c r="G2340" s="51"/>
      <c r="H2340" s="51"/>
      <c r="I2340" s="51"/>
      <c r="J2340" s="51"/>
      <c r="K2340" s="51"/>
      <c r="L2340" s="51"/>
      <c r="M2340" s="35"/>
      <c r="N2340" s="51"/>
      <c r="O2340" s="82"/>
      <c r="P2340" s="51"/>
      <c r="Q2340" s="338"/>
      <c r="R2340" s="51"/>
      <c r="S2340" s="51"/>
      <c r="T2340" s="338"/>
      <c r="U2340" s="51"/>
      <c r="V2340" s="35"/>
      <c r="W2340" s="364">
        <f t="shared" si="540"/>
        <v>581890.53</v>
      </c>
      <c r="X2340" s="9"/>
      <c r="Y2340" s="9"/>
      <c r="Z2340" s="9">
        <v>106208.32000000001</v>
      </c>
      <c r="AA2340" s="9"/>
      <c r="AB2340" s="9">
        <v>104147.56</v>
      </c>
      <c r="AC2340" s="9">
        <v>190011.35</v>
      </c>
      <c r="AD2340" s="40"/>
      <c r="AE2340" s="56"/>
      <c r="AF2340" s="56"/>
      <c r="AG2340" s="56">
        <v>181523.3</v>
      </c>
      <c r="AH2340" s="56"/>
    </row>
    <row r="2341" spans="1:40" x14ac:dyDescent="0.3">
      <c r="A2341" s="439" t="s">
        <v>211</v>
      </c>
      <c r="B2341" s="399"/>
      <c r="C2341" s="51">
        <f t="shared" ref="C2341:R2341" si="542">SUM(C2311:C2340)</f>
        <v>17895994.900000002</v>
      </c>
      <c r="D2341" s="51">
        <f t="shared" si="542"/>
        <v>0</v>
      </c>
      <c r="E2341" s="51">
        <f t="shared" si="542"/>
        <v>0</v>
      </c>
      <c r="F2341" s="51">
        <f t="shared" si="542"/>
        <v>0</v>
      </c>
      <c r="G2341" s="51">
        <f t="shared" si="542"/>
        <v>0</v>
      </c>
      <c r="H2341" s="51">
        <f t="shared" si="542"/>
        <v>0</v>
      </c>
      <c r="I2341" s="51">
        <f t="shared" si="542"/>
        <v>0</v>
      </c>
      <c r="J2341" s="51">
        <f t="shared" si="542"/>
        <v>0</v>
      </c>
      <c r="K2341" s="51">
        <f t="shared" si="542"/>
        <v>0</v>
      </c>
      <c r="L2341" s="51">
        <f t="shared" si="542"/>
        <v>0</v>
      </c>
      <c r="M2341" s="35">
        <f t="shared" si="542"/>
        <v>0</v>
      </c>
      <c r="N2341" s="51">
        <f t="shared" si="542"/>
        <v>6903509.3999999994</v>
      </c>
      <c r="O2341" s="82">
        <f t="shared" si="542"/>
        <v>0</v>
      </c>
      <c r="P2341" s="51">
        <f t="shared" si="542"/>
        <v>0</v>
      </c>
      <c r="Q2341" s="338">
        <f t="shared" si="542"/>
        <v>0</v>
      </c>
      <c r="R2341" s="51">
        <f t="shared" si="542"/>
        <v>0</v>
      </c>
      <c r="S2341" s="51">
        <f>SUM(S2311:S2340)</f>
        <v>0</v>
      </c>
      <c r="T2341" s="338">
        <f>SUM(T2311:T2340)</f>
        <v>0</v>
      </c>
      <c r="U2341" s="51">
        <f>SUM(U2311:U2340)</f>
        <v>0</v>
      </c>
      <c r="V2341" s="35">
        <f>SUM(V2311:V2340)</f>
        <v>0</v>
      </c>
      <c r="W2341" s="51">
        <f>SUM(W2311:W2340)</f>
        <v>10992485.500000002</v>
      </c>
      <c r="X2341" s="9"/>
      <c r="Y2341" s="9"/>
      <c r="Z2341" s="9"/>
      <c r="AA2341" s="9"/>
      <c r="AB2341" s="9"/>
      <c r="AC2341" s="9"/>
      <c r="AD2341" s="40"/>
      <c r="AE2341" s="56"/>
      <c r="AF2341" s="56"/>
      <c r="AG2341" s="56"/>
      <c r="AH2341" s="56"/>
    </row>
    <row r="2342" spans="1:40" x14ac:dyDescent="0.3">
      <c r="A2342" s="435" t="s">
        <v>2888</v>
      </c>
      <c r="B2342" s="363"/>
      <c r="C2342" s="51">
        <f>C2226+C2229+C2268+C2280+C2305+C2309+C2341</f>
        <v>60438963.38000001</v>
      </c>
      <c r="D2342" s="51">
        <f t="shared" ref="D2342:W2342" si="543">D2226+D2229+D2268+D2280+D2305+D2309+D2341</f>
        <v>16157124.18</v>
      </c>
      <c r="E2342" s="51">
        <f t="shared" si="543"/>
        <v>2139960.7800000003</v>
      </c>
      <c r="F2342" s="51">
        <f t="shared" si="543"/>
        <v>8804121</v>
      </c>
      <c r="G2342" s="51">
        <f t="shared" si="543"/>
        <v>1759500</v>
      </c>
      <c r="H2342" s="35">
        <f t="shared" si="543"/>
        <v>2974442.4</v>
      </c>
      <c r="I2342" s="51">
        <f t="shared" si="543"/>
        <v>479100</v>
      </c>
      <c r="J2342" s="51">
        <f t="shared" si="543"/>
        <v>0</v>
      </c>
      <c r="K2342" s="51">
        <f t="shared" si="543"/>
        <v>0</v>
      </c>
      <c r="L2342" s="51">
        <f t="shared" si="543"/>
        <v>0</v>
      </c>
      <c r="M2342" s="35">
        <f t="shared" si="543"/>
        <v>1644.6</v>
      </c>
      <c r="N2342" s="51">
        <f t="shared" si="543"/>
        <v>14853835.16</v>
      </c>
      <c r="O2342" s="82">
        <f t="shared" si="543"/>
        <v>0</v>
      </c>
      <c r="P2342" s="51">
        <f t="shared" si="543"/>
        <v>0</v>
      </c>
      <c r="Q2342" s="338">
        <f t="shared" si="543"/>
        <v>0</v>
      </c>
      <c r="R2342" s="51">
        <f t="shared" si="543"/>
        <v>0</v>
      </c>
      <c r="S2342" s="51">
        <f t="shared" si="543"/>
        <v>0</v>
      </c>
      <c r="T2342" s="338">
        <f t="shared" si="543"/>
        <v>0</v>
      </c>
      <c r="U2342" s="51">
        <f t="shared" si="543"/>
        <v>0</v>
      </c>
      <c r="V2342" s="35">
        <f t="shared" si="543"/>
        <v>0</v>
      </c>
      <c r="W2342" s="51">
        <f t="shared" si="543"/>
        <v>29428004.039999999</v>
      </c>
      <c r="X2342" s="9"/>
      <c r="Y2342" s="9"/>
      <c r="Z2342" s="9"/>
      <c r="AA2342" s="9"/>
      <c r="AB2342" s="9"/>
      <c r="AC2342" s="9"/>
      <c r="AD2342" s="40"/>
      <c r="AE2342" s="56"/>
      <c r="AF2342" s="56"/>
      <c r="AG2342" s="56"/>
      <c r="AH2342" s="56"/>
    </row>
    <row r="2343" spans="1:40" x14ac:dyDescent="0.3">
      <c r="A2343" s="435" t="s">
        <v>2889</v>
      </c>
      <c r="B2343" s="363"/>
      <c r="C2343" s="363"/>
      <c r="D2343" s="363"/>
      <c r="E2343" s="363"/>
      <c r="F2343" s="363"/>
      <c r="G2343" s="363"/>
      <c r="H2343" s="363"/>
      <c r="I2343" s="363"/>
      <c r="J2343" s="363"/>
      <c r="K2343" s="363"/>
      <c r="L2343" s="363"/>
      <c r="M2343" s="393"/>
      <c r="N2343" s="363"/>
      <c r="O2343" s="391"/>
      <c r="P2343" s="363"/>
      <c r="Q2343" s="392"/>
      <c r="R2343" s="363"/>
      <c r="S2343" s="363"/>
      <c r="T2343" s="392"/>
      <c r="U2343" s="363"/>
      <c r="V2343" s="393"/>
      <c r="W2343" s="363"/>
      <c r="X2343" s="298"/>
      <c r="Y2343" s="298" t="s">
        <v>2890</v>
      </c>
      <c r="Z2343" s="298" t="s">
        <v>2891</v>
      </c>
      <c r="AA2343" s="298" t="s">
        <v>2892</v>
      </c>
      <c r="AB2343" s="9" t="s">
        <v>2893</v>
      </c>
      <c r="AC2343" s="9" t="s">
        <v>2894</v>
      </c>
      <c r="AD2343" s="9"/>
      <c r="AE2343" s="40"/>
      <c r="AF2343" s="56"/>
      <c r="AG2343" s="56"/>
      <c r="AH2343" s="56"/>
      <c r="AI2343" s="56"/>
      <c r="AJ2343" s="56"/>
      <c r="AK2343" s="56"/>
      <c r="AL2343" s="56"/>
      <c r="AM2343" s="56"/>
      <c r="AN2343" s="56"/>
    </row>
    <row r="2344" spans="1:40" x14ac:dyDescent="0.3">
      <c r="A2344" s="435" t="s">
        <v>2895</v>
      </c>
      <c r="B2344" s="363"/>
      <c r="C2344" s="51"/>
      <c r="D2344" s="51"/>
      <c r="E2344" s="51"/>
      <c r="F2344" s="51"/>
      <c r="G2344" s="51"/>
      <c r="H2344" s="51"/>
      <c r="I2344" s="51"/>
      <c r="J2344" s="51"/>
      <c r="K2344" s="51"/>
      <c r="L2344" s="51"/>
      <c r="M2344" s="35"/>
      <c r="N2344" s="51"/>
      <c r="O2344" s="82"/>
      <c r="P2344" s="51"/>
      <c r="Q2344" s="338"/>
      <c r="R2344" s="51"/>
      <c r="S2344" s="51"/>
      <c r="T2344" s="338"/>
      <c r="U2344" s="51"/>
      <c r="V2344" s="35"/>
      <c r="W2344" s="364"/>
      <c r="X2344" s="285"/>
      <c r="Y2344" s="285"/>
      <c r="Z2344" s="285"/>
      <c r="AA2344" s="285"/>
      <c r="AB2344" s="285"/>
      <c r="AC2344" s="9"/>
      <c r="AD2344" s="9"/>
      <c r="AE2344" s="40"/>
      <c r="AF2344" s="56"/>
      <c r="AG2344" s="56"/>
      <c r="AH2344" s="56"/>
      <c r="AI2344" s="56"/>
      <c r="AJ2344" s="56"/>
      <c r="AK2344" s="56"/>
      <c r="AL2344" s="56"/>
      <c r="AM2344" s="56"/>
      <c r="AN2344" s="56"/>
    </row>
    <row r="2345" spans="1:40" x14ac:dyDescent="0.3">
      <c r="A2345" s="47">
        <f>A2340+1</f>
        <v>2096</v>
      </c>
      <c r="B2345" s="414" t="s">
        <v>2896</v>
      </c>
      <c r="C2345" s="51">
        <f>D2345+K2345+L2345+N2345+P2345+R2345+S2345+U2345+V2345+W2345</f>
        <v>1578138.48</v>
      </c>
      <c r="D2345" s="51">
        <f>E2345+F2345+G2345+H2345+I2345</f>
        <v>0</v>
      </c>
      <c r="E2345" s="51"/>
      <c r="F2345" s="51"/>
      <c r="G2345" s="51"/>
      <c r="H2345" s="51"/>
      <c r="I2345" s="51"/>
      <c r="J2345" s="51"/>
      <c r="K2345" s="51"/>
      <c r="L2345" s="51"/>
      <c r="M2345" s="35"/>
      <c r="N2345" s="51"/>
      <c r="O2345" s="82"/>
      <c r="P2345" s="51"/>
      <c r="Q2345" s="338"/>
      <c r="R2345" s="51"/>
      <c r="S2345" s="51"/>
      <c r="T2345" s="338"/>
      <c r="U2345" s="51"/>
      <c r="V2345" s="35"/>
      <c r="W2345" s="364">
        <f>SUM(Y2345:AI2345)</f>
        <v>1578138.48</v>
      </c>
      <c r="X2345" s="285"/>
      <c r="Y2345" s="285"/>
      <c r="Z2345" s="285"/>
      <c r="AA2345" s="285"/>
      <c r="AB2345" s="285"/>
      <c r="AC2345" s="9">
        <v>160319.42000000001</v>
      </c>
      <c r="AD2345" s="9">
        <v>278850.40999999997</v>
      </c>
      <c r="AE2345" s="40">
        <v>155062.38</v>
      </c>
      <c r="AF2345" s="56">
        <v>983906.27</v>
      </c>
      <c r="AG2345" s="56"/>
      <c r="AH2345" s="56"/>
      <c r="AI2345" s="56"/>
      <c r="AJ2345" s="56"/>
      <c r="AK2345" s="56"/>
      <c r="AL2345" s="56"/>
      <c r="AM2345" s="56"/>
      <c r="AN2345" s="56">
        <v>200</v>
      </c>
    </row>
    <row r="2346" spans="1:40" x14ac:dyDescent="0.3">
      <c r="A2346" s="439" t="s">
        <v>211</v>
      </c>
      <c r="B2346" s="399"/>
      <c r="C2346" s="51">
        <f t="shared" ref="C2346:W2346" si="544">C2345</f>
        <v>1578138.48</v>
      </c>
      <c r="D2346" s="51">
        <f t="shared" si="544"/>
        <v>0</v>
      </c>
      <c r="E2346" s="51">
        <f t="shared" si="544"/>
        <v>0</v>
      </c>
      <c r="F2346" s="51">
        <f t="shared" si="544"/>
        <v>0</v>
      </c>
      <c r="G2346" s="51">
        <f t="shared" si="544"/>
        <v>0</v>
      </c>
      <c r="H2346" s="51">
        <f t="shared" si="544"/>
        <v>0</v>
      </c>
      <c r="I2346" s="51">
        <f t="shared" si="544"/>
        <v>0</v>
      </c>
      <c r="J2346" s="51">
        <f t="shared" si="544"/>
        <v>0</v>
      </c>
      <c r="K2346" s="51">
        <f t="shared" si="544"/>
        <v>0</v>
      </c>
      <c r="L2346" s="51">
        <f t="shared" si="544"/>
        <v>0</v>
      </c>
      <c r="M2346" s="35">
        <f t="shared" si="544"/>
        <v>0</v>
      </c>
      <c r="N2346" s="51">
        <f t="shared" si="544"/>
        <v>0</v>
      </c>
      <c r="O2346" s="82">
        <f t="shared" si="544"/>
        <v>0</v>
      </c>
      <c r="P2346" s="51">
        <f t="shared" si="544"/>
        <v>0</v>
      </c>
      <c r="Q2346" s="338">
        <f t="shared" si="544"/>
        <v>0</v>
      </c>
      <c r="R2346" s="51">
        <f t="shared" si="544"/>
        <v>0</v>
      </c>
      <c r="S2346" s="51">
        <f t="shared" si="544"/>
        <v>0</v>
      </c>
      <c r="T2346" s="338">
        <f t="shared" si="544"/>
        <v>0</v>
      </c>
      <c r="U2346" s="51">
        <f t="shared" si="544"/>
        <v>0</v>
      </c>
      <c r="V2346" s="35">
        <f t="shared" si="544"/>
        <v>0</v>
      </c>
      <c r="W2346" s="51">
        <f t="shared" si="544"/>
        <v>1578138.48</v>
      </c>
      <c r="X2346" s="285"/>
      <c r="Y2346" s="285"/>
      <c r="Z2346" s="285"/>
      <c r="AA2346" s="285"/>
      <c r="AB2346" s="285"/>
      <c r="AC2346" s="9"/>
      <c r="AD2346" s="9"/>
      <c r="AE2346" s="40"/>
      <c r="AF2346" s="56"/>
      <c r="AG2346" s="56"/>
      <c r="AH2346" s="56"/>
      <c r="AI2346" s="56"/>
      <c r="AJ2346" s="56"/>
      <c r="AK2346" s="56"/>
      <c r="AL2346" s="56"/>
      <c r="AM2346" s="56"/>
      <c r="AN2346" s="56"/>
    </row>
    <row r="2347" spans="1:40" x14ac:dyDescent="0.3">
      <c r="A2347" s="435" t="s">
        <v>2897</v>
      </c>
      <c r="B2347" s="363"/>
      <c r="C2347" s="51"/>
      <c r="D2347" s="51"/>
      <c r="E2347" s="51"/>
      <c r="F2347" s="51"/>
      <c r="G2347" s="51"/>
      <c r="H2347" s="51"/>
      <c r="I2347" s="51"/>
      <c r="J2347" s="51"/>
      <c r="K2347" s="51"/>
      <c r="L2347" s="51"/>
      <c r="M2347" s="35"/>
      <c r="N2347" s="51"/>
      <c r="O2347" s="82"/>
      <c r="P2347" s="51"/>
      <c r="Q2347" s="338"/>
      <c r="R2347" s="51"/>
      <c r="S2347" s="51"/>
      <c r="T2347" s="338"/>
      <c r="U2347" s="51"/>
      <c r="V2347" s="35"/>
      <c r="W2347" s="364"/>
      <c r="X2347" s="285"/>
      <c r="Y2347" s="285"/>
      <c r="Z2347" s="285"/>
      <c r="AA2347" s="285"/>
      <c r="AB2347" s="285"/>
      <c r="AC2347" s="9"/>
      <c r="AD2347" s="9"/>
      <c r="AE2347" s="40"/>
      <c r="AF2347" s="56"/>
      <c r="AG2347" s="56"/>
      <c r="AH2347" s="56"/>
      <c r="AI2347" s="56"/>
      <c r="AJ2347" s="56"/>
      <c r="AK2347" s="56"/>
      <c r="AL2347" s="56"/>
      <c r="AM2347" s="56"/>
      <c r="AN2347" s="56"/>
    </row>
    <row r="2348" spans="1:40" x14ac:dyDescent="0.3">
      <c r="A2348" s="47">
        <f>A2345+1</f>
        <v>2097</v>
      </c>
      <c r="B2348" s="414" t="s">
        <v>2898</v>
      </c>
      <c r="C2348" s="51">
        <f t="shared" ref="C2348:C2357" si="545">D2348+K2348+L2348+N2348+P2348+R2348+S2348+U2348+V2348+W2348</f>
        <v>253806.88</v>
      </c>
      <c r="D2348" s="51">
        <f t="shared" ref="D2348:D2357" si="546">E2348+F2348+G2348+H2348+I2348</f>
        <v>0</v>
      </c>
      <c r="E2348" s="51"/>
      <c r="F2348" s="51"/>
      <c r="G2348" s="51"/>
      <c r="H2348" s="51"/>
      <c r="I2348" s="51"/>
      <c r="J2348" s="51"/>
      <c r="K2348" s="51"/>
      <c r="L2348" s="51"/>
      <c r="M2348" s="35"/>
      <c r="N2348" s="51"/>
      <c r="O2348" s="82"/>
      <c r="P2348" s="51"/>
      <c r="Q2348" s="338"/>
      <c r="R2348" s="51"/>
      <c r="S2348" s="51"/>
      <c r="T2348" s="338"/>
      <c r="U2348" s="51"/>
      <c r="V2348" s="35"/>
      <c r="W2348" s="364">
        <f t="shared" ref="W2348:W2357" si="547">SUM(Y2348:AI2348)</f>
        <v>253806.88</v>
      </c>
      <c r="X2348" s="285"/>
      <c r="Y2348" s="285"/>
      <c r="Z2348" s="505">
        <v>121051.4</v>
      </c>
      <c r="AA2348" s="505"/>
      <c r="AB2348" s="285">
        <v>132755.48000000001</v>
      </c>
      <c r="AC2348" s="9"/>
      <c r="AD2348" s="9"/>
      <c r="AE2348" s="40"/>
      <c r="AF2348" s="56"/>
      <c r="AG2348" s="56"/>
      <c r="AH2348" s="56"/>
      <c r="AI2348" s="56"/>
      <c r="AJ2348" s="56"/>
      <c r="AK2348" s="56"/>
      <c r="AL2348" s="56"/>
      <c r="AM2348" s="56"/>
      <c r="AN2348" s="56"/>
    </row>
    <row r="2349" spans="1:40" x14ac:dyDescent="0.3">
      <c r="A2349" s="47">
        <f t="shared" ref="A2349:A2357" si="548">A2348+1</f>
        <v>2098</v>
      </c>
      <c r="B2349" s="414" t="s">
        <v>2899</v>
      </c>
      <c r="C2349" s="51">
        <f t="shared" si="545"/>
        <v>172766.83</v>
      </c>
      <c r="D2349" s="51">
        <f t="shared" si="546"/>
        <v>0</v>
      </c>
      <c r="E2349" s="51"/>
      <c r="F2349" s="51"/>
      <c r="G2349" s="51"/>
      <c r="H2349" s="51"/>
      <c r="I2349" s="51"/>
      <c r="J2349" s="51"/>
      <c r="K2349" s="51"/>
      <c r="L2349" s="51"/>
      <c r="M2349" s="35"/>
      <c r="N2349" s="51"/>
      <c r="O2349" s="82"/>
      <c r="P2349" s="51"/>
      <c r="Q2349" s="338"/>
      <c r="R2349" s="51"/>
      <c r="S2349" s="51"/>
      <c r="T2349" s="338"/>
      <c r="U2349" s="51"/>
      <c r="V2349" s="35"/>
      <c r="W2349" s="364">
        <f t="shared" si="547"/>
        <v>172766.83</v>
      </c>
      <c r="X2349" s="285"/>
      <c r="Y2349" s="285"/>
      <c r="Z2349" s="285"/>
      <c r="AA2349" s="285"/>
      <c r="AB2349" s="285"/>
      <c r="AC2349" s="9">
        <v>172766.83</v>
      </c>
      <c r="AD2349" s="9"/>
      <c r="AE2349" s="40"/>
      <c r="AF2349" s="56"/>
      <c r="AG2349" s="56"/>
      <c r="AH2349" s="56"/>
      <c r="AI2349" s="56"/>
      <c r="AJ2349" s="56"/>
      <c r="AK2349" s="56"/>
      <c r="AL2349" s="56"/>
      <c r="AM2349" s="56"/>
      <c r="AN2349" s="56"/>
    </row>
    <row r="2350" spans="1:40" x14ac:dyDescent="0.3">
      <c r="A2350" s="47">
        <f t="shared" si="548"/>
        <v>2099</v>
      </c>
      <c r="B2350" s="414" t="s">
        <v>2900</v>
      </c>
      <c r="C2350" s="51">
        <f t="shared" si="545"/>
        <v>172766.83</v>
      </c>
      <c r="D2350" s="51">
        <f t="shared" si="546"/>
        <v>0</v>
      </c>
      <c r="E2350" s="51"/>
      <c r="F2350" s="51"/>
      <c r="G2350" s="51"/>
      <c r="H2350" s="51"/>
      <c r="I2350" s="51"/>
      <c r="J2350" s="51"/>
      <c r="K2350" s="51"/>
      <c r="L2350" s="51"/>
      <c r="M2350" s="35"/>
      <c r="N2350" s="51"/>
      <c r="O2350" s="82"/>
      <c r="P2350" s="51"/>
      <c r="Q2350" s="338"/>
      <c r="R2350" s="51"/>
      <c r="S2350" s="51"/>
      <c r="T2350" s="338"/>
      <c r="U2350" s="51"/>
      <c r="V2350" s="35"/>
      <c r="W2350" s="364">
        <f t="shared" si="547"/>
        <v>172766.83</v>
      </c>
      <c r="X2350" s="285"/>
      <c r="Y2350" s="285"/>
      <c r="Z2350" s="285"/>
      <c r="AA2350" s="285"/>
      <c r="AB2350" s="9"/>
      <c r="AC2350" s="9">
        <v>172766.83</v>
      </c>
      <c r="AD2350" s="9"/>
      <c r="AE2350" s="40"/>
      <c r="AF2350" s="56"/>
      <c r="AG2350" s="56"/>
      <c r="AH2350" s="56"/>
      <c r="AI2350" s="56"/>
      <c r="AJ2350" s="56"/>
      <c r="AK2350" s="56"/>
      <c r="AL2350" s="56"/>
      <c r="AM2350" s="56"/>
      <c r="AN2350" s="56"/>
    </row>
    <row r="2351" spans="1:40" x14ac:dyDescent="0.3">
      <c r="A2351" s="47">
        <f t="shared" si="548"/>
        <v>2100</v>
      </c>
      <c r="B2351" s="414" t="s">
        <v>2901</v>
      </c>
      <c r="C2351" s="51">
        <f t="shared" si="545"/>
        <v>1390107.96</v>
      </c>
      <c r="D2351" s="51">
        <f t="shared" si="546"/>
        <v>0</v>
      </c>
      <c r="E2351" s="51"/>
      <c r="F2351" s="51"/>
      <c r="G2351" s="51"/>
      <c r="H2351" s="51"/>
      <c r="I2351" s="51"/>
      <c r="J2351" s="51"/>
      <c r="K2351" s="51"/>
      <c r="L2351" s="51"/>
      <c r="M2351" s="35"/>
      <c r="N2351" s="51"/>
      <c r="O2351" s="82"/>
      <c r="P2351" s="51"/>
      <c r="Q2351" s="338"/>
      <c r="R2351" s="51"/>
      <c r="S2351" s="51"/>
      <c r="T2351" s="338"/>
      <c r="U2351" s="51"/>
      <c r="V2351" s="35"/>
      <c r="W2351" s="364">
        <f t="shared" si="547"/>
        <v>1390107.96</v>
      </c>
      <c r="X2351" s="285"/>
      <c r="Y2351" s="285"/>
      <c r="Z2351" s="285"/>
      <c r="AA2351" s="285"/>
      <c r="AB2351" s="285"/>
      <c r="AC2351" s="9"/>
      <c r="AD2351" s="9"/>
      <c r="AE2351" s="40">
        <v>193694.8</v>
      </c>
      <c r="AF2351" s="56">
        <v>1196413.1599999999</v>
      </c>
      <c r="AG2351" s="56"/>
      <c r="AH2351" s="56"/>
      <c r="AI2351" s="56"/>
      <c r="AJ2351" s="56"/>
      <c r="AK2351" s="56"/>
      <c r="AL2351" s="56"/>
      <c r="AM2351" s="56"/>
      <c r="AN2351" s="56"/>
    </row>
    <row r="2352" spans="1:40" x14ac:dyDescent="0.3">
      <c r="A2352" s="47">
        <f t="shared" si="548"/>
        <v>2101</v>
      </c>
      <c r="B2352" s="414" t="s">
        <v>2902</v>
      </c>
      <c r="C2352" s="51">
        <f t="shared" si="545"/>
        <v>83492.44</v>
      </c>
      <c r="D2352" s="51">
        <f t="shared" si="546"/>
        <v>0</v>
      </c>
      <c r="E2352" s="51"/>
      <c r="F2352" s="51"/>
      <c r="G2352" s="51"/>
      <c r="H2352" s="51"/>
      <c r="I2352" s="51"/>
      <c r="J2352" s="51"/>
      <c r="K2352" s="51"/>
      <c r="L2352" s="51"/>
      <c r="M2352" s="35"/>
      <c r="N2352" s="51"/>
      <c r="O2352" s="82"/>
      <c r="P2352" s="51"/>
      <c r="Q2352" s="338"/>
      <c r="R2352" s="51"/>
      <c r="S2352" s="51"/>
      <c r="T2352" s="338"/>
      <c r="U2352" s="51"/>
      <c r="V2352" s="35"/>
      <c r="W2352" s="364">
        <f t="shared" si="547"/>
        <v>83492.44</v>
      </c>
      <c r="X2352" s="285"/>
      <c r="Y2352" s="285"/>
      <c r="Z2352" s="285"/>
      <c r="AA2352" s="285"/>
      <c r="AB2352" s="285"/>
      <c r="AC2352" s="9">
        <v>83492.44</v>
      </c>
      <c r="AD2352" s="9"/>
      <c r="AE2352" s="40"/>
      <c r="AF2352" s="56"/>
      <c r="AG2352" s="56"/>
      <c r="AH2352" s="56"/>
      <c r="AI2352" s="56"/>
      <c r="AJ2352" s="56"/>
      <c r="AK2352" s="56"/>
      <c r="AL2352" s="56"/>
      <c r="AM2352" s="56"/>
      <c r="AN2352" s="56"/>
    </row>
    <row r="2353" spans="1:41" x14ac:dyDescent="0.3">
      <c r="A2353" s="47">
        <f t="shared" si="548"/>
        <v>2102</v>
      </c>
      <c r="B2353" s="414" t="s">
        <v>2903</v>
      </c>
      <c r="C2353" s="51">
        <f t="shared" si="545"/>
        <v>704232.71000000008</v>
      </c>
      <c r="D2353" s="51">
        <f t="shared" si="546"/>
        <v>0</v>
      </c>
      <c r="E2353" s="51"/>
      <c r="F2353" s="51"/>
      <c r="G2353" s="51"/>
      <c r="H2353" s="51"/>
      <c r="I2353" s="51"/>
      <c r="J2353" s="51"/>
      <c r="K2353" s="51"/>
      <c r="L2353" s="51"/>
      <c r="M2353" s="35"/>
      <c r="N2353" s="51"/>
      <c r="O2353" s="82"/>
      <c r="P2353" s="51"/>
      <c r="Q2353" s="338"/>
      <c r="R2353" s="51"/>
      <c r="S2353" s="51"/>
      <c r="T2353" s="338"/>
      <c r="U2353" s="51"/>
      <c r="V2353" s="35"/>
      <c r="W2353" s="364">
        <f t="shared" si="547"/>
        <v>704232.71000000008</v>
      </c>
      <c r="X2353" s="285"/>
      <c r="Y2353" s="285"/>
      <c r="Z2353" s="9"/>
      <c r="AA2353" s="9">
        <v>118660.9</v>
      </c>
      <c r="AB2353" s="285"/>
      <c r="AC2353" s="9"/>
      <c r="AD2353" s="9"/>
      <c r="AE2353" s="40"/>
      <c r="AF2353" s="56">
        <v>585571.81000000006</v>
      </c>
      <c r="AG2353" s="56"/>
      <c r="AH2353" s="56"/>
      <c r="AI2353" s="56"/>
      <c r="AJ2353" s="56"/>
      <c r="AK2353" s="56"/>
      <c r="AL2353" s="56"/>
      <c r="AM2353" s="56"/>
      <c r="AN2353" s="56"/>
    </row>
    <row r="2354" spans="1:41" x14ac:dyDescent="0.3">
      <c r="A2354" s="47">
        <f t="shared" si="548"/>
        <v>2103</v>
      </c>
      <c r="B2354" s="414" t="s">
        <v>2904</v>
      </c>
      <c r="C2354" s="51">
        <f t="shared" si="545"/>
        <v>973554.19</v>
      </c>
      <c r="D2354" s="51">
        <f t="shared" si="546"/>
        <v>0</v>
      </c>
      <c r="E2354" s="51"/>
      <c r="F2354" s="51"/>
      <c r="G2354" s="51"/>
      <c r="H2354" s="51"/>
      <c r="I2354" s="51"/>
      <c r="J2354" s="51"/>
      <c r="K2354" s="51"/>
      <c r="L2354" s="51"/>
      <c r="M2354" s="35"/>
      <c r="N2354" s="51"/>
      <c r="O2354" s="82"/>
      <c r="P2354" s="51"/>
      <c r="Q2354" s="338"/>
      <c r="R2354" s="51"/>
      <c r="S2354" s="51"/>
      <c r="T2354" s="338"/>
      <c r="U2354" s="51"/>
      <c r="V2354" s="35"/>
      <c r="W2354" s="364">
        <f t="shared" si="547"/>
        <v>973554.19</v>
      </c>
      <c r="X2354" s="285"/>
      <c r="Y2354" s="285">
        <v>100824.16</v>
      </c>
      <c r="Z2354" s="505">
        <v>111201.22</v>
      </c>
      <c r="AA2354" s="505"/>
      <c r="AB2354" s="285">
        <v>123710.56</v>
      </c>
      <c r="AC2354" s="9">
        <v>105483.3</v>
      </c>
      <c r="AD2354" s="9"/>
      <c r="AE2354" s="40"/>
      <c r="AF2354" s="56">
        <v>532334.94999999995</v>
      </c>
      <c r="AG2354" s="56"/>
      <c r="AH2354" s="56"/>
      <c r="AI2354" s="56"/>
      <c r="AJ2354" s="56"/>
      <c r="AK2354" s="56"/>
      <c r="AL2354" s="56"/>
      <c r="AM2354" s="56"/>
      <c r="AN2354" s="56"/>
    </row>
    <row r="2355" spans="1:41" x14ac:dyDescent="0.3">
      <c r="A2355" s="47">
        <f t="shared" si="548"/>
        <v>2104</v>
      </c>
      <c r="B2355" s="414" t="s">
        <v>2905</v>
      </c>
      <c r="C2355" s="51">
        <f t="shared" si="545"/>
        <v>765472.2</v>
      </c>
      <c r="D2355" s="51">
        <f t="shared" si="546"/>
        <v>0</v>
      </c>
      <c r="E2355" s="51"/>
      <c r="F2355" s="51"/>
      <c r="G2355" s="51"/>
      <c r="H2355" s="51"/>
      <c r="I2355" s="51"/>
      <c r="J2355" s="51"/>
      <c r="K2355" s="51"/>
      <c r="L2355" s="51"/>
      <c r="M2355" s="35"/>
      <c r="N2355" s="51"/>
      <c r="O2355" s="82"/>
      <c r="P2355" s="51"/>
      <c r="Q2355" s="338"/>
      <c r="R2355" s="51"/>
      <c r="S2355" s="51"/>
      <c r="T2355" s="338"/>
      <c r="U2355" s="51"/>
      <c r="V2355" s="35"/>
      <c r="W2355" s="364">
        <f t="shared" si="547"/>
        <v>765472.2</v>
      </c>
      <c r="X2355" s="285"/>
      <c r="Y2355" s="285"/>
      <c r="Z2355" s="505">
        <v>110917.27</v>
      </c>
      <c r="AA2355" s="505"/>
      <c r="AB2355" s="285">
        <v>123419.82</v>
      </c>
      <c r="AC2355" s="9"/>
      <c r="AD2355" s="9"/>
      <c r="AE2355" s="40"/>
      <c r="AF2355" s="56">
        <v>531135.11</v>
      </c>
      <c r="AG2355" s="56"/>
      <c r="AH2355" s="56"/>
      <c r="AI2355" s="56"/>
      <c r="AJ2355" s="56"/>
      <c r="AK2355" s="56"/>
      <c r="AL2355" s="56"/>
      <c r="AM2355" s="56"/>
      <c r="AN2355" s="56"/>
    </row>
    <row r="2356" spans="1:41" x14ac:dyDescent="0.3">
      <c r="A2356" s="47">
        <f t="shared" si="548"/>
        <v>2105</v>
      </c>
      <c r="B2356" s="414" t="s">
        <v>2906</v>
      </c>
      <c r="C2356" s="51">
        <f t="shared" si="545"/>
        <v>105277.86</v>
      </c>
      <c r="D2356" s="51">
        <f t="shared" si="546"/>
        <v>0</v>
      </c>
      <c r="E2356" s="51"/>
      <c r="F2356" s="51"/>
      <c r="G2356" s="51"/>
      <c r="H2356" s="51"/>
      <c r="I2356" s="51"/>
      <c r="J2356" s="51"/>
      <c r="K2356" s="51"/>
      <c r="L2356" s="51"/>
      <c r="M2356" s="35"/>
      <c r="N2356" s="51"/>
      <c r="O2356" s="82"/>
      <c r="P2356" s="51"/>
      <c r="Q2356" s="338"/>
      <c r="R2356" s="51"/>
      <c r="S2356" s="51"/>
      <c r="T2356" s="338"/>
      <c r="U2356" s="51"/>
      <c r="V2356" s="35"/>
      <c r="W2356" s="364">
        <f t="shared" si="547"/>
        <v>105277.86</v>
      </c>
      <c r="X2356" s="285"/>
      <c r="Y2356" s="285"/>
      <c r="Z2356" s="285"/>
      <c r="AA2356" s="285"/>
      <c r="AB2356" s="285"/>
      <c r="AC2356" s="9">
        <v>105277.86</v>
      </c>
      <c r="AD2356" s="9"/>
      <c r="AE2356" s="40"/>
      <c r="AF2356" s="56"/>
      <c r="AG2356" s="56"/>
      <c r="AH2356" s="56"/>
      <c r="AI2356" s="56"/>
      <c r="AJ2356" s="56"/>
      <c r="AK2356" s="56"/>
      <c r="AL2356" s="56"/>
      <c r="AM2356" s="56"/>
      <c r="AN2356" s="56"/>
    </row>
    <row r="2357" spans="1:41" x14ac:dyDescent="0.3">
      <c r="A2357" s="47">
        <f t="shared" si="548"/>
        <v>2106</v>
      </c>
      <c r="B2357" s="414" t="s">
        <v>2907</v>
      </c>
      <c r="C2357" s="51">
        <f t="shared" si="545"/>
        <v>1080946.6399999999</v>
      </c>
      <c r="D2357" s="51">
        <f t="shared" si="546"/>
        <v>0</v>
      </c>
      <c r="E2357" s="51"/>
      <c r="F2357" s="51"/>
      <c r="G2357" s="51"/>
      <c r="H2357" s="51"/>
      <c r="I2357" s="51"/>
      <c r="J2357" s="51"/>
      <c r="K2357" s="51"/>
      <c r="L2357" s="51"/>
      <c r="M2357" s="35"/>
      <c r="N2357" s="51"/>
      <c r="O2357" s="82"/>
      <c r="P2357" s="51"/>
      <c r="Q2357" s="338"/>
      <c r="R2357" s="51"/>
      <c r="S2357" s="51"/>
      <c r="T2357" s="338"/>
      <c r="U2357" s="51"/>
      <c r="V2357" s="35"/>
      <c r="W2357" s="364">
        <f t="shared" si="547"/>
        <v>1080946.6399999999</v>
      </c>
      <c r="X2357" s="285"/>
      <c r="Y2357" s="285"/>
      <c r="Z2357" s="285"/>
      <c r="AA2357" s="285"/>
      <c r="AB2357" s="285"/>
      <c r="AC2357" s="9">
        <v>110645.86</v>
      </c>
      <c r="AD2357" s="9"/>
      <c r="AE2357" s="40">
        <v>213959.33</v>
      </c>
      <c r="AF2357" s="56">
        <v>756341.45</v>
      </c>
      <c r="AG2357" s="56"/>
      <c r="AH2357" s="56"/>
      <c r="AI2357" s="56"/>
      <c r="AJ2357" s="56"/>
      <c r="AK2357" s="56"/>
      <c r="AL2357" s="56"/>
      <c r="AM2357" s="56"/>
      <c r="AN2357" s="56"/>
    </row>
    <row r="2358" spans="1:41" x14ac:dyDescent="0.3">
      <c r="A2358" s="439" t="s">
        <v>211</v>
      </c>
      <c r="B2358" s="399"/>
      <c r="C2358" s="51">
        <f t="shared" ref="C2358:W2358" si="549">SUM(C2348:C2357)</f>
        <v>5702424.54</v>
      </c>
      <c r="D2358" s="51">
        <f t="shared" si="549"/>
        <v>0</v>
      </c>
      <c r="E2358" s="51">
        <f t="shared" si="549"/>
        <v>0</v>
      </c>
      <c r="F2358" s="51">
        <f t="shared" si="549"/>
        <v>0</v>
      </c>
      <c r="G2358" s="51">
        <f t="shared" si="549"/>
        <v>0</v>
      </c>
      <c r="H2358" s="51">
        <f t="shared" si="549"/>
        <v>0</v>
      </c>
      <c r="I2358" s="51">
        <f t="shared" si="549"/>
        <v>0</v>
      </c>
      <c r="J2358" s="51">
        <f t="shared" si="549"/>
        <v>0</v>
      </c>
      <c r="K2358" s="51">
        <f t="shared" si="549"/>
        <v>0</v>
      </c>
      <c r="L2358" s="51">
        <f t="shared" si="549"/>
        <v>0</v>
      </c>
      <c r="M2358" s="35">
        <f t="shared" si="549"/>
        <v>0</v>
      </c>
      <c r="N2358" s="51">
        <f t="shared" si="549"/>
        <v>0</v>
      </c>
      <c r="O2358" s="82">
        <f t="shared" si="549"/>
        <v>0</v>
      </c>
      <c r="P2358" s="51">
        <f t="shared" si="549"/>
        <v>0</v>
      </c>
      <c r="Q2358" s="338">
        <f t="shared" si="549"/>
        <v>0</v>
      </c>
      <c r="R2358" s="51">
        <f t="shared" si="549"/>
        <v>0</v>
      </c>
      <c r="S2358" s="51">
        <f t="shared" si="549"/>
        <v>0</v>
      </c>
      <c r="T2358" s="338">
        <f t="shared" si="549"/>
        <v>0</v>
      </c>
      <c r="U2358" s="51">
        <f t="shared" si="549"/>
        <v>0</v>
      </c>
      <c r="V2358" s="35">
        <f t="shared" si="549"/>
        <v>0</v>
      </c>
      <c r="W2358" s="51">
        <f t="shared" si="549"/>
        <v>5702424.54</v>
      </c>
      <c r="X2358" s="285"/>
      <c r="Y2358" s="285"/>
      <c r="Z2358" s="285"/>
      <c r="AA2358" s="285"/>
      <c r="AB2358" s="285"/>
      <c r="AC2358" s="9"/>
      <c r="AD2358" s="9"/>
      <c r="AE2358" s="40"/>
      <c r="AF2358" s="56"/>
      <c r="AG2358" s="56"/>
      <c r="AH2358" s="56"/>
      <c r="AI2358" s="56"/>
      <c r="AJ2358" s="56"/>
      <c r="AK2358" s="56"/>
      <c r="AL2358" s="56"/>
      <c r="AM2358" s="56"/>
      <c r="AN2358" s="56"/>
    </row>
    <row r="2359" spans="1:41" x14ac:dyDescent="0.3">
      <c r="A2359" s="435" t="s">
        <v>2908</v>
      </c>
      <c r="B2359" s="363"/>
      <c r="C2359" s="51"/>
      <c r="D2359" s="51"/>
      <c r="E2359" s="51"/>
      <c r="F2359" s="51"/>
      <c r="G2359" s="51"/>
      <c r="H2359" s="51"/>
      <c r="I2359" s="51"/>
      <c r="J2359" s="51"/>
      <c r="K2359" s="51"/>
      <c r="L2359" s="51"/>
      <c r="M2359" s="35"/>
      <c r="N2359" s="51"/>
      <c r="O2359" s="82"/>
      <c r="P2359" s="51"/>
      <c r="Q2359" s="338"/>
      <c r="R2359" s="51"/>
      <c r="S2359" s="51"/>
      <c r="T2359" s="338"/>
      <c r="U2359" s="51"/>
      <c r="V2359" s="35"/>
      <c r="W2359" s="364"/>
      <c r="X2359" s="285"/>
      <c r="Y2359" s="285"/>
      <c r="Z2359" s="285"/>
      <c r="AA2359" s="285"/>
      <c r="AB2359" s="285"/>
      <c r="AC2359" s="9"/>
      <c r="AD2359" s="9"/>
      <c r="AE2359" s="40"/>
      <c r="AF2359" s="56"/>
      <c r="AG2359" s="56"/>
      <c r="AH2359" s="56"/>
      <c r="AI2359" s="56"/>
      <c r="AJ2359" s="56"/>
      <c r="AK2359" s="56"/>
      <c r="AL2359" s="56"/>
      <c r="AM2359" s="56"/>
      <c r="AN2359" s="56"/>
    </row>
    <row r="2360" spans="1:41" x14ac:dyDescent="0.3">
      <c r="A2360" s="47">
        <f>A2357+1</f>
        <v>2107</v>
      </c>
      <c r="B2360" s="414" t="s">
        <v>2922</v>
      </c>
      <c r="C2360" s="51">
        <f t="shared" ref="C2360:C2391" si="550">D2360+K2360+L2360+N2360+P2360+R2360+S2360+U2360+V2360+W2360</f>
        <v>105222</v>
      </c>
      <c r="D2360" s="51">
        <f>E2360+F2360+G2360+H2360+I2360</f>
        <v>0</v>
      </c>
      <c r="E2360" s="51"/>
      <c r="F2360" s="51"/>
      <c r="G2360" s="51"/>
      <c r="H2360" s="51"/>
      <c r="I2360" s="51"/>
      <c r="J2360" s="51"/>
      <c r="K2360" s="51"/>
      <c r="L2360" s="51"/>
      <c r="M2360" s="35">
        <v>13</v>
      </c>
      <c r="N2360" s="51">
        <f>M2360*8094</f>
        <v>105222</v>
      </c>
      <c r="O2360" s="82"/>
      <c r="P2360" s="51"/>
      <c r="Q2360" s="338"/>
      <c r="R2360" s="51"/>
      <c r="S2360" s="51"/>
      <c r="T2360" s="338"/>
      <c r="U2360" s="51"/>
      <c r="V2360" s="35"/>
      <c r="W2360" s="364"/>
      <c r="X2360" s="285"/>
      <c r="Y2360" s="285"/>
      <c r="Z2360" s="285"/>
      <c r="AA2360" s="285"/>
      <c r="AB2360" s="285"/>
      <c r="AC2360" s="9"/>
      <c r="AD2360" s="9">
        <v>495935.56</v>
      </c>
      <c r="AE2360" s="40"/>
      <c r="AF2360" s="56"/>
      <c r="AG2360" s="56"/>
      <c r="AH2360" s="56"/>
      <c r="AI2360" s="56"/>
      <c r="AJ2360" s="56"/>
      <c r="AK2360" s="56"/>
      <c r="AL2360" s="56"/>
      <c r="AM2360" s="56"/>
      <c r="AN2360" s="56"/>
      <c r="AO2360" s="56"/>
    </row>
    <row r="2361" spans="1:41" x14ac:dyDescent="0.3">
      <c r="A2361" s="47">
        <f t="shared" ref="A2361:A2364" si="551">A2360+1</f>
        <v>2108</v>
      </c>
      <c r="B2361" s="414" t="s">
        <v>2909</v>
      </c>
      <c r="C2361" s="51">
        <f t="shared" si="550"/>
        <v>242223.89</v>
      </c>
      <c r="D2361" s="51">
        <f t="shared" ref="D2361:D2367" si="552">E2361+F2361+G2361+H2361+I2361</f>
        <v>0</v>
      </c>
      <c r="E2361" s="51"/>
      <c r="F2361" s="51"/>
      <c r="G2361" s="51"/>
      <c r="H2361" s="51"/>
      <c r="I2361" s="51"/>
      <c r="J2361" s="51"/>
      <c r="K2361" s="51"/>
      <c r="L2361" s="51"/>
      <c r="M2361" s="35"/>
      <c r="N2361" s="51"/>
      <c r="O2361" s="82"/>
      <c r="P2361" s="51"/>
      <c r="Q2361" s="338"/>
      <c r="R2361" s="51"/>
      <c r="S2361" s="51"/>
      <c r="T2361" s="338"/>
      <c r="U2361" s="51"/>
      <c r="V2361" s="35"/>
      <c r="W2361" s="364">
        <f t="shared" ref="W2361:W2367" si="553">SUM(Y2361:AI2361)</f>
        <v>242223.89</v>
      </c>
      <c r="X2361" s="285"/>
      <c r="Y2361" s="285"/>
      <c r="Z2361" s="285"/>
      <c r="AA2361" s="285"/>
      <c r="AB2361" s="285"/>
      <c r="AC2361" s="9">
        <v>82319.89</v>
      </c>
      <c r="AD2361" s="9">
        <v>159904</v>
      </c>
      <c r="AE2361" s="40"/>
      <c r="AF2361" s="56"/>
      <c r="AG2361" s="56"/>
      <c r="AH2361" s="56"/>
      <c r="AI2361" s="56"/>
      <c r="AJ2361" s="56"/>
      <c r="AK2361" s="56"/>
      <c r="AL2361" s="56"/>
      <c r="AM2361" s="56"/>
      <c r="AN2361" s="56"/>
    </row>
    <row r="2362" spans="1:41" x14ac:dyDescent="0.3">
      <c r="A2362" s="47">
        <f t="shared" si="551"/>
        <v>2109</v>
      </c>
      <c r="B2362" s="414" t="s">
        <v>2910</v>
      </c>
      <c r="C2362" s="51">
        <f t="shared" si="550"/>
        <v>711464.3899999999</v>
      </c>
      <c r="D2362" s="51">
        <f t="shared" si="552"/>
        <v>0</v>
      </c>
      <c r="E2362" s="51"/>
      <c r="F2362" s="51"/>
      <c r="G2362" s="51"/>
      <c r="H2362" s="51"/>
      <c r="I2362" s="51"/>
      <c r="J2362" s="51"/>
      <c r="K2362" s="51"/>
      <c r="L2362" s="51"/>
      <c r="M2362" s="35"/>
      <c r="N2362" s="51"/>
      <c r="O2362" s="82"/>
      <c r="P2362" s="51"/>
      <c r="Q2362" s="338"/>
      <c r="R2362" s="51"/>
      <c r="S2362" s="51"/>
      <c r="T2362" s="338"/>
      <c r="U2362" s="51"/>
      <c r="V2362" s="35"/>
      <c r="W2362" s="364">
        <f t="shared" si="553"/>
        <v>711464.3899999999</v>
      </c>
      <c r="X2362" s="285"/>
      <c r="Y2362" s="285"/>
      <c r="Z2362" s="285"/>
      <c r="AA2362" s="285"/>
      <c r="AB2362" s="285"/>
      <c r="AC2362" s="9">
        <v>92072.78</v>
      </c>
      <c r="AD2362" s="9">
        <v>175265.44</v>
      </c>
      <c r="AE2362" s="40"/>
      <c r="AF2362" s="56">
        <v>444126.17</v>
      </c>
      <c r="AG2362" s="56"/>
      <c r="AH2362" s="56"/>
      <c r="AI2362" s="56"/>
      <c r="AJ2362" s="56"/>
      <c r="AK2362" s="56"/>
      <c r="AL2362" s="56"/>
      <c r="AM2362" s="56"/>
      <c r="AN2362" s="56">
        <v>129.21</v>
      </c>
    </row>
    <row r="2363" spans="1:41" x14ac:dyDescent="0.3">
      <c r="A2363" s="47">
        <f t="shared" si="551"/>
        <v>2110</v>
      </c>
      <c r="B2363" s="414" t="s">
        <v>2911</v>
      </c>
      <c r="C2363" s="51">
        <f t="shared" si="550"/>
        <v>748552.12</v>
      </c>
      <c r="D2363" s="51">
        <f t="shared" si="552"/>
        <v>0</v>
      </c>
      <c r="E2363" s="51"/>
      <c r="F2363" s="51"/>
      <c r="G2363" s="51"/>
      <c r="H2363" s="51"/>
      <c r="I2363" s="51"/>
      <c r="J2363" s="51"/>
      <c r="K2363" s="51"/>
      <c r="L2363" s="51"/>
      <c r="M2363" s="35"/>
      <c r="N2363" s="51"/>
      <c r="O2363" s="82"/>
      <c r="P2363" s="51"/>
      <c r="Q2363" s="338"/>
      <c r="R2363" s="51"/>
      <c r="S2363" s="51"/>
      <c r="T2363" s="338"/>
      <c r="U2363" s="51"/>
      <c r="V2363" s="35"/>
      <c r="W2363" s="364">
        <f t="shared" si="553"/>
        <v>748552.12</v>
      </c>
      <c r="X2363" s="285"/>
      <c r="Y2363" s="285"/>
      <c r="Z2363" s="285"/>
      <c r="AA2363" s="285"/>
      <c r="AB2363" s="285"/>
      <c r="AC2363" s="9">
        <v>97858.82</v>
      </c>
      <c r="AD2363" s="9">
        <v>184378.81</v>
      </c>
      <c r="AE2363" s="40"/>
      <c r="AF2363" s="56">
        <v>466314.49</v>
      </c>
      <c r="AG2363" s="56"/>
      <c r="AH2363" s="56"/>
      <c r="AI2363" s="56"/>
      <c r="AJ2363" s="56"/>
      <c r="AK2363" s="56"/>
      <c r="AL2363" s="56"/>
      <c r="AM2363" s="56"/>
      <c r="AN2363" s="56">
        <v>136.80000000000001</v>
      </c>
    </row>
    <row r="2364" spans="1:41" x14ac:dyDescent="0.3">
      <c r="A2364" s="47">
        <f t="shared" si="551"/>
        <v>2111</v>
      </c>
      <c r="B2364" s="414" t="s">
        <v>2912</v>
      </c>
      <c r="C2364" s="51">
        <f t="shared" si="550"/>
        <v>278789.32</v>
      </c>
      <c r="D2364" s="51">
        <f t="shared" si="552"/>
        <v>0</v>
      </c>
      <c r="E2364" s="51"/>
      <c r="F2364" s="51"/>
      <c r="G2364" s="51"/>
      <c r="H2364" s="51"/>
      <c r="I2364" s="51"/>
      <c r="J2364" s="51"/>
      <c r="K2364" s="51"/>
      <c r="L2364" s="51"/>
      <c r="M2364" s="35"/>
      <c r="N2364" s="51"/>
      <c r="O2364" s="82"/>
      <c r="P2364" s="51"/>
      <c r="Q2364" s="338"/>
      <c r="R2364" s="51"/>
      <c r="S2364" s="51"/>
      <c r="T2364" s="338"/>
      <c r="U2364" s="51"/>
      <c r="V2364" s="35"/>
      <c r="W2364" s="364">
        <f t="shared" si="553"/>
        <v>278789.32</v>
      </c>
      <c r="X2364" s="285"/>
      <c r="Y2364" s="285"/>
      <c r="Z2364" s="285"/>
      <c r="AA2364" s="285"/>
      <c r="AB2364" s="285"/>
      <c r="AC2364" s="9">
        <v>96519.71</v>
      </c>
      <c r="AD2364" s="9">
        <v>182269.61</v>
      </c>
      <c r="AE2364" s="40"/>
      <c r="AF2364" s="56"/>
      <c r="AG2364" s="56"/>
      <c r="AH2364" s="56"/>
      <c r="AI2364" s="56"/>
      <c r="AJ2364" s="56"/>
      <c r="AK2364" s="56"/>
      <c r="AL2364" s="56"/>
      <c r="AM2364" s="56"/>
      <c r="AN2364" s="56"/>
    </row>
    <row r="2365" spans="1:41" x14ac:dyDescent="0.3">
      <c r="A2365" s="47">
        <f t="shared" ref="A2365:A2367" si="554">A2364+1</f>
        <v>2112</v>
      </c>
      <c r="B2365" s="414" t="s">
        <v>2913</v>
      </c>
      <c r="C2365" s="51">
        <f t="shared" si="550"/>
        <v>609238.25</v>
      </c>
      <c r="D2365" s="51">
        <f t="shared" si="552"/>
        <v>0</v>
      </c>
      <c r="E2365" s="51"/>
      <c r="F2365" s="51"/>
      <c r="G2365" s="51"/>
      <c r="H2365" s="51"/>
      <c r="I2365" s="51"/>
      <c r="J2365" s="51"/>
      <c r="K2365" s="51"/>
      <c r="L2365" s="51"/>
      <c r="M2365" s="35"/>
      <c r="N2365" s="51"/>
      <c r="O2365" s="82"/>
      <c r="P2365" s="51"/>
      <c r="Q2365" s="338"/>
      <c r="R2365" s="51"/>
      <c r="S2365" s="51"/>
      <c r="T2365" s="338"/>
      <c r="U2365" s="51"/>
      <c r="V2365" s="35"/>
      <c r="W2365" s="364">
        <f t="shared" si="553"/>
        <v>609238.25</v>
      </c>
      <c r="X2365" s="285"/>
      <c r="Y2365" s="285"/>
      <c r="Z2365" s="285"/>
      <c r="AA2365" s="285"/>
      <c r="AB2365" s="285"/>
      <c r="AC2365" s="9">
        <v>76124.539999999994</v>
      </c>
      <c r="AD2365" s="9">
        <v>150145.93</v>
      </c>
      <c r="AE2365" s="40"/>
      <c r="AF2365" s="56">
        <v>382967.78</v>
      </c>
      <c r="AG2365" s="56"/>
      <c r="AH2365" s="56"/>
      <c r="AI2365" s="56"/>
      <c r="AJ2365" s="56"/>
      <c r="AK2365" s="56"/>
      <c r="AL2365" s="56"/>
      <c r="AM2365" s="56"/>
      <c r="AN2365" s="56">
        <v>132.75</v>
      </c>
    </row>
    <row r="2366" spans="1:41" x14ac:dyDescent="0.3">
      <c r="A2366" s="47">
        <f t="shared" si="554"/>
        <v>2113</v>
      </c>
      <c r="B2366" s="414" t="s">
        <v>2914</v>
      </c>
      <c r="C2366" s="51">
        <f t="shared" si="550"/>
        <v>365928.24</v>
      </c>
      <c r="D2366" s="51">
        <f t="shared" si="552"/>
        <v>0</v>
      </c>
      <c r="E2366" s="51"/>
      <c r="F2366" s="51"/>
      <c r="G2366" s="51"/>
      <c r="H2366" s="51"/>
      <c r="I2366" s="51"/>
      <c r="J2366" s="51"/>
      <c r="K2366" s="51"/>
      <c r="L2366" s="51"/>
      <c r="M2366" s="35"/>
      <c r="N2366" s="51"/>
      <c r="O2366" s="82"/>
      <c r="P2366" s="51"/>
      <c r="Q2366" s="338"/>
      <c r="R2366" s="51"/>
      <c r="S2366" s="51"/>
      <c r="T2366" s="338"/>
      <c r="U2366" s="51"/>
      <c r="V2366" s="35"/>
      <c r="W2366" s="364">
        <f t="shared" si="553"/>
        <v>365928.24</v>
      </c>
      <c r="X2366" s="285"/>
      <c r="Y2366" s="285">
        <v>106352.3</v>
      </c>
      <c r="Z2366" s="285"/>
      <c r="AA2366" s="285">
        <v>116780.94</v>
      </c>
      <c r="AB2366" s="285">
        <v>142795</v>
      </c>
      <c r="AC2366" s="9"/>
      <c r="AD2366" s="9"/>
      <c r="AE2366" s="40"/>
      <c r="AF2366" s="56"/>
      <c r="AG2366" s="56"/>
      <c r="AH2366" s="56"/>
      <c r="AI2366" s="56"/>
      <c r="AJ2366" s="56"/>
      <c r="AK2366" s="56"/>
      <c r="AL2366" s="56"/>
      <c r="AM2366" s="56"/>
      <c r="AN2366" s="56"/>
    </row>
    <row r="2367" spans="1:41" x14ac:dyDescent="0.3">
      <c r="A2367" s="47">
        <f t="shared" si="554"/>
        <v>2114</v>
      </c>
      <c r="B2367" s="414" t="s">
        <v>2915</v>
      </c>
      <c r="C2367" s="51">
        <f t="shared" si="550"/>
        <v>673673.48</v>
      </c>
      <c r="D2367" s="51">
        <f t="shared" si="552"/>
        <v>0</v>
      </c>
      <c r="E2367" s="51"/>
      <c r="F2367" s="51"/>
      <c r="G2367" s="51"/>
      <c r="H2367" s="51"/>
      <c r="I2367" s="51"/>
      <c r="J2367" s="51"/>
      <c r="K2367" s="51"/>
      <c r="L2367" s="51"/>
      <c r="M2367" s="35"/>
      <c r="N2367" s="51"/>
      <c r="O2367" s="82"/>
      <c r="P2367" s="51"/>
      <c r="Q2367" s="338"/>
      <c r="R2367" s="51"/>
      <c r="S2367" s="51"/>
      <c r="T2367" s="338"/>
      <c r="U2367" s="51"/>
      <c r="V2367" s="35"/>
      <c r="W2367" s="364">
        <f t="shared" si="553"/>
        <v>673673.48</v>
      </c>
      <c r="X2367" s="285"/>
      <c r="Y2367" s="285">
        <v>108230.2</v>
      </c>
      <c r="Z2367" s="285"/>
      <c r="AA2367" s="285"/>
      <c r="AB2367" s="285"/>
      <c r="AC2367" s="9"/>
      <c r="AD2367" s="9"/>
      <c r="AE2367" s="40"/>
      <c r="AF2367" s="56">
        <v>565443.28</v>
      </c>
      <c r="AG2367" s="56"/>
      <c r="AH2367" s="56"/>
      <c r="AI2367" s="56"/>
      <c r="AJ2367" s="56"/>
      <c r="AK2367" s="56"/>
      <c r="AL2367" s="56"/>
      <c r="AM2367" s="56"/>
      <c r="AN2367" s="56"/>
    </row>
    <row r="2368" spans="1:41" x14ac:dyDescent="0.3">
      <c r="A2368" s="47">
        <f t="shared" ref="A2368:A2400" si="555">A2367+1</f>
        <v>2115</v>
      </c>
      <c r="B2368" s="414" t="s">
        <v>3917</v>
      </c>
      <c r="C2368" s="51">
        <f t="shared" si="550"/>
        <v>105222</v>
      </c>
      <c r="D2368" s="51">
        <f t="shared" ref="D2368:D2382" si="556">E2368+F2368+G2368+H2368+I2368</f>
        <v>0</v>
      </c>
      <c r="E2368" s="51"/>
      <c r="F2368" s="51"/>
      <c r="G2368" s="51"/>
      <c r="H2368" s="51"/>
      <c r="I2368" s="51"/>
      <c r="J2368" s="51"/>
      <c r="K2368" s="51"/>
      <c r="L2368" s="51"/>
      <c r="M2368" s="35">
        <v>13</v>
      </c>
      <c r="N2368" s="51">
        <f>M2368*8094</f>
        <v>105222</v>
      </c>
      <c r="O2368" s="82"/>
      <c r="P2368" s="51"/>
      <c r="Q2368" s="338"/>
      <c r="R2368" s="51"/>
      <c r="S2368" s="51"/>
      <c r="T2368" s="338"/>
      <c r="U2368" s="51"/>
      <c r="V2368" s="35"/>
      <c r="W2368" s="364"/>
      <c r="X2368" s="285"/>
      <c r="Y2368" s="285"/>
      <c r="Z2368" s="285"/>
      <c r="AA2368" s="285"/>
      <c r="AB2368" s="285"/>
      <c r="AC2368" s="9"/>
      <c r="AD2368" s="9"/>
      <c r="AE2368" s="40"/>
      <c r="AF2368" s="56"/>
      <c r="AG2368" s="56"/>
      <c r="AH2368" s="56"/>
      <c r="AI2368" s="56"/>
      <c r="AJ2368" s="56"/>
      <c r="AK2368" s="56"/>
      <c r="AL2368" s="56"/>
      <c r="AM2368" s="56"/>
      <c r="AN2368" s="56"/>
    </row>
    <row r="2369" spans="1:41" x14ac:dyDescent="0.3">
      <c r="A2369" s="47">
        <f t="shared" si="555"/>
        <v>2116</v>
      </c>
      <c r="B2369" s="414" t="s">
        <v>2916</v>
      </c>
      <c r="C2369" s="51">
        <f t="shared" si="550"/>
        <v>549169.19000000006</v>
      </c>
      <c r="D2369" s="51">
        <f t="shared" si="556"/>
        <v>0</v>
      </c>
      <c r="E2369" s="51"/>
      <c r="F2369" s="51"/>
      <c r="G2369" s="51"/>
      <c r="H2369" s="51"/>
      <c r="I2369" s="51"/>
      <c r="J2369" s="51"/>
      <c r="K2369" s="51"/>
      <c r="L2369" s="51"/>
      <c r="M2369" s="35"/>
      <c r="N2369" s="51"/>
      <c r="O2369" s="82"/>
      <c r="P2369" s="51"/>
      <c r="Q2369" s="338"/>
      <c r="R2369" s="51"/>
      <c r="S2369" s="51"/>
      <c r="T2369" s="338"/>
      <c r="U2369" s="51"/>
      <c r="V2369" s="35"/>
      <c r="W2369" s="364">
        <f>SUM(Y2369:AI2369)</f>
        <v>549169.19000000006</v>
      </c>
      <c r="X2369" s="285"/>
      <c r="Y2369" s="285"/>
      <c r="Z2369" s="285"/>
      <c r="AA2369" s="285"/>
      <c r="AB2369" s="285"/>
      <c r="AC2369" s="9"/>
      <c r="AD2369" s="9">
        <v>148681.42000000001</v>
      </c>
      <c r="AE2369" s="40"/>
      <c r="AF2369" s="56">
        <v>400487.77</v>
      </c>
      <c r="AG2369" s="56"/>
      <c r="AH2369" s="56"/>
      <c r="AI2369" s="56"/>
      <c r="AJ2369" s="56"/>
      <c r="AK2369" s="56"/>
      <c r="AL2369" s="56"/>
      <c r="AM2369" s="56"/>
      <c r="AN2369" s="56"/>
    </row>
    <row r="2370" spans="1:41" x14ac:dyDescent="0.3">
      <c r="A2370" s="47">
        <f t="shared" si="555"/>
        <v>2117</v>
      </c>
      <c r="B2370" s="414" t="s">
        <v>2917</v>
      </c>
      <c r="C2370" s="51">
        <f t="shared" si="550"/>
        <v>549169.19000000006</v>
      </c>
      <c r="D2370" s="51">
        <f t="shared" si="556"/>
        <v>0</v>
      </c>
      <c r="E2370" s="51"/>
      <c r="F2370" s="51"/>
      <c r="G2370" s="51"/>
      <c r="H2370" s="51"/>
      <c r="I2370" s="51"/>
      <c r="J2370" s="51"/>
      <c r="K2370" s="51"/>
      <c r="L2370" s="51"/>
      <c r="M2370" s="35"/>
      <c r="N2370" s="51"/>
      <c r="O2370" s="82"/>
      <c r="P2370" s="51"/>
      <c r="Q2370" s="338"/>
      <c r="R2370" s="51"/>
      <c r="S2370" s="51"/>
      <c r="T2370" s="338"/>
      <c r="U2370" s="51"/>
      <c r="V2370" s="35"/>
      <c r="W2370" s="364">
        <f>SUM(Y2370:AI2370)</f>
        <v>549169.19000000006</v>
      </c>
      <c r="X2370" s="285"/>
      <c r="Y2370" s="285"/>
      <c r="Z2370" s="285"/>
      <c r="AA2370" s="285"/>
      <c r="AB2370" s="285"/>
      <c r="AC2370" s="9"/>
      <c r="AD2370" s="9">
        <v>148681.42000000001</v>
      </c>
      <c r="AE2370" s="40"/>
      <c r="AF2370" s="56">
        <v>400487.77</v>
      </c>
      <c r="AG2370" s="56"/>
      <c r="AH2370" s="56"/>
      <c r="AI2370" s="56"/>
      <c r="AJ2370" s="56"/>
      <c r="AK2370" s="56"/>
      <c r="AL2370" s="56"/>
      <c r="AM2370" s="56"/>
      <c r="AN2370" s="56"/>
    </row>
    <row r="2371" spans="1:41" x14ac:dyDescent="0.3">
      <c r="A2371" s="47">
        <f t="shared" si="555"/>
        <v>2118</v>
      </c>
      <c r="B2371" s="414" t="s">
        <v>2918</v>
      </c>
      <c r="C2371" s="51">
        <f t="shared" si="550"/>
        <v>548318.76</v>
      </c>
      <c r="D2371" s="51">
        <f t="shared" si="556"/>
        <v>0</v>
      </c>
      <c r="E2371" s="51"/>
      <c r="F2371" s="51"/>
      <c r="G2371" s="51"/>
      <c r="H2371" s="51"/>
      <c r="I2371" s="51"/>
      <c r="J2371" s="51"/>
      <c r="K2371" s="51"/>
      <c r="L2371" s="51"/>
      <c r="M2371" s="35"/>
      <c r="N2371" s="51"/>
      <c r="O2371" s="82"/>
      <c r="P2371" s="51"/>
      <c r="Q2371" s="338"/>
      <c r="R2371" s="51"/>
      <c r="S2371" s="51"/>
      <c r="T2371" s="338"/>
      <c r="U2371" s="51"/>
      <c r="V2371" s="35"/>
      <c r="W2371" s="364">
        <f>SUM(Y2371:AI2371)</f>
        <v>548318.76</v>
      </c>
      <c r="X2371" s="285"/>
      <c r="Y2371" s="285"/>
      <c r="Z2371" s="285"/>
      <c r="AA2371" s="285"/>
      <c r="AB2371" s="285"/>
      <c r="AC2371" s="9"/>
      <c r="AD2371" s="9">
        <v>148442.64000000001</v>
      </c>
      <c r="AE2371" s="40"/>
      <c r="AF2371" s="56">
        <v>399876.12</v>
      </c>
      <c r="AG2371" s="56"/>
      <c r="AH2371" s="56"/>
      <c r="AI2371" s="56"/>
      <c r="AJ2371" s="56"/>
      <c r="AK2371" s="56"/>
      <c r="AL2371" s="56"/>
      <c r="AM2371" s="56"/>
      <c r="AN2371" s="56"/>
    </row>
    <row r="2372" spans="1:41" x14ac:dyDescent="0.3">
      <c r="A2372" s="47">
        <f t="shared" si="555"/>
        <v>2119</v>
      </c>
      <c r="B2372" s="414" t="s">
        <v>2919</v>
      </c>
      <c r="C2372" s="51">
        <f t="shared" si="550"/>
        <v>549169.19000000006</v>
      </c>
      <c r="D2372" s="51">
        <f t="shared" si="556"/>
        <v>0</v>
      </c>
      <c r="E2372" s="51"/>
      <c r="F2372" s="51"/>
      <c r="G2372" s="51"/>
      <c r="H2372" s="51"/>
      <c r="I2372" s="51"/>
      <c r="J2372" s="51"/>
      <c r="K2372" s="51"/>
      <c r="L2372" s="51"/>
      <c r="M2372" s="35"/>
      <c r="N2372" s="51"/>
      <c r="O2372" s="82"/>
      <c r="P2372" s="51"/>
      <c r="Q2372" s="338"/>
      <c r="R2372" s="51"/>
      <c r="S2372" s="51"/>
      <c r="T2372" s="338"/>
      <c r="U2372" s="51"/>
      <c r="V2372" s="35"/>
      <c r="W2372" s="364">
        <f>SUM(Y2372:AI2372)</f>
        <v>549169.19000000006</v>
      </c>
      <c r="X2372" s="285"/>
      <c r="Y2372" s="285"/>
      <c r="Z2372" s="285"/>
      <c r="AA2372" s="285"/>
      <c r="AB2372" s="285"/>
      <c r="AC2372" s="9"/>
      <c r="AD2372" s="9">
        <v>148681.42000000001</v>
      </c>
      <c r="AE2372" s="40"/>
      <c r="AF2372" s="56">
        <v>400487.77</v>
      </c>
      <c r="AG2372" s="56"/>
      <c r="AH2372" s="56"/>
      <c r="AI2372" s="56"/>
      <c r="AJ2372" s="56"/>
      <c r="AK2372" s="56"/>
      <c r="AL2372" s="56"/>
      <c r="AM2372" s="56"/>
      <c r="AN2372" s="56"/>
    </row>
    <row r="2373" spans="1:41" x14ac:dyDescent="0.3">
      <c r="A2373" s="47">
        <f t="shared" si="555"/>
        <v>2120</v>
      </c>
      <c r="B2373" s="414" t="s">
        <v>2920</v>
      </c>
      <c r="C2373" s="51">
        <f t="shared" si="550"/>
        <v>130000</v>
      </c>
      <c r="D2373" s="51">
        <f t="shared" si="556"/>
        <v>0</v>
      </c>
      <c r="E2373" s="51"/>
      <c r="F2373" s="51"/>
      <c r="G2373" s="51"/>
      <c r="H2373" s="51"/>
      <c r="I2373" s="51"/>
      <c r="J2373" s="51"/>
      <c r="K2373" s="51"/>
      <c r="L2373" s="51"/>
      <c r="M2373" s="35"/>
      <c r="N2373" s="51"/>
      <c r="O2373" s="82"/>
      <c r="P2373" s="51"/>
      <c r="Q2373" s="338"/>
      <c r="R2373" s="51"/>
      <c r="S2373" s="51"/>
      <c r="T2373" s="338"/>
      <c r="U2373" s="51"/>
      <c r="V2373" s="35"/>
      <c r="W2373" s="364">
        <v>130000</v>
      </c>
      <c r="X2373" s="285"/>
      <c r="Y2373" s="285"/>
      <c r="Z2373" s="285"/>
      <c r="AA2373" s="285"/>
      <c r="AB2373" s="285"/>
      <c r="AC2373" s="9"/>
      <c r="AD2373" s="9"/>
      <c r="AE2373" s="40"/>
      <c r="AF2373" s="56"/>
      <c r="AG2373" s="56"/>
      <c r="AH2373" s="56"/>
      <c r="AI2373" s="56"/>
      <c r="AJ2373" s="56"/>
      <c r="AK2373" s="56"/>
      <c r="AL2373" s="56"/>
      <c r="AM2373" s="56"/>
      <c r="AN2373" s="56"/>
    </row>
    <row r="2374" spans="1:41" x14ac:dyDescent="0.3">
      <c r="A2374" s="47">
        <f t="shared" si="555"/>
        <v>2121</v>
      </c>
      <c r="B2374" s="414" t="s">
        <v>2921</v>
      </c>
      <c r="C2374" s="51">
        <f t="shared" si="550"/>
        <v>105271.66</v>
      </c>
      <c r="D2374" s="51">
        <f t="shared" si="556"/>
        <v>0</v>
      </c>
      <c r="E2374" s="51"/>
      <c r="F2374" s="51"/>
      <c r="G2374" s="51"/>
      <c r="H2374" s="51"/>
      <c r="I2374" s="51"/>
      <c r="J2374" s="51"/>
      <c r="K2374" s="51"/>
      <c r="L2374" s="51"/>
      <c r="M2374" s="35"/>
      <c r="N2374" s="51"/>
      <c r="O2374" s="82"/>
      <c r="P2374" s="51"/>
      <c r="Q2374" s="338"/>
      <c r="R2374" s="51"/>
      <c r="S2374" s="51"/>
      <c r="T2374" s="338"/>
      <c r="U2374" s="51"/>
      <c r="V2374" s="35"/>
      <c r="W2374" s="364">
        <f t="shared" ref="W2374:W2379" si="557">SUM(Y2374:AI2374)</f>
        <v>105271.66</v>
      </c>
      <c r="X2374" s="285"/>
      <c r="Y2374" s="285">
        <v>105271.66</v>
      </c>
      <c r="Z2374" s="285"/>
      <c r="AA2374" s="285"/>
      <c r="AB2374" s="285"/>
      <c r="AC2374" s="9"/>
      <c r="AD2374" s="9"/>
      <c r="AE2374" s="40"/>
      <c r="AF2374" s="56"/>
      <c r="AG2374" s="56"/>
      <c r="AH2374" s="56"/>
      <c r="AI2374" s="56"/>
      <c r="AJ2374" s="56"/>
      <c r="AK2374" s="56"/>
      <c r="AL2374" s="56"/>
      <c r="AM2374" s="56"/>
      <c r="AN2374" s="56"/>
    </row>
    <row r="2375" spans="1:41" x14ac:dyDescent="0.3">
      <c r="A2375" s="47">
        <f t="shared" si="555"/>
        <v>2122</v>
      </c>
      <c r="B2375" s="414" t="s">
        <v>2922</v>
      </c>
      <c r="C2375" s="51">
        <f t="shared" si="550"/>
        <v>495935.56</v>
      </c>
      <c r="D2375" s="51">
        <f t="shared" si="556"/>
        <v>0</v>
      </c>
      <c r="E2375" s="51"/>
      <c r="F2375" s="51"/>
      <c r="G2375" s="51"/>
      <c r="H2375" s="51"/>
      <c r="I2375" s="51"/>
      <c r="J2375" s="51"/>
      <c r="K2375" s="51"/>
      <c r="L2375" s="51"/>
      <c r="M2375" s="35"/>
      <c r="N2375" s="51"/>
      <c r="O2375" s="82"/>
      <c r="P2375" s="51"/>
      <c r="Q2375" s="338"/>
      <c r="R2375" s="51"/>
      <c r="S2375" s="51"/>
      <c r="T2375" s="338"/>
      <c r="U2375" s="51"/>
      <c r="V2375" s="35"/>
      <c r="W2375" s="364">
        <f t="shared" si="557"/>
        <v>495935.56</v>
      </c>
      <c r="X2375" s="285"/>
      <c r="Y2375" s="285"/>
      <c r="Z2375" s="285"/>
      <c r="AA2375" s="285"/>
      <c r="AB2375" s="285"/>
      <c r="AC2375" s="9"/>
      <c r="AD2375" s="9">
        <v>495935.56</v>
      </c>
      <c r="AE2375" s="40"/>
      <c r="AF2375" s="56"/>
      <c r="AG2375" s="56"/>
      <c r="AH2375" s="56"/>
      <c r="AI2375" s="56"/>
      <c r="AJ2375" s="56"/>
      <c r="AK2375" s="56"/>
      <c r="AL2375" s="56"/>
      <c r="AM2375" s="56"/>
      <c r="AN2375" s="56"/>
    </row>
    <row r="2376" spans="1:41" x14ac:dyDescent="0.3">
      <c r="A2376" s="47">
        <f t="shared" si="555"/>
        <v>2123</v>
      </c>
      <c r="B2376" s="414" t="s">
        <v>2923</v>
      </c>
      <c r="C2376" s="51">
        <f t="shared" si="550"/>
        <v>756961.27</v>
      </c>
      <c r="D2376" s="51">
        <f t="shared" si="556"/>
        <v>0</v>
      </c>
      <c r="E2376" s="51"/>
      <c r="F2376" s="51"/>
      <c r="G2376" s="51"/>
      <c r="H2376" s="51"/>
      <c r="I2376" s="51"/>
      <c r="J2376" s="51"/>
      <c r="K2376" s="51"/>
      <c r="L2376" s="51"/>
      <c r="M2376" s="35"/>
      <c r="N2376" s="51"/>
      <c r="O2376" s="82"/>
      <c r="P2376" s="51"/>
      <c r="Q2376" s="338"/>
      <c r="R2376" s="51"/>
      <c r="S2376" s="51"/>
      <c r="T2376" s="338"/>
      <c r="U2376" s="51"/>
      <c r="V2376" s="35"/>
      <c r="W2376" s="364">
        <f t="shared" si="557"/>
        <v>756961.27</v>
      </c>
      <c r="X2376" s="285"/>
      <c r="Y2376" s="285"/>
      <c r="Z2376" s="285"/>
      <c r="AA2376" s="285"/>
      <c r="AB2376" s="285"/>
      <c r="AC2376" s="9"/>
      <c r="AD2376" s="9">
        <v>207022.98</v>
      </c>
      <c r="AE2376" s="40"/>
      <c r="AF2376" s="56">
        <v>549938.29</v>
      </c>
      <c r="AG2376" s="56"/>
      <c r="AH2376" s="56"/>
      <c r="AI2376" s="56"/>
      <c r="AJ2376" s="56"/>
      <c r="AK2376" s="56"/>
      <c r="AL2376" s="56"/>
      <c r="AM2376" s="56"/>
      <c r="AN2376" s="56"/>
    </row>
    <row r="2377" spans="1:41" x14ac:dyDescent="0.3">
      <c r="A2377" s="47">
        <f t="shared" si="555"/>
        <v>2124</v>
      </c>
      <c r="B2377" s="414" t="s">
        <v>2924</v>
      </c>
      <c r="C2377" s="51">
        <f t="shared" si="550"/>
        <v>783892.03</v>
      </c>
      <c r="D2377" s="51">
        <f t="shared" si="556"/>
        <v>0</v>
      </c>
      <c r="E2377" s="51"/>
      <c r="F2377" s="51"/>
      <c r="G2377" s="51"/>
      <c r="H2377" s="51"/>
      <c r="I2377" s="51"/>
      <c r="J2377" s="51"/>
      <c r="K2377" s="51"/>
      <c r="L2377" s="51"/>
      <c r="M2377" s="35"/>
      <c r="N2377" s="51"/>
      <c r="O2377" s="82"/>
      <c r="P2377" s="51"/>
      <c r="Q2377" s="338"/>
      <c r="R2377" s="51"/>
      <c r="S2377" s="51"/>
      <c r="T2377" s="338"/>
      <c r="U2377" s="51"/>
      <c r="V2377" s="35"/>
      <c r="W2377" s="364">
        <f t="shared" si="557"/>
        <v>783892.03</v>
      </c>
      <c r="X2377" s="285"/>
      <c r="Y2377" s="285"/>
      <c r="Z2377" s="285"/>
      <c r="AA2377" s="285"/>
      <c r="AB2377" s="285"/>
      <c r="AC2377" s="9"/>
      <c r="AD2377" s="9">
        <v>214584.3</v>
      </c>
      <c r="AE2377" s="40"/>
      <c r="AF2377" s="56">
        <v>569307.73</v>
      </c>
      <c r="AG2377" s="56"/>
      <c r="AH2377" s="56"/>
      <c r="AI2377" s="56"/>
      <c r="AJ2377" s="56"/>
      <c r="AK2377" s="56"/>
      <c r="AL2377" s="56"/>
      <c r="AM2377" s="56"/>
      <c r="AN2377" s="56"/>
    </row>
    <row r="2378" spans="1:41" x14ac:dyDescent="0.3">
      <c r="A2378" s="47">
        <f t="shared" si="555"/>
        <v>2125</v>
      </c>
      <c r="B2378" s="414" t="s">
        <v>2925</v>
      </c>
      <c r="C2378" s="51">
        <f t="shared" si="550"/>
        <v>219816.46000000002</v>
      </c>
      <c r="D2378" s="51">
        <f t="shared" si="556"/>
        <v>0</v>
      </c>
      <c r="E2378" s="51"/>
      <c r="F2378" s="51"/>
      <c r="G2378" s="51"/>
      <c r="H2378" s="51"/>
      <c r="I2378" s="51"/>
      <c r="J2378" s="51"/>
      <c r="K2378" s="51"/>
      <c r="L2378" s="51"/>
      <c r="M2378" s="35"/>
      <c r="N2378" s="51"/>
      <c r="O2378" s="82"/>
      <c r="P2378" s="51"/>
      <c r="Q2378" s="338"/>
      <c r="R2378" s="51"/>
      <c r="S2378" s="51"/>
      <c r="T2378" s="338"/>
      <c r="U2378" s="51"/>
      <c r="V2378" s="35"/>
      <c r="W2378" s="364">
        <f t="shared" si="557"/>
        <v>219816.46000000002</v>
      </c>
      <c r="X2378" s="285"/>
      <c r="Y2378" s="285">
        <v>105228.88</v>
      </c>
      <c r="Z2378" s="285">
        <v>114587.58</v>
      </c>
      <c r="AA2378" s="285"/>
      <c r="AB2378" s="285"/>
      <c r="AC2378" s="9"/>
      <c r="AD2378" s="9"/>
      <c r="AE2378" s="40"/>
      <c r="AF2378" s="56"/>
      <c r="AG2378" s="56"/>
      <c r="AH2378" s="56"/>
      <c r="AI2378" s="56"/>
      <c r="AJ2378" s="56"/>
      <c r="AK2378" s="56"/>
      <c r="AL2378" s="56"/>
      <c r="AM2378" s="56"/>
      <c r="AN2378" s="56"/>
    </row>
    <row r="2379" spans="1:41" x14ac:dyDescent="0.3">
      <c r="A2379" s="47">
        <f t="shared" si="555"/>
        <v>2126</v>
      </c>
      <c r="B2379" s="414" t="s">
        <v>2926</v>
      </c>
      <c r="C2379" s="51">
        <f t="shared" si="550"/>
        <v>231370.32</v>
      </c>
      <c r="D2379" s="51">
        <f t="shared" si="556"/>
        <v>0</v>
      </c>
      <c r="E2379" s="51"/>
      <c r="F2379" s="51"/>
      <c r="G2379" s="51"/>
      <c r="H2379" s="51"/>
      <c r="I2379" s="51"/>
      <c r="J2379" s="51"/>
      <c r="K2379" s="51"/>
      <c r="L2379" s="51"/>
      <c r="M2379" s="35"/>
      <c r="N2379" s="51"/>
      <c r="O2379" s="82"/>
      <c r="P2379" s="51"/>
      <c r="Q2379" s="338"/>
      <c r="R2379" s="51"/>
      <c r="S2379" s="51"/>
      <c r="T2379" s="338"/>
      <c r="U2379" s="51"/>
      <c r="V2379" s="35"/>
      <c r="W2379" s="364">
        <f t="shared" si="557"/>
        <v>231370.32</v>
      </c>
      <c r="X2379" s="285"/>
      <c r="Y2379" s="285"/>
      <c r="Z2379" s="285"/>
      <c r="AA2379" s="285"/>
      <c r="AB2379" s="285"/>
      <c r="AC2379" s="9">
        <v>231370.32</v>
      </c>
      <c r="AD2379" s="9"/>
      <c r="AE2379" s="40"/>
      <c r="AF2379" s="56"/>
      <c r="AG2379" s="56"/>
      <c r="AH2379" s="56"/>
      <c r="AI2379" s="56"/>
      <c r="AJ2379" s="56"/>
      <c r="AK2379" s="56"/>
      <c r="AL2379" s="56"/>
      <c r="AM2379" s="56"/>
      <c r="AN2379" s="56"/>
    </row>
    <row r="2380" spans="1:41" x14ac:dyDescent="0.3">
      <c r="A2380" s="47">
        <f t="shared" si="555"/>
        <v>2127</v>
      </c>
      <c r="B2380" s="414" t="s">
        <v>2927</v>
      </c>
      <c r="C2380" s="51">
        <f t="shared" si="550"/>
        <v>130000</v>
      </c>
      <c r="D2380" s="51">
        <f t="shared" si="556"/>
        <v>0</v>
      </c>
      <c r="E2380" s="51"/>
      <c r="F2380" s="51"/>
      <c r="G2380" s="51"/>
      <c r="H2380" s="51"/>
      <c r="I2380" s="51"/>
      <c r="J2380" s="51"/>
      <c r="K2380" s="51"/>
      <c r="L2380" s="51"/>
      <c r="M2380" s="35"/>
      <c r="N2380" s="51"/>
      <c r="O2380" s="82"/>
      <c r="P2380" s="51"/>
      <c r="Q2380" s="338"/>
      <c r="R2380" s="51"/>
      <c r="S2380" s="51"/>
      <c r="T2380" s="338"/>
      <c r="U2380" s="51"/>
      <c r="V2380" s="35"/>
      <c r="W2380" s="364">
        <v>130000</v>
      </c>
      <c r="X2380" s="285"/>
      <c r="Y2380" s="285"/>
      <c r="Z2380" s="285"/>
      <c r="AA2380" s="285"/>
      <c r="AB2380" s="285"/>
      <c r="AC2380" s="9"/>
      <c r="AD2380" s="9"/>
      <c r="AE2380" s="40"/>
      <c r="AF2380" s="56"/>
      <c r="AG2380" s="56"/>
      <c r="AH2380" s="56"/>
      <c r="AI2380" s="56"/>
      <c r="AJ2380" s="56"/>
      <c r="AK2380" s="56"/>
      <c r="AL2380" s="56"/>
      <c r="AM2380" s="56"/>
      <c r="AN2380" s="56"/>
    </row>
    <row r="2381" spans="1:41" x14ac:dyDescent="0.3">
      <c r="A2381" s="47">
        <f t="shared" si="555"/>
        <v>2128</v>
      </c>
      <c r="B2381" s="414" t="s">
        <v>2928</v>
      </c>
      <c r="C2381" s="51">
        <f t="shared" si="550"/>
        <v>199232.96</v>
      </c>
      <c r="D2381" s="51">
        <f t="shared" si="556"/>
        <v>0</v>
      </c>
      <c r="E2381" s="51"/>
      <c r="F2381" s="51"/>
      <c r="G2381" s="51"/>
      <c r="H2381" s="51"/>
      <c r="I2381" s="51"/>
      <c r="J2381" s="51"/>
      <c r="K2381" s="51"/>
      <c r="L2381" s="51"/>
      <c r="M2381" s="35"/>
      <c r="N2381" s="51"/>
      <c r="O2381" s="82"/>
      <c r="P2381" s="51"/>
      <c r="Q2381" s="338"/>
      <c r="R2381" s="51"/>
      <c r="S2381" s="51"/>
      <c r="T2381" s="338"/>
      <c r="U2381" s="51"/>
      <c r="V2381" s="35"/>
      <c r="W2381" s="364">
        <f>SUM(Y2381:AI2381)</f>
        <v>199232.96</v>
      </c>
      <c r="X2381" s="285"/>
      <c r="Y2381" s="285"/>
      <c r="Z2381" s="285"/>
      <c r="AA2381" s="285"/>
      <c r="AB2381" s="285"/>
      <c r="AC2381" s="9">
        <v>199232.96</v>
      </c>
      <c r="AD2381" s="9"/>
      <c r="AE2381" s="40"/>
      <c r="AF2381" s="56"/>
      <c r="AG2381" s="56"/>
      <c r="AH2381" s="56"/>
      <c r="AI2381" s="56"/>
      <c r="AJ2381" s="56"/>
      <c r="AK2381" s="56"/>
      <c r="AL2381" s="56"/>
      <c r="AM2381" s="56"/>
      <c r="AN2381" s="56"/>
    </row>
    <row r="2382" spans="1:41" x14ac:dyDescent="0.3">
      <c r="A2382" s="47">
        <f t="shared" si="555"/>
        <v>2129</v>
      </c>
      <c r="B2382" s="414" t="s">
        <v>2929</v>
      </c>
      <c r="C2382" s="51">
        <f t="shared" si="550"/>
        <v>1753898.83</v>
      </c>
      <c r="D2382" s="51">
        <f t="shared" si="556"/>
        <v>393267</v>
      </c>
      <c r="E2382" s="51">
        <f>13*2688+358323</f>
        <v>393267</v>
      </c>
      <c r="F2382" s="51"/>
      <c r="G2382" s="51"/>
      <c r="H2382" s="51"/>
      <c r="I2382" s="51"/>
      <c r="J2382" s="51"/>
      <c r="K2382" s="51"/>
      <c r="L2382" s="51"/>
      <c r="M2382" s="35"/>
      <c r="N2382" s="51"/>
      <c r="O2382" s="82"/>
      <c r="P2382" s="51"/>
      <c r="Q2382" s="338"/>
      <c r="R2382" s="51"/>
      <c r="S2382" s="51"/>
      <c r="T2382" s="338"/>
      <c r="U2382" s="51"/>
      <c r="V2382" s="35"/>
      <c r="W2382" s="364">
        <f>SUM(Y2382:AI2382)</f>
        <v>1360631.83</v>
      </c>
      <c r="X2382" s="285"/>
      <c r="Y2382" s="285"/>
      <c r="Z2382" s="285"/>
      <c r="AA2382" s="285"/>
      <c r="AB2382" s="285"/>
      <c r="AC2382" s="9">
        <v>200617.22</v>
      </c>
      <c r="AD2382" s="9"/>
      <c r="AE2382" s="40"/>
      <c r="AF2382" s="56">
        <v>1160014.6100000001</v>
      </c>
      <c r="AG2382" s="56"/>
      <c r="AH2382" s="56"/>
      <c r="AI2382" s="56"/>
      <c r="AJ2382" s="56"/>
      <c r="AK2382" s="56"/>
      <c r="AL2382" s="56"/>
      <c r="AM2382" s="56"/>
      <c r="AN2382" s="56"/>
    </row>
    <row r="2383" spans="1:41" x14ac:dyDescent="0.3">
      <c r="A2383" s="47">
        <f t="shared" si="555"/>
        <v>2130</v>
      </c>
      <c r="B2383" s="414" t="s">
        <v>2930</v>
      </c>
      <c r="C2383" s="51">
        <f t="shared" si="550"/>
        <v>105222</v>
      </c>
      <c r="D2383" s="51">
        <f>E2383+F2383+G2383+H2383+I2383</f>
        <v>0</v>
      </c>
      <c r="E2383" s="51"/>
      <c r="F2383" s="51"/>
      <c r="G2383" s="51"/>
      <c r="H2383" s="51"/>
      <c r="I2383" s="51"/>
      <c r="J2383" s="51"/>
      <c r="K2383" s="51"/>
      <c r="L2383" s="51"/>
      <c r="M2383" s="35">
        <v>13</v>
      </c>
      <c r="N2383" s="51">
        <f>M2383*8094</f>
        <v>105222</v>
      </c>
      <c r="O2383" s="82"/>
      <c r="P2383" s="51"/>
      <c r="Q2383" s="338"/>
      <c r="R2383" s="51"/>
      <c r="S2383" s="51"/>
      <c r="T2383" s="338"/>
      <c r="U2383" s="51"/>
      <c r="V2383" s="35"/>
      <c r="W2383" s="364"/>
      <c r="X2383" s="285"/>
      <c r="Y2383" s="285"/>
      <c r="Z2383" s="285"/>
      <c r="AA2383" s="285"/>
      <c r="AB2383" s="285"/>
      <c r="AC2383" s="9"/>
      <c r="AD2383" s="9"/>
      <c r="AE2383" s="40"/>
      <c r="AF2383" s="56"/>
      <c r="AG2383" s="56"/>
      <c r="AH2383" s="56"/>
      <c r="AI2383" s="56"/>
      <c r="AJ2383" s="56"/>
      <c r="AK2383" s="56"/>
      <c r="AL2383" s="56"/>
      <c r="AM2383" s="56"/>
      <c r="AN2383" s="56">
        <v>245</v>
      </c>
      <c r="AO2383" s="56"/>
    </row>
    <row r="2384" spans="1:41" x14ac:dyDescent="0.3">
      <c r="A2384" s="47">
        <f t="shared" si="555"/>
        <v>2131</v>
      </c>
      <c r="B2384" s="414" t="s">
        <v>2931</v>
      </c>
      <c r="C2384" s="51">
        <f t="shared" si="550"/>
        <v>105222</v>
      </c>
      <c r="D2384" s="51">
        <f>E2384+F2384+G2384+H2384+I2384</f>
        <v>0</v>
      </c>
      <c r="E2384" s="51"/>
      <c r="F2384" s="51"/>
      <c r="G2384" s="51"/>
      <c r="H2384" s="51"/>
      <c r="I2384" s="51"/>
      <c r="J2384" s="51"/>
      <c r="K2384" s="51"/>
      <c r="L2384" s="51"/>
      <c r="M2384" s="35">
        <v>13</v>
      </c>
      <c r="N2384" s="51">
        <f>M2384*8094</f>
        <v>105222</v>
      </c>
      <c r="O2384" s="82"/>
      <c r="P2384" s="51"/>
      <c r="Q2384" s="338"/>
      <c r="R2384" s="51"/>
      <c r="S2384" s="51"/>
      <c r="T2384" s="338"/>
      <c r="U2384" s="51"/>
      <c r="V2384" s="35"/>
      <c r="W2384" s="364"/>
      <c r="X2384" s="285"/>
      <c r="Y2384" s="285"/>
      <c r="Z2384" s="285"/>
      <c r="AA2384" s="285"/>
      <c r="AB2384" s="285"/>
      <c r="AC2384" s="9"/>
      <c r="AD2384" s="9"/>
      <c r="AE2384" s="40"/>
      <c r="AF2384" s="56"/>
      <c r="AG2384" s="56"/>
      <c r="AH2384" s="56"/>
      <c r="AI2384" s="56"/>
      <c r="AJ2384" s="56"/>
      <c r="AK2384" s="56"/>
      <c r="AL2384" s="56"/>
      <c r="AM2384" s="56"/>
      <c r="AN2384" s="56">
        <v>239.98</v>
      </c>
      <c r="AO2384" s="56"/>
    </row>
    <row r="2385" spans="1:41" x14ac:dyDescent="0.3">
      <c r="A2385" s="47">
        <f t="shared" si="555"/>
        <v>2132</v>
      </c>
      <c r="B2385" s="414" t="s">
        <v>2942</v>
      </c>
      <c r="C2385" s="51">
        <f t="shared" si="550"/>
        <v>343629</v>
      </c>
      <c r="D2385" s="51">
        <f>E2385+F2385+G2385+H2385+I2385</f>
        <v>0</v>
      </c>
      <c r="E2385" s="51"/>
      <c r="F2385" s="51"/>
      <c r="G2385" s="51"/>
      <c r="H2385" s="51"/>
      <c r="I2385" s="51"/>
      <c r="J2385" s="51"/>
      <c r="K2385" s="51"/>
      <c r="L2385" s="51"/>
      <c r="M2385" s="35"/>
      <c r="N2385" s="51"/>
      <c r="O2385" s="82">
        <v>13</v>
      </c>
      <c r="P2385" s="51">
        <f t="shared" ref="P2385" si="558">O2385*26433</f>
        <v>343629</v>
      </c>
      <c r="Q2385" s="338"/>
      <c r="R2385" s="51"/>
      <c r="S2385" s="51"/>
      <c r="T2385" s="338"/>
      <c r="U2385" s="51"/>
      <c r="V2385" s="35"/>
      <c r="W2385" s="364"/>
      <c r="X2385" s="285"/>
      <c r="Y2385" s="285"/>
      <c r="Z2385" s="505">
        <v>122951.76</v>
      </c>
      <c r="AA2385" s="505"/>
      <c r="AB2385" s="285">
        <v>142388.29999999999</v>
      </c>
      <c r="AC2385" s="9"/>
      <c r="AD2385" s="9"/>
      <c r="AE2385" s="40"/>
      <c r="AF2385" s="56"/>
      <c r="AG2385" s="56"/>
      <c r="AH2385" s="56"/>
      <c r="AI2385" s="56"/>
      <c r="AJ2385" s="56"/>
      <c r="AK2385" s="56"/>
      <c r="AL2385" s="56"/>
      <c r="AM2385" s="56"/>
      <c r="AN2385" s="56"/>
      <c r="AO2385" s="56"/>
    </row>
    <row r="2386" spans="1:41" x14ac:dyDescent="0.3">
      <c r="A2386" s="47">
        <f t="shared" si="555"/>
        <v>2133</v>
      </c>
      <c r="B2386" s="414" t="s">
        <v>2932</v>
      </c>
      <c r="C2386" s="51">
        <f t="shared" si="550"/>
        <v>130000</v>
      </c>
      <c r="D2386" s="51">
        <f t="shared" ref="D2386:D2449" si="559">E2386+F2386+G2386+H2386+I2386</f>
        <v>0</v>
      </c>
      <c r="E2386" s="51"/>
      <c r="F2386" s="51"/>
      <c r="G2386" s="51"/>
      <c r="H2386" s="51"/>
      <c r="I2386" s="51"/>
      <c r="J2386" s="51"/>
      <c r="K2386" s="51"/>
      <c r="L2386" s="51"/>
      <c r="M2386" s="35"/>
      <c r="N2386" s="51"/>
      <c r="O2386" s="82"/>
      <c r="P2386" s="51"/>
      <c r="Q2386" s="338"/>
      <c r="R2386" s="51"/>
      <c r="S2386" s="51"/>
      <c r="T2386" s="338"/>
      <c r="U2386" s="51"/>
      <c r="V2386" s="35"/>
      <c r="W2386" s="364">
        <v>130000</v>
      </c>
      <c r="X2386" s="285"/>
      <c r="Y2386" s="285"/>
      <c r="Z2386" s="285"/>
      <c r="AA2386" s="285"/>
      <c r="AB2386" s="285"/>
      <c r="AC2386" s="9"/>
      <c r="AD2386" s="9"/>
      <c r="AE2386" s="40"/>
      <c r="AF2386" s="56"/>
      <c r="AG2386" s="56"/>
      <c r="AH2386" s="56"/>
      <c r="AI2386" s="56"/>
      <c r="AJ2386" s="56"/>
      <c r="AK2386" s="56"/>
      <c r="AL2386" s="56"/>
      <c r="AM2386" s="56"/>
      <c r="AN2386" s="56"/>
    </row>
    <row r="2387" spans="1:41" x14ac:dyDescent="0.3">
      <c r="A2387" s="47">
        <f t="shared" si="555"/>
        <v>2134</v>
      </c>
      <c r="B2387" s="414" t="s">
        <v>2933</v>
      </c>
      <c r="C2387" s="51">
        <f t="shared" si="550"/>
        <v>773686.67999999993</v>
      </c>
      <c r="D2387" s="51">
        <f t="shared" si="559"/>
        <v>0</v>
      </c>
      <c r="E2387" s="51"/>
      <c r="F2387" s="51"/>
      <c r="G2387" s="51"/>
      <c r="H2387" s="51"/>
      <c r="I2387" s="51"/>
      <c r="J2387" s="51"/>
      <c r="K2387" s="51"/>
      <c r="L2387" s="51"/>
      <c r="M2387" s="35"/>
      <c r="N2387" s="51"/>
      <c r="O2387" s="82"/>
      <c r="P2387" s="51"/>
      <c r="Q2387" s="338"/>
      <c r="R2387" s="51"/>
      <c r="S2387" s="51"/>
      <c r="T2387" s="338"/>
      <c r="U2387" s="51"/>
      <c r="V2387" s="35"/>
      <c r="W2387" s="364">
        <f>SUM(Y2387:AI2387)</f>
        <v>773686.67999999993</v>
      </c>
      <c r="X2387" s="285"/>
      <c r="Y2387" s="285"/>
      <c r="Z2387" s="285"/>
      <c r="AA2387" s="285"/>
      <c r="AB2387" s="285"/>
      <c r="AC2387" s="9"/>
      <c r="AD2387" s="9">
        <v>211718.95</v>
      </c>
      <c r="AE2387" s="40"/>
      <c r="AF2387" s="56">
        <v>561967.73</v>
      </c>
      <c r="AG2387" s="56"/>
      <c r="AH2387" s="56"/>
      <c r="AI2387" s="56"/>
      <c r="AJ2387" s="56"/>
      <c r="AK2387" s="56"/>
      <c r="AL2387" s="56"/>
      <c r="AM2387" s="56"/>
      <c r="AN2387" s="56"/>
    </row>
    <row r="2388" spans="1:41" x14ac:dyDescent="0.3">
      <c r="A2388" s="47">
        <f t="shared" si="555"/>
        <v>2135</v>
      </c>
      <c r="B2388" s="414" t="s">
        <v>2934</v>
      </c>
      <c r="C2388" s="51">
        <f t="shared" si="550"/>
        <v>747021.96</v>
      </c>
      <c r="D2388" s="51">
        <f t="shared" si="559"/>
        <v>0</v>
      </c>
      <c r="E2388" s="51"/>
      <c r="F2388" s="51"/>
      <c r="G2388" s="51"/>
      <c r="H2388" s="51"/>
      <c r="I2388" s="51"/>
      <c r="J2388" s="51"/>
      <c r="K2388" s="51"/>
      <c r="L2388" s="51"/>
      <c r="M2388" s="35"/>
      <c r="N2388" s="51"/>
      <c r="O2388" s="82"/>
      <c r="P2388" s="51"/>
      <c r="Q2388" s="338"/>
      <c r="R2388" s="51"/>
      <c r="S2388" s="51"/>
      <c r="T2388" s="338"/>
      <c r="U2388" s="51"/>
      <c r="V2388" s="35"/>
      <c r="W2388" s="364">
        <f>SUM(Y2388:AI2388)</f>
        <v>747021.96</v>
      </c>
      <c r="X2388" s="285"/>
      <c r="Y2388" s="285"/>
      <c r="Z2388" s="285"/>
      <c r="AA2388" s="285"/>
      <c r="AB2388" s="285"/>
      <c r="AC2388" s="9"/>
      <c r="AD2388" s="9">
        <v>204117.83</v>
      </c>
      <c r="AE2388" s="40"/>
      <c r="AF2388" s="56">
        <v>542904.13</v>
      </c>
      <c r="AG2388" s="56"/>
      <c r="AH2388" s="56"/>
      <c r="AI2388" s="56"/>
      <c r="AJ2388" s="56"/>
      <c r="AK2388" s="56"/>
      <c r="AL2388" s="56"/>
      <c r="AM2388" s="56"/>
      <c r="AN2388" s="56"/>
    </row>
    <row r="2389" spans="1:41" x14ac:dyDescent="0.3">
      <c r="A2389" s="47">
        <f t="shared" si="555"/>
        <v>2136</v>
      </c>
      <c r="B2389" s="414" t="s">
        <v>2935</v>
      </c>
      <c r="C2389" s="51">
        <f t="shared" si="550"/>
        <v>172146.61</v>
      </c>
      <c r="D2389" s="51">
        <f t="shared" si="559"/>
        <v>0</v>
      </c>
      <c r="E2389" s="51"/>
      <c r="F2389" s="51"/>
      <c r="G2389" s="51"/>
      <c r="H2389" s="51"/>
      <c r="I2389" s="51"/>
      <c r="J2389" s="51"/>
      <c r="K2389" s="51"/>
      <c r="L2389" s="51"/>
      <c r="M2389" s="35"/>
      <c r="N2389" s="51"/>
      <c r="O2389" s="82"/>
      <c r="P2389" s="51"/>
      <c r="Q2389" s="338"/>
      <c r="R2389" s="51"/>
      <c r="S2389" s="51"/>
      <c r="T2389" s="338"/>
      <c r="U2389" s="51"/>
      <c r="V2389" s="35"/>
      <c r="W2389" s="364">
        <f>SUM(Y2389:AI2389)</f>
        <v>172146.61</v>
      </c>
      <c r="X2389" s="285"/>
      <c r="Y2389" s="285"/>
      <c r="Z2389" s="285"/>
      <c r="AA2389" s="285"/>
      <c r="AB2389" s="285"/>
      <c r="AC2389" s="9"/>
      <c r="AD2389" s="9">
        <v>172146.61</v>
      </c>
      <c r="AE2389" s="40"/>
      <c r="AF2389" s="56"/>
      <c r="AG2389" s="56"/>
      <c r="AH2389" s="56"/>
      <c r="AI2389" s="56"/>
      <c r="AJ2389" s="56"/>
      <c r="AK2389" s="56"/>
      <c r="AL2389" s="56"/>
      <c r="AM2389" s="56"/>
      <c r="AN2389" s="56"/>
    </row>
    <row r="2390" spans="1:41" x14ac:dyDescent="0.3">
      <c r="A2390" s="47">
        <f t="shared" si="555"/>
        <v>2137</v>
      </c>
      <c r="B2390" s="414" t="s">
        <v>2936</v>
      </c>
      <c r="C2390" s="51">
        <f t="shared" si="550"/>
        <v>778834.57</v>
      </c>
      <c r="D2390" s="51">
        <f t="shared" si="559"/>
        <v>0</v>
      </c>
      <c r="E2390" s="51"/>
      <c r="F2390" s="51"/>
      <c r="G2390" s="51"/>
      <c r="H2390" s="51"/>
      <c r="I2390" s="51"/>
      <c r="J2390" s="51"/>
      <c r="K2390" s="51"/>
      <c r="L2390" s="51"/>
      <c r="M2390" s="35"/>
      <c r="N2390" s="51"/>
      <c r="O2390" s="82"/>
      <c r="P2390" s="51"/>
      <c r="Q2390" s="338"/>
      <c r="R2390" s="51"/>
      <c r="S2390" s="51"/>
      <c r="T2390" s="338"/>
      <c r="U2390" s="51"/>
      <c r="V2390" s="35"/>
      <c r="W2390" s="364">
        <f>SUM(Y2390:AI2390)</f>
        <v>778834.57</v>
      </c>
      <c r="X2390" s="285"/>
      <c r="Y2390" s="285"/>
      <c r="Z2390" s="285"/>
      <c r="AA2390" s="285"/>
      <c r="AB2390" s="285"/>
      <c r="AC2390" s="9"/>
      <c r="AD2390" s="9">
        <v>212513.71</v>
      </c>
      <c r="AE2390" s="40"/>
      <c r="AF2390" s="56">
        <v>566320.86</v>
      </c>
      <c r="AG2390" s="56"/>
      <c r="AH2390" s="56"/>
      <c r="AI2390" s="56"/>
      <c r="AJ2390" s="56"/>
      <c r="AK2390" s="56"/>
      <c r="AL2390" s="56"/>
      <c r="AM2390" s="56"/>
      <c r="AN2390" s="56"/>
    </row>
    <row r="2391" spans="1:41" x14ac:dyDescent="0.3">
      <c r="A2391" s="47">
        <f t="shared" si="555"/>
        <v>2138</v>
      </c>
      <c r="B2391" s="414" t="s">
        <v>2937</v>
      </c>
      <c r="C2391" s="51">
        <f t="shared" si="550"/>
        <v>196712.69</v>
      </c>
      <c r="D2391" s="51">
        <f t="shared" si="559"/>
        <v>0</v>
      </c>
      <c r="E2391" s="51"/>
      <c r="F2391" s="51"/>
      <c r="G2391" s="51"/>
      <c r="H2391" s="51"/>
      <c r="I2391" s="51"/>
      <c r="J2391" s="51"/>
      <c r="K2391" s="51"/>
      <c r="L2391" s="51"/>
      <c r="M2391" s="35"/>
      <c r="N2391" s="51"/>
      <c r="O2391" s="82"/>
      <c r="P2391" s="51"/>
      <c r="Q2391" s="338"/>
      <c r="R2391" s="51"/>
      <c r="S2391" s="51"/>
      <c r="T2391" s="338"/>
      <c r="U2391" s="51"/>
      <c r="V2391" s="35"/>
      <c r="W2391" s="364">
        <f>SUM(Y2391:AI2391)</f>
        <v>196712.69</v>
      </c>
      <c r="X2391" s="285"/>
      <c r="Y2391" s="285"/>
      <c r="Z2391" s="285"/>
      <c r="AA2391" s="285"/>
      <c r="AB2391" s="285"/>
      <c r="AC2391" s="9"/>
      <c r="AD2391" s="9">
        <v>196712.69</v>
      </c>
      <c r="AE2391" s="40"/>
      <c r="AF2391" s="56"/>
      <c r="AG2391" s="56"/>
      <c r="AH2391" s="56"/>
      <c r="AI2391" s="56"/>
      <c r="AJ2391" s="56"/>
      <c r="AK2391" s="56"/>
      <c r="AL2391" s="56"/>
      <c r="AM2391" s="56"/>
      <c r="AN2391" s="56"/>
    </row>
    <row r="2392" spans="1:41" x14ac:dyDescent="0.3">
      <c r="A2392" s="47">
        <f t="shared" si="555"/>
        <v>2139</v>
      </c>
      <c r="B2392" s="414" t="s">
        <v>2939</v>
      </c>
      <c r="C2392" s="51">
        <f t="shared" ref="C2392:C2423" si="560">D2392+K2392+L2392+N2392+P2392+R2392+S2392+U2392+V2392+W2392</f>
        <v>130000</v>
      </c>
      <c r="D2392" s="51">
        <f t="shared" si="559"/>
        <v>0</v>
      </c>
      <c r="E2392" s="51"/>
      <c r="F2392" s="51"/>
      <c r="G2392" s="51"/>
      <c r="H2392" s="51"/>
      <c r="I2392" s="51"/>
      <c r="J2392" s="51"/>
      <c r="K2392" s="51"/>
      <c r="L2392" s="51"/>
      <c r="M2392" s="35"/>
      <c r="N2392" s="51"/>
      <c r="O2392" s="82"/>
      <c r="P2392" s="51"/>
      <c r="Q2392" s="338"/>
      <c r="R2392" s="51"/>
      <c r="S2392" s="51"/>
      <c r="T2392" s="338"/>
      <c r="U2392" s="51"/>
      <c r="V2392" s="35"/>
      <c r="W2392" s="364">
        <v>130000</v>
      </c>
      <c r="X2392" s="285"/>
      <c r="Y2392" s="285"/>
      <c r="Z2392" s="285"/>
      <c r="AA2392" s="285"/>
      <c r="AB2392" s="285"/>
      <c r="AC2392" s="9"/>
      <c r="AD2392" s="9"/>
      <c r="AE2392" s="40"/>
      <c r="AF2392" s="56"/>
      <c r="AG2392" s="56"/>
      <c r="AH2392" s="56"/>
      <c r="AI2392" s="56"/>
      <c r="AJ2392" s="56"/>
      <c r="AK2392" s="56"/>
      <c r="AL2392" s="56"/>
      <c r="AM2392" s="56"/>
      <c r="AN2392" s="56"/>
    </row>
    <row r="2393" spans="1:41" x14ac:dyDescent="0.3">
      <c r="A2393" s="47">
        <f t="shared" si="555"/>
        <v>2140</v>
      </c>
      <c r="B2393" s="414" t="s">
        <v>2940</v>
      </c>
      <c r="C2393" s="51">
        <f t="shared" si="560"/>
        <v>2100604.2600000002</v>
      </c>
      <c r="D2393" s="51">
        <f t="shared" si="559"/>
        <v>0</v>
      </c>
      <c r="E2393" s="51"/>
      <c r="F2393" s="51"/>
      <c r="G2393" s="51"/>
      <c r="H2393" s="51"/>
      <c r="I2393" s="51"/>
      <c r="J2393" s="51"/>
      <c r="K2393" s="51"/>
      <c r="L2393" s="51"/>
      <c r="M2393" s="35"/>
      <c r="N2393" s="51"/>
      <c r="O2393" s="82"/>
      <c r="P2393" s="51"/>
      <c r="Q2393" s="338"/>
      <c r="R2393" s="51"/>
      <c r="S2393" s="51"/>
      <c r="T2393" s="338"/>
      <c r="U2393" s="51"/>
      <c r="V2393" s="35"/>
      <c r="W2393" s="364">
        <f t="shared" ref="W2393:W2400" si="561">SUM(Y2393:AI2393)</f>
        <v>2100604.2600000002</v>
      </c>
      <c r="X2393" s="285"/>
      <c r="Y2393" s="285"/>
      <c r="Z2393" s="285"/>
      <c r="AA2393" s="285"/>
      <c r="AB2393" s="285"/>
      <c r="AC2393" s="9"/>
      <c r="AD2393" s="9">
        <v>488692.14</v>
      </c>
      <c r="AE2393" s="40"/>
      <c r="AF2393" s="56">
        <v>1611912.12</v>
      </c>
      <c r="AG2393" s="56"/>
      <c r="AH2393" s="56"/>
      <c r="AI2393" s="56"/>
      <c r="AJ2393" s="56"/>
      <c r="AK2393" s="56"/>
      <c r="AL2393" s="56"/>
      <c r="AM2393" s="56"/>
      <c r="AN2393" s="56"/>
    </row>
    <row r="2394" spans="1:41" x14ac:dyDescent="0.3">
      <c r="A2394" s="47">
        <f t="shared" si="555"/>
        <v>2141</v>
      </c>
      <c r="B2394" s="414" t="s">
        <v>2941</v>
      </c>
      <c r="C2394" s="51">
        <f t="shared" si="560"/>
        <v>274862.40999999997</v>
      </c>
      <c r="D2394" s="51">
        <f t="shared" si="559"/>
        <v>0</v>
      </c>
      <c r="E2394" s="51"/>
      <c r="F2394" s="51"/>
      <c r="G2394" s="51"/>
      <c r="H2394" s="51"/>
      <c r="I2394" s="51"/>
      <c r="J2394" s="51"/>
      <c r="K2394" s="51"/>
      <c r="L2394" s="51"/>
      <c r="M2394" s="35"/>
      <c r="N2394" s="51"/>
      <c r="O2394" s="82"/>
      <c r="P2394" s="51"/>
      <c r="Q2394" s="338"/>
      <c r="R2394" s="51"/>
      <c r="S2394" s="51"/>
      <c r="T2394" s="338"/>
      <c r="U2394" s="51"/>
      <c r="V2394" s="35"/>
      <c r="W2394" s="364">
        <f t="shared" si="561"/>
        <v>274862.40999999997</v>
      </c>
      <c r="X2394" s="285"/>
      <c r="Y2394" s="285"/>
      <c r="Z2394" s="285"/>
      <c r="AA2394" s="285"/>
      <c r="AB2394" s="285"/>
      <c r="AC2394" s="9">
        <v>274862.40999999997</v>
      </c>
      <c r="AD2394" s="9"/>
      <c r="AE2394" s="40"/>
      <c r="AF2394" s="56"/>
      <c r="AG2394" s="56"/>
      <c r="AH2394" s="56"/>
      <c r="AI2394" s="56"/>
      <c r="AJ2394" s="56"/>
      <c r="AK2394" s="56"/>
      <c r="AL2394" s="56"/>
      <c r="AM2394" s="56"/>
      <c r="AN2394" s="56"/>
    </row>
    <row r="2395" spans="1:41" x14ac:dyDescent="0.3">
      <c r="A2395" s="47">
        <f t="shared" si="555"/>
        <v>2142</v>
      </c>
      <c r="B2395" s="414" t="s">
        <v>2942</v>
      </c>
      <c r="C2395" s="51">
        <f t="shared" si="560"/>
        <v>265340.06</v>
      </c>
      <c r="D2395" s="51">
        <f t="shared" si="559"/>
        <v>0</v>
      </c>
      <c r="E2395" s="51"/>
      <c r="F2395" s="51"/>
      <c r="G2395" s="51"/>
      <c r="H2395" s="51"/>
      <c r="I2395" s="51"/>
      <c r="J2395" s="51"/>
      <c r="K2395" s="51"/>
      <c r="L2395" s="51"/>
      <c r="M2395" s="35"/>
      <c r="N2395" s="51"/>
      <c r="O2395" s="82"/>
      <c r="P2395" s="51"/>
      <c r="Q2395" s="338"/>
      <c r="R2395" s="51"/>
      <c r="S2395" s="51"/>
      <c r="T2395" s="338"/>
      <c r="U2395" s="51"/>
      <c r="V2395" s="35"/>
      <c r="W2395" s="364">
        <f t="shared" si="561"/>
        <v>265340.06</v>
      </c>
      <c r="X2395" s="285"/>
      <c r="Y2395" s="285"/>
      <c r="Z2395" s="505">
        <v>122951.76</v>
      </c>
      <c r="AA2395" s="505"/>
      <c r="AB2395" s="285">
        <v>142388.29999999999</v>
      </c>
      <c r="AC2395" s="9"/>
      <c r="AD2395" s="9"/>
      <c r="AE2395" s="40"/>
      <c r="AF2395" s="56"/>
      <c r="AG2395" s="56"/>
      <c r="AH2395" s="56"/>
      <c r="AI2395" s="56"/>
      <c r="AJ2395" s="56"/>
      <c r="AK2395" s="56"/>
      <c r="AL2395" s="56"/>
      <c r="AM2395" s="56"/>
      <c r="AN2395" s="56"/>
    </row>
    <row r="2396" spans="1:41" x14ac:dyDescent="0.3">
      <c r="A2396" s="47">
        <f t="shared" si="555"/>
        <v>2143</v>
      </c>
      <c r="B2396" s="414" t="s">
        <v>2943</v>
      </c>
      <c r="C2396" s="51">
        <f t="shared" si="560"/>
        <v>229908.31</v>
      </c>
      <c r="D2396" s="51">
        <f t="shared" si="559"/>
        <v>0</v>
      </c>
      <c r="E2396" s="51"/>
      <c r="F2396" s="51"/>
      <c r="G2396" s="51"/>
      <c r="H2396" s="51"/>
      <c r="I2396" s="51"/>
      <c r="J2396" s="51"/>
      <c r="K2396" s="51"/>
      <c r="L2396" s="51"/>
      <c r="M2396" s="35"/>
      <c r="N2396" s="51"/>
      <c r="O2396" s="82"/>
      <c r="P2396" s="51"/>
      <c r="Q2396" s="338"/>
      <c r="R2396" s="51"/>
      <c r="S2396" s="51"/>
      <c r="T2396" s="338"/>
      <c r="U2396" s="51"/>
      <c r="V2396" s="35"/>
      <c r="W2396" s="364">
        <f t="shared" si="561"/>
        <v>229908.31</v>
      </c>
      <c r="X2396" s="285"/>
      <c r="Y2396" s="285">
        <v>109634.3</v>
      </c>
      <c r="Z2396" s="285"/>
      <c r="AA2396" s="285">
        <v>120274.01</v>
      </c>
      <c r="AB2396" s="285"/>
      <c r="AC2396" s="9"/>
      <c r="AD2396" s="9"/>
      <c r="AE2396" s="40"/>
      <c r="AF2396" s="56"/>
      <c r="AG2396" s="56"/>
      <c r="AH2396" s="56"/>
      <c r="AI2396" s="56"/>
      <c r="AJ2396" s="56"/>
      <c r="AK2396" s="56"/>
      <c r="AL2396" s="56"/>
      <c r="AM2396" s="56"/>
      <c r="AN2396" s="56"/>
    </row>
    <row r="2397" spans="1:41" x14ac:dyDescent="0.3">
      <c r="A2397" s="47">
        <f t="shared" si="555"/>
        <v>2144</v>
      </c>
      <c r="B2397" s="414" t="s">
        <v>2944</v>
      </c>
      <c r="C2397" s="51">
        <f t="shared" si="560"/>
        <v>1299062.03</v>
      </c>
      <c r="D2397" s="51">
        <f t="shared" si="559"/>
        <v>0</v>
      </c>
      <c r="E2397" s="51"/>
      <c r="F2397" s="51"/>
      <c r="G2397" s="51"/>
      <c r="H2397" s="51"/>
      <c r="I2397" s="51"/>
      <c r="J2397" s="51"/>
      <c r="K2397" s="51"/>
      <c r="L2397" s="51"/>
      <c r="M2397" s="35"/>
      <c r="N2397" s="51"/>
      <c r="O2397" s="82"/>
      <c r="P2397" s="51"/>
      <c r="Q2397" s="338"/>
      <c r="R2397" s="51"/>
      <c r="S2397" s="51"/>
      <c r="T2397" s="338"/>
      <c r="U2397" s="51"/>
      <c r="V2397" s="35"/>
      <c r="W2397" s="364">
        <f t="shared" si="561"/>
        <v>1299062.03</v>
      </c>
      <c r="X2397" s="285"/>
      <c r="Y2397" s="285"/>
      <c r="Z2397" s="528">
        <v>182370.19</v>
      </c>
      <c r="AA2397" s="529"/>
      <c r="AB2397" s="285"/>
      <c r="AC2397" s="9">
        <v>186065.54</v>
      </c>
      <c r="AD2397" s="9">
        <v>353776.88</v>
      </c>
      <c r="AE2397" s="40"/>
      <c r="AF2397" s="56">
        <v>576849.42000000004</v>
      </c>
      <c r="AG2397" s="56"/>
      <c r="AH2397" s="56"/>
      <c r="AI2397" s="56"/>
      <c r="AJ2397" s="56"/>
      <c r="AK2397" s="56"/>
      <c r="AL2397" s="56"/>
      <c r="AM2397" s="56"/>
      <c r="AN2397" s="56">
        <v>624.44000000000005</v>
      </c>
    </row>
    <row r="2398" spans="1:41" x14ac:dyDescent="0.3">
      <c r="A2398" s="47">
        <f t="shared" si="555"/>
        <v>2145</v>
      </c>
      <c r="B2398" s="414" t="s">
        <v>2945</v>
      </c>
      <c r="C2398" s="51">
        <f t="shared" si="560"/>
        <v>271927.03000000003</v>
      </c>
      <c r="D2398" s="51">
        <f t="shared" si="559"/>
        <v>0</v>
      </c>
      <c r="E2398" s="51"/>
      <c r="F2398" s="51"/>
      <c r="G2398" s="51"/>
      <c r="H2398" s="51"/>
      <c r="I2398" s="51"/>
      <c r="J2398" s="51"/>
      <c r="K2398" s="51"/>
      <c r="L2398" s="51"/>
      <c r="M2398" s="35"/>
      <c r="N2398" s="51"/>
      <c r="O2398" s="82"/>
      <c r="P2398" s="51"/>
      <c r="Q2398" s="338"/>
      <c r="R2398" s="51"/>
      <c r="S2398" s="51"/>
      <c r="T2398" s="338"/>
      <c r="U2398" s="51"/>
      <c r="V2398" s="35"/>
      <c r="W2398" s="364">
        <f t="shared" si="561"/>
        <v>271927.03000000003</v>
      </c>
      <c r="X2398" s="285"/>
      <c r="Y2398" s="285"/>
      <c r="Z2398" s="505">
        <v>129831.11</v>
      </c>
      <c r="AA2398" s="505"/>
      <c r="AB2398" s="285">
        <v>142095.92000000001</v>
      </c>
      <c r="AC2398" s="9"/>
      <c r="AD2398" s="9"/>
      <c r="AE2398" s="40"/>
      <c r="AF2398" s="56"/>
      <c r="AG2398" s="56"/>
      <c r="AH2398" s="56"/>
      <c r="AI2398" s="56"/>
      <c r="AJ2398" s="56"/>
      <c r="AK2398" s="56"/>
      <c r="AL2398" s="56"/>
      <c r="AM2398" s="56"/>
      <c r="AN2398" s="56"/>
    </row>
    <row r="2399" spans="1:41" x14ac:dyDescent="0.3">
      <c r="A2399" s="47">
        <f t="shared" si="555"/>
        <v>2146</v>
      </c>
      <c r="B2399" s="414" t="s">
        <v>2946</v>
      </c>
      <c r="C2399" s="51">
        <f t="shared" si="560"/>
        <v>448556.53</v>
      </c>
      <c r="D2399" s="51">
        <f t="shared" si="559"/>
        <v>0</v>
      </c>
      <c r="E2399" s="51"/>
      <c r="F2399" s="51"/>
      <c r="G2399" s="51"/>
      <c r="H2399" s="51"/>
      <c r="I2399" s="51"/>
      <c r="J2399" s="51"/>
      <c r="K2399" s="51"/>
      <c r="L2399" s="51"/>
      <c r="M2399" s="35"/>
      <c r="N2399" s="51"/>
      <c r="O2399" s="82"/>
      <c r="P2399" s="51"/>
      <c r="Q2399" s="338"/>
      <c r="R2399" s="51"/>
      <c r="S2399" s="51"/>
      <c r="T2399" s="338"/>
      <c r="U2399" s="51"/>
      <c r="V2399" s="35"/>
      <c r="W2399" s="364">
        <f t="shared" si="561"/>
        <v>448556.53</v>
      </c>
      <c r="X2399" s="285"/>
      <c r="Y2399" s="285"/>
      <c r="Z2399" s="505">
        <v>143780.14000000001</v>
      </c>
      <c r="AA2399" s="505"/>
      <c r="AB2399" s="285">
        <v>171898.18</v>
      </c>
      <c r="AC2399" s="9">
        <v>132878.21</v>
      </c>
      <c r="AD2399" s="9"/>
      <c r="AE2399" s="40"/>
      <c r="AF2399" s="56"/>
      <c r="AG2399" s="56"/>
      <c r="AH2399" s="56"/>
      <c r="AI2399" s="56"/>
      <c r="AJ2399" s="56"/>
      <c r="AK2399" s="56"/>
      <c r="AL2399" s="56"/>
      <c r="AM2399" s="56"/>
      <c r="AN2399" s="56"/>
    </row>
    <row r="2400" spans="1:41" x14ac:dyDescent="0.3">
      <c r="A2400" s="47">
        <f t="shared" si="555"/>
        <v>2147</v>
      </c>
      <c r="B2400" s="414" t="s">
        <v>2947</v>
      </c>
      <c r="C2400" s="51">
        <f t="shared" si="560"/>
        <v>644724.34</v>
      </c>
      <c r="D2400" s="51">
        <f t="shared" si="559"/>
        <v>0</v>
      </c>
      <c r="E2400" s="51"/>
      <c r="F2400" s="51"/>
      <c r="G2400" s="51"/>
      <c r="H2400" s="51"/>
      <c r="I2400" s="51"/>
      <c r="J2400" s="51"/>
      <c r="K2400" s="51"/>
      <c r="L2400" s="51"/>
      <c r="M2400" s="35"/>
      <c r="N2400" s="51"/>
      <c r="O2400" s="82"/>
      <c r="P2400" s="51"/>
      <c r="Q2400" s="338"/>
      <c r="R2400" s="51"/>
      <c r="S2400" s="51"/>
      <c r="T2400" s="338"/>
      <c r="U2400" s="51"/>
      <c r="V2400" s="35"/>
      <c r="W2400" s="364">
        <f t="shared" si="561"/>
        <v>644724.34</v>
      </c>
      <c r="X2400" s="285"/>
      <c r="Y2400" s="285"/>
      <c r="Z2400" s="505">
        <v>287020.3</v>
      </c>
      <c r="AA2400" s="505"/>
      <c r="AB2400" s="285">
        <v>357704.04</v>
      </c>
      <c r="AC2400" s="9"/>
      <c r="AD2400" s="9"/>
      <c r="AE2400" s="40"/>
      <c r="AF2400" s="56"/>
      <c r="AG2400" s="56"/>
      <c r="AH2400" s="56"/>
      <c r="AI2400" s="56"/>
      <c r="AJ2400" s="56"/>
      <c r="AK2400" s="56"/>
      <c r="AL2400" s="56"/>
      <c r="AM2400" s="56"/>
      <c r="AN2400" s="56"/>
    </row>
    <row r="2401" spans="1:40" x14ac:dyDescent="0.3">
      <c r="A2401" s="47">
        <f t="shared" ref="A2401:A2456" si="562">A2400+1</f>
        <v>2148</v>
      </c>
      <c r="B2401" s="414" t="s">
        <v>2948</v>
      </c>
      <c r="C2401" s="51">
        <f t="shared" si="560"/>
        <v>130000</v>
      </c>
      <c r="D2401" s="51">
        <f t="shared" si="559"/>
        <v>0</v>
      </c>
      <c r="E2401" s="51"/>
      <c r="F2401" s="51"/>
      <c r="G2401" s="51"/>
      <c r="H2401" s="51"/>
      <c r="I2401" s="51"/>
      <c r="J2401" s="51"/>
      <c r="K2401" s="51"/>
      <c r="L2401" s="51"/>
      <c r="M2401" s="35"/>
      <c r="N2401" s="51"/>
      <c r="O2401" s="82"/>
      <c r="P2401" s="51"/>
      <c r="Q2401" s="338"/>
      <c r="R2401" s="51"/>
      <c r="S2401" s="51"/>
      <c r="T2401" s="338"/>
      <c r="U2401" s="51"/>
      <c r="V2401" s="35"/>
      <c r="W2401" s="364">
        <v>130000</v>
      </c>
      <c r="X2401" s="285"/>
      <c r="Y2401" s="285"/>
      <c r="Z2401" s="285"/>
      <c r="AA2401" s="285"/>
      <c r="AB2401" s="285"/>
      <c r="AC2401" s="9"/>
      <c r="AD2401" s="9"/>
      <c r="AE2401" s="40"/>
      <c r="AF2401" s="56"/>
      <c r="AG2401" s="56"/>
      <c r="AH2401" s="56"/>
      <c r="AI2401" s="56"/>
      <c r="AJ2401" s="56"/>
      <c r="AK2401" s="56"/>
      <c r="AL2401" s="56"/>
      <c r="AM2401" s="56"/>
      <c r="AN2401" s="56"/>
    </row>
    <row r="2402" spans="1:40" x14ac:dyDescent="0.3">
      <c r="A2402" s="47">
        <f t="shared" si="562"/>
        <v>2149</v>
      </c>
      <c r="B2402" s="414" t="s">
        <v>2949</v>
      </c>
      <c r="C2402" s="51">
        <f t="shared" si="560"/>
        <v>92890.79</v>
      </c>
      <c r="D2402" s="51">
        <f t="shared" si="559"/>
        <v>0</v>
      </c>
      <c r="E2402" s="51"/>
      <c r="F2402" s="51"/>
      <c r="G2402" s="51"/>
      <c r="H2402" s="51"/>
      <c r="I2402" s="51"/>
      <c r="J2402" s="51"/>
      <c r="K2402" s="51"/>
      <c r="L2402" s="51"/>
      <c r="M2402" s="35"/>
      <c r="N2402" s="51"/>
      <c r="O2402" s="82"/>
      <c r="P2402" s="51"/>
      <c r="Q2402" s="338"/>
      <c r="R2402" s="51"/>
      <c r="S2402" s="51"/>
      <c r="T2402" s="338"/>
      <c r="U2402" s="51"/>
      <c r="V2402" s="35"/>
      <c r="W2402" s="364">
        <f>SUM(Y2402:AI2402)</f>
        <v>92890.79</v>
      </c>
      <c r="X2402" s="285"/>
      <c r="Y2402" s="285">
        <v>92890.79</v>
      </c>
      <c r="Z2402" s="285"/>
      <c r="AA2402" s="285"/>
      <c r="AB2402" s="285"/>
      <c r="AC2402" s="9"/>
      <c r="AD2402" s="9"/>
      <c r="AE2402" s="40"/>
      <c r="AF2402" s="56"/>
      <c r="AG2402" s="56"/>
      <c r="AH2402" s="56"/>
      <c r="AI2402" s="56"/>
      <c r="AJ2402" s="56"/>
      <c r="AK2402" s="56"/>
      <c r="AL2402" s="56"/>
      <c r="AM2402" s="56"/>
      <c r="AN2402" s="56"/>
    </row>
    <row r="2403" spans="1:40" x14ac:dyDescent="0.3">
      <c r="A2403" s="47">
        <f t="shared" si="562"/>
        <v>2150</v>
      </c>
      <c r="B2403" s="414" t="s">
        <v>2950</v>
      </c>
      <c r="C2403" s="51">
        <f t="shared" si="560"/>
        <v>100214.81</v>
      </c>
      <c r="D2403" s="51">
        <f t="shared" si="559"/>
        <v>0</v>
      </c>
      <c r="E2403" s="51"/>
      <c r="F2403" s="51"/>
      <c r="G2403" s="51"/>
      <c r="H2403" s="51"/>
      <c r="I2403" s="51"/>
      <c r="J2403" s="51"/>
      <c r="K2403" s="51"/>
      <c r="L2403" s="51"/>
      <c r="M2403" s="35"/>
      <c r="N2403" s="51"/>
      <c r="O2403" s="82"/>
      <c r="P2403" s="51"/>
      <c r="Q2403" s="338"/>
      <c r="R2403" s="51"/>
      <c r="S2403" s="51"/>
      <c r="T2403" s="338"/>
      <c r="U2403" s="51"/>
      <c r="V2403" s="35"/>
      <c r="W2403" s="364">
        <f>SUM(Y2403:AI2403)</f>
        <v>100214.81</v>
      </c>
      <c r="X2403" s="285"/>
      <c r="Y2403" s="285">
        <v>100214.81</v>
      </c>
      <c r="Z2403" s="285"/>
      <c r="AA2403" s="285"/>
      <c r="AB2403" s="285"/>
      <c r="AC2403" s="9"/>
      <c r="AD2403" s="9"/>
      <c r="AE2403" s="40"/>
      <c r="AF2403" s="56"/>
      <c r="AG2403" s="56"/>
      <c r="AH2403" s="56"/>
      <c r="AI2403" s="56"/>
      <c r="AJ2403" s="56"/>
      <c r="AK2403" s="56"/>
      <c r="AL2403" s="56"/>
      <c r="AM2403" s="56"/>
      <c r="AN2403" s="56"/>
    </row>
    <row r="2404" spans="1:40" x14ac:dyDescent="0.3">
      <c r="A2404" s="47">
        <f t="shared" si="562"/>
        <v>2151</v>
      </c>
      <c r="B2404" s="414" t="s">
        <v>2951</v>
      </c>
      <c r="C2404" s="51">
        <f t="shared" si="560"/>
        <v>130000</v>
      </c>
      <c r="D2404" s="51">
        <f t="shared" si="559"/>
        <v>0</v>
      </c>
      <c r="E2404" s="51"/>
      <c r="F2404" s="51"/>
      <c r="G2404" s="51"/>
      <c r="H2404" s="51"/>
      <c r="I2404" s="51"/>
      <c r="J2404" s="51"/>
      <c r="K2404" s="51"/>
      <c r="L2404" s="51"/>
      <c r="M2404" s="35"/>
      <c r="N2404" s="51"/>
      <c r="O2404" s="82"/>
      <c r="P2404" s="51"/>
      <c r="Q2404" s="338"/>
      <c r="R2404" s="51"/>
      <c r="S2404" s="51"/>
      <c r="T2404" s="338"/>
      <c r="U2404" s="51"/>
      <c r="V2404" s="35"/>
      <c r="W2404" s="364">
        <v>130000</v>
      </c>
      <c r="X2404" s="285"/>
      <c r="Y2404" s="285"/>
      <c r="Z2404" s="285"/>
      <c r="AA2404" s="285"/>
      <c r="AB2404" s="285"/>
      <c r="AC2404" s="9"/>
      <c r="AD2404" s="9"/>
      <c r="AE2404" s="40"/>
      <c r="AF2404" s="56"/>
      <c r="AG2404" s="56"/>
      <c r="AH2404" s="56"/>
      <c r="AI2404" s="56"/>
      <c r="AJ2404" s="56"/>
      <c r="AK2404" s="56"/>
      <c r="AL2404" s="56"/>
      <c r="AM2404" s="56"/>
      <c r="AN2404" s="56"/>
    </row>
    <row r="2405" spans="1:40" x14ac:dyDescent="0.3">
      <c r="A2405" s="47">
        <f t="shared" si="562"/>
        <v>2152</v>
      </c>
      <c r="B2405" s="414" t="s">
        <v>2952</v>
      </c>
      <c r="C2405" s="51">
        <f t="shared" si="560"/>
        <v>99092.76</v>
      </c>
      <c r="D2405" s="51">
        <f t="shared" si="559"/>
        <v>0</v>
      </c>
      <c r="E2405" s="51"/>
      <c r="F2405" s="51"/>
      <c r="G2405" s="51"/>
      <c r="H2405" s="51"/>
      <c r="I2405" s="51"/>
      <c r="J2405" s="51"/>
      <c r="K2405" s="51"/>
      <c r="L2405" s="51"/>
      <c r="M2405" s="35"/>
      <c r="N2405" s="51"/>
      <c r="O2405" s="82"/>
      <c r="P2405" s="51"/>
      <c r="Q2405" s="338"/>
      <c r="R2405" s="51"/>
      <c r="S2405" s="51"/>
      <c r="T2405" s="338"/>
      <c r="U2405" s="51"/>
      <c r="V2405" s="35"/>
      <c r="W2405" s="364">
        <f>SUM(Y2405:AI2405)</f>
        <v>99092.76</v>
      </c>
      <c r="X2405" s="285"/>
      <c r="Y2405" s="285">
        <v>99092.76</v>
      </c>
      <c r="Z2405" s="285"/>
      <c r="AA2405" s="285"/>
      <c r="AB2405" s="285"/>
      <c r="AC2405" s="9"/>
      <c r="AD2405" s="9"/>
      <c r="AE2405" s="40"/>
      <c r="AF2405" s="56"/>
      <c r="AG2405" s="56"/>
      <c r="AH2405" s="56"/>
      <c r="AI2405" s="56"/>
      <c r="AJ2405" s="56"/>
      <c r="AK2405" s="56"/>
      <c r="AL2405" s="56"/>
      <c r="AM2405" s="56"/>
      <c r="AN2405" s="56"/>
    </row>
    <row r="2406" spans="1:40" x14ac:dyDescent="0.3">
      <c r="A2406" s="47">
        <f t="shared" si="562"/>
        <v>2153</v>
      </c>
      <c r="B2406" s="414" t="s">
        <v>2953</v>
      </c>
      <c r="C2406" s="51">
        <f t="shared" si="560"/>
        <v>100162.7</v>
      </c>
      <c r="D2406" s="51">
        <f t="shared" si="559"/>
        <v>0</v>
      </c>
      <c r="E2406" s="51"/>
      <c r="F2406" s="51"/>
      <c r="G2406" s="51"/>
      <c r="H2406" s="51"/>
      <c r="I2406" s="51"/>
      <c r="J2406" s="51"/>
      <c r="K2406" s="51"/>
      <c r="L2406" s="51"/>
      <c r="M2406" s="35"/>
      <c r="N2406" s="51"/>
      <c r="O2406" s="82"/>
      <c r="P2406" s="51"/>
      <c r="Q2406" s="338"/>
      <c r="R2406" s="51"/>
      <c r="S2406" s="51"/>
      <c r="T2406" s="338"/>
      <c r="U2406" s="51"/>
      <c r="V2406" s="35"/>
      <c r="W2406" s="364">
        <f>SUM(Y2406:AI2406)</f>
        <v>100162.7</v>
      </c>
      <c r="X2406" s="285"/>
      <c r="Y2406" s="285">
        <v>100162.7</v>
      </c>
      <c r="Z2406" s="285"/>
      <c r="AA2406" s="285"/>
      <c r="AB2406" s="285"/>
      <c r="AC2406" s="9"/>
      <c r="AD2406" s="9"/>
      <c r="AE2406" s="40"/>
      <c r="AF2406" s="56"/>
      <c r="AG2406" s="56"/>
      <c r="AH2406" s="56"/>
      <c r="AI2406" s="56"/>
      <c r="AJ2406" s="56"/>
      <c r="AK2406" s="56"/>
      <c r="AL2406" s="56"/>
      <c r="AM2406" s="56"/>
      <c r="AN2406" s="56"/>
    </row>
    <row r="2407" spans="1:40" x14ac:dyDescent="0.3">
      <c r="A2407" s="47">
        <f t="shared" si="562"/>
        <v>2154</v>
      </c>
      <c r="B2407" s="414" t="s">
        <v>2954</v>
      </c>
      <c r="C2407" s="51">
        <f t="shared" si="560"/>
        <v>207245.77000000002</v>
      </c>
      <c r="D2407" s="51">
        <f t="shared" si="559"/>
        <v>0</v>
      </c>
      <c r="E2407" s="51"/>
      <c r="F2407" s="51"/>
      <c r="G2407" s="51"/>
      <c r="H2407" s="51"/>
      <c r="I2407" s="51"/>
      <c r="J2407" s="51"/>
      <c r="K2407" s="51"/>
      <c r="L2407" s="51"/>
      <c r="M2407" s="35"/>
      <c r="N2407" s="51"/>
      <c r="O2407" s="82"/>
      <c r="P2407" s="51"/>
      <c r="Q2407" s="338"/>
      <c r="R2407" s="51"/>
      <c r="S2407" s="51"/>
      <c r="T2407" s="338"/>
      <c r="U2407" s="51"/>
      <c r="V2407" s="35"/>
      <c r="W2407" s="364">
        <f>SUM(Y2407:AI2407)</f>
        <v>207245.77000000002</v>
      </c>
      <c r="X2407" s="285"/>
      <c r="Y2407" s="285">
        <v>100981.67</v>
      </c>
      <c r="Z2407" s="285"/>
      <c r="AA2407" s="285">
        <v>106264.1</v>
      </c>
      <c r="AB2407" s="285"/>
      <c r="AC2407" s="9"/>
      <c r="AD2407" s="9"/>
      <c r="AE2407" s="40"/>
      <c r="AF2407" s="56"/>
      <c r="AG2407" s="56"/>
      <c r="AH2407" s="56"/>
      <c r="AI2407" s="56"/>
      <c r="AJ2407" s="56"/>
      <c r="AK2407" s="56"/>
      <c r="AL2407" s="56"/>
      <c r="AM2407" s="56"/>
      <c r="AN2407" s="56"/>
    </row>
    <row r="2408" spans="1:40" x14ac:dyDescent="0.3">
      <c r="A2408" s="47">
        <f t="shared" si="562"/>
        <v>2155</v>
      </c>
      <c r="B2408" s="414" t="s">
        <v>2955</v>
      </c>
      <c r="C2408" s="51">
        <f t="shared" si="560"/>
        <v>233384.37</v>
      </c>
      <c r="D2408" s="51">
        <f t="shared" si="559"/>
        <v>0</v>
      </c>
      <c r="E2408" s="51"/>
      <c r="F2408" s="51"/>
      <c r="G2408" s="51"/>
      <c r="H2408" s="51"/>
      <c r="I2408" s="51"/>
      <c r="J2408" s="51"/>
      <c r="K2408" s="51"/>
      <c r="L2408" s="51"/>
      <c r="M2408" s="35"/>
      <c r="N2408" s="51"/>
      <c r="O2408" s="82"/>
      <c r="P2408" s="51"/>
      <c r="Q2408" s="338"/>
      <c r="R2408" s="51"/>
      <c r="S2408" s="51"/>
      <c r="T2408" s="338"/>
      <c r="U2408" s="51"/>
      <c r="V2408" s="35"/>
      <c r="W2408" s="364">
        <f>SUM(Y2408:AI2408)</f>
        <v>233384.37</v>
      </c>
      <c r="X2408" s="285"/>
      <c r="Y2408" s="285">
        <v>113794.85</v>
      </c>
      <c r="Z2408" s="285"/>
      <c r="AA2408" s="285">
        <v>119589.52</v>
      </c>
      <c r="AB2408" s="285"/>
      <c r="AC2408" s="9"/>
      <c r="AD2408" s="9"/>
      <c r="AE2408" s="40"/>
      <c r="AF2408" s="56"/>
      <c r="AG2408" s="56"/>
      <c r="AH2408" s="56"/>
      <c r="AI2408" s="56"/>
      <c r="AJ2408" s="56"/>
      <c r="AK2408" s="56"/>
      <c r="AL2408" s="56"/>
      <c r="AM2408" s="56"/>
      <c r="AN2408" s="56"/>
    </row>
    <row r="2409" spans="1:40" x14ac:dyDescent="0.3">
      <c r="A2409" s="47">
        <f t="shared" si="562"/>
        <v>2156</v>
      </c>
      <c r="B2409" s="414" t="s">
        <v>2956</v>
      </c>
      <c r="C2409" s="51">
        <f t="shared" si="560"/>
        <v>130000</v>
      </c>
      <c r="D2409" s="51">
        <f t="shared" si="559"/>
        <v>0</v>
      </c>
      <c r="E2409" s="51"/>
      <c r="F2409" s="51"/>
      <c r="G2409" s="51"/>
      <c r="H2409" s="51"/>
      <c r="I2409" s="51"/>
      <c r="J2409" s="51"/>
      <c r="K2409" s="51"/>
      <c r="L2409" s="51"/>
      <c r="M2409" s="35"/>
      <c r="N2409" s="51"/>
      <c r="O2409" s="82"/>
      <c r="P2409" s="51"/>
      <c r="Q2409" s="338"/>
      <c r="R2409" s="51"/>
      <c r="S2409" s="51"/>
      <c r="T2409" s="338"/>
      <c r="U2409" s="51"/>
      <c r="V2409" s="35"/>
      <c r="W2409" s="364">
        <v>130000</v>
      </c>
      <c r="X2409" s="285"/>
      <c r="Y2409" s="285"/>
      <c r="Z2409" s="285"/>
      <c r="AA2409" s="285"/>
      <c r="AB2409" s="285"/>
      <c r="AC2409" s="9"/>
      <c r="AD2409" s="9"/>
      <c r="AE2409" s="40"/>
      <c r="AF2409" s="56"/>
      <c r="AG2409" s="56"/>
      <c r="AH2409" s="56"/>
      <c r="AI2409" s="56"/>
      <c r="AJ2409" s="56"/>
      <c r="AK2409" s="56"/>
      <c r="AL2409" s="56"/>
      <c r="AM2409" s="56"/>
      <c r="AN2409" s="56"/>
    </row>
    <row r="2410" spans="1:40" x14ac:dyDescent="0.3">
      <c r="A2410" s="47">
        <f t="shared" si="562"/>
        <v>2157</v>
      </c>
      <c r="B2410" s="414" t="s">
        <v>2957</v>
      </c>
      <c r="C2410" s="51">
        <f t="shared" si="560"/>
        <v>99028.38</v>
      </c>
      <c r="D2410" s="51">
        <f t="shared" si="559"/>
        <v>0</v>
      </c>
      <c r="E2410" s="51"/>
      <c r="F2410" s="51"/>
      <c r="G2410" s="51"/>
      <c r="H2410" s="51"/>
      <c r="I2410" s="51"/>
      <c r="J2410" s="51"/>
      <c r="K2410" s="51"/>
      <c r="L2410" s="51"/>
      <c r="M2410" s="35"/>
      <c r="N2410" s="51"/>
      <c r="O2410" s="82"/>
      <c r="P2410" s="51"/>
      <c r="Q2410" s="338"/>
      <c r="R2410" s="51"/>
      <c r="S2410" s="51"/>
      <c r="T2410" s="338"/>
      <c r="U2410" s="51"/>
      <c r="V2410" s="35"/>
      <c r="W2410" s="364">
        <f>SUM(Y2410:AI2410)</f>
        <v>99028.38</v>
      </c>
      <c r="X2410" s="285"/>
      <c r="Y2410" s="285">
        <v>99028.38</v>
      </c>
      <c r="Z2410" s="285"/>
      <c r="AA2410" s="285"/>
      <c r="AB2410" s="285"/>
      <c r="AC2410" s="9"/>
      <c r="AD2410" s="9"/>
      <c r="AE2410" s="40"/>
      <c r="AF2410" s="56"/>
      <c r="AG2410" s="56"/>
      <c r="AH2410" s="56"/>
      <c r="AI2410" s="56"/>
      <c r="AJ2410" s="56"/>
      <c r="AK2410" s="56"/>
      <c r="AL2410" s="56"/>
      <c r="AM2410" s="56"/>
      <c r="AN2410" s="56"/>
    </row>
    <row r="2411" spans="1:40" x14ac:dyDescent="0.3">
      <c r="A2411" s="47">
        <f t="shared" si="562"/>
        <v>2158</v>
      </c>
      <c r="B2411" s="414" t="s">
        <v>2958</v>
      </c>
      <c r="C2411" s="51">
        <f t="shared" si="560"/>
        <v>106963.26</v>
      </c>
      <c r="D2411" s="51">
        <f t="shared" si="559"/>
        <v>0</v>
      </c>
      <c r="E2411" s="51"/>
      <c r="F2411" s="51"/>
      <c r="G2411" s="51"/>
      <c r="H2411" s="51"/>
      <c r="I2411" s="51"/>
      <c r="J2411" s="51"/>
      <c r="K2411" s="51"/>
      <c r="L2411" s="51"/>
      <c r="M2411" s="35"/>
      <c r="N2411" s="51"/>
      <c r="O2411" s="82"/>
      <c r="P2411" s="51"/>
      <c r="Q2411" s="338"/>
      <c r="R2411" s="51"/>
      <c r="S2411" s="51"/>
      <c r="T2411" s="338"/>
      <c r="U2411" s="51"/>
      <c r="V2411" s="35"/>
      <c r="W2411" s="364">
        <f>SUM(Y2411:AI2411)</f>
        <v>106963.26</v>
      </c>
      <c r="X2411" s="285"/>
      <c r="Y2411" s="285">
        <v>106963.26</v>
      </c>
      <c r="Z2411" s="285"/>
      <c r="AA2411" s="285"/>
      <c r="AB2411" s="285"/>
      <c r="AC2411" s="9"/>
      <c r="AD2411" s="9"/>
      <c r="AE2411" s="40"/>
      <c r="AF2411" s="56"/>
      <c r="AG2411" s="56"/>
      <c r="AH2411" s="56"/>
      <c r="AI2411" s="56"/>
      <c r="AJ2411" s="56"/>
      <c r="AK2411" s="56"/>
      <c r="AL2411" s="56"/>
      <c r="AM2411" s="56"/>
      <c r="AN2411" s="56"/>
    </row>
    <row r="2412" spans="1:40" x14ac:dyDescent="0.3">
      <c r="A2412" s="47">
        <f t="shared" si="562"/>
        <v>2159</v>
      </c>
      <c r="B2412" s="414" t="s">
        <v>2959</v>
      </c>
      <c r="C2412" s="51">
        <f t="shared" si="560"/>
        <v>136376.46</v>
      </c>
      <c r="D2412" s="51">
        <f t="shared" si="559"/>
        <v>0</v>
      </c>
      <c r="E2412" s="51"/>
      <c r="F2412" s="51"/>
      <c r="G2412" s="51"/>
      <c r="H2412" s="51"/>
      <c r="I2412" s="51"/>
      <c r="J2412" s="51"/>
      <c r="K2412" s="51"/>
      <c r="L2412" s="51"/>
      <c r="M2412" s="35"/>
      <c r="N2412" s="51"/>
      <c r="O2412" s="82"/>
      <c r="P2412" s="51"/>
      <c r="Q2412" s="338"/>
      <c r="R2412" s="51"/>
      <c r="S2412" s="51"/>
      <c r="T2412" s="338"/>
      <c r="U2412" s="51"/>
      <c r="V2412" s="35"/>
      <c r="W2412" s="364">
        <f>SUM(Y2412:AI2412)</f>
        <v>136376.46</v>
      </c>
      <c r="X2412" s="285"/>
      <c r="Y2412" s="285">
        <v>136376.46</v>
      </c>
      <c r="Z2412" s="285"/>
      <c r="AA2412" s="285"/>
      <c r="AB2412" s="285"/>
      <c r="AC2412" s="9"/>
      <c r="AD2412" s="9"/>
      <c r="AE2412" s="40"/>
      <c r="AF2412" s="56"/>
      <c r="AG2412" s="56"/>
      <c r="AH2412" s="56"/>
      <c r="AI2412" s="56"/>
      <c r="AJ2412" s="56"/>
      <c r="AK2412" s="56"/>
      <c r="AL2412" s="56"/>
      <c r="AM2412" s="56"/>
      <c r="AN2412" s="56"/>
    </row>
    <row r="2413" spans="1:40" x14ac:dyDescent="0.3">
      <c r="A2413" s="47">
        <f t="shared" si="562"/>
        <v>2160</v>
      </c>
      <c r="B2413" s="414" t="s">
        <v>2960</v>
      </c>
      <c r="C2413" s="51">
        <f t="shared" si="560"/>
        <v>99560.09</v>
      </c>
      <c r="D2413" s="51">
        <f t="shared" si="559"/>
        <v>0</v>
      </c>
      <c r="E2413" s="51"/>
      <c r="F2413" s="51"/>
      <c r="G2413" s="51"/>
      <c r="H2413" s="51"/>
      <c r="I2413" s="51"/>
      <c r="J2413" s="51"/>
      <c r="K2413" s="51"/>
      <c r="L2413" s="51"/>
      <c r="M2413" s="35"/>
      <c r="N2413" s="51"/>
      <c r="O2413" s="82"/>
      <c r="P2413" s="51"/>
      <c r="Q2413" s="338"/>
      <c r="R2413" s="51"/>
      <c r="S2413" s="51"/>
      <c r="T2413" s="338"/>
      <c r="U2413" s="51"/>
      <c r="V2413" s="35"/>
      <c r="W2413" s="364">
        <f>SUM(Y2413:AI2413)</f>
        <v>99560.09</v>
      </c>
      <c r="X2413" s="285"/>
      <c r="Y2413" s="285">
        <v>99560.09</v>
      </c>
      <c r="Z2413" s="285"/>
      <c r="AA2413" s="285"/>
      <c r="AB2413" s="285"/>
      <c r="AC2413" s="9"/>
      <c r="AD2413" s="9"/>
      <c r="AE2413" s="40"/>
      <c r="AF2413" s="56"/>
      <c r="AG2413" s="56"/>
      <c r="AH2413" s="56"/>
      <c r="AI2413" s="56"/>
      <c r="AJ2413" s="56"/>
      <c r="AK2413" s="56"/>
      <c r="AL2413" s="56"/>
      <c r="AM2413" s="56"/>
      <c r="AN2413" s="56"/>
    </row>
    <row r="2414" spans="1:40" x14ac:dyDescent="0.3">
      <c r="A2414" s="47">
        <f t="shared" si="562"/>
        <v>2161</v>
      </c>
      <c r="B2414" s="414" t="s">
        <v>2961</v>
      </c>
      <c r="C2414" s="51">
        <f t="shared" si="560"/>
        <v>110929.98</v>
      </c>
      <c r="D2414" s="51">
        <f t="shared" si="559"/>
        <v>0</v>
      </c>
      <c r="E2414" s="51"/>
      <c r="F2414" s="51"/>
      <c r="G2414" s="51"/>
      <c r="H2414" s="51"/>
      <c r="I2414" s="51"/>
      <c r="J2414" s="51"/>
      <c r="K2414" s="51"/>
      <c r="L2414" s="51"/>
      <c r="M2414" s="35"/>
      <c r="N2414" s="51"/>
      <c r="O2414" s="82"/>
      <c r="P2414" s="51"/>
      <c r="Q2414" s="338"/>
      <c r="R2414" s="51"/>
      <c r="S2414" s="51"/>
      <c r="T2414" s="338"/>
      <c r="U2414" s="51"/>
      <c r="V2414" s="35"/>
      <c r="W2414" s="364">
        <f>SUM(Y2414:AI2414)</f>
        <v>110929.98</v>
      </c>
      <c r="X2414" s="285"/>
      <c r="Y2414" s="285">
        <v>110929.98</v>
      </c>
      <c r="Z2414" s="285"/>
      <c r="AA2414" s="285"/>
      <c r="AB2414" s="285"/>
      <c r="AC2414" s="9"/>
      <c r="AD2414" s="9"/>
      <c r="AE2414" s="40"/>
      <c r="AF2414" s="56"/>
      <c r="AG2414" s="56"/>
      <c r="AH2414" s="56"/>
      <c r="AI2414" s="56"/>
      <c r="AJ2414" s="56"/>
      <c r="AK2414" s="56"/>
      <c r="AL2414" s="56"/>
      <c r="AM2414" s="56"/>
      <c r="AN2414" s="56"/>
    </row>
    <row r="2415" spans="1:40" x14ac:dyDescent="0.3">
      <c r="A2415" s="47">
        <f t="shared" si="562"/>
        <v>2162</v>
      </c>
      <c r="B2415" s="414" t="s">
        <v>2962</v>
      </c>
      <c r="C2415" s="51">
        <f t="shared" si="560"/>
        <v>130000</v>
      </c>
      <c r="D2415" s="51">
        <f t="shared" si="559"/>
        <v>0</v>
      </c>
      <c r="E2415" s="51"/>
      <c r="F2415" s="51"/>
      <c r="G2415" s="51"/>
      <c r="H2415" s="51"/>
      <c r="I2415" s="51"/>
      <c r="J2415" s="51"/>
      <c r="K2415" s="51"/>
      <c r="L2415" s="51"/>
      <c r="M2415" s="35"/>
      <c r="N2415" s="51"/>
      <c r="O2415" s="82"/>
      <c r="P2415" s="51"/>
      <c r="Q2415" s="338"/>
      <c r="R2415" s="51"/>
      <c r="S2415" s="51"/>
      <c r="T2415" s="338"/>
      <c r="U2415" s="51"/>
      <c r="V2415" s="35"/>
      <c r="W2415" s="364">
        <v>130000</v>
      </c>
      <c r="X2415" s="285"/>
      <c r="Y2415" s="285"/>
      <c r="Z2415" s="285"/>
      <c r="AA2415" s="285"/>
      <c r="AB2415" s="285"/>
      <c r="AC2415" s="9"/>
      <c r="AD2415" s="9"/>
      <c r="AE2415" s="40"/>
      <c r="AF2415" s="56"/>
      <c r="AG2415" s="56"/>
      <c r="AH2415" s="56"/>
      <c r="AI2415" s="56"/>
      <c r="AJ2415" s="56"/>
      <c r="AK2415" s="56"/>
      <c r="AL2415" s="56"/>
      <c r="AM2415" s="56"/>
      <c r="AN2415" s="56"/>
    </row>
    <row r="2416" spans="1:40" x14ac:dyDescent="0.3">
      <c r="A2416" s="47">
        <f t="shared" si="562"/>
        <v>2163</v>
      </c>
      <c r="B2416" s="414" t="s">
        <v>2963</v>
      </c>
      <c r="C2416" s="51">
        <f t="shared" si="560"/>
        <v>101674.27</v>
      </c>
      <c r="D2416" s="51">
        <f t="shared" si="559"/>
        <v>0</v>
      </c>
      <c r="E2416" s="51"/>
      <c r="F2416" s="51"/>
      <c r="G2416" s="51"/>
      <c r="H2416" s="51"/>
      <c r="I2416" s="51"/>
      <c r="J2416" s="51"/>
      <c r="K2416" s="51"/>
      <c r="L2416" s="51"/>
      <c r="M2416" s="35"/>
      <c r="N2416" s="51"/>
      <c r="O2416" s="82"/>
      <c r="P2416" s="51"/>
      <c r="Q2416" s="338"/>
      <c r="R2416" s="51"/>
      <c r="S2416" s="51"/>
      <c r="T2416" s="338"/>
      <c r="U2416" s="51"/>
      <c r="V2416" s="35"/>
      <c r="W2416" s="364">
        <f>SUM(Y2416:AI2416)</f>
        <v>101674.27</v>
      </c>
      <c r="X2416" s="285"/>
      <c r="Y2416" s="285">
        <v>101674.27</v>
      </c>
      <c r="Z2416" s="285"/>
      <c r="AA2416" s="285"/>
      <c r="AB2416" s="285"/>
      <c r="AC2416" s="9"/>
      <c r="AD2416" s="9"/>
      <c r="AE2416" s="40"/>
      <c r="AF2416" s="56"/>
      <c r="AG2416" s="56"/>
      <c r="AH2416" s="56"/>
      <c r="AI2416" s="56"/>
      <c r="AJ2416" s="56"/>
      <c r="AK2416" s="56"/>
      <c r="AL2416" s="56"/>
      <c r="AM2416" s="56"/>
      <c r="AN2416" s="56"/>
    </row>
    <row r="2417" spans="1:40" x14ac:dyDescent="0.3">
      <c r="A2417" s="47">
        <f t="shared" si="562"/>
        <v>2164</v>
      </c>
      <c r="B2417" s="414" t="s">
        <v>2964</v>
      </c>
      <c r="C2417" s="51">
        <f t="shared" si="560"/>
        <v>338992.97</v>
      </c>
      <c r="D2417" s="51">
        <f t="shared" si="559"/>
        <v>0</v>
      </c>
      <c r="E2417" s="51"/>
      <c r="F2417" s="51"/>
      <c r="G2417" s="51"/>
      <c r="H2417" s="51"/>
      <c r="I2417" s="51"/>
      <c r="J2417" s="51"/>
      <c r="K2417" s="51"/>
      <c r="L2417" s="51"/>
      <c r="M2417" s="35"/>
      <c r="N2417" s="51"/>
      <c r="O2417" s="82"/>
      <c r="P2417" s="51"/>
      <c r="Q2417" s="338"/>
      <c r="R2417" s="51"/>
      <c r="S2417" s="51"/>
      <c r="T2417" s="338"/>
      <c r="U2417" s="51"/>
      <c r="V2417" s="35"/>
      <c r="W2417" s="364">
        <f>SUM(Y2417:AI2417)</f>
        <v>338992.97</v>
      </c>
      <c r="X2417" s="285"/>
      <c r="Y2417" s="285">
        <v>103815.05</v>
      </c>
      <c r="Z2417" s="285"/>
      <c r="AA2417" s="285">
        <v>109210.75</v>
      </c>
      <c r="AB2417" s="285">
        <v>125967.17</v>
      </c>
      <c r="AC2417" s="9"/>
      <c r="AD2417" s="9"/>
      <c r="AE2417" s="40"/>
      <c r="AF2417" s="56"/>
      <c r="AG2417" s="56"/>
      <c r="AH2417" s="56"/>
      <c r="AI2417" s="56"/>
      <c r="AJ2417" s="56"/>
      <c r="AK2417" s="56"/>
      <c r="AL2417" s="56"/>
      <c r="AM2417" s="56"/>
      <c r="AN2417" s="56"/>
    </row>
    <row r="2418" spans="1:40" x14ac:dyDescent="0.3">
      <c r="A2418" s="47">
        <f t="shared" si="562"/>
        <v>2165</v>
      </c>
      <c r="B2418" s="414" t="s">
        <v>2965</v>
      </c>
      <c r="C2418" s="51">
        <f t="shared" si="560"/>
        <v>130000</v>
      </c>
      <c r="D2418" s="51">
        <f t="shared" si="559"/>
        <v>0</v>
      </c>
      <c r="E2418" s="51"/>
      <c r="F2418" s="51"/>
      <c r="G2418" s="51"/>
      <c r="H2418" s="51"/>
      <c r="I2418" s="51"/>
      <c r="J2418" s="51"/>
      <c r="K2418" s="51"/>
      <c r="L2418" s="51"/>
      <c r="M2418" s="35"/>
      <c r="N2418" s="51"/>
      <c r="O2418" s="82"/>
      <c r="P2418" s="51"/>
      <c r="Q2418" s="338"/>
      <c r="R2418" s="51"/>
      <c r="S2418" s="51"/>
      <c r="T2418" s="338"/>
      <c r="U2418" s="51"/>
      <c r="V2418" s="35"/>
      <c r="W2418" s="364">
        <v>130000</v>
      </c>
      <c r="X2418" s="285"/>
      <c r="Y2418" s="285"/>
      <c r="Z2418" s="285"/>
      <c r="AA2418" s="285"/>
      <c r="AB2418" s="285"/>
      <c r="AC2418" s="9"/>
      <c r="AD2418" s="9"/>
      <c r="AE2418" s="40"/>
      <c r="AF2418" s="56"/>
      <c r="AG2418" s="56"/>
      <c r="AH2418" s="56"/>
      <c r="AI2418" s="56"/>
      <c r="AJ2418" s="56"/>
      <c r="AK2418" s="56"/>
      <c r="AL2418" s="56"/>
      <c r="AM2418" s="56"/>
      <c r="AN2418" s="56"/>
    </row>
    <row r="2419" spans="1:40" x14ac:dyDescent="0.3">
      <c r="A2419" s="47">
        <f t="shared" si="562"/>
        <v>2166</v>
      </c>
      <c r="B2419" s="414" t="s">
        <v>2966</v>
      </c>
      <c r="C2419" s="51">
        <f t="shared" si="560"/>
        <v>776457.27</v>
      </c>
      <c r="D2419" s="51">
        <f t="shared" si="559"/>
        <v>0</v>
      </c>
      <c r="E2419" s="51"/>
      <c r="F2419" s="51"/>
      <c r="G2419" s="51"/>
      <c r="H2419" s="51"/>
      <c r="I2419" s="51"/>
      <c r="J2419" s="51"/>
      <c r="K2419" s="51"/>
      <c r="L2419" s="51"/>
      <c r="M2419" s="35"/>
      <c r="N2419" s="51"/>
      <c r="O2419" s="82"/>
      <c r="P2419" s="51"/>
      <c r="Q2419" s="338"/>
      <c r="R2419" s="51"/>
      <c r="S2419" s="51"/>
      <c r="T2419" s="338"/>
      <c r="U2419" s="51"/>
      <c r="V2419" s="35"/>
      <c r="W2419" s="364">
        <f t="shared" ref="W2419:W2439" si="563">SUM(Y2419:AI2419)</f>
        <v>776457.27</v>
      </c>
      <c r="X2419" s="285"/>
      <c r="Y2419" s="285"/>
      <c r="Z2419" s="285"/>
      <c r="AA2419" s="285"/>
      <c r="AB2419" s="285"/>
      <c r="AC2419" s="9"/>
      <c r="AD2419" s="9">
        <v>211493.27</v>
      </c>
      <c r="AE2419" s="40"/>
      <c r="AF2419" s="56">
        <v>564964</v>
      </c>
      <c r="AG2419" s="56"/>
      <c r="AH2419" s="56"/>
      <c r="AI2419" s="56"/>
      <c r="AJ2419" s="56"/>
      <c r="AK2419" s="56"/>
      <c r="AL2419" s="56"/>
      <c r="AM2419" s="56"/>
      <c r="AN2419" s="56"/>
    </row>
    <row r="2420" spans="1:40" x14ac:dyDescent="0.3">
      <c r="A2420" s="47">
        <f t="shared" si="562"/>
        <v>2167</v>
      </c>
      <c r="B2420" s="414" t="s">
        <v>2967</v>
      </c>
      <c r="C2420" s="51">
        <f t="shared" si="560"/>
        <v>219940.9</v>
      </c>
      <c r="D2420" s="51">
        <f t="shared" si="559"/>
        <v>0</v>
      </c>
      <c r="E2420" s="51"/>
      <c r="F2420" s="51"/>
      <c r="G2420" s="51"/>
      <c r="H2420" s="51"/>
      <c r="I2420" s="51"/>
      <c r="J2420" s="51"/>
      <c r="K2420" s="51"/>
      <c r="L2420" s="51"/>
      <c r="M2420" s="35"/>
      <c r="N2420" s="51"/>
      <c r="O2420" s="82"/>
      <c r="P2420" s="51"/>
      <c r="Q2420" s="338"/>
      <c r="R2420" s="51"/>
      <c r="S2420" s="51"/>
      <c r="T2420" s="338"/>
      <c r="U2420" s="51"/>
      <c r="V2420" s="35"/>
      <c r="W2420" s="364">
        <f t="shared" si="563"/>
        <v>219940.9</v>
      </c>
      <c r="X2420" s="285"/>
      <c r="Y2420" s="285"/>
      <c r="Z2420" s="285"/>
      <c r="AA2420" s="285"/>
      <c r="AB2420" s="285"/>
      <c r="AC2420" s="9"/>
      <c r="AD2420" s="9">
        <v>219940.9</v>
      </c>
      <c r="AE2420" s="40"/>
      <c r="AF2420" s="56"/>
      <c r="AG2420" s="56"/>
      <c r="AH2420" s="56"/>
      <c r="AI2420" s="56"/>
      <c r="AJ2420" s="56"/>
      <c r="AK2420" s="56"/>
      <c r="AL2420" s="56"/>
      <c r="AM2420" s="56"/>
      <c r="AN2420" s="56"/>
    </row>
    <row r="2421" spans="1:40" x14ac:dyDescent="0.3">
      <c r="A2421" s="47">
        <f t="shared" si="562"/>
        <v>2168</v>
      </c>
      <c r="B2421" s="414" t="s">
        <v>2968</v>
      </c>
      <c r="C2421" s="51">
        <f t="shared" si="560"/>
        <v>918215.59000000008</v>
      </c>
      <c r="D2421" s="51">
        <f t="shared" si="559"/>
        <v>0</v>
      </c>
      <c r="E2421" s="51"/>
      <c r="F2421" s="51"/>
      <c r="G2421" s="51"/>
      <c r="H2421" s="51"/>
      <c r="I2421" s="51"/>
      <c r="J2421" s="51"/>
      <c r="K2421" s="51"/>
      <c r="L2421" s="51"/>
      <c r="M2421" s="35"/>
      <c r="N2421" s="51"/>
      <c r="O2421" s="82"/>
      <c r="P2421" s="51"/>
      <c r="Q2421" s="338"/>
      <c r="R2421" s="51"/>
      <c r="S2421" s="51"/>
      <c r="T2421" s="338"/>
      <c r="U2421" s="51"/>
      <c r="V2421" s="35"/>
      <c r="W2421" s="364">
        <f t="shared" si="563"/>
        <v>918215.59000000008</v>
      </c>
      <c r="X2421" s="285"/>
      <c r="Y2421" s="285"/>
      <c r="Z2421" s="285"/>
      <c r="AA2421" s="285"/>
      <c r="AB2421" s="285"/>
      <c r="AC2421" s="9">
        <v>117466.88</v>
      </c>
      <c r="AD2421" s="9">
        <v>218268.06</v>
      </c>
      <c r="AE2421" s="40"/>
      <c r="AF2421" s="56">
        <v>582480.65</v>
      </c>
      <c r="AG2421" s="56"/>
      <c r="AH2421" s="56"/>
      <c r="AI2421" s="56"/>
      <c r="AJ2421" s="56"/>
      <c r="AK2421" s="56"/>
      <c r="AL2421" s="56"/>
      <c r="AM2421" s="56"/>
      <c r="AN2421" s="56"/>
    </row>
    <row r="2422" spans="1:40" x14ac:dyDescent="0.3">
      <c r="A2422" s="47">
        <f t="shared" si="562"/>
        <v>2169</v>
      </c>
      <c r="B2422" s="414" t="s">
        <v>2969</v>
      </c>
      <c r="C2422" s="51">
        <f t="shared" si="560"/>
        <v>493401.95</v>
      </c>
      <c r="D2422" s="51">
        <f t="shared" si="559"/>
        <v>0</v>
      </c>
      <c r="E2422" s="51"/>
      <c r="F2422" s="51"/>
      <c r="G2422" s="51"/>
      <c r="H2422" s="51"/>
      <c r="I2422" s="51"/>
      <c r="J2422" s="51"/>
      <c r="K2422" s="51"/>
      <c r="L2422" s="51"/>
      <c r="M2422" s="35"/>
      <c r="N2422" s="51"/>
      <c r="O2422" s="82"/>
      <c r="P2422" s="51"/>
      <c r="Q2422" s="338"/>
      <c r="R2422" s="51"/>
      <c r="S2422" s="51"/>
      <c r="T2422" s="338"/>
      <c r="U2422" s="51"/>
      <c r="V2422" s="35"/>
      <c r="W2422" s="364">
        <f t="shared" si="563"/>
        <v>493401.95</v>
      </c>
      <c r="X2422" s="285"/>
      <c r="Y2422" s="285"/>
      <c r="Z2422" s="285"/>
      <c r="AA2422" s="285"/>
      <c r="AB2422" s="285"/>
      <c r="AC2422" s="9"/>
      <c r="AD2422" s="9">
        <v>185930.87</v>
      </c>
      <c r="AE2422" s="40"/>
      <c r="AF2422" s="56">
        <v>307471.08</v>
      </c>
      <c r="AG2422" s="56"/>
      <c r="AH2422" s="56"/>
      <c r="AI2422" s="56"/>
      <c r="AJ2422" s="56"/>
      <c r="AK2422" s="56"/>
      <c r="AL2422" s="56"/>
      <c r="AM2422" s="56"/>
      <c r="AN2422" s="56"/>
    </row>
    <row r="2423" spans="1:40" x14ac:dyDescent="0.3">
      <c r="A2423" s="47">
        <f t="shared" si="562"/>
        <v>2170</v>
      </c>
      <c r="B2423" s="414" t="s">
        <v>2970</v>
      </c>
      <c r="C2423" s="51">
        <f t="shared" si="560"/>
        <v>963403.03</v>
      </c>
      <c r="D2423" s="51">
        <f t="shared" si="559"/>
        <v>0</v>
      </c>
      <c r="E2423" s="51"/>
      <c r="F2423" s="51"/>
      <c r="G2423" s="51"/>
      <c r="H2423" s="51"/>
      <c r="I2423" s="51"/>
      <c r="J2423" s="51"/>
      <c r="K2423" s="51"/>
      <c r="L2423" s="51"/>
      <c r="M2423" s="35"/>
      <c r="N2423" s="51"/>
      <c r="O2423" s="82"/>
      <c r="P2423" s="51"/>
      <c r="Q2423" s="338"/>
      <c r="R2423" s="51"/>
      <c r="S2423" s="51"/>
      <c r="T2423" s="338"/>
      <c r="U2423" s="51"/>
      <c r="V2423" s="35"/>
      <c r="W2423" s="364">
        <f t="shared" si="563"/>
        <v>963403.03</v>
      </c>
      <c r="X2423" s="285"/>
      <c r="Y2423" s="285"/>
      <c r="Z2423" s="285"/>
      <c r="AA2423" s="285"/>
      <c r="AB2423" s="285"/>
      <c r="AC2423" s="9">
        <v>124153.16</v>
      </c>
      <c r="AD2423" s="9">
        <v>229005.91</v>
      </c>
      <c r="AE2423" s="40"/>
      <c r="AF2423" s="56">
        <v>610243.96</v>
      </c>
      <c r="AG2423" s="56"/>
      <c r="AH2423" s="56"/>
      <c r="AI2423" s="56"/>
      <c r="AJ2423" s="56"/>
      <c r="AK2423" s="56"/>
      <c r="AL2423" s="56"/>
      <c r="AM2423" s="56"/>
      <c r="AN2423" s="56"/>
    </row>
    <row r="2424" spans="1:40" x14ac:dyDescent="0.3">
      <c r="A2424" s="47">
        <f t="shared" si="562"/>
        <v>2171</v>
      </c>
      <c r="B2424" s="414" t="s">
        <v>2971</v>
      </c>
      <c r="C2424" s="51">
        <f t="shared" ref="C2424:C2455" si="564">D2424+K2424+L2424+N2424+P2424+R2424+S2424+U2424+V2424+W2424</f>
        <v>870606.5</v>
      </c>
      <c r="D2424" s="51">
        <f t="shared" si="559"/>
        <v>0</v>
      </c>
      <c r="E2424" s="51"/>
      <c r="F2424" s="51"/>
      <c r="G2424" s="51"/>
      <c r="H2424" s="51"/>
      <c r="I2424" s="51"/>
      <c r="J2424" s="51"/>
      <c r="K2424" s="51"/>
      <c r="L2424" s="51"/>
      <c r="M2424" s="35"/>
      <c r="N2424" s="51"/>
      <c r="O2424" s="82"/>
      <c r="P2424" s="51"/>
      <c r="Q2424" s="338"/>
      <c r="R2424" s="51"/>
      <c r="S2424" s="51"/>
      <c r="T2424" s="338"/>
      <c r="U2424" s="51"/>
      <c r="V2424" s="35"/>
      <c r="W2424" s="364">
        <f t="shared" si="563"/>
        <v>870606.5</v>
      </c>
      <c r="X2424" s="285"/>
      <c r="Y2424" s="285"/>
      <c r="Z2424" s="285"/>
      <c r="AA2424" s="285"/>
      <c r="AB2424" s="285"/>
      <c r="AC2424" s="9"/>
      <c r="AD2424" s="9">
        <v>237751.18</v>
      </c>
      <c r="AE2424" s="40"/>
      <c r="AF2424" s="56">
        <v>632855.31999999995</v>
      </c>
      <c r="AG2424" s="56"/>
      <c r="AH2424" s="56"/>
      <c r="AI2424" s="56"/>
      <c r="AJ2424" s="56"/>
      <c r="AK2424" s="56"/>
      <c r="AL2424" s="56"/>
      <c r="AM2424" s="56"/>
      <c r="AN2424" s="56"/>
    </row>
    <row r="2425" spans="1:40" x14ac:dyDescent="0.3">
      <c r="A2425" s="47">
        <f t="shared" si="562"/>
        <v>2172</v>
      </c>
      <c r="B2425" s="414" t="s">
        <v>2972</v>
      </c>
      <c r="C2425" s="51">
        <f t="shared" si="564"/>
        <v>746259.65</v>
      </c>
      <c r="D2425" s="51">
        <f t="shared" si="559"/>
        <v>0</v>
      </c>
      <c r="E2425" s="51"/>
      <c r="F2425" s="51"/>
      <c r="G2425" s="51"/>
      <c r="H2425" s="51"/>
      <c r="I2425" s="51"/>
      <c r="J2425" s="51"/>
      <c r="K2425" s="51"/>
      <c r="L2425" s="51"/>
      <c r="M2425" s="35"/>
      <c r="N2425" s="51"/>
      <c r="O2425" s="82"/>
      <c r="P2425" s="51"/>
      <c r="Q2425" s="338"/>
      <c r="R2425" s="51"/>
      <c r="S2425" s="51"/>
      <c r="T2425" s="338"/>
      <c r="U2425" s="51"/>
      <c r="V2425" s="35"/>
      <c r="W2425" s="364">
        <f t="shared" si="563"/>
        <v>746259.65</v>
      </c>
      <c r="X2425" s="285"/>
      <c r="Y2425" s="285"/>
      <c r="Z2425" s="285"/>
      <c r="AA2425" s="285"/>
      <c r="AB2425" s="285"/>
      <c r="AC2425" s="9"/>
      <c r="AD2425" s="9">
        <v>203071.25</v>
      </c>
      <c r="AE2425" s="40"/>
      <c r="AF2425" s="56">
        <v>543188.4</v>
      </c>
      <c r="AG2425" s="56"/>
      <c r="AH2425" s="56"/>
      <c r="AI2425" s="56"/>
      <c r="AJ2425" s="56"/>
      <c r="AK2425" s="56"/>
      <c r="AL2425" s="56"/>
      <c r="AM2425" s="56"/>
      <c r="AN2425" s="56"/>
    </row>
    <row r="2426" spans="1:40" x14ac:dyDescent="0.3">
      <c r="A2426" s="47">
        <f t="shared" si="562"/>
        <v>2173</v>
      </c>
      <c r="B2426" s="414" t="s">
        <v>2973</v>
      </c>
      <c r="C2426" s="51">
        <f t="shared" si="564"/>
        <v>463689.76</v>
      </c>
      <c r="D2426" s="51">
        <f t="shared" si="559"/>
        <v>0</v>
      </c>
      <c r="E2426" s="51"/>
      <c r="F2426" s="51"/>
      <c r="G2426" s="51"/>
      <c r="H2426" s="51"/>
      <c r="I2426" s="51"/>
      <c r="J2426" s="51"/>
      <c r="K2426" s="51"/>
      <c r="L2426" s="51"/>
      <c r="M2426" s="35"/>
      <c r="N2426" s="51"/>
      <c r="O2426" s="82"/>
      <c r="P2426" s="51"/>
      <c r="Q2426" s="338"/>
      <c r="R2426" s="51"/>
      <c r="S2426" s="51"/>
      <c r="T2426" s="338"/>
      <c r="U2426" s="51"/>
      <c r="V2426" s="35"/>
      <c r="W2426" s="364">
        <f t="shared" si="563"/>
        <v>463689.76</v>
      </c>
      <c r="X2426" s="285"/>
      <c r="Y2426" s="285"/>
      <c r="Z2426" s="285"/>
      <c r="AA2426" s="285"/>
      <c r="AB2426" s="285"/>
      <c r="AC2426" s="9"/>
      <c r="AD2426" s="9">
        <v>174947.04</v>
      </c>
      <c r="AE2426" s="40"/>
      <c r="AF2426" s="56">
        <v>288742.71999999997</v>
      </c>
      <c r="AG2426" s="56"/>
      <c r="AH2426" s="56"/>
      <c r="AI2426" s="56"/>
      <c r="AJ2426" s="56"/>
      <c r="AK2426" s="56"/>
      <c r="AL2426" s="56"/>
      <c r="AM2426" s="56"/>
      <c r="AN2426" s="56">
        <v>133.34</v>
      </c>
    </row>
    <row r="2427" spans="1:40" x14ac:dyDescent="0.3">
      <c r="A2427" s="47">
        <f t="shared" si="562"/>
        <v>2174</v>
      </c>
      <c r="B2427" s="414" t="s">
        <v>2974</v>
      </c>
      <c r="C2427" s="51">
        <f t="shared" si="564"/>
        <v>724381.45</v>
      </c>
      <c r="D2427" s="51">
        <f t="shared" si="559"/>
        <v>0</v>
      </c>
      <c r="E2427" s="51"/>
      <c r="F2427" s="51"/>
      <c r="G2427" s="51"/>
      <c r="H2427" s="51"/>
      <c r="I2427" s="51"/>
      <c r="J2427" s="51"/>
      <c r="K2427" s="51"/>
      <c r="L2427" s="51"/>
      <c r="M2427" s="35"/>
      <c r="N2427" s="51"/>
      <c r="O2427" s="82"/>
      <c r="P2427" s="51"/>
      <c r="Q2427" s="338"/>
      <c r="R2427" s="51"/>
      <c r="S2427" s="51"/>
      <c r="T2427" s="338"/>
      <c r="U2427" s="51"/>
      <c r="V2427" s="35"/>
      <c r="W2427" s="364">
        <f t="shared" si="563"/>
        <v>724381.45</v>
      </c>
      <c r="X2427" s="285"/>
      <c r="Y2427" s="285"/>
      <c r="Z2427" s="285"/>
      <c r="AA2427" s="285"/>
      <c r="AB2427" s="285"/>
      <c r="AC2427" s="9"/>
      <c r="AD2427" s="9">
        <v>196969.49</v>
      </c>
      <c r="AE2427" s="40"/>
      <c r="AF2427" s="56">
        <v>527411.96</v>
      </c>
      <c r="AG2427" s="56"/>
      <c r="AH2427" s="56"/>
      <c r="AI2427" s="56"/>
      <c r="AJ2427" s="56"/>
      <c r="AK2427" s="56"/>
      <c r="AL2427" s="56"/>
      <c r="AM2427" s="56"/>
      <c r="AN2427" s="56"/>
    </row>
    <row r="2428" spans="1:40" x14ac:dyDescent="0.3">
      <c r="A2428" s="47">
        <f t="shared" si="562"/>
        <v>2175</v>
      </c>
      <c r="B2428" s="414" t="s">
        <v>2975</v>
      </c>
      <c r="C2428" s="51">
        <f t="shared" si="564"/>
        <v>751689.49</v>
      </c>
      <c r="D2428" s="51">
        <f t="shared" si="559"/>
        <v>0</v>
      </c>
      <c r="E2428" s="51"/>
      <c r="F2428" s="51"/>
      <c r="G2428" s="51"/>
      <c r="H2428" s="51"/>
      <c r="I2428" s="51"/>
      <c r="J2428" s="51"/>
      <c r="K2428" s="51"/>
      <c r="L2428" s="51"/>
      <c r="M2428" s="35"/>
      <c r="N2428" s="51"/>
      <c r="O2428" s="82"/>
      <c r="P2428" s="51"/>
      <c r="Q2428" s="338"/>
      <c r="R2428" s="51"/>
      <c r="S2428" s="51"/>
      <c r="T2428" s="338"/>
      <c r="U2428" s="51"/>
      <c r="V2428" s="35"/>
      <c r="W2428" s="364">
        <f t="shared" si="563"/>
        <v>751689.49</v>
      </c>
      <c r="X2428" s="285"/>
      <c r="Y2428" s="285"/>
      <c r="Z2428" s="285"/>
      <c r="AA2428" s="285"/>
      <c r="AB2428" s="285"/>
      <c r="AC2428" s="9"/>
      <c r="AD2428" s="9">
        <v>204585.61</v>
      </c>
      <c r="AE2428" s="40"/>
      <c r="AF2428" s="56">
        <v>547103.88</v>
      </c>
      <c r="AG2428" s="56"/>
      <c r="AH2428" s="56"/>
      <c r="AI2428" s="56"/>
      <c r="AJ2428" s="56"/>
      <c r="AK2428" s="56"/>
      <c r="AL2428" s="56"/>
      <c r="AM2428" s="56"/>
      <c r="AN2428" s="56"/>
    </row>
    <row r="2429" spans="1:40" x14ac:dyDescent="0.3">
      <c r="A2429" s="47">
        <f t="shared" si="562"/>
        <v>2176</v>
      </c>
      <c r="B2429" s="414" t="s">
        <v>2976</v>
      </c>
      <c r="C2429" s="51">
        <f t="shared" si="564"/>
        <v>709962.84</v>
      </c>
      <c r="D2429" s="51">
        <f t="shared" si="559"/>
        <v>0</v>
      </c>
      <c r="E2429" s="51"/>
      <c r="F2429" s="51"/>
      <c r="G2429" s="51"/>
      <c r="H2429" s="51"/>
      <c r="I2429" s="51"/>
      <c r="J2429" s="51"/>
      <c r="K2429" s="51"/>
      <c r="L2429" s="51"/>
      <c r="M2429" s="35"/>
      <c r="N2429" s="51"/>
      <c r="O2429" s="82"/>
      <c r="P2429" s="51"/>
      <c r="Q2429" s="338"/>
      <c r="R2429" s="51"/>
      <c r="S2429" s="51"/>
      <c r="T2429" s="338"/>
      <c r="U2429" s="51"/>
      <c r="V2429" s="35"/>
      <c r="W2429" s="364">
        <f t="shared" si="563"/>
        <v>709962.84</v>
      </c>
      <c r="X2429" s="285"/>
      <c r="Y2429" s="285"/>
      <c r="Z2429" s="285"/>
      <c r="AA2429" s="285"/>
      <c r="AB2429" s="285"/>
      <c r="AC2429" s="9">
        <v>88222.34</v>
      </c>
      <c r="AD2429" s="9">
        <v>169057.18</v>
      </c>
      <c r="AE2429" s="40"/>
      <c r="AF2429" s="56">
        <v>452683.32</v>
      </c>
      <c r="AG2429" s="56"/>
      <c r="AH2429" s="56"/>
      <c r="AI2429" s="56"/>
      <c r="AJ2429" s="56"/>
      <c r="AK2429" s="56"/>
      <c r="AL2429" s="56"/>
      <c r="AM2429" s="56"/>
      <c r="AN2429" s="56"/>
    </row>
    <row r="2430" spans="1:40" x14ac:dyDescent="0.3">
      <c r="A2430" s="47">
        <f t="shared" si="562"/>
        <v>2177</v>
      </c>
      <c r="B2430" s="414" t="s">
        <v>2977</v>
      </c>
      <c r="C2430" s="51">
        <f t="shared" si="564"/>
        <v>631095.40999999992</v>
      </c>
      <c r="D2430" s="51">
        <f t="shared" si="559"/>
        <v>0</v>
      </c>
      <c r="E2430" s="51"/>
      <c r="F2430" s="51"/>
      <c r="G2430" s="51"/>
      <c r="H2430" s="51"/>
      <c r="I2430" s="51"/>
      <c r="J2430" s="51"/>
      <c r="K2430" s="51"/>
      <c r="L2430" s="51"/>
      <c r="M2430" s="35"/>
      <c r="N2430" s="51"/>
      <c r="O2430" s="82"/>
      <c r="P2430" s="51"/>
      <c r="Q2430" s="338"/>
      <c r="R2430" s="51"/>
      <c r="S2430" s="51"/>
      <c r="T2430" s="338"/>
      <c r="U2430" s="51"/>
      <c r="V2430" s="35"/>
      <c r="W2430" s="364">
        <f t="shared" si="563"/>
        <v>631095.40999999992</v>
      </c>
      <c r="X2430" s="285"/>
      <c r="Y2430" s="285"/>
      <c r="Z2430" s="285"/>
      <c r="AA2430" s="285"/>
      <c r="AB2430" s="285"/>
      <c r="AC2430" s="9"/>
      <c r="AD2430" s="9">
        <v>171683.75</v>
      </c>
      <c r="AE2430" s="40"/>
      <c r="AF2430" s="56">
        <v>459411.66</v>
      </c>
      <c r="AG2430" s="56"/>
      <c r="AH2430" s="56"/>
      <c r="AI2430" s="56"/>
      <c r="AJ2430" s="56"/>
      <c r="AK2430" s="56"/>
      <c r="AL2430" s="56"/>
      <c r="AM2430" s="56"/>
      <c r="AN2430" s="56"/>
    </row>
    <row r="2431" spans="1:40" x14ac:dyDescent="0.3">
      <c r="A2431" s="47">
        <f t="shared" si="562"/>
        <v>2178</v>
      </c>
      <c r="B2431" s="414" t="s">
        <v>2978</v>
      </c>
      <c r="C2431" s="51">
        <f t="shared" si="564"/>
        <v>751636.16999999993</v>
      </c>
      <c r="D2431" s="51">
        <f t="shared" si="559"/>
        <v>0</v>
      </c>
      <c r="E2431" s="51"/>
      <c r="F2431" s="51"/>
      <c r="G2431" s="51"/>
      <c r="H2431" s="51"/>
      <c r="I2431" s="51"/>
      <c r="J2431" s="51"/>
      <c r="K2431" s="51"/>
      <c r="L2431" s="51"/>
      <c r="M2431" s="35"/>
      <c r="N2431" s="51"/>
      <c r="O2431" s="82"/>
      <c r="P2431" s="51"/>
      <c r="Q2431" s="338"/>
      <c r="R2431" s="51"/>
      <c r="S2431" s="51"/>
      <c r="T2431" s="338"/>
      <c r="U2431" s="51"/>
      <c r="V2431" s="35"/>
      <c r="W2431" s="364">
        <f t="shared" si="563"/>
        <v>751636.16999999993</v>
      </c>
      <c r="X2431" s="285"/>
      <c r="Y2431" s="285"/>
      <c r="Z2431" s="285"/>
      <c r="AA2431" s="285"/>
      <c r="AB2431" s="285"/>
      <c r="AC2431" s="9"/>
      <c r="AD2431" s="9">
        <v>203917.1</v>
      </c>
      <c r="AE2431" s="40"/>
      <c r="AF2431" s="56">
        <v>547719.06999999995</v>
      </c>
      <c r="AG2431" s="56"/>
      <c r="AH2431" s="56"/>
      <c r="AI2431" s="56"/>
      <c r="AJ2431" s="56"/>
      <c r="AK2431" s="56"/>
      <c r="AL2431" s="56"/>
      <c r="AM2431" s="56"/>
      <c r="AN2431" s="56"/>
    </row>
    <row r="2432" spans="1:40" x14ac:dyDescent="0.3">
      <c r="A2432" s="47">
        <f t="shared" si="562"/>
        <v>2179</v>
      </c>
      <c r="B2432" s="414" t="s">
        <v>2979</v>
      </c>
      <c r="C2432" s="51">
        <f t="shared" si="564"/>
        <v>175822.57</v>
      </c>
      <c r="D2432" s="51">
        <f t="shared" si="559"/>
        <v>0</v>
      </c>
      <c r="E2432" s="51"/>
      <c r="F2432" s="51"/>
      <c r="G2432" s="51"/>
      <c r="H2432" s="51"/>
      <c r="I2432" s="51"/>
      <c r="J2432" s="51"/>
      <c r="K2432" s="51"/>
      <c r="L2432" s="51"/>
      <c r="M2432" s="35"/>
      <c r="N2432" s="51"/>
      <c r="O2432" s="82"/>
      <c r="P2432" s="51"/>
      <c r="Q2432" s="338"/>
      <c r="R2432" s="51"/>
      <c r="S2432" s="51"/>
      <c r="T2432" s="338"/>
      <c r="U2432" s="51"/>
      <c r="V2432" s="35"/>
      <c r="W2432" s="364">
        <f t="shared" si="563"/>
        <v>175822.57</v>
      </c>
      <c r="X2432" s="285"/>
      <c r="Y2432" s="285"/>
      <c r="Z2432" s="285"/>
      <c r="AA2432" s="285"/>
      <c r="AB2432" s="285"/>
      <c r="AC2432" s="9"/>
      <c r="AD2432" s="9">
        <v>175822.57</v>
      </c>
      <c r="AE2432" s="40"/>
      <c r="AF2432" s="56"/>
      <c r="AG2432" s="56"/>
      <c r="AH2432" s="56"/>
      <c r="AI2432" s="56"/>
      <c r="AJ2432" s="56"/>
      <c r="AK2432" s="56"/>
      <c r="AL2432" s="56"/>
      <c r="AM2432" s="56"/>
      <c r="AN2432" s="56"/>
    </row>
    <row r="2433" spans="1:40" x14ac:dyDescent="0.3">
      <c r="A2433" s="47">
        <f t="shared" si="562"/>
        <v>2180</v>
      </c>
      <c r="B2433" s="414" t="s">
        <v>2980</v>
      </c>
      <c r="C2433" s="51">
        <f t="shared" si="564"/>
        <v>648104.31000000006</v>
      </c>
      <c r="D2433" s="51">
        <f t="shared" si="559"/>
        <v>0</v>
      </c>
      <c r="E2433" s="51"/>
      <c r="F2433" s="51"/>
      <c r="G2433" s="51"/>
      <c r="H2433" s="51"/>
      <c r="I2433" s="51"/>
      <c r="J2433" s="51"/>
      <c r="K2433" s="51"/>
      <c r="L2433" s="51"/>
      <c r="M2433" s="35"/>
      <c r="N2433" s="51"/>
      <c r="O2433" s="82"/>
      <c r="P2433" s="51"/>
      <c r="Q2433" s="338"/>
      <c r="R2433" s="51"/>
      <c r="S2433" s="51"/>
      <c r="T2433" s="338"/>
      <c r="U2433" s="51"/>
      <c r="V2433" s="35"/>
      <c r="W2433" s="364">
        <f t="shared" si="563"/>
        <v>648104.31000000006</v>
      </c>
      <c r="X2433" s="285"/>
      <c r="Y2433" s="285"/>
      <c r="Z2433" s="285"/>
      <c r="AA2433" s="285"/>
      <c r="AB2433" s="285"/>
      <c r="AC2433" s="9"/>
      <c r="AD2433" s="9">
        <v>176459.32</v>
      </c>
      <c r="AE2433" s="40"/>
      <c r="AF2433" s="56">
        <v>471644.99</v>
      </c>
      <c r="AG2433" s="56"/>
      <c r="AH2433" s="56"/>
      <c r="AI2433" s="56"/>
      <c r="AJ2433" s="56"/>
      <c r="AK2433" s="56"/>
      <c r="AL2433" s="56"/>
      <c r="AM2433" s="56"/>
      <c r="AN2433" s="56"/>
    </row>
    <row r="2434" spans="1:40" x14ac:dyDescent="0.3">
      <c r="A2434" s="47">
        <f t="shared" si="562"/>
        <v>2181</v>
      </c>
      <c r="B2434" s="414" t="s">
        <v>2981</v>
      </c>
      <c r="C2434" s="51">
        <f t="shared" si="564"/>
        <v>815990.4</v>
      </c>
      <c r="D2434" s="51">
        <f t="shared" si="559"/>
        <v>0</v>
      </c>
      <c r="E2434" s="51"/>
      <c r="F2434" s="51"/>
      <c r="G2434" s="51"/>
      <c r="H2434" s="51"/>
      <c r="I2434" s="51"/>
      <c r="J2434" s="51"/>
      <c r="K2434" s="51"/>
      <c r="L2434" s="51"/>
      <c r="M2434" s="35"/>
      <c r="N2434" s="51"/>
      <c r="O2434" s="82"/>
      <c r="P2434" s="51"/>
      <c r="Q2434" s="338"/>
      <c r="R2434" s="51"/>
      <c r="S2434" s="51"/>
      <c r="T2434" s="338"/>
      <c r="U2434" s="51"/>
      <c r="V2434" s="35"/>
      <c r="W2434" s="364">
        <f t="shared" si="563"/>
        <v>815990.4</v>
      </c>
      <c r="X2434" s="285"/>
      <c r="Y2434" s="285"/>
      <c r="Z2434" s="285"/>
      <c r="AA2434" s="285"/>
      <c r="AB2434" s="285"/>
      <c r="AC2434" s="9"/>
      <c r="AD2434" s="9">
        <v>222518.92</v>
      </c>
      <c r="AE2434" s="40"/>
      <c r="AF2434" s="56">
        <v>593471.48</v>
      </c>
      <c r="AG2434" s="56"/>
      <c r="AH2434" s="56"/>
      <c r="AI2434" s="56"/>
      <c r="AJ2434" s="56"/>
      <c r="AK2434" s="56"/>
      <c r="AL2434" s="56"/>
      <c r="AM2434" s="56"/>
      <c r="AN2434" s="56"/>
    </row>
    <row r="2435" spans="1:40" x14ac:dyDescent="0.3">
      <c r="A2435" s="47">
        <f t="shared" si="562"/>
        <v>2182</v>
      </c>
      <c r="B2435" s="414" t="s">
        <v>2982</v>
      </c>
      <c r="C2435" s="51">
        <f t="shared" si="564"/>
        <v>780267.66999999993</v>
      </c>
      <c r="D2435" s="51">
        <f t="shared" si="559"/>
        <v>0</v>
      </c>
      <c r="E2435" s="51"/>
      <c r="F2435" s="51"/>
      <c r="G2435" s="51"/>
      <c r="H2435" s="51"/>
      <c r="I2435" s="51"/>
      <c r="J2435" s="51"/>
      <c r="K2435" s="51"/>
      <c r="L2435" s="51"/>
      <c r="M2435" s="35"/>
      <c r="N2435" s="51"/>
      <c r="O2435" s="82"/>
      <c r="P2435" s="51"/>
      <c r="Q2435" s="338"/>
      <c r="R2435" s="51"/>
      <c r="S2435" s="51"/>
      <c r="T2435" s="338"/>
      <c r="U2435" s="51"/>
      <c r="V2435" s="35"/>
      <c r="W2435" s="364">
        <f t="shared" si="563"/>
        <v>780267.66999999993</v>
      </c>
      <c r="X2435" s="285"/>
      <c r="Y2435" s="285"/>
      <c r="Z2435" s="285"/>
      <c r="AA2435" s="285"/>
      <c r="AB2435" s="285"/>
      <c r="AC2435" s="9"/>
      <c r="AD2435" s="9">
        <v>212555.96</v>
      </c>
      <c r="AE2435" s="40"/>
      <c r="AF2435" s="56">
        <v>567711.71</v>
      </c>
      <c r="AG2435" s="56"/>
      <c r="AH2435" s="56"/>
      <c r="AI2435" s="56"/>
      <c r="AJ2435" s="56"/>
      <c r="AK2435" s="56"/>
      <c r="AL2435" s="56"/>
      <c r="AM2435" s="56"/>
      <c r="AN2435" s="56"/>
    </row>
    <row r="2436" spans="1:40" x14ac:dyDescent="0.3">
      <c r="A2436" s="47">
        <f t="shared" si="562"/>
        <v>2183</v>
      </c>
      <c r="B2436" s="414" t="s">
        <v>2983</v>
      </c>
      <c r="C2436" s="51">
        <f t="shared" si="564"/>
        <v>812021.20000000007</v>
      </c>
      <c r="D2436" s="51">
        <f t="shared" si="559"/>
        <v>0</v>
      </c>
      <c r="E2436" s="51"/>
      <c r="F2436" s="51"/>
      <c r="G2436" s="51"/>
      <c r="H2436" s="51"/>
      <c r="I2436" s="51"/>
      <c r="J2436" s="51"/>
      <c r="K2436" s="51"/>
      <c r="L2436" s="51"/>
      <c r="M2436" s="35"/>
      <c r="N2436" s="51"/>
      <c r="O2436" s="82"/>
      <c r="P2436" s="51"/>
      <c r="Q2436" s="338"/>
      <c r="R2436" s="51"/>
      <c r="S2436" s="51"/>
      <c r="T2436" s="338"/>
      <c r="U2436" s="51"/>
      <c r="V2436" s="35"/>
      <c r="W2436" s="364">
        <f t="shared" si="563"/>
        <v>812021.20000000007</v>
      </c>
      <c r="X2436" s="285"/>
      <c r="Y2436" s="285"/>
      <c r="Z2436" s="285"/>
      <c r="AA2436" s="285"/>
      <c r="AB2436" s="285"/>
      <c r="AC2436" s="9"/>
      <c r="AD2436" s="9">
        <v>221411.92</v>
      </c>
      <c r="AE2436" s="40"/>
      <c r="AF2436" s="56">
        <v>590609.28</v>
      </c>
      <c r="AG2436" s="56"/>
      <c r="AH2436" s="56"/>
      <c r="AI2436" s="56"/>
      <c r="AJ2436" s="56"/>
      <c r="AK2436" s="56"/>
      <c r="AL2436" s="56"/>
      <c r="AM2436" s="56"/>
      <c r="AN2436" s="56"/>
    </row>
    <row r="2437" spans="1:40" x14ac:dyDescent="0.3">
      <c r="A2437" s="47">
        <f t="shared" si="562"/>
        <v>2184</v>
      </c>
      <c r="B2437" s="414" t="s">
        <v>2984</v>
      </c>
      <c r="C2437" s="51">
        <f t="shared" si="564"/>
        <v>854175.57</v>
      </c>
      <c r="D2437" s="51">
        <f t="shared" si="559"/>
        <v>0</v>
      </c>
      <c r="E2437" s="51"/>
      <c r="F2437" s="51"/>
      <c r="G2437" s="51"/>
      <c r="H2437" s="51"/>
      <c r="I2437" s="51"/>
      <c r="J2437" s="51"/>
      <c r="K2437" s="51"/>
      <c r="L2437" s="51"/>
      <c r="M2437" s="35"/>
      <c r="N2437" s="51"/>
      <c r="O2437" s="82"/>
      <c r="P2437" s="51"/>
      <c r="Q2437" s="338"/>
      <c r="R2437" s="51"/>
      <c r="S2437" s="51"/>
      <c r="T2437" s="338"/>
      <c r="U2437" s="51"/>
      <c r="V2437" s="35"/>
      <c r="W2437" s="364">
        <f t="shared" si="563"/>
        <v>854175.57</v>
      </c>
      <c r="X2437" s="285"/>
      <c r="Y2437" s="285"/>
      <c r="Z2437" s="285"/>
      <c r="AA2437" s="285"/>
      <c r="AB2437" s="285"/>
      <c r="AC2437" s="9">
        <v>106324.08</v>
      </c>
      <c r="AD2437" s="9">
        <v>202866.41</v>
      </c>
      <c r="AE2437" s="40"/>
      <c r="AF2437" s="56">
        <v>544985.07999999996</v>
      </c>
      <c r="AG2437" s="56"/>
      <c r="AH2437" s="56"/>
      <c r="AI2437" s="56"/>
      <c r="AJ2437" s="56"/>
      <c r="AK2437" s="56"/>
      <c r="AL2437" s="56"/>
      <c r="AM2437" s="56"/>
      <c r="AN2437" s="56"/>
    </row>
    <row r="2438" spans="1:40" x14ac:dyDescent="0.3">
      <c r="A2438" s="47">
        <f t="shared" si="562"/>
        <v>2185</v>
      </c>
      <c r="B2438" s="414" t="s">
        <v>2985</v>
      </c>
      <c r="C2438" s="51">
        <f t="shared" si="564"/>
        <v>160500.28</v>
      </c>
      <c r="D2438" s="51">
        <f t="shared" si="559"/>
        <v>0</v>
      </c>
      <c r="E2438" s="51"/>
      <c r="F2438" s="51"/>
      <c r="G2438" s="51"/>
      <c r="H2438" s="51"/>
      <c r="I2438" s="51"/>
      <c r="J2438" s="51"/>
      <c r="K2438" s="51"/>
      <c r="L2438" s="51"/>
      <c r="M2438" s="35"/>
      <c r="N2438" s="51"/>
      <c r="O2438" s="82"/>
      <c r="P2438" s="51"/>
      <c r="Q2438" s="338"/>
      <c r="R2438" s="51"/>
      <c r="S2438" s="51"/>
      <c r="T2438" s="338"/>
      <c r="U2438" s="51"/>
      <c r="V2438" s="35"/>
      <c r="W2438" s="364">
        <f t="shared" si="563"/>
        <v>160500.28</v>
      </c>
      <c r="X2438" s="285"/>
      <c r="Y2438" s="285"/>
      <c r="Z2438" s="285"/>
      <c r="AA2438" s="285"/>
      <c r="AB2438" s="285"/>
      <c r="AC2438" s="9">
        <v>160500.28</v>
      </c>
      <c r="AD2438" s="9"/>
      <c r="AE2438" s="40"/>
      <c r="AF2438" s="56"/>
      <c r="AG2438" s="56"/>
      <c r="AH2438" s="56"/>
      <c r="AI2438" s="56"/>
      <c r="AJ2438" s="56"/>
      <c r="AK2438" s="56"/>
      <c r="AL2438" s="56"/>
      <c r="AM2438" s="56"/>
      <c r="AN2438" s="56"/>
    </row>
    <row r="2439" spans="1:40" x14ac:dyDescent="0.3">
      <c r="A2439" s="47">
        <f t="shared" si="562"/>
        <v>2186</v>
      </c>
      <c r="B2439" s="414" t="s">
        <v>2986</v>
      </c>
      <c r="C2439" s="51">
        <f t="shared" si="564"/>
        <v>105625.08</v>
      </c>
      <c r="D2439" s="51">
        <f t="shared" si="559"/>
        <v>0</v>
      </c>
      <c r="E2439" s="51"/>
      <c r="F2439" s="51"/>
      <c r="G2439" s="51"/>
      <c r="H2439" s="51"/>
      <c r="I2439" s="51"/>
      <c r="J2439" s="51"/>
      <c r="K2439" s="51"/>
      <c r="L2439" s="51"/>
      <c r="M2439" s="35"/>
      <c r="N2439" s="51"/>
      <c r="O2439" s="82"/>
      <c r="P2439" s="51"/>
      <c r="Q2439" s="338"/>
      <c r="R2439" s="51"/>
      <c r="S2439" s="51"/>
      <c r="T2439" s="338"/>
      <c r="U2439" s="51"/>
      <c r="V2439" s="35"/>
      <c r="W2439" s="364">
        <f t="shared" si="563"/>
        <v>105625.08</v>
      </c>
      <c r="X2439" s="285"/>
      <c r="Y2439" s="285"/>
      <c r="Z2439" s="285"/>
      <c r="AA2439" s="285"/>
      <c r="AB2439" s="285"/>
      <c r="AC2439" s="9">
        <v>105625.08</v>
      </c>
      <c r="AD2439" s="9"/>
      <c r="AE2439" s="40"/>
      <c r="AF2439" s="56"/>
      <c r="AG2439" s="56"/>
      <c r="AH2439" s="56"/>
      <c r="AI2439" s="56"/>
      <c r="AJ2439" s="56"/>
      <c r="AK2439" s="56"/>
      <c r="AL2439" s="56"/>
      <c r="AM2439" s="56"/>
      <c r="AN2439" s="56"/>
    </row>
    <row r="2440" spans="1:40" x14ac:dyDescent="0.3">
      <c r="A2440" s="47">
        <f t="shared" si="562"/>
        <v>2187</v>
      </c>
      <c r="B2440" s="414" t="s">
        <v>2987</v>
      </c>
      <c r="C2440" s="51">
        <f t="shared" si="564"/>
        <v>130000</v>
      </c>
      <c r="D2440" s="51">
        <f t="shared" si="559"/>
        <v>0</v>
      </c>
      <c r="E2440" s="51"/>
      <c r="F2440" s="51"/>
      <c r="G2440" s="51"/>
      <c r="H2440" s="51"/>
      <c r="I2440" s="51"/>
      <c r="J2440" s="51"/>
      <c r="K2440" s="51"/>
      <c r="L2440" s="51"/>
      <c r="M2440" s="35"/>
      <c r="N2440" s="51"/>
      <c r="O2440" s="82"/>
      <c r="P2440" s="51"/>
      <c r="Q2440" s="338"/>
      <c r="R2440" s="51"/>
      <c r="S2440" s="51"/>
      <c r="T2440" s="338"/>
      <c r="U2440" s="51"/>
      <c r="V2440" s="35"/>
      <c r="W2440" s="364">
        <v>130000</v>
      </c>
      <c r="X2440" s="285"/>
      <c r="Y2440" s="285"/>
      <c r="Z2440" s="285"/>
      <c r="AA2440" s="285"/>
      <c r="AB2440" s="285"/>
      <c r="AC2440" s="9"/>
      <c r="AD2440" s="9"/>
      <c r="AE2440" s="40"/>
      <c r="AF2440" s="56"/>
      <c r="AG2440" s="56"/>
      <c r="AH2440" s="56"/>
      <c r="AI2440" s="56"/>
      <c r="AJ2440" s="56"/>
      <c r="AK2440" s="56"/>
      <c r="AL2440" s="56"/>
      <c r="AM2440" s="56"/>
      <c r="AN2440" s="56"/>
    </row>
    <row r="2441" spans="1:40" x14ac:dyDescent="0.3">
      <c r="A2441" s="47">
        <f t="shared" si="562"/>
        <v>2188</v>
      </c>
      <c r="B2441" s="414" t="s">
        <v>2988</v>
      </c>
      <c r="C2441" s="51">
        <f t="shared" si="564"/>
        <v>216878.59</v>
      </c>
      <c r="D2441" s="51">
        <f t="shared" si="559"/>
        <v>0</v>
      </c>
      <c r="E2441" s="51"/>
      <c r="F2441" s="51"/>
      <c r="G2441" s="51"/>
      <c r="H2441" s="51"/>
      <c r="I2441" s="51"/>
      <c r="J2441" s="51"/>
      <c r="K2441" s="51"/>
      <c r="L2441" s="51"/>
      <c r="M2441" s="35"/>
      <c r="N2441" s="51"/>
      <c r="O2441" s="82"/>
      <c r="P2441" s="51"/>
      <c r="Q2441" s="338"/>
      <c r="R2441" s="51"/>
      <c r="S2441" s="51"/>
      <c r="T2441" s="338"/>
      <c r="U2441" s="51"/>
      <c r="V2441" s="35"/>
      <c r="W2441" s="364">
        <f t="shared" ref="W2441:W2472" si="565">SUM(Y2441:AI2441)</f>
        <v>216878.59</v>
      </c>
      <c r="X2441" s="285"/>
      <c r="Y2441" s="285"/>
      <c r="Z2441" s="285"/>
      <c r="AA2441" s="285"/>
      <c r="AB2441" s="285"/>
      <c r="AC2441" s="9"/>
      <c r="AD2441" s="9">
        <v>216878.59</v>
      </c>
      <c r="AE2441" s="40"/>
      <c r="AF2441" s="56"/>
      <c r="AG2441" s="56"/>
      <c r="AH2441" s="56"/>
      <c r="AI2441" s="56"/>
      <c r="AJ2441" s="56"/>
      <c r="AK2441" s="56"/>
      <c r="AL2441" s="56"/>
      <c r="AM2441" s="56"/>
      <c r="AN2441" s="56"/>
    </row>
    <row r="2442" spans="1:40" x14ac:dyDescent="0.3">
      <c r="A2442" s="47">
        <f t="shared" si="562"/>
        <v>2189</v>
      </c>
      <c r="B2442" s="414" t="s">
        <v>2989</v>
      </c>
      <c r="C2442" s="51">
        <f t="shared" si="564"/>
        <v>1258107.4100000001</v>
      </c>
      <c r="D2442" s="51">
        <f t="shared" si="559"/>
        <v>0</v>
      </c>
      <c r="E2442" s="51"/>
      <c r="F2442" s="51"/>
      <c r="G2442" s="51"/>
      <c r="H2442" s="51"/>
      <c r="I2442" s="51"/>
      <c r="J2442" s="51"/>
      <c r="K2442" s="51"/>
      <c r="L2442" s="51"/>
      <c r="M2442" s="35"/>
      <c r="N2442" s="51"/>
      <c r="O2442" s="82"/>
      <c r="P2442" s="51"/>
      <c r="Q2442" s="338"/>
      <c r="R2442" s="51"/>
      <c r="S2442" s="51"/>
      <c r="T2442" s="338"/>
      <c r="U2442" s="51"/>
      <c r="V2442" s="35"/>
      <c r="W2442" s="364">
        <f t="shared" si="565"/>
        <v>1258107.4100000001</v>
      </c>
      <c r="X2442" s="285"/>
      <c r="Y2442" s="285"/>
      <c r="Z2442" s="285"/>
      <c r="AA2442" s="285"/>
      <c r="AB2442" s="285"/>
      <c r="AC2442" s="9">
        <v>181709.87</v>
      </c>
      <c r="AD2442" s="9"/>
      <c r="AE2442" s="40"/>
      <c r="AF2442" s="56">
        <v>1076397.54</v>
      </c>
      <c r="AG2442" s="56"/>
      <c r="AH2442" s="56"/>
      <c r="AI2442" s="56"/>
      <c r="AJ2442" s="56"/>
      <c r="AK2442" s="56"/>
      <c r="AL2442" s="56"/>
      <c r="AM2442" s="56"/>
      <c r="AN2442" s="56"/>
    </row>
    <row r="2443" spans="1:40" x14ac:dyDescent="0.3">
      <c r="A2443" s="47">
        <f t="shared" si="562"/>
        <v>2190</v>
      </c>
      <c r="B2443" s="414" t="s">
        <v>2990</v>
      </c>
      <c r="C2443" s="51">
        <f t="shared" si="564"/>
        <v>323053.63</v>
      </c>
      <c r="D2443" s="51">
        <f t="shared" si="559"/>
        <v>0</v>
      </c>
      <c r="E2443" s="51"/>
      <c r="F2443" s="51"/>
      <c r="G2443" s="51"/>
      <c r="H2443" s="51"/>
      <c r="I2443" s="51"/>
      <c r="J2443" s="51"/>
      <c r="K2443" s="51"/>
      <c r="L2443" s="51"/>
      <c r="M2443" s="35"/>
      <c r="N2443" s="51"/>
      <c r="O2443" s="82"/>
      <c r="P2443" s="51"/>
      <c r="Q2443" s="338"/>
      <c r="R2443" s="51"/>
      <c r="S2443" s="51"/>
      <c r="T2443" s="338"/>
      <c r="U2443" s="51"/>
      <c r="V2443" s="35"/>
      <c r="W2443" s="364">
        <f t="shared" si="565"/>
        <v>323053.63</v>
      </c>
      <c r="X2443" s="285"/>
      <c r="Y2443" s="285"/>
      <c r="Z2443" s="285"/>
      <c r="AA2443" s="285"/>
      <c r="AB2443" s="285"/>
      <c r="AC2443" s="9">
        <v>323053.63</v>
      </c>
      <c r="AD2443" s="9"/>
      <c r="AE2443" s="40"/>
      <c r="AF2443" s="56"/>
      <c r="AG2443" s="56"/>
      <c r="AH2443" s="56"/>
      <c r="AI2443" s="56"/>
      <c r="AJ2443" s="56"/>
      <c r="AK2443" s="56"/>
      <c r="AL2443" s="56"/>
      <c r="AM2443" s="56"/>
      <c r="AN2443" s="56"/>
    </row>
    <row r="2444" spans="1:40" x14ac:dyDescent="0.3">
      <c r="A2444" s="47">
        <f t="shared" si="562"/>
        <v>2191</v>
      </c>
      <c r="B2444" s="414" t="s">
        <v>2991</v>
      </c>
      <c r="C2444" s="51">
        <f t="shared" si="564"/>
        <v>183723.71</v>
      </c>
      <c r="D2444" s="51">
        <f t="shared" si="559"/>
        <v>0</v>
      </c>
      <c r="E2444" s="51"/>
      <c r="F2444" s="51"/>
      <c r="G2444" s="51"/>
      <c r="H2444" s="51"/>
      <c r="I2444" s="51"/>
      <c r="J2444" s="51"/>
      <c r="K2444" s="51"/>
      <c r="L2444" s="51"/>
      <c r="M2444" s="35"/>
      <c r="N2444" s="51"/>
      <c r="O2444" s="82"/>
      <c r="P2444" s="51"/>
      <c r="Q2444" s="338"/>
      <c r="R2444" s="51"/>
      <c r="S2444" s="51"/>
      <c r="T2444" s="338"/>
      <c r="U2444" s="51"/>
      <c r="V2444" s="35"/>
      <c r="W2444" s="364">
        <f t="shared" si="565"/>
        <v>183723.71</v>
      </c>
      <c r="X2444" s="285"/>
      <c r="Y2444" s="285">
        <v>90949.01</v>
      </c>
      <c r="Z2444" s="285"/>
      <c r="AA2444" s="285"/>
      <c r="AB2444" s="285"/>
      <c r="AC2444" s="9">
        <v>92774.7</v>
      </c>
      <c r="AD2444" s="9"/>
      <c r="AE2444" s="40"/>
      <c r="AF2444" s="56"/>
      <c r="AG2444" s="56"/>
      <c r="AH2444" s="56"/>
      <c r="AI2444" s="56"/>
      <c r="AJ2444" s="56"/>
      <c r="AK2444" s="56"/>
      <c r="AL2444" s="56"/>
      <c r="AM2444" s="56"/>
      <c r="AN2444" s="56"/>
    </row>
    <row r="2445" spans="1:40" x14ac:dyDescent="0.3">
      <c r="A2445" s="47">
        <f t="shared" si="562"/>
        <v>2192</v>
      </c>
      <c r="B2445" s="414" t="s">
        <v>2992</v>
      </c>
      <c r="C2445" s="51">
        <f t="shared" si="564"/>
        <v>110048.5</v>
      </c>
      <c r="D2445" s="51">
        <f t="shared" si="559"/>
        <v>0</v>
      </c>
      <c r="E2445" s="51"/>
      <c r="F2445" s="51"/>
      <c r="G2445" s="51"/>
      <c r="H2445" s="51"/>
      <c r="I2445" s="51"/>
      <c r="J2445" s="51"/>
      <c r="K2445" s="51"/>
      <c r="L2445" s="51"/>
      <c r="M2445" s="35"/>
      <c r="N2445" s="51"/>
      <c r="O2445" s="82"/>
      <c r="P2445" s="51"/>
      <c r="Q2445" s="338"/>
      <c r="R2445" s="51"/>
      <c r="S2445" s="51"/>
      <c r="T2445" s="338"/>
      <c r="U2445" s="51"/>
      <c r="V2445" s="35"/>
      <c r="W2445" s="364">
        <f t="shared" si="565"/>
        <v>110048.5</v>
      </c>
      <c r="X2445" s="285"/>
      <c r="Y2445" s="285">
        <v>110048.5</v>
      </c>
      <c r="Z2445" s="285"/>
      <c r="AA2445" s="285"/>
      <c r="AB2445" s="285"/>
      <c r="AC2445" s="9"/>
      <c r="AD2445" s="9"/>
      <c r="AE2445" s="40"/>
      <c r="AF2445" s="56"/>
      <c r="AG2445" s="56"/>
      <c r="AH2445" s="56"/>
      <c r="AI2445" s="56"/>
      <c r="AJ2445" s="56"/>
      <c r="AK2445" s="56"/>
      <c r="AL2445" s="56"/>
      <c r="AM2445" s="56"/>
      <c r="AN2445" s="56"/>
    </row>
    <row r="2446" spans="1:40" x14ac:dyDescent="0.3">
      <c r="A2446" s="47">
        <f t="shared" si="562"/>
        <v>2193</v>
      </c>
      <c r="B2446" s="414" t="s">
        <v>2993</v>
      </c>
      <c r="C2446" s="51">
        <f t="shared" si="564"/>
        <v>632369.80999999994</v>
      </c>
      <c r="D2446" s="51">
        <f t="shared" si="559"/>
        <v>0</v>
      </c>
      <c r="E2446" s="51"/>
      <c r="F2446" s="51"/>
      <c r="G2446" s="51"/>
      <c r="H2446" s="51"/>
      <c r="I2446" s="51"/>
      <c r="J2446" s="51"/>
      <c r="K2446" s="51"/>
      <c r="L2446" s="51"/>
      <c r="M2446" s="35"/>
      <c r="N2446" s="51"/>
      <c r="O2446" s="82"/>
      <c r="P2446" s="51"/>
      <c r="Q2446" s="338"/>
      <c r="R2446" s="51"/>
      <c r="S2446" s="51"/>
      <c r="T2446" s="338"/>
      <c r="U2446" s="51"/>
      <c r="V2446" s="35"/>
      <c r="W2446" s="364">
        <f t="shared" si="565"/>
        <v>632369.80999999994</v>
      </c>
      <c r="X2446" s="285"/>
      <c r="Y2446" s="285"/>
      <c r="Z2446" s="285"/>
      <c r="AA2446" s="285"/>
      <c r="AB2446" s="285"/>
      <c r="AC2446" s="9">
        <v>79846.320000000007</v>
      </c>
      <c r="AD2446" s="9">
        <v>155797.01999999999</v>
      </c>
      <c r="AE2446" s="40"/>
      <c r="AF2446" s="56">
        <v>396726.47</v>
      </c>
      <c r="AG2446" s="56"/>
      <c r="AH2446" s="56"/>
      <c r="AI2446" s="56"/>
      <c r="AJ2446" s="56"/>
      <c r="AK2446" s="56"/>
      <c r="AL2446" s="56"/>
      <c r="AM2446" s="56"/>
      <c r="AN2446" s="56"/>
    </row>
    <row r="2447" spans="1:40" x14ac:dyDescent="0.3">
      <c r="A2447" s="47">
        <f t="shared" si="562"/>
        <v>2194</v>
      </c>
      <c r="B2447" s="414" t="s">
        <v>2994</v>
      </c>
      <c r="C2447" s="51">
        <f t="shared" si="564"/>
        <v>196261.02</v>
      </c>
      <c r="D2447" s="51">
        <f t="shared" si="559"/>
        <v>0</v>
      </c>
      <c r="E2447" s="51"/>
      <c r="F2447" s="51"/>
      <c r="G2447" s="51"/>
      <c r="H2447" s="51"/>
      <c r="I2447" s="51"/>
      <c r="J2447" s="51"/>
      <c r="K2447" s="51"/>
      <c r="L2447" s="51"/>
      <c r="M2447" s="35"/>
      <c r="N2447" s="51"/>
      <c r="O2447" s="82"/>
      <c r="P2447" s="51"/>
      <c r="Q2447" s="338"/>
      <c r="R2447" s="51"/>
      <c r="S2447" s="51"/>
      <c r="T2447" s="338"/>
      <c r="U2447" s="51"/>
      <c r="V2447" s="35"/>
      <c r="W2447" s="364">
        <f t="shared" si="565"/>
        <v>196261.02</v>
      </c>
      <c r="X2447" s="285"/>
      <c r="Y2447" s="285"/>
      <c r="Z2447" s="285"/>
      <c r="AA2447" s="285"/>
      <c r="AB2447" s="285"/>
      <c r="AC2447" s="9"/>
      <c r="AD2447" s="9">
        <v>196261.02</v>
      </c>
      <c r="AE2447" s="40"/>
      <c r="AF2447" s="56"/>
      <c r="AG2447" s="56"/>
      <c r="AH2447" s="56"/>
      <c r="AI2447" s="56"/>
      <c r="AJ2447" s="56"/>
      <c r="AK2447" s="56"/>
      <c r="AL2447" s="56"/>
      <c r="AM2447" s="56"/>
      <c r="AN2447" s="56"/>
    </row>
    <row r="2448" spans="1:40" x14ac:dyDescent="0.3">
      <c r="A2448" s="47">
        <f t="shared" si="562"/>
        <v>2195</v>
      </c>
      <c r="B2448" s="414" t="s">
        <v>2995</v>
      </c>
      <c r="C2448" s="51">
        <f t="shared" si="564"/>
        <v>200520.74</v>
      </c>
      <c r="D2448" s="51">
        <f t="shared" si="559"/>
        <v>0</v>
      </c>
      <c r="E2448" s="51"/>
      <c r="F2448" s="51"/>
      <c r="G2448" s="51"/>
      <c r="H2448" s="51"/>
      <c r="I2448" s="51"/>
      <c r="J2448" s="51"/>
      <c r="K2448" s="51"/>
      <c r="L2448" s="51"/>
      <c r="M2448" s="35"/>
      <c r="N2448" s="51"/>
      <c r="O2448" s="82"/>
      <c r="P2448" s="51"/>
      <c r="Q2448" s="338"/>
      <c r="R2448" s="51"/>
      <c r="S2448" s="51"/>
      <c r="T2448" s="338"/>
      <c r="U2448" s="51"/>
      <c r="V2448" s="35"/>
      <c r="W2448" s="364">
        <f t="shared" si="565"/>
        <v>200520.74</v>
      </c>
      <c r="X2448" s="285"/>
      <c r="Y2448" s="285"/>
      <c r="Z2448" s="285"/>
      <c r="AA2448" s="285"/>
      <c r="AB2448" s="285"/>
      <c r="AC2448" s="9"/>
      <c r="AD2448" s="9">
        <v>200520.74</v>
      </c>
      <c r="AE2448" s="40"/>
      <c r="AF2448" s="56"/>
      <c r="AG2448" s="56"/>
      <c r="AH2448" s="56"/>
      <c r="AI2448" s="56"/>
      <c r="AJ2448" s="56"/>
      <c r="AK2448" s="56"/>
      <c r="AL2448" s="56"/>
      <c r="AM2448" s="56"/>
      <c r="AN2448" s="56"/>
    </row>
    <row r="2449" spans="1:40" x14ac:dyDescent="0.3">
      <c r="A2449" s="47">
        <f t="shared" si="562"/>
        <v>2196</v>
      </c>
      <c r="B2449" s="414" t="s">
        <v>2996</v>
      </c>
      <c r="C2449" s="51">
        <f t="shared" si="564"/>
        <v>214743.47</v>
      </c>
      <c r="D2449" s="51">
        <f t="shared" si="559"/>
        <v>0</v>
      </c>
      <c r="E2449" s="51"/>
      <c r="F2449" s="51"/>
      <c r="G2449" s="51"/>
      <c r="H2449" s="51"/>
      <c r="I2449" s="51"/>
      <c r="J2449" s="51"/>
      <c r="K2449" s="51"/>
      <c r="L2449" s="51"/>
      <c r="M2449" s="35"/>
      <c r="N2449" s="51"/>
      <c r="O2449" s="82"/>
      <c r="P2449" s="51"/>
      <c r="Q2449" s="338"/>
      <c r="R2449" s="51"/>
      <c r="S2449" s="51"/>
      <c r="T2449" s="338"/>
      <c r="U2449" s="51"/>
      <c r="V2449" s="35"/>
      <c r="W2449" s="364">
        <f t="shared" si="565"/>
        <v>214743.47</v>
      </c>
      <c r="X2449" s="285"/>
      <c r="Y2449" s="285"/>
      <c r="Z2449" s="285"/>
      <c r="AA2449" s="285"/>
      <c r="AB2449" s="285"/>
      <c r="AC2449" s="9"/>
      <c r="AD2449" s="9">
        <v>214743.47</v>
      </c>
      <c r="AE2449" s="40"/>
      <c r="AF2449" s="56"/>
      <c r="AG2449" s="56"/>
      <c r="AH2449" s="56"/>
      <c r="AI2449" s="56"/>
      <c r="AJ2449" s="56"/>
      <c r="AK2449" s="56"/>
      <c r="AL2449" s="56"/>
      <c r="AM2449" s="56"/>
      <c r="AN2449" s="56"/>
    </row>
    <row r="2450" spans="1:40" x14ac:dyDescent="0.3">
      <c r="A2450" s="47">
        <f t="shared" si="562"/>
        <v>2197</v>
      </c>
      <c r="B2450" s="414" t="s">
        <v>2997</v>
      </c>
      <c r="C2450" s="51">
        <f t="shared" si="564"/>
        <v>208535.23</v>
      </c>
      <c r="D2450" s="51">
        <f t="shared" ref="D2450:D2472" si="566">E2450+F2450+G2450+H2450+I2450</f>
        <v>0</v>
      </c>
      <c r="E2450" s="51"/>
      <c r="F2450" s="51"/>
      <c r="G2450" s="51"/>
      <c r="H2450" s="51"/>
      <c r="I2450" s="51"/>
      <c r="J2450" s="51"/>
      <c r="K2450" s="51"/>
      <c r="L2450" s="51"/>
      <c r="M2450" s="35"/>
      <c r="N2450" s="51"/>
      <c r="O2450" s="82"/>
      <c r="P2450" s="51"/>
      <c r="Q2450" s="338"/>
      <c r="R2450" s="51"/>
      <c r="S2450" s="51"/>
      <c r="T2450" s="338"/>
      <c r="U2450" s="51"/>
      <c r="V2450" s="35"/>
      <c r="W2450" s="364">
        <f t="shared" si="565"/>
        <v>208535.23</v>
      </c>
      <c r="X2450" s="285"/>
      <c r="Y2450" s="285"/>
      <c r="Z2450" s="285"/>
      <c r="AA2450" s="285"/>
      <c r="AB2450" s="285"/>
      <c r="AC2450" s="9"/>
      <c r="AD2450" s="9">
        <v>208535.23</v>
      </c>
      <c r="AE2450" s="40"/>
      <c r="AF2450" s="56"/>
      <c r="AG2450" s="56"/>
      <c r="AH2450" s="56"/>
      <c r="AI2450" s="56"/>
      <c r="AJ2450" s="56"/>
      <c r="AK2450" s="56"/>
      <c r="AL2450" s="56"/>
      <c r="AM2450" s="56"/>
      <c r="AN2450" s="56"/>
    </row>
    <row r="2451" spans="1:40" x14ac:dyDescent="0.3">
      <c r="A2451" s="47">
        <f t="shared" si="562"/>
        <v>2198</v>
      </c>
      <c r="B2451" s="414" t="s">
        <v>2998</v>
      </c>
      <c r="C2451" s="51">
        <f t="shared" si="564"/>
        <v>159975.29999999999</v>
      </c>
      <c r="D2451" s="51">
        <f t="shared" si="566"/>
        <v>0</v>
      </c>
      <c r="E2451" s="51"/>
      <c r="F2451" s="51"/>
      <c r="G2451" s="51"/>
      <c r="H2451" s="51"/>
      <c r="I2451" s="51"/>
      <c r="J2451" s="51"/>
      <c r="K2451" s="51"/>
      <c r="L2451" s="51"/>
      <c r="M2451" s="35"/>
      <c r="N2451" s="51"/>
      <c r="O2451" s="82"/>
      <c r="P2451" s="51"/>
      <c r="Q2451" s="338"/>
      <c r="R2451" s="51"/>
      <c r="S2451" s="51"/>
      <c r="T2451" s="338"/>
      <c r="U2451" s="51"/>
      <c r="V2451" s="35"/>
      <c r="W2451" s="364">
        <f t="shared" si="565"/>
        <v>159975.29999999999</v>
      </c>
      <c r="X2451" s="285"/>
      <c r="Y2451" s="285"/>
      <c r="Z2451" s="285"/>
      <c r="AA2451" s="285"/>
      <c r="AB2451" s="285"/>
      <c r="AC2451" s="9"/>
      <c r="AD2451" s="9">
        <v>159975.29999999999</v>
      </c>
      <c r="AE2451" s="40"/>
      <c r="AF2451" s="56"/>
      <c r="AG2451" s="56"/>
      <c r="AH2451" s="56"/>
      <c r="AI2451" s="56"/>
      <c r="AJ2451" s="56"/>
      <c r="AK2451" s="56"/>
      <c r="AL2451" s="56"/>
      <c r="AM2451" s="56"/>
      <c r="AN2451" s="56"/>
    </row>
    <row r="2452" spans="1:40" x14ac:dyDescent="0.3">
      <c r="A2452" s="47">
        <f t="shared" si="562"/>
        <v>2199</v>
      </c>
      <c r="B2452" s="414" t="s">
        <v>2999</v>
      </c>
      <c r="C2452" s="51">
        <f t="shared" si="564"/>
        <v>214663.9</v>
      </c>
      <c r="D2452" s="51">
        <f t="shared" si="566"/>
        <v>0</v>
      </c>
      <c r="E2452" s="51"/>
      <c r="F2452" s="51"/>
      <c r="G2452" s="51"/>
      <c r="H2452" s="51"/>
      <c r="I2452" s="51"/>
      <c r="J2452" s="51"/>
      <c r="K2452" s="51"/>
      <c r="L2452" s="51"/>
      <c r="M2452" s="35"/>
      <c r="N2452" s="51"/>
      <c r="O2452" s="82"/>
      <c r="P2452" s="51"/>
      <c r="Q2452" s="338"/>
      <c r="R2452" s="51"/>
      <c r="S2452" s="51"/>
      <c r="T2452" s="338"/>
      <c r="U2452" s="51"/>
      <c r="V2452" s="35"/>
      <c r="W2452" s="364">
        <f t="shared" si="565"/>
        <v>214663.9</v>
      </c>
      <c r="X2452" s="285"/>
      <c r="Y2452" s="285"/>
      <c r="Z2452" s="285"/>
      <c r="AA2452" s="285"/>
      <c r="AB2452" s="285"/>
      <c r="AC2452" s="9"/>
      <c r="AD2452" s="9">
        <v>214663.9</v>
      </c>
      <c r="AE2452" s="40"/>
      <c r="AF2452" s="56"/>
      <c r="AG2452" s="56"/>
      <c r="AH2452" s="56"/>
      <c r="AI2452" s="56"/>
      <c r="AJ2452" s="56"/>
      <c r="AK2452" s="56"/>
      <c r="AL2452" s="56"/>
      <c r="AM2452" s="56"/>
      <c r="AN2452" s="56"/>
    </row>
    <row r="2453" spans="1:40" x14ac:dyDescent="0.3">
      <c r="A2453" s="47">
        <f t="shared" si="562"/>
        <v>2200</v>
      </c>
      <c r="B2453" s="414" t="s">
        <v>3000</v>
      </c>
      <c r="C2453" s="51">
        <f t="shared" si="564"/>
        <v>218667.41</v>
      </c>
      <c r="D2453" s="51">
        <f t="shared" si="566"/>
        <v>0</v>
      </c>
      <c r="E2453" s="51"/>
      <c r="F2453" s="51"/>
      <c r="G2453" s="51"/>
      <c r="H2453" s="51"/>
      <c r="I2453" s="51"/>
      <c r="J2453" s="51"/>
      <c r="K2453" s="51"/>
      <c r="L2453" s="51"/>
      <c r="M2453" s="35"/>
      <c r="N2453" s="51"/>
      <c r="O2453" s="82"/>
      <c r="P2453" s="51"/>
      <c r="Q2453" s="338"/>
      <c r="R2453" s="51"/>
      <c r="S2453" s="51"/>
      <c r="T2453" s="338"/>
      <c r="U2453" s="51"/>
      <c r="V2453" s="35"/>
      <c r="W2453" s="364">
        <f t="shared" si="565"/>
        <v>218667.41</v>
      </c>
      <c r="X2453" s="285"/>
      <c r="Y2453" s="285"/>
      <c r="Z2453" s="285"/>
      <c r="AA2453" s="285"/>
      <c r="AB2453" s="285"/>
      <c r="AC2453" s="9"/>
      <c r="AD2453" s="9">
        <v>218667.41</v>
      </c>
      <c r="AE2453" s="40"/>
      <c r="AF2453" s="56"/>
      <c r="AG2453" s="56"/>
      <c r="AH2453" s="56"/>
      <c r="AI2453" s="56"/>
      <c r="AJ2453" s="56"/>
      <c r="AK2453" s="56"/>
      <c r="AL2453" s="56"/>
      <c r="AM2453" s="56"/>
      <c r="AN2453" s="56"/>
    </row>
    <row r="2454" spans="1:40" x14ac:dyDescent="0.3">
      <c r="A2454" s="47">
        <f t="shared" si="562"/>
        <v>2201</v>
      </c>
      <c r="B2454" s="414" t="s">
        <v>3001</v>
      </c>
      <c r="C2454" s="51">
        <f t="shared" si="564"/>
        <v>214982.27</v>
      </c>
      <c r="D2454" s="51">
        <f t="shared" si="566"/>
        <v>0</v>
      </c>
      <c r="E2454" s="51"/>
      <c r="F2454" s="51"/>
      <c r="G2454" s="51"/>
      <c r="H2454" s="51"/>
      <c r="I2454" s="51"/>
      <c r="J2454" s="51"/>
      <c r="K2454" s="51"/>
      <c r="L2454" s="51"/>
      <c r="M2454" s="35"/>
      <c r="N2454" s="51"/>
      <c r="O2454" s="82"/>
      <c r="P2454" s="51"/>
      <c r="Q2454" s="338"/>
      <c r="R2454" s="51"/>
      <c r="S2454" s="51"/>
      <c r="T2454" s="338"/>
      <c r="U2454" s="51"/>
      <c r="V2454" s="35"/>
      <c r="W2454" s="364">
        <f t="shared" si="565"/>
        <v>214982.27</v>
      </c>
      <c r="X2454" s="285"/>
      <c r="Y2454" s="285"/>
      <c r="Z2454" s="285"/>
      <c r="AA2454" s="285"/>
      <c r="AB2454" s="285"/>
      <c r="AC2454" s="9"/>
      <c r="AD2454" s="9">
        <v>214982.27</v>
      </c>
      <c r="AE2454" s="40"/>
      <c r="AF2454" s="56"/>
      <c r="AG2454" s="56"/>
      <c r="AH2454" s="56"/>
      <c r="AI2454" s="56"/>
      <c r="AJ2454" s="56"/>
      <c r="AK2454" s="56"/>
      <c r="AL2454" s="56"/>
      <c r="AM2454" s="56"/>
      <c r="AN2454" s="56"/>
    </row>
    <row r="2455" spans="1:40" x14ac:dyDescent="0.3">
      <c r="A2455" s="47">
        <f t="shared" si="562"/>
        <v>2202</v>
      </c>
      <c r="B2455" s="414" t="s">
        <v>3002</v>
      </c>
      <c r="C2455" s="51">
        <f t="shared" si="564"/>
        <v>208446.82</v>
      </c>
      <c r="D2455" s="51">
        <f t="shared" si="566"/>
        <v>0</v>
      </c>
      <c r="E2455" s="51"/>
      <c r="F2455" s="51"/>
      <c r="G2455" s="51"/>
      <c r="H2455" s="51"/>
      <c r="I2455" s="51"/>
      <c r="J2455" s="51"/>
      <c r="K2455" s="51"/>
      <c r="L2455" s="51"/>
      <c r="M2455" s="35"/>
      <c r="N2455" s="51"/>
      <c r="O2455" s="82"/>
      <c r="P2455" s="51"/>
      <c r="Q2455" s="338"/>
      <c r="R2455" s="51"/>
      <c r="S2455" s="51"/>
      <c r="T2455" s="338"/>
      <c r="U2455" s="51"/>
      <c r="V2455" s="35"/>
      <c r="W2455" s="364">
        <f t="shared" si="565"/>
        <v>208446.82</v>
      </c>
      <c r="X2455" s="285"/>
      <c r="Y2455" s="285"/>
      <c r="Z2455" s="285"/>
      <c r="AA2455" s="285"/>
      <c r="AB2455" s="285"/>
      <c r="AC2455" s="9"/>
      <c r="AD2455" s="9">
        <v>208446.82</v>
      </c>
      <c r="AE2455" s="40"/>
      <c r="AF2455" s="56"/>
      <c r="AG2455" s="56"/>
      <c r="AH2455" s="56"/>
      <c r="AI2455" s="56"/>
      <c r="AJ2455" s="56"/>
      <c r="AK2455" s="56"/>
      <c r="AL2455" s="56"/>
      <c r="AM2455" s="56"/>
      <c r="AN2455" s="56"/>
    </row>
    <row r="2456" spans="1:40" x14ac:dyDescent="0.3">
      <c r="A2456" s="47">
        <f t="shared" si="562"/>
        <v>2203</v>
      </c>
      <c r="B2456" s="414" t="s">
        <v>3003</v>
      </c>
      <c r="C2456" s="51">
        <f t="shared" ref="C2456:C2473" si="567">D2456+K2456+L2456+N2456+P2456+R2456+S2456+U2456+V2456+W2456</f>
        <v>216160.24</v>
      </c>
      <c r="D2456" s="51">
        <f t="shared" si="566"/>
        <v>0</v>
      </c>
      <c r="E2456" s="51"/>
      <c r="F2456" s="51"/>
      <c r="G2456" s="51"/>
      <c r="H2456" s="51"/>
      <c r="I2456" s="51"/>
      <c r="J2456" s="51"/>
      <c r="K2456" s="51"/>
      <c r="L2456" s="51"/>
      <c r="M2456" s="35"/>
      <c r="N2456" s="51"/>
      <c r="O2456" s="82"/>
      <c r="P2456" s="51"/>
      <c r="Q2456" s="338"/>
      <c r="R2456" s="51"/>
      <c r="S2456" s="51"/>
      <c r="T2456" s="338"/>
      <c r="U2456" s="51"/>
      <c r="V2456" s="35"/>
      <c r="W2456" s="364">
        <f t="shared" si="565"/>
        <v>216160.24</v>
      </c>
      <c r="X2456" s="285"/>
      <c r="Y2456" s="285"/>
      <c r="Z2456" s="285"/>
      <c r="AA2456" s="285"/>
      <c r="AB2456" s="285"/>
      <c r="AC2456" s="9"/>
      <c r="AD2456" s="9">
        <v>216160.24</v>
      </c>
      <c r="AE2456" s="40"/>
      <c r="AF2456" s="56"/>
      <c r="AG2456" s="56"/>
      <c r="AH2456" s="56"/>
      <c r="AI2456" s="56"/>
      <c r="AJ2456" s="56"/>
      <c r="AK2456" s="56"/>
      <c r="AL2456" s="56"/>
      <c r="AM2456" s="56"/>
      <c r="AN2456" s="56"/>
    </row>
    <row r="2457" spans="1:40" x14ac:dyDescent="0.3">
      <c r="A2457" s="47">
        <f t="shared" ref="A2457:A2472" si="568">A2456+1</f>
        <v>2204</v>
      </c>
      <c r="B2457" s="414" t="s">
        <v>3004</v>
      </c>
      <c r="C2457" s="51">
        <f t="shared" si="567"/>
        <v>196216.74</v>
      </c>
      <c r="D2457" s="51">
        <f t="shared" si="566"/>
        <v>0</v>
      </c>
      <c r="E2457" s="51"/>
      <c r="F2457" s="51"/>
      <c r="G2457" s="51"/>
      <c r="H2457" s="51"/>
      <c r="I2457" s="51"/>
      <c r="J2457" s="51"/>
      <c r="K2457" s="51"/>
      <c r="L2457" s="51"/>
      <c r="M2457" s="35"/>
      <c r="N2457" s="51"/>
      <c r="O2457" s="82"/>
      <c r="P2457" s="51"/>
      <c r="Q2457" s="338"/>
      <c r="R2457" s="51"/>
      <c r="S2457" s="51"/>
      <c r="T2457" s="338"/>
      <c r="U2457" s="51"/>
      <c r="V2457" s="35"/>
      <c r="W2457" s="364">
        <f t="shared" si="565"/>
        <v>196216.74</v>
      </c>
      <c r="X2457" s="285"/>
      <c r="Y2457" s="285"/>
      <c r="Z2457" s="285"/>
      <c r="AA2457" s="285"/>
      <c r="AB2457" s="285"/>
      <c r="AC2457" s="9"/>
      <c r="AD2457" s="9">
        <v>196216.74</v>
      </c>
      <c r="AE2457" s="40"/>
      <c r="AF2457" s="56"/>
      <c r="AG2457" s="56"/>
      <c r="AH2457" s="56"/>
      <c r="AI2457" s="56"/>
      <c r="AJ2457" s="56"/>
      <c r="AK2457" s="56"/>
      <c r="AL2457" s="56"/>
      <c r="AM2457" s="56"/>
      <c r="AN2457" s="56"/>
    </row>
    <row r="2458" spans="1:40" x14ac:dyDescent="0.3">
      <c r="A2458" s="47">
        <f t="shared" si="568"/>
        <v>2205</v>
      </c>
      <c r="B2458" s="414" t="s">
        <v>3005</v>
      </c>
      <c r="C2458" s="51">
        <f t="shared" si="567"/>
        <v>575359.43999999994</v>
      </c>
      <c r="D2458" s="51">
        <f t="shared" si="566"/>
        <v>0</v>
      </c>
      <c r="E2458" s="51"/>
      <c r="F2458" s="51"/>
      <c r="G2458" s="51"/>
      <c r="H2458" s="51"/>
      <c r="I2458" s="51"/>
      <c r="J2458" s="51"/>
      <c r="K2458" s="51"/>
      <c r="L2458" s="51"/>
      <c r="M2458" s="35"/>
      <c r="N2458" s="51"/>
      <c r="O2458" s="82"/>
      <c r="P2458" s="51"/>
      <c r="Q2458" s="338"/>
      <c r="R2458" s="51"/>
      <c r="S2458" s="51"/>
      <c r="T2458" s="338"/>
      <c r="U2458" s="51"/>
      <c r="V2458" s="35"/>
      <c r="W2458" s="364">
        <f t="shared" si="565"/>
        <v>575359.43999999994</v>
      </c>
      <c r="X2458" s="285"/>
      <c r="Y2458" s="285"/>
      <c r="Z2458" s="285"/>
      <c r="AA2458" s="285"/>
      <c r="AB2458" s="285"/>
      <c r="AC2458" s="9"/>
      <c r="AD2458" s="9">
        <v>216895.38</v>
      </c>
      <c r="AE2458" s="40"/>
      <c r="AF2458" s="56">
        <v>358464.06</v>
      </c>
      <c r="AG2458" s="56"/>
      <c r="AH2458" s="56"/>
      <c r="AI2458" s="56"/>
      <c r="AJ2458" s="56"/>
      <c r="AK2458" s="56"/>
      <c r="AL2458" s="56"/>
      <c r="AM2458" s="56"/>
      <c r="AN2458" s="56">
        <v>482.4</v>
      </c>
    </row>
    <row r="2459" spans="1:40" x14ac:dyDescent="0.3">
      <c r="A2459" s="47">
        <f t="shared" si="568"/>
        <v>2206</v>
      </c>
      <c r="B2459" s="414" t="s">
        <v>3006</v>
      </c>
      <c r="C2459" s="51">
        <f t="shared" si="567"/>
        <v>227566.81</v>
      </c>
      <c r="D2459" s="51">
        <f t="shared" si="566"/>
        <v>0</v>
      </c>
      <c r="E2459" s="51"/>
      <c r="F2459" s="51"/>
      <c r="G2459" s="51"/>
      <c r="H2459" s="51"/>
      <c r="I2459" s="51"/>
      <c r="J2459" s="51"/>
      <c r="K2459" s="51"/>
      <c r="L2459" s="51"/>
      <c r="M2459" s="35"/>
      <c r="N2459" s="51"/>
      <c r="O2459" s="82"/>
      <c r="P2459" s="51"/>
      <c r="Q2459" s="338"/>
      <c r="R2459" s="51"/>
      <c r="S2459" s="51"/>
      <c r="T2459" s="338"/>
      <c r="U2459" s="51"/>
      <c r="V2459" s="35"/>
      <c r="W2459" s="364">
        <f t="shared" si="565"/>
        <v>227566.81</v>
      </c>
      <c r="X2459" s="285"/>
      <c r="Y2459" s="285"/>
      <c r="Z2459" s="285"/>
      <c r="AA2459" s="285"/>
      <c r="AB2459" s="285"/>
      <c r="AC2459" s="9"/>
      <c r="AD2459" s="9">
        <v>227566.81</v>
      </c>
      <c r="AE2459" s="40"/>
      <c r="AF2459" s="56"/>
      <c r="AG2459" s="56"/>
      <c r="AH2459" s="56"/>
      <c r="AI2459" s="56"/>
      <c r="AJ2459" s="56"/>
      <c r="AK2459" s="56"/>
      <c r="AL2459" s="56"/>
      <c r="AM2459" s="56"/>
      <c r="AN2459" s="56"/>
    </row>
    <row r="2460" spans="1:40" x14ac:dyDescent="0.3">
      <c r="A2460" s="47">
        <f t="shared" si="568"/>
        <v>2207</v>
      </c>
      <c r="B2460" s="414" t="s">
        <v>3007</v>
      </c>
      <c r="C2460" s="51">
        <f t="shared" si="567"/>
        <v>227201.26</v>
      </c>
      <c r="D2460" s="51">
        <f t="shared" si="566"/>
        <v>0</v>
      </c>
      <c r="E2460" s="51"/>
      <c r="F2460" s="51"/>
      <c r="G2460" s="51"/>
      <c r="H2460" s="51"/>
      <c r="I2460" s="51"/>
      <c r="J2460" s="51"/>
      <c r="K2460" s="51"/>
      <c r="L2460" s="51"/>
      <c r="M2460" s="35"/>
      <c r="N2460" s="51"/>
      <c r="O2460" s="82"/>
      <c r="P2460" s="51"/>
      <c r="Q2460" s="338"/>
      <c r="R2460" s="51"/>
      <c r="S2460" s="51"/>
      <c r="T2460" s="338"/>
      <c r="U2460" s="51"/>
      <c r="V2460" s="35"/>
      <c r="W2460" s="364">
        <f t="shared" si="565"/>
        <v>227201.26</v>
      </c>
      <c r="X2460" s="285"/>
      <c r="Y2460" s="285"/>
      <c r="Z2460" s="285"/>
      <c r="AA2460" s="285"/>
      <c r="AB2460" s="285"/>
      <c r="AC2460" s="9"/>
      <c r="AD2460" s="9">
        <v>227201.26</v>
      </c>
      <c r="AE2460" s="40"/>
      <c r="AF2460" s="56"/>
      <c r="AG2460" s="56"/>
      <c r="AH2460" s="56"/>
      <c r="AI2460" s="56"/>
      <c r="AJ2460" s="56"/>
      <c r="AK2460" s="56"/>
      <c r="AL2460" s="56"/>
      <c r="AM2460" s="56"/>
      <c r="AN2460" s="56"/>
    </row>
    <row r="2461" spans="1:40" x14ac:dyDescent="0.3">
      <c r="A2461" s="47">
        <f t="shared" si="568"/>
        <v>2208</v>
      </c>
      <c r="B2461" s="414" t="s">
        <v>3008</v>
      </c>
      <c r="C2461" s="51">
        <f t="shared" si="567"/>
        <v>86977.93</v>
      </c>
      <c r="D2461" s="51">
        <f t="shared" si="566"/>
        <v>0</v>
      </c>
      <c r="E2461" s="51"/>
      <c r="F2461" s="51"/>
      <c r="G2461" s="51"/>
      <c r="H2461" s="51"/>
      <c r="I2461" s="51"/>
      <c r="J2461" s="51"/>
      <c r="K2461" s="51"/>
      <c r="L2461" s="51"/>
      <c r="M2461" s="35"/>
      <c r="N2461" s="51"/>
      <c r="O2461" s="82"/>
      <c r="P2461" s="51"/>
      <c r="Q2461" s="338"/>
      <c r="R2461" s="51"/>
      <c r="S2461" s="51"/>
      <c r="T2461" s="338"/>
      <c r="U2461" s="51"/>
      <c r="V2461" s="35"/>
      <c r="W2461" s="364">
        <f t="shared" si="565"/>
        <v>86977.93</v>
      </c>
      <c r="X2461" s="285"/>
      <c r="Y2461" s="285">
        <v>86977.93</v>
      </c>
      <c r="Z2461" s="285"/>
      <c r="AA2461" s="285"/>
      <c r="AB2461" s="285"/>
      <c r="AC2461" s="9"/>
      <c r="AD2461" s="9"/>
      <c r="AE2461" s="40"/>
      <c r="AF2461" s="56"/>
      <c r="AG2461" s="56"/>
      <c r="AH2461" s="56"/>
      <c r="AI2461" s="56"/>
      <c r="AJ2461" s="56"/>
      <c r="AK2461" s="56"/>
      <c r="AL2461" s="56"/>
      <c r="AM2461" s="56"/>
      <c r="AN2461" s="56"/>
    </row>
    <row r="2462" spans="1:40" x14ac:dyDescent="0.3">
      <c r="A2462" s="47">
        <f t="shared" si="568"/>
        <v>2209</v>
      </c>
      <c r="B2462" s="414" t="s">
        <v>3009</v>
      </c>
      <c r="C2462" s="51">
        <f t="shared" si="567"/>
        <v>141800.18</v>
      </c>
      <c r="D2462" s="51">
        <f t="shared" si="566"/>
        <v>0</v>
      </c>
      <c r="E2462" s="51"/>
      <c r="F2462" s="51"/>
      <c r="G2462" s="51"/>
      <c r="H2462" s="51"/>
      <c r="I2462" s="51"/>
      <c r="J2462" s="51"/>
      <c r="K2462" s="51"/>
      <c r="L2462" s="51"/>
      <c r="M2462" s="35"/>
      <c r="N2462" s="51"/>
      <c r="O2462" s="82"/>
      <c r="P2462" s="51"/>
      <c r="Q2462" s="338"/>
      <c r="R2462" s="51"/>
      <c r="S2462" s="51"/>
      <c r="T2462" s="338"/>
      <c r="U2462" s="51"/>
      <c r="V2462" s="35"/>
      <c r="W2462" s="364">
        <f t="shared" si="565"/>
        <v>141800.18</v>
      </c>
      <c r="X2462" s="285"/>
      <c r="Y2462" s="285">
        <v>141800.18</v>
      </c>
      <c r="Z2462" s="285"/>
      <c r="AA2462" s="285"/>
      <c r="AB2462" s="285"/>
      <c r="AC2462" s="9"/>
      <c r="AD2462" s="9"/>
      <c r="AE2462" s="40"/>
      <c r="AF2462" s="56"/>
      <c r="AG2462" s="56"/>
      <c r="AH2462" s="56"/>
      <c r="AI2462" s="56"/>
      <c r="AJ2462" s="56"/>
      <c r="AK2462" s="56"/>
      <c r="AL2462" s="56"/>
      <c r="AM2462" s="56"/>
      <c r="AN2462" s="56"/>
    </row>
    <row r="2463" spans="1:40" x14ac:dyDescent="0.3">
      <c r="A2463" s="47">
        <f t="shared" si="568"/>
        <v>2210</v>
      </c>
      <c r="B2463" s="414" t="s">
        <v>3010</v>
      </c>
      <c r="C2463" s="51">
        <f t="shared" si="567"/>
        <v>124792.12</v>
      </c>
      <c r="D2463" s="51">
        <f t="shared" si="566"/>
        <v>0</v>
      </c>
      <c r="E2463" s="51"/>
      <c r="F2463" s="51"/>
      <c r="G2463" s="51"/>
      <c r="H2463" s="51"/>
      <c r="I2463" s="51"/>
      <c r="J2463" s="51"/>
      <c r="K2463" s="51"/>
      <c r="L2463" s="51"/>
      <c r="M2463" s="35"/>
      <c r="N2463" s="51"/>
      <c r="O2463" s="82"/>
      <c r="P2463" s="51"/>
      <c r="Q2463" s="338"/>
      <c r="R2463" s="51"/>
      <c r="S2463" s="51"/>
      <c r="T2463" s="338"/>
      <c r="U2463" s="51"/>
      <c r="V2463" s="35"/>
      <c r="W2463" s="364">
        <f t="shared" si="565"/>
        <v>124792.12</v>
      </c>
      <c r="X2463" s="285"/>
      <c r="Y2463" s="285">
        <v>124792.12</v>
      </c>
      <c r="Z2463" s="285"/>
      <c r="AA2463" s="285"/>
      <c r="AB2463" s="285"/>
      <c r="AC2463" s="9"/>
      <c r="AD2463" s="9"/>
      <c r="AE2463" s="40"/>
      <c r="AF2463" s="56"/>
      <c r="AG2463" s="56"/>
      <c r="AH2463" s="56"/>
      <c r="AI2463" s="56"/>
      <c r="AJ2463" s="56"/>
      <c r="AK2463" s="56"/>
      <c r="AL2463" s="56"/>
      <c r="AM2463" s="56"/>
      <c r="AN2463" s="56"/>
    </row>
    <row r="2464" spans="1:40" x14ac:dyDescent="0.3">
      <c r="A2464" s="47">
        <f t="shared" si="568"/>
        <v>2211</v>
      </c>
      <c r="B2464" s="414" t="s">
        <v>3011</v>
      </c>
      <c r="C2464" s="51">
        <f t="shared" si="567"/>
        <v>1744100.9000000001</v>
      </c>
      <c r="D2464" s="51">
        <f t="shared" si="566"/>
        <v>0</v>
      </c>
      <c r="E2464" s="51"/>
      <c r="F2464" s="51"/>
      <c r="G2464" s="51"/>
      <c r="H2464" s="51"/>
      <c r="I2464" s="51"/>
      <c r="J2464" s="51"/>
      <c r="K2464" s="51"/>
      <c r="L2464" s="51"/>
      <c r="M2464" s="35"/>
      <c r="N2464" s="51"/>
      <c r="O2464" s="82"/>
      <c r="P2464" s="51"/>
      <c r="Q2464" s="338"/>
      <c r="R2464" s="51"/>
      <c r="S2464" s="51"/>
      <c r="T2464" s="338"/>
      <c r="U2464" s="51"/>
      <c r="V2464" s="35"/>
      <c r="W2464" s="364">
        <f t="shared" si="565"/>
        <v>1744100.9000000001</v>
      </c>
      <c r="X2464" s="285"/>
      <c r="Y2464" s="285"/>
      <c r="Z2464" s="285"/>
      <c r="AA2464" s="285"/>
      <c r="AB2464" s="285"/>
      <c r="AC2464" s="9">
        <v>223486.58</v>
      </c>
      <c r="AD2464" s="9"/>
      <c r="AE2464" s="40"/>
      <c r="AF2464" s="56">
        <v>1520614.32</v>
      </c>
      <c r="AG2464" s="56"/>
      <c r="AH2464" s="56"/>
      <c r="AI2464" s="56"/>
      <c r="AJ2464" s="56"/>
      <c r="AK2464" s="56"/>
      <c r="AL2464" s="56"/>
      <c r="AM2464" s="56"/>
      <c r="AN2464" s="56"/>
    </row>
    <row r="2465" spans="1:40" x14ac:dyDescent="0.3">
      <c r="A2465" s="47">
        <f t="shared" si="568"/>
        <v>2212</v>
      </c>
      <c r="B2465" s="414" t="s">
        <v>3012</v>
      </c>
      <c r="C2465" s="51">
        <f t="shared" si="567"/>
        <v>1183924.3699999999</v>
      </c>
      <c r="D2465" s="51">
        <f t="shared" si="566"/>
        <v>0</v>
      </c>
      <c r="E2465" s="51"/>
      <c r="F2465" s="51"/>
      <c r="G2465" s="51"/>
      <c r="H2465" s="51"/>
      <c r="I2465" s="51"/>
      <c r="J2465" s="51"/>
      <c r="K2465" s="51"/>
      <c r="L2465" s="51"/>
      <c r="M2465" s="35"/>
      <c r="N2465" s="51"/>
      <c r="O2465" s="82"/>
      <c r="P2465" s="51"/>
      <c r="Q2465" s="338"/>
      <c r="R2465" s="51"/>
      <c r="S2465" s="51"/>
      <c r="T2465" s="338"/>
      <c r="U2465" s="51"/>
      <c r="V2465" s="35"/>
      <c r="W2465" s="364">
        <f t="shared" si="565"/>
        <v>1183924.3699999999</v>
      </c>
      <c r="X2465" s="285"/>
      <c r="Y2465" s="285"/>
      <c r="Z2465" s="285"/>
      <c r="AA2465" s="285"/>
      <c r="AB2465" s="285"/>
      <c r="AC2465" s="9"/>
      <c r="AD2465" s="9">
        <v>204913.78</v>
      </c>
      <c r="AE2465" s="40"/>
      <c r="AF2465" s="56">
        <v>979010.59</v>
      </c>
      <c r="AG2465" s="56"/>
      <c r="AH2465" s="56"/>
      <c r="AI2465" s="56"/>
      <c r="AJ2465" s="56"/>
      <c r="AK2465" s="56"/>
      <c r="AL2465" s="56"/>
      <c r="AM2465" s="56"/>
      <c r="AN2465" s="56"/>
    </row>
    <row r="2466" spans="1:40" x14ac:dyDescent="0.3">
      <c r="A2466" s="47">
        <f t="shared" si="568"/>
        <v>2213</v>
      </c>
      <c r="B2466" s="414" t="s">
        <v>3013</v>
      </c>
      <c r="C2466" s="51">
        <f t="shared" si="567"/>
        <v>708959.35000000009</v>
      </c>
      <c r="D2466" s="51">
        <f t="shared" si="566"/>
        <v>0</v>
      </c>
      <c r="E2466" s="51"/>
      <c r="F2466" s="51"/>
      <c r="G2466" s="51"/>
      <c r="H2466" s="51"/>
      <c r="I2466" s="51"/>
      <c r="J2466" s="51"/>
      <c r="K2466" s="51"/>
      <c r="L2466" s="51"/>
      <c r="M2466" s="35"/>
      <c r="N2466" s="51"/>
      <c r="O2466" s="82"/>
      <c r="P2466" s="51"/>
      <c r="Q2466" s="338"/>
      <c r="R2466" s="51"/>
      <c r="S2466" s="51"/>
      <c r="T2466" s="338"/>
      <c r="U2466" s="51"/>
      <c r="V2466" s="35"/>
      <c r="W2466" s="364">
        <f t="shared" si="565"/>
        <v>708959.35000000009</v>
      </c>
      <c r="X2466" s="285"/>
      <c r="Y2466" s="285"/>
      <c r="Z2466" s="285"/>
      <c r="AA2466" s="285"/>
      <c r="AB2466" s="285"/>
      <c r="AC2466" s="9"/>
      <c r="AD2466" s="9">
        <v>235350.07</v>
      </c>
      <c r="AE2466" s="40"/>
      <c r="AF2466" s="56">
        <v>473609.28</v>
      </c>
      <c r="AG2466" s="56"/>
      <c r="AH2466" s="56"/>
      <c r="AI2466" s="56"/>
      <c r="AJ2466" s="56"/>
      <c r="AK2466" s="56"/>
      <c r="AL2466" s="56"/>
      <c r="AM2466" s="56"/>
      <c r="AN2466" s="56"/>
    </row>
    <row r="2467" spans="1:40" x14ac:dyDescent="0.3">
      <c r="A2467" s="47">
        <f t="shared" si="568"/>
        <v>2214</v>
      </c>
      <c r="B2467" s="414" t="s">
        <v>3014</v>
      </c>
      <c r="C2467" s="51">
        <f t="shared" si="567"/>
        <v>272456.07999999996</v>
      </c>
      <c r="D2467" s="51">
        <f t="shared" si="566"/>
        <v>0</v>
      </c>
      <c r="E2467" s="51"/>
      <c r="F2467" s="51"/>
      <c r="G2467" s="51"/>
      <c r="H2467" s="51"/>
      <c r="I2467" s="51"/>
      <c r="J2467" s="51"/>
      <c r="K2467" s="51"/>
      <c r="L2467" s="51"/>
      <c r="M2467" s="35"/>
      <c r="N2467" s="51"/>
      <c r="O2467" s="82"/>
      <c r="P2467" s="51"/>
      <c r="Q2467" s="338"/>
      <c r="R2467" s="51"/>
      <c r="S2467" s="51"/>
      <c r="T2467" s="338"/>
      <c r="U2467" s="51"/>
      <c r="V2467" s="35"/>
      <c r="W2467" s="364">
        <f t="shared" si="565"/>
        <v>272456.07999999996</v>
      </c>
      <c r="X2467" s="285"/>
      <c r="Y2467" s="285"/>
      <c r="Z2467" s="285"/>
      <c r="AA2467" s="285">
        <v>118809.4</v>
      </c>
      <c r="AB2467" s="285">
        <v>153646.68</v>
      </c>
      <c r="AC2467" s="9"/>
      <c r="AD2467" s="9"/>
      <c r="AE2467" s="40"/>
      <c r="AF2467" s="56"/>
      <c r="AG2467" s="56"/>
      <c r="AH2467" s="56"/>
      <c r="AI2467" s="56"/>
      <c r="AJ2467" s="56"/>
      <c r="AK2467" s="56"/>
      <c r="AL2467" s="56"/>
      <c r="AM2467" s="56"/>
      <c r="AN2467" s="56"/>
    </row>
    <row r="2468" spans="1:40" x14ac:dyDescent="0.3">
      <c r="A2468" s="47">
        <f t="shared" si="568"/>
        <v>2215</v>
      </c>
      <c r="B2468" s="414" t="s">
        <v>3015</v>
      </c>
      <c r="C2468" s="51">
        <f t="shared" si="567"/>
        <v>901776.33000000007</v>
      </c>
      <c r="D2468" s="51">
        <f t="shared" si="566"/>
        <v>0</v>
      </c>
      <c r="E2468" s="51"/>
      <c r="F2468" s="51"/>
      <c r="G2468" s="51"/>
      <c r="H2468" s="51"/>
      <c r="I2468" s="51"/>
      <c r="J2468" s="51"/>
      <c r="K2468" s="51"/>
      <c r="L2468" s="51"/>
      <c r="M2468" s="35"/>
      <c r="N2468" s="51"/>
      <c r="O2468" s="82"/>
      <c r="P2468" s="51"/>
      <c r="Q2468" s="338"/>
      <c r="R2468" s="51"/>
      <c r="S2468" s="51"/>
      <c r="T2468" s="338"/>
      <c r="U2468" s="51"/>
      <c r="V2468" s="35"/>
      <c r="W2468" s="364">
        <f t="shared" si="565"/>
        <v>901776.33000000007</v>
      </c>
      <c r="X2468" s="285"/>
      <c r="Y2468" s="285">
        <v>102102.44</v>
      </c>
      <c r="Z2468" s="285"/>
      <c r="AA2468" s="285"/>
      <c r="AB2468" s="285"/>
      <c r="AC2468" s="9"/>
      <c r="AD2468" s="9">
        <v>268914.38</v>
      </c>
      <c r="AE2468" s="40"/>
      <c r="AF2468" s="56">
        <v>530759.51</v>
      </c>
      <c r="AG2468" s="56"/>
      <c r="AH2468" s="56"/>
      <c r="AI2468" s="56"/>
      <c r="AJ2468" s="56"/>
      <c r="AK2468" s="56"/>
      <c r="AL2468" s="56"/>
      <c r="AM2468" s="56"/>
      <c r="AN2468" s="56"/>
    </row>
    <row r="2469" spans="1:40" x14ac:dyDescent="0.3">
      <c r="A2469" s="47">
        <f t="shared" si="568"/>
        <v>2216</v>
      </c>
      <c r="B2469" s="414" t="s">
        <v>3016</v>
      </c>
      <c r="C2469" s="51">
        <f t="shared" si="567"/>
        <v>122509.01</v>
      </c>
      <c r="D2469" s="51">
        <f t="shared" si="566"/>
        <v>0</v>
      </c>
      <c r="E2469" s="51"/>
      <c r="F2469" s="51"/>
      <c r="G2469" s="51"/>
      <c r="H2469" s="51"/>
      <c r="I2469" s="51"/>
      <c r="J2469" s="51"/>
      <c r="K2469" s="51"/>
      <c r="L2469" s="51"/>
      <c r="M2469" s="35"/>
      <c r="N2469" s="51"/>
      <c r="O2469" s="82"/>
      <c r="P2469" s="51"/>
      <c r="Q2469" s="338"/>
      <c r="R2469" s="51"/>
      <c r="S2469" s="51"/>
      <c r="T2469" s="338"/>
      <c r="U2469" s="51"/>
      <c r="V2469" s="35"/>
      <c r="W2469" s="364">
        <f t="shared" si="565"/>
        <v>122509.01</v>
      </c>
      <c r="X2469" s="285"/>
      <c r="Y2469" s="285">
        <v>122509.01</v>
      </c>
      <c r="Z2469" s="285"/>
      <c r="AA2469" s="285"/>
      <c r="AB2469" s="285"/>
      <c r="AC2469" s="9"/>
      <c r="AD2469" s="9"/>
      <c r="AE2469" s="40"/>
      <c r="AF2469" s="56"/>
      <c r="AG2469" s="56"/>
      <c r="AH2469" s="56"/>
      <c r="AI2469" s="56"/>
      <c r="AJ2469" s="56"/>
      <c r="AK2469" s="56"/>
      <c r="AL2469" s="56"/>
      <c r="AM2469" s="56"/>
      <c r="AN2469" s="56"/>
    </row>
    <row r="2470" spans="1:40" x14ac:dyDescent="0.3">
      <c r="A2470" s="47">
        <f t="shared" si="568"/>
        <v>2217</v>
      </c>
      <c r="B2470" s="414" t="s">
        <v>3017</v>
      </c>
      <c r="C2470" s="51">
        <f t="shared" si="567"/>
        <v>735325.3600000001</v>
      </c>
      <c r="D2470" s="51">
        <f t="shared" si="566"/>
        <v>0</v>
      </c>
      <c r="E2470" s="51"/>
      <c r="F2470" s="51"/>
      <c r="G2470" s="51"/>
      <c r="H2470" s="51"/>
      <c r="I2470" s="51"/>
      <c r="J2470" s="51"/>
      <c r="K2470" s="51"/>
      <c r="L2470" s="51"/>
      <c r="M2470" s="35"/>
      <c r="N2470" s="51"/>
      <c r="O2470" s="82"/>
      <c r="P2470" s="51"/>
      <c r="Q2470" s="338"/>
      <c r="R2470" s="51"/>
      <c r="S2470" s="51"/>
      <c r="T2470" s="338"/>
      <c r="U2470" s="51"/>
      <c r="V2470" s="35"/>
      <c r="W2470" s="364">
        <f t="shared" si="565"/>
        <v>735325.3600000001</v>
      </c>
      <c r="X2470" s="285"/>
      <c r="Y2470" s="285"/>
      <c r="Z2470" s="285"/>
      <c r="AA2470" s="285"/>
      <c r="AB2470" s="285"/>
      <c r="AC2470" s="9"/>
      <c r="AD2470" s="9">
        <v>199388.93</v>
      </c>
      <c r="AE2470" s="40"/>
      <c r="AF2470" s="56">
        <v>535936.43000000005</v>
      </c>
      <c r="AG2470" s="56"/>
      <c r="AH2470" s="56"/>
      <c r="AI2470" s="56"/>
      <c r="AJ2470" s="56"/>
      <c r="AK2470" s="56"/>
      <c r="AL2470" s="56"/>
      <c r="AM2470" s="56"/>
      <c r="AN2470" s="56"/>
    </row>
    <row r="2471" spans="1:40" x14ac:dyDescent="0.3">
      <c r="A2471" s="47">
        <f t="shared" si="568"/>
        <v>2218</v>
      </c>
      <c r="B2471" s="414" t="s">
        <v>3018</v>
      </c>
      <c r="C2471" s="51">
        <f t="shared" si="567"/>
        <v>228521.69</v>
      </c>
      <c r="D2471" s="51">
        <f t="shared" si="566"/>
        <v>0</v>
      </c>
      <c r="E2471" s="51"/>
      <c r="F2471" s="51"/>
      <c r="G2471" s="51"/>
      <c r="H2471" s="51"/>
      <c r="I2471" s="51"/>
      <c r="J2471" s="51"/>
      <c r="K2471" s="51"/>
      <c r="L2471" s="51"/>
      <c r="M2471" s="35"/>
      <c r="N2471" s="51"/>
      <c r="O2471" s="82"/>
      <c r="P2471" s="51"/>
      <c r="Q2471" s="338"/>
      <c r="R2471" s="51"/>
      <c r="S2471" s="51"/>
      <c r="T2471" s="338"/>
      <c r="U2471" s="51"/>
      <c r="V2471" s="35"/>
      <c r="W2471" s="364">
        <f t="shared" si="565"/>
        <v>228521.69</v>
      </c>
      <c r="X2471" s="285"/>
      <c r="Y2471" s="285"/>
      <c r="Z2471" s="285"/>
      <c r="AA2471" s="285">
        <v>105903.95</v>
      </c>
      <c r="AB2471" s="285">
        <v>122617.74</v>
      </c>
      <c r="AC2471" s="9"/>
      <c r="AD2471" s="9"/>
      <c r="AE2471" s="40"/>
      <c r="AF2471" s="56"/>
      <c r="AG2471" s="56"/>
      <c r="AH2471" s="56"/>
      <c r="AI2471" s="56"/>
      <c r="AJ2471" s="56"/>
      <c r="AK2471" s="56"/>
      <c r="AL2471" s="56"/>
      <c r="AM2471" s="56"/>
      <c r="AN2471" s="56"/>
    </row>
    <row r="2472" spans="1:40" x14ac:dyDescent="0.3">
      <c r="A2472" s="47">
        <f t="shared" si="568"/>
        <v>2219</v>
      </c>
      <c r="B2472" s="414" t="s">
        <v>3019</v>
      </c>
      <c r="C2472" s="51">
        <f t="shared" si="567"/>
        <v>242289.1</v>
      </c>
      <c r="D2472" s="51">
        <f t="shared" si="566"/>
        <v>0</v>
      </c>
      <c r="E2472" s="51"/>
      <c r="F2472" s="51"/>
      <c r="G2472" s="51"/>
      <c r="H2472" s="51"/>
      <c r="I2472" s="51"/>
      <c r="J2472" s="51"/>
      <c r="K2472" s="51"/>
      <c r="L2472" s="51"/>
      <c r="M2472" s="35"/>
      <c r="N2472" s="51"/>
      <c r="O2472" s="82"/>
      <c r="P2472" s="51"/>
      <c r="Q2472" s="338"/>
      <c r="R2472" s="51"/>
      <c r="S2472" s="51"/>
      <c r="T2472" s="338"/>
      <c r="U2472" s="51"/>
      <c r="V2472" s="35"/>
      <c r="W2472" s="364">
        <f t="shared" si="565"/>
        <v>242289.1</v>
      </c>
      <c r="X2472" s="285"/>
      <c r="Y2472" s="285">
        <v>118182.46</v>
      </c>
      <c r="Z2472" s="285"/>
      <c r="AA2472" s="285">
        <v>124106.64</v>
      </c>
      <c r="AB2472" s="285"/>
      <c r="AC2472" s="9"/>
      <c r="AD2472" s="9"/>
      <c r="AE2472" s="40"/>
      <c r="AF2472" s="56"/>
      <c r="AG2472" s="56"/>
      <c r="AH2472" s="56"/>
      <c r="AI2472" s="56"/>
      <c r="AJ2472" s="56"/>
      <c r="AK2472" s="56"/>
      <c r="AL2472" s="56"/>
      <c r="AM2472" s="56"/>
      <c r="AN2472" s="56"/>
    </row>
    <row r="2473" spans="1:40" x14ac:dyDescent="0.3">
      <c r="A2473" s="47">
        <f t="shared" ref="A2473" si="569">A2472+1</f>
        <v>2220</v>
      </c>
      <c r="B2473" s="414" t="s">
        <v>3020</v>
      </c>
      <c r="C2473" s="51">
        <f t="shared" si="567"/>
        <v>498946.79</v>
      </c>
      <c r="D2473" s="51">
        <f t="shared" ref="D2473" si="570">E2473+F2473+G2473+H2473+I2473</f>
        <v>393267</v>
      </c>
      <c r="E2473" s="51">
        <f>13*2688+358323</f>
        <v>393267</v>
      </c>
      <c r="F2473" s="51"/>
      <c r="G2473" s="51"/>
      <c r="H2473" s="51"/>
      <c r="I2473" s="51"/>
      <c r="J2473" s="51"/>
      <c r="K2473" s="51"/>
      <c r="L2473" s="51"/>
      <c r="M2473" s="35"/>
      <c r="N2473" s="51"/>
      <c r="O2473" s="82"/>
      <c r="P2473" s="51"/>
      <c r="Q2473" s="338"/>
      <c r="R2473" s="51"/>
      <c r="S2473" s="51"/>
      <c r="T2473" s="338"/>
      <c r="U2473" s="51"/>
      <c r="V2473" s="35"/>
      <c r="W2473" s="364">
        <f t="shared" ref="W2473" si="571">SUM(Y2473:AI2473)</f>
        <v>105679.79</v>
      </c>
      <c r="X2473" s="285"/>
      <c r="Y2473" s="285">
        <v>105679.79</v>
      </c>
      <c r="Z2473" s="285"/>
      <c r="AA2473" s="285"/>
      <c r="AB2473" s="285"/>
      <c r="AC2473" s="9"/>
      <c r="AD2473" s="9"/>
      <c r="AE2473" s="40"/>
      <c r="AF2473" s="56"/>
      <c r="AG2473" s="56"/>
      <c r="AH2473" s="56"/>
      <c r="AI2473" s="56"/>
      <c r="AJ2473" s="56"/>
      <c r="AK2473" s="56"/>
      <c r="AL2473" s="56"/>
      <c r="AM2473" s="56"/>
      <c r="AN2473" s="56"/>
    </row>
    <row r="2474" spans="1:40" x14ac:dyDescent="0.3">
      <c r="A2474" s="439" t="s">
        <v>211</v>
      </c>
      <c r="B2474" s="399"/>
      <c r="C2474" s="51">
        <f>SUM(C2360:C2473)</f>
        <v>48835604.799999982</v>
      </c>
      <c r="D2474" s="51">
        <f t="shared" ref="D2474:W2474" si="572">SUM(D2361:D2473)</f>
        <v>786534</v>
      </c>
      <c r="E2474" s="51">
        <f t="shared" si="572"/>
        <v>786534</v>
      </c>
      <c r="F2474" s="51">
        <f t="shared" si="572"/>
        <v>0</v>
      </c>
      <c r="G2474" s="51">
        <f t="shared" si="572"/>
        <v>0</v>
      </c>
      <c r="H2474" s="51">
        <f t="shared" si="572"/>
        <v>0</v>
      </c>
      <c r="I2474" s="51">
        <f t="shared" si="572"/>
        <v>0</v>
      </c>
      <c r="J2474" s="51">
        <f t="shared" si="572"/>
        <v>0</v>
      </c>
      <c r="K2474" s="51">
        <f t="shared" si="572"/>
        <v>0</v>
      </c>
      <c r="L2474" s="51">
        <f t="shared" si="572"/>
        <v>0</v>
      </c>
      <c r="M2474" s="35">
        <f t="shared" si="572"/>
        <v>39</v>
      </c>
      <c r="N2474" s="51">
        <f t="shared" si="572"/>
        <v>315666</v>
      </c>
      <c r="O2474" s="82">
        <f t="shared" si="572"/>
        <v>13</v>
      </c>
      <c r="P2474" s="51">
        <f t="shared" si="572"/>
        <v>343629</v>
      </c>
      <c r="Q2474" s="338">
        <f t="shared" si="572"/>
        <v>0</v>
      </c>
      <c r="R2474" s="51">
        <f t="shared" si="572"/>
        <v>0</v>
      </c>
      <c r="S2474" s="51">
        <f t="shared" si="572"/>
        <v>0</v>
      </c>
      <c r="T2474" s="338">
        <f t="shared" si="572"/>
        <v>0</v>
      </c>
      <c r="U2474" s="51">
        <f t="shared" si="572"/>
        <v>0</v>
      </c>
      <c r="V2474" s="35">
        <f t="shared" si="572"/>
        <v>0</v>
      </c>
      <c r="W2474" s="51">
        <f t="shared" si="572"/>
        <v>47284553.799999982</v>
      </c>
      <c r="X2474" s="329"/>
      <c r="Y2474" s="285"/>
      <c r="Z2474" s="285"/>
      <c r="AA2474" s="285"/>
      <c r="AB2474" s="285"/>
      <c r="AC2474" s="9"/>
      <c r="AD2474" s="9"/>
      <c r="AE2474" s="40"/>
      <c r="AF2474" s="56"/>
      <c r="AG2474" s="56"/>
      <c r="AH2474" s="56"/>
      <c r="AI2474" s="56"/>
      <c r="AJ2474" s="56"/>
      <c r="AK2474" s="56"/>
      <c r="AL2474" s="56"/>
      <c r="AM2474" s="56"/>
      <c r="AN2474" s="56"/>
    </row>
    <row r="2475" spans="1:40" x14ac:dyDescent="0.3">
      <c r="A2475" s="435" t="s">
        <v>3021</v>
      </c>
      <c r="B2475" s="363"/>
      <c r="C2475" s="51">
        <f t="shared" ref="C2475:W2475" si="573">C2474+C2358+C2346</f>
        <v>56116167.819999978</v>
      </c>
      <c r="D2475" s="51">
        <f t="shared" si="573"/>
        <v>786534</v>
      </c>
      <c r="E2475" s="51">
        <f t="shared" si="573"/>
        <v>786534</v>
      </c>
      <c r="F2475" s="51">
        <f t="shared" si="573"/>
        <v>0</v>
      </c>
      <c r="G2475" s="51">
        <f t="shared" si="573"/>
        <v>0</v>
      </c>
      <c r="H2475" s="51">
        <f t="shared" si="573"/>
        <v>0</v>
      </c>
      <c r="I2475" s="51">
        <f t="shared" si="573"/>
        <v>0</v>
      </c>
      <c r="J2475" s="51">
        <f t="shared" si="573"/>
        <v>0</v>
      </c>
      <c r="K2475" s="51">
        <f t="shared" si="573"/>
        <v>0</v>
      </c>
      <c r="L2475" s="51">
        <f t="shared" si="573"/>
        <v>0</v>
      </c>
      <c r="M2475" s="35">
        <f t="shared" si="573"/>
        <v>39</v>
      </c>
      <c r="N2475" s="51">
        <f t="shared" si="573"/>
        <v>315666</v>
      </c>
      <c r="O2475" s="82">
        <f t="shared" si="573"/>
        <v>13</v>
      </c>
      <c r="P2475" s="51">
        <f t="shared" si="573"/>
        <v>343629</v>
      </c>
      <c r="Q2475" s="338">
        <f t="shared" si="573"/>
        <v>0</v>
      </c>
      <c r="R2475" s="51">
        <f t="shared" si="573"/>
        <v>0</v>
      </c>
      <c r="S2475" s="51">
        <f t="shared" si="573"/>
        <v>0</v>
      </c>
      <c r="T2475" s="338">
        <f t="shared" si="573"/>
        <v>0</v>
      </c>
      <c r="U2475" s="51">
        <f t="shared" si="573"/>
        <v>0</v>
      </c>
      <c r="V2475" s="35">
        <f t="shared" si="573"/>
        <v>0</v>
      </c>
      <c r="W2475" s="51">
        <f t="shared" si="573"/>
        <v>54565116.819999978</v>
      </c>
      <c r="X2475" s="329"/>
      <c r="Y2475" s="285"/>
      <c r="Z2475" s="285"/>
      <c r="AA2475" s="285"/>
      <c r="AB2475" s="285"/>
      <c r="AC2475" s="9"/>
      <c r="AD2475" s="9"/>
      <c r="AE2475" s="40"/>
      <c r="AF2475" s="56"/>
      <c r="AG2475" s="56"/>
      <c r="AH2475" s="56"/>
      <c r="AI2475" s="56"/>
      <c r="AJ2475" s="56"/>
      <c r="AK2475" s="56"/>
      <c r="AL2475" s="56"/>
      <c r="AM2475" s="56"/>
      <c r="AN2475" s="56"/>
    </row>
    <row r="2476" spans="1:40" x14ac:dyDescent="0.3">
      <c r="A2476" s="435" t="s">
        <v>3022</v>
      </c>
      <c r="B2476" s="363"/>
      <c r="C2476" s="363"/>
      <c r="D2476" s="363"/>
      <c r="E2476" s="363"/>
      <c r="F2476" s="363"/>
      <c r="G2476" s="363"/>
      <c r="H2476" s="363"/>
      <c r="I2476" s="363"/>
      <c r="J2476" s="363"/>
      <c r="K2476" s="363"/>
      <c r="L2476" s="363"/>
      <c r="M2476" s="393"/>
      <c r="N2476" s="363"/>
      <c r="O2476" s="391"/>
      <c r="P2476" s="363"/>
      <c r="Q2476" s="392"/>
      <c r="R2476" s="363"/>
      <c r="S2476" s="363"/>
      <c r="T2476" s="392"/>
      <c r="U2476" s="363"/>
      <c r="V2476" s="393"/>
      <c r="W2476" s="363"/>
      <c r="X2476" s="144"/>
      <c r="Y2476" s="188"/>
      <c r="Z2476" s="188"/>
      <c r="AA2476" s="48"/>
      <c r="AB2476" s="48"/>
      <c r="AC2476" s="57"/>
      <c r="AD2476" s="59"/>
      <c r="AE2476" s="56"/>
      <c r="AF2476" s="48"/>
      <c r="AG2476" s="57"/>
      <c r="AH2476" s="59"/>
      <c r="AI2476" s="56"/>
    </row>
    <row r="2477" spans="1:40" x14ac:dyDescent="0.3">
      <c r="A2477" s="47">
        <f>A2473+1</f>
        <v>2221</v>
      </c>
      <c r="B2477" s="414" t="s">
        <v>3023</v>
      </c>
      <c r="C2477" s="364">
        <f t="shared" ref="C2477:C2509" si="574">D2477+K2477+L2477+N2477+P2477+R2477+S2477+U2477+V2477+W2477</f>
        <v>17564414.460000001</v>
      </c>
      <c r="D2477" s="364">
        <f t="shared" ref="D2477:D2509" si="575">SUM(E2477:I2477)</f>
        <v>0</v>
      </c>
      <c r="E2477" s="364"/>
      <c r="F2477" s="364"/>
      <c r="G2477" s="364"/>
      <c r="H2477" s="364"/>
      <c r="I2477" s="364"/>
      <c r="J2477" s="364"/>
      <c r="K2477" s="364"/>
      <c r="L2477" s="364"/>
      <c r="M2477" s="181"/>
      <c r="N2477" s="364"/>
      <c r="O2477" s="129"/>
      <c r="P2477" s="364"/>
      <c r="Q2477" s="406">
        <v>2725.14</v>
      </c>
      <c r="R2477" s="364">
        <v>17564414.460000001</v>
      </c>
      <c r="S2477" s="364"/>
      <c r="T2477" s="406"/>
      <c r="U2477" s="364"/>
      <c r="V2477" s="181"/>
      <c r="W2477" s="364"/>
      <c r="X2477" s="375"/>
      <c r="Y2477" s="376"/>
      <c r="Z2477" s="376"/>
      <c r="AA2477" s="48"/>
      <c r="AB2477" s="48"/>
      <c r="AC2477" s="187"/>
      <c r="AD2477" s="48"/>
      <c r="AE2477" s="56"/>
      <c r="AF2477" s="48"/>
      <c r="AG2477" s="187"/>
      <c r="AH2477" s="48"/>
      <c r="AI2477" s="56"/>
    </row>
    <row r="2478" spans="1:40" x14ac:dyDescent="0.3">
      <c r="A2478" s="47">
        <f t="shared" ref="A2478:A2481" si="576">A2477+1</f>
        <v>2222</v>
      </c>
      <c r="B2478" s="414" t="s">
        <v>3027</v>
      </c>
      <c r="C2478" s="364">
        <f t="shared" si="574"/>
        <v>16907324.379999999</v>
      </c>
      <c r="D2478" s="364">
        <f t="shared" si="575"/>
        <v>0</v>
      </c>
      <c r="E2478" s="364"/>
      <c r="F2478" s="364"/>
      <c r="G2478" s="364"/>
      <c r="H2478" s="364"/>
      <c r="I2478" s="364"/>
      <c r="J2478" s="364"/>
      <c r="K2478" s="364"/>
      <c r="L2478" s="364"/>
      <c r="M2478" s="181"/>
      <c r="N2478" s="364"/>
      <c r="O2478" s="129"/>
      <c r="P2478" s="364"/>
      <c r="Q2478" s="406">
        <f>2725.14</f>
        <v>2725.14</v>
      </c>
      <c r="R2478" s="364">
        <v>16907324.379999999</v>
      </c>
      <c r="S2478" s="364"/>
      <c r="T2478" s="406"/>
      <c r="U2478" s="364"/>
      <c r="V2478" s="181"/>
      <c r="W2478" s="364"/>
      <c r="X2478" s="375"/>
      <c r="Y2478" s="376"/>
      <c r="Z2478" s="376"/>
      <c r="AA2478" s="48"/>
      <c r="AB2478" s="48"/>
      <c r="AC2478" s="187"/>
      <c r="AD2478" s="48"/>
      <c r="AE2478" s="56"/>
      <c r="AF2478" s="48"/>
      <c r="AG2478" s="187"/>
      <c r="AH2478" s="48"/>
      <c r="AI2478" s="56"/>
    </row>
    <row r="2479" spans="1:40" x14ac:dyDescent="0.3">
      <c r="A2479" s="47">
        <f t="shared" si="576"/>
        <v>2223</v>
      </c>
      <c r="B2479" s="414" t="s">
        <v>3051</v>
      </c>
      <c r="C2479" s="364">
        <f t="shared" si="574"/>
        <v>11427280.199999999</v>
      </c>
      <c r="D2479" s="364">
        <f t="shared" si="575"/>
        <v>0</v>
      </c>
      <c r="E2479" s="364"/>
      <c r="F2479" s="364"/>
      <c r="G2479" s="364"/>
      <c r="H2479" s="364"/>
      <c r="I2479" s="364"/>
      <c r="J2479" s="364"/>
      <c r="K2479" s="364"/>
      <c r="L2479" s="364"/>
      <c r="M2479" s="181"/>
      <c r="N2479" s="364"/>
      <c r="O2479" s="129"/>
      <c r="P2479" s="364"/>
      <c r="Q2479" s="406">
        <v>1733.5</v>
      </c>
      <c r="R2479" s="364">
        <v>11427280.199999999</v>
      </c>
      <c r="S2479" s="364"/>
      <c r="T2479" s="406"/>
      <c r="U2479" s="364"/>
      <c r="V2479" s="181"/>
      <c r="W2479" s="364"/>
      <c r="X2479" s="375"/>
      <c r="Y2479" s="376">
        <v>169516.64</v>
      </c>
      <c r="Z2479" s="376"/>
      <c r="AA2479" s="48"/>
      <c r="AB2479" s="48">
        <v>291948.19</v>
      </c>
      <c r="AC2479" s="187"/>
      <c r="AD2479" s="48"/>
      <c r="AE2479" s="56"/>
      <c r="AF2479" s="48">
        <v>291948.19</v>
      </c>
      <c r="AG2479" s="187"/>
      <c r="AH2479" s="48"/>
      <c r="AI2479" s="56"/>
    </row>
    <row r="2480" spans="1:40" x14ac:dyDescent="0.3">
      <c r="A2480" s="47">
        <f t="shared" si="576"/>
        <v>2224</v>
      </c>
      <c r="B2480" s="414" t="s">
        <v>3052</v>
      </c>
      <c r="C2480" s="364">
        <f t="shared" si="574"/>
        <v>15243760.98</v>
      </c>
      <c r="D2480" s="364">
        <f t="shared" si="575"/>
        <v>0</v>
      </c>
      <c r="E2480" s="364"/>
      <c r="F2480" s="364"/>
      <c r="G2480" s="364"/>
      <c r="H2480" s="364"/>
      <c r="I2480" s="364"/>
      <c r="J2480" s="364"/>
      <c r="K2480" s="364"/>
      <c r="L2480" s="364"/>
      <c r="M2480" s="181"/>
      <c r="N2480" s="364"/>
      <c r="O2480" s="129"/>
      <c r="P2480" s="364"/>
      <c r="Q2480" s="406">
        <v>2467.4</v>
      </c>
      <c r="R2480" s="364">
        <v>15243760.98</v>
      </c>
      <c r="S2480" s="364"/>
      <c r="T2480" s="406"/>
      <c r="U2480" s="364"/>
      <c r="V2480" s="181"/>
      <c r="W2480" s="364"/>
      <c r="X2480" s="375"/>
      <c r="Y2480" s="376">
        <v>199940.6</v>
      </c>
      <c r="Z2480" s="376"/>
      <c r="AA2480" s="48"/>
      <c r="AB2480" s="48">
        <v>336965.8</v>
      </c>
      <c r="AC2480" s="187">
        <v>74672.36</v>
      </c>
      <c r="AD2480" s="48"/>
      <c r="AE2480" s="56"/>
      <c r="AF2480" s="48">
        <v>336965.8</v>
      </c>
      <c r="AG2480" s="187">
        <v>74672.36</v>
      </c>
      <c r="AH2480" s="48"/>
      <c r="AI2480" s="56"/>
    </row>
    <row r="2481" spans="1:35" x14ac:dyDescent="0.3">
      <c r="A2481" s="47">
        <f t="shared" si="576"/>
        <v>2225</v>
      </c>
      <c r="B2481" s="414" t="s">
        <v>3053</v>
      </c>
      <c r="C2481" s="364">
        <f t="shared" si="574"/>
        <v>17574327.539999999</v>
      </c>
      <c r="D2481" s="364">
        <f t="shared" si="575"/>
        <v>0</v>
      </c>
      <c r="E2481" s="364"/>
      <c r="F2481" s="364"/>
      <c r="G2481" s="364"/>
      <c r="H2481" s="364"/>
      <c r="I2481" s="364"/>
      <c r="J2481" s="364"/>
      <c r="K2481" s="364"/>
      <c r="L2481" s="364"/>
      <c r="M2481" s="181"/>
      <c r="N2481" s="364"/>
      <c r="O2481" s="129"/>
      <c r="P2481" s="364"/>
      <c r="Q2481" s="406">
        <v>2778.9</v>
      </c>
      <c r="R2481" s="364">
        <v>17574327.539999999</v>
      </c>
      <c r="S2481" s="364"/>
      <c r="T2481" s="406"/>
      <c r="U2481" s="364"/>
      <c r="V2481" s="181"/>
      <c r="W2481" s="364"/>
      <c r="X2481" s="375"/>
      <c r="Y2481" s="376">
        <v>181465.48</v>
      </c>
      <c r="Z2481" s="376"/>
      <c r="AA2481" s="48"/>
      <c r="AB2481" s="48">
        <v>309628.58</v>
      </c>
      <c r="AC2481" s="187"/>
      <c r="AD2481" s="48"/>
      <c r="AE2481" s="56"/>
      <c r="AF2481" s="48">
        <v>309628.58</v>
      </c>
      <c r="AG2481" s="187"/>
      <c r="AH2481" s="48"/>
      <c r="AI2481" s="56"/>
    </row>
    <row r="2482" spans="1:35" x14ac:dyDescent="0.3">
      <c r="A2482" s="47">
        <f>A2481+1</f>
        <v>2226</v>
      </c>
      <c r="B2482" s="414" t="s">
        <v>3055</v>
      </c>
      <c r="C2482" s="364">
        <f t="shared" si="574"/>
        <v>32090224.32</v>
      </c>
      <c r="D2482" s="364">
        <f t="shared" si="575"/>
        <v>0</v>
      </c>
      <c r="E2482" s="364"/>
      <c r="F2482" s="364"/>
      <c r="G2482" s="364"/>
      <c r="H2482" s="364"/>
      <c r="I2482" s="364"/>
      <c r="J2482" s="364"/>
      <c r="K2482" s="364"/>
      <c r="L2482" s="364"/>
      <c r="M2482" s="181"/>
      <c r="N2482" s="364"/>
      <c r="O2482" s="129"/>
      <c r="P2482" s="364"/>
      <c r="Q2482" s="406">
        <v>5101.2</v>
      </c>
      <c r="R2482" s="364">
        <v>32090224.32</v>
      </c>
      <c r="S2482" s="364"/>
      <c r="T2482" s="406"/>
      <c r="U2482" s="364"/>
      <c r="V2482" s="181"/>
      <c r="W2482" s="364"/>
      <c r="X2482" s="375"/>
      <c r="Y2482" s="376">
        <v>258347.42</v>
      </c>
      <c r="Z2482" s="376"/>
      <c r="AA2482" s="48"/>
      <c r="AB2482" s="48"/>
      <c r="AC2482" s="187"/>
      <c r="AD2482" s="48"/>
      <c r="AE2482" s="56"/>
      <c r="AF2482" s="48"/>
      <c r="AG2482" s="187"/>
      <c r="AH2482" s="48"/>
      <c r="AI2482" s="56"/>
    </row>
    <row r="2483" spans="1:35" x14ac:dyDescent="0.3">
      <c r="A2483" s="47">
        <f t="shared" ref="A2483:A2509" si="577">A2482+1</f>
        <v>2227</v>
      </c>
      <c r="B2483" s="414" t="s">
        <v>3060</v>
      </c>
      <c r="C2483" s="364">
        <f t="shared" si="574"/>
        <v>15322086.359999999</v>
      </c>
      <c r="D2483" s="364">
        <f t="shared" si="575"/>
        <v>0</v>
      </c>
      <c r="E2483" s="364"/>
      <c r="F2483" s="364"/>
      <c r="G2483" s="364"/>
      <c r="H2483" s="364"/>
      <c r="I2483" s="364"/>
      <c r="J2483" s="364"/>
      <c r="K2483" s="364"/>
      <c r="L2483" s="364"/>
      <c r="M2483" s="181"/>
      <c r="N2483" s="364"/>
      <c r="O2483" s="129"/>
      <c r="P2483" s="364"/>
      <c r="Q2483" s="406">
        <v>2284.3000000000002</v>
      </c>
      <c r="R2483" s="364">
        <v>15322086.359999999</v>
      </c>
      <c r="S2483" s="364"/>
      <c r="T2483" s="406"/>
      <c r="U2483" s="364"/>
      <c r="V2483" s="181"/>
      <c r="W2483" s="364"/>
      <c r="X2483" s="375"/>
      <c r="Y2483" s="376">
        <v>181465.48</v>
      </c>
      <c r="Z2483" s="376"/>
      <c r="AA2483" s="48"/>
      <c r="AB2483" s="48">
        <v>309628.58</v>
      </c>
      <c r="AC2483" s="187"/>
      <c r="AD2483" s="48"/>
      <c r="AE2483" s="56"/>
      <c r="AF2483" s="48">
        <v>309628.58</v>
      </c>
      <c r="AG2483" s="187"/>
      <c r="AH2483" s="48"/>
      <c r="AI2483" s="56"/>
    </row>
    <row r="2484" spans="1:35" x14ac:dyDescent="0.3">
      <c r="A2484" s="47">
        <f t="shared" si="577"/>
        <v>2228</v>
      </c>
      <c r="B2484" s="414" t="s">
        <v>3064</v>
      </c>
      <c r="C2484" s="364">
        <f t="shared" si="574"/>
        <v>16215922.800000001</v>
      </c>
      <c r="D2484" s="364">
        <f t="shared" si="575"/>
        <v>0</v>
      </c>
      <c r="E2484" s="364"/>
      <c r="F2484" s="364"/>
      <c r="G2484" s="364"/>
      <c r="H2484" s="364"/>
      <c r="I2484" s="364"/>
      <c r="J2484" s="364"/>
      <c r="K2484" s="364"/>
      <c r="L2484" s="364"/>
      <c r="M2484" s="181"/>
      <c r="N2484" s="364"/>
      <c r="O2484" s="129"/>
      <c r="P2484" s="364"/>
      <c r="Q2484" s="406">
        <v>2344.6</v>
      </c>
      <c r="R2484" s="364">
        <v>16215922.800000001</v>
      </c>
      <c r="S2484" s="364"/>
      <c r="T2484" s="406"/>
      <c r="U2484" s="364"/>
      <c r="V2484" s="181"/>
      <c r="W2484" s="364"/>
      <c r="X2484" s="375"/>
      <c r="Y2484" s="376">
        <v>168755.15</v>
      </c>
      <c r="Z2484" s="376"/>
      <c r="AA2484" s="48"/>
      <c r="AB2484" s="48">
        <v>339498.83</v>
      </c>
      <c r="AC2484" s="187">
        <v>92363.15</v>
      </c>
      <c r="AD2484" s="48"/>
      <c r="AE2484" s="56"/>
      <c r="AF2484" s="48">
        <v>339498.83</v>
      </c>
      <c r="AG2484" s="187">
        <v>92363.15</v>
      </c>
      <c r="AH2484" s="48"/>
      <c r="AI2484" s="56"/>
    </row>
    <row r="2485" spans="1:35" x14ac:dyDescent="0.3">
      <c r="A2485" s="47">
        <f t="shared" si="577"/>
        <v>2229</v>
      </c>
      <c r="B2485" s="414" t="s">
        <v>3069</v>
      </c>
      <c r="C2485" s="364">
        <f t="shared" si="574"/>
        <v>18549884.940000001</v>
      </c>
      <c r="D2485" s="364">
        <f>SUM(E2485:I2485)</f>
        <v>751590</v>
      </c>
      <c r="E2485" s="364">
        <f>13*2688+358323*2</f>
        <v>751590</v>
      </c>
      <c r="F2485" s="364"/>
      <c r="G2485" s="364"/>
      <c r="H2485" s="364"/>
      <c r="I2485" s="364"/>
      <c r="J2485" s="364"/>
      <c r="K2485" s="364"/>
      <c r="L2485" s="364"/>
      <c r="M2485" s="181">
        <v>13</v>
      </c>
      <c r="N2485" s="364">
        <f>M2485*6243</f>
        <v>81159</v>
      </c>
      <c r="O2485" s="129"/>
      <c r="P2485" s="364"/>
      <c r="Q2485" s="406">
        <v>2560.4</v>
      </c>
      <c r="R2485" s="364">
        <v>17717135.940000001</v>
      </c>
      <c r="S2485" s="364"/>
      <c r="T2485" s="406"/>
      <c r="U2485" s="364"/>
      <c r="V2485" s="181"/>
      <c r="W2485" s="364"/>
      <c r="X2485" s="375"/>
      <c r="Y2485" s="376"/>
      <c r="Z2485" s="376"/>
      <c r="AA2485" s="48"/>
      <c r="AB2485" s="48"/>
      <c r="AC2485" s="187"/>
      <c r="AD2485" s="48"/>
      <c r="AE2485" s="56"/>
      <c r="AF2485" s="48"/>
      <c r="AG2485" s="187"/>
      <c r="AH2485" s="48"/>
      <c r="AI2485" s="56"/>
    </row>
    <row r="2486" spans="1:35" x14ac:dyDescent="0.3">
      <c r="A2486" s="47">
        <f t="shared" si="577"/>
        <v>2230</v>
      </c>
      <c r="B2486" s="414" t="s">
        <v>3075</v>
      </c>
      <c r="C2486" s="364">
        <f t="shared" si="574"/>
        <v>18466423.920000002</v>
      </c>
      <c r="D2486" s="364">
        <f t="shared" si="575"/>
        <v>0</v>
      </c>
      <c r="E2486" s="364"/>
      <c r="F2486" s="364"/>
      <c r="G2486" s="364"/>
      <c r="H2486" s="364"/>
      <c r="I2486" s="364"/>
      <c r="J2486" s="364"/>
      <c r="K2486" s="364"/>
      <c r="L2486" s="364"/>
      <c r="M2486" s="181"/>
      <c r="N2486" s="364"/>
      <c r="O2486" s="129"/>
      <c r="P2486" s="364"/>
      <c r="Q2486" s="406">
        <v>2669.6</v>
      </c>
      <c r="R2486" s="364">
        <v>18466423.920000002</v>
      </c>
      <c r="S2486" s="364"/>
      <c r="T2486" s="406"/>
      <c r="U2486" s="364"/>
      <c r="V2486" s="181"/>
      <c r="W2486" s="364"/>
      <c r="X2486" s="375"/>
      <c r="Y2486" s="376"/>
      <c r="Z2486" s="376"/>
      <c r="AA2486" s="48"/>
      <c r="AB2486" s="48"/>
      <c r="AC2486" s="187">
        <v>190994.48</v>
      </c>
      <c r="AD2486" s="48"/>
      <c r="AE2486" s="56"/>
      <c r="AF2486" s="48"/>
      <c r="AG2486" s="187">
        <v>190994.48</v>
      </c>
      <c r="AH2486" s="48"/>
      <c r="AI2486" s="56"/>
    </row>
    <row r="2487" spans="1:35" x14ac:dyDescent="0.3">
      <c r="A2487" s="47">
        <f t="shared" si="577"/>
        <v>2231</v>
      </c>
      <c r="B2487" s="414" t="s">
        <v>3077</v>
      </c>
      <c r="C2487" s="364">
        <f t="shared" si="574"/>
        <v>4827160.8</v>
      </c>
      <c r="D2487" s="364">
        <f t="shared" si="575"/>
        <v>0</v>
      </c>
      <c r="E2487" s="364"/>
      <c r="F2487" s="364"/>
      <c r="G2487" s="364"/>
      <c r="H2487" s="364"/>
      <c r="I2487" s="364"/>
      <c r="J2487" s="364"/>
      <c r="K2487" s="364"/>
      <c r="L2487" s="364"/>
      <c r="M2487" s="181"/>
      <c r="N2487" s="364"/>
      <c r="O2487" s="129"/>
      <c r="P2487" s="364"/>
      <c r="Q2487" s="406">
        <v>1027.4000000000001</v>
      </c>
      <c r="R2487" s="364">
        <v>4827160.8</v>
      </c>
      <c r="S2487" s="364"/>
      <c r="T2487" s="406"/>
      <c r="U2487" s="364"/>
      <c r="V2487" s="181"/>
      <c r="W2487" s="364"/>
      <c r="X2487" s="375"/>
      <c r="Y2487" s="376"/>
      <c r="Z2487" s="376">
        <v>89245.22</v>
      </c>
      <c r="AA2487" s="48">
        <v>115833.37</v>
      </c>
      <c r="AB2487" s="48"/>
      <c r="AC2487" s="187"/>
      <c r="AD2487" s="48"/>
      <c r="AE2487" s="56"/>
      <c r="AF2487" s="48"/>
      <c r="AG2487" s="187"/>
      <c r="AH2487" s="48"/>
      <c r="AI2487" s="56"/>
    </row>
    <row r="2488" spans="1:35" x14ac:dyDescent="0.3">
      <c r="A2488" s="47">
        <f t="shared" si="577"/>
        <v>2232</v>
      </c>
      <c r="B2488" s="414" t="s">
        <v>3096</v>
      </c>
      <c r="C2488" s="364">
        <f t="shared" si="574"/>
        <v>712649</v>
      </c>
      <c r="D2488" s="364">
        <f>SUM(E2488:I2488)</f>
        <v>712649</v>
      </c>
      <c r="E2488" s="364"/>
      <c r="F2488" s="364">
        <f>13*5250+579542</f>
        <v>647792</v>
      </c>
      <c r="G2488" s="364">
        <f>13*3910</f>
        <v>50830</v>
      </c>
      <c r="H2488" s="364">
        <f>13*1079</f>
        <v>14027</v>
      </c>
      <c r="I2488" s="364"/>
      <c r="J2488" s="364"/>
      <c r="K2488" s="364"/>
      <c r="L2488" s="364"/>
      <c r="M2488" s="181"/>
      <c r="N2488" s="364"/>
      <c r="O2488" s="129"/>
      <c r="P2488" s="364"/>
      <c r="Q2488" s="406"/>
      <c r="R2488" s="364"/>
      <c r="S2488" s="364"/>
      <c r="T2488" s="406"/>
      <c r="U2488" s="364"/>
      <c r="V2488" s="181"/>
      <c r="W2488" s="364"/>
    </row>
    <row r="2489" spans="1:35" x14ac:dyDescent="0.3">
      <c r="A2489" s="47">
        <f t="shared" si="577"/>
        <v>2233</v>
      </c>
      <c r="B2489" s="414" t="s">
        <v>3101</v>
      </c>
      <c r="C2489" s="364">
        <f t="shared" si="574"/>
        <v>13971510</v>
      </c>
      <c r="D2489" s="364">
        <f t="shared" si="575"/>
        <v>0</v>
      </c>
      <c r="E2489" s="364"/>
      <c r="F2489" s="364"/>
      <c r="G2489" s="364"/>
      <c r="H2489" s="364"/>
      <c r="I2489" s="364"/>
      <c r="J2489" s="364"/>
      <c r="K2489" s="364"/>
      <c r="L2489" s="364"/>
      <c r="M2489" s="181"/>
      <c r="N2489" s="364"/>
      <c r="O2489" s="129"/>
      <c r="P2489" s="364"/>
      <c r="Q2489" s="406">
        <v>2705.1</v>
      </c>
      <c r="R2489" s="364">
        <v>13971510</v>
      </c>
      <c r="S2489" s="364"/>
      <c r="T2489" s="406"/>
      <c r="U2489" s="364"/>
      <c r="V2489" s="181"/>
      <c r="W2489" s="364"/>
      <c r="X2489" s="375"/>
      <c r="Y2489" s="376">
        <v>181508.38</v>
      </c>
      <c r="Z2489" s="376"/>
      <c r="AA2489" s="48"/>
      <c r="AB2489" s="48"/>
      <c r="AC2489" s="187"/>
      <c r="AD2489" s="48"/>
      <c r="AE2489" s="56"/>
      <c r="AF2489" s="48"/>
      <c r="AG2489" s="187"/>
      <c r="AH2489" s="48"/>
      <c r="AI2489" s="56"/>
    </row>
    <row r="2490" spans="1:35" x14ac:dyDescent="0.3">
      <c r="A2490" s="47">
        <f t="shared" si="577"/>
        <v>2234</v>
      </c>
      <c r="B2490" s="414" t="s">
        <v>3103</v>
      </c>
      <c r="C2490" s="364">
        <f t="shared" si="574"/>
        <v>12996634.800000001</v>
      </c>
      <c r="D2490" s="364">
        <f t="shared" si="575"/>
        <v>0</v>
      </c>
      <c r="E2490" s="364"/>
      <c r="F2490" s="364"/>
      <c r="G2490" s="364"/>
      <c r="H2490" s="364"/>
      <c r="I2490" s="364"/>
      <c r="J2490" s="364"/>
      <c r="K2490" s="364"/>
      <c r="L2490" s="364"/>
      <c r="M2490" s="181"/>
      <c r="N2490" s="364"/>
      <c r="O2490" s="129"/>
      <c r="P2490" s="364"/>
      <c r="Q2490" s="406">
        <v>2342.8000000000002</v>
      </c>
      <c r="R2490" s="364">
        <v>12996634.800000001</v>
      </c>
      <c r="S2490" s="364"/>
      <c r="T2490" s="406"/>
      <c r="U2490" s="364"/>
      <c r="V2490" s="181"/>
      <c r="W2490" s="364"/>
      <c r="X2490" s="375"/>
      <c r="Y2490" s="376">
        <v>211793.05</v>
      </c>
      <c r="Z2490" s="376"/>
      <c r="AA2490" s="48"/>
      <c r="AB2490" s="48">
        <v>354503.49</v>
      </c>
      <c r="AC2490" s="187">
        <v>156978.04</v>
      </c>
      <c r="AD2490" s="48"/>
      <c r="AE2490" s="56"/>
      <c r="AF2490" s="48">
        <v>354503.49</v>
      </c>
      <c r="AG2490" s="187">
        <v>156978.04</v>
      </c>
      <c r="AH2490" s="48"/>
      <c r="AI2490" s="56"/>
    </row>
    <row r="2491" spans="1:35" x14ac:dyDescent="0.3">
      <c r="A2491" s="47">
        <f t="shared" si="577"/>
        <v>2235</v>
      </c>
      <c r="B2491" s="414" t="s">
        <v>3104</v>
      </c>
      <c r="C2491" s="364">
        <f t="shared" si="574"/>
        <v>22422438</v>
      </c>
      <c r="D2491" s="364">
        <f t="shared" si="575"/>
        <v>0</v>
      </c>
      <c r="E2491" s="364"/>
      <c r="F2491" s="364"/>
      <c r="G2491" s="364"/>
      <c r="H2491" s="364"/>
      <c r="I2491" s="364"/>
      <c r="J2491" s="364"/>
      <c r="K2491" s="364"/>
      <c r="L2491" s="364"/>
      <c r="M2491" s="181"/>
      <c r="N2491" s="364"/>
      <c r="O2491" s="129"/>
      <c r="P2491" s="364"/>
      <c r="Q2491" s="406">
        <v>3527.1</v>
      </c>
      <c r="R2491" s="364">
        <v>22422438</v>
      </c>
      <c r="S2491" s="364"/>
      <c r="T2491" s="406"/>
      <c r="U2491" s="364"/>
      <c r="V2491" s="181"/>
      <c r="W2491" s="364"/>
      <c r="X2491" s="375"/>
      <c r="Y2491" s="376">
        <v>229824.82</v>
      </c>
      <c r="Z2491" s="376"/>
      <c r="AA2491" s="48"/>
      <c r="AB2491" s="48"/>
      <c r="AC2491" s="187"/>
      <c r="AD2491" s="48"/>
      <c r="AE2491" s="56"/>
      <c r="AF2491" s="48"/>
      <c r="AG2491" s="187"/>
      <c r="AH2491" s="48"/>
      <c r="AI2491" s="56"/>
    </row>
    <row r="2492" spans="1:35" x14ac:dyDescent="0.3">
      <c r="A2492" s="47">
        <f t="shared" si="577"/>
        <v>2236</v>
      </c>
      <c r="B2492" s="414" t="s">
        <v>3111</v>
      </c>
      <c r="C2492" s="364">
        <f t="shared" si="574"/>
        <v>11868491.880000001</v>
      </c>
      <c r="D2492" s="364">
        <f t="shared" si="575"/>
        <v>0</v>
      </c>
      <c r="E2492" s="364"/>
      <c r="F2492" s="364"/>
      <c r="G2492" s="364"/>
      <c r="H2492" s="364"/>
      <c r="I2492" s="364"/>
      <c r="J2492" s="364"/>
      <c r="K2492" s="364"/>
      <c r="L2492" s="364"/>
      <c r="M2492" s="181"/>
      <c r="N2492" s="364"/>
      <c r="O2492" s="129"/>
      <c r="P2492" s="364"/>
      <c r="Q2492" s="406">
        <v>2207.6999999999998</v>
      </c>
      <c r="R2492" s="364">
        <v>11868491.880000001</v>
      </c>
      <c r="S2492" s="364"/>
      <c r="T2492" s="406"/>
      <c r="U2492" s="364"/>
      <c r="V2492" s="181"/>
      <c r="W2492" s="364"/>
      <c r="X2492" s="375"/>
      <c r="Y2492" s="376">
        <v>181508.38</v>
      </c>
      <c r="Z2492" s="376"/>
      <c r="AA2492" s="48"/>
      <c r="AB2492" s="48"/>
      <c r="AC2492" s="187"/>
      <c r="AD2492" s="48"/>
      <c r="AE2492" s="56"/>
      <c r="AF2492" s="48"/>
      <c r="AG2492" s="187"/>
      <c r="AH2492" s="48"/>
      <c r="AI2492" s="56"/>
    </row>
    <row r="2493" spans="1:35" x14ac:dyDescent="0.3">
      <c r="A2493" s="47">
        <f t="shared" si="577"/>
        <v>2237</v>
      </c>
      <c r="B2493" s="414" t="s">
        <v>3112</v>
      </c>
      <c r="C2493" s="364">
        <f t="shared" si="574"/>
        <v>16451414.4</v>
      </c>
      <c r="D2493" s="364">
        <f t="shared" si="575"/>
        <v>0</v>
      </c>
      <c r="E2493" s="364"/>
      <c r="F2493" s="364"/>
      <c r="G2493" s="364"/>
      <c r="H2493" s="364"/>
      <c r="I2493" s="364"/>
      <c r="J2493" s="364"/>
      <c r="K2493" s="364"/>
      <c r="L2493" s="364"/>
      <c r="M2493" s="181"/>
      <c r="N2493" s="364"/>
      <c r="O2493" s="129"/>
      <c r="P2493" s="364"/>
      <c r="Q2493" s="406">
        <v>2616.4</v>
      </c>
      <c r="R2493" s="364">
        <v>16451414.4</v>
      </c>
      <c r="S2493" s="364"/>
      <c r="T2493" s="406"/>
      <c r="U2493" s="364"/>
      <c r="V2493" s="181"/>
      <c r="W2493" s="364"/>
      <c r="X2493" s="375"/>
      <c r="Y2493" s="376">
        <v>213679.13</v>
      </c>
      <c r="Z2493" s="376"/>
      <c r="AA2493" s="48"/>
      <c r="AB2493" s="48"/>
      <c r="AC2493" s="187"/>
      <c r="AD2493" s="48"/>
      <c r="AE2493" s="56"/>
      <c r="AF2493" s="48"/>
      <c r="AG2493" s="187"/>
      <c r="AH2493" s="48"/>
      <c r="AI2493" s="56"/>
    </row>
    <row r="2494" spans="1:35" x14ac:dyDescent="0.3">
      <c r="A2494" s="47">
        <f t="shared" si="577"/>
        <v>2238</v>
      </c>
      <c r="B2494" s="414" t="s">
        <v>3115</v>
      </c>
      <c r="C2494" s="364">
        <f t="shared" si="574"/>
        <v>14811853.199999999</v>
      </c>
      <c r="D2494" s="364">
        <f t="shared" si="575"/>
        <v>0</v>
      </c>
      <c r="E2494" s="364"/>
      <c r="F2494" s="364"/>
      <c r="G2494" s="364"/>
      <c r="H2494" s="364"/>
      <c r="I2494" s="364"/>
      <c r="J2494" s="364"/>
      <c r="K2494" s="364"/>
      <c r="L2494" s="364"/>
      <c r="M2494" s="181"/>
      <c r="N2494" s="364"/>
      <c r="O2494" s="129"/>
      <c r="P2494" s="364"/>
      <c r="Q2494" s="406">
        <v>2466.1999999999998</v>
      </c>
      <c r="R2494" s="364">
        <v>14811853.199999999</v>
      </c>
      <c r="S2494" s="364"/>
      <c r="T2494" s="406"/>
      <c r="U2494" s="364"/>
      <c r="V2494" s="181"/>
      <c r="W2494" s="364"/>
      <c r="X2494" s="375"/>
      <c r="Y2494" s="376">
        <v>161728.66</v>
      </c>
      <c r="Z2494" s="376"/>
      <c r="AA2494" s="48"/>
      <c r="AB2494" s="48"/>
      <c r="AC2494" s="187"/>
      <c r="AD2494" s="48"/>
      <c r="AE2494" s="56"/>
      <c r="AF2494" s="48"/>
      <c r="AG2494" s="187"/>
      <c r="AH2494" s="48"/>
      <c r="AI2494" s="56"/>
    </row>
    <row r="2495" spans="1:35" x14ac:dyDescent="0.3">
      <c r="A2495" s="47">
        <f t="shared" si="577"/>
        <v>2239</v>
      </c>
      <c r="B2495" s="414" t="s">
        <v>3117</v>
      </c>
      <c r="C2495" s="364">
        <f t="shared" si="574"/>
        <v>14617674</v>
      </c>
      <c r="D2495" s="364">
        <f t="shared" si="575"/>
        <v>0</v>
      </c>
      <c r="E2495" s="364"/>
      <c r="F2495" s="364"/>
      <c r="G2495" s="364"/>
      <c r="H2495" s="364"/>
      <c r="I2495" s="364"/>
      <c r="J2495" s="364"/>
      <c r="K2495" s="364"/>
      <c r="L2495" s="364"/>
      <c r="M2495" s="181"/>
      <c r="N2495" s="364"/>
      <c r="O2495" s="129"/>
      <c r="P2495" s="364"/>
      <c r="Q2495" s="406">
        <v>2457.8000000000002</v>
      </c>
      <c r="R2495" s="364">
        <v>14617674</v>
      </c>
      <c r="S2495" s="364"/>
      <c r="T2495" s="406"/>
      <c r="U2495" s="364"/>
      <c r="V2495" s="181"/>
      <c r="W2495" s="364"/>
      <c r="X2495" s="375"/>
      <c r="Y2495" s="376">
        <v>159409.24</v>
      </c>
      <c r="Z2495" s="376"/>
      <c r="AA2495" s="48"/>
      <c r="AB2495" s="48">
        <v>339541.6</v>
      </c>
      <c r="AC2495" s="187"/>
      <c r="AD2495" s="48"/>
      <c r="AE2495" s="56"/>
      <c r="AF2495" s="48">
        <v>339541.6</v>
      </c>
      <c r="AG2495" s="187"/>
      <c r="AH2495" s="48"/>
      <c r="AI2495" s="56"/>
    </row>
    <row r="2496" spans="1:35" x14ac:dyDescent="0.3">
      <c r="A2496" s="47">
        <f t="shared" si="577"/>
        <v>2240</v>
      </c>
      <c r="B2496" s="414" t="s">
        <v>3120</v>
      </c>
      <c r="C2496" s="364">
        <f t="shared" si="574"/>
        <v>11084766</v>
      </c>
      <c r="D2496" s="364">
        <f t="shared" si="575"/>
        <v>0</v>
      </c>
      <c r="E2496" s="364"/>
      <c r="F2496" s="364"/>
      <c r="G2496" s="364"/>
      <c r="H2496" s="364"/>
      <c r="I2496" s="364"/>
      <c r="J2496" s="364"/>
      <c r="K2496" s="364"/>
      <c r="L2496" s="364"/>
      <c r="M2496" s="181"/>
      <c r="N2496" s="364"/>
      <c r="O2496" s="129"/>
      <c r="P2496" s="364"/>
      <c r="Q2496" s="406">
        <f>1993.9</f>
        <v>1993.9</v>
      </c>
      <c r="R2496" s="364">
        <v>11084766</v>
      </c>
      <c r="S2496" s="364"/>
      <c r="T2496" s="406"/>
      <c r="U2496" s="364"/>
      <c r="V2496" s="181"/>
      <c r="W2496" s="364"/>
      <c r="X2496" s="375"/>
      <c r="Y2496" s="376">
        <v>169516.66</v>
      </c>
      <c r="Z2496" s="376"/>
      <c r="AA2496" s="48"/>
      <c r="AB2496" s="48">
        <v>291948.19</v>
      </c>
      <c r="AC2496" s="187"/>
      <c r="AD2496" s="48"/>
      <c r="AE2496" s="56"/>
      <c r="AF2496" s="48">
        <v>291948.19</v>
      </c>
      <c r="AG2496" s="187"/>
      <c r="AH2496" s="48"/>
      <c r="AI2496" s="56"/>
    </row>
    <row r="2497" spans="1:36" x14ac:dyDescent="0.3">
      <c r="A2497" s="47">
        <f t="shared" si="577"/>
        <v>2241</v>
      </c>
      <c r="B2497" s="414" t="s">
        <v>3121</v>
      </c>
      <c r="C2497" s="364">
        <f t="shared" si="574"/>
        <v>14894366.399999999</v>
      </c>
      <c r="D2497" s="364">
        <f t="shared" si="575"/>
        <v>0</v>
      </c>
      <c r="E2497" s="364"/>
      <c r="F2497" s="364"/>
      <c r="G2497" s="364"/>
      <c r="H2497" s="364"/>
      <c r="I2497" s="364"/>
      <c r="J2497" s="364"/>
      <c r="K2497" s="364"/>
      <c r="L2497" s="364"/>
      <c r="M2497" s="181">
        <f>671.6</f>
        <v>671.6</v>
      </c>
      <c r="N2497" s="364">
        <v>2436652.7999999998</v>
      </c>
      <c r="O2497" s="129"/>
      <c r="P2497" s="364"/>
      <c r="Q2497" s="406">
        <v>2194.5</v>
      </c>
      <c r="R2497" s="364">
        <v>12457713.6</v>
      </c>
      <c r="S2497" s="364"/>
      <c r="T2497" s="406"/>
      <c r="U2497" s="364"/>
      <c r="V2497" s="181"/>
      <c r="W2497" s="364"/>
      <c r="X2497" s="375"/>
      <c r="Y2497" s="376">
        <v>169516.66</v>
      </c>
      <c r="Z2497" s="376"/>
      <c r="AA2497" s="48"/>
      <c r="AB2497" s="48"/>
      <c r="AC2497" s="187"/>
      <c r="AD2497" s="48"/>
      <c r="AE2497" s="56"/>
      <c r="AF2497" s="48"/>
      <c r="AG2497" s="187"/>
      <c r="AH2497" s="48"/>
      <c r="AI2497" s="56"/>
    </row>
    <row r="2498" spans="1:36" x14ac:dyDescent="0.3">
      <c r="A2498" s="47">
        <f t="shared" si="577"/>
        <v>2242</v>
      </c>
      <c r="B2498" s="414" t="s">
        <v>3122</v>
      </c>
      <c r="C2498" s="364">
        <f t="shared" si="574"/>
        <v>12947301.6</v>
      </c>
      <c r="D2498" s="364">
        <f t="shared" si="575"/>
        <v>0</v>
      </c>
      <c r="E2498" s="364"/>
      <c r="F2498" s="364"/>
      <c r="G2498" s="364"/>
      <c r="H2498" s="364"/>
      <c r="I2498" s="364"/>
      <c r="J2498" s="364"/>
      <c r="K2498" s="364"/>
      <c r="L2498" s="364"/>
      <c r="M2498" s="181"/>
      <c r="N2498" s="364"/>
      <c r="O2498" s="129"/>
      <c r="P2498" s="364"/>
      <c r="Q2498" s="406">
        <v>2359.5</v>
      </c>
      <c r="R2498" s="364">
        <v>12947301.6</v>
      </c>
      <c r="S2498" s="364"/>
      <c r="T2498" s="406"/>
      <c r="U2498" s="364"/>
      <c r="V2498" s="181"/>
      <c r="W2498" s="364"/>
      <c r="X2498" s="375"/>
      <c r="Y2498" s="376">
        <v>169516.66</v>
      </c>
      <c r="Z2498" s="376"/>
      <c r="AA2498" s="48"/>
      <c r="AB2498" s="48"/>
      <c r="AC2498" s="187">
        <v>64875.360000000001</v>
      </c>
      <c r="AD2498" s="48"/>
      <c r="AE2498" s="56"/>
      <c r="AF2498" s="48"/>
      <c r="AG2498" s="187">
        <v>64875.360000000001</v>
      </c>
      <c r="AH2498" s="48"/>
      <c r="AI2498" s="56"/>
    </row>
    <row r="2499" spans="1:36" x14ac:dyDescent="0.3">
      <c r="A2499" s="47">
        <f t="shared" si="577"/>
        <v>2243</v>
      </c>
      <c r="B2499" s="414" t="s">
        <v>3125</v>
      </c>
      <c r="C2499" s="364">
        <f t="shared" si="574"/>
        <v>10248648</v>
      </c>
      <c r="D2499" s="364">
        <f t="shared" si="575"/>
        <v>0</v>
      </c>
      <c r="E2499" s="364"/>
      <c r="F2499" s="364"/>
      <c r="G2499" s="364"/>
      <c r="H2499" s="364"/>
      <c r="I2499" s="364"/>
      <c r="J2499" s="364"/>
      <c r="K2499" s="364"/>
      <c r="L2499" s="364"/>
      <c r="M2499" s="181"/>
      <c r="N2499" s="364"/>
      <c r="O2499" s="129"/>
      <c r="P2499" s="364"/>
      <c r="Q2499" s="406">
        <v>1944.5</v>
      </c>
      <c r="R2499" s="364">
        <v>10248648</v>
      </c>
      <c r="S2499" s="364"/>
      <c r="T2499" s="406"/>
      <c r="U2499" s="364"/>
      <c r="V2499" s="181"/>
      <c r="W2499" s="364"/>
      <c r="X2499" s="375"/>
      <c r="Y2499" s="376">
        <v>173899.64</v>
      </c>
      <c r="Z2499" s="376"/>
      <c r="AA2499" s="48"/>
      <c r="AB2499" s="48"/>
      <c r="AC2499" s="187"/>
      <c r="AD2499" s="48"/>
      <c r="AE2499" s="56"/>
      <c r="AF2499" s="48"/>
      <c r="AG2499" s="187"/>
      <c r="AH2499" s="48"/>
      <c r="AI2499" s="56"/>
    </row>
    <row r="2500" spans="1:36" x14ac:dyDescent="0.3">
      <c r="A2500" s="47">
        <f t="shared" si="577"/>
        <v>2244</v>
      </c>
      <c r="B2500" s="414" t="s">
        <v>3127</v>
      </c>
      <c r="C2500" s="364">
        <f t="shared" si="574"/>
        <v>1200529.6399999999</v>
      </c>
      <c r="D2500" s="364">
        <f>SUM(E2500:I2500)</f>
        <v>1200529.6399999999</v>
      </c>
      <c r="E2500" s="364">
        <v>1200529.6399999999</v>
      </c>
      <c r="F2500" s="364"/>
      <c r="G2500" s="364"/>
      <c r="H2500" s="364"/>
      <c r="I2500" s="364"/>
      <c r="J2500" s="364"/>
      <c r="K2500" s="364"/>
      <c r="L2500" s="364"/>
      <c r="M2500" s="181"/>
      <c r="N2500" s="364"/>
      <c r="O2500" s="129"/>
      <c r="P2500" s="364"/>
      <c r="Q2500" s="406"/>
      <c r="R2500" s="364"/>
      <c r="S2500" s="364"/>
      <c r="T2500" s="406"/>
      <c r="U2500" s="364"/>
      <c r="V2500" s="181"/>
      <c r="W2500" s="364"/>
    </row>
    <row r="2501" spans="1:36" x14ac:dyDescent="0.3">
      <c r="A2501" s="47">
        <f t="shared" si="577"/>
        <v>2245</v>
      </c>
      <c r="B2501" s="414" t="s">
        <v>3128</v>
      </c>
      <c r="C2501" s="364">
        <f t="shared" si="574"/>
        <v>751590</v>
      </c>
      <c r="D2501" s="364">
        <f>SUM(E2501:I2501)</f>
        <v>751590</v>
      </c>
      <c r="E2501" s="364">
        <f>13*2688+358323*2</f>
        <v>751590</v>
      </c>
      <c r="F2501" s="364"/>
      <c r="G2501" s="364"/>
      <c r="H2501" s="364"/>
      <c r="I2501" s="364"/>
      <c r="J2501" s="364"/>
      <c r="K2501" s="364"/>
      <c r="L2501" s="364"/>
      <c r="M2501" s="181"/>
      <c r="N2501" s="364"/>
      <c r="O2501" s="129"/>
      <c r="P2501" s="364"/>
      <c r="Q2501" s="407"/>
      <c r="R2501" s="364"/>
      <c r="S2501" s="364"/>
      <c r="T2501" s="406"/>
      <c r="U2501" s="364"/>
      <c r="V2501" s="181"/>
      <c r="W2501" s="364"/>
    </row>
    <row r="2502" spans="1:36" x14ac:dyDescent="0.3">
      <c r="A2502" s="47">
        <f t="shared" si="577"/>
        <v>2246</v>
      </c>
      <c r="B2502" s="414" t="s">
        <v>3133</v>
      </c>
      <c r="C2502" s="364">
        <f t="shared" si="574"/>
        <v>87651828</v>
      </c>
      <c r="D2502" s="364">
        <f>SUM(E2502:I2502)</f>
        <v>0</v>
      </c>
      <c r="E2502" s="364"/>
      <c r="F2502" s="364"/>
      <c r="G2502" s="364"/>
      <c r="H2502" s="364"/>
      <c r="I2502" s="364"/>
      <c r="J2502" s="364"/>
      <c r="K2502" s="364"/>
      <c r="L2502" s="364"/>
      <c r="M2502" s="181"/>
      <c r="N2502" s="364"/>
      <c r="O2502" s="129" t="s">
        <v>4182</v>
      </c>
      <c r="P2502" s="364">
        <f t="shared" ref="P2502" si="578">O2502*26433</f>
        <v>87651828</v>
      </c>
      <c r="Q2502" s="406"/>
      <c r="R2502" s="364"/>
      <c r="S2502" s="364"/>
      <c r="T2502" s="406"/>
      <c r="U2502" s="364"/>
      <c r="V2502" s="181"/>
      <c r="W2502" s="364"/>
    </row>
    <row r="2503" spans="1:36" x14ac:dyDescent="0.3">
      <c r="A2503" s="47">
        <f t="shared" si="577"/>
        <v>2247</v>
      </c>
      <c r="B2503" s="414" t="s">
        <v>3155</v>
      </c>
      <c r="C2503" s="364">
        <f t="shared" si="574"/>
        <v>13620390.84</v>
      </c>
      <c r="D2503" s="364">
        <f t="shared" si="575"/>
        <v>0</v>
      </c>
      <c r="E2503" s="364"/>
      <c r="F2503" s="364"/>
      <c r="G2503" s="364"/>
      <c r="H2503" s="364"/>
      <c r="I2503" s="364"/>
      <c r="J2503" s="364"/>
      <c r="K2503" s="364"/>
      <c r="L2503" s="364"/>
      <c r="M2503" s="181"/>
      <c r="N2503" s="364"/>
      <c r="O2503" s="129"/>
      <c r="P2503" s="364"/>
      <c r="Q2503" s="406">
        <f>2076.4</f>
        <v>2076.4</v>
      </c>
      <c r="R2503" s="364">
        <v>13620390.84</v>
      </c>
      <c r="S2503" s="364"/>
      <c r="T2503" s="406"/>
      <c r="U2503" s="364"/>
      <c r="V2503" s="181"/>
      <c r="W2503" s="364"/>
      <c r="X2503" s="375"/>
      <c r="Y2503" s="376">
        <v>168412.86</v>
      </c>
      <c r="Z2503" s="376"/>
      <c r="AA2503" s="48"/>
      <c r="AB2503" s="48">
        <v>290314.94</v>
      </c>
      <c r="AC2503" s="187"/>
      <c r="AD2503" s="48"/>
      <c r="AE2503" s="56"/>
      <c r="AF2503" s="48">
        <v>290314.94</v>
      </c>
      <c r="AG2503" s="187"/>
      <c r="AH2503" s="48"/>
      <c r="AI2503" s="56"/>
    </row>
    <row r="2504" spans="1:36" x14ac:dyDescent="0.3">
      <c r="A2504" s="47">
        <f t="shared" si="577"/>
        <v>2248</v>
      </c>
      <c r="B2504" s="414" t="s">
        <v>3168</v>
      </c>
      <c r="C2504" s="364">
        <f t="shared" si="574"/>
        <v>19169011.199999999</v>
      </c>
      <c r="D2504" s="364">
        <f t="shared" si="575"/>
        <v>0</v>
      </c>
      <c r="E2504" s="364"/>
      <c r="F2504" s="364"/>
      <c r="G2504" s="364"/>
      <c r="H2504" s="364"/>
      <c r="I2504" s="364"/>
      <c r="J2504" s="364"/>
      <c r="K2504" s="364"/>
      <c r="L2504" s="364"/>
      <c r="M2504" s="181"/>
      <c r="N2504" s="364"/>
      <c r="O2504" s="129"/>
      <c r="P2504" s="364"/>
      <c r="Q2504" s="406">
        <f>3159.6</f>
        <v>3159.6</v>
      </c>
      <c r="R2504" s="364">
        <v>19169011.199999999</v>
      </c>
      <c r="S2504" s="364"/>
      <c r="T2504" s="406"/>
      <c r="U2504" s="364"/>
      <c r="V2504" s="181"/>
      <c r="W2504" s="364"/>
      <c r="X2504" s="375"/>
      <c r="Y2504" s="376">
        <v>263703.49</v>
      </c>
      <c r="Z2504" s="376"/>
      <c r="AA2504" s="48"/>
      <c r="AB2504" s="48"/>
      <c r="AC2504" s="187">
        <v>680109.31</v>
      </c>
      <c r="AD2504" s="48"/>
      <c r="AE2504" s="56"/>
      <c r="AF2504" s="48"/>
      <c r="AG2504" s="187"/>
      <c r="AH2504" s="48"/>
      <c r="AI2504" s="56"/>
    </row>
    <row r="2505" spans="1:36" x14ac:dyDescent="0.3">
      <c r="A2505" s="47">
        <f t="shared" si="577"/>
        <v>2249</v>
      </c>
      <c r="B2505" s="414" t="s">
        <v>3169</v>
      </c>
      <c r="C2505" s="364">
        <f t="shared" si="574"/>
        <v>20048709.600000001</v>
      </c>
      <c r="D2505" s="364">
        <f t="shared" si="575"/>
        <v>0</v>
      </c>
      <c r="E2505" s="364"/>
      <c r="F2505" s="364"/>
      <c r="G2505" s="364"/>
      <c r="H2505" s="364"/>
      <c r="I2505" s="364"/>
      <c r="J2505" s="364"/>
      <c r="K2505" s="364"/>
      <c r="L2505" s="364"/>
      <c r="M2505" s="181"/>
      <c r="N2505" s="364"/>
      <c r="O2505" s="129"/>
      <c r="P2505" s="364"/>
      <c r="Q2505" s="406">
        <v>3153.3</v>
      </c>
      <c r="R2505" s="364">
        <v>20048709.600000001</v>
      </c>
      <c r="S2505" s="364"/>
      <c r="T2505" s="406"/>
      <c r="U2505" s="364"/>
      <c r="V2505" s="181"/>
      <c r="W2505" s="364"/>
      <c r="X2505" s="375"/>
      <c r="Y2505" s="376">
        <v>263703.49</v>
      </c>
      <c r="Z2505" s="376"/>
      <c r="AA2505" s="48"/>
      <c r="AB2505" s="48"/>
      <c r="AC2505" s="187">
        <v>680109.31</v>
      </c>
      <c r="AD2505" s="48"/>
      <c r="AE2505" s="56"/>
      <c r="AF2505" s="48"/>
      <c r="AG2505" s="187"/>
      <c r="AH2505" s="48"/>
      <c r="AI2505" s="56"/>
    </row>
    <row r="2506" spans="1:36" x14ac:dyDescent="0.3">
      <c r="A2506" s="47">
        <f t="shared" si="577"/>
        <v>2250</v>
      </c>
      <c r="B2506" s="414" t="s">
        <v>3173</v>
      </c>
      <c r="C2506" s="364">
        <f t="shared" si="574"/>
        <v>16590135.42</v>
      </c>
      <c r="D2506" s="364">
        <f>SUM(E2506:I2506)</f>
        <v>1485677.82</v>
      </c>
      <c r="E2506" s="364">
        <v>1485677.82</v>
      </c>
      <c r="F2506" s="364"/>
      <c r="G2506" s="364"/>
      <c r="H2506" s="364"/>
      <c r="I2506" s="364"/>
      <c r="J2506" s="364"/>
      <c r="K2506" s="364"/>
      <c r="L2506" s="364"/>
      <c r="M2506" s="181"/>
      <c r="N2506" s="364"/>
      <c r="O2506" s="129"/>
      <c r="P2506" s="364"/>
      <c r="Q2506" s="406">
        <v>3478.3</v>
      </c>
      <c r="R2506" s="364">
        <v>15104457.6</v>
      </c>
      <c r="S2506" s="364"/>
      <c r="T2506" s="406"/>
      <c r="U2506" s="364"/>
      <c r="V2506" s="181"/>
      <c r="W2506" s="364"/>
      <c r="X2506" s="375"/>
      <c r="Y2506" s="376"/>
      <c r="Z2506" s="376"/>
      <c r="AA2506" s="48"/>
      <c r="AB2506" s="48"/>
      <c r="AC2506" s="187"/>
      <c r="AD2506" s="48"/>
      <c r="AE2506" s="56"/>
      <c r="AF2506" s="48"/>
      <c r="AG2506" s="187"/>
      <c r="AH2506" s="48"/>
      <c r="AI2506" s="56"/>
    </row>
    <row r="2507" spans="1:36" x14ac:dyDescent="0.3">
      <c r="A2507" s="47">
        <f t="shared" si="577"/>
        <v>2251</v>
      </c>
      <c r="B2507" s="414" t="s">
        <v>3174</v>
      </c>
      <c r="C2507" s="364">
        <f t="shared" si="574"/>
        <v>5907206.2599999998</v>
      </c>
      <c r="D2507" s="364">
        <f t="shared" si="575"/>
        <v>0</v>
      </c>
      <c r="E2507" s="364"/>
      <c r="F2507" s="364"/>
      <c r="G2507" s="364"/>
      <c r="H2507" s="364"/>
      <c r="I2507" s="364"/>
      <c r="J2507" s="364"/>
      <c r="K2507" s="364"/>
      <c r="L2507" s="364"/>
      <c r="M2507" s="181"/>
      <c r="N2507" s="364"/>
      <c r="O2507" s="129"/>
      <c r="P2507" s="364"/>
      <c r="Q2507" s="406">
        <v>3890</v>
      </c>
      <c r="R2507" s="364">
        <v>5907206.2599999998</v>
      </c>
      <c r="S2507" s="364"/>
      <c r="T2507" s="406"/>
      <c r="U2507" s="364"/>
      <c r="V2507" s="181"/>
      <c r="W2507" s="364"/>
      <c r="X2507" s="375"/>
      <c r="Y2507" s="376"/>
      <c r="Z2507" s="376"/>
      <c r="AA2507" s="48"/>
      <c r="AB2507" s="48">
        <v>558560.57999999996</v>
      </c>
      <c r="AC2507" s="187">
        <v>172028.86</v>
      </c>
      <c r="AD2507" s="48"/>
      <c r="AE2507" s="56"/>
      <c r="AF2507" s="48">
        <v>558560.57999999996</v>
      </c>
      <c r="AG2507" s="187"/>
      <c r="AH2507" s="48"/>
      <c r="AI2507" s="56"/>
    </row>
    <row r="2508" spans="1:36" x14ac:dyDescent="0.3">
      <c r="A2508" s="47">
        <f t="shared" si="577"/>
        <v>2252</v>
      </c>
      <c r="B2508" s="414" t="s">
        <v>3187</v>
      </c>
      <c r="C2508" s="364">
        <f t="shared" si="574"/>
        <v>0</v>
      </c>
      <c r="D2508" s="364">
        <f t="shared" si="575"/>
        <v>0</v>
      </c>
      <c r="E2508" s="364"/>
      <c r="F2508" s="364"/>
      <c r="G2508" s="364"/>
      <c r="H2508" s="364"/>
      <c r="I2508" s="364"/>
      <c r="J2508" s="364"/>
      <c r="K2508" s="364"/>
      <c r="L2508" s="364"/>
      <c r="M2508" s="181"/>
      <c r="N2508" s="364"/>
      <c r="O2508" s="129"/>
      <c r="P2508" s="364"/>
      <c r="Q2508" s="406"/>
      <c r="R2508" s="364"/>
      <c r="S2508" s="364"/>
      <c r="T2508" s="406"/>
      <c r="U2508" s="364"/>
      <c r="V2508" s="181"/>
      <c r="W2508" s="364"/>
      <c r="X2508" s="375"/>
      <c r="Y2508" s="376"/>
      <c r="Z2508" s="376"/>
      <c r="AA2508" s="48"/>
      <c r="AB2508" s="48">
        <v>535480.25</v>
      </c>
      <c r="AC2508" s="187">
        <v>110348.29</v>
      </c>
      <c r="AD2508" s="48">
        <v>1138676.24</v>
      </c>
      <c r="AE2508" s="56"/>
      <c r="AF2508" s="48">
        <v>535480.25</v>
      </c>
      <c r="AG2508" s="187"/>
      <c r="AH2508" s="48"/>
      <c r="AI2508" s="56"/>
    </row>
    <row r="2509" spans="1:36" x14ac:dyDescent="0.3">
      <c r="A2509" s="47">
        <f t="shared" si="577"/>
        <v>2253</v>
      </c>
      <c r="B2509" s="414" t="s">
        <v>3191</v>
      </c>
      <c r="C2509" s="364">
        <f t="shared" si="574"/>
        <v>16338425.4</v>
      </c>
      <c r="D2509" s="364">
        <f t="shared" si="575"/>
        <v>0</v>
      </c>
      <c r="E2509" s="364"/>
      <c r="F2509" s="364"/>
      <c r="G2509" s="364"/>
      <c r="H2509" s="364"/>
      <c r="I2509" s="364"/>
      <c r="J2509" s="364"/>
      <c r="K2509" s="364"/>
      <c r="L2509" s="364"/>
      <c r="M2509" s="181">
        <v>13</v>
      </c>
      <c r="N2509" s="364">
        <f>M2509*6243</f>
        <v>81159</v>
      </c>
      <c r="O2509" s="129"/>
      <c r="P2509" s="364"/>
      <c r="Q2509" s="406">
        <v>3718.4</v>
      </c>
      <c r="R2509" s="364">
        <v>16257266.4</v>
      </c>
      <c r="S2509" s="364"/>
      <c r="T2509" s="406"/>
      <c r="U2509" s="364"/>
      <c r="V2509" s="181"/>
      <c r="W2509" s="364"/>
      <c r="X2509" s="375"/>
      <c r="Y2509" s="376"/>
      <c r="Z2509" s="376"/>
      <c r="AA2509" s="48"/>
      <c r="AB2509" s="48"/>
      <c r="AC2509" s="187"/>
      <c r="AD2509" s="48"/>
      <c r="AE2509" s="56"/>
      <c r="AF2509" s="48"/>
      <c r="AG2509" s="187"/>
      <c r="AH2509" s="48"/>
      <c r="AI2509" s="56"/>
    </row>
    <row r="2510" spans="1:36" x14ac:dyDescent="0.3">
      <c r="A2510" s="435" t="s">
        <v>3192</v>
      </c>
      <c r="B2510" s="363"/>
      <c r="C2510" s="364">
        <f t="shared" ref="C2510:Z2510" si="579">SUM(C2477:C2509)</f>
        <v>522494384.33999997</v>
      </c>
      <c r="D2510" s="364">
        <f t="shared" si="579"/>
        <v>4902036.46</v>
      </c>
      <c r="E2510" s="364">
        <f t="shared" si="579"/>
        <v>4189387.46</v>
      </c>
      <c r="F2510" s="364">
        <f t="shared" si="579"/>
        <v>647792</v>
      </c>
      <c r="G2510" s="364">
        <f t="shared" si="579"/>
        <v>50830</v>
      </c>
      <c r="H2510" s="364">
        <f t="shared" si="579"/>
        <v>14027</v>
      </c>
      <c r="I2510" s="364">
        <f t="shared" si="579"/>
        <v>0</v>
      </c>
      <c r="J2510" s="364">
        <f t="shared" si="579"/>
        <v>0</v>
      </c>
      <c r="K2510" s="364">
        <f t="shared" si="579"/>
        <v>0</v>
      </c>
      <c r="L2510" s="364">
        <f t="shared" si="579"/>
        <v>0</v>
      </c>
      <c r="M2510" s="181">
        <f t="shared" si="579"/>
        <v>697.6</v>
      </c>
      <c r="N2510" s="364">
        <f t="shared" si="579"/>
        <v>2598970.7999999998</v>
      </c>
      <c r="O2510" s="129">
        <f t="shared" si="579"/>
        <v>0</v>
      </c>
      <c r="P2510" s="364">
        <f t="shared" si="579"/>
        <v>87651828</v>
      </c>
      <c r="Q2510" s="406">
        <f t="shared" si="579"/>
        <v>74709.079999999987</v>
      </c>
      <c r="R2510" s="364">
        <f t="shared" si="579"/>
        <v>427341549.08000004</v>
      </c>
      <c r="S2510" s="364">
        <f t="shared" si="579"/>
        <v>0</v>
      </c>
      <c r="T2510" s="406">
        <f t="shared" si="579"/>
        <v>0</v>
      </c>
      <c r="U2510" s="364">
        <f t="shared" si="579"/>
        <v>0</v>
      </c>
      <c r="V2510" s="181">
        <f t="shared" si="579"/>
        <v>0</v>
      </c>
      <c r="W2510" s="364">
        <f t="shared" si="579"/>
        <v>0</v>
      </c>
      <c r="X2510" s="141">
        <f t="shared" si="579"/>
        <v>0</v>
      </c>
      <c r="Y2510" s="48">
        <f t="shared" si="579"/>
        <v>3877211.8900000006</v>
      </c>
      <c r="Z2510" s="48">
        <f t="shared" si="579"/>
        <v>89245.22</v>
      </c>
      <c r="AA2510" s="48"/>
      <c r="AB2510" s="48"/>
      <c r="AC2510" s="57"/>
      <c r="AD2510" s="59"/>
      <c r="AE2510" s="56"/>
      <c r="AF2510" s="48"/>
      <c r="AG2510" s="57"/>
      <c r="AH2510" s="59"/>
      <c r="AI2510" s="56"/>
    </row>
    <row r="2511" spans="1:36" x14ac:dyDescent="0.3">
      <c r="A2511" s="435" t="s">
        <v>3193</v>
      </c>
      <c r="B2511" s="363"/>
      <c r="C2511" s="363"/>
      <c r="D2511" s="363"/>
      <c r="E2511" s="363"/>
      <c r="F2511" s="363"/>
      <c r="G2511" s="363"/>
      <c r="H2511" s="363"/>
      <c r="I2511" s="363"/>
      <c r="J2511" s="363"/>
      <c r="K2511" s="363"/>
      <c r="L2511" s="363"/>
      <c r="M2511" s="393"/>
      <c r="N2511" s="363"/>
      <c r="O2511" s="391"/>
      <c r="P2511" s="363"/>
      <c r="Q2511" s="392"/>
      <c r="R2511" s="363"/>
      <c r="S2511" s="363"/>
      <c r="T2511" s="392"/>
      <c r="U2511" s="363"/>
      <c r="V2511" s="393"/>
      <c r="W2511" s="363"/>
      <c r="X2511" s="9"/>
      <c r="Y2511" s="9"/>
      <c r="Z2511" s="9"/>
      <c r="AA2511" s="9"/>
      <c r="AB2511" s="9"/>
      <c r="AC2511" s="9"/>
      <c r="AD2511" s="9"/>
      <c r="AE2511" s="9"/>
      <c r="AF2511" s="40"/>
      <c r="AG2511" s="56"/>
      <c r="AH2511" s="56"/>
      <c r="AI2511" s="56"/>
      <c r="AJ2511" s="56"/>
    </row>
    <row r="2512" spans="1:36" x14ac:dyDescent="0.3">
      <c r="A2512" s="435" t="s">
        <v>145</v>
      </c>
      <c r="B2512" s="363"/>
      <c r="C2512" s="387"/>
      <c r="D2512" s="387"/>
      <c r="E2512" s="387"/>
      <c r="F2512" s="387"/>
      <c r="G2512" s="387"/>
      <c r="H2512" s="387"/>
      <c r="I2512" s="387"/>
      <c r="J2512" s="387"/>
      <c r="K2512" s="387"/>
      <c r="L2512" s="387"/>
      <c r="M2512" s="390"/>
      <c r="N2512" s="387"/>
      <c r="O2512" s="388"/>
      <c r="P2512" s="387"/>
      <c r="Q2512" s="389"/>
      <c r="R2512" s="387"/>
      <c r="S2512" s="387"/>
      <c r="T2512" s="389"/>
      <c r="U2512" s="387"/>
      <c r="V2512" s="390"/>
      <c r="W2512" s="387"/>
      <c r="X2512" s="9"/>
      <c r="Y2512" s="9"/>
      <c r="Z2512" s="9"/>
      <c r="AA2512" s="9"/>
      <c r="AB2512" s="9"/>
      <c r="AC2512" s="9"/>
      <c r="AD2512" s="9"/>
      <c r="AE2512" s="9"/>
      <c r="AF2512" s="40"/>
      <c r="AG2512" s="56"/>
      <c r="AH2512" s="56"/>
      <c r="AI2512" s="56"/>
      <c r="AJ2512" s="56"/>
    </row>
    <row r="2513" spans="1:36" x14ac:dyDescent="0.3">
      <c r="A2513" s="47">
        <f>A2509+1</f>
        <v>2254</v>
      </c>
      <c r="B2513" s="414" t="s">
        <v>3194</v>
      </c>
      <c r="C2513" s="51">
        <f>D2513+K2513+L2513+N2513+P2513+R2513+S2513+U2513+V2513+W2513</f>
        <v>467222.32999999996</v>
      </c>
      <c r="D2513" s="51">
        <f>E2513+F2513+G2513+H2513</f>
        <v>0</v>
      </c>
      <c r="E2513" s="364"/>
      <c r="F2513" s="364"/>
      <c r="G2513" s="364"/>
      <c r="H2513" s="364"/>
      <c r="I2513" s="51"/>
      <c r="J2513" s="51"/>
      <c r="K2513" s="51"/>
      <c r="L2513" s="51"/>
      <c r="M2513" s="35"/>
      <c r="N2513" s="364"/>
      <c r="O2513" s="82"/>
      <c r="P2513" s="51"/>
      <c r="Q2513" s="338"/>
      <c r="R2513" s="364"/>
      <c r="S2513" s="51"/>
      <c r="T2513" s="338"/>
      <c r="U2513" s="51"/>
      <c r="V2513" s="35"/>
      <c r="W2513" s="364">
        <f>SUM(X2513:AJ2513)</f>
        <v>467222.32999999996</v>
      </c>
      <c r="X2513" s="9"/>
      <c r="Y2513" s="9">
        <v>92983.26</v>
      </c>
      <c r="Z2513" s="9">
        <v>114002.58</v>
      </c>
      <c r="AA2513" s="9">
        <v>101082.9</v>
      </c>
      <c r="AB2513" s="9"/>
      <c r="AC2513" s="9"/>
      <c r="AD2513" s="9"/>
      <c r="AE2513" s="9">
        <v>159153.59</v>
      </c>
      <c r="AF2513" s="40"/>
      <c r="AG2513" s="56"/>
      <c r="AH2513" s="56"/>
      <c r="AI2513" s="56"/>
      <c r="AJ2513" s="56"/>
    </row>
    <row r="2514" spans="1:36" x14ac:dyDescent="0.3">
      <c r="A2514" s="47">
        <f t="shared" ref="A2514" si="580">A2513+1</f>
        <v>2255</v>
      </c>
      <c r="B2514" s="414" t="s">
        <v>3195</v>
      </c>
      <c r="C2514" s="51">
        <f>D2514+K2514+L2514+N2514+P2514+R2514+S2514+U2514+V2514+W2514</f>
        <v>516129.01</v>
      </c>
      <c r="D2514" s="51">
        <f>E2514+F2514+G2514+H2514</f>
        <v>0</v>
      </c>
      <c r="E2514" s="364"/>
      <c r="F2514" s="364"/>
      <c r="G2514" s="364"/>
      <c r="H2514" s="364"/>
      <c r="I2514" s="51"/>
      <c r="J2514" s="51"/>
      <c r="K2514" s="51"/>
      <c r="L2514" s="51"/>
      <c r="M2514" s="35"/>
      <c r="N2514" s="364"/>
      <c r="O2514" s="82"/>
      <c r="P2514" s="51"/>
      <c r="Q2514" s="338"/>
      <c r="R2514" s="364"/>
      <c r="S2514" s="51"/>
      <c r="T2514" s="338"/>
      <c r="U2514" s="51"/>
      <c r="V2514" s="35"/>
      <c r="W2514" s="364">
        <f>SUM(X2514:AJ2514)</f>
        <v>516129.01</v>
      </c>
      <c r="X2514" s="9"/>
      <c r="Y2514" s="9">
        <v>103821.6</v>
      </c>
      <c r="Z2514" s="9">
        <v>125417.81</v>
      </c>
      <c r="AA2514" s="9">
        <v>110649.74</v>
      </c>
      <c r="AB2514" s="9"/>
      <c r="AC2514" s="9"/>
      <c r="AD2514" s="9"/>
      <c r="AE2514" s="9">
        <v>176239.86</v>
      </c>
      <c r="AF2514" s="40"/>
      <c r="AG2514" s="56"/>
      <c r="AH2514" s="56"/>
      <c r="AI2514" s="56"/>
      <c r="AJ2514" s="56"/>
    </row>
    <row r="2515" spans="1:36" x14ac:dyDescent="0.3">
      <c r="A2515" s="439" t="s">
        <v>211</v>
      </c>
      <c r="B2515" s="399"/>
      <c r="C2515" s="51">
        <f t="shared" ref="C2515:R2515" si="581">SUBTOTAL(9,C2513:C2514)</f>
        <v>983351.34</v>
      </c>
      <c r="D2515" s="51">
        <f t="shared" si="581"/>
        <v>0</v>
      </c>
      <c r="E2515" s="51">
        <f t="shared" si="581"/>
        <v>0</v>
      </c>
      <c r="F2515" s="51">
        <f t="shared" si="581"/>
        <v>0</v>
      </c>
      <c r="G2515" s="51">
        <f t="shared" si="581"/>
        <v>0</v>
      </c>
      <c r="H2515" s="51">
        <f t="shared" si="581"/>
        <v>0</v>
      </c>
      <c r="I2515" s="51">
        <f t="shared" si="581"/>
        <v>0</v>
      </c>
      <c r="J2515" s="51">
        <f t="shared" si="581"/>
        <v>0</v>
      </c>
      <c r="K2515" s="51">
        <f t="shared" si="581"/>
        <v>0</v>
      </c>
      <c r="L2515" s="51">
        <f t="shared" si="581"/>
        <v>0</v>
      </c>
      <c r="M2515" s="35">
        <f t="shared" si="581"/>
        <v>0</v>
      </c>
      <c r="N2515" s="51">
        <f t="shared" si="581"/>
        <v>0</v>
      </c>
      <c r="O2515" s="82">
        <f t="shared" si="581"/>
        <v>0</v>
      </c>
      <c r="P2515" s="51">
        <f t="shared" si="581"/>
        <v>0</v>
      </c>
      <c r="Q2515" s="338">
        <f t="shared" si="581"/>
        <v>0</v>
      </c>
      <c r="R2515" s="51">
        <f t="shared" si="581"/>
        <v>0</v>
      </c>
      <c r="S2515" s="51">
        <f>SUBTOTAL(9,S2513:S2514)</f>
        <v>0</v>
      </c>
      <c r="T2515" s="338">
        <f>SUBTOTAL(9,T2513:T2514)</f>
        <v>0</v>
      </c>
      <c r="U2515" s="51">
        <f>SUBTOTAL(9,U2513:U2514)</f>
        <v>0</v>
      </c>
      <c r="V2515" s="35">
        <f>SUBTOTAL(9,V2513:V2514)</f>
        <v>0</v>
      </c>
      <c r="W2515" s="51">
        <f>SUBTOTAL(9,W2513:W2514)</f>
        <v>983351.34</v>
      </c>
      <c r="X2515" s="9"/>
      <c r="Y2515" s="9"/>
      <c r="Z2515" s="9"/>
      <c r="AA2515" s="9"/>
      <c r="AB2515" s="9"/>
      <c r="AC2515" s="9"/>
      <c r="AD2515" s="9"/>
      <c r="AE2515" s="9"/>
      <c r="AF2515" s="40"/>
      <c r="AG2515" s="56"/>
      <c r="AH2515" s="56"/>
      <c r="AI2515" s="56"/>
      <c r="AJ2515" s="56"/>
    </row>
    <row r="2516" spans="1:36" x14ac:dyDescent="0.3">
      <c r="A2516" s="435" t="s">
        <v>3199</v>
      </c>
      <c r="B2516" s="363"/>
      <c r="C2516" s="51"/>
      <c r="D2516" s="51"/>
      <c r="E2516" s="51"/>
      <c r="F2516" s="51"/>
      <c r="G2516" s="51"/>
      <c r="H2516" s="51"/>
      <c r="I2516" s="51"/>
      <c r="J2516" s="51"/>
      <c r="K2516" s="51"/>
      <c r="L2516" s="51"/>
      <c r="M2516" s="35"/>
      <c r="N2516" s="51"/>
      <c r="O2516" s="82"/>
      <c r="P2516" s="51"/>
      <c r="Q2516" s="338"/>
      <c r="R2516" s="51"/>
      <c r="S2516" s="51"/>
      <c r="T2516" s="338"/>
      <c r="U2516" s="51"/>
      <c r="V2516" s="35"/>
      <c r="W2516" s="364"/>
      <c r="X2516" s="9"/>
      <c r="Y2516" s="9"/>
      <c r="Z2516" s="9"/>
      <c r="AA2516" s="9"/>
      <c r="AB2516" s="9"/>
      <c r="AC2516" s="9"/>
      <c r="AD2516" s="9"/>
      <c r="AE2516" s="9"/>
      <c r="AF2516" s="40"/>
      <c r="AG2516" s="56"/>
      <c r="AH2516" s="56"/>
      <c r="AI2516" s="56"/>
      <c r="AJ2516" s="56"/>
    </row>
    <row r="2517" spans="1:36" x14ac:dyDescent="0.3">
      <c r="A2517" s="47">
        <f>A2514+1</f>
        <v>2256</v>
      </c>
      <c r="B2517" s="414" t="s">
        <v>3200</v>
      </c>
      <c r="C2517" s="51">
        <f t="shared" ref="C2517:C2524" si="582">D2517+K2517+L2517+N2517+P2517+R2517+S2517+U2517+V2517+W2517</f>
        <v>130000</v>
      </c>
      <c r="D2517" s="51">
        <f t="shared" ref="D2517:D2524" si="583">E2517+F2517+G2517+H2517</f>
        <v>0</v>
      </c>
      <c r="E2517" s="51"/>
      <c r="F2517" s="51"/>
      <c r="G2517" s="51"/>
      <c r="H2517" s="51"/>
      <c r="I2517" s="51"/>
      <c r="J2517" s="51"/>
      <c r="K2517" s="51"/>
      <c r="L2517" s="51"/>
      <c r="M2517" s="35"/>
      <c r="N2517" s="51"/>
      <c r="O2517" s="82"/>
      <c r="P2517" s="364"/>
      <c r="Q2517" s="338"/>
      <c r="R2517" s="51"/>
      <c r="S2517" s="51"/>
      <c r="T2517" s="338"/>
      <c r="U2517" s="51"/>
      <c r="V2517" s="35"/>
      <c r="W2517" s="364">
        <v>130000</v>
      </c>
      <c r="X2517" s="9"/>
      <c r="Y2517" s="9"/>
      <c r="Z2517" s="9"/>
      <c r="AA2517" s="9"/>
      <c r="AB2517" s="9"/>
      <c r="AC2517" s="9"/>
      <c r="AD2517" s="9"/>
      <c r="AE2517" s="9"/>
      <c r="AF2517" s="40"/>
      <c r="AG2517" s="56"/>
      <c r="AH2517" s="56"/>
      <c r="AI2517" s="56"/>
      <c r="AJ2517" s="56"/>
    </row>
    <row r="2518" spans="1:36" x14ac:dyDescent="0.3">
      <c r="A2518" s="47">
        <f t="shared" ref="A2518" si="584">A2517+1</f>
        <v>2257</v>
      </c>
      <c r="B2518" s="414" t="s">
        <v>3201</v>
      </c>
      <c r="C2518" s="51">
        <f t="shared" si="582"/>
        <v>130000</v>
      </c>
      <c r="D2518" s="51">
        <f t="shared" si="583"/>
        <v>0</v>
      </c>
      <c r="E2518" s="51"/>
      <c r="F2518" s="51"/>
      <c r="G2518" s="51"/>
      <c r="H2518" s="51"/>
      <c r="I2518" s="51"/>
      <c r="J2518" s="51"/>
      <c r="K2518" s="51"/>
      <c r="L2518" s="51"/>
      <c r="M2518" s="35"/>
      <c r="N2518" s="51"/>
      <c r="O2518" s="82"/>
      <c r="P2518" s="364"/>
      <c r="Q2518" s="338"/>
      <c r="R2518" s="51"/>
      <c r="S2518" s="51"/>
      <c r="T2518" s="338"/>
      <c r="U2518" s="51"/>
      <c r="V2518" s="35"/>
      <c r="W2518" s="364">
        <v>130000</v>
      </c>
      <c r="X2518" s="9"/>
      <c r="Y2518" s="9"/>
      <c r="Z2518" s="9"/>
      <c r="AA2518" s="9"/>
      <c r="AB2518" s="9"/>
      <c r="AC2518" s="9"/>
      <c r="AD2518" s="9"/>
      <c r="AE2518" s="9"/>
      <c r="AF2518" s="40"/>
      <c r="AG2518" s="56"/>
      <c r="AH2518" s="56"/>
      <c r="AI2518" s="56"/>
      <c r="AJ2518" s="56"/>
    </row>
    <row r="2519" spans="1:36" x14ac:dyDescent="0.3">
      <c r="A2519" s="47">
        <f t="shared" ref="A2519:A2524" si="585">A2518+1</f>
        <v>2258</v>
      </c>
      <c r="B2519" s="414" t="s">
        <v>3202</v>
      </c>
      <c r="C2519" s="51">
        <f t="shared" si="582"/>
        <v>96677.3</v>
      </c>
      <c r="D2519" s="51">
        <f t="shared" si="583"/>
        <v>0</v>
      </c>
      <c r="E2519" s="364"/>
      <c r="F2519" s="51"/>
      <c r="G2519" s="51"/>
      <c r="H2519" s="51"/>
      <c r="I2519" s="51"/>
      <c r="J2519" s="51"/>
      <c r="K2519" s="51"/>
      <c r="L2519" s="51"/>
      <c r="M2519" s="35"/>
      <c r="N2519" s="51"/>
      <c r="O2519" s="82"/>
      <c r="P2519" s="364"/>
      <c r="Q2519" s="338"/>
      <c r="R2519" s="51"/>
      <c r="S2519" s="51"/>
      <c r="T2519" s="338"/>
      <c r="U2519" s="51"/>
      <c r="V2519" s="35"/>
      <c r="W2519" s="364">
        <f t="shared" ref="W2519:W2524" si="586">SUM(Y2519:AK2519)</f>
        <v>96677.3</v>
      </c>
      <c r="X2519" s="9"/>
      <c r="Y2519" s="9">
        <v>96677.3</v>
      </c>
      <c r="Z2519" s="9"/>
      <c r="AA2519" s="9"/>
      <c r="AB2519" s="9"/>
      <c r="AC2519" s="9"/>
      <c r="AD2519" s="9"/>
      <c r="AE2519" s="9"/>
      <c r="AF2519" s="40"/>
      <c r="AG2519" s="56"/>
      <c r="AH2519" s="56"/>
      <c r="AI2519" s="56"/>
      <c r="AJ2519" s="56"/>
    </row>
    <row r="2520" spans="1:36" x14ac:dyDescent="0.3">
      <c r="A2520" s="47">
        <f t="shared" si="585"/>
        <v>2259</v>
      </c>
      <c r="B2520" s="414" t="s">
        <v>3203</v>
      </c>
      <c r="C2520" s="51">
        <f t="shared" si="582"/>
        <v>169070.9</v>
      </c>
      <c r="D2520" s="51">
        <f t="shared" si="583"/>
        <v>0</v>
      </c>
      <c r="E2520" s="51"/>
      <c r="F2520" s="51"/>
      <c r="G2520" s="51"/>
      <c r="H2520" s="51"/>
      <c r="I2520" s="51"/>
      <c r="J2520" s="51"/>
      <c r="K2520" s="51"/>
      <c r="L2520" s="51"/>
      <c r="M2520" s="35"/>
      <c r="N2520" s="51"/>
      <c r="O2520" s="82"/>
      <c r="P2520" s="364"/>
      <c r="Q2520" s="338"/>
      <c r="R2520" s="51"/>
      <c r="S2520" s="51"/>
      <c r="T2520" s="338"/>
      <c r="U2520" s="364"/>
      <c r="V2520" s="35"/>
      <c r="W2520" s="364">
        <f t="shared" si="586"/>
        <v>169070.9</v>
      </c>
      <c r="X2520" s="9"/>
      <c r="Y2520" s="9"/>
      <c r="Z2520" s="9"/>
      <c r="AA2520" s="9"/>
      <c r="AB2520" s="9"/>
      <c r="AC2520" s="9"/>
      <c r="AD2520" s="9"/>
      <c r="AE2520" s="9"/>
      <c r="AF2520" s="40"/>
      <c r="AG2520" s="56"/>
      <c r="AH2520" s="56">
        <v>169070.9</v>
      </c>
      <c r="AI2520" s="56"/>
      <c r="AJ2520" s="56"/>
    </row>
    <row r="2521" spans="1:36" x14ac:dyDescent="0.3">
      <c r="A2521" s="47">
        <f t="shared" si="585"/>
        <v>2260</v>
      </c>
      <c r="B2521" s="414" t="s">
        <v>3204</v>
      </c>
      <c r="C2521" s="51">
        <f t="shared" si="582"/>
        <v>216178.5</v>
      </c>
      <c r="D2521" s="51">
        <f t="shared" si="583"/>
        <v>0</v>
      </c>
      <c r="E2521" s="364"/>
      <c r="F2521" s="51"/>
      <c r="G2521" s="51"/>
      <c r="H2521" s="51"/>
      <c r="I2521" s="51"/>
      <c r="J2521" s="51"/>
      <c r="K2521" s="51"/>
      <c r="L2521" s="51"/>
      <c r="M2521" s="35"/>
      <c r="N2521" s="51"/>
      <c r="O2521" s="82"/>
      <c r="P2521" s="51"/>
      <c r="Q2521" s="338"/>
      <c r="R2521" s="364"/>
      <c r="S2521" s="51"/>
      <c r="T2521" s="338"/>
      <c r="U2521" s="51"/>
      <c r="V2521" s="35"/>
      <c r="W2521" s="364">
        <f t="shared" si="586"/>
        <v>216178.5</v>
      </c>
      <c r="X2521" s="9"/>
      <c r="Y2521" s="9">
        <v>116794.9</v>
      </c>
      <c r="Z2521" s="9"/>
      <c r="AA2521" s="9"/>
      <c r="AB2521" s="9"/>
      <c r="AC2521" s="9"/>
      <c r="AD2521" s="9"/>
      <c r="AE2521" s="9"/>
      <c r="AF2521" s="40">
        <v>99383.6</v>
      </c>
      <c r="AG2521" s="56"/>
      <c r="AH2521" s="56"/>
      <c r="AI2521" s="56"/>
      <c r="AJ2521" s="56"/>
    </row>
    <row r="2522" spans="1:36" x14ac:dyDescent="0.3">
      <c r="A2522" s="47">
        <f t="shared" si="585"/>
        <v>2261</v>
      </c>
      <c r="B2522" s="414" t="s">
        <v>3205</v>
      </c>
      <c r="C2522" s="51">
        <f t="shared" si="582"/>
        <v>216178.5</v>
      </c>
      <c r="D2522" s="51">
        <f t="shared" si="583"/>
        <v>0</v>
      </c>
      <c r="E2522" s="364"/>
      <c r="F2522" s="51"/>
      <c r="G2522" s="51"/>
      <c r="H2522" s="51"/>
      <c r="I2522" s="51"/>
      <c r="J2522" s="51"/>
      <c r="K2522" s="51"/>
      <c r="L2522" s="51"/>
      <c r="M2522" s="35"/>
      <c r="N2522" s="51"/>
      <c r="O2522" s="82"/>
      <c r="P2522" s="364"/>
      <c r="Q2522" s="338"/>
      <c r="R2522" s="364"/>
      <c r="S2522" s="51"/>
      <c r="T2522" s="338"/>
      <c r="U2522" s="51"/>
      <c r="V2522" s="35"/>
      <c r="W2522" s="364">
        <f t="shared" si="586"/>
        <v>216178.5</v>
      </c>
      <c r="X2522" s="9"/>
      <c r="Y2522" s="9">
        <v>116794.9</v>
      </c>
      <c r="Z2522" s="9"/>
      <c r="AA2522" s="9"/>
      <c r="AB2522" s="9"/>
      <c r="AC2522" s="9"/>
      <c r="AD2522" s="9"/>
      <c r="AE2522" s="9"/>
      <c r="AF2522" s="40">
        <v>99383.6</v>
      </c>
      <c r="AG2522" s="56"/>
      <c r="AH2522" s="56"/>
      <c r="AI2522" s="56"/>
      <c r="AJ2522" s="56"/>
    </row>
    <row r="2523" spans="1:36" x14ac:dyDescent="0.3">
      <c r="A2523" s="47">
        <f t="shared" si="585"/>
        <v>2262</v>
      </c>
      <c r="B2523" s="414" t="s">
        <v>3206</v>
      </c>
      <c r="C2523" s="51">
        <f t="shared" si="582"/>
        <v>99507.53</v>
      </c>
      <c r="D2523" s="51">
        <f t="shared" si="583"/>
        <v>0</v>
      </c>
      <c r="E2523" s="364"/>
      <c r="F2523" s="51"/>
      <c r="G2523" s="51"/>
      <c r="H2523" s="51"/>
      <c r="I2523" s="51"/>
      <c r="J2523" s="51"/>
      <c r="K2523" s="51"/>
      <c r="L2523" s="51"/>
      <c r="M2523" s="35"/>
      <c r="N2523" s="51"/>
      <c r="O2523" s="82"/>
      <c r="P2523" s="364"/>
      <c r="Q2523" s="338"/>
      <c r="R2523" s="364"/>
      <c r="S2523" s="51"/>
      <c r="T2523" s="338"/>
      <c r="U2523" s="51"/>
      <c r="V2523" s="35"/>
      <c r="W2523" s="364">
        <f t="shared" si="586"/>
        <v>99507.53</v>
      </c>
      <c r="X2523" s="9"/>
      <c r="Y2523" s="9"/>
      <c r="Z2523" s="9"/>
      <c r="AA2523" s="9"/>
      <c r="AB2523" s="9"/>
      <c r="AC2523" s="9"/>
      <c r="AD2523" s="9"/>
      <c r="AE2523" s="9"/>
      <c r="AF2523" s="40">
        <v>99507.53</v>
      </c>
      <c r="AG2523" s="56"/>
      <c r="AH2523" s="56"/>
      <c r="AI2523" s="56"/>
      <c r="AJ2523" s="56"/>
    </row>
    <row r="2524" spans="1:36" x14ac:dyDescent="0.3">
      <c r="A2524" s="47">
        <f t="shared" si="585"/>
        <v>2263</v>
      </c>
      <c r="B2524" s="414" t="s">
        <v>3207</v>
      </c>
      <c r="C2524" s="51">
        <f t="shared" si="582"/>
        <v>117119.54</v>
      </c>
      <c r="D2524" s="51">
        <f t="shared" si="583"/>
        <v>0</v>
      </c>
      <c r="E2524" s="364"/>
      <c r="F2524" s="51"/>
      <c r="G2524" s="51"/>
      <c r="H2524" s="51"/>
      <c r="I2524" s="51"/>
      <c r="J2524" s="51"/>
      <c r="K2524" s="51"/>
      <c r="L2524" s="51"/>
      <c r="M2524" s="35"/>
      <c r="N2524" s="51"/>
      <c r="O2524" s="82"/>
      <c r="P2524" s="364"/>
      <c r="Q2524" s="338"/>
      <c r="R2524" s="51"/>
      <c r="S2524" s="51"/>
      <c r="T2524" s="338"/>
      <c r="U2524" s="51"/>
      <c r="V2524" s="35"/>
      <c r="W2524" s="364">
        <f t="shared" si="586"/>
        <v>117119.54</v>
      </c>
      <c r="X2524" s="9"/>
      <c r="Y2524" s="9">
        <v>117119.54</v>
      </c>
      <c r="Z2524" s="9"/>
      <c r="AA2524" s="9"/>
      <c r="AB2524" s="9"/>
      <c r="AC2524" s="9"/>
      <c r="AD2524" s="9"/>
      <c r="AE2524" s="9"/>
      <c r="AF2524" s="40"/>
      <c r="AG2524" s="56"/>
      <c r="AH2524" s="56"/>
      <c r="AI2524" s="56"/>
      <c r="AJ2524" s="56"/>
    </row>
    <row r="2525" spans="1:36" x14ac:dyDescent="0.3">
      <c r="A2525" s="439" t="s">
        <v>211</v>
      </c>
      <c r="B2525" s="399"/>
      <c r="C2525" s="51">
        <f t="shared" ref="C2525:R2525" si="587">SUBTOTAL(9,C2517:C2524)</f>
        <v>1174732.27</v>
      </c>
      <c r="D2525" s="51">
        <f t="shared" si="587"/>
        <v>0</v>
      </c>
      <c r="E2525" s="51">
        <f t="shared" si="587"/>
        <v>0</v>
      </c>
      <c r="F2525" s="51">
        <f t="shared" si="587"/>
        <v>0</v>
      </c>
      <c r="G2525" s="51">
        <f t="shared" si="587"/>
        <v>0</v>
      </c>
      <c r="H2525" s="51">
        <f t="shared" si="587"/>
        <v>0</v>
      </c>
      <c r="I2525" s="51">
        <f t="shared" si="587"/>
        <v>0</v>
      </c>
      <c r="J2525" s="51">
        <f t="shared" si="587"/>
        <v>0</v>
      </c>
      <c r="K2525" s="51">
        <f t="shared" si="587"/>
        <v>0</v>
      </c>
      <c r="L2525" s="51">
        <f t="shared" si="587"/>
        <v>0</v>
      </c>
      <c r="M2525" s="35">
        <f t="shared" si="587"/>
        <v>0</v>
      </c>
      <c r="N2525" s="51">
        <f t="shared" si="587"/>
        <v>0</v>
      </c>
      <c r="O2525" s="82">
        <f t="shared" si="587"/>
        <v>0</v>
      </c>
      <c r="P2525" s="51">
        <f t="shared" si="587"/>
        <v>0</v>
      </c>
      <c r="Q2525" s="338">
        <f t="shared" si="587"/>
        <v>0</v>
      </c>
      <c r="R2525" s="51">
        <f t="shared" si="587"/>
        <v>0</v>
      </c>
      <c r="S2525" s="51">
        <f>SUBTOTAL(9,S2517:S2524)</f>
        <v>0</v>
      </c>
      <c r="T2525" s="338">
        <f>SUBTOTAL(9,T2517:T2524)</f>
        <v>0</v>
      </c>
      <c r="U2525" s="51">
        <f>SUBTOTAL(9,U2517:U2524)</f>
        <v>0</v>
      </c>
      <c r="V2525" s="35">
        <f>SUBTOTAL(9,V2517:V2524)</f>
        <v>0</v>
      </c>
      <c r="W2525" s="51">
        <f>SUBTOTAL(9,W2517:W2524)</f>
        <v>1174732.27</v>
      </c>
      <c r="X2525" s="9"/>
      <c r="Y2525" s="9"/>
      <c r="Z2525" s="9"/>
      <c r="AA2525" s="9"/>
      <c r="AB2525" s="9"/>
      <c r="AC2525" s="9"/>
      <c r="AD2525" s="9"/>
      <c r="AE2525" s="9"/>
      <c r="AF2525" s="40"/>
      <c r="AG2525" s="56"/>
      <c r="AH2525" s="56"/>
      <c r="AI2525" s="56"/>
      <c r="AJ2525" s="56"/>
    </row>
    <row r="2526" spans="1:36" x14ac:dyDescent="0.3">
      <c r="A2526" s="435" t="s">
        <v>3208</v>
      </c>
      <c r="B2526" s="363"/>
      <c r="C2526" s="51"/>
      <c r="D2526" s="51"/>
      <c r="E2526" s="51"/>
      <c r="F2526" s="51"/>
      <c r="G2526" s="51"/>
      <c r="H2526" s="51"/>
      <c r="I2526" s="51"/>
      <c r="J2526" s="51"/>
      <c r="K2526" s="51"/>
      <c r="L2526" s="51"/>
      <c r="M2526" s="35"/>
      <c r="N2526" s="51"/>
      <c r="O2526" s="82"/>
      <c r="P2526" s="51"/>
      <c r="Q2526" s="338"/>
      <c r="R2526" s="51"/>
      <c r="S2526" s="51"/>
      <c r="T2526" s="338"/>
      <c r="U2526" s="51"/>
      <c r="V2526" s="35"/>
      <c r="W2526" s="364">
        <f>SUM(X2526:AJ2526)</f>
        <v>0</v>
      </c>
      <c r="X2526" s="9"/>
      <c r="Y2526" s="9"/>
      <c r="Z2526" s="9"/>
      <c r="AA2526" s="9"/>
      <c r="AB2526" s="9"/>
      <c r="AC2526" s="9"/>
      <c r="AD2526" s="9"/>
      <c r="AE2526" s="9"/>
      <c r="AF2526" s="40"/>
      <c r="AG2526" s="56"/>
      <c r="AH2526" s="56"/>
      <c r="AI2526" s="56"/>
      <c r="AJ2526" s="56"/>
    </row>
    <row r="2527" spans="1:36" x14ac:dyDescent="0.3">
      <c r="A2527" s="47">
        <f>A2524+1</f>
        <v>2264</v>
      </c>
      <c r="B2527" s="414" t="s">
        <v>3226</v>
      </c>
      <c r="C2527" s="51">
        <f t="shared" ref="C2527:C2590" si="588">D2527+K2527+L2527+N2527+P2527+R2527+S2527+U2527+V2527+W2527</f>
        <v>2239692</v>
      </c>
      <c r="D2527" s="51">
        <f>E2527+F2527+G2527+H2527</f>
        <v>2239692</v>
      </c>
      <c r="E2527" s="51">
        <f>300*2688+4*358323</f>
        <v>2239692</v>
      </c>
      <c r="F2527" s="51"/>
      <c r="G2527" s="51"/>
      <c r="H2527" s="51"/>
      <c r="I2527" s="51"/>
      <c r="J2527" s="51"/>
      <c r="K2527" s="51"/>
      <c r="L2527" s="51"/>
      <c r="M2527" s="35"/>
      <c r="N2527" s="51"/>
      <c r="O2527" s="82"/>
      <c r="P2527" s="51"/>
      <c r="Q2527" s="338"/>
      <c r="R2527" s="51"/>
      <c r="S2527" s="51"/>
      <c r="T2527" s="338"/>
      <c r="U2527" s="51"/>
      <c r="V2527" s="35"/>
      <c r="W2527" s="364"/>
      <c r="X2527" s="285"/>
      <c r="Y2527" s="9"/>
      <c r="Z2527" s="9"/>
      <c r="AA2527" s="9"/>
      <c r="AB2527" s="9"/>
      <c r="AC2527" s="9"/>
      <c r="AD2527" s="9"/>
      <c r="AE2527" s="9"/>
      <c r="AF2527" s="9"/>
      <c r="AG2527" s="40"/>
      <c r="AH2527" s="56"/>
      <c r="AI2527" s="56"/>
      <c r="AJ2527" s="56"/>
    </row>
    <row r="2528" spans="1:36" x14ac:dyDescent="0.3">
      <c r="A2528" s="47">
        <f t="shared" ref="A2528:A2534" si="589">A2527+1</f>
        <v>2265</v>
      </c>
      <c r="B2528" s="414" t="s">
        <v>3237</v>
      </c>
      <c r="C2528" s="51">
        <f t="shared" si="588"/>
        <v>2956338</v>
      </c>
      <c r="D2528" s="51">
        <f>E2528+F2528+G2528+H2528</f>
        <v>2956338</v>
      </c>
      <c r="E2528" s="51">
        <f>300*2688+6*358323</f>
        <v>2956338</v>
      </c>
      <c r="F2528" s="51"/>
      <c r="G2528" s="51"/>
      <c r="H2528" s="51"/>
      <c r="I2528" s="51"/>
      <c r="J2528" s="51"/>
      <c r="K2528" s="51"/>
      <c r="L2528" s="51"/>
      <c r="M2528" s="35"/>
      <c r="N2528" s="51"/>
      <c r="O2528" s="82"/>
      <c r="P2528" s="364"/>
      <c r="Q2528" s="338"/>
      <c r="R2528" s="51"/>
      <c r="S2528" s="51"/>
      <c r="T2528" s="338"/>
      <c r="U2528" s="51"/>
      <c r="V2528" s="35"/>
      <c r="W2528" s="364"/>
      <c r="X2528" s="285"/>
      <c r="Y2528" s="9"/>
      <c r="Z2528" s="9"/>
      <c r="AA2528" s="9"/>
      <c r="AB2528" s="9"/>
      <c r="AC2528" s="9"/>
      <c r="AD2528" s="9"/>
      <c r="AE2528" s="9"/>
      <c r="AF2528" s="9"/>
      <c r="AG2528" s="40">
        <v>190933.45</v>
      </c>
      <c r="AH2528" s="56"/>
      <c r="AI2528" s="56"/>
      <c r="AJ2528" s="56"/>
    </row>
    <row r="2529" spans="1:36" x14ac:dyDescent="0.3">
      <c r="A2529" s="47">
        <f t="shared" si="589"/>
        <v>2266</v>
      </c>
      <c r="B2529" s="414" t="s">
        <v>3209</v>
      </c>
      <c r="C2529" s="51">
        <f t="shared" si="588"/>
        <v>2369692</v>
      </c>
      <c r="D2529" s="51">
        <f>E2529+F2529+G2529+H2529</f>
        <v>2239692</v>
      </c>
      <c r="E2529" s="51">
        <f>300*2688+4*358323</f>
        <v>2239692</v>
      </c>
      <c r="F2529" s="51"/>
      <c r="G2529" s="51"/>
      <c r="H2529" s="51"/>
      <c r="I2529" s="51"/>
      <c r="J2529" s="51"/>
      <c r="K2529" s="51"/>
      <c r="L2529" s="51"/>
      <c r="M2529" s="35"/>
      <c r="N2529" s="51"/>
      <c r="O2529" s="82"/>
      <c r="P2529" s="364"/>
      <c r="Q2529" s="338"/>
      <c r="R2529" s="51"/>
      <c r="S2529" s="51"/>
      <c r="T2529" s="338"/>
      <c r="U2529" s="51"/>
      <c r="V2529" s="35"/>
      <c r="W2529" s="364">
        <v>130000</v>
      </c>
      <c r="X2529" s="9"/>
      <c r="Y2529" s="9"/>
      <c r="Z2529" s="9"/>
      <c r="AA2529" s="9"/>
      <c r="AB2529" s="9"/>
      <c r="AC2529" s="9"/>
      <c r="AD2529" s="9"/>
      <c r="AE2529" s="9"/>
      <c r="AF2529" s="40"/>
      <c r="AG2529" s="56"/>
      <c r="AH2529" s="56"/>
      <c r="AI2529" s="56"/>
      <c r="AJ2529" s="56"/>
    </row>
    <row r="2530" spans="1:36" x14ac:dyDescent="0.3">
      <c r="A2530" s="47">
        <f t="shared" si="589"/>
        <v>2267</v>
      </c>
      <c r="B2530" s="414" t="s">
        <v>3212</v>
      </c>
      <c r="C2530" s="51">
        <f t="shared" si="588"/>
        <v>130000</v>
      </c>
      <c r="D2530" s="51">
        <f t="shared" ref="D2530:D2592" si="590">E2530+F2530+G2530+H2530</f>
        <v>0</v>
      </c>
      <c r="E2530" s="364"/>
      <c r="F2530" s="51"/>
      <c r="G2530" s="51"/>
      <c r="H2530" s="51"/>
      <c r="I2530" s="51"/>
      <c r="J2530" s="51"/>
      <c r="K2530" s="51"/>
      <c r="L2530" s="51"/>
      <c r="M2530" s="35"/>
      <c r="N2530" s="51"/>
      <c r="O2530" s="82"/>
      <c r="P2530" s="364"/>
      <c r="Q2530" s="338"/>
      <c r="R2530" s="364"/>
      <c r="S2530" s="51"/>
      <c r="T2530" s="338"/>
      <c r="U2530" s="51"/>
      <c r="V2530" s="35"/>
      <c r="W2530" s="364">
        <v>130000</v>
      </c>
      <c r="X2530" s="9"/>
      <c r="Y2530" s="9"/>
      <c r="Z2530" s="9"/>
      <c r="AA2530" s="9"/>
      <c r="AB2530" s="9"/>
      <c r="AC2530" s="9"/>
      <c r="AD2530" s="9"/>
      <c r="AE2530" s="9"/>
      <c r="AF2530" s="40"/>
      <c r="AG2530" s="56"/>
      <c r="AH2530" s="56"/>
      <c r="AI2530" s="56"/>
      <c r="AJ2530" s="56"/>
    </row>
    <row r="2531" spans="1:36" x14ac:dyDescent="0.3">
      <c r="A2531" s="47">
        <f t="shared" si="589"/>
        <v>2268</v>
      </c>
      <c r="B2531" s="414" t="s">
        <v>3213</v>
      </c>
      <c r="C2531" s="51">
        <f t="shared" si="588"/>
        <v>130000</v>
      </c>
      <c r="D2531" s="51">
        <f t="shared" si="590"/>
        <v>0</v>
      </c>
      <c r="E2531" s="364"/>
      <c r="F2531" s="51"/>
      <c r="G2531" s="51"/>
      <c r="H2531" s="51"/>
      <c r="I2531" s="51"/>
      <c r="J2531" s="51"/>
      <c r="K2531" s="51"/>
      <c r="L2531" s="51"/>
      <c r="M2531" s="35"/>
      <c r="N2531" s="51"/>
      <c r="O2531" s="82"/>
      <c r="P2531" s="364"/>
      <c r="Q2531" s="338"/>
      <c r="R2531" s="364"/>
      <c r="S2531" s="51"/>
      <c r="T2531" s="338"/>
      <c r="U2531" s="51"/>
      <c r="V2531" s="35"/>
      <c r="W2531" s="364">
        <v>130000</v>
      </c>
      <c r="X2531" s="9"/>
      <c r="Y2531" s="9"/>
      <c r="Z2531" s="9"/>
      <c r="AA2531" s="9"/>
      <c r="AB2531" s="9"/>
      <c r="AC2531" s="9"/>
      <c r="AD2531" s="9"/>
      <c r="AE2531" s="9"/>
      <c r="AF2531" s="40"/>
      <c r="AG2531" s="56"/>
      <c r="AH2531" s="56"/>
      <c r="AI2531" s="56"/>
      <c r="AJ2531" s="56"/>
    </row>
    <row r="2532" spans="1:36" x14ac:dyDescent="0.3">
      <c r="A2532" s="47">
        <f t="shared" si="589"/>
        <v>2269</v>
      </c>
      <c r="B2532" s="414" t="s">
        <v>3214</v>
      </c>
      <c r="C2532" s="51">
        <f t="shared" si="588"/>
        <v>130000</v>
      </c>
      <c r="D2532" s="51">
        <f t="shared" si="590"/>
        <v>0</v>
      </c>
      <c r="E2532" s="364"/>
      <c r="F2532" s="51"/>
      <c r="G2532" s="51"/>
      <c r="H2532" s="51"/>
      <c r="I2532" s="51"/>
      <c r="J2532" s="51"/>
      <c r="K2532" s="51"/>
      <c r="L2532" s="51"/>
      <c r="M2532" s="35"/>
      <c r="N2532" s="51"/>
      <c r="O2532" s="82"/>
      <c r="P2532" s="364"/>
      <c r="Q2532" s="338"/>
      <c r="R2532" s="364"/>
      <c r="S2532" s="51"/>
      <c r="T2532" s="338"/>
      <c r="U2532" s="51"/>
      <c r="V2532" s="35"/>
      <c r="W2532" s="364">
        <v>130000</v>
      </c>
      <c r="X2532" s="9"/>
      <c r="Y2532" s="9"/>
      <c r="Z2532" s="9"/>
      <c r="AA2532" s="9"/>
      <c r="AB2532" s="9"/>
      <c r="AC2532" s="9"/>
      <c r="AD2532" s="9"/>
      <c r="AE2532" s="9"/>
      <c r="AF2532" s="40"/>
      <c r="AG2532" s="56"/>
      <c r="AH2532" s="56"/>
      <c r="AI2532" s="56"/>
      <c r="AJ2532" s="56"/>
    </row>
    <row r="2533" spans="1:36" x14ac:dyDescent="0.3">
      <c r="A2533" s="47">
        <f t="shared" si="589"/>
        <v>2270</v>
      </c>
      <c r="B2533" s="414" t="s">
        <v>3215</v>
      </c>
      <c r="C2533" s="51">
        <f t="shared" si="588"/>
        <v>130000</v>
      </c>
      <c r="D2533" s="51">
        <f t="shared" si="590"/>
        <v>0</v>
      </c>
      <c r="E2533" s="364"/>
      <c r="F2533" s="51"/>
      <c r="G2533" s="51"/>
      <c r="H2533" s="51"/>
      <c r="I2533" s="51"/>
      <c r="J2533" s="51"/>
      <c r="K2533" s="51"/>
      <c r="L2533" s="51"/>
      <c r="M2533" s="35"/>
      <c r="N2533" s="51"/>
      <c r="O2533" s="82"/>
      <c r="P2533" s="51"/>
      <c r="Q2533" s="338"/>
      <c r="R2533" s="51"/>
      <c r="S2533" s="51"/>
      <c r="T2533" s="338"/>
      <c r="U2533" s="51"/>
      <c r="V2533" s="35"/>
      <c r="W2533" s="364">
        <v>130000</v>
      </c>
      <c r="X2533" s="9"/>
      <c r="Y2533" s="9"/>
      <c r="Z2533" s="9"/>
      <c r="AA2533" s="9"/>
      <c r="AB2533" s="9"/>
      <c r="AC2533" s="9"/>
      <c r="AD2533" s="9"/>
      <c r="AE2533" s="9"/>
      <c r="AF2533" s="40"/>
      <c r="AG2533" s="56"/>
      <c r="AH2533" s="56"/>
      <c r="AI2533" s="56"/>
      <c r="AJ2533" s="56"/>
    </row>
    <row r="2534" spans="1:36" x14ac:dyDescent="0.3">
      <c r="A2534" s="47">
        <f t="shared" si="589"/>
        <v>2271</v>
      </c>
      <c r="B2534" s="414" t="s">
        <v>3216</v>
      </c>
      <c r="C2534" s="51">
        <f t="shared" si="588"/>
        <v>130000</v>
      </c>
      <c r="D2534" s="51">
        <f t="shared" si="590"/>
        <v>0</v>
      </c>
      <c r="E2534" s="364"/>
      <c r="F2534" s="51"/>
      <c r="G2534" s="51"/>
      <c r="H2534" s="51"/>
      <c r="I2534" s="51"/>
      <c r="J2534" s="51"/>
      <c r="K2534" s="51"/>
      <c r="L2534" s="51"/>
      <c r="M2534" s="35"/>
      <c r="N2534" s="51"/>
      <c r="O2534" s="82"/>
      <c r="P2534" s="364"/>
      <c r="Q2534" s="338"/>
      <c r="R2534" s="364"/>
      <c r="S2534" s="51"/>
      <c r="T2534" s="338"/>
      <c r="U2534" s="51"/>
      <c r="V2534" s="35"/>
      <c r="W2534" s="364">
        <v>130000</v>
      </c>
      <c r="X2534" s="9"/>
      <c r="Y2534" s="9"/>
      <c r="Z2534" s="9"/>
      <c r="AA2534" s="9"/>
      <c r="AB2534" s="9"/>
      <c r="AC2534" s="9"/>
      <c r="AD2534" s="9"/>
      <c r="AE2534" s="9"/>
      <c r="AF2534" s="40"/>
      <c r="AG2534" s="56"/>
      <c r="AH2534" s="56"/>
      <c r="AI2534" s="56"/>
      <c r="AJ2534" s="56"/>
    </row>
    <row r="2535" spans="1:36" x14ac:dyDescent="0.3">
      <c r="A2535" s="47">
        <f t="shared" ref="A2535:A2555" si="591">A2534+1</f>
        <v>2272</v>
      </c>
      <c r="B2535" s="414" t="s">
        <v>3217</v>
      </c>
      <c r="C2535" s="51">
        <f t="shared" si="588"/>
        <v>130000</v>
      </c>
      <c r="D2535" s="51">
        <f t="shared" si="590"/>
        <v>0</v>
      </c>
      <c r="E2535" s="364"/>
      <c r="F2535" s="51"/>
      <c r="G2535" s="51"/>
      <c r="H2535" s="51"/>
      <c r="I2535" s="51"/>
      <c r="J2535" s="51"/>
      <c r="K2535" s="51"/>
      <c r="L2535" s="51"/>
      <c r="M2535" s="35"/>
      <c r="N2535" s="51"/>
      <c r="O2535" s="82"/>
      <c r="P2535" s="364"/>
      <c r="Q2535" s="338"/>
      <c r="R2535" s="364"/>
      <c r="S2535" s="51"/>
      <c r="T2535" s="338"/>
      <c r="U2535" s="51"/>
      <c r="V2535" s="35"/>
      <c r="W2535" s="364">
        <v>130000</v>
      </c>
      <c r="X2535" s="9"/>
      <c r="Y2535" s="9"/>
      <c r="Z2535" s="9"/>
      <c r="AA2535" s="9"/>
      <c r="AB2535" s="9"/>
      <c r="AC2535" s="9"/>
      <c r="AD2535" s="9"/>
      <c r="AE2535" s="9"/>
      <c r="AF2535" s="40"/>
      <c r="AG2535" s="56"/>
      <c r="AH2535" s="56"/>
      <c r="AI2535" s="56"/>
      <c r="AJ2535" s="56"/>
    </row>
    <row r="2536" spans="1:36" x14ac:dyDescent="0.3">
      <c r="A2536" s="47">
        <f t="shared" si="591"/>
        <v>2273</v>
      </c>
      <c r="B2536" s="414" t="s">
        <v>3218</v>
      </c>
      <c r="C2536" s="51">
        <f t="shared" si="588"/>
        <v>130000</v>
      </c>
      <c r="D2536" s="51">
        <f t="shared" si="590"/>
        <v>0</v>
      </c>
      <c r="E2536" s="364"/>
      <c r="F2536" s="51"/>
      <c r="G2536" s="51"/>
      <c r="H2536" s="51"/>
      <c r="I2536" s="51"/>
      <c r="J2536" s="51"/>
      <c r="K2536" s="51"/>
      <c r="L2536" s="51"/>
      <c r="M2536" s="35"/>
      <c r="N2536" s="51"/>
      <c r="O2536" s="82"/>
      <c r="P2536" s="364"/>
      <c r="Q2536" s="338"/>
      <c r="R2536" s="364"/>
      <c r="S2536" s="51"/>
      <c r="T2536" s="338"/>
      <c r="U2536" s="51"/>
      <c r="V2536" s="35"/>
      <c r="W2536" s="364">
        <v>130000</v>
      </c>
      <c r="X2536" s="9"/>
      <c r="Y2536" s="9"/>
      <c r="Z2536" s="9"/>
      <c r="AA2536" s="9"/>
      <c r="AB2536" s="9"/>
      <c r="AC2536" s="9"/>
      <c r="AD2536" s="9"/>
      <c r="AE2536" s="9"/>
      <c r="AF2536" s="40"/>
      <c r="AG2536" s="56"/>
      <c r="AH2536" s="56"/>
      <c r="AI2536" s="56"/>
      <c r="AJ2536" s="56"/>
    </row>
    <row r="2537" spans="1:36" x14ac:dyDescent="0.3">
      <c r="A2537" s="47">
        <f t="shared" si="591"/>
        <v>2274</v>
      </c>
      <c r="B2537" s="414" t="s">
        <v>3219</v>
      </c>
      <c r="C2537" s="51">
        <f t="shared" si="588"/>
        <v>130000</v>
      </c>
      <c r="D2537" s="51">
        <f t="shared" si="590"/>
        <v>0</v>
      </c>
      <c r="E2537" s="364"/>
      <c r="F2537" s="51"/>
      <c r="G2537" s="51"/>
      <c r="H2537" s="51"/>
      <c r="I2537" s="51"/>
      <c r="J2537" s="51"/>
      <c r="K2537" s="51"/>
      <c r="L2537" s="51"/>
      <c r="M2537" s="35"/>
      <c r="N2537" s="51"/>
      <c r="O2537" s="82"/>
      <c r="P2537" s="364"/>
      <c r="Q2537" s="338"/>
      <c r="R2537" s="364"/>
      <c r="S2537" s="51"/>
      <c r="T2537" s="338"/>
      <c r="U2537" s="51"/>
      <c r="V2537" s="35"/>
      <c r="W2537" s="364">
        <v>130000</v>
      </c>
      <c r="X2537" s="9"/>
      <c r="Y2537" s="9"/>
      <c r="Z2537" s="9"/>
      <c r="AA2537" s="9"/>
      <c r="AB2537" s="9"/>
      <c r="AC2537" s="9"/>
      <c r="AD2537" s="9"/>
      <c r="AE2537" s="9"/>
      <c r="AF2537" s="40"/>
      <c r="AG2537" s="56"/>
      <c r="AH2537" s="56"/>
      <c r="AI2537" s="56"/>
      <c r="AJ2537" s="56"/>
    </row>
    <row r="2538" spans="1:36" x14ac:dyDescent="0.3">
      <c r="A2538" s="47">
        <f t="shared" si="591"/>
        <v>2275</v>
      </c>
      <c r="B2538" s="414" t="s">
        <v>3220</v>
      </c>
      <c r="C2538" s="51">
        <f t="shared" si="588"/>
        <v>130000</v>
      </c>
      <c r="D2538" s="51">
        <f t="shared" si="590"/>
        <v>0</v>
      </c>
      <c r="E2538" s="364"/>
      <c r="F2538" s="51"/>
      <c r="G2538" s="51"/>
      <c r="H2538" s="51"/>
      <c r="I2538" s="51"/>
      <c r="J2538" s="51"/>
      <c r="K2538" s="51"/>
      <c r="L2538" s="51"/>
      <c r="M2538" s="35"/>
      <c r="N2538" s="51"/>
      <c r="O2538" s="82"/>
      <c r="P2538" s="364"/>
      <c r="Q2538" s="338"/>
      <c r="R2538" s="364"/>
      <c r="S2538" s="51"/>
      <c r="T2538" s="338"/>
      <c r="U2538" s="51"/>
      <c r="V2538" s="35"/>
      <c r="W2538" s="364">
        <v>130000</v>
      </c>
      <c r="X2538" s="9"/>
      <c r="Y2538" s="9"/>
      <c r="Z2538" s="9"/>
      <c r="AA2538" s="9"/>
      <c r="AB2538" s="9"/>
      <c r="AC2538" s="9"/>
      <c r="AD2538" s="9"/>
      <c r="AE2538" s="9"/>
      <c r="AF2538" s="40"/>
      <c r="AG2538" s="56"/>
      <c r="AH2538" s="56"/>
      <c r="AI2538" s="56"/>
      <c r="AJ2538" s="56"/>
    </row>
    <row r="2539" spans="1:36" x14ac:dyDescent="0.3">
      <c r="A2539" s="47">
        <f t="shared" si="591"/>
        <v>2276</v>
      </c>
      <c r="B2539" s="414" t="s">
        <v>3221</v>
      </c>
      <c r="C2539" s="51">
        <f t="shared" si="588"/>
        <v>130000</v>
      </c>
      <c r="D2539" s="51">
        <f t="shared" si="590"/>
        <v>0</v>
      </c>
      <c r="E2539" s="364"/>
      <c r="F2539" s="51"/>
      <c r="G2539" s="51"/>
      <c r="H2539" s="51"/>
      <c r="I2539" s="51"/>
      <c r="J2539" s="51"/>
      <c r="K2539" s="51"/>
      <c r="L2539" s="51"/>
      <c r="M2539" s="35"/>
      <c r="N2539" s="51"/>
      <c r="O2539" s="82"/>
      <c r="P2539" s="364"/>
      <c r="Q2539" s="338"/>
      <c r="R2539" s="364"/>
      <c r="S2539" s="51"/>
      <c r="T2539" s="338"/>
      <c r="U2539" s="51"/>
      <c r="V2539" s="35"/>
      <c r="W2539" s="364">
        <v>130000</v>
      </c>
      <c r="X2539" s="9"/>
      <c r="Y2539" s="9"/>
      <c r="Z2539" s="9"/>
      <c r="AA2539" s="9"/>
      <c r="AB2539" s="9"/>
      <c r="AC2539" s="9"/>
      <c r="AD2539" s="9"/>
      <c r="AE2539" s="9"/>
      <c r="AF2539" s="40"/>
      <c r="AG2539" s="56"/>
      <c r="AH2539" s="56"/>
      <c r="AI2539" s="56"/>
      <c r="AJ2539" s="56"/>
    </row>
    <row r="2540" spans="1:36" x14ac:dyDescent="0.3">
      <c r="A2540" s="47">
        <f t="shared" si="591"/>
        <v>2277</v>
      </c>
      <c r="B2540" s="414" t="s">
        <v>3222</v>
      </c>
      <c r="C2540" s="51">
        <f t="shared" si="588"/>
        <v>130000</v>
      </c>
      <c r="D2540" s="51">
        <f t="shared" si="590"/>
        <v>0</v>
      </c>
      <c r="E2540" s="364"/>
      <c r="F2540" s="51"/>
      <c r="G2540" s="51"/>
      <c r="H2540" s="51"/>
      <c r="I2540" s="51"/>
      <c r="J2540" s="51"/>
      <c r="K2540" s="51"/>
      <c r="L2540" s="51"/>
      <c r="M2540" s="35"/>
      <c r="N2540" s="51"/>
      <c r="O2540" s="82"/>
      <c r="P2540" s="51"/>
      <c r="Q2540" s="338"/>
      <c r="R2540" s="51"/>
      <c r="S2540" s="51"/>
      <c r="T2540" s="338"/>
      <c r="U2540" s="51"/>
      <c r="V2540" s="35"/>
      <c r="W2540" s="364">
        <v>130000</v>
      </c>
      <c r="X2540" s="9"/>
      <c r="Y2540" s="9"/>
      <c r="Z2540" s="9"/>
      <c r="AA2540" s="9"/>
      <c r="AB2540" s="9"/>
      <c r="AC2540" s="9"/>
      <c r="AD2540" s="9"/>
      <c r="AE2540" s="9"/>
      <c r="AF2540" s="40"/>
      <c r="AG2540" s="56"/>
      <c r="AH2540" s="56"/>
      <c r="AI2540" s="56"/>
      <c r="AJ2540" s="56"/>
    </row>
    <row r="2541" spans="1:36" x14ac:dyDescent="0.3">
      <c r="A2541" s="47">
        <f t="shared" si="591"/>
        <v>2278</v>
      </c>
      <c r="B2541" s="414" t="s">
        <v>3223</v>
      </c>
      <c r="C2541" s="51">
        <f t="shared" si="588"/>
        <v>130000</v>
      </c>
      <c r="D2541" s="51">
        <f t="shared" si="590"/>
        <v>0</v>
      </c>
      <c r="E2541" s="364"/>
      <c r="F2541" s="51"/>
      <c r="G2541" s="51"/>
      <c r="H2541" s="51"/>
      <c r="I2541" s="51"/>
      <c r="J2541" s="51"/>
      <c r="K2541" s="51"/>
      <c r="L2541" s="51"/>
      <c r="M2541" s="35"/>
      <c r="N2541" s="51"/>
      <c r="O2541" s="82"/>
      <c r="P2541" s="51"/>
      <c r="Q2541" s="338"/>
      <c r="R2541" s="51"/>
      <c r="S2541" s="51"/>
      <c r="T2541" s="338"/>
      <c r="U2541" s="51"/>
      <c r="V2541" s="35"/>
      <c r="W2541" s="364">
        <v>130000</v>
      </c>
      <c r="X2541" s="9"/>
      <c r="Y2541" s="9"/>
      <c r="Z2541" s="9"/>
      <c r="AA2541" s="9"/>
      <c r="AB2541" s="9"/>
      <c r="AC2541" s="9"/>
      <c r="AD2541" s="9"/>
      <c r="AE2541" s="9"/>
      <c r="AF2541" s="40"/>
      <c r="AG2541" s="56"/>
      <c r="AH2541" s="56"/>
      <c r="AI2541" s="56"/>
      <c r="AJ2541" s="56"/>
    </row>
    <row r="2542" spans="1:36" x14ac:dyDescent="0.3">
      <c r="A2542" s="47">
        <f t="shared" si="591"/>
        <v>2279</v>
      </c>
      <c r="B2542" s="414" t="s">
        <v>3224</v>
      </c>
      <c r="C2542" s="51">
        <f t="shared" si="588"/>
        <v>130000</v>
      </c>
      <c r="D2542" s="51">
        <f t="shared" si="590"/>
        <v>0</v>
      </c>
      <c r="E2542" s="364"/>
      <c r="F2542" s="51"/>
      <c r="G2542" s="51"/>
      <c r="H2542" s="51"/>
      <c r="I2542" s="51"/>
      <c r="J2542" s="51"/>
      <c r="K2542" s="51"/>
      <c r="L2542" s="51"/>
      <c r="M2542" s="35"/>
      <c r="N2542" s="51"/>
      <c r="O2542" s="82"/>
      <c r="P2542" s="51"/>
      <c r="Q2542" s="338"/>
      <c r="R2542" s="51"/>
      <c r="S2542" s="51"/>
      <c r="T2542" s="338"/>
      <c r="U2542" s="51"/>
      <c r="V2542" s="35"/>
      <c r="W2542" s="364">
        <v>130000</v>
      </c>
      <c r="X2542" s="9"/>
      <c r="Y2542" s="9"/>
      <c r="Z2542" s="9"/>
      <c r="AA2542" s="9"/>
      <c r="AB2542" s="9"/>
      <c r="AC2542" s="9"/>
      <c r="AD2542" s="9"/>
      <c r="AE2542" s="9"/>
      <c r="AF2542" s="40"/>
      <c r="AG2542" s="56"/>
      <c r="AH2542" s="56"/>
      <c r="AI2542" s="56"/>
      <c r="AJ2542" s="56"/>
    </row>
    <row r="2543" spans="1:36" x14ac:dyDescent="0.3">
      <c r="A2543" s="47">
        <f t="shared" si="591"/>
        <v>2280</v>
      </c>
      <c r="B2543" s="414" t="s">
        <v>3225</v>
      </c>
      <c r="C2543" s="51">
        <f t="shared" si="588"/>
        <v>130000</v>
      </c>
      <c r="D2543" s="51">
        <f t="shared" si="590"/>
        <v>0</v>
      </c>
      <c r="E2543" s="364"/>
      <c r="F2543" s="51"/>
      <c r="G2543" s="51"/>
      <c r="H2543" s="51"/>
      <c r="I2543" s="51"/>
      <c r="J2543" s="51"/>
      <c r="K2543" s="51"/>
      <c r="L2543" s="51"/>
      <c r="M2543" s="35"/>
      <c r="N2543" s="51"/>
      <c r="O2543" s="82"/>
      <c r="P2543" s="51"/>
      <c r="Q2543" s="338"/>
      <c r="R2543" s="51"/>
      <c r="S2543" s="51"/>
      <c r="T2543" s="338"/>
      <c r="U2543" s="51"/>
      <c r="V2543" s="35"/>
      <c r="W2543" s="364">
        <v>130000</v>
      </c>
      <c r="X2543" s="9"/>
      <c r="Y2543" s="9"/>
      <c r="Z2543" s="9"/>
      <c r="AA2543" s="9"/>
      <c r="AB2543" s="9"/>
      <c r="AC2543" s="9"/>
      <c r="AD2543" s="9"/>
      <c r="AE2543" s="9"/>
      <c r="AF2543" s="40"/>
      <c r="AG2543" s="56"/>
      <c r="AH2543" s="56"/>
      <c r="AI2543" s="56"/>
      <c r="AJ2543" s="56"/>
    </row>
    <row r="2544" spans="1:36" x14ac:dyDescent="0.3">
      <c r="A2544" s="47">
        <f t="shared" si="591"/>
        <v>2281</v>
      </c>
      <c r="B2544" s="414" t="s">
        <v>3227</v>
      </c>
      <c r="C2544" s="51">
        <f t="shared" si="588"/>
        <v>130000</v>
      </c>
      <c r="D2544" s="51">
        <f t="shared" si="590"/>
        <v>0</v>
      </c>
      <c r="E2544" s="364"/>
      <c r="F2544" s="51"/>
      <c r="G2544" s="51"/>
      <c r="H2544" s="51"/>
      <c r="I2544" s="51"/>
      <c r="J2544" s="51"/>
      <c r="K2544" s="51"/>
      <c r="L2544" s="51"/>
      <c r="M2544" s="35"/>
      <c r="N2544" s="51"/>
      <c r="O2544" s="82"/>
      <c r="P2544" s="51"/>
      <c r="Q2544" s="338"/>
      <c r="R2544" s="51"/>
      <c r="S2544" s="51"/>
      <c r="T2544" s="338"/>
      <c r="U2544" s="51"/>
      <c r="V2544" s="35"/>
      <c r="W2544" s="364">
        <v>130000</v>
      </c>
      <c r="X2544" s="9"/>
      <c r="Y2544" s="9"/>
      <c r="Z2544" s="9"/>
      <c r="AA2544" s="9"/>
      <c r="AB2544" s="9"/>
      <c r="AC2544" s="9"/>
      <c r="AD2544" s="9"/>
      <c r="AE2544" s="9"/>
      <c r="AF2544" s="40"/>
      <c r="AG2544" s="56"/>
      <c r="AH2544" s="56"/>
      <c r="AI2544" s="56"/>
      <c r="AJ2544" s="56"/>
    </row>
    <row r="2545" spans="1:36" x14ac:dyDescent="0.3">
      <c r="A2545" s="47">
        <f t="shared" si="591"/>
        <v>2282</v>
      </c>
      <c r="B2545" s="414" t="s">
        <v>3228</v>
      </c>
      <c r="C2545" s="51">
        <f t="shared" si="588"/>
        <v>130000</v>
      </c>
      <c r="D2545" s="51">
        <f t="shared" si="590"/>
        <v>0</v>
      </c>
      <c r="E2545" s="364"/>
      <c r="F2545" s="51"/>
      <c r="G2545" s="51"/>
      <c r="H2545" s="51"/>
      <c r="I2545" s="51"/>
      <c r="J2545" s="51"/>
      <c r="K2545" s="51"/>
      <c r="L2545" s="51"/>
      <c r="M2545" s="35"/>
      <c r="N2545" s="51"/>
      <c r="O2545" s="82"/>
      <c r="P2545" s="51"/>
      <c r="Q2545" s="338"/>
      <c r="R2545" s="51"/>
      <c r="S2545" s="51"/>
      <c r="T2545" s="338"/>
      <c r="U2545" s="51"/>
      <c r="V2545" s="35"/>
      <c r="W2545" s="364">
        <v>130000</v>
      </c>
      <c r="X2545" s="9"/>
      <c r="Y2545" s="9"/>
      <c r="Z2545" s="9"/>
      <c r="AA2545" s="9"/>
      <c r="AB2545" s="9"/>
      <c r="AC2545" s="9"/>
      <c r="AD2545" s="9"/>
      <c r="AE2545" s="9"/>
      <c r="AF2545" s="40"/>
      <c r="AG2545" s="56"/>
      <c r="AH2545" s="56"/>
      <c r="AI2545" s="56"/>
      <c r="AJ2545" s="56"/>
    </row>
    <row r="2546" spans="1:36" x14ac:dyDescent="0.3">
      <c r="A2546" s="47">
        <f t="shared" si="591"/>
        <v>2283</v>
      </c>
      <c r="B2546" s="414" t="s">
        <v>3229</v>
      </c>
      <c r="C2546" s="51">
        <f t="shared" si="588"/>
        <v>130000</v>
      </c>
      <c r="D2546" s="51">
        <f t="shared" si="590"/>
        <v>0</v>
      </c>
      <c r="E2546" s="364"/>
      <c r="F2546" s="51"/>
      <c r="G2546" s="51"/>
      <c r="H2546" s="51"/>
      <c r="I2546" s="51"/>
      <c r="J2546" s="51"/>
      <c r="K2546" s="51"/>
      <c r="L2546" s="51"/>
      <c r="M2546" s="35"/>
      <c r="N2546" s="51"/>
      <c r="O2546" s="82"/>
      <c r="P2546" s="51"/>
      <c r="Q2546" s="338"/>
      <c r="R2546" s="51"/>
      <c r="S2546" s="51"/>
      <c r="T2546" s="338"/>
      <c r="U2546" s="51"/>
      <c r="V2546" s="35"/>
      <c r="W2546" s="364">
        <v>130000</v>
      </c>
      <c r="X2546" s="9"/>
      <c r="Y2546" s="9"/>
      <c r="Z2546" s="9"/>
      <c r="AA2546" s="9"/>
      <c r="AB2546" s="9"/>
      <c r="AC2546" s="9"/>
      <c r="AD2546" s="9"/>
      <c r="AE2546" s="9"/>
      <c r="AF2546" s="40"/>
      <c r="AG2546" s="56"/>
      <c r="AH2546" s="56"/>
      <c r="AI2546" s="56"/>
      <c r="AJ2546" s="56"/>
    </row>
    <row r="2547" spans="1:36" x14ac:dyDescent="0.3">
      <c r="A2547" s="47">
        <f t="shared" si="591"/>
        <v>2284</v>
      </c>
      <c r="B2547" s="414" t="s">
        <v>3230</v>
      </c>
      <c r="C2547" s="51">
        <f t="shared" si="588"/>
        <v>130000</v>
      </c>
      <c r="D2547" s="51">
        <f t="shared" si="590"/>
        <v>0</v>
      </c>
      <c r="E2547" s="364"/>
      <c r="F2547" s="51"/>
      <c r="G2547" s="51"/>
      <c r="H2547" s="51"/>
      <c r="I2547" s="51"/>
      <c r="J2547" s="51"/>
      <c r="K2547" s="51"/>
      <c r="L2547" s="51"/>
      <c r="M2547" s="35"/>
      <c r="N2547" s="51"/>
      <c r="O2547" s="82"/>
      <c r="P2547" s="51"/>
      <c r="Q2547" s="338"/>
      <c r="R2547" s="51"/>
      <c r="S2547" s="51"/>
      <c r="T2547" s="338"/>
      <c r="U2547" s="51"/>
      <c r="V2547" s="35"/>
      <c r="W2547" s="364">
        <v>130000</v>
      </c>
      <c r="X2547" s="9"/>
      <c r="Y2547" s="9"/>
      <c r="Z2547" s="9"/>
      <c r="AA2547" s="9"/>
      <c r="AB2547" s="9"/>
      <c r="AC2547" s="9"/>
      <c r="AD2547" s="9"/>
      <c r="AE2547" s="9"/>
      <c r="AF2547" s="40"/>
      <c r="AG2547" s="56"/>
      <c r="AH2547" s="56"/>
      <c r="AI2547" s="56"/>
      <c r="AJ2547" s="56"/>
    </row>
    <row r="2548" spans="1:36" x14ac:dyDescent="0.3">
      <c r="A2548" s="47">
        <f t="shared" si="591"/>
        <v>2285</v>
      </c>
      <c r="B2548" s="414" t="s">
        <v>3231</v>
      </c>
      <c r="C2548" s="51">
        <f t="shared" si="588"/>
        <v>130000</v>
      </c>
      <c r="D2548" s="51">
        <f t="shared" si="590"/>
        <v>0</v>
      </c>
      <c r="E2548" s="364"/>
      <c r="F2548" s="51"/>
      <c r="G2548" s="51"/>
      <c r="H2548" s="51"/>
      <c r="I2548" s="51"/>
      <c r="J2548" s="51"/>
      <c r="K2548" s="51"/>
      <c r="L2548" s="51"/>
      <c r="M2548" s="35"/>
      <c r="N2548" s="51"/>
      <c r="O2548" s="82"/>
      <c r="P2548" s="51"/>
      <c r="Q2548" s="338"/>
      <c r="R2548" s="51"/>
      <c r="S2548" s="51"/>
      <c r="T2548" s="338"/>
      <c r="U2548" s="51"/>
      <c r="V2548" s="35"/>
      <c r="W2548" s="364">
        <v>130000</v>
      </c>
      <c r="X2548" s="9"/>
      <c r="Y2548" s="9"/>
      <c r="Z2548" s="9"/>
      <c r="AA2548" s="9"/>
      <c r="AB2548" s="9"/>
      <c r="AC2548" s="9"/>
      <c r="AD2548" s="9"/>
      <c r="AE2548" s="9"/>
      <c r="AF2548" s="40"/>
      <c r="AG2548" s="56"/>
      <c r="AH2548" s="56"/>
      <c r="AI2548" s="56"/>
      <c r="AJ2548" s="56"/>
    </row>
    <row r="2549" spans="1:36" x14ac:dyDescent="0.3">
      <c r="A2549" s="47">
        <f t="shared" si="591"/>
        <v>2286</v>
      </c>
      <c r="B2549" s="414" t="s">
        <v>3232</v>
      </c>
      <c r="C2549" s="51">
        <f t="shared" si="588"/>
        <v>130000</v>
      </c>
      <c r="D2549" s="51">
        <f t="shared" si="590"/>
        <v>0</v>
      </c>
      <c r="E2549" s="364"/>
      <c r="F2549" s="51"/>
      <c r="G2549" s="51"/>
      <c r="H2549" s="51"/>
      <c r="I2549" s="51"/>
      <c r="J2549" s="51"/>
      <c r="K2549" s="51"/>
      <c r="L2549" s="51"/>
      <c r="M2549" s="35"/>
      <c r="N2549" s="51"/>
      <c r="O2549" s="82"/>
      <c r="P2549" s="51"/>
      <c r="Q2549" s="338"/>
      <c r="R2549" s="51"/>
      <c r="S2549" s="51"/>
      <c r="T2549" s="338"/>
      <c r="U2549" s="51"/>
      <c r="V2549" s="35"/>
      <c r="W2549" s="364">
        <v>130000</v>
      </c>
      <c r="X2549" s="9"/>
      <c r="Y2549" s="9"/>
      <c r="Z2549" s="9"/>
      <c r="AA2549" s="9"/>
      <c r="AB2549" s="9"/>
      <c r="AC2549" s="9"/>
      <c r="AD2549" s="9"/>
      <c r="AE2549" s="9"/>
      <c r="AF2549" s="40"/>
      <c r="AG2549" s="56"/>
      <c r="AH2549" s="56"/>
      <c r="AI2549" s="56"/>
      <c r="AJ2549" s="56"/>
    </row>
    <row r="2550" spans="1:36" x14ac:dyDescent="0.3">
      <c r="A2550" s="47">
        <f t="shared" si="591"/>
        <v>2287</v>
      </c>
      <c r="B2550" s="414" t="s">
        <v>3233</v>
      </c>
      <c r="C2550" s="51">
        <f t="shared" si="588"/>
        <v>676009.53</v>
      </c>
      <c r="D2550" s="51">
        <f t="shared" si="590"/>
        <v>0</v>
      </c>
      <c r="E2550" s="364"/>
      <c r="F2550" s="51"/>
      <c r="G2550" s="51"/>
      <c r="H2550" s="51"/>
      <c r="I2550" s="51"/>
      <c r="J2550" s="51"/>
      <c r="K2550" s="51"/>
      <c r="L2550" s="51"/>
      <c r="M2550" s="35"/>
      <c r="N2550" s="364"/>
      <c r="O2550" s="82"/>
      <c r="P2550" s="364"/>
      <c r="Q2550" s="338"/>
      <c r="R2550" s="364"/>
      <c r="S2550" s="51"/>
      <c r="T2550" s="338"/>
      <c r="U2550" s="51"/>
      <c r="V2550" s="35"/>
      <c r="W2550" s="364">
        <f t="shared" ref="W2550:W2573" si="592">SUM(Y2550:AK2550)</f>
        <v>676009.53</v>
      </c>
      <c r="X2550" s="9"/>
      <c r="Y2550" s="9">
        <v>188149.94</v>
      </c>
      <c r="Z2550" s="9"/>
      <c r="AA2550" s="9"/>
      <c r="AB2550" s="9"/>
      <c r="AC2550" s="9"/>
      <c r="AD2550" s="9"/>
      <c r="AE2550" s="9">
        <v>366434.7</v>
      </c>
      <c r="AF2550" s="40">
        <v>121424.89</v>
      </c>
      <c r="AG2550" s="56"/>
      <c r="AH2550" s="56"/>
      <c r="AI2550" s="56"/>
      <c r="AJ2550" s="56"/>
    </row>
    <row r="2551" spans="1:36" x14ac:dyDescent="0.3">
      <c r="A2551" s="47">
        <f t="shared" si="591"/>
        <v>2288</v>
      </c>
      <c r="B2551" s="414" t="s">
        <v>3234</v>
      </c>
      <c r="C2551" s="51">
        <f t="shared" si="588"/>
        <v>286235.25</v>
      </c>
      <c r="D2551" s="51">
        <f t="shared" si="590"/>
        <v>0</v>
      </c>
      <c r="E2551" s="364"/>
      <c r="F2551" s="51"/>
      <c r="G2551" s="51"/>
      <c r="H2551" s="51"/>
      <c r="I2551" s="51"/>
      <c r="J2551" s="51"/>
      <c r="K2551" s="51"/>
      <c r="L2551" s="51"/>
      <c r="M2551" s="35"/>
      <c r="N2551" s="51"/>
      <c r="O2551" s="82"/>
      <c r="P2551" s="364"/>
      <c r="Q2551" s="338"/>
      <c r="R2551" s="364"/>
      <c r="S2551" s="51"/>
      <c r="T2551" s="338"/>
      <c r="U2551" s="51"/>
      <c r="V2551" s="35"/>
      <c r="W2551" s="364">
        <f t="shared" si="592"/>
        <v>286235.25</v>
      </c>
      <c r="X2551" s="9"/>
      <c r="Y2551" s="9">
        <v>200727.23</v>
      </c>
      <c r="Z2551" s="9"/>
      <c r="AA2551" s="9"/>
      <c r="AB2551" s="9"/>
      <c r="AC2551" s="9"/>
      <c r="AD2551" s="9"/>
      <c r="AE2551" s="9"/>
      <c r="AF2551" s="40">
        <v>85508.02</v>
      </c>
      <c r="AG2551" s="56"/>
      <c r="AH2551" s="56"/>
      <c r="AI2551" s="56"/>
      <c r="AJ2551" s="56"/>
    </row>
    <row r="2552" spans="1:36" x14ac:dyDescent="0.3">
      <c r="A2552" s="47">
        <f t="shared" si="591"/>
        <v>2289</v>
      </c>
      <c r="B2552" s="414" t="s">
        <v>3235</v>
      </c>
      <c r="C2552" s="51">
        <f t="shared" si="588"/>
        <v>669482.02999999991</v>
      </c>
      <c r="D2552" s="51">
        <f t="shared" si="590"/>
        <v>0</v>
      </c>
      <c r="E2552" s="364"/>
      <c r="F2552" s="51"/>
      <c r="G2552" s="51"/>
      <c r="H2552" s="51"/>
      <c r="I2552" s="51"/>
      <c r="J2552" s="51"/>
      <c r="K2552" s="51"/>
      <c r="L2552" s="51"/>
      <c r="M2552" s="35"/>
      <c r="N2552" s="364"/>
      <c r="O2552" s="82"/>
      <c r="P2552" s="364"/>
      <c r="Q2552" s="338"/>
      <c r="R2552" s="364"/>
      <c r="S2552" s="51"/>
      <c r="T2552" s="338"/>
      <c r="U2552" s="51"/>
      <c r="V2552" s="35"/>
      <c r="W2552" s="364">
        <f t="shared" si="592"/>
        <v>669482.02999999991</v>
      </c>
      <c r="X2552" s="9"/>
      <c r="Y2552" s="9">
        <v>186126.59</v>
      </c>
      <c r="Z2552" s="9"/>
      <c r="AA2552" s="9"/>
      <c r="AB2552" s="9"/>
      <c r="AC2552" s="9"/>
      <c r="AD2552" s="9"/>
      <c r="AE2552" s="9">
        <v>363030.47</v>
      </c>
      <c r="AF2552" s="40">
        <v>120324.97</v>
      </c>
      <c r="AG2552" s="56"/>
      <c r="AH2552" s="56"/>
      <c r="AI2552" s="56"/>
      <c r="AJ2552" s="56"/>
    </row>
    <row r="2553" spans="1:36" x14ac:dyDescent="0.3">
      <c r="A2553" s="47">
        <f t="shared" si="591"/>
        <v>2290</v>
      </c>
      <c r="B2553" s="414" t="s">
        <v>3236</v>
      </c>
      <c r="C2553" s="51">
        <f t="shared" si="588"/>
        <v>970321.6</v>
      </c>
      <c r="D2553" s="51">
        <f t="shared" si="590"/>
        <v>0</v>
      </c>
      <c r="E2553" s="51"/>
      <c r="F2553" s="51"/>
      <c r="G2553" s="51"/>
      <c r="H2553" s="51"/>
      <c r="I2553" s="51"/>
      <c r="J2553" s="51"/>
      <c r="K2553" s="51"/>
      <c r="L2553" s="51"/>
      <c r="M2553" s="35"/>
      <c r="N2553" s="51"/>
      <c r="O2553" s="82"/>
      <c r="P2553" s="364"/>
      <c r="Q2553" s="338"/>
      <c r="R2553" s="364"/>
      <c r="S2553" s="51"/>
      <c r="T2553" s="338"/>
      <c r="U2553" s="51"/>
      <c r="V2553" s="35"/>
      <c r="W2553" s="364">
        <f t="shared" si="592"/>
        <v>970321.6</v>
      </c>
      <c r="X2553" s="9"/>
      <c r="Y2553" s="9"/>
      <c r="Z2553" s="9"/>
      <c r="AA2553" s="9"/>
      <c r="AB2553" s="9"/>
      <c r="AC2553" s="9"/>
      <c r="AD2553" s="9"/>
      <c r="AE2553" s="9">
        <v>731078.87</v>
      </c>
      <c r="AF2553" s="40">
        <v>239242.73</v>
      </c>
      <c r="AG2553" s="56"/>
      <c r="AH2553" s="56"/>
      <c r="AI2553" s="56"/>
      <c r="AJ2553" s="56"/>
    </row>
    <row r="2554" spans="1:36" x14ac:dyDescent="0.3">
      <c r="A2554" s="47">
        <f t="shared" si="591"/>
        <v>2291</v>
      </c>
      <c r="B2554" s="414" t="s">
        <v>3237</v>
      </c>
      <c r="C2554" s="51">
        <f t="shared" si="588"/>
        <v>190933.45</v>
      </c>
      <c r="D2554" s="51">
        <f t="shared" si="590"/>
        <v>0</v>
      </c>
      <c r="E2554" s="51"/>
      <c r="F2554" s="51"/>
      <c r="G2554" s="51"/>
      <c r="H2554" s="51"/>
      <c r="I2554" s="51"/>
      <c r="J2554" s="51"/>
      <c r="K2554" s="51"/>
      <c r="L2554" s="51"/>
      <c r="M2554" s="35"/>
      <c r="N2554" s="51"/>
      <c r="O2554" s="82"/>
      <c r="P2554" s="364"/>
      <c r="Q2554" s="338"/>
      <c r="R2554" s="51"/>
      <c r="S2554" s="51"/>
      <c r="T2554" s="338"/>
      <c r="U2554" s="51"/>
      <c r="V2554" s="35"/>
      <c r="W2554" s="364">
        <f t="shared" si="592"/>
        <v>190933.45</v>
      </c>
      <c r="X2554" s="9"/>
      <c r="Y2554" s="9"/>
      <c r="Z2554" s="9"/>
      <c r="AA2554" s="9"/>
      <c r="AB2554" s="9"/>
      <c r="AC2554" s="9"/>
      <c r="AD2554" s="9"/>
      <c r="AE2554" s="9"/>
      <c r="AF2554" s="40">
        <v>190933.45</v>
      </c>
      <c r="AG2554" s="56"/>
      <c r="AH2554" s="56"/>
      <c r="AI2554" s="56"/>
      <c r="AJ2554" s="56"/>
    </row>
    <row r="2555" spans="1:36" x14ac:dyDescent="0.3">
      <c r="A2555" s="47">
        <f t="shared" si="591"/>
        <v>2292</v>
      </c>
      <c r="B2555" s="414" t="s">
        <v>3238</v>
      </c>
      <c r="C2555" s="51">
        <f t="shared" si="588"/>
        <v>225325.14</v>
      </c>
      <c r="D2555" s="51">
        <f t="shared" si="590"/>
        <v>0</v>
      </c>
      <c r="E2555" s="364"/>
      <c r="F2555" s="51"/>
      <c r="G2555" s="51"/>
      <c r="H2555" s="51"/>
      <c r="I2555" s="51"/>
      <c r="J2555" s="51"/>
      <c r="K2555" s="51"/>
      <c r="L2555" s="51"/>
      <c r="M2555" s="35"/>
      <c r="N2555" s="51"/>
      <c r="O2555" s="82"/>
      <c r="P2555" s="51"/>
      <c r="Q2555" s="338"/>
      <c r="R2555" s="51"/>
      <c r="S2555" s="51"/>
      <c r="T2555" s="338"/>
      <c r="U2555" s="51"/>
      <c r="V2555" s="35"/>
      <c r="W2555" s="364">
        <f t="shared" si="592"/>
        <v>225325.14</v>
      </c>
      <c r="X2555" s="9"/>
      <c r="Y2555" s="9">
        <v>225325.14</v>
      </c>
      <c r="Z2555" s="9"/>
      <c r="AA2555" s="9"/>
      <c r="AB2555" s="9"/>
      <c r="AC2555" s="9"/>
      <c r="AD2555" s="9"/>
      <c r="AE2555" s="9"/>
      <c r="AF2555" s="40"/>
      <c r="AG2555" s="56"/>
      <c r="AH2555" s="56"/>
      <c r="AI2555" s="56"/>
      <c r="AJ2555" s="56"/>
    </row>
    <row r="2556" spans="1:36" x14ac:dyDescent="0.3">
      <c r="A2556" s="47">
        <f t="shared" ref="A2556:A2608" si="593">A2555+1</f>
        <v>2293</v>
      </c>
      <c r="B2556" s="414" t="s">
        <v>3239</v>
      </c>
      <c r="C2556" s="51">
        <f t="shared" si="588"/>
        <v>604203.58000000007</v>
      </c>
      <c r="D2556" s="51">
        <f t="shared" si="590"/>
        <v>0</v>
      </c>
      <c r="E2556" s="51"/>
      <c r="F2556" s="51"/>
      <c r="G2556" s="51"/>
      <c r="H2556" s="51"/>
      <c r="I2556" s="51"/>
      <c r="J2556" s="51"/>
      <c r="K2556" s="51"/>
      <c r="L2556" s="51"/>
      <c r="M2556" s="35"/>
      <c r="N2556" s="364"/>
      <c r="O2556" s="82"/>
      <c r="P2556" s="364"/>
      <c r="Q2556" s="338"/>
      <c r="R2556" s="364"/>
      <c r="S2556" s="51"/>
      <c r="T2556" s="338"/>
      <c r="U2556" s="51"/>
      <c r="V2556" s="35"/>
      <c r="W2556" s="364">
        <f t="shared" si="592"/>
        <v>604203.58000000007</v>
      </c>
      <c r="X2556" s="9"/>
      <c r="Y2556" s="9"/>
      <c r="Z2556" s="9"/>
      <c r="AA2556" s="9"/>
      <c r="AB2556" s="9"/>
      <c r="AC2556" s="9"/>
      <c r="AD2556" s="9"/>
      <c r="AE2556" s="9">
        <v>399923.27</v>
      </c>
      <c r="AF2556" s="40">
        <v>204280.31</v>
      </c>
      <c r="AG2556" s="56"/>
      <c r="AH2556" s="56"/>
      <c r="AI2556" s="56"/>
      <c r="AJ2556" s="56"/>
    </row>
    <row r="2557" spans="1:36" x14ac:dyDescent="0.3">
      <c r="A2557" s="47">
        <f t="shared" si="593"/>
        <v>2294</v>
      </c>
      <c r="B2557" s="414" t="s">
        <v>3240</v>
      </c>
      <c r="C2557" s="51">
        <f t="shared" si="588"/>
        <v>141164.03</v>
      </c>
      <c r="D2557" s="51">
        <f t="shared" si="590"/>
        <v>0</v>
      </c>
      <c r="E2557" s="51"/>
      <c r="F2557" s="51"/>
      <c r="G2557" s="51"/>
      <c r="H2557" s="51"/>
      <c r="I2557" s="51"/>
      <c r="J2557" s="51"/>
      <c r="K2557" s="51"/>
      <c r="L2557" s="51"/>
      <c r="M2557" s="35"/>
      <c r="N2557" s="51"/>
      <c r="O2557" s="82"/>
      <c r="P2557" s="364"/>
      <c r="Q2557" s="338"/>
      <c r="R2557" s="364"/>
      <c r="S2557" s="51"/>
      <c r="T2557" s="338"/>
      <c r="U2557" s="51"/>
      <c r="V2557" s="35"/>
      <c r="W2557" s="364">
        <f t="shared" si="592"/>
        <v>141164.03</v>
      </c>
      <c r="X2557" s="9"/>
      <c r="Y2557" s="9"/>
      <c r="Z2557" s="9"/>
      <c r="AA2557" s="9"/>
      <c r="AB2557" s="9"/>
      <c r="AC2557" s="9"/>
      <c r="AD2557" s="9"/>
      <c r="AE2557" s="9"/>
      <c r="AF2557" s="40">
        <v>141164.03</v>
      </c>
      <c r="AG2557" s="56"/>
      <c r="AH2557" s="56"/>
      <c r="AI2557" s="56"/>
      <c r="AJ2557" s="56"/>
    </row>
    <row r="2558" spans="1:36" x14ac:dyDescent="0.3">
      <c r="A2558" s="47">
        <f t="shared" si="593"/>
        <v>2295</v>
      </c>
      <c r="B2558" s="414" t="s">
        <v>3241</v>
      </c>
      <c r="C2558" s="51">
        <f t="shared" si="588"/>
        <v>420055.6</v>
      </c>
      <c r="D2558" s="51">
        <f t="shared" si="590"/>
        <v>0</v>
      </c>
      <c r="E2558" s="51"/>
      <c r="F2558" s="51"/>
      <c r="G2558" s="51"/>
      <c r="H2558" s="51"/>
      <c r="I2558" s="51"/>
      <c r="J2558" s="51"/>
      <c r="K2558" s="51"/>
      <c r="L2558" s="51"/>
      <c r="M2558" s="35"/>
      <c r="N2558" s="364"/>
      <c r="O2558" s="82"/>
      <c r="P2558" s="364"/>
      <c r="Q2558" s="338"/>
      <c r="R2558" s="364"/>
      <c r="S2558" s="51"/>
      <c r="T2558" s="338"/>
      <c r="U2558" s="51"/>
      <c r="V2558" s="35"/>
      <c r="W2558" s="364">
        <f t="shared" si="592"/>
        <v>420055.6</v>
      </c>
      <c r="X2558" s="9"/>
      <c r="Y2558" s="9"/>
      <c r="Z2558" s="9"/>
      <c r="AA2558" s="9"/>
      <c r="AB2558" s="9"/>
      <c r="AC2558" s="9"/>
      <c r="AD2558" s="9"/>
      <c r="AE2558" s="9">
        <v>277355.93</v>
      </c>
      <c r="AF2558" s="40">
        <v>142699.67000000001</v>
      </c>
      <c r="AG2558" s="56"/>
      <c r="AH2558" s="56"/>
      <c r="AI2558" s="56"/>
      <c r="AJ2558" s="56"/>
    </row>
    <row r="2559" spans="1:36" x14ac:dyDescent="0.3">
      <c r="A2559" s="47">
        <f t="shared" si="593"/>
        <v>2296</v>
      </c>
      <c r="B2559" s="414" t="s">
        <v>3242</v>
      </c>
      <c r="C2559" s="51">
        <f t="shared" si="588"/>
        <v>592207.39</v>
      </c>
      <c r="D2559" s="51">
        <f t="shared" si="590"/>
        <v>0</v>
      </c>
      <c r="E2559" s="51"/>
      <c r="F2559" s="51"/>
      <c r="G2559" s="51"/>
      <c r="H2559" s="51"/>
      <c r="I2559" s="51"/>
      <c r="J2559" s="51"/>
      <c r="K2559" s="51"/>
      <c r="L2559" s="51"/>
      <c r="M2559" s="35"/>
      <c r="N2559" s="364"/>
      <c r="O2559" s="82"/>
      <c r="P2559" s="364"/>
      <c r="Q2559" s="338"/>
      <c r="R2559" s="364"/>
      <c r="S2559" s="51"/>
      <c r="T2559" s="338"/>
      <c r="U2559" s="51"/>
      <c r="V2559" s="35"/>
      <c r="W2559" s="364">
        <f t="shared" si="592"/>
        <v>592207.39</v>
      </c>
      <c r="X2559" s="9"/>
      <c r="Y2559" s="9"/>
      <c r="Z2559" s="9"/>
      <c r="AA2559" s="9"/>
      <c r="AB2559" s="9"/>
      <c r="AC2559" s="9"/>
      <c r="AD2559" s="9"/>
      <c r="AE2559" s="9">
        <v>391938.72</v>
      </c>
      <c r="AF2559" s="40">
        <v>200268.67</v>
      </c>
      <c r="AG2559" s="56"/>
      <c r="AH2559" s="56"/>
      <c r="AI2559" s="56"/>
      <c r="AJ2559" s="56"/>
    </row>
    <row r="2560" spans="1:36" x14ac:dyDescent="0.3">
      <c r="A2560" s="47">
        <f t="shared" si="593"/>
        <v>2297</v>
      </c>
      <c r="B2560" s="414" t="s">
        <v>3243</v>
      </c>
      <c r="C2560" s="51">
        <f t="shared" si="588"/>
        <v>412728.87</v>
      </c>
      <c r="D2560" s="51">
        <f t="shared" si="590"/>
        <v>0</v>
      </c>
      <c r="E2560" s="51"/>
      <c r="F2560" s="51"/>
      <c r="G2560" s="51"/>
      <c r="H2560" s="51"/>
      <c r="I2560" s="51"/>
      <c r="J2560" s="51"/>
      <c r="K2560" s="51"/>
      <c r="L2560" s="51"/>
      <c r="M2560" s="35"/>
      <c r="N2560" s="364"/>
      <c r="O2560" s="82"/>
      <c r="P2560" s="364"/>
      <c r="Q2560" s="338"/>
      <c r="R2560" s="364"/>
      <c r="S2560" s="51"/>
      <c r="T2560" s="338"/>
      <c r="U2560" s="51"/>
      <c r="V2560" s="35"/>
      <c r="W2560" s="364">
        <f t="shared" si="592"/>
        <v>412728.87</v>
      </c>
      <c r="X2560" s="9"/>
      <c r="Y2560" s="9"/>
      <c r="Z2560" s="9"/>
      <c r="AA2560" s="9"/>
      <c r="AB2560" s="9"/>
      <c r="AC2560" s="9"/>
      <c r="AD2560" s="9"/>
      <c r="AE2560" s="9">
        <v>272479.33</v>
      </c>
      <c r="AF2560" s="40">
        <v>140249.54</v>
      </c>
      <c r="AG2560" s="56"/>
      <c r="AH2560" s="56"/>
      <c r="AI2560" s="56"/>
      <c r="AJ2560" s="56"/>
    </row>
    <row r="2561" spans="1:36" x14ac:dyDescent="0.3">
      <c r="A2561" s="47">
        <f t="shared" si="593"/>
        <v>2298</v>
      </c>
      <c r="B2561" s="414" t="s">
        <v>3244</v>
      </c>
      <c r="C2561" s="51">
        <f t="shared" si="588"/>
        <v>445595.94</v>
      </c>
      <c r="D2561" s="51">
        <f t="shared" si="590"/>
        <v>0</v>
      </c>
      <c r="E2561" s="51"/>
      <c r="F2561" s="51"/>
      <c r="G2561" s="51"/>
      <c r="H2561" s="51"/>
      <c r="I2561" s="51"/>
      <c r="J2561" s="51"/>
      <c r="K2561" s="51"/>
      <c r="L2561" s="51"/>
      <c r="M2561" s="35"/>
      <c r="N2561" s="364"/>
      <c r="O2561" s="82"/>
      <c r="P2561" s="364"/>
      <c r="Q2561" s="338"/>
      <c r="R2561" s="364"/>
      <c r="S2561" s="51"/>
      <c r="T2561" s="338"/>
      <c r="U2561" s="51"/>
      <c r="V2561" s="35"/>
      <c r="W2561" s="364">
        <f t="shared" si="592"/>
        <v>445595.94</v>
      </c>
      <c r="X2561" s="9"/>
      <c r="Y2561" s="9"/>
      <c r="Z2561" s="9"/>
      <c r="AA2561" s="9"/>
      <c r="AB2561" s="9"/>
      <c r="AC2561" s="9"/>
      <c r="AD2561" s="9"/>
      <c r="AE2561" s="9">
        <v>334491.89</v>
      </c>
      <c r="AF2561" s="40">
        <v>111104.05</v>
      </c>
      <c r="AG2561" s="56"/>
      <c r="AH2561" s="56"/>
      <c r="AI2561" s="56"/>
      <c r="AJ2561" s="56"/>
    </row>
    <row r="2562" spans="1:36" x14ac:dyDescent="0.3">
      <c r="A2562" s="47">
        <f t="shared" si="593"/>
        <v>2299</v>
      </c>
      <c r="B2562" s="414" t="s">
        <v>3245</v>
      </c>
      <c r="C2562" s="51">
        <f t="shared" si="588"/>
        <v>445595.94</v>
      </c>
      <c r="D2562" s="51">
        <f t="shared" si="590"/>
        <v>0</v>
      </c>
      <c r="E2562" s="51"/>
      <c r="F2562" s="51"/>
      <c r="G2562" s="51"/>
      <c r="H2562" s="51"/>
      <c r="I2562" s="51"/>
      <c r="J2562" s="51"/>
      <c r="K2562" s="51"/>
      <c r="L2562" s="51"/>
      <c r="M2562" s="35"/>
      <c r="N2562" s="364"/>
      <c r="O2562" s="82"/>
      <c r="P2562" s="364"/>
      <c r="Q2562" s="338"/>
      <c r="R2562" s="364"/>
      <c r="S2562" s="51"/>
      <c r="T2562" s="338"/>
      <c r="U2562" s="51"/>
      <c r="V2562" s="35"/>
      <c r="W2562" s="364">
        <f t="shared" si="592"/>
        <v>445595.94</v>
      </c>
      <c r="X2562" s="9"/>
      <c r="Y2562" s="9"/>
      <c r="Z2562" s="9"/>
      <c r="AA2562" s="9"/>
      <c r="AB2562" s="9"/>
      <c r="AC2562" s="9"/>
      <c r="AD2562" s="9"/>
      <c r="AE2562" s="9">
        <v>334491.89</v>
      </c>
      <c r="AF2562" s="40">
        <v>111104.05</v>
      </c>
      <c r="AG2562" s="56"/>
      <c r="AH2562" s="56"/>
      <c r="AI2562" s="56"/>
      <c r="AJ2562" s="56"/>
    </row>
    <row r="2563" spans="1:36" x14ac:dyDescent="0.3">
      <c r="A2563" s="47">
        <f t="shared" si="593"/>
        <v>2300</v>
      </c>
      <c r="B2563" s="414" t="s">
        <v>3246</v>
      </c>
      <c r="C2563" s="51">
        <f t="shared" si="588"/>
        <v>198793.44</v>
      </c>
      <c r="D2563" s="51">
        <f t="shared" si="590"/>
        <v>0</v>
      </c>
      <c r="E2563" s="51"/>
      <c r="F2563" s="51"/>
      <c r="G2563" s="51"/>
      <c r="H2563" s="51"/>
      <c r="I2563" s="51"/>
      <c r="J2563" s="51"/>
      <c r="K2563" s="51"/>
      <c r="L2563" s="51"/>
      <c r="M2563" s="35"/>
      <c r="N2563" s="51"/>
      <c r="O2563" s="82"/>
      <c r="P2563" s="364"/>
      <c r="Q2563" s="338"/>
      <c r="R2563" s="364"/>
      <c r="S2563" s="51"/>
      <c r="T2563" s="338"/>
      <c r="U2563" s="51"/>
      <c r="V2563" s="35"/>
      <c r="W2563" s="364">
        <f t="shared" si="592"/>
        <v>198793.44</v>
      </c>
      <c r="X2563" s="9"/>
      <c r="Y2563" s="9"/>
      <c r="Z2563" s="9"/>
      <c r="AA2563" s="9"/>
      <c r="AB2563" s="9"/>
      <c r="AC2563" s="9"/>
      <c r="AD2563" s="9"/>
      <c r="AE2563" s="9"/>
      <c r="AF2563" s="40">
        <v>198793.44</v>
      </c>
      <c r="AG2563" s="56"/>
      <c r="AH2563" s="56"/>
      <c r="AI2563" s="56"/>
      <c r="AJ2563" s="56"/>
    </row>
    <row r="2564" spans="1:36" x14ac:dyDescent="0.3">
      <c r="A2564" s="47">
        <f t="shared" si="593"/>
        <v>2301</v>
      </c>
      <c r="B2564" s="414" t="s">
        <v>3247</v>
      </c>
      <c r="C2564" s="51">
        <f t="shared" si="588"/>
        <v>639356.88</v>
      </c>
      <c r="D2564" s="51">
        <f t="shared" si="590"/>
        <v>0</v>
      </c>
      <c r="E2564" s="51"/>
      <c r="F2564" s="51"/>
      <c r="G2564" s="51"/>
      <c r="H2564" s="51"/>
      <c r="I2564" s="51"/>
      <c r="J2564" s="51"/>
      <c r="K2564" s="51"/>
      <c r="L2564" s="51"/>
      <c r="M2564" s="35"/>
      <c r="N2564" s="364"/>
      <c r="O2564" s="82"/>
      <c r="P2564" s="364"/>
      <c r="Q2564" s="338"/>
      <c r="R2564" s="364"/>
      <c r="S2564" s="51"/>
      <c r="T2564" s="338"/>
      <c r="U2564" s="51"/>
      <c r="V2564" s="35"/>
      <c r="W2564" s="364">
        <f t="shared" si="592"/>
        <v>639356.88</v>
      </c>
      <c r="X2564" s="9"/>
      <c r="Y2564" s="9"/>
      <c r="Z2564" s="9"/>
      <c r="AA2564" s="9"/>
      <c r="AB2564" s="9"/>
      <c r="AC2564" s="9"/>
      <c r="AD2564" s="9"/>
      <c r="AE2564" s="9">
        <v>438197.66</v>
      </c>
      <c r="AF2564" s="40">
        <v>201159.22</v>
      </c>
      <c r="AG2564" s="56"/>
      <c r="AH2564" s="56"/>
      <c r="AI2564" s="56"/>
      <c r="AJ2564" s="56"/>
    </row>
    <row r="2565" spans="1:36" x14ac:dyDescent="0.3">
      <c r="A2565" s="47">
        <f t="shared" si="593"/>
        <v>2302</v>
      </c>
      <c r="B2565" s="414" t="s">
        <v>3248</v>
      </c>
      <c r="C2565" s="51">
        <f t="shared" si="588"/>
        <v>140491.1</v>
      </c>
      <c r="D2565" s="51">
        <f t="shared" si="590"/>
        <v>0</v>
      </c>
      <c r="E2565" s="51"/>
      <c r="F2565" s="51"/>
      <c r="G2565" s="51"/>
      <c r="H2565" s="51"/>
      <c r="I2565" s="51"/>
      <c r="J2565" s="51"/>
      <c r="K2565" s="51"/>
      <c r="L2565" s="51"/>
      <c r="M2565" s="35"/>
      <c r="N2565" s="51"/>
      <c r="O2565" s="82"/>
      <c r="P2565" s="364"/>
      <c r="Q2565" s="338"/>
      <c r="R2565" s="364"/>
      <c r="S2565" s="51"/>
      <c r="T2565" s="338"/>
      <c r="U2565" s="51"/>
      <c r="V2565" s="35"/>
      <c r="W2565" s="364">
        <f t="shared" si="592"/>
        <v>140491.1</v>
      </c>
      <c r="X2565" s="9"/>
      <c r="Y2565" s="9"/>
      <c r="Z2565" s="9"/>
      <c r="AA2565" s="9"/>
      <c r="AB2565" s="9"/>
      <c r="AC2565" s="9"/>
      <c r="AD2565" s="9"/>
      <c r="AE2565" s="9"/>
      <c r="AF2565" s="40">
        <v>140491.1</v>
      </c>
      <c r="AG2565" s="56"/>
      <c r="AH2565" s="56"/>
      <c r="AI2565" s="56"/>
      <c r="AJ2565" s="56"/>
    </row>
    <row r="2566" spans="1:36" x14ac:dyDescent="0.3">
      <c r="A2566" s="47">
        <f t="shared" si="593"/>
        <v>2303</v>
      </c>
      <c r="B2566" s="414" t="s">
        <v>3249</v>
      </c>
      <c r="C2566" s="51">
        <f t="shared" si="588"/>
        <v>140491.1</v>
      </c>
      <c r="D2566" s="51">
        <f t="shared" si="590"/>
        <v>0</v>
      </c>
      <c r="E2566" s="51"/>
      <c r="F2566" s="51"/>
      <c r="G2566" s="51"/>
      <c r="H2566" s="51"/>
      <c r="I2566" s="51"/>
      <c r="J2566" s="51"/>
      <c r="K2566" s="51"/>
      <c r="L2566" s="51"/>
      <c r="M2566" s="35"/>
      <c r="N2566" s="51"/>
      <c r="O2566" s="82"/>
      <c r="P2566" s="364"/>
      <c r="Q2566" s="338"/>
      <c r="R2566" s="364"/>
      <c r="S2566" s="51"/>
      <c r="T2566" s="338"/>
      <c r="U2566" s="51"/>
      <c r="V2566" s="35"/>
      <c r="W2566" s="364">
        <f t="shared" si="592"/>
        <v>140491.1</v>
      </c>
      <c r="X2566" s="9"/>
      <c r="Y2566" s="9"/>
      <c r="Z2566" s="9"/>
      <c r="AA2566" s="9"/>
      <c r="AB2566" s="9"/>
      <c r="AC2566" s="9"/>
      <c r="AD2566" s="9"/>
      <c r="AE2566" s="9"/>
      <c r="AF2566" s="40">
        <v>140491.1</v>
      </c>
      <c r="AG2566" s="56"/>
      <c r="AH2566" s="56"/>
      <c r="AI2566" s="56"/>
      <c r="AJ2566" s="56"/>
    </row>
    <row r="2567" spans="1:36" x14ac:dyDescent="0.3">
      <c r="A2567" s="47">
        <f t="shared" si="593"/>
        <v>2304</v>
      </c>
      <c r="B2567" s="414" t="s">
        <v>3250</v>
      </c>
      <c r="C2567" s="51">
        <f t="shared" si="588"/>
        <v>506789.33999999997</v>
      </c>
      <c r="D2567" s="51">
        <f t="shared" si="590"/>
        <v>0</v>
      </c>
      <c r="E2567" s="364"/>
      <c r="F2567" s="51"/>
      <c r="G2567" s="51"/>
      <c r="H2567" s="51"/>
      <c r="I2567" s="51"/>
      <c r="J2567" s="51"/>
      <c r="K2567" s="51"/>
      <c r="L2567" s="51"/>
      <c r="M2567" s="35"/>
      <c r="N2567" s="364"/>
      <c r="O2567" s="82"/>
      <c r="P2567" s="364"/>
      <c r="Q2567" s="338"/>
      <c r="R2567" s="364"/>
      <c r="S2567" s="51"/>
      <c r="T2567" s="338"/>
      <c r="U2567" s="51"/>
      <c r="V2567" s="35"/>
      <c r="W2567" s="364">
        <f t="shared" si="592"/>
        <v>506789.33999999997</v>
      </c>
      <c r="X2567" s="9"/>
      <c r="Y2567" s="9"/>
      <c r="Z2567" s="9"/>
      <c r="AA2567" s="9"/>
      <c r="AB2567" s="9"/>
      <c r="AC2567" s="9"/>
      <c r="AD2567" s="9"/>
      <c r="AE2567" s="9">
        <v>335085.18</v>
      </c>
      <c r="AF2567" s="40">
        <v>171704.16</v>
      </c>
      <c r="AG2567" s="56"/>
      <c r="AH2567" s="56"/>
      <c r="AI2567" s="56"/>
      <c r="AJ2567" s="56"/>
    </row>
    <row r="2568" spans="1:36" x14ac:dyDescent="0.3">
      <c r="A2568" s="47">
        <f t="shared" si="593"/>
        <v>2305</v>
      </c>
      <c r="B2568" s="414" t="s">
        <v>3251</v>
      </c>
      <c r="C2568" s="51">
        <f t="shared" si="588"/>
        <v>141164.03</v>
      </c>
      <c r="D2568" s="51">
        <f t="shared" si="590"/>
        <v>0</v>
      </c>
      <c r="E2568" s="51"/>
      <c r="F2568" s="51"/>
      <c r="G2568" s="51"/>
      <c r="H2568" s="51"/>
      <c r="I2568" s="51"/>
      <c r="J2568" s="51"/>
      <c r="K2568" s="51"/>
      <c r="L2568" s="51"/>
      <c r="M2568" s="35"/>
      <c r="N2568" s="364"/>
      <c r="O2568" s="82"/>
      <c r="P2568" s="364"/>
      <c r="Q2568" s="338"/>
      <c r="R2568" s="364"/>
      <c r="S2568" s="51"/>
      <c r="T2568" s="338"/>
      <c r="U2568" s="51"/>
      <c r="V2568" s="35"/>
      <c r="W2568" s="364">
        <f t="shared" si="592"/>
        <v>141164.03</v>
      </c>
      <c r="X2568" s="9"/>
      <c r="Y2568" s="9"/>
      <c r="Z2568" s="9"/>
      <c r="AA2568" s="9"/>
      <c r="AB2568" s="9"/>
      <c r="AC2568" s="9"/>
      <c r="AD2568" s="9"/>
      <c r="AE2568" s="9"/>
      <c r="AF2568" s="40">
        <v>141164.03</v>
      </c>
      <c r="AG2568" s="56"/>
      <c r="AH2568" s="56"/>
      <c r="AI2568" s="56"/>
      <c r="AJ2568" s="56"/>
    </row>
    <row r="2569" spans="1:36" x14ac:dyDescent="0.3">
      <c r="A2569" s="47">
        <f t="shared" si="593"/>
        <v>2306</v>
      </c>
      <c r="B2569" s="414" t="s">
        <v>3252</v>
      </c>
      <c r="C2569" s="51">
        <f t="shared" si="588"/>
        <v>415463.49</v>
      </c>
      <c r="D2569" s="51">
        <f t="shared" si="590"/>
        <v>0</v>
      </c>
      <c r="E2569" s="51"/>
      <c r="F2569" s="51"/>
      <c r="G2569" s="51"/>
      <c r="H2569" s="51"/>
      <c r="I2569" s="51"/>
      <c r="J2569" s="51"/>
      <c r="K2569" s="51"/>
      <c r="L2569" s="51"/>
      <c r="M2569" s="35"/>
      <c r="N2569" s="364"/>
      <c r="O2569" s="82"/>
      <c r="P2569" s="364"/>
      <c r="Q2569" s="338"/>
      <c r="R2569" s="364"/>
      <c r="S2569" s="51"/>
      <c r="T2569" s="338"/>
      <c r="U2569" s="51"/>
      <c r="V2569" s="35"/>
      <c r="W2569" s="364">
        <f t="shared" si="592"/>
        <v>415463.49</v>
      </c>
      <c r="X2569" s="9"/>
      <c r="Y2569" s="9"/>
      <c r="Z2569" s="9"/>
      <c r="AA2569" s="9"/>
      <c r="AB2569" s="9"/>
      <c r="AC2569" s="9"/>
      <c r="AD2569" s="9"/>
      <c r="AE2569" s="9">
        <v>274299.46000000002</v>
      </c>
      <c r="AF2569" s="40">
        <v>141164.03</v>
      </c>
      <c r="AG2569" s="56"/>
      <c r="AH2569" s="56"/>
      <c r="AI2569" s="56"/>
      <c r="AJ2569" s="56"/>
    </row>
    <row r="2570" spans="1:36" x14ac:dyDescent="0.3">
      <c r="A2570" s="47">
        <f t="shared" si="593"/>
        <v>2307</v>
      </c>
      <c r="B2570" s="414" t="s">
        <v>3253</v>
      </c>
      <c r="C2570" s="51">
        <f t="shared" si="588"/>
        <v>507511.69000000006</v>
      </c>
      <c r="D2570" s="51">
        <f t="shared" si="590"/>
        <v>0</v>
      </c>
      <c r="E2570" s="51"/>
      <c r="F2570" s="51"/>
      <c r="G2570" s="51"/>
      <c r="H2570" s="51"/>
      <c r="I2570" s="51"/>
      <c r="J2570" s="51"/>
      <c r="K2570" s="51"/>
      <c r="L2570" s="51"/>
      <c r="M2570" s="35"/>
      <c r="N2570" s="364"/>
      <c r="O2570" s="82"/>
      <c r="P2570" s="364"/>
      <c r="Q2570" s="338"/>
      <c r="R2570" s="364"/>
      <c r="S2570" s="51"/>
      <c r="T2570" s="338"/>
      <c r="U2570" s="51"/>
      <c r="V2570" s="35"/>
      <c r="W2570" s="364">
        <f t="shared" si="592"/>
        <v>507511.69000000006</v>
      </c>
      <c r="X2570" s="9"/>
      <c r="Y2570" s="9"/>
      <c r="Z2570" s="9"/>
      <c r="AA2570" s="9"/>
      <c r="AB2570" s="9"/>
      <c r="AC2570" s="9"/>
      <c r="AD2570" s="9"/>
      <c r="AE2570" s="9">
        <v>335565.96</v>
      </c>
      <c r="AF2570" s="40">
        <v>171945.73</v>
      </c>
      <c r="AG2570" s="56"/>
      <c r="AH2570" s="56"/>
      <c r="AI2570" s="56"/>
      <c r="AJ2570" s="56"/>
    </row>
    <row r="2571" spans="1:36" x14ac:dyDescent="0.3">
      <c r="A2571" s="47">
        <f t="shared" si="593"/>
        <v>2308</v>
      </c>
      <c r="B2571" s="414" t="s">
        <v>3254</v>
      </c>
      <c r="C2571" s="51">
        <f t="shared" si="588"/>
        <v>416830.8</v>
      </c>
      <c r="D2571" s="51">
        <f t="shared" si="590"/>
        <v>0</v>
      </c>
      <c r="E2571" s="51"/>
      <c r="F2571" s="51"/>
      <c r="G2571" s="51"/>
      <c r="H2571" s="51"/>
      <c r="I2571" s="51"/>
      <c r="J2571" s="51"/>
      <c r="K2571" s="51"/>
      <c r="L2571" s="51"/>
      <c r="M2571" s="35"/>
      <c r="N2571" s="364"/>
      <c r="O2571" s="82"/>
      <c r="P2571" s="364"/>
      <c r="Q2571" s="338"/>
      <c r="R2571" s="364"/>
      <c r="S2571" s="51"/>
      <c r="T2571" s="338"/>
      <c r="U2571" s="51"/>
      <c r="V2571" s="35"/>
      <c r="W2571" s="364">
        <f t="shared" si="592"/>
        <v>416830.8</v>
      </c>
      <c r="X2571" s="9"/>
      <c r="Y2571" s="9"/>
      <c r="Z2571" s="9"/>
      <c r="AA2571" s="9"/>
      <c r="AB2571" s="9"/>
      <c r="AC2571" s="9"/>
      <c r="AD2571" s="9"/>
      <c r="AE2571" s="9">
        <v>275209.53999999998</v>
      </c>
      <c r="AF2571" s="40">
        <v>141621.26</v>
      </c>
      <c r="AG2571" s="56"/>
      <c r="AH2571" s="56"/>
      <c r="AI2571" s="56"/>
      <c r="AJ2571" s="56"/>
    </row>
    <row r="2572" spans="1:36" x14ac:dyDescent="0.3">
      <c r="A2572" s="47">
        <f t="shared" si="593"/>
        <v>2309</v>
      </c>
      <c r="B2572" s="414" t="s">
        <v>3255</v>
      </c>
      <c r="C2572" s="51">
        <f t="shared" si="588"/>
        <v>404636.17</v>
      </c>
      <c r="D2572" s="51">
        <f t="shared" si="590"/>
        <v>0</v>
      </c>
      <c r="E2572" s="364"/>
      <c r="F2572" s="51"/>
      <c r="G2572" s="51"/>
      <c r="H2572" s="51"/>
      <c r="I2572" s="51"/>
      <c r="J2572" s="51"/>
      <c r="K2572" s="51"/>
      <c r="L2572" s="51"/>
      <c r="M2572" s="35"/>
      <c r="N2572" s="51"/>
      <c r="O2572" s="82"/>
      <c r="P2572" s="51"/>
      <c r="Q2572" s="338"/>
      <c r="R2572" s="51"/>
      <c r="S2572" s="51"/>
      <c r="T2572" s="338"/>
      <c r="U2572" s="51"/>
      <c r="V2572" s="35"/>
      <c r="W2572" s="364">
        <f t="shared" si="592"/>
        <v>404636.17</v>
      </c>
      <c r="X2572" s="9"/>
      <c r="Y2572" s="9">
        <v>404636.17</v>
      </c>
      <c r="Z2572" s="9"/>
      <c r="AA2572" s="9"/>
      <c r="AB2572" s="9"/>
      <c r="AC2572" s="9"/>
      <c r="AD2572" s="9"/>
      <c r="AE2572" s="9"/>
      <c r="AF2572" s="40"/>
      <c r="AG2572" s="56"/>
      <c r="AH2572" s="56"/>
      <c r="AI2572" s="56"/>
      <c r="AJ2572" s="56"/>
    </row>
    <row r="2573" spans="1:36" x14ac:dyDescent="0.3">
      <c r="A2573" s="47">
        <f t="shared" si="593"/>
        <v>2310</v>
      </c>
      <c r="B2573" s="414" t="s">
        <v>3256</v>
      </c>
      <c r="C2573" s="51">
        <f t="shared" si="588"/>
        <v>555543.46</v>
      </c>
      <c r="D2573" s="51">
        <f t="shared" si="590"/>
        <v>0</v>
      </c>
      <c r="E2573" s="364"/>
      <c r="F2573" s="51"/>
      <c r="G2573" s="51"/>
      <c r="H2573" s="51"/>
      <c r="I2573" s="51"/>
      <c r="J2573" s="51"/>
      <c r="K2573" s="51"/>
      <c r="L2573" s="51"/>
      <c r="M2573" s="35"/>
      <c r="N2573" s="51"/>
      <c r="O2573" s="82"/>
      <c r="P2573" s="364"/>
      <c r="Q2573" s="338"/>
      <c r="R2573" s="364"/>
      <c r="S2573" s="51"/>
      <c r="T2573" s="338"/>
      <c r="U2573" s="51"/>
      <c r="V2573" s="35"/>
      <c r="W2573" s="364">
        <f t="shared" si="592"/>
        <v>555543.46</v>
      </c>
      <c r="X2573" s="9"/>
      <c r="Y2573" s="9">
        <v>142582.39000000001</v>
      </c>
      <c r="Z2573" s="9"/>
      <c r="AA2573" s="9"/>
      <c r="AB2573" s="9"/>
      <c r="AC2573" s="9"/>
      <c r="AD2573" s="9"/>
      <c r="AE2573" s="9">
        <v>272633.87</v>
      </c>
      <c r="AF2573" s="40">
        <v>140327.20000000001</v>
      </c>
      <c r="AG2573" s="302"/>
      <c r="AH2573" s="56"/>
      <c r="AI2573" s="56"/>
      <c r="AJ2573" s="56"/>
    </row>
    <row r="2574" spans="1:36" x14ac:dyDescent="0.3">
      <c r="A2574" s="47">
        <f t="shared" si="593"/>
        <v>2311</v>
      </c>
      <c r="B2574" s="414" t="s">
        <v>3257</v>
      </c>
      <c r="C2574" s="51">
        <f t="shared" si="588"/>
        <v>130000</v>
      </c>
      <c r="D2574" s="51">
        <f t="shared" si="590"/>
        <v>0</v>
      </c>
      <c r="E2574" s="364"/>
      <c r="F2574" s="51"/>
      <c r="G2574" s="51"/>
      <c r="H2574" s="51"/>
      <c r="I2574" s="51"/>
      <c r="J2574" s="51"/>
      <c r="K2574" s="51"/>
      <c r="L2574" s="51"/>
      <c r="M2574" s="35"/>
      <c r="N2574" s="51"/>
      <c r="O2574" s="82"/>
      <c r="P2574" s="364"/>
      <c r="Q2574" s="338"/>
      <c r="R2574" s="364"/>
      <c r="S2574" s="51"/>
      <c r="T2574" s="338"/>
      <c r="U2574" s="51"/>
      <c r="V2574" s="35"/>
      <c r="W2574" s="364">
        <v>130000</v>
      </c>
      <c r="X2574" s="9"/>
      <c r="Y2574" s="9"/>
      <c r="Z2574" s="9"/>
      <c r="AA2574" s="9"/>
      <c r="AB2574" s="9"/>
      <c r="AC2574" s="9"/>
      <c r="AD2574" s="9"/>
      <c r="AE2574" s="9"/>
      <c r="AF2574" s="40"/>
      <c r="AG2574" s="56"/>
      <c r="AH2574" s="56"/>
      <c r="AI2574" s="56"/>
      <c r="AJ2574" s="56"/>
    </row>
    <row r="2575" spans="1:36" x14ac:dyDescent="0.3">
      <c r="A2575" s="47">
        <f t="shared" si="593"/>
        <v>2312</v>
      </c>
      <c r="B2575" s="414" t="s">
        <v>3258</v>
      </c>
      <c r="C2575" s="51">
        <f t="shared" si="588"/>
        <v>6603032.8799999999</v>
      </c>
      <c r="D2575" s="51">
        <f t="shared" si="590"/>
        <v>0</v>
      </c>
      <c r="E2575" s="364"/>
      <c r="F2575" s="51"/>
      <c r="G2575" s="51"/>
      <c r="H2575" s="51"/>
      <c r="I2575" s="51"/>
      <c r="J2575" s="51"/>
      <c r="K2575" s="51"/>
      <c r="L2575" s="51"/>
      <c r="M2575" s="35"/>
      <c r="N2575" s="51">
        <f>992*6243</f>
        <v>6193056</v>
      </c>
      <c r="O2575" s="82"/>
      <c r="P2575" s="364"/>
      <c r="Q2575" s="338"/>
      <c r="R2575" s="364"/>
      <c r="S2575" s="51"/>
      <c r="T2575" s="338"/>
      <c r="U2575" s="51"/>
      <c r="V2575" s="35"/>
      <c r="W2575" s="364">
        <f t="shared" ref="W2575:W2591" si="594">SUM(Y2575:AK2575)</f>
        <v>409976.88</v>
      </c>
      <c r="X2575" s="9"/>
      <c r="Y2575" s="9">
        <v>213064.16</v>
      </c>
      <c r="Z2575" s="9"/>
      <c r="AA2575" s="9"/>
      <c r="AB2575" s="9"/>
      <c r="AC2575" s="9"/>
      <c r="AD2575" s="9"/>
      <c r="AE2575" s="9"/>
      <c r="AF2575" s="40">
        <v>196912.72</v>
      </c>
      <c r="AG2575" s="56"/>
      <c r="AH2575" s="56"/>
      <c r="AI2575" s="56"/>
      <c r="AJ2575" s="56"/>
    </row>
    <row r="2576" spans="1:36" x14ac:dyDescent="0.3">
      <c r="A2576" s="47">
        <f t="shared" si="593"/>
        <v>2313</v>
      </c>
      <c r="B2576" s="414" t="s">
        <v>3259</v>
      </c>
      <c r="C2576" s="51">
        <f t="shared" si="588"/>
        <v>6915182.8799999999</v>
      </c>
      <c r="D2576" s="51">
        <f t="shared" si="590"/>
        <v>0</v>
      </c>
      <c r="E2576" s="364"/>
      <c r="F2576" s="51"/>
      <c r="G2576" s="51"/>
      <c r="H2576" s="51"/>
      <c r="I2576" s="51"/>
      <c r="J2576" s="51"/>
      <c r="K2576" s="51"/>
      <c r="L2576" s="51"/>
      <c r="M2576" s="35"/>
      <c r="N2576" s="51">
        <f>1042*6243</f>
        <v>6505206</v>
      </c>
      <c r="O2576" s="82"/>
      <c r="P2576" s="364"/>
      <c r="Q2576" s="338"/>
      <c r="R2576" s="364"/>
      <c r="S2576" s="51"/>
      <c r="T2576" s="338"/>
      <c r="U2576" s="51"/>
      <c r="V2576" s="35"/>
      <c r="W2576" s="364">
        <f t="shared" si="594"/>
        <v>409976.88</v>
      </c>
      <c r="X2576" s="9"/>
      <c r="Y2576" s="9">
        <v>213064.16</v>
      </c>
      <c r="Z2576" s="9"/>
      <c r="AA2576" s="9"/>
      <c r="AB2576" s="9"/>
      <c r="AC2576" s="9"/>
      <c r="AD2576" s="9"/>
      <c r="AE2576" s="9"/>
      <c r="AF2576" s="40">
        <v>196912.72</v>
      </c>
      <c r="AG2576" s="56"/>
      <c r="AH2576" s="56"/>
      <c r="AI2576" s="56"/>
      <c r="AJ2576" s="56"/>
    </row>
    <row r="2577" spans="1:36" x14ac:dyDescent="0.3">
      <c r="A2577" s="47">
        <f t="shared" si="593"/>
        <v>2314</v>
      </c>
      <c r="B2577" s="414" t="s">
        <v>3260</v>
      </c>
      <c r="C2577" s="51">
        <f t="shared" si="588"/>
        <v>349862.57999999996</v>
      </c>
      <c r="D2577" s="51">
        <f t="shared" si="590"/>
        <v>0</v>
      </c>
      <c r="E2577" s="364"/>
      <c r="F2577" s="51"/>
      <c r="G2577" s="51"/>
      <c r="H2577" s="51"/>
      <c r="I2577" s="51"/>
      <c r="J2577" s="51"/>
      <c r="K2577" s="51"/>
      <c r="L2577" s="51"/>
      <c r="M2577" s="35"/>
      <c r="N2577" s="51"/>
      <c r="O2577" s="82"/>
      <c r="P2577" s="364"/>
      <c r="Q2577" s="338"/>
      <c r="R2577" s="364"/>
      <c r="S2577" s="51"/>
      <c r="T2577" s="338"/>
      <c r="U2577" s="51"/>
      <c r="V2577" s="35"/>
      <c r="W2577" s="364">
        <f t="shared" si="594"/>
        <v>349862.57999999996</v>
      </c>
      <c r="X2577" s="9"/>
      <c r="Y2577" s="9">
        <v>179719.93</v>
      </c>
      <c r="Z2577" s="9"/>
      <c r="AA2577" s="9"/>
      <c r="AB2577" s="9"/>
      <c r="AC2577" s="9"/>
      <c r="AD2577" s="9"/>
      <c r="AE2577" s="9"/>
      <c r="AF2577" s="40">
        <v>170142.65</v>
      </c>
      <c r="AG2577" s="56"/>
      <c r="AH2577" s="56"/>
      <c r="AI2577" s="56"/>
      <c r="AJ2577" s="56"/>
    </row>
    <row r="2578" spans="1:36" x14ac:dyDescent="0.3">
      <c r="A2578" s="47">
        <f t="shared" si="593"/>
        <v>2315</v>
      </c>
      <c r="B2578" s="414" t="s">
        <v>3261</v>
      </c>
      <c r="C2578" s="51">
        <f t="shared" si="588"/>
        <v>215414.95</v>
      </c>
      <c r="D2578" s="51">
        <f t="shared" si="590"/>
        <v>0</v>
      </c>
      <c r="E2578" s="51"/>
      <c r="F2578" s="51"/>
      <c r="G2578" s="51"/>
      <c r="H2578" s="51"/>
      <c r="I2578" s="51"/>
      <c r="J2578" s="51"/>
      <c r="K2578" s="51"/>
      <c r="L2578" s="51"/>
      <c r="M2578" s="35"/>
      <c r="N2578" s="51"/>
      <c r="O2578" s="82"/>
      <c r="P2578" s="364"/>
      <c r="Q2578" s="338"/>
      <c r="R2578" s="364"/>
      <c r="S2578" s="51"/>
      <c r="T2578" s="338"/>
      <c r="U2578" s="51"/>
      <c r="V2578" s="35"/>
      <c r="W2578" s="364">
        <f t="shared" si="594"/>
        <v>215414.95</v>
      </c>
      <c r="X2578" s="9"/>
      <c r="Y2578" s="9"/>
      <c r="Z2578" s="9"/>
      <c r="AA2578" s="9"/>
      <c r="AB2578" s="9"/>
      <c r="AC2578" s="9"/>
      <c r="AD2578" s="9"/>
      <c r="AE2578" s="9"/>
      <c r="AF2578" s="40">
        <v>215414.95</v>
      </c>
      <c r="AG2578" s="56"/>
      <c r="AH2578" s="56"/>
      <c r="AI2578" s="56"/>
      <c r="AJ2578" s="56"/>
    </row>
    <row r="2579" spans="1:36" x14ac:dyDescent="0.3">
      <c r="A2579" s="47">
        <f t="shared" si="593"/>
        <v>2316</v>
      </c>
      <c r="B2579" s="414" t="s">
        <v>3262</v>
      </c>
      <c r="C2579" s="51">
        <f t="shared" si="588"/>
        <v>157176.64000000001</v>
      </c>
      <c r="D2579" s="51">
        <f t="shared" si="590"/>
        <v>0</v>
      </c>
      <c r="E2579" s="51"/>
      <c r="F2579" s="51"/>
      <c r="G2579" s="51"/>
      <c r="H2579" s="51"/>
      <c r="I2579" s="51"/>
      <c r="J2579" s="51"/>
      <c r="K2579" s="51"/>
      <c r="L2579" s="51"/>
      <c r="M2579" s="35"/>
      <c r="N2579" s="51"/>
      <c r="O2579" s="82"/>
      <c r="P2579" s="364"/>
      <c r="Q2579" s="338"/>
      <c r="R2579" s="364"/>
      <c r="S2579" s="51"/>
      <c r="T2579" s="338"/>
      <c r="U2579" s="51"/>
      <c r="V2579" s="35"/>
      <c r="W2579" s="364">
        <f t="shared" si="594"/>
        <v>157176.64000000001</v>
      </c>
      <c r="X2579" s="9"/>
      <c r="Y2579" s="9"/>
      <c r="Z2579" s="9"/>
      <c r="AA2579" s="9"/>
      <c r="AB2579" s="9"/>
      <c r="AC2579" s="9"/>
      <c r="AD2579" s="9"/>
      <c r="AE2579" s="9"/>
      <c r="AF2579" s="40">
        <v>157176.64000000001</v>
      </c>
      <c r="AG2579" s="56"/>
      <c r="AH2579" s="56"/>
      <c r="AI2579" s="56"/>
      <c r="AJ2579" s="56"/>
    </row>
    <row r="2580" spans="1:36" x14ac:dyDescent="0.3">
      <c r="A2580" s="47">
        <f t="shared" si="593"/>
        <v>2317</v>
      </c>
      <c r="B2580" s="414" t="s">
        <v>3263</v>
      </c>
      <c r="C2580" s="51">
        <f t="shared" si="588"/>
        <v>187330.75</v>
      </c>
      <c r="D2580" s="51">
        <f t="shared" si="590"/>
        <v>0</v>
      </c>
      <c r="E2580" s="51"/>
      <c r="F2580" s="51"/>
      <c r="G2580" s="51"/>
      <c r="H2580" s="51"/>
      <c r="I2580" s="51"/>
      <c r="J2580" s="51"/>
      <c r="K2580" s="51"/>
      <c r="L2580" s="51"/>
      <c r="M2580" s="35"/>
      <c r="N2580" s="51"/>
      <c r="O2580" s="82"/>
      <c r="P2580" s="364"/>
      <c r="Q2580" s="338"/>
      <c r="R2580" s="364"/>
      <c r="S2580" s="51"/>
      <c r="T2580" s="338"/>
      <c r="U2580" s="51"/>
      <c r="V2580" s="35"/>
      <c r="W2580" s="364">
        <f t="shared" si="594"/>
        <v>187330.75</v>
      </c>
      <c r="X2580" s="9"/>
      <c r="Y2580" s="9"/>
      <c r="Z2580" s="9"/>
      <c r="AA2580" s="9"/>
      <c r="AB2580" s="9"/>
      <c r="AC2580" s="9"/>
      <c r="AD2580" s="9"/>
      <c r="AE2580" s="9"/>
      <c r="AF2580" s="40">
        <v>187330.75</v>
      </c>
      <c r="AG2580" s="56"/>
      <c r="AH2580" s="56"/>
      <c r="AI2580" s="56"/>
      <c r="AJ2580" s="56"/>
    </row>
    <row r="2581" spans="1:36" x14ac:dyDescent="0.3">
      <c r="A2581" s="47">
        <f t="shared" si="593"/>
        <v>2318</v>
      </c>
      <c r="B2581" s="414" t="s">
        <v>3264</v>
      </c>
      <c r="C2581" s="51">
        <f t="shared" si="588"/>
        <v>1218720.26</v>
      </c>
      <c r="D2581" s="51">
        <f t="shared" si="590"/>
        <v>0</v>
      </c>
      <c r="E2581" s="364"/>
      <c r="F2581" s="51"/>
      <c r="G2581" s="51"/>
      <c r="H2581" s="51"/>
      <c r="I2581" s="51"/>
      <c r="J2581" s="51"/>
      <c r="K2581" s="51"/>
      <c r="L2581" s="51"/>
      <c r="M2581" s="35"/>
      <c r="N2581" s="51"/>
      <c r="O2581" s="82"/>
      <c r="P2581" s="364"/>
      <c r="Q2581" s="338"/>
      <c r="R2581" s="364"/>
      <c r="S2581" s="51"/>
      <c r="T2581" s="338"/>
      <c r="U2581" s="51"/>
      <c r="V2581" s="35"/>
      <c r="W2581" s="364">
        <f t="shared" si="594"/>
        <v>1218720.26</v>
      </c>
      <c r="X2581" s="9"/>
      <c r="Y2581" s="9">
        <v>212440.93</v>
      </c>
      <c r="Z2581" s="9"/>
      <c r="AA2581" s="9"/>
      <c r="AB2581" s="9"/>
      <c r="AC2581" s="9"/>
      <c r="AD2581" s="9"/>
      <c r="AE2581" s="9"/>
      <c r="AF2581" s="40">
        <v>196412.35</v>
      </c>
      <c r="AG2581" s="56">
        <v>809866.98</v>
      </c>
      <c r="AH2581" s="56"/>
      <c r="AI2581" s="56"/>
      <c r="AJ2581" s="56"/>
    </row>
    <row r="2582" spans="1:36" x14ac:dyDescent="0.3">
      <c r="A2582" s="47">
        <f t="shared" si="593"/>
        <v>2319</v>
      </c>
      <c r="B2582" s="414" t="s">
        <v>3265</v>
      </c>
      <c r="C2582" s="51">
        <f t="shared" si="588"/>
        <v>212440.93</v>
      </c>
      <c r="D2582" s="51">
        <f t="shared" si="590"/>
        <v>0</v>
      </c>
      <c r="E2582" s="364"/>
      <c r="F2582" s="51"/>
      <c r="G2582" s="51"/>
      <c r="H2582" s="51"/>
      <c r="I2582" s="51"/>
      <c r="J2582" s="51"/>
      <c r="K2582" s="51"/>
      <c r="L2582" s="51"/>
      <c r="M2582" s="35"/>
      <c r="N2582" s="51"/>
      <c r="O2582" s="82"/>
      <c r="P2582" s="51"/>
      <c r="Q2582" s="338"/>
      <c r="R2582" s="51"/>
      <c r="S2582" s="51"/>
      <c r="T2582" s="338"/>
      <c r="U2582" s="51"/>
      <c r="V2582" s="35"/>
      <c r="W2582" s="364">
        <f t="shared" si="594"/>
        <v>212440.93</v>
      </c>
      <c r="X2582" s="9"/>
      <c r="Y2582" s="9">
        <v>212440.93</v>
      </c>
      <c r="Z2582" s="9"/>
      <c r="AA2582" s="9"/>
      <c r="AB2582" s="9"/>
      <c r="AC2582" s="9"/>
      <c r="AD2582" s="9"/>
      <c r="AE2582" s="9"/>
      <c r="AF2582" s="40"/>
      <c r="AG2582" s="56"/>
      <c r="AH2582" s="56"/>
      <c r="AI2582" s="56"/>
      <c r="AJ2582" s="56"/>
    </row>
    <row r="2583" spans="1:36" x14ac:dyDescent="0.3">
      <c r="A2583" s="47">
        <f t="shared" si="593"/>
        <v>2320</v>
      </c>
      <c r="B2583" s="414" t="s">
        <v>3266</v>
      </c>
      <c r="C2583" s="51">
        <f t="shared" si="588"/>
        <v>213440.27</v>
      </c>
      <c r="D2583" s="51">
        <f t="shared" si="590"/>
        <v>0</v>
      </c>
      <c r="E2583" s="364"/>
      <c r="F2583" s="51"/>
      <c r="G2583" s="51"/>
      <c r="H2583" s="51"/>
      <c r="I2583" s="51"/>
      <c r="J2583" s="51"/>
      <c r="K2583" s="51"/>
      <c r="L2583" s="51"/>
      <c r="M2583" s="35"/>
      <c r="N2583" s="51"/>
      <c r="O2583" s="82"/>
      <c r="P2583" s="51"/>
      <c r="Q2583" s="338"/>
      <c r="R2583" s="51"/>
      <c r="S2583" s="51"/>
      <c r="T2583" s="338"/>
      <c r="U2583" s="51"/>
      <c r="V2583" s="35"/>
      <c r="W2583" s="364">
        <f t="shared" si="594"/>
        <v>213440.27</v>
      </c>
      <c r="X2583" s="9"/>
      <c r="Y2583" s="9">
        <v>213440.27</v>
      </c>
      <c r="Z2583" s="9"/>
      <c r="AA2583" s="9"/>
      <c r="AB2583" s="9"/>
      <c r="AC2583" s="9"/>
      <c r="AD2583" s="9"/>
      <c r="AE2583" s="9"/>
      <c r="AF2583" s="40"/>
      <c r="AG2583" s="56"/>
      <c r="AH2583" s="56"/>
      <c r="AI2583" s="56"/>
      <c r="AJ2583" s="56"/>
    </row>
    <row r="2584" spans="1:36" x14ac:dyDescent="0.3">
      <c r="A2584" s="47">
        <f t="shared" si="593"/>
        <v>2321</v>
      </c>
      <c r="B2584" s="414" t="s">
        <v>3267</v>
      </c>
      <c r="C2584" s="51">
        <f t="shared" si="588"/>
        <v>155825.68</v>
      </c>
      <c r="D2584" s="51">
        <f t="shared" si="590"/>
        <v>0</v>
      </c>
      <c r="E2584" s="51"/>
      <c r="F2584" s="51"/>
      <c r="G2584" s="51"/>
      <c r="H2584" s="51"/>
      <c r="I2584" s="51"/>
      <c r="J2584" s="51"/>
      <c r="K2584" s="51"/>
      <c r="L2584" s="51"/>
      <c r="M2584" s="35"/>
      <c r="N2584" s="51"/>
      <c r="O2584" s="82"/>
      <c r="P2584" s="364"/>
      <c r="Q2584" s="338"/>
      <c r="R2584" s="364"/>
      <c r="S2584" s="51"/>
      <c r="T2584" s="338"/>
      <c r="U2584" s="51"/>
      <c r="V2584" s="35"/>
      <c r="W2584" s="364">
        <f t="shared" si="594"/>
        <v>155825.68</v>
      </c>
      <c r="X2584" s="9"/>
      <c r="Y2584" s="9"/>
      <c r="Z2584" s="9"/>
      <c r="AA2584" s="9"/>
      <c r="AB2584" s="9"/>
      <c r="AC2584" s="9"/>
      <c r="AD2584" s="9"/>
      <c r="AE2584" s="9"/>
      <c r="AF2584" s="40">
        <v>155825.68</v>
      </c>
      <c r="AG2584" s="56"/>
      <c r="AH2584" s="56"/>
      <c r="AI2584" s="56"/>
      <c r="AJ2584" s="56"/>
    </row>
    <row r="2585" spans="1:36" x14ac:dyDescent="0.3">
      <c r="A2585" s="47">
        <f t="shared" si="593"/>
        <v>2322</v>
      </c>
      <c r="B2585" s="414" t="s">
        <v>3268</v>
      </c>
      <c r="C2585" s="51">
        <f t="shared" si="588"/>
        <v>123743.54</v>
      </c>
      <c r="D2585" s="51">
        <f t="shared" si="590"/>
        <v>0</v>
      </c>
      <c r="E2585" s="51"/>
      <c r="F2585" s="51"/>
      <c r="G2585" s="51"/>
      <c r="H2585" s="51"/>
      <c r="I2585" s="51"/>
      <c r="J2585" s="51"/>
      <c r="K2585" s="51"/>
      <c r="L2585" s="51"/>
      <c r="M2585" s="35"/>
      <c r="N2585" s="51"/>
      <c r="O2585" s="82"/>
      <c r="P2585" s="364"/>
      <c r="Q2585" s="338"/>
      <c r="R2585" s="364"/>
      <c r="S2585" s="51"/>
      <c r="T2585" s="338"/>
      <c r="U2585" s="51"/>
      <c r="V2585" s="35"/>
      <c r="W2585" s="364">
        <f t="shared" si="594"/>
        <v>123743.54</v>
      </c>
      <c r="X2585" s="9"/>
      <c r="Y2585" s="9"/>
      <c r="Z2585" s="9"/>
      <c r="AA2585" s="9"/>
      <c r="AB2585" s="9"/>
      <c r="AC2585" s="9"/>
      <c r="AD2585" s="9"/>
      <c r="AE2585" s="9"/>
      <c r="AF2585" s="40">
        <v>123743.54</v>
      </c>
      <c r="AG2585" s="56"/>
      <c r="AH2585" s="56"/>
      <c r="AI2585" s="56"/>
      <c r="AJ2585" s="56"/>
    </row>
    <row r="2586" spans="1:36" x14ac:dyDescent="0.3">
      <c r="A2586" s="47">
        <f t="shared" si="593"/>
        <v>2323</v>
      </c>
      <c r="B2586" s="414" t="s">
        <v>3269</v>
      </c>
      <c r="C2586" s="51">
        <f t="shared" si="588"/>
        <v>682656.11</v>
      </c>
      <c r="D2586" s="51">
        <f t="shared" si="590"/>
        <v>0</v>
      </c>
      <c r="E2586" s="51"/>
      <c r="F2586" s="51"/>
      <c r="G2586" s="51"/>
      <c r="H2586" s="51"/>
      <c r="I2586" s="51"/>
      <c r="J2586" s="51"/>
      <c r="K2586" s="51"/>
      <c r="L2586" s="51"/>
      <c r="M2586" s="35"/>
      <c r="N2586" s="364"/>
      <c r="O2586" s="82"/>
      <c r="P2586" s="364"/>
      <c r="Q2586" s="338"/>
      <c r="R2586" s="364"/>
      <c r="S2586" s="51"/>
      <c r="T2586" s="338"/>
      <c r="U2586" s="51"/>
      <c r="V2586" s="35"/>
      <c r="W2586" s="364">
        <f t="shared" si="594"/>
        <v>682656.11</v>
      </c>
      <c r="X2586" s="9"/>
      <c r="Y2586" s="9"/>
      <c r="Z2586" s="9"/>
      <c r="AA2586" s="9"/>
      <c r="AB2586" s="9"/>
      <c r="AC2586" s="9"/>
      <c r="AD2586" s="9"/>
      <c r="AE2586" s="9">
        <v>452140.61</v>
      </c>
      <c r="AF2586" s="40">
        <v>230515.5</v>
      </c>
      <c r="AG2586" s="56"/>
      <c r="AH2586" s="56"/>
      <c r="AI2586" s="56"/>
      <c r="AJ2586" s="56"/>
    </row>
    <row r="2587" spans="1:36" x14ac:dyDescent="0.3">
      <c r="A2587" s="47">
        <f t="shared" si="593"/>
        <v>2324</v>
      </c>
      <c r="B2587" s="414" t="s">
        <v>3270</v>
      </c>
      <c r="C2587" s="51">
        <f t="shared" si="588"/>
        <v>79675.03</v>
      </c>
      <c r="D2587" s="51">
        <f t="shared" si="590"/>
        <v>0</v>
      </c>
      <c r="E2587" s="51"/>
      <c r="F2587" s="51"/>
      <c r="G2587" s="51"/>
      <c r="H2587" s="51"/>
      <c r="I2587" s="51"/>
      <c r="J2587" s="51"/>
      <c r="K2587" s="51"/>
      <c r="L2587" s="51"/>
      <c r="M2587" s="35"/>
      <c r="N2587" s="51"/>
      <c r="O2587" s="82"/>
      <c r="P2587" s="364"/>
      <c r="Q2587" s="338"/>
      <c r="R2587" s="364"/>
      <c r="S2587" s="51"/>
      <c r="T2587" s="338"/>
      <c r="U2587" s="51"/>
      <c r="V2587" s="35"/>
      <c r="W2587" s="364">
        <f t="shared" si="594"/>
        <v>79675.03</v>
      </c>
      <c r="X2587" s="9"/>
      <c r="Y2587" s="9"/>
      <c r="Z2587" s="9"/>
      <c r="AA2587" s="9"/>
      <c r="AB2587" s="9"/>
      <c r="AC2587" s="9"/>
      <c r="AD2587" s="9"/>
      <c r="AE2587" s="9"/>
      <c r="AF2587" s="40">
        <v>79675.03</v>
      </c>
      <c r="AG2587" s="56"/>
      <c r="AH2587" s="56"/>
      <c r="AI2587" s="56"/>
      <c r="AJ2587" s="56"/>
    </row>
    <row r="2588" spans="1:36" x14ac:dyDescent="0.3">
      <c r="A2588" s="47">
        <f t="shared" si="593"/>
        <v>2325</v>
      </c>
      <c r="B2588" s="414" t="s">
        <v>3271</v>
      </c>
      <c r="C2588" s="51">
        <f t="shared" si="588"/>
        <v>193444.61</v>
      </c>
      <c r="D2588" s="51">
        <f t="shared" si="590"/>
        <v>0</v>
      </c>
      <c r="E2588" s="51"/>
      <c r="F2588" s="51"/>
      <c r="G2588" s="51"/>
      <c r="H2588" s="51"/>
      <c r="I2588" s="51"/>
      <c r="J2588" s="51"/>
      <c r="K2588" s="51"/>
      <c r="L2588" s="51"/>
      <c r="M2588" s="35"/>
      <c r="N2588" s="51"/>
      <c r="O2588" s="82"/>
      <c r="P2588" s="364"/>
      <c r="Q2588" s="338"/>
      <c r="R2588" s="364"/>
      <c r="S2588" s="51"/>
      <c r="T2588" s="338"/>
      <c r="U2588" s="51"/>
      <c r="V2588" s="35"/>
      <c r="W2588" s="364">
        <f t="shared" si="594"/>
        <v>193444.61</v>
      </c>
      <c r="X2588" s="9"/>
      <c r="Y2588" s="9"/>
      <c r="Z2588" s="9"/>
      <c r="AA2588" s="9"/>
      <c r="AB2588" s="9"/>
      <c r="AC2588" s="9"/>
      <c r="AD2588" s="9"/>
      <c r="AE2588" s="9"/>
      <c r="AF2588" s="40">
        <v>193444.61</v>
      </c>
      <c r="AG2588" s="56"/>
      <c r="AH2588" s="56"/>
      <c r="AI2588" s="56"/>
      <c r="AJ2588" s="56"/>
    </row>
    <row r="2589" spans="1:36" x14ac:dyDescent="0.3">
      <c r="A2589" s="47">
        <f t="shared" si="593"/>
        <v>2326</v>
      </c>
      <c r="B2589" s="414" t="s">
        <v>3272</v>
      </c>
      <c r="C2589" s="51">
        <f t="shared" si="588"/>
        <v>423229.87</v>
      </c>
      <c r="D2589" s="51">
        <f t="shared" si="590"/>
        <v>0</v>
      </c>
      <c r="E2589" s="51"/>
      <c r="F2589" s="51"/>
      <c r="G2589" s="51"/>
      <c r="H2589" s="51"/>
      <c r="I2589" s="51"/>
      <c r="J2589" s="51"/>
      <c r="K2589" s="51"/>
      <c r="L2589" s="51"/>
      <c r="M2589" s="35"/>
      <c r="N2589" s="364"/>
      <c r="O2589" s="82"/>
      <c r="P2589" s="364"/>
      <c r="Q2589" s="338"/>
      <c r="R2589" s="364"/>
      <c r="S2589" s="51"/>
      <c r="T2589" s="338"/>
      <c r="U2589" s="51"/>
      <c r="V2589" s="35"/>
      <c r="W2589" s="364">
        <f t="shared" si="594"/>
        <v>423229.87</v>
      </c>
      <c r="X2589" s="9"/>
      <c r="Y2589" s="9"/>
      <c r="Z2589" s="9"/>
      <c r="AA2589" s="9"/>
      <c r="AB2589" s="9"/>
      <c r="AC2589" s="9"/>
      <c r="AD2589" s="9"/>
      <c r="AE2589" s="9">
        <v>317628.28999999998</v>
      </c>
      <c r="AF2589" s="40">
        <v>105601.58</v>
      </c>
      <c r="AG2589" s="56"/>
      <c r="AH2589" s="56"/>
      <c r="AI2589" s="56"/>
      <c r="AJ2589" s="56"/>
    </row>
    <row r="2590" spans="1:36" x14ac:dyDescent="0.3">
      <c r="A2590" s="47">
        <f t="shared" si="593"/>
        <v>2327</v>
      </c>
      <c r="B2590" s="414" t="s">
        <v>3273</v>
      </c>
      <c r="C2590" s="51">
        <f t="shared" si="588"/>
        <v>160610.79999999999</v>
      </c>
      <c r="D2590" s="51">
        <f t="shared" si="590"/>
        <v>0</v>
      </c>
      <c r="E2590" s="364"/>
      <c r="F2590" s="51"/>
      <c r="G2590" s="51"/>
      <c r="H2590" s="51"/>
      <c r="I2590" s="51"/>
      <c r="J2590" s="51"/>
      <c r="K2590" s="51"/>
      <c r="L2590" s="51"/>
      <c r="M2590" s="35"/>
      <c r="N2590" s="51"/>
      <c r="O2590" s="82"/>
      <c r="P2590" s="51"/>
      <c r="Q2590" s="338"/>
      <c r="R2590" s="51"/>
      <c r="S2590" s="51"/>
      <c r="T2590" s="338"/>
      <c r="U2590" s="51"/>
      <c r="V2590" s="35"/>
      <c r="W2590" s="364">
        <f t="shared" si="594"/>
        <v>160610.79999999999</v>
      </c>
      <c r="X2590" s="9"/>
      <c r="Y2590" s="9">
        <v>160610.79999999999</v>
      </c>
      <c r="Z2590" s="9"/>
      <c r="AA2590" s="9"/>
      <c r="AB2590" s="9"/>
      <c r="AC2590" s="9"/>
      <c r="AD2590" s="9"/>
      <c r="AE2590" s="9"/>
      <c r="AF2590" s="40"/>
      <c r="AG2590" s="56"/>
      <c r="AH2590" s="56"/>
      <c r="AI2590" s="56"/>
      <c r="AJ2590" s="56"/>
    </row>
    <row r="2591" spans="1:36" x14ac:dyDescent="0.3">
      <c r="A2591" s="47">
        <f t="shared" si="593"/>
        <v>2328</v>
      </c>
      <c r="B2591" s="414" t="s">
        <v>3274</v>
      </c>
      <c r="C2591" s="51">
        <f t="shared" ref="C2591:C2654" si="595">D2591+K2591+L2591+N2591+P2591+R2591+S2591+U2591+V2591+W2591</f>
        <v>207787.98</v>
      </c>
      <c r="D2591" s="51">
        <f t="shared" si="590"/>
        <v>0</v>
      </c>
      <c r="E2591" s="364"/>
      <c r="F2591" s="51"/>
      <c r="G2591" s="51"/>
      <c r="H2591" s="51"/>
      <c r="I2591" s="51"/>
      <c r="J2591" s="51"/>
      <c r="K2591" s="51"/>
      <c r="L2591" s="51"/>
      <c r="M2591" s="35"/>
      <c r="N2591" s="51"/>
      <c r="O2591" s="82"/>
      <c r="P2591" s="51"/>
      <c r="Q2591" s="338"/>
      <c r="R2591" s="51"/>
      <c r="S2591" s="51"/>
      <c r="T2591" s="338"/>
      <c r="U2591" s="51"/>
      <c r="V2591" s="35"/>
      <c r="W2591" s="364">
        <f t="shared" si="594"/>
        <v>207787.98</v>
      </c>
      <c r="X2591" s="9"/>
      <c r="Y2591" s="9">
        <v>207787.98</v>
      </c>
      <c r="Z2591" s="9"/>
      <c r="AA2591" s="9"/>
      <c r="AB2591" s="9"/>
      <c r="AC2591" s="9"/>
      <c r="AD2591" s="9"/>
      <c r="AE2591" s="9"/>
      <c r="AF2591" s="40"/>
      <c r="AG2591" s="56"/>
      <c r="AH2591" s="56"/>
      <c r="AI2591" s="56"/>
      <c r="AJ2591" s="56"/>
    </row>
    <row r="2592" spans="1:36" x14ac:dyDescent="0.3">
      <c r="A2592" s="47">
        <f t="shared" si="593"/>
        <v>2329</v>
      </c>
      <c r="B2592" s="414" t="s">
        <v>3275</v>
      </c>
      <c r="C2592" s="51">
        <f t="shared" si="595"/>
        <v>130000</v>
      </c>
      <c r="D2592" s="51">
        <f t="shared" si="590"/>
        <v>0</v>
      </c>
      <c r="E2592" s="364"/>
      <c r="F2592" s="51"/>
      <c r="G2592" s="51"/>
      <c r="H2592" s="51"/>
      <c r="I2592" s="51"/>
      <c r="J2592" s="51"/>
      <c r="K2592" s="51"/>
      <c r="L2592" s="51"/>
      <c r="M2592" s="35"/>
      <c r="N2592" s="51"/>
      <c r="O2592" s="82"/>
      <c r="P2592" s="364"/>
      <c r="Q2592" s="338"/>
      <c r="R2592" s="364"/>
      <c r="S2592" s="51"/>
      <c r="T2592" s="338"/>
      <c r="U2592" s="51"/>
      <c r="V2592" s="35"/>
      <c r="W2592" s="364">
        <v>130000</v>
      </c>
      <c r="X2592" s="9"/>
      <c r="Y2592" s="9"/>
      <c r="Z2592" s="9"/>
      <c r="AA2592" s="9"/>
      <c r="AB2592" s="9"/>
      <c r="AC2592" s="9"/>
      <c r="AD2592" s="9"/>
      <c r="AE2592" s="9"/>
      <c r="AF2592" s="40"/>
      <c r="AG2592" s="56"/>
      <c r="AH2592" s="56"/>
      <c r="AI2592" s="56"/>
      <c r="AJ2592" s="56"/>
    </row>
    <row r="2593" spans="1:36" x14ac:dyDescent="0.3">
      <c r="A2593" s="47">
        <f t="shared" si="593"/>
        <v>2330</v>
      </c>
      <c r="B2593" s="414" t="s">
        <v>3276</v>
      </c>
      <c r="C2593" s="51">
        <f t="shared" si="595"/>
        <v>6868147.6799999997</v>
      </c>
      <c r="D2593" s="51">
        <f>E2593+F2593+G2593+H2593</f>
        <v>6738147.6799999997</v>
      </c>
      <c r="E2593" s="51">
        <f>150*2688+2*358323</f>
        <v>1119846</v>
      </c>
      <c r="F2593" s="51">
        <v>5441187.6799999997</v>
      </c>
      <c r="G2593" s="51">
        <v>177114</v>
      </c>
      <c r="H2593" s="364"/>
      <c r="I2593" s="51"/>
      <c r="J2593" s="51"/>
      <c r="K2593" s="51"/>
      <c r="L2593" s="51"/>
      <c r="M2593" s="35"/>
      <c r="N2593" s="51"/>
      <c r="O2593" s="82"/>
      <c r="P2593" s="51"/>
      <c r="Q2593" s="338"/>
      <c r="R2593" s="51"/>
      <c r="S2593" s="51"/>
      <c r="T2593" s="338"/>
      <c r="U2593" s="51"/>
      <c r="V2593" s="35"/>
      <c r="W2593" s="364">
        <v>130000</v>
      </c>
      <c r="X2593" s="9"/>
      <c r="Y2593" s="9"/>
      <c r="Z2593" s="9"/>
      <c r="AA2593" s="9"/>
      <c r="AB2593" s="9"/>
      <c r="AC2593" s="9"/>
      <c r="AD2593" s="9"/>
      <c r="AE2593" s="9"/>
      <c r="AF2593" s="40"/>
      <c r="AG2593" s="56"/>
      <c r="AH2593" s="56"/>
      <c r="AI2593" s="56"/>
      <c r="AJ2593" s="56"/>
    </row>
    <row r="2594" spans="1:36" x14ac:dyDescent="0.3">
      <c r="A2594" s="47">
        <f>A2593+1</f>
        <v>2331</v>
      </c>
      <c r="B2594" s="414" t="s">
        <v>3277</v>
      </c>
      <c r="C2594" s="51">
        <f t="shared" si="595"/>
        <v>559526.77</v>
      </c>
      <c r="D2594" s="51">
        <f t="shared" ref="D2594:D2657" si="596">E2594+F2594+G2594+H2594</f>
        <v>0</v>
      </c>
      <c r="E2594" s="364"/>
      <c r="F2594" s="51"/>
      <c r="G2594" s="51"/>
      <c r="H2594" s="51"/>
      <c r="I2594" s="51"/>
      <c r="J2594" s="51"/>
      <c r="K2594" s="51"/>
      <c r="L2594" s="51"/>
      <c r="M2594" s="35"/>
      <c r="N2594" s="364"/>
      <c r="O2594" s="82"/>
      <c r="P2594" s="364"/>
      <c r="Q2594" s="338"/>
      <c r="R2594" s="364"/>
      <c r="S2594" s="51"/>
      <c r="T2594" s="338"/>
      <c r="U2594" s="51"/>
      <c r="V2594" s="35"/>
      <c r="W2594" s="364">
        <f t="shared" ref="W2594:W2639" si="597">SUM(Y2594:AK2594)</f>
        <v>559526.77</v>
      </c>
      <c r="X2594" s="9"/>
      <c r="Y2594" s="9">
        <v>143753.71</v>
      </c>
      <c r="Z2594" s="9"/>
      <c r="AA2594" s="9"/>
      <c r="AB2594" s="9"/>
      <c r="AC2594" s="9"/>
      <c r="AD2594" s="9"/>
      <c r="AE2594" s="9">
        <v>274505.51</v>
      </c>
      <c r="AF2594" s="40">
        <v>141267.54999999999</v>
      </c>
      <c r="AG2594" s="56"/>
      <c r="AH2594" s="56"/>
      <c r="AI2594" s="56"/>
      <c r="AJ2594" s="56"/>
    </row>
    <row r="2595" spans="1:36" x14ac:dyDescent="0.3">
      <c r="A2595" s="47">
        <f t="shared" si="593"/>
        <v>2332</v>
      </c>
      <c r="B2595" s="414" t="s">
        <v>3278</v>
      </c>
      <c r="C2595" s="51">
        <f t="shared" si="595"/>
        <v>523738.8</v>
      </c>
      <c r="D2595" s="51">
        <f t="shared" si="596"/>
        <v>0</v>
      </c>
      <c r="E2595" s="51"/>
      <c r="F2595" s="51"/>
      <c r="G2595" s="51"/>
      <c r="H2595" s="51"/>
      <c r="I2595" s="51"/>
      <c r="J2595" s="51"/>
      <c r="K2595" s="51"/>
      <c r="L2595" s="51"/>
      <c r="M2595" s="35"/>
      <c r="N2595" s="364"/>
      <c r="O2595" s="82"/>
      <c r="P2595" s="364"/>
      <c r="Q2595" s="338"/>
      <c r="R2595" s="364"/>
      <c r="S2595" s="51"/>
      <c r="T2595" s="338"/>
      <c r="U2595" s="51"/>
      <c r="V2595" s="35"/>
      <c r="W2595" s="364">
        <f t="shared" si="597"/>
        <v>523738.8</v>
      </c>
      <c r="X2595" s="9"/>
      <c r="Y2595" s="9"/>
      <c r="Z2595" s="9"/>
      <c r="AA2595" s="9"/>
      <c r="AB2595" s="9"/>
      <c r="AC2595" s="9"/>
      <c r="AD2595" s="9"/>
      <c r="AE2595" s="9">
        <v>346366.6</v>
      </c>
      <c r="AF2595" s="40">
        <v>177372.2</v>
      </c>
      <c r="AG2595" s="56"/>
      <c r="AH2595" s="56"/>
      <c r="AI2595" s="56"/>
      <c r="AJ2595" s="56"/>
    </row>
    <row r="2596" spans="1:36" x14ac:dyDescent="0.3">
      <c r="A2596" s="47">
        <f t="shared" si="593"/>
        <v>2333</v>
      </c>
      <c r="B2596" s="414" t="s">
        <v>3279</v>
      </c>
      <c r="C2596" s="51">
        <f t="shared" si="595"/>
        <v>177001.25</v>
      </c>
      <c r="D2596" s="51">
        <f t="shared" si="596"/>
        <v>0</v>
      </c>
      <c r="E2596" s="51"/>
      <c r="F2596" s="51"/>
      <c r="G2596" s="51"/>
      <c r="H2596" s="51"/>
      <c r="I2596" s="51"/>
      <c r="J2596" s="51"/>
      <c r="K2596" s="51"/>
      <c r="L2596" s="51"/>
      <c r="M2596" s="35"/>
      <c r="N2596" s="51"/>
      <c r="O2596" s="82"/>
      <c r="P2596" s="364"/>
      <c r="Q2596" s="338"/>
      <c r="R2596" s="364"/>
      <c r="S2596" s="51"/>
      <c r="T2596" s="338"/>
      <c r="U2596" s="51"/>
      <c r="V2596" s="35"/>
      <c r="W2596" s="364">
        <f t="shared" si="597"/>
        <v>177001.25</v>
      </c>
      <c r="X2596" s="9"/>
      <c r="Y2596" s="9"/>
      <c r="Z2596" s="9"/>
      <c r="AA2596" s="9"/>
      <c r="AB2596" s="9"/>
      <c r="AC2596" s="9"/>
      <c r="AD2596" s="9"/>
      <c r="AE2596" s="9"/>
      <c r="AF2596" s="40">
        <v>177001.25</v>
      </c>
      <c r="AG2596" s="56"/>
      <c r="AH2596" s="56"/>
      <c r="AI2596" s="56"/>
      <c r="AJ2596" s="56"/>
    </row>
    <row r="2597" spans="1:36" x14ac:dyDescent="0.3">
      <c r="A2597" s="47">
        <f t="shared" si="593"/>
        <v>2334</v>
      </c>
      <c r="B2597" s="414" t="s">
        <v>3280</v>
      </c>
      <c r="C2597" s="51">
        <f t="shared" si="595"/>
        <v>178408.97</v>
      </c>
      <c r="D2597" s="51">
        <f t="shared" si="596"/>
        <v>0</v>
      </c>
      <c r="E2597" s="364"/>
      <c r="F2597" s="51"/>
      <c r="G2597" s="51"/>
      <c r="H2597" s="51"/>
      <c r="I2597" s="51"/>
      <c r="J2597" s="51"/>
      <c r="K2597" s="51"/>
      <c r="L2597" s="51"/>
      <c r="M2597" s="35"/>
      <c r="N2597" s="51"/>
      <c r="O2597" s="82"/>
      <c r="P2597" s="51"/>
      <c r="Q2597" s="338"/>
      <c r="R2597" s="51"/>
      <c r="S2597" s="51"/>
      <c r="T2597" s="338"/>
      <c r="U2597" s="51"/>
      <c r="V2597" s="35"/>
      <c r="W2597" s="364">
        <f t="shared" si="597"/>
        <v>178408.97</v>
      </c>
      <c r="X2597" s="9"/>
      <c r="Y2597" s="9">
        <v>178408.97</v>
      </c>
      <c r="Z2597" s="9"/>
      <c r="AA2597" s="9"/>
      <c r="AB2597" s="9"/>
      <c r="AC2597" s="9"/>
      <c r="AD2597" s="9"/>
      <c r="AE2597" s="9"/>
      <c r="AF2597" s="40"/>
      <c r="AG2597" s="56"/>
      <c r="AH2597" s="56"/>
      <c r="AI2597" s="56"/>
      <c r="AJ2597" s="56"/>
    </row>
    <row r="2598" spans="1:36" x14ac:dyDescent="0.3">
      <c r="A2598" s="47">
        <f t="shared" si="593"/>
        <v>2335</v>
      </c>
      <c r="B2598" s="414" t="s">
        <v>3281</v>
      </c>
      <c r="C2598" s="51">
        <f t="shared" si="595"/>
        <v>323811.37</v>
      </c>
      <c r="D2598" s="51">
        <f t="shared" si="596"/>
        <v>0</v>
      </c>
      <c r="E2598" s="364"/>
      <c r="F2598" s="51"/>
      <c r="G2598" s="51"/>
      <c r="H2598" s="51"/>
      <c r="I2598" s="51"/>
      <c r="J2598" s="51"/>
      <c r="K2598" s="51"/>
      <c r="L2598" s="51"/>
      <c r="M2598" s="35"/>
      <c r="N2598" s="51"/>
      <c r="O2598" s="82"/>
      <c r="P2598" s="51"/>
      <c r="Q2598" s="338"/>
      <c r="R2598" s="51"/>
      <c r="S2598" s="51"/>
      <c r="T2598" s="338"/>
      <c r="U2598" s="51"/>
      <c r="V2598" s="35"/>
      <c r="W2598" s="364">
        <f t="shared" si="597"/>
        <v>323811.37</v>
      </c>
      <c r="X2598" s="9"/>
      <c r="Y2598" s="9">
        <v>165269.82999999999</v>
      </c>
      <c r="Z2598" s="9"/>
      <c r="AA2598" s="9"/>
      <c r="AB2598" s="9"/>
      <c r="AC2598" s="9"/>
      <c r="AD2598" s="9"/>
      <c r="AE2598" s="9"/>
      <c r="AF2598" s="40">
        <v>158541.54</v>
      </c>
      <c r="AG2598" s="56"/>
      <c r="AH2598" s="56"/>
      <c r="AI2598" s="56"/>
      <c r="AJ2598" s="56"/>
    </row>
    <row r="2599" spans="1:36" x14ac:dyDescent="0.3">
      <c r="A2599" s="47">
        <f t="shared" si="593"/>
        <v>2336</v>
      </c>
      <c r="B2599" s="414" t="s">
        <v>3282</v>
      </c>
      <c r="C2599" s="51">
        <f t="shared" si="595"/>
        <v>256509.5</v>
      </c>
      <c r="D2599" s="51">
        <f t="shared" si="596"/>
        <v>0</v>
      </c>
      <c r="E2599" s="364"/>
      <c r="F2599" s="51"/>
      <c r="G2599" s="51"/>
      <c r="H2599" s="51"/>
      <c r="I2599" s="51"/>
      <c r="J2599" s="51"/>
      <c r="K2599" s="51"/>
      <c r="L2599" s="51"/>
      <c r="M2599" s="35"/>
      <c r="N2599" s="51"/>
      <c r="O2599" s="82"/>
      <c r="P2599" s="51"/>
      <c r="Q2599" s="338"/>
      <c r="R2599" s="51"/>
      <c r="S2599" s="51"/>
      <c r="T2599" s="338"/>
      <c r="U2599" s="51"/>
      <c r="V2599" s="35"/>
      <c r="W2599" s="364">
        <f t="shared" si="597"/>
        <v>256509.5</v>
      </c>
      <c r="X2599" s="9"/>
      <c r="Y2599" s="9">
        <v>256509.5</v>
      </c>
      <c r="Z2599" s="9"/>
      <c r="AA2599" s="9"/>
      <c r="AB2599" s="9"/>
      <c r="AC2599" s="9"/>
      <c r="AD2599" s="9"/>
      <c r="AE2599" s="9"/>
      <c r="AF2599" s="40"/>
      <c r="AG2599" s="56"/>
      <c r="AH2599" s="56"/>
      <c r="AI2599" s="56"/>
      <c r="AJ2599" s="56"/>
    </row>
    <row r="2600" spans="1:36" x14ac:dyDescent="0.3">
      <c r="A2600" s="47">
        <f t="shared" si="593"/>
        <v>2337</v>
      </c>
      <c r="B2600" s="414" t="s">
        <v>3283</v>
      </c>
      <c r="C2600" s="51">
        <f t="shared" si="595"/>
        <v>338463.74</v>
      </c>
      <c r="D2600" s="51">
        <f t="shared" si="596"/>
        <v>0</v>
      </c>
      <c r="E2600" s="364"/>
      <c r="F2600" s="51"/>
      <c r="G2600" s="51"/>
      <c r="H2600" s="51"/>
      <c r="I2600" s="51"/>
      <c r="J2600" s="51"/>
      <c r="K2600" s="51"/>
      <c r="L2600" s="51"/>
      <c r="M2600" s="35"/>
      <c r="N2600" s="51">
        <f>13*6243</f>
        <v>81159</v>
      </c>
      <c r="O2600" s="82"/>
      <c r="P2600" s="51"/>
      <c r="Q2600" s="338"/>
      <c r="R2600" s="51"/>
      <c r="S2600" s="51"/>
      <c r="T2600" s="338"/>
      <c r="U2600" s="51"/>
      <c r="V2600" s="35"/>
      <c r="W2600" s="364">
        <f t="shared" si="597"/>
        <v>257304.74</v>
      </c>
      <c r="X2600" s="9"/>
      <c r="Y2600" s="9">
        <v>257304.74</v>
      </c>
      <c r="Z2600" s="9"/>
      <c r="AA2600" s="9"/>
      <c r="AB2600" s="9"/>
      <c r="AC2600" s="9"/>
      <c r="AD2600" s="9"/>
      <c r="AE2600" s="9"/>
      <c r="AF2600" s="40"/>
      <c r="AG2600" s="56"/>
      <c r="AH2600" s="56"/>
      <c r="AI2600" s="56"/>
      <c r="AJ2600" s="56"/>
    </row>
    <row r="2601" spans="1:36" x14ac:dyDescent="0.3">
      <c r="A2601" s="47">
        <f t="shared" si="593"/>
        <v>2338</v>
      </c>
      <c r="B2601" s="414" t="s">
        <v>3284</v>
      </c>
      <c r="C2601" s="51">
        <f t="shared" si="595"/>
        <v>1746969</v>
      </c>
      <c r="D2601" s="51">
        <f>E2601+F2601+G2601+H2601+I2601</f>
        <v>1746969</v>
      </c>
      <c r="E2601" s="51">
        <f>250*2688+3*358323</f>
        <v>1746969</v>
      </c>
      <c r="F2601" s="51"/>
      <c r="G2601" s="51"/>
      <c r="H2601" s="51"/>
      <c r="I2601" s="51"/>
      <c r="J2601" s="51"/>
      <c r="K2601" s="51"/>
      <c r="L2601" s="51"/>
      <c r="M2601" s="35"/>
      <c r="N2601" s="51"/>
      <c r="O2601" s="82"/>
      <c r="P2601" s="51"/>
      <c r="Q2601" s="338"/>
      <c r="R2601" s="51"/>
      <c r="S2601" s="51"/>
      <c r="T2601" s="338"/>
      <c r="U2601" s="51"/>
      <c r="V2601" s="35"/>
      <c r="W2601" s="364"/>
      <c r="X2601" s="285"/>
      <c r="Y2601" s="9"/>
      <c r="Z2601" s="9"/>
      <c r="AA2601" s="9"/>
      <c r="AB2601" s="9"/>
      <c r="AC2601" s="9"/>
      <c r="AD2601" s="9"/>
      <c r="AE2601" s="9"/>
      <c r="AF2601" s="9"/>
      <c r="AG2601" s="40"/>
      <c r="AH2601" s="56"/>
      <c r="AI2601" s="56"/>
      <c r="AJ2601" s="56"/>
    </row>
    <row r="2602" spans="1:36" x14ac:dyDescent="0.3">
      <c r="A2602" s="47">
        <f t="shared" si="593"/>
        <v>2339</v>
      </c>
      <c r="B2602" s="414" t="s">
        <v>3285</v>
      </c>
      <c r="C2602" s="51">
        <f t="shared" si="595"/>
        <v>298010.06</v>
      </c>
      <c r="D2602" s="51">
        <f t="shared" si="596"/>
        <v>0</v>
      </c>
      <c r="E2602" s="364"/>
      <c r="F2602" s="51"/>
      <c r="G2602" s="51"/>
      <c r="H2602" s="51"/>
      <c r="I2602" s="51"/>
      <c r="J2602" s="51"/>
      <c r="K2602" s="51"/>
      <c r="L2602" s="51"/>
      <c r="M2602" s="35"/>
      <c r="N2602" s="51"/>
      <c r="O2602" s="82"/>
      <c r="P2602" s="51"/>
      <c r="Q2602" s="338"/>
      <c r="R2602" s="51"/>
      <c r="S2602" s="51"/>
      <c r="T2602" s="338"/>
      <c r="U2602" s="51"/>
      <c r="V2602" s="35"/>
      <c r="W2602" s="364">
        <f t="shared" si="597"/>
        <v>298010.06</v>
      </c>
      <c r="X2602" s="9"/>
      <c r="Y2602" s="9">
        <v>168866.68</v>
      </c>
      <c r="Z2602" s="9"/>
      <c r="AA2602" s="9"/>
      <c r="AB2602" s="9"/>
      <c r="AC2602" s="9"/>
      <c r="AD2602" s="9"/>
      <c r="AE2602" s="9"/>
      <c r="AF2602" s="40">
        <v>129143.38</v>
      </c>
      <c r="AG2602" s="56"/>
      <c r="AH2602" s="56"/>
      <c r="AI2602" s="56"/>
      <c r="AJ2602" s="56"/>
    </row>
    <row r="2603" spans="1:36" x14ac:dyDescent="0.3">
      <c r="A2603" s="47">
        <f t="shared" si="593"/>
        <v>2340</v>
      </c>
      <c r="B2603" s="414" t="s">
        <v>3286</v>
      </c>
      <c r="C2603" s="51">
        <f t="shared" si="595"/>
        <v>175872.95</v>
      </c>
      <c r="D2603" s="51">
        <f t="shared" si="596"/>
        <v>0</v>
      </c>
      <c r="E2603" s="364"/>
      <c r="F2603" s="51"/>
      <c r="G2603" s="51"/>
      <c r="H2603" s="51"/>
      <c r="I2603" s="51"/>
      <c r="J2603" s="51"/>
      <c r="K2603" s="51"/>
      <c r="L2603" s="51"/>
      <c r="M2603" s="35"/>
      <c r="N2603" s="51"/>
      <c r="O2603" s="82"/>
      <c r="P2603" s="51"/>
      <c r="Q2603" s="338"/>
      <c r="R2603" s="51"/>
      <c r="S2603" s="51"/>
      <c r="T2603" s="338"/>
      <c r="U2603" s="51"/>
      <c r="V2603" s="35"/>
      <c r="W2603" s="364">
        <f t="shared" si="597"/>
        <v>175872.95</v>
      </c>
      <c r="X2603" s="9"/>
      <c r="Y2603" s="9">
        <v>175872.95</v>
      </c>
      <c r="Z2603" s="9"/>
      <c r="AA2603" s="9"/>
      <c r="AB2603" s="9"/>
      <c r="AC2603" s="9"/>
      <c r="AD2603" s="9"/>
      <c r="AE2603" s="9"/>
      <c r="AF2603" s="40"/>
      <c r="AG2603" s="56"/>
      <c r="AH2603" s="56"/>
      <c r="AI2603" s="56"/>
      <c r="AJ2603" s="56"/>
    </row>
    <row r="2604" spans="1:36" x14ac:dyDescent="0.3">
      <c r="A2604" s="47">
        <f t="shared" si="593"/>
        <v>2341</v>
      </c>
      <c r="B2604" s="414" t="s">
        <v>3287</v>
      </c>
      <c r="C2604" s="51">
        <f t="shared" si="595"/>
        <v>869647.5</v>
      </c>
      <c r="D2604" s="51">
        <f t="shared" si="596"/>
        <v>0</v>
      </c>
      <c r="E2604" s="51"/>
      <c r="F2604" s="51"/>
      <c r="G2604" s="364"/>
      <c r="H2604" s="364"/>
      <c r="I2604" s="364"/>
      <c r="J2604" s="51"/>
      <c r="K2604" s="51"/>
      <c r="L2604" s="51"/>
      <c r="M2604" s="35"/>
      <c r="N2604" s="51"/>
      <c r="O2604" s="82"/>
      <c r="P2604" s="364"/>
      <c r="Q2604" s="338"/>
      <c r="R2604" s="364"/>
      <c r="S2604" s="51"/>
      <c r="T2604" s="338"/>
      <c r="U2604" s="51"/>
      <c r="V2604" s="35"/>
      <c r="W2604" s="364">
        <f t="shared" si="597"/>
        <v>869647.5</v>
      </c>
      <c r="X2604" s="9"/>
      <c r="Y2604" s="9"/>
      <c r="Z2604" s="9"/>
      <c r="AA2604" s="9"/>
      <c r="AB2604" s="9"/>
      <c r="AC2604" s="9"/>
      <c r="AD2604" s="9"/>
      <c r="AE2604" s="9"/>
      <c r="AF2604" s="40"/>
      <c r="AG2604" s="56">
        <v>869647.5</v>
      </c>
      <c r="AH2604" s="56"/>
      <c r="AI2604" s="56"/>
      <c r="AJ2604" s="56"/>
    </row>
    <row r="2605" spans="1:36" x14ac:dyDescent="0.3">
      <c r="A2605" s="47">
        <f t="shared" si="593"/>
        <v>2342</v>
      </c>
      <c r="B2605" s="414" t="s">
        <v>3288</v>
      </c>
      <c r="C2605" s="51">
        <f t="shared" si="595"/>
        <v>75745.440000000002</v>
      </c>
      <c r="D2605" s="51">
        <f t="shared" si="596"/>
        <v>0</v>
      </c>
      <c r="E2605" s="51"/>
      <c r="F2605" s="51"/>
      <c r="G2605" s="51"/>
      <c r="H2605" s="51"/>
      <c r="I2605" s="51"/>
      <c r="J2605" s="51"/>
      <c r="K2605" s="51"/>
      <c r="L2605" s="51"/>
      <c r="M2605" s="35"/>
      <c r="N2605" s="51"/>
      <c r="O2605" s="82"/>
      <c r="P2605" s="364"/>
      <c r="Q2605" s="338"/>
      <c r="R2605" s="364"/>
      <c r="S2605" s="51"/>
      <c r="T2605" s="338"/>
      <c r="U2605" s="51"/>
      <c r="V2605" s="35"/>
      <c r="W2605" s="364">
        <f t="shared" si="597"/>
        <v>75745.440000000002</v>
      </c>
      <c r="X2605" s="9"/>
      <c r="Y2605" s="9"/>
      <c r="Z2605" s="9"/>
      <c r="AA2605" s="9"/>
      <c r="AB2605" s="9"/>
      <c r="AC2605" s="9"/>
      <c r="AD2605" s="9"/>
      <c r="AE2605" s="9"/>
      <c r="AF2605" s="40">
        <v>75745.440000000002</v>
      </c>
      <c r="AG2605" s="56"/>
      <c r="AH2605" s="56"/>
      <c r="AI2605" s="56"/>
      <c r="AJ2605" s="56"/>
    </row>
    <row r="2606" spans="1:36" x14ac:dyDescent="0.3">
      <c r="A2606" s="47">
        <f t="shared" si="593"/>
        <v>2343</v>
      </c>
      <c r="B2606" s="414" t="s">
        <v>3289</v>
      </c>
      <c r="C2606" s="51">
        <f t="shared" si="595"/>
        <v>76271.759999999995</v>
      </c>
      <c r="D2606" s="51">
        <f t="shared" si="596"/>
        <v>0</v>
      </c>
      <c r="E2606" s="51"/>
      <c r="F2606" s="51"/>
      <c r="G2606" s="51"/>
      <c r="H2606" s="51"/>
      <c r="I2606" s="51"/>
      <c r="J2606" s="51"/>
      <c r="K2606" s="51"/>
      <c r="L2606" s="51"/>
      <c r="M2606" s="35"/>
      <c r="N2606" s="51"/>
      <c r="O2606" s="82"/>
      <c r="P2606" s="364"/>
      <c r="Q2606" s="338"/>
      <c r="R2606" s="364"/>
      <c r="S2606" s="51"/>
      <c r="T2606" s="338"/>
      <c r="U2606" s="51"/>
      <c r="V2606" s="35"/>
      <c r="W2606" s="364">
        <f t="shared" si="597"/>
        <v>76271.759999999995</v>
      </c>
      <c r="X2606" s="9"/>
      <c r="Y2606" s="9"/>
      <c r="Z2606" s="9"/>
      <c r="AA2606" s="9"/>
      <c r="AB2606" s="9"/>
      <c r="AC2606" s="9"/>
      <c r="AD2606" s="9"/>
      <c r="AE2606" s="9"/>
      <c r="AF2606" s="40">
        <v>76271.759999999995</v>
      </c>
      <c r="AG2606" s="56"/>
      <c r="AH2606" s="56"/>
      <c r="AI2606" s="56"/>
      <c r="AJ2606" s="56"/>
    </row>
    <row r="2607" spans="1:36" x14ac:dyDescent="0.3">
      <c r="A2607" s="47">
        <f t="shared" si="593"/>
        <v>2344</v>
      </c>
      <c r="B2607" s="414" t="s">
        <v>3290</v>
      </c>
      <c r="C2607" s="51">
        <f t="shared" si="595"/>
        <v>336675.70999999996</v>
      </c>
      <c r="D2607" s="51">
        <f t="shared" si="596"/>
        <v>0</v>
      </c>
      <c r="E2607" s="364"/>
      <c r="F2607" s="51"/>
      <c r="G2607" s="51"/>
      <c r="H2607" s="51"/>
      <c r="I2607" s="51"/>
      <c r="J2607" s="51"/>
      <c r="K2607" s="51"/>
      <c r="L2607" s="51"/>
      <c r="M2607" s="35"/>
      <c r="N2607" s="51"/>
      <c r="O2607" s="82"/>
      <c r="P2607" s="51"/>
      <c r="Q2607" s="338"/>
      <c r="R2607" s="51"/>
      <c r="S2607" s="51"/>
      <c r="T2607" s="338"/>
      <c r="U2607" s="51"/>
      <c r="V2607" s="35"/>
      <c r="W2607" s="364">
        <f t="shared" si="597"/>
        <v>336675.70999999996</v>
      </c>
      <c r="X2607" s="9"/>
      <c r="Y2607" s="9">
        <v>181598.46</v>
      </c>
      <c r="Z2607" s="9"/>
      <c r="AA2607" s="9"/>
      <c r="AB2607" s="9"/>
      <c r="AC2607" s="9"/>
      <c r="AD2607" s="9"/>
      <c r="AE2607" s="9"/>
      <c r="AF2607" s="40">
        <v>155077.25</v>
      </c>
      <c r="AG2607" s="56"/>
      <c r="AH2607" s="56"/>
      <c r="AI2607" s="56"/>
      <c r="AJ2607" s="56"/>
    </row>
    <row r="2608" spans="1:36" x14ac:dyDescent="0.3">
      <c r="A2608" s="47">
        <f t="shared" si="593"/>
        <v>2345</v>
      </c>
      <c r="B2608" s="414" t="s">
        <v>3291</v>
      </c>
      <c r="C2608" s="51">
        <f t="shared" si="595"/>
        <v>287086.57</v>
      </c>
      <c r="D2608" s="51">
        <f t="shared" si="596"/>
        <v>0</v>
      </c>
      <c r="E2608" s="51"/>
      <c r="F2608" s="51"/>
      <c r="G2608" s="51"/>
      <c r="H2608" s="51"/>
      <c r="I2608" s="51"/>
      <c r="J2608" s="51"/>
      <c r="K2608" s="51"/>
      <c r="L2608" s="51"/>
      <c r="M2608" s="35"/>
      <c r="N2608" s="51"/>
      <c r="O2608" s="82"/>
      <c r="P2608" s="364"/>
      <c r="Q2608" s="338"/>
      <c r="R2608" s="364"/>
      <c r="S2608" s="51"/>
      <c r="T2608" s="338"/>
      <c r="U2608" s="51"/>
      <c r="V2608" s="35"/>
      <c r="W2608" s="364">
        <f t="shared" si="597"/>
        <v>287086.57</v>
      </c>
      <c r="X2608" s="9"/>
      <c r="Y2608" s="9"/>
      <c r="Z2608" s="9"/>
      <c r="AA2608" s="9"/>
      <c r="AB2608" s="9"/>
      <c r="AC2608" s="9"/>
      <c r="AD2608" s="9"/>
      <c r="AE2608" s="9"/>
      <c r="AF2608" s="40">
        <v>287086.57</v>
      </c>
      <c r="AG2608" s="56"/>
      <c r="AH2608" s="56"/>
      <c r="AI2608" s="56"/>
      <c r="AJ2608" s="56"/>
    </row>
    <row r="2609" spans="1:36" x14ac:dyDescent="0.3">
      <c r="A2609" s="47">
        <f t="shared" ref="A2609:A2667" si="598">A2608+1</f>
        <v>2346</v>
      </c>
      <c r="B2609" s="414" t="s">
        <v>3292</v>
      </c>
      <c r="C2609" s="51">
        <f t="shared" si="595"/>
        <v>319284.74</v>
      </c>
      <c r="D2609" s="51">
        <f t="shared" si="596"/>
        <v>0</v>
      </c>
      <c r="E2609" s="51"/>
      <c r="F2609" s="51"/>
      <c r="G2609" s="51"/>
      <c r="H2609" s="51"/>
      <c r="I2609" s="51"/>
      <c r="J2609" s="51"/>
      <c r="K2609" s="51"/>
      <c r="L2609" s="51"/>
      <c r="M2609" s="35"/>
      <c r="N2609" s="51"/>
      <c r="O2609" s="82"/>
      <c r="P2609" s="364"/>
      <c r="Q2609" s="338"/>
      <c r="R2609" s="364"/>
      <c r="S2609" s="51"/>
      <c r="T2609" s="338"/>
      <c r="U2609" s="51"/>
      <c r="V2609" s="35"/>
      <c r="W2609" s="364">
        <f t="shared" si="597"/>
        <v>319284.74</v>
      </c>
      <c r="X2609" s="9"/>
      <c r="Y2609" s="9"/>
      <c r="Z2609" s="9"/>
      <c r="AA2609" s="9"/>
      <c r="AB2609" s="9"/>
      <c r="AC2609" s="9"/>
      <c r="AD2609" s="9"/>
      <c r="AE2609" s="9"/>
      <c r="AF2609" s="40">
        <v>319284.74</v>
      </c>
      <c r="AG2609" s="56"/>
      <c r="AH2609" s="56"/>
      <c r="AI2609" s="56"/>
      <c r="AJ2609" s="56"/>
    </row>
    <row r="2610" spans="1:36" x14ac:dyDescent="0.3">
      <c r="A2610" s="47">
        <f t="shared" si="598"/>
        <v>2347</v>
      </c>
      <c r="B2610" s="414" t="s">
        <v>3293</v>
      </c>
      <c r="C2610" s="51">
        <f t="shared" si="595"/>
        <v>199027.1</v>
      </c>
      <c r="D2610" s="51">
        <f t="shared" si="596"/>
        <v>0</v>
      </c>
      <c r="E2610" s="51"/>
      <c r="F2610" s="51"/>
      <c r="G2610" s="51"/>
      <c r="H2610" s="51"/>
      <c r="I2610" s="51"/>
      <c r="J2610" s="51"/>
      <c r="K2610" s="51"/>
      <c r="L2610" s="51"/>
      <c r="M2610" s="35"/>
      <c r="N2610" s="51"/>
      <c r="O2610" s="82"/>
      <c r="P2610" s="364"/>
      <c r="Q2610" s="338"/>
      <c r="R2610" s="364"/>
      <c r="S2610" s="51"/>
      <c r="T2610" s="338"/>
      <c r="U2610" s="51"/>
      <c r="V2610" s="35"/>
      <c r="W2610" s="364">
        <f t="shared" si="597"/>
        <v>199027.1</v>
      </c>
      <c r="X2610" s="9"/>
      <c r="Y2610" s="9"/>
      <c r="Z2610" s="9"/>
      <c r="AA2610" s="9"/>
      <c r="AB2610" s="9"/>
      <c r="AC2610" s="9"/>
      <c r="AD2610" s="9"/>
      <c r="AE2610" s="9"/>
      <c r="AF2610" s="40">
        <v>199027.1</v>
      </c>
      <c r="AG2610" s="56"/>
      <c r="AH2610" s="56"/>
      <c r="AI2610" s="56"/>
      <c r="AJ2610" s="56"/>
    </row>
    <row r="2611" spans="1:36" x14ac:dyDescent="0.3">
      <c r="A2611" s="47">
        <f t="shared" si="598"/>
        <v>2348</v>
      </c>
      <c r="B2611" s="414" t="s">
        <v>3294</v>
      </c>
      <c r="C2611" s="51">
        <f t="shared" si="595"/>
        <v>182650.8</v>
      </c>
      <c r="D2611" s="51">
        <f t="shared" si="596"/>
        <v>0</v>
      </c>
      <c r="E2611" s="51"/>
      <c r="F2611" s="51"/>
      <c r="G2611" s="51"/>
      <c r="H2611" s="51"/>
      <c r="I2611" s="51"/>
      <c r="J2611" s="51"/>
      <c r="K2611" s="51"/>
      <c r="L2611" s="51"/>
      <c r="M2611" s="35"/>
      <c r="N2611" s="51"/>
      <c r="O2611" s="82"/>
      <c r="P2611" s="364"/>
      <c r="Q2611" s="338"/>
      <c r="R2611" s="364"/>
      <c r="S2611" s="51"/>
      <c r="T2611" s="338"/>
      <c r="U2611" s="51"/>
      <c r="V2611" s="35"/>
      <c r="W2611" s="364">
        <f t="shared" si="597"/>
        <v>182650.8</v>
      </c>
      <c r="X2611" s="9"/>
      <c r="Y2611" s="9"/>
      <c r="Z2611" s="9"/>
      <c r="AA2611" s="9"/>
      <c r="AB2611" s="9"/>
      <c r="AC2611" s="9"/>
      <c r="AD2611" s="9"/>
      <c r="AE2611" s="9"/>
      <c r="AF2611" s="40">
        <v>182650.8</v>
      </c>
      <c r="AG2611" s="56"/>
      <c r="AH2611" s="56"/>
      <c r="AI2611" s="56"/>
      <c r="AJ2611" s="56"/>
    </row>
    <row r="2612" spans="1:36" x14ac:dyDescent="0.3">
      <c r="A2612" s="47">
        <f t="shared" si="598"/>
        <v>2349</v>
      </c>
      <c r="B2612" s="414" t="s">
        <v>3295</v>
      </c>
      <c r="C2612" s="51">
        <f t="shared" si="595"/>
        <v>406412.27</v>
      </c>
      <c r="D2612" s="51">
        <f t="shared" si="596"/>
        <v>0</v>
      </c>
      <c r="E2612" s="364"/>
      <c r="F2612" s="51"/>
      <c r="G2612" s="51"/>
      <c r="H2612" s="51"/>
      <c r="I2612" s="51"/>
      <c r="J2612" s="51"/>
      <c r="K2612" s="51"/>
      <c r="L2612" s="51"/>
      <c r="M2612" s="35"/>
      <c r="N2612" s="51"/>
      <c r="O2612" s="82"/>
      <c r="P2612" s="364"/>
      <c r="Q2612" s="338"/>
      <c r="R2612" s="364"/>
      <c r="S2612" s="51"/>
      <c r="T2612" s="338"/>
      <c r="U2612" s="51"/>
      <c r="V2612" s="35"/>
      <c r="W2612" s="364">
        <f t="shared" si="597"/>
        <v>406412.27</v>
      </c>
      <c r="X2612" s="9"/>
      <c r="Y2612" s="9">
        <v>211086.95</v>
      </c>
      <c r="Z2612" s="9"/>
      <c r="AA2612" s="9"/>
      <c r="AB2612" s="9"/>
      <c r="AC2612" s="9"/>
      <c r="AD2612" s="9"/>
      <c r="AE2612" s="9"/>
      <c r="AF2612" s="40">
        <v>195325.32</v>
      </c>
      <c r="AG2612" s="56"/>
      <c r="AH2612" s="56"/>
      <c r="AI2612" s="56"/>
      <c r="AJ2612" s="56"/>
    </row>
    <row r="2613" spans="1:36" x14ac:dyDescent="0.3">
      <c r="A2613" s="47">
        <f t="shared" si="598"/>
        <v>2350</v>
      </c>
      <c r="B2613" s="414" t="s">
        <v>3296</v>
      </c>
      <c r="C2613" s="51">
        <f t="shared" si="595"/>
        <v>259199.51</v>
      </c>
      <c r="D2613" s="51">
        <f t="shared" si="596"/>
        <v>0</v>
      </c>
      <c r="E2613" s="51"/>
      <c r="F2613" s="51"/>
      <c r="G2613" s="51"/>
      <c r="H2613" s="51"/>
      <c r="I2613" s="51"/>
      <c r="J2613" s="51"/>
      <c r="K2613" s="51"/>
      <c r="L2613" s="51"/>
      <c r="M2613" s="35"/>
      <c r="N2613" s="51"/>
      <c r="O2613" s="82"/>
      <c r="P2613" s="364"/>
      <c r="Q2613" s="338"/>
      <c r="R2613" s="364"/>
      <c r="S2613" s="51"/>
      <c r="T2613" s="338"/>
      <c r="U2613" s="51"/>
      <c r="V2613" s="35"/>
      <c r="W2613" s="364">
        <f t="shared" si="597"/>
        <v>259199.51</v>
      </c>
      <c r="X2613" s="9"/>
      <c r="Y2613" s="9"/>
      <c r="Z2613" s="9"/>
      <c r="AA2613" s="9"/>
      <c r="AB2613" s="9"/>
      <c r="AC2613" s="9"/>
      <c r="AD2613" s="9"/>
      <c r="AE2613" s="9"/>
      <c r="AF2613" s="40">
        <v>259199.51</v>
      </c>
      <c r="AG2613" s="56"/>
      <c r="AH2613" s="56"/>
      <c r="AI2613" s="56"/>
      <c r="AJ2613" s="56"/>
    </row>
    <row r="2614" spans="1:36" x14ac:dyDescent="0.3">
      <c r="A2614" s="47">
        <f t="shared" si="598"/>
        <v>2351</v>
      </c>
      <c r="B2614" s="414" t="s">
        <v>3297</v>
      </c>
      <c r="C2614" s="51">
        <f t="shared" si="595"/>
        <v>681314.6</v>
      </c>
      <c r="D2614" s="51">
        <f t="shared" si="596"/>
        <v>0</v>
      </c>
      <c r="E2614" s="51"/>
      <c r="F2614" s="51"/>
      <c r="G2614" s="51"/>
      <c r="H2614" s="51"/>
      <c r="I2614" s="51"/>
      <c r="J2614" s="51"/>
      <c r="K2614" s="51"/>
      <c r="L2614" s="51"/>
      <c r="M2614" s="35"/>
      <c r="N2614" s="364"/>
      <c r="O2614" s="82"/>
      <c r="P2614" s="364"/>
      <c r="Q2614" s="338"/>
      <c r="R2614" s="364"/>
      <c r="S2614" s="51"/>
      <c r="T2614" s="338"/>
      <c r="U2614" s="51"/>
      <c r="V2614" s="35"/>
      <c r="W2614" s="364">
        <f t="shared" si="597"/>
        <v>681314.6</v>
      </c>
      <c r="X2614" s="9"/>
      <c r="Y2614" s="9"/>
      <c r="Z2614" s="9"/>
      <c r="AA2614" s="9"/>
      <c r="AB2614" s="9"/>
      <c r="AC2614" s="9"/>
      <c r="AD2614" s="9"/>
      <c r="AE2614" s="9">
        <v>451247.72</v>
      </c>
      <c r="AF2614" s="40">
        <v>230066.88</v>
      </c>
      <c r="AG2614" s="56"/>
      <c r="AH2614" s="56"/>
      <c r="AI2614" s="56"/>
      <c r="AJ2614" s="56"/>
    </row>
    <row r="2615" spans="1:36" x14ac:dyDescent="0.3">
      <c r="A2615" s="47">
        <f t="shared" si="598"/>
        <v>2352</v>
      </c>
      <c r="B2615" s="414" t="s">
        <v>3298</v>
      </c>
      <c r="C2615" s="51">
        <f t="shared" si="595"/>
        <v>11328733.32</v>
      </c>
      <c r="D2615" s="51">
        <f t="shared" si="596"/>
        <v>0</v>
      </c>
      <c r="E2615" s="364"/>
      <c r="F2615" s="51"/>
      <c r="G2615" s="51"/>
      <c r="H2615" s="51"/>
      <c r="I2615" s="51"/>
      <c r="J2615" s="51"/>
      <c r="K2615" s="51"/>
      <c r="L2615" s="51"/>
      <c r="M2615" s="35"/>
      <c r="N2615" s="51">
        <f>1749*6243</f>
        <v>10919007</v>
      </c>
      <c r="O2615" s="82"/>
      <c r="P2615" s="51"/>
      <c r="Q2615" s="338"/>
      <c r="R2615" s="51"/>
      <c r="S2615" s="51"/>
      <c r="T2615" s="338"/>
      <c r="U2615" s="51"/>
      <c r="V2615" s="35"/>
      <c r="W2615" s="364">
        <f t="shared" si="597"/>
        <v>409726.32</v>
      </c>
      <c r="X2615" s="9"/>
      <c r="Y2615" s="9">
        <v>409726.32</v>
      </c>
      <c r="Z2615" s="9"/>
      <c r="AA2615" s="9"/>
      <c r="AB2615" s="9"/>
      <c r="AC2615" s="9"/>
      <c r="AD2615" s="9"/>
      <c r="AE2615" s="9"/>
      <c r="AF2615" s="40"/>
      <c r="AG2615" s="56"/>
      <c r="AH2615" s="56"/>
      <c r="AI2615" s="56"/>
      <c r="AJ2615" s="56"/>
    </row>
    <row r="2616" spans="1:36" x14ac:dyDescent="0.3">
      <c r="A2616" s="47">
        <f t="shared" si="598"/>
        <v>2353</v>
      </c>
      <c r="B2616" s="414" t="s">
        <v>3299</v>
      </c>
      <c r="C2616" s="51">
        <f t="shared" si="595"/>
        <v>397614.37</v>
      </c>
      <c r="D2616" s="51">
        <f t="shared" si="596"/>
        <v>0</v>
      </c>
      <c r="E2616" s="364"/>
      <c r="F2616" s="51"/>
      <c r="G2616" s="51"/>
      <c r="H2616" s="51"/>
      <c r="I2616" s="51"/>
      <c r="J2616" s="51"/>
      <c r="K2616" s="51"/>
      <c r="L2616" s="51"/>
      <c r="M2616" s="35"/>
      <c r="N2616" s="51"/>
      <c r="O2616" s="82"/>
      <c r="P2616" s="364"/>
      <c r="Q2616" s="338"/>
      <c r="R2616" s="364"/>
      <c r="S2616" s="51"/>
      <c r="T2616" s="338"/>
      <c r="U2616" s="51"/>
      <c r="V2616" s="35"/>
      <c r="W2616" s="364">
        <f t="shared" si="597"/>
        <v>397614.37</v>
      </c>
      <c r="X2616" s="9"/>
      <c r="Y2616" s="9">
        <v>397614.37</v>
      </c>
      <c r="Z2616" s="9"/>
      <c r="AA2616" s="9"/>
      <c r="AB2616" s="9"/>
      <c r="AC2616" s="9"/>
      <c r="AD2616" s="9"/>
      <c r="AE2616" s="9"/>
      <c r="AF2616" s="40"/>
      <c r="AG2616" s="56"/>
      <c r="AH2616" s="56"/>
      <c r="AI2616" s="56"/>
      <c r="AJ2616" s="56"/>
    </row>
    <row r="2617" spans="1:36" x14ac:dyDescent="0.3">
      <c r="A2617" s="47">
        <f t="shared" si="598"/>
        <v>2354</v>
      </c>
      <c r="B2617" s="414" t="s">
        <v>3300</v>
      </c>
      <c r="C2617" s="51">
        <f t="shared" si="595"/>
        <v>554133.29</v>
      </c>
      <c r="D2617" s="51">
        <f t="shared" si="596"/>
        <v>0</v>
      </c>
      <c r="E2617" s="364"/>
      <c r="F2617" s="51"/>
      <c r="G2617" s="51"/>
      <c r="H2617" s="51"/>
      <c r="I2617" s="51"/>
      <c r="J2617" s="51"/>
      <c r="K2617" s="51"/>
      <c r="L2617" s="51"/>
      <c r="M2617" s="35"/>
      <c r="N2617" s="51"/>
      <c r="O2617" s="82"/>
      <c r="P2617" s="364"/>
      <c r="Q2617" s="338"/>
      <c r="R2617" s="364"/>
      <c r="S2617" s="51"/>
      <c r="T2617" s="338"/>
      <c r="U2617" s="51"/>
      <c r="V2617" s="35"/>
      <c r="W2617" s="364">
        <f t="shared" si="597"/>
        <v>554133.29</v>
      </c>
      <c r="X2617" s="9"/>
      <c r="Y2617" s="9">
        <v>207594.6</v>
      </c>
      <c r="Z2617" s="9"/>
      <c r="AA2617" s="9"/>
      <c r="AB2617" s="9"/>
      <c r="AC2617" s="9"/>
      <c r="AD2617" s="9"/>
      <c r="AE2617" s="9"/>
      <c r="AF2617" s="40">
        <v>346538.69</v>
      </c>
      <c r="AG2617" s="56"/>
      <c r="AH2617" s="56"/>
      <c r="AI2617" s="56"/>
      <c r="AJ2617" s="56"/>
    </row>
    <row r="2618" spans="1:36" x14ac:dyDescent="0.3">
      <c r="A2618" s="47">
        <f t="shared" si="598"/>
        <v>2355</v>
      </c>
      <c r="B2618" s="414" t="s">
        <v>3301</v>
      </c>
      <c r="C2618" s="51">
        <f t="shared" si="595"/>
        <v>6960550.8499999996</v>
      </c>
      <c r="D2618" s="51">
        <f t="shared" si="596"/>
        <v>0</v>
      </c>
      <c r="E2618" s="364"/>
      <c r="F2618" s="51"/>
      <c r="G2618" s="51"/>
      <c r="H2618" s="51"/>
      <c r="I2618" s="51"/>
      <c r="J2618" s="51"/>
      <c r="K2618" s="51"/>
      <c r="L2618" s="51"/>
      <c r="M2618" s="35"/>
      <c r="N2618" s="51">
        <f>1027*6243</f>
        <v>6411561</v>
      </c>
      <c r="O2618" s="82"/>
      <c r="P2618" s="51"/>
      <c r="Q2618" s="338"/>
      <c r="R2618" s="51"/>
      <c r="S2618" s="51"/>
      <c r="T2618" s="338"/>
      <c r="U2618" s="51"/>
      <c r="V2618" s="35"/>
      <c r="W2618" s="364">
        <f t="shared" si="597"/>
        <v>548989.85</v>
      </c>
      <c r="X2618" s="9"/>
      <c r="Y2618" s="9"/>
      <c r="Z2618" s="9"/>
      <c r="AA2618" s="9"/>
      <c r="AB2618" s="9"/>
      <c r="AC2618" s="9"/>
      <c r="AD2618" s="9"/>
      <c r="AE2618" s="9">
        <v>329453.05</v>
      </c>
      <c r="AF2618" s="40">
        <v>219536.8</v>
      </c>
      <c r="AG2618" s="56"/>
      <c r="AH2618" s="56"/>
      <c r="AI2618" s="56"/>
      <c r="AJ2618" s="56"/>
    </row>
    <row r="2619" spans="1:36" x14ac:dyDescent="0.3">
      <c r="A2619" s="47">
        <f t="shared" si="598"/>
        <v>2356</v>
      </c>
      <c r="B2619" s="414" t="s">
        <v>3302</v>
      </c>
      <c r="C2619" s="51">
        <f t="shared" si="595"/>
        <v>516359.28</v>
      </c>
      <c r="D2619" s="51">
        <f t="shared" si="596"/>
        <v>0</v>
      </c>
      <c r="E2619" s="364"/>
      <c r="F2619" s="51"/>
      <c r="G2619" s="51"/>
      <c r="H2619" s="51"/>
      <c r="I2619" s="51"/>
      <c r="J2619" s="51"/>
      <c r="K2619" s="51"/>
      <c r="L2619" s="51"/>
      <c r="M2619" s="35"/>
      <c r="N2619" s="364"/>
      <c r="O2619" s="82"/>
      <c r="P2619" s="364"/>
      <c r="Q2619" s="338"/>
      <c r="R2619" s="364"/>
      <c r="S2619" s="51"/>
      <c r="T2619" s="338"/>
      <c r="U2619" s="51"/>
      <c r="V2619" s="35"/>
      <c r="W2619" s="364">
        <f t="shared" si="597"/>
        <v>516359.28</v>
      </c>
      <c r="X2619" s="9"/>
      <c r="Y2619" s="9">
        <v>181514.5</v>
      </c>
      <c r="Z2619" s="9"/>
      <c r="AA2619" s="9"/>
      <c r="AB2619" s="9"/>
      <c r="AC2619" s="9"/>
      <c r="AD2619" s="9"/>
      <c r="AE2619" s="9">
        <v>334844.78000000003</v>
      </c>
      <c r="AF2619" s="40"/>
      <c r="AG2619" s="56"/>
      <c r="AH2619" s="56"/>
      <c r="AI2619" s="56"/>
      <c r="AJ2619" s="56"/>
    </row>
    <row r="2620" spans="1:36" x14ac:dyDescent="0.3">
      <c r="A2620" s="47">
        <f t="shared" si="598"/>
        <v>2357</v>
      </c>
      <c r="B2620" s="414" t="s">
        <v>3303</v>
      </c>
      <c r="C2620" s="51">
        <f t="shared" si="595"/>
        <v>210495.92</v>
      </c>
      <c r="D2620" s="51">
        <f t="shared" si="596"/>
        <v>0</v>
      </c>
      <c r="E2620" s="364"/>
      <c r="F2620" s="51"/>
      <c r="G2620" s="51"/>
      <c r="H2620" s="51"/>
      <c r="I2620" s="51"/>
      <c r="J2620" s="51"/>
      <c r="K2620" s="51"/>
      <c r="L2620" s="51"/>
      <c r="M2620" s="35"/>
      <c r="N2620" s="51"/>
      <c r="O2620" s="82"/>
      <c r="P2620" s="51"/>
      <c r="Q2620" s="338"/>
      <c r="R2620" s="51"/>
      <c r="S2620" s="51"/>
      <c r="T2620" s="338"/>
      <c r="U2620" s="51"/>
      <c r="V2620" s="35"/>
      <c r="W2620" s="364">
        <f t="shared" si="597"/>
        <v>210495.92</v>
      </c>
      <c r="X2620" s="9"/>
      <c r="Y2620" s="9">
        <v>210495.92</v>
      </c>
      <c r="Z2620" s="9"/>
      <c r="AA2620" s="9"/>
      <c r="AB2620" s="9"/>
      <c r="AC2620" s="9"/>
      <c r="AD2620" s="9"/>
      <c r="AE2620" s="9"/>
      <c r="AF2620" s="40"/>
      <c r="AG2620" s="56"/>
      <c r="AH2620" s="56"/>
      <c r="AI2620" s="56"/>
      <c r="AJ2620" s="56"/>
    </row>
    <row r="2621" spans="1:36" x14ac:dyDescent="0.3">
      <c r="A2621" s="47">
        <f t="shared" si="598"/>
        <v>2358</v>
      </c>
      <c r="B2621" s="414" t="s">
        <v>3304</v>
      </c>
      <c r="C2621" s="51">
        <f t="shared" si="595"/>
        <v>214117.26</v>
      </c>
      <c r="D2621" s="51">
        <f t="shared" si="596"/>
        <v>0</v>
      </c>
      <c r="E2621" s="364"/>
      <c r="F2621" s="51"/>
      <c r="G2621" s="51"/>
      <c r="H2621" s="51"/>
      <c r="I2621" s="51"/>
      <c r="J2621" s="51"/>
      <c r="K2621" s="51"/>
      <c r="L2621" s="51"/>
      <c r="M2621" s="35"/>
      <c r="N2621" s="51"/>
      <c r="O2621" s="82"/>
      <c r="P2621" s="51"/>
      <c r="Q2621" s="338"/>
      <c r="R2621" s="51"/>
      <c r="S2621" s="51"/>
      <c r="T2621" s="338"/>
      <c r="U2621" s="51"/>
      <c r="V2621" s="35"/>
      <c r="W2621" s="364">
        <f t="shared" si="597"/>
        <v>214117.26</v>
      </c>
      <c r="X2621" s="9"/>
      <c r="Y2621" s="9">
        <v>214117.26</v>
      </c>
      <c r="Z2621" s="9"/>
      <c r="AA2621" s="9"/>
      <c r="AB2621" s="9"/>
      <c r="AC2621" s="9"/>
      <c r="AD2621" s="9"/>
      <c r="AE2621" s="9"/>
      <c r="AF2621" s="40"/>
      <c r="AG2621" s="56"/>
      <c r="AH2621" s="56"/>
      <c r="AI2621" s="56"/>
      <c r="AJ2621" s="56"/>
    </row>
    <row r="2622" spans="1:36" x14ac:dyDescent="0.3">
      <c r="A2622" s="47">
        <f t="shared" si="598"/>
        <v>2359</v>
      </c>
      <c r="B2622" s="414" t="s">
        <v>3305</v>
      </c>
      <c r="C2622" s="51">
        <f t="shared" si="595"/>
        <v>363490.77</v>
      </c>
      <c r="D2622" s="51">
        <f t="shared" si="596"/>
        <v>0</v>
      </c>
      <c r="E2622" s="51"/>
      <c r="F2622" s="51"/>
      <c r="G2622" s="364"/>
      <c r="H2622" s="51"/>
      <c r="I2622" s="51"/>
      <c r="J2622" s="51"/>
      <c r="K2622" s="51"/>
      <c r="L2622" s="51"/>
      <c r="M2622" s="35"/>
      <c r="N2622" s="51"/>
      <c r="O2622" s="82"/>
      <c r="P2622" s="51"/>
      <c r="Q2622" s="338"/>
      <c r="R2622" s="51"/>
      <c r="S2622" s="51"/>
      <c r="T2622" s="338"/>
      <c r="U2622" s="51"/>
      <c r="V2622" s="35"/>
      <c r="W2622" s="364">
        <f t="shared" si="597"/>
        <v>363490.77</v>
      </c>
      <c r="X2622" s="9"/>
      <c r="Y2622" s="9">
        <v>205284.23</v>
      </c>
      <c r="Z2622" s="9"/>
      <c r="AA2622" s="9"/>
      <c r="AB2622" s="9"/>
      <c r="AC2622" s="9"/>
      <c r="AD2622" s="9"/>
      <c r="AE2622" s="9"/>
      <c r="AF2622" s="40">
        <v>158206.54</v>
      </c>
      <c r="AG2622" s="56"/>
      <c r="AH2622" s="56"/>
      <c r="AI2622" s="56"/>
      <c r="AJ2622" s="56"/>
    </row>
    <row r="2623" spans="1:36" x14ac:dyDescent="0.3">
      <c r="A2623" s="47">
        <f t="shared" si="598"/>
        <v>2360</v>
      </c>
      <c r="B2623" s="414" t="s">
        <v>3306</v>
      </c>
      <c r="C2623" s="51">
        <f t="shared" si="595"/>
        <v>123739.86</v>
      </c>
      <c r="D2623" s="51">
        <f t="shared" si="596"/>
        <v>0</v>
      </c>
      <c r="E2623" s="51"/>
      <c r="F2623" s="51"/>
      <c r="G2623" s="51"/>
      <c r="H2623" s="51"/>
      <c r="I2623" s="51"/>
      <c r="J2623" s="51"/>
      <c r="K2623" s="51"/>
      <c r="L2623" s="51"/>
      <c r="M2623" s="35"/>
      <c r="N2623" s="51"/>
      <c r="O2623" s="82"/>
      <c r="P2623" s="364"/>
      <c r="Q2623" s="338"/>
      <c r="R2623" s="364"/>
      <c r="S2623" s="51"/>
      <c r="T2623" s="338"/>
      <c r="U2623" s="51"/>
      <c r="V2623" s="35"/>
      <c r="W2623" s="364">
        <f t="shared" si="597"/>
        <v>123739.86</v>
      </c>
      <c r="X2623" s="9"/>
      <c r="Y2623" s="9"/>
      <c r="Z2623" s="9"/>
      <c r="AA2623" s="9"/>
      <c r="AB2623" s="9"/>
      <c r="AC2623" s="9"/>
      <c r="AD2623" s="9"/>
      <c r="AE2623" s="9"/>
      <c r="AF2623" s="40">
        <v>123739.86</v>
      </c>
      <c r="AG2623" s="56"/>
      <c r="AH2623" s="56"/>
      <c r="AI2623" s="56"/>
      <c r="AJ2623" s="56"/>
    </row>
    <row r="2624" spans="1:36" x14ac:dyDescent="0.3">
      <c r="A2624" s="47">
        <f t="shared" si="598"/>
        <v>2361</v>
      </c>
      <c r="B2624" s="414" t="s">
        <v>3307</v>
      </c>
      <c r="C2624" s="51">
        <f t="shared" si="595"/>
        <v>522257.24</v>
      </c>
      <c r="D2624" s="51">
        <f t="shared" si="596"/>
        <v>0</v>
      </c>
      <c r="E2624" s="364"/>
      <c r="F2624" s="51"/>
      <c r="G2624" s="51"/>
      <c r="H2624" s="51"/>
      <c r="I2624" s="51"/>
      <c r="J2624" s="51"/>
      <c r="K2624" s="51"/>
      <c r="L2624" s="51"/>
      <c r="M2624" s="35"/>
      <c r="N2624" s="51"/>
      <c r="O2624" s="82"/>
      <c r="P2624" s="364"/>
      <c r="Q2624" s="338"/>
      <c r="R2624" s="364"/>
      <c r="S2624" s="51"/>
      <c r="T2624" s="338"/>
      <c r="U2624" s="51"/>
      <c r="V2624" s="35"/>
      <c r="W2624" s="364">
        <f t="shared" si="597"/>
        <v>522257.24</v>
      </c>
      <c r="X2624" s="9"/>
      <c r="Y2624" s="9">
        <v>210495.92</v>
      </c>
      <c r="Z2624" s="9"/>
      <c r="AA2624" s="9"/>
      <c r="AB2624" s="9"/>
      <c r="AC2624" s="9"/>
      <c r="AD2624" s="9"/>
      <c r="AE2624" s="9"/>
      <c r="AF2624" s="40">
        <v>311761.32</v>
      </c>
      <c r="AG2624" s="56"/>
      <c r="AH2624" s="56"/>
      <c r="AI2624" s="56"/>
      <c r="AJ2624" s="56"/>
    </row>
    <row r="2625" spans="1:36" x14ac:dyDescent="0.3">
      <c r="A2625" s="47">
        <f t="shared" si="598"/>
        <v>2362</v>
      </c>
      <c r="B2625" s="414" t="s">
        <v>3308</v>
      </c>
      <c r="C2625" s="51">
        <f t="shared" si="595"/>
        <v>250335.31</v>
      </c>
      <c r="D2625" s="51">
        <f t="shared" si="596"/>
        <v>0</v>
      </c>
      <c r="E2625" s="51"/>
      <c r="F2625" s="51"/>
      <c r="G2625" s="51"/>
      <c r="H2625" s="51"/>
      <c r="I2625" s="51"/>
      <c r="J2625" s="51"/>
      <c r="K2625" s="51"/>
      <c r="L2625" s="51"/>
      <c r="M2625" s="35"/>
      <c r="N2625" s="51"/>
      <c r="O2625" s="82"/>
      <c r="P2625" s="364"/>
      <c r="Q2625" s="338"/>
      <c r="R2625" s="364"/>
      <c r="S2625" s="51"/>
      <c r="T2625" s="338"/>
      <c r="U2625" s="51"/>
      <c r="V2625" s="35"/>
      <c r="W2625" s="364">
        <f t="shared" si="597"/>
        <v>250335.31</v>
      </c>
      <c r="X2625" s="9"/>
      <c r="Y2625" s="9"/>
      <c r="Z2625" s="9"/>
      <c r="AA2625" s="9"/>
      <c r="AB2625" s="9"/>
      <c r="AC2625" s="9"/>
      <c r="AD2625" s="9"/>
      <c r="AE2625" s="9"/>
      <c r="AF2625" s="40">
        <v>250335.31</v>
      </c>
      <c r="AG2625" s="56"/>
      <c r="AH2625" s="56"/>
      <c r="AI2625" s="56"/>
      <c r="AJ2625" s="56"/>
    </row>
    <row r="2626" spans="1:36" x14ac:dyDescent="0.3">
      <c r="A2626" s="47">
        <f t="shared" si="598"/>
        <v>2363</v>
      </c>
      <c r="B2626" s="414" t="s">
        <v>3309</v>
      </c>
      <c r="C2626" s="51">
        <f t="shared" si="595"/>
        <v>320781.64</v>
      </c>
      <c r="D2626" s="51">
        <f t="shared" si="596"/>
        <v>0</v>
      </c>
      <c r="E2626" s="51"/>
      <c r="F2626" s="51"/>
      <c r="G2626" s="51"/>
      <c r="H2626" s="51"/>
      <c r="I2626" s="51"/>
      <c r="J2626" s="51"/>
      <c r="K2626" s="51"/>
      <c r="L2626" s="51"/>
      <c r="M2626" s="35"/>
      <c r="N2626" s="364"/>
      <c r="O2626" s="82"/>
      <c r="P2626" s="364"/>
      <c r="Q2626" s="338"/>
      <c r="R2626" s="364"/>
      <c r="S2626" s="51"/>
      <c r="T2626" s="338"/>
      <c r="U2626" s="51"/>
      <c r="V2626" s="35"/>
      <c r="W2626" s="364">
        <f t="shared" si="597"/>
        <v>320781.64</v>
      </c>
      <c r="X2626" s="9"/>
      <c r="Y2626" s="9"/>
      <c r="Z2626" s="9"/>
      <c r="AA2626" s="9"/>
      <c r="AB2626" s="9"/>
      <c r="AC2626" s="9"/>
      <c r="AD2626" s="9"/>
      <c r="AE2626" s="9">
        <v>320781.64</v>
      </c>
      <c r="AF2626" s="40"/>
      <c r="AG2626" s="56"/>
      <c r="AH2626" s="56"/>
      <c r="AI2626" s="56"/>
      <c r="AJ2626" s="56"/>
    </row>
    <row r="2627" spans="1:36" x14ac:dyDescent="0.3">
      <c r="A2627" s="47">
        <f t="shared" si="598"/>
        <v>2364</v>
      </c>
      <c r="B2627" s="414" t="s">
        <v>3310</v>
      </c>
      <c r="C2627" s="51">
        <f t="shared" si="595"/>
        <v>217024.57</v>
      </c>
      <c r="D2627" s="51">
        <f t="shared" si="596"/>
        <v>0</v>
      </c>
      <c r="E2627" s="51"/>
      <c r="F2627" s="51"/>
      <c r="G2627" s="51"/>
      <c r="H2627" s="51"/>
      <c r="I2627" s="51"/>
      <c r="J2627" s="51"/>
      <c r="K2627" s="51"/>
      <c r="L2627" s="51"/>
      <c r="M2627" s="35"/>
      <c r="N2627" s="51"/>
      <c r="O2627" s="82"/>
      <c r="P2627" s="364"/>
      <c r="Q2627" s="338"/>
      <c r="R2627" s="364"/>
      <c r="S2627" s="51"/>
      <c r="T2627" s="338"/>
      <c r="U2627" s="51"/>
      <c r="V2627" s="35"/>
      <c r="W2627" s="364">
        <f t="shared" si="597"/>
        <v>217024.57</v>
      </c>
      <c r="X2627" s="9"/>
      <c r="Y2627" s="9"/>
      <c r="Z2627" s="9"/>
      <c r="AA2627" s="9"/>
      <c r="AB2627" s="9"/>
      <c r="AC2627" s="9"/>
      <c r="AD2627" s="9"/>
      <c r="AE2627" s="9"/>
      <c r="AF2627" s="40">
        <v>217024.57</v>
      </c>
      <c r="AG2627" s="56"/>
      <c r="AH2627" s="56"/>
      <c r="AI2627" s="56"/>
      <c r="AJ2627" s="56"/>
    </row>
    <row r="2628" spans="1:36" x14ac:dyDescent="0.3">
      <c r="A2628" s="47">
        <f t="shared" si="598"/>
        <v>2365</v>
      </c>
      <c r="B2628" s="414" t="s">
        <v>3311</v>
      </c>
      <c r="C2628" s="51">
        <f t="shared" si="595"/>
        <v>173502.96</v>
      </c>
      <c r="D2628" s="51">
        <f t="shared" si="596"/>
        <v>0</v>
      </c>
      <c r="E2628" s="51"/>
      <c r="F2628" s="51"/>
      <c r="G2628" s="51"/>
      <c r="H2628" s="51"/>
      <c r="I2628" s="51"/>
      <c r="J2628" s="51"/>
      <c r="K2628" s="51"/>
      <c r="L2628" s="51"/>
      <c r="M2628" s="35"/>
      <c r="N2628" s="51"/>
      <c r="O2628" s="82"/>
      <c r="P2628" s="364"/>
      <c r="Q2628" s="338"/>
      <c r="R2628" s="364"/>
      <c r="S2628" s="51"/>
      <c r="T2628" s="338"/>
      <c r="U2628" s="51"/>
      <c r="V2628" s="35"/>
      <c r="W2628" s="364">
        <f t="shared" si="597"/>
        <v>173502.96</v>
      </c>
      <c r="X2628" s="9"/>
      <c r="Y2628" s="9"/>
      <c r="Z2628" s="9"/>
      <c r="AA2628" s="9"/>
      <c r="AB2628" s="9"/>
      <c r="AC2628" s="9"/>
      <c r="AD2628" s="9"/>
      <c r="AE2628" s="9"/>
      <c r="AF2628" s="40">
        <v>173502.96</v>
      </c>
      <c r="AG2628" s="56"/>
      <c r="AH2628" s="56"/>
      <c r="AI2628" s="56"/>
      <c r="AJ2628" s="56"/>
    </row>
    <row r="2629" spans="1:36" x14ac:dyDescent="0.3">
      <c r="A2629" s="47">
        <f t="shared" si="598"/>
        <v>2366</v>
      </c>
      <c r="B2629" s="414" t="s">
        <v>3312</v>
      </c>
      <c r="C2629" s="51">
        <f t="shared" si="595"/>
        <v>146564.63</v>
      </c>
      <c r="D2629" s="51">
        <f t="shared" si="596"/>
        <v>0</v>
      </c>
      <c r="E2629" s="51"/>
      <c r="F2629" s="51"/>
      <c r="G2629" s="51"/>
      <c r="H2629" s="51"/>
      <c r="I2629" s="51"/>
      <c r="J2629" s="51"/>
      <c r="K2629" s="51"/>
      <c r="L2629" s="51"/>
      <c r="M2629" s="35"/>
      <c r="N2629" s="51"/>
      <c r="O2629" s="82"/>
      <c r="P2629" s="364"/>
      <c r="Q2629" s="338"/>
      <c r="R2629" s="364"/>
      <c r="S2629" s="51"/>
      <c r="T2629" s="338"/>
      <c r="U2629" s="51"/>
      <c r="V2629" s="35"/>
      <c r="W2629" s="364">
        <f t="shared" si="597"/>
        <v>146564.63</v>
      </c>
      <c r="X2629" s="9"/>
      <c r="Y2629" s="9"/>
      <c r="Z2629" s="9"/>
      <c r="AA2629" s="9"/>
      <c r="AB2629" s="9"/>
      <c r="AC2629" s="9"/>
      <c r="AD2629" s="9"/>
      <c r="AE2629" s="9"/>
      <c r="AF2629" s="40">
        <v>146564.63</v>
      </c>
      <c r="AG2629" s="56"/>
      <c r="AH2629" s="56"/>
      <c r="AI2629" s="56"/>
      <c r="AJ2629" s="56"/>
    </row>
    <row r="2630" spans="1:36" x14ac:dyDescent="0.3">
      <c r="A2630" s="47">
        <f t="shared" si="598"/>
        <v>2367</v>
      </c>
      <c r="B2630" s="414" t="s">
        <v>3313</v>
      </c>
      <c r="C2630" s="51">
        <f t="shared" si="595"/>
        <v>146012.48000000001</v>
      </c>
      <c r="D2630" s="51">
        <f t="shared" si="596"/>
        <v>0</v>
      </c>
      <c r="E2630" s="51"/>
      <c r="F2630" s="51"/>
      <c r="G2630" s="51"/>
      <c r="H2630" s="51"/>
      <c r="I2630" s="51"/>
      <c r="J2630" s="51"/>
      <c r="K2630" s="51"/>
      <c r="L2630" s="51"/>
      <c r="M2630" s="35"/>
      <c r="N2630" s="51"/>
      <c r="O2630" s="82"/>
      <c r="P2630" s="364"/>
      <c r="Q2630" s="338"/>
      <c r="R2630" s="364"/>
      <c r="S2630" s="51"/>
      <c r="T2630" s="338"/>
      <c r="U2630" s="51"/>
      <c r="V2630" s="35"/>
      <c r="W2630" s="364">
        <f t="shared" si="597"/>
        <v>146012.48000000001</v>
      </c>
      <c r="X2630" s="9"/>
      <c r="Y2630" s="9"/>
      <c r="Z2630" s="9"/>
      <c r="AA2630" s="9"/>
      <c r="AB2630" s="9"/>
      <c r="AC2630" s="9"/>
      <c r="AD2630" s="9"/>
      <c r="AE2630" s="9"/>
      <c r="AF2630" s="40">
        <v>146012.48000000001</v>
      </c>
      <c r="AG2630" s="56"/>
      <c r="AH2630" s="56"/>
      <c r="AI2630" s="56"/>
      <c r="AJ2630" s="56"/>
    </row>
    <row r="2631" spans="1:36" x14ac:dyDescent="0.3">
      <c r="A2631" s="47">
        <f t="shared" si="598"/>
        <v>2368</v>
      </c>
      <c r="B2631" s="414" t="s">
        <v>3314</v>
      </c>
      <c r="C2631" s="51">
        <f t="shared" si="595"/>
        <v>173084.51</v>
      </c>
      <c r="D2631" s="51">
        <f t="shared" si="596"/>
        <v>0</v>
      </c>
      <c r="E2631" s="51"/>
      <c r="F2631" s="51"/>
      <c r="G2631" s="51"/>
      <c r="H2631" s="51"/>
      <c r="I2631" s="51"/>
      <c r="J2631" s="51"/>
      <c r="K2631" s="51"/>
      <c r="L2631" s="51"/>
      <c r="M2631" s="35"/>
      <c r="N2631" s="51"/>
      <c r="O2631" s="82"/>
      <c r="P2631" s="364"/>
      <c r="Q2631" s="338"/>
      <c r="R2631" s="364"/>
      <c r="S2631" s="51"/>
      <c r="T2631" s="338"/>
      <c r="U2631" s="51"/>
      <c r="V2631" s="35"/>
      <c r="W2631" s="364">
        <f t="shared" si="597"/>
        <v>173084.51</v>
      </c>
      <c r="X2631" s="9"/>
      <c r="Y2631" s="9"/>
      <c r="Z2631" s="9"/>
      <c r="AA2631" s="9"/>
      <c r="AB2631" s="9"/>
      <c r="AC2631" s="9"/>
      <c r="AD2631" s="9"/>
      <c r="AE2631" s="9"/>
      <c r="AF2631" s="40">
        <v>173084.51</v>
      </c>
      <c r="AG2631" s="56"/>
      <c r="AH2631" s="56"/>
      <c r="AI2631" s="56"/>
      <c r="AJ2631" s="56"/>
    </row>
    <row r="2632" spans="1:36" x14ac:dyDescent="0.3">
      <c r="A2632" s="47">
        <f t="shared" si="598"/>
        <v>2369</v>
      </c>
      <c r="B2632" s="414" t="s">
        <v>3315</v>
      </c>
      <c r="C2632" s="51">
        <f t="shared" si="595"/>
        <v>173084.51</v>
      </c>
      <c r="D2632" s="51">
        <f t="shared" si="596"/>
        <v>0</v>
      </c>
      <c r="E2632" s="51"/>
      <c r="F2632" s="51"/>
      <c r="G2632" s="51"/>
      <c r="H2632" s="51"/>
      <c r="I2632" s="51"/>
      <c r="J2632" s="51"/>
      <c r="K2632" s="51"/>
      <c r="L2632" s="51"/>
      <c r="M2632" s="35"/>
      <c r="N2632" s="51"/>
      <c r="O2632" s="82"/>
      <c r="P2632" s="364"/>
      <c r="Q2632" s="338"/>
      <c r="R2632" s="364"/>
      <c r="S2632" s="51"/>
      <c r="T2632" s="338"/>
      <c r="U2632" s="51"/>
      <c r="V2632" s="35"/>
      <c r="W2632" s="364">
        <f t="shared" si="597"/>
        <v>173084.51</v>
      </c>
      <c r="X2632" s="9"/>
      <c r="Y2632" s="9"/>
      <c r="Z2632" s="9"/>
      <c r="AA2632" s="9"/>
      <c r="AB2632" s="9"/>
      <c r="AC2632" s="9"/>
      <c r="AD2632" s="9"/>
      <c r="AE2632" s="9"/>
      <c r="AF2632" s="40">
        <v>173084.51</v>
      </c>
      <c r="AG2632" s="56"/>
      <c r="AH2632" s="56"/>
      <c r="AI2632" s="56"/>
      <c r="AJ2632" s="56"/>
    </row>
    <row r="2633" spans="1:36" x14ac:dyDescent="0.3">
      <c r="A2633" s="47">
        <f t="shared" si="598"/>
        <v>2370</v>
      </c>
      <c r="B2633" s="414" t="s">
        <v>3316</v>
      </c>
      <c r="C2633" s="51">
        <f t="shared" si="595"/>
        <v>468985.46</v>
      </c>
      <c r="D2633" s="51">
        <f t="shared" si="596"/>
        <v>0</v>
      </c>
      <c r="E2633" s="51"/>
      <c r="F2633" s="51"/>
      <c r="G2633" s="51"/>
      <c r="H2633" s="51"/>
      <c r="I2633" s="51"/>
      <c r="J2633" s="51"/>
      <c r="K2633" s="51"/>
      <c r="L2633" s="51"/>
      <c r="M2633" s="35"/>
      <c r="N2633" s="364"/>
      <c r="O2633" s="82"/>
      <c r="P2633" s="364"/>
      <c r="Q2633" s="338"/>
      <c r="R2633" s="364"/>
      <c r="S2633" s="51"/>
      <c r="T2633" s="338"/>
      <c r="U2633" s="51"/>
      <c r="V2633" s="35"/>
      <c r="W2633" s="364">
        <f t="shared" si="597"/>
        <v>468985.46</v>
      </c>
      <c r="X2633" s="9"/>
      <c r="Y2633" s="9"/>
      <c r="Z2633" s="9"/>
      <c r="AA2633" s="9"/>
      <c r="AB2633" s="9"/>
      <c r="AC2633" s="9"/>
      <c r="AD2633" s="9"/>
      <c r="AE2633" s="9">
        <v>468985.46</v>
      </c>
      <c r="AF2633" s="40"/>
      <c r="AG2633" s="56"/>
      <c r="AH2633" s="56"/>
      <c r="AI2633" s="56"/>
      <c r="AJ2633" s="56"/>
    </row>
    <row r="2634" spans="1:36" x14ac:dyDescent="0.3">
      <c r="A2634" s="47">
        <f t="shared" si="598"/>
        <v>2371</v>
      </c>
      <c r="B2634" s="414" t="s">
        <v>3317</v>
      </c>
      <c r="C2634" s="51">
        <f t="shared" si="595"/>
        <v>196162.45</v>
      </c>
      <c r="D2634" s="51">
        <f t="shared" si="596"/>
        <v>0</v>
      </c>
      <c r="E2634" s="51"/>
      <c r="F2634" s="51"/>
      <c r="G2634" s="51"/>
      <c r="H2634" s="51"/>
      <c r="I2634" s="51"/>
      <c r="J2634" s="51"/>
      <c r="K2634" s="51"/>
      <c r="L2634" s="51"/>
      <c r="M2634" s="35"/>
      <c r="N2634" s="51"/>
      <c r="O2634" s="82"/>
      <c r="P2634" s="364"/>
      <c r="Q2634" s="338"/>
      <c r="R2634" s="364"/>
      <c r="S2634" s="51"/>
      <c r="T2634" s="338"/>
      <c r="U2634" s="51"/>
      <c r="V2634" s="35"/>
      <c r="W2634" s="364">
        <f t="shared" si="597"/>
        <v>196162.45</v>
      </c>
      <c r="X2634" s="9"/>
      <c r="Y2634" s="9"/>
      <c r="Z2634" s="9"/>
      <c r="AA2634" s="9"/>
      <c r="AB2634" s="9"/>
      <c r="AC2634" s="9"/>
      <c r="AD2634" s="9"/>
      <c r="AE2634" s="9"/>
      <c r="AF2634" s="40">
        <v>196162.45</v>
      </c>
      <c r="AG2634" s="56"/>
      <c r="AH2634" s="56"/>
      <c r="AI2634" s="56"/>
      <c r="AJ2634" s="56"/>
    </row>
    <row r="2635" spans="1:36" x14ac:dyDescent="0.3">
      <c r="A2635" s="47">
        <f t="shared" si="598"/>
        <v>2372</v>
      </c>
      <c r="B2635" s="414" t="s">
        <v>3318</v>
      </c>
      <c r="C2635" s="51">
        <f t="shared" si="595"/>
        <v>161956.56</v>
      </c>
      <c r="D2635" s="51">
        <f t="shared" si="596"/>
        <v>0</v>
      </c>
      <c r="E2635" s="51"/>
      <c r="F2635" s="51"/>
      <c r="G2635" s="51"/>
      <c r="H2635" s="51"/>
      <c r="I2635" s="51"/>
      <c r="J2635" s="51"/>
      <c r="K2635" s="51"/>
      <c r="L2635" s="51"/>
      <c r="M2635" s="35"/>
      <c r="N2635" s="51"/>
      <c r="O2635" s="82"/>
      <c r="P2635" s="364"/>
      <c r="Q2635" s="338"/>
      <c r="R2635" s="364"/>
      <c r="S2635" s="51"/>
      <c r="T2635" s="338"/>
      <c r="U2635" s="51"/>
      <c r="V2635" s="35"/>
      <c r="W2635" s="364">
        <f t="shared" si="597"/>
        <v>161956.56</v>
      </c>
      <c r="X2635" s="9"/>
      <c r="Y2635" s="9"/>
      <c r="Z2635" s="9"/>
      <c r="AA2635" s="9"/>
      <c r="AB2635" s="9"/>
      <c r="AC2635" s="9"/>
      <c r="AD2635" s="9"/>
      <c r="AE2635" s="9"/>
      <c r="AF2635" s="40">
        <v>161956.56</v>
      </c>
      <c r="AG2635" s="56"/>
      <c r="AH2635" s="56"/>
      <c r="AI2635" s="56"/>
      <c r="AJ2635" s="56"/>
    </row>
    <row r="2636" spans="1:36" x14ac:dyDescent="0.3">
      <c r="A2636" s="47">
        <f t="shared" si="598"/>
        <v>2373</v>
      </c>
      <c r="B2636" s="414" t="s">
        <v>3319</v>
      </c>
      <c r="C2636" s="51">
        <f t="shared" si="595"/>
        <v>155097.51999999999</v>
      </c>
      <c r="D2636" s="51">
        <f t="shared" si="596"/>
        <v>0</v>
      </c>
      <c r="E2636" s="51"/>
      <c r="F2636" s="51"/>
      <c r="G2636" s="51"/>
      <c r="H2636" s="51"/>
      <c r="I2636" s="51"/>
      <c r="J2636" s="51"/>
      <c r="K2636" s="51"/>
      <c r="L2636" s="51"/>
      <c r="M2636" s="35"/>
      <c r="N2636" s="51"/>
      <c r="O2636" s="82"/>
      <c r="P2636" s="364"/>
      <c r="Q2636" s="338"/>
      <c r="R2636" s="364"/>
      <c r="S2636" s="51"/>
      <c r="T2636" s="338"/>
      <c r="U2636" s="51"/>
      <c r="V2636" s="35"/>
      <c r="W2636" s="364">
        <f t="shared" si="597"/>
        <v>155097.51999999999</v>
      </c>
      <c r="X2636" s="9"/>
      <c r="Y2636" s="9"/>
      <c r="Z2636" s="9"/>
      <c r="AA2636" s="9"/>
      <c r="AB2636" s="9"/>
      <c r="AC2636" s="9"/>
      <c r="AD2636" s="9"/>
      <c r="AE2636" s="9"/>
      <c r="AF2636" s="40">
        <v>155097.51999999999</v>
      </c>
      <c r="AG2636" s="56"/>
      <c r="AH2636" s="56"/>
      <c r="AI2636" s="56"/>
      <c r="AJ2636" s="56"/>
    </row>
    <row r="2637" spans="1:36" x14ac:dyDescent="0.3">
      <c r="A2637" s="47">
        <f t="shared" si="598"/>
        <v>2374</v>
      </c>
      <c r="B2637" s="414" t="s">
        <v>3320</v>
      </c>
      <c r="C2637" s="51">
        <f t="shared" si="595"/>
        <v>275810.52</v>
      </c>
      <c r="D2637" s="51">
        <f t="shared" si="596"/>
        <v>0</v>
      </c>
      <c r="E2637" s="51"/>
      <c r="F2637" s="51"/>
      <c r="G2637" s="51"/>
      <c r="H2637" s="51"/>
      <c r="I2637" s="51"/>
      <c r="J2637" s="51"/>
      <c r="K2637" s="51"/>
      <c r="L2637" s="51"/>
      <c r="M2637" s="35"/>
      <c r="N2637" s="364"/>
      <c r="O2637" s="82"/>
      <c r="P2637" s="364"/>
      <c r="Q2637" s="338"/>
      <c r="R2637" s="364"/>
      <c r="S2637" s="51"/>
      <c r="T2637" s="338"/>
      <c r="U2637" s="51"/>
      <c r="V2637" s="35"/>
      <c r="W2637" s="364">
        <f t="shared" si="597"/>
        <v>275810.52</v>
      </c>
      <c r="X2637" s="9"/>
      <c r="Y2637" s="9"/>
      <c r="Z2637" s="9"/>
      <c r="AA2637" s="9"/>
      <c r="AB2637" s="9"/>
      <c r="AC2637" s="9"/>
      <c r="AD2637" s="9"/>
      <c r="AE2637" s="9">
        <v>275810.52</v>
      </c>
      <c r="AF2637" s="40"/>
      <c r="AG2637" s="56"/>
      <c r="AH2637" s="56"/>
      <c r="AI2637" s="56"/>
      <c r="AJ2637" s="56"/>
    </row>
    <row r="2638" spans="1:36" x14ac:dyDescent="0.3">
      <c r="A2638" s="47">
        <f t="shared" si="598"/>
        <v>2375</v>
      </c>
      <c r="B2638" s="414" t="s">
        <v>3321</v>
      </c>
      <c r="C2638" s="51">
        <f t="shared" si="595"/>
        <v>275810.52</v>
      </c>
      <c r="D2638" s="51">
        <f t="shared" si="596"/>
        <v>0</v>
      </c>
      <c r="E2638" s="51"/>
      <c r="F2638" s="51"/>
      <c r="G2638" s="51"/>
      <c r="H2638" s="51"/>
      <c r="I2638" s="51"/>
      <c r="J2638" s="51"/>
      <c r="K2638" s="51"/>
      <c r="L2638" s="51"/>
      <c r="M2638" s="35"/>
      <c r="N2638" s="364"/>
      <c r="O2638" s="82"/>
      <c r="P2638" s="364"/>
      <c r="Q2638" s="338"/>
      <c r="R2638" s="364"/>
      <c r="S2638" s="51"/>
      <c r="T2638" s="338"/>
      <c r="U2638" s="51"/>
      <c r="V2638" s="35"/>
      <c r="W2638" s="364">
        <f t="shared" si="597"/>
        <v>275810.52</v>
      </c>
      <c r="X2638" s="9"/>
      <c r="Y2638" s="9"/>
      <c r="Z2638" s="9"/>
      <c r="AA2638" s="9"/>
      <c r="AB2638" s="9"/>
      <c r="AC2638" s="9"/>
      <c r="AD2638" s="9"/>
      <c r="AE2638" s="9">
        <v>275810.52</v>
      </c>
      <c r="AF2638" s="40"/>
      <c r="AG2638" s="56"/>
      <c r="AH2638" s="56"/>
      <c r="AI2638" s="56"/>
      <c r="AJ2638" s="56"/>
    </row>
    <row r="2639" spans="1:36" x14ac:dyDescent="0.3">
      <c r="A2639" s="47">
        <f t="shared" si="598"/>
        <v>2376</v>
      </c>
      <c r="B2639" s="414" t="s">
        <v>3322</v>
      </c>
      <c r="C2639" s="51">
        <f t="shared" si="595"/>
        <v>234560.5</v>
      </c>
      <c r="D2639" s="51">
        <f t="shared" si="596"/>
        <v>0</v>
      </c>
      <c r="E2639" s="364"/>
      <c r="F2639" s="51"/>
      <c r="G2639" s="51"/>
      <c r="H2639" s="51"/>
      <c r="I2639" s="51"/>
      <c r="J2639" s="51"/>
      <c r="K2639" s="51"/>
      <c r="L2639" s="51"/>
      <c r="M2639" s="35"/>
      <c r="N2639" s="51"/>
      <c r="O2639" s="82"/>
      <c r="P2639" s="51"/>
      <c r="Q2639" s="338"/>
      <c r="R2639" s="51"/>
      <c r="S2639" s="51"/>
      <c r="T2639" s="338"/>
      <c r="U2639" s="51"/>
      <c r="V2639" s="35"/>
      <c r="W2639" s="364">
        <f t="shared" si="597"/>
        <v>234560.5</v>
      </c>
      <c r="X2639" s="9"/>
      <c r="Y2639" s="9">
        <v>234560.5</v>
      </c>
      <c r="Z2639" s="9"/>
      <c r="AA2639" s="9"/>
      <c r="AB2639" s="9"/>
      <c r="AC2639" s="9"/>
      <c r="AD2639" s="9"/>
      <c r="AE2639" s="9"/>
      <c r="AF2639" s="40"/>
      <c r="AG2639" s="56"/>
      <c r="AH2639" s="56"/>
      <c r="AI2639" s="56"/>
      <c r="AJ2639" s="56"/>
    </row>
    <row r="2640" spans="1:36" x14ac:dyDescent="0.3">
      <c r="A2640" s="47">
        <f t="shared" si="598"/>
        <v>2377</v>
      </c>
      <c r="B2640" s="414" t="s">
        <v>3323</v>
      </c>
      <c r="C2640" s="51">
        <f t="shared" si="595"/>
        <v>3825856</v>
      </c>
      <c r="D2640" s="51">
        <f t="shared" si="596"/>
        <v>0</v>
      </c>
      <c r="E2640" s="51"/>
      <c r="F2640" s="51"/>
      <c r="G2640" s="51"/>
      <c r="H2640" s="51"/>
      <c r="I2640" s="51"/>
      <c r="J2640" s="364"/>
      <c r="K2640" s="51"/>
      <c r="L2640" s="51"/>
      <c r="M2640" s="35"/>
      <c r="N2640" s="51">
        <f>592*6243</f>
        <v>3695856</v>
      </c>
      <c r="O2640" s="82"/>
      <c r="P2640" s="51"/>
      <c r="Q2640" s="338"/>
      <c r="R2640" s="51"/>
      <c r="S2640" s="51"/>
      <c r="T2640" s="338"/>
      <c r="U2640" s="51"/>
      <c r="V2640" s="35"/>
      <c r="W2640" s="364">
        <v>130000</v>
      </c>
      <c r="X2640" s="9"/>
      <c r="Y2640" s="9"/>
      <c r="Z2640" s="9"/>
      <c r="AA2640" s="9"/>
      <c r="AB2640" s="9"/>
      <c r="AC2640" s="9"/>
      <c r="AD2640" s="9"/>
      <c r="AE2640" s="9"/>
      <c r="AF2640" s="40"/>
      <c r="AG2640" s="56"/>
      <c r="AH2640" s="56"/>
      <c r="AI2640" s="56"/>
      <c r="AJ2640" s="56"/>
    </row>
    <row r="2641" spans="1:36" x14ac:dyDescent="0.3">
      <c r="A2641" s="47">
        <f t="shared" si="598"/>
        <v>2378</v>
      </c>
      <c r="B2641" s="414" t="s">
        <v>3324</v>
      </c>
      <c r="C2641" s="51">
        <f t="shared" si="595"/>
        <v>3825856</v>
      </c>
      <c r="D2641" s="51">
        <f t="shared" si="596"/>
        <v>0</v>
      </c>
      <c r="E2641" s="51"/>
      <c r="F2641" s="51"/>
      <c r="G2641" s="51"/>
      <c r="H2641" s="51"/>
      <c r="I2641" s="51"/>
      <c r="J2641" s="364"/>
      <c r="K2641" s="51"/>
      <c r="L2641" s="51"/>
      <c r="M2641" s="35"/>
      <c r="N2641" s="51">
        <f>592*6243</f>
        <v>3695856</v>
      </c>
      <c r="O2641" s="82"/>
      <c r="P2641" s="51"/>
      <c r="Q2641" s="338"/>
      <c r="R2641" s="51"/>
      <c r="S2641" s="51"/>
      <c r="T2641" s="338"/>
      <c r="U2641" s="51"/>
      <c r="V2641" s="35"/>
      <c r="W2641" s="364">
        <v>130000</v>
      </c>
      <c r="X2641" s="9"/>
      <c r="Y2641" s="9"/>
      <c r="Z2641" s="9"/>
      <c r="AA2641" s="9"/>
      <c r="AB2641" s="9"/>
      <c r="AC2641" s="9"/>
      <c r="AD2641" s="9"/>
      <c r="AE2641" s="9"/>
      <c r="AF2641" s="40"/>
      <c r="AG2641" s="56"/>
      <c r="AH2641" s="56"/>
      <c r="AI2641" s="56"/>
      <c r="AJ2641" s="56"/>
    </row>
    <row r="2642" spans="1:36" x14ac:dyDescent="0.3">
      <c r="A2642" s="47">
        <f t="shared" si="598"/>
        <v>2379</v>
      </c>
      <c r="B2642" s="414" t="s">
        <v>3325</v>
      </c>
      <c r="C2642" s="51">
        <f t="shared" si="595"/>
        <v>351792.66</v>
      </c>
      <c r="D2642" s="51">
        <f t="shared" si="596"/>
        <v>0</v>
      </c>
      <c r="E2642" s="51"/>
      <c r="F2642" s="51"/>
      <c r="G2642" s="51"/>
      <c r="H2642" s="51"/>
      <c r="I2642" s="51"/>
      <c r="J2642" s="51"/>
      <c r="K2642" s="51"/>
      <c r="L2642" s="51"/>
      <c r="M2642" s="35"/>
      <c r="N2642" s="364"/>
      <c r="O2642" s="82"/>
      <c r="P2642" s="364"/>
      <c r="Q2642" s="338"/>
      <c r="R2642" s="364"/>
      <c r="S2642" s="51"/>
      <c r="T2642" s="338"/>
      <c r="U2642" s="51"/>
      <c r="V2642" s="35"/>
      <c r="W2642" s="364">
        <f t="shared" ref="W2642:W2663" si="599">SUM(Y2642:AK2642)</f>
        <v>351792.66</v>
      </c>
      <c r="X2642" s="9"/>
      <c r="Y2642" s="9"/>
      <c r="Z2642" s="9"/>
      <c r="AA2642" s="9"/>
      <c r="AB2642" s="9"/>
      <c r="AC2642" s="9"/>
      <c r="AD2642" s="9"/>
      <c r="AE2642" s="9">
        <v>351792.66</v>
      </c>
      <c r="AF2642" s="40"/>
      <c r="AG2642" s="56"/>
      <c r="AH2642" s="56"/>
      <c r="AI2642" s="56"/>
      <c r="AJ2642" s="56"/>
    </row>
    <row r="2643" spans="1:36" x14ac:dyDescent="0.3">
      <c r="A2643" s="47">
        <f t="shared" si="598"/>
        <v>2380</v>
      </c>
      <c r="B2643" s="414" t="s">
        <v>3326</v>
      </c>
      <c r="C2643" s="51">
        <f t="shared" si="595"/>
        <v>394531.55</v>
      </c>
      <c r="D2643" s="51">
        <f t="shared" si="596"/>
        <v>0</v>
      </c>
      <c r="E2643" s="51"/>
      <c r="F2643" s="51"/>
      <c r="G2643" s="51"/>
      <c r="H2643" s="51"/>
      <c r="I2643" s="51"/>
      <c r="J2643" s="51"/>
      <c r="K2643" s="51"/>
      <c r="L2643" s="51"/>
      <c r="M2643" s="35"/>
      <c r="N2643" s="364"/>
      <c r="O2643" s="82"/>
      <c r="P2643" s="364"/>
      <c r="Q2643" s="338"/>
      <c r="R2643" s="364"/>
      <c r="S2643" s="51"/>
      <c r="T2643" s="338"/>
      <c r="U2643" s="51"/>
      <c r="V2643" s="35"/>
      <c r="W2643" s="364">
        <f t="shared" si="599"/>
        <v>394531.55</v>
      </c>
      <c r="X2643" s="9"/>
      <c r="Y2643" s="9"/>
      <c r="Z2643" s="9"/>
      <c r="AA2643" s="9"/>
      <c r="AB2643" s="9"/>
      <c r="AC2643" s="9"/>
      <c r="AD2643" s="9"/>
      <c r="AE2643" s="9">
        <v>394531.55</v>
      </c>
      <c r="AF2643" s="40"/>
      <c r="AG2643" s="56"/>
      <c r="AH2643" s="56"/>
      <c r="AI2643" s="56"/>
      <c r="AJ2643" s="56"/>
    </row>
    <row r="2644" spans="1:36" x14ac:dyDescent="0.3">
      <c r="A2644" s="47">
        <f t="shared" si="598"/>
        <v>2381</v>
      </c>
      <c r="B2644" s="414" t="s">
        <v>3327</v>
      </c>
      <c r="C2644" s="51">
        <f t="shared" si="595"/>
        <v>130000</v>
      </c>
      <c r="D2644" s="51"/>
      <c r="E2644" s="51"/>
      <c r="F2644" s="51"/>
      <c r="G2644" s="51"/>
      <c r="H2644" s="51"/>
      <c r="I2644" s="51"/>
      <c r="J2644" s="51"/>
      <c r="K2644" s="51"/>
      <c r="L2644" s="51"/>
      <c r="M2644" s="35"/>
      <c r="N2644" s="364"/>
      <c r="O2644" s="82"/>
      <c r="P2644" s="364"/>
      <c r="Q2644" s="338"/>
      <c r="R2644" s="364"/>
      <c r="S2644" s="51"/>
      <c r="T2644" s="338"/>
      <c r="U2644" s="51"/>
      <c r="V2644" s="35"/>
      <c r="W2644" s="364">
        <v>130000</v>
      </c>
      <c r="X2644" s="9"/>
      <c r="Y2644" s="9"/>
      <c r="Z2644" s="9"/>
      <c r="AA2644" s="9"/>
      <c r="AB2644" s="9"/>
      <c r="AC2644" s="9"/>
      <c r="AD2644" s="9"/>
      <c r="AE2644" s="9"/>
      <c r="AF2644" s="40"/>
      <c r="AG2644" s="56"/>
      <c r="AH2644" s="56"/>
      <c r="AI2644" s="56"/>
      <c r="AJ2644" s="56"/>
    </row>
    <row r="2645" spans="1:36" x14ac:dyDescent="0.3">
      <c r="A2645" s="47">
        <f t="shared" si="598"/>
        <v>2382</v>
      </c>
      <c r="B2645" s="414" t="s">
        <v>3328</v>
      </c>
      <c r="C2645" s="51">
        <f t="shared" si="595"/>
        <v>341146.58</v>
      </c>
      <c r="D2645" s="51">
        <f t="shared" si="596"/>
        <v>0</v>
      </c>
      <c r="E2645" s="51"/>
      <c r="F2645" s="51"/>
      <c r="G2645" s="51"/>
      <c r="H2645" s="51"/>
      <c r="I2645" s="51"/>
      <c r="J2645" s="51"/>
      <c r="K2645" s="51"/>
      <c r="L2645" s="51"/>
      <c r="M2645" s="35"/>
      <c r="N2645" s="364"/>
      <c r="O2645" s="82"/>
      <c r="P2645" s="364"/>
      <c r="Q2645" s="338"/>
      <c r="R2645" s="364"/>
      <c r="S2645" s="51"/>
      <c r="T2645" s="338"/>
      <c r="U2645" s="51"/>
      <c r="V2645" s="35"/>
      <c r="W2645" s="364">
        <f t="shared" si="599"/>
        <v>341146.58</v>
      </c>
      <c r="X2645" s="9"/>
      <c r="Y2645" s="9"/>
      <c r="Z2645" s="9"/>
      <c r="AA2645" s="9"/>
      <c r="AB2645" s="9"/>
      <c r="AC2645" s="9"/>
      <c r="AD2645" s="9"/>
      <c r="AE2645" s="9">
        <v>341146.58</v>
      </c>
      <c r="AF2645" s="40"/>
      <c r="AG2645" s="56"/>
      <c r="AH2645" s="56"/>
      <c r="AI2645" s="56"/>
      <c r="AJ2645" s="56"/>
    </row>
    <row r="2646" spans="1:36" x14ac:dyDescent="0.3">
      <c r="A2646" s="47">
        <f t="shared" si="598"/>
        <v>2383</v>
      </c>
      <c r="B2646" s="414" t="s">
        <v>3329</v>
      </c>
      <c r="C2646" s="51">
        <f t="shared" si="595"/>
        <v>722052.31</v>
      </c>
      <c r="D2646" s="51">
        <f t="shared" si="596"/>
        <v>0</v>
      </c>
      <c r="E2646" s="51"/>
      <c r="F2646" s="51"/>
      <c r="G2646" s="51"/>
      <c r="H2646" s="51"/>
      <c r="I2646" s="51"/>
      <c r="J2646" s="51"/>
      <c r="K2646" s="51"/>
      <c r="L2646" s="51"/>
      <c r="M2646" s="35"/>
      <c r="N2646" s="364"/>
      <c r="O2646" s="82"/>
      <c r="P2646" s="364"/>
      <c r="Q2646" s="338"/>
      <c r="R2646" s="364"/>
      <c r="S2646" s="51"/>
      <c r="T2646" s="338"/>
      <c r="U2646" s="51"/>
      <c r="V2646" s="35"/>
      <c r="W2646" s="364">
        <f t="shared" si="599"/>
        <v>722052.31</v>
      </c>
      <c r="X2646" s="9"/>
      <c r="Y2646" s="9"/>
      <c r="Z2646" s="9"/>
      <c r="AA2646" s="9"/>
      <c r="AB2646" s="9"/>
      <c r="AC2646" s="9"/>
      <c r="AD2646" s="9"/>
      <c r="AE2646" s="9">
        <v>722052.31</v>
      </c>
      <c r="AF2646" s="40"/>
      <c r="AG2646" s="56"/>
      <c r="AH2646" s="56"/>
      <c r="AI2646" s="56"/>
      <c r="AJ2646" s="56"/>
    </row>
    <row r="2647" spans="1:36" x14ac:dyDescent="0.3">
      <c r="A2647" s="47">
        <f t="shared" si="598"/>
        <v>2384</v>
      </c>
      <c r="B2647" s="414" t="s">
        <v>3330</v>
      </c>
      <c r="C2647" s="51">
        <f t="shared" si="595"/>
        <v>469071.7</v>
      </c>
      <c r="D2647" s="51">
        <f t="shared" si="596"/>
        <v>0</v>
      </c>
      <c r="E2647" s="51"/>
      <c r="F2647" s="51"/>
      <c r="G2647" s="51"/>
      <c r="H2647" s="51"/>
      <c r="I2647" s="51"/>
      <c r="J2647" s="51"/>
      <c r="K2647" s="51"/>
      <c r="L2647" s="51"/>
      <c r="M2647" s="35"/>
      <c r="N2647" s="364"/>
      <c r="O2647" s="82"/>
      <c r="P2647" s="364"/>
      <c r="Q2647" s="338"/>
      <c r="R2647" s="364"/>
      <c r="S2647" s="51"/>
      <c r="T2647" s="338"/>
      <c r="U2647" s="51"/>
      <c r="V2647" s="35"/>
      <c r="W2647" s="364">
        <f t="shared" si="599"/>
        <v>469071.7</v>
      </c>
      <c r="X2647" s="9"/>
      <c r="Y2647" s="9"/>
      <c r="Z2647" s="9"/>
      <c r="AA2647" s="9"/>
      <c r="AB2647" s="9"/>
      <c r="AC2647" s="9"/>
      <c r="AD2647" s="9"/>
      <c r="AE2647" s="9">
        <v>469071.7</v>
      </c>
      <c r="AF2647" s="40"/>
      <c r="AG2647" s="56"/>
      <c r="AH2647" s="56"/>
      <c r="AI2647" s="56"/>
      <c r="AJ2647" s="56"/>
    </row>
    <row r="2648" spans="1:36" x14ac:dyDescent="0.3">
      <c r="A2648" s="47">
        <f t="shared" si="598"/>
        <v>2385</v>
      </c>
      <c r="B2648" s="414" t="s">
        <v>3331</v>
      </c>
      <c r="C2648" s="51">
        <f t="shared" si="595"/>
        <v>779188.84</v>
      </c>
      <c r="D2648" s="51">
        <f t="shared" si="596"/>
        <v>0</v>
      </c>
      <c r="E2648" s="51"/>
      <c r="F2648" s="51"/>
      <c r="G2648" s="51"/>
      <c r="H2648" s="51"/>
      <c r="I2648" s="51"/>
      <c r="J2648" s="51"/>
      <c r="K2648" s="51"/>
      <c r="L2648" s="51"/>
      <c r="M2648" s="35"/>
      <c r="N2648" s="364"/>
      <c r="O2648" s="82"/>
      <c r="P2648" s="364"/>
      <c r="Q2648" s="338"/>
      <c r="R2648" s="364"/>
      <c r="S2648" s="51"/>
      <c r="T2648" s="338"/>
      <c r="U2648" s="51"/>
      <c r="V2648" s="35"/>
      <c r="W2648" s="364">
        <f t="shared" si="599"/>
        <v>779188.84</v>
      </c>
      <c r="X2648" s="9"/>
      <c r="Y2648" s="9"/>
      <c r="Z2648" s="9"/>
      <c r="AA2648" s="9"/>
      <c r="AB2648" s="9"/>
      <c r="AC2648" s="9"/>
      <c r="AD2648" s="9"/>
      <c r="AE2648" s="9">
        <v>779188.84</v>
      </c>
      <c r="AF2648" s="40"/>
      <c r="AG2648" s="56"/>
      <c r="AH2648" s="56"/>
      <c r="AI2648" s="56"/>
      <c r="AJ2648" s="56"/>
    </row>
    <row r="2649" spans="1:36" x14ac:dyDescent="0.3">
      <c r="A2649" s="47">
        <f t="shared" si="598"/>
        <v>2386</v>
      </c>
      <c r="B2649" s="414" t="s">
        <v>3332</v>
      </c>
      <c r="C2649" s="51">
        <f t="shared" si="595"/>
        <v>404747.15</v>
      </c>
      <c r="D2649" s="51">
        <f t="shared" si="596"/>
        <v>0</v>
      </c>
      <c r="E2649" s="51"/>
      <c r="F2649" s="51"/>
      <c r="G2649" s="51"/>
      <c r="H2649" s="51"/>
      <c r="I2649" s="51"/>
      <c r="J2649" s="51"/>
      <c r="K2649" s="51"/>
      <c r="L2649" s="51"/>
      <c r="M2649" s="35"/>
      <c r="N2649" s="364"/>
      <c r="O2649" s="82"/>
      <c r="P2649" s="364"/>
      <c r="Q2649" s="338"/>
      <c r="R2649" s="364"/>
      <c r="S2649" s="51"/>
      <c r="T2649" s="338"/>
      <c r="U2649" s="51"/>
      <c r="V2649" s="35"/>
      <c r="W2649" s="364">
        <f t="shared" si="599"/>
        <v>404747.15</v>
      </c>
      <c r="X2649" s="9"/>
      <c r="Y2649" s="9"/>
      <c r="Z2649" s="9"/>
      <c r="AA2649" s="9"/>
      <c r="AB2649" s="9"/>
      <c r="AC2649" s="9"/>
      <c r="AD2649" s="9"/>
      <c r="AE2649" s="9">
        <v>404747.15</v>
      </c>
      <c r="AF2649" s="40"/>
      <c r="AG2649" s="56"/>
      <c r="AH2649" s="56"/>
      <c r="AI2649" s="56"/>
      <c r="AJ2649" s="56"/>
    </row>
    <row r="2650" spans="1:36" x14ac:dyDescent="0.3">
      <c r="A2650" s="47">
        <f t="shared" si="598"/>
        <v>2387</v>
      </c>
      <c r="B2650" s="414" t="s">
        <v>3333</v>
      </c>
      <c r="C2650" s="51">
        <f t="shared" si="595"/>
        <v>338399.21</v>
      </c>
      <c r="D2650" s="51">
        <f t="shared" si="596"/>
        <v>0</v>
      </c>
      <c r="E2650" s="51"/>
      <c r="F2650" s="51"/>
      <c r="G2650" s="51"/>
      <c r="H2650" s="51"/>
      <c r="I2650" s="51"/>
      <c r="J2650" s="51"/>
      <c r="K2650" s="51"/>
      <c r="L2650" s="51"/>
      <c r="M2650" s="35"/>
      <c r="N2650" s="364"/>
      <c r="O2650" s="82"/>
      <c r="P2650" s="364"/>
      <c r="Q2650" s="338"/>
      <c r="R2650" s="364"/>
      <c r="S2650" s="51"/>
      <c r="T2650" s="338"/>
      <c r="U2650" s="51"/>
      <c r="V2650" s="35"/>
      <c r="W2650" s="364">
        <f t="shared" si="599"/>
        <v>338399.21</v>
      </c>
      <c r="X2650" s="9"/>
      <c r="Y2650" s="9"/>
      <c r="Z2650" s="9"/>
      <c r="AA2650" s="9"/>
      <c r="AB2650" s="9"/>
      <c r="AC2650" s="9"/>
      <c r="AD2650" s="9"/>
      <c r="AE2650" s="9">
        <v>338399.21</v>
      </c>
      <c r="AF2650" s="40"/>
      <c r="AG2650" s="56"/>
      <c r="AH2650" s="56"/>
      <c r="AI2650" s="56"/>
      <c r="AJ2650" s="56"/>
    </row>
    <row r="2651" spans="1:36" x14ac:dyDescent="0.3">
      <c r="A2651" s="47">
        <f t="shared" si="598"/>
        <v>2388</v>
      </c>
      <c r="B2651" s="414" t="s">
        <v>3334</v>
      </c>
      <c r="C2651" s="51">
        <f t="shared" si="595"/>
        <v>277596.31</v>
      </c>
      <c r="D2651" s="51">
        <f t="shared" si="596"/>
        <v>0</v>
      </c>
      <c r="E2651" s="51"/>
      <c r="F2651" s="51"/>
      <c r="G2651" s="51"/>
      <c r="H2651" s="51"/>
      <c r="I2651" s="51"/>
      <c r="J2651" s="51"/>
      <c r="K2651" s="51"/>
      <c r="L2651" s="51"/>
      <c r="M2651" s="35"/>
      <c r="N2651" s="364"/>
      <c r="O2651" s="82"/>
      <c r="P2651" s="364"/>
      <c r="Q2651" s="338"/>
      <c r="R2651" s="364"/>
      <c r="S2651" s="51"/>
      <c r="T2651" s="338"/>
      <c r="U2651" s="51"/>
      <c r="V2651" s="35"/>
      <c r="W2651" s="364">
        <f t="shared" si="599"/>
        <v>277596.31</v>
      </c>
      <c r="X2651" s="9"/>
      <c r="Y2651" s="9"/>
      <c r="Z2651" s="9"/>
      <c r="AA2651" s="9"/>
      <c r="AB2651" s="9"/>
      <c r="AC2651" s="9"/>
      <c r="AD2651" s="9"/>
      <c r="AE2651" s="9">
        <v>277596.31</v>
      </c>
      <c r="AF2651" s="40"/>
      <c r="AG2651" s="56"/>
      <c r="AH2651" s="56"/>
      <c r="AI2651" s="56"/>
      <c r="AJ2651" s="56"/>
    </row>
    <row r="2652" spans="1:36" x14ac:dyDescent="0.3">
      <c r="A2652" s="47">
        <f t="shared" si="598"/>
        <v>2389</v>
      </c>
      <c r="B2652" s="414" t="s">
        <v>3335</v>
      </c>
      <c r="C2652" s="51">
        <f t="shared" si="595"/>
        <v>279965.94</v>
      </c>
      <c r="D2652" s="51">
        <f t="shared" si="596"/>
        <v>0</v>
      </c>
      <c r="E2652" s="51"/>
      <c r="F2652" s="51"/>
      <c r="G2652" s="51"/>
      <c r="H2652" s="51"/>
      <c r="I2652" s="51"/>
      <c r="J2652" s="51"/>
      <c r="K2652" s="51"/>
      <c r="L2652" s="51"/>
      <c r="M2652" s="35"/>
      <c r="N2652" s="364"/>
      <c r="O2652" s="82"/>
      <c r="P2652" s="364"/>
      <c r="Q2652" s="338"/>
      <c r="R2652" s="364"/>
      <c r="S2652" s="51"/>
      <c r="T2652" s="338"/>
      <c r="U2652" s="51"/>
      <c r="V2652" s="35"/>
      <c r="W2652" s="364">
        <f t="shared" si="599"/>
        <v>279965.94</v>
      </c>
      <c r="X2652" s="9"/>
      <c r="Y2652" s="9"/>
      <c r="Z2652" s="9"/>
      <c r="AA2652" s="9"/>
      <c r="AB2652" s="9"/>
      <c r="AC2652" s="9"/>
      <c r="AD2652" s="9"/>
      <c r="AE2652" s="9">
        <v>279965.94</v>
      </c>
      <c r="AF2652" s="40"/>
      <c r="AG2652" s="56"/>
      <c r="AH2652" s="56"/>
      <c r="AI2652" s="56"/>
      <c r="AJ2652" s="56"/>
    </row>
    <row r="2653" spans="1:36" x14ac:dyDescent="0.3">
      <c r="A2653" s="47">
        <f t="shared" si="598"/>
        <v>2390</v>
      </c>
      <c r="B2653" s="414" t="s">
        <v>3336</v>
      </c>
      <c r="C2653" s="51">
        <f t="shared" si="595"/>
        <v>404747.15</v>
      </c>
      <c r="D2653" s="51">
        <f t="shared" si="596"/>
        <v>0</v>
      </c>
      <c r="E2653" s="51"/>
      <c r="F2653" s="51"/>
      <c r="G2653" s="51"/>
      <c r="H2653" s="51"/>
      <c r="I2653" s="51"/>
      <c r="J2653" s="51"/>
      <c r="K2653" s="51"/>
      <c r="L2653" s="51"/>
      <c r="M2653" s="35"/>
      <c r="N2653" s="51"/>
      <c r="O2653" s="82"/>
      <c r="P2653" s="364"/>
      <c r="Q2653" s="338"/>
      <c r="R2653" s="364"/>
      <c r="S2653" s="51"/>
      <c r="T2653" s="338"/>
      <c r="U2653" s="51"/>
      <c r="V2653" s="35"/>
      <c r="W2653" s="364">
        <f t="shared" si="599"/>
        <v>404747.15</v>
      </c>
      <c r="X2653" s="9"/>
      <c r="Y2653" s="9"/>
      <c r="Z2653" s="9"/>
      <c r="AA2653" s="9"/>
      <c r="AB2653" s="9"/>
      <c r="AC2653" s="9"/>
      <c r="AD2653" s="9"/>
      <c r="AE2653" s="9">
        <v>404747.15</v>
      </c>
      <c r="AF2653" s="40"/>
      <c r="AG2653" s="56"/>
      <c r="AH2653" s="56"/>
      <c r="AI2653" s="56"/>
      <c r="AJ2653" s="56"/>
    </row>
    <row r="2654" spans="1:36" x14ac:dyDescent="0.3">
      <c r="A2654" s="47">
        <f t="shared" si="598"/>
        <v>2391</v>
      </c>
      <c r="B2654" s="414" t="s">
        <v>3337</v>
      </c>
      <c r="C2654" s="51">
        <f t="shared" si="595"/>
        <v>1512084.54</v>
      </c>
      <c r="D2654" s="51">
        <f t="shared" si="596"/>
        <v>0</v>
      </c>
      <c r="E2654" s="51"/>
      <c r="F2654" s="51"/>
      <c r="G2654" s="51"/>
      <c r="H2654" s="51"/>
      <c r="I2654" s="51"/>
      <c r="J2654" s="364"/>
      <c r="K2654" s="51"/>
      <c r="L2654" s="51"/>
      <c r="M2654" s="35"/>
      <c r="N2654" s="51"/>
      <c r="O2654" s="82"/>
      <c r="P2654" s="51"/>
      <c r="Q2654" s="338"/>
      <c r="R2654" s="51"/>
      <c r="S2654" s="51"/>
      <c r="T2654" s="338"/>
      <c r="U2654" s="51"/>
      <c r="V2654" s="35"/>
      <c r="W2654" s="364">
        <f t="shared" si="599"/>
        <v>1512084.54</v>
      </c>
      <c r="X2654" s="9"/>
      <c r="Y2654" s="9"/>
      <c r="Z2654" s="9"/>
      <c r="AA2654" s="9"/>
      <c r="AB2654" s="9"/>
      <c r="AC2654" s="9"/>
      <c r="AD2654" s="9"/>
      <c r="AE2654" s="9"/>
      <c r="AF2654" s="40"/>
      <c r="AG2654" s="56">
        <v>1512084.54</v>
      </c>
      <c r="AH2654" s="56"/>
      <c r="AI2654" s="56"/>
      <c r="AJ2654" s="56"/>
    </row>
    <row r="2655" spans="1:36" x14ac:dyDescent="0.3">
      <c r="A2655" s="47">
        <f t="shared" si="598"/>
        <v>2392</v>
      </c>
      <c r="B2655" s="414" t="s">
        <v>3338</v>
      </c>
      <c r="C2655" s="51">
        <f t="shared" ref="C2655:C2718" si="600">D2655+K2655+L2655+N2655+P2655+R2655+S2655+U2655+V2655+W2655</f>
        <v>808711.79999999993</v>
      </c>
      <c r="D2655" s="51">
        <f t="shared" si="596"/>
        <v>0</v>
      </c>
      <c r="E2655" s="51"/>
      <c r="F2655" s="51"/>
      <c r="G2655" s="51"/>
      <c r="H2655" s="51"/>
      <c r="I2655" s="51"/>
      <c r="J2655" s="51"/>
      <c r="K2655" s="51"/>
      <c r="L2655" s="51"/>
      <c r="M2655" s="35"/>
      <c r="N2655" s="364"/>
      <c r="O2655" s="82"/>
      <c r="P2655" s="364"/>
      <c r="Q2655" s="338"/>
      <c r="R2655" s="364"/>
      <c r="S2655" s="51"/>
      <c r="T2655" s="338"/>
      <c r="U2655" s="51"/>
      <c r="V2655" s="35"/>
      <c r="W2655" s="364">
        <f t="shared" si="599"/>
        <v>808711.79999999993</v>
      </c>
      <c r="X2655" s="9"/>
      <c r="Y2655" s="9"/>
      <c r="Z2655" s="9"/>
      <c r="AA2655" s="9"/>
      <c r="AB2655" s="9"/>
      <c r="AC2655" s="9"/>
      <c r="AD2655" s="9"/>
      <c r="AE2655" s="9">
        <v>635167.32999999996</v>
      </c>
      <c r="AF2655" s="40">
        <v>173544.47</v>
      </c>
      <c r="AG2655" s="56"/>
      <c r="AH2655" s="56"/>
      <c r="AI2655" s="56"/>
      <c r="AJ2655" s="56"/>
    </row>
    <row r="2656" spans="1:36" x14ac:dyDescent="0.3">
      <c r="A2656" s="47">
        <f t="shared" si="598"/>
        <v>2393</v>
      </c>
      <c r="B2656" s="414" t="s">
        <v>3339</v>
      </c>
      <c r="C2656" s="51">
        <f t="shared" si="600"/>
        <v>713021.23</v>
      </c>
      <c r="D2656" s="51">
        <f t="shared" si="596"/>
        <v>0</v>
      </c>
      <c r="E2656" s="51"/>
      <c r="F2656" s="51"/>
      <c r="G2656" s="51"/>
      <c r="H2656" s="51"/>
      <c r="I2656" s="51"/>
      <c r="J2656" s="51"/>
      <c r="K2656" s="51"/>
      <c r="L2656" s="51"/>
      <c r="M2656" s="35"/>
      <c r="N2656" s="364"/>
      <c r="O2656" s="82"/>
      <c r="P2656" s="364"/>
      <c r="Q2656" s="338"/>
      <c r="R2656" s="364"/>
      <c r="S2656" s="51"/>
      <c r="T2656" s="338"/>
      <c r="U2656" s="51"/>
      <c r="V2656" s="35"/>
      <c r="W2656" s="364">
        <f t="shared" si="599"/>
        <v>713021.23</v>
      </c>
      <c r="X2656" s="9"/>
      <c r="Y2656" s="9"/>
      <c r="Z2656" s="9"/>
      <c r="AA2656" s="9"/>
      <c r="AB2656" s="9"/>
      <c r="AC2656" s="9"/>
      <c r="AD2656" s="9"/>
      <c r="AE2656" s="9">
        <v>559776.06999999995</v>
      </c>
      <c r="AF2656" s="40">
        <v>153245.16</v>
      </c>
      <c r="AG2656" s="56"/>
      <c r="AH2656" s="56"/>
      <c r="AI2656" s="56"/>
      <c r="AJ2656" s="56"/>
    </row>
    <row r="2657" spans="1:36" x14ac:dyDescent="0.3">
      <c r="A2657" s="47">
        <f t="shared" si="598"/>
        <v>2394</v>
      </c>
      <c r="B2657" s="414" t="s">
        <v>3340</v>
      </c>
      <c r="C2657" s="51">
        <f t="shared" si="600"/>
        <v>724282.48</v>
      </c>
      <c r="D2657" s="51">
        <f t="shared" si="596"/>
        <v>0</v>
      </c>
      <c r="E2657" s="51"/>
      <c r="F2657" s="51"/>
      <c r="G2657" s="51"/>
      <c r="H2657" s="51"/>
      <c r="I2657" s="51"/>
      <c r="J2657" s="51"/>
      <c r="K2657" s="51"/>
      <c r="L2657" s="51"/>
      <c r="M2657" s="35"/>
      <c r="N2657" s="364"/>
      <c r="O2657" s="82"/>
      <c r="P2657" s="364"/>
      <c r="Q2657" s="338"/>
      <c r="R2657" s="364"/>
      <c r="S2657" s="51"/>
      <c r="T2657" s="338"/>
      <c r="U2657" s="51"/>
      <c r="V2657" s="35"/>
      <c r="W2657" s="364">
        <f t="shared" si="599"/>
        <v>724282.48</v>
      </c>
      <c r="X2657" s="9"/>
      <c r="Y2657" s="9"/>
      <c r="Z2657" s="9"/>
      <c r="AA2657" s="9"/>
      <c r="AB2657" s="9"/>
      <c r="AC2657" s="9"/>
      <c r="AD2657" s="9"/>
      <c r="AE2657" s="9">
        <v>568648.42000000004</v>
      </c>
      <c r="AF2657" s="40">
        <v>155634.06</v>
      </c>
      <c r="AG2657" s="56"/>
      <c r="AH2657" s="56"/>
      <c r="AI2657" s="56"/>
      <c r="AJ2657" s="56"/>
    </row>
    <row r="2658" spans="1:36" x14ac:dyDescent="0.3">
      <c r="A2658" s="47">
        <f t="shared" si="598"/>
        <v>2395</v>
      </c>
      <c r="B2658" s="414" t="s">
        <v>3341</v>
      </c>
      <c r="C2658" s="51">
        <f t="shared" si="600"/>
        <v>112023.73</v>
      </c>
      <c r="D2658" s="51">
        <f t="shared" ref="D2658:D2722" si="601">E2658+F2658+G2658+H2658</f>
        <v>0</v>
      </c>
      <c r="E2658" s="51"/>
      <c r="F2658" s="51"/>
      <c r="G2658" s="51"/>
      <c r="H2658" s="51"/>
      <c r="I2658" s="51"/>
      <c r="J2658" s="51"/>
      <c r="K2658" s="51"/>
      <c r="L2658" s="51"/>
      <c r="M2658" s="35"/>
      <c r="N2658" s="51"/>
      <c r="O2658" s="82"/>
      <c r="P2658" s="364"/>
      <c r="Q2658" s="338"/>
      <c r="R2658" s="364"/>
      <c r="S2658" s="51"/>
      <c r="T2658" s="338"/>
      <c r="U2658" s="51"/>
      <c r="V2658" s="35"/>
      <c r="W2658" s="364">
        <f t="shared" si="599"/>
        <v>112023.73</v>
      </c>
      <c r="X2658" s="9"/>
      <c r="Y2658" s="9"/>
      <c r="Z2658" s="9"/>
      <c r="AA2658" s="9"/>
      <c r="AB2658" s="9"/>
      <c r="AC2658" s="9"/>
      <c r="AD2658" s="9"/>
      <c r="AE2658" s="9"/>
      <c r="AF2658" s="40">
        <v>112023.73</v>
      </c>
      <c r="AG2658" s="56"/>
      <c r="AH2658" s="56"/>
      <c r="AI2658" s="56"/>
      <c r="AJ2658" s="56"/>
    </row>
    <row r="2659" spans="1:36" x14ac:dyDescent="0.3">
      <c r="A2659" s="47">
        <f t="shared" si="598"/>
        <v>2396</v>
      </c>
      <c r="B2659" s="414" t="s">
        <v>3342</v>
      </c>
      <c r="C2659" s="51">
        <f t="shared" si="600"/>
        <v>524511.93999999994</v>
      </c>
      <c r="D2659" s="51">
        <f t="shared" si="601"/>
        <v>0</v>
      </c>
      <c r="E2659" s="51"/>
      <c r="F2659" s="51"/>
      <c r="G2659" s="51"/>
      <c r="H2659" s="51"/>
      <c r="I2659" s="51"/>
      <c r="J2659" s="51"/>
      <c r="K2659" s="51"/>
      <c r="L2659" s="51"/>
      <c r="M2659" s="35"/>
      <c r="N2659" s="364"/>
      <c r="O2659" s="82"/>
      <c r="P2659" s="364"/>
      <c r="Q2659" s="338"/>
      <c r="R2659" s="364"/>
      <c r="S2659" s="51"/>
      <c r="T2659" s="338"/>
      <c r="U2659" s="51"/>
      <c r="V2659" s="35"/>
      <c r="W2659" s="364">
        <f t="shared" si="599"/>
        <v>524511.93999999994</v>
      </c>
      <c r="X2659" s="9"/>
      <c r="Y2659" s="9"/>
      <c r="Z2659" s="9"/>
      <c r="AA2659" s="9"/>
      <c r="AB2659" s="9"/>
      <c r="AC2659" s="9"/>
      <c r="AD2659" s="9"/>
      <c r="AE2659" s="9">
        <v>411098.93</v>
      </c>
      <c r="AF2659" s="40">
        <v>113413.01</v>
      </c>
      <c r="AG2659" s="56"/>
      <c r="AH2659" s="56"/>
      <c r="AI2659" s="56"/>
      <c r="AJ2659" s="56"/>
    </row>
    <row r="2660" spans="1:36" x14ac:dyDescent="0.3">
      <c r="A2660" s="47">
        <f t="shared" si="598"/>
        <v>2397</v>
      </c>
      <c r="B2660" s="414" t="s">
        <v>3343</v>
      </c>
      <c r="C2660" s="51">
        <f t="shared" si="600"/>
        <v>303603.31</v>
      </c>
      <c r="D2660" s="51">
        <f t="shared" si="601"/>
        <v>0</v>
      </c>
      <c r="E2660" s="51"/>
      <c r="F2660" s="364"/>
      <c r="G2660" s="364"/>
      <c r="H2660" s="364"/>
      <c r="I2660" s="51"/>
      <c r="J2660" s="51"/>
      <c r="K2660" s="51"/>
      <c r="L2660" s="51"/>
      <c r="M2660" s="35"/>
      <c r="N2660" s="51"/>
      <c r="O2660" s="82"/>
      <c r="P2660" s="364"/>
      <c r="Q2660" s="338"/>
      <c r="R2660" s="364"/>
      <c r="S2660" s="51"/>
      <c r="T2660" s="338"/>
      <c r="U2660" s="51"/>
      <c r="V2660" s="35"/>
      <c r="W2660" s="364">
        <f t="shared" si="599"/>
        <v>303603.31</v>
      </c>
      <c r="X2660" s="9"/>
      <c r="Y2660" s="9"/>
      <c r="Z2660" s="9">
        <v>152058.59</v>
      </c>
      <c r="AA2660" s="9">
        <v>151544.72</v>
      </c>
      <c r="AB2660" s="9"/>
      <c r="AC2660" s="9"/>
      <c r="AD2660" s="9"/>
      <c r="AE2660" s="9"/>
      <c r="AF2660" s="40"/>
      <c r="AG2660" s="56"/>
      <c r="AH2660" s="56"/>
      <c r="AI2660" s="56"/>
      <c r="AJ2660" s="56"/>
    </row>
    <row r="2661" spans="1:36" x14ac:dyDescent="0.3">
      <c r="A2661" s="47">
        <f t="shared" si="598"/>
        <v>2398</v>
      </c>
      <c r="B2661" s="414" t="s">
        <v>3344</v>
      </c>
      <c r="C2661" s="51">
        <f t="shared" si="600"/>
        <v>646166.4</v>
      </c>
      <c r="D2661" s="51">
        <f t="shared" si="601"/>
        <v>0</v>
      </c>
      <c r="E2661" s="51"/>
      <c r="F2661" s="364"/>
      <c r="G2661" s="364"/>
      <c r="H2661" s="364"/>
      <c r="I2661" s="51"/>
      <c r="J2661" s="51"/>
      <c r="K2661" s="51"/>
      <c r="L2661" s="51"/>
      <c r="M2661" s="35"/>
      <c r="N2661" s="51"/>
      <c r="O2661" s="82"/>
      <c r="P2661" s="51"/>
      <c r="Q2661" s="338"/>
      <c r="R2661" s="51"/>
      <c r="S2661" s="51"/>
      <c r="T2661" s="338"/>
      <c r="U2661" s="51"/>
      <c r="V2661" s="35"/>
      <c r="W2661" s="364">
        <f t="shared" si="599"/>
        <v>646166.4</v>
      </c>
      <c r="X2661" s="9"/>
      <c r="Y2661" s="9"/>
      <c r="Z2661" s="9">
        <v>339911.2</v>
      </c>
      <c r="AA2661" s="9">
        <v>306255.2</v>
      </c>
      <c r="AB2661" s="9"/>
      <c r="AC2661" s="9"/>
      <c r="AD2661" s="9"/>
      <c r="AE2661" s="9"/>
      <c r="AF2661" s="40"/>
      <c r="AG2661" s="56"/>
      <c r="AH2661" s="56"/>
      <c r="AI2661" s="56"/>
      <c r="AJ2661" s="56"/>
    </row>
    <row r="2662" spans="1:36" x14ac:dyDescent="0.3">
      <c r="A2662" s="47">
        <f t="shared" si="598"/>
        <v>2399</v>
      </c>
      <c r="B2662" s="414" t="s">
        <v>3345</v>
      </c>
      <c r="C2662" s="51">
        <f t="shared" si="600"/>
        <v>6559579.9299999997</v>
      </c>
      <c r="D2662" s="51">
        <f t="shared" si="601"/>
        <v>0</v>
      </c>
      <c r="E2662" s="364"/>
      <c r="F2662" s="51"/>
      <c r="G2662" s="364"/>
      <c r="H2662" s="364"/>
      <c r="I2662" s="364"/>
      <c r="J2662" s="51"/>
      <c r="K2662" s="51"/>
      <c r="L2662" s="51"/>
      <c r="M2662" s="35"/>
      <c r="N2662" s="51">
        <v>5861973.5999999996</v>
      </c>
      <c r="O2662" s="82"/>
      <c r="P2662" s="51"/>
      <c r="Q2662" s="338"/>
      <c r="R2662" s="51"/>
      <c r="S2662" s="51"/>
      <c r="T2662" s="338"/>
      <c r="U2662" s="364"/>
      <c r="V2662" s="35"/>
      <c r="W2662" s="364">
        <f t="shared" si="599"/>
        <v>697606.33000000007</v>
      </c>
      <c r="X2662" s="9"/>
      <c r="Y2662" s="9"/>
      <c r="Z2662" s="9"/>
      <c r="AA2662" s="9"/>
      <c r="AB2662" s="9"/>
      <c r="AC2662" s="9"/>
      <c r="AD2662" s="9"/>
      <c r="AE2662" s="9">
        <v>478309.38</v>
      </c>
      <c r="AF2662" s="40">
        <v>219296.95</v>
      </c>
      <c r="AG2662" s="56"/>
      <c r="AH2662" s="56"/>
      <c r="AI2662" s="56"/>
      <c r="AJ2662" s="56"/>
    </row>
    <row r="2663" spans="1:36" x14ac:dyDescent="0.3">
      <c r="A2663" s="47">
        <f t="shared" si="598"/>
        <v>2400</v>
      </c>
      <c r="B2663" s="414" t="s">
        <v>3346</v>
      </c>
      <c r="C2663" s="51">
        <f t="shared" si="600"/>
        <v>238013.36</v>
      </c>
      <c r="D2663" s="51">
        <f t="shared" si="601"/>
        <v>0</v>
      </c>
      <c r="E2663" s="51"/>
      <c r="F2663" s="364"/>
      <c r="G2663" s="364"/>
      <c r="H2663" s="364"/>
      <c r="I2663" s="51"/>
      <c r="J2663" s="51"/>
      <c r="K2663" s="51"/>
      <c r="L2663" s="51"/>
      <c r="M2663" s="35"/>
      <c r="N2663" s="51"/>
      <c r="O2663" s="82"/>
      <c r="P2663" s="364"/>
      <c r="Q2663" s="338"/>
      <c r="R2663" s="51"/>
      <c r="S2663" s="51"/>
      <c r="T2663" s="338"/>
      <c r="U2663" s="51"/>
      <c r="V2663" s="35"/>
      <c r="W2663" s="364">
        <f t="shared" si="599"/>
        <v>238013.36</v>
      </c>
      <c r="X2663" s="9"/>
      <c r="Y2663" s="9"/>
      <c r="Z2663" s="9">
        <v>129307.24</v>
      </c>
      <c r="AA2663" s="9"/>
      <c r="AB2663" s="9"/>
      <c r="AC2663" s="9">
        <v>108706.12</v>
      </c>
      <c r="AD2663" s="9"/>
      <c r="AE2663" s="9"/>
      <c r="AF2663" s="40"/>
      <c r="AG2663" s="56"/>
      <c r="AH2663" s="56"/>
      <c r="AI2663" s="56"/>
      <c r="AJ2663" s="56"/>
    </row>
    <row r="2664" spans="1:36" x14ac:dyDescent="0.3">
      <c r="A2664" s="47">
        <f t="shared" si="598"/>
        <v>2401</v>
      </c>
      <c r="B2664" s="414" t="s">
        <v>3347</v>
      </c>
      <c r="C2664" s="51">
        <f t="shared" si="600"/>
        <v>130000</v>
      </c>
      <c r="D2664" s="51">
        <f t="shared" si="601"/>
        <v>0</v>
      </c>
      <c r="E2664" s="364"/>
      <c r="F2664" s="364"/>
      <c r="G2664" s="364"/>
      <c r="H2664" s="364"/>
      <c r="I2664" s="364"/>
      <c r="J2664" s="51"/>
      <c r="K2664" s="51"/>
      <c r="L2664" s="51"/>
      <c r="M2664" s="35"/>
      <c r="N2664" s="364"/>
      <c r="O2664" s="82"/>
      <c r="P2664" s="364"/>
      <c r="Q2664" s="338"/>
      <c r="R2664" s="364"/>
      <c r="S2664" s="51"/>
      <c r="T2664" s="338"/>
      <c r="U2664" s="364"/>
      <c r="V2664" s="35"/>
      <c r="W2664" s="364">
        <v>130000</v>
      </c>
      <c r="X2664" s="9"/>
      <c r="Y2664" s="9"/>
      <c r="Z2664" s="9"/>
      <c r="AA2664" s="9"/>
      <c r="AB2664" s="9"/>
      <c r="AC2664" s="9"/>
      <c r="AD2664" s="9"/>
      <c r="AE2664" s="9"/>
      <c r="AF2664" s="40"/>
      <c r="AG2664" s="56"/>
      <c r="AH2664" s="56"/>
      <c r="AI2664" s="56"/>
      <c r="AJ2664" s="56"/>
    </row>
    <row r="2665" spans="1:36" x14ac:dyDescent="0.3">
      <c r="A2665" s="47">
        <f t="shared" si="598"/>
        <v>2402</v>
      </c>
      <c r="B2665" s="414" t="s">
        <v>3348</v>
      </c>
      <c r="C2665" s="51">
        <f t="shared" si="600"/>
        <v>118976.06</v>
      </c>
      <c r="D2665" s="51">
        <f t="shared" si="601"/>
        <v>0</v>
      </c>
      <c r="E2665" s="364"/>
      <c r="F2665" s="364"/>
      <c r="G2665" s="364"/>
      <c r="H2665" s="364"/>
      <c r="I2665" s="364"/>
      <c r="J2665" s="51"/>
      <c r="K2665" s="51"/>
      <c r="L2665" s="51"/>
      <c r="M2665" s="35"/>
      <c r="N2665" s="51"/>
      <c r="O2665" s="82"/>
      <c r="P2665" s="364"/>
      <c r="Q2665" s="338"/>
      <c r="R2665" s="364"/>
      <c r="S2665" s="51"/>
      <c r="T2665" s="338"/>
      <c r="U2665" s="51"/>
      <c r="V2665" s="35"/>
      <c r="W2665" s="364">
        <f t="shared" ref="W2665:W2685" si="602">SUM(Y2665:AK2665)</f>
        <v>118976.06</v>
      </c>
      <c r="X2665" s="9"/>
      <c r="Y2665" s="9"/>
      <c r="Z2665" s="9"/>
      <c r="AA2665" s="9"/>
      <c r="AB2665" s="9"/>
      <c r="AC2665" s="9"/>
      <c r="AD2665" s="9">
        <v>118976.06</v>
      </c>
      <c r="AE2665" s="9"/>
      <c r="AF2665" s="40"/>
      <c r="AG2665" s="56"/>
      <c r="AH2665" s="56"/>
      <c r="AI2665" s="56"/>
      <c r="AJ2665" s="56"/>
    </row>
    <row r="2666" spans="1:36" x14ac:dyDescent="0.3">
      <c r="A2666" s="47">
        <f t="shared" si="598"/>
        <v>2403</v>
      </c>
      <c r="B2666" s="414" t="s">
        <v>3349</v>
      </c>
      <c r="C2666" s="51">
        <f t="shared" si="600"/>
        <v>270475.06</v>
      </c>
      <c r="D2666" s="51">
        <f t="shared" si="601"/>
        <v>0</v>
      </c>
      <c r="E2666" s="51"/>
      <c r="F2666" s="364"/>
      <c r="G2666" s="364"/>
      <c r="H2666" s="364"/>
      <c r="I2666" s="51"/>
      <c r="J2666" s="51"/>
      <c r="K2666" s="51"/>
      <c r="L2666" s="51"/>
      <c r="M2666" s="35"/>
      <c r="N2666" s="51"/>
      <c r="O2666" s="82"/>
      <c r="P2666" s="364"/>
      <c r="Q2666" s="338"/>
      <c r="R2666" s="364"/>
      <c r="S2666" s="51"/>
      <c r="T2666" s="338"/>
      <c r="U2666" s="51"/>
      <c r="V2666" s="35"/>
      <c r="W2666" s="364">
        <f t="shared" si="602"/>
        <v>270475.06</v>
      </c>
      <c r="X2666" s="9"/>
      <c r="Y2666" s="9"/>
      <c r="Z2666" s="9">
        <v>143450.87</v>
      </c>
      <c r="AA2666" s="9">
        <v>127024.19</v>
      </c>
      <c r="AB2666" s="9"/>
      <c r="AC2666" s="9"/>
      <c r="AD2666" s="9"/>
      <c r="AE2666" s="9"/>
      <c r="AF2666" s="40"/>
      <c r="AG2666" s="56"/>
      <c r="AH2666" s="56"/>
      <c r="AI2666" s="56"/>
      <c r="AJ2666" s="56"/>
    </row>
    <row r="2667" spans="1:36" x14ac:dyDescent="0.3">
      <c r="A2667" s="47">
        <f t="shared" si="598"/>
        <v>2404</v>
      </c>
      <c r="B2667" s="414" t="s">
        <v>3350</v>
      </c>
      <c r="C2667" s="51">
        <f t="shared" si="600"/>
        <v>577052.24</v>
      </c>
      <c r="D2667" s="51">
        <f t="shared" si="601"/>
        <v>0</v>
      </c>
      <c r="E2667" s="51"/>
      <c r="F2667" s="51"/>
      <c r="G2667" s="51"/>
      <c r="H2667" s="51"/>
      <c r="I2667" s="51"/>
      <c r="J2667" s="51"/>
      <c r="K2667" s="51"/>
      <c r="L2667" s="51"/>
      <c r="M2667" s="35"/>
      <c r="N2667" s="51"/>
      <c r="O2667" s="82"/>
      <c r="P2667" s="364"/>
      <c r="Q2667" s="338"/>
      <c r="R2667" s="364"/>
      <c r="S2667" s="51"/>
      <c r="T2667" s="338"/>
      <c r="U2667" s="51"/>
      <c r="V2667" s="35"/>
      <c r="W2667" s="364">
        <f t="shared" si="602"/>
        <v>577052.24</v>
      </c>
      <c r="X2667" s="9"/>
      <c r="Y2667" s="9"/>
      <c r="Z2667" s="9"/>
      <c r="AA2667" s="9"/>
      <c r="AB2667" s="9"/>
      <c r="AC2667" s="9"/>
      <c r="AD2667" s="9"/>
      <c r="AE2667" s="9"/>
      <c r="AF2667" s="40"/>
      <c r="AG2667" s="56">
        <v>577052.24</v>
      </c>
      <c r="AH2667" s="56"/>
      <c r="AI2667" s="56"/>
      <c r="AJ2667" s="56"/>
    </row>
    <row r="2668" spans="1:36" x14ac:dyDescent="0.3">
      <c r="A2668" s="47">
        <f t="shared" ref="A2668:A2670" si="603">A2667+1</f>
        <v>2405</v>
      </c>
      <c r="B2668" s="414" t="s">
        <v>3351</v>
      </c>
      <c r="C2668" s="51">
        <f t="shared" si="600"/>
        <v>516650.71</v>
      </c>
      <c r="D2668" s="51">
        <f t="shared" si="601"/>
        <v>0</v>
      </c>
      <c r="E2668" s="51"/>
      <c r="F2668" s="51"/>
      <c r="G2668" s="51"/>
      <c r="H2668" s="51"/>
      <c r="I2668" s="51"/>
      <c r="J2668" s="51"/>
      <c r="K2668" s="51"/>
      <c r="L2668" s="51"/>
      <c r="M2668" s="35"/>
      <c r="N2668" s="51"/>
      <c r="O2668" s="82"/>
      <c r="P2668" s="364"/>
      <c r="Q2668" s="338"/>
      <c r="R2668" s="364"/>
      <c r="S2668" s="51"/>
      <c r="T2668" s="338"/>
      <c r="U2668" s="51"/>
      <c r="V2668" s="35"/>
      <c r="W2668" s="364">
        <f t="shared" si="602"/>
        <v>516650.71</v>
      </c>
      <c r="X2668" s="9"/>
      <c r="Y2668" s="9"/>
      <c r="Z2668" s="9"/>
      <c r="AA2668" s="9"/>
      <c r="AB2668" s="9"/>
      <c r="AC2668" s="9"/>
      <c r="AD2668" s="9"/>
      <c r="AE2668" s="9"/>
      <c r="AF2668" s="40"/>
      <c r="AG2668" s="56">
        <v>516650.71</v>
      </c>
      <c r="AH2668" s="56"/>
      <c r="AI2668" s="56"/>
      <c r="AJ2668" s="56"/>
    </row>
    <row r="2669" spans="1:36" x14ac:dyDescent="0.3">
      <c r="A2669" s="47">
        <f t="shared" si="603"/>
        <v>2406</v>
      </c>
      <c r="B2669" s="414" t="s">
        <v>3352</v>
      </c>
      <c r="C2669" s="51">
        <f t="shared" si="600"/>
        <v>185015.23</v>
      </c>
      <c r="D2669" s="51">
        <f t="shared" si="601"/>
        <v>0</v>
      </c>
      <c r="E2669" s="51"/>
      <c r="F2669" s="51"/>
      <c r="G2669" s="51"/>
      <c r="H2669" s="51"/>
      <c r="I2669" s="51"/>
      <c r="J2669" s="51"/>
      <c r="K2669" s="51"/>
      <c r="L2669" s="51"/>
      <c r="M2669" s="35"/>
      <c r="N2669" s="51"/>
      <c r="O2669" s="82"/>
      <c r="P2669" s="364"/>
      <c r="Q2669" s="338"/>
      <c r="R2669" s="51"/>
      <c r="S2669" s="51"/>
      <c r="T2669" s="338"/>
      <c r="U2669" s="51"/>
      <c r="V2669" s="35"/>
      <c r="W2669" s="364">
        <f t="shared" si="602"/>
        <v>185015.23</v>
      </c>
      <c r="X2669" s="9"/>
      <c r="Y2669" s="9"/>
      <c r="Z2669" s="9"/>
      <c r="AA2669" s="9"/>
      <c r="AB2669" s="9"/>
      <c r="AC2669" s="9"/>
      <c r="AD2669" s="9"/>
      <c r="AE2669" s="9"/>
      <c r="AF2669" s="40">
        <v>185015.23</v>
      </c>
      <c r="AG2669" s="56"/>
      <c r="AH2669" s="56"/>
      <c r="AI2669" s="56"/>
      <c r="AJ2669" s="56"/>
    </row>
    <row r="2670" spans="1:36" x14ac:dyDescent="0.3">
      <c r="A2670" s="47">
        <f t="shared" si="603"/>
        <v>2407</v>
      </c>
      <c r="B2670" s="414" t="s">
        <v>3353</v>
      </c>
      <c r="C2670" s="51">
        <f t="shared" si="600"/>
        <v>395286.14</v>
      </c>
      <c r="D2670" s="51">
        <f t="shared" si="601"/>
        <v>0</v>
      </c>
      <c r="E2670" s="51"/>
      <c r="F2670" s="51"/>
      <c r="G2670" s="51"/>
      <c r="H2670" s="51"/>
      <c r="I2670" s="51"/>
      <c r="J2670" s="51"/>
      <c r="K2670" s="51"/>
      <c r="L2670" s="51"/>
      <c r="M2670" s="35"/>
      <c r="N2670" s="51"/>
      <c r="O2670" s="82"/>
      <c r="P2670" s="364"/>
      <c r="Q2670" s="338"/>
      <c r="R2670" s="364"/>
      <c r="S2670" s="51"/>
      <c r="T2670" s="338"/>
      <c r="U2670" s="51"/>
      <c r="V2670" s="35"/>
      <c r="W2670" s="364">
        <f t="shared" si="602"/>
        <v>395286.14</v>
      </c>
      <c r="X2670" s="9"/>
      <c r="Y2670" s="9"/>
      <c r="Z2670" s="9"/>
      <c r="AA2670" s="9"/>
      <c r="AB2670" s="9"/>
      <c r="AC2670" s="9"/>
      <c r="AD2670" s="9"/>
      <c r="AE2670" s="9"/>
      <c r="AF2670" s="40"/>
      <c r="AG2670" s="56">
        <v>395286.14</v>
      </c>
      <c r="AH2670" s="56"/>
      <c r="AI2670" s="56"/>
      <c r="AJ2670" s="56"/>
    </row>
    <row r="2671" spans="1:36" x14ac:dyDescent="0.3">
      <c r="A2671" s="47">
        <f t="shared" ref="A2671:A2699" si="604">A2670+1</f>
        <v>2408</v>
      </c>
      <c r="B2671" s="414" t="s">
        <v>3354</v>
      </c>
      <c r="C2671" s="51">
        <f t="shared" si="600"/>
        <v>324826.14</v>
      </c>
      <c r="D2671" s="51">
        <f t="shared" si="601"/>
        <v>0</v>
      </c>
      <c r="E2671" s="51"/>
      <c r="F2671" s="364"/>
      <c r="G2671" s="364"/>
      <c r="H2671" s="364"/>
      <c r="I2671" s="364"/>
      <c r="J2671" s="51"/>
      <c r="K2671" s="51"/>
      <c r="L2671" s="51"/>
      <c r="M2671" s="35"/>
      <c r="N2671" s="51">
        <f>29.22*8094</f>
        <v>236506.68</v>
      </c>
      <c r="O2671" s="82"/>
      <c r="P2671" s="364"/>
      <c r="Q2671" s="338"/>
      <c r="R2671" s="364"/>
      <c r="S2671" s="51"/>
      <c r="T2671" s="338"/>
      <c r="U2671" s="51"/>
      <c r="V2671" s="35"/>
      <c r="W2671" s="364">
        <f t="shared" si="602"/>
        <v>88319.46</v>
      </c>
      <c r="X2671" s="9"/>
      <c r="Y2671" s="9"/>
      <c r="Z2671" s="9"/>
      <c r="AA2671" s="9"/>
      <c r="AB2671" s="9"/>
      <c r="AC2671" s="9"/>
      <c r="AD2671" s="9">
        <v>88319.46</v>
      </c>
      <c r="AE2671" s="9"/>
      <c r="AF2671" s="40"/>
      <c r="AG2671" s="56"/>
      <c r="AH2671" s="56"/>
      <c r="AI2671" s="56"/>
      <c r="AJ2671" s="56"/>
    </row>
    <row r="2672" spans="1:36" x14ac:dyDescent="0.3">
      <c r="A2672" s="47">
        <f t="shared" si="604"/>
        <v>2409</v>
      </c>
      <c r="B2672" s="414" t="s">
        <v>3355</v>
      </c>
      <c r="C2672" s="51">
        <f t="shared" si="600"/>
        <v>455412.54</v>
      </c>
      <c r="D2672" s="51">
        <f t="shared" si="601"/>
        <v>0</v>
      </c>
      <c r="E2672" s="51"/>
      <c r="F2672" s="364"/>
      <c r="G2672" s="364"/>
      <c r="H2672" s="364"/>
      <c r="I2672" s="51"/>
      <c r="J2672" s="51"/>
      <c r="K2672" s="51"/>
      <c r="L2672" s="51"/>
      <c r="M2672" s="35"/>
      <c r="N2672" s="51"/>
      <c r="O2672" s="82"/>
      <c r="P2672" s="364"/>
      <c r="Q2672" s="338"/>
      <c r="R2672" s="364"/>
      <c r="S2672" s="51"/>
      <c r="T2672" s="338"/>
      <c r="U2672" s="51"/>
      <c r="V2672" s="35"/>
      <c r="W2672" s="364">
        <f t="shared" si="602"/>
        <v>455412.54</v>
      </c>
      <c r="X2672" s="9"/>
      <c r="Y2672" s="9"/>
      <c r="Z2672" s="9"/>
      <c r="AA2672" s="9"/>
      <c r="AB2672" s="9"/>
      <c r="AC2672" s="9"/>
      <c r="AD2672" s="9"/>
      <c r="AE2672" s="9"/>
      <c r="AF2672" s="40"/>
      <c r="AG2672" s="56">
        <v>455412.54</v>
      </c>
      <c r="AH2672" s="56"/>
      <c r="AI2672" s="56"/>
      <c r="AJ2672" s="56"/>
    </row>
    <row r="2673" spans="1:36" x14ac:dyDescent="0.3">
      <c r="A2673" s="47">
        <f t="shared" si="604"/>
        <v>2410</v>
      </c>
      <c r="B2673" s="414" t="s">
        <v>3356</v>
      </c>
      <c r="C2673" s="51">
        <f t="shared" si="600"/>
        <v>4652408.8899999997</v>
      </c>
      <c r="D2673" s="51">
        <f t="shared" si="601"/>
        <v>0</v>
      </c>
      <c r="E2673" s="51"/>
      <c r="F2673" s="51"/>
      <c r="G2673" s="51"/>
      <c r="H2673" s="51"/>
      <c r="I2673" s="51"/>
      <c r="J2673" s="51"/>
      <c r="K2673" s="51"/>
      <c r="L2673" s="51"/>
      <c r="M2673" s="35"/>
      <c r="N2673" s="51">
        <f>508.2*8094</f>
        <v>4113370.8</v>
      </c>
      <c r="O2673" s="82"/>
      <c r="P2673" s="364"/>
      <c r="Q2673" s="338"/>
      <c r="R2673" s="364"/>
      <c r="S2673" s="51"/>
      <c r="T2673" s="338"/>
      <c r="U2673" s="51"/>
      <c r="V2673" s="35"/>
      <c r="W2673" s="364">
        <f t="shared" si="602"/>
        <v>539038.09</v>
      </c>
      <c r="X2673" s="9"/>
      <c r="Y2673" s="9"/>
      <c r="Z2673" s="9"/>
      <c r="AA2673" s="9"/>
      <c r="AB2673" s="9"/>
      <c r="AC2673" s="9"/>
      <c r="AD2673" s="9"/>
      <c r="AE2673" s="9"/>
      <c r="AF2673" s="40"/>
      <c r="AG2673" s="56">
        <v>539038.09</v>
      </c>
      <c r="AH2673" s="56"/>
      <c r="AI2673" s="56"/>
      <c r="AJ2673" s="56"/>
    </row>
    <row r="2674" spans="1:36" x14ac:dyDescent="0.3">
      <c r="A2674" s="47">
        <f t="shared" si="604"/>
        <v>2411</v>
      </c>
      <c r="B2674" s="414" t="s">
        <v>3357</v>
      </c>
      <c r="C2674" s="51">
        <f t="shared" si="600"/>
        <v>179791.82</v>
      </c>
      <c r="D2674" s="51">
        <f t="shared" si="601"/>
        <v>0</v>
      </c>
      <c r="E2674" s="51"/>
      <c r="F2674" s="51"/>
      <c r="G2674" s="51"/>
      <c r="H2674" s="51"/>
      <c r="I2674" s="51"/>
      <c r="J2674" s="51"/>
      <c r="K2674" s="51"/>
      <c r="L2674" s="51"/>
      <c r="M2674" s="35"/>
      <c r="N2674" s="364"/>
      <c r="O2674" s="82"/>
      <c r="P2674" s="364"/>
      <c r="Q2674" s="338"/>
      <c r="R2674" s="364"/>
      <c r="S2674" s="51"/>
      <c r="T2674" s="338"/>
      <c r="U2674" s="51"/>
      <c r="V2674" s="35"/>
      <c r="W2674" s="364">
        <f t="shared" si="602"/>
        <v>179791.82</v>
      </c>
      <c r="X2674" s="9"/>
      <c r="Y2674" s="9"/>
      <c r="Z2674" s="9"/>
      <c r="AA2674" s="9"/>
      <c r="AB2674" s="9"/>
      <c r="AC2674" s="9"/>
      <c r="AD2674" s="9"/>
      <c r="AE2674" s="9">
        <v>179791.82</v>
      </c>
      <c r="AF2674" s="40"/>
      <c r="AG2674" s="56"/>
      <c r="AH2674" s="56"/>
      <c r="AI2674" s="56"/>
      <c r="AJ2674" s="56"/>
    </row>
    <row r="2675" spans="1:36" x14ac:dyDescent="0.3">
      <c r="A2675" s="47">
        <f t="shared" si="604"/>
        <v>2412</v>
      </c>
      <c r="B2675" s="414" t="s">
        <v>3358</v>
      </c>
      <c r="C2675" s="51">
        <f t="shared" si="600"/>
        <v>183274.37</v>
      </c>
      <c r="D2675" s="51">
        <f t="shared" si="601"/>
        <v>0</v>
      </c>
      <c r="E2675" s="51"/>
      <c r="F2675" s="364"/>
      <c r="G2675" s="364"/>
      <c r="H2675" s="364"/>
      <c r="I2675" s="51"/>
      <c r="J2675" s="51"/>
      <c r="K2675" s="51"/>
      <c r="L2675" s="51"/>
      <c r="M2675" s="35"/>
      <c r="N2675" s="51"/>
      <c r="O2675" s="82"/>
      <c r="P2675" s="364"/>
      <c r="Q2675" s="338"/>
      <c r="R2675" s="364"/>
      <c r="S2675" s="51"/>
      <c r="T2675" s="338"/>
      <c r="U2675" s="51"/>
      <c r="V2675" s="35"/>
      <c r="W2675" s="364">
        <f t="shared" si="602"/>
        <v>183274.37</v>
      </c>
      <c r="X2675" s="9"/>
      <c r="Y2675" s="9"/>
      <c r="Z2675" s="9">
        <v>101494.98</v>
      </c>
      <c r="AA2675" s="9"/>
      <c r="AB2675" s="9"/>
      <c r="AC2675" s="9">
        <v>81779.39</v>
      </c>
      <c r="AD2675" s="9"/>
      <c r="AE2675" s="9"/>
      <c r="AF2675" s="40"/>
      <c r="AG2675" s="56"/>
      <c r="AH2675" s="56"/>
      <c r="AI2675" s="56"/>
      <c r="AJ2675" s="56"/>
    </row>
    <row r="2676" spans="1:36" x14ac:dyDescent="0.3">
      <c r="A2676" s="47">
        <f>A2675+1</f>
        <v>2413</v>
      </c>
      <c r="B2676" s="414" t="s">
        <v>3359</v>
      </c>
      <c r="C2676" s="51">
        <f t="shared" si="600"/>
        <v>2621451.8199999998</v>
      </c>
      <c r="D2676" s="51">
        <f t="shared" si="601"/>
        <v>2392492.2999999998</v>
      </c>
      <c r="E2676" s="51">
        <f>80*2688+358323</f>
        <v>573363</v>
      </c>
      <c r="F2676" s="51">
        <v>1819129.3</v>
      </c>
      <c r="G2676" s="364"/>
      <c r="H2676" s="364"/>
      <c r="I2676" s="364"/>
      <c r="J2676" s="51"/>
      <c r="K2676" s="51"/>
      <c r="L2676" s="51"/>
      <c r="M2676" s="35"/>
      <c r="N2676" s="51"/>
      <c r="O2676" s="82"/>
      <c r="P2676" s="364"/>
      <c r="Q2676" s="338"/>
      <c r="R2676" s="364"/>
      <c r="S2676" s="51"/>
      <c r="T2676" s="338"/>
      <c r="U2676" s="51"/>
      <c r="V2676" s="35"/>
      <c r="W2676" s="364">
        <f t="shared" si="602"/>
        <v>228959.52</v>
      </c>
      <c r="X2676" s="9"/>
      <c r="Y2676" s="9"/>
      <c r="Z2676" s="9"/>
      <c r="AA2676" s="9"/>
      <c r="AB2676" s="9"/>
      <c r="AC2676" s="9">
        <v>114479.76</v>
      </c>
      <c r="AD2676" s="9">
        <v>114479.76</v>
      </c>
      <c r="AE2676" s="9"/>
      <c r="AF2676" s="40"/>
      <c r="AG2676" s="56"/>
      <c r="AH2676" s="56"/>
      <c r="AI2676" s="56"/>
      <c r="AJ2676" s="56"/>
    </row>
    <row r="2677" spans="1:36" x14ac:dyDescent="0.3">
      <c r="A2677" s="47">
        <f t="shared" si="604"/>
        <v>2414</v>
      </c>
      <c r="B2677" s="414" t="s">
        <v>3360</v>
      </c>
      <c r="C2677" s="51">
        <f t="shared" si="600"/>
        <v>77552.990000000005</v>
      </c>
      <c r="D2677" s="51">
        <f t="shared" si="601"/>
        <v>0</v>
      </c>
      <c r="E2677" s="51"/>
      <c r="F2677" s="364"/>
      <c r="G2677" s="364"/>
      <c r="H2677" s="364"/>
      <c r="I2677" s="364"/>
      <c r="J2677" s="51"/>
      <c r="K2677" s="51"/>
      <c r="L2677" s="51"/>
      <c r="M2677" s="35"/>
      <c r="N2677" s="364"/>
      <c r="O2677" s="82"/>
      <c r="P2677" s="364"/>
      <c r="Q2677" s="338"/>
      <c r="R2677" s="364"/>
      <c r="S2677" s="51"/>
      <c r="T2677" s="338"/>
      <c r="U2677" s="364"/>
      <c r="V2677" s="35"/>
      <c r="W2677" s="364">
        <f t="shared" si="602"/>
        <v>77552.990000000005</v>
      </c>
      <c r="X2677" s="9"/>
      <c r="Y2677" s="9"/>
      <c r="Z2677" s="9"/>
      <c r="AA2677" s="9"/>
      <c r="AB2677" s="9"/>
      <c r="AC2677" s="9"/>
      <c r="AD2677" s="9">
        <v>77552.990000000005</v>
      </c>
      <c r="AE2677" s="9"/>
      <c r="AF2677" s="40"/>
      <c r="AG2677" s="56"/>
      <c r="AH2677" s="56"/>
      <c r="AI2677" s="56"/>
      <c r="AJ2677" s="56"/>
    </row>
    <row r="2678" spans="1:36" x14ac:dyDescent="0.3">
      <c r="A2678" s="47">
        <f t="shared" si="604"/>
        <v>2415</v>
      </c>
      <c r="B2678" s="414" t="s">
        <v>3361</v>
      </c>
      <c r="C2678" s="51">
        <f t="shared" si="600"/>
        <v>363691.3</v>
      </c>
      <c r="D2678" s="51">
        <f t="shared" si="601"/>
        <v>0</v>
      </c>
      <c r="E2678" s="364"/>
      <c r="F2678" s="364"/>
      <c r="G2678" s="364"/>
      <c r="H2678" s="364"/>
      <c r="I2678" s="364"/>
      <c r="J2678" s="51"/>
      <c r="K2678" s="51"/>
      <c r="L2678" s="51"/>
      <c r="M2678" s="35"/>
      <c r="N2678" s="364"/>
      <c r="O2678" s="82"/>
      <c r="P2678" s="364"/>
      <c r="Q2678" s="338"/>
      <c r="R2678" s="364"/>
      <c r="S2678" s="51"/>
      <c r="T2678" s="338"/>
      <c r="U2678" s="364"/>
      <c r="V2678" s="35"/>
      <c r="W2678" s="364">
        <f t="shared" si="602"/>
        <v>363691.3</v>
      </c>
      <c r="X2678" s="9"/>
      <c r="Y2678" s="9">
        <v>73173.42</v>
      </c>
      <c r="Z2678" s="9"/>
      <c r="AA2678" s="9"/>
      <c r="AB2678" s="9"/>
      <c r="AC2678" s="9">
        <v>73859.759999999995</v>
      </c>
      <c r="AD2678" s="9">
        <v>73859.759999999995</v>
      </c>
      <c r="AE2678" s="9">
        <v>142798.35999999999</v>
      </c>
      <c r="AF2678" s="40"/>
      <c r="AG2678" s="56"/>
      <c r="AH2678" s="56"/>
      <c r="AI2678" s="56"/>
      <c r="AJ2678" s="56"/>
    </row>
    <row r="2679" spans="1:36" x14ac:dyDescent="0.3">
      <c r="A2679" s="47">
        <f>A2678+1</f>
        <v>2416</v>
      </c>
      <c r="B2679" s="414" t="s">
        <v>3362</v>
      </c>
      <c r="C2679" s="51">
        <f t="shared" si="600"/>
        <v>891350.76</v>
      </c>
      <c r="D2679" s="51">
        <f t="shared" si="601"/>
        <v>707763</v>
      </c>
      <c r="E2679" s="51">
        <f>130*2688+358323</f>
        <v>707763</v>
      </c>
      <c r="F2679" s="364"/>
      <c r="G2679" s="364"/>
      <c r="H2679" s="364"/>
      <c r="I2679" s="364"/>
      <c r="J2679" s="51"/>
      <c r="K2679" s="51"/>
      <c r="L2679" s="51"/>
      <c r="M2679" s="35"/>
      <c r="N2679" s="51"/>
      <c r="O2679" s="82"/>
      <c r="P2679" s="364"/>
      <c r="Q2679" s="338"/>
      <c r="R2679" s="364"/>
      <c r="S2679" s="51"/>
      <c r="T2679" s="338"/>
      <c r="U2679" s="364"/>
      <c r="V2679" s="35"/>
      <c r="W2679" s="364">
        <f t="shared" si="602"/>
        <v>183587.76</v>
      </c>
      <c r="X2679" s="9"/>
      <c r="Y2679" s="9"/>
      <c r="Z2679" s="9"/>
      <c r="AA2679" s="9"/>
      <c r="AB2679" s="9"/>
      <c r="AC2679" s="9">
        <v>91793.88</v>
      </c>
      <c r="AD2679" s="9">
        <v>91793.88</v>
      </c>
      <c r="AE2679" s="9"/>
      <c r="AF2679" s="40"/>
      <c r="AG2679" s="56"/>
      <c r="AH2679" s="56"/>
      <c r="AI2679" s="56"/>
      <c r="AJ2679" s="56"/>
    </row>
    <row r="2680" spans="1:36" x14ac:dyDescent="0.3">
      <c r="A2680" s="47">
        <f t="shared" si="604"/>
        <v>2417</v>
      </c>
      <c r="B2680" s="414" t="s">
        <v>3363</v>
      </c>
      <c r="C2680" s="51">
        <f t="shared" si="600"/>
        <v>258205.67</v>
      </c>
      <c r="D2680" s="51">
        <f t="shared" si="601"/>
        <v>0</v>
      </c>
      <c r="E2680" s="51"/>
      <c r="F2680" s="364"/>
      <c r="G2680" s="364"/>
      <c r="H2680" s="364"/>
      <c r="I2680" s="51"/>
      <c r="J2680" s="51"/>
      <c r="K2680" s="51"/>
      <c r="L2680" s="51"/>
      <c r="M2680" s="35"/>
      <c r="N2680" s="51"/>
      <c r="O2680" s="82"/>
      <c r="P2680" s="51"/>
      <c r="Q2680" s="338"/>
      <c r="R2680" s="51"/>
      <c r="S2680" s="51"/>
      <c r="T2680" s="338"/>
      <c r="U2680" s="51"/>
      <c r="V2680" s="35"/>
      <c r="W2680" s="364">
        <f t="shared" si="602"/>
        <v>258205.67</v>
      </c>
      <c r="X2680" s="9"/>
      <c r="Y2680" s="9"/>
      <c r="Z2680" s="9">
        <v>139743.48000000001</v>
      </c>
      <c r="AA2680" s="9">
        <v>118462.19</v>
      </c>
      <c r="AB2680" s="9"/>
      <c r="AC2680" s="9"/>
      <c r="AD2680" s="9"/>
      <c r="AE2680" s="9"/>
      <c r="AF2680" s="40"/>
      <c r="AG2680" s="56"/>
      <c r="AH2680" s="56"/>
      <c r="AI2680" s="56"/>
      <c r="AJ2680" s="56"/>
    </row>
    <row r="2681" spans="1:36" x14ac:dyDescent="0.3">
      <c r="A2681" s="47">
        <f t="shared" si="604"/>
        <v>2418</v>
      </c>
      <c r="B2681" s="414" t="s">
        <v>3364</v>
      </c>
      <c r="C2681" s="51">
        <f t="shared" si="600"/>
        <v>496094.31000000006</v>
      </c>
      <c r="D2681" s="51">
        <f t="shared" si="601"/>
        <v>0</v>
      </c>
      <c r="E2681" s="51"/>
      <c r="F2681" s="364"/>
      <c r="G2681" s="364"/>
      <c r="H2681" s="364"/>
      <c r="I2681" s="51"/>
      <c r="J2681" s="51"/>
      <c r="K2681" s="51"/>
      <c r="L2681" s="51"/>
      <c r="M2681" s="35"/>
      <c r="N2681" s="364"/>
      <c r="O2681" s="82"/>
      <c r="P2681" s="364"/>
      <c r="Q2681" s="338"/>
      <c r="R2681" s="364"/>
      <c r="S2681" s="51"/>
      <c r="T2681" s="338"/>
      <c r="U2681" s="51"/>
      <c r="V2681" s="35"/>
      <c r="W2681" s="364">
        <f t="shared" si="602"/>
        <v>496094.31000000006</v>
      </c>
      <c r="X2681" s="9"/>
      <c r="Y2681" s="9"/>
      <c r="Z2681" s="9">
        <v>141857.98000000001</v>
      </c>
      <c r="AA2681" s="9">
        <v>134624.29</v>
      </c>
      <c r="AB2681" s="9"/>
      <c r="AC2681" s="9"/>
      <c r="AD2681" s="9"/>
      <c r="AE2681" s="9">
        <v>219612.04</v>
      </c>
      <c r="AF2681" s="40"/>
      <c r="AG2681" s="56"/>
      <c r="AH2681" s="56"/>
      <c r="AI2681" s="56"/>
      <c r="AJ2681" s="56"/>
    </row>
    <row r="2682" spans="1:36" x14ac:dyDescent="0.3">
      <c r="A2682" s="47">
        <f t="shared" si="604"/>
        <v>2419</v>
      </c>
      <c r="B2682" s="414" t="s">
        <v>3365</v>
      </c>
      <c r="C2682" s="51">
        <f t="shared" si="600"/>
        <v>158653.72</v>
      </c>
      <c r="D2682" s="51">
        <f t="shared" si="601"/>
        <v>0</v>
      </c>
      <c r="E2682" s="51"/>
      <c r="F2682" s="364"/>
      <c r="G2682" s="364"/>
      <c r="H2682" s="364"/>
      <c r="I2682" s="364"/>
      <c r="J2682" s="51"/>
      <c r="K2682" s="51"/>
      <c r="L2682" s="51"/>
      <c r="M2682" s="35"/>
      <c r="N2682" s="51"/>
      <c r="O2682" s="82"/>
      <c r="P2682" s="364"/>
      <c r="Q2682" s="338"/>
      <c r="R2682" s="364"/>
      <c r="S2682" s="51"/>
      <c r="T2682" s="338"/>
      <c r="U2682" s="364"/>
      <c r="V2682" s="35"/>
      <c r="W2682" s="364">
        <f t="shared" si="602"/>
        <v>158653.72</v>
      </c>
      <c r="X2682" s="9"/>
      <c r="Y2682" s="9"/>
      <c r="Z2682" s="9"/>
      <c r="AA2682" s="9"/>
      <c r="AB2682" s="9"/>
      <c r="AC2682" s="9">
        <v>79326.86</v>
      </c>
      <c r="AD2682" s="9">
        <v>79326.86</v>
      </c>
      <c r="AE2682" s="9"/>
      <c r="AF2682" s="40"/>
      <c r="AG2682" s="56"/>
      <c r="AH2682" s="56"/>
      <c r="AI2682" s="56"/>
      <c r="AJ2682" s="56"/>
    </row>
    <row r="2683" spans="1:36" x14ac:dyDescent="0.3">
      <c r="A2683" s="47">
        <f t="shared" si="604"/>
        <v>2420</v>
      </c>
      <c r="B2683" s="414" t="s">
        <v>3366</v>
      </c>
      <c r="C2683" s="51">
        <f t="shared" si="600"/>
        <v>548274.92000000004</v>
      </c>
      <c r="D2683" s="51">
        <f t="shared" si="601"/>
        <v>0</v>
      </c>
      <c r="E2683" s="364"/>
      <c r="F2683" s="364"/>
      <c r="G2683" s="364"/>
      <c r="H2683" s="364"/>
      <c r="I2683" s="364"/>
      <c r="J2683" s="51"/>
      <c r="K2683" s="51"/>
      <c r="L2683" s="51"/>
      <c r="M2683" s="35"/>
      <c r="N2683" s="51"/>
      <c r="O2683" s="82"/>
      <c r="P2683" s="364"/>
      <c r="Q2683" s="338"/>
      <c r="R2683" s="364"/>
      <c r="S2683" s="51"/>
      <c r="T2683" s="338"/>
      <c r="U2683" s="51"/>
      <c r="V2683" s="35"/>
      <c r="W2683" s="364">
        <f t="shared" si="602"/>
        <v>548274.92000000004</v>
      </c>
      <c r="X2683" s="9"/>
      <c r="Y2683" s="9">
        <v>114284.77</v>
      </c>
      <c r="Z2683" s="9">
        <v>141556.21</v>
      </c>
      <c r="AA2683" s="9">
        <v>120169.07</v>
      </c>
      <c r="AB2683" s="9"/>
      <c r="AC2683" s="9"/>
      <c r="AD2683" s="9">
        <v>115030.39</v>
      </c>
      <c r="AE2683" s="9"/>
      <c r="AF2683" s="40">
        <v>57234.48</v>
      </c>
      <c r="AG2683" s="56"/>
      <c r="AH2683" s="56"/>
      <c r="AI2683" s="56"/>
      <c r="AJ2683" s="56"/>
    </row>
    <row r="2684" spans="1:36" x14ac:dyDescent="0.3">
      <c r="A2684" s="47">
        <f>A2683+1</f>
        <v>2421</v>
      </c>
      <c r="B2684" s="414" t="s">
        <v>3367</v>
      </c>
      <c r="C2684" s="51">
        <f t="shared" si="600"/>
        <v>755847.34</v>
      </c>
      <c r="D2684" s="51">
        <f t="shared" si="601"/>
        <v>586803</v>
      </c>
      <c r="E2684" s="51">
        <f>85*2688+358323</f>
        <v>586803</v>
      </c>
      <c r="F2684" s="364"/>
      <c r="G2684" s="364"/>
      <c r="H2684" s="364"/>
      <c r="I2684" s="51"/>
      <c r="J2684" s="51"/>
      <c r="K2684" s="51"/>
      <c r="L2684" s="51"/>
      <c r="M2684" s="35"/>
      <c r="N2684" s="51"/>
      <c r="O2684" s="82"/>
      <c r="P2684" s="364"/>
      <c r="Q2684" s="338"/>
      <c r="R2684" s="364"/>
      <c r="S2684" s="51"/>
      <c r="T2684" s="338"/>
      <c r="U2684" s="51"/>
      <c r="V2684" s="35"/>
      <c r="W2684" s="364">
        <f t="shared" si="602"/>
        <v>169044.34</v>
      </c>
      <c r="X2684" s="9"/>
      <c r="Y2684" s="9"/>
      <c r="Z2684" s="9">
        <v>94264.86</v>
      </c>
      <c r="AA2684" s="9"/>
      <c r="AB2684" s="9"/>
      <c r="AC2684" s="9">
        <v>74779.48</v>
      </c>
      <c r="AD2684" s="9"/>
      <c r="AE2684" s="9"/>
      <c r="AF2684" s="40"/>
      <c r="AG2684" s="56"/>
      <c r="AH2684" s="56"/>
      <c r="AI2684" s="56"/>
      <c r="AJ2684" s="56"/>
    </row>
    <row r="2685" spans="1:36" x14ac:dyDescent="0.3">
      <c r="A2685" s="47">
        <f t="shared" si="604"/>
        <v>2422</v>
      </c>
      <c r="B2685" s="414" t="s">
        <v>3368</v>
      </c>
      <c r="C2685" s="51">
        <f t="shared" si="600"/>
        <v>2275673.94</v>
      </c>
      <c r="D2685" s="51">
        <f t="shared" si="601"/>
        <v>0</v>
      </c>
      <c r="E2685" s="51"/>
      <c r="F2685" s="364"/>
      <c r="G2685" s="364"/>
      <c r="H2685" s="364"/>
      <c r="I2685" s="364"/>
      <c r="J2685" s="51"/>
      <c r="K2685" s="51"/>
      <c r="L2685" s="51"/>
      <c r="M2685" s="35">
        <v>204</v>
      </c>
      <c r="N2685" s="51">
        <v>2031850.12</v>
      </c>
      <c r="O2685" s="82"/>
      <c r="P2685" s="364"/>
      <c r="Q2685" s="338"/>
      <c r="R2685" s="364"/>
      <c r="S2685" s="51"/>
      <c r="T2685" s="338"/>
      <c r="U2685" s="51"/>
      <c r="V2685" s="35"/>
      <c r="W2685" s="364">
        <f t="shared" si="602"/>
        <v>243823.82</v>
      </c>
      <c r="X2685" s="9"/>
      <c r="Y2685" s="9"/>
      <c r="Z2685" s="9">
        <v>94264.86</v>
      </c>
      <c r="AA2685" s="9"/>
      <c r="AB2685" s="9"/>
      <c r="AC2685" s="9">
        <v>74779.48</v>
      </c>
      <c r="AD2685" s="9">
        <v>74779.48</v>
      </c>
      <c r="AE2685" s="9"/>
      <c r="AF2685" s="40"/>
      <c r="AG2685" s="56"/>
      <c r="AH2685" s="56"/>
      <c r="AI2685" s="56"/>
      <c r="AJ2685" s="56"/>
    </row>
    <row r="2686" spans="1:36" x14ac:dyDescent="0.3">
      <c r="A2686" s="47">
        <f t="shared" si="604"/>
        <v>2423</v>
      </c>
      <c r="B2686" s="414" t="s">
        <v>3371</v>
      </c>
      <c r="C2686" s="51">
        <f t="shared" si="600"/>
        <v>130000</v>
      </c>
      <c r="D2686" s="51">
        <f t="shared" si="601"/>
        <v>0</v>
      </c>
      <c r="E2686" s="364"/>
      <c r="F2686" s="364"/>
      <c r="G2686" s="51"/>
      <c r="H2686" s="51"/>
      <c r="I2686" s="364"/>
      <c r="J2686" s="51"/>
      <c r="K2686" s="51"/>
      <c r="L2686" s="51"/>
      <c r="M2686" s="35"/>
      <c r="N2686" s="364"/>
      <c r="O2686" s="82"/>
      <c r="P2686" s="364"/>
      <c r="Q2686" s="338"/>
      <c r="R2686" s="364"/>
      <c r="S2686" s="51"/>
      <c r="T2686" s="338"/>
      <c r="U2686" s="364"/>
      <c r="V2686" s="35"/>
      <c r="W2686" s="364">
        <v>130000</v>
      </c>
      <c r="X2686" s="9"/>
      <c r="Y2686" s="9"/>
      <c r="Z2686" s="9"/>
      <c r="AA2686" s="9"/>
      <c r="AB2686" s="9"/>
      <c r="AC2686" s="9"/>
      <c r="AD2686" s="9"/>
      <c r="AE2686" s="9"/>
      <c r="AF2686" s="40"/>
      <c r="AG2686" s="56"/>
      <c r="AH2686" s="56"/>
      <c r="AI2686" s="56"/>
      <c r="AJ2686" s="56"/>
    </row>
    <row r="2687" spans="1:36" x14ac:dyDescent="0.3">
      <c r="A2687" s="47">
        <f t="shared" si="604"/>
        <v>2424</v>
      </c>
      <c r="B2687" s="414" t="s">
        <v>3372</v>
      </c>
      <c r="C2687" s="51">
        <f t="shared" si="600"/>
        <v>552864.92000000004</v>
      </c>
      <c r="D2687" s="51">
        <f t="shared" si="601"/>
        <v>0</v>
      </c>
      <c r="E2687" s="364"/>
      <c r="F2687" s="364"/>
      <c r="G2687" s="51"/>
      <c r="H2687" s="51"/>
      <c r="I2687" s="51"/>
      <c r="J2687" s="51"/>
      <c r="K2687" s="51"/>
      <c r="L2687" s="51"/>
      <c r="M2687" s="35"/>
      <c r="N2687" s="51"/>
      <c r="O2687" s="82"/>
      <c r="P2687" s="364"/>
      <c r="Q2687" s="338"/>
      <c r="R2687" s="364"/>
      <c r="S2687" s="51"/>
      <c r="T2687" s="338"/>
      <c r="U2687" s="51"/>
      <c r="V2687" s="35"/>
      <c r="W2687" s="364">
        <f t="shared" ref="W2687:W2719" si="605">SUM(Y2687:AK2687)</f>
        <v>552864.92000000004</v>
      </c>
      <c r="X2687" s="9"/>
      <c r="Y2687" s="9"/>
      <c r="Z2687" s="9"/>
      <c r="AA2687" s="9"/>
      <c r="AB2687" s="9"/>
      <c r="AC2687" s="9"/>
      <c r="AD2687" s="9"/>
      <c r="AE2687" s="9"/>
      <c r="AF2687" s="40"/>
      <c r="AG2687" s="56">
        <v>552864.92000000004</v>
      </c>
      <c r="AH2687" s="56"/>
      <c r="AI2687" s="56"/>
      <c r="AJ2687" s="56"/>
    </row>
    <row r="2688" spans="1:36" x14ac:dyDescent="0.3">
      <c r="A2688" s="47">
        <f t="shared" si="604"/>
        <v>2425</v>
      </c>
      <c r="B2688" s="414" t="s">
        <v>3373</v>
      </c>
      <c r="C2688" s="51">
        <f t="shared" si="600"/>
        <v>223960.59000000003</v>
      </c>
      <c r="D2688" s="51">
        <f t="shared" si="601"/>
        <v>0</v>
      </c>
      <c r="E2688" s="51"/>
      <c r="F2688" s="364"/>
      <c r="G2688" s="364"/>
      <c r="H2688" s="364"/>
      <c r="I2688" s="364"/>
      <c r="J2688" s="51"/>
      <c r="K2688" s="51"/>
      <c r="L2688" s="51"/>
      <c r="M2688" s="35"/>
      <c r="N2688" s="364"/>
      <c r="O2688" s="82"/>
      <c r="P2688" s="364"/>
      <c r="Q2688" s="338"/>
      <c r="R2688" s="364"/>
      <c r="S2688" s="51"/>
      <c r="T2688" s="338"/>
      <c r="U2688" s="364"/>
      <c r="V2688" s="35"/>
      <c r="W2688" s="364">
        <f t="shared" si="605"/>
        <v>223960.59000000003</v>
      </c>
      <c r="X2688" s="9"/>
      <c r="Y2688" s="9"/>
      <c r="Z2688" s="9"/>
      <c r="AA2688" s="9"/>
      <c r="AB2688" s="9"/>
      <c r="AC2688" s="9"/>
      <c r="AD2688" s="9">
        <v>76772.14</v>
      </c>
      <c r="AE2688" s="9">
        <v>147188.45000000001</v>
      </c>
      <c r="AF2688" s="40"/>
      <c r="AG2688" s="56"/>
      <c r="AH2688" s="56"/>
      <c r="AI2688" s="56"/>
      <c r="AJ2688" s="56"/>
    </row>
    <row r="2689" spans="1:36" x14ac:dyDescent="0.3">
      <c r="A2689" s="47">
        <f t="shared" si="604"/>
        <v>2426</v>
      </c>
      <c r="B2689" s="414" t="s">
        <v>3374</v>
      </c>
      <c r="C2689" s="51">
        <f t="shared" si="600"/>
        <v>784174.02</v>
      </c>
      <c r="D2689" s="51">
        <f t="shared" si="601"/>
        <v>573363</v>
      </c>
      <c r="E2689" s="51">
        <f>80*2688+358323</f>
        <v>573363</v>
      </c>
      <c r="F2689" s="364"/>
      <c r="G2689" s="364"/>
      <c r="H2689" s="364"/>
      <c r="I2689" s="364"/>
      <c r="J2689" s="51"/>
      <c r="K2689" s="51"/>
      <c r="L2689" s="51"/>
      <c r="M2689" s="35"/>
      <c r="N2689" s="364"/>
      <c r="O2689" s="82"/>
      <c r="P2689" s="364"/>
      <c r="Q2689" s="338"/>
      <c r="R2689" s="364"/>
      <c r="S2689" s="51"/>
      <c r="T2689" s="338"/>
      <c r="U2689" s="364"/>
      <c r="V2689" s="35"/>
      <c r="W2689" s="364">
        <f t="shared" si="605"/>
        <v>210811.02</v>
      </c>
      <c r="X2689" s="9"/>
      <c r="Y2689" s="9">
        <v>51278.81</v>
      </c>
      <c r="Z2689" s="9"/>
      <c r="AA2689" s="9"/>
      <c r="AB2689" s="9"/>
      <c r="AC2689" s="9"/>
      <c r="AD2689" s="9">
        <v>50351.4</v>
      </c>
      <c r="AE2689" s="9">
        <v>109180.81</v>
      </c>
      <c r="AF2689" s="40"/>
      <c r="AG2689" s="56"/>
      <c r="AH2689" s="56"/>
      <c r="AI2689" s="56"/>
      <c r="AJ2689" s="56"/>
    </row>
    <row r="2690" spans="1:36" x14ac:dyDescent="0.3">
      <c r="A2690" s="47">
        <f t="shared" si="604"/>
        <v>2427</v>
      </c>
      <c r="B2690" s="414" t="s">
        <v>3375</v>
      </c>
      <c r="C2690" s="51">
        <f t="shared" si="600"/>
        <v>653279.73</v>
      </c>
      <c r="D2690" s="51">
        <f t="shared" si="601"/>
        <v>519603</v>
      </c>
      <c r="E2690" s="51">
        <f>60*2688+358323</f>
        <v>519603</v>
      </c>
      <c r="F2690" s="364"/>
      <c r="G2690" s="364"/>
      <c r="H2690" s="364"/>
      <c r="I2690" s="51"/>
      <c r="J2690" s="51"/>
      <c r="K2690" s="51"/>
      <c r="L2690" s="51"/>
      <c r="M2690" s="35"/>
      <c r="N2690" s="364"/>
      <c r="O2690" s="82"/>
      <c r="P2690" s="364"/>
      <c r="Q2690" s="338"/>
      <c r="R2690" s="364"/>
      <c r="S2690" s="51"/>
      <c r="T2690" s="338"/>
      <c r="U2690" s="51"/>
      <c r="V2690" s="35"/>
      <c r="W2690" s="364">
        <f t="shared" si="605"/>
        <v>133676.73000000001</v>
      </c>
      <c r="X2690" s="9"/>
      <c r="Y2690" s="9">
        <v>24682.01</v>
      </c>
      <c r="Z2690" s="9"/>
      <c r="AA2690" s="9"/>
      <c r="AB2690" s="9"/>
      <c r="AC2690" s="9"/>
      <c r="AD2690" s="9"/>
      <c r="AE2690" s="9">
        <v>108994.72</v>
      </c>
      <c r="AF2690" s="40"/>
      <c r="AG2690" s="56"/>
      <c r="AH2690" s="56"/>
      <c r="AI2690" s="56"/>
      <c r="AJ2690" s="56"/>
    </row>
    <row r="2691" spans="1:36" x14ac:dyDescent="0.3">
      <c r="A2691" s="47">
        <f t="shared" si="604"/>
        <v>2428</v>
      </c>
      <c r="B2691" s="414" t="s">
        <v>3376</v>
      </c>
      <c r="C2691" s="51">
        <f t="shared" si="600"/>
        <v>77794.03</v>
      </c>
      <c r="D2691" s="51">
        <f t="shared" si="601"/>
        <v>0</v>
      </c>
      <c r="E2691" s="51"/>
      <c r="F2691" s="364"/>
      <c r="G2691" s="364"/>
      <c r="H2691" s="364"/>
      <c r="I2691" s="364"/>
      <c r="J2691" s="51"/>
      <c r="K2691" s="51"/>
      <c r="L2691" s="51"/>
      <c r="M2691" s="35"/>
      <c r="N2691" s="364"/>
      <c r="O2691" s="82"/>
      <c r="P2691" s="364"/>
      <c r="Q2691" s="338"/>
      <c r="R2691" s="364"/>
      <c r="S2691" s="51"/>
      <c r="T2691" s="338"/>
      <c r="U2691" s="364"/>
      <c r="V2691" s="35"/>
      <c r="W2691" s="364">
        <f t="shared" si="605"/>
        <v>77794.03</v>
      </c>
      <c r="X2691" s="9"/>
      <c r="Y2691" s="9"/>
      <c r="Z2691" s="9"/>
      <c r="AA2691" s="9"/>
      <c r="AB2691" s="9"/>
      <c r="AC2691" s="9"/>
      <c r="AD2691" s="9">
        <v>77794.03</v>
      </c>
      <c r="AE2691" s="9"/>
      <c r="AF2691" s="40"/>
      <c r="AG2691" s="56"/>
      <c r="AH2691" s="56"/>
      <c r="AI2691" s="56"/>
      <c r="AJ2691" s="56"/>
    </row>
    <row r="2692" spans="1:36" x14ac:dyDescent="0.3">
      <c r="A2692" s="47">
        <f t="shared" si="604"/>
        <v>2429</v>
      </c>
      <c r="B2692" s="414" t="s">
        <v>3377</v>
      </c>
      <c r="C2692" s="51">
        <f t="shared" si="600"/>
        <v>185767.24</v>
      </c>
      <c r="D2692" s="51">
        <f t="shared" si="601"/>
        <v>0</v>
      </c>
      <c r="E2692" s="51"/>
      <c r="F2692" s="364"/>
      <c r="G2692" s="364"/>
      <c r="H2692" s="364"/>
      <c r="I2692" s="51"/>
      <c r="J2692" s="51"/>
      <c r="K2692" s="51"/>
      <c r="L2692" s="51"/>
      <c r="M2692" s="35"/>
      <c r="N2692" s="51"/>
      <c r="O2692" s="82"/>
      <c r="P2692" s="364"/>
      <c r="Q2692" s="338"/>
      <c r="R2692" s="364"/>
      <c r="S2692" s="51"/>
      <c r="T2692" s="338"/>
      <c r="U2692" s="51"/>
      <c r="V2692" s="35"/>
      <c r="W2692" s="364">
        <f t="shared" si="605"/>
        <v>185767.24</v>
      </c>
      <c r="X2692" s="9"/>
      <c r="Y2692" s="9"/>
      <c r="Z2692" s="9">
        <v>102761.58</v>
      </c>
      <c r="AA2692" s="9"/>
      <c r="AB2692" s="9"/>
      <c r="AC2692" s="9">
        <v>83005.66</v>
      </c>
      <c r="AD2692" s="9"/>
      <c r="AE2692" s="9"/>
      <c r="AF2692" s="40"/>
      <c r="AG2692" s="56"/>
      <c r="AH2692" s="56"/>
      <c r="AI2692" s="56"/>
      <c r="AJ2692" s="56"/>
    </row>
    <row r="2693" spans="1:36" x14ac:dyDescent="0.3">
      <c r="A2693" s="47">
        <f t="shared" si="604"/>
        <v>2430</v>
      </c>
      <c r="B2693" s="414" t="s">
        <v>3378</v>
      </c>
      <c r="C2693" s="51">
        <f t="shared" si="600"/>
        <v>1760771.3</v>
      </c>
      <c r="D2693" s="51">
        <f t="shared" si="601"/>
        <v>0</v>
      </c>
      <c r="E2693" s="51"/>
      <c r="F2693" s="364"/>
      <c r="G2693" s="364"/>
      <c r="H2693" s="364"/>
      <c r="I2693" s="364"/>
      <c r="J2693" s="51"/>
      <c r="K2693" s="51"/>
      <c r="L2693" s="51"/>
      <c r="M2693" s="35">
        <v>219</v>
      </c>
      <c r="N2693" s="51">
        <v>1690205.85</v>
      </c>
      <c r="O2693" s="82"/>
      <c r="P2693" s="364"/>
      <c r="Q2693" s="338"/>
      <c r="R2693" s="51"/>
      <c r="S2693" s="51"/>
      <c r="T2693" s="338"/>
      <c r="U2693" s="51"/>
      <c r="V2693" s="35"/>
      <c r="W2693" s="364">
        <f t="shared" si="605"/>
        <v>70565.45</v>
      </c>
      <c r="X2693" s="9"/>
      <c r="Y2693" s="9"/>
      <c r="Z2693" s="9"/>
      <c r="AA2693" s="9"/>
      <c r="AB2693" s="9"/>
      <c r="AC2693" s="9"/>
      <c r="AD2693" s="9">
        <v>70565.45</v>
      </c>
      <c r="AE2693" s="9"/>
      <c r="AF2693" s="40"/>
      <c r="AG2693" s="56"/>
      <c r="AH2693" s="56"/>
      <c r="AI2693" s="56"/>
      <c r="AJ2693" s="56"/>
    </row>
    <row r="2694" spans="1:36" x14ac:dyDescent="0.3">
      <c r="A2694" s="47">
        <f t="shared" si="604"/>
        <v>2431</v>
      </c>
      <c r="B2694" s="414" t="s">
        <v>3379</v>
      </c>
      <c r="C2694" s="51">
        <f t="shared" si="600"/>
        <v>1779342.83</v>
      </c>
      <c r="D2694" s="51">
        <f t="shared" si="601"/>
        <v>0</v>
      </c>
      <c r="E2694" s="51"/>
      <c r="F2694" s="364"/>
      <c r="G2694" s="364"/>
      <c r="H2694" s="364"/>
      <c r="I2694" s="364"/>
      <c r="J2694" s="51"/>
      <c r="K2694" s="51"/>
      <c r="L2694" s="51"/>
      <c r="M2694" s="35">
        <v>219</v>
      </c>
      <c r="N2694" s="51">
        <v>1690205.85</v>
      </c>
      <c r="O2694" s="82"/>
      <c r="P2694" s="364"/>
      <c r="Q2694" s="338"/>
      <c r="R2694" s="364"/>
      <c r="S2694" s="51"/>
      <c r="T2694" s="338"/>
      <c r="U2694" s="364"/>
      <c r="V2694" s="35"/>
      <c r="W2694" s="364">
        <f t="shared" si="605"/>
        <v>89136.98</v>
      </c>
      <c r="X2694" s="9"/>
      <c r="Y2694" s="9"/>
      <c r="Z2694" s="9"/>
      <c r="AA2694" s="9"/>
      <c r="AB2694" s="9"/>
      <c r="AC2694" s="9"/>
      <c r="AD2694" s="9">
        <v>89136.98</v>
      </c>
      <c r="AE2694" s="9"/>
      <c r="AF2694" s="40"/>
      <c r="AG2694" s="56"/>
      <c r="AH2694" s="56"/>
      <c r="AI2694" s="56"/>
      <c r="AJ2694" s="56"/>
    </row>
    <row r="2695" spans="1:36" x14ac:dyDescent="0.3">
      <c r="A2695" s="47">
        <f t="shared" si="604"/>
        <v>2432</v>
      </c>
      <c r="B2695" s="414" t="s">
        <v>3380</v>
      </c>
      <c r="C2695" s="51">
        <f t="shared" si="600"/>
        <v>73435.31</v>
      </c>
      <c r="D2695" s="51">
        <f t="shared" si="601"/>
        <v>0</v>
      </c>
      <c r="E2695" s="51"/>
      <c r="F2695" s="364"/>
      <c r="G2695" s="364"/>
      <c r="H2695" s="364"/>
      <c r="I2695" s="364"/>
      <c r="J2695" s="51"/>
      <c r="K2695" s="51"/>
      <c r="L2695" s="51"/>
      <c r="M2695" s="35"/>
      <c r="N2695" s="51"/>
      <c r="O2695" s="82"/>
      <c r="P2695" s="364"/>
      <c r="Q2695" s="338"/>
      <c r="R2695" s="51"/>
      <c r="S2695" s="51"/>
      <c r="T2695" s="338"/>
      <c r="U2695" s="364"/>
      <c r="V2695" s="35"/>
      <c r="W2695" s="364">
        <f t="shared" si="605"/>
        <v>73435.31</v>
      </c>
      <c r="X2695" s="9"/>
      <c r="Y2695" s="9"/>
      <c r="Z2695" s="9"/>
      <c r="AA2695" s="9"/>
      <c r="AB2695" s="9"/>
      <c r="AC2695" s="9"/>
      <c r="AD2695" s="9">
        <v>73435.31</v>
      </c>
      <c r="AE2695" s="9"/>
      <c r="AF2695" s="40"/>
      <c r="AG2695" s="56"/>
      <c r="AH2695" s="56"/>
      <c r="AI2695" s="56"/>
      <c r="AJ2695" s="56"/>
    </row>
    <row r="2696" spans="1:36" x14ac:dyDescent="0.3">
      <c r="A2696" s="47">
        <f t="shared" si="604"/>
        <v>2433</v>
      </c>
      <c r="B2696" s="414" t="s">
        <v>3381</v>
      </c>
      <c r="C2696" s="51">
        <f t="shared" si="600"/>
        <v>95677.03</v>
      </c>
      <c r="D2696" s="51">
        <f t="shared" si="601"/>
        <v>0</v>
      </c>
      <c r="E2696" s="51"/>
      <c r="F2696" s="364"/>
      <c r="G2696" s="364"/>
      <c r="H2696" s="364"/>
      <c r="I2696" s="364"/>
      <c r="J2696" s="51"/>
      <c r="K2696" s="51"/>
      <c r="L2696" s="51"/>
      <c r="M2696" s="35"/>
      <c r="N2696" s="51"/>
      <c r="O2696" s="82"/>
      <c r="P2696" s="364"/>
      <c r="Q2696" s="338"/>
      <c r="R2696" s="51"/>
      <c r="S2696" s="51"/>
      <c r="T2696" s="338"/>
      <c r="U2696" s="364"/>
      <c r="V2696" s="35"/>
      <c r="W2696" s="364">
        <f t="shared" si="605"/>
        <v>95677.03</v>
      </c>
      <c r="X2696" s="9"/>
      <c r="Y2696" s="9"/>
      <c r="Z2696" s="9"/>
      <c r="AA2696" s="9"/>
      <c r="AB2696" s="9"/>
      <c r="AC2696" s="9"/>
      <c r="AD2696" s="9">
        <v>95677.03</v>
      </c>
      <c r="AE2696" s="9"/>
      <c r="AF2696" s="40"/>
      <c r="AG2696" s="56"/>
      <c r="AH2696" s="56"/>
      <c r="AI2696" s="56"/>
      <c r="AJ2696" s="56"/>
    </row>
    <row r="2697" spans="1:36" x14ac:dyDescent="0.3">
      <c r="A2697" s="47">
        <f t="shared" si="604"/>
        <v>2434</v>
      </c>
      <c r="B2697" s="414" t="s">
        <v>3382</v>
      </c>
      <c r="C2697" s="51">
        <f t="shared" si="600"/>
        <v>134109.74</v>
      </c>
      <c r="D2697" s="51">
        <f t="shared" si="601"/>
        <v>0</v>
      </c>
      <c r="E2697" s="51"/>
      <c r="F2697" s="364"/>
      <c r="G2697" s="364"/>
      <c r="H2697" s="364"/>
      <c r="I2697" s="51"/>
      <c r="J2697" s="51"/>
      <c r="K2697" s="51"/>
      <c r="L2697" s="51"/>
      <c r="M2697" s="35"/>
      <c r="N2697" s="51"/>
      <c r="O2697" s="82"/>
      <c r="P2697" s="364"/>
      <c r="Q2697" s="338"/>
      <c r="R2697" s="51"/>
      <c r="S2697" s="51"/>
      <c r="T2697" s="338"/>
      <c r="U2697" s="51"/>
      <c r="V2697" s="35"/>
      <c r="W2697" s="364">
        <f t="shared" si="605"/>
        <v>134109.74</v>
      </c>
      <c r="X2697" s="9"/>
      <c r="Y2697" s="9"/>
      <c r="Z2697" s="9">
        <v>134109.74</v>
      </c>
      <c r="AA2697" s="9"/>
      <c r="AB2697" s="9"/>
      <c r="AC2697" s="9"/>
      <c r="AD2697" s="9"/>
      <c r="AE2697" s="9"/>
      <c r="AF2697" s="40"/>
      <c r="AG2697" s="56"/>
      <c r="AH2697" s="56"/>
      <c r="AI2697" s="56"/>
      <c r="AJ2697" s="56"/>
    </row>
    <row r="2698" spans="1:36" x14ac:dyDescent="0.3">
      <c r="A2698" s="47">
        <f t="shared" si="604"/>
        <v>2435</v>
      </c>
      <c r="B2698" s="414" t="s">
        <v>3383</v>
      </c>
      <c r="C2698" s="51">
        <f t="shared" si="600"/>
        <v>270371.17000000004</v>
      </c>
      <c r="D2698" s="51">
        <f t="shared" si="601"/>
        <v>0</v>
      </c>
      <c r="E2698" s="51"/>
      <c r="F2698" s="364"/>
      <c r="G2698" s="364"/>
      <c r="H2698" s="364"/>
      <c r="I2698" s="51"/>
      <c r="J2698" s="51"/>
      <c r="K2698" s="51"/>
      <c r="L2698" s="51"/>
      <c r="M2698" s="35"/>
      <c r="N2698" s="51"/>
      <c r="O2698" s="82"/>
      <c r="P2698" s="364"/>
      <c r="Q2698" s="338"/>
      <c r="R2698" s="364"/>
      <c r="S2698" s="51"/>
      <c r="T2698" s="338"/>
      <c r="U2698" s="51"/>
      <c r="V2698" s="35"/>
      <c r="W2698" s="364">
        <f t="shared" si="605"/>
        <v>270371.17000000004</v>
      </c>
      <c r="X2698" s="9"/>
      <c r="Y2698" s="9"/>
      <c r="Z2698" s="9">
        <v>143398.07</v>
      </c>
      <c r="AA2698" s="9">
        <v>126973.1</v>
      </c>
      <c r="AB2698" s="9"/>
      <c r="AC2698" s="9"/>
      <c r="AD2698" s="9"/>
      <c r="AE2698" s="9"/>
      <c r="AF2698" s="40"/>
      <c r="AG2698" s="56"/>
      <c r="AH2698" s="56"/>
      <c r="AI2698" s="56"/>
      <c r="AJ2698" s="56"/>
    </row>
    <row r="2699" spans="1:36" x14ac:dyDescent="0.3">
      <c r="A2699" s="47">
        <f t="shared" si="604"/>
        <v>2436</v>
      </c>
      <c r="B2699" s="414" t="s">
        <v>3384</v>
      </c>
      <c r="C2699" s="51">
        <f t="shared" si="600"/>
        <v>290247.20999999996</v>
      </c>
      <c r="D2699" s="51">
        <f t="shared" si="601"/>
        <v>0</v>
      </c>
      <c r="E2699" s="364"/>
      <c r="F2699" s="364"/>
      <c r="G2699" s="364"/>
      <c r="H2699" s="364"/>
      <c r="I2699" s="364"/>
      <c r="J2699" s="51"/>
      <c r="K2699" s="51"/>
      <c r="L2699" s="51"/>
      <c r="M2699" s="35"/>
      <c r="N2699" s="51"/>
      <c r="O2699" s="82"/>
      <c r="P2699" s="364"/>
      <c r="Q2699" s="338"/>
      <c r="R2699" s="364"/>
      <c r="S2699" s="51"/>
      <c r="T2699" s="338"/>
      <c r="U2699" s="364"/>
      <c r="V2699" s="35"/>
      <c r="W2699" s="364">
        <f t="shared" si="605"/>
        <v>290247.20999999996</v>
      </c>
      <c r="X2699" s="9"/>
      <c r="Y2699" s="9">
        <v>87491.75</v>
      </c>
      <c r="Z2699" s="9">
        <v>108345.04</v>
      </c>
      <c r="AA2699" s="9">
        <v>94410.42</v>
      </c>
      <c r="AB2699" s="9"/>
      <c r="AC2699" s="9"/>
      <c r="AD2699" s="9"/>
      <c r="AE2699" s="9"/>
      <c r="AF2699" s="40"/>
      <c r="AG2699" s="56"/>
      <c r="AH2699" s="56"/>
      <c r="AI2699" s="56"/>
      <c r="AJ2699" s="56"/>
    </row>
    <row r="2700" spans="1:36" x14ac:dyDescent="0.3">
      <c r="A2700" s="47">
        <f>A2699+1</f>
        <v>2437</v>
      </c>
      <c r="B2700" s="414" t="s">
        <v>3385</v>
      </c>
      <c r="C2700" s="51">
        <f t="shared" si="600"/>
        <v>1020698.12</v>
      </c>
      <c r="D2700" s="51">
        <f t="shared" si="601"/>
        <v>573363</v>
      </c>
      <c r="E2700" s="51">
        <f>80*2688+358323</f>
        <v>573363</v>
      </c>
      <c r="F2700" s="364"/>
      <c r="G2700" s="364"/>
      <c r="H2700" s="364"/>
      <c r="I2700" s="364"/>
      <c r="J2700" s="51"/>
      <c r="K2700" s="51"/>
      <c r="L2700" s="51"/>
      <c r="M2700" s="35"/>
      <c r="N2700" s="51"/>
      <c r="O2700" s="82"/>
      <c r="P2700" s="364"/>
      <c r="Q2700" s="338"/>
      <c r="R2700" s="364"/>
      <c r="S2700" s="51"/>
      <c r="T2700" s="338"/>
      <c r="U2700" s="51"/>
      <c r="V2700" s="35"/>
      <c r="W2700" s="364">
        <f t="shared" si="605"/>
        <v>447335.12</v>
      </c>
      <c r="X2700" s="9"/>
      <c r="Y2700" s="9"/>
      <c r="Z2700" s="9">
        <v>142361.88</v>
      </c>
      <c r="AA2700" s="9">
        <v>131602.44</v>
      </c>
      <c r="AB2700" s="9"/>
      <c r="AC2700" s="9"/>
      <c r="AD2700" s="9">
        <v>115789.02</v>
      </c>
      <c r="AE2700" s="9"/>
      <c r="AF2700" s="40">
        <v>57581.78</v>
      </c>
      <c r="AG2700" s="56"/>
      <c r="AH2700" s="56"/>
      <c r="AI2700" s="56"/>
      <c r="AJ2700" s="56"/>
    </row>
    <row r="2701" spans="1:36" x14ac:dyDescent="0.3">
      <c r="A2701" s="47">
        <f t="shared" ref="A2701:A2745" si="606">A2700+1</f>
        <v>2438</v>
      </c>
      <c r="B2701" s="414" t="s">
        <v>3386</v>
      </c>
      <c r="C2701" s="51">
        <f t="shared" si="600"/>
        <v>181368.89</v>
      </c>
      <c r="D2701" s="51">
        <f t="shared" si="601"/>
        <v>0</v>
      </c>
      <c r="E2701" s="51"/>
      <c r="F2701" s="364"/>
      <c r="G2701" s="364"/>
      <c r="H2701" s="364"/>
      <c r="I2701" s="51"/>
      <c r="J2701" s="51"/>
      <c r="K2701" s="51"/>
      <c r="L2701" s="51"/>
      <c r="M2701" s="35"/>
      <c r="N2701" s="51"/>
      <c r="O2701" s="82"/>
      <c r="P2701" s="364"/>
      <c r="Q2701" s="338"/>
      <c r="R2701" s="364"/>
      <c r="S2701" s="51"/>
      <c r="T2701" s="338"/>
      <c r="U2701" s="51"/>
      <c r="V2701" s="35"/>
      <c r="W2701" s="364">
        <f t="shared" si="605"/>
        <v>181368.89</v>
      </c>
      <c r="X2701" s="9"/>
      <c r="Y2701" s="9"/>
      <c r="Z2701" s="9">
        <v>109516.73</v>
      </c>
      <c r="AA2701" s="9">
        <v>71852.160000000003</v>
      </c>
      <c r="AB2701" s="9"/>
      <c r="AC2701" s="9"/>
      <c r="AD2701" s="9"/>
      <c r="AE2701" s="9"/>
      <c r="AF2701" s="40"/>
      <c r="AG2701" s="56"/>
      <c r="AH2701" s="56"/>
      <c r="AI2701" s="56"/>
      <c r="AJ2701" s="56"/>
    </row>
    <row r="2702" spans="1:36" x14ac:dyDescent="0.3">
      <c r="A2702" s="47">
        <f t="shared" si="606"/>
        <v>2439</v>
      </c>
      <c r="B2702" s="414" t="s">
        <v>3387</v>
      </c>
      <c r="C2702" s="51">
        <f t="shared" si="600"/>
        <v>245961.96</v>
      </c>
      <c r="D2702" s="51">
        <f t="shared" si="601"/>
        <v>0</v>
      </c>
      <c r="E2702" s="51"/>
      <c r="F2702" s="364"/>
      <c r="G2702" s="364"/>
      <c r="H2702" s="364"/>
      <c r="I2702" s="51"/>
      <c r="J2702" s="51"/>
      <c r="K2702" s="51"/>
      <c r="L2702" s="51"/>
      <c r="M2702" s="35"/>
      <c r="N2702" s="51"/>
      <c r="O2702" s="82"/>
      <c r="P2702" s="364"/>
      <c r="Q2702" s="338"/>
      <c r="R2702" s="364"/>
      <c r="S2702" s="51"/>
      <c r="T2702" s="338"/>
      <c r="U2702" s="51"/>
      <c r="V2702" s="35"/>
      <c r="W2702" s="364">
        <f t="shared" si="605"/>
        <v>245961.96</v>
      </c>
      <c r="X2702" s="9"/>
      <c r="Y2702" s="9"/>
      <c r="Z2702" s="9">
        <v>130996.03</v>
      </c>
      <c r="AA2702" s="9">
        <v>114965.93</v>
      </c>
      <c r="AB2702" s="9"/>
      <c r="AC2702" s="9"/>
      <c r="AD2702" s="9"/>
      <c r="AE2702" s="9"/>
      <c r="AF2702" s="40"/>
      <c r="AG2702" s="56"/>
      <c r="AH2702" s="56"/>
      <c r="AI2702" s="56"/>
      <c r="AJ2702" s="56"/>
    </row>
    <row r="2703" spans="1:36" x14ac:dyDescent="0.3">
      <c r="A2703" s="47">
        <f t="shared" si="606"/>
        <v>2440</v>
      </c>
      <c r="B2703" s="414" t="s">
        <v>3388</v>
      </c>
      <c r="C2703" s="51">
        <f t="shared" si="600"/>
        <v>303120.62000000005</v>
      </c>
      <c r="D2703" s="51">
        <f t="shared" si="601"/>
        <v>0</v>
      </c>
      <c r="E2703" s="51"/>
      <c r="F2703" s="364"/>
      <c r="G2703" s="364"/>
      <c r="H2703" s="364"/>
      <c r="I2703" s="51"/>
      <c r="J2703" s="51"/>
      <c r="K2703" s="51"/>
      <c r="L2703" s="51"/>
      <c r="M2703" s="35"/>
      <c r="N2703" s="51"/>
      <c r="O2703" s="82"/>
      <c r="P2703" s="364"/>
      <c r="Q2703" s="338"/>
      <c r="R2703" s="364"/>
      <c r="S2703" s="51"/>
      <c r="T2703" s="338"/>
      <c r="U2703" s="51"/>
      <c r="V2703" s="35"/>
      <c r="W2703" s="364">
        <f t="shared" si="605"/>
        <v>303120.62000000005</v>
      </c>
      <c r="X2703" s="9"/>
      <c r="Y2703" s="9"/>
      <c r="Z2703" s="9">
        <v>131579.17000000001</v>
      </c>
      <c r="AA2703" s="9">
        <v>116510.3</v>
      </c>
      <c r="AB2703" s="9"/>
      <c r="AC2703" s="9"/>
      <c r="AD2703" s="9"/>
      <c r="AE2703" s="9"/>
      <c r="AF2703" s="40">
        <v>55031.15</v>
      </c>
      <c r="AG2703" s="56"/>
      <c r="AH2703" s="56"/>
      <c r="AI2703" s="56"/>
      <c r="AJ2703" s="56"/>
    </row>
    <row r="2704" spans="1:36" x14ac:dyDescent="0.3">
      <c r="A2704" s="47">
        <f t="shared" si="606"/>
        <v>2441</v>
      </c>
      <c r="B2704" s="414" t="s">
        <v>3389</v>
      </c>
      <c r="C2704" s="51">
        <f t="shared" si="600"/>
        <v>281599.5</v>
      </c>
      <c r="D2704" s="51">
        <f t="shared" si="601"/>
        <v>0</v>
      </c>
      <c r="E2704" s="51"/>
      <c r="F2704" s="364"/>
      <c r="G2704" s="364"/>
      <c r="H2704" s="364"/>
      <c r="I2704" s="51"/>
      <c r="J2704" s="51"/>
      <c r="K2704" s="51"/>
      <c r="L2704" s="51"/>
      <c r="M2704" s="35"/>
      <c r="N2704" s="51"/>
      <c r="O2704" s="82"/>
      <c r="P2704" s="364"/>
      <c r="Q2704" s="338"/>
      <c r="R2704" s="364"/>
      <c r="S2704" s="51"/>
      <c r="T2704" s="338"/>
      <c r="U2704" s="51"/>
      <c r="V2704" s="35"/>
      <c r="W2704" s="364">
        <f t="shared" si="605"/>
        <v>281599.5</v>
      </c>
      <c r="X2704" s="9"/>
      <c r="Y2704" s="9"/>
      <c r="Z2704" s="9">
        <v>110361.13</v>
      </c>
      <c r="AA2704" s="9">
        <v>94988.04</v>
      </c>
      <c r="AB2704" s="9"/>
      <c r="AC2704" s="9"/>
      <c r="AD2704" s="9"/>
      <c r="AE2704" s="9"/>
      <c r="AF2704" s="40">
        <v>76250.33</v>
      </c>
      <c r="AG2704" s="56"/>
      <c r="AH2704" s="56"/>
      <c r="AI2704" s="56"/>
      <c r="AJ2704" s="56"/>
    </row>
    <row r="2705" spans="1:36" x14ac:dyDescent="0.3">
      <c r="A2705" s="47">
        <f t="shared" si="606"/>
        <v>2442</v>
      </c>
      <c r="B2705" s="414" t="s">
        <v>3390</v>
      </c>
      <c r="C2705" s="51">
        <f t="shared" si="600"/>
        <v>257693.58</v>
      </c>
      <c r="D2705" s="51">
        <f t="shared" si="601"/>
        <v>0</v>
      </c>
      <c r="E2705" s="51"/>
      <c r="F2705" s="364"/>
      <c r="G2705" s="364"/>
      <c r="H2705" s="364"/>
      <c r="I2705" s="51"/>
      <c r="J2705" s="51"/>
      <c r="K2705" s="51"/>
      <c r="L2705" s="51"/>
      <c r="M2705" s="35"/>
      <c r="N2705" s="51"/>
      <c r="O2705" s="82"/>
      <c r="P2705" s="364"/>
      <c r="Q2705" s="338"/>
      <c r="R2705" s="364"/>
      <c r="S2705" s="51"/>
      <c r="T2705" s="338"/>
      <c r="U2705" s="51"/>
      <c r="V2705" s="35"/>
      <c r="W2705" s="364">
        <f t="shared" si="605"/>
        <v>257693.58</v>
      </c>
      <c r="X2705" s="9"/>
      <c r="Y2705" s="9"/>
      <c r="Z2705" s="9">
        <v>136501.35999999999</v>
      </c>
      <c r="AA2705" s="9">
        <v>121192.22</v>
      </c>
      <c r="AB2705" s="9"/>
      <c r="AC2705" s="9"/>
      <c r="AD2705" s="9"/>
      <c r="AE2705" s="9"/>
      <c r="AF2705" s="40"/>
      <c r="AG2705" s="56"/>
      <c r="AH2705" s="56"/>
      <c r="AI2705" s="56"/>
      <c r="AJ2705" s="56"/>
    </row>
    <row r="2706" spans="1:36" x14ac:dyDescent="0.3">
      <c r="A2706" s="47">
        <f t="shared" si="606"/>
        <v>2443</v>
      </c>
      <c r="B2706" s="414" t="s">
        <v>3392</v>
      </c>
      <c r="C2706" s="51">
        <f t="shared" si="600"/>
        <v>854352.99</v>
      </c>
      <c r="D2706" s="51">
        <f t="shared" si="601"/>
        <v>600243</v>
      </c>
      <c r="E2706" s="51">
        <f>90*2688+358323</f>
        <v>600243</v>
      </c>
      <c r="F2706" s="364"/>
      <c r="G2706" s="364"/>
      <c r="H2706" s="364"/>
      <c r="I2706" s="51"/>
      <c r="J2706" s="51"/>
      <c r="K2706" s="51"/>
      <c r="L2706" s="51"/>
      <c r="M2706" s="35"/>
      <c r="N2706" s="364"/>
      <c r="O2706" s="82"/>
      <c r="P2706" s="364"/>
      <c r="Q2706" s="338"/>
      <c r="R2706" s="364"/>
      <c r="S2706" s="51"/>
      <c r="T2706" s="338"/>
      <c r="U2706" s="51"/>
      <c r="V2706" s="35"/>
      <c r="W2706" s="364">
        <f t="shared" si="605"/>
        <v>254109.99</v>
      </c>
      <c r="X2706" s="9"/>
      <c r="Y2706" s="9">
        <v>88282.79</v>
      </c>
      <c r="Z2706" s="9"/>
      <c r="AA2706" s="9"/>
      <c r="AB2706" s="9"/>
      <c r="AC2706" s="9"/>
      <c r="AD2706" s="9"/>
      <c r="AE2706" s="9">
        <v>165827.20000000001</v>
      </c>
      <c r="AF2706" s="40"/>
      <c r="AG2706" s="56"/>
      <c r="AH2706" s="56"/>
      <c r="AI2706" s="56"/>
      <c r="AJ2706" s="56"/>
    </row>
    <row r="2707" spans="1:36" x14ac:dyDescent="0.3">
      <c r="A2707" s="47">
        <f t="shared" si="606"/>
        <v>2444</v>
      </c>
      <c r="B2707" s="414" t="s">
        <v>3393</v>
      </c>
      <c r="C2707" s="51">
        <f t="shared" si="600"/>
        <v>1822276.81</v>
      </c>
      <c r="D2707" s="51">
        <f t="shared" si="601"/>
        <v>0</v>
      </c>
      <c r="E2707" s="51"/>
      <c r="F2707" s="51"/>
      <c r="G2707" s="51"/>
      <c r="H2707" s="51"/>
      <c r="I2707" s="51"/>
      <c r="J2707" s="51"/>
      <c r="K2707" s="51"/>
      <c r="L2707" s="51"/>
      <c r="M2707" s="35">
        <v>181</v>
      </c>
      <c r="N2707" s="51">
        <v>1690205.85</v>
      </c>
      <c r="O2707" s="82"/>
      <c r="P2707" s="364"/>
      <c r="Q2707" s="338"/>
      <c r="R2707" s="364"/>
      <c r="S2707" s="51"/>
      <c r="T2707" s="338"/>
      <c r="U2707" s="51"/>
      <c r="V2707" s="35"/>
      <c r="W2707" s="364">
        <f t="shared" si="605"/>
        <v>132070.96</v>
      </c>
      <c r="X2707" s="9"/>
      <c r="Y2707" s="9"/>
      <c r="Z2707" s="9"/>
      <c r="AA2707" s="9"/>
      <c r="AB2707" s="9"/>
      <c r="AC2707" s="9"/>
      <c r="AD2707" s="9"/>
      <c r="AE2707" s="9">
        <v>132070.96</v>
      </c>
      <c r="AF2707" s="40"/>
      <c r="AG2707" s="56"/>
      <c r="AH2707" s="56"/>
      <c r="AI2707" s="56"/>
      <c r="AJ2707" s="56"/>
    </row>
    <row r="2708" spans="1:36" x14ac:dyDescent="0.3">
      <c r="A2708" s="47">
        <f t="shared" si="606"/>
        <v>2445</v>
      </c>
      <c r="B2708" s="414" t="s">
        <v>3394</v>
      </c>
      <c r="C2708" s="51">
        <f t="shared" si="600"/>
        <v>443920</v>
      </c>
      <c r="D2708" s="51">
        <f t="shared" si="601"/>
        <v>0</v>
      </c>
      <c r="E2708" s="51"/>
      <c r="F2708" s="364"/>
      <c r="G2708" s="364"/>
      <c r="H2708" s="364"/>
      <c r="I2708" s="51"/>
      <c r="J2708" s="51"/>
      <c r="K2708" s="51"/>
      <c r="L2708" s="51"/>
      <c r="M2708" s="35"/>
      <c r="N2708" s="51"/>
      <c r="O2708" s="82"/>
      <c r="P2708" s="364"/>
      <c r="Q2708" s="338"/>
      <c r="R2708" s="364"/>
      <c r="S2708" s="51"/>
      <c r="T2708" s="338"/>
      <c r="U2708" s="51"/>
      <c r="V2708" s="35"/>
      <c r="W2708" s="364">
        <f t="shared" si="605"/>
        <v>443920</v>
      </c>
      <c r="X2708" s="9"/>
      <c r="Y2708" s="9"/>
      <c r="Z2708" s="9"/>
      <c r="AA2708" s="9"/>
      <c r="AB2708" s="9"/>
      <c r="AC2708" s="9"/>
      <c r="AD2708" s="9"/>
      <c r="AE2708" s="9"/>
      <c r="AF2708" s="40"/>
      <c r="AG2708" s="56">
        <v>443920</v>
      </c>
      <c r="AH2708" s="56"/>
      <c r="AI2708" s="56"/>
      <c r="AJ2708" s="56"/>
    </row>
    <row r="2709" spans="1:36" x14ac:dyDescent="0.3">
      <c r="A2709" s="47">
        <f t="shared" si="606"/>
        <v>2446</v>
      </c>
      <c r="B2709" s="414" t="s">
        <v>3395</v>
      </c>
      <c r="C2709" s="51">
        <f t="shared" si="600"/>
        <v>211653.86</v>
      </c>
      <c r="D2709" s="51">
        <f t="shared" si="601"/>
        <v>0</v>
      </c>
      <c r="E2709" s="51"/>
      <c r="F2709" s="51"/>
      <c r="G2709" s="51"/>
      <c r="H2709" s="51"/>
      <c r="I2709" s="51"/>
      <c r="J2709" s="51"/>
      <c r="K2709" s="51"/>
      <c r="L2709" s="51"/>
      <c r="M2709" s="35"/>
      <c r="N2709" s="364"/>
      <c r="O2709" s="82"/>
      <c r="P2709" s="364"/>
      <c r="Q2709" s="338"/>
      <c r="R2709" s="364"/>
      <c r="S2709" s="51"/>
      <c r="T2709" s="338"/>
      <c r="U2709" s="51"/>
      <c r="V2709" s="35"/>
      <c r="W2709" s="364">
        <f t="shared" si="605"/>
        <v>211653.86</v>
      </c>
      <c r="X2709" s="9"/>
      <c r="Y2709" s="9"/>
      <c r="Z2709" s="9"/>
      <c r="AA2709" s="9"/>
      <c r="AB2709" s="9"/>
      <c r="AC2709" s="9"/>
      <c r="AD2709" s="9"/>
      <c r="AE2709" s="9">
        <v>211653.86</v>
      </c>
      <c r="AF2709" s="40"/>
      <c r="AG2709" s="56"/>
      <c r="AH2709" s="56"/>
      <c r="AI2709" s="56"/>
      <c r="AJ2709" s="56"/>
    </row>
    <row r="2710" spans="1:36" x14ac:dyDescent="0.3">
      <c r="A2710" s="47">
        <f t="shared" si="606"/>
        <v>2447</v>
      </c>
      <c r="B2710" s="414" t="s">
        <v>3396</v>
      </c>
      <c r="C2710" s="51">
        <f t="shared" si="600"/>
        <v>374198.01</v>
      </c>
      <c r="D2710" s="51">
        <f t="shared" si="601"/>
        <v>0</v>
      </c>
      <c r="E2710" s="51"/>
      <c r="F2710" s="364"/>
      <c r="G2710" s="364"/>
      <c r="H2710" s="364"/>
      <c r="I2710" s="51"/>
      <c r="J2710" s="51"/>
      <c r="K2710" s="51"/>
      <c r="L2710" s="51"/>
      <c r="M2710" s="35"/>
      <c r="N2710" s="364"/>
      <c r="O2710" s="82"/>
      <c r="P2710" s="364"/>
      <c r="Q2710" s="338"/>
      <c r="R2710" s="364"/>
      <c r="S2710" s="51"/>
      <c r="T2710" s="338"/>
      <c r="U2710" s="51"/>
      <c r="V2710" s="35"/>
      <c r="W2710" s="364">
        <f t="shared" si="605"/>
        <v>374198.01</v>
      </c>
      <c r="X2710" s="9"/>
      <c r="Y2710" s="9"/>
      <c r="Z2710" s="9">
        <v>95352.49</v>
      </c>
      <c r="AA2710" s="9"/>
      <c r="AB2710" s="9"/>
      <c r="AC2710" s="9">
        <v>129002.14</v>
      </c>
      <c r="AD2710" s="9"/>
      <c r="AE2710" s="9">
        <v>149843.38</v>
      </c>
      <c r="AF2710" s="40"/>
      <c r="AG2710" s="56"/>
      <c r="AH2710" s="56"/>
      <c r="AI2710" s="56"/>
      <c r="AJ2710" s="56"/>
    </row>
    <row r="2711" spans="1:36" x14ac:dyDescent="0.3">
      <c r="A2711" s="47">
        <f t="shared" si="606"/>
        <v>2448</v>
      </c>
      <c r="B2711" s="414" t="s">
        <v>3397</v>
      </c>
      <c r="C2711" s="51">
        <f t="shared" si="600"/>
        <v>92764.08</v>
      </c>
      <c r="D2711" s="51">
        <f t="shared" si="601"/>
        <v>0</v>
      </c>
      <c r="E2711" s="51"/>
      <c r="F2711" s="51"/>
      <c r="G2711" s="51"/>
      <c r="H2711" s="51"/>
      <c r="I2711" s="51"/>
      <c r="J2711" s="51"/>
      <c r="K2711" s="51"/>
      <c r="L2711" s="51"/>
      <c r="M2711" s="35"/>
      <c r="N2711" s="51"/>
      <c r="O2711" s="82"/>
      <c r="P2711" s="364"/>
      <c r="Q2711" s="338"/>
      <c r="R2711" s="364"/>
      <c r="S2711" s="51"/>
      <c r="T2711" s="338"/>
      <c r="U2711" s="51"/>
      <c r="V2711" s="35"/>
      <c r="W2711" s="364">
        <f t="shared" si="605"/>
        <v>92764.08</v>
      </c>
      <c r="X2711" s="9"/>
      <c r="Y2711" s="9"/>
      <c r="Z2711" s="9"/>
      <c r="AA2711" s="9"/>
      <c r="AB2711" s="9"/>
      <c r="AC2711" s="9"/>
      <c r="AD2711" s="9"/>
      <c r="AE2711" s="9">
        <v>92764.08</v>
      </c>
      <c r="AF2711" s="40"/>
      <c r="AG2711" s="56"/>
      <c r="AH2711" s="56"/>
      <c r="AI2711" s="56"/>
      <c r="AJ2711" s="56"/>
    </row>
    <row r="2712" spans="1:36" x14ac:dyDescent="0.3">
      <c r="A2712" s="47">
        <f t="shared" si="606"/>
        <v>2449</v>
      </c>
      <c r="B2712" s="414" t="s">
        <v>3398</v>
      </c>
      <c r="C2712" s="51">
        <f t="shared" si="600"/>
        <v>195601.95</v>
      </c>
      <c r="D2712" s="51">
        <f t="shared" si="601"/>
        <v>0</v>
      </c>
      <c r="E2712" s="51"/>
      <c r="F2712" s="364"/>
      <c r="G2712" s="364"/>
      <c r="H2712" s="364"/>
      <c r="I2712" s="51"/>
      <c r="J2712" s="51"/>
      <c r="K2712" s="51"/>
      <c r="L2712" s="51"/>
      <c r="M2712" s="35"/>
      <c r="N2712" s="51"/>
      <c r="O2712" s="82"/>
      <c r="P2712" s="364"/>
      <c r="Q2712" s="338"/>
      <c r="R2712" s="364"/>
      <c r="S2712" s="51"/>
      <c r="T2712" s="338"/>
      <c r="U2712" s="51"/>
      <c r="V2712" s="35"/>
      <c r="W2712" s="364">
        <f t="shared" si="605"/>
        <v>195601.95</v>
      </c>
      <c r="X2712" s="9"/>
      <c r="Y2712" s="9"/>
      <c r="Z2712" s="9">
        <v>107312.41</v>
      </c>
      <c r="AA2712" s="9"/>
      <c r="AB2712" s="9"/>
      <c r="AC2712" s="9">
        <v>88289.54</v>
      </c>
      <c r="AD2712" s="9"/>
      <c r="AE2712" s="9"/>
      <c r="AF2712" s="40"/>
      <c r="AG2712" s="56"/>
      <c r="AH2712" s="56"/>
      <c r="AI2712" s="56"/>
      <c r="AJ2712" s="56"/>
    </row>
    <row r="2713" spans="1:36" x14ac:dyDescent="0.3">
      <c r="A2713" s="47">
        <f t="shared" si="606"/>
        <v>2450</v>
      </c>
      <c r="B2713" s="414" t="s">
        <v>3399</v>
      </c>
      <c r="C2713" s="51">
        <f t="shared" si="600"/>
        <v>180113.3</v>
      </c>
      <c r="D2713" s="51">
        <f t="shared" si="601"/>
        <v>0</v>
      </c>
      <c r="E2713" s="51"/>
      <c r="F2713" s="51"/>
      <c r="G2713" s="364"/>
      <c r="H2713" s="364"/>
      <c r="I2713" s="364"/>
      <c r="J2713" s="51"/>
      <c r="K2713" s="51"/>
      <c r="L2713" s="51"/>
      <c r="M2713" s="35"/>
      <c r="N2713" s="51"/>
      <c r="O2713" s="82"/>
      <c r="P2713" s="364"/>
      <c r="Q2713" s="338"/>
      <c r="R2713" s="364"/>
      <c r="S2713" s="51"/>
      <c r="T2713" s="338"/>
      <c r="U2713" s="364"/>
      <c r="V2713" s="35"/>
      <c r="W2713" s="364">
        <f t="shared" si="605"/>
        <v>180113.3</v>
      </c>
      <c r="X2713" s="9"/>
      <c r="Y2713" s="9"/>
      <c r="Z2713" s="9"/>
      <c r="AA2713" s="9"/>
      <c r="AB2713" s="9"/>
      <c r="AC2713" s="9">
        <v>90056.65</v>
      </c>
      <c r="AD2713" s="9">
        <v>90056.65</v>
      </c>
      <c r="AE2713" s="9"/>
      <c r="AF2713" s="40"/>
      <c r="AG2713" s="56"/>
      <c r="AH2713" s="56"/>
      <c r="AI2713" s="56"/>
      <c r="AJ2713" s="56"/>
    </row>
    <row r="2714" spans="1:36" x14ac:dyDescent="0.3">
      <c r="A2714" s="47">
        <f t="shared" si="606"/>
        <v>2451</v>
      </c>
      <c r="B2714" s="414" t="s">
        <v>3400</v>
      </c>
      <c r="C2714" s="51">
        <f t="shared" si="600"/>
        <v>342269.27</v>
      </c>
      <c r="D2714" s="51">
        <f t="shared" si="601"/>
        <v>0</v>
      </c>
      <c r="E2714" s="51"/>
      <c r="F2714" s="364"/>
      <c r="G2714" s="364"/>
      <c r="H2714" s="364"/>
      <c r="I2714" s="51"/>
      <c r="J2714" s="51"/>
      <c r="K2714" s="51"/>
      <c r="L2714" s="51"/>
      <c r="M2714" s="35"/>
      <c r="N2714" s="364"/>
      <c r="O2714" s="82"/>
      <c r="P2714" s="364"/>
      <c r="Q2714" s="338"/>
      <c r="R2714" s="51"/>
      <c r="S2714" s="51"/>
      <c r="T2714" s="338"/>
      <c r="U2714" s="51"/>
      <c r="V2714" s="35"/>
      <c r="W2714" s="364">
        <f t="shared" si="605"/>
        <v>342269.27</v>
      </c>
      <c r="X2714" s="9"/>
      <c r="Y2714" s="9"/>
      <c r="Z2714" s="9">
        <v>105769.74</v>
      </c>
      <c r="AA2714" s="9">
        <v>90542.86</v>
      </c>
      <c r="AB2714" s="9"/>
      <c r="AC2714" s="9"/>
      <c r="AD2714" s="9"/>
      <c r="AE2714" s="9"/>
      <c r="AF2714" s="40">
        <v>145956.67000000001</v>
      </c>
      <c r="AG2714" s="56"/>
      <c r="AH2714" s="56"/>
      <c r="AI2714" s="56"/>
      <c r="AJ2714" s="56"/>
    </row>
    <row r="2715" spans="1:36" x14ac:dyDescent="0.3">
      <c r="A2715" s="47">
        <f t="shared" si="606"/>
        <v>2452</v>
      </c>
      <c r="B2715" s="414" t="s">
        <v>3401</v>
      </c>
      <c r="C2715" s="51">
        <f t="shared" si="600"/>
        <v>215364.01</v>
      </c>
      <c r="D2715" s="51">
        <f t="shared" si="601"/>
        <v>0</v>
      </c>
      <c r="E2715" s="51"/>
      <c r="F2715" s="364"/>
      <c r="G2715" s="364"/>
      <c r="H2715" s="364"/>
      <c r="I2715" s="364"/>
      <c r="J2715" s="51"/>
      <c r="K2715" s="51"/>
      <c r="L2715" s="51"/>
      <c r="M2715" s="35"/>
      <c r="N2715" s="364"/>
      <c r="O2715" s="82"/>
      <c r="P2715" s="364"/>
      <c r="Q2715" s="338"/>
      <c r="R2715" s="364"/>
      <c r="S2715" s="51"/>
      <c r="T2715" s="338"/>
      <c r="U2715" s="364"/>
      <c r="V2715" s="35"/>
      <c r="W2715" s="364">
        <f t="shared" si="605"/>
        <v>215364.01</v>
      </c>
      <c r="X2715" s="9"/>
      <c r="Y2715" s="9">
        <v>52567.57</v>
      </c>
      <c r="Z2715" s="9"/>
      <c r="AA2715" s="9"/>
      <c r="AB2715" s="9"/>
      <c r="AC2715" s="9"/>
      <c r="AD2715" s="9">
        <v>51661.57</v>
      </c>
      <c r="AE2715" s="9">
        <v>111134.87</v>
      </c>
      <c r="AF2715" s="40"/>
      <c r="AG2715" s="56"/>
      <c r="AH2715" s="56"/>
      <c r="AI2715" s="56"/>
      <c r="AJ2715" s="56"/>
    </row>
    <row r="2716" spans="1:36" x14ac:dyDescent="0.3">
      <c r="A2716" s="47">
        <f t="shared" si="606"/>
        <v>2453</v>
      </c>
      <c r="B2716" s="414" t="s">
        <v>3402</v>
      </c>
      <c r="C2716" s="51">
        <f t="shared" si="600"/>
        <v>558712.06999999995</v>
      </c>
      <c r="D2716" s="51">
        <f t="shared" si="601"/>
        <v>0</v>
      </c>
      <c r="E2716" s="51"/>
      <c r="F2716" s="51"/>
      <c r="G2716" s="51"/>
      <c r="H2716" s="51"/>
      <c r="I2716" s="51"/>
      <c r="J2716" s="51"/>
      <c r="K2716" s="51"/>
      <c r="L2716" s="51"/>
      <c r="M2716" s="35"/>
      <c r="N2716" s="51"/>
      <c r="O2716" s="82"/>
      <c r="P2716" s="364"/>
      <c r="Q2716" s="338"/>
      <c r="R2716" s="364"/>
      <c r="S2716" s="51"/>
      <c r="T2716" s="338"/>
      <c r="U2716" s="51"/>
      <c r="V2716" s="35"/>
      <c r="W2716" s="364">
        <f t="shared" si="605"/>
        <v>558712.06999999995</v>
      </c>
      <c r="X2716" s="9"/>
      <c r="Y2716" s="9"/>
      <c r="Z2716" s="9"/>
      <c r="AA2716" s="9"/>
      <c r="AB2716" s="9"/>
      <c r="AC2716" s="9"/>
      <c r="AD2716" s="9"/>
      <c r="AE2716" s="9"/>
      <c r="AF2716" s="40"/>
      <c r="AG2716" s="56">
        <v>558712.06999999995</v>
      </c>
      <c r="AH2716" s="56"/>
      <c r="AI2716" s="56"/>
      <c r="AJ2716" s="56"/>
    </row>
    <row r="2717" spans="1:36" x14ac:dyDescent="0.3">
      <c r="A2717" s="47">
        <f t="shared" si="606"/>
        <v>2454</v>
      </c>
      <c r="B2717" s="414" t="s">
        <v>3403</v>
      </c>
      <c r="C2717" s="51">
        <f t="shared" si="600"/>
        <v>175531.67</v>
      </c>
      <c r="D2717" s="51">
        <f t="shared" si="601"/>
        <v>0</v>
      </c>
      <c r="E2717" s="364"/>
      <c r="F2717" s="51"/>
      <c r="G2717" s="51"/>
      <c r="H2717" s="51"/>
      <c r="I2717" s="51"/>
      <c r="J2717" s="51"/>
      <c r="K2717" s="51"/>
      <c r="L2717" s="51"/>
      <c r="M2717" s="35"/>
      <c r="N2717" s="364"/>
      <c r="O2717" s="82"/>
      <c r="P2717" s="364"/>
      <c r="Q2717" s="338"/>
      <c r="R2717" s="364"/>
      <c r="S2717" s="51"/>
      <c r="T2717" s="338"/>
      <c r="U2717" s="51"/>
      <c r="V2717" s="35"/>
      <c r="W2717" s="364">
        <f t="shared" si="605"/>
        <v>175531.67</v>
      </c>
      <c r="X2717" s="9"/>
      <c r="Y2717" s="9"/>
      <c r="Z2717" s="9"/>
      <c r="AA2717" s="9"/>
      <c r="AB2717" s="9"/>
      <c r="AC2717" s="9"/>
      <c r="AD2717" s="9"/>
      <c r="AE2717" s="9">
        <v>175531.67</v>
      </c>
      <c r="AF2717" s="40"/>
      <c r="AG2717" s="56"/>
      <c r="AH2717" s="56"/>
      <c r="AI2717" s="56"/>
      <c r="AJ2717" s="56"/>
    </row>
    <row r="2718" spans="1:36" x14ac:dyDescent="0.3">
      <c r="A2718" s="47">
        <f t="shared" si="606"/>
        <v>2455</v>
      </c>
      <c r="B2718" s="414" t="s">
        <v>3404</v>
      </c>
      <c r="C2718" s="51">
        <f t="shared" si="600"/>
        <v>317697.56999999995</v>
      </c>
      <c r="D2718" s="51">
        <f t="shared" si="601"/>
        <v>0</v>
      </c>
      <c r="E2718" s="51"/>
      <c r="F2718" s="364"/>
      <c r="G2718" s="364"/>
      <c r="H2718" s="364"/>
      <c r="I2718" s="364"/>
      <c r="J2718" s="51"/>
      <c r="K2718" s="51"/>
      <c r="L2718" s="51"/>
      <c r="M2718" s="35"/>
      <c r="N2718" s="364"/>
      <c r="O2718" s="82"/>
      <c r="P2718" s="364"/>
      <c r="Q2718" s="338"/>
      <c r="R2718" s="364"/>
      <c r="S2718" s="51"/>
      <c r="T2718" s="338"/>
      <c r="U2718" s="364"/>
      <c r="V2718" s="35"/>
      <c r="W2718" s="364">
        <f t="shared" si="605"/>
        <v>317697.56999999995</v>
      </c>
      <c r="X2718" s="9"/>
      <c r="Y2718" s="9">
        <v>81534.259999999995</v>
      </c>
      <c r="Z2718" s="9"/>
      <c r="AA2718" s="9"/>
      <c r="AB2718" s="9"/>
      <c r="AC2718" s="9"/>
      <c r="AD2718" s="9">
        <v>81109.16</v>
      </c>
      <c r="AE2718" s="9">
        <v>155054.15</v>
      </c>
      <c r="AF2718" s="40"/>
      <c r="AG2718" s="56"/>
      <c r="AH2718" s="56"/>
      <c r="AI2718" s="56"/>
      <c r="AJ2718" s="56"/>
    </row>
    <row r="2719" spans="1:36" x14ac:dyDescent="0.3">
      <c r="A2719" s="47">
        <f t="shared" si="606"/>
        <v>2456</v>
      </c>
      <c r="B2719" s="414" t="s">
        <v>3405</v>
      </c>
      <c r="C2719" s="51">
        <f t="shared" ref="C2719:C2747" si="607">D2719+K2719+L2719+N2719+P2719+R2719+S2719+U2719+V2719+W2719</f>
        <v>290770.44</v>
      </c>
      <c r="D2719" s="51">
        <f t="shared" si="601"/>
        <v>0</v>
      </c>
      <c r="E2719" s="364"/>
      <c r="F2719" s="364"/>
      <c r="G2719" s="364"/>
      <c r="H2719" s="364"/>
      <c r="I2719" s="364"/>
      <c r="J2719" s="51"/>
      <c r="K2719" s="51"/>
      <c r="L2719" s="51"/>
      <c r="M2719" s="35"/>
      <c r="N2719" s="364"/>
      <c r="O2719" s="82"/>
      <c r="P2719" s="364"/>
      <c r="Q2719" s="338"/>
      <c r="R2719" s="364"/>
      <c r="S2719" s="51"/>
      <c r="T2719" s="338"/>
      <c r="U2719" s="364"/>
      <c r="V2719" s="35"/>
      <c r="W2719" s="364">
        <f t="shared" si="605"/>
        <v>290770.44</v>
      </c>
      <c r="X2719" s="9"/>
      <c r="Y2719" s="9"/>
      <c r="Z2719" s="9">
        <v>290770.44</v>
      </c>
      <c r="AA2719" s="9"/>
      <c r="AB2719" s="9"/>
      <c r="AC2719" s="9"/>
      <c r="AD2719" s="9"/>
      <c r="AE2719" s="9"/>
      <c r="AF2719" s="40"/>
      <c r="AG2719" s="56"/>
      <c r="AH2719" s="56"/>
      <c r="AI2719" s="56"/>
      <c r="AJ2719" s="56"/>
    </row>
    <row r="2720" spans="1:36" x14ac:dyDescent="0.3">
      <c r="A2720" s="47">
        <f t="shared" si="606"/>
        <v>2457</v>
      </c>
      <c r="B2720" s="414" t="s">
        <v>3406</v>
      </c>
      <c r="C2720" s="51">
        <f t="shared" si="607"/>
        <v>1164723</v>
      </c>
      <c r="D2720" s="51">
        <f t="shared" si="601"/>
        <v>1164723</v>
      </c>
      <c r="E2720" s="51">
        <f>300*2688+358323</f>
        <v>1164723</v>
      </c>
      <c r="F2720" s="51"/>
      <c r="G2720" s="51"/>
      <c r="H2720" s="51"/>
      <c r="I2720" s="51"/>
      <c r="J2720" s="364"/>
      <c r="K2720" s="51"/>
      <c r="L2720" s="51"/>
      <c r="M2720" s="35"/>
      <c r="N2720" s="51"/>
      <c r="O2720" s="82"/>
      <c r="P2720" s="51"/>
      <c r="Q2720" s="338"/>
      <c r="R2720" s="51"/>
      <c r="S2720" s="51"/>
      <c r="T2720" s="338"/>
      <c r="U2720" s="51"/>
      <c r="V2720" s="35"/>
      <c r="W2720" s="364"/>
      <c r="X2720" s="285"/>
      <c r="Y2720" s="9"/>
      <c r="Z2720" s="9"/>
      <c r="AA2720" s="9"/>
      <c r="AB2720" s="9"/>
      <c r="AC2720" s="9"/>
      <c r="AD2720" s="9"/>
      <c r="AE2720" s="9"/>
      <c r="AF2720" s="9"/>
      <c r="AG2720" s="40"/>
      <c r="AH2720" s="56"/>
      <c r="AI2720" s="56"/>
      <c r="AJ2720" s="56"/>
    </row>
    <row r="2721" spans="1:36" x14ac:dyDescent="0.3">
      <c r="A2721" s="47">
        <f t="shared" si="606"/>
        <v>2458</v>
      </c>
      <c r="B2721" s="414" t="s">
        <v>3407</v>
      </c>
      <c r="C2721" s="51">
        <f t="shared" si="607"/>
        <v>1164723</v>
      </c>
      <c r="D2721" s="51">
        <f t="shared" si="601"/>
        <v>1164723</v>
      </c>
      <c r="E2721" s="51">
        <f>300*2688+358323</f>
        <v>1164723</v>
      </c>
      <c r="F2721" s="51"/>
      <c r="G2721" s="51"/>
      <c r="H2721" s="51"/>
      <c r="I2721" s="51"/>
      <c r="J2721" s="364"/>
      <c r="K2721" s="51"/>
      <c r="L2721" s="51"/>
      <c r="M2721" s="35"/>
      <c r="N2721" s="51"/>
      <c r="O2721" s="82"/>
      <c r="P2721" s="51"/>
      <c r="Q2721" s="338"/>
      <c r="R2721" s="51"/>
      <c r="S2721" s="51"/>
      <c r="T2721" s="338"/>
      <c r="U2721" s="51"/>
      <c r="V2721" s="35"/>
      <c r="W2721" s="364"/>
      <c r="X2721" s="285"/>
      <c r="Y2721" s="9"/>
      <c r="Z2721" s="9"/>
      <c r="AA2721" s="9"/>
      <c r="AB2721" s="9"/>
      <c r="AC2721" s="9"/>
      <c r="AD2721" s="9"/>
      <c r="AE2721" s="9"/>
      <c r="AF2721" s="9"/>
      <c r="AG2721" s="40"/>
      <c r="AH2721" s="56"/>
      <c r="AI2721" s="56"/>
      <c r="AJ2721" s="56"/>
    </row>
    <row r="2722" spans="1:36" x14ac:dyDescent="0.3">
      <c r="A2722" s="47">
        <f t="shared" si="606"/>
        <v>2459</v>
      </c>
      <c r="B2722" s="414" t="s">
        <v>3406</v>
      </c>
      <c r="C2722" s="51">
        <f t="shared" si="607"/>
        <v>130000</v>
      </c>
      <c r="D2722" s="51">
        <f t="shared" si="601"/>
        <v>0</v>
      </c>
      <c r="E2722" s="51"/>
      <c r="F2722" s="51"/>
      <c r="G2722" s="51"/>
      <c r="H2722" s="51"/>
      <c r="I2722" s="51"/>
      <c r="J2722" s="364"/>
      <c r="K2722" s="51"/>
      <c r="L2722" s="51"/>
      <c r="M2722" s="35"/>
      <c r="N2722" s="51"/>
      <c r="O2722" s="82"/>
      <c r="P2722" s="51"/>
      <c r="Q2722" s="338"/>
      <c r="R2722" s="51"/>
      <c r="S2722" s="51"/>
      <c r="T2722" s="338"/>
      <c r="U2722" s="51"/>
      <c r="V2722" s="35"/>
      <c r="W2722" s="364">
        <v>130000</v>
      </c>
      <c r="X2722" s="9"/>
      <c r="Y2722" s="9"/>
      <c r="Z2722" s="9"/>
      <c r="AA2722" s="9"/>
      <c r="AB2722" s="9"/>
      <c r="AC2722" s="9"/>
      <c r="AD2722" s="9"/>
      <c r="AE2722" s="9"/>
      <c r="AF2722" s="40"/>
      <c r="AG2722" s="56"/>
      <c r="AH2722" s="56"/>
      <c r="AI2722" s="56"/>
      <c r="AJ2722" s="56"/>
    </row>
    <row r="2723" spans="1:36" x14ac:dyDescent="0.3">
      <c r="A2723" s="47">
        <f t="shared" si="606"/>
        <v>2460</v>
      </c>
      <c r="B2723" s="414" t="s">
        <v>3407</v>
      </c>
      <c r="C2723" s="51">
        <f t="shared" si="607"/>
        <v>130000</v>
      </c>
      <c r="D2723" s="51">
        <f t="shared" ref="D2723:D2747" si="608">E2723+F2723+G2723+H2723</f>
        <v>0</v>
      </c>
      <c r="E2723" s="51"/>
      <c r="F2723" s="51"/>
      <c r="G2723" s="51"/>
      <c r="H2723" s="51"/>
      <c r="I2723" s="51"/>
      <c r="J2723" s="364"/>
      <c r="K2723" s="51"/>
      <c r="L2723" s="51"/>
      <c r="M2723" s="35"/>
      <c r="N2723" s="51"/>
      <c r="O2723" s="82"/>
      <c r="P2723" s="51"/>
      <c r="Q2723" s="338"/>
      <c r="R2723" s="51"/>
      <c r="S2723" s="51"/>
      <c r="T2723" s="338"/>
      <c r="U2723" s="51"/>
      <c r="V2723" s="35"/>
      <c r="W2723" s="364">
        <v>130000</v>
      </c>
      <c r="X2723" s="9"/>
      <c r="Y2723" s="9"/>
      <c r="Z2723" s="9"/>
      <c r="AA2723" s="9"/>
      <c r="AB2723" s="9"/>
      <c r="AC2723" s="9"/>
      <c r="AD2723" s="9"/>
      <c r="AE2723" s="9"/>
      <c r="AF2723" s="40"/>
      <c r="AG2723" s="56"/>
      <c r="AH2723" s="56"/>
      <c r="AI2723" s="56"/>
      <c r="AJ2723" s="56"/>
    </row>
    <row r="2724" spans="1:36" x14ac:dyDescent="0.3">
      <c r="A2724" s="47">
        <f t="shared" si="606"/>
        <v>2461</v>
      </c>
      <c r="B2724" s="414" t="s">
        <v>3409</v>
      </c>
      <c r="C2724" s="51">
        <f t="shared" si="607"/>
        <v>130000</v>
      </c>
      <c r="D2724" s="51">
        <f t="shared" si="608"/>
        <v>0</v>
      </c>
      <c r="E2724" s="51"/>
      <c r="F2724" s="51"/>
      <c r="G2724" s="51"/>
      <c r="H2724" s="51"/>
      <c r="I2724" s="51"/>
      <c r="J2724" s="51"/>
      <c r="K2724" s="51"/>
      <c r="L2724" s="51"/>
      <c r="M2724" s="35"/>
      <c r="N2724" s="364"/>
      <c r="O2724" s="82"/>
      <c r="P2724" s="364"/>
      <c r="Q2724" s="338"/>
      <c r="R2724" s="51"/>
      <c r="S2724" s="51"/>
      <c r="T2724" s="338"/>
      <c r="U2724" s="51"/>
      <c r="V2724" s="35"/>
      <c r="W2724" s="364">
        <v>130000</v>
      </c>
      <c r="X2724" s="9"/>
      <c r="Y2724" s="9"/>
      <c r="Z2724" s="9"/>
      <c r="AA2724" s="9"/>
      <c r="AB2724" s="9"/>
      <c r="AC2724" s="9"/>
      <c r="AD2724" s="9"/>
      <c r="AE2724" s="9"/>
      <c r="AF2724" s="40"/>
      <c r="AG2724" s="56"/>
      <c r="AH2724" s="56"/>
      <c r="AI2724" s="56"/>
      <c r="AJ2724" s="56"/>
    </row>
    <row r="2725" spans="1:36" x14ac:dyDescent="0.3">
      <c r="A2725" s="47">
        <f t="shared" si="606"/>
        <v>2462</v>
      </c>
      <c r="B2725" s="414" t="s">
        <v>3410</v>
      </c>
      <c r="C2725" s="51">
        <f t="shared" si="607"/>
        <v>970305.45</v>
      </c>
      <c r="D2725" s="51">
        <f t="shared" si="608"/>
        <v>0</v>
      </c>
      <c r="E2725" s="364"/>
      <c r="F2725" s="364"/>
      <c r="G2725" s="364"/>
      <c r="H2725" s="364"/>
      <c r="I2725" s="51"/>
      <c r="J2725" s="51"/>
      <c r="K2725" s="51"/>
      <c r="L2725" s="51"/>
      <c r="M2725" s="35"/>
      <c r="N2725" s="364"/>
      <c r="O2725" s="82"/>
      <c r="P2725" s="364"/>
      <c r="Q2725" s="338"/>
      <c r="R2725" s="51"/>
      <c r="S2725" s="51"/>
      <c r="T2725" s="338"/>
      <c r="U2725" s="51"/>
      <c r="V2725" s="35"/>
      <c r="W2725" s="364">
        <f t="shared" ref="W2725:W2743" si="609">SUM(Y2725:AK2725)</f>
        <v>970305.45</v>
      </c>
      <c r="X2725" s="9"/>
      <c r="Y2725" s="9">
        <v>193807.68</v>
      </c>
      <c r="Z2725" s="9">
        <v>248018.9</v>
      </c>
      <c r="AA2725" s="9"/>
      <c r="AB2725" s="9"/>
      <c r="AC2725" s="9">
        <v>173990.35</v>
      </c>
      <c r="AD2725" s="9"/>
      <c r="AE2725" s="9">
        <v>354488.52</v>
      </c>
      <c r="AF2725" s="40"/>
      <c r="AG2725" s="56"/>
      <c r="AH2725" s="56"/>
      <c r="AI2725" s="56"/>
      <c r="AJ2725" s="56"/>
    </row>
    <row r="2726" spans="1:36" x14ac:dyDescent="0.3">
      <c r="A2726" s="47">
        <f t="shared" si="606"/>
        <v>2463</v>
      </c>
      <c r="B2726" s="414" t="s">
        <v>3411</v>
      </c>
      <c r="C2726" s="51">
        <f t="shared" si="607"/>
        <v>450823.42000000004</v>
      </c>
      <c r="D2726" s="51">
        <f t="shared" si="608"/>
        <v>0</v>
      </c>
      <c r="E2726" s="364"/>
      <c r="F2726" s="364"/>
      <c r="G2726" s="364"/>
      <c r="H2726" s="364"/>
      <c r="I2726" s="364"/>
      <c r="J2726" s="51"/>
      <c r="K2726" s="51"/>
      <c r="L2726" s="51"/>
      <c r="M2726" s="35"/>
      <c r="N2726" s="364"/>
      <c r="O2726" s="82"/>
      <c r="P2726" s="364"/>
      <c r="Q2726" s="338"/>
      <c r="R2726" s="364"/>
      <c r="S2726" s="51"/>
      <c r="T2726" s="338"/>
      <c r="U2726" s="364"/>
      <c r="V2726" s="35"/>
      <c r="W2726" s="364">
        <f t="shared" si="609"/>
        <v>450823.42000000004</v>
      </c>
      <c r="X2726" s="9"/>
      <c r="Y2726" s="9">
        <v>109746.53</v>
      </c>
      <c r="Z2726" s="9">
        <v>136808.57</v>
      </c>
      <c r="AA2726" s="9">
        <v>115698.68</v>
      </c>
      <c r="AB2726" s="9"/>
      <c r="AC2726" s="9"/>
      <c r="AD2726" s="9">
        <v>88569.64</v>
      </c>
      <c r="AE2726" s="9"/>
      <c r="AF2726" s="40"/>
      <c r="AG2726" s="56"/>
      <c r="AH2726" s="56"/>
      <c r="AI2726" s="56"/>
      <c r="AJ2726" s="56"/>
    </row>
    <row r="2727" spans="1:36" x14ac:dyDescent="0.3">
      <c r="A2727" s="47">
        <f t="shared" si="606"/>
        <v>2464</v>
      </c>
      <c r="B2727" s="414" t="s">
        <v>3412</v>
      </c>
      <c r="C2727" s="51">
        <f t="shared" si="607"/>
        <v>472813.79000000004</v>
      </c>
      <c r="D2727" s="51">
        <f t="shared" si="608"/>
        <v>0</v>
      </c>
      <c r="E2727" s="364"/>
      <c r="F2727" s="364"/>
      <c r="G2727" s="364"/>
      <c r="H2727" s="364"/>
      <c r="I2727" s="364"/>
      <c r="J2727" s="51"/>
      <c r="K2727" s="51"/>
      <c r="L2727" s="51"/>
      <c r="M2727" s="35"/>
      <c r="N2727" s="364"/>
      <c r="O2727" s="82"/>
      <c r="P2727" s="364"/>
      <c r="Q2727" s="338"/>
      <c r="R2727" s="364"/>
      <c r="S2727" s="51"/>
      <c r="T2727" s="338"/>
      <c r="U2727" s="364"/>
      <c r="V2727" s="35"/>
      <c r="W2727" s="364">
        <f t="shared" si="609"/>
        <v>472813.79000000004</v>
      </c>
      <c r="X2727" s="9"/>
      <c r="Y2727" s="9">
        <v>109746.53</v>
      </c>
      <c r="Z2727" s="9">
        <v>136808.57</v>
      </c>
      <c r="AA2727" s="9">
        <v>115698.68</v>
      </c>
      <c r="AB2727" s="9"/>
      <c r="AC2727" s="9"/>
      <c r="AD2727" s="9">
        <v>110560.01</v>
      </c>
      <c r="AE2727" s="9"/>
      <c r="AF2727" s="40"/>
      <c r="AG2727" s="56"/>
      <c r="AH2727" s="56"/>
      <c r="AI2727" s="56"/>
      <c r="AJ2727" s="56"/>
    </row>
    <row r="2728" spans="1:36" x14ac:dyDescent="0.3">
      <c r="A2728" s="47">
        <f t="shared" si="606"/>
        <v>2465</v>
      </c>
      <c r="B2728" s="414" t="s">
        <v>3413</v>
      </c>
      <c r="C2728" s="51">
        <f t="shared" si="607"/>
        <v>237261.64</v>
      </c>
      <c r="D2728" s="51">
        <f t="shared" si="608"/>
        <v>0</v>
      </c>
      <c r="E2728" s="364"/>
      <c r="F2728" s="364"/>
      <c r="G2728" s="364"/>
      <c r="H2728" s="364"/>
      <c r="I2728" s="364"/>
      <c r="J2728" s="51"/>
      <c r="K2728" s="51"/>
      <c r="L2728" s="51"/>
      <c r="M2728" s="35"/>
      <c r="N2728" s="364"/>
      <c r="O2728" s="82"/>
      <c r="P2728" s="51"/>
      <c r="Q2728" s="338"/>
      <c r="R2728" s="364"/>
      <c r="S2728" s="51"/>
      <c r="T2728" s="338"/>
      <c r="U2728" s="364"/>
      <c r="V2728" s="35"/>
      <c r="W2728" s="364">
        <f t="shared" si="609"/>
        <v>237261.64</v>
      </c>
      <c r="X2728" s="9"/>
      <c r="Y2728" s="9">
        <v>58765.94</v>
      </c>
      <c r="Z2728" s="9"/>
      <c r="AA2728" s="9"/>
      <c r="AB2728" s="9"/>
      <c r="AC2728" s="9"/>
      <c r="AD2728" s="9">
        <v>57962.86</v>
      </c>
      <c r="AE2728" s="9">
        <v>120532.84</v>
      </c>
      <c r="AF2728" s="40"/>
      <c r="AG2728" s="56"/>
      <c r="AH2728" s="56"/>
      <c r="AI2728" s="56"/>
      <c r="AJ2728" s="56"/>
    </row>
    <row r="2729" spans="1:36" x14ac:dyDescent="0.3">
      <c r="A2729" s="47">
        <f t="shared" si="606"/>
        <v>2466</v>
      </c>
      <c r="B2729" s="414" t="s">
        <v>3414</v>
      </c>
      <c r="C2729" s="51">
        <f t="shared" si="607"/>
        <v>427745.77</v>
      </c>
      <c r="D2729" s="51">
        <f t="shared" si="608"/>
        <v>0</v>
      </c>
      <c r="E2729" s="364"/>
      <c r="F2729" s="364"/>
      <c r="G2729" s="364"/>
      <c r="H2729" s="364"/>
      <c r="I2729" s="364"/>
      <c r="J2729" s="51"/>
      <c r="K2729" s="51"/>
      <c r="L2729" s="51"/>
      <c r="M2729" s="35"/>
      <c r="N2729" s="364"/>
      <c r="O2729" s="82"/>
      <c r="P2729" s="364"/>
      <c r="Q2729" s="338"/>
      <c r="R2729" s="364"/>
      <c r="S2729" s="51"/>
      <c r="T2729" s="338"/>
      <c r="U2729" s="364"/>
      <c r="V2729" s="35"/>
      <c r="W2729" s="364">
        <f t="shared" si="609"/>
        <v>427745.77</v>
      </c>
      <c r="X2729" s="9"/>
      <c r="Y2729" s="9">
        <v>99955.94</v>
      </c>
      <c r="Z2729" s="9">
        <v>121285.49</v>
      </c>
      <c r="AA2729" s="9">
        <v>105564.58</v>
      </c>
      <c r="AB2729" s="9"/>
      <c r="AC2729" s="9"/>
      <c r="AD2729" s="9">
        <v>100939.76</v>
      </c>
      <c r="AE2729" s="9"/>
      <c r="AF2729" s="40"/>
      <c r="AG2729" s="56"/>
      <c r="AH2729" s="56"/>
      <c r="AI2729" s="56"/>
      <c r="AJ2729" s="56"/>
    </row>
    <row r="2730" spans="1:36" x14ac:dyDescent="0.3">
      <c r="A2730" s="47">
        <f t="shared" si="606"/>
        <v>2467</v>
      </c>
      <c r="B2730" s="414" t="s">
        <v>3415</v>
      </c>
      <c r="C2730" s="51">
        <f t="shared" si="607"/>
        <v>228471.91999999998</v>
      </c>
      <c r="D2730" s="51">
        <f t="shared" si="608"/>
        <v>0</v>
      </c>
      <c r="E2730" s="364"/>
      <c r="F2730" s="51"/>
      <c r="G2730" s="51"/>
      <c r="H2730" s="51"/>
      <c r="I2730" s="51"/>
      <c r="J2730" s="51"/>
      <c r="K2730" s="51"/>
      <c r="L2730" s="51"/>
      <c r="M2730" s="35"/>
      <c r="N2730" s="364"/>
      <c r="O2730" s="82"/>
      <c r="P2730" s="364"/>
      <c r="Q2730" s="338"/>
      <c r="R2730" s="364"/>
      <c r="S2730" s="51"/>
      <c r="T2730" s="338"/>
      <c r="U2730" s="51"/>
      <c r="V2730" s="35"/>
      <c r="W2730" s="364">
        <f t="shared" si="609"/>
        <v>228471.91999999998</v>
      </c>
      <c r="X2730" s="9"/>
      <c r="Y2730" s="9">
        <v>78125.649999999994</v>
      </c>
      <c r="Z2730" s="9"/>
      <c r="AA2730" s="9"/>
      <c r="AB2730" s="9"/>
      <c r="AC2730" s="9"/>
      <c r="AD2730" s="9"/>
      <c r="AE2730" s="9">
        <v>150346.26999999999</v>
      </c>
      <c r="AF2730" s="40"/>
      <c r="AG2730" s="56"/>
      <c r="AH2730" s="56"/>
      <c r="AI2730" s="56"/>
      <c r="AJ2730" s="56"/>
    </row>
    <row r="2731" spans="1:36" x14ac:dyDescent="0.3">
      <c r="A2731" s="47">
        <f t="shared" si="606"/>
        <v>2468</v>
      </c>
      <c r="B2731" s="414" t="s">
        <v>3416</v>
      </c>
      <c r="C2731" s="51">
        <f t="shared" si="607"/>
        <v>298649.61</v>
      </c>
      <c r="D2731" s="51">
        <f t="shared" si="608"/>
        <v>0</v>
      </c>
      <c r="E2731" s="51"/>
      <c r="F2731" s="51"/>
      <c r="G2731" s="51"/>
      <c r="H2731" s="364"/>
      <c r="I2731" s="51"/>
      <c r="J2731" s="51"/>
      <c r="K2731" s="51"/>
      <c r="L2731" s="51"/>
      <c r="M2731" s="35"/>
      <c r="N2731" s="364"/>
      <c r="O2731" s="82"/>
      <c r="P2731" s="364"/>
      <c r="Q2731" s="338"/>
      <c r="R2731" s="364"/>
      <c r="S2731" s="51"/>
      <c r="T2731" s="338"/>
      <c r="U2731" s="51"/>
      <c r="V2731" s="35"/>
      <c r="W2731" s="364">
        <f t="shared" si="609"/>
        <v>298649.61</v>
      </c>
      <c r="X2731" s="9"/>
      <c r="Y2731" s="9"/>
      <c r="Z2731" s="9"/>
      <c r="AA2731" s="9"/>
      <c r="AB2731" s="9">
        <v>106250.65</v>
      </c>
      <c r="AC2731" s="9"/>
      <c r="AD2731" s="9"/>
      <c r="AE2731" s="9">
        <v>192398.96</v>
      </c>
      <c r="AF2731" s="40"/>
      <c r="AG2731" s="56"/>
      <c r="AH2731" s="56"/>
      <c r="AI2731" s="56"/>
      <c r="AJ2731" s="56"/>
    </row>
    <row r="2732" spans="1:36" x14ac:dyDescent="0.3">
      <c r="A2732" s="47">
        <f t="shared" si="606"/>
        <v>2469</v>
      </c>
      <c r="B2732" s="414" t="s">
        <v>3417</v>
      </c>
      <c r="C2732" s="51">
        <f t="shared" si="607"/>
        <v>456984.91000000003</v>
      </c>
      <c r="D2732" s="51">
        <f t="shared" si="608"/>
        <v>0</v>
      </c>
      <c r="E2732" s="51"/>
      <c r="F2732" s="51"/>
      <c r="G2732" s="51"/>
      <c r="H2732" s="364"/>
      <c r="I2732" s="364"/>
      <c r="J2732" s="51"/>
      <c r="K2732" s="51"/>
      <c r="L2732" s="51"/>
      <c r="M2732" s="35"/>
      <c r="N2732" s="364"/>
      <c r="O2732" s="82"/>
      <c r="P2732" s="364"/>
      <c r="Q2732" s="338"/>
      <c r="R2732" s="364"/>
      <c r="S2732" s="51"/>
      <c r="T2732" s="338"/>
      <c r="U2732" s="51"/>
      <c r="V2732" s="35"/>
      <c r="W2732" s="364">
        <f t="shared" si="609"/>
        <v>456984.91000000003</v>
      </c>
      <c r="X2732" s="9"/>
      <c r="Y2732" s="9"/>
      <c r="Z2732" s="9"/>
      <c r="AA2732" s="9"/>
      <c r="AB2732" s="9">
        <v>103491.55</v>
      </c>
      <c r="AC2732" s="9"/>
      <c r="AD2732" s="9">
        <v>104005.42</v>
      </c>
      <c r="AE2732" s="9">
        <v>249487.94</v>
      </c>
      <c r="AF2732" s="40"/>
      <c r="AG2732" s="56"/>
      <c r="AH2732" s="56"/>
      <c r="AI2732" s="56"/>
      <c r="AJ2732" s="56"/>
    </row>
    <row r="2733" spans="1:36" x14ac:dyDescent="0.3">
      <c r="A2733" s="47">
        <f t="shared" si="606"/>
        <v>2470</v>
      </c>
      <c r="B2733" s="414" t="s">
        <v>3418</v>
      </c>
      <c r="C2733" s="51">
        <f t="shared" si="607"/>
        <v>475921.45999999996</v>
      </c>
      <c r="D2733" s="51">
        <f t="shared" si="608"/>
        <v>0</v>
      </c>
      <c r="E2733" s="51"/>
      <c r="F2733" s="364"/>
      <c r="G2733" s="364"/>
      <c r="H2733" s="364"/>
      <c r="I2733" s="51"/>
      <c r="J2733" s="51"/>
      <c r="K2733" s="51"/>
      <c r="L2733" s="51"/>
      <c r="M2733" s="35"/>
      <c r="N2733" s="364"/>
      <c r="O2733" s="82"/>
      <c r="P2733" s="364"/>
      <c r="Q2733" s="338"/>
      <c r="R2733" s="51"/>
      <c r="S2733" s="51"/>
      <c r="T2733" s="338"/>
      <c r="U2733" s="51"/>
      <c r="V2733" s="35"/>
      <c r="W2733" s="364">
        <f t="shared" si="609"/>
        <v>475921.45999999996</v>
      </c>
      <c r="X2733" s="9"/>
      <c r="Y2733" s="9"/>
      <c r="Z2733" s="9">
        <v>137067.53</v>
      </c>
      <c r="AA2733" s="9">
        <v>136553.65</v>
      </c>
      <c r="AB2733" s="9"/>
      <c r="AC2733" s="9"/>
      <c r="AD2733" s="9"/>
      <c r="AE2733" s="9">
        <v>202300.28</v>
      </c>
      <c r="AF2733" s="40"/>
      <c r="AG2733" s="56"/>
      <c r="AH2733" s="56"/>
      <c r="AI2733" s="56"/>
      <c r="AJ2733" s="56"/>
    </row>
    <row r="2734" spans="1:36" x14ac:dyDescent="0.3">
      <c r="A2734" s="47">
        <f t="shared" si="606"/>
        <v>2471</v>
      </c>
      <c r="B2734" s="414" t="s">
        <v>3419</v>
      </c>
      <c r="C2734" s="51">
        <f t="shared" si="607"/>
        <v>116957.9</v>
      </c>
      <c r="D2734" s="51">
        <f t="shared" si="608"/>
        <v>0</v>
      </c>
      <c r="E2734" s="364"/>
      <c r="F2734" s="51"/>
      <c r="G2734" s="51"/>
      <c r="H2734" s="51"/>
      <c r="I2734" s="51"/>
      <c r="J2734" s="51"/>
      <c r="K2734" s="51"/>
      <c r="L2734" s="51"/>
      <c r="M2734" s="35"/>
      <c r="N2734" s="51"/>
      <c r="O2734" s="82"/>
      <c r="P2734" s="364"/>
      <c r="Q2734" s="338"/>
      <c r="R2734" s="51"/>
      <c r="S2734" s="51"/>
      <c r="T2734" s="338"/>
      <c r="U2734" s="51"/>
      <c r="V2734" s="35"/>
      <c r="W2734" s="364">
        <f t="shared" si="609"/>
        <v>116957.9</v>
      </c>
      <c r="X2734" s="9"/>
      <c r="Y2734" s="9">
        <v>116957.9</v>
      </c>
      <c r="Z2734" s="9"/>
      <c r="AA2734" s="9"/>
      <c r="AB2734" s="9"/>
      <c r="AC2734" s="9"/>
      <c r="AD2734" s="9"/>
      <c r="AE2734" s="9"/>
      <c r="AF2734" s="40"/>
      <c r="AG2734" s="56"/>
      <c r="AH2734" s="56"/>
      <c r="AI2734" s="56"/>
      <c r="AJ2734" s="56"/>
    </row>
    <row r="2735" spans="1:36" x14ac:dyDescent="0.3">
      <c r="A2735" s="47">
        <f t="shared" si="606"/>
        <v>2472</v>
      </c>
      <c r="B2735" s="414" t="s">
        <v>3420</v>
      </c>
      <c r="C2735" s="51">
        <f t="shared" si="607"/>
        <v>201409.33</v>
      </c>
      <c r="D2735" s="51">
        <f t="shared" si="608"/>
        <v>0</v>
      </c>
      <c r="E2735" s="364"/>
      <c r="F2735" s="51"/>
      <c r="G2735" s="51"/>
      <c r="H2735" s="51"/>
      <c r="I2735" s="51"/>
      <c r="J2735" s="51"/>
      <c r="K2735" s="51"/>
      <c r="L2735" s="51"/>
      <c r="M2735" s="35"/>
      <c r="N2735" s="51"/>
      <c r="O2735" s="82"/>
      <c r="P2735" s="364"/>
      <c r="Q2735" s="338"/>
      <c r="R2735" s="51"/>
      <c r="S2735" s="51"/>
      <c r="T2735" s="338"/>
      <c r="U2735" s="51"/>
      <c r="V2735" s="35"/>
      <c r="W2735" s="364">
        <f t="shared" si="609"/>
        <v>201409.33</v>
      </c>
      <c r="X2735" s="9"/>
      <c r="Y2735" s="9"/>
      <c r="Z2735" s="9"/>
      <c r="AA2735" s="9"/>
      <c r="AB2735" s="9"/>
      <c r="AC2735" s="9"/>
      <c r="AD2735" s="9"/>
      <c r="AE2735" s="9">
        <v>201409.33</v>
      </c>
      <c r="AF2735" s="40"/>
      <c r="AG2735" s="56"/>
      <c r="AH2735" s="56"/>
      <c r="AI2735" s="56"/>
      <c r="AJ2735" s="56"/>
    </row>
    <row r="2736" spans="1:36" x14ac:dyDescent="0.3">
      <c r="A2736" s="47">
        <f t="shared" si="606"/>
        <v>2473</v>
      </c>
      <c r="B2736" s="414" t="s">
        <v>3421</v>
      </c>
      <c r="C2736" s="51">
        <f t="shared" si="607"/>
        <v>3473605.1999999997</v>
      </c>
      <c r="D2736" s="51">
        <f t="shared" si="608"/>
        <v>0</v>
      </c>
      <c r="E2736" s="51"/>
      <c r="F2736" s="51"/>
      <c r="G2736" s="51"/>
      <c r="H2736" s="51"/>
      <c r="I2736" s="51"/>
      <c r="J2736" s="51"/>
      <c r="K2736" s="51"/>
      <c r="L2736" s="51"/>
      <c r="M2736" s="35">
        <v>923</v>
      </c>
      <c r="N2736" s="51">
        <f>556.4*6243</f>
        <v>3473605.1999999997</v>
      </c>
      <c r="O2736" s="82"/>
      <c r="P2736" s="364"/>
      <c r="Q2736" s="338"/>
      <c r="R2736" s="364"/>
      <c r="S2736" s="51"/>
      <c r="T2736" s="338"/>
      <c r="U2736" s="51"/>
      <c r="V2736" s="35"/>
      <c r="W2736" s="364">
        <f t="shared" si="609"/>
        <v>0</v>
      </c>
      <c r="X2736" s="9"/>
      <c r="Y2736" s="9"/>
      <c r="Z2736" s="9"/>
      <c r="AA2736" s="9"/>
      <c r="AB2736" s="9"/>
      <c r="AC2736" s="9"/>
      <c r="AD2736" s="9"/>
      <c r="AE2736" s="9"/>
      <c r="AF2736" s="40"/>
      <c r="AG2736" s="56"/>
      <c r="AH2736" s="56"/>
      <c r="AI2736" s="56"/>
      <c r="AJ2736" s="56"/>
    </row>
    <row r="2737" spans="1:36" x14ac:dyDescent="0.3">
      <c r="A2737" s="47">
        <f t="shared" si="606"/>
        <v>2474</v>
      </c>
      <c r="B2737" s="414" t="s">
        <v>3422</v>
      </c>
      <c r="C2737" s="51">
        <f t="shared" si="607"/>
        <v>107068.16</v>
      </c>
      <c r="D2737" s="51">
        <f t="shared" si="608"/>
        <v>0</v>
      </c>
      <c r="E2737" s="51"/>
      <c r="F2737" s="51"/>
      <c r="G2737" s="51"/>
      <c r="H2737" s="364"/>
      <c r="I2737" s="51"/>
      <c r="J2737" s="51"/>
      <c r="K2737" s="51"/>
      <c r="L2737" s="51"/>
      <c r="M2737" s="35"/>
      <c r="N2737" s="51"/>
      <c r="O2737" s="82"/>
      <c r="P2737" s="364"/>
      <c r="Q2737" s="338"/>
      <c r="R2737" s="51"/>
      <c r="S2737" s="51"/>
      <c r="T2737" s="338"/>
      <c r="U2737" s="51"/>
      <c r="V2737" s="35"/>
      <c r="W2737" s="364">
        <f t="shared" si="609"/>
        <v>107068.16</v>
      </c>
      <c r="X2737" s="9"/>
      <c r="Y2737" s="9"/>
      <c r="Z2737" s="9"/>
      <c r="AA2737" s="9"/>
      <c r="AB2737" s="9">
        <v>107068.16</v>
      </c>
      <c r="AC2737" s="9"/>
      <c r="AD2737" s="9"/>
      <c r="AE2737" s="9"/>
      <c r="AF2737" s="40"/>
      <c r="AG2737" s="56"/>
      <c r="AH2737" s="56"/>
      <c r="AI2737" s="56"/>
      <c r="AJ2737" s="56"/>
    </row>
    <row r="2738" spans="1:36" x14ac:dyDescent="0.3">
      <c r="A2738" s="47">
        <f t="shared" si="606"/>
        <v>2475</v>
      </c>
      <c r="B2738" s="414" t="s">
        <v>3423</v>
      </c>
      <c r="C2738" s="51">
        <f t="shared" si="607"/>
        <v>118053.46</v>
      </c>
      <c r="D2738" s="51">
        <f t="shared" si="608"/>
        <v>0</v>
      </c>
      <c r="E2738" s="51"/>
      <c r="F2738" s="51"/>
      <c r="G2738" s="51"/>
      <c r="H2738" s="364"/>
      <c r="I2738" s="51"/>
      <c r="J2738" s="51"/>
      <c r="K2738" s="51"/>
      <c r="L2738" s="51"/>
      <c r="M2738" s="35"/>
      <c r="N2738" s="51"/>
      <c r="O2738" s="82"/>
      <c r="P2738" s="364"/>
      <c r="Q2738" s="338"/>
      <c r="R2738" s="51"/>
      <c r="S2738" s="51"/>
      <c r="T2738" s="338"/>
      <c r="U2738" s="51"/>
      <c r="V2738" s="35"/>
      <c r="W2738" s="364">
        <f t="shared" si="609"/>
        <v>118053.46</v>
      </c>
      <c r="X2738" s="9"/>
      <c r="Y2738" s="9"/>
      <c r="Z2738" s="9"/>
      <c r="AA2738" s="9"/>
      <c r="AB2738" s="9">
        <v>118053.46</v>
      </c>
      <c r="AC2738" s="9"/>
      <c r="AD2738" s="9"/>
      <c r="AE2738" s="9"/>
      <c r="AF2738" s="40"/>
      <c r="AG2738" s="56"/>
      <c r="AH2738" s="56"/>
      <c r="AI2738" s="56"/>
      <c r="AJ2738" s="56"/>
    </row>
    <row r="2739" spans="1:36" x14ac:dyDescent="0.3">
      <c r="A2739" s="47">
        <f t="shared" si="606"/>
        <v>2476</v>
      </c>
      <c r="B2739" s="414" t="s">
        <v>3424</v>
      </c>
      <c r="C2739" s="51">
        <f t="shared" si="607"/>
        <v>215570.58000000002</v>
      </c>
      <c r="D2739" s="51">
        <f t="shared" si="608"/>
        <v>0</v>
      </c>
      <c r="E2739" s="51"/>
      <c r="F2739" s="51"/>
      <c r="G2739" s="51"/>
      <c r="H2739" s="364"/>
      <c r="I2739" s="364"/>
      <c r="J2739" s="51"/>
      <c r="K2739" s="51"/>
      <c r="L2739" s="51"/>
      <c r="M2739" s="35"/>
      <c r="N2739" s="51"/>
      <c r="O2739" s="82"/>
      <c r="P2739" s="364"/>
      <c r="Q2739" s="338"/>
      <c r="R2739" s="51"/>
      <c r="S2739" s="51"/>
      <c r="T2739" s="338"/>
      <c r="U2739" s="51"/>
      <c r="V2739" s="35"/>
      <c r="W2739" s="364">
        <f t="shared" si="609"/>
        <v>215570.58000000002</v>
      </c>
      <c r="X2739" s="9"/>
      <c r="Y2739" s="9"/>
      <c r="Z2739" s="9"/>
      <c r="AA2739" s="9"/>
      <c r="AB2739" s="9">
        <v>103931.28</v>
      </c>
      <c r="AC2739" s="9"/>
      <c r="AD2739" s="9">
        <v>111639.3</v>
      </c>
      <c r="AE2739" s="9"/>
      <c r="AF2739" s="40"/>
      <c r="AG2739" s="56"/>
      <c r="AH2739" s="56"/>
      <c r="AI2739" s="56"/>
      <c r="AJ2739" s="56"/>
    </row>
    <row r="2740" spans="1:36" x14ac:dyDescent="0.3">
      <c r="A2740" s="47">
        <f t="shared" si="606"/>
        <v>2477</v>
      </c>
      <c r="B2740" s="414" t="s">
        <v>3425</v>
      </c>
      <c r="C2740" s="51">
        <f t="shared" si="607"/>
        <v>125113.61</v>
      </c>
      <c r="D2740" s="51">
        <f t="shared" si="608"/>
        <v>0</v>
      </c>
      <c r="E2740" s="51"/>
      <c r="F2740" s="51"/>
      <c r="G2740" s="51"/>
      <c r="H2740" s="364"/>
      <c r="I2740" s="51"/>
      <c r="J2740" s="51"/>
      <c r="K2740" s="51"/>
      <c r="L2740" s="51"/>
      <c r="M2740" s="35"/>
      <c r="N2740" s="51"/>
      <c r="O2740" s="82"/>
      <c r="P2740" s="364"/>
      <c r="Q2740" s="338"/>
      <c r="R2740" s="51"/>
      <c r="S2740" s="51"/>
      <c r="T2740" s="338"/>
      <c r="U2740" s="51"/>
      <c r="V2740" s="35"/>
      <c r="W2740" s="364">
        <f t="shared" si="609"/>
        <v>125113.61</v>
      </c>
      <c r="X2740" s="9"/>
      <c r="Y2740" s="9"/>
      <c r="Z2740" s="9"/>
      <c r="AA2740" s="9"/>
      <c r="AB2740" s="9">
        <v>125113.61</v>
      </c>
      <c r="AC2740" s="9"/>
      <c r="AD2740" s="9"/>
      <c r="AE2740" s="9"/>
      <c r="AF2740" s="40"/>
      <c r="AG2740" s="56"/>
      <c r="AH2740" s="56"/>
      <c r="AI2740" s="56"/>
      <c r="AJ2740" s="56"/>
    </row>
    <row r="2741" spans="1:36" x14ac:dyDescent="0.3">
      <c r="A2741" s="47">
        <f t="shared" si="606"/>
        <v>2478</v>
      </c>
      <c r="B2741" s="414" t="s">
        <v>3426</v>
      </c>
      <c r="C2741" s="51">
        <f t="shared" si="607"/>
        <v>106046.28</v>
      </c>
      <c r="D2741" s="51">
        <f t="shared" si="608"/>
        <v>0</v>
      </c>
      <c r="E2741" s="51"/>
      <c r="F2741" s="51"/>
      <c r="G2741" s="51"/>
      <c r="H2741" s="364"/>
      <c r="I2741" s="51"/>
      <c r="J2741" s="51"/>
      <c r="K2741" s="51"/>
      <c r="L2741" s="51"/>
      <c r="M2741" s="35"/>
      <c r="N2741" s="51"/>
      <c r="O2741" s="82"/>
      <c r="P2741" s="364"/>
      <c r="Q2741" s="338"/>
      <c r="R2741" s="51"/>
      <c r="S2741" s="51"/>
      <c r="T2741" s="338"/>
      <c r="U2741" s="51"/>
      <c r="V2741" s="35"/>
      <c r="W2741" s="364">
        <f t="shared" si="609"/>
        <v>106046.28</v>
      </c>
      <c r="X2741" s="9"/>
      <c r="Y2741" s="9"/>
      <c r="Z2741" s="9"/>
      <c r="AA2741" s="9"/>
      <c r="AB2741" s="9">
        <v>106046.28</v>
      </c>
      <c r="AC2741" s="9"/>
      <c r="AD2741" s="9"/>
      <c r="AE2741" s="9"/>
      <c r="AF2741" s="40"/>
      <c r="AG2741" s="56"/>
      <c r="AH2741" s="56"/>
      <c r="AI2741" s="56"/>
      <c r="AJ2741" s="56"/>
    </row>
    <row r="2742" spans="1:36" x14ac:dyDescent="0.3">
      <c r="A2742" s="47">
        <f t="shared" si="606"/>
        <v>2479</v>
      </c>
      <c r="B2742" s="414" t="s">
        <v>3427</v>
      </c>
      <c r="C2742" s="51">
        <f t="shared" si="607"/>
        <v>190453.95</v>
      </c>
      <c r="D2742" s="51">
        <f t="shared" si="608"/>
        <v>0</v>
      </c>
      <c r="E2742" s="51"/>
      <c r="F2742" s="364"/>
      <c r="G2742" s="364"/>
      <c r="H2742" s="364"/>
      <c r="I2742" s="51"/>
      <c r="J2742" s="51"/>
      <c r="K2742" s="51"/>
      <c r="L2742" s="51"/>
      <c r="M2742" s="35"/>
      <c r="N2742" s="51"/>
      <c r="O2742" s="82"/>
      <c r="P2742" s="364"/>
      <c r="Q2742" s="338"/>
      <c r="R2742" s="51"/>
      <c r="S2742" s="51"/>
      <c r="T2742" s="338"/>
      <c r="U2742" s="51"/>
      <c r="V2742" s="35"/>
      <c r="W2742" s="364">
        <f t="shared" si="609"/>
        <v>190453.95</v>
      </c>
      <c r="X2742" s="9"/>
      <c r="Y2742" s="9"/>
      <c r="Z2742" s="9">
        <v>94199.24</v>
      </c>
      <c r="AA2742" s="9">
        <v>96254.71</v>
      </c>
      <c r="AB2742" s="9"/>
      <c r="AC2742" s="9"/>
      <c r="AD2742" s="9"/>
      <c r="AE2742" s="9"/>
      <c r="AF2742" s="40"/>
      <c r="AG2742" s="56"/>
      <c r="AH2742" s="56"/>
      <c r="AI2742" s="56"/>
      <c r="AJ2742" s="56"/>
    </row>
    <row r="2743" spans="1:36" x14ac:dyDescent="0.3">
      <c r="A2743" s="47">
        <f t="shared" si="606"/>
        <v>2480</v>
      </c>
      <c r="B2743" s="414" t="s">
        <v>3428</v>
      </c>
      <c r="C2743" s="51">
        <f t="shared" si="607"/>
        <v>311398.25</v>
      </c>
      <c r="D2743" s="51">
        <f t="shared" si="608"/>
        <v>0</v>
      </c>
      <c r="E2743" s="364"/>
      <c r="F2743" s="364"/>
      <c r="G2743" s="364"/>
      <c r="H2743" s="364"/>
      <c r="I2743" s="364"/>
      <c r="J2743" s="51"/>
      <c r="K2743" s="51"/>
      <c r="L2743" s="51"/>
      <c r="M2743" s="35"/>
      <c r="N2743" s="364"/>
      <c r="O2743" s="82"/>
      <c r="P2743" s="364"/>
      <c r="Q2743" s="338"/>
      <c r="R2743" s="364"/>
      <c r="S2743" s="51"/>
      <c r="T2743" s="338"/>
      <c r="U2743" s="51"/>
      <c r="V2743" s="35"/>
      <c r="W2743" s="364">
        <f t="shared" si="609"/>
        <v>311398.25</v>
      </c>
      <c r="X2743" s="9"/>
      <c r="Y2743" s="9"/>
      <c r="Z2743" s="9">
        <v>64919.58</v>
      </c>
      <c r="AA2743" s="9">
        <v>66975.05</v>
      </c>
      <c r="AB2743" s="9"/>
      <c r="AC2743" s="9"/>
      <c r="AD2743" s="9">
        <v>47980.62</v>
      </c>
      <c r="AE2743" s="9">
        <v>131523</v>
      </c>
      <c r="AF2743" s="40"/>
      <c r="AG2743" s="56"/>
      <c r="AH2743" s="56"/>
      <c r="AI2743" s="56"/>
      <c r="AJ2743" s="56"/>
    </row>
    <row r="2744" spans="1:36" x14ac:dyDescent="0.3">
      <c r="A2744" s="47">
        <f t="shared" si="606"/>
        <v>2481</v>
      </c>
      <c r="B2744" s="414" t="s">
        <v>3429</v>
      </c>
      <c r="C2744" s="51">
        <f t="shared" si="607"/>
        <v>130000</v>
      </c>
      <c r="D2744" s="51">
        <f t="shared" si="608"/>
        <v>0</v>
      </c>
      <c r="E2744" s="364"/>
      <c r="F2744" s="51"/>
      <c r="G2744" s="51"/>
      <c r="H2744" s="51"/>
      <c r="I2744" s="51"/>
      <c r="J2744" s="51"/>
      <c r="K2744" s="51"/>
      <c r="L2744" s="51"/>
      <c r="M2744" s="35"/>
      <c r="N2744" s="364"/>
      <c r="O2744" s="82"/>
      <c r="P2744" s="364"/>
      <c r="Q2744" s="338"/>
      <c r="R2744" s="364"/>
      <c r="S2744" s="51"/>
      <c r="T2744" s="338"/>
      <c r="U2744" s="51"/>
      <c r="V2744" s="35"/>
      <c r="W2744" s="364">
        <v>130000</v>
      </c>
      <c r="X2744" s="9"/>
      <c r="Y2744" s="9"/>
      <c r="Z2744" s="9"/>
      <c r="AA2744" s="9"/>
      <c r="AB2744" s="9"/>
      <c r="AC2744" s="9"/>
      <c r="AD2744" s="9"/>
      <c r="AE2744" s="9"/>
      <c r="AF2744" s="40"/>
      <c r="AG2744" s="56"/>
      <c r="AH2744" s="56"/>
      <c r="AI2744" s="56"/>
      <c r="AJ2744" s="56"/>
    </row>
    <row r="2745" spans="1:36" x14ac:dyDescent="0.3">
      <c r="A2745" s="47">
        <f t="shared" si="606"/>
        <v>2482</v>
      </c>
      <c r="B2745" s="414" t="s">
        <v>3430</v>
      </c>
      <c r="C2745" s="51">
        <f t="shared" si="607"/>
        <v>130000</v>
      </c>
      <c r="D2745" s="51">
        <f t="shared" si="608"/>
        <v>0</v>
      </c>
      <c r="E2745" s="364"/>
      <c r="F2745" s="51"/>
      <c r="G2745" s="51"/>
      <c r="H2745" s="51"/>
      <c r="I2745" s="51"/>
      <c r="J2745" s="51"/>
      <c r="K2745" s="51"/>
      <c r="L2745" s="51"/>
      <c r="M2745" s="35"/>
      <c r="N2745" s="364"/>
      <c r="O2745" s="82"/>
      <c r="P2745" s="364"/>
      <c r="Q2745" s="338"/>
      <c r="R2745" s="364"/>
      <c r="S2745" s="51"/>
      <c r="T2745" s="338"/>
      <c r="U2745" s="51"/>
      <c r="V2745" s="35"/>
      <c r="W2745" s="364">
        <v>130000</v>
      </c>
      <c r="X2745" s="9"/>
      <c r="Y2745" s="9"/>
      <c r="Z2745" s="9"/>
      <c r="AA2745" s="9"/>
      <c r="AB2745" s="9"/>
      <c r="AC2745" s="9"/>
      <c r="AD2745" s="9"/>
      <c r="AE2745" s="9"/>
      <c r="AF2745" s="40"/>
      <c r="AG2745" s="56"/>
      <c r="AH2745" s="56"/>
      <c r="AI2745" s="56"/>
      <c r="AJ2745" s="56"/>
    </row>
    <row r="2746" spans="1:36" x14ac:dyDescent="0.3">
      <c r="A2746" s="47">
        <f t="shared" ref="A2746:A2747" si="610">A2745+1</f>
        <v>2483</v>
      </c>
      <c r="B2746" s="414" t="s">
        <v>3431</v>
      </c>
      <c r="C2746" s="51">
        <f t="shared" si="607"/>
        <v>2010760.94</v>
      </c>
      <c r="D2746" s="51">
        <f t="shared" si="608"/>
        <v>1433523</v>
      </c>
      <c r="E2746" s="51">
        <f>400*2688+358323</f>
        <v>1433523</v>
      </c>
      <c r="F2746" s="364"/>
      <c r="G2746" s="364"/>
      <c r="H2746" s="364"/>
      <c r="I2746" s="51"/>
      <c r="J2746" s="51"/>
      <c r="K2746" s="51"/>
      <c r="L2746" s="51"/>
      <c r="M2746" s="35"/>
      <c r="N2746" s="364"/>
      <c r="O2746" s="82"/>
      <c r="P2746" s="364"/>
      <c r="Q2746" s="338"/>
      <c r="R2746" s="364"/>
      <c r="S2746" s="51"/>
      <c r="T2746" s="338"/>
      <c r="U2746" s="51"/>
      <c r="V2746" s="35"/>
      <c r="W2746" s="364">
        <f>SUM(Y2746:AK2746)</f>
        <v>577237.93999999994</v>
      </c>
      <c r="X2746" s="9"/>
      <c r="Y2746" s="9"/>
      <c r="Z2746" s="9">
        <v>154987.43</v>
      </c>
      <c r="AA2746" s="9">
        <v>130892.17</v>
      </c>
      <c r="AB2746" s="9"/>
      <c r="AC2746" s="9"/>
      <c r="AD2746" s="9"/>
      <c r="AE2746" s="9">
        <v>291358.34000000003</v>
      </c>
      <c r="AF2746" s="40"/>
      <c r="AG2746" s="56"/>
      <c r="AH2746" s="56"/>
      <c r="AI2746" s="56"/>
      <c r="AJ2746" s="56"/>
    </row>
    <row r="2747" spans="1:36" x14ac:dyDescent="0.3">
      <c r="A2747" s="47">
        <f t="shared" si="610"/>
        <v>2484</v>
      </c>
      <c r="B2747" s="414" t="s">
        <v>3432</v>
      </c>
      <c r="C2747" s="51">
        <f t="shared" si="607"/>
        <v>2322118.2999999998</v>
      </c>
      <c r="D2747" s="51">
        <f t="shared" si="608"/>
        <v>1791846</v>
      </c>
      <c r="E2747" s="51">
        <f>400*2688+2*358323</f>
        <v>1791846</v>
      </c>
      <c r="F2747" s="364"/>
      <c r="G2747" s="364"/>
      <c r="H2747" s="364"/>
      <c r="I2747" s="51"/>
      <c r="J2747" s="51"/>
      <c r="K2747" s="51"/>
      <c r="L2747" s="51"/>
      <c r="M2747" s="35"/>
      <c r="N2747" s="364"/>
      <c r="O2747" s="82"/>
      <c r="P2747" s="364"/>
      <c r="Q2747" s="338"/>
      <c r="R2747" s="364"/>
      <c r="S2747" s="51"/>
      <c r="T2747" s="338"/>
      <c r="U2747" s="51"/>
      <c r="V2747" s="35"/>
      <c r="W2747" s="364">
        <f>SUM(Y2747:AK2747)</f>
        <v>530272.30000000005</v>
      </c>
      <c r="X2747" s="9"/>
      <c r="Y2747" s="9"/>
      <c r="Z2747" s="9">
        <v>153819.76999999999</v>
      </c>
      <c r="AA2747" s="9">
        <v>129744.47</v>
      </c>
      <c r="AB2747" s="9"/>
      <c r="AC2747" s="9"/>
      <c r="AD2747" s="9"/>
      <c r="AE2747" s="9">
        <v>246708.06</v>
      </c>
      <c r="AF2747" s="40"/>
      <c r="AG2747" s="56"/>
      <c r="AH2747" s="56"/>
      <c r="AI2747" s="56"/>
      <c r="AJ2747" s="56"/>
    </row>
    <row r="2748" spans="1:36" x14ac:dyDescent="0.3">
      <c r="A2748" s="439" t="s">
        <v>211</v>
      </c>
      <c r="B2748" s="399"/>
      <c r="C2748" s="51">
        <f t="shared" ref="C2748:W2748" si="611">SUM(C2527:C2747)</f>
        <v>151169629.83999997</v>
      </c>
      <c r="D2748" s="51">
        <f t="shared" si="611"/>
        <v>27429283.98</v>
      </c>
      <c r="E2748" s="51">
        <f t="shared" si="611"/>
        <v>19991853</v>
      </c>
      <c r="F2748" s="51">
        <f t="shared" si="611"/>
        <v>7260316.9799999995</v>
      </c>
      <c r="G2748" s="51">
        <f t="shared" si="611"/>
        <v>177114</v>
      </c>
      <c r="H2748" s="51">
        <f t="shared" si="611"/>
        <v>0</v>
      </c>
      <c r="I2748" s="51">
        <f t="shared" si="611"/>
        <v>0</v>
      </c>
      <c r="J2748" s="51">
        <f t="shared" si="611"/>
        <v>0</v>
      </c>
      <c r="K2748" s="51">
        <f t="shared" si="611"/>
        <v>0</v>
      </c>
      <c r="L2748" s="51">
        <f t="shared" si="611"/>
        <v>0</v>
      </c>
      <c r="M2748" s="35">
        <f t="shared" si="611"/>
        <v>1746</v>
      </c>
      <c r="N2748" s="51">
        <f t="shared" si="611"/>
        <v>58289624.950000003</v>
      </c>
      <c r="O2748" s="82">
        <f t="shared" si="611"/>
        <v>0</v>
      </c>
      <c r="P2748" s="51">
        <f t="shared" si="611"/>
        <v>0</v>
      </c>
      <c r="Q2748" s="338">
        <f t="shared" si="611"/>
        <v>0</v>
      </c>
      <c r="R2748" s="51">
        <f t="shared" si="611"/>
        <v>0</v>
      </c>
      <c r="S2748" s="51">
        <f t="shared" si="611"/>
        <v>0</v>
      </c>
      <c r="T2748" s="338">
        <f t="shared" si="611"/>
        <v>0</v>
      </c>
      <c r="U2748" s="51">
        <f t="shared" si="611"/>
        <v>0</v>
      </c>
      <c r="V2748" s="35">
        <f t="shared" si="611"/>
        <v>0</v>
      </c>
      <c r="W2748" s="51">
        <f t="shared" si="611"/>
        <v>65450720.910000019</v>
      </c>
      <c r="X2748" s="9"/>
      <c r="Y2748" s="9"/>
      <c r="Z2748" s="9"/>
      <c r="AA2748" s="9"/>
      <c r="AB2748" s="9"/>
      <c r="AC2748" s="9"/>
      <c r="AD2748" s="9"/>
      <c r="AE2748" s="9"/>
      <c r="AF2748" s="40"/>
      <c r="AG2748" s="56"/>
      <c r="AH2748" s="56"/>
      <c r="AI2748" s="56"/>
      <c r="AJ2748" s="56"/>
    </row>
    <row r="2749" spans="1:36" x14ac:dyDescent="0.3">
      <c r="A2749" s="435" t="s">
        <v>3433</v>
      </c>
      <c r="B2749" s="363"/>
      <c r="C2749" s="51"/>
      <c r="D2749" s="51"/>
      <c r="E2749" s="51"/>
      <c r="F2749" s="51"/>
      <c r="G2749" s="51"/>
      <c r="H2749" s="51"/>
      <c r="I2749" s="51"/>
      <c r="J2749" s="51"/>
      <c r="K2749" s="51"/>
      <c r="L2749" s="51"/>
      <c r="M2749" s="35"/>
      <c r="N2749" s="51"/>
      <c r="O2749" s="82"/>
      <c r="P2749" s="51"/>
      <c r="Q2749" s="338"/>
      <c r="R2749" s="51"/>
      <c r="S2749" s="504"/>
      <c r="T2749" s="504"/>
      <c r="U2749" s="51"/>
      <c r="V2749" s="35"/>
      <c r="W2749" s="364">
        <f>SUM(X2749:AJ2749)</f>
        <v>0</v>
      </c>
      <c r="X2749" s="9"/>
      <c r="Y2749" s="9"/>
      <c r="Z2749" s="9"/>
      <c r="AA2749" s="9"/>
      <c r="AB2749" s="9"/>
      <c r="AC2749" s="9"/>
      <c r="AD2749" s="9"/>
      <c r="AE2749" s="9"/>
      <c r="AF2749" s="40"/>
      <c r="AG2749" s="56"/>
      <c r="AH2749" s="56"/>
      <c r="AI2749" s="56"/>
      <c r="AJ2749" s="56"/>
    </row>
    <row r="2750" spans="1:36" x14ac:dyDescent="0.3">
      <c r="A2750" s="47">
        <f>A2747+1</f>
        <v>2485</v>
      </c>
      <c r="B2750" s="414" t="s">
        <v>3457</v>
      </c>
      <c r="C2750" s="51">
        <f>D2750+K2750+L2750+N2750+P2750+R2750+S2750+U2750+V2750+W2750</f>
        <v>41522</v>
      </c>
      <c r="D2750" s="51">
        <f t="shared" ref="D2750:D2754" si="612">E2750+F2750+G2750+H2750+I2750</f>
        <v>41522</v>
      </c>
      <c r="E2750" s="51"/>
      <c r="F2750" s="364"/>
      <c r="G2750" s="364"/>
      <c r="H2750" s="364"/>
      <c r="I2750" s="51">
        <f>13*3194</f>
        <v>41522</v>
      </c>
      <c r="J2750" s="51"/>
      <c r="K2750" s="51"/>
      <c r="L2750" s="51"/>
      <c r="M2750" s="35"/>
      <c r="N2750" s="51"/>
      <c r="O2750" s="82"/>
      <c r="P2750" s="364"/>
      <c r="Q2750" s="338"/>
      <c r="R2750" s="51"/>
      <c r="S2750" s="51"/>
      <c r="T2750" s="338"/>
      <c r="U2750" s="364"/>
      <c r="V2750" s="35"/>
      <c r="W2750" s="364">
        <f>SUM(Y2750:AK2750)</f>
        <v>0</v>
      </c>
      <c r="X2750" s="285"/>
      <c r="Y2750" s="9"/>
      <c r="Z2750" s="9"/>
      <c r="AA2750" s="9"/>
      <c r="AB2750" s="9"/>
      <c r="AC2750" s="9"/>
      <c r="AD2750" s="9"/>
      <c r="AE2750" s="9"/>
      <c r="AF2750" s="9"/>
      <c r="AG2750" s="40"/>
      <c r="AH2750" s="56"/>
      <c r="AI2750" s="56"/>
      <c r="AJ2750" s="56"/>
    </row>
    <row r="2751" spans="1:36" x14ac:dyDescent="0.3">
      <c r="A2751" s="47">
        <f t="shared" ref="A2751:A2754" si="613">A2750+1</f>
        <v>2486</v>
      </c>
      <c r="B2751" s="414" t="s">
        <v>3439</v>
      </c>
      <c r="C2751" s="51">
        <f>D2751+K2751+L2751+N2751+P2751+R2751+S2751+U2751+V2751+W2751</f>
        <v>720409</v>
      </c>
      <c r="D2751" s="51">
        <f t="shared" si="612"/>
        <v>720409</v>
      </c>
      <c r="E2751" s="364"/>
      <c r="F2751" s="51">
        <f>13*5502+607361</f>
        <v>678887</v>
      </c>
      <c r="G2751" s="364"/>
      <c r="H2751" s="364"/>
      <c r="I2751" s="51">
        <f>13*3194</f>
        <v>41522</v>
      </c>
      <c r="J2751" s="51"/>
      <c r="K2751" s="51"/>
      <c r="L2751" s="51"/>
      <c r="M2751" s="35"/>
      <c r="N2751" s="364"/>
      <c r="O2751" s="82"/>
      <c r="P2751" s="364"/>
      <c r="Q2751" s="338"/>
      <c r="R2751" s="364"/>
      <c r="S2751" s="51"/>
      <c r="T2751" s="338"/>
      <c r="U2751" s="51"/>
      <c r="V2751" s="35"/>
      <c r="W2751" s="364">
        <f>SUM(X2751:AJ2751)</f>
        <v>0</v>
      </c>
      <c r="X2751" s="9"/>
      <c r="Y2751" s="9"/>
      <c r="Z2751" s="9"/>
      <c r="AA2751" s="9"/>
      <c r="AB2751" s="9"/>
      <c r="AC2751" s="9"/>
      <c r="AD2751" s="9"/>
      <c r="AE2751" s="9"/>
      <c r="AF2751" s="40"/>
      <c r="AG2751" s="56"/>
      <c r="AH2751" s="56"/>
      <c r="AI2751" s="56"/>
      <c r="AJ2751" s="56"/>
    </row>
    <row r="2752" spans="1:36" x14ac:dyDescent="0.3">
      <c r="A2752" s="47">
        <f t="shared" si="613"/>
        <v>2487</v>
      </c>
      <c r="B2752" s="414" t="s">
        <v>3448</v>
      </c>
      <c r="C2752" s="51">
        <f>D2752+K2752+L2752+N2752+P2752+R2752+S2752+U2752+V2752+W2752</f>
        <v>41522</v>
      </c>
      <c r="D2752" s="51">
        <f t="shared" si="612"/>
        <v>41522</v>
      </c>
      <c r="E2752" s="51"/>
      <c r="F2752" s="364"/>
      <c r="G2752" s="364"/>
      <c r="H2752" s="364"/>
      <c r="I2752" s="51">
        <f>13*3194</f>
        <v>41522</v>
      </c>
      <c r="J2752" s="51"/>
      <c r="K2752" s="51"/>
      <c r="L2752" s="51"/>
      <c r="M2752" s="35"/>
      <c r="N2752" s="51"/>
      <c r="O2752" s="82"/>
      <c r="P2752" s="364"/>
      <c r="Q2752" s="338"/>
      <c r="R2752" s="364"/>
      <c r="S2752" s="51"/>
      <c r="T2752" s="338"/>
      <c r="U2752" s="51"/>
      <c r="V2752" s="35"/>
      <c r="W2752" s="364">
        <f>SUM(X2752:AJ2752)</f>
        <v>0</v>
      </c>
      <c r="X2752" s="9"/>
      <c r="Y2752" s="9"/>
      <c r="Z2752" s="9"/>
      <c r="AA2752" s="9"/>
      <c r="AB2752" s="9"/>
      <c r="AC2752" s="9"/>
      <c r="AD2752" s="9"/>
      <c r="AE2752" s="9"/>
      <c r="AF2752" s="40"/>
      <c r="AG2752" s="56"/>
      <c r="AH2752" s="56"/>
      <c r="AI2752" s="56"/>
      <c r="AJ2752" s="56"/>
    </row>
    <row r="2753" spans="1:36" x14ac:dyDescent="0.3">
      <c r="A2753" s="47">
        <f t="shared" si="613"/>
        <v>2488</v>
      </c>
      <c r="B2753" s="414" t="s">
        <v>3451</v>
      </c>
      <c r="C2753" s="51">
        <f>D2753+K2753+L2753+N2753+P2753+R2753+S2753+U2753+V2753+W2753</f>
        <v>41522</v>
      </c>
      <c r="D2753" s="51">
        <f>E2753+F2753+G2753+H2753+I2753</f>
        <v>41522</v>
      </c>
      <c r="E2753" s="51"/>
      <c r="F2753" s="364"/>
      <c r="G2753" s="364"/>
      <c r="H2753" s="364"/>
      <c r="I2753" s="51">
        <f>13*3194</f>
        <v>41522</v>
      </c>
      <c r="J2753" s="51"/>
      <c r="K2753" s="51"/>
      <c r="L2753" s="51"/>
      <c r="M2753" s="35"/>
      <c r="N2753" s="51"/>
      <c r="O2753" s="82"/>
      <c r="P2753" s="364"/>
      <c r="Q2753" s="338"/>
      <c r="R2753" s="364"/>
      <c r="S2753" s="51"/>
      <c r="T2753" s="338"/>
      <c r="U2753" s="364"/>
      <c r="V2753" s="35"/>
      <c r="W2753" s="364">
        <f>SUM(Y2753:AK2753)</f>
        <v>0</v>
      </c>
      <c r="X2753" s="285"/>
      <c r="Y2753" s="9"/>
      <c r="Z2753" s="9"/>
      <c r="AA2753" s="9"/>
      <c r="AB2753" s="9"/>
      <c r="AC2753" s="9"/>
      <c r="AD2753" s="9"/>
      <c r="AE2753" s="9"/>
      <c r="AF2753" s="9"/>
      <c r="AG2753" s="40"/>
      <c r="AH2753" s="56"/>
      <c r="AI2753" s="56"/>
      <c r="AJ2753" s="56"/>
    </row>
    <row r="2754" spans="1:36" x14ac:dyDescent="0.3">
      <c r="A2754" s="47">
        <f t="shared" si="613"/>
        <v>2489</v>
      </c>
      <c r="B2754" s="414" t="s">
        <v>3454</v>
      </c>
      <c r="C2754" s="51">
        <f>D2754+K2754+L2754+N2754+P2754+R2754+S2754+U2754+V2754+W2754</f>
        <v>41522</v>
      </c>
      <c r="D2754" s="51">
        <f t="shared" si="612"/>
        <v>41522</v>
      </c>
      <c r="E2754" s="51"/>
      <c r="F2754" s="364"/>
      <c r="G2754" s="364"/>
      <c r="H2754" s="364"/>
      <c r="I2754" s="51">
        <f>13*3194</f>
        <v>41522</v>
      </c>
      <c r="J2754" s="51"/>
      <c r="K2754" s="51"/>
      <c r="L2754" s="51"/>
      <c r="M2754" s="35"/>
      <c r="N2754" s="364"/>
      <c r="O2754" s="82"/>
      <c r="P2754" s="364"/>
      <c r="Q2754" s="338"/>
      <c r="R2754" s="51"/>
      <c r="S2754" s="51"/>
      <c r="T2754" s="338"/>
      <c r="U2754" s="51"/>
      <c r="V2754" s="35"/>
      <c r="W2754" s="364">
        <f>SUM(X2754:AJ2754)</f>
        <v>0</v>
      </c>
      <c r="X2754" s="9"/>
      <c r="Y2754" s="9"/>
      <c r="Z2754" s="9"/>
      <c r="AA2754" s="9"/>
      <c r="AB2754" s="9"/>
      <c r="AC2754" s="9"/>
      <c r="AD2754" s="9"/>
      <c r="AE2754" s="9"/>
      <c r="AF2754" s="40"/>
      <c r="AG2754" s="56"/>
      <c r="AH2754" s="56"/>
      <c r="AI2754" s="56"/>
      <c r="AJ2754" s="56"/>
    </row>
    <row r="2755" spans="1:36" x14ac:dyDescent="0.3">
      <c r="A2755" s="439" t="s">
        <v>211</v>
      </c>
      <c r="B2755" s="399"/>
      <c r="C2755" s="51">
        <f t="shared" ref="C2755:W2755" si="614">SUBTOTAL(9,C2750:C2754)</f>
        <v>886497</v>
      </c>
      <c r="D2755" s="51">
        <f t="shared" si="614"/>
        <v>886497</v>
      </c>
      <c r="E2755" s="51">
        <f t="shared" si="614"/>
        <v>0</v>
      </c>
      <c r="F2755" s="51">
        <f t="shared" si="614"/>
        <v>678887</v>
      </c>
      <c r="G2755" s="51">
        <f t="shared" si="614"/>
        <v>0</v>
      </c>
      <c r="H2755" s="51">
        <f t="shared" si="614"/>
        <v>0</v>
      </c>
      <c r="I2755" s="51">
        <f t="shared" si="614"/>
        <v>207610</v>
      </c>
      <c r="J2755" s="51">
        <f t="shared" si="614"/>
        <v>0</v>
      </c>
      <c r="K2755" s="51">
        <f t="shared" si="614"/>
        <v>0</v>
      </c>
      <c r="L2755" s="51">
        <f t="shared" si="614"/>
        <v>0</v>
      </c>
      <c r="M2755" s="35">
        <f t="shared" si="614"/>
        <v>0</v>
      </c>
      <c r="N2755" s="51">
        <f t="shared" si="614"/>
        <v>0</v>
      </c>
      <c r="O2755" s="82">
        <f t="shared" si="614"/>
        <v>0</v>
      </c>
      <c r="P2755" s="51">
        <f t="shared" si="614"/>
        <v>0</v>
      </c>
      <c r="Q2755" s="338">
        <f t="shared" si="614"/>
        <v>0</v>
      </c>
      <c r="R2755" s="51">
        <f t="shared" si="614"/>
        <v>0</v>
      </c>
      <c r="S2755" s="51">
        <f t="shared" si="614"/>
        <v>0</v>
      </c>
      <c r="T2755" s="338">
        <f t="shared" si="614"/>
        <v>0</v>
      </c>
      <c r="U2755" s="51">
        <f t="shared" si="614"/>
        <v>0</v>
      </c>
      <c r="V2755" s="35">
        <f t="shared" si="614"/>
        <v>0</v>
      </c>
      <c r="W2755" s="51">
        <f t="shared" si="614"/>
        <v>0</v>
      </c>
      <c r="X2755" s="9"/>
      <c r="Y2755" s="9"/>
      <c r="Z2755" s="9"/>
      <c r="AA2755" s="9"/>
      <c r="AB2755" s="9"/>
      <c r="AC2755" s="9"/>
      <c r="AD2755" s="9"/>
      <c r="AE2755" s="9"/>
      <c r="AF2755" s="40"/>
      <c r="AG2755" s="56"/>
      <c r="AH2755" s="56"/>
      <c r="AI2755" s="56"/>
      <c r="AJ2755" s="56"/>
    </row>
    <row r="2756" spans="1:36" x14ac:dyDescent="0.3">
      <c r="A2756" s="435" t="s">
        <v>3459</v>
      </c>
      <c r="B2756" s="363"/>
      <c r="C2756" s="51">
        <f t="shared" ref="C2756:R2756" si="615">C2515+C2525+C2748+C2755</f>
        <v>154214210.44999999</v>
      </c>
      <c r="D2756" s="51">
        <f t="shared" si="615"/>
        <v>28315780.98</v>
      </c>
      <c r="E2756" s="51">
        <f t="shared" si="615"/>
        <v>19991853</v>
      </c>
      <c r="F2756" s="51">
        <f t="shared" si="615"/>
        <v>7939203.9799999995</v>
      </c>
      <c r="G2756" s="51">
        <f t="shared" si="615"/>
        <v>177114</v>
      </c>
      <c r="H2756" s="51">
        <f t="shared" si="615"/>
        <v>0</v>
      </c>
      <c r="I2756" s="51">
        <f t="shared" si="615"/>
        <v>207610</v>
      </c>
      <c r="J2756" s="51">
        <f t="shared" si="615"/>
        <v>0</v>
      </c>
      <c r="K2756" s="51">
        <f t="shared" si="615"/>
        <v>0</v>
      </c>
      <c r="L2756" s="51">
        <f t="shared" si="615"/>
        <v>0</v>
      </c>
      <c r="M2756" s="35">
        <f t="shared" si="615"/>
        <v>1746</v>
      </c>
      <c r="N2756" s="51">
        <f t="shared" si="615"/>
        <v>58289624.950000003</v>
      </c>
      <c r="O2756" s="82">
        <f t="shared" si="615"/>
        <v>0</v>
      </c>
      <c r="P2756" s="51">
        <f t="shared" si="615"/>
        <v>0</v>
      </c>
      <c r="Q2756" s="338">
        <f t="shared" si="615"/>
        <v>0</v>
      </c>
      <c r="R2756" s="51">
        <f t="shared" si="615"/>
        <v>0</v>
      </c>
      <c r="S2756" s="51">
        <f>S2515+S2525+S2748+S2755</f>
        <v>0</v>
      </c>
      <c r="T2756" s="338">
        <f>T2515+T2525+T2748+T2755</f>
        <v>0</v>
      </c>
      <c r="U2756" s="51">
        <f>U2515+U2525+U2748+U2755</f>
        <v>0</v>
      </c>
      <c r="V2756" s="35">
        <f>V2515+V2525+V2748+V2755</f>
        <v>0</v>
      </c>
      <c r="W2756" s="51">
        <f>W2515+W2525+W2748+W2755</f>
        <v>67608804.520000026</v>
      </c>
      <c r="X2756" s="9"/>
      <c r="Y2756" s="9"/>
      <c r="Z2756" s="9"/>
      <c r="AA2756" s="9"/>
      <c r="AB2756" s="9"/>
      <c r="AC2756" s="9"/>
      <c r="AD2756" s="9"/>
      <c r="AE2756" s="9"/>
      <c r="AF2756" s="40"/>
      <c r="AG2756" s="56"/>
      <c r="AH2756" s="56"/>
      <c r="AI2756" s="56"/>
      <c r="AJ2756" s="56"/>
    </row>
    <row r="2757" spans="1:36" ht="15" customHeight="1" x14ac:dyDescent="0.3">
      <c r="A2757" s="438" t="s">
        <v>3460</v>
      </c>
      <c r="B2757" s="420"/>
      <c r="C2757" s="387"/>
      <c r="D2757" s="49"/>
      <c r="E2757" s="49"/>
      <c r="F2757" s="49"/>
      <c r="G2757" s="49"/>
      <c r="H2757" s="49"/>
      <c r="I2757" s="49"/>
      <c r="J2757" s="49"/>
      <c r="K2757" s="49"/>
      <c r="L2757" s="49"/>
      <c r="M2757" s="33"/>
      <c r="N2757" s="49"/>
      <c r="O2757" s="343"/>
      <c r="P2757" s="49"/>
      <c r="Q2757" s="337"/>
      <c r="R2757" s="49"/>
      <c r="S2757" s="49"/>
      <c r="T2757" s="337"/>
      <c r="U2757" s="49"/>
      <c r="V2757" s="33"/>
      <c r="W2757" s="49"/>
      <c r="X2757" s="330"/>
      <c r="Y2757" s="179"/>
      <c r="Z2757" s="179"/>
      <c r="AA2757" s="179"/>
      <c r="AB2757" s="179"/>
      <c r="AC2757" s="179"/>
      <c r="AD2757" s="179"/>
      <c r="AE2757" s="179"/>
      <c r="AF2757" s="179"/>
      <c r="AG2757" s="61"/>
      <c r="AH2757" s="62"/>
      <c r="AI2757" s="62"/>
      <c r="AJ2757" s="56"/>
    </row>
    <row r="2758" spans="1:36" ht="15" customHeight="1" x14ac:dyDescent="0.3">
      <c r="A2758" s="434" t="s">
        <v>3461</v>
      </c>
      <c r="B2758" s="414"/>
      <c r="C2758" s="51"/>
      <c r="D2758" s="51"/>
      <c r="E2758" s="51"/>
      <c r="F2758" s="51"/>
      <c r="G2758" s="51"/>
      <c r="H2758" s="51"/>
      <c r="I2758" s="51"/>
      <c r="J2758" s="51"/>
      <c r="K2758" s="51"/>
      <c r="L2758" s="51"/>
      <c r="M2758" s="35"/>
      <c r="N2758" s="51"/>
      <c r="O2758" s="82"/>
      <c r="P2758" s="51"/>
      <c r="Q2758" s="338"/>
      <c r="R2758" s="51"/>
      <c r="S2758" s="51"/>
      <c r="T2758" s="338"/>
      <c r="U2758" s="51"/>
      <c r="V2758" s="35"/>
      <c r="W2758" s="51"/>
      <c r="X2758" s="331"/>
      <c r="Y2758" s="48"/>
      <c r="Z2758" s="48"/>
      <c r="AA2758" s="48"/>
      <c r="AB2758" s="48"/>
      <c r="AC2758" s="48"/>
      <c r="AD2758" s="48"/>
      <c r="AE2758" s="48"/>
      <c r="AF2758" s="48"/>
      <c r="AG2758" s="61"/>
      <c r="AH2758" s="62"/>
      <c r="AI2758" s="58"/>
      <c r="AJ2758" s="56"/>
    </row>
    <row r="2759" spans="1:36" x14ac:dyDescent="0.3">
      <c r="A2759" s="47">
        <f>A2754+1</f>
        <v>2490</v>
      </c>
      <c r="B2759" s="414" t="s">
        <v>3462</v>
      </c>
      <c r="C2759" s="51">
        <f t="shared" ref="C2759:C2806" si="616">D2759+K2759+L2759+N2759+P2759+R2759+S2759+U2759+V2759+W2759</f>
        <v>423890.66000000003</v>
      </c>
      <c r="D2759" s="51">
        <f t="shared" ref="D2759:D2806" si="617">E2759+F2759+G2759+H2759+I2759</f>
        <v>0</v>
      </c>
      <c r="E2759" s="51"/>
      <c r="F2759" s="51"/>
      <c r="G2759" s="399"/>
      <c r="H2759" s="399"/>
      <c r="I2759" s="51"/>
      <c r="J2759" s="51"/>
      <c r="K2759" s="51"/>
      <c r="L2759" s="51"/>
      <c r="M2759" s="35"/>
      <c r="N2759" s="51"/>
      <c r="O2759" s="82"/>
      <c r="P2759" s="51"/>
      <c r="Q2759" s="338"/>
      <c r="R2759" s="51"/>
      <c r="S2759" s="51"/>
      <c r="T2759" s="338"/>
      <c r="U2759" s="51"/>
      <c r="V2759" s="35"/>
      <c r="W2759" s="51">
        <f t="shared" ref="W2759:W2806" si="618">SUM(Z2759:AI2759)</f>
        <v>423890.66000000003</v>
      </c>
      <c r="X2759" s="331"/>
      <c r="Y2759" s="48"/>
      <c r="Z2759" s="48">
        <v>113641.48</v>
      </c>
      <c r="AA2759" s="48">
        <v>131682.42000000001</v>
      </c>
      <c r="AB2759" s="48"/>
      <c r="AC2759" s="48"/>
      <c r="AD2759" s="48"/>
      <c r="AE2759" s="48"/>
      <c r="AF2759" s="48"/>
      <c r="AG2759" s="61">
        <v>178566.76</v>
      </c>
      <c r="AH2759" s="62"/>
      <c r="AI2759" s="58"/>
      <c r="AJ2759" s="56"/>
    </row>
    <row r="2760" spans="1:36" x14ac:dyDescent="0.3">
      <c r="A2760" s="47">
        <f t="shared" ref="A2760:A2763" si="619">A2759+1</f>
        <v>2491</v>
      </c>
      <c r="B2760" s="414" t="s">
        <v>3463</v>
      </c>
      <c r="C2760" s="51">
        <f t="shared" si="616"/>
        <v>365877.01</v>
      </c>
      <c r="D2760" s="51">
        <f t="shared" si="617"/>
        <v>0</v>
      </c>
      <c r="E2760" s="51"/>
      <c r="F2760" s="51"/>
      <c r="G2760" s="399"/>
      <c r="H2760" s="399"/>
      <c r="I2760" s="51"/>
      <c r="J2760" s="51"/>
      <c r="K2760" s="51"/>
      <c r="L2760" s="51"/>
      <c r="M2760" s="35"/>
      <c r="N2760" s="51"/>
      <c r="O2760" s="82"/>
      <c r="P2760" s="399"/>
      <c r="Q2760" s="338"/>
      <c r="R2760" s="51"/>
      <c r="S2760" s="51"/>
      <c r="T2760" s="338"/>
      <c r="U2760" s="51"/>
      <c r="V2760" s="35"/>
      <c r="W2760" s="51">
        <f t="shared" si="618"/>
        <v>365877.01</v>
      </c>
      <c r="X2760" s="331"/>
      <c r="Y2760" s="48"/>
      <c r="Z2760" s="48">
        <v>114256.81</v>
      </c>
      <c r="AA2760" s="48">
        <v>136220.74</v>
      </c>
      <c r="AB2760" s="48"/>
      <c r="AC2760" s="48"/>
      <c r="AD2760" s="48"/>
      <c r="AE2760" s="48">
        <v>115399.46</v>
      </c>
      <c r="AF2760" s="48"/>
      <c r="AG2760" s="61"/>
      <c r="AH2760" s="62"/>
      <c r="AI2760" s="58"/>
      <c r="AJ2760" s="56"/>
    </row>
    <row r="2761" spans="1:36" x14ac:dyDescent="0.3">
      <c r="A2761" s="47">
        <f t="shared" si="619"/>
        <v>2492</v>
      </c>
      <c r="B2761" s="414" t="s">
        <v>3464</v>
      </c>
      <c r="C2761" s="51">
        <f t="shared" si="616"/>
        <v>252954.28999999998</v>
      </c>
      <c r="D2761" s="51">
        <f t="shared" si="617"/>
        <v>0</v>
      </c>
      <c r="E2761" s="51"/>
      <c r="F2761" s="51"/>
      <c r="G2761" s="399"/>
      <c r="H2761" s="399"/>
      <c r="I2761" s="51"/>
      <c r="J2761" s="51"/>
      <c r="K2761" s="51"/>
      <c r="L2761" s="51"/>
      <c r="M2761" s="35"/>
      <c r="N2761" s="51"/>
      <c r="O2761" s="82"/>
      <c r="P2761" s="399"/>
      <c r="Q2761" s="338"/>
      <c r="R2761" s="51"/>
      <c r="S2761" s="51"/>
      <c r="T2761" s="338"/>
      <c r="U2761" s="51"/>
      <c r="V2761" s="35"/>
      <c r="W2761" s="51">
        <f t="shared" si="618"/>
        <v>252954.28999999998</v>
      </c>
      <c r="X2761" s="331"/>
      <c r="Y2761" s="48"/>
      <c r="Z2761" s="48">
        <v>115466.98</v>
      </c>
      <c r="AA2761" s="48">
        <v>137487.31</v>
      </c>
      <c r="AB2761" s="48"/>
      <c r="AC2761" s="48"/>
      <c r="AD2761" s="48"/>
      <c r="AE2761" s="48"/>
      <c r="AF2761" s="48"/>
      <c r="AG2761" s="61"/>
      <c r="AH2761" s="62"/>
      <c r="AI2761" s="58"/>
      <c r="AJ2761" s="56"/>
    </row>
    <row r="2762" spans="1:36" x14ac:dyDescent="0.3">
      <c r="A2762" s="47">
        <f t="shared" si="619"/>
        <v>2493</v>
      </c>
      <c r="B2762" s="414" t="s">
        <v>3465</v>
      </c>
      <c r="C2762" s="51">
        <f t="shared" si="616"/>
        <v>330129.74</v>
      </c>
      <c r="D2762" s="51">
        <f t="shared" si="617"/>
        <v>0</v>
      </c>
      <c r="E2762" s="51"/>
      <c r="F2762" s="399"/>
      <c r="G2762" s="399"/>
      <c r="H2762" s="399"/>
      <c r="I2762" s="51"/>
      <c r="J2762" s="51"/>
      <c r="K2762" s="51"/>
      <c r="L2762" s="51"/>
      <c r="M2762" s="35"/>
      <c r="N2762" s="51"/>
      <c r="O2762" s="82"/>
      <c r="P2762" s="399"/>
      <c r="Q2762" s="338"/>
      <c r="R2762" s="51"/>
      <c r="S2762" s="51"/>
      <c r="T2762" s="338"/>
      <c r="U2762" s="51"/>
      <c r="V2762" s="35"/>
      <c r="W2762" s="51">
        <f t="shared" si="618"/>
        <v>330129.74</v>
      </c>
      <c r="X2762" s="331"/>
      <c r="Y2762" s="48"/>
      <c r="Z2762" s="48">
        <v>88745.5</v>
      </c>
      <c r="AA2762" s="48"/>
      <c r="AB2762" s="48"/>
      <c r="AC2762" s="48"/>
      <c r="AD2762" s="48"/>
      <c r="AE2762" s="48">
        <v>88460.4</v>
      </c>
      <c r="AF2762" s="48">
        <v>152923.84</v>
      </c>
      <c r="AG2762" s="61"/>
      <c r="AH2762" s="62"/>
      <c r="AI2762" s="58"/>
      <c r="AJ2762" s="56"/>
    </row>
    <row r="2763" spans="1:36" x14ac:dyDescent="0.3">
      <c r="A2763" s="47">
        <f t="shared" si="619"/>
        <v>2494</v>
      </c>
      <c r="B2763" s="414" t="s">
        <v>3466</v>
      </c>
      <c r="C2763" s="51">
        <f t="shared" si="616"/>
        <v>459468.6</v>
      </c>
      <c r="D2763" s="51">
        <f t="shared" si="617"/>
        <v>0</v>
      </c>
      <c r="E2763" s="51"/>
      <c r="F2763" s="51"/>
      <c r="G2763" s="399"/>
      <c r="H2763" s="399"/>
      <c r="I2763" s="51"/>
      <c r="J2763" s="51"/>
      <c r="K2763" s="51"/>
      <c r="L2763" s="51"/>
      <c r="M2763" s="35"/>
      <c r="N2763" s="51"/>
      <c r="O2763" s="82"/>
      <c r="P2763" s="399"/>
      <c r="Q2763" s="338"/>
      <c r="R2763" s="51"/>
      <c r="S2763" s="51"/>
      <c r="T2763" s="338"/>
      <c r="U2763" s="51"/>
      <c r="V2763" s="35"/>
      <c r="W2763" s="51">
        <f t="shared" si="618"/>
        <v>459468.6</v>
      </c>
      <c r="X2763" s="331"/>
      <c r="Y2763" s="48"/>
      <c r="Z2763" s="48">
        <v>88969.79</v>
      </c>
      <c r="AA2763" s="48">
        <v>109893.98</v>
      </c>
      <c r="AB2763" s="48"/>
      <c r="AC2763" s="48"/>
      <c r="AD2763" s="48"/>
      <c r="AE2763" s="48">
        <v>88689.600000000006</v>
      </c>
      <c r="AF2763" s="48">
        <v>171915.23</v>
      </c>
      <c r="AG2763" s="61"/>
      <c r="AH2763" s="62"/>
      <c r="AI2763" s="58"/>
      <c r="AJ2763" s="56"/>
    </row>
    <row r="2764" spans="1:36" x14ac:dyDescent="0.3">
      <c r="A2764" s="47">
        <f t="shared" ref="A2764:A2806" si="620">A2763+1</f>
        <v>2495</v>
      </c>
      <c r="B2764" s="414" t="s">
        <v>3467</v>
      </c>
      <c r="C2764" s="51">
        <f t="shared" si="616"/>
        <v>265724.58</v>
      </c>
      <c r="D2764" s="51">
        <f t="shared" si="617"/>
        <v>0</v>
      </c>
      <c r="E2764" s="51"/>
      <c r="F2764" s="51"/>
      <c r="G2764" s="399"/>
      <c r="H2764" s="399"/>
      <c r="I2764" s="51"/>
      <c r="J2764" s="51"/>
      <c r="K2764" s="51"/>
      <c r="L2764" s="51"/>
      <c r="M2764" s="35"/>
      <c r="N2764" s="51"/>
      <c r="O2764" s="82"/>
      <c r="P2764" s="399"/>
      <c r="Q2764" s="338"/>
      <c r="R2764" s="51"/>
      <c r="S2764" s="51"/>
      <c r="T2764" s="338"/>
      <c r="U2764" s="51"/>
      <c r="V2764" s="35"/>
      <c r="W2764" s="51">
        <f t="shared" si="618"/>
        <v>265724.58</v>
      </c>
      <c r="X2764" s="331"/>
      <c r="Y2764" s="48"/>
      <c r="Z2764" s="48"/>
      <c r="AA2764" s="48"/>
      <c r="AB2764" s="48"/>
      <c r="AC2764" s="48"/>
      <c r="AD2764" s="48"/>
      <c r="AE2764" s="48">
        <v>90654.02</v>
      </c>
      <c r="AF2764" s="48">
        <v>175070.56</v>
      </c>
      <c r="AG2764" s="61"/>
      <c r="AH2764" s="62"/>
      <c r="AI2764" s="58"/>
      <c r="AJ2764" s="56"/>
    </row>
    <row r="2765" spans="1:36" x14ac:dyDescent="0.3">
      <c r="A2765" s="47">
        <f t="shared" si="620"/>
        <v>2496</v>
      </c>
      <c r="B2765" s="414" t="s">
        <v>3468</v>
      </c>
      <c r="C2765" s="51">
        <f t="shared" si="616"/>
        <v>457179.39</v>
      </c>
      <c r="D2765" s="51">
        <f t="shared" si="617"/>
        <v>0</v>
      </c>
      <c r="E2765" s="51"/>
      <c r="F2765" s="51"/>
      <c r="G2765" s="399"/>
      <c r="H2765" s="399"/>
      <c r="I2765" s="51"/>
      <c r="J2765" s="51"/>
      <c r="K2765" s="51"/>
      <c r="L2765" s="51"/>
      <c r="M2765" s="35"/>
      <c r="N2765" s="51"/>
      <c r="O2765" s="82"/>
      <c r="P2765" s="399"/>
      <c r="Q2765" s="338"/>
      <c r="R2765" s="51"/>
      <c r="S2765" s="51"/>
      <c r="T2765" s="338"/>
      <c r="U2765" s="51"/>
      <c r="V2765" s="35"/>
      <c r="W2765" s="51">
        <f t="shared" si="618"/>
        <v>457179.39</v>
      </c>
      <c r="X2765" s="331"/>
      <c r="Y2765" s="48"/>
      <c r="Z2765" s="48">
        <v>88476.84</v>
      </c>
      <c r="AA2765" s="48">
        <v>109377.66</v>
      </c>
      <c r="AB2765" s="48"/>
      <c r="AC2765" s="48"/>
      <c r="AD2765" s="48"/>
      <c r="AE2765" s="48">
        <v>88198.49</v>
      </c>
      <c r="AF2765" s="48">
        <v>171126.39999999999</v>
      </c>
      <c r="AG2765" s="61"/>
      <c r="AH2765" s="62"/>
      <c r="AI2765" s="58"/>
      <c r="AJ2765" s="56"/>
    </row>
    <row r="2766" spans="1:36" x14ac:dyDescent="0.3">
      <c r="A2766" s="47">
        <f t="shared" si="620"/>
        <v>2497</v>
      </c>
      <c r="B2766" s="414" t="s">
        <v>3469</v>
      </c>
      <c r="C2766" s="51">
        <f t="shared" si="616"/>
        <v>456724.02</v>
      </c>
      <c r="D2766" s="51">
        <f t="shared" si="617"/>
        <v>0</v>
      </c>
      <c r="E2766" s="51"/>
      <c r="F2766" s="51"/>
      <c r="G2766" s="399"/>
      <c r="H2766" s="399"/>
      <c r="I2766" s="51"/>
      <c r="J2766" s="51"/>
      <c r="K2766" s="51"/>
      <c r="L2766" s="51"/>
      <c r="M2766" s="35"/>
      <c r="N2766" s="51"/>
      <c r="O2766" s="82"/>
      <c r="P2766" s="399"/>
      <c r="Q2766" s="338"/>
      <c r="R2766" s="51"/>
      <c r="S2766" s="51"/>
      <c r="T2766" s="338"/>
      <c r="U2766" s="51"/>
      <c r="V2766" s="35"/>
      <c r="W2766" s="51">
        <f t="shared" si="618"/>
        <v>456724.02</v>
      </c>
      <c r="X2766" s="331"/>
      <c r="Y2766" s="48"/>
      <c r="Z2766" s="48">
        <v>88380.71</v>
      </c>
      <c r="AA2766" s="48">
        <v>109274.41</v>
      </c>
      <c r="AB2766" s="48"/>
      <c r="AC2766" s="48"/>
      <c r="AD2766" s="48"/>
      <c r="AE2766" s="48">
        <v>88100.27</v>
      </c>
      <c r="AF2766" s="48">
        <v>170968.63</v>
      </c>
      <c r="AG2766" s="61"/>
      <c r="AH2766" s="62"/>
      <c r="AI2766" s="58"/>
      <c r="AJ2766" s="56"/>
    </row>
    <row r="2767" spans="1:36" x14ac:dyDescent="0.3">
      <c r="A2767" s="47">
        <f t="shared" si="620"/>
        <v>2498</v>
      </c>
      <c r="B2767" s="414" t="s">
        <v>3470</v>
      </c>
      <c r="C2767" s="51">
        <f t="shared" si="616"/>
        <v>87707.38</v>
      </c>
      <c r="D2767" s="51">
        <f t="shared" si="617"/>
        <v>0</v>
      </c>
      <c r="E2767" s="51"/>
      <c r="F2767" s="51"/>
      <c r="G2767" s="399"/>
      <c r="H2767" s="399"/>
      <c r="I2767" s="51"/>
      <c r="J2767" s="51"/>
      <c r="K2767" s="51"/>
      <c r="L2767" s="51"/>
      <c r="M2767" s="35"/>
      <c r="N2767" s="51"/>
      <c r="O2767" s="82"/>
      <c r="P2767" s="399"/>
      <c r="Q2767" s="338"/>
      <c r="R2767" s="51"/>
      <c r="S2767" s="51"/>
      <c r="T2767" s="338"/>
      <c r="U2767" s="51"/>
      <c r="V2767" s="35"/>
      <c r="W2767" s="51">
        <f t="shared" si="618"/>
        <v>87707.38</v>
      </c>
      <c r="X2767" s="331"/>
      <c r="Y2767" s="48"/>
      <c r="Z2767" s="48"/>
      <c r="AA2767" s="48"/>
      <c r="AB2767" s="48"/>
      <c r="AC2767" s="48"/>
      <c r="AD2767" s="48"/>
      <c r="AE2767" s="48">
        <v>87707.38</v>
      </c>
      <c r="AF2767" s="48"/>
      <c r="AG2767" s="61"/>
      <c r="AH2767" s="62"/>
      <c r="AI2767" s="58"/>
      <c r="AJ2767" s="56"/>
    </row>
    <row r="2768" spans="1:36" x14ac:dyDescent="0.3">
      <c r="A2768" s="47">
        <f t="shared" si="620"/>
        <v>2499</v>
      </c>
      <c r="B2768" s="414" t="s">
        <v>3471</v>
      </c>
      <c r="C2768" s="51">
        <f t="shared" si="616"/>
        <v>644089.44999999995</v>
      </c>
      <c r="D2768" s="51">
        <f t="shared" si="617"/>
        <v>0</v>
      </c>
      <c r="E2768" s="51"/>
      <c r="F2768" s="51"/>
      <c r="G2768" s="399"/>
      <c r="H2768" s="399"/>
      <c r="I2768" s="51"/>
      <c r="J2768" s="51"/>
      <c r="K2768" s="51"/>
      <c r="L2768" s="51"/>
      <c r="M2768" s="35"/>
      <c r="N2768" s="51"/>
      <c r="O2768" s="82"/>
      <c r="P2768" s="399"/>
      <c r="Q2768" s="338"/>
      <c r="R2768" s="51"/>
      <c r="S2768" s="51"/>
      <c r="T2768" s="338"/>
      <c r="U2768" s="51"/>
      <c r="V2768" s="35"/>
      <c r="W2768" s="51">
        <f t="shared" si="618"/>
        <v>644089.44999999995</v>
      </c>
      <c r="X2768" s="331"/>
      <c r="Y2768" s="48"/>
      <c r="Z2768" s="48"/>
      <c r="AA2768" s="48"/>
      <c r="AB2768" s="48"/>
      <c r="AC2768" s="48"/>
      <c r="AD2768" s="48"/>
      <c r="AE2768" s="48"/>
      <c r="AF2768" s="48"/>
      <c r="AG2768" s="61"/>
      <c r="AH2768" s="62">
        <v>470674.67</v>
      </c>
      <c r="AI2768" s="58">
        <v>173414.78</v>
      </c>
      <c r="AJ2768" s="56"/>
    </row>
    <row r="2769" spans="1:36" x14ac:dyDescent="0.3">
      <c r="A2769" s="47">
        <f t="shared" si="620"/>
        <v>2500</v>
      </c>
      <c r="B2769" s="414" t="s">
        <v>3472</v>
      </c>
      <c r="C2769" s="51">
        <f t="shared" si="616"/>
        <v>319122.94</v>
      </c>
      <c r="D2769" s="51">
        <f t="shared" si="617"/>
        <v>0</v>
      </c>
      <c r="E2769" s="51"/>
      <c r="F2769" s="51"/>
      <c r="G2769" s="51"/>
      <c r="H2769" s="51"/>
      <c r="I2769" s="51"/>
      <c r="J2769" s="51"/>
      <c r="K2769" s="51"/>
      <c r="L2769" s="51"/>
      <c r="M2769" s="35"/>
      <c r="N2769" s="51"/>
      <c r="O2769" s="82"/>
      <c r="P2769" s="399"/>
      <c r="Q2769" s="338"/>
      <c r="R2769" s="51"/>
      <c r="S2769" s="51"/>
      <c r="T2769" s="338"/>
      <c r="U2769" s="51"/>
      <c r="V2769" s="35"/>
      <c r="W2769" s="51">
        <f t="shared" si="618"/>
        <v>319122.94</v>
      </c>
      <c r="X2769" s="331"/>
      <c r="Y2769" s="48"/>
      <c r="Z2769" s="48">
        <v>111394.8</v>
      </c>
      <c r="AA2769" s="48"/>
      <c r="AB2769" s="48"/>
      <c r="AC2769" s="48"/>
      <c r="AD2769" s="48"/>
      <c r="AE2769" s="48"/>
      <c r="AF2769" s="48">
        <v>207728.14</v>
      </c>
      <c r="AG2769" s="61"/>
      <c r="AH2769" s="62"/>
      <c r="AI2769" s="58"/>
      <c r="AJ2769" s="56"/>
    </row>
    <row r="2770" spans="1:36" x14ac:dyDescent="0.3">
      <c r="A2770" s="47">
        <f t="shared" si="620"/>
        <v>2501</v>
      </c>
      <c r="B2770" s="414" t="s">
        <v>3473</v>
      </c>
      <c r="C2770" s="51">
        <f t="shared" si="616"/>
        <v>952260.14999999991</v>
      </c>
      <c r="D2770" s="51">
        <f t="shared" si="617"/>
        <v>0</v>
      </c>
      <c r="E2770" s="51"/>
      <c r="F2770" s="51"/>
      <c r="G2770" s="51"/>
      <c r="H2770" s="51"/>
      <c r="I2770" s="51"/>
      <c r="J2770" s="51"/>
      <c r="K2770" s="51"/>
      <c r="L2770" s="51"/>
      <c r="M2770" s="35"/>
      <c r="N2770" s="51"/>
      <c r="O2770" s="82"/>
      <c r="P2770" s="51"/>
      <c r="Q2770" s="338"/>
      <c r="R2770" s="51"/>
      <c r="S2770" s="51"/>
      <c r="T2770" s="338"/>
      <c r="U2770" s="51"/>
      <c r="V2770" s="35"/>
      <c r="W2770" s="51">
        <f t="shared" si="618"/>
        <v>952260.14999999991</v>
      </c>
      <c r="X2770" s="331"/>
      <c r="Y2770" s="48"/>
      <c r="Z2770" s="48">
        <v>204613.01</v>
      </c>
      <c r="AA2770" s="48">
        <v>259457.47</v>
      </c>
      <c r="AB2770" s="48">
        <v>217265.87</v>
      </c>
      <c r="AC2770" s="48"/>
      <c r="AD2770" s="48"/>
      <c r="AE2770" s="48"/>
      <c r="AF2770" s="48"/>
      <c r="AG2770" s="61">
        <v>270923.8</v>
      </c>
      <c r="AH2770" s="62"/>
      <c r="AI2770" s="58"/>
      <c r="AJ2770" s="56"/>
    </row>
    <row r="2771" spans="1:36" x14ac:dyDescent="0.3">
      <c r="A2771" s="47">
        <f t="shared" si="620"/>
        <v>2502</v>
      </c>
      <c r="B2771" s="414" t="s">
        <v>3474</v>
      </c>
      <c r="C2771" s="51">
        <f t="shared" si="616"/>
        <v>607447.84</v>
      </c>
      <c r="D2771" s="51">
        <f t="shared" si="617"/>
        <v>0</v>
      </c>
      <c r="E2771" s="51"/>
      <c r="F2771" s="51"/>
      <c r="G2771" s="51"/>
      <c r="H2771" s="51"/>
      <c r="I2771" s="51"/>
      <c r="J2771" s="51"/>
      <c r="K2771" s="51"/>
      <c r="L2771" s="51"/>
      <c r="M2771" s="35"/>
      <c r="N2771" s="51"/>
      <c r="O2771" s="82"/>
      <c r="P2771" s="399"/>
      <c r="Q2771" s="338"/>
      <c r="R2771" s="51"/>
      <c r="S2771" s="51"/>
      <c r="T2771" s="338"/>
      <c r="U2771" s="51"/>
      <c r="V2771" s="35"/>
      <c r="W2771" s="51">
        <f t="shared" si="618"/>
        <v>607447.84</v>
      </c>
      <c r="X2771" s="331"/>
      <c r="Y2771" s="48"/>
      <c r="Z2771" s="48">
        <v>98543.679999999993</v>
      </c>
      <c r="AA2771" s="48">
        <v>119807.81</v>
      </c>
      <c r="AB2771" s="48">
        <v>104133.92</v>
      </c>
      <c r="AC2771" s="48"/>
      <c r="AD2771" s="48"/>
      <c r="AE2771" s="48">
        <v>99509.11</v>
      </c>
      <c r="AF2771" s="48">
        <v>185453.32</v>
      </c>
      <c r="AG2771" s="61"/>
      <c r="AH2771" s="62"/>
      <c r="AI2771" s="58"/>
      <c r="AJ2771" s="56"/>
    </row>
    <row r="2772" spans="1:36" x14ac:dyDescent="0.3">
      <c r="A2772" s="47">
        <f t="shared" si="620"/>
        <v>2503</v>
      </c>
      <c r="B2772" s="414" t="s">
        <v>3475</v>
      </c>
      <c r="C2772" s="51">
        <f t="shared" si="616"/>
        <v>452862.1</v>
      </c>
      <c r="D2772" s="51">
        <f t="shared" si="617"/>
        <v>0</v>
      </c>
      <c r="E2772" s="51"/>
      <c r="F2772" s="51"/>
      <c r="G2772" s="51"/>
      <c r="H2772" s="51"/>
      <c r="I2772" s="51"/>
      <c r="J2772" s="51"/>
      <c r="K2772" s="51"/>
      <c r="L2772" s="51"/>
      <c r="M2772" s="35"/>
      <c r="N2772" s="51"/>
      <c r="O2772" s="82"/>
      <c r="P2772" s="51"/>
      <c r="Q2772" s="338"/>
      <c r="R2772" s="51"/>
      <c r="S2772" s="51"/>
      <c r="T2772" s="338"/>
      <c r="U2772" s="51"/>
      <c r="V2772" s="35"/>
      <c r="W2772" s="51">
        <f t="shared" si="618"/>
        <v>452862.1</v>
      </c>
      <c r="X2772" s="331"/>
      <c r="Y2772" s="48"/>
      <c r="Z2772" s="48">
        <v>200819.39</v>
      </c>
      <c r="AA2772" s="48"/>
      <c r="AB2772" s="48"/>
      <c r="AC2772" s="48"/>
      <c r="AD2772" s="48"/>
      <c r="AE2772" s="48"/>
      <c r="AF2772" s="48"/>
      <c r="AG2772" s="61">
        <v>252042.71</v>
      </c>
      <c r="AH2772" s="62"/>
      <c r="AI2772" s="58"/>
      <c r="AJ2772" s="56"/>
    </row>
    <row r="2773" spans="1:36" x14ac:dyDescent="0.3">
      <c r="A2773" s="47">
        <f t="shared" si="620"/>
        <v>2504</v>
      </c>
      <c r="B2773" s="414" t="s">
        <v>3476</v>
      </c>
      <c r="C2773" s="51">
        <f t="shared" si="616"/>
        <v>784112.98</v>
      </c>
      <c r="D2773" s="51">
        <f t="shared" si="617"/>
        <v>0</v>
      </c>
      <c r="E2773" s="51"/>
      <c r="F2773" s="51"/>
      <c r="G2773" s="51"/>
      <c r="H2773" s="51"/>
      <c r="I2773" s="51"/>
      <c r="J2773" s="51"/>
      <c r="K2773" s="51"/>
      <c r="L2773" s="51"/>
      <c r="M2773" s="35"/>
      <c r="N2773" s="51"/>
      <c r="O2773" s="82"/>
      <c r="P2773" s="51"/>
      <c r="Q2773" s="338"/>
      <c r="R2773" s="51"/>
      <c r="S2773" s="51"/>
      <c r="T2773" s="338"/>
      <c r="U2773" s="51"/>
      <c r="V2773" s="35"/>
      <c r="W2773" s="51">
        <f t="shared" si="618"/>
        <v>784112.98</v>
      </c>
      <c r="X2773" s="331"/>
      <c r="Y2773" s="48"/>
      <c r="Z2773" s="48">
        <v>190306.54</v>
      </c>
      <c r="AA2773" s="48"/>
      <c r="AB2773" s="48"/>
      <c r="AC2773" s="48"/>
      <c r="AD2773" s="48"/>
      <c r="AE2773" s="48"/>
      <c r="AF2773" s="48">
        <v>349457.41</v>
      </c>
      <c r="AG2773" s="61">
        <v>244349.03</v>
      </c>
      <c r="AH2773" s="62"/>
      <c r="AI2773" s="58"/>
      <c r="AJ2773" s="56"/>
    </row>
    <row r="2774" spans="1:36" x14ac:dyDescent="0.3">
      <c r="A2774" s="47">
        <f t="shared" si="620"/>
        <v>2505</v>
      </c>
      <c r="B2774" s="414" t="s">
        <v>3477</v>
      </c>
      <c r="C2774" s="51">
        <f t="shared" si="616"/>
        <v>620842.62</v>
      </c>
      <c r="D2774" s="51">
        <f t="shared" si="617"/>
        <v>0</v>
      </c>
      <c r="E2774" s="51"/>
      <c r="F2774" s="51"/>
      <c r="G2774" s="51"/>
      <c r="H2774" s="51"/>
      <c r="I2774" s="51"/>
      <c r="J2774" s="51"/>
      <c r="K2774" s="51"/>
      <c r="L2774" s="51"/>
      <c r="M2774" s="35"/>
      <c r="N2774" s="51"/>
      <c r="O2774" s="82"/>
      <c r="P2774" s="399"/>
      <c r="Q2774" s="338"/>
      <c r="R2774" s="51"/>
      <c r="S2774" s="51"/>
      <c r="T2774" s="338"/>
      <c r="U2774" s="51"/>
      <c r="V2774" s="35"/>
      <c r="W2774" s="51">
        <f t="shared" si="618"/>
        <v>620842.62</v>
      </c>
      <c r="X2774" s="331"/>
      <c r="Y2774" s="48"/>
      <c r="Z2774" s="48">
        <v>100914.31</v>
      </c>
      <c r="AA2774" s="48">
        <v>122288.2</v>
      </c>
      <c r="AB2774" s="48">
        <v>106535.38</v>
      </c>
      <c r="AC2774" s="48"/>
      <c r="AD2774" s="48"/>
      <c r="AE2774" s="48">
        <v>101910.56</v>
      </c>
      <c r="AF2774" s="48">
        <v>189194.17</v>
      </c>
      <c r="AG2774" s="61"/>
      <c r="AH2774" s="62"/>
      <c r="AI2774" s="58"/>
      <c r="AJ2774" s="56"/>
    </row>
    <row r="2775" spans="1:36" x14ac:dyDescent="0.3">
      <c r="A2775" s="47">
        <f t="shared" si="620"/>
        <v>2506</v>
      </c>
      <c r="B2775" s="414" t="s">
        <v>3478</v>
      </c>
      <c r="C2775" s="51">
        <f t="shared" si="616"/>
        <v>910331.09000000008</v>
      </c>
      <c r="D2775" s="51">
        <f t="shared" si="617"/>
        <v>0</v>
      </c>
      <c r="E2775" s="51"/>
      <c r="F2775" s="51"/>
      <c r="G2775" s="51"/>
      <c r="H2775" s="51"/>
      <c r="I2775" s="51"/>
      <c r="J2775" s="51"/>
      <c r="K2775" s="51"/>
      <c r="L2775" s="51"/>
      <c r="M2775" s="35"/>
      <c r="N2775" s="51"/>
      <c r="O2775" s="82"/>
      <c r="P2775" s="51"/>
      <c r="Q2775" s="338"/>
      <c r="R2775" s="51"/>
      <c r="S2775" s="51"/>
      <c r="T2775" s="338"/>
      <c r="U2775" s="51"/>
      <c r="V2775" s="35"/>
      <c r="W2775" s="51">
        <f t="shared" si="618"/>
        <v>910331.09000000008</v>
      </c>
      <c r="X2775" s="331"/>
      <c r="Y2775" s="48"/>
      <c r="Z2775" s="48">
        <v>228467.81</v>
      </c>
      <c r="AA2775" s="48"/>
      <c r="AB2775" s="48"/>
      <c r="AC2775" s="48"/>
      <c r="AD2775" s="48"/>
      <c r="AE2775" s="48"/>
      <c r="AF2775" s="48">
        <v>410603.72</v>
      </c>
      <c r="AG2775" s="61">
        <v>271259.56</v>
      </c>
      <c r="AH2775" s="62"/>
      <c r="AI2775" s="58"/>
      <c r="AJ2775" s="56"/>
    </row>
    <row r="2776" spans="1:36" x14ac:dyDescent="0.3">
      <c r="A2776" s="47">
        <f t="shared" si="620"/>
        <v>2507</v>
      </c>
      <c r="B2776" s="414" t="s">
        <v>3479</v>
      </c>
      <c r="C2776" s="51">
        <f t="shared" si="616"/>
        <v>633959.47</v>
      </c>
      <c r="D2776" s="51">
        <f t="shared" si="617"/>
        <v>0</v>
      </c>
      <c r="E2776" s="51"/>
      <c r="F2776" s="51"/>
      <c r="G2776" s="51"/>
      <c r="H2776" s="51"/>
      <c r="I2776" s="51"/>
      <c r="J2776" s="51"/>
      <c r="K2776" s="51"/>
      <c r="L2776" s="51"/>
      <c r="M2776" s="35"/>
      <c r="N2776" s="51"/>
      <c r="O2776" s="82"/>
      <c r="P2776" s="399"/>
      <c r="Q2776" s="338"/>
      <c r="R2776" s="51"/>
      <c r="S2776" s="51"/>
      <c r="T2776" s="338"/>
      <c r="U2776" s="51"/>
      <c r="V2776" s="35"/>
      <c r="W2776" s="51">
        <f t="shared" si="618"/>
        <v>633959.47</v>
      </c>
      <c r="X2776" s="331"/>
      <c r="Y2776" s="48"/>
      <c r="Z2776" s="48">
        <v>103241.48</v>
      </c>
      <c r="AA2776" s="48">
        <v>124715.87</v>
      </c>
      <c r="AB2776" s="48">
        <v>108885.72</v>
      </c>
      <c r="AC2776" s="48"/>
      <c r="AD2776" s="48"/>
      <c r="AE2776" s="48">
        <v>104260.94</v>
      </c>
      <c r="AF2776" s="48">
        <v>192855.46</v>
      </c>
      <c r="AG2776" s="61"/>
      <c r="AH2776" s="62"/>
      <c r="AI2776" s="58"/>
      <c r="AJ2776" s="56"/>
    </row>
    <row r="2777" spans="1:36" x14ac:dyDescent="0.3">
      <c r="A2777" s="47">
        <f t="shared" si="620"/>
        <v>2508</v>
      </c>
      <c r="B2777" s="414" t="s">
        <v>3480</v>
      </c>
      <c r="C2777" s="51">
        <f t="shared" si="616"/>
        <v>604970.11</v>
      </c>
      <c r="D2777" s="51">
        <f t="shared" si="617"/>
        <v>0</v>
      </c>
      <c r="E2777" s="51"/>
      <c r="F2777" s="51"/>
      <c r="G2777" s="51"/>
      <c r="H2777" s="51"/>
      <c r="I2777" s="51"/>
      <c r="J2777" s="51"/>
      <c r="K2777" s="51"/>
      <c r="L2777" s="51"/>
      <c r="M2777" s="35"/>
      <c r="N2777" s="51"/>
      <c r="O2777" s="82"/>
      <c r="P2777" s="399"/>
      <c r="Q2777" s="338"/>
      <c r="R2777" s="51"/>
      <c r="S2777" s="51"/>
      <c r="T2777" s="338"/>
      <c r="U2777" s="51"/>
      <c r="V2777" s="35"/>
      <c r="W2777" s="51">
        <f t="shared" si="618"/>
        <v>604970.11</v>
      </c>
      <c r="X2777" s="331"/>
      <c r="Y2777" s="48"/>
      <c r="Z2777" s="48">
        <v>98176.97</v>
      </c>
      <c r="AA2777" s="48">
        <v>119332.82</v>
      </c>
      <c r="AB2777" s="48">
        <v>103674.07</v>
      </c>
      <c r="AC2777" s="48"/>
      <c r="AD2777" s="48"/>
      <c r="AE2777" s="48">
        <v>99049.26</v>
      </c>
      <c r="AF2777" s="48">
        <v>184736.99</v>
      </c>
      <c r="AG2777" s="61"/>
      <c r="AH2777" s="62"/>
      <c r="AI2777" s="58"/>
      <c r="AJ2777" s="56"/>
    </row>
    <row r="2778" spans="1:36" x14ac:dyDescent="0.3">
      <c r="A2778" s="47">
        <f t="shared" si="620"/>
        <v>2509</v>
      </c>
      <c r="B2778" s="414" t="s">
        <v>3481</v>
      </c>
      <c r="C2778" s="51">
        <f t="shared" si="616"/>
        <v>615198.11</v>
      </c>
      <c r="D2778" s="51">
        <f t="shared" si="617"/>
        <v>0</v>
      </c>
      <c r="E2778" s="51"/>
      <c r="F2778" s="51"/>
      <c r="G2778" s="51"/>
      <c r="H2778" s="51"/>
      <c r="I2778" s="51"/>
      <c r="J2778" s="51"/>
      <c r="K2778" s="51"/>
      <c r="L2778" s="51"/>
      <c r="M2778" s="35"/>
      <c r="N2778" s="51"/>
      <c r="O2778" s="82"/>
      <c r="P2778" s="399"/>
      <c r="Q2778" s="338"/>
      <c r="R2778" s="51"/>
      <c r="S2778" s="51"/>
      <c r="T2778" s="338"/>
      <c r="U2778" s="51"/>
      <c r="V2778" s="35"/>
      <c r="W2778" s="51">
        <f t="shared" si="618"/>
        <v>615198.11</v>
      </c>
      <c r="X2778" s="331"/>
      <c r="Y2778" s="48"/>
      <c r="Z2778" s="48">
        <v>98084.47</v>
      </c>
      <c r="AA2778" s="48">
        <v>121654.91</v>
      </c>
      <c r="AB2778" s="48">
        <v>105922.24000000001</v>
      </c>
      <c r="AC2778" s="48"/>
      <c r="AD2778" s="48"/>
      <c r="AE2778" s="48">
        <v>101297.42</v>
      </c>
      <c r="AF2778" s="48">
        <v>188239.07</v>
      </c>
      <c r="AG2778" s="61"/>
      <c r="AH2778" s="62"/>
      <c r="AI2778" s="58"/>
      <c r="AJ2778" s="56"/>
    </row>
    <row r="2779" spans="1:36" x14ac:dyDescent="0.3">
      <c r="A2779" s="47">
        <f t="shared" si="620"/>
        <v>2510</v>
      </c>
      <c r="B2779" s="414" t="s">
        <v>3482</v>
      </c>
      <c r="C2779" s="51">
        <f t="shared" si="616"/>
        <v>204362.47</v>
      </c>
      <c r="D2779" s="51">
        <f t="shared" si="617"/>
        <v>0</v>
      </c>
      <c r="E2779" s="51"/>
      <c r="F2779" s="51"/>
      <c r="G2779" s="51"/>
      <c r="H2779" s="51"/>
      <c r="I2779" s="51"/>
      <c r="J2779" s="51"/>
      <c r="K2779" s="51"/>
      <c r="L2779" s="51"/>
      <c r="M2779" s="35"/>
      <c r="N2779" s="51"/>
      <c r="O2779" s="82"/>
      <c r="P2779" s="399"/>
      <c r="Q2779" s="338"/>
      <c r="R2779" s="51"/>
      <c r="S2779" s="51"/>
      <c r="T2779" s="338"/>
      <c r="U2779" s="51"/>
      <c r="V2779" s="35"/>
      <c r="W2779" s="51">
        <f t="shared" si="618"/>
        <v>204362.47</v>
      </c>
      <c r="X2779" s="331"/>
      <c r="Y2779" s="48"/>
      <c r="Z2779" s="48"/>
      <c r="AA2779" s="48"/>
      <c r="AB2779" s="48"/>
      <c r="AC2779" s="48"/>
      <c r="AD2779" s="48"/>
      <c r="AE2779" s="48"/>
      <c r="AF2779" s="48">
        <v>204362.47</v>
      </c>
      <c r="AG2779" s="61"/>
      <c r="AH2779" s="62"/>
      <c r="AI2779" s="58"/>
      <c r="AJ2779" s="56"/>
    </row>
    <row r="2780" spans="1:36" x14ac:dyDescent="0.3">
      <c r="A2780" s="47">
        <f t="shared" si="620"/>
        <v>2511</v>
      </c>
      <c r="B2780" s="414" t="s">
        <v>3483</v>
      </c>
      <c r="C2780" s="51">
        <f t="shared" si="616"/>
        <v>534745.69999999995</v>
      </c>
      <c r="D2780" s="51">
        <f t="shared" si="617"/>
        <v>0</v>
      </c>
      <c r="E2780" s="51"/>
      <c r="F2780" s="51"/>
      <c r="G2780" s="51"/>
      <c r="H2780" s="51"/>
      <c r="I2780" s="51"/>
      <c r="J2780" s="51"/>
      <c r="K2780" s="51"/>
      <c r="L2780" s="51"/>
      <c r="M2780" s="35"/>
      <c r="N2780" s="51"/>
      <c r="O2780" s="82"/>
      <c r="P2780" s="51"/>
      <c r="Q2780" s="338"/>
      <c r="R2780" s="51"/>
      <c r="S2780" s="51"/>
      <c r="T2780" s="338"/>
      <c r="U2780" s="51"/>
      <c r="V2780" s="35"/>
      <c r="W2780" s="51">
        <f t="shared" si="618"/>
        <v>534745.69999999995</v>
      </c>
      <c r="X2780" s="331"/>
      <c r="Y2780" s="48"/>
      <c r="Z2780" s="48"/>
      <c r="AA2780" s="48"/>
      <c r="AB2780" s="48"/>
      <c r="AC2780" s="48"/>
      <c r="AD2780" s="48"/>
      <c r="AE2780" s="48"/>
      <c r="AF2780" s="48">
        <v>347345.35</v>
      </c>
      <c r="AG2780" s="61">
        <v>187400.35</v>
      </c>
      <c r="AH2780" s="62"/>
      <c r="AI2780" s="58"/>
      <c r="AJ2780" s="56"/>
    </row>
    <row r="2781" spans="1:36" x14ac:dyDescent="0.3">
      <c r="A2781" s="47">
        <f t="shared" si="620"/>
        <v>2512</v>
      </c>
      <c r="B2781" s="414" t="s">
        <v>3484</v>
      </c>
      <c r="C2781" s="51">
        <f t="shared" si="616"/>
        <v>578808.31999999995</v>
      </c>
      <c r="D2781" s="51">
        <f t="shared" si="617"/>
        <v>0</v>
      </c>
      <c r="E2781" s="51"/>
      <c r="F2781" s="51"/>
      <c r="G2781" s="51"/>
      <c r="H2781" s="51"/>
      <c r="I2781" s="51"/>
      <c r="J2781" s="51"/>
      <c r="K2781" s="51"/>
      <c r="L2781" s="51"/>
      <c r="M2781" s="35"/>
      <c r="N2781" s="51"/>
      <c r="O2781" s="82"/>
      <c r="P2781" s="399"/>
      <c r="Q2781" s="338"/>
      <c r="R2781" s="51"/>
      <c r="S2781" s="51"/>
      <c r="T2781" s="338"/>
      <c r="U2781" s="51"/>
      <c r="V2781" s="35"/>
      <c r="W2781" s="51">
        <f t="shared" si="618"/>
        <v>578808.31999999995</v>
      </c>
      <c r="X2781" s="331"/>
      <c r="Y2781" s="48"/>
      <c r="Z2781" s="48"/>
      <c r="AA2781" s="48"/>
      <c r="AB2781" s="48"/>
      <c r="AC2781" s="48"/>
      <c r="AD2781" s="48"/>
      <c r="AE2781" s="48"/>
      <c r="AF2781" s="48"/>
      <c r="AG2781" s="61"/>
      <c r="AH2781" s="62">
        <v>578808.31999999995</v>
      </c>
      <c r="AI2781" s="58"/>
      <c r="AJ2781" s="56"/>
    </row>
    <row r="2782" spans="1:36" x14ac:dyDescent="0.3">
      <c r="A2782" s="47">
        <f t="shared" si="620"/>
        <v>2513</v>
      </c>
      <c r="B2782" s="414" t="s">
        <v>3485</v>
      </c>
      <c r="C2782" s="51">
        <f t="shared" si="616"/>
        <v>411637.30000000005</v>
      </c>
      <c r="D2782" s="51">
        <f t="shared" si="617"/>
        <v>0</v>
      </c>
      <c r="E2782" s="51"/>
      <c r="F2782" s="51"/>
      <c r="G2782" s="51"/>
      <c r="H2782" s="51"/>
      <c r="I2782" s="51"/>
      <c r="J2782" s="51"/>
      <c r="K2782" s="51"/>
      <c r="L2782" s="51"/>
      <c r="M2782" s="35"/>
      <c r="N2782" s="51"/>
      <c r="O2782" s="82"/>
      <c r="P2782" s="399"/>
      <c r="Q2782" s="338"/>
      <c r="R2782" s="51"/>
      <c r="S2782" s="51"/>
      <c r="T2782" s="338"/>
      <c r="U2782" s="51"/>
      <c r="V2782" s="35"/>
      <c r="W2782" s="51">
        <f t="shared" si="618"/>
        <v>411637.30000000005</v>
      </c>
      <c r="X2782" s="331"/>
      <c r="Y2782" s="48"/>
      <c r="Z2782" s="48"/>
      <c r="AA2782" s="48"/>
      <c r="AB2782" s="48">
        <v>110469.64</v>
      </c>
      <c r="AC2782" s="48"/>
      <c r="AD2782" s="48"/>
      <c r="AE2782" s="48">
        <v>105844.82</v>
      </c>
      <c r="AF2782" s="48">
        <v>195322.84</v>
      </c>
      <c r="AG2782" s="61"/>
      <c r="AH2782" s="62"/>
      <c r="AI2782" s="58"/>
      <c r="AJ2782" s="56"/>
    </row>
    <row r="2783" spans="1:36" x14ac:dyDescent="0.3">
      <c r="A2783" s="47">
        <f t="shared" si="620"/>
        <v>2514</v>
      </c>
      <c r="B2783" s="414" t="s">
        <v>3486</v>
      </c>
      <c r="C2783" s="51">
        <f t="shared" si="616"/>
        <v>611241.73</v>
      </c>
      <c r="D2783" s="51">
        <f t="shared" si="617"/>
        <v>0</v>
      </c>
      <c r="E2783" s="51"/>
      <c r="F2783" s="51"/>
      <c r="G2783" s="51"/>
      <c r="H2783" s="51"/>
      <c r="I2783" s="51"/>
      <c r="J2783" s="51"/>
      <c r="K2783" s="51"/>
      <c r="L2783" s="51"/>
      <c r="M2783" s="35"/>
      <c r="N2783" s="51"/>
      <c r="O2783" s="82"/>
      <c r="P2783" s="399"/>
      <c r="Q2783" s="338"/>
      <c r="R2783" s="51"/>
      <c r="S2783" s="51"/>
      <c r="T2783" s="338"/>
      <c r="U2783" s="51"/>
      <c r="V2783" s="35"/>
      <c r="W2783" s="51">
        <f t="shared" si="618"/>
        <v>611241.73</v>
      </c>
      <c r="X2783" s="331"/>
      <c r="Y2783" s="48"/>
      <c r="Z2783" s="48">
        <v>99449.72</v>
      </c>
      <c r="AA2783" s="48">
        <v>120757.75</v>
      </c>
      <c r="AB2783" s="48">
        <v>105053.64</v>
      </c>
      <c r="AC2783" s="48"/>
      <c r="AD2783" s="48"/>
      <c r="AE2783" s="48">
        <v>99094.64</v>
      </c>
      <c r="AF2783" s="48">
        <v>186885.98</v>
      </c>
      <c r="AG2783" s="61"/>
      <c r="AH2783" s="62"/>
      <c r="AI2783" s="58"/>
      <c r="AJ2783" s="56"/>
    </row>
    <row r="2784" spans="1:36" x14ac:dyDescent="0.3">
      <c r="A2784" s="47">
        <f t="shared" si="620"/>
        <v>2515</v>
      </c>
      <c r="B2784" s="414" t="s">
        <v>3487</v>
      </c>
      <c r="C2784" s="51">
        <f t="shared" si="616"/>
        <v>777961.62000000011</v>
      </c>
      <c r="D2784" s="51">
        <f t="shared" si="617"/>
        <v>0</v>
      </c>
      <c r="E2784" s="51"/>
      <c r="F2784" s="51"/>
      <c r="G2784" s="51"/>
      <c r="H2784" s="51"/>
      <c r="I2784" s="51"/>
      <c r="J2784" s="51"/>
      <c r="K2784" s="51"/>
      <c r="L2784" s="51"/>
      <c r="M2784" s="35"/>
      <c r="N2784" s="51"/>
      <c r="O2784" s="82"/>
      <c r="P2784" s="51"/>
      <c r="Q2784" s="338"/>
      <c r="R2784" s="51"/>
      <c r="S2784" s="51"/>
      <c r="T2784" s="338"/>
      <c r="U2784" s="51"/>
      <c r="V2784" s="35"/>
      <c r="W2784" s="51">
        <f t="shared" si="618"/>
        <v>777961.62000000011</v>
      </c>
      <c r="X2784" s="331"/>
      <c r="Y2784" s="48"/>
      <c r="Z2784" s="48">
        <v>143012.26999999999</v>
      </c>
      <c r="AA2784" s="48">
        <v>184002.89</v>
      </c>
      <c r="AB2784" s="48">
        <v>155458.97</v>
      </c>
      <c r="AC2784" s="48"/>
      <c r="AD2784" s="48"/>
      <c r="AE2784" s="48">
        <v>141070.68</v>
      </c>
      <c r="AF2784" s="48"/>
      <c r="AG2784" s="61">
        <v>154416.81</v>
      </c>
      <c r="AH2784" s="62"/>
      <c r="AI2784" s="58"/>
      <c r="AJ2784" s="56"/>
    </row>
    <row r="2785" spans="1:36" x14ac:dyDescent="0.3">
      <c r="A2785" s="47">
        <f t="shared" si="620"/>
        <v>2516</v>
      </c>
      <c r="B2785" s="414" t="s">
        <v>3488</v>
      </c>
      <c r="C2785" s="51">
        <f t="shared" si="616"/>
        <v>219584.47999999998</v>
      </c>
      <c r="D2785" s="51">
        <f t="shared" si="617"/>
        <v>0</v>
      </c>
      <c r="E2785" s="51"/>
      <c r="F2785" s="51"/>
      <c r="G2785" s="51"/>
      <c r="H2785" s="51"/>
      <c r="I2785" s="51"/>
      <c r="J2785" s="51"/>
      <c r="K2785" s="51"/>
      <c r="L2785" s="51"/>
      <c r="M2785" s="35"/>
      <c r="N2785" s="51"/>
      <c r="O2785" s="82"/>
      <c r="P2785" s="399"/>
      <c r="Q2785" s="338"/>
      <c r="R2785" s="51"/>
      <c r="S2785" s="51"/>
      <c r="T2785" s="338"/>
      <c r="U2785" s="51"/>
      <c r="V2785" s="35"/>
      <c r="W2785" s="51">
        <f t="shared" si="618"/>
        <v>219584.47999999998</v>
      </c>
      <c r="X2785" s="331"/>
      <c r="Y2785" s="48"/>
      <c r="Z2785" s="48"/>
      <c r="AA2785" s="48"/>
      <c r="AB2785" s="48">
        <v>112104.64</v>
      </c>
      <c r="AC2785" s="48"/>
      <c r="AD2785" s="48"/>
      <c r="AE2785" s="48">
        <v>107479.84</v>
      </c>
      <c r="AF2785" s="48"/>
      <c r="AG2785" s="61"/>
      <c r="AH2785" s="62"/>
      <c r="AI2785" s="58"/>
      <c r="AJ2785" s="56"/>
    </row>
    <row r="2786" spans="1:36" x14ac:dyDescent="0.3">
      <c r="A2786" s="47">
        <f t="shared" si="620"/>
        <v>2517</v>
      </c>
      <c r="B2786" s="414" t="s">
        <v>3489</v>
      </c>
      <c r="C2786" s="51">
        <f t="shared" si="616"/>
        <v>525153.81999999995</v>
      </c>
      <c r="D2786" s="51">
        <f t="shared" si="617"/>
        <v>0</v>
      </c>
      <c r="E2786" s="51"/>
      <c r="F2786" s="51"/>
      <c r="G2786" s="51"/>
      <c r="H2786" s="51"/>
      <c r="I2786" s="51"/>
      <c r="J2786" s="51"/>
      <c r="K2786" s="51"/>
      <c r="L2786" s="51"/>
      <c r="M2786" s="35"/>
      <c r="N2786" s="51"/>
      <c r="O2786" s="82"/>
      <c r="P2786" s="399"/>
      <c r="Q2786" s="338"/>
      <c r="R2786" s="51"/>
      <c r="S2786" s="51"/>
      <c r="T2786" s="338"/>
      <c r="U2786" s="51"/>
      <c r="V2786" s="35"/>
      <c r="W2786" s="51">
        <f t="shared" si="618"/>
        <v>525153.81999999995</v>
      </c>
      <c r="X2786" s="331"/>
      <c r="Y2786" s="48"/>
      <c r="Z2786" s="48"/>
      <c r="AA2786" s="48"/>
      <c r="AB2786" s="48"/>
      <c r="AC2786" s="48"/>
      <c r="AD2786" s="48"/>
      <c r="AE2786" s="48"/>
      <c r="AF2786" s="48"/>
      <c r="AG2786" s="61"/>
      <c r="AH2786" s="62">
        <v>525153.81999999995</v>
      </c>
      <c r="AI2786" s="58"/>
      <c r="AJ2786" s="56"/>
    </row>
    <row r="2787" spans="1:36" x14ac:dyDescent="0.3">
      <c r="A2787" s="47">
        <f t="shared" si="620"/>
        <v>2518</v>
      </c>
      <c r="B2787" s="414" t="s">
        <v>3490</v>
      </c>
      <c r="C2787" s="51">
        <f t="shared" si="616"/>
        <v>417468.3</v>
      </c>
      <c r="D2787" s="51">
        <f t="shared" si="617"/>
        <v>0</v>
      </c>
      <c r="E2787" s="51"/>
      <c r="F2787" s="51"/>
      <c r="G2787" s="51"/>
      <c r="H2787" s="51"/>
      <c r="I2787" s="51"/>
      <c r="J2787" s="51"/>
      <c r="K2787" s="51"/>
      <c r="L2787" s="51"/>
      <c r="M2787" s="35"/>
      <c r="N2787" s="51"/>
      <c r="O2787" s="82"/>
      <c r="P2787" s="399"/>
      <c r="Q2787" s="338"/>
      <c r="R2787" s="51"/>
      <c r="S2787" s="51"/>
      <c r="T2787" s="338"/>
      <c r="U2787" s="51"/>
      <c r="V2787" s="35"/>
      <c r="W2787" s="51">
        <f t="shared" si="618"/>
        <v>417468.3</v>
      </c>
      <c r="X2787" s="331"/>
      <c r="Y2787" s="48"/>
      <c r="Z2787" s="48">
        <v>97426.64</v>
      </c>
      <c r="AA2787" s="48">
        <v>118646.77</v>
      </c>
      <c r="AB2787" s="48">
        <v>103009.85</v>
      </c>
      <c r="AC2787" s="48"/>
      <c r="AD2787" s="48"/>
      <c r="AE2787" s="48">
        <v>98385.04</v>
      </c>
      <c r="AF2787" s="48"/>
      <c r="AG2787" s="61"/>
      <c r="AH2787" s="62"/>
      <c r="AI2787" s="58"/>
      <c r="AJ2787" s="56"/>
    </row>
    <row r="2788" spans="1:36" x14ac:dyDescent="0.3">
      <c r="A2788" s="47">
        <f t="shared" si="620"/>
        <v>2519</v>
      </c>
      <c r="B2788" s="414" t="s">
        <v>3491</v>
      </c>
      <c r="C2788" s="51">
        <f t="shared" si="616"/>
        <v>619989.99</v>
      </c>
      <c r="D2788" s="51">
        <f t="shared" si="617"/>
        <v>0</v>
      </c>
      <c r="E2788" s="51"/>
      <c r="F2788" s="51"/>
      <c r="G2788" s="51"/>
      <c r="H2788" s="51"/>
      <c r="I2788" s="51"/>
      <c r="J2788" s="51"/>
      <c r="K2788" s="51"/>
      <c r="L2788" s="51"/>
      <c r="M2788" s="35"/>
      <c r="N2788" s="51"/>
      <c r="O2788" s="82"/>
      <c r="P2788" s="399"/>
      <c r="Q2788" s="338"/>
      <c r="R2788" s="51"/>
      <c r="S2788" s="51"/>
      <c r="T2788" s="338"/>
      <c r="U2788" s="51"/>
      <c r="V2788" s="35"/>
      <c r="W2788" s="51">
        <f t="shared" si="618"/>
        <v>619989.99</v>
      </c>
      <c r="X2788" s="331"/>
      <c r="Y2788" s="48"/>
      <c r="Z2788" s="48">
        <v>100765.36</v>
      </c>
      <c r="AA2788" s="48">
        <v>122129.89</v>
      </c>
      <c r="AB2788" s="48">
        <v>106382.08</v>
      </c>
      <c r="AC2788" s="48"/>
      <c r="AD2788" s="48"/>
      <c r="AE2788" s="48">
        <v>101757.26</v>
      </c>
      <c r="AF2788" s="48">
        <v>188955.4</v>
      </c>
      <c r="AG2788" s="61"/>
      <c r="AH2788" s="62"/>
      <c r="AI2788" s="58"/>
      <c r="AJ2788" s="56"/>
    </row>
    <row r="2789" spans="1:36" x14ac:dyDescent="0.3">
      <c r="A2789" s="47">
        <f t="shared" si="620"/>
        <v>2520</v>
      </c>
      <c r="B2789" s="414" t="s">
        <v>3492</v>
      </c>
      <c r="C2789" s="51">
        <f t="shared" si="616"/>
        <v>617425.98</v>
      </c>
      <c r="D2789" s="51">
        <f t="shared" si="617"/>
        <v>0</v>
      </c>
      <c r="E2789" s="51"/>
      <c r="F2789" s="51"/>
      <c r="G2789" s="51"/>
      <c r="H2789" s="51"/>
      <c r="I2789" s="51"/>
      <c r="J2789" s="51"/>
      <c r="K2789" s="51"/>
      <c r="L2789" s="51"/>
      <c r="M2789" s="35"/>
      <c r="N2789" s="51"/>
      <c r="O2789" s="82"/>
      <c r="P2789" s="399"/>
      <c r="Q2789" s="338"/>
      <c r="R2789" s="51"/>
      <c r="S2789" s="51"/>
      <c r="T2789" s="338"/>
      <c r="U2789" s="51"/>
      <c r="V2789" s="35"/>
      <c r="W2789" s="51">
        <f t="shared" si="618"/>
        <v>617425.98</v>
      </c>
      <c r="X2789" s="331"/>
      <c r="Y2789" s="48"/>
      <c r="Z2789" s="48">
        <v>100312.34</v>
      </c>
      <c r="AA2789" s="48">
        <v>121654.91</v>
      </c>
      <c r="AB2789" s="48">
        <v>105922.24000000001</v>
      </c>
      <c r="AC2789" s="48"/>
      <c r="AD2789" s="48"/>
      <c r="AE2789" s="48">
        <v>101297.42</v>
      </c>
      <c r="AF2789" s="48">
        <v>188239.07</v>
      </c>
      <c r="AG2789" s="61"/>
      <c r="AH2789" s="62"/>
      <c r="AI2789" s="58"/>
      <c r="AJ2789" s="56"/>
    </row>
    <row r="2790" spans="1:36" x14ac:dyDescent="0.3">
      <c r="A2790" s="47">
        <f t="shared" si="620"/>
        <v>2521</v>
      </c>
      <c r="B2790" s="414" t="s">
        <v>3493</v>
      </c>
      <c r="C2790" s="51">
        <f t="shared" si="616"/>
        <v>613718.92999999993</v>
      </c>
      <c r="D2790" s="51">
        <f t="shared" si="617"/>
        <v>0</v>
      </c>
      <c r="E2790" s="51"/>
      <c r="F2790" s="51"/>
      <c r="G2790" s="51"/>
      <c r="H2790" s="51"/>
      <c r="I2790" s="51"/>
      <c r="J2790" s="51"/>
      <c r="K2790" s="51"/>
      <c r="L2790" s="51"/>
      <c r="M2790" s="35"/>
      <c r="N2790" s="51"/>
      <c r="O2790" s="82"/>
      <c r="P2790" s="399"/>
      <c r="Q2790" s="338"/>
      <c r="R2790" s="51"/>
      <c r="S2790" s="51"/>
      <c r="T2790" s="338"/>
      <c r="U2790" s="51"/>
      <c r="V2790" s="35"/>
      <c r="W2790" s="51">
        <f t="shared" si="618"/>
        <v>613718.92999999993</v>
      </c>
      <c r="X2790" s="331"/>
      <c r="Y2790" s="48"/>
      <c r="Z2790" s="48">
        <v>99654.52</v>
      </c>
      <c r="AA2790" s="48">
        <v>120968.86</v>
      </c>
      <c r="AB2790" s="48">
        <v>105258</v>
      </c>
      <c r="AC2790" s="48"/>
      <c r="AD2790" s="48"/>
      <c r="AE2790" s="48">
        <v>100633.19</v>
      </c>
      <c r="AF2790" s="48">
        <v>187204.36</v>
      </c>
      <c r="AG2790" s="61"/>
      <c r="AH2790" s="62"/>
      <c r="AI2790" s="58"/>
      <c r="AJ2790" s="56"/>
    </row>
    <row r="2791" spans="1:36" x14ac:dyDescent="0.3">
      <c r="A2791" s="47">
        <f t="shared" si="620"/>
        <v>2522</v>
      </c>
      <c r="B2791" s="414" t="s">
        <v>3494</v>
      </c>
      <c r="C2791" s="51">
        <f t="shared" si="616"/>
        <v>200786.44</v>
      </c>
      <c r="D2791" s="51">
        <f t="shared" si="617"/>
        <v>0</v>
      </c>
      <c r="E2791" s="51"/>
      <c r="F2791" s="51"/>
      <c r="G2791" s="51"/>
      <c r="H2791" s="51"/>
      <c r="I2791" s="51"/>
      <c r="J2791" s="51"/>
      <c r="K2791" s="51"/>
      <c r="L2791" s="51"/>
      <c r="M2791" s="35"/>
      <c r="N2791" s="51"/>
      <c r="O2791" s="82"/>
      <c r="P2791" s="399"/>
      <c r="Q2791" s="338"/>
      <c r="R2791" s="51"/>
      <c r="S2791" s="51"/>
      <c r="T2791" s="338"/>
      <c r="U2791" s="51"/>
      <c r="V2791" s="35"/>
      <c r="W2791" s="51">
        <f t="shared" si="618"/>
        <v>200786.44</v>
      </c>
      <c r="X2791" s="331"/>
      <c r="Y2791" s="48"/>
      <c r="Z2791" s="48"/>
      <c r="AA2791" s="48"/>
      <c r="AB2791" s="48"/>
      <c r="AC2791" s="48"/>
      <c r="AD2791" s="48"/>
      <c r="AE2791" s="48"/>
      <c r="AF2791" s="48">
        <v>200786.44</v>
      </c>
      <c r="AG2791" s="61"/>
      <c r="AH2791" s="62"/>
      <c r="AI2791" s="58"/>
      <c r="AJ2791" s="56"/>
    </row>
    <row r="2792" spans="1:36" x14ac:dyDescent="0.3">
      <c r="A2792" s="47">
        <f t="shared" si="620"/>
        <v>2523</v>
      </c>
      <c r="B2792" s="414" t="s">
        <v>3495</v>
      </c>
      <c r="C2792" s="51">
        <f t="shared" si="616"/>
        <v>451684.05000000005</v>
      </c>
      <c r="D2792" s="51">
        <f t="shared" si="617"/>
        <v>0</v>
      </c>
      <c r="E2792" s="51"/>
      <c r="F2792" s="51"/>
      <c r="G2792" s="399"/>
      <c r="H2792" s="399"/>
      <c r="I2792" s="51"/>
      <c r="J2792" s="51"/>
      <c r="K2792" s="51"/>
      <c r="L2792" s="51"/>
      <c r="M2792" s="35"/>
      <c r="N2792" s="51"/>
      <c r="O2792" s="82"/>
      <c r="P2792" s="399"/>
      <c r="Q2792" s="338"/>
      <c r="R2792" s="51"/>
      <c r="S2792" s="51"/>
      <c r="T2792" s="338"/>
      <c r="U2792" s="51"/>
      <c r="V2792" s="35"/>
      <c r="W2792" s="51">
        <f t="shared" si="618"/>
        <v>451684.05000000005</v>
      </c>
      <c r="X2792" s="331"/>
      <c r="Y2792" s="48"/>
      <c r="Z2792" s="48">
        <v>87292.479999999996</v>
      </c>
      <c r="AA2792" s="48">
        <v>108138.53</v>
      </c>
      <c r="AB2792" s="48"/>
      <c r="AC2792" s="48"/>
      <c r="AD2792" s="48"/>
      <c r="AE2792" s="48">
        <v>87019.81</v>
      </c>
      <c r="AF2792" s="48">
        <v>169233.23</v>
      </c>
      <c r="AG2792" s="61"/>
      <c r="AH2792" s="62"/>
      <c r="AI2792" s="58"/>
      <c r="AJ2792" s="56"/>
    </row>
    <row r="2793" spans="1:36" x14ac:dyDescent="0.3">
      <c r="A2793" s="47">
        <f t="shared" si="620"/>
        <v>2524</v>
      </c>
      <c r="B2793" s="414" t="s">
        <v>3496</v>
      </c>
      <c r="C2793" s="51">
        <f t="shared" si="616"/>
        <v>280547.44</v>
      </c>
      <c r="D2793" s="51">
        <f t="shared" si="617"/>
        <v>0</v>
      </c>
      <c r="E2793" s="51"/>
      <c r="F2793" s="51"/>
      <c r="G2793" s="399"/>
      <c r="H2793" s="399"/>
      <c r="I2793" s="51"/>
      <c r="J2793" s="51"/>
      <c r="K2793" s="51"/>
      <c r="L2793" s="51"/>
      <c r="M2793" s="35"/>
      <c r="N2793" s="51"/>
      <c r="O2793" s="82"/>
      <c r="P2793" s="399"/>
      <c r="Q2793" s="338"/>
      <c r="R2793" s="51"/>
      <c r="S2793" s="51"/>
      <c r="T2793" s="338"/>
      <c r="U2793" s="51"/>
      <c r="V2793" s="35"/>
      <c r="W2793" s="51">
        <f t="shared" si="618"/>
        <v>280547.44</v>
      </c>
      <c r="X2793" s="331"/>
      <c r="Y2793" s="48"/>
      <c r="Z2793" s="48">
        <v>86665.18</v>
      </c>
      <c r="AA2793" s="48">
        <v>107484.5</v>
      </c>
      <c r="AB2793" s="48"/>
      <c r="AC2793" s="48"/>
      <c r="AD2793" s="48"/>
      <c r="AE2793" s="48">
        <v>86397.759999999995</v>
      </c>
      <c r="AF2793" s="48"/>
      <c r="AG2793" s="61"/>
      <c r="AH2793" s="62"/>
      <c r="AI2793" s="58"/>
      <c r="AJ2793" s="56"/>
    </row>
    <row r="2794" spans="1:36" x14ac:dyDescent="0.3">
      <c r="A2794" s="47">
        <f t="shared" si="620"/>
        <v>2525</v>
      </c>
      <c r="B2794" s="414" t="s">
        <v>3497</v>
      </c>
      <c r="C2794" s="51">
        <f t="shared" si="616"/>
        <v>552213.59</v>
      </c>
      <c r="D2794" s="51">
        <f t="shared" si="617"/>
        <v>0</v>
      </c>
      <c r="E2794" s="51"/>
      <c r="F2794" s="51"/>
      <c r="G2794" s="399"/>
      <c r="H2794" s="399"/>
      <c r="I2794" s="51"/>
      <c r="J2794" s="51"/>
      <c r="K2794" s="51"/>
      <c r="L2794" s="51"/>
      <c r="M2794" s="35"/>
      <c r="N2794" s="51"/>
      <c r="O2794" s="82"/>
      <c r="P2794" s="399"/>
      <c r="Q2794" s="338"/>
      <c r="R2794" s="51"/>
      <c r="S2794" s="51"/>
      <c r="T2794" s="338"/>
      <c r="U2794" s="51"/>
      <c r="V2794" s="35"/>
      <c r="W2794" s="51">
        <f t="shared" si="618"/>
        <v>552213.59</v>
      </c>
      <c r="X2794" s="331"/>
      <c r="Y2794" s="48"/>
      <c r="Z2794" s="48">
        <v>109099.8</v>
      </c>
      <c r="AA2794" s="48">
        <v>130837.72</v>
      </c>
      <c r="AB2794" s="48"/>
      <c r="AC2794" s="48"/>
      <c r="AD2794" s="48"/>
      <c r="AE2794" s="48">
        <v>110187.85</v>
      </c>
      <c r="AF2794" s="48">
        <v>202088.22</v>
      </c>
      <c r="AG2794" s="61"/>
      <c r="AH2794" s="62"/>
      <c r="AI2794" s="58"/>
      <c r="AJ2794" s="56"/>
    </row>
    <row r="2795" spans="1:36" x14ac:dyDescent="0.3">
      <c r="A2795" s="47">
        <f t="shared" si="620"/>
        <v>2526</v>
      </c>
      <c r="B2795" s="414" t="s">
        <v>3498</v>
      </c>
      <c r="C2795" s="51">
        <f t="shared" si="616"/>
        <v>184736.99</v>
      </c>
      <c r="D2795" s="51">
        <f t="shared" si="617"/>
        <v>0</v>
      </c>
      <c r="E2795" s="51"/>
      <c r="F2795" s="51"/>
      <c r="G2795" s="399"/>
      <c r="H2795" s="399"/>
      <c r="I2795" s="51"/>
      <c r="J2795" s="51"/>
      <c r="K2795" s="51"/>
      <c r="L2795" s="51"/>
      <c r="M2795" s="35"/>
      <c r="N2795" s="51"/>
      <c r="O2795" s="82"/>
      <c r="P2795" s="399"/>
      <c r="Q2795" s="338"/>
      <c r="R2795" s="51"/>
      <c r="S2795" s="51"/>
      <c r="T2795" s="338"/>
      <c r="U2795" s="51"/>
      <c r="V2795" s="35"/>
      <c r="W2795" s="51">
        <f t="shared" si="618"/>
        <v>184736.99</v>
      </c>
      <c r="X2795" s="331"/>
      <c r="Y2795" s="48"/>
      <c r="Z2795" s="48"/>
      <c r="AA2795" s="48"/>
      <c r="AB2795" s="48"/>
      <c r="AC2795" s="48"/>
      <c r="AD2795" s="48"/>
      <c r="AE2795" s="48"/>
      <c r="AF2795" s="48">
        <v>184736.99</v>
      </c>
      <c r="AG2795" s="61"/>
      <c r="AH2795" s="62"/>
      <c r="AI2795" s="58"/>
      <c r="AJ2795" s="56"/>
    </row>
    <row r="2796" spans="1:36" x14ac:dyDescent="0.3">
      <c r="A2796" s="47">
        <f t="shared" si="620"/>
        <v>2527</v>
      </c>
      <c r="B2796" s="414" t="s">
        <v>3499</v>
      </c>
      <c r="C2796" s="51">
        <f t="shared" si="616"/>
        <v>512902.43</v>
      </c>
      <c r="D2796" s="51">
        <f t="shared" si="617"/>
        <v>0</v>
      </c>
      <c r="E2796" s="51"/>
      <c r="F2796" s="51"/>
      <c r="G2796" s="399"/>
      <c r="H2796" s="399"/>
      <c r="I2796" s="51"/>
      <c r="J2796" s="51"/>
      <c r="K2796" s="51"/>
      <c r="L2796" s="51"/>
      <c r="M2796" s="35"/>
      <c r="N2796" s="51"/>
      <c r="O2796" s="82"/>
      <c r="P2796" s="399"/>
      <c r="Q2796" s="338"/>
      <c r="R2796" s="51"/>
      <c r="S2796" s="51"/>
      <c r="T2796" s="338"/>
      <c r="U2796" s="51"/>
      <c r="V2796" s="35"/>
      <c r="W2796" s="51">
        <f t="shared" si="618"/>
        <v>512902.43</v>
      </c>
      <c r="X2796" s="331"/>
      <c r="Y2796" s="48"/>
      <c r="Z2796" s="48">
        <v>100610.26</v>
      </c>
      <c r="AA2796" s="48">
        <v>121971.56</v>
      </c>
      <c r="AB2796" s="48"/>
      <c r="AC2796" s="48"/>
      <c r="AD2796" s="48"/>
      <c r="AE2796" s="48">
        <v>101603.99</v>
      </c>
      <c r="AF2796" s="48">
        <v>188716.62</v>
      </c>
      <c r="AG2796" s="61"/>
      <c r="AH2796" s="62"/>
      <c r="AI2796" s="58"/>
      <c r="AJ2796" s="56"/>
    </row>
    <row r="2797" spans="1:36" x14ac:dyDescent="0.3">
      <c r="A2797" s="47">
        <f t="shared" si="620"/>
        <v>2528</v>
      </c>
      <c r="B2797" s="414" t="s">
        <v>3500</v>
      </c>
      <c r="C2797" s="51">
        <f t="shared" si="616"/>
        <v>511969.97</v>
      </c>
      <c r="D2797" s="51">
        <f t="shared" si="617"/>
        <v>0</v>
      </c>
      <c r="E2797" s="51"/>
      <c r="F2797" s="51"/>
      <c r="G2797" s="399"/>
      <c r="H2797" s="399"/>
      <c r="I2797" s="51"/>
      <c r="J2797" s="51"/>
      <c r="K2797" s="51"/>
      <c r="L2797" s="51"/>
      <c r="M2797" s="35"/>
      <c r="N2797" s="51"/>
      <c r="O2797" s="82"/>
      <c r="P2797" s="399"/>
      <c r="Q2797" s="338"/>
      <c r="R2797" s="51"/>
      <c r="S2797" s="51"/>
      <c r="T2797" s="338"/>
      <c r="U2797" s="51"/>
      <c r="V2797" s="35"/>
      <c r="W2797" s="51">
        <f t="shared" si="618"/>
        <v>511969.97</v>
      </c>
      <c r="X2797" s="331"/>
      <c r="Y2797" s="48"/>
      <c r="Z2797" s="48">
        <v>100411.64</v>
      </c>
      <c r="AA2797" s="48">
        <v>121760.47</v>
      </c>
      <c r="AB2797" s="48"/>
      <c r="AC2797" s="48"/>
      <c r="AD2797" s="48"/>
      <c r="AE2797" s="48">
        <v>101399.62</v>
      </c>
      <c r="AF2797" s="48">
        <v>188398.24</v>
      </c>
      <c r="AG2797" s="61"/>
      <c r="AH2797" s="62"/>
      <c r="AI2797" s="58"/>
      <c r="AJ2797" s="56"/>
    </row>
    <row r="2798" spans="1:36" x14ac:dyDescent="0.3">
      <c r="A2798" s="47">
        <f t="shared" si="620"/>
        <v>2529</v>
      </c>
      <c r="B2798" s="414" t="s">
        <v>3501</v>
      </c>
      <c r="C2798" s="51">
        <f t="shared" si="616"/>
        <v>451684.05000000005</v>
      </c>
      <c r="D2798" s="51">
        <f t="shared" si="617"/>
        <v>0</v>
      </c>
      <c r="E2798" s="51"/>
      <c r="F2798" s="51"/>
      <c r="G2798" s="399"/>
      <c r="H2798" s="399"/>
      <c r="I2798" s="51"/>
      <c r="J2798" s="51"/>
      <c r="K2798" s="51"/>
      <c r="L2798" s="51"/>
      <c r="M2798" s="35"/>
      <c r="N2798" s="51"/>
      <c r="O2798" s="82"/>
      <c r="P2798" s="399"/>
      <c r="Q2798" s="338"/>
      <c r="R2798" s="51"/>
      <c r="S2798" s="51"/>
      <c r="T2798" s="338"/>
      <c r="U2798" s="51"/>
      <c r="V2798" s="35"/>
      <c r="W2798" s="51">
        <f t="shared" si="618"/>
        <v>451684.05000000005</v>
      </c>
      <c r="X2798" s="331"/>
      <c r="Y2798" s="48"/>
      <c r="Z2798" s="48">
        <v>87292.479999999996</v>
      </c>
      <c r="AA2798" s="48">
        <v>108138.53</v>
      </c>
      <c r="AB2798" s="48"/>
      <c r="AC2798" s="48"/>
      <c r="AD2798" s="48"/>
      <c r="AE2798" s="48">
        <v>87019.81</v>
      </c>
      <c r="AF2798" s="48">
        <v>169233.23</v>
      </c>
      <c r="AG2798" s="61"/>
      <c r="AH2798" s="62"/>
      <c r="AI2798" s="58"/>
      <c r="AJ2798" s="56"/>
    </row>
    <row r="2799" spans="1:36" x14ac:dyDescent="0.3">
      <c r="A2799" s="47">
        <f t="shared" si="620"/>
        <v>2530</v>
      </c>
      <c r="B2799" s="414" t="s">
        <v>3502</v>
      </c>
      <c r="C2799" s="51">
        <f t="shared" si="616"/>
        <v>497461.4</v>
      </c>
      <c r="D2799" s="51">
        <f t="shared" si="617"/>
        <v>0</v>
      </c>
      <c r="E2799" s="51"/>
      <c r="F2799" s="51"/>
      <c r="G2799" s="399"/>
      <c r="H2799" s="399"/>
      <c r="I2799" s="51"/>
      <c r="J2799" s="51"/>
      <c r="K2799" s="51"/>
      <c r="L2799" s="51"/>
      <c r="M2799" s="35"/>
      <c r="N2799" s="51"/>
      <c r="O2799" s="82"/>
      <c r="P2799" s="399"/>
      <c r="Q2799" s="338"/>
      <c r="R2799" s="51"/>
      <c r="S2799" s="51"/>
      <c r="T2799" s="338"/>
      <c r="U2799" s="51"/>
      <c r="V2799" s="35"/>
      <c r="W2799" s="51">
        <f t="shared" si="618"/>
        <v>497461.4</v>
      </c>
      <c r="X2799" s="331"/>
      <c r="Y2799" s="48"/>
      <c r="Z2799" s="48">
        <v>97277.7</v>
      </c>
      <c r="AA2799" s="48">
        <v>118488.43</v>
      </c>
      <c r="AB2799" s="48"/>
      <c r="AC2799" s="48"/>
      <c r="AD2799" s="48"/>
      <c r="AE2799" s="48">
        <v>98231.77</v>
      </c>
      <c r="AF2799" s="48">
        <v>183463.5</v>
      </c>
      <c r="AG2799" s="61"/>
      <c r="AH2799" s="62"/>
      <c r="AI2799" s="58"/>
      <c r="AJ2799" s="56"/>
    </row>
    <row r="2800" spans="1:36" x14ac:dyDescent="0.3">
      <c r="A2800" s="47">
        <f t="shared" si="620"/>
        <v>2531</v>
      </c>
      <c r="B2800" s="414" t="s">
        <v>3503</v>
      </c>
      <c r="C2800" s="51">
        <f t="shared" si="616"/>
        <v>455503.51</v>
      </c>
      <c r="D2800" s="51">
        <f t="shared" si="617"/>
        <v>0</v>
      </c>
      <c r="E2800" s="51"/>
      <c r="F2800" s="51"/>
      <c r="G2800" s="399"/>
      <c r="H2800" s="399"/>
      <c r="I2800" s="51"/>
      <c r="J2800" s="51"/>
      <c r="K2800" s="51"/>
      <c r="L2800" s="51"/>
      <c r="M2800" s="35"/>
      <c r="N2800" s="51"/>
      <c r="O2800" s="82"/>
      <c r="P2800" s="399"/>
      <c r="Q2800" s="338"/>
      <c r="R2800" s="51"/>
      <c r="S2800" s="51"/>
      <c r="T2800" s="338"/>
      <c r="U2800" s="51"/>
      <c r="V2800" s="35"/>
      <c r="W2800" s="51">
        <f t="shared" si="618"/>
        <v>455503.51</v>
      </c>
      <c r="X2800" s="331"/>
      <c r="Y2800" s="48"/>
      <c r="Z2800" s="48">
        <v>88118.21</v>
      </c>
      <c r="AA2800" s="48">
        <v>108999.03999999999</v>
      </c>
      <c r="AB2800" s="48"/>
      <c r="AC2800" s="48"/>
      <c r="AD2800" s="48"/>
      <c r="AE2800" s="48">
        <v>87838.34</v>
      </c>
      <c r="AF2800" s="48">
        <v>170547.92</v>
      </c>
      <c r="AG2800" s="61"/>
      <c r="AH2800" s="62"/>
      <c r="AI2800" s="58"/>
      <c r="AJ2800" s="56"/>
    </row>
    <row r="2801" spans="1:36" x14ac:dyDescent="0.3">
      <c r="A2801" s="47">
        <f t="shared" si="620"/>
        <v>2532</v>
      </c>
      <c r="B2801" s="414" t="s">
        <v>3504</v>
      </c>
      <c r="C2801" s="51">
        <f t="shared" si="616"/>
        <v>457792.75</v>
      </c>
      <c r="D2801" s="51">
        <f t="shared" si="617"/>
        <v>0</v>
      </c>
      <c r="E2801" s="51"/>
      <c r="F2801" s="51"/>
      <c r="G2801" s="399"/>
      <c r="H2801" s="399"/>
      <c r="I2801" s="51"/>
      <c r="J2801" s="51"/>
      <c r="K2801" s="51"/>
      <c r="L2801" s="51"/>
      <c r="M2801" s="35"/>
      <c r="N2801" s="51"/>
      <c r="O2801" s="82"/>
      <c r="P2801" s="399"/>
      <c r="Q2801" s="338"/>
      <c r="R2801" s="51"/>
      <c r="S2801" s="51"/>
      <c r="T2801" s="338"/>
      <c r="U2801" s="51"/>
      <c r="V2801" s="35"/>
      <c r="W2801" s="51">
        <f t="shared" si="618"/>
        <v>457792.75</v>
      </c>
      <c r="X2801" s="331"/>
      <c r="Y2801" s="48"/>
      <c r="Z2801" s="48">
        <v>88611.17</v>
      </c>
      <c r="AA2801" s="48">
        <v>109515.35</v>
      </c>
      <c r="AB2801" s="48"/>
      <c r="AC2801" s="48"/>
      <c r="AD2801" s="48"/>
      <c r="AE2801" s="48">
        <v>88329.46</v>
      </c>
      <c r="AF2801" s="48">
        <v>171336.77</v>
      </c>
      <c r="AG2801" s="61"/>
      <c r="AH2801" s="62"/>
      <c r="AI2801" s="58"/>
      <c r="AJ2801" s="56"/>
    </row>
    <row r="2802" spans="1:36" x14ac:dyDescent="0.3">
      <c r="A2802" s="47">
        <f t="shared" si="620"/>
        <v>2533</v>
      </c>
      <c r="B2802" s="414" t="s">
        <v>3505</v>
      </c>
      <c r="C2802" s="51">
        <f t="shared" si="616"/>
        <v>350125.37</v>
      </c>
      <c r="D2802" s="51">
        <f t="shared" si="617"/>
        <v>0</v>
      </c>
      <c r="E2802" s="51"/>
      <c r="F2802" s="51"/>
      <c r="G2802" s="399"/>
      <c r="H2802" s="399"/>
      <c r="I2802" s="51"/>
      <c r="J2802" s="51"/>
      <c r="K2802" s="51"/>
      <c r="L2802" s="51"/>
      <c r="M2802" s="35"/>
      <c r="N2802" s="51"/>
      <c r="O2802" s="82"/>
      <c r="P2802" s="399"/>
      <c r="Q2802" s="338"/>
      <c r="R2802" s="51"/>
      <c r="S2802" s="51"/>
      <c r="T2802" s="338"/>
      <c r="U2802" s="51"/>
      <c r="V2802" s="35"/>
      <c r="W2802" s="51">
        <f t="shared" si="618"/>
        <v>350125.37</v>
      </c>
      <c r="X2802" s="331"/>
      <c r="Y2802" s="48"/>
      <c r="Z2802" s="48">
        <v>109099.8</v>
      </c>
      <c r="AA2802" s="48">
        <v>130837.72</v>
      </c>
      <c r="AB2802" s="48"/>
      <c r="AC2802" s="48"/>
      <c r="AD2802" s="48"/>
      <c r="AE2802" s="48">
        <v>110187.85</v>
      </c>
      <c r="AF2802" s="48"/>
      <c r="AG2802" s="61"/>
      <c r="AH2802" s="62"/>
      <c r="AI2802" s="58"/>
      <c r="AJ2802" s="56"/>
    </row>
    <row r="2803" spans="1:36" x14ac:dyDescent="0.3">
      <c r="A2803" s="47">
        <f t="shared" si="620"/>
        <v>2534</v>
      </c>
      <c r="B2803" s="414" t="s">
        <v>3506</v>
      </c>
      <c r="C2803" s="51">
        <f t="shared" si="616"/>
        <v>529197.59</v>
      </c>
      <c r="D2803" s="51">
        <f t="shared" si="617"/>
        <v>0</v>
      </c>
      <c r="E2803" s="51"/>
      <c r="F2803" s="51"/>
      <c r="G2803" s="399"/>
      <c r="H2803" s="399"/>
      <c r="I2803" s="51"/>
      <c r="J2803" s="51"/>
      <c r="K2803" s="51"/>
      <c r="L2803" s="51"/>
      <c r="M2803" s="35"/>
      <c r="N2803" s="51"/>
      <c r="O2803" s="82"/>
      <c r="P2803" s="399"/>
      <c r="Q2803" s="338"/>
      <c r="R2803" s="51"/>
      <c r="S2803" s="51"/>
      <c r="T2803" s="338"/>
      <c r="U2803" s="51"/>
      <c r="V2803" s="35"/>
      <c r="W2803" s="51">
        <f t="shared" si="618"/>
        <v>529197.59</v>
      </c>
      <c r="X2803" s="331"/>
      <c r="Y2803" s="48"/>
      <c r="Z2803" s="48"/>
      <c r="AA2803" s="48"/>
      <c r="AB2803" s="48"/>
      <c r="AC2803" s="48"/>
      <c r="AD2803" s="48"/>
      <c r="AE2803" s="48"/>
      <c r="AF2803" s="48"/>
      <c r="AG2803" s="61"/>
      <c r="AH2803" s="62">
        <v>529197.59</v>
      </c>
      <c r="AI2803" s="58"/>
      <c r="AJ2803" s="56"/>
    </row>
    <row r="2804" spans="1:36" x14ac:dyDescent="0.3">
      <c r="A2804" s="47">
        <f t="shared" si="620"/>
        <v>2535</v>
      </c>
      <c r="B2804" s="414" t="s">
        <v>3507</v>
      </c>
      <c r="C2804" s="51">
        <f t="shared" si="616"/>
        <v>364949.73</v>
      </c>
      <c r="D2804" s="51">
        <f t="shared" si="617"/>
        <v>0</v>
      </c>
      <c r="E2804" s="51"/>
      <c r="F2804" s="51"/>
      <c r="G2804" s="399"/>
      <c r="H2804" s="399"/>
      <c r="I2804" s="51"/>
      <c r="J2804" s="51"/>
      <c r="K2804" s="51"/>
      <c r="L2804" s="51"/>
      <c r="M2804" s="35"/>
      <c r="N2804" s="51"/>
      <c r="O2804" s="82"/>
      <c r="P2804" s="399"/>
      <c r="Q2804" s="338"/>
      <c r="R2804" s="51"/>
      <c r="S2804" s="51"/>
      <c r="T2804" s="338"/>
      <c r="U2804" s="51"/>
      <c r="V2804" s="35"/>
      <c r="W2804" s="51">
        <f t="shared" si="618"/>
        <v>364949.73</v>
      </c>
      <c r="X2804" s="331"/>
      <c r="Y2804" s="48"/>
      <c r="Z2804" s="48">
        <v>113952.76</v>
      </c>
      <c r="AA2804" s="48">
        <v>135904.07</v>
      </c>
      <c r="AB2804" s="48"/>
      <c r="AC2804" s="48"/>
      <c r="AD2804" s="48"/>
      <c r="AE2804" s="48">
        <v>115092.9</v>
      </c>
      <c r="AF2804" s="48"/>
      <c r="AG2804" s="61"/>
      <c r="AH2804" s="62"/>
      <c r="AI2804" s="58"/>
      <c r="AJ2804" s="56"/>
    </row>
    <row r="2805" spans="1:36" x14ac:dyDescent="0.3">
      <c r="A2805" s="47">
        <f t="shared" si="620"/>
        <v>2536</v>
      </c>
      <c r="B2805" s="414" t="s">
        <v>3508</v>
      </c>
      <c r="C2805" s="51">
        <f t="shared" si="616"/>
        <v>551655.33000000007</v>
      </c>
      <c r="D2805" s="51">
        <f t="shared" si="617"/>
        <v>0</v>
      </c>
      <c r="E2805" s="51"/>
      <c r="F2805" s="51"/>
      <c r="G2805" s="399"/>
      <c r="H2805" s="399"/>
      <c r="I2805" s="51"/>
      <c r="J2805" s="51"/>
      <c r="K2805" s="51"/>
      <c r="L2805" s="51"/>
      <c r="M2805" s="35"/>
      <c r="N2805" s="51"/>
      <c r="O2805" s="82"/>
      <c r="P2805" s="399"/>
      <c r="Q2805" s="338"/>
      <c r="R2805" s="51"/>
      <c r="S2805" s="51"/>
      <c r="T2805" s="338"/>
      <c r="U2805" s="51"/>
      <c r="V2805" s="35"/>
      <c r="W2805" s="51">
        <f t="shared" si="618"/>
        <v>551655.33000000007</v>
      </c>
      <c r="X2805" s="331"/>
      <c r="Y2805" s="48"/>
      <c r="Z2805" s="48">
        <v>114256.81</v>
      </c>
      <c r="AA2805" s="48">
        <v>136220.74</v>
      </c>
      <c r="AB2805" s="48"/>
      <c r="AC2805" s="48"/>
      <c r="AD2805" s="48"/>
      <c r="AE2805" s="48">
        <v>115399.46</v>
      </c>
      <c r="AF2805" s="48">
        <v>185778.32</v>
      </c>
      <c r="AG2805" s="61"/>
      <c r="AH2805" s="62"/>
      <c r="AI2805" s="58"/>
      <c r="AJ2805" s="56"/>
    </row>
    <row r="2806" spans="1:36" x14ac:dyDescent="0.3">
      <c r="A2806" s="47">
        <f t="shared" si="620"/>
        <v>2537</v>
      </c>
      <c r="B2806" s="414" t="s">
        <v>3509</v>
      </c>
      <c r="C2806" s="51">
        <f t="shared" si="616"/>
        <v>446576.33999999997</v>
      </c>
      <c r="D2806" s="51">
        <f t="shared" si="617"/>
        <v>0</v>
      </c>
      <c r="E2806" s="51"/>
      <c r="F2806" s="51"/>
      <c r="G2806" s="399"/>
      <c r="H2806" s="399"/>
      <c r="I2806" s="51"/>
      <c r="J2806" s="51"/>
      <c r="K2806" s="51"/>
      <c r="L2806" s="51"/>
      <c r="M2806" s="35"/>
      <c r="N2806" s="51"/>
      <c r="O2806" s="82"/>
      <c r="P2806" s="399"/>
      <c r="Q2806" s="338"/>
      <c r="R2806" s="51"/>
      <c r="S2806" s="51"/>
      <c r="T2806" s="338"/>
      <c r="U2806" s="51"/>
      <c r="V2806" s="35"/>
      <c r="W2806" s="51">
        <f t="shared" si="618"/>
        <v>446576.33999999997</v>
      </c>
      <c r="X2806" s="331"/>
      <c r="Y2806" s="48"/>
      <c r="Z2806" s="48">
        <v>86376.05</v>
      </c>
      <c r="AA2806" s="48">
        <v>106933.79</v>
      </c>
      <c r="AB2806" s="48"/>
      <c r="AC2806" s="48"/>
      <c r="AD2806" s="48"/>
      <c r="AE2806" s="48">
        <v>85873.919999999998</v>
      </c>
      <c r="AF2806" s="48">
        <v>167392.57999999999</v>
      </c>
      <c r="AG2806" s="61"/>
      <c r="AH2806" s="62"/>
      <c r="AI2806" s="58"/>
      <c r="AJ2806" s="56"/>
    </row>
    <row r="2807" spans="1:36" x14ac:dyDescent="0.3">
      <c r="A2807" s="47"/>
      <c r="B2807" s="414" t="s">
        <v>211</v>
      </c>
      <c r="C2807" s="51">
        <f t="shared" ref="C2807:W2807" si="621">SUM(C2759:C2806)</f>
        <v>23176738.150000002</v>
      </c>
      <c r="D2807" s="51">
        <f t="shared" si="621"/>
        <v>0</v>
      </c>
      <c r="E2807" s="51">
        <f t="shared" si="621"/>
        <v>0</v>
      </c>
      <c r="F2807" s="51">
        <f t="shared" si="621"/>
        <v>0</v>
      </c>
      <c r="G2807" s="51">
        <f t="shared" si="621"/>
        <v>0</v>
      </c>
      <c r="H2807" s="51">
        <f t="shared" si="621"/>
        <v>0</v>
      </c>
      <c r="I2807" s="51">
        <f t="shared" si="621"/>
        <v>0</v>
      </c>
      <c r="J2807" s="51">
        <f t="shared" si="621"/>
        <v>0</v>
      </c>
      <c r="K2807" s="51">
        <f t="shared" si="621"/>
        <v>0</v>
      </c>
      <c r="L2807" s="51">
        <f t="shared" si="621"/>
        <v>0</v>
      </c>
      <c r="M2807" s="35">
        <f t="shared" si="621"/>
        <v>0</v>
      </c>
      <c r="N2807" s="51">
        <f t="shared" si="621"/>
        <v>0</v>
      </c>
      <c r="O2807" s="82">
        <f t="shared" si="621"/>
        <v>0</v>
      </c>
      <c r="P2807" s="51">
        <f t="shared" si="621"/>
        <v>0</v>
      </c>
      <c r="Q2807" s="338">
        <f t="shared" si="621"/>
        <v>0</v>
      </c>
      <c r="R2807" s="51">
        <f t="shared" si="621"/>
        <v>0</v>
      </c>
      <c r="S2807" s="51">
        <f t="shared" si="621"/>
        <v>0</v>
      </c>
      <c r="T2807" s="338">
        <f t="shared" si="621"/>
        <v>0</v>
      </c>
      <c r="U2807" s="51">
        <f t="shared" si="621"/>
        <v>0</v>
      </c>
      <c r="V2807" s="35">
        <f t="shared" si="621"/>
        <v>0</v>
      </c>
      <c r="W2807" s="51">
        <f t="shared" si="621"/>
        <v>23176738.150000002</v>
      </c>
      <c r="X2807" s="331"/>
      <c r="Y2807" s="48"/>
      <c r="Z2807" s="48"/>
      <c r="AA2807" s="48"/>
      <c r="AB2807" s="48"/>
      <c r="AC2807" s="48"/>
      <c r="AD2807" s="48"/>
      <c r="AE2807" s="48"/>
      <c r="AF2807" s="48"/>
      <c r="AG2807" s="61"/>
      <c r="AH2807" s="62"/>
      <c r="AI2807" s="58"/>
      <c r="AJ2807" s="56"/>
    </row>
    <row r="2808" spans="1:36" ht="15" customHeight="1" x14ac:dyDescent="0.3">
      <c r="A2808" s="434" t="s">
        <v>2727</v>
      </c>
      <c r="B2808" s="414"/>
      <c r="C2808" s="51"/>
      <c r="D2808" s="51"/>
      <c r="E2808" s="51"/>
      <c r="F2808" s="51"/>
      <c r="G2808" s="51"/>
      <c r="H2808" s="51"/>
      <c r="I2808" s="51"/>
      <c r="J2808" s="51"/>
      <c r="K2808" s="51"/>
      <c r="L2808" s="51"/>
      <c r="M2808" s="35"/>
      <c r="N2808" s="51"/>
      <c r="O2808" s="82"/>
      <c r="P2808" s="51"/>
      <c r="Q2808" s="338"/>
      <c r="R2808" s="51"/>
      <c r="S2808" s="51"/>
      <c r="T2808" s="338"/>
      <c r="U2808" s="51"/>
      <c r="V2808" s="35"/>
      <c r="W2808" s="51"/>
      <c r="X2808" s="331"/>
      <c r="Y2808" s="48"/>
      <c r="Z2808" s="48"/>
      <c r="AA2808" s="48"/>
      <c r="AB2808" s="48"/>
      <c r="AC2808" s="48"/>
      <c r="AD2808" s="48"/>
      <c r="AE2808" s="48"/>
      <c r="AF2808" s="48"/>
      <c r="AG2808" s="61"/>
      <c r="AH2808" s="62"/>
      <c r="AI2808" s="58"/>
      <c r="AJ2808" s="56"/>
    </row>
    <row r="2809" spans="1:36" x14ac:dyDescent="0.3">
      <c r="A2809" s="47">
        <f>A2806+1</f>
        <v>2538</v>
      </c>
      <c r="B2809" s="414" t="s">
        <v>3518</v>
      </c>
      <c r="C2809" s="51">
        <f t="shared" ref="C2809:C2819" si="622">D2809+K2809+L2809+N2809+P2809+R2809+S2809+U2809+V2809+W2809</f>
        <v>307470.3</v>
      </c>
      <c r="D2809" s="51">
        <f t="shared" ref="D2809:D2819" si="623">E2809+F2809+G2809+H2809+I2809</f>
        <v>0</v>
      </c>
      <c r="E2809" s="51"/>
      <c r="F2809" s="51"/>
      <c r="G2809" s="51"/>
      <c r="H2809" s="51"/>
      <c r="I2809" s="51"/>
      <c r="J2809" s="51"/>
      <c r="K2809" s="51"/>
      <c r="L2809" s="51"/>
      <c r="M2809" s="35"/>
      <c r="N2809" s="51"/>
      <c r="O2809" s="82"/>
      <c r="P2809" s="51"/>
      <c r="Q2809" s="338"/>
      <c r="R2809" s="51"/>
      <c r="S2809" s="51"/>
      <c r="T2809" s="338"/>
      <c r="U2809" s="51"/>
      <c r="V2809" s="35"/>
      <c r="W2809" s="51">
        <f t="shared" ref="W2809:W2815" si="624">SUM(Z2809:AI2809)</f>
        <v>307470.3</v>
      </c>
      <c r="X2809" s="331"/>
      <c r="Y2809" s="48"/>
      <c r="Z2809" s="48"/>
      <c r="AA2809" s="48"/>
      <c r="AB2809" s="48"/>
      <c r="AC2809" s="48"/>
      <c r="AD2809" s="48"/>
      <c r="AE2809" s="48"/>
      <c r="AF2809" s="48">
        <v>186219.35</v>
      </c>
      <c r="AG2809" s="61">
        <v>121250.95</v>
      </c>
      <c r="AH2809" s="62"/>
      <c r="AI2809" s="58"/>
      <c r="AJ2809" s="56"/>
    </row>
    <row r="2810" spans="1:36" x14ac:dyDescent="0.3">
      <c r="A2810" s="47">
        <f t="shared" ref="A2810:A2813" si="625">A2809+1</f>
        <v>2539</v>
      </c>
      <c r="B2810" s="414" t="s">
        <v>3519</v>
      </c>
      <c r="C2810" s="51">
        <f t="shared" si="622"/>
        <v>243139.82</v>
      </c>
      <c r="D2810" s="51">
        <f t="shared" si="623"/>
        <v>0</v>
      </c>
      <c r="E2810" s="51"/>
      <c r="F2810" s="51"/>
      <c r="G2810" s="51"/>
      <c r="H2810" s="51"/>
      <c r="I2810" s="51"/>
      <c r="J2810" s="51"/>
      <c r="K2810" s="51"/>
      <c r="L2810" s="51"/>
      <c r="M2810" s="35"/>
      <c r="N2810" s="51"/>
      <c r="O2810" s="82"/>
      <c r="P2810" s="51"/>
      <c r="Q2810" s="338"/>
      <c r="R2810" s="51"/>
      <c r="S2810" s="51"/>
      <c r="T2810" s="338"/>
      <c r="U2810" s="51"/>
      <c r="V2810" s="35"/>
      <c r="W2810" s="51">
        <f t="shared" si="624"/>
        <v>243139.82</v>
      </c>
      <c r="X2810" s="331"/>
      <c r="Y2810" s="48"/>
      <c r="Z2810" s="48"/>
      <c r="AA2810" s="48"/>
      <c r="AB2810" s="48"/>
      <c r="AC2810" s="48"/>
      <c r="AD2810" s="48"/>
      <c r="AE2810" s="48"/>
      <c r="AF2810" s="48">
        <v>147885.49</v>
      </c>
      <c r="AG2810" s="61">
        <v>95254.33</v>
      </c>
      <c r="AH2810" s="62"/>
      <c r="AI2810" s="58"/>
      <c r="AJ2810" s="56"/>
    </row>
    <row r="2811" spans="1:36" x14ac:dyDescent="0.3">
      <c r="A2811" s="47">
        <f t="shared" si="625"/>
        <v>2540</v>
      </c>
      <c r="B2811" s="414" t="s">
        <v>3520</v>
      </c>
      <c r="C2811" s="51">
        <f t="shared" si="622"/>
        <v>308805.28999999998</v>
      </c>
      <c r="D2811" s="51">
        <f t="shared" si="623"/>
        <v>0</v>
      </c>
      <c r="E2811" s="51"/>
      <c r="F2811" s="51"/>
      <c r="G2811" s="51"/>
      <c r="H2811" s="51"/>
      <c r="I2811" s="51"/>
      <c r="J2811" s="51"/>
      <c r="K2811" s="51"/>
      <c r="L2811" s="51"/>
      <c r="M2811" s="35"/>
      <c r="N2811" s="51"/>
      <c r="O2811" s="82"/>
      <c r="P2811" s="51"/>
      <c r="Q2811" s="338"/>
      <c r="R2811" s="51"/>
      <c r="S2811" s="51"/>
      <c r="T2811" s="338"/>
      <c r="U2811" s="51"/>
      <c r="V2811" s="35"/>
      <c r="W2811" s="51">
        <f t="shared" si="624"/>
        <v>308805.28999999998</v>
      </c>
      <c r="X2811" s="331"/>
      <c r="Y2811" s="48"/>
      <c r="Z2811" s="48"/>
      <c r="AA2811" s="48"/>
      <c r="AB2811" s="48"/>
      <c r="AC2811" s="48"/>
      <c r="AD2811" s="48"/>
      <c r="AE2811" s="48"/>
      <c r="AF2811" s="48">
        <v>187008.18</v>
      </c>
      <c r="AG2811" s="61">
        <v>121797.11</v>
      </c>
      <c r="AH2811" s="62"/>
      <c r="AI2811" s="58"/>
      <c r="AJ2811" s="56"/>
    </row>
    <row r="2812" spans="1:36" x14ac:dyDescent="0.3">
      <c r="A2812" s="47">
        <f t="shared" si="625"/>
        <v>2541</v>
      </c>
      <c r="B2812" s="414" t="s">
        <v>3521</v>
      </c>
      <c r="C2812" s="51">
        <f t="shared" si="622"/>
        <v>328919.01</v>
      </c>
      <c r="D2812" s="51">
        <f t="shared" si="623"/>
        <v>0</v>
      </c>
      <c r="E2812" s="51"/>
      <c r="F2812" s="51"/>
      <c r="G2812" s="51"/>
      <c r="H2812" s="51"/>
      <c r="I2812" s="51"/>
      <c r="J2812" s="51"/>
      <c r="K2812" s="51"/>
      <c r="L2812" s="51"/>
      <c r="M2812" s="35"/>
      <c r="N2812" s="51"/>
      <c r="O2812" s="82"/>
      <c r="P2812" s="51"/>
      <c r="Q2812" s="338"/>
      <c r="R2812" s="51"/>
      <c r="S2812" s="51"/>
      <c r="T2812" s="338"/>
      <c r="U2812" s="51"/>
      <c r="V2812" s="35"/>
      <c r="W2812" s="51">
        <f t="shared" si="624"/>
        <v>328919.01</v>
      </c>
      <c r="X2812" s="331"/>
      <c r="Y2812" s="48"/>
      <c r="Z2812" s="48"/>
      <c r="AA2812" s="48"/>
      <c r="AB2812" s="48"/>
      <c r="AC2812" s="48"/>
      <c r="AD2812" s="48"/>
      <c r="AE2812" s="48"/>
      <c r="AF2812" s="48">
        <v>198893.23</v>
      </c>
      <c r="AG2812" s="61">
        <v>130025.78</v>
      </c>
      <c r="AH2812" s="62"/>
      <c r="AI2812" s="58"/>
      <c r="AJ2812" s="56"/>
    </row>
    <row r="2813" spans="1:36" x14ac:dyDescent="0.3">
      <c r="A2813" s="47">
        <f t="shared" si="625"/>
        <v>2542</v>
      </c>
      <c r="B2813" s="414" t="s">
        <v>3522</v>
      </c>
      <c r="C2813" s="51">
        <f t="shared" si="622"/>
        <v>327762.02</v>
      </c>
      <c r="D2813" s="51">
        <f t="shared" si="623"/>
        <v>0</v>
      </c>
      <c r="E2813" s="51"/>
      <c r="F2813" s="51"/>
      <c r="G2813" s="51"/>
      <c r="H2813" s="51"/>
      <c r="I2813" s="51"/>
      <c r="J2813" s="51"/>
      <c r="K2813" s="51"/>
      <c r="L2813" s="51"/>
      <c r="M2813" s="35"/>
      <c r="N2813" s="51"/>
      <c r="O2813" s="82"/>
      <c r="P2813" s="51"/>
      <c r="Q2813" s="338"/>
      <c r="R2813" s="51"/>
      <c r="S2813" s="51"/>
      <c r="T2813" s="338"/>
      <c r="U2813" s="51"/>
      <c r="V2813" s="35"/>
      <c r="W2813" s="51">
        <f t="shared" si="624"/>
        <v>327762.02</v>
      </c>
      <c r="X2813" s="331"/>
      <c r="Y2813" s="48"/>
      <c r="Z2813" s="48"/>
      <c r="AA2813" s="48"/>
      <c r="AB2813" s="48"/>
      <c r="AC2813" s="48"/>
      <c r="AD2813" s="48"/>
      <c r="AE2813" s="48"/>
      <c r="AF2813" s="48">
        <v>198209.58</v>
      </c>
      <c r="AG2813" s="61">
        <v>129552.44</v>
      </c>
      <c r="AH2813" s="62"/>
      <c r="AI2813" s="58"/>
      <c r="AJ2813" s="56"/>
    </row>
    <row r="2814" spans="1:36" x14ac:dyDescent="0.3">
      <c r="A2814" s="47">
        <f t="shared" ref="A2814:A2819" si="626">A2813+1</f>
        <v>2543</v>
      </c>
      <c r="B2814" s="414" t="s">
        <v>3523</v>
      </c>
      <c r="C2814" s="51">
        <f t="shared" si="622"/>
        <v>173554.6</v>
      </c>
      <c r="D2814" s="51">
        <f t="shared" si="623"/>
        <v>0</v>
      </c>
      <c r="E2814" s="51"/>
      <c r="F2814" s="51"/>
      <c r="G2814" s="51"/>
      <c r="H2814" s="51"/>
      <c r="I2814" s="51"/>
      <c r="J2814" s="51"/>
      <c r="K2814" s="51"/>
      <c r="L2814" s="51"/>
      <c r="M2814" s="35"/>
      <c r="N2814" s="51"/>
      <c r="O2814" s="82"/>
      <c r="P2814" s="51"/>
      <c r="Q2814" s="338"/>
      <c r="R2814" s="51"/>
      <c r="S2814" s="51"/>
      <c r="T2814" s="338"/>
      <c r="U2814" s="51"/>
      <c r="V2814" s="35">
        <v>0</v>
      </c>
      <c r="W2814" s="51">
        <f t="shared" si="624"/>
        <v>173554.6</v>
      </c>
      <c r="X2814" s="331" t="s">
        <v>3524</v>
      </c>
      <c r="Y2814" s="48"/>
      <c r="Z2814" s="48"/>
      <c r="AA2814" s="48"/>
      <c r="AB2814" s="48"/>
      <c r="AC2814" s="48"/>
      <c r="AD2814" s="48"/>
      <c r="AE2814" s="48"/>
      <c r="AF2814" s="48"/>
      <c r="AG2814" s="61">
        <v>173554.6</v>
      </c>
      <c r="AH2814" s="62"/>
      <c r="AI2814" s="58"/>
      <c r="AJ2814" s="56"/>
    </row>
    <row r="2815" spans="1:36" x14ac:dyDescent="0.3">
      <c r="A2815" s="47">
        <f t="shared" si="626"/>
        <v>2544</v>
      </c>
      <c r="B2815" s="414" t="s">
        <v>3525</v>
      </c>
      <c r="C2815" s="51">
        <f t="shared" si="622"/>
        <v>442031.64</v>
      </c>
      <c r="D2815" s="51">
        <f t="shared" si="623"/>
        <v>0</v>
      </c>
      <c r="E2815" s="51"/>
      <c r="F2815" s="51"/>
      <c r="G2815" s="51"/>
      <c r="H2815" s="51"/>
      <c r="I2815" s="51"/>
      <c r="J2815" s="51"/>
      <c r="K2815" s="51"/>
      <c r="L2815" s="51"/>
      <c r="M2815" s="35"/>
      <c r="N2815" s="51"/>
      <c r="O2815" s="82"/>
      <c r="P2815" s="51"/>
      <c r="Q2815" s="338"/>
      <c r="R2815" s="51"/>
      <c r="S2815" s="51"/>
      <c r="T2815" s="338"/>
      <c r="U2815" s="51"/>
      <c r="V2815" s="35"/>
      <c r="W2815" s="51">
        <f t="shared" si="624"/>
        <v>442031.64</v>
      </c>
      <c r="X2815" s="331"/>
      <c r="Y2815" s="48"/>
      <c r="Z2815" s="48"/>
      <c r="AA2815" s="48">
        <v>235210.92</v>
      </c>
      <c r="AB2815" s="48">
        <v>206820.72</v>
      </c>
      <c r="AC2815" s="48"/>
      <c r="AD2815" s="48"/>
      <c r="AE2815" s="48"/>
      <c r="AF2815" s="48"/>
      <c r="AG2815" s="61"/>
      <c r="AH2815" s="62"/>
      <c r="AI2815" s="58"/>
      <c r="AJ2815" s="56"/>
    </row>
    <row r="2816" spans="1:36" x14ac:dyDescent="0.3">
      <c r="A2816" s="47">
        <f t="shared" si="626"/>
        <v>2545</v>
      </c>
      <c r="B2816" s="414" t="s">
        <v>3530</v>
      </c>
      <c r="C2816" s="51">
        <f t="shared" si="622"/>
        <v>5283571.2</v>
      </c>
      <c r="D2816" s="51">
        <f t="shared" si="623"/>
        <v>0</v>
      </c>
      <c r="E2816" s="51"/>
      <c r="F2816" s="51"/>
      <c r="G2816" s="51"/>
      <c r="H2816" s="51"/>
      <c r="I2816" s="51"/>
      <c r="J2816" s="51"/>
      <c r="K2816" s="51"/>
      <c r="L2816" s="51"/>
      <c r="M2816" s="35"/>
      <c r="N2816" s="51"/>
      <c r="O2816" s="82">
        <v>637</v>
      </c>
      <c r="P2816" s="51">
        <v>5283571.2</v>
      </c>
      <c r="Q2816" s="338"/>
      <c r="R2816" s="51"/>
      <c r="S2816" s="51"/>
      <c r="T2816" s="338"/>
      <c r="U2816" s="51"/>
      <c r="V2816" s="35"/>
      <c r="W2816" s="51"/>
      <c r="X2816" s="331"/>
      <c r="Y2816" s="48"/>
      <c r="Z2816" s="48"/>
      <c r="AA2816" s="48"/>
      <c r="AB2816" s="48"/>
      <c r="AC2816" s="48"/>
      <c r="AD2816" s="48"/>
      <c r="AE2816" s="48"/>
      <c r="AF2816" s="48"/>
      <c r="AG2816" s="61"/>
      <c r="AH2816" s="62"/>
      <c r="AI2816" s="58"/>
      <c r="AJ2816" s="56"/>
    </row>
    <row r="2817" spans="1:36" x14ac:dyDescent="0.3">
      <c r="A2817" s="47">
        <f t="shared" si="626"/>
        <v>2546</v>
      </c>
      <c r="B2817" s="414" t="s">
        <v>3531</v>
      </c>
      <c r="C2817" s="51">
        <f t="shared" si="622"/>
        <v>677924.61</v>
      </c>
      <c r="D2817" s="51">
        <f t="shared" si="623"/>
        <v>0</v>
      </c>
      <c r="E2817" s="51"/>
      <c r="F2817" s="51"/>
      <c r="G2817" s="51"/>
      <c r="H2817" s="51"/>
      <c r="I2817" s="51"/>
      <c r="J2817" s="51"/>
      <c r="K2817" s="51"/>
      <c r="L2817" s="51"/>
      <c r="M2817" s="35"/>
      <c r="N2817" s="51"/>
      <c r="O2817" s="82"/>
      <c r="P2817" s="51"/>
      <c r="Q2817" s="338"/>
      <c r="R2817" s="51"/>
      <c r="S2817" s="51"/>
      <c r="T2817" s="338"/>
      <c r="U2817" s="51"/>
      <c r="V2817" s="35"/>
      <c r="W2817" s="51">
        <f>SUM(Z2817:AI2817)</f>
        <v>677924.61</v>
      </c>
      <c r="X2817" s="331"/>
      <c r="Y2817" s="48"/>
      <c r="Z2817" s="48"/>
      <c r="AA2817" s="48"/>
      <c r="AB2817" s="48"/>
      <c r="AC2817" s="48"/>
      <c r="AD2817" s="48"/>
      <c r="AE2817" s="48"/>
      <c r="AF2817" s="48">
        <v>498444.68</v>
      </c>
      <c r="AG2817" s="61">
        <v>179479.93</v>
      </c>
      <c r="AH2817" s="62"/>
      <c r="AI2817" s="58"/>
      <c r="AJ2817" s="56"/>
    </row>
    <row r="2818" spans="1:36" x14ac:dyDescent="0.3">
      <c r="A2818" s="47">
        <f t="shared" si="626"/>
        <v>2547</v>
      </c>
      <c r="B2818" s="414" t="s">
        <v>3532</v>
      </c>
      <c r="C2818" s="51">
        <f t="shared" si="622"/>
        <v>804311.62999999989</v>
      </c>
      <c r="D2818" s="51">
        <f t="shared" si="623"/>
        <v>0</v>
      </c>
      <c r="E2818" s="51"/>
      <c r="F2818" s="51"/>
      <c r="G2818" s="51"/>
      <c r="H2818" s="51"/>
      <c r="I2818" s="51"/>
      <c r="J2818" s="51"/>
      <c r="K2818" s="51"/>
      <c r="L2818" s="51"/>
      <c r="M2818" s="35"/>
      <c r="N2818" s="51"/>
      <c r="O2818" s="82"/>
      <c r="P2818" s="51"/>
      <c r="Q2818" s="338"/>
      <c r="R2818" s="51"/>
      <c r="S2818" s="51"/>
      <c r="T2818" s="338"/>
      <c r="U2818" s="51"/>
      <c r="V2818" s="35"/>
      <c r="W2818" s="51">
        <f>SUM(Z2818:AI2818)</f>
        <v>804311.62999999989</v>
      </c>
      <c r="X2818" s="331"/>
      <c r="Y2818" s="48"/>
      <c r="Z2818" s="48"/>
      <c r="AA2818" s="48"/>
      <c r="AB2818" s="48"/>
      <c r="AC2818" s="48"/>
      <c r="AD2818" s="48"/>
      <c r="AE2818" s="48"/>
      <c r="AF2818" s="48">
        <v>538717.31999999995</v>
      </c>
      <c r="AG2818" s="61">
        <v>265594.31</v>
      </c>
      <c r="AH2818" s="62"/>
      <c r="AI2818" s="58"/>
      <c r="AJ2818" s="56"/>
    </row>
    <row r="2819" spans="1:36" x14ac:dyDescent="0.3">
      <c r="A2819" s="47">
        <f t="shared" si="626"/>
        <v>2548</v>
      </c>
      <c r="B2819" s="414" t="s">
        <v>3533</v>
      </c>
      <c r="C2819" s="51">
        <f t="shared" si="622"/>
        <v>4217338.03</v>
      </c>
      <c r="D2819" s="51">
        <f t="shared" si="623"/>
        <v>0</v>
      </c>
      <c r="E2819" s="51"/>
      <c r="F2819" s="51"/>
      <c r="G2819" s="51"/>
      <c r="H2819" s="51"/>
      <c r="I2819" s="51"/>
      <c r="J2819" s="51"/>
      <c r="K2819" s="51"/>
      <c r="L2819" s="51"/>
      <c r="M2819" s="35">
        <v>13</v>
      </c>
      <c r="N2819" s="51">
        <v>4004712</v>
      </c>
      <c r="O2819" s="82"/>
      <c r="P2819" s="51"/>
      <c r="Q2819" s="338"/>
      <c r="R2819" s="51"/>
      <c r="S2819" s="51"/>
      <c r="T2819" s="338"/>
      <c r="U2819" s="51"/>
      <c r="V2819" s="35"/>
      <c r="W2819" s="51">
        <f>SUM(Z2819:AI2819)</f>
        <v>212626.03</v>
      </c>
      <c r="X2819" s="331"/>
      <c r="Y2819" s="48"/>
      <c r="Z2819" s="48">
        <v>212626.03</v>
      </c>
      <c r="AA2819" s="48"/>
      <c r="AB2819" s="48"/>
      <c r="AC2819" s="48"/>
      <c r="AD2819" s="48"/>
      <c r="AE2819" s="48"/>
      <c r="AF2819" s="48"/>
      <c r="AG2819" s="61"/>
      <c r="AH2819" s="62"/>
      <c r="AI2819" s="58"/>
      <c r="AJ2819" s="56"/>
    </row>
    <row r="2820" spans="1:36" x14ac:dyDescent="0.3">
      <c r="A2820" s="47"/>
      <c r="B2820" s="414" t="s">
        <v>211</v>
      </c>
      <c r="C2820" s="51">
        <f t="shared" ref="C2820:W2820" si="627">SUM(C2809:C2819)</f>
        <v>13114828.150000002</v>
      </c>
      <c r="D2820" s="51">
        <f t="shared" si="627"/>
        <v>0</v>
      </c>
      <c r="E2820" s="51">
        <f t="shared" si="627"/>
        <v>0</v>
      </c>
      <c r="F2820" s="51">
        <f t="shared" si="627"/>
        <v>0</v>
      </c>
      <c r="G2820" s="51">
        <f t="shared" si="627"/>
        <v>0</v>
      </c>
      <c r="H2820" s="51">
        <f t="shared" si="627"/>
        <v>0</v>
      </c>
      <c r="I2820" s="51">
        <f t="shared" si="627"/>
        <v>0</v>
      </c>
      <c r="J2820" s="51">
        <f t="shared" si="627"/>
        <v>0</v>
      </c>
      <c r="K2820" s="51">
        <f t="shared" si="627"/>
        <v>0</v>
      </c>
      <c r="L2820" s="51">
        <f t="shared" si="627"/>
        <v>0</v>
      </c>
      <c r="M2820" s="35">
        <f t="shared" si="627"/>
        <v>13</v>
      </c>
      <c r="N2820" s="51">
        <f t="shared" si="627"/>
        <v>4004712</v>
      </c>
      <c r="O2820" s="82">
        <f t="shared" si="627"/>
        <v>637</v>
      </c>
      <c r="P2820" s="51">
        <f t="shared" si="627"/>
        <v>5283571.2</v>
      </c>
      <c r="Q2820" s="338">
        <f t="shared" si="627"/>
        <v>0</v>
      </c>
      <c r="R2820" s="51">
        <f t="shared" si="627"/>
        <v>0</v>
      </c>
      <c r="S2820" s="51">
        <f t="shared" si="627"/>
        <v>0</v>
      </c>
      <c r="T2820" s="338">
        <f t="shared" si="627"/>
        <v>0</v>
      </c>
      <c r="U2820" s="51">
        <f t="shared" si="627"/>
        <v>0</v>
      </c>
      <c r="V2820" s="35">
        <f t="shared" si="627"/>
        <v>0</v>
      </c>
      <c r="W2820" s="51">
        <f t="shared" si="627"/>
        <v>3826544.9499999997</v>
      </c>
      <c r="X2820" s="331"/>
      <c r="Y2820" s="48"/>
      <c r="Z2820" s="48"/>
      <c r="AA2820" s="48"/>
      <c r="AB2820" s="48"/>
      <c r="AC2820" s="48"/>
      <c r="AD2820" s="48"/>
      <c r="AE2820" s="48"/>
      <c r="AF2820" s="48"/>
      <c r="AG2820" s="61"/>
      <c r="AH2820" s="62"/>
      <c r="AI2820" s="58"/>
      <c r="AJ2820" s="56"/>
    </row>
    <row r="2821" spans="1:36" ht="15" customHeight="1" x14ac:dyDescent="0.3">
      <c r="A2821" s="434" t="s">
        <v>3534</v>
      </c>
      <c r="B2821" s="414"/>
      <c r="C2821" s="51"/>
      <c r="D2821" s="51"/>
      <c r="E2821" s="51"/>
      <c r="F2821" s="51"/>
      <c r="G2821" s="51"/>
      <c r="H2821" s="51"/>
      <c r="I2821" s="51"/>
      <c r="J2821" s="51"/>
      <c r="K2821" s="51"/>
      <c r="L2821" s="51"/>
      <c r="M2821" s="35"/>
      <c r="N2821" s="51"/>
      <c r="O2821" s="82"/>
      <c r="P2821" s="51"/>
      <c r="Q2821" s="338"/>
      <c r="R2821" s="51"/>
      <c r="S2821" s="51"/>
      <c r="T2821" s="338"/>
      <c r="U2821" s="51"/>
      <c r="V2821" s="35"/>
      <c r="W2821" s="51"/>
      <c r="X2821" s="331"/>
      <c r="Y2821" s="48"/>
      <c r="Z2821" s="48"/>
      <c r="AA2821" s="48"/>
      <c r="AB2821" s="48"/>
      <c r="AC2821" s="48"/>
      <c r="AD2821" s="48"/>
      <c r="AE2821" s="48"/>
      <c r="AF2821" s="48"/>
      <c r="AG2821" s="61"/>
      <c r="AH2821" s="62"/>
      <c r="AI2821" s="58"/>
      <c r="AJ2821" s="56"/>
    </row>
    <row r="2822" spans="1:36" x14ac:dyDescent="0.3">
      <c r="A2822" s="47">
        <f>A2819+1</f>
        <v>2549</v>
      </c>
      <c r="B2822" s="414" t="s">
        <v>3535</v>
      </c>
      <c r="C2822" s="51">
        <f t="shared" ref="C2822:C2828" si="628">D2822+K2822+L2822+N2822+P2822+R2822+S2822+U2822+V2822+W2822</f>
        <v>211094.75</v>
      </c>
      <c r="D2822" s="51">
        <f t="shared" ref="D2822:D2828" si="629">E2822+F2822+G2822+H2822+I2822</f>
        <v>0</v>
      </c>
      <c r="E2822" s="51"/>
      <c r="F2822" s="51"/>
      <c r="G2822" s="51"/>
      <c r="H2822" s="51"/>
      <c r="I2822" s="51"/>
      <c r="J2822" s="51"/>
      <c r="K2822" s="51"/>
      <c r="L2822" s="51"/>
      <c r="M2822" s="35"/>
      <c r="N2822" s="51"/>
      <c r="O2822" s="82"/>
      <c r="P2822" s="399"/>
      <c r="Q2822" s="338"/>
      <c r="R2822" s="51"/>
      <c r="S2822" s="51"/>
      <c r="T2822" s="338"/>
      <c r="U2822" s="51"/>
      <c r="V2822" s="35"/>
      <c r="W2822" s="51">
        <f t="shared" ref="W2822:W2828" si="630">SUM(Z2822:AI2822)</f>
        <v>211094.75</v>
      </c>
      <c r="X2822" s="331"/>
      <c r="Y2822" s="48"/>
      <c r="Z2822" s="48"/>
      <c r="AA2822" s="48"/>
      <c r="AB2822" s="48"/>
      <c r="AC2822" s="48"/>
      <c r="AD2822" s="48"/>
      <c r="AE2822" s="48"/>
      <c r="AF2822" s="48">
        <v>211094.75</v>
      </c>
      <c r="AG2822" s="61"/>
      <c r="AH2822" s="62"/>
      <c r="AI2822" s="58"/>
      <c r="AJ2822" s="56"/>
    </row>
    <row r="2823" spans="1:36" x14ac:dyDescent="0.3">
      <c r="A2823" s="47">
        <f t="shared" ref="A2823:A2827" si="631">A2822+1</f>
        <v>2550</v>
      </c>
      <c r="B2823" s="414" t="s">
        <v>3536</v>
      </c>
      <c r="C2823" s="51">
        <f t="shared" si="628"/>
        <v>195331.16</v>
      </c>
      <c r="D2823" s="51">
        <f t="shared" si="629"/>
        <v>0</v>
      </c>
      <c r="E2823" s="51"/>
      <c r="F2823" s="51"/>
      <c r="G2823" s="51"/>
      <c r="H2823" s="51"/>
      <c r="I2823" s="51"/>
      <c r="J2823" s="51"/>
      <c r="K2823" s="51"/>
      <c r="L2823" s="51"/>
      <c r="M2823" s="35"/>
      <c r="N2823" s="51"/>
      <c r="O2823" s="82"/>
      <c r="P2823" s="399"/>
      <c r="Q2823" s="338"/>
      <c r="R2823" s="51"/>
      <c r="S2823" s="51"/>
      <c r="T2823" s="338"/>
      <c r="U2823" s="51"/>
      <c r="V2823" s="35"/>
      <c r="W2823" s="51">
        <f t="shared" si="630"/>
        <v>195331.16</v>
      </c>
      <c r="X2823" s="331"/>
      <c r="Y2823" s="48"/>
      <c r="Z2823" s="48"/>
      <c r="AA2823" s="48"/>
      <c r="AB2823" s="48"/>
      <c r="AC2823" s="48"/>
      <c r="AD2823" s="48"/>
      <c r="AE2823" s="48"/>
      <c r="AF2823" s="48">
        <v>195331.16</v>
      </c>
      <c r="AG2823" s="61"/>
      <c r="AH2823" s="62"/>
      <c r="AI2823" s="58"/>
      <c r="AJ2823" s="56"/>
    </row>
    <row r="2824" spans="1:36" x14ac:dyDescent="0.3">
      <c r="A2824" s="47">
        <f t="shared" si="631"/>
        <v>2551</v>
      </c>
      <c r="B2824" s="414" t="s">
        <v>3537</v>
      </c>
      <c r="C2824" s="51">
        <f t="shared" si="628"/>
        <v>220969.14</v>
      </c>
      <c r="D2824" s="51">
        <f t="shared" si="629"/>
        <v>0</v>
      </c>
      <c r="E2824" s="51"/>
      <c r="F2824" s="51"/>
      <c r="G2824" s="51"/>
      <c r="H2824" s="51"/>
      <c r="I2824" s="51"/>
      <c r="J2824" s="51"/>
      <c r="K2824" s="51"/>
      <c r="L2824" s="51"/>
      <c r="M2824" s="35"/>
      <c r="N2824" s="51"/>
      <c r="O2824" s="82"/>
      <c r="P2824" s="399"/>
      <c r="Q2824" s="338"/>
      <c r="R2824" s="51"/>
      <c r="S2824" s="51"/>
      <c r="T2824" s="338"/>
      <c r="U2824" s="51"/>
      <c r="V2824" s="35"/>
      <c r="W2824" s="51">
        <f t="shared" si="630"/>
        <v>220969.14</v>
      </c>
      <c r="X2824" s="331"/>
      <c r="Y2824" s="48"/>
      <c r="Z2824" s="48"/>
      <c r="AA2824" s="48"/>
      <c r="AB2824" s="48"/>
      <c r="AC2824" s="48"/>
      <c r="AD2824" s="48"/>
      <c r="AE2824" s="48"/>
      <c r="AF2824" s="48">
        <v>220969.14</v>
      </c>
      <c r="AG2824" s="61"/>
      <c r="AH2824" s="62"/>
      <c r="AI2824" s="58"/>
      <c r="AJ2824" s="56"/>
    </row>
    <row r="2825" spans="1:36" x14ac:dyDescent="0.3">
      <c r="A2825" s="47">
        <f t="shared" si="631"/>
        <v>2552</v>
      </c>
      <c r="B2825" s="414" t="s">
        <v>3540</v>
      </c>
      <c r="C2825" s="51">
        <f t="shared" si="628"/>
        <v>171967.8</v>
      </c>
      <c r="D2825" s="51">
        <f t="shared" si="629"/>
        <v>0</v>
      </c>
      <c r="E2825" s="51"/>
      <c r="F2825" s="51"/>
      <c r="G2825" s="51"/>
      <c r="H2825" s="51"/>
      <c r="I2825" s="51"/>
      <c r="J2825" s="51"/>
      <c r="K2825" s="51"/>
      <c r="L2825" s="51"/>
      <c r="M2825" s="35"/>
      <c r="N2825" s="51"/>
      <c r="O2825" s="82"/>
      <c r="P2825" s="399"/>
      <c r="Q2825" s="338"/>
      <c r="R2825" s="51"/>
      <c r="S2825" s="51"/>
      <c r="T2825" s="338"/>
      <c r="U2825" s="51"/>
      <c r="V2825" s="35"/>
      <c r="W2825" s="51">
        <f t="shared" si="630"/>
        <v>171967.8</v>
      </c>
      <c r="X2825" s="331"/>
      <c r="Y2825" s="48"/>
      <c r="Z2825" s="48"/>
      <c r="AA2825" s="48"/>
      <c r="AB2825" s="48"/>
      <c r="AC2825" s="48"/>
      <c r="AD2825" s="48"/>
      <c r="AE2825" s="48"/>
      <c r="AF2825" s="48">
        <v>171967.8</v>
      </c>
      <c r="AG2825" s="61"/>
      <c r="AH2825" s="62"/>
      <c r="AI2825" s="58"/>
      <c r="AJ2825" s="56"/>
    </row>
    <row r="2826" spans="1:36" x14ac:dyDescent="0.3">
      <c r="A2826" s="47">
        <f t="shared" si="631"/>
        <v>2553</v>
      </c>
      <c r="B2826" s="414" t="s">
        <v>3541</v>
      </c>
      <c r="C2826" s="51">
        <f t="shared" si="628"/>
        <v>171967.8</v>
      </c>
      <c r="D2826" s="51">
        <f t="shared" si="629"/>
        <v>0</v>
      </c>
      <c r="E2826" s="51"/>
      <c r="F2826" s="51"/>
      <c r="G2826" s="51"/>
      <c r="H2826" s="51"/>
      <c r="I2826" s="51"/>
      <c r="J2826" s="51"/>
      <c r="K2826" s="51"/>
      <c r="L2826" s="51"/>
      <c r="M2826" s="35"/>
      <c r="N2826" s="51"/>
      <c r="O2826" s="82"/>
      <c r="P2826" s="399"/>
      <c r="Q2826" s="338"/>
      <c r="R2826" s="51"/>
      <c r="S2826" s="51"/>
      <c r="T2826" s="338"/>
      <c r="U2826" s="51"/>
      <c r="V2826" s="35"/>
      <c r="W2826" s="51">
        <f t="shared" si="630"/>
        <v>171967.8</v>
      </c>
      <c r="X2826" s="331"/>
      <c r="Y2826" s="48"/>
      <c r="Z2826" s="48"/>
      <c r="AA2826" s="48"/>
      <c r="AB2826" s="48"/>
      <c r="AC2826" s="48"/>
      <c r="AD2826" s="48"/>
      <c r="AE2826" s="48"/>
      <c r="AF2826" s="48">
        <v>171967.8</v>
      </c>
      <c r="AG2826" s="61"/>
      <c r="AH2826" s="62"/>
      <c r="AI2826" s="58"/>
      <c r="AJ2826" s="56"/>
    </row>
    <row r="2827" spans="1:36" x14ac:dyDescent="0.3">
      <c r="A2827" s="47">
        <f t="shared" si="631"/>
        <v>2554</v>
      </c>
      <c r="B2827" s="414" t="s">
        <v>3542</v>
      </c>
      <c r="C2827" s="51">
        <f t="shared" si="628"/>
        <v>171967.8</v>
      </c>
      <c r="D2827" s="51">
        <f t="shared" si="629"/>
        <v>0</v>
      </c>
      <c r="E2827" s="51"/>
      <c r="F2827" s="51"/>
      <c r="G2827" s="51"/>
      <c r="H2827" s="51"/>
      <c r="I2827" s="51"/>
      <c r="J2827" s="51"/>
      <c r="K2827" s="51"/>
      <c r="L2827" s="51"/>
      <c r="M2827" s="35"/>
      <c r="N2827" s="51"/>
      <c r="O2827" s="82"/>
      <c r="P2827" s="399"/>
      <c r="Q2827" s="338"/>
      <c r="R2827" s="51"/>
      <c r="S2827" s="51"/>
      <c r="T2827" s="338"/>
      <c r="U2827" s="51"/>
      <c r="V2827" s="35"/>
      <c r="W2827" s="51">
        <f t="shared" si="630"/>
        <v>171967.8</v>
      </c>
      <c r="X2827" s="331"/>
      <c r="Y2827" s="48"/>
      <c r="Z2827" s="48"/>
      <c r="AA2827" s="48"/>
      <c r="AB2827" s="48"/>
      <c r="AC2827" s="48"/>
      <c r="AD2827" s="48"/>
      <c r="AE2827" s="48"/>
      <c r="AF2827" s="48">
        <v>171967.8</v>
      </c>
      <c r="AG2827" s="61"/>
      <c r="AH2827" s="62"/>
      <c r="AI2827" s="58"/>
      <c r="AJ2827" s="56"/>
    </row>
    <row r="2828" spans="1:36" x14ac:dyDescent="0.3">
      <c r="A2828" s="47">
        <f>A2827+1</f>
        <v>2555</v>
      </c>
      <c r="B2828" s="414" t="s">
        <v>3543</v>
      </c>
      <c r="C2828" s="51">
        <f t="shared" si="628"/>
        <v>171967.8</v>
      </c>
      <c r="D2828" s="51">
        <f t="shared" si="629"/>
        <v>0</v>
      </c>
      <c r="E2828" s="51"/>
      <c r="F2828" s="51"/>
      <c r="G2828" s="51"/>
      <c r="H2828" s="51"/>
      <c r="I2828" s="51"/>
      <c r="J2828" s="51"/>
      <c r="K2828" s="51"/>
      <c r="L2828" s="51"/>
      <c r="M2828" s="35"/>
      <c r="N2828" s="51"/>
      <c r="O2828" s="82"/>
      <c r="P2828" s="399"/>
      <c r="Q2828" s="338"/>
      <c r="R2828" s="51"/>
      <c r="S2828" s="51"/>
      <c r="T2828" s="338"/>
      <c r="U2828" s="51"/>
      <c r="V2828" s="35"/>
      <c r="W2828" s="51">
        <f t="shared" si="630"/>
        <v>171967.8</v>
      </c>
      <c r="X2828" s="331"/>
      <c r="Y2828" s="48"/>
      <c r="Z2828" s="48"/>
      <c r="AA2828" s="48"/>
      <c r="AB2828" s="48"/>
      <c r="AC2828" s="48"/>
      <c r="AD2828" s="48"/>
      <c r="AE2828" s="48"/>
      <c r="AF2828" s="48">
        <v>171967.8</v>
      </c>
      <c r="AG2828" s="61"/>
      <c r="AH2828" s="62"/>
      <c r="AI2828" s="58"/>
      <c r="AJ2828" s="56"/>
    </row>
    <row r="2829" spans="1:36" x14ac:dyDescent="0.3">
      <c r="A2829" s="47"/>
      <c r="B2829" s="414" t="s">
        <v>211</v>
      </c>
      <c r="C2829" s="51">
        <f t="shared" ref="C2829:W2829" si="632">SUM(C2822:C2828)</f>
        <v>1315266.2500000002</v>
      </c>
      <c r="D2829" s="51">
        <f t="shared" si="632"/>
        <v>0</v>
      </c>
      <c r="E2829" s="51">
        <f t="shared" si="632"/>
        <v>0</v>
      </c>
      <c r="F2829" s="51">
        <f t="shared" si="632"/>
        <v>0</v>
      </c>
      <c r="G2829" s="51">
        <f t="shared" si="632"/>
        <v>0</v>
      </c>
      <c r="H2829" s="51">
        <f t="shared" si="632"/>
        <v>0</v>
      </c>
      <c r="I2829" s="51">
        <f t="shared" si="632"/>
        <v>0</v>
      </c>
      <c r="J2829" s="51">
        <f t="shared" si="632"/>
        <v>0</v>
      </c>
      <c r="K2829" s="51">
        <f t="shared" si="632"/>
        <v>0</v>
      </c>
      <c r="L2829" s="51">
        <f t="shared" si="632"/>
        <v>0</v>
      </c>
      <c r="M2829" s="35">
        <f t="shared" si="632"/>
        <v>0</v>
      </c>
      <c r="N2829" s="51">
        <f t="shared" si="632"/>
        <v>0</v>
      </c>
      <c r="O2829" s="82">
        <f t="shared" si="632"/>
        <v>0</v>
      </c>
      <c r="P2829" s="51">
        <f t="shared" si="632"/>
        <v>0</v>
      </c>
      <c r="Q2829" s="338">
        <f t="shared" si="632"/>
        <v>0</v>
      </c>
      <c r="R2829" s="51">
        <f t="shared" si="632"/>
        <v>0</v>
      </c>
      <c r="S2829" s="51">
        <f t="shared" si="632"/>
        <v>0</v>
      </c>
      <c r="T2829" s="338">
        <f t="shared" si="632"/>
        <v>0</v>
      </c>
      <c r="U2829" s="51">
        <f t="shared" si="632"/>
        <v>0</v>
      </c>
      <c r="V2829" s="35">
        <f t="shared" si="632"/>
        <v>0</v>
      </c>
      <c r="W2829" s="51">
        <f t="shared" si="632"/>
        <v>1315266.2500000002</v>
      </c>
      <c r="X2829" s="331"/>
      <c r="Y2829" s="48"/>
      <c r="Z2829" s="48"/>
      <c r="AA2829" s="48"/>
      <c r="AB2829" s="48"/>
      <c r="AC2829" s="48"/>
      <c r="AD2829" s="48"/>
      <c r="AE2829" s="48"/>
      <c r="AF2829" s="48"/>
      <c r="AG2829" s="61"/>
      <c r="AH2829" s="62"/>
      <c r="AI2829" s="58"/>
      <c r="AJ2829" s="56"/>
    </row>
    <row r="2830" spans="1:36" ht="15" customHeight="1" x14ac:dyDescent="0.3">
      <c r="A2830" s="434" t="s">
        <v>3544</v>
      </c>
      <c r="B2830" s="414"/>
      <c r="C2830" s="51"/>
      <c r="D2830" s="51"/>
      <c r="E2830" s="51"/>
      <c r="F2830" s="51"/>
      <c r="G2830" s="51"/>
      <c r="H2830" s="51"/>
      <c r="I2830" s="51"/>
      <c r="J2830" s="51"/>
      <c r="K2830" s="51"/>
      <c r="L2830" s="51"/>
      <c r="M2830" s="35"/>
      <c r="N2830" s="51"/>
      <c r="O2830" s="82"/>
      <c r="P2830" s="51"/>
      <c r="Q2830" s="338"/>
      <c r="R2830" s="51"/>
      <c r="S2830" s="51"/>
      <c r="T2830" s="338"/>
      <c r="U2830" s="51"/>
      <c r="V2830" s="35"/>
      <c r="W2830" s="51"/>
      <c r="X2830" s="331"/>
      <c r="Y2830" s="48"/>
      <c r="Z2830" s="48"/>
      <c r="AA2830" s="48"/>
      <c r="AB2830" s="48"/>
      <c r="AC2830" s="48"/>
      <c r="AD2830" s="48"/>
      <c r="AE2830" s="48"/>
      <c r="AF2830" s="48"/>
      <c r="AG2830" s="61"/>
      <c r="AH2830" s="62"/>
      <c r="AI2830" s="58"/>
      <c r="AJ2830" s="56"/>
    </row>
    <row r="2831" spans="1:36" x14ac:dyDescent="0.3">
      <c r="A2831" s="47">
        <f>A2828+1</f>
        <v>2556</v>
      </c>
      <c r="B2831" s="414" t="s">
        <v>3547</v>
      </c>
      <c r="C2831" s="51">
        <f>D2831+K2831+L2831+N2831+P2831+R2831+S2831+U2831+V2831+W2831</f>
        <v>378792.64</v>
      </c>
      <c r="D2831" s="51">
        <f>E2831+F2831+G2831+H2831+I2831</f>
        <v>0</v>
      </c>
      <c r="E2831" s="51"/>
      <c r="F2831" s="51"/>
      <c r="G2831" s="51"/>
      <c r="H2831" s="51"/>
      <c r="I2831" s="51"/>
      <c r="J2831" s="51"/>
      <c r="K2831" s="51"/>
      <c r="L2831" s="51"/>
      <c r="M2831" s="35"/>
      <c r="N2831" s="51"/>
      <c r="O2831" s="82"/>
      <c r="P2831" s="51"/>
      <c r="Q2831" s="338"/>
      <c r="R2831" s="51"/>
      <c r="S2831" s="51"/>
      <c r="T2831" s="338"/>
      <c r="U2831" s="51"/>
      <c r="V2831" s="35"/>
      <c r="W2831" s="51">
        <f>SUM(Z2831:AI2831)</f>
        <v>378792.64</v>
      </c>
      <c r="X2831" s="331"/>
      <c r="Y2831" s="48"/>
      <c r="Z2831" s="48"/>
      <c r="AA2831" s="48"/>
      <c r="AB2831" s="48"/>
      <c r="AC2831" s="48"/>
      <c r="AD2831" s="48"/>
      <c r="AE2831" s="48"/>
      <c r="AF2831" s="48"/>
      <c r="AG2831" s="61"/>
      <c r="AH2831" s="62">
        <v>378792.64</v>
      </c>
      <c r="AI2831" s="58"/>
      <c r="AJ2831" s="56"/>
    </row>
    <row r="2832" spans="1:36" x14ac:dyDescent="0.3">
      <c r="A2832" s="47">
        <f t="shared" ref="A2832:A2833" si="633">A2831+1</f>
        <v>2557</v>
      </c>
      <c r="B2832" s="414" t="s">
        <v>3548</v>
      </c>
      <c r="C2832" s="51">
        <f>D2832+K2832+L2832+N2832+P2832+R2832+S2832+U2832+V2832+W2832</f>
        <v>198811.07</v>
      </c>
      <c r="D2832" s="51">
        <f>E2832+F2832+G2832+H2832+I2832</f>
        <v>0</v>
      </c>
      <c r="E2832" s="51"/>
      <c r="F2832" s="51"/>
      <c r="G2832" s="51"/>
      <c r="H2832" s="51"/>
      <c r="I2832" s="51"/>
      <c r="J2832" s="51"/>
      <c r="K2832" s="51"/>
      <c r="L2832" s="51"/>
      <c r="M2832" s="35"/>
      <c r="N2832" s="399"/>
      <c r="O2832" s="82"/>
      <c r="P2832" s="51"/>
      <c r="Q2832" s="338"/>
      <c r="R2832" s="51"/>
      <c r="S2832" s="51"/>
      <c r="T2832" s="338"/>
      <c r="U2832" s="51"/>
      <c r="V2832" s="35"/>
      <c r="W2832" s="51">
        <f>SUM(Z2832:AI2832)</f>
        <v>198811.07</v>
      </c>
      <c r="X2832" s="331"/>
      <c r="Y2832" s="48"/>
      <c r="Z2832" s="48"/>
      <c r="AA2832" s="48"/>
      <c r="AB2832" s="48"/>
      <c r="AC2832" s="48"/>
      <c r="AD2832" s="48"/>
      <c r="AE2832" s="48"/>
      <c r="AF2832" s="48">
        <v>198811.07</v>
      </c>
      <c r="AG2832" s="61"/>
      <c r="AH2832" s="62"/>
      <c r="AI2832" s="58"/>
      <c r="AJ2832" s="56"/>
    </row>
    <row r="2833" spans="1:36" x14ac:dyDescent="0.3">
      <c r="A2833" s="47">
        <f t="shared" si="633"/>
        <v>2558</v>
      </c>
      <c r="B2833" s="414" t="s">
        <v>3559</v>
      </c>
      <c r="C2833" s="51">
        <f>D2833+K2833+L2833+N2833+P2833+R2833+S2833+U2833+V2833+W2833</f>
        <v>3291831.6</v>
      </c>
      <c r="D2833" s="51">
        <f>E2833+F2833+G2833+H2833+I2833</f>
        <v>0</v>
      </c>
      <c r="E2833" s="51"/>
      <c r="F2833" s="51"/>
      <c r="G2833" s="51"/>
      <c r="H2833" s="51"/>
      <c r="I2833" s="51"/>
      <c r="J2833" s="51"/>
      <c r="K2833" s="51"/>
      <c r="L2833" s="51"/>
      <c r="M2833" s="35">
        <v>13</v>
      </c>
      <c r="N2833" s="51">
        <v>3291831.6</v>
      </c>
      <c r="O2833" s="82"/>
      <c r="P2833" s="51"/>
      <c r="Q2833" s="338"/>
      <c r="R2833" s="51"/>
      <c r="S2833" s="51"/>
      <c r="T2833" s="338"/>
      <c r="U2833" s="51"/>
      <c r="V2833" s="35"/>
      <c r="W2833" s="51"/>
      <c r="X2833" s="331"/>
      <c r="Y2833" s="48"/>
      <c r="Z2833" s="48"/>
      <c r="AA2833" s="48"/>
      <c r="AB2833" s="48"/>
      <c r="AC2833" s="48"/>
      <c r="AD2833" s="48"/>
      <c r="AE2833" s="48"/>
      <c r="AF2833" s="48"/>
      <c r="AG2833" s="61"/>
      <c r="AH2833" s="62"/>
      <c r="AI2833" s="58"/>
      <c r="AJ2833" s="56"/>
    </row>
    <row r="2834" spans="1:36" x14ac:dyDescent="0.3">
      <c r="A2834" s="47"/>
      <c r="B2834" s="414" t="s">
        <v>211</v>
      </c>
      <c r="C2834" s="51">
        <f t="shared" ref="C2834:W2834" si="634">SUM(C2831:C2833)</f>
        <v>3869435.31</v>
      </c>
      <c r="D2834" s="51">
        <f t="shared" si="634"/>
        <v>0</v>
      </c>
      <c r="E2834" s="51">
        <f t="shared" si="634"/>
        <v>0</v>
      </c>
      <c r="F2834" s="51">
        <f t="shared" si="634"/>
        <v>0</v>
      </c>
      <c r="G2834" s="51">
        <f t="shared" si="634"/>
        <v>0</v>
      </c>
      <c r="H2834" s="51">
        <f t="shared" si="634"/>
        <v>0</v>
      </c>
      <c r="I2834" s="51">
        <f t="shared" si="634"/>
        <v>0</v>
      </c>
      <c r="J2834" s="51">
        <f t="shared" si="634"/>
        <v>0</v>
      </c>
      <c r="K2834" s="51">
        <f t="shared" si="634"/>
        <v>0</v>
      </c>
      <c r="L2834" s="51">
        <f t="shared" si="634"/>
        <v>0</v>
      </c>
      <c r="M2834" s="35">
        <f t="shared" si="634"/>
        <v>13</v>
      </c>
      <c r="N2834" s="51">
        <f t="shared" si="634"/>
        <v>3291831.6</v>
      </c>
      <c r="O2834" s="82">
        <f t="shared" si="634"/>
        <v>0</v>
      </c>
      <c r="P2834" s="51">
        <f t="shared" si="634"/>
        <v>0</v>
      </c>
      <c r="Q2834" s="338">
        <f t="shared" si="634"/>
        <v>0</v>
      </c>
      <c r="R2834" s="51">
        <f t="shared" si="634"/>
        <v>0</v>
      </c>
      <c r="S2834" s="51">
        <f t="shared" si="634"/>
        <v>0</v>
      </c>
      <c r="T2834" s="338">
        <f t="shared" si="634"/>
        <v>0</v>
      </c>
      <c r="U2834" s="51">
        <f t="shared" si="634"/>
        <v>0</v>
      </c>
      <c r="V2834" s="35">
        <f t="shared" si="634"/>
        <v>0</v>
      </c>
      <c r="W2834" s="51">
        <f t="shared" si="634"/>
        <v>577603.71</v>
      </c>
      <c r="X2834" s="331"/>
      <c r="Y2834" s="48"/>
      <c r="Z2834" s="48"/>
      <c r="AA2834" s="48"/>
      <c r="AB2834" s="48"/>
      <c r="AC2834" s="48"/>
      <c r="AD2834" s="48"/>
      <c r="AE2834" s="48"/>
      <c r="AF2834" s="48"/>
      <c r="AG2834" s="61"/>
      <c r="AH2834" s="62"/>
      <c r="AI2834" s="58"/>
      <c r="AJ2834" s="56"/>
    </row>
    <row r="2835" spans="1:36" ht="15" customHeight="1" x14ac:dyDescent="0.3">
      <c r="A2835" s="434" t="s">
        <v>3572</v>
      </c>
      <c r="B2835" s="414"/>
      <c r="C2835" s="51"/>
      <c r="D2835" s="51"/>
      <c r="E2835" s="51"/>
      <c r="F2835" s="51"/>
      <c r="G2835" s="51"/>
      <c r="H2835" s="51"/>
      <c r="I2835" s="51"/>
      <c r="J2835" s="51"/>
      <c r="K2835" s="51"/>
      <c r="L2835" s="51"/>
      <c r="M2835" s="35"/>
      <c r="N2835" s="51"/>
      <c r="O2835" s="82"/>
      <c r="P2835" s="51"/>
      <c r="Q2835" s="338"/>
      <c r="R2835" s="51"/>
      <c r="S2835" s="51"/>
      <c r="T2835" s="338"/>
      <c r="U2835" s="51"/>
      <c r="V2835" s="35"/>
      <c r="W2835" s="51"/>
      <c r="X2835" s="331"/>
      <c r="Y2835" s="48"/>
      <c r="Z2835" s="48"/>
      <c r="AA2835" s="48"/>
      <c r="AB2835" s="48"/>
      <c r="AC2835" s="48"/>
      <c r="AD2835" s="48"/>
      <c r="AE2835" s="48"/>
      <c r="AF2835" s="48"/>
      <c r="AG2835" s="61"/>
      <c r="AH2835" s="62"/>
      <c r="AI2835" s="58"/>
      <c r="AJ2835" s="56"/>
    </row>
    <row r="2836" spans="1:36" x14ac:dyDescent="0.3">
      <c r="A2836" s="47">
        <f>A2833+1</f>
        <v>2559</v>
      </c>
      <c r="B2836" s="414" t="s">
        <v>3573</v>
      </c>
      <c r="C2836" s="51">
        <f t="shared" ref="C2836:C2849" si="635">D2836+K2836+L2836+N2836+P2836+R2836+S2836+U2836+V2836+W2836</f>
        <v>130000</v>
      </c>
      <c r="D2836" s="51">
        <f t="shared" ref="D2836:D2849" si="636">E2836+F2836+G2836+H2836+I2836</f>
        <v>0</v>
      </c>
      <c r="E2836" s="51"/>
      <c r="F2836" s="51"/>
      <c r="G2836" s="51"/>
      <c r="H2836" s="51"/>
      <c r="I2836" s="51"/>
      <c r="J2836" s="51"/>
      <c r="K2836" s="51"/>
      <c r="L2836" s="51"/>
      <c r="M2836" s="35"/>
      <c r="N2836" s="51"/>
      <c r="O2836" s="82"/>
      <c r="P2836" s="51"/>
      <c r="Q2836" s="338"/>
      <c r="R2836" s="51"/>
      <c r="S2836" s="51"/>
      <c r="T2836" s="338"/>
      <c r="U2836" s="51"/>
      <c r="V2836" s="35"/>
      <c r="W2836" s="51">
        <v>130000</v>
      </c>
      <c r="X2836" s="331"/>
      <c r="Y2836" s="48"/>
      <c r="Z2836" s="48"/>
      <c r="AA2836" s="48"/>
      <c r="AB2836" s="48"/>
      <c r="AC2836" s="48"/>
      <c r="AD2836" s="48"/>
      <c r="AE2836" s="48"/>
      <c r="AF2836" s="48"/>
      <c r="AG2836" s="61"/>
      <c r="AH2836" s="62"/>
      <c r="AI2836" s="58"/>
      <c r="AJ2836" s="56"/>
    </row>
    <row r="2837" spans="1:36" x14ac:dyDescent="0.3">
      <c r="A2837" s="47">
        <f t="shared" ref="A2837:A2838" si="637">A2836+1</f>
        <v>2560</v>
      </c>
      <c r="B2837" s="414" t="s">
        <v>3574</v>
      </c>
      <c r="C2837" s="51">
        <f t="shared" si="635"/>
        <v>130000</v>
      </c>
      <c r="D2837" s="51">
        <f t="shared" si="636"/>
        <v>0</v>
      </c>
      <c r="E2837" s="51"/>
      <c r="F2837" s="51"/>
      <c r="G2837" s="51"/>
      <c r="H2837" s="51"/>
      <c r="I2837" s="51"/>
      <c r="J2837" s="51"/>
      <c r="K2837" s="51"/>
      <c r="L2837" s="51"/>
      <c r="M2837" s="35"/>
      <c r="N2837" s="51"/>
      <c r="O2837" s="82"/>
      <c r="P2837" s="51"/>
      <c r="Q2837" s="338"/>
      <c r="R2837" s="51"/>
      <c r="S2837" s="51"/>
      <c r="T2837" s="338"/>
      <c r="U2837" s="51"/>
      <c r="V2837" s="35"/>
      <c r="W2837" s="51">
        <v>130000</v>
      </c>
      <c r="X2837" s="331"/>
      <c r="Y2837" s="48"/>
      <c r="Z2837" s="48"/>
      <c r="AA2837" s="48"/>
      <c r="AB2837" s="48"/>
      <c r="AC2837" s="48"/>
      <c r="AD2837" s="48"/>
      <c r="AE2837" s="48"/>
      <c r="AF2837" s="48"/>
      <c r="AG2837" s="61"/>
      <c r="AH2837" s="62"/>
      <c r="AI2837" s="58"/>
      <c r="AJ2837" s="56"/>
    </row>
    <row r="2838" spans="1:36" x14ac:dyDescent="0.3">
      <c r="A2838" s="47">
        <f t="shared" si="637"/>
        <v>2561</v>
      </c>
      <c r="B2838" s="414" t="s">
        <v>3575</v>
      </c>
      <c r="C2838" s="51">
        <f t="shared" si="635"/>
        <v>681107.57000000007</v>
      </c>
      <c r="D2838" s="51">
        <f t="shared" si="636"/>
        <v>0</v>
      </c>
      <c r="E2838" s="51"/>
      <c r="F2838" s="51"/>
      <c r="G2838" s="51"/>
      <c r="H2838" s="51"/>
      <c r="I2838" s="51"/>
      <c r="J2838" s="51"/>
      <c r="K2838" s="51"/>
      <c r="L2838" s="51"/>
      <c r="M2838" s="35"/>
      <c r="N2838" s="51"/>
      <c r="O2838" s="82"/>
      <c r="P2838" s="51"/>
      <c r="Q2838" s="338"/>
      <c r="R2838" s="51"/>
      <c r="S2838" s="51"/>
      <c r="T2838" s="338"/>
      <c r="U2838" s="51"/>
      <c r="V2838" s="35"/>
      <c r="W2838" s="51">
        <f>SUM(Z2838:AI2838)</f>
        <v>681107.57000000007</v>
      </c>
      <c r="X2838" s="331"/>
      <c r="Y2838" s="48"/>
      <c r="Z2838" s="48">
        <v>208603.31</v>
      </c>
      <c r="AA2838" s="48"/>
      <c r="AB2838" s="48"/>
      <c r="AC2838" s="48"/>
      <c r="AD2838" s="48"/>
      <c r="AE2838" s="48"/>
      <c r="AF2838" s="48">
        <v>361985.7</v>
      </c>
      <c r="AG2838" s="61">
        <v>110518.56</v>
      </c>
      <c r="AH2838" s="62"/>
      <c r="AI2838" s="58"/>
      <c r="AJ2838" s="56"/>
    </row>
    <row r="2839" spans="1:36" x14ac:dyDescent="0.3">
      <c r="A2839" s="47">
        <f t="shared" ref="A2839:A2849" si="638">A2838+1</f>
        <v>2562</v>
      </c>
      <c r="B2839" s="414" t="s">
        <v>3576</v>
      </c>
      <c r="C2839" s="51">
        <f t="shared" si="635"/>
        <v>683686.35</v>
      </c>
      <c r="D2839" s="51">
        <f t="shared" si="636"/>
        <v>0</v>
      </c>
      <c r="E2839" s="51"/>
      <c r="F2839" s="51"/>
      <c r="G2839" s="51"/>
      <c r="H2839" s="51"/>
      <c r="I2839" s="51"/>
      <c r="J2839" s="51"/>
      <c r="K2839" s="51"/>
      <c r="L2839" s="51"/>
      <c r="M2839" s="35"/>
      <c r="N2839" s="51"/>
      <c r="O2839" s="82"/>
      <c r="P2839" s="51"/>
      <c r="Q2839" s="338"/>
      <c r="R2839" s="51"/>
      <c r="S2839" s="51"/>
      <c r="T2839" s="338"/>
      <c r="U2839" s="51"/>
      <c r="V2839" s="35"/>
      <c r="W2839" s="51">
        <f>SUM(Z2839:AI2839)</f>
        <v>683686.35</v>
      </c>
      <c r="X2839" s="331"/>
      <c r="Y2839" s="48"/>
      <c r="Z2839" s="48">
        <v>208603.31</v>
      </c>
      <c r="AA2839" s="48"/>
      <c r="AB2839" s="48"/>
      <c r="AC2839" s="48"/>
      <c r="AD2839" s="48"/>
      <c r="AE2839" s="48"/>
      <c r="AF2839" s="48">
        <v>361985.7</v>
      </c>
      <c r="AG2839" s="61">
        <v>113097.34</v>
      </c>
      <c r="AH2839" s="62"/>
      <c r="AI2839" s="58"/>
      <c r="AJ2839" s="56"/>
    </row>
    <row r="2840" spans="1:36" x14ac:dyDescent="0.3">
      <c r="A2840" s="47">
        <f t="shared" si="638"/>
        <v>2563</v>
      </c>
      <c r="B2840" s="414" t="s">
        <v>3577</v>
      </c>
      <c r="C2840" s="51">
        <f t="shared" si="635"/>
        <v>130000</v>
      </c>
      <c r="D2840" s="51">
        <f t="shared" si="636"/>
        <v>0</v>
      </c>
      <c r="E2840" s="51"/>
      <c r="F2840" s="51"/>
      <c r="G2840" s="51"/>
      <c r="H2840" s="51"/>
      <c r="I2840" s="51"/>
      <c r="J2840" s="51"/>
      <c r="K2840" s="51"/>
      <c r="L2840" s="51"/>
      <c r="M2840" s="35"/>
      <c r="N2840" s="51"/>
      <c r="O2840" s="82"/>
      <c r="P2840" s="51"/>
      <c r="Q2840" s="338"/>
      <c r="R2840" s="51"/>
      <c r="S2840" s="51"/>
      <c r="T2840" s="338"/>
      <c r="U2840" s="51"/>
      <c r="V2840" s="35"/>
      <c r="W2840" s="51">
        <v>130000</v>
      </c>
      <c r="X2840" s="331"/>
      <c r="Y2840" s="48"/>
      <c r="Z2840" s="48"/>
      <c r="AA2840" s="48"/>
      <c r="AB2840" s="48"/>
      <c r="AC2840" s="48"/>
      <c r="AD2840" s="48"/>
      <c r="AE2840" s="48"/>
      <c r="AF2840" s="48"/>
      <c r="AG2840" s="61"/>
      <c r="AH2840" s="62"/>
      <c r="AI2840" s="58"/>
      <c r="AJ2840" s="56"/>
    </row>
    <row r="2841" spans="1:36" x14ac:dyDescent="0.3">
      <c r="A2841" s="47">
        <f t="shared" si="638"/>
        <v>2564</v>
      </c>
      <c r="B2841" s="414" t="s">
        <v>3578</v>
      </c>
      <c r="C2841" s="51">
        <f t="shared" si="635"/>
        <v>130000</v>
      </c>
      <c r="D2841" s="51">
        <f t="shared" si="636"/>
        <v>0</v>
      </c>
      <c r="E2841" s="51"/>
      <c r="F2841" s="51"/>
      <c r="G2841" s="51"/>
      <c r="H2841" s="51"/>
      <c r="I2841" s="51"/>
      <c r="J2841" s="51"/>
      <c r="K2841" s="51"/>
      <c r="L2841" s="51"/>
      <c r="M2841" s="35"/>
      <c r="N2841" s="51"/>
      <c r="O2841" s="82"/>
      <c r="P2841" s="51"/>
      <c r="Q2841" s="338"/>
      <c r="R2841" s="51"/>
      <c r="S2841" s="51"/>
      <c r="T2841" s="338"/>
      <c r="U2841" s="51"/>
      <c r="V2841" s="35"/>
      <c r="W2841" s="51">
        <v>130000</v>
      </c>
      <c r="X2841" s="331"/>
      <c r="Y2841" s="48"/>
      <c r="Z2841" s="48"/>
      <c r="AA2841" s="48"/>
      <c r="AB2841" s="48"/>
      <c r="AC2841" s="48"/>
      <c r="AD2841" s="48"/>
      <c r="AE2841" s="48"/>
      <c r="AF2841" s="48"/>
      <c r="AG2841" s="61"/>
      <c r="AH2841" s="62"/>
      <c r="AI2841" s="58"/>
      <c r="AJ2841" s="56"/>
    </row>
    <row r="2842" spans="1:36" x14ac:dyDescent="0.3">
      <c r="A2842" s="47">
        <f t="shared" si="638"/>
        <v>2565</v>
      </c>
      <c r="B2842" s="414" t="s">
        <v>3579</v>
      </c>
      <c r="C2842" s="51">
        <f t="shared" si="635"/>
        <v>130000</v>
      </c>
      <c r="D2842" s="51">
        <f t="shared" si="636"/>
        <v>0</v>
      </c>
      <c r="E2842" s="51"/>
      <c r="F2842" s="51"/>
      <c r="G2842" s="51"/>
      <c r="H2842" s="51"/>
      <c r="I2842" s="51"/>
      <c r="J2842" s="51"/>
      <c r="K2842" s="51"/>
      <c r="L2842" s="51"/>
      <c r="M2842" s="35"/>
      <c r="N2842" s="51"/>
      <c r="O2842" s="82"/>
      <c r="P2842" s="51"/>
      <c r="Q2842" s="338"/>
      <c r="R2842" s="51"/>
      <c r="S2842" s="51"/>
      <c r="T2842" s="338"/>
      <c r="U2842" s="51"/>
      <c r="V2842" s="35"/>
      <c r="W2842" s="51">
        <v>130000</v>
      </c>
      <c r="X2842" s="331"/>
      <c r="Y2842" s="48"/>
      <c r="Z2842" s="48"/>
      <c r="AA2842" s="48"/>
      <c r="AB2842" s="48"/>
      <c r="AC2842" s="48"/>
      <c r="AD2842" s="48"/>
      <c r="AE2842" s="48"/>
      <c r="AF2842" s="48"/>
      <c r="AG2842" s="61"/>
      <c r="AH2842" s="62"/>
      <c r="AI2842" s="58"/>
      <c r="AJ2842" s="56"/>
    </row>
    <row r="2843" spans="1:36" x14ac:dyDescent="0.3">
      <c r="A2843" s="47">
        <f t="shared" si="638"/>
        <v>2566</v>
      </c>
      <c r="B2843" s="414" t="s">
        <v>3580</v>
      </c>
      <c r="C2843" s="51">
        <f t="shared" si="635"/>
        <v>130000</v>
      </c>
      <c r="D2843" s="51">
        <f t="shared" si="636"/>
        <v>0</v>
      </c>
      <c r="E2843" s="51"/>
      <c r="F2843" s="51"/>
      <c r="G2843" s="51"/>
      <c r="H2843" s="51"/>
      <c r="I2843" s="51"/>
      <c r="J2843" s="51"/>
      <c r="K2843" s="51"/>
      <c r="L2843" s="51"/>
      <c r="M2843" s="35"/>
      <c r="N2843" s="51"/>
      <c r="O2843" s="82"/>
      <c r="P2843" s="51"/>
      <c r="Q2843" s="338"/>
      <c r="R2843" s="51"/>
      <c r="S2843" s="51"/>
      <c r="T2843" s="338"/>
      <c r="U2843" s="51"/>
      <c r="V2843" s="35"/>
      <c r="W2843" s="51">
        <v>130000</v>
      </c>
      <c r="X2843" s="331"/>
      <c r="Y2843" s="48"/>
      <c r="Z2843" s="48"/>
      <c r="AA2843" s="48"/>
      <c r="AB2843" s="48"/>
      <c r="AC2843" s="48"/>
      <c r="AD2843" s="48"/>
      <c r="AE2843" s="48"/>
      <c r="AF2843" s="48"/>
      <c r="AG2843" s="61"/>
      <c r="AH2843" s="62"/>
      <c r="AI2843" s="58"/>
      <c r="AJ2843" s="56"/>
    </row>
    <row r="2844" spans="1:36" x14ac:dyDescent="0.3">
      <c r="A2844" s="47">
        <f t="shared" si="638"/>
        <v>2567</v>
      </c>
      <c r="B2844" s="414" t="s">
        <v>3581</v>
      </c>
      <c r="C2844" s="51">
        <f t="shared" si="635"/>
        <v>276861.3</v>
      </c>
      <c r="D2844" s="51">
        <f t="shared" si="636"/>
        <v>0</v>
      </c>
      <c r="E2844" s="51"/>
      <c r="F2844" s="51"/>
      <c r="G2844" s="51"/>
      <c r="H2844" s="51"/>
      <c r="I2844" s="51"/>
      <c r="J2844" s="51"/>
      <c r="K2844" s="51"/>
      <c r="L2844" s="51"/>
      <c r="M2844" s="35"/>
      <c r="N2844" s="51"/>
      <c r="O2844" s="82"/>
      <c r="P2844" s="51"/>
      <c r="Q2844" s="338"/>
      <c r="R2844" s="51"/>
      <c r="S2844" s="51"/>
      <c r="T2844" s="338"/>
      <c r="U2844" s="51"/>
      <c r="V2844" s="35"/>
      <c r="W2844" s="51">
        <f>SUM(Z2844:AI2844)</f>
        <v>276861.3</v>
      </c>
      <c r="X2844" s="331"/>
      <c r="Y2844" s="48"/>
      <c r="Z2844" s="48">
        <v>97057.78</v>
      </c>
      <c r="AA2844" s="48"/>
      <c r="AB2844" s="48"/>
      <c r="AC2844" s="48"/>
      <c r="AD2844" s="48"/>
      <c r="AE2844" s="48"/>
      <c r="AF2844" s="48">
        <v>179803.51999999999</v>
      </c>
      <c r="AG2844" s="61"/>
      <c r="AH2844" s="62"/>
      <c r="AI2844" s="58"/>
      <c r="AJ2844" s="56"/>
    </row>
    <row r="2845" spans="1:36" x14ac:dyDescent="0.3">
      <c r="A2845" s="47">
        <f t="shared" si="638"/>
        <v>2568</v>
      </c>
      <c r="B2845" s="414" t="s">
        <v>3582</v>
      </c>
      <c r="C2845" s="51">
        <f t="shared" si="635"/>
        <v>276861.3</v>
      </c>
      <c r="D2845" s="51">
        <f t="shared" si="636"/>
        <v>0</v>
      </c>
      <c r="E2845" s="51"/>
      <c r="F2845" s="51"/>
      <c r="G2845" s="51"/>
      <c r="H2845" s="51"/>
      <c r="I2845" s="51"/>
      <c r="J2845" s="51"/>
      <c r="K2845" s="51"/>
      <c r="L2845" s="51"/>
      <c r="M2845" s="35"/>
      <c r="N2845" s="51"/>
      <c r="O2845" s="82"/>
      <c r="P2845" s="51"/>
      <c r="Q2845" s="338"/>
      <c r="R2845" s="51"/>
      <c r="S2845" s="51"/>
      <c r="T2845" s="338"/>
      <c r="U2845" s="51"/>
      <c r="V2845" s="35"/>
      <c r="W2845" s="51">
        <f>SUM(Z2845:AI2845)</f>
        <v>276861.3</v>
      </c>
      <c r="X2845" s="331"/>
      <c r="Y2845" s="48"/>
      <c r="Z2845" s="48">
        <v>97057.78</v>
      </c>
      <c r="AA2845" s="48"/>
      <c r="AB2845" s="48"/>
      <c r="AC2845" s="48"/>
      <c r="AD2845" s="48"/>
      <c r="AE2845" s="48"/>
      <c r="AF2845" s="48">
        <v>179803.51999999999</v>
      </c>
      <c r="AG2845" s="61"/>
      <c r="AH2845" s="62"/>
      <c r="AI2845" s="58"/>
      <c r="AJ2845" s="56"/>
    </row>
    <row r="2846" spans="1:36" x14ac:dyDescent="0.3">
      <c r="A2846" s="47">
        <f t="shared" si="638"/>
        <v>2569</v>
      </c>
      <c r="B2846" s="414" t="s">
        <v>3583</v>
      </c>
      <c r="C2846" s="51">
        <f t="shared" si="635"/>
        <v>276861.3</v>
      </c>
      <c r="D2846" s="51">
        <f t="shared" si="636"/>
        <v>0</v>
      </c>
      <c r="E2846" s="51"/>
      <c r="F2846" s="51"/>
      <c r="G2846" s="51"/>
      <c r="H2846" s="51"/>
      <c r="I2846" s="51"/>
      <c r="J2846" s="51"/>
      <c r="K2846" s="51"/>
      <c r="L2846" s="51"/>
      <c r="M2846" s="35"/>
      <c r="N2846" s="51"/>
      <c r="O2846" s="82"/>
      <c r="P2846" s="51"/>
      <c r="Q2846" s="338"/>
      <c r="R2846" s="51"/>
      <c r="S2846" s="51"/>
      <c r="T2846" s="338"/>
      <c r="U2846" s="51"/>
      <c r="V2846" s="35"/>
      <c r="W2846" s="51">
        <f>SUM(Z2846:AI2846)</f>
        <v>276861.3</v>
      </c>
      <c r="X2846" s="331"/>
      <c r="Y2846" s="48"/>
      <c r="Z2846" s="48">
        <v>97057.78</v>
      </c>
      <c r="AA2846" s="48"/>
      <c r="AB2846" s="48"/>
      <c r="AC2846" s="48"/>
      <c r="AD2846" s="48"/>
      <c r="AE2846" s="48"/>
      <c r="AF2846" s="48">
        <v>179803.51999999999</v>
      </c>
      <c r="AG2846" s="61"/>
      <c r="AH2846" s="62"/>
      <c r="AI2846" s="58"/>
      <c r="AJ2846" s="56"/>
    </row>
    <row r="2847" spans="1:36" x14ac:dyDescent="0.3">
      <c r="A2847" s="47">
        <f t="shared" si="638"/>
        <v>2570</v>
      </c>
      <c r="B2847" s="414" t="s">
        <v>3584</v>
      </c>
      <c r="C2847" s="51">
        <f t="shared" si="635"/>
        <v>276861.3</v>
      </c>
      <c r="D2847" s="51">
        <f t="shared" si="636"/>
        <v>0</v>
      </c>
      <c r="E2847" s="51"/>
      <c r="F2847" s="51"/>
      <c r="G2847" s="51"/>
      <c r="H2847" s="51"/>
      <c r="I2847" s="51"/>
      <c r="J2847" s="51"/>
      <c r="K2847" s="51"/>
      <c r="L2847" s="51"/>
      <c r="M2847" s="35"/>
      <c r="N2847" s="51"/>
      <c r="O2847" s="82"/>
      <c r="P2847" s="51"/>
      <c r="Q2847" s="338"/>
      <c r="R2847" s="51"/>
      <c r="S2847" s="51"/>
      <c r="T2847" s="338"/>
      <c r="U2847" s="51"/>
      <c r="V2847" s="35"/>
      <c r="W2847" s="51">
        <f>SUM(Z2847:AI2847)</f>
        <v>276861.3</v>
      </c>
      <c r="X2847" s="331"/>
      <c r="Y2847" s="48"/>
      <c r="Z2847" s="48">
        <v>97057.78</v>
      </c>
      <c r="AA2847" s="48"/>
      <c r="AB2847" s="48"/>
      <c r="AC2847" s="48"/>
      <c r="AD2847" s="48"/>
      <c r="AE2847" s="48"/>
      <c r="AF2847" s="48">
        <v>179803.51999999999</v>
      </c>
      <c r="AG2847" s="61"/>
      <c r="AH2847" s="62"/>
      <c r="AI2847" s="58"/>
      <c r="AJ2847" s="56"/>
    </row>
    <row r="2848" spans="1:36" x14ac:dyDescent="0.3">
      <c r="A2848" s="47">
        <f t="shared" si="638"/>
        <v>2571</v>
      </c>
      <c r="B2848" s="414" t="s">
        <v>3585</v>
      </c>
      <c r="C2848" s="51">
        <f t="shared" si="635"/>
        <v>130000</v>
      </c>
      <c r="D2848" s="51">
        <f t="shared" si="636"/>
        <v>0</v>
      </c>
      <c r="E2848" s="51"/>
      <c r="F2848" s="51"/>
      <c r="G2848" s="51"/>
      <c r="H2848" s="51"/>
      <c r="I2848" s="51"/>
      <c r="J2848" s="51"/>
      <c r="K2848" s="51"/>
      <c r="L2848" s="51"/>
      <c r="M2848" s="35"/>
      <c r="N2848" s="51"/>
      <c r="O2848" s="82"/>
      <c r="P2848" s="51"/>
      <c r="Q2848" s="338"/>
      <c r="R2848" s="51"/>
      <c r="S2848" s="51"/>
      <c r="T2848" s="338"/>
      <c r="U2848" s="51"/>
      <c r="V2848" s="35"/>
      <c r="W2848" s="51">
        <v>130000</v>
      </c>
      <c r="X2848" s="331"/>
      <c r="Y2848" s="48"/>
      <c r="Z2848" s="48"/>
      <c r="AA2848" s="48"/>
      <c r="AB2848" s="48"/>
      <c r="AC2848" s="48"/>
      <c r="AD2848" s="48"/>
      <c r="AE2848" s="48"/>
      <c r="AF2848" s="48"/>
      <c r="AG2848" s="61"/>
      <c r="AH2848" s="62"/>
      <c r="AI2848" s="58"/>
      <c r="AJ2848" s="56"/>
    </row>
    <row r="2849" spans="1:36" x14ac:dyDescent="0.3">
      <c r="A2849" s="47">
        <f t="shared" si="638"/>
        <v>2572</v>
      </c>
      <c r="B2849" s="414" t="s">
        <v>3586</v>
      </c>
      <c r="C2849" s="51">
        <f t="shared" si="635"/>
        <v>276861.3</v>
      </c>
      <c r="D2849" s="51">
        <f t="shared" si="636"/>
        <v>0</v>
      </c>
      <c r="E2849" s="51"/>
      <c r="F2849" s="51"/>
      <c r="G2849" s="51"/>
      <c r="H2849" s="51"/>
      <c r="I2849" s="51"/>
      <c r="J2849" s="51"/>
      <c r="K2849" s="51"/>
      <c r="L2849" s="51"/>
      <c r="M2849" s="35"/>
      <c r="N2849" s="51"/>
      <c r="O2849" s="82"/>
      <c r="P2849" s="51"/>
      <c r="Q2849" s="338"/>
      <c r="R2849" s="51"/>
      <c r="S2849" s="51"/>
      <c r="T2849" s="338"/>
      <c r="U2849" s="51"/>
      <c r="V2849" s="35"/>
      <c r="W2849" s="51">
        <f>SUM(Z2849:AI2849)</f>
        <v>276861.3</v>
      </c>
      <c r="X2849" s="331"/>
      <c r="Y2849" s="48"/>
      <c r="Z2849" s="48">
        <v>97057.78</v>
      </c>
      <c r="AA2849" s="48"/>
      <c r="AB2849" s="48"/>
      <c r="AC2849" s="48"/>
      <c r="AD2849" s="48"/>
      <c r="AE2849" s="48"/>
      <c r="AF2849" s="48">
        <v>179803.51999999999</v>
      </c>
      <c r="AG2849" s="61"/>
      <c r="AH2849" s="62"/>
      <c r="AI2849" s="58"/>
      <c r="AJ2849" s="56"/>
    </row>
    <row r="2850" spans="1:36" x14ac:dyDescent="0.3">
      <c r="A2850" s="47"/>
      <c r="B2850" s="414" t="s">
        <v>211</v>
      </c>
      <c r="C2850" s="51">
        <f>SUM(C2836:C2849)</f>
        <v>3659100.419999999</v>
      </c>
      <c r="D2850" s="51">
        <f>SUM(D2836:D2849)</f>
        <v>0</v>
      </c>
      <c r="E2850" s="51"/>
      <c r="F2850" s="51"/>
      <c r="G2850" s="51"/>
      <c r="H2850" s="51"/>
      <c r="I2850" s="51"/>
      <c r="J2850" s="51"/>
      <c r="K2850" s="51"/>
      <c r="L2850" s="51"/>
      <c r="M2850" s="35"/>
      <c r="N2850" s="51"/>
      <c r="O2850" s="82"/>
      <c r="P2850" s="51"/>
      <c r="Q2850" s="338"/>
      <c r="R2850" s="51"/>
      <c r="S2850" s="51"/>
      <c r="T2850" s="338"/>
      <c r="U2850" s="51"/>
      <c r="V2850" s="35"/>
      <c r="W2850" s="51">
        <f>SUM(W2836:W2849)</f>
        <v>3659100.419999999</v>
      </c>
      <c r="X2850" s="331"/>
      <c r="Y2850" s="48"/>
      <c r="Z2850" s="48"/>
      <c r="AA2850" s="48"/>
      <c r="AB2850" s="48"/>
      <c r="AC2850" s="48"/>
      <c r="AD2850" s="48"/>
      <c r="AE2850" s="48"/>
      <c r="AF2850" s="48"/>
      <c r="AG2850" s="61"/>
      <c r="AH2850" s="62"/>
      <c r="AI2850" s="58"/>
      <c r="AJ2850" s="56"/>
    </row>
    <row r="2851" spans="1:36" ht="15" customHeight="1" x14ac:dyDescent="0.3">
      <c r="A2851" s="434" t="s">
        <v>3587</v>
      </c>
      <c r="B2851" s="414"/>
      <c r="C2851" s="51"/>
      <c r="D2851" s="51"/>
      <c r="E2851" s="51"/>
      <c r="F2851" s="51"/>
      <c r="G2851" s="51"/>
      <c r="H2851" s="51"/>
      <c r="I2851" s="51"/>
      <c r="J2851" s="51"/>
      <c r="K2851" s="51"/>
      <c r="L2851" s="51"/>
      <c r="M2851" s="35"/>
      <c r="N2851" s="51"/>
      <c r="O2851" s="82"/>
      <c r="P2851" s="51"/>
      <c r="Q2851" s="338"/>
      <c r="R2851" s="51"/>
      <c r="S2851" s="51"/>
      <c r="T2851" s="338"/>
      <c r="U2851" s="51"/>
      <c r="V2851" s="35"/>
      <c r="W2851" s="51"/>
      <c r="X2851" s="331"/>
      <c r="Y2851" s="48"/>
      <c r="Z2851" s="48"/>
      <c r="AA2851" s="48"/>
      <c r="AB2851" s="48"/>
      <c r="AC2851" s="48"/>
      <c r="AD2851" s="48"/>
      <c r="AE2851" s="48"/>
      <c r="AF2851" s="48"/>
      <c r="AG2851" s="61"/>
      <c r="AH2851" s="62"/>
      <c r="AI2851" s="58"/>
      <c r="AJ2851" s="56"/>
    </row>
    <row r="2852" spans="1:36" x14ac:dyDescent="0.3">
      <c r="A2852" s="47">
        <f>A2849+1</f>
        <v>2573</v>
      </c>
      <c r="B2852" s="414" t="s">
        <v>3601</v>
      </c>
      <c r="C2852" s="51">
        <f t="shared" ref="C2852:C2867" si="639">D2852+K2852+L2852+N2852+P2852+R2852+S2852+U2852+V2852+W2852</f>
        <v>832300</v>
      </c>
      <c r="D2852" s="51">
        <f t="shared" ref="D2852:D2867" si="640">E2852+F2852+G2852+H2852+I2852</f>
        <v>0</v>
      </c>
      <c r="E2852" s="51"/>
      <c r="F2852" s="51"/>
      <c r="G2852" s="51"/>
      <c r="H2852" s="51"/>
      <c r="I2852" s="51"/>
      <c r="J2852" s="51"/>
      <c r="K2852" s="51"/>
      <c r="L2852" s="51"/>
      <c r="M2852" s="35"/>
      <c r="N2852" s="51"/>
      <c r="O2852" s="82"/>
      <c r="P2852" s="51"/>
      <c r="Q2852" s="338"/>
      <c r="R2852" s="51"/>
      <c r="S2852" s="51"/>
      <c r="T2852" s="338">
        <v>70</v>
      </c>
      <c r="U2852" s="51">
        <f>T2852*11890</f>
        <v>832300</v>
      </c>
      <c r="V2852" s="35"/>
      <c r="W2852" s="51"/>
      <c r="X2852" s="331"/>
      <c r="Y2852" s="48"/>
      <c r="Z2852" s="48"/>
      <c r="AA2852" s="48"/>
      <c r="AB2852" s="48"/>
      <c r="AC2852" s="48"/>
      <c r="AD2852" s="48">
        <v>100633.19</v>
      </c>
      <c r="AE2852" s="48">
        <v>100633.19</v>
      </c>
      <c r="AF2852" s="48">
        <v>187204.36</v>
      </c>
      <c r="AG2852" s="61"/>
      <c r="AH2852" s="62"/>
      <c r="AI2852" s="58"/>
      <c r="AJ2852" s="56"/>
    </row>
    <row r="2853" spans="1:36" x14ac:dyDescent="0.3">
      <c r="A2853" s="47">
        <f t="shared" ref="A2853:A2861" si="641">A2852+1</f>
        <v>2574</v>
      </c>
      <c r="B2853" s="414" t="s">
        <v>3602</v>
      </c>
      <c r="C2853" s="51">
        <f t="shared" si="639"/>
        <v>891750</v>
      </c>
      <c r="D2853" s="51">
        <f t="shared" si="640"/>
        <v>0</v>
      </c>
      <c r="E2853" s="51"/>
      <c r="F2853" s="51"/>
      <c r="G2853" s="51"/>
      <c r="H2853" s="51"/>
      <c r="I2853" s="51"/>
      <c r="J2853" s="51"/>
      <c r="K2853" s="51"/>
      <c r="L2853" s="51"/>
      <c r="M2853" s="35"/>
      <c r="N2853" s="51"/>
      <c r="O2853" s="82"/>
      <c r="P2853" s="51"/>
      <c r="Q2853" s="338"/>
      <c r="R2853" s="51"/>
      <c r="S2853" s="51"/>
      <c r="T2853" s="338">
        <v>75</v>
      </c>
      <c r="U2853" s="51">
        <f>T2853*11890</f>
        <v>891750</v>
      </c>
      <c r="V2853" s="35"/>
      <c r="W2853" s="51"/>
      <c r="X2853" s="331"/>
      <c r="Y2853" s="48"/>
      <c r="Z2853" s="48">
        <v>121681.73</v>
      </c>
      <c r="AA2853" s="48"/>
      <c r="AB2853" s="48"/>
      <c r="AC2853" s="48"/>
      <c r="AD2853" s="48">
        <v>118720.61</v>
      </c>
      <c r="AE2853" s="48">
        <v>118720.61</v>
      </c>
      <c r="AF2853" s="48">
        <v>215380.22</v>
      </c>
      <c r="AG2853" s="61"/>
      <c r="AH2853" s="62"/>
      <c r="AI2853" s="58"/>
      <c r="AJ2853" s="56"/>
    </row>
    <row r="2854" spans="1:36" x14ac:dyDescent="0.3">
      <c r="A2854" s="47">
        <f t="shared" si="641"/>
        <v>2575</v>
      </c>
      <c r="B2854" s="414" t="s">
        <v>3603</v>
      </c>
      <c r="C2854" s="51">
        <f t="shared" si="639"/>
        <v>4291230</v>
      </c>
      <c r="D2854" s="51">
        <f t="shared" si="640"/>
        <v>0</v>
      </c>
      <c r="E2854" s="51"/>
      <c r="F2854" s="51"/>
      <c r="G2854" s="51"/>
      <c r="H2854" s="51"/>
      <c r="I2854" s="51"/>
      <c r="J2854" s="51"/>
      <c r="K2854" s="51"/>
      <c r="L2854" s="51"/>
      <c r="M2854" s="35">
        <v>420</v>
      </c>
      <c r="N2854" s="51">
        <f>M2854*8094</f>
        <v>3399480</v>
      </c>
      <c r="O2854" s="82"/>
      <c r="P2854" s="51"/>
      <c r="Q2854" s="338"/>
      <c r="R2854" s="51"/>
      <c r="S2854" s="51"/>
      <c r="T2854" s="338">
        <v>75</v>
      </c>
      <c r="U2854" s="51">
        <f>T2854*11890</f>
        <v>891750</v>
      </c>
      <c r="V2854" s="35"/>
      <c r="W2854" s="51"/>
      <c r="X2854" s="331"/>
      <c r="Y2854" s="48"/>
      <c r="Z2854" s="48"/>
      <c r="AA2854" s="48"/>
      <c r="AB2854" s="48"/>
      <c r="AC2854" s="48"/>
      <c r="AD2854" s="48">
        <v>118720.61</v>
      </c>
      <c r="AE2854" s="48">
        <v>118720.61</v>
      </c>
      <c r="AF2854" s="48"/>
      <c r="AG2854" s="61"/>
      <c r="AH2854" s="62"/>
      <c r="AI2854" s="58"/>
      <c r="AJ2854" s="56"/>
    </row>
    <row r="2855" spans="1:36" x14ac:dyDescent="0.3">
      <c r="A2855" s="47">
        <f t="shared" si="641"/>
        <v>2576</v>
      </c>
      <c r="B2855" s="414" t="s">
        <v>3595</v>
      </c>
      <c r="C2855" s="51">
        <f t="shared" si="639"/>
        <v>1254246</v>
      </c>
      <c r="D2855" s="51">
        <f>E2855+F2855+G2855+H2855+I2855</f>
        <v>1254246</v>
      </c>
      <c r="E2855" s="51">
        <f>200*2688+2*358323</f>
        <v>1254246</v>
      </c>
      <c r="F2855" s="51"/>
      <c r="G2855" s="51"/>
      <c r="H2855" s="399"/>
      <c r="I2855" s="51"/>
      <c r="J2855" s="51"/>
      <c r="K2855" s="51"/>
      <c r="L2855" s="51"/>
      <c r="M2855" s="35"/>
      <c r="N2855" s="51"/>
      <c r="O2855" s="82"/>
      <c r="P2855" s="399"/>
      <c r="Q2855" s="338"/>
      <c r="R2855" s="51"/>
      <c r="S2855" s="51"/>
      <c r="T2855" s="338"/>
      <c r="U2855" s="51"/>
      <c r="V2855" s="35"/>
      <c r="W2855" s="51"/>
      <c r="X2855" s="331"/>
      <c r="Y2855" s="48"/>
      <c r="Z2855" s="48"/>
      <c r="AA2855" s="48">
        <v>124522.87</v>
      </c>
      <c r="AB2855" s="48"/>
      <c r="AC2855" s="48"/>
      <c r="AD2855" s="48"/>
      <c r="AE2855" s="48"/>
      <c r="AF2855" s="48"/>
      <c r="AG2855" s="61"/>
      <c r="AH2855" s="62"/>
      <c r="AI2855" s="58"/>
      <c r="AJ2855" s="56"/>
    </row>
    <row r="2856" spans="1:36" x14ac:dyDescent="0.3">
      <c r="A2856" s="47">
        <f t="shared" si="641"/>
        <v>2577</v>
      </c>
      <c r="B2856" s="414" t="s">
        <v>3597</v>
      </c>
      <c r="C2856" s="51">
        <f t="shared" si="639"/>
        <v>1523046</v>
      </c>
      <c r="D2856" s="51">
        <f>E2856+F2856+G2856+H2856+I2856</f>
        <v>1523046</v>
      </c>
      <c r="E2856" s="51">
        <f>300*2688+2*358323</f>
        <v>1523046</v>
      </c>
      <c r="F2856" s="51"/>
      <c r="G2856" s="51"/>
      <c r="H2856" s="51"/>
      <c r="I2856" s="51"/>
      <c r="J2856" s="51"/>
      <c r="K2856" s="51"/>
      <c r="L2856" s="51"/>
      <c r="M2856" s="35"/>
      <c r="N2856" s="51"/>
      <c r="O2856" s="82"/>
      <c r="P2856" s="51"/>
      <c r="Q2856" s="338"/>
      <c r="R2856" s="51"/>
      <c r="S2856" s="51"/>
      <c r="T2856" s="338"/>
      <c r="U2856" s="51"/>
      <c r="V2856" s="35"/>
      <c r="W2856" s="51"/>
      <c r="X2856" s="331"/>
      <c r="Y2856" s="48"/>
      <c r="Z2856" s="48"/>
      <c r="AA2856" s="48">
        <v>135158.94</v>
      </c>
      <c r="AB2856" s="48"/>
      <c r="AC2856" s="48">
        <v>112721.17</v>
      </c>
      <c r="AD2856" s="48"/>
      <c r="AE2856" s="48"/>
      <c r="AF2856" s="48"/>
      <c r="AG2856" s="61">
        <v>344698.2</v>
      </c>
      <c r="AH2856" s="62"/>
      <c r="AI2856" s="58"/>
      <c r="AJ2856" s="56"/>
    </row>
    <row r="2857" spans="1:36" x14ac:dyDescent="0.3">
      <c r="A2857" s="47">
        <f t="shared" si="641"/>
        <v>2578</v>
      </c>
      <c r="B2857" s="414" t="s">
        <v>3620</v>
      </c>
      <c r="C2857" s="51">
        <f t="shared" si="639"/>
        <v>130000</v>
      </c>
      <c r="D2857" s="51">
        <f>E2857+F2857+G2857+H2857+I2857</f>
        <v>0</v>
      </c>
      <c r="E2857" s="51"/>
      <c r="F2857" s="399"/>
      <c r="G2857" s="51"/>
      <c r="H2857" s="51"/>
      <c r="I2857" s="51"/>
      <c r="J2857" s="51"/>
      <c r="K2857" s="51"/>
      <c r="L2857" s="51"/>
      <c r="M2857" s="35"/>
      <c r="N2857" s="51"/>
      <c r="O2857" s="82"/>
      <c r="P2857" s="51"/>
      <c r="Q2857" s="338"/>
      <c r="R2857" s="51"/>
      <c r="S2857" s="51"/>
      <c r="T2857" s="338"/>
      <c r="U2857" s="51"/>
      <c r="V2857" s="35"/>
      <c r="W2857" s="51">
        <v>130000</v>
      </c>
      <c r="X2857" s="331" t="s">
        <v>3621</v>
      </c>
      <c r="Y2857" s="48"/>
      <c r="Z2857" s="48"/>
      <c r="AA2857" s="48"/>
      <c r="AB2857" s="48"/>
      <c r="AC2857" s="48"/>
      <c r="AD2857" s="48"/>
      <c r="AE2857" s="48"/>
      <c r="AF2857" s="48"/>
      <c r="AG2857" s="61"/>
      <c r="AH2857" s="62"/>
      <c r="AI2857" s="58"/>
      <c r="AJ2857" s="56"/>
    </row>
    <row r="2858" spans="1:36" x14ac:dyDescent="0.3">
      <c r="A2858" s="47">
        <f t="shared" si="641"/>
        <v>2579</v>
      </c>
      <c r="B2858" s="414" t="s">
        <v>3618</v>
      </c>
      <c r="C2858" s="51">
        <f t="shared" si="639"/>
        <v>119487</v>
      </c>
      <c r="D2858" s="51">
        <f t="shared" si="640"/>
        <v>0</v>
      </c>
      <c r="E2858" s="51"/>
      <c r="F2858" s="399"/>
      <c r="G2858" s="51"/>
      <c r="H2858" s="399"/>
      <c r="I2858" s="51"/>
      <c r="J2858" s="51"/>
      <c r="K2858" s="51"/>
      <c r="L2858" s="51"/>
      <c r="M2858" s="35"/>
      <c r="N2858" s="51"/>
      <c r="O2858" s="82"/>
      <c r="P2858" s="399"/>
      <c r="Q2858" s="338"/>
      <c r="R2858" s="51"/>
      <c r="S2858" s="51"/>
      <c r="T2858" s="338"/>
      <c r="U2858" s="51"/>
      <c r="V2858" s="35"/>
      <c r="W2858" s="51">
        <f>SUM(Z2858:AI2858)</f>
        <v>119487</v>
      </c>
      <c r="X2858" s="331"/>
      <c r="Y2858" s="48"/>
      <c r="Z2858" s="48"/>
      <c r="AA2858" s="48"/>
      <c r="AB2858" s="48"/>
      <c r="AC2858" s="48"/>
      <c r="AD2858" s="48">
        <v>119487</v>
      </c>
      <c r="AE2858" s="48"/>
      <c r="AF2858" s="48"/>
      <c r="AG2858" s="61"/>
      <c r="AH2858" s="62"/>
      <c r="AI2858" s="58"/>
      <c r="AJ2858" s="56"/>
    </row>
    <row r="2859" spans="1:36" x14ac:dyDescent="0.3">
      <c r="A2859" s="47">
        <f t="shared" si="641"/>
        <v>2580</v>
      </c>
      <c r="B2859" s="414" t="s">
        <v>3619</v>
      </c>
      <c r="C2859" s="51">
        <f t="shared" si="639"/>
        <v>204599</v>
      </c>
      <c r="D2859" s="51">
        <f t="shared" si="640"/>
        <v>0</v>
      </c>
      <c r="E2859" s="51"/>
      <c r="F2859" s="399"/>
      <c r="G2859" s="51"/>
      <c r="H2859" s="51"/>
      <c r="I2859" s="51"/>
      <c r="J2859" s="51"/>
      <c r="K2859" s="51"/>
      <c r="L2859" s="51"/>
      <c r="M2859" s="35"/>
      <c r="N2859" s="51"/>
      <c r="O2859" s="82"/>
      <c r="P2859" s="51"/>
      <c r="Q2859" s="338"/>
      <c r="R2859" s="51"/>
      <c r="S2859" s="51"/>
      <c r="T2859" s="338"/>
      <c r="U2859" s="51"/>
      <c r="V2859" s="35"/>
      <c r="W2859" s="51">
        <f>SUM(Z2859:AI2859)</f>
        <v>204599</v>
      </c>
      <c r="X2859" s="331"/>
      <c r="Y2859" s="48"/>
      <c r="Z2859" s="48"/>
      <c r="AA2859" s="48"/>
      <c r="AB2859" s="48"/>
      <c r="AC2859" s="48"/>
      <c r="AD2859" s="48"/>
      <c r="AE2859" s="48"/>
      <c r="AF2859" s="48"/>
      <c r="AG2859" s="61"/>
      <c r="AH2859" s="62">
        <v>204599</v>
      </c>
      <c r="AI2859" s="58"/>
      <c r="AJ2859" s="56"/>
    </row>
    <row r="2860" spans="1:36" x14ac:dyDescent="0.3">
      <c r="A2860" s="47">
        <f t="shared" si="641"/>
        <v>2581</v>
      </c>
      <c r="B2860" s="414" t="s">
        <v>3593</v>
      </c>
      <c r="C2860" s="51">
        <f t="shared" si="639"/>
        <v>1003443</v>
      </c>
      <c r="D2860" s="51">
        <f>E2860+F2860+G2860+H2860+I2860</f>
        <v>1003443</v>
      </c>
      <c r="E2860" s="51">
        <f>240*2688+1*358323</f>
        <v>1003443</v>
      </c>
      <c r="F2860" s="51"/>
      <c r="G2860" s="51"/>
      <c r="H2860" s="399"/>
      <c r="I2860" s="51"/>
      <c r="J2860" s="51"/>
      <c r="K2860" s="51"/>
      <c r="L2860" s="51"/>
      <c r="M2860" s="35"/>
      <c r="N2860" s="51"/>
      <c r="O2860" s="82"/>
      <c r="P2860" s="399"/>
      <c r="Q2860" s="338"/>
      <c r="R2860" s="51"/>
      <c r="S2860" s="51"/>
      <c r="T2860" s="338"/>
      <c r="U2860" s="51"/>
      <c r="V2860" s="35"/>
      <c r="W2860" s="51"/>
      <c r="X2860" s="331"/>
      <c r="Y2860" s="48"/>
      <c r="Z2860" s="48">
        <v>94292.71</v>
      </c>
      <c r="AA2860" s="48"/>
      <c r="AB2860" s="48"/>
      <c r="AC2860" s="48"/>
      <c r="AD2860" s="48"/>
      <c r="AE2860" s="48"/>
      <c r="AF2860" s="48"/>
      <c r="AG2860" s="61"/>
      <c r="AH2860" s="62"/>
      <c r="AI2860" s="58">
        <v>166021.73000000001</v>
      </c>
      <c r="AJ2860" s="56"/>
    </row>
    <row r="2861" spans="1:36" x14ac:dyDescent="0.3">
      <c r="A2861" s="47">
        <f t="shared" si="641"/>
        <v>2582</v>
      </c>
      <c r="B2861" s="414" t="s">
        <v>3612</v>
      </c>
      <c r="C2861" s="51">
        <f t="shared" si="639"/>
        <v>1523046</v>
      </c>
      <c r="D2861" s="51">
        <f>E2861+F2861+G2861+H2861+I2861</f>
        <v>1523046</v>
      </c>
      <c r="E2861" s="51">
        <f>300*2688+2*358323</f>
        <v>1523046</v>
      </c>
      <c r="F2861" s="51"/>
      <c r="G2861" s="51"/>
      <c r="H2861" s="51"/>
      <c r="I2861" s="51"/>
      <c r="J2861" s="51"/>
      <c r="K2861" s="51"/>
      <c r="L2861" s="51"/>
      <c r="M2861" s="35"/>
      <c r="N2861" s="51"/>
      <c r="O2861" s="82"/>
      <c r="P2861" s="51"/>
      <c r="Q2861" s="338"/>
      <c r="R2861" s="51"/>
      <c r="S2861" s="51"/>
      <c r="T2861" s="338"/>
      <c r="U2861" s="51"/>
      <c r="V2861" s="35"/>
      <c r="W2861" s="51"/>
      <c r="X2861" s="331"/>
      <c r="Y2861" s="48"/>
      <c r="Z2861" s="48"/>
      <c r="AA2861" s="48"/>
      <c r="AB2861" s="48"/>
      <c r="AC2861" s="48"/>
      <c r="AD2861" s="48"/>
      <c r="AE2861" s="48"/>
      <c r="AF2861" s="48">
        <v>258863.78</v>
      </c>
      <c r="AG2861" s="61">
        <v>271863.78000000003</v>
      </c>
      <c r="AH2861" s="62"/>
      <c r="AI2861" s="58"/>
      <c r="AJ2861" s="56"/>
    </row>
    <row r="2862" spans="1:36" x14ac:dyDescent="0.3">
      <c r="A2862" s="47">
        <f t="shared" ref="A2862:A2867" si="642">A2861+1</f>
        <v>2583</v>
      </c>
      <c r="B2862" s="414" t="s">
        <v>3613</v>
      </c>
      <c r="C2862" s="51">
        <f t="shared" si="639"/>
        <v>1523046</v>
      </c>
      <c r="D2862" s="51">
        <f>E2862+F2862+G2862+H2862+I2862</f>
        <v>1523046</v>
      </c>
      <c r="E2862" s="51">
        <f>300*2688+2*358323</f>
        <v>1523046</v>
      </c>
      <c r="F2862" s="51"/>
      <c r="G2862" s="51"/>
      <c r="H2862" s="51"/>
      <c r="I2862" s="51"/>
      <c r="J2862" s="51"/>
      <c r="K2862" s="51"/>
      <c r="L2862" s="51"/>
      <c r="M2862" s="35"/>
      <c r="N2862" s="51"/>
      <c r="O2862" s="82"/>
      <c r="P2862" s="51"/>
      <c r="Q2862" s="338"/>
      <c r="R2862" s="51"/>
      <c r="S2862" s="51"/>
      <c r="T2862" s="338"/>
      <c r="U2862" s="51"/>
      <c r="V2862" s="35"/>
      <c r="W2862" s="51"/>
      <c r="X2862" s="331"/>
      <c r="Y2862" s="48"/>
      <c r="Z2862" s="48"/>
      <c r="AA2862" s="48">
        <v>125348.99</v>
      </c>
      <c r="AB2862" s="48"/>
      <c r="AC2862" s="48"/>
      <c r="AD2862" s="48"/>
      <c r="AE2862" s="48">
        <v>105445.58</v>
      </c>
      <c r="AF2862" s="48"/>
      <c r="AG2862" s="61"/>
      <c r="AH2862" s="62"/>
      <c r="AI2862" s="58"/>
      <c r="AJ2862" s="56"/>
    </row>
    <row r="2863" spans="1:36" x14ac:dyDescent="0.3">
      <c r="A2863" s="47">
        <f t="shared" si="642"/>
        <v>2584</v>
      </c>
      <c r="B2863" s="414" t="s">
        <v>3614</v>
      </c>
      <c r="C2863" s="51">
        <f t="shared" si="639"/>
        <v>1523046</v>
      </c>
      <c r="D2863" s="51">
        <f>E2863+F2863+G2863+H2863+I2863</f>
        <v>1523046</v>
      </c>
      <c r="E2863" s="51">
        <f>300*2688+2*358323</f>
        <v>1523046</v>
      </c>
      <c r="F2863" s="51"/>
      <c r="G2863" s="51"/>
      <c r="H2863" s="51"/>
      <c r="I2863" s="51"/>
      <c r="J2863" s="51"/>
      <c r="K2863" s="51"/>
      <c r="L2863" s="51"/>
      <c r="M2863" s="35"/>
      <c r="N2863" s="51"/>
      <c r="O2863" s="82"/>
      <c r="P2863" s="51"/>
      <c r="Q2863" s="338"/>
      <c r="R2863" s="51"/>
      <c r="S2863" s="51"/>
      <c r="T2863" s="338"/>
      <c r="U2863" s="51"/>
      <c r="V2863" s="35"/>
      <c r="W2863" s="51"/>
      <c r="X2863" s="331"/>
      <c r="Y2863" s="48"/>
      <c r="Z2863" s="48"/>
      <c r="AA2863" s="48">
        <v>125348.99</v>
      </c>
      <c r="AB2863" s="48"/>
      <c r="AC2863" s="48"/>
      <c r="AD2863" s="48"/>
      <c r="AE2863" s="48"/>
      <c r="AF2863" s="48"/>
      <c r="AG2863" s="61"/>
      <c r="AH2863" s="62"/>
      <c r="AI2863" s="58"/>
      <c r="AJ2863" s="56"/>
    </row>
    <row r="2864" spans="1:36" x14ac:dyDescent="0.3">
      <c r="A2864" s="47">
        <f t="shared" si="642"/>
        <v>2585</v>
      </c>
      <c r="B2864" s="414" t="s">
        <v>3622</v>
      </c>
      <c r="C2864" s="51">
        <f t="shared" si="639"/>
        <v>316265.01</v>
      </c>
      <c r="D2864" s="51">
        <f t="shared" si="640"/>
        <v>0</v>
      </c>
      <c r="E2864" s="51"/>
      <c r="F2864" s="51"/>
      <c r="G2864" s="51"/>
      <c r="H2864" s="51"/>
      <c r="I2864" s="399"/>
      <c r="J2864" s="51"/>
      <c r="K2864" s="51"/>
      <c r="L2864" s="51"/>
      <c r="M2864" s="35"/>
      <c r="N2864" s="51"/>
      <c r="O2864" s="82"/>
      <c r="P2864" s="51"/>
      <c r="Q2864" s="338"/>
      <c r="R2864" s="51"/>
      <c r="S2864" s="51"/>
      <c r="T2864" s="338"/>
      <c r="U2864" s="51"/>
      <c r="V2864" s="35"/>
      <c r="W2864" s="51">
        <f>SUM(Z2864:AI2864)</f>
        <v>316265.01</v>
      </c>
      <c r="X2864" s="331"/>
      <c r="Y2864" s="48"/>
      <c r="Z2864" s="48"/>
      <c r="AA2864" s="48">
        <v>123524.66</v>
      </c>
      <c r="AB2864" s="48"/>
      <c r="AC2864" s="48"/>
      <c r="AD2864" s="48"/>
      <c r="AE2864" s="48"/>
      <c r="AF2864" s="48">
        <v>192740.35</v>
      </c>
      <c r="AG2864" s="61"/>
      <c r="AH2864" s="62"/>
      <c r="AI2864" s="58"/>
      <c r="AJ2864" s="56"/>
    </row>
    <row r="2865" spans="1:36" x14ac:dyDescent="0.3">
      <c r="A2865" s="47">
        <f t="shared" si="642"/>
        <v>2586</v>
      </c>
      <c r="B2865" s="414" t="s">
        <v>3623</v>
      </c>
      <c r="C2865" s="51">
        <f t="shared" si="639"/>
        <v>298242.92000000004</v>
      </c>
      <c r="D2865" s="51">
        <f t="shared" si="640"/>
        <v>0</v>
      </c>
      <c r="E2865" s="51"/>
      <c r="F2865" s="51"/>
      <c r="G2865" s="51"/>
      <c r="H2865" s="51"/>
      <c r="I2865" s="399"/>
      <c r="J2865" s="51"/>
      <c r="K2865" s="51"/>
      <c r="L2865" s="51"/>
      <c r="M2865" s="35"/>
      <c r="N2865" s="51"/>
      <c r="O2865" s="82"/>
      <c r="P2865" s="51"/>
      <c r="Q2865" s="338"/>
      <c r="R2865" s="51"/>
      <c r="S2865" s="51"/>
      <c r="T2865" s="338"/>
      <c r="U2865" s="51"/>
      <c r="V2865" s="35"/>
      <c r="W2865" s="51">
        <f>SUM(Z2865:AI2865)</f>
        <v>298242.92000000004</v>
      </c>
      <c r="X2865" s="331"/>
      <c r="Y2865" s="48"/>
      <c r="Z2865" s="48">
        <v>105502.57</v>
      </c>
      <c r="AA2865" s="48"/>
      <c r="AB2865" s="48"/>
      <c r="AC2865" s="48"/>
      <c r="AD2865" s="48"/>
      <c r="AE2865" s="48"/>
      <c r="AF2865" s="48">
        <v>192740.35</v>
      </c>
      <c r="AG2865" s="61"/>
      <c r="AH2865" s="62"/>
      <c r="AI2865" s="58"/>
      <c r="AJ2865" s="56"/>
    </row>
    <row r="2866" spans="1:36" x14ac:dyDescent="0.3">
      <c r="A2866" s="47">
        <f t="shared" si="642"/>
        <v>2587</v>
      </c>
      <c r="B2866" s="414" t="s">
        <v>3624</v>
      </c>
      <c r="C2866" s="51">
        <f t="shared" si="639"/>
        <v>298242.92000000004</v>
      </c>
      <c r="D2866" s="51">
        <f t="shared" si="640"/>
        <v>0</v>
      </c>
      <c r="E2866" s="51"/>
      <c r="F2866" s="51"/>
      <c r="G2866" s="51"/>
      <c r="H2866" s="51"/>
      <c r="I2866" s="399"/>
      <c r="J2866" s="51"/>
      <c r="K2866" s="51"/>
      <c r="L2866" s="51"/>
      <c r="M2866" s="35"/>
      <c r="N2866" s="51"/>
      <c r="O2866" s="82"/>
      <c r="P2866" s="51"/>
      <c r="Q2866" s="338"/>
      <c r="R2866" s="51"/>
      <c r="S2866" s="51"/>
      <c r="T2866" s="338"/>
      <c r="U2866" s="51"/>
      <c r="V2866" s="35"/>
      <c r="W2866" s="51">
        <f>SUM(Z2866:AI2866)</f>
        <v>298242.92000000004</v>
      </c>
      <c r="X2866" s="331"/>
      <c r="Y2866" s="48"/>
      <c r="Z2866" s="48">
        <v>105502.57</v>
      </c>
      <c r="AA2866" s="48"/>
      <c r="AB2866" s="48"/>
      <c r="AC2866" s="48"/>
      <c r="AD2866" s="48"/>
      <c r="AE2866" s="48"/>
      <c r="AF2866" s="48">
        <v>192740.35</v>
      </c>
      <c r="AG2866" s="61"/>
      <c r="AH2866" s="62"/>
      <c r="AI2866" s="58"/>
      <c r="AJ2866" s="56"/>
    </row>
    <row r="2867" spans="1:36" x14ac:dyDescent="0.3">
      <c r="A2867" s="47">
        <f t="shared" si="642"/>
        <v>2588</v>
      </c>
      <c r="B2867" s="414" t="s">
        <v>3625</v>
      </c>
      <c r="C2867" s="51">
        <f t="shared" si="639"/>
        <v>78485.86</v>
      </c>
      <c r="D2867" s="51">
        <f t="shared" si="640"/>
        <v>0</v>
      </c>
      <c r="E2867" s="51"/>
      <c r="F2867" s="51"/>
      <c r="G2867" s="51"/>
      <c r="H2867" s="51"/>
      <c r="I2867" s="399"/>
      <c r="J2867" s="51"/>
      <c r="K2867" s="51"/>
      <c r="L2867" s="51"/>
      <c r="M2867" s="35"/>
      <c r="N2867" s="51"/>
      <c r="O2867" s="82"/>
      <c r="P2867" s="51"/>
      <c r="Q2867" s="338"/>
      <c r="R2867" s="51"/>
      <c r="S2867" s="51"/>
      <c r="T2867" s="338"/>
      <c r="U2867" s="51"/>
      <c r="V2867" s="35"/>
      <c r="W2867" s="51">
        <f>SUM(Z2867:AI2867)</f>
        <v>78485.86</v>
      </c>
      <c r="X2867" s="331"/>
      <c r="Y2867" s="48"/>
      <c r="Z2867" s="48">
        <v>78485.86</v>
      </c>
      <c r="AA2867" s="48"/>
      <c r="AB2867" s="48"/>
      <c r="AC2867" s="48"/>
      <c r="AD2867" s="48"/>
      <c r="AE2867" s="48"/>
      <c r="AF2867" s="48"/>
      <c r="AG2867" s="61"/>
      <c r="AH2867" s="62"/>
      <c r="AI2867" s="58"/>
      <c r="AJ2867" s="56"/>
    </row>
    <row r="2868" spans="1:36" x14ac:dyDescent="0.3">
      <c r="A2868" s="47"/>
      <c r="B2868" s="414" t="s">
        <v>211</v>
      </c>
      <c r="C2868" s="51">
        <f t="shared" ref="C2868:W2868" si="643">SUM(C2852:C2867)</f>
        <v>15810475.709999999</v>
      </c>
      <c r="D2868" s="51">
        <f t="shared" si="643"/>
        <v>8349873</v>
      </c>
      <c r="E2868" s="51">
        <f t="shared" si="643"/>
        <v>8349873</v>
      </c>
      <c r="F2868" s="51">
        <f t="shared" si="643"/>
        <v>0</v>
      </c>
      <c r="G2868" s="51">
        <f t="shared" si="643"/>
        <v>0</v>
      </c>
      <c r="H2868" s="51">
        <f t="shared" si="643"/>
        <v>0</v>
      </c>
      <c r="I2868" s="51">
        <f t="shared" si="643"/>
        <v>0</v>
      </c>
      <c r="J2868" s="51">
        <f t="shared" si="643"/>
        <v>0</v>
      </c>
      <c r="K2868" s="51">
        <f t="shared" si="643"/>
        <v>0</v>
      </c>
      <c r="L2868" s="51">
        <f t="shared" si="643"/>
        <v>0</v>
      </c>
      <c r="M2868" s="35">
        <f t="shared" si="643"/>
        <v>420</v>
      </c>
      <c r="N2868" s="51">
        <f t="shared" si="643"/>
        <v>3399480</v>
      </c>
      <c r="O2868" s="82">
        <f t="shared" si="643"/>
        <v>0</v>
      </c>
      <c r="P2868" s="51">
        <f t="shared" si="643"/>
        <v>0</v>
      </c>
      <c r="Q2868" s="338">
        <f t="shared" si="643"/>
        <v>0</v>
      </c>
      <c r="R2868" s="51">
        <f t="shared" si="643"/>
        <v>0</v>
      </c>
      <c r="S2868" s="51">
        <f t="shared" si="643"/>
        <v>0</v>
      </c>
      <c r="T2868" s="338">
        <f t="shared" si="643"/>
        <v>220</v>
      </c>
      <c r="U2868" s="51">
        <f t="shared" si="643"/>
        <v>2615800</v>
      </c>
      <c r="V2868" s="35">
        <f t="shared" si="643"/>
        <v>0</v>
      </c>
      <c r="W2868" s="51">
        <f t="shared" si="643"/>
        <v>1445322.7100000002</v>
      </c>
      <c r="X2868" s="290"/>
      <c r="Y2868" s="48"/>
      <c r="Z2868" s="48"/>
      <c r="AA2868" s="48"/>
      <c r="AB2868" s="48"/>
      <c r="AC2868" s="48"/>
      <c r="AD2868" s="48"/>
      <c r="AE2868" s="48"/>
      <c r="AF2868" s="48"/>
      <c r="AG2868" s="61"/>
      <c r="AH2868" s="62"/>
      <c r="AI2868" s="58"/>
      <c r="AJ2868" s="56"/>
    </row>
    <row r="2869" spans="1:36" x14ac:dyDescent="0.3">
      <c r="A2869" s="47"/>
      <c r="B2869" s="414" t="s">
        <v>3920</v>
      </c>
      <c r="C2869" s="51">
        <f>C2807+C2820+C2829+C2834+C2850+C2868</f>
        <v>60945843.99000001</v>
      </c>
      <c r="D2869" s="51">
        <f t="shared" ref="D2869:W2869" si="644">D2807+D2820+D2829+D2834+D2850+D2868</f>
        <v>8349873</v>
      </c>
      <c r="E2869" s="51">
        <f t="shared" si="644"/>
        <v>8349873</v>
      </c>
      <c r="F2869" s="51">
        <f t="shared" si="644"/>
        <v>0</v>
      </c>
      <c r="G2869" s="51">
        <f t="shared" si="644"/>
        <v>0</v>
      </c>
      <c r="H2869" s="51">
        <f t="shared" si="644"/>
        <v>0</v>
      </c>
      <c r="I2869" s="51">
        <f t="shared" si="644"/>
        <v>0</v>
      </c>
      <c r="J2869" s="51">
        <f t="shared" si="644"/>
        <v>0</v>
      </c>
      <c r="K2869" s="51">
        <f t="shared" si="644"/>
        <v>0</v>
      </c>
      <c r="L2869" s="51">
        <f t="shared" si="644"/>
        <v>0</v>
      </c>
      <c r="M2869" s="35">
        <f t="shared" si="644"/>
        <v>446</v>
      </c>
      <c r="N2869" s="51">
        <f t="shared" si="644"/>
        <v>10696023.6</v>
      </c>
      <c r="O2869" s="82">
        <f t="shared" si="644"/>
        <v>637</v>
      </c>
      <c r="P2869" s="51">
        <f t="shared" si="644"/>
        <v>5283571.2</v>
      </c>
      <c r="Q2869" s="338">
        <f t="shared" si="644"/>
        <v>0</v>
      </c>
      <c r="R2869" s="51">
        <f t="shared" si="644"/>
        <v>0</v>
      </c>
      <c r="S2869" s="51">
        <f t="shared" si="644"/>
        <v>0</v>
      </c>
      <c r="T2869" s="338">
        <f t="shared" si="644"/>
        <v>220</v>
      </c>
      <c r="U2869" s="51">
        <f t="shared" si="644"/>
        <v>2615800</v>
      </c>
      <c r="V2869" s="35">
        <f t="shared" si="644"/>
        <v>0</v>
      </c>
      <c r="W2869" s="51">
        <f t="shared" si="644"/>
        <v>34000576.189999998</v>
      </c>
      <c r="X2869" s="290"/>
      <c r="Y2869" s="48"/>
      <c r="Z2869" s="48"/>
      <c r="AA2869" s="48"/>
      <c r="AB2869" s="48"/>
      <c r="AC2869" s="48"/>
      <c r="AD2869" s="48"/>
      <c r="AE2869" s="48"/>
      <c r="AF2869" s="48"/>
      <c r="AG2869" s="61"/>
      <c r="AH2869" s="62"/>
      <c r="AI2869" s="58"/>
      <c r="AJ2869" s="56"/>
    </row>
    <row r="2870" spans="1:36" x14ac:dyDescent="0.3">
      <c r="A2870" s="440"/>
      <c r="B2870" s="414" t="s">
        <v>3626</v>
      </c>
      <c r="C2870" s="418">
        <f t="shared" ref="C2870:W2870" si="645">C2869+C2756+C2510+C2475+C2342+C2219+C2202+C2028+C1943+C1782+C1706+C1666+C1623+C1098+C648+C414+C217+C161</f>
        <v>3474609442.8969994</v>
      </c>
      <c r="D2870" s="418">
        <f t="shared" si="645"/>
        <v>378311929.89000005</v>
      </c>
      <c r="E2870" s="418">
        <f t="shared" si="645"/>
        <v>108309688.7</v>
      </c>
      <c r="F2870" s="418">
        <f t="shared" si="645"/>
        <v>177424507.52000001</v>
      </c>
      <c r="G2870" s="418">
        <f t="shared" si="645"/>
        <v>38794081.340000004</v>
      </c>
      <c r="H2870" s="418">
        <f t="shared" si="645"/>
        <v>40641756.299999997</v>
      </c>
      <c r="I2870" s="418">
        <f t="shared" si="645"/>
        <v>13141896.030000001</v>
      </c>
      <c r="J2870" s="418">
        <f t="shared" si="645"/>
        <v>0</v>
      </c>
      <c r="K2870" s="418">
        <f t="shared" si="645"/>
        <v>0</v>
      </c>
      <c r="L2870" s="418">
        <f t="shared" si="645"/>
        <v>0</v>
      </c>
      <c r="M2870" s="425">
        <f t="shared" si="645"/>
        <v>66652.010000000009</v>
      </c>
      <c r="N2870" s="418">
        <f t="shared" si="645"/>
        <v>401022153.75999999</v>
      </c>
      <c r="O2870" s="419">
        <f t="shared" si="645"/>
        <v>21958.7</v>
      </c>
      <c r="P2870" s="418">
        <f t="shared" si="645"/>
        <v>372280819.69000006</v>
      </c>
      <c r="Q2870" s="397">
        <f t="shared" si="645"/>
        <v>169120.14500000002</v>
      </c>
      <c r="R2870" s="418">
        <f t="shared" si="645"/>
        <v>1089496489</v>
      </c>
      <c r="S2870" s="418">
        <f t="shared" si="645"/>
        <v>0</v>
      </c>
      <c r="T2870" s="443">
        <f t="shared" si="645"/>
        <v>40781.96</v>
      </c>
      <c r="U2870" s="418">
        <f t="shared" si="645"/>
        <v>121574750.55000001</v>
      </c>
      <c r="V2870" s="425">
        <f t="shared" si="645"/>
        <v>95795947.039999992</v>
      </c>
      <c r="W2870" s="418">
        <f t="shared" si="645"/>
        <v>996960313.0170002</v>
      </c>
    </row>
    <row r="2871" spans="1:36" s="150" customFormat="1" x14ac:dyDescent="0.3">
      <c r="A2871" s="441"/>
      <c r="B2871" s="427" t="s">
        <v>4183</v>
      </c>
      <c r="C2871" s="409">
        <f>(C2870-W2870)*0.0214</f>
        <v>53021691.379431978</v>
      </c>
      <c r="D2871" s="409"/>
      <c r="E2871" s="409"/>
      <c r="F2871" s="409"/>
      <c r="G2871" s="409"/>
      <c r="H2871" s="409"/>
      <c r="I2871" s="409"/>
      <c r="J2871" s="409"/>
      <c r="K2871" s="409"/>
      <c r="L2871" s="409"/>
      <c r="M2871" s="412"/>
      <c r="N2871" s="409"/>
      <c r="O2871" s="410"/>
      <c r="P2871" s="409"/>
      <c r="Q2871" s="411"/>
      <c r="R2871" s="409"/>
      <c r="S2871" s="409"/>
      <c r="T2871" s="411"/>
      <c r="U2871" s="409"/>
      <c r="V2871" s="412"/>
      <c r="W2871" s="409"/>
    </row>
    <row r="2872" spans="1:36" s="150" customFormat="1" ht="31.2" x14ac:dyDescent="0.3">
      <c r="A2872" s="441"/>
      <c r="B2872" s="428" t="s">
        <v>4184</v>
      </c>
      <c r="C2872" s="409">
        <f>C2870+C2871</f>
        <v>3527631134.2764316</v>
      </c>
      <c r="D2872" s="409"/>
      <c r="E2872" s="409"/>
      <c r="F2872" s="409"/>
      <c r="G2872" s="409"/>
      <c r="H2872" s="409"/>
      <c r="I2872" s="409"/>
      <c r="J2872" s="409"/>
      <c r="K2872" s="409"/>
      <c r="L2872" s="409"/>
      <c r="M2872" s="412"/>
      <c r="N2872" s="409"/>
      <c r="O2872" s="410"/>
      <c r="P2872" s="409"/>
      <c r="Q2872" s="411"/>
      <c r="R2872" s="409"/>
      <c r="S2872" s="409"/>
      <c r="T2872" s="411"/>
      <c r="U2872" s="409"/>
      <c r="V2872" s="412"/>
      <c r="W2872" s="409"/>
    </row>
    <row r="2873" spans="1:36" x14ac:dyDescent="0.3">
      <c r="C2873" s="386">
        <f>C2870-W2870</f>
        <v>2477649129.8799992</v>
      </c>
    </row>
  </sheetData>
  <protectedRanges>
    <protectedRange password="CC6F" sqref="M1366" name="Диапазон1_1_1"/>
  </protectedRanges>
  <autoFilter ref="A9:AO2870"/>
  <mergeCells count="135">
    <mergeCell ref="A1943:B1943"/>
    <mergeCell ref="A1:W1"/>
    <mergeCell ref="S2749:T2749"/>
    <mergeCell ref="Z2397:AA2397"/>
    <mergeCell ref="Z2398:AA2398"/>
    <mergeCell ref="Z2399:AA2399"/>
    <mergeCell ref="Z2400:AA2400"/>
    <mergeCell ref="Z2354:AA2354"/>
    <mergeCell ref="Z2355:AA2355"/>
    <mergeCell ref="Z2385:AA2385"/>
    <mergeCell ref="Z2395:AA2395"/>
    <mergeCell ref="Z2348:AA2348"/>
    <mergeCell ref="Z1017:AA1017"/>
    <mergeCell ref="Z981:AA981"/>
    <mergeCell ref="Z982:AA982"/>
    <mergeCell ref="Z1003:AA1003"/>
    <mergeCell ref="Z1011:AA1011"/>
    <mergeCell ref="Z1014:AA1014"/>
    <mergeCell ref="Z1015:AA1015"/>
    <mergeCell ref="Z864:AA864"/>
    <mergeCell ref="G875:I875"/>
    <mergeCell ref="Z893:AA893"/>
    <mergeCell ref="Z895:AA895"/>
    <mergeCell ref="Z931:AA931"/>
    <mergeCell ref="Z962:AA962"/>
    <mergeCell ref="Z759:AA759"/>
    <mergeCell ref="Z775:AA775"/>
    <mergeCell ref="Z811:AA811"/>
    <mergeCell ref="Z822:AA822"/>
    <mergeCell ref="Z859:AA859"/>
    <mergeCell ref="Z861:AA861"/>
    <mergeCell ref="Z608:AA608"/>
    <mergeCell ref="Z609:AA609"/>
    <mergeCell ref="Z610:AA610"/>
    <mergeCell ref="K700:L700"/>
    <mergeCell ref="Z700:AA700"/>
    <mergeCell ref="Z602:AA602"/>
    <mergeCell ref="Z603:AA603"/>
    <mergeCell ref="Z604:AA604"/>
    <mergeCell ref="Z605:AA605"/>
    <mergeCell ref="Z606:AA606"/>
    <mergeCell ref="Z607:AA607"/>
    <mergeCell ref="Z596:AA596"/>
    <mergeCell ref="Z597:AA597"/>
    <mergeCell ref="Z598:AA598"/>
    <mergeCell ref="Z599:AA599"/>
    <mergeCell ref="Z600:AA600"/>
    <mergeCell ref="Z601:AA601"/>
    <mergeCell ref="Z590:AA590"/>
    <mergeCell ref="Z591:AA591"/>
    <mergeCell ref="Z592:AA592"/>
    <mergeCell ref="Z593:AA593"/>
    <mergeCell ref="Z594:AA594"/>
    <mergeCell ref="Z595:AA595"/>
    <mergeCell ref="Z584:AA584"/>
    <mergeCell ref="Z585:AA585"/>
    <mergeCell ref="Z586:AA586"/>
    <mergeCell ref="Z587:AA587"/>
    <mergeCell ref="Z588:AA588"/>
    <mergeCell ref="Z589:AA589"/>
    <mergeCell ref="Z578:AA578"/>
    <mergeCell ref="Z579:AA579"/>
    <mergeCell ref="Z580:AA580"/>
    <mergeCell ref="Z581:AA581"/>
    <mergeCell ref="Z582:AA582"/>
    <mergeCell ref="Z583:AA583"/>
    <mergeCell ref="Z572:AA572"/>
    <mergeCell ref="Z573:AA573"/>
    <mergeCell ref="Z574:AA574"/>
    <mergeCell ref="Z575:AA575"/>
    <mergeCell ref="Z576:AA576"/>
    <mergeCell ref="Z577:AA577"/>
    <mergeCell ref="Z566:AA566"/>
    <mergeCell ref="Z567:AA567"/>
    <mergeCell ref="Z568:AA568"/>
    <mergeCell ref="Z569:AA569"/>
    <mergeCell ref="Z570:AA570"/>
    <mergeCell ref="Z571:AA571"/>
    <mergeCell ref="Z560:AA560"/>
    <mergeCell ref="Z561:AA561"/>
    <mergeCell ref="Z562:AA562"/>
    <mergeCell ref="Z563:AA563"/>
    <mergeCell ref="Z564:AA564"/>
    <mergeCell ref="Z565:AA565"/>
    <mergeCell ref="Z554:AA554"/>
    <mergeCell ref="Z555:AA555"/>
    <mergeCell ref="Z556:AA556"/>
    <mergeCell ref="Z557:AA557"/>
    <mergeCell ref="Z558:AA558"/>
    <mergeCell ref="Z559:AA559"/>
    <mergeCell ref="Z548:AA548"/>
    <mergeCell ref="Z549:AA549"/>
    <mergeCell ref="Z550:AA550"/>
    <mergeCell ref="Z551:AA551"/>
    <mergeCell ref="Z552:AA552"/>
    <mergeCell ref="Z553:AA553"/>
    <mergeCell ref="Z453:AA453"/>
    <mergeCell ref="Z454:AA454"/>
    <mergeCell ref="Z456:AA456"/>
    <mergeCell ref="Z478:AA478"/>
    <mergeCell ref="Z433:AA433"/>
    <mergeCell ref="Z444:AA444"/>
    <mergeCell ref="Z449:AA449"/>
    <mergeCell ref="Z450:AA450"/>
    <mergeCell ref="Z418:AA418"/>
    <mergeCell ref="Z420:AA420"/>
    <mergeCell ref="Z427:AA427"/>
    <mergeCell ref="Z429:AA429"/>
    <mergeCell ref="Z430:AA430"/>
    <mergeCell ref="Y10:Y11"/>
    <mergeCell ref="X162:X163"/>
    <mergeCell ref="AE4:AE8"/>
    <mergeCell ref="AF4:AF8"/>
    <mergeCell ref="Z431:AA431"/>
    <mergeCell ref="Z432:AA432"/>
    <mergeCell ref="AG4:AG8"/>
    <mergeCell ref="D5:D7"/>
    <mergeCell ref="E5:E7"/>
    <mergeCell ref="F5:F7"/>
    <mergeCell ref="G5:G7"/>
    <mergeCell ref="H5:H7"/>
    <mergeCell ref="I5:I7"/>
    <mergeCell ref="J5:J7"/>
    <mergeCell ref="A218:W218"/>
    <mergeCell ref="AE2:AG2"/>
    <mergeCell ref="D4:I4"/>
    <mergeCell ref="J4:L4"/>
    <mergeCell ref="M4:N7"/>
    <mergeCell ref="O4:P7"/>
    <mergeCell ref="Q4:R7"/>
    <mergeCell ref="T4:U7"/>
    <mergeCell ref="V4:V7"/>
    <mergeCell ref="W4:W7"/>
    <mergeCell ref="K5:K7"/>
    <mergeCell ref="L5:L7"/>
  </mergeCells>
  <conditionalFormatting sqref="A161">
    <cfRule type="duplicateValues" dxfId="55" priority="75"/>
  </conditionalFormatting>
  <conditionalFormatting sqref="B1260">
    <cfRule type="duplicateValues" dxfId="54" priority="2"/>
  </conditionalFormatting>
  <conditionalFormatting sqref="B1267">
    <cfRule type="duplicateValues" dxfId="53" priority="1"/>
  </conditionalFormatting>
  <pageMargins left="0.23622047244094491" right="0.23622047244094491" top="0.55118110236220474" bottom="0.39370078740157483" header="0.31496062992125984" footer="0.28000000000000003"/>
  <pageSetup paperSize="9" scale="36" orientation="landscape" r:id="rId1"/>
  <headerFooter>
    <oddFooter>&amp;CСтраница &amp;P&amp;RРаздел III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500"/>
  <sheetViews>
    <sheetView view="pageBreakPreview" zoomScale="70" zoomScaleNormal="70" zoomScaleSheetLayoutView="70" workbookViewId="0">
      <pane xSplit="2" ySplit="10" topLeftCell="C1016" activePane="bottomRight" state="frozen"/>
      <selection activeCell="P738" sqref="P738"/>
      <selection pane="topRight" activeCell="P738" sqref="P738"/>
      <selection pane="bottomLeft" activeCell="P738" sqref="P738"/>
      <selection pane="bottomRight" activeCell="O1036" sqref="O1036"/>
    </sheetView>
  </sheetViews>
  <sheetFormatPr defaultColWidth="9.109375" defaultRowHeight="15.6" x14ac:dyDescent="0.3"/>
  <cols>
    <col min="1" max="1" width="9" style="150" customWidth="1"/>
    <col min="2" max="2" width="48.6640625" style="166" customWidth="1"/>
    <col min="3" max="3" width="20" style="150" customWidth="1"/>
    <col min="4" max="4" width="16.44140625" style="150" customWidth="1"/>
    <col min="5" max="5" width="15.88671875" style="150" customWidth="1"/>
    <col min="6" max="6" width="16.5546875" style="150" customWidth="1"/>
    <col min="7" max="7" width="15.6640625" style="150" customWidth="1"/>
    <col min="8" max="8" width="15.44140625" style="150" customWidth="1"/>
    <col min="9" max="9" width="15.88671875" style="150" customWidth="1"/>
    <col min="10" max="10" width="9.5546875" style="150" bestFit="1" customWidth="1"/>
    <col min="11" max="11" width="10.6640625" style="150" customWidth="1"/>
    <col min="12" max="12" width="9.5546875" style="150" bestFit="1" customWidth="1"/>
    <col min="13" max="13" width="11.44140625" style="150" bestFit="1" customWidth="1"/>
    <col min="14" max="14" width="18" style="150" customWidth="1"/>
    <col min="15" max="15" width="10.33203125" style="347" customWidth="1"/>
    <col min="16" max="16" width="18.44140625" style="150" bestFit="1" customWidth="1"/>
    <col min="17" max="17" width="13" style="347" customWidth="1"/>
    <col min="18" max="18" width="20.109375" style="150" customWidth="1"/>
    <col min="19" max="19" width="7.6640625" style="347" customWidth="1"/>
    <col min="20" max="20" width="12.44140625" style="347" customWidth="1"/>
    <col min="21" max="21" width="16.88671875" style="150" customWidth="1"/>
    <col min="22" max="22" width="9" style="150" customWidth="1"/>
    <col min="23" max="23" width="16.88671875" style="139" customWidth="1"/>
    <col min="24" max="24" width="13.88671875" style="150" hidden="1" customWidth="1"/>
    <col min="25" max="25" width="15" style="150" hidden="1" customWidth="1"/>
    <col min="26" max="26" width="13.88671875" style="150" hidden="1" customWidth="1"/>
    <col min="27" max="27" width="12.109375" style="150" hidden="1" customWidth="1"/>
    <col min="28" max="30" width="12.44140625" style="150" hidden="1" customWidth="1"/>
    <col min="31" max="31" width="14.44140625" style="150" hidden="1" customWidth="1"/>
    <col min="32" max="32" width="12.44140625" style="150" hidden="1" customWidth="1"/>
    <col min="33" max="33" width="10.6640625" style="150" hidden="1" customWidth="1"/>
    <col min="34" max="34" width="12.109375" style="150" hidden="1" customWidth="1"/>
    <col min="35" max="35" width="11.6640625" style="150" hidden="1" customWidth="1"/>
    <col min="36" max="36" width="10.33203125" style="150" hidden="1" customWidth="1"/>
    <col min="37" max="38" width="0" style="150" hidden="1" customWidth="1"/>
    <col min="39" max="16384" width="9.109375" style="150"/>
  </cols>
  <sheetData>
    <row r="1" spans="1:33" x14ac:dyDescent="0.3">
      <c r="A1" s="503" t="s">
        <v>4201</v>
      </c>
      <c r="B1" s="503"/>
      <c r="C1" s="503"/>
      <c r="D1" s="503"/>
      <c r="E1" s="541"/>
      <c r="F1" s="541"/>
      <c r="G1" s="541"/>
      <c r="H1" s="541"/>
      <c r="I1" s="541"/>
      <c r="J1" s="503"/>
      <c r="K1" s="503"/>
      <c r="L1" s="503"/>
      <c r="M1" s="503"/>
      <c r="N1" s="503"/>
      <c r="O1" s="503"/>
      <c r="P1" s="541"/>
      <c r="Q1" s="503"/>
      <c r="R1" s="503"/>
      <c r="S1" s="503"/>
      <c r="T1" s="503"/>
      <c r="U1" s="541"/>
      <c r="V1" s="503"/>
      <c r="W1" s="503"/>
      <c r="X1" s="185"/>
      <c r="Y1" s="185"/>
      <c r="Z1" s="185"/>
      <c r="AA1" s="185"/>
      <c r="AB1" s="56"/>
      <c r="AC1" s="56"/>
      <c r="AD1" s="56"/>
      <c r="AE1" s="56"/>
      <c r="AF1" s="56"/>
      <c r="AG1" s="56"/>
    </row>
    <row r="2" spans="1:33" x14ac:dyDescent="0.3">
      <c r="A2" s="39"/>
      <c r="B2" s="79"/>
      <c r="C2" s="41"/>
      <c r="D2" s="42"/>
      <c r="E2" s="41"/>
      <c r="F2" s="41"/>
      <c r="G2" s="41"/>
      <c r="H2" s="41"/>
      <c r="I2" s="41"/>
      <c r="J2" s="42"/>
      <c r="K2" s="42"/>
      <c r="L2" s="42"/>
      <c r="M2" s="42"/>
      <c r="N2" s="41"/>
      <c r="O2" s="340"/>
      <c r="P2" s="41"/>
      <c r="Q2" s="340"/>
      <c r="R2" s="41"/>
      <c r="S2" s="385"/>
      <c r="T2" s="340"/>
      <c r="U2" s="41"/>
      <c r="V2" s="42"/>
      <c r="W2" s="174"/>
      <c r="X2" s="9"/>
      <c r="Y2" s="9"/>
      <c r="Z2" s="40"/>
      <c r="AA2" s="56"/>
      <c r="AB2" s="56"/>
      <c r="AC2" s="56"/>
      <c r="AD2" s="489" t="s">
        <v>0</v>
      </c>
      <c r="AE2" s="489"/>
      <c r="AF2" s="489"/>
      <c r="AG2" s="56"/>
    </row>
    <row r="3" spans="1:33" ht="47.25" customHeight="1" x14ac:dyDescent="0.3">
      <c r="A3" s="531" t="s">
        <v>1</v>
      </c>
      <c r="B3" s="531" t="s">
        <v>2</v>
      </c>
      <c r="C3" s="530" t="s">
        <v>3</v>
      </c>
      <c r="D3" s="544" t="s">
        <v>4</v>
      </c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6"/>
      <c r="X3" s="285"/>
      <c r="Y3" s="286"/>
      <c r="Z3" s="40"/>
      <c r="AA3" s="56"/>
      <c r="AB3" s="56"/>
      <c r="AC3" s="56"/>
      <c r="AD3" s="56"/>
      <c r="AE3" s="56"/>
      <c r="AF3" s="56"/>
      <c r="AG3" s="56"/>
    </row>
    <row r="4" spans="1:33" ht="54.75" customHeight="1" x14ac:dyDescent="0.3">
      <c r="A4" s="532"/>
      <c r="B4" s="532"/>
      <c r="C4" s="484"/>
      <c r="D4" s="539" t="s">
        <v>5</v>
      </c>
      <c r="E4" s="542"/>
      <c r="F4" s="542"/>
      <c r="G4" s="542"/>
      <c r="H4" s="542"/>
      <c r="I4" s="542"/>
      <c r="J4" s="539" t="s">
        <v>6</v>
      </c>
      <c r="K4" s="539"/>
      <c r="L4" s="539"/>
      <c r="M4" s="539" t="s">
        <v>7</v>
      </c>
      <c r="N4" s="539"/>
      <c r="O4" s="539" t="s">
        <v>8</v>
      </c>
      <c r="P4" s="542"/>
      <c r="Q4" s="539" t="s">
        <v>9</v>
      </c>
      <c r="R4" s="539"/>
      <c r="S4" s="536" t="s">
        <v>24</v>
      </c>
      <c r="T4" s="539" t="s">
        <v>10</v>
      </c>
      <c r="U4" s="542"/>
      <c r="V4" s="539" t="s">
        <v>11</v>
      </c>
      <c r="W4" s="543" t="s">
        <v>12</v>
      </c>
      <c r="X4" s="356"/>
      <c r="Y4" s="187"/>
      <c r="Z4" s="187"/>
      <c r="AA4" s="187"/>
      <c r="AB4" s="187"/>
      <c r="AC4" s="187"/>
      <c r="AD4" s="502" t="s">
        <v>13</v>
      </c>
      <c r="AE4" s="502" t="s">
        <v>14</v>
      </c>
      <c r="AF4" s="502" t="s">
        <v>15</v>
      </c>
      <c r="AG4" s="56"/>
    </row>
    <row r="5" spans="1:33" ht="15.75" customHeight="1" x14ac:dyDescent="0.3">
      <c r="A5" s="532"/>
      <c r="B5" s="532"/>
      <c r="C5" s="484"/>
      <c r="D5" s="539" t="s">
        <v>16</v>
      </c>
      <c r="E5" s="542" t="s">
        <v>17</v>
      </c>
      <c r="F5" s="542" t="s">
        <v>18</v>
      </c>
      <c r="G5" s="542" t="s">
        <v>19</v>
      </c>
      <c r="H5" s="542" t="s">
        <v>20</v>
      </c>
      <c r="I5" s="542" t="s">
        <v>21</v>
      </c>
      <c r="J5" s="539"/>
      <c r="K5" s="539" t="s">
        <v>22</v>
      </c>
      <c r="L5" s="539" t="s">
        <v>23</v>
      </c>
      <c r="M5" s="539"/>
      <c r="N5" s="539"/>
      <c r="O5" s="539"/>
      <c r="P5" s="542"/>
      <c r="Q5" s="539"/>
      <c r="R5" s="539"/>
      <c r="S5" s="537"/>
      <c r="T5" s="539"/>
      <c r="U5" s="542"/>
      <c r="V5" s="539"/>
      <c r="W5" s="543"/>
      <c r="X5" s="356"/>
      <c r="Y5" s="187"/>
      <c r="Z5" s="187"/>
      <c r="AA5" s="187"/>
      <c r="AB5" s="187"/>
      <c r="AC5" s="187"/>
      <c r="AD5" s="502"/>
      <c r="AE5" s="502"/>
      <c r="AF5" s="502"/>
      <c r="AG5" s="56"/>
    </row>
    <row r="6" spans="1:33" ht="15.75" customHeight="1" x14ac:dyDescent="0.3">
      <c r="A6" s="532"/>
      <c r="B6" s="532"/>
      <c r="C6" s="484"/>
      <c r="D6" s="539"/>
      <c r="E6" s="542"/>
      <c r="F6" s="542"/>
      <c r="G6" s="542"/>
      <c r="H6" s="542"/>
      <c r="I6" s="542"/>
      <c r="J6" s="539"/>
      <c r="K6" s="539"/>
      <c r="L6" s="539"/>
      <c r="M6" s="539"/>
      <c r="N6" s="539"/>
      <c r="O6" s="539"/>
      <c r="P6" s="542"/>
      <c r="Q6" s="539"/>
      <c r="R6" s="539"/>
      <c r="S6" s="537"/>
      <c r="T6" s="539"/>
      <c r="U6" s="542"/>
      <c r="V6" s="539"/>
      <c r="W6" s="543"/>
      <c r="X6" s="356" t="s">
        <v>25</v>
      </c>
      <c r="Y6" s="187" t="s">
        <v>26</v>
      </c>
      <c r="Z6" s="187" t="s">
        <v>27</v>
      </c>
      <c r="AA6" s="187" t="s">
        <v>28</v>
      </c>
      <c r="AB6" s="187" t="s">
        <v>29</v>
      </c>
      <c r="AC6" s="187"/>
      <c r="AD6" s="502"/>
      <c r="AE6" s="502"/>
      <c r="AF6" s="502"/>
      <c r="AG6" s="56"/>
    </row>
    <row r="7" spans="1:33" ht="84" customHeight="1" x14ac:dyDescent="0.3">
      <c r="A7" s="533"/>
      <c r="B7" s="533"/>
      <c r="C7" s="485"/>
      <c r="D7" s="539"/>
      <c r="E7" s="542"/>
      <c r="F7" s="542"/>
      <c r="G7" s="542"/>
      <c r="H7" s="542"/>
      <c r="I7" s="542"/>
      <c r="J7" s="539"/>
      <c r="K7" s="539"/>
      <c r="L7" s="539"/>
      <c r="M7" s="539"/>
      <c r="N7" s="539"/>
      <c r="O7" s="539"/>
      <c r="P7" s="542"/>
      <c r="Q7" s="539"/>
      <c r="R7" s="539"/>
      <c r="S7" s="538"/>
      <c r="T7" s="539"/>
      <c r="U7" s="542"/>
      <c r="V7" s="539"/>
      <c r="W7" s="543"/>
      <c r="X7" s="356"/>
      <c r="Y7" s="187"/>
      <c r="Z7" s="187"/>
      <c r="AA7" s="187"/>
      <c r="AB7" s="187"/>
      <c r="AC7" s="187"/>
      <c r="AD7" s="502"/>
      <c r="AE7" s="502"/>
      <c r="AF7" s="502"/>
      <c r="AG7" s="56"/>
    </row>
    <row r="8" spans="1:33" x14ac:dyDescent="0.3">
      <c r="A8" s="44"/>
      <c r="B8" s="44"/>
      <c r="C8" s="187" t="s">
        <v>30</v>
      </c>
      <c r="D8" s="186" t="s">
        <v>30</v>
      </c>
      <c r="E8" s="187" t="s">
        <v>30</v>
      </c>
      <c r="F8" s="187" t="s">
        <v>30</v>
      </c>
      <c r="G8" s="187" t="s">
        <v>30</v>
      </c>
      <c r="H8" s="187" t="s">
        <v>30</v>
      </c>
      <c r="I8" s="187" t="s">
        <v>30</v>
      </c>
      <c r="J8" s="186" t="s">
        <v>31</v>
      </c>
      <c r="K8" s="186" t="s">
        <v>30</v>
      </c>
      <c r="L8" s="186" t="s">
        <v>30</v>
      </c>
      <c r="M8" s="186" t="s">
        <v>32</v>
      </c>
      <c r="N8" s="187" t="s">
        <v>30</v>
      </c>
      <c r="O8" s="342" t="s">
        <v>32</v>
      </c>
      <c r="P8" s="187" t="s">
        <v>30</v>
      </c>
      <c r="Q8" s="342" t="s">
        <v>32</v>
      </c>
      <c r="R8" s="187" t="s">
        <v>30</v>
      </c>
      <c r="S8" s="43"/>
      <c r="T8" s="342" t="s">
        <v>33</v>
      </c>
      <c r="U8" s="187" t="s">
        <v>30</v>
      </c>
      <c r="V8" s="186" t="s">
        <v>30</v>
      </c>
      <c r="W8" s="29"/>
      <c r="X8" s="356"/>
      <c r="Y8" s="187"/>
      <c r="Z8" s="187"/>
      <c r="AA8" s="187"/>
      <c r="AB8" s="187"/>
      <c r="AC8" s="187"/>
      <c r="AD8" s="502"/>
      <c r="AE8" s="502"/>
      <c r="AF8" s="502"/>
      <c r="AG8" s="7"/>
    </row>
    <row r="9" spans="1:33" ht="15.75" x14ac:dyDescent="0.25">
      <c r="A9" s="45">
        <v>1</v>
      </c>
      <c r="B9" s="146">
        <v>2</v>
      </c>
      <c r="C9" s="47">
        <v>3</v>
      </c>
      <c r="D9" s="47">
        <v>4</v>
      </c>
      <c r="E9" s="48">
        <v>5</v>
      </c>
      <c r="F9" s="48">
        <v>6</v>
      </c>
      <c r="G9" s="48">
        <v>7</v>
      </c>
      <c r="H9" s="48">
        <v>8</v>
      </c>
      <c r="I9" s="48">
        <v>9</v>
      </c>
      <c r="J9" s="47">
        <v>10</v>
      </c>
      <c r="K9" s="47">
        <v>11</v>
      </c>
      <c r="L9" s="47">
        <v>12</v>
      </c>
      <c r="M9" s="47">
        <v>13</v>
      </c>
      <c r="N9" s="47">
        <v>14</v>
      </c>
      <c r="O9" s="130">
        <v>15</v>
      </c>
      <c r="P9" s="48">
        <v>16</v>
      </c>
      <c r="Q9" s="130">
        <v>17</v>
      </c>
      <c r="R9" s="47">
        <v>18</v>
      </c>
      <c r="S9" s="130">
        <v>19</v>
      </c>
      <c r="T9" s="130">
        <v>20</v>
      </c>
      <c r="U9" s="48">
        <v>21</v>
      </c>
      <c r="V9" s="47">
        <v>24</v>
      </c>
      <c r="W9" s="31">
        <v>25</v>
      </c>
      <c r="X9" s="295"/>
      <c r="Y9" s="296"/>
      <c r="Z9" s="296"/>
      <c r="AA9" s="297"/>
      <c r="AB9" s="6"/>
      <c r="AC9" s="6"/>
      <c r="AD9" s="6"/>
      <c r="AE9" s="6"/>
      <c r="AF9" s="6"/>
      <c r="AG9" s="6"/>
    </row>
    <row r="10" spans="1:33" x14ac:dyDescent="0.3">
      <c r="A10" s="176" t="s">
        <v>34</v>
      </c>
      <c r="B10" s="147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33"/>
      <c r="P10" s="172"/>
      <c r="Q10" s="133"/>
      <c r="R10" s="172"/>
      <c r="S10" s="133"/>
      <c r="T10" s="133"/>
      <c r="U10" s="172"/>
      <c r="V10" s="172"/>
      <c r="W10" s="175"/>
      <c r="X10" s="486"/>
      <c r="Y10" s="298"/>
      <c r="Z10" s="298"/>
      <c r="AA10" s="298"/>
      <c r="AB10" s="56"/>
      <c r="AC10" s="56"/>
      <c r="AD10" s="56"/>
      <c r="AE10" s="56"/>
      <c r="AF10" s="56"/>
      <c r="AG10" s="56"/>
    </row>
    <row r="11" spans="1:33" ht="20.25" customHeight="1" x14ac:dyDescent="0.3">
      <c r="A11" s="176" t="s">
        <v>35</v>
      </c>
      <c r="B11" s="147"/>
      <c r="C11" s="172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179"/>
      <c r="O11" s="343"/>
      <c r="P11" s="49"/>
      <c r="Q11" s="343"/>
      <c r="R11" s="179"/>
      <c r="S11" s="53"/>
      <c r="T11" s="343"/>
      <c r="U11" s="49"/>
      <c r="V11" s="49"/>
      <c r="W11" s="180"/>
      <c r="X11" s="486"/>
      <c r="Y11" s="299"/>
      <c r="Z11" s="300"/>
      <c r="AA11" s="301"/>
      <c r="AB11" s="302"/>
      <c r="AC11" s="56"/>
      <c r="AD11" s="56"/>
      <c r="AE11" s="56"/>
      <c r="AF11" s="56"/>
      <c r="AG11" s="56"/>
    </row>
    <row r="12" spans="1:33" ht="20.25" customHeight="1" x14ac:dyDescent="0.3">
      <c r="A12" s="177" t="s">
        <v>171</v>
      </c>
      <c r="B12" s="66"/>
      <c r="C12" s="50"/>
      <c r="D12" s="51"/>
      <c r="E12" s="51"/>
      <c r="F12" s="51"/>
      <c r="G12" s="51"/>
      <c r="H12" s="51"/>
      <c r="I12" s="50"/>
      <c r="J12" s="51"/>
      <c r="K12" s="51"/>
      <c r="L12" s="51"/>
      <c r="M12" s="51"/>
      <c r="N12" s="50"/>
      <c r="O12" s="82"/>
      <c r="P12" s="51"/>
      <c r="Q12" s="82"/>
      <c r="R12" s="50"/>
      <c r="S12" s="68"/>
      <c r="T12" s="82"/>
      <c r="U12" s="51"/>
      <c r="V12" s="51"/>
      <c r="W12" s="178"/>
      <c r="X12" s="285"/>
      <c r="Y12" s="285"/>
      <c r="Z12" s="285"/>
      <c r="AA12" s="285"/>
      <c r="AB12" s="285"/>
      <c r="AC12" s="285"/>
      <c r="AD12" s="9"/>
      <c r="AE12" s="40"/>
      <c r="AF12" s="56"/>
      <c r="AG12" s="56"/>
    </row>
    <row r="13" spans="1:33" ht="20.25" customHeight="1" x14ac:dyDescent="0.3">
      <c r="A13" s="177">
        <v>1</v>
      </c>
      <c r="B13" s="66" t="s">
        <v>172</v>
      </c>
      <c r="C13" s="50">
        <f t="shared" ref="C13:C23" si="0">D13+K13+L13+N13+P13+R13+S13+U13+V13+W13</f>
        <v>1534616.04</v>
      </c>
      <c r="D13" s="51">
        <f t="shared" ref="D13:D23" si="1">E13+F13+G13+H13+I13</f>
        <v>0</v>
      </c>
      <c r="E13" s="51"/>
      <c r="F13" s="51"/>
      <c r="G13" s="51"/>
      <c r="H13" s="51"/>
      <c r="I13" s="50"/>
      <c r="J13" s="51"/>
      <c r="K13" s="51"/>
      <c r="L13" s="51"/>
      <c r="M13" s="51"/>
      <c r="N13" s="50"/>
      <c r="O13" s="82"/>
      <c r="P13" s="51"/>
      <c r="Q13" s="82">
        <v>618.70000000000005</v>
      </c>
      <c r="R13" s="50">
        <v>1534616.04</v>
      </c>
      <c r="S13" s="68"/>
      <c r="T13" s="82"/>
      <c r="U13" s="50"/>
      <c r="V13" s="51"/>
      <c r="W13" s="178"/>
      <c r="X13" s="285">
        <v>156593.21</v>
      </c>
      <c r="Y13" s="285"/>
      <c r="Z13" s="285"/>
      <c r="AA13" s="285"/>
      <c r="AB13" s="285"/>
      <c r="AC13" s="285"/>
      <c r="AD13" s="9"/>
      <c r="AE13" s="40"/>
      <c r="AF13" s="56"/>
      <c r="AG13" s="56"/>
    </row>
    <row r="14" spans="1:33" ht="20.25" customHeight="1" x14ac:dyDescent="0.3">
      <c r="A14" s="177">
        <f t="shared" ref="A14:A23" si="2">A13+1</f>
        <v>2</v>
      </c>
      <c r="B14" s="66" t="s">
        <v>173</v>
      </c>
      <c r="C14" s="50">
        <f t="shared" si="0"/>
        <v>3183964.81</v>
      </c>
      <c r="D14" s="51">
        <f t="shared" si="1"/>
        <v>0</v>
      </c>
      <c r="E14" s="50"/>
      <c r="F14" s="51"/>
      <c r="G14" s="50"/>
      <c r="H14" s="51"/>
      <c r="I14" s="51"/>
      <c r="J14" s="51"/>
      <c r="K14" s="51"/>
      <c r="L14" s="51"/>
      <c r="M14" s="51"/>
      <c r="N14" s="50"/>
      <c r="O14" s="129"/>
      <c r="P14" s="50"/>
      <c r="Q14" s="82">
        <v>1201.52</v>
      </c>
      <c r="R14" s="50">
        <v>3183964.81</v>
      </c>
      <c r="S14" s="68"/>
      <c r="T14" s="82"/>
      <c r="U14" s="50"/>
      <c r="V14" s="51"/>
      <c r="W14" s="178"/>
      <c r="X14" s="285"/>
      <c r="Y14" s="285"/>
      <c r="Z14" s="285"/>
      <c r="AA14" s="285"/>
      <c r="AB14" s="285">
        <v>146783.99</v>
      </c>
      <c r="AC14" s="285"/>
      <c r="AD14" s="9"/>
      <c r="AE14" s="40"/>
      <c r="AF14" s="56"/>
      <c r="AG14" s="56"/>
    </row>
    <row r="15" spans="1:33" ht="20.25" customHeight="1" x14ac:dyDescent="0.3">
      <c r="A15" s="177">
        <f t="shared" si="2"/>
        <v>3</v>
      </c>
      <c r="B15" s="66" t="s">
        <v>174</v>
      </c>
      <c r="C15" s="50">
        <f t="shared" si="0"/>
        <v>2360650.7999999998</v>
      </c>
      <c r="D15" s="51">
        <f t="shared" si="1"/>
        <v>0</v>
      </c>
      <c r="E15" s="50"/>
      <c r="F15" s="51"/>
      <c r="G15" s="50"/>
      <c r="H15" s="51"/>
      <c r="I15" s="51"/>
      <c r="J15" s="51"/>
      <c r="K15" s="51"/>
      <c r="L15" s="51"/>
      <c r="M15" s="51"/>
      <c r="N15" s="50"/>
      <c r="O15" s="129"/>
      <c r="P15" s="50"/>
      <c r="Q15" s="82">
        <v>1272.5</v>
      </c>
      <c r="R15" s="50">
        <v>2360650.7999999998</v>
      </c>
      <c r="S15" s="68"/>
      <c r="T15" s="82"/>
      <c r="U15" s="50"/>
      <c r="V15" s="51"/>
      <c r="W15" s="178"/>
      <c r="X15" s="285"/>
      <c r="Y15" s="285"/>
      <c r="Z15" s="285"/>
      <c r="AA15" s="285"/>
      <c r="AB15" s="285">
        <v>146783.99</v>
      </c>
      <c r="AC15" s="285"/>
      <c r="AD15" s="9"/>
      <c r="AE15" s="40"/>
      <c r="AF15" s="56"/>
      <c r="AG15" s="56"/>
    </row>
    <row r="16" spans="1:33" ht="20.25" customHeight="1" x14ac:dyDescent="0.3">
      <c r="A16" s="177">
        <f t="shared" si="2"/>
        <v>4</v>
      </c>
      <c r="B16" s="66" t="s">
        <v>175</v>
      </c>
      <c r="C16" s="50">
        <f t="shared" si="0"/>
        <v>134706</v>
      </c>
      <c r="D16" s="51">
        <f t="shared" si="1"/>
        <v>0</v>
      </c>
      <c r="E16" s="50"/>
      <c r="F16" s="51"/>
      <c r="G16" s="50"/>
      <c r="H16" s="51"/>
      <c r="I16" s="51"/>
      <c r="J16" s="51"/>
      <c r="K16" s="51"/>
      <c r="L16" s="51"/>
      <c r="M16" s="51"/>
      <c r="N16" s="50"/>
      <c r="O16" s="129"/>
      <c r="P16" s="50"/>
      <c r="Q16" s="82">
        <v>13</v>
      </c>
      <c r="R16" s="50">
        <f>13*10362</f>
        <v>134706</v>
      </c>
      <c r="S16" s="68"/>
      <c r="T16" s="82"/>
      <c r="U16" s="50"/>
      <c r="V16" s="51"/>
      <c r="W16" s="178"/>
      <c r="X16" s="285"/>
      <c r="Y16" s="285"/>
      <c r="Z16" s="285"/>
      <c r="AA16" s="285"/>
      <c r="AB16" s="285">
        <v>215227.39</v>
      </c>
      <c r="AC16" s="285"/>
      <c r="AD16" s="9"/>
      <c r="AE16" s="40"/>
      <c r="AF16" s="56"/>
      <c r="AG16" s="56"/>
    </row>
    <row r="17" spans="1:35" ht="20.25" customHeight="1" x14ac:dyDescent="0.3">
      <c r="A17" s="177">
        <f t="shared" si="2"/>
        <v>5</v>
      </c>
      <c r="B17" s="66" t="s">
        <v>176</v>
      </c>
      <c r="C17" s="50">
        <f t="shared" si="0"/>
        <v>1560645.53</v>
      </c>
      <c r="D17" s="51">
        <f t="shared" si="1"/>
        <v>0</v>
      </c>
      <c r="E17" s="50"/>
      <c r="F17" s="51"/>
      <c r="G17" s="50"/>
      <c r="H17" s="51"/>
      <c r="I17" s="51"/>
      <c r="J17" s="51"/>
      <c r="K17" s="51"/>
      <c r="L17" s="51"/>
      <c r="M17" s="51"/>
      <c r="N17" s="50"/>
      <c r="O17" s="129"/>
      <c r="P17" s="50"/>
      <c r="Q17" s="82">
        <v>618.70000000000005</v>
      </c>
      <c r="R17" s="50">
        <v>1560645.53</v>
      </c>
      <c r="S17" s="68"/>
      <c r="T17" s="82"/>
      <c r="U17" s="50"/>
      <c r="V17" s="51"/>
      <c r="W17" s="178"/>
      <c r="X17" s="285"/>
      <c r="Y17" s="285"/>
      <c r="Z17" s="285"/>
      <c r="AA17" s="285"/>
      <c r="AB17" s="285"/>
      <c r="AC17" s="285"/>
      <c r="AD17" s="9"/>
      <c r="AE17" s="40"/>
      <c r="AF17" s="56"/>
      <c r="AG17" s="56"/>
    </row>
    <row r="18" spans="1:35" ht="20.25" customHeight="1" x14ac:dyDescent="0.3">
      <c r="A18" s="177">
        <f t="shared" si="2"/>
        <v>6</v>
      </c>
      <c r="B18" s="66" t="s">
        <v>177</v>
      </c>
      <c r="C18" s="50">
        <f t="shared" si="0"/>
        <v>1815202.63</v>
      </c>
      <c r="D18" s="51">
        <f t="shared" si="1"/>
        <v>0</v>
      </c>
      <c r="E18" s="50"/>
      <c r="F18" s="50"/>
      <c r="G18" s="50"/>
      <c r="H18" s="50"/>
      <c r="I18" s="50"/>
      <c r="J18" s="51"/>
      <c r="K18" s="51"/>
      <c r="L18" s="51"/>
      <c r="M18" s="51"/>
      <c r="N18" s="50"/>
      <c r="O18" s="129"/>
      <c r="P18" s="50"/>
      <c r="Q18" s="82">
        <v>724.55</v>
      </c>
      <c r="R18" s="50">
        <v>1815202.63</v>
      </c>
      <c r="S18" s="68"/>
      <c r="T18" s="82"/>
      <c r="U18" s="50"/>
      <c r="V18" s="51"/>
      <c r="W18" s="178"/>
      <c r="X18" s="285">
        <v>108834.7</v>
      </c>
      <c r="Y18" s="285"/>
      <c r="Z18" s="285"/>
      <c r="AA18" s="285"/>
      <c r="AB18" s="285"/>
      <c r="AC18" s="285"/>
      <c r="AD18" s="9"/>
      <c r="AE18" s="40"/>
      <c r="AF18" s="56"/>
      <c r="AG18" s="56"/>
    </row>
    <row r="19" spans="1:35" ht="20.25" customHeight="1" x14ac:dyDescent="0.3">
      <c r="A19" s="177">
        <f t="shared" si="2"/>
        <v>7</v>
      </c>
      <c r="B19" s="66" t="s">
        <v>178</v>
      </c>
      <c r="C19" s="50">
        <f t="shared" si="0"/>
        <v>3183964.81</v>
      </c>
      <c r="D19" s="51">
        <f t="shared" si="1"/>
        <v>0</v>
      </c>
      <c r="E19" s="50"/>
      <c r="F19" s="51"/>
      <c r="G19" s="50"/>
      <c r="H19" s="51"/>
      <c r="I19" s="51"/>
      <c r="J19" s="51"/>
      <c r="K19" s="51"/>
      <c r="L19" s="51"/>
      <c r="M19" s="51"/>
      <c r="N19" s="50"/>
      <c r="O19" s="129"/>
      <c r="P19" s="50"/>
      <c r="Q19" s="82">
        <v>1201.52</v>
      </c>
      <c r="R19" s="50">
        <v>3183964.81</v>
      </c>
      <c r="S19" s="68"/>
      <c r="T19" s="82"/>
      <c r="U19" s="50"/>
      <c r="V19" s="51"/>
      <c r="W19" s="178"/>
      <c r="X19" s="285"/>
      <c r="Y19" s="285"/>
      <c r="Z19" s="285"/>
      <c r="AA19" s="285">
        <v>148049.4</v>
      </c>
      <c r="AB19" s="285"/>
      <c r="AC19" s="285"/>
      <c r="AD19" s="9"/>
      <c r="AE19" s="40"/>
      <c r="AF19" s="56"/>
      <c r="AG19" s="56"/>
    </row>
    <row r="20" spans="1:35" ht="20.25" customHeight="1" x14ac:dyDescent="0.3">
      <c r="A20" s="177">
        <f t="shared" si="2"/>
        <v>8</v>
      </c>
      <c r="B20" s="66" t="s">
        <v>179</v>
      </c>
      <c r="C20" s="50">
        <f t="shared" si="0"/>
        <v>3183964.81</v>
      </c>
      <c r="D20" s="51">
        <f t="shared" si="1"/>
        <v>0</v>
      </c>
      <c r="E20" s="50"/>
      <c r="F20" s="51"/>
      <c r="G20" s="50"/>
      <c r="H20" s="51"/>
      <c r="I20" s="51"/>
      <c r="J20" s="51"/>
      <c r="K20" s="51"/>
      <c r="L20" s="51"/>
      <c r="M20" s="51"/>
      <c r="N20" s="50"/>
      <c r="O20" s="129"/>
      <c r="P20" s="50"/>
      <c r="Q20" s="82">
        <v>1201.52</v>
      </c>
      <c r="R20" s="50">
        <v>3183964.81</v>
      </c>
      <c r="S20" s="68"/>
      <c r="T20" s="82"/>
      <c r="U20" s="50"/>
      <c r="V20" s="51"/>
      <c r="W20" s="178"/>
      <c r="X20" s="285"/>
      <c r="Y20" s="285"/>
      <c r="Z20" s="285"/>
      <c r="AA20" s="285"/>
      <c r="AB20" s="285"/>
      <c r="AC20" s="285"/>
      <c r="AD20" s="9"/>
      <c r="AE20" s="40"/>
      <c r="AF20" s="56"/>
      <c r="AG20" s="56"/>
    </row>
    <row r="21" spans="1:35" ht="20.25" customHeight="1" x14ac:dyDescent="0.3">
      <c r="A21" s="177">
        <f t="shared" si="2"/>
        <v>9</v>
      </c>
      <c r="B21" s="66" t="s">
        <v>180</v>
      </c>
      <c r="C21" s="50">
        <f t="shared" si="0"/>
        <v>3183964.81</v>
      </c>
      <c r="D21" s="51">
        <f t="shared" si="1"/>
        <v>0</v>
      </c>
      <c r="E21" s="50"/>
      <c r="F21" s="51"/>
      <c r="G21" s="50"/>
      <c r="H21" s="51"/>
      <c r="I21" s="51"/>
      <c r="J21" s="51"/>
      <c r="K21" s="51"/>
      <c r="L21" s="51"/>
      <c r="M21" s="51"/>
      <c r="N21" s="50"/>
      <c r="O21" s="129"/>
      <c r="P21" s="50"/>
      <c r="Q21" s="82">
        <v>1201.52</v>
      </c>
      <c r="R21" s="50">
        <v>3183964.81</v>
      </c>
      <c r="S21" s="68"/>
      <c r="T21" s="82"/>
      <c r="U21" s="50"/>
      <c r="V21" s="51"/>
      <c r="W21" s="178"/>
      <c r="X21" s="285"/>
      <c r="Y21" s="285"/>
      <c r="Z21" s="285"/>
      <c r="AA21" s="285"/>
      <c r="AB21" s="285"/>
      <c r="AC21" s="285"/>
      <c r="AD21" s="9"/>
      <c r="AE21" s="40"/>
      <c r="AF21" s="56"/>
      <c r="AG21" s="56"/>
    </row>
    <row r="22" spans="1:35" ht="20.25" customHeight="1" x14ac:dyDescent="0.3">
      <c r="A22" s="177">
        <f t="shared" si="2"/>
        <v>10</v>
      </c>
      <c r="B22" s="66" t="s">
        <v>181</v>
      </c>
      <c r="C22" s="50">
        <f t="shared" si="0"/>
        <v>3183964.81</v>
      </c>
      <c r="D22" s="51">
        <f t="shared" si="1"/>
        <v>0</v>
      </c>
      <c r="E22" s="50"/>
      <c r="F22" s="51"/>
      <c r="G22" s="50"/>
      <c r="H22" s="51"/>
      <c r="I22" s="51"/>
      <c r="J22" s="51"/>
      <c r="K22" s="51"/>
      <c r="L22" s="51"/>
      <c r="M22" s="52"/>
      <c r="N22" s="50"/>
      <c r="O22" s="129"/>
      <c r="P22" s="50"/>
      <c r="Q22" s="82">
        <v>1201.52</v>
      </c>
      <c r="R22" s="50">
        <v>3183964.81</v>
      </c>
      <c r="S22" s="68"/>
      <c r="T22" s="82"/>
      <c r="U22" s="50"/>
      <c r="V22" s="51"/>
      <c r="W22" s="178"/>
      <c r="X22" s="285"/>
      <c r="Y22" s="285"/>
      <c r="Z22" s="285"/>
      <c r="AA22" s="285"/>
      <c r="AB22" s="285"/>
      <c r="AC22" s="285"/>
      <c r="AD22" s="9"/>
      <c r="AE22" s="40"/>
      <c r="AF22" s="56"/>
      <c r="AG22" s="56"/>
    </row>
    <row r="23" spans="1:35" ht="20.25" customHeight="1" x14ac:dyDescent="0.3">
      <c r="A23" s="177">
        <f t="shared" si="2"/>
        <v>11</v>
      </c>
      <c r="B23" s="66" t="s">
        <v>182</v>
      </c>
      <c r="C23" s="50">
        <f t="shared" si="0"/>
        <v>3183964.81</v>
      </c>
      <c r="D23" s="51">
        <f t="shared" si="1"/>
        <v>0</v>
      </c>
      <c r="E23" s="50"/>
      <c r="F23" s="51"/>
      <c r="G23" s="50"/>
      <c r="H23" s="51"/>
      <c r="I23" s="51"/>
      <c r="J23" s="51"/>
      <c r="K23" s="51"/>
      <c r="L23" s="51"/>
      <c r="M23" s="52"/>
      <c r="N23" s="50"/>
      <c r="O23" s="129"/>
      <c r="P23" s="50"/>
      <c r="Q23" s="82">
        <v>1201.52</v>
      </c>
      <c r="R23" s="50">
        <v>3183964.81</v>
      </c>
      <c r="S23" s="68"/>
      <c r="T23" s="82"/>
      <c r="U23" s="50"/>
      <c r="V23" s="51"/>
      <c r="W23" s="178"/>
      <c r="X23" s="285"/>
      <c r="Y23" s="285"/>
      <c r="Z23" s="285"/>
      <c r="AA23" s="285"/>
      <c r="AB23" s="285"/>
      <c r="AC23" s="285"/>
      <c r="AD23" s="9"/>
      <c r="AE23" s="40"/>
      <c r="AF23" s="56"/>
      <c r="AG23" s="56"/>
    </row>
    <row r="24" spans="1:35" ht="20.25" customHeight="1" x14ac:dyDescent="0.3">
      <c r="A24" s="177"/>
      <c r="B24" s="66" t="s">
        <v>144</v>
      </c>
      <c r="C24" s="50">
        <f t="shared" ref="C24:R24" si="3">SUM(C13:C23)</f>
        <v>26509609.859999996</v>
      </c>
      <c r="D24" s="50">
        <f t="shared" si="3"/>
        <v>0</v>
      </c>
      <c r="E24" s="50">
        <f t="shared" si="3"/>
        <v>0</v>
      </c>
      <c r="F24" s="50">
        <f t="shared" si="3"/>
        <v>0</v>
      </c>
      <c r="G24" s="50">
        <f t="shared" si="3"/>
        <v>0</v>
      </c>
      <c r="H24" s="50">
        <f t="shared" si="3"/>
        <v>0</v>
      </c>
      <c r="I24" s="50">
        <f t="shared" si="3"/>
        <v>0</v>
      </c>
      <c r="J24" s="50">
        <f t="shared" si="3"/>
        <v>0</v>
      </c>
      <c r="K24" s="50">
        <f t="shared" si="3"/>
        <v>0</v>
      </c>
      <c r="L24" s="50">
        <f t="shared" si="3"/>
        <v>0</v>
      </c>
      <c r="M24" s="50">
        <f t="shared" si="3"/>
        <v>0</v>
      </c>
      <c r="N24" s="50">
        <f t="shared" si="3"/>
        <v>0</v>
      </c>
      <c r="O24" s="68">
        <f t="shared" si="3"/>
        <v>0</v>
      </c>
      <c r="P24" s="50">
        <f t="shared" si="3"/>
        <v>0</v>
      </c>
      <c r="Q24" s="68">
        <f t="shared" si="3"/>
        <v>10456.570000000002</v>
      </c>
      <c r="R24" s="50">
        <f t="shared" si="3"/>
        <v>26509609.859999996</v>
      </c>
      <c r="S24" s="68">
        <f>SUM(S13:S23)</f>
        <v>0</v>
      </c>
      <c r="T24" s="68">
        <f>SUM(T13:T23)</f>
        <v>0</v>
      </c>
      <c r="U24" s="50">
        <f>SUM(U13:U23)</f>
        <v>0</v>
      </c>
      <c r="V24" s="50">
        <f>SUM(V13:V23)</f>
        <v>0</v>
      </c>
      <c r="W24" s="34">
        <f>SUM(W13:W23)</f>
        <v>0</v>
      </c>
      <c r="X24" s="285"/>
      <c r="Y24" s="285"/>
      <c r="Z24" s="285"/>
      <c r="AA24" s="285"/>
      <c r="AB24" s="285"/>
      <c r="AC24" s="285"/>
      <c r="AD24" s="9"/>
      <c r="AE24" s="40"/>
      <c r="AF24" s="56"/>
      <c r="AG24" s="56"/>
    </row>
    <row r="25" spans="1:35" ht="34.5" customHeight="1" x14ac:dyDescent="0.3">
      <c r="A25" s="177"/>
      <c r="B25" s="131" t="s">
        <v>183</v>
      </c>
      <c r="C25" s="50"/>
      <c r="D25" s="51"/>
      <c r="E25" s="50"/>
      <c r="F25" s="51"/>
      <c r="G25" s="50"/>
      <c r="H25" s="51"/>
      <c r="I25" s="51"/>
      <c r="J25" s="51"/>
      <c r="K25" s="51"/>
      <c r="L25" s="51"/>
      <c r="M25" s="52"/>
      <c r="N25" s="50"/>
      <c r="O25" s="129"/>
      <c r="P25" s="50"/>
      <c r="Q25" s="82"/>
      <c r="R25" s="50"/>
      <c r="S25" s="68"/>
      <c r="T25" s="82"/>
      <c r="U25" s="50"/>
      <c r="V25" s="51"/>
      <c r="W25" s="178"/>
      <c r="X25" s="285"/>
      <c r="Y25" s="285"/>
      <c r="Z25" s="285"/>
      <c r="AA25" s="285"/>
      <c r="AB25" s="285"/>
      <c r="AC25" s="285"/>
      <c r="AD25" s="9"/>
      <c r="AE25" s="40"/>
      <c r="AF25" s="56"/>
      <c r="AG25" s="56"/>
    </row>
    <row r="26" spans="1:35" ht="20.25" customHeight="1" x14ac:dyDescent="0.3">
      <c r="A26" s="177">
        <f>A23+1</f>
        <v>12</v>
      </c>
      <c r="B26" s="66" t="s">
        <v>190</v>
      </c>
      <c r="C26" s="50">
        <f>D26+K26+L26+N26+P26+R26+S26+U26+V26+W26</f>
        <v>9124354.8000000007</v>
      </c>
      <c r="D26" s="51">
        <f>E26+F26+G26+H26+I26</f>
        <v>0</v>
      </c>
      <c r="E26" s="50"/>
      <c r="F26" s="51"/>
      <c r="G26" s="50"/>
      <c r="H26" s="51"/>
      <c r="I26" s="51"/>
      <c r="J26" s="51"/>
      <c r="K26" s="51"/>
      <c r="L26" s="51"/>
      <c r="M26" s="51"/>
      <c r="N26" s="50"/>
      <c r="O26" s="82"/>
      <c r="P26" s="50"/>
      <c r="Q26" s="82">
        <v>651.6</v>
      </c>
      <c r="R26" s="50">
        <f>((10362+3641)*Q26)</f>
        <v>9124354.8000000007</v>
      </c>
      <c r="S26" s="68"/>
      <c r="T26" s="82"/>
      <c r="U26" s="50"/>
      <c r="V26" s="51"/>
      <c r="W26" s="178"/>
      <c r="X26" s="285"/>
      <c r="Y26" s="285"/>
      <c r="Z26" s="285"/>
      <c r="AA26" s="285"/>
      <c r="AB26" s="285"/>
      <c r="AC26" s="285"/>
      <c r="AD26" s="9"/>
      <c r="AE26" s="40"/>
      <c r="AF26" s="56"/>
      <c r="AG26" s="56"/>
    </row>
    <row r="27" spans="1:35" ht="24" customHeight="1" x14ac:dyDescent="0.3">
      <c r="A27" s="177"/>
      <c r="B27" s="66" t="s">
        <v>144</v>
      </c>
      <c r="C27" s="50">
        <f t="shared" ref="C27:R27" si="4">SUM(C26:C26)</f>
        <v>9124354.8000000007</v>
      </c>
      <c r="D27" s="50">
        <f t="shared" si="4"/>
        <v>0</v>
      </c>
      <c r="E27" s="50">
        <f t="shared" si="4"/>
        <v>0</v>
      </c>
      <c r="F27" s="50">
        <f t="shared" si="4"/>
        <v>0</v>
      </c>
      <c r="G27" s="50">
        <f t="shared" si="4"/>
        <v>0</v>
      </c>
      <c r="H27" s="50">
        <f t="shared" si="4"/>
        <v>0</v>
      </c>
      <c r="I27" s="50">
        <f t="shared" si="4"/>
        <v>0</v>
      </c>
      <c r="J27" s="50">
        <f t="shared" si="4"/>
        <v>0</v>
      </c>
      <c r="K27" s="50">
        <f t="shared" si="4"/>
        <v>0</v>
      </c>
      <c r="L27" s="50">
        <f t="shared" si="4"/>
        <v>0</v>
      </c>
      <c r="M27" s="50">
        <f t="shared" si="4"/>
        <v>0</v>
      </c>
      <c r="N27" s="50">
        <f t="shared" si="4"/>
        <v>0</v>
      </c>
      <c r="O27" s="68">
        <f t="shared" si="4"/>
        <v>0</v>
      </c>
      <c r="P27" s="50">
        <f t="shared" si="4"/>
        <v>0</v>
      </c>
      <c r="Q27" s="68">
        <f t="shared" si="4"/>
        <v>651.6</v>
      </c>
      <c r="R27" s="50">
        <f t="shared" si="4"/>
        <v>9124354.8000000007</v>
      </c>
      <c r="S27" s="68">
        <f>SUM(S26:S26)</f>
        <v>0</v>
      </c>
      <c r="T27" s="68">
        <f>SUM(T26:T26)</f>
        <v>0</v>
      </c>
      <c r="U27" s="50">
        <f>SUM(U26:U26)</f>
        <v>0</v>
      </c>
      <c r="V27" s="50">
        <f>SUM(V26:V26)</f>
        <v>0</v>
      </c>
      <c r="W27" s="34">
        <f>SUM(W26:W26)</f>
        <v>0</v>
      </c>
      <c r="X27" s="285"/>
      <c r="Y27" s="9"/>
      <c r="Z27" s="40"/>
      <c r="AA27" s="56"/>
      <c r="AB27" s="56"/>
      <c r="AC27" s="56"/>
      <c r="AD27" s="56"/>
      <c r="AE27" s="9"/>
      <c r="AF27" s="9"/>
      <c r="AG27" s="9"/>
    </row>
    <row r="28" spans="1:35" ht="24" customHeight="1" x14ac:dyDescent="0.3">
      <c r="A28" s="463" t="s">
        <v>194</v>
      </c>
      <c r="B28" s="463"/>
      <c r="C28" s="50">
        <f t="shared" ref="C28:W28" si="5">C24+C27</f>
        <v>35633964.659999996</v>
      </c>
      <c r="D28" s="50">
        <f t="shared" si="5"/>
        <v>0</v>
      </c>
      <c r="E28" s="50">
        <f t="shared" si="5"/>
        <v>0</v>
      </c>
      <c r="F28" s="50">
        <f t="shared" si="5"/>
        <v>0</v>
      </c>
      <c r="G28" s="50">
        <f t="shared" si="5"/>
        <v>0</v>
      </c>
      <c r="H28" s="50">
        <f t="shared" si="5"/>
        <v>0</v>
      </c>
      <c r="I28" s="50">
        <f t="shared" si="5"/>
        <v>0</v>
      </c>
      <c r="J28" s="50">
        <f t="shared" si="5"/>
        <v>0</v>
      </c>
      <c r="K28" s="50">
        <f t="shared" si="5"/>
        <v>0</v>
      </c>
      <c r="L28" s="50">
        <f t="shared" si="5"/>
        <v>0</v>
      </c>
      <c r="M28" s="50">
        <f t="shared" si="5"/>
        <v>0</v>
      </c>
      <c r="N28" s="50">
        <f t="shared" si="5"/>
        <v>0</v>
      </c>
      <c r="O28" s="68">
        <f t="shared" si="5"/>
        <v>0</v>
      </c>
      <c r="P28" s="50">
        <f t="shared" si="5"/>
        <v>0</v>
      </c>
      <c r="Q28" s="68">
        <f t="shared" si="5"/>
        <v>11108.170000000002</v>
      </c>
      <c r="R28" s="50">
        <f t="shared" si="5"/>
        <v>35633964.659999996</v>
      </c>
      <c r="S28" s="68">
        <f t="shared" si="5"/>
        <v>0</v>
      </c>
      <c r="T28" s="68">
        <f t="shared" si="5"/>
        <v>0</v>
      </c>
      <c r="U28" s="50">
        <f t="shared" si="5"/>
        <v>0</v>
      </c>
      <c r="V28" s="50">
        <f t="shared" si="5"/>
        <v>0</v>
      </c>
      <c r="W28" s="34">
        <f t="shared" si="5"/>
        <v>0</v>
      </c>
      <c r="X28" s="285"/>
      <c r="Y28" s="9"/>
      <c r="Z28" s="40"/>
      <c r="AA28" s="56"/>
      <c r="AB28" s="56"/>
      <c r="AC28" s="56"/>
      <c r="AD28" s="56"/>
      <c r="AE28" s="9"/>
      <c r="AF28" s="9"/>
      <c r="AG28" s="9"/>
    </row>
    <row r="29" spans="1:35" ht="31.2" x14ac:dyDescent="0.3">
      <c r="A29" s="478" t="s">
        <v>195</v>
      </c>
      <c r="B29" s="478"/>
      <c r="C29" s="478"/>
      <c r="D29" s="478"/>
      <c r="E29" s="478"/>
      <c r="F29" s="478"/>
      <c r="G29" s="478"/>
      <c r="H29" s="478"/>
      <c r="I29" s="478"/>
      <c r="J29" s="478"/>
      <c r="K29" s="478"/>
      <c r="L29" s="478"/>
      <c r="M29" s="478"/>
      <c r="N29" s="478"/>
      <c r="O29" s="478"/>
      <c r="P29" s="478"/>
      <c r="Q29" s="478"/>
      <c r="R29" s="478"/>
      <c r="S29" s="478"/>
      <c r="T29" s="478"/>
      <c r="U29" s="478"/>
      <c r="V29" s="478"/>
      <c r="W29" s="478"/>
      <c r="X29" s="305" t="s">
        <v>196</v>
      </c>
      <c r="Y29" s="179"/>
      <c r="Z29" s="179"/>
      <c r="AA29" s="179"/>
      <c r="AB29" s="179"/>
      <c r="AC29" s="172"/>
      <c r="AD29" s="172"/>
      <c r="AE29" s="172"/>
      <c r="AF29" s="62"/>
      <c r="AG29" s="62"/>
      <c r="AH29" s="56"/>
      <c r="AI29" s="56"/>
    </row>
    <row r="30" spans="1:35" x14ac:dyDescent="0.3">
      <c r="A30" s="177" t="s">
        <v>212</v>
      </c>
      <c r="B30" s="66"/>
      <c r="C30" s="50"/>
      <c r="D30" s="50"/>
      <c r="E30" s="50"/>
      <c r="F30" s="50"/>
      <c r="G30" s="50"/>
      <c r="H30" s="50"/>
      <c r="I30" s="50"/>
      <c r="J30" s="51"/>
      <c r="K30" s="51"/>
      <c r="L30" s="51"/>
      <c r="M30" s="50"/>
      <c r="N30" s="50"/>
      <c r="O30" s="68"/>
      <c r="P30" s="50"/>
      <c r="Q30" s="68"/>
      <c r="R30" s="50"/>
      <c r="S30" s="68"/>
      <c r="T30" s="68"/>
      <c r="U30" s="50"/>
      <c r="V30" s="50"/>
      <c r="W30" s="178"/>
      <c r="X30" s="141"/>
      <c r="Y30" s="48"/>
      <c r="Z30" s="48"/>
      <c r="AA30" s="48"/>
      <c r="AB30" s="48"/>
      <c r="AC30" s="48"/>
      <c r="AD30" s="61"/>
      <c r="AE30" s="62"/>
      <c r="AF30" s="62"/>
      <c r="AG30" s="62"/>
      <c r="AH30" s="56"/>
      <c r="AI30" s="56"/>
    </row>
    <row r="31" spans="1:35" x14ac:dyDescent="0.3">
      <c r="A31" s="177">
        <f>A26+1</f>
        <v>13</v>
      </c>
      <c r="B31" s="66" t="s">
        <v>213</v>
      </c>
      <c r="C31" s="50">
        <f>D31+N31+P31+R31+S31+U31+V31+W31</f>
        <v>230974.14</v>
      </c>
      <c r="D31" s="50">
        <f>E31+F31+G31+H31+I31</f>
        <v>0</v>
      </c>
      <c r="E31" s="50"/>
      <c r="F31" s="50"/>
      <c r="G31" s="50"/>
      <c r="H31" s="50"/>
      <c r="I31" s="50"/>
      <c r="J31" s="51"/>
      <c r="K31" s="51"/>
      <c r="L31" s="51"/>
      <c r="M31" s="50"/>
      <c r="N31" s="50"/>
      <c r="O31" s="68"/>
      <c r="P31" s="50"/>
      <c r="Q31" s="68"/>
      <c r="R31" s="50"/>
      <c r="S31" s="68"/>
      <c r="T31" s="68"/>
      <c r="U31" s="50"/>
      <c r="V31" s="50"/>
      <c r="W31" s="178">
        <f>SUM(AB31:AG31)</f>
        <v>230974.14</v>
      </c>
      <c r="X31" s="141"/>
      <c r="Y31" s="48"/>
      <c r="Z31" s="48"/>
      <c r="AA31" s="48"/>
      <c r="AB31" s="48"/>
      <c r="AC31" s="48">
        <v>230974.14</v>
      </c>
      <c r="AD31" s="61"/>
      <c r="AE31" s="62"/>
      <c r="AF31" s="62"/>
      <c r="AG31" s="62"/>
      <c r="AH31" s="56"/>
      <c r="AI31" s="56"/>
    </row>
    <row r="32" spans="1:35" x14ac:dyDescent="0.3">
      <c r="A32" s="177" t="s">
        <v>211</v>
      </c>
      <c r="B32" s="66"/>
      <c r="C32" s="50">
        <f t="shared" ref="C32:W32" si="6">SUM(C31:C31)</f>
        <v>230974.14</v>
      </c>
      <c r="D32" s="50">
        <f t="shared" si="6"/>
        <v>0</v>
      </c>
      <c r="E32" s="50">
        <f t="shared" si="6"/>
        <v>0</v>
      </c>
      <c r="F32" s="50">
        <f t="shared" si="6"/>
        <v>0</v>
      </c>
      <c r="G32" s="50">
        <f t="shared" si="6"/>
        <v>0</v>
      </c>
      <c r="H32" s="50">
        <f t="shared" si="6"/>
        <v>0</v>
      </c>
      <c r="I32" s="50">
        <f t="shared" si="6"/>
        <v>0</v>
      </c>
      <c r="J32" s="50">
        <f t="shared" si="6"/>
        <v>0</v>
      </c>
      <c r="K32" s="50">
        <f t="shared" si="6"/>
        <v>0</v>
      </c>
      <c r="L32" s="50">
        <f t="shared" si="6"/>
        <v>0</v>
      </c>
      <c r="M32" s="50">
        <f t="shared" si="6"/>
        <v>0</v>
      </c>
      <c r="N32" s="50">
        <f t="shared" si="6"/>
        <v>0</v>
      </c>
      <c r="O32" s="68">
        <f t="shared" si="6"/>
        <v>0</v>
      </c>
      <c r="P32" s="50">
        <f t="shared" si="6"/>
        <v>0</v>
      </c>
      <c r="Q32" s="68">
        <f t="shared" si="6"/>
        <v>0</v>
      </c>
      <c r="R32" s="50">
        <f t="shared" si="6"/>
        <v>0</v>
      </c>
      <c r="S32" s="68">
        <f t="shared" si="6"/>
        <v>0</v>
      </c>
      <c r="T32" s="68">
        <f t="shared" si="6"/>
        <v>0</v>
      </c>
      <c r="U32" s="50">
        <f t="shared" si="6"/>
        <v>0</v>
      </c>
      <c r="V32" s="50">
        <f t="shared" si="6"/>
        <v>0</v>
      </c>
      <c r="W32" s="34">
        <f t="shared" si="6"/>
        <v>230974.14</v>
      </c>
      <c r="X32" s="141"/>
      <c r="Y32" s="48"/>
      <c r="Z32" s="48"/>
      <c r="AA32" s="48"/>
      <c r="AB32" s="48"/>
      <c r="AC32" s="48"/>
      <c r="AD32" s="61"/>
      <c r="AE32" s="62"/>
      <c r="AF32" s="62"/>
      <c r="AG32" s="62"/>
      <c r="AH32" s="56"/>
      <c r="AI32" s="56"/>
    </row>
    <row r="33" spans="1:35" x14ac:dyDescent="0.3">
      <c r="A33" s="177" t="s">
        <v>215</v>
      </c>
      <c r="B33" s="66"/>
      <c r="C33" s="50"/>
      <c r="D33" s="50"/>
      <c r="E33" s="50"/>
      <c r="F33" s="50"/>
      <c r="G33" s="50"/>
      <c r="H33" s="50"/>
      <c r="I33" s="50"/>
      <c r="J33" s="51"/>
      <c r="K33" s="51"/>
      <c r="L33" s="51"/>
      <c r="M33" s="50"/>
      <c r="N33" s="50"/>
      <c r="O33" s="68"/>
      <c r="P33" s="50"/>
      <c r="Q33" s="68"/>
      <c r="R33" s="50"/>
      <c r="S33" s="68"/>
      <c r="T33" s="68"/>
      <c r="U33" s="50"/>
      <c r="V33" s="50"/>
      <c r="W33" s="178"/>
      <c r="X33" s="141"/>
      <c r="Y33" s="48"/>
      <c r="Z33" s="48"/>
      <c r="AA33" s="48"/>
      <c r="AB33" s="48"/>
      <c r="AC33" s="48"/>
      <c r="AD33" s="61"/>
      <c r="AE33" s="62"/>
      <c r="AF33" s="62"/>
      <c r="AG33" s="62"/>
      <c r="AH33" s="56"/>
      <c r="AI33" s="56"/>
    </row>
    <row r="34" spans="1:35" x14ac:dyDescent="0.3">
      <c r="A34" s="177">
        <f>A31+1</f>
        <v>14</v>
      </c>
      <c r="B34" s="66" t="s">
        <v>216</v>
      </c>
      <c r="C34" s="50">
        <f>D34+N34+P34+R34+S34+U34+V34+W34</f>
        <v>12467706.970000001</v>
      </c>
      <c r="D34" s="50">
        <f>E34+F34+G34+H34+I34</f>
        <v>0</v>
      </c>
      <c r="E34" s="50"/>
      <c r="F34" s="50"/>
      <c r="G34" s="50"/>
      <c r="H34" s="50"/>
      <c r="I34" s="50"/>
      <c r="J34" s="51"/>
      <c r="K34" s="51"/>
      <c r="L34" s="51"/>
      <c r="M34" s="50"/>
      <c r="N34" s="50"/>
      <c r="O34" s="68"/>
      <c r="P34" s="50"/>
      <c r="Q34" s="68">
        <v>2452.8000000000002</v>
      </c>
      <c r="R34" s="50">
        <v>12467706.970000001</v>
      </c>
      <c r="S34" s="68"/>
      <c r="T34" s="68"/>
      <c r="U34" s="50"/>
      <c r="V34" s="50"/>
      <c r="W34" s="178">
        <f>SUM(AB34:AG34)</f>
        <v>0</v>
      </c>
      <c r="X34" s="141"/>
      <c r="Y34" s="48"/>
      <c r="Z34" s="48"/>
      <c r="AA34" s="48"/>
      <c r="AB34" s="48"/>
      <c r="AC34" s="48"/>
      <c r="AD34" s="61"/>
      <c r="AE34" s="62"/>
      <c r="AF34" s="62"/>
      <c r="AG34" s="62"/>
      <c r="AH34" s="56"/>
      <c r="AI34" s="56"/>
    </row>
    <row r="35" spans="1:35" x14ac:dyDescent="0.3">
      <c r="A35" s="177">
        <f>A34+1</f>
        <v>15</v>
      </c>
      <c r="B35" s="66" t="s">
        <v>217</v>
      </c>
      <c r="C35" s="50">
        <f>D35+N35+P35+R35+S35+U35+V35+W35</f>
        <v>21460908.649999999</v>
      </c>
      <c r="D35" s="50">
        <f>E35+F35+G35+H35+I35</f>
        <v>0</v>
      </c>
      <c r="E35" s="50"/>
      <c r="F35" s="50"/>
      <c r="G35" s="50"/>
      <c r="H35" s="50"/>
      <c r="I35" s="50"/>
      <c r="J35" s="51"/>
      <c r="K35" s="51"/>
      <c r="L35" s="51"/>
      <c r="M35" s="50"/>
      <c r="N35" s="50"/>
      <c r="O35" s="68"/>
      <c r="P35" s="50"/>
      <c r="Q35" s="68">
        <v>2778.22</v>
      </c>
      <c r="R35" s="50">
        <v>21460908.649999999</v>
      </c>
      <c r="S35" s="68"/>
      <c r="T35" s="68"/>
      <c r="U35" s="50"/>
      <c r="V35" s="50"/>
      <c r="W35" s="178">
        <f>SUM(AB35:AG35)</f>
        <v>0</v>
      </c>
      <c r="X35" s="141"/>
      <c r="Y35" s="48"/>
      <c r="Z35" s="48"/>
      <c r="AA35" s="48"/>
      <c r="AB35" s="48"/>
      <c r="AC35" s="48"/>
      <c r="AD35" s="61"/>
      <c r="AE35" s="62"/>
      <c r="AF35" s="62"/>
      <c r="AG35" s="62"/>
      <c r="AH35" s="56"/>
      <c r="AI35" s="56"/>
    </row>
    <row r="36" spans="1:35" x14ac:dyDescent="0.3">
      <c r="A36" s="177">
        <f>A35+1</f>
        <v>16</v>
      </c>
      <c r="B36" s="66" t="s">
        <v>218</v>
      </c>
      <c r="C36" s="50">
        <f>D36+N36+P36+R36+S36+U36+V36+W36</f>
        <v>18239284.800000001</v>
      </c>
      <c r="D36" s="50">
        <f>E36+F36+G36+H36+I36</f>
        <v>0</v>
      </c>
      <c r="E36" s="50"/>
      <c r="F36" s="50"/>
      <c r="G36" s="50"/>
      <c r="H36" s="50"/>
      <c r="I36" s="50"/>
      <c r="J36" s="51"/>
      <c r="K36" s="51"/>
      <c r="L36" s="51"/>
      <c r="M36" s="50"/>
      <c r="N36" s="50"/>
      <c r="O36" s="68"/>
      <c r="P36" s="50"/>
      <c r="Q36" s="68">
        <v>3360</v>
      </c>
      <c r="R36" s="50">
        <v>18239284.800000001</v>
      </c>
      <c r="S36" s="68"/>
      <c r="T36" s="68"/>
      <c r="U36" s="50"/>
      <c r="V36" s="50"/>
      <c r="W36" s="178">
        <f>SUM(AB36:AG36)</f>
        <v>0</v>
      </c>
      <c r="X36" s="141"/>
      <c r="Y36" s="48"/>
      <c r="Z36" s="48"/>
      <c r="AA36" s="48"/>
      <c r="AB36" s="48"/>
      <c r="AC36" s="48"/>
      <c r="AD36" s="61"/>
      <c r="AE36" s="62"/>
      <c r="AF36" s="62"/>
      <c r="AG36" s="62"/>
      <c r="AH36" s="56"/>
      <c r="AI36" s="56"/>
    </row>
    <row r="37" spans="1:35" x14ac:dyDescent="0.3">
      <c r="A37" s="177">
        <f>A36+1</f>
        <v>17</v>
      </c>
      <c r="B37" s="66" t="s">
        <v>220</v>
      </c>
      <c r="C37" s="50">
        <f>D37+N37+P37+R37+S37+U37+V37+W37</f>
        <v>18203399.690000001</v>
      </c>
      <c r="D37" s="50">
        <f>E37+F37+G37+H37+I37</f>
        <v>0</v>
      </c>
      <c r="E37" s="50"/>
      <c r="F37" s="50"/>
      <c r="G37" s="50"/>
      <c r="H37" s="50"/>
      <c r="I37" s="50"/>
      <c r="J37" s="51"/>
      <c r="K37" s="51"/>
      <c r="L37" s="51"/>
      <c r="M37" s="50"/>
      <c r="N37" s="50"/>
      <c r="O37" s="68"/>
      <c r="P37" s="50"/>
      <c r="Q37" s="68">
        <v>2374</v>
      </c>
      <c r="R37" s="50">
        <v>18203399.690000001</v>
      </c>
      <c r="S37" s="68"/>
      <c r="T37" s="68"/>
      <c r="U37" s="50"/>
      <c r="V37" s="50"/>
      <c r="W37" s="178">
        <f>SUM(AB37:AG37)</f>
        <v>0</v>
      </c>
      <c r="X37" s="141"/>
      <c r="Y37" s="48"/>
      <c r="Z37" s="48"/>
      <c r="AA37" s="48"/>
      <c r="AB37" s="48"/>
      <c r="AC37" s="48"/>
      <c r="AD37" s="61"/>
      <c r="AE37" s="62"/>
      <c r="AF37" s="62"/>
      <c r="AG37" s="62"/>
      <c r="AH37" s="56"/>
      <c r="AI37" s="56"/>
    </row>
    <row r="38" spans="1:35" x14ac:dyDescent="0.3">
      <c r="A38" s="177" t="s">
        <v>211</v>
      </c>
      <c r="B38" s="66"/>
      <c r="C38" s="50">
        <f t="shared" ref="C38:W38" si="7">SUM(C34:C37)</f>
        <v>70371300.109999999</v>
      </c>
      <c r="D38" s="50">
        <f t="shared" si="7"/>
        <v>0</v>
      </c>
      <c r="E38" s="50">
        <f t="shared" si="7"/>
        <v>0</v>
      </c>
      <c r="F38" s="50">
        <f t="shared" si="7"/>
        <v>0</v>
      </c>
      <c r="G38" s="50">
        <f t="shared" si="7"/>
        <v>0</v>
      </c>
      <c r="H38" s="50">
        <f t="shared" si="7"/>
        <v>0</v>
      </c>
      <c r="I38" s="50">
        <f t="shared" si="7"/>
        <v>0</v>
      </c>
      <c r="J38" s="50">
        <f t="shared" si="7"/>
        <v>0</v>
      </c>
      <c r="K38" s="50">
        <f t="shared" si="7"/>
        <v>0</v>
      </c>
      <c r="L38" s="50">
        <f t="shared" si="7"/>
        <v>0</v>
      </c>
      <c r="M38" s="50">
        <f t="shared" si="7"/>
        <v>0</v>
      </c>
      <c r="N38" s="50">
        <f t="shared" si="7"/>
        <v>0</v>
      </c>
      <c r="O38" s="68">
        <f t="shared" si="7"/>
        <v>0</v>
      </c>
      <c r="P38" s="50">
        <f t="shared" si="7"/>
        <v>0</v>
      </c>
      <c r="Q38" s="68">
        <f t="shared" si="7"/>
        <v>10965.02</v>
      </c>
      <c r="R38" s="50">
        <f t="shared" si="7"/>
        <v>70371300.109999999</v>
      </c>
      <c r="S38" s="68">
        <f t="shared" si="7"/>
        <v>0</v>
      </c>
      <c r="T38" s="68">
        <f t="shared" si="7"/>
        <v>0</v>
      </c>
      <c r="U38" s="50">
        <f t="shared" si="7"/>
        <v>0</v>
      </c>
      <c r="V38" s="50">
        <f t="shared" si="7"/>
        <v>0</v>
      </c>
      <c r="W38" s="34">
        <f t="shared" si="7"/>
        <v>0</v>
      </c>
      <c r="X38" s="141"/>
      <c r="Y38" s="48"/>
      <c r="Z38" s="48"/>
      <c r="AA38" s="48"/>
      <c r="AB38" s="48"/>
      <c r="AC38" s="48"/>
      <c r="AD38" s="61"/>
      <c r="AE38" s="62"/>
      <c r="AF38" s="62"/>
      <c r="AG38" s="62"/>
      <c r="AH38" s="56"/>
      <c r="AI38" s="56"/>
    </row>
    <row r="39" spans="1:35" x14ac:dyDescent="0.3">
      <c r="A39" s="177" t="s">
        <v>236</v>
      </c>
      <c r="B39" s="66"/>
      <c r="C39" s="50"/>
      <c r="D39" s="50"/>
      <c r="E39" s="50"/>
      <c r="F39" s="50"/>
      <c r="G39" s="50"/>
      <c r="H39" s="50"/>
      <c r="I39" s="50"/>
      <c r="J39" s="51"/>
      <c r="K39" s="51"/>
      <c r="L39" s="51"/>
      <c r="M39" s="50"/>
      <c r="N39" s="50"/>
      <c r="O39" s="68"/>
      <c r="P39" s="50"/>
      <c r="Q39" s="68"/>
      <c r="R39" s="50"/>
      <c r="S39" s="68"/>
      <c r="T39" s="68"/>
      <c r="U39" s="50"/>
      <c r="V39" s="50"/>
      <c r="W39" s="178"/>
      <c r="X39" s="141"/>
      <c r="Y39" s="48"/>
      <c r="Z39" s="48"/>
      <c r="AA39" s="48"/>
      <c r="AB39" s="48"/>
      <c r="AC39" s="48"/>
      <c r="AD39" s="61"/>
      <c r="AE39" s="62"/>
      <c r="AF39" s="62"/>
      <c r="AG39" s="62"/>
      <c r="AH39" s="56"/>
      <c r="AI39" s="56"/>
    </row>
    <row r="40" spans="1:35" x14ac:dyDescent="0.3">
      <c r="A40" s="177">
        <f>A37+1</f>
        <v>18</v>
      </c>
      <c r="B40" s="66" t="s">
        <v>241</v>
      </c>
      <c r="C40" s="50">
        <f>D40+N40+P40+R40+S40+U40+V40+W40</f>
        <v>4214983.2</v>
      </c>
      <c r="D40" s="50">
        <f>E40+F40+G40+H40+I40</f>
        <v>0</v>
      </c>
      <c r="E40" s="50"/>
      <c r="F40" s="50"/>
      <c r="G40" s="50"/>
      <c r="H40" s="50"/>
      <c r="I40" s="50"/>
      <c r="J40" s="51"/>
      <c r="K40" s="51"/>
      <c r="L40" s="51"/>
      <c r="M40" s="50"/>
      <c r="N40" s="50"/>
      <c r="O40" s="68"/>
      <c r="P40" s="50"/>
      <c r="Q40" s="68">
        <v>516.78</v>
      </c>
      <c r="R40" s="50">
        <v>4214983.2</v>
      </c>
      <c r="S40" s="68"/>
      <c r="T40" s="68"/>
      <c r="U40" s="50"/>
      <c r="V40" s="50"/>
      <c r="W40" s="178"/>
      <c r="X40" s="141" t="s">
        <v>200</v>
      </c>
      <c r="Y40" s="48"/>
      <c r="Z40" s="48"/>
      <c r="AA40" s="48"/>
      <c r="AB40" s="48">
        <v>117073.88</v>
      </c>
      <c r="AC40" s="48"/>
      <c r="AD40" s="61">
        <v>326714.26</v>
      </c>
      <c r="AE40" s="62">
        <v>353543.39</v>
      </c>
      <c r="AF40" s="62"/>
      <c r="AG40" s="62"/>
      <c r="AH40" s="56"/>
      <c r="AI40" s="56"/>
    </row>
    <row r="41" spans="1:35" x14ac:dyDescent="0.3">
      <c r="A41" s="177" t="s">
        <v>211</v>
      </c>
      <c r="B41" s="66"/>
      <c r="C41" s="50">
        <f t="shared" ref="C41:W41" si="8">SUM(C40:C40)</f>
        <v>4214983.2</v>
      </c>
      <c r="D41" s="50">
        <f t="shared" si="8"/>
        <v>0</v>
      </c>
      <c r="E41" s="50">
        <f t="shared" si="8"/>
        <v>0</v>
      </c>
      <c r="F41" s="50">
        <f t="shared" si="8"/>
        <v>0</v>
      </c>
      <c r="G41" s="50">
        <f t="shared" si="8"/>
        <v>0</v>
      </c>
      <c r="H41" s="50">
        <f t="shared" si="8"/>
        <v>0</v>
      </c>
      <c r="I41" s="50">
        <f t="shared" si="8"/>
        <v>0</v>
      </c>
      <c r="J41" s="50">
        <f t="shared" si="8"/>
        <v>0</v>
      </c>
      <c r="K41" s="50">
        <f t="shared" si="8"/>
        <v>0</v>
      </c>
      <c r="L41" s="50">
        <f t="shared" si="8"/>
        <v>0</v>
      </c>
      <c r="M41" s="50">
        <f t="shared" si="8"/>
        <v>0</v>
      </c>
      <c r="N41" s="50">
        <f t="shared" si="8"/>
        <v>0</v>
      </c>
      <c r="O41" s="68">
        <f t="shared" si="8"/>
        <v>0</v>
      </c>
      <c r="P41" s="50">
        <f t="shared" si="8"/>
        <v>0</v>
      </c>
      <c r="Q41" s="68">
        <f t="shared" si="8"/>
        <v>516.78</v>
      </c>
      <c r="R41" s="50">
        <f t="shared" si="8"/>
        <v>4214983.2</v>
      </c>
      <c r="S41" s="68">
        <f t="shared" si="8"/>
        <v>0</v>
      </c>
      <c r="T41" s="68">
        <f t="shared" si="8"/>
        <v>0</v>
      </c>
      <c r="U41" s="50">
        <f t="shared" si="8"/>
        <v>0</v>
      </c>
      <c r="V41" s="50">
        <f t="shared" si="8"/>
        <v>0</v>
      </c>
      <c r="W41" s="34">
        <f t="shared" si="8"/>
        <v>0</v>
      </c>
      <c r="X41" s="141"/>
      <c r="Y41" s="48"/>
      <c r="Z41" s="48"/>
      <c r="AA41" s="48"/>
      <c r="AB41" s="48"/>
      <c r="AC41" s="48"/>
      <c r="AD41" s="61"/>
      <c r="AE41" s="62"/>
      <c r="AF41" s="62"/>
      <c r="AG41" s="62"/>
      <c r="AH41" s="56"/>
      <c r="AI41" s="56"/>
    </row>
    <row r="42" spans="1:35" x14ac:dyDescent="0.3">
      <c r="A42" s="177" t="s">
        <v>246</v>
      </c>
      <c r="B42" s="66"/>
      <c r="C42" s="50"/>
      <c r="D42" s="50"/>
      <c r="E42" s="50"/>
      <c r="F42" s="50"/>
      <c r="G42" s="50"/>
      <c r="H42" s="50"/>
      <c r="I42" s="50"/>
      <c r="J42" s="51"/>
      <c r="K42" s="51"/>
      <c r="L42" s="51"/>
      <c r="M42" s="50"/>
      <c r="N42" s="50"/>
      <c r="O42" s="68"/>
      <c r="P42" s="50"/>
      <c r="Q42" s="68"/>
      <c r="R42" s="50"/>
      <c r="S42" s="68"/>
      <c r="T42" s="68"/>
      <c r="U42" s="50"/>
      <c r="V42" s="50"/>
      <c r="W42" s="178"/>
      <c r="X42" s="141"/>
      <c r="Y42" s="48"/>
      <c r="Z42" s="48"/>
      <c r="AA42" s="48"/>
      <c r="AB42" s="48"/>
      <c r="AC42" s="48"/>
      <c r="AD42" s="61"/>
      <c r="AE42" s="62"/>
      <c r="AF42" s="62"/>
      <c r="AG42" s="62"/>
      <c r="AH42" s="56"/>
      <c r="AI42" s="56"/>
    </row>
    <row r="43" spans="1:35" x14ac:dyDescent="0.3">
      <c r="A43" s="177">
        <f>A40+1</f>
        <v>19</v>
      </c>
      <c r="B43" s="66" t="s">
        <v>249</v>
      </c>
      <c r="C43" s="50">
        <f>D43+N43+P43+R43+S43+U43+V43+W43</f>
        <v>4309683.5999999996</v>
      </c>
      <c r="D43" s="50">
        <f>E43+F43+G43+H43+I43</f>
        <v>0</v>
      </c>
      <c r="E43" s="50"/>
      <c r="F43" s="50"/>
      <c r="G43" s="50"/>
      <c r="H43" s="50"/>
      <c r="I43" s="50"/>
      <c r="J43" s="51"/>
      <c r="K43" s="51"/>
      <c r="L43" s="51"/>
      <c r="M43" s="50"/>
      <c r="N43" s="50"/>
      <c r="O43" s="68"/>
      <c r="P43" s="50"/>
      <c r="Q43" s="68">
        <v>468</v>
      </c>
      <c r="R43" s="50">
        <v>4309683.5999999996</v>
      </c>
      <c r="S43" s="68"/>
      <c r="T43" s="68"/>
      <c r="U43" s="50"/>
      <c r="V43" s="50"/>
      <c r="W43" s="178"/>
      <c r="X43" s="141"/>
      <c r="Y43" s="48"/>
      <c r="Z43" s="48"/>
      <c r="AA43" s="48"/>
      <c r="AB43" s="48"/>
      <c r="AC43" s="48"/>
      <c r="AD43" s="61"/>
      <c r="AE43" s="62"/>
      <c r="AF43" s="62"/>
      <c r="AG43" s="62"/>
      <c r="AH43" s="56"/>
      <c r="AI43" s="56"/>
    </row>
    <row r="44" spans="1:35" x14ac:dyDescent="0.3">
      <c r="A44" s="177">
        <f>A43+1</f>
        <v>20</v>
      </c>
      <c r="B44" s="66" t="s">
        <v>250</v>
      </c>
      <c r="C44" s="50">
        <f>D44+N44+P44+R44+S44+U44+V44+W44</f>
        <v>4539283.2</v>
      </c>
      <c r="D44" s="50">
        <f>E44+F44+G44+H44+I44</f>
        <v>0</v>
      </c>
      <c r="E44" s="50"/>
      <c r="F44" s="50"/>
      <c r="G44" s="50"/>
      <c r="H44" s="50"/>
      <c r="I44" s="50"/>
      <c r="J44" s="51"/>
      <c r="K44" s="51"/>
      <c r="L44" s="51"/>
      <c r="M44" s="50"/>
      <c r="N44" s="50"/>
      <c r="O44" s="68"/>
      <c r="P44" s="50"/>
      <c r="Q44" s="68">
        <v>468</v>
      </c>
      <c r="R44" s="50">
        <v>4539283.2</v>
      </c>
      <c r="S44" s="68"/>
      <c r="T44" s="68"/>
      <c r="U44" s="50"/>
      <c r="V44" s="50"/>
      <c r="W44" s="178"/>
      <c r="X44" s="141"/>
      <c r="Y44" s="48"/>
      <c r="Z44" s="48"/>
      <c r="AA44" s="48"/>
      <c r="AB44" s="48"/>
      <c r="AC44" s="48"/>
      <c r="AD44" s="61"/>
      <c r="AE44" s="62"/>
      <c r="AF44" s="62"/>
      <c r="AG44" s="62"/>
      <c r="AH44" s="56"/>
      <c r="AI44" s="56"/>
    </row>
    <row r="45" spans="1:35" x14ac:dyDescent="0.3">
      <c r="A45" s="177" t="s">
        <v>211</v>
      </c>
      <c r="B45" s="66"/>
      <c r="C45" s="50">
        <f t="shared" ref="C45:W45" si="9">SUM(C43:C44)</f>
        <v>8848966.8000000007</v>
      </c>
      <c r="D45" s="50">
        <f t="shared" si="9"/>
        <v>0</v>
      </c>
      <c r="E45" s="50">
        <f t="shared" si="9"/>
        <v>0</v>
      </c>
      <c r="F45" s="50">
        <f t="shared" si="9"/>
        <v>0</v>
      </c>
      <c r="G45" s="50">
        <f t="shared" si="9"/>
        <v>0</v>
      </c>
      <c r="H45" s="50">
        <f t="shared" si="9"/>
        <v>0</v>
      </c>
      <c r="I45" s="50">
        <f t="shared" si="9"/>
        <v>0</v>
      </c>
      <c r="J45" s="50">
        <f t="shared" si="9"/>
        <v>0</v>
      </c>
      <c r="K45" s="50">
        <f t="shared" si="9"/>
        <v>0</v>
      </c>
      <c r="L45" s="50">
        <f t="shared" si="9"/>
        <v>0</v>
      </c>
      <c r="M45" s="50">
        <f t="shared" si="9"/>
        <v>0</v>
      </c>
      <c r="N45" s="50">
        <f t="shared" si="9"/>
        <v>0</v>
      </c>
      <c r="O45" s="68">
        <f t="shared" si="9"/>
        <v>0</v>
      </c>
      <c r="P45" s="50">
        <f t="shared" si="9"/>
        <v>0</v>
      </c>
      <c r="Q45" s="68">
        <f t="shared" si="9"/>
        <v>936</v>
      </c>
      <c r="R45" s="50">
        <f t="shared" si="9"/>
        <v>8848966.8000000007</v>
      </c>
      <c r="S45" s="68">
        <f t="shared" si="9"/>
        <v>0</v>
      </c>
      <c r="T45" s="68">
        <f t="shared" si="9"/>
        <v>0</v>
      </c>
      <c r="U45" s="50">
        <f t="shared" si="9"/>
        <v>0</v>
      </c>
      <c r="V45" s="50">
        <f t="shared" si="9"/>
        <v>0</v>
      </c>
      <c r="W45" s="34">
        <f t="shared" si="9"/>
        <v>0</v>
      </c>
      <c r="X45" s="141"/>
      <c r="Y45" s="48"/>
      <c r="Z45" s="48"/>
      <c r="AA45" s="48"/>
      <c r="AB45" s="48"/>
      <c r="AC45" s="48"/>
      <c r="AD45" s="61"/>
      <c r="AE45" s="62"/>
      <c r="AF45" s="62"/>
      <c r="AG45" s="62"/>
      <c r="AH45" s="56"/>
      <c r="AI45" s="56"/>
    </row>
    <row r="46" spans="1:35" x14ac:dyDescent="0.3">
      <c r="A46" s="177" t="s">
        <v>260</v>
      </c>
      <c r="B46" s="66"/>
      <c r="C46" s="50"/>
      <c r="D46" s="50"/>
      <c r="E46" s="50"/>
      <c r="F46" s="50"/>
      <c r="G46" s="50"/>
      <c r="H46" s="50"/>
      <c r="I46" s="50"/>
      <c r="J46" s="51"/>
      <c r="K46" s="51"/>
      <c r="L46" s="51"/>
      <c r="M46" s="50"/>
      <c r="N46" s="50"/>
      <c r="O46" s="68"/>
      <c r="P46" s="50"/>
      <c r="Q46" s="68"/>
      <c r="R46" s="50"/>
      <c r="S46" s="68"/>
      <c r="T46" s="68"/>
      <c r="U46" s="50"/>
      <c r="V46" s="50"/>
      <c r="W46" s="178"/>
      <c r="X46" s="141"/>
      <c r="Y46" s="48"/>
      <c r="Z46" s="48"/>
      <c r="AA46" s="48"/>
      <c r="AB46" s="48"/>
      <c r="AC46" s="48"/>
      <c r="AD46" s="61"/>
      <c r="AE46" s="62"/>
      <c r="AF46" s="62"/>
      <c r="AG46" s="62"/>
      <c r="AH46" s="56"/>
      <c r="AI46" s="56"/>
    </row>
    <row r="47" spans="1:35" x14ac:dyDescent="0.3">
      <c r="A47" s="177">
        <f>A44+1</f>
        <v>21</v>
      </c>
      <c r="B47" s="66" t="s">
        <v>265</v>
      </c>
      <c r="C47" s="50">
        <f>D47+N47+P47+R47+S47+U47+V47+W47</f>
        <v>7001500</v>
      </c>
      <c r="D47" s="50">
        <f>E47+F47+G47+H47+I47</f>
        <v>0</v>
      </c>
      <c r="E47" s="50"/>
      <c r="F47" s="50"/>
      <c r="G47" s="50"/>
      <c r="H47" s="50"/>
      <c r="I47" s="50"/>
      <c r="J47" s="51"/>
      <c r="K47" s="51"/>
      <c r="L47" s="51"/>
      <c r="M47" s="50"/>
      <c r="N47" s="50"/>
      <c r="O47" s="68"/>
      <c r="P47" s="50"/>
      <c r="Q47" s="68">
        <v>500</v>
      </c>
      <c r="R47" s="50">
        <f>(10362+3641)*Q47</f>
        <v>7001500</v>
      </c>
      <c r="S47" s="68"/>
      <c r="T47" s="68"/>
      <c r="U47" s="50"/>
      <c r="V47" s="50"/>
      <c r="W47" s="178"/>
      <c r="X47" s="141" t="s">
        <v>262</v>
      </c>
      <c r="Y47" s="48"/>
      <c r="Z47" s="48"/>
      <c r="AA47" s="48"/>
      <c r="AB47" s="48">
        <f>102470.89+124006.56+104168.7+104168.7</f>
        <v>434814.85000000003</v>
      </c>
      <c r="AC47" s="48">
        <v>193752.17</v>
      </c>
      <c r="AD47" s="61"/>
      <c r="AE47" s="62">
        <v>371705.89</v>
      </c>
      <c r="AF47" s="62"/>
      <c r="AG47" s="62"/>
      <c r="AH47" s="56"/>
      <c r="AI47" s="56"/>
    </row>
    <row r="48" spans="1:35" x14ac:dyDescent="0.3">
      <c r="A48" s="177" t="s">
        <v>211</v>
      </c>
      <c r="B48" s="66"/>
      <c r="C48" s="50">
        <f t="shared" ref="C48:W48" si="10">SUM(C47:C47)</f>
        <v>7001500</v>
      </c>
      <c r="D48" s="50">
        <f t="shared" si="10"/>
        <v>0</v>
      </c>
      <c r="E48" s="50">
        <f t="shared" si="10"/>
        <v>0</v>
      </c>
      <c r="F48" s="50">
        <f t="shared" si="10"/>
        <v>0</v>
      </c>
      <c r="G48" s="50">
        <f t="shared" si="10"/>
        <v>0</v>
      </c>
      <c r="H48" s="50">
        <f t="shared" si="10"/>
        <v>0</v>
      </c>
      <c r="I48" s="50">
        <f t="shared" si="10"/>
        <v>0</v>
      </c>
      <c r="J48" s="50">
        <f t="shared" si="10"/>
        <v>0</v>
      </c>
      <c r="K48" s="50">
        <f t="shared" si="10"/>
        <v>0</v>
      </c>
      <c r="L48" s="50">
        <f t="shared" si="10"/>
        <v>0</v>
      </c>
      <c r="M48" s="50">
        <f t="shared" si="10"/>
        <v>0</v>
      </c>
      <c r="N48" s="50">
        <f t="shared" si="10"/>
        <v>0</v>
      </c>
      <c r="O48" s="68">
        <f t="shared" si="10"/>
        <v>0</v>
      </c>
      <c r="P48" s="50">
        <f t="shared" si="10"/>
        <v>0</v>
      </c>
      <c r="Q48" s="68">
        <f t="shared" si="10"/>
        <v>500</v>
      </c>
      <c r="R48" s="50">
        <f t="shared" si="10"/>
        <v>7001500</v>
      </c>
      <c r="S48" s="68">
        <f t="shared" si="10"/>
        <v>0</v>
      </c>
      <c r="T48" s="68">
        <f t="shared" si="10"/>
        <v>0</v>
      </c>
      <c r="U48" s="50">
        <f t="shared" si="10"/>
        <v>0</v>
      </c>
      <c r="V48" s="50">
        <f t="shared" si="10"/>
        <v>0</v>
      </c>
      <c r="W48" s="34">
        <f t="shared" si="10"/>
        <v>0</v>
      </c>
      <c r="X48" s="141"/>
      <c r="Y48" s="48"/>
      <c r="Z48" s="48"/>
      <c r="AA48" s="48"/>
      <c r="AB48" s="48"/>
      <c r="AC48" s="48"/>
      <c r="AD48" s="61"/>
      <c r="AE48" s="62"/>
      <c r="AF48" s="62"/>
      <c r="AG48" s="62"/>
      <c r="AH48" s="56"/>
      <c r="AI48" s="56"/>
    </row>
    <row r="49" spans="1:35" x14ac:dyDescent="0.3">
      <c r="A49" s="177" t="s">
        <v>267</v>
      </c>
      <c r="B49" s="66"/>
      <c r="C49" s="50"/>
      <c r="D49" s="50"/>
      <c r="E49" s="50"/>
      <c r="F49" s="50"/>
      <c r="G49" s="50"/>
      <c r="H49" s="50"/>
      <c r="I49" s="50"/>
      <c r="J49" s="51"/>
      <c r="K49" s="51"/>
      <c r="L49" s="51"/>
      <c r="M49" s="50"/>
      <c r="N49" s="50"/>
      <c r="O49" s="68"/>
      <c r="P49" s="50"/>
      <c r="Q49" s="68"/>
      <c r="R49" s="50"/>
      <c r="S49" s="68"/>
      <c r="T49" s="68"/>
      <c r="U49" s="50"/>
      <c r="V49" s="50"/>
      <c r="W49" s="178"/>
      <c r="X49" s="141"/>
      <c r="Y49" s="48"/>
      <c r="Z49" s="48"/>
      <c r="AA49" s="48"/>
      <c r="AB49" s="48"/>
      <c r="AC49" s="48"/>
      <c r="AD49" s="61"/>
      <c r="AE49" s="62"/>
      <c r="AF49" s="62"/>
      <c r="AG49" s="62"/>
      <c r="AH49" s="56"/>
      <c r="AI49" s="56"/>
    </row>
    <row r="50" spans="1:35" x14ac:dyDescent="0.3">
      <c r="A50" s="177">
        <f>A47+1</f>
        <v>22</v>
      </c>
      <c r="B50" s="66" t="s">
        <v>268</v>
      </c>
      <c r="C50" s="50">
        <f>D50+N50+P50+R50+S50+U50+V50+W50</f>
        <v>600021.51</v>
      </c>
      <c r="D50" s="50">
        <f>E50+F50+G50+H50+I50</f>
        <v>0</v>
      </c>
      <c r="E50" s="50"/>
      <c r="F50" s="50"/>
      <c r="G50" s="50"/>
      <c r="H50" s="50"/>
      <c r="I50" s="50"/>
      <c r="J50" s="51"/>
      <c r="K50" s="51"/>
      <c r="L50" s="51"/>
      <c r="M50" s="50"/>
      <c r="N50" s="50"/>
      <c r="O50" s="68"/>
      <c r="P50" s="50"/>
      <c r="Q50" s="68"/>
      <c r="R50" s="50"/>
      <c r="S50" s="68"/>
      <c r="T50" s="68"/>
      <c r="U50" s="50"/>
      <c r="V50" s="50"/>
      <c r="W50" s="178">
        <f>SUM(AB50:AG50)</f>
        <v>600021.51</v>
      </c>
      <c r="X50" s="141" t="s">
        <v>269</v>
      </c>
      <c r="Y50" s="48"/>
      <c r="Z50" s="48"/>
      <c r="AA50" s="48"/>
      <c r="AB50" s="48">
        <f>136187.42+181478.08+146830.55+135525.46</f>
        <v>600021.51</v>
      </c>
      <c r="AC50" s="48"/>
      <c r="AD50" s="61"/>
      <c r="AE50" s="62"/>
      <c r="AF50" s="62"/>
      <c r="AG50" s="62"/>
      <c r="AH50" s="56"/>
      <c r="AI50" s="56"/>
    </row>
    <row r="51" spans="1:35" x14ac:dyDescent="0.3">
      <c r="A51" s="177">
        <f>A50+1</f>
        <v>23</v>
      </c>
      <c r="B51" s="66" t="s">
        <v>270</v>
      </c>
      <c r="C51" s="50">
        <f>D51+N51+P51+R51+S51+U51+V51+W51</f>
        <v>607515.05000000005</v>
      </c>
      <c r="D51" s="50">
        <f>E51+F51+G51+H51+I51</f>
        <v>0</v>
      </c>
      <c r="E51" s="50"/>
      <c r="F51" s="50"/>
      <c r="G51" s="50"/>
      <c r="H51" s="50"/>
      <c r="I51" s="50"/>
      <c r="J51" s="51"/>
      <c r="K51" s="51"/>
      <c r="L51" s="51"/>
      <c r="M51" s="50"/>
      <c r="N51" s="50"/>
      <c r="O51" s="68"/>
      <c r="P51" s="50"/>
      <c r="Q51" s="68"/>
      <c r="R51" s="50"/>
      <c r="S51" s="68"/>
      <c r="T51" s="68"/>
      <c r="U51" s="50"/>
      <c r="V51" s="50"/>
      <c r="W51" s="178">
        <f>SUM(AB51:AG51)</f>
        <v>607515.05000000005</v>
      </c>
      <c r="X51" s="141" t="s">
        <v>269</v>
      </c>
      <c r="Y51" s="48"/>
      <c r="Z51" s="48"/>
      <c r="AA51" s="48"/>
      <c r="AB51" s="48">
        <f>138048.89+183460.28+148655.48+137350.4</f>
        <v>607515.05000000005</v>
      </c>
      <c r="AC51" s="48"/>
      <c r="AD51" s="61"/>
      <c r="AE51" s="62"/>
      <c r="AF51" s="62"/>
      <c r="AG51" s="62"/>
      <c r="AH51" s="56"/>
      <c r="AI51" s="56"/>
    </row>
    <row r="52" spans="1:35" x14ac:dyDescent="0.3">
      <c r="A52" s="177">
        <f>A51+1</f>
        <v>24</v>
      </c>
      <c r="B52" s="66" t="s">
        <v>271</v>
      </c>
      <c r="C52" s="50">
        <f>D52+N52+P52+R52+S52+U52+V52+W52</f>
        <v>609752.39</v>
      </c>
      <c r="D52" s="50">
        <f>E52+F52+G52+H52+I52</f>
        <v>0</v>
      </c>
      <c r="E52" s="50"/>
      <c r="F52" s="50"/>
      <c r="G52" s="50"/>
      <c r="H52" s="50"/>
      <c r="I52" s="50"/>
      <c r="J52" s="51"/>
      <c r="K52" s="51"/>
      <c r="L52" s="51"/>
      <c r="M52" s="50"/>
      <c r="N52" s="50"/>
      <c r="O52" s="68"/>
      <c r="P52" s="50"/>
      <c r="Q52" s="68"/>
      <c r="R52" s="50"/>
      <c r="S52" s="68"/>
      <c r="T52" s="68"/>
      <c r="U52" s="50"/>
      <c r="V52" s="50"/>
      <c r="W52" s="178">
        <f>SUM(AB52:AG52)</f>
        <v>609752.39</v>
      </c>
      <c r="X52" s="141" t="s">
        <v>269</v>
      </c>
      <c r="Y52" s="48"/>
      <c r="Z52" s="48"/>
      <c r="AA52" s="48"/>
      <c r="AB52" s="48">
        <f>138156.14+184209.97+149345.68+138040.6</f>
        <v>609752.39</v>
      </c>
      <c r="AC52" s="48"/>
      <c r="AD52" s="61"/>
      <c r="AE52" s="62"/>
      <c r="AF52" s="62"/>
      <c r="AG52" s="62"/>
      <c r="AH52" s="56"/>
      <c r="AI52" s="56"/>
    </row>
    <row r="53" spans="1:35" x14ac:dyDescent="0.3">
      <c r="A53" s="177" t="s">
        <v>211</v>
      </c>
      <c r="B53" s="66"/>
      <c r="C53" s="50">
        <f t="shared" ref="C53:W53" si="11">SUM(C50:C52)</f>
        <v>1817288.9500000002</v>
      </c>
      <c r="D53" s="50">
        <f t="shared" si="11"/>
        <v>0</v>
      </c>
      <c r="E53" s="50">
        <f t="shared" si="11"/>
        <v>0</v>
      </c>
      <c r="F53" s="50">
        <f t="shared" si="11"/>
        <v>0</v>
      </c>
      <c r="G53" s="50">
        <f t="shared" si="11"/>
        <v>0</v>
      </c>
      <c r="H53" s="50">
        <f t="shared" si="11"/>
        <v>0</v>
      </c>
      <c r="I53" s="50">
        <f t="shared" si="11"/>
        <v>0</v>
      </c>
      <c r="J53" s="50">
        <f t="shared" si="11"/>
        <v>0</v>
      </c>
      <c r="K53" s="50">
        <f t="shared" si="11"/>
        <v>0</v>
      </c>
      <c r="L53" s="50">
        <f t="shared" si="11"/>
        <v>0</v>
      </c>
      <c r="M53" s="50">
        <f t="shared" si="11"/>
        <v>0</v>
      </c>
      <c r="N53" s="50">
        <f t="shared" si="11"/>
        <v>0</v>
      </c>
      <c r="O53" s="68">
        <f t="shared" si="11"/>
        <v>0</v>
      </c>
      <c r="P53" s="50">
        <f t="shared" si="11"/>
        <v>0</v>
      </c>
      <c r="Q53" s="68">
        <f t="shared" si="11"/>
        <v>0</v>
      </c>
      <c r="R53" s="50">
        <f t="shared" si="11"/>
        <v>0</v>
      </c>
      <c r="S53" s="68">
        <f t="shared" si="11"/>
        <v>0</v>
      </c>
      <c r="T53" s="68">
        <f t="shared" si="11"/>
        <v>0</v>
      </c>
      <c r="U53" s="50">
        <f t="shared" si="11"/>
        <v>0</v>
      </c>
      <c r="V53" s="50">
        <f t="shared" si="11"/>
        <v>0</v>
      </c>
      <c r="W53" s="34">
        <f t="shared" si="11"/>
        <v>1817288.9500000002</v>
      </c>
      <c r="X53" s="141"/>
      <c r="Y53" s="48"/>
      <c r="Z53" s="48"/>
      <c r="AA53" s="48"/>
      <c r="AB53" s="48"/>
      <c r="AC53" s="48"/>
      <c r="AD53" s="61"/>
      <c r="AE53" s="62"/>
      <c r="AF53" s="62"/>
      <c r="AG53" s="62"/>
      <c r="AH53" s="56"/>
      <c r="AI53" s="56"/>
    </row>
    <row r="54" spans="1:35" ht="31.2" x14ac:dyDescent="0.3">
      <c r="A54" s="177"/>
      <c r="B54" s="131" t="s">
        <v>272</v>
      </c>
      <c r="C54" s="50">
        <f>C32+C38+C41+C45+C48+C53</f>
        <v>92485013.200000003</v>
      </c>
      <c r="D54" s="50">
        <f t="shared" ref="D54:W54" si="12">D32+D38+D41+D45+D48+D53</f>
        <v>0</v>
      </c>
      <c r="E54" s="50">
        <f t="shared" si="12"/>
        <v>0</v>
      </c>
      <c r="F54" s="50">
        <f t="shared" si="12"/>
        <v>0</v>
      </c>
      <c r="G54" s="50">
        <f t="shared" si="12"/>
        <v>0</v>
      </c>
      <c r="H54" s="50">
        <f t="shared" si="12"/>
        <v>0</v>
      </c>
      <c r="I54" s="50">
        <f t="shared" si="12"/>
        <v>0</v>
      </c>
      <c r="J54" s="50">
        <f t="shared" si="12"/>
        <v>0</v>
      </c>
      <c r="K54" s="50">
        <f t="shared" si="12"/>
        <v>0</v>
      </c>
      <c r="L54" s="50">
        <f t="shared" si="12"/>
        <v>0</v>
      </c>
      <c r="M54" s="50">
        <f t="shared" si="12"/>
        <v>0</v>
      </c>
      <c r="N54" s="50">
        <f t="shared" si="12"/>
        <v>0</v>
      </c>
      <c r="O54" s="68">
        <f t="shared" si="12"/>
        <v>0</v>
      </c>
      <c r="P54" s="50">
        <f t="shared" si="12"/>
        <v>0</v>
      </c>
      <c r="Q54" s="68">
        <f t="shared" si="12"/>
        <v>12917.800000000001</v>
      </c>
      <c r="R54" s="50">
        <f t="shared" si="12"/>
        <v>90436750.109999999</v>
      </c>
      <c r="S54" s="68">
        <f t="shared" si="12"/>
        <v>0</v>
      </c>
      <c r="T54" s="68">
        <f t="shared" si="12"/>
        <v>0</v>
      </c>
      <c r="U54" s="50">
        <f t="shared" si="12"/>
        <v>0</v>
      </c>
      <c r="V54" s="50">
        <f t="shared" si="12"/>
        <v>0</v>
      </c>
      <c r="W54" s="34">
        <f t="shared" si="12"/>
        <v>2048263.0900000003</v>
      </c>
      <c r="X54" s="285"/>
      <c r="Y54" s="285"/>
      <c r="Z54" s="285"/>
      <c r="AA54" s="285"/>
      <c r="AB54" s="285"/>
      <c r="AC54" s="9"/>
      <c r="AD54" s="306"/>
      <c r="AE54" s="302"/>
      <c r="AF54" s="302"/>
      <c r="AG54" s="302"/>
      <c r="AH54" s="56"/>
      <c r="AI54" s="56"/>
    </row>
    <row r="55" spans="1:35" ht="31.2" x14ac:dyDescent="0.3">
      <c r="A55" s="520" t="s">
        <v>3734</v>
      </c>
      <c r="B55" s="520"/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307" t="s">
        <v>196</v>
      </c>
      <c r="Y55" s="179"/>
      <c r="Z55" s="179"/>
      <c r="AA55" s="179"/>
      <c r="AB55" s="179"/>
      <c r="AC55" s="179"/>
      <c r="AD55" s="172"/>
      <c r="AE55" s="172"/>
      <c r="AF55" s="172"/>
      <c r="AG55" s="62"/>
      <c r="AH55" s="56"/>
      <c r="AI55" s="56"/>
    </row>
    <row r="56" spans="1:35" ht="31.2" x14ac:dyDescent="0.3">
      <c r="A56" s="177"/>
      <c r="B56" s="66" t="s">
        <v>280</v>
      </c>
      <c r="C56" s="50"/>
      <c r="D56" s="51"/>
      <c r="E56" s="51"/>
      <c r="F56" s="51"/>
      <c r="G56" s="51"/>
      <c r="H56" s="50"/>
      <c r="I56" s="50"/>
      <c r="J56" s="51"/>
      <c r="K56" s="51"/>
      <c r="L56" s="51"/>
      <c r="M56" s="51"/>
      <c r="N56" s="50"/>
      <c r="O56" s="82"/>
      <c r="P56" s="51"/>
      <c r="Q56" s="82"/>
      <c r="R56" s="50"/>
      <c r="S56" s="68"/>
      <c r="T56" s="82"/>
      <c r="U56" s="51"/>
      <c r="V56" s="51"/>
      <c r="W56" s="178"/>
      <c r="X56" s="141"/>
      <c r="Y56" s="48"/>
      <c r="Z56" s="48"/>
      <c r="AA56" s="48"/>
      <c r="AB56" s="48"/>
      <c r="AC56" s="48"/>
      <c r="AD56" s="48"/>
      <c r="AE56" s="61"/>
      <c r="AF56" s="62"/>
      <c r="AG56" s="62"/>
      <c r="AH56" s="56"/>
      <c r="AI56" s="56"/>
    </row>
    <row r="57" spans="1:35" x14ac:dyDescent="0.3">
      <c r="A57" s="177">
        <f>A52+1</f>
        <v>25</v>
      </c>
      <c r="B57" s="66" t="s">
        <v>281</v>
      </c>
      <c r="C57" s="50">
        <f t="shared" ref="C57:C62" si="13">D57+K57+L57+N57+P57+R57+S57+U57+V57+W57</f>
        <v>2151285.3600000003</v>
      </c>
      <c r="D57" s="51">
        <f t="shared" ref="D57:D62" si="14">E57+F57+G57+H57+I57</f>
        <v>2151285.3600000003</v>
      </c>
      <c r="E57" s="50">
        <f>(358323*2)+2688*533.72</f>
        <v>2151285.3600000003</v>
      </c>
      <c r="F57" s="51"/>
      <c r="G57" s="51"/>
      <c r="H57" s="50"/>
      <c r="I57" s="50"/>
      <c r="J57" s="51"/>
      <c r="K57" s="51"/>
      <c r="L57" s="51"/>
      <c r="M57" s="51"/>
      <c r="N57" s="50"/>
      <c r="O57" s="82"/>
      <c r="P57" s="51"/>
      <c r="Q57" s="82"/>
      <c r="R57" s="50"/>
      <c r="S57" s="68"/>
      <c r="T57" s="82"/>
      <c r="U57" s="51"/>
      <c r="V57" s="51"/>
      <c r="W57" s="178"/>
      <c r="X57" s="141"/>
      <c r="Y57" s="48"/>
      <c r="Z57" s="48"/>
      <c r="AA57" s="48"/>
      <c r="AB57" s="48"/>
      <c r="AC57" s="48"/>
      <c r="AD57" s="48"/>
      <c r="AE57" s="61"/>
      <c r="AF57" s="62"/>
      <c r="AG57" s="62"/>
      <c r="AH57" s="56"/>
    </row>
    <row r="58" spans="1:35" x14ac:dyDescent="0.3">
      <c r="A58" s="177">
        <f>A57+1</f>
        <v>26</v>
      </c>
      <c r="B58" s="66" t="s">
        <v>284</v>
      </c>
      <c r="C58" s="50">
        <f t="shared" si="13"/>
        <v>2184401.52</v>
      </c>
      <c r="D58" s="51">
        <f t="shared" si="14"/>
        <v>2184401.52</v>
      </c>
      <c r="E58" s="50">
        <f>(358323*2)+2688*546.04</f>
        <v>2184401.52</v>
      </c>
      <c r="F58" s="51"/>
      <c r="G58" s="51"/>
      <c r="H58" s="50"/>
      <c r="I58" s="50"/>
      <c r="J58" s="51"/>
      <c r="K58" s="51"/>
      <c r="L58" s="51"/>
      <c r="M58" s="51"/>
      <c r="N58" s="50"/>
      <c r="O58" s="82"/>
      <c r="P58" s="51"/>
      <c r="Q58" s="82"/>
      <c r="R58" s="50"/>
      <c r="S58" s="68"/>
      <c r="T58" s="82"/>
      <c r="U58" s="51"/>
      <c r="V58" s="51"/>
      <c r="W58" s="178"/>
      <c r="X58" s="141"/>
      <c r="Y58" s="48"/>
      <c r="Z58" s="48"/>
      <c r="AA58" s="48"/>
      <c r="AB58" s="48"/>
      <c r="AC58" s="48"/>
      <c r="AD58" s="48"/>
      <c r="AE58" s="61"/>
      <c r="AF58" s="62"/>
      <c r="AG58" s="62"/>
      <c r="AH58" s="56"/>
    </row>
    <row r="59" spans="1:35" x14ac:dyDescent="0.3">
      <c r="A59" s="177">
        <f>A58+1</f>
        <v>27</v>
      </c>
      <c r="B59" s="66" t="s">
        <v>285</v>
      </c>
      <c r="C59" s="50">
        <f t="shared" si="13"/>
        <v>120030.51999999999</v>
      </c>
      <c r="D59" s="51">
        <f t="shared" si="14"/>
        <v>120030.51999999999</v>
      </c>
      <c r="E59" s="51"/>
      <c r="F59" s="51"/>
      <c r="G59" s="51"/>
      <c r="H59" s="50"/>
      <c r="I59" s="50">
        <f>3194*37.58</f>
        <v>120030.51999999999</v>
      </c>
      <c r="J59" s="51"/>
      <c r="K59" s="51"/>
      <c r="L59" s="51"/>
      <c r="M59" s="51"/>
      <c r="N59" s="50"/>
      <c r="O59" s="82"/>
      <c r="P59" s="51"/>
      <c r="Q59" s="82"/>
      <c r="R59" s="50"/>
      <c r="S59" s="68"/>
      <c r="T59" s="82"/>
      <c r="U59" s="51"/>
      <c r="V59" s="51"/>
      <c r="W59" s="178"/>
      <c r="X59" s="141"/>
      <c r="Y59" s="48"/>
      <c r="Z59" s="48"/>
      <c r="AA59" s="48"/>
      <c r="AB59" s="48"/>
      <c r="AC59" s="48"/>
      <c r="AD59" s="48"/>
      <c r="AE59" s="61"/>
      <c r="AF59" s="62"/>
      <c r="AG59" s="62"/>
      <c r="AH59" s="56"/>
    </row>
    <row r="60" spans="1:35" x14ac:dyDescent="0.3">
      <c r="A60" s="177">
        <f t="shared" ref="A60:A62" si="15">A59+1</f>
        <v>28</v>
      </c>
      <c r="B60" s="66" t="s">
        <v>286</v>
      </c>
      <c r="C60" s="50">
        <f t="shared" si="13"/>
        <v>2893994.3600000003</v>
      </c>
      <c r="D60" s="51">
        <f t="shared" si="14"/>
        <v>2893994.3600000003</v>
      </c>
      <c r="E60" s="51"/>
      <c r="F60" s="50">
        <f>231.12*5502+2*607361</f>
        <v>2486344.2400000002</v>
      </c>
      <c r="G60" s="50">
        <f>3910*73.56</f>
        <v>287619.60000000003</v>
      </c>
      <c r="H60" s="50"/>
      <c r="I60" s="50">
        <f>3194*37.58</f>
        <v>120030.51999999999</v>
      </c>
      <c r="J60" s="51"/>
      <c r="K60" s="51"/>
      <c r="L60" s="51"/>
      <c r="M60" s="51"/>
      <c r="N60" s="50"/>
      <c r="O60" s="82"/>
      <c r="P60" s="51"/>
      <c r="Q60" s="82"/>
      <c r="R60" s="50"/>
      <c r="S60" s="68"/>
      <c r="T60" s="82"/>
      <c r="U60" s="51"/>
      <c r="V60" s="51"/>
      <c r="W60" s="178"/>
      <c r="X60" s="141"/>
      <c r="Y60" s="48"/>
      <c r="Z60" s="48"/>
      <c r="AA60" s="48"/>
      <c r="AB60" s="48"/>
      <c r="AC60" s="48"/>
      <c r="AD60" s="48"/>
      <c r="AE60" s="61"/>
      <c r="AF60" s="62"/>
      <c r="AG60" s="62"/>
      <c r="AH60" s="56"/>
    </row>
    <row r="61" spans="1:35" x14ac:dyDescent="0.3">
      <c r="A61" s="177">
        <f t="shared" si="15"/>
        <v>29</v>
      </c>
      <c r="B61" s="66" t="s">
        <v>288</v>
      </c>
      <c r="C61" s="50">
        <f t="shared" si="13"/>
        <v>6859472</v>
      </c>
      <c r="D61" s="51">
        <f t="shared" si="14"/>
        <v>6859472</v>
      </c>
      <c r="E61" s="51"/>
      <c r="F61" s="50">
        <f>480*5502+2*607361</f>
        <v>3855682</v>
      </c>
      <c r="G61" s="50">
        <f>3910*225</f>
        <v>879750</v>
      </c>
      <c r="H61" s="50">
        <f>3910*290</f>
        <v>1133900</v>
      </c>
      <c r="I61" s="50">
        <f>3194*310</f>
        <v>990140</v>
      </c>
      <c r="J61" s="51"/>
      <c r="K61" s="51"/>
      <c r="L61" s="51"/>
      <c r="M61" s="51"/>
      <c r="N61" s="50"/>
      <c r="O61" s="82"/>
      <c r="P61" s="51"/>
      <c r="Q61" s="82"/>
      <c r="R61" s="50"/>
      <c r="S61" s="68"/>
      <c r="T61" s="82"/>
      <c r="U61" s="51"/>
      <c r="V61" s="51"/>
      <c r="W61" s="178"/>
      <c r="X61" s="141"/>
      <c r="Y61" s="48"/>
      <c r="Z61" s="48"/>
      <c r="AA61" s="48"/>
      <c r="AB61" s="48"/>
      <c r="AC61" s="48"/>
      <c r="AD61" s="48"/>
      <c r="AE61" s="61">
        <v>175790.23</v>
      </c>
      <c r="AF61" s="62">
        <v>576970.98</v>
      </c>
      <c r="AG61" s="62"/>
      <c r="AH61" s="56"/>
    </row>
    <row r="62" spans="1:35" x14ac:dyDescent="0.3">
      <c r="A62" s="177">
        <f t="shared" si="15"/>
        <v>30</v>
      </c>
      <c r="B62" s="66" t="s">
        <v>289</v>
      </c>
      <c r="C62" s="50">
        <f t="shared" si="13"/>
        <v>0</v>
      </c>
      <c r="D62" s="51">
        <f t="shared" si="14"/>
        <v>0</v>
      </c>
      <c r="E62" s="51"/>
      <c r="F62" s="51"/>
      <c r="G62" s="51"/>
      <c r="H62" s="50"/>
      <c r="I62" s="50"/>
      <c r="J62" s="51"/>
      <c r="K62" s="51"/>
      <c r="L62" s="51"/>
      <c r="M62" s="51"/>
      <c r="N62" s="50"/>
      <c r="O62" s="82"/>
      <c r="P62" s="51"/>
      <c r="Q62" s="82"/>
      <c r="R62" s="50"/>
      <c r="S62" s="68"/>
      <c r="T62" s="82"/>
      <c r="U62" s="51"/>
      <c r="V62" s="51"/>
      <c r="W62" s="178"/>
      <c r="X62" s="141"/>
      <c r="Y62" s="48"/>
      <c r="Z62" s="48"/>
      <c r="AA62" s="48"/>
      <c r="AB62" s="48"/>
      <c r="AC62" s="48"/>
      <c r="AD62" s="48"/>
      <c r="AE62" s="61">
        <v>175897.27</v>
      </c>
      <c r="AF62" s="62">
        <v>577287.79</v>
      </c>
      <c r="AG62" s="62"/>
      <c r="AH62" s="56"/>
    </row>
    <row r="63" spans="1:35" x14ac:dyDescent="0.3">
      <c r="A63" s="177"/>
      <c r="B63" s="131" t="s">
        <v>211</v>
      </c>
      <c r="C63" s="50">
        <f t="shared" ref="C63:W63" si="16">SUM(C57:C62)</f>
        <v>14209183.760000002</v>
      </c>
      <c r="D63" s="50">
        <f t="shared" si="16"/>
        <v>14209183.760000002</v>
      </c>
      <c r="E63" s="50">
        <f t="shared" si="16"/>
        <v>4335686.8800000008</v>
      </c>
      <c r="F63" s="50">
        <f t="shared" si="16"/>
        <v>6342026.2400000002</v>
      </c>
      <c r="G63" s="50">
        <f t="shared" si="16"/>
        <v>1167369.6000000001</v>
      </c>
      <c r="H63" s="50">
        <f t="shared" si="16"/>
        <v>1133900</v>
      </c>
      <c r="I63" s="50">
        <f t="shared" si="16"/>
        <v>1230201.04</v>
      </c>
      <c r="J63" s="50">
        <f t="shared" si="16"/>
        <v>0</v>
      </c>
      <c r="K63" s="50">
        <f t="shared" si="16"/>
        <v>0</v>
      </c>
      <c r="L63" s="50">
        <f t="shared" si="16"/>
        <v>0</v>
      </c>
      <c r="M63" s="50">
        <f t="shared" si="16"/>
        <v>0</v>
      </c>
      <c r="N63" s="50">
        <f t="shared" si="16"/>
        <v>0</v>
      </c>
      <c r="O63" s="68">
        <f t="shared" si="16"/>
        <v>0</v>
      </c>
      <c r="P63" s="50">
        <f t="shared" si="16"/>
        <v>0</v>
      </c>
      <c r="Q63" s="68">
        <f t="shared" si="16"/>
        <v>0</v>
      </c>
      <c r="R63" s="50">
        <f t="shared" si="16"/>
        <v>0</v>
      </c>
      <c r="S63" s="68">
        <f t="shared" si="16"/>
        <v>0</v>
      </c>
      <c r="T63" s="68">
        <f t="shared" si="16"/>
        <v>0</v>
      </c>
      <c r="U63" s="50">
        <f t="shared" si="16"/>
        <v>0</v>
      </c>
      <c r="V63" s="50">
        <f t="shared" si="16"/>
        <v>0</v>
      </c>
      <c r="W63" s="34">
        <f t="shared" si="16"/>
        <v>0</v>
      </c>
      <c r="X63" s="141"/>
      <c r="Y63" s="48"/>
      <c r="Z63" s="48"/>
      <c r="AA63" s="48"/>
      <c r="AB63" s="48"/>
      <c r="AC63" s="48"/>
      <c r="AD63" s="48"/>
      <c r="AE63" s="61"/>
      <c r="AF63" s="62"/>
      <c r="AG63" s="62"/>
      <c r="AH63" s="56"/>
    </row>
    <row r="64" spans="1:35" x14ac:dyDescent="0.3">
      <c r="A64" s="177"/>
      <c r="B64" s="66" t="s">
        <v>290</v>
      </c>
      <c r="C64" s="50"/>
      <c r="D64" s="51"/>
      <c r="E64" s="51"/>
      <c r="F64" s="51"/>
      <c r="G64" s="51"/>
      <c r="H64" s="50"/>
      <c r="I64" s="50"/>
      <c r="J64" s="51"/>
      <c r="K64" s="51"/>
      <c r="L64" s="51"/>
      <c r="M64" s="51"/>
      <c r="N64" s="50"/>
      <c r="O64" s="82"/>
      <c r="P64" s="51"/>
      <c r="Q64" s="82"/>
      <c r="R64" s="50"/>
      <c r="S64" s="68"/>
      <c r="T64" s="82"/>
      <c r="U64" s="51"/>
      <c r="V64" s="51"/>
      <c r="W64" s="178"/>
      <c r="X64" s="141"/>
      <c r="Y64" s="48"/>
      <c r="Z64" s="48"/>
      <c r="AA64" s="48"/>
      <c r="AB64" s="48"/>
      <c r="AC64" s="48"/>
      <c r="AD64" s="48"/>
      <c r="AE64" s="61"/>
      <c r="AF64" s="62"/>
      <c r="AG64" s="62"/>
      <c r="AH64" s="56"/>
      <c r="AI64" s="56"/>
    </row>
    <row r="65" spans="1:35" x14ac:dyDescent="0.3">
      <c r="A65" s="177">
        <f>A62+1</f>
        <v>31</v>
      </c>
      <c r="B65" s="66" t="s">
        <v>295</v>
      </c>
      <c r="C65" s="50">
        <f>D65+K65+L65+N65+P65+R65+S65+U65+V65+W65</f>
        <v>11310499.199999999</v>
      </c>
      <c r="D65" s="51">
        <f>E65+F65+G65+H65+I65</f>
        <v>0</v>
      </c>
      <c r="E65" s="51"/>
      <c r="F65" s="51"/>
      <c r="G65" s="50"/>
      <c r="H65" s="50"/>
      <c r="I65" s="50"/>
      <c r="J65" s="51"/>
      <c r="K65" s="51"/>
      <c r="L65" s="51"/>
      <c r="M65" s="51"/>
      <c r="N65" s="50"/>
      <c r="O65" s="82"/>
      <c r="P65" s="51"/>
      <c r="Q65" s="82">
        <v>3083.03</v>
      </c>
      <c r="R65" s="50">
        <v>11310499.199999999</v>
      </c>
      <c r="S65" s="68"/>
      <c r="T65" s="82"/>
      <c r="U65" s="51"/>
      <c r="V65" s="51"/>
      <c r="W65" s="178"/>
      <c r="X65" s="141"/>
      <c r="Y65" s="48"/>
      <c r="Z65" s="48"/>
      <c r="AA65" s="48"/>
      <c r="AB65" s="48"/>
      <c r="AC65" s="48"/>
      <c r="AD65" s="48"/>
      <c r="AE65" s="61"/>
      <c r="AF65" s="62"/>
      <c r="AG65" s="62"/>
      <c r="AH65" s="56"/>
      <c r="AI65" s="56"/>
    </row>
    <row r="66" spans="1:35" x14ac:dyDescent="0.3">
      <c r="A66" s="177">
        <f>A65+1</f>
        <v>32</v>
      </c>
      <c r="B66" s="66" t="s">
        <v>296</v>
      </c>
      <c r="C66" s="50">
        <f>D66+K66+L66+N66+P66+R66+S66+U66+V66+W66</f>
        <v>6712929.5999999996</v>
      </c>
      <c r="D66" s="51">
        <f>E66+F66+G66+H66+I66</f>
        <v>0</v>
      </c>
      <c r="E66" s="51"/>
      <c r="F66" s="51"/>
      <c r="G66" s="51"/>
      <c r="H66" s="50"/>
      <c r="I66" s="50"/>
      <c r="J66" s="51"/>
      <c r="K66" s="51"/>
      <c r="L66" s="51"/>
      <c r="M66" s="51"/>
      <c r="N66" s="50"/>
      <c r="O66" s="82"/>
      <c r="P66" s="51"/>
      <c r="Q66" s="82">
        <v>1570.66</v>
      </c>
      <c r="R66" s="50">
        <v>6712929.5999999996</v>
      </c>
      <c r="S66" s="68"/>
      <c r="T66" s="82"/>
      <c r="U66" s="51"/>
      <c r="V66" s="51"/>
      <c r="W66" s="178"/>
      <c r="X66" s="141"/>
      <c r="Y66" s="48"/>
      <c r="Z66" s="48"/>
      <c r="AA66" s="48"/>
      <c r="AB66" s="48"/>
      <c r="AC66" s="48"/>
      <c r="AD66" s="48"/>
      <c r="AE66" s="61"/>
      <c r="AF66" s="62"/>
      <c r="AG66" s="62"/>
      <c r="AH66" s="56"/>
      <c r="AI66" s="56"/>
    </row>
    <row r="67" spans="1:35" x14ac:dyDescent="0.3">
      <c r="A67" s="177">
        <f t="shared" ref="A67" si="17">A66+1</f>
        <v>33</v>
      </c>
      <c r="B67" s="66" t="s">
        <v>298</v>
      </c>
      <c r="C67" s="50">
        <f>D67+K67+L67+N67+P67+R67+S67+U67+V67+W67</f>
        <v>21004500</v>
      </c>
      <c r="D67" s="51">
        <f>E67+F67+G67+H67+I67</f>
        <v>0</v>
      </c>
      <c r="E67" s="51"/>
      <c r="F67" s="51"/>
      <c r="G67" s="51"/>
      <c r="H67" s="50"/>
      <c r="I67" s="50"/>
      <c r="J67" s="51"/>
      <c r="K67" s="51"/>
      <c r="L67" s="51"/>
      <c r="M67" s="51"/>
      <c r="N67" s="50"/>
      <c r="O67" s="82"/>
      <c r="P67" s="51"/>
      <c r="Q67" s="82">
        <v>1500</v>
      </c>
      <c r="R67" s="50">
        <f>1500*14003</f>
        <v>21004500</v>
      </c>
      <c r="S67" s="68"/>
      <c r="T67" s="82"/>
      <c r="U67" s="51"/>
      <c r="V67" s="51"/>
      <c r="W67" s="178"/>
      <c r="X67" s="141"/>
      <c r="Y67" s="48"/>
      <c r="Z67" s="48"/>
      <c r="AA67" s="48"/>
      <c r="AB67" s="48"/>
      <c r="AC67" s="48"/>
      <c r="AD67" s="48"/>
      <c r="AE67" s="61"/>
      <c r="AF67" s="62"/>
      <c r="AG67" s="62"/>
      <c r="AH67" s="56"/>
      <c r="AI67" s="56"/>
    </row>
    <row r="68" spans="1:35" x14ac:dyDescent="0.3">
      <c r="A68" s="177"/>
      <c r="B68" s="131" t="s">
        <v>211</v>
      </c>
      <c r="C68" s="50">
        <f t="shared" ref="C68:W68" si="18">SUM(C65:C67)</f>
        <v>39027928.799999997</v>
      </c>
      <c r="D68" s="50">
        <f t="shared" si="18"/>
        <v>0</v>
      </c>
      <c r="E68" s="50">
        <f t="shared" si="18"/>
        <v>0</v>
      </c>
      <c r="F68" s="50">
        <f t="shared" si="18"/>
        <v>0</v>
      </c>
      <c r="G68" s="50">
        <f t="shared" si="18"/>
        <v>0</v>
      </c>
      <c r="H68" s="50">
        <f t="shared" si="18"/>
        <v>0</v>
      </c>
      <c r="I68" s="50">
        <f t="shared" si="18"/>
        <v>0</v>
      </c>
      <c r="J68" s="50">
        <f t="shared" si="18"/>
        <v>0</v>
      </c>
      <c r="K68" s="50">
        <f t="shared" si="18"/>
        <v>0</v>
      </c>
      <c r="L68" s="50">
        <f t="shared" si="18"/>
        <v>0</v>
      </c>
      <c r="M68" s="50">
        <f t="shared" si="18"/>
        <v>0</v>
      </c>
      <c r="N68" s="50">
        <f t="shared" si="18"/>
        <v>0</v>
      </c>
      <c r="O68" s="68">
        <f t="shared" si="18"/>
        <v>0</v>
      </c>
      <c r="P68" s="50">
        <f t="shared" si="18"/>
        <v>0</v>
      </c>
      <c r="Q68" s="68">
        <f t="shared" si="18"/>
        <v>6153.6900000000005</v>
      </c>
      <c r="R68" s="50">
        <f t="shared" si="18"/>
        <v>39027928.799999997</v>
      </c>
      <c r="S68" s="68">
        <f t="shared" si="18"/>
        <v>0</v>
      </c>
      <c r="T68" s="68">
        <f t="shared" si="18"/>
        <v>0</v>
      </c>
      <c r="U68" s="50">
        <f t="shared" si="18"/>
        <v>0</v>
      </c>
      <c r="V68" s="50">
        <f t="shared" si="18"/>
        <v>0</v>
      </c>
      <c r="W68" s="34">
        <f t="shared" si="18"/>
        <v>0</v>
      </c>
      <c r="X68" s="141"/>
      <c r="Y68" s="48"/>
      <c r="Z68" s="48"/>
      <c r="AA68" s="48"/>
      <c r="AB68" s="48"/>
      <c r="AC68" s="48"/>
      <c r="AD68" s="48"/>
      <c r="AE68" s="61"/>
      <c r="AF68" s="62"/>
      <c r="AG68" s="62"/>
      <c r="AH68" s="56"/>
      <c r="AI68" s="56"/>
    </row>
    <row r="69" spans="1:35" ht="31.2" x14ac:dyDescent="0.3">
      <c r="A69" s="177"/>
      <c r="B69" s="66" t="s">
        <v>309</v>
      </c>
      <c r="C69" s="50"/>
      <c r="D69" s="51"/>
      <c r="E69" s="51"/>
      <c r="F69" s="51"/>
      <c r="G69" s="51"/>
      <c r="H69" s="50"/>
      <c r="I69" s="50"/>
      <c r="J69" s="51"/>
      <c r="K69" s="51"/>
      <c r="L69" s="51"/>
      <c r="M69" s="51"/>
      <c r="N69" s="50"/>
      <c r="O69" s="82"/>
      <c r="P69" s="51"/>
      <c r="Q69" s="82"/>
      <c r="R69" s="50"/>
      <c r="S69" s="68"/>
      <c r="T69" s="82"/>
      <c r="U69" s="51"/>
      <c r="V69" s="51"/>
      <c r="W69" s="178"/>
      <c r="X69" s="141"/>
      <c r="Y69" s="48"/>
      <c r="Z69" s="48"/>
      <c r="AA69" s="48"/>
      <c r="AB69" s="48"/>
      <c r="AC69" s="48"/>
      <c r="AD69" s="48"/>
      <c r="AE69" s="61"/>
      <c r="AF69" s="62"/>
      <c r="AG69" s="62"/>
      <c r="AH69" s="56"/>
      <c r="AI69" s="56"/>
    </row>
    <row r="70" spans="1:35" x14ac:dyDescent="0.3">
      <c r="A70" s="177">
        <f>A67+1</f>
        <v>34</v>
      </c>
      <c r="B70" s="66" t="s">
        <v>310</v>
      </c>
      <c r="C70" s="50">
        <f>D70+K70+L70+N70+P70+R70+S70+U70+V70+W70</f>
        <v>150000</v>
      </c>
      <c r="D70" s="51">
        <f>E70+F70+G70+H70+I70</f>
        <v>0</v>
      </c>
      <c r="E70" s="51"/>
      <c r="F70" s="51"/>
      <c r="G70" s="51"/>
      <c r="H70" s="50"/>
      <c r="I70" s="50"/>
      <c r="J70" s="51"/>
      <c r="K70" s="51"/>
      <c r="L70" s="51"/>
      <c r="M70" s="51"/>
      <c r="N70" s="50"/>
      <c r="O70" s="82"/>
      <c r="P70" s="51"/>
      <c r="Q70" s="82">
        <v>13</v>
      </c>
      <c r="R70" s="58">
        <v>150000</v>
      </c>
      <c r="S70" s="68"/>
      <c r="T70" s="82"/>
      <c r="U70" s="51"/>
      <c r="V70" s="51"/>
      <c r="W70" s="178"/>
      <c r="X70" s="141"/>
      <c r="Y70" s="48"/>
      <c r="Z70" s="48"/>
      <c r="AA70" s="48"/>
      <c r="AB70" s="48"/>
      <c r="AC70" s="48"/>
      <c r="AD70" s="48"/>
      <c r="AE70" s="61"/>
      <c r="AF70" s="62">
        <v>736365.58</v>
      </c>
      <c r="AG70" s="62"/>
      <c r="AH70" s="56"/>
      <c r="AI70" s="56"/>
    </row>
    <row r="71" spans="1:35" x14ac:dyDescent="0.3">
      <c r="A71" s="177">
        <f>A70+1</f>
        <v>35</v>
      </c>
      <c r="B71" s="66" t="s">
        <v>311</v>
      </c>
      <c r="C71" s="50">
        <f>D71+K71+L71+N71+P71+R71+S71+U71+V71+W71</f>
        <v>11993080.800000001</v>
      </c>
      <c r="D71" s="51">
        <f>E71+F71+G71+H71+I71</f>
        <v>0</v>
      </c>
      <c r="E71" s="51"/>
      <c r="F71" s="51"/>
      <c r="G71" s="51"/>
      <c r="H71" s="50"/>
      <c r="I71" s="50"/>
      <c r="J71" s="51"/>
      <c r="K71" s="51"/>
      <c r="L71" s="51"/>
      <c r="M71" s="51"/>
      <c r="N71" s="50"/>
      <c r="O71" s="82"/>
      <c r="P71" s="51"/>
      <c r="Q71" s="82">
        <v>1371</v>
      </c>
      <c r="R71" s="50">
        <v>11993080.800000001</v>
      </c>
      <c r="S71" s="68"/>
      <c r="T71" s="82"/>
      <c r="U71" s="51"/>
      <c r="V71" s="51"/>
      <c r="W71" s="178"/>
      <c r="X71" s="141"/>
      <c r="Y71" s="48"/>
      <c r="Z71" s="48"/>
      <c r="AA71" s="48"/>
      <c r="AB71" s="48"/>
      <c r="AC71" s="48"/>
      <c r="AD71" s="48"/>
      <c r="AE71" s="61"/>
      <c r="AF71" s="62">
        <v>623317.27</v>
      </c>
      <c r="AG71" s="62"/>
      <c r="AH71" s="56"/>
      <c r="AI71" s="56"/>
    </row>
    <row r="72" spans="1:35" x14ac:dyDescent="0.3">
      <c r="A72" s="177">
        <f t="shared" ref="A72" si="19">A71+1</f>
        <v>36</v>
      </c>
      <c r="B72" s="66" t="s">
        <v>313</v>
      </c>
      <c r="C72" s="50">
        <f>D72+K72+L72+N72+P72+R72+S72+U72+V72+W72</f>
        <v>14997213</v>
      </c>
      <c r="D72" s="51">
        <f>E72+F72+G72+H72+I72</f>
        <v>0</v>
      </c>
      <c r="E72" s="51"/>
      <c r="F72" s="51"/>
      <c r="G72" s="51"/>
      <c r="H72" s="50"/>
      <c r="I72" s="50"/>
      <c r="J72" s="51"/>
      <c r="K72" s="51"/>
      <c r="L72" s="51"/>
      <c r="M72" s="51"/>
      <c r="N72" s="50"/>
      <c r="O72" s="82"/>
      <c r="P72" s="51"/>
      <c r="Q72" s="82">
        <v>1071</v>
      </c>
      <c r="R72" s="50">
        <f>1071*14003</f>
        <v>14997213</v>
      </c>
      <c r="S72" s="68"/>
      <c r="T72" s="82"/>
      <c r="U72" s="51"/>
      <c r="V72" s="51"/>
      <c r="W72" s="178"/>
      <c r="X72" s="141"/>
      <c r="Y72" s="48"/>
      <c r="Z72" s="48"/>
      <c r="AA72" s="48"/>
      <c r="AB72" s="48"/>
      <c r="AC72" s="48"/>
      <c r="AD72" s="48"/>
      <c r="AE72" s="61"/>
      <c r="AF72" s="62">
        <v>608693.80000000005</v>
      </c>
      <c r="AG72" s="62"/>
      <c r="AH72" s="56"/>
      <c r="AI72" s="56"/>
    </row>
    <row r="73" spans="1:35" x14ac:dyDescent="0.3">
      <c r="A73" s="177"/>
      <c r="B73" s="131" t="s">
        <v>211</v>
      </c>
      <c r="C73" s="50">
        <f t="shared" ref="C73:W73" si="20">SUM(C70:C72)</f>
        <v>27140293.800000001</v>
      </c>
      <c r="D73" s="50">
        <f t="shared" si="20"/>
        <v>0</v>
      </c>
      <c r="E73" s="50">
        <f t="shared" si="20"/>
        <v>0</v>
      </c>
      <c r="F73" s="50">
        <f t="shared" si="20"/>
        <v>0</v>
      </c>
      <c r="G73" s="50">
        <f t="shared" si="20"/>
        <v>0</v>
      </c>
      <c r="H73" s="50">
        <f t="shared" si="20"/>
        <v>0</v>
      </c>
      <c r="I73" s="50">
        <f t="shared" si="20"/>
        <v>0</v>
      </c>
      <c r="J73" s="50">
        <f t="shared" si="20"/>
        <v>0</v>
      </c>
      <c r="K73" s="50">
        <f t="shared" si="20"/>
        <v>0</v>
      </c>
      <c r="L73" s="50">
        <f t="shared" si="20"/>
        <v>0</v>
      </c>
      <c r="M73" s="50">
        <f t="shared" si="20"/>
        <v>0</v>
      </c>
      <c r="N73" s="50">
        <f t="shared" si="20"/>
        <v>0</v>
      </c>
      <c r="O73" s="68">
        <f t="shared" si="20"/>
        <v>0</v>
      </c>
      <c r="P73" s="50">
        <f t="shared" si="20"/>
        <v>0</v>
      </c>
      <c r="Q73" s="68">
        <f t="shared" si="20"/>
        <v>2455</v>
      </c>
      <c r="R73" s="50">
        <f t="shared" si="20"/>
        <v>27140293.800000001</v>
      </c>
      <c r="S73" s="68">
        <f t="shared" si="20"/>
        <v>0</v>
      </c>
      <c r="T73" s="68">
        <f t="shared" si="20"/>
        <v>0</v>
      </c>
      <c r="U73" s="50">
        <f t="shared" si="20"/>
        <v>0</v>
      </c>
      <c r="V73" s="50">
        <f t="shared" si="20"/>
        <v>0</v>
      </c>
      <c r="W73" s="34">
        <f t="shared" si="20"/>
        <v>0</v>
      </c>
      <c r="X73" s="141"/>
      <c r="Y73" s="48"/>
      <c r="Z73" s="48"/>
      <c r="AA73" s="48"/>
      <c r="AB73" s="48"/>
      <c r="AC73" s="48"/>
      <c r="AD73" s="48"/>
      <c r="AE73" s="61"/>
      <c r="AF73" s="62"/>
      <c r="AG73" s="62"/>
      <c r="AH73" s="56"/>
      <c r="AI73" s="56"/>
    </row>
    <row r="74" spans="1:35" ht="31.2" x14ac:dyDescent="0.3">
      <c r="A74" s="177"/>
      <c r="B74" s="66" t="s">
        <v>314</v>
      </c>
      <c r="C74" s="50"/>
      <c r="D74" s="51"/>
      <c r="E74" s="51"/>
      <c r="F74" s="51"/>
      <c r="G74" s="51"/>
      <c r="H74" s="50"/>
      <c r="I74" s="50"/>
      <c r="J74" s="51"/>
      <c r="K74" s="51"/>
      <c r="L74" s="51"/>
      <c r="M74" s="51"/>
      <c r="N74" s="50"/>
      <c r="O74" s="82"/>
      <c r="P74" s="51"/>
      <c r="Q74" s="82"/>
      <c r="R74" s="50"/>
      <c r="S74" s="68"/>
      <c r="T74" s="82"/>
      <c r="U74" s="51"/>
      <c r="V74" s="51"/>
      <c r="W74" s="178"/>
      <c r="X74" s="141"/>
      <c r="Y74" s="48"/>
      <c r="Z74" s="48"/>
      <c r="AA74" s="48"/>
      <c r="AB74" s="48"/>
      <c r="AC74" s="48"/>
      <c r="AD74" s="48"/>
      <c r="AE74" s="61"/>
      <c r="AF74" s="62"/>
      <c r="AG74" s="62"/>
      <c r="AH74" s="56"/>
      <c r="AI74" s="56"/>
    </row>
    <row r="75" spans="1:35" x14ac:dyDescent="0.3">
      <c r="A75" s="177">
        <f>A72+1</f>
        <v>37</v>
      </c>
      <c r="B75" s="66" t="s">
        <v>324</v>
      </c>
      <c r="C75" s="50">
        <f>D75+K75+L75+N75+P75+R75+S75+U75+V75+W75</f>
        <v>6486189.5999999996</v>
      </c>
      <c r="D75" s="51">
        <f>E75+F75+G75+H75+I75</f>
        <v>0</v>
      </c>
      <c r="E75" s="51"/>
      <c r="F75" s="51"/>
      <c r="G75" s="51"/>
      <c r="H75" s="50"/>
      <c r="I75" s="50"/>
      <c r="J75" s="51"/>
      <c r="K75" s="51"/>
      <c r="L75" s="51"/>
      <c r="M75" s="51"/>
      <c r="N75" s="50"/>
      <c r="O75" s="82"/>
      <c r="P75" s="50"/>
      <c r="Q75" s="82">
        <v>463.2</v>
      </c>
      <c r="R75" s="50">
        <f>Q75*14003</f>
        <v>6486189.5999999996</v>
      </c>
      <c r="S75" s="68"/>
      <c r="T75" s="82"/>
      <c r="U75" s="51"/>
      <c r="V75" s="51"/>
      <c r="W75" s="178"/>
      <c r="X75" s="141"/>
      <c r="Y75" s="48"/>
      <c r="Z75" s="48"/>
      <c r="AA75" s="48"/>
      <c r="AB75" s="48"/>
      <c r="AC75" s="48"/>
      <c r="AD75" s="48"/>
      <c r="AE75" s="61"/>
      <c r="AF75" s="62"/>
      <c r="AG75" s="62"/>
      <c r="AH75" s="56"/>
      <c r="AI75" s="56"/>
    </row>
    <row r="76" spans="1:35" x14ac:dyDescent="0.3">
      <c r="A76" s="177">
        <f>A75+1</f>
        <v>38</v>
      </c>
      <c r="B76" s="66" t="s">
        <v>325</v>
      </c>
      <c r="C76" s="50">
        <f>D76+K76+L76+N76+P76+R76+S76+U76+V76+W76</f>
        <v>8997487.6199999992</v>
      </c>
      <c r="D76" s="51">
        <f>E76+F76+G76+H76+I76</f>
        <v>0</v>
      </c>
      <c r="E76" s="51"/>
      <c r="F76" s="51"/>
      <c r="G76" s="51"/>
      <c r="H76" s="50"/>
      <c r="I76" s="50"/>
      <c r="J76" s="51"/>
      <c r="K76" s="51"/>
      <c r="L76" s="51"/>
      <c r="M76" s="51"/>
      <c r="N76" s="50"/>
      <c r="O76" s="82"/>
      <c r="P76" s="51"/>
      <c r="Q76" s="82">
        <v>642.54</v>
      </c>
      <c r="R76" s="50">
        <f>Q76*14003</f>
        <v>8997487.6199999992</v>
      </c>
      <c r="S76" s="68"/>
      <c r="T76" s="82"/>
      <c r="U76" s="51"/>
      <c r="V76" s="51"/>
      <c r="W76" s="178"/>
      <c r="X76" s="141"/>
      <c r="Y76" s="48"/>
      <c r="Z76" s="48"/>
      <c r="AA76" s="48"/>
      <c r="AB76" s="48"/>
      <c r="AC76" s="48"/>
      <c r="AD76" s="48"/>
      <c r="AE76" s="61">
        <v>50878.2</v>
      </c>
      <c r="AF76" s="62"/>
      <c r="AG76" s="62"/>
      <c r="AH76" s="56"/>
      <c r="AI76" s="56"/>
    </row>
    <row r="77" spans="1:35" x14ac:dyDescent="0.3">
      <c r="A77" s="177"/>
      <c r="B77" s="131" t="s">
        <v>211</v>
      </c>
      <c r="C77" s="50">
        <f t="shared" ref="C77:W77" si="21">SUM(C75:C76)</f>
        <v>15483677.219999999</v>
      </c>
      <c r="D77" s="50">
        <f t="shared" si="21"/>
        <v>0</v>
      </c>
      <c r="E77" s="50">
        <f t="shared" si="21"/>
        <v>0</v>
      </c>
      <c r="F77" s="50">
        <f t="shared" si="21"/>
        <v>0</v>
      </c>
      <c r="G77" s="50">
        <f t="shared" si="21"/>
        <v>0</v>
      </c>
      <c r="H77" s="50">
        <f t="shared" si="21"/>
        <v>0</v>
      </c>
      <c r="I77" s="50">
        <f t="shared" si="21"/>
        <v>0</v>
      </c>
      <c r="J77" s="50">
        <f t="shared" si="21"/>
        <v>0</v>
      </c>
      <c r="K77" s="50">
        <f t="shared" si="21"/>
        <v>0</v>
      </c>
      <c r="L77" s="50">
        <f t="shared" si="21"/>
        <v>0</v>
      </c>
      <c r="M77" s="50">
        <f t="shared" si="21"/>
        <v>0</v>
      </c>
      <c r="N77" s="50">
        <f t="shared" si="21"/>
        <v>0</v>
      </c>
      <c r="O77" s="68">
        <f t="shared" si="21"/>
        <v>0</v>
      </c>
      <c r="P77" s="50">
        <f t="shared" si="21"/>
        <v>0</v>
      </c>
      <c r="Q77" s="68">
        <f t="shared" si="21"/>
        <v>1105.74</v>
      </c>
      <c r="R77" s="50">
        <f t="shared" si="21"/>
        <v>15483677.219999999</v>
      </c>
      <c r="S77" s="68">
        <f t="shared" si="21"/>
        <v>0</v>
      </c>
      <c r="T77" s="68">
        <f t="shared" si="21"/>
        <v>0</v>
      </c>
      <c r="U77" s="50">
        <f t="shared" si="21"/>
        <v>0</v>
      </c>
      <c r="V77" s="50">
        <f t="shared" si="21"/>
        <v>0</v>
      </c>
      <c r="W77" s="34">
        <f t="shared" si="21"/>
        <v>0</v>
      </c>
      <c r="X77" s="141"/>
      <c r="Y77" s="48"/>
      <c r="Z77" s="48"/>
      <c r="AA77" s="48"/>
      <c r="AB77" s="48"/>
      <c r="AC77" s="48"/>
      <c r="AD77" s="48"/>
      <c r="AE77" s="61"/>
      <c r="AF77" s="62"/>
      <c r="AG77" s="62"/>
      <c r="AH77" s="56"/>
      <c r="AI77" s="56"/>
    </row>
    <row r="78" spans="1:35" ht="31.2" x14ac:dyDescent="0.3">
      <c r="A78" s="177"/>
      <c r="B78" s="66" t="s">
        <v>331</v>
      </c>
      <c r="C78" s="50"/>
      <c r="D78" s="51"/>
      <c r="E78" s="51"/>
      <c r="F78" s="51"/>
      <c r="G78" s="51"/>
      <c r="H78" s="50"/>
      <c r="I78" s="50"/>
      <c r="J78" s="51"/>
      <c r="K78" s="51"/>
      <c r="L78" s="51"/>
      <c r="M78" s="51"/>
      <c r="N78" s="50"/>
      <c r="O78" s="82"/>
      <c r="P78" s="51"/>
      <c r="Q78" s="82"/>
      <c r="R78" s="50"/>
      <c r="S78" s="68"/>
      <c r="T78" s="82"/>
      <c r="U78" s="51"/>
      <c r="V78" s="51"/>
      <c r="W78" s="178"/>
      <c r="X78" s="141"/>
      <c r="Y78" s="48"/>
      <c r="Z78" s="48"/>
      <c r="AA78" s="48"/>
      <c r="AB78" s="48"/>
      <c r="AC78" s="48"/>
      <c r="AD78" s="48"/>
      <c r="AE78" s="61"/>
      <c r="AF78" s="62"/>
      <c r="AG78" s="62"/>
      <c r="AH78" s="56"/>
      <c r="AI78" s="56"/>
    </row>
    <row r="79" spans="1:35" ht="18" customHeight="1" x14ac:dyDescent="0.3">
      <c r="A79" s="177">
        <f>A76+1</f>
        <v>39</v>
      </c>
      <c r="B79" s="66" t="s">
        <v>353</v>
      </c>
      <c r="C79" s="50">
        <f t="shared" ref="C79:C104" si="22">D79+K79+L79+N79+P79+R79+S79+U79+V79+W79</f>
        <v>1702766.9000000001</v>
      </c>
      <c r="D79" s="51">
        <f>E79+F79+G79+H79+I79</f>
        <v>0</v>
      </c>
      <c r="E79" s="50"/>
      <c r="F79" s="51"/>
      <c r="G79" s="50"/>
      <c r="H79" s="50"/>
      <c r="I79" s="50"/>
      <c r="J79" s="51"/>
      <c r="K79" s="51"/>
      <c r="L79" s="51"/>
      <c r="M79" s="51"/>
      <c r="N79" s="50"/>
      <c r="O79" s="82"/>
      <c r="P79" s="50"/>
      <c r="Q79" s="82"/>
      <c r="R79" s="50"/>
      <c r="S79" s="68"/>
      <c r="T79" s="82">
        <v>143.21</v>
      </c>
      <c r="U79" s="50">
        <f>T79*11890</f>
        <v>1702766.9000000001</v>
      </c>
      <c r="V79" s="51"/>
      <c r="W79" s="178"/>
      <c r="X79" s="141"/>
      <c r="Y79" s="48"/>
      <c r="Z79" s="48"/>
      <c r="AA79" s="48"/>
      <c r="AB79" s="48"/>
      <c r="AC79" s="48"/>
      <c r="AD79" s="48"/>
      <c r="AE79" s="61"/>
      <c r="AF79" s="62"/>
      <c r="AG79" s="62"/>
      <c r="AH79" s="56"/>
      <c r="AI79" s="56"/>
    </row>
    <row r="80" spans="1:35" ht="18" customHeight="1" x14ac:dyDescent="0.3">
      <c r="A80" s="177">
        <f>A79+1</f>
        <v>40</v>
      </c>
      <c r="B80" s="66" t="s">
        <v>354</v>
      </c>
      <c r="C80" s="50">
        <f t="shared" si="22"/>
        <v>3887792.2</v>
      </c>
      <c r="D80" s="51">
        <f>E80+F80+G80+H80+I80</f>
        <v>0</v>
      </c>
      <c r="E80" s="50"/>
      <c r="F80" s="51"/>
      <c r="G80" s="51"/>
      <c r="H80" s="50"/>
      <c r="I80" s="50"/>
      <c r="J80" s="51"/>
      <c r="K80" s="51"/>
      <c r="L80" s="51"/>
      <c r="M80" s="51"/>
      <c r="N80" s="50"/>
      <c r="O80" s="82"/>
      <c r="P80" s="50"/>
      <c r="Q80" s="82"/>
      <c r="R80" s="50"/>
      <c r="S80" s="68"/>
      <c r="T80" s="82">
        <v>326.98</v>
      </c>
      <c r="U80" s="50">
        <f>T80*11890</f>
        <v>3887792.2</v>
      </c>
      <c r="V80" s="51"/>
      <c r="W80" s="178"/>
      <c r="X80" s="141"/>
      <c r="Y80" s="48"/>
      <c r="Z80" s="48"/>
      <c r="AA80" s="48"/>
      <c r="AB80" s="48"/>
      <c r="AC80" s="48"/>
      <c r="AD80" s="48"/>
      <c r="AE80" s="61"/>
      <c r="AF80" s="62"/>
      <c r="AG80" s="62"/>
      <c r="AH80" s="56"/>
      <c r="AI80" s="56"/>
    </row>
    <row r="81" spans="1:35" ht="18" customHeight="1" x14ac:dyDescent="0.3">
      <c r="A81" s="177">
        <f t="shared" ref="A81:A104" si="23">A80+1</f>
        <v>41</v>
      </c>
      <c r="B81" s="66" t="s">
        <v>356</v>
      </c>
      <c r="C81" s="50">
        <f t="shared" si="22"/>
        <v>5388904.7000000002</v>
      </c>
      <c r="D81" s="51">
        <f>E81+F81+G81+H81+I81</f>
        <v>0</v>
      </c>
      <c r="E81" s="51"/>
      <c r="F81" s="51"/>
      <c r="G81" s="51"/>
      <c r="H81" s="50"/>
      <c r="I81" s="50"/>
      <c r="J81" s="51"/>
      <c r="K81" s="51"/>
      <c r="L81" s="51"/>
      <c r="M81" s="51"/>
      <c r="N81" s="50"/>
      <c r="O81" s="82"/>
      <c r="P81" s="50"/>
      <c r="Q81" s="82"/>
      <c r="R81" s="50"/>
      <c r="S81" s="68"/>
      <c r="T81" s="82">
        <v>453.23</v>
      </c>
      <c r="U81" s="50">
        <f>T81*11890</f>
        <v>5388904.7000000002</v>
      </c>
      <c r="V81" s="51"/>
      <c r="W81" s="178"/>
      <c r="X81" s="141"/>
      <c r="Y81" s="48"/>
      <c r="Z81" s="48"/>
      <c r="AA81" s="48"/>
      <c r="AB81" s="48"/>
      <c r="AC81" s="48"/>
      <c r="AD81" s="48"/>
      <c r="AE81" s="61"/>
      <c r="AF81" s="62"/>
      <c r="AG81" s="62"/>
      <c r="AH81" s="56"/>
      <c r="AI81" s="56"/>
    </row>
    <row r="82" spans="1:35" x14ac:dyDescent="0.3">
      <c r="A82" s="177">
        <f t="shared" si="23"/>
        <v>42</v>
      </c>
      <c r="B82" s="66" t="s">
        <v>362</v>
      </c>
      <c r="C82" s="50">
        <f t="shared" si="22"/>
        <v>2174634</v>
      </c>
      <c r="D82" s="51">
        <f>E82+F82+G82+H82+I82</f>
        <v>0</v>
      </c>
      <c r="E82" s="51"/>
      <c r="F82" s="51"/>
      <c r="G82" s="51"/>
      <c r="H82" s="50"/>
      <c r="I82" s="50"/>
      <c r="J82" s="51"/>
      <c r="K82" s="51"/>
      <c r="L82" s="51"/>
      <c r="M82" s="51"/>
      <c r="N82" s="50"/>
      <c r="O82" s="82"/>
      <c r="P82" s="50"/>
      <c r="Q82" s="82">
        <v>269.33999999999997</v>
      </c>
      <c r="R82" s="50">
        <v>2174634</v>
      </c>
      <c r="S82" s="68"/>
      <c r="T82" s="82"/>
      <c r="U82" s="51"/>
      <c r="V82" s="51"/>
      <c r="W82" s="178"/>
      <c r="X82" s="141"/>
      <c r="Y82" s="48"/>
      <c r="Z82" s="48">
        <v>76772.399999999994</v>
      </c>
      <c r="AA82" s="48"/>
      <c r="AB82" s="48"/>
      <c r="AC82" s="48">
        <v>57913.8</v>
      </c>
      <c r="AD82" s="48"/>
      <c r="AE82" s="61"/>
      <c r="AF82" s="62"/>
      <c r="AG82" s="62"/>
      <c r="AH82" s="56"/>
      <c r="AI82" s="56"/>
    </row>
    <row r="83" spans="1:35" x14ac:dyDescent="0.3">
      <c r="A83" s="177">
        <f t="shared" si="23"/>
        <v>43</v>
      </c>
      <c r="B83" s="66" t="s">
        <v>374</v>
      </c>
      <c r="C83" s="50">
        <f t="shared" si="22"/>
        <v>2796884.6999999997</v>
      </c>
      <c r="D83" s="51">
        <f t="shared" ref="D83:D104" si="24">E83+F83+G83+H83+I83</f>
        <v>0</v>
      </c>
      <c r="E83" s="50"/>
      <c r="F83" s="51"/>
      <c r="G83" s="50"/>
      <c r="H83" s="50"/>
      <c r="I83" s="50"/>
      <c r="J83" s="51"/>
      <c r="K83" s="51"/>
      <c r="L83" s="51"/>
      <c r="M83" s="51"/>
      <c r="N83" s="50"/>
      <c r="O83" s="82"/>
      <c r="P83" s="50"/>
      <c r="Q83" s="82"/>
      <c r="R83" s="50"/>
      <c r="S83" s="68"/>
      <c r="T83" s="82">
        <v>235.23</v>
      </c>
      <c r="U83" s="50">
        <f>T83*11890</f>
        <v>2796884.6999999997</v>
      </c>
      <c r="V83" s="51"/>
      <c r="W83" s="178"/>
      <c r="X83" s="141"/>
      <c r="Y83" s="308"/>
      <c r="Z83" s="309">
        <v>101442.22</v>
      </c>
      <c r="AA83" s="308"/>
      <c r="AB83" s="309">
        <v>81728.28</v>
      </c>
      <c r="AC83" s="310">
        <v>81728.28</v>
      </c>
      <c r="AD83" s="309">
        <v>157755</v>
      </c>
      <c r="AE83" s="309"/>
      <c r="AF83" s="308"/>
      <c r="AG83" s="310">
        <v>145034.99</v>
      </c>
      <c r="AH83" s="56"/>
      <c r="AI83" s="56"/>
    </row>
    <row r="84" spans="1:35" x14ac:dyDescent="0.3">
      <c r="A84" s="177">
        <f t="shared" si="23"/>
        <v>44</v>
      </c>
      <c r="B84" s="66" t="s">
        <v>375</v>
      </c>
      <c r="C84" s="50">
        <f t="shared" si="22"/>
        <v>7601656</v>
      </c>
      <c r="D84" s="51">
        <f t="shared" si="24"/>
        <v>0</v>
      </c>
      <c r="E84" s="51"/>
      <c r="F84" s="51"/>
      <c r="G84" s="50"/>
      <c r="H84" s="51"/>
      <c r="I84" s="50"/>
      <c r="J84" s="51"/>
      <c r="K84" s="51"/>
      <c r="L84" s="51"/>
      <c r="M84" s="51"/>
      <c r="N84" s="50"/>
      <c r="O84" s="82"/>
      <c r="P84" s="50"/>
      <c r="Q84" s="82">
        <v>460</v>
      </c>
      <c r="R84" s="50">
        <v>2788584</v>
      </c>
      <c r="S84" s="68"/>
      <c r="T84" s="82">
        <v>404.8</v>
      </c>
      <c r="U84" s="50">
        <f>T84*11890</f>
        <v>4813072</v>
      </c>
      <c r="V84" s="51"/>
      <c r="W84" s="178"/>
      <c r="X84" s="141"/>
      <c r="Y84" s="308"/>
      <c r="Z84" s="308"/>
      <c r="AA84" s="308"/>
      <c r="AB84" s="308"/>
      <c r="AC84" s="308"/>
      <c r="AD84" s="308"/>
      <c r="AE84" s="309"/>
      <c r="AF84" s="308"/>
      <c r="AG84" s="308"/>
      <c r="AH84" s="56"/>
      <c r="AI84" s="56"/>
    </row>
    <row r="85" spans="1:35" x14ac:dyDescent="0.3">
      <c r="A85" s="177">
        <f t="shared" si="23"/>
        <v>45</v>
      </c>
      <c r="B85" s="66" t="s">
        <v>383</v>
      </c>
      <c r="C85" s="50">
        <f t="shared" si="22"/>
        <v>1528134</v>
      </c>
      <c r="D85" s="51">
        <f t="shared" si="24"/>
        <v>0</v>
      </c>
      <c r="E85" s="50"/>
      <c r="F85" s="51"/>
      <c r="G85" s="50"/>
      <c r="H85" s="51"/>
      <c r="I85" s="50"/>
      <c r="J85" s="51"/>
      <c r="K85" s="51"/>
      <c r="L85" s="51"/>
      <c r="M85" s="51"/>
      <c r="N85" s="50"/>
      <c r="O85" s="82"/>
      <c r="P85" s="50"/>
      <c r="Q85" s="82"/>
      <c r="R85" s="50"/>
      <c r="S85" s="68"/>
      <c r="T85" s="82">
        <v>110.6</v>
      </c>
      <c r="U85" s="50">
        <v>1528134</v>
      </c>
      <c r="V85" s="51"/>
      <c r="W85" s="178"/>
      <c r="X85" s="141"/>
      <c r="Y85" s="308"/>
      <c r="Z85" s="308"/>
      <c r="AA85" s="308"/>
      <c r="AB85" s="308"/>
      <c r="AC85" s="308"/>
      <c r="AD85" s="308"/>
      <c r="AE85" s="309"/>
      <c r="AF85" s="308"/>
      <c r="AG85" s="308"/>
      <c r="AH85" s="56"/>
      <c r="AI85" s="56"/>
    </row>
    <row r="86" spans="1:35" x14ac:dyDescent="0.3">
      <c r="A86" s="177">
        <f t="shared" si="23"/>
        <v>46</v>
      </c>
      <c r="B86" s="66" t="s">
        <v>386</v>
      </c>
      <c r="C86" s="50">
        <f t="shared" si="22"/>
        <v>1043698.8</v>
      </c>
      <c r="D86" s="51">
        <f t="shared" si="24"/>
        <v>0</v>
      </c>
      <c r="E86" s="50"/>
      <c r="F86" s="51"/>
      <c r="G86" s="50"/>
      <c r="H86" s="51"/>
      <c r="I86" s="50"/>
      <c r="J86" s="51"/>
      <c r="K86" s="51"/>
      <c r="L86" s="51"/>
      <c r="M86" s="51"/>
      <c r="N86" s="50"/>
      <c r="O86" s="82"/>
      <c r="P86" s="50"/>
      <c r="Q86" s="82"/>
      <c r="R86" s="50"/>
      <c r="S86" s="68"/>
      <c r="T86" s="82">
        <v>211.3</v>
      </c>
      <c r="U86" s="50">
        <v>1043698.8</v>
      </c>
      <c r="V86" s="51"/>
      <c r="W86" s="178"/>
      <c r="X86" s="141"/>
      <c r="Y86" s="308"/>
      <c r="Z86" s="310">
        <v>90803.56</v>
      </c>
      <c r="AA86" s="308"/>
      <c r="AB86" s="308"/>
      <c r="AC86" s="309">
        <v>73185.77</v>
      </c>
      <c r="AD86" s="310">
        <v>145996.81</v>
      </c>
      <c r="AE86" s="309"/>
      <c r="AF86" s="309">
        <v>372479.98</v>
      </c>
      <c r="AG86" s="308"/>
      <c r="AH86" s="56"/>
      <c r="AI86" s="56"/>
    </row>
    <row r="87" spans="1:35" x14ac:dyDescent="0.3">
      <c r="A87" s="177">
        <f t="shared" si="23"/>
        <v>47</v>
      </c>
      <c r="B87" s="66" t="s">
        <v>388</v>
      </c>
      <c r="C87" s="50">
        <f t="shared" si="22"/>
        <v>1110334.04</v>
      </c>
      <c r="D87" s="51">
        <f t="shared" si="24"/>
        <v>0</v>
      </c>
      <c r="E87" s="50"/>
      <c r="F87" s="50"/>
      <c r="G87" s="51"/>
      <c r="H87" s="51"/>
      <c r="I87" s="50"/>
      <c r="J87" s="51"/>
      <c r="K87" s="51"/>
      <c r="L87" s="51"/>
      <c r="M87" s="51"/>
      <c r="N87" s="50"/>
      <c r="O87" s="82"/>
      <c r="P87" s="50"/>
      <c r="Q87" s="82"/>
      <c r="R87" s="50"/>
      <c r="S87" s="68"/>
      <c r="T87" s="82">
        <v>218.32</v>
      </c>
      <c r="U87" s="50">
        <v>1110334.04</v>
      </c>
      <c r="V87" s="51"/>
      <c r="W87" s="178"/>
      <c r="X87" s="141"/>
      <c r="Y87" s="309">
        <v>68057.929999999993</v>
      </c>
      <c r="Z87" s="308"/>
      <c r="AA87" s="308"/>
      <c r="AB87" s="308"/>
      <c r="AC87" s="309">
        <v>65449.54</v>
      </c>
      <c r="AD87" s="309">
        <v>134066.66</v>
      </c>
      <c r="AE87" s="309"/>
      <c r="AF87" s="309">
        <v>343488.53</v>
      </c>
      <c r="AG87" s="308"/>
      <c r="AH87" s="56"/>
      <c r="AI87" s="56"/>
    </row>
    <row r="88" spans="1:35" x14ac:dyDescent="0.3">
      <c r="A88" s="177">
        <f t="shared" si="23"/>
        <v>48</v>
      </c>
      <c r="B88" s="66" t="s">
        <v>391</v>
      </c>
      <c r="C88" s="50">
        <f t="shared" si="22"/>
        <v>5044455.5999999996</v>
      </c>
      <c r="D88" s="51">
        <f t="shared" si="24"/>
        <v>0</v>
      </c>
      <c r="E88" s="51"/>
      <c r="F88" s="51"/>
      <c r="G88" s="51"/>
      <c r="H88" s="50"/>
      <c r="I88" s="50"/>
      <c r="J88" s="51"/>
      <c r="K88" s="51"/>
      <c r="L88" s="51"/>
      <c r="M88" s="51"/>
      <c r="N88" s="50"/>
      <c r="O88" s="82"/>
      <c r="P88" s="50"/>
      <c r="Q88" s="82">
        <v>713.84</v>
      </c>
      <c r="R88" s="50">
        <v>5044455.5999999996</v>
      </c>
      <c r="S88" s="68"/>
      <c r="T88" s="82"/>
      <c r="U88" s="51"/>
      <c r="V88" s="51"/>
      <c r="W88" s="178"/>
      <c r="X88" s="141"/>
      <c r="Y88" s="309">
        <v>108301.24</v>
      </c>
      <c r="Z88" s="309">
        <v>131514.23999999999</v>
      </c>
      <c r="AA88" s="309"/>
      <c r="AB88" s="309">
        <v>105574.85</v>
      </c>
      <c r="AC88" s="309"/>
      <c r="AD88" s="309"/>
      <c r="AE88" s="309"/>
      <c r="AF88" s="309"/>
      <c r="AG88" s="309">
        <v>183229.57</v>
      </c>
      <c r="AH88" s="56"/>
      <c r="AI88" s="56"/>
    </row>
    <row r="89" spans="1:35" x14ac:dyDescent="0.3">
      <c r="A89" s="177">
        <f t="shared" si="23"/>
        <v>49</v>
      </c>
      <c r="B89" s="66" t="s">
        <v>395</v>
      </c>
      <c r="C89" s="50">
        <f t="shared" si="22"/>
        <v>1566583.2</v>
      </c>
      <c r="D89" s="51">
        <f t="shared" si="24"/>
        <v>0</v>
      </c>
      <c r="E89" s="50"/>
      <c r="F89" s="51"/>
      <c r="G89" s="50"/>
      <c r="H89" s="50"/>
      <c r="I89" s="50"/>
      <c r="J89" s="51"/>
      <c r="K89" s="51"/>
      <c r="L89" s="51"/>
      <c r="M89" s="51"/>
      <c r="N89" s="50"/>
      <c r="O89" s="82"/>
      <c r="P89" s="50"/>
      <c r="Q89" s="82"/>
      <c r="R89" s="50"/>
      <c r="S89" s="68"/>
      <c r="T89" s="82"/>
      <c r="U89" s="50">
        <v>1566583.2</v>
      </c>
      <c r="V89" s="51"/>
      <c r="W89" s="178"/>
      <c r="X89" s="141"/>
      <c r="Y89" s="309"/>
      <c r="Z89" s="309">
        <v>67866.740000000005</v>
      </c>
      <c r="AA89" s="309"/>
      <c r="AB89" s="309"/>
      <c r="AC89" s="309"/>
      <c r="AD89" s="309"/>
      <c r="AE89" s="309"/>
      <c r="AF89" s="309">
        <v>288778.82</v>
      </c>
      <c r="AG89" s="309"/>
      <c r="AH89" s="56"/>
      <c r="AI89" s="56"/>
    </row>
    <row r="90" spans="1:35" x14ac:dyDescent="0.3">
      <c r="A90" s="177">
        <f t="shared" si="23"/>
        <v>50</v>
      </c>
      <c r="B90" s="66" t="s">
        <v>397</v>
      </c>
      <c r="C90" s="50">
        <f t="shared" si="22"/>
        <v>1428814.8</v>
      </c>
      <c r="D90" s="51">
        <f t="shared" si="24"/>
        <v>0</v>
      </c>
      <c r="E90" s="50"/>
      <c r="F90" s="50"/>
      <c r="G90" s="51"/>
      <c r="H90" s="51"/>
      <c r="I90" s="50"/>
      <c r="J90" s="51"/>
      <c r="K90" s="51"/>
      <c r="L90" s="51"/>
      <c r="M90" s="51"/>
      <c r="N90" s="50"/>
      <c r="O90" s="82"/>
      <c r="P90" s="50"/>
      <c r="Q90" s="82"/>
      <c r="R90" s="50"/>
      <c r="S90" s="68"/>
      <c r="T90" s="82"/>
      <c r="U90" s="50">
        <v>1428814.8</v>
      </c>
      <c r="V90" s="51"/>
      <c r="W90" s="178"/>
      <c r="X90" s="141"/>
      <c r="Y90" s="309"/>
      <c r="Z90" s="309"/>
      <c r="AA90" s="309"/>
      <c r="AB90" s="309">
        <v>50912.9</v>
      </c>
      <c r="AC90" s="309"/>
      <c r="AD90" s="309">
        <v>111649.57</v>
      </c>
      <c r="AE90" s="309"/>
      <c r="AF90" s="309">
        <v>289012.63</v>
      </c>
      <c r="AG90" s="309"/>
      <c r="AH90" s="56"/>
      <c r="AI90" s="56"/>
    </row>
    <row r="91" spans="1:35" x14ac:dyDescent="0.3">
      <c r="A91" s="177">
        <f t="shared" si="23"/>
        <v>51</v>
      </c>
      <c r="B91" s="66" t="s">
        <v>400</v>
      </c>
      <c r="C91" s="50">
        <f t="shared" si="22"/>
        <v>1230759.6000000001</v>
      </c>
      <c r="D91" s="51">
        <f t="shared" si="24"/>
        <v>0</v>
      </c>
      <c r="E91" s="50"/>
      <c r="F91" s="50"/>
      <c r="G91" s="50"/>
      <c r="H91" s="51"/>
      <c r="I91" s="50"/>
      <c r="J91" s="51"/>
      <c r="K91" s="51"/>
      <c r="L91" s="51"/>
      <c r="M91" s="51"/>
      <c r="N91" s="50"/>
      <c r="O91" s="82"/>
      <c r="P91" s="50"/>
      <c r="Q91" s="82"/>
      <c r="R91" s="50"/>
      <c r="S91" s="68"/>
      <c r="T91" s="82"/>
      <c r="U91" s="50">
        <v>1230759.6000000001</v>
      </c>
      <c r="V91" s="51"/>
      <c r="W91" s="178"/>
      <c r="X91" s="141"/>
      <c r="Y91" s="309"/>
      <c r="Z91" s="309"/>
      <c r="AA91" s="309"/>
      <c r="AB91" s="309"/>
      <c r="AC91" s="309"/>
      <c r="AD91" s="309">
        <v>99142.18</v>
      </c>
      <c r="AE91" s="309"/>
      <c r="AF91" s="309">
        <v>258618.38</v>
      </c>
      <c r="AG91" s="309"/>
      <c r="AH91" s="56"/>
      <c r="AI91" s="56"/>
    </row>
    <row r="92" spans="1:35" x14ac:dyDescent="0.3">
      <c r="A92" s="177">
        <f t="shared" si="23"/>
        <v>52</v>
      </c>
      <c r="B92" s="66" t="s">
        <v>410</v>
      </c>
      <c r="C92" s="50">
        <f t="shared" si="22"/>
        <v>1320500.3999999999</v>
      </c>
      <c r="D92" s="51">
        <f t="shared" si="24"/>
        <v>0</v>
      </c>
      <c r="E92" s="50"/>
      <c r="F92" s="51"/>
      <c r="G92" s="51"/>
      <c r="H92" s="51"/>
      <c r="I92" s="50"/>
      <c r="J92" s="51"/>
      <c r="K92" s="51"/>
      <c r="L92" s="51"/>
      <c r="M92" s="51"/>
      <c r="N92" s="50"/>
      <c r="O92" s="82"/>
      <c r="P92" s="50"/>
      <c r="Q92" s="82"/>
      <c r="R92" s="50"/>
      <c r="S92" s="68"/>
      <c r="T92" s="82"/>
      <c r="U92" s="50">
        <v>1320500.3999999999</v>
      </c>
      <c r="V92" s="51"/>
      <c r="W92" s="178"/>
      <c r="X92" s="141"/>
      <c r="Y92" s="48"/>
      <c r="Z92" s="309">
        <v>66393.16</v>
      </c>
      <c r="AA92" s="309"/>
      <c r="AB92" s="309">
        <v>49415.56</v>
      </c>
      <c r="AC92" s="309"/>
      <c r="AD92" s="309">
        <v>109340.51</v>
      </c>
      <c r="AE92" s="309"/>
      <c r="AF92" s="309">
        <v>283401.40000000002</v>
      </c>
      <c r="AG92" s="309"/>
      <c r="AH92" s="56"/>
      <c r="AI92" s="56"/>
    </row>
    <row r="93" spans="1:35" x14ac:dyDescent="0.3">
      <c r="A93" s="177">
        <f t="shared" si="23"/>
        <v>53</v>
      </c>
      <c r="B93" s="66" t="s">
        <v>418</v>
      </c>
      <c r="C93" s="50">
        <f t="shared" si="22"/>
        <v>1946952</v>
      </c>
      <c r="D93" s="51">
        <f t="shared" si="24"/>
        <v>0</v>
      </c>
      <c r="E93" s="50"/>
      <c r="F93" s="50"/>
      <c r="G93" s="50"/>
      <c r="H93" s="51"/>
      <c r="I93" s="50"/>
      <c r="J93" s="51"/>
      <c r="K93" s="51"/>
      <c r="L93" s="51"/>
      <c r="M93" s="51"/>
      <c r="N93" s="50"/>
      <c r="O93" s="82"/>
      <c r="P93" s="50"/>
      <c r="Q93" s="82"/>
      <c r="R93" s="50"/>
      <c r="S93" s="68"/>
      <c r="T93" s="82"/>
      <c r="U93" s="50">
        <v>1946952</v>
      </c>
      <c r="V93" s="51"/>
      <c r="W93" s="178"/>
      <c r="X93" s="311"/>
      <c r="Y93" s="309">
        <v>75548.88</v>
      </c>
      <c r="Z93" s="309"/>
      <c r="AA93" s="309"/>
      <c r="AB93" s="309"/>
      <c r="AC93" s="309"/>
      <c r="AD93" s="309"/>
      <c r="AE93" s="309"/>
      <c r="AF93" s="309"/>
      <c r="AG93" s="309">
        <v>120601.46</v>
      </c>
      <c r="AH93" s="56"/>
      <c r="AI93" s="56"/>
    </row>
    <row r="94" spans="1:35" x14ac:dyDescent="0.3">
      <c r="A94" s="177">
        <f t="shared" si="23"/>
        <v>54</v>
      </c>
      <c r="B94" s="66" t="s">
        <v>421</v>
      </c>
      <c r="C94" s="50">
        <f t="shared" si="22"/>
        <v>3718003</v>
      </c>
      <c r="D94" s="51">
        <f t="shared" si="24"/>
        <v>0</v>
      </c>
      <c r="E94" s="50"/>
      <c r="F94" s="51"/>
      <c r="G94" s="50"/>
      <c r="H94" s="50"/>
      <c r="I94" s="50"/>
      <c r="J94" s="51"/>
      <c r="K94" s="51"/>
      <c r="L94" s="51"/>
      <c r="M94" s="51"/>
      <c r="N94" s="50"/>
      <c r="O94" s="82"/>
      <c r="P94" s="50"/>
      <c r="Q94" s="82"/>
      <c r="R94" s="50"/>
      <c r="S94" s="68"/>
      <c r="T94" s="82">
        <v>312.7</v>
      </c>
      <c r="U94" s="50">
        <f>T94*11890</f>
        <v>3718003</v>
      </c>
      <c r="V94" s="51"/>
      <c r="W94" s="178"/>
      <c r="X94" s="141"/>
      <c r="Y94" s="48"/>
      <c r="Z94" s="48"/>
      <c r="AA94" s="48"/>
      <c r="AB94" s="48"/>
      <c r="AC94" s="48"/>
      <c r="AD94" s="48"/>
      <c r="AE94" s="61"/>
      <c r="AF94" s="62"/>
      <c r="AG94" s="62"/>
      <c r="AH94" s="56"/>
      <c r="AI94" s="56"/>
    </row>
    <row r="95" spans="1:35" x14ac:dyDescent="0.3">
      <c r="A95" s="177">
        <f t="shared" si="23"/>
        <v>55</v>
      </c>
      <c r="B95" s="66" t="s">
        <v>422</v>
      </c>
      <c r="C95" s="50">
        <f t="shared" si="22"/>
        <v>2503909.2000000002</v>
      </c>
      <c r="D95" s="51">
        <f t="shared" si="24"/>
        <v>0</v>
      </c>
      <c r="E95" s="50"/>
      <c r="F95" s="51"/>
      <c r="G95" s="50"/>
      <c r="H95" s="50"/>
      <c r="I95" s="50"/>
      <c r="J95" s="51"/>
      <c r="K95" s="51"/>
      <c r="L95" s="51"/>
      <c r="M95" s="51"/>
      <c r="N95" s="50"/>
      <c r="O95" s="82"/>
      <c r="P95" s="50"/>
      <c r="Q95" s="82"/>
      <c r="R95" s="50"/>
      <c r="S95" s="68"/>
      <c r="T95" s="82">
        <v>193.4</v>
      </c>
      <c r="U95" s="50">
        <v>2503909.2000000002</v>
      </c>
      <c r="V95" s="51"/>
      <c r="W95" s="178"/>
      <c r="X95" s="141"/>
      <c r="Y95" s="48"/>
      <c r="Z95" s="48"/>
      <c r="AA95" s="48"/>
      <c r="AB95" s="48"/>
      <c r="AC95" s="48"/>
      <c r="AD95" s="48"/>
      <c r="AE95" s="61"/>
      <c r="AF95" s="62"/>
      <c r="AG95" s="62"/>
      <c r="AH95" s="56"/>
      <c r="AI95" s="56"/>
    </row>
    <row r="96" spans="1:35" x14ac:dyDescent="0.3">
      <c r="A96" s="177">
        <f t="shared" si="23"/>
        <v>56</v>
      </c>
      <c r="B96" s="66" t="s">
        <v>424</v>
      </c>
      <c r="C96" s="50">
        <f t="shared" si="22"/>
        <v>1746463.2</v>
      </c>
      <c r="D96" s="51">
        <f t="shared" si="24"/>
        <v>0</v>
      </c>
      <c r="E96" s="50"/>
      <c r="F96" s="50"/>
      <c r="G96" s="50"/>
      <c r="H96" s="50"/>
      <c r="I96" s="50"/>
      <c r="J96" s="51"/>
      <c r="K96" s="51"/>
      <c r="L96" s="51"/>
      <c r="M96" s="51"/>
      <c r="N96" s="50"/>
      <c r="O96" s="82"/>
      <c r="P96" s="51"/>
      <c r="Q96" s="82"/>
      <c r="R96" s="50"/>
      <c r="S96" s="68"/>
      <c r="T96" s="82"/>
      <c r="U96" s="50">
        <v>1746463.2</v>
      </c>
      <c r="V96" s="51"/>
      <c r="W96" s="178"/>
      <c r="X96" s="141"/>
      <c r="Y96" s="48"/>
      <c r="Z96" s="48"/>
      <c r="AA96" s="48"/>
      <c r="AB96" s="48">
        <v>79020.289999999994</v>
      </c>
      <c r="AC96" s="48">
        <v>79020.289999999994</v>
      </c>
      <c r="AD96" s="48">
        <v>153536.57999999999</v>
      </c>
      <c r="AE96" s="61"/>
      <c r="AF96" s="62">
        <v>391222.98</v>
      </c>
      <c r="AG96" s="62">
        <v>140821.74</v>
      </c>
      <c r="AH96" s="56"/>
      <c r="AI96" s="56"/>
    </row>
    <row r="97" spans="1:35" x14ac:dyDescent="0.3">
      <c r="A97" s="177">
        <f t="shared" si="23"/>
        <v>57</v>
      </c>
      <c r="B97" s="66" t="s">
        <v>425</v>
      </c>
      <c r="C97" s="50">
        <f t="shared" si="22"/>
        <v>1785151.2</v>
      </c>
      <c r="D97" s="51">
        <f t="shared" si="24"/>
        <v>0</v>
      </c>
      <c r="E97" s="50"/>
      <c r="F97" s="50"/>
      <c r="G97" s="50"/>
      <c r="H97" s="50"/>
      <c r="I97" s="50"/>
      <c r="J97" s="51"/>
      <c r="K97" s="51"/>
      <c r="L97" s="51"/>
      <c r="M97" s="51"/>
      <c r="N97" s="50"/>
      <c r="O97" s="82"/>
      <c r="P97" s="51"/>
      <c r="Q97" s="82"/>
      <c r="R97" s="50"/>
      <c r="S97" s="68"/>
      <c r="T97" s="82"/>
      <c r="U97" s="50">
        <v>1785151.2</v>
      </c>
      <c r="V97" s="51"/>
      <c r="W97" s="178"/>
      <c r="X97" s="141"/>
      <c r="Y97" s="48"/>
      <c r="Z97" s="48"/>
      <c r="AA97" s="48"/>
      <c r="AB97" s="48"/>
      <c r="AC97" s="48"/>
      <c r="AD97" s="48">
        <v>191024.81</v>
      </c>
      <c r="AE97" s="61"/>
      <c r="AF97" s="62">
        <v>482495.51</v>
      </c>
      <c r="AG97" s="62">
        <v>178263.98</v>
      </c>
      <c r="AH97" s="56"/>
      <c r="AI97" s="56"/>
    </row>
    <row r="98" spans="1:35" x14ac:dyDescent="0.3">
      <c r="A98" s="177">
        <f t="shared" si="23"/>
        <v>58</v>
      </c>
      <c r="B98" s="66" t="s">
        <v>426</v>
      </c>
      <c r="C98" s="50">
        <f t="shared" si="22"/>
        <v>1460991.6</v>
      </c>
      <c r="D98" s="51">
        <f t="shared" si="24"/>
        <v>0</v>
      </c>
      <c r="E98" s="50"/>
      <c r="F98" s="51"/>
      <c r="G98" s="51"/>
      <c r="H98" s="50"/>
      <c r="I98" s="50"/>
      <c r="J98" s="51"/>
      <c r="K98" s="51"/>
      <c r="L98" s="51"/>
      <c r="M98" s="51"/>
      <c r="N98" s="50"/>
      <c r="O98" s="82"/>
      <c r="P98" s="51"/>
      <c r="Q98" s="82"/>
      <c r="R98" s="50"/>
      <c r="S98" s="68"/>
      <c r="T98" s="82"/>
      <c r="U98" s="50">
        <v>1460991.6</v>
      </c>
      <c r="V98" s="51"/>
      <c r="W98" s="178"/>
      <c r="X98" s="141"/>
      <c r="Y98" s="48"/>
      <c r="Z98" s="48"/>
      <c r="AA98" s="48"/>
      <c r="AB98" s="48">
        <v>66429.64</v>
      </c>
      <c r="AC98" s="48"/>
      <c r="AD98" s="48">
        <v>133200.78</v>
      </c>
      <c r="AE98" s="61"/>
      <c r="AF98" s="62">
        <v>341384.29</v>
      </c>
      <c r="AG98" s="62">
        <v>120746.28</v>
      </c>
      <c r="AH98" s="56"/>
      <c r="AI98" s="56"/>
    </row>
    <row r="99" spans="1:35" x14ac:dyDescent="0.3">
      <c r="A99" s="177">
        <f t="shared" si="23"/>
        <v>59</v>
      </c>
      <c r="B99" s="66" t="s">
        <v>432</v>
      </c>
      <c r="C99" s="50">
        <f t="shared" si="22"/>
        <v>1902630</v>
      </c>
      <c r="D99" s="51">
        <f t="shared" si="24"/>
        <v>0</v>
      </c>
      <c r="E99" s="51"/>
      <c r="F99" s="51"/>
      <c r="G99" s="51"/>
      <c r="H99" s="50"/>
      <c r="I99" s="50"/>
      <c r="J99" s="51"/>
      <c r="K99" s="51"/>
      <c r="L99" s="51"/>
      <c r="M99" s="51"/>
      <c r="N99" s="50"/>
      <c r="O99" s="82"/>
      <c r="P99" s="51"/>
      <c r="Q99" s="82"/>
      <c r="R99" s="50"/>
      <c r="S99" s="68"/>
      <c r="T99" s="82"/>
      <c r="U99" s="50">
        <v>1902630</v>
      </c>
      <c r="V99" s="51"/>
      <c r="W99" s="178"/>
      <c r="X99" s="141"/>
      <c r="Y99" s="48"/>
      <c r="Z99" s="48"/>
      <c r="AA99" s="48"/>
      <c r="AB99" s="48"/>
      <c r="AC99" s="48"/>
      <c r="AD99" s="48">
        <v>147634.45000000001</v>
      </c>
      <c r="AE99" s="61"/>
      <c r="AF99" s="62">
        <v>376495.35999999999</v>
      </c>
      <c r="AG99" s="62"/>
      <c r="AH99" s="56"/>
      <c r="AI99" s="56"/>
    </row>
    <row r="100" spans="1:35" x14ac:dyDescent="0.3">
      <c r="A100" s="177">
        <f t="shared" si="23"/>
        <v>60</v>
      </c>
      <c r="B100" s="66" t="s">
        <v>444</v>
      </c>
      <c r="C100" s="50">
        <f t="shared" si="22"/>
        <v>1534416</v>
      </c>
      <c r="D100" s="51">
        <f t="shared" si="24"/>
        <v>0</v>
      </c>
      <c r="E100" s="50"/>
      <c r="F100" s="50"/>
      <c r="G100" s="50"/>
      <c r="H100" s="50"/>
      <c r="I100" s="50"/>
      <c r="J100" s="51"/>
      <c r="K100" s="51"/>
      <c r="L100" s="51"/>
      <c r="M100" s="51"/>
      <c r="N100" s="50"/>
      <c r="O100" s="82"/>
      <c r="P100" s="51"/>
      <c r="Q100" s="82"/>
      <c r="R100" s="50"/>
      <c r="S100" s="68"/>
      <c r="T100" s="82"/>
      <c r="U100" s="50">
        <v>1534416</v>
      </c>
      <c r="V100" s="51"/>
      <c r="W100" s="178"/>
      <c r="X100" s="141"/>
      <c r="Y100" s="48"/>
      <c r="Z100" s="48"/>
      <c r="AA100" s="48"/>
      <c r="AB100" s="48"/>
      <c r="AC100" s="48"/>
      <c r="AD100" s="48">
        <v>146381.64000000001</v>
      </c>
      <c r="AE100" s="61"/>
      <c r="AF100" s="62">
        <v>373415.2</v>
      </c>
      <c r="AG100" s="62"/>
      <c r="AH100" s="56"/>
      <c r="AI100" s="56"/>
    </row>
    <row r="101" spans="1:35" x14ac:dyDescent="0.3">
      <c r="A101" s="177">
        <f>A100+1</f>
        <v>61</v>
      </c>
      <c r="B101" s="66" t="s">
        <v>454</v>
      </c>
      <c r="C101" s="50">
        <f t="shared" si="22"/>
        <v>1470429.6</v>
      </c>
      <c r="D101" s="51">
        <f t="shared" si="24"/>
        <v>0</v>
      </c>
      <c r="E101" s="50"/>
      <c r="F101" s="50"/>
      <c r="G101" s="50"/>
      <c r="H101" s="50"/>
      <c r="I101" s="50"/>
      <c r="J101" s="51"/>
      <c r="K101" s="51"/>
      <c r="L101" s="51"/>
      <c r="M101" s="51"/>
      <c r="N101" s="50"/>
      <c r="O101" s="82"/>
      <c r="P101" s="51"/>
      <c r="Q101" s="82"/>
      <c r="R101" s="50"/>
      <c r="S101" s="68"/>
      <c r="T101" s="82">
        <v>160.63999999999999</v>
      </c>
      <c r="U101" s="50">
        <v>1470429.6</v>
      </c>
      <c r="V101" s="51"/>
      <c r="W101" s="178"/>
      <c r="X101" s="141"/>
      <c r="Y101" s="48"/>
      <c r="Z101" s="48">
        <v>83563.73</v>
      </c>
      <c r="AA101" s="48"/>
      <c r="AB101" s="48">
        <v>66135.820000000007</v>
      </c>
      <c r="AC101" s="48">
        <v>66135.820000000007</v>
      </c>
      <c r="AD101" s="48">
        <v>135124.99</v>
      </c>
      <c r="AE101" s="61"/>
      <c r="AF101" s="62"/>
      <c r="AG101" s="62"/>
      <c r="AH101" s="56"/>
      <c r="AI101" s="56"/>
    </row>
    <row r="102" spans="1:35" x14ac:dyDescent="0.3">
      <c r="A102" s="177">
        <f t="shared" si="23"/>
        <v>62</v>
      </c>
      <c r="B102" s="66" t="s">
        <v>455</v>
      </c>
      <c r="C102" s="50">
        <f t="shared" si="22"/>
        <v>1882187.0000000002</v>
      </c>
      <c r="D102" s="51">
        <f t="shared" si="24"/>
        <v>0</v>
      </c>
      <c r="E102" s="51"/>
      <c r="F102" s="51"/>
      <c r="G102" s="51"/>
      <c r="H102" s="50"/>
      <c r="I102" s="50"/>
      <c r="J102" s="51"/>
      <c r="K102" s="51"/>
      <c r="L102" s="51"/>
      <c r="M102" s="51"/>
      <c r="N102" s="50"/>
      <c r="O102" s="82"/>
      <c r="P102" s="51"/>
      <c r="Q102" s="82"/>
      <c r="R102" s="50"/>
      <c r="S102" s="68"/>
      <c r="T102" s="82">
        <v>158.30000000000001</v>
      </c>
      <c r="U102" s="51">
        <f>T102*11890</f>
        <v>1882187.0000000002</v>
      </c>
      <c r="V102" s="51"/>
      <c r="W102" s="178"/>
      <c r="X102" s="141"/>
      <c r="Y102" s="48">
        <v>62082.58</v>
      </c>
      <c r="Z102" s="48">
        <v>78630.38</v>
      </c>
      <c r="AA102" s="48"/>
      <c r="AB102" s="48">
        <v>61331.86</v>
      </c>
      <c r="AC102" s="48">
        <v>61331.86</v>
      </c>
      <c r="AD102" s="48">
        <v>127716.77</v>
      </c>
      <c r="AE102" s="61"/>
      <c r="AF102" s="62"/>
      <c r="AG102" s="62">
        <v>115250.87</v>
      </c>
      <c r="AH102" s="56"/>
      <c r="AI102" s="56"/>
    </row>
    <row r="103" spans="1:35" x14ac:dyDescent="0.3">
      <c r="A103" s="177">
        <f t="shared" si="23"/>
        <v>63</v>
      </c>
      <c r="B103" s="66" t="s">
        <v>457</v>
      </c>
      <c r="C103" s="50">
        <f t="shared" si="22"/>
        <v>1078693.2</v>
      </c>
      <c r="D103" s="51">
        <f t="shared" si="24"/>
        <v>0</v>
      </c>
      <c r="E103" s="50"/>
      <c r="F103" s="51"/>
      <c r="G103" s="51"/>
      <c r="H103" s="50"/>
      <c r="I103" s="50"/>
      <c r="J103" s="51"/>
      <c r="K103" s="51"/>
      <c r="L103" s="51"/>
      <c r="M103" s="51"/>
      <c r="N103" s="50"/>
      <c r="O103" s="82"/>
      <c r="P103" s="51"/>
      <c r="Q103" s="82"/>
      <c r="R103" s="50"/>
      <c r="S103" s="68"/>
      <c r="T103" s="82">
        <v>232.37</v>
      </c>
      <c r="U103" s="50">
        <v>1078693.2</v>
      </c>
      <c r="V103" s="51"/>
      <c r="W103" s="178"/>
      <c r="X103" s="141"/>
      <c r="Y103" s="48"/>
      <c r="Z103" s="48"/>
      <c r="AA103" s="48"/>
      <c r="AB103" s="48">
        <v>75806.11</v>
      </c>
      <c r="AC103" s="48">
        <v>75806.11</v>
      </c>
      <c r="AD103" s="48">
        <v>150037.67000000001</v>
      </c>
      <c r="AE103" s="61"/>
      <c r="AF103" s="62"/>
      <c r="AG103" s="62"/>
      <c r="AH103" s="56"/>
      <c r="AI103" s="56"/>
    </row>
    <row r="104" spans="1:35" x14ac:dyDescent="0.3">
      <c r="A104" s="177">
        <f t="shared" si="23"/>
        <v>64</v>
      </c>
      <c r="B104" s="66" t="s">
        <v>458</v>
      </c>
      <c r="C104" s="50">
        <f t="shared" si="22"/>
        <v>1605446.4</v>
      </c>
      <c r="D104" s="51">
        <f t="shared" si="24"/>
        <v>0</v>
      </c>
      <c r="E104" s="50"/>
      <c r="F104" s="51"/>
      <c r="G104" s="51"/>
      <c r="H104" s="50"/>
      <c r="I104" s="50"/>
      <c r="J104" s="51"/>
      <c r="K104" s="51"/>
      <c r="L104" s="51"/>
      <c r="M104" s="51"/>
      <c r="N104" s="50"/>
      <c r="O104" s="82"/>
      <c r="P104" s="51"/>
      <c r="Q104" s="82"/>
      <c r="R104" s="50"/>
      <c r="S104" s="68"/>
      <c r="T104" s="82">
        <v>241.9</v>
      </c>
      <c r="U104" s="50">
        <v>1605446.4</v>
      </c>
      <c r="V104" s="51"/>
      <c r="W104" s="178"/>
      <c r="X104" s="141"/>
      <c r="Y104" s="48"/>
      <c r="Z104" s="48">
        <v>97082.35</v>
      </c>
      <c r="AA104" s="48"/>
      <c r="AB104" s="48">
        <v>79299.899999999994</v>
      </c>
      <c r="AC104" s="48"/>
      <c r="AD104" s="48">
        <v>155425.46</v>
      </c>
      <c r="AE104" s="61"/>
      <c r="AF104" s="62"/>
      <c r="AG104" s="62"/>
      <c r="AH104" s="56"/>
      <c r="AI104" s="56"/>
    </row>
    <row r="105" spans="1:35" x14ac:dyDescent="0.3">
      <c r="A105" s="177"/>
      <c r="B105" s="131" t="s">
        <v>211</v>
      </c>
      <c r="C105" s="50">
        <f t="shared" ref="C105:W105" si="25">SUM(C79:C104)</f>
        <v>60461191.340000011</v>
      </c>
      <c r="D105" s="50">
        <f t="shared" si="25"/>
        <v>0</v>
      </c>
      <c r="E105" s="50">
        <f t="shared" si="25"/>
        <v>0</v>
      </c>
      <c r="F105" s="50">
        <f t="shared" si="25"/>
        <v>0</v>
      </c>
      <c r="G105" s="50">
        <f t="shared" si="25"/>
        <v>0</v>
      </c>
      <c r="H105" s="50">
        <f t="shared" si="25"/>
        <v>0</v>
      </c>
      <c r="I105" s="50">
        <f t="shared" si="25"/>
        <v>0</v>
      </c>
      <c r="J105" s="50">
        <f t="shared" si="25"/>
        <v>0</v>
      </c>
      <c r="K105" s="50">
        <f t="shared" si="25"/>
        <v>0</v>
      </c>
      <c r="L105" s="50">
        <f t="shared" si="25"/>
        <v>0</v>
      </c>
      <c r="M105" s="50">
        <f t="shared" si="25"/>
        <v>0</v>
      </c>
      <c r="N105" s="50">
        <f t="shared" si="25"/>
        <v>0</v>
      </c>
      <c r="O105" s="68">
        <f t="shared" si="25"/>
        <v>0</v>
      </c>
      <c r="P105" s="50">
        <f t="shared" si="25"/>
        <v>0</v>
      </c>
      <c r="Q105" s="68">
        <f t="shared" si="25"/>
        <v>1443.1799999999998</v>
      </c>
      <c r="R105" s="50">
        <f t="shared" si="25"/>
        <v>10007673.6</v>
      </c>
      <c r="S105" s="68">
        <f t="shared" si="25"/>
        <v>0</v>
      </c>
      <c r="T105" s="68">
        <f t="shared" si="25"/>
        <v>3402.98</v>
      </c>
      <c r="U105" s="50">
        <f t="shared" si="25"/>
        <v>50453517.74000001</v>
      </c>
      <c r="V105" s="50">
        <f t="shared" si="25"/>
        <v>0</v>
      </c>
      <c r="W105" s="34">
        <f t="shared" si="25"/>
        <v>0</v>
      </c>
      <c r="X105" s="141"/>
      <c r="Y105" s="48"/>
      <c r="Z105" s="48"/>
      <c r="AA105" s="48"/>
      <c r="AB105" s="48"/>
      <c r="AC105" s="48"/>
      <c r="AD105" s="48"/>
      <c r="AE105" s="61"/>
      <c r="AF105" s="62"/>
      <c r="AG105" s="62"/>
      <c r="AH105" s="56"/>
      <c r="AI105" s="56"/>
    </row>
    <row r="106" spans="1:35" ht="31.2" x14ac:dyDescent="0.3">
      <c r="A106" s="177"/>
      <c r="B106" s="66" t="s">
        <v>461</v>
      </c>
      <c r="C106" s="50"/>
      <c r="D106" s="51"/>
      <c r="E106" s="51"/>
      <c r="F106" s="51"/>
      <c r="G106" s="51"/>
      <c r="H106" s="50"/>
      <c r="I106" s="50"/>
      <c r="J106" s="51"/>
      <c r="K106" s="51"/>
      <c r="L106" s="51"/>
      <c r="M106" s="51"/>
      <c r="N106" s="50"/>
      <c r="O106" s="82"/>
      <c r="P106" s="51"/>
      <c r="Q106" s="82"/>
      <c r="R106" s="50"/>
      <c r="S106" s="68"/>
      <c r="T106" s="82"/>
      <c r="U106" s="51"/>
      <c r="V106" s="51"/>
      <c r="W106" s="178"/>
      <c r="X106" s="141"/>
      <c r="Y106" s="48"/>
      <c r="Z106" s="48"/>
      <c r="AA106" s="48"/>
      <c r="AB106" s="48"/>
      <c r="AC106" s="48"/>
      <c r="AD106" s="48"/>
      <c r="AE106" s="61"/>
      <c r="AF106" s="62"/>
      <c r="AG106" s="62"/>
      <c r="AH106" s="56"/>
      <c r="AI106" s="56"/>
    </row>
    <row r="107" spans="1:35" x14ac:dyDescent="0.3">
      <c r="A107" s="177">
        <f>A104+1</f>
        <v>65</v>
      </c>
      <c r="B107" s="66" t="s">
        <v>462</v>
      </c>
      <c r="C107" s="50">
        <f t="shared" ref="C107:C123" si="26">D107+K107+L107+N107+P107+R107+S107+U107+V107+W107</f>
        <v>1131486.3999999999</v>
      </c>
      <c r="D107" s="51">
        <f t="shared" ref="D107:D123" si="27">E107+F107+G107+H107+I107</f>
        <v>0</v>
      </c>
      <c r="E107" s="51"/>
      <c r="F107" s="51"/>
      <c r="G107" s="51"/>
      <c r="H107" s="50"/>
      <c r="I107" s="50"/>
      <c r="J107" s="51"/>
      <c r="K107" s="51"/>
      <c r="L107" s="51"/>
      <c r="M107" s="51"/>
      <c r="N107" s="50"/>
      <c r="O107" s="82"/>
      <c r="P107" s="51"/>
      <c r="Q107" s="82"/>
      <c r="R107" s="50"/>
      <c r="S107" s="68"/>
      <c r="T107" s="82"/>
      <c r="U107" s="51"/>
      <c r="V107" s="51"/>
      <c r="W107" s="178">
        <f t="shared" ref="W107:W134" si="28">SUM(X107:AI107)</f>
        <v>1131486.3999999999</v>
      </c>
      <c r="X107" s="141"/>
      <c r="Y107" s="48">
        <v>110365.75999999999</v>
      </c>
      <c r="Z107" s="48"/>
      <c r="AA107" s="48"/>
      <c r="AB107" s="48"/>
      <c r="AC107" s="48">
        <v>111465.2</v>
      </c>
      <c r="AD107" s="48">
        <v>204078.05</v>
      </c>
      <c r="AE107" s="61"/>
      <c r="AF107" s="62">
        <v>514276.16</v>
      </c>
      <c r="AG107" s="62">
        <v>191301.23</v>
      </c>
      <c r="AH107" s="56"/>
      <c r="AI107" s="56"/>
    </row>
    <row r="108" spans="1:35" x14ac:dyDescent="0.3">
      <c r="A108" s="177">
        <f t="shared" ref="A108:A123" si="29">A107+1</f>
        <v>66</v>
      </c>
      <c r="B108" s="66" t="s">
        <v>463</v>
      </c>
      <c r="C108" s="50">
        <f t="shared" si="26"/>
        <v>851237.37999999989</v>
      </c>
      <c r="D108" s="51">
        <f t="shared" si="27"/>
        <v>0</v>
      </c>
      <c r="E108" s="51"/>
      <c r="F108" s="51"/>
      <c r="G108" s="51"/>
      <c r="H108" s="50"/>
      <c r="I108" s="50"/>
      <c r="J108" s="51"/>
      <c r="K108" s="51"/>
      <c r="L108" s="51"/>
      <c r="M108" s="51"/>
      <c r="N108" s="50"/>
      <c r="O108" s="82"/>
      <c r="P108" s="51"/>
      <c r="Q108" s="82"/>
      <c r="R108" s="50"/>
      <c r="S108" s="68"/>
      <c r="T108" s="82"/>
      <c r="U108" s="51"/>
      <c r="V108" s="51"/>
      <c r="W108" s="178">
        <f t="shared" si="28"/>
        <v>851237.37999999989</v>
      </c>
      <c r="X108" s="141"/>
      <c r="Y108" s="48">
        <v>79568.639999999999</v>
      </c>
      <c r="Z108" s="48"/>
      <c r="AA108" s="48"/>
      <c r="AB108" s="48"/>
      <c r="AC108" s="48">
        <v>79112.740000000005</v>
      </c>
      <c r="AD108" s="48">
        <v>155136.84</v>
      </c>
      <c r="AE108" s="61"/>
      <c r="AF108" s="62">
        <v>394691.16</v>
      </c>
      <c r="AG108" s="62">
        <v>142728</v>
      </c>
      <c r="AH108" s="56"/>
      <c r="AI108" s="56"/>
    </row>
    <row r="109" spans="1:35" x14ac:dyDescent="0.3">
      <c r="A109" s="177">
        <f>A108+1</f>
        <v>67</v>
      </c>
      <c r="B109" s="66" t="s">
        <v>464</v>
      </c>
      <c r="C109" s="50">
        <f t="shared" si="26"/>
        <v>787417.82000000007</v>
      </c>
      <c r="D109" s="51">
        <f t="shared" si="27"/>
        <v>0</v>
      </c>
      <c r="E109" s="51"/>
      <c r="F109" s="51"/>
      <c r="G109" s="51"/>
      <c r="H109" s="50"/>
      <c r="I109" s="50"/>
      <c r="J109" s="51"/>
      <c r="K109" s="51"/>
      <c r="L109" s="51"/>
      <c r="M109" s="51"/>
      <c r="N109" s="50"/>
      <c r="O109" s="82"/>
      <c r="P109" s="51"/>
      <c r="Q109" s="82"/>
      <c r="R109" s="50"/>
      <c r="S109" s="68"/>
      <c r="T109" s="82"/>
      <c r="U109" s="51"/>
      <c r="V109" s="51"/>
      <c r="W109" s="178">
        <f t="shared" si="28"/>
        <v>787417.82000000007</v>
      </c>
      <c r="X109" s="141"/>
      <c r="Y109" s="48">
        <v>72451.360000000001</v>
      </c>
      <c r="Z109" s="48"/>
      <c r="AA109" s="48"/>
      <c r="AB109" s="48"/>
      <c r="AC109" s="48">
        <v>71875.61</v>
      </c>
      <c r="AD109" s="48">
        <v>143976.4</v>
      </c>
      <c r="AE109" s="61"/>
      <c r="AF109" s="62">
        <v>367570.14</v>
      </c>
      <c r="AG109" s="62">
        <v>131544.31</v>
      </c>
      <c r="AH109" s="56"/>
      <c r="AI109" s="56"/>
    </row>
    <row r="110" spans="1:35" x14ac:dyDescent="0.3">
      <c r="A110" s="177">
        <f t="shared" si="29"/>
        <v>68</v>
      </c>
      <c r="B110" s="66" t="s">
        <v>465</v>
      </c>
      <c r="C110" s="50">
        <f t="shared" si="26"/>
        <v>772012.68000000017</v>
      </c>
      <c r="D110" s="51">
        <f t="shared" si="27"/>
        <v>0</v>
      </c>
      <c r="E110" s="51"/>
      <c r="F110" s="51"/>
      <c r="G110" s="51"/>
      <c r="H110" s="50"/>
      <c r="I110" s="50"/>
      <c r="J110" s="51"/>
      <c r="K110" s="51"/>
      <c r="L110" s="51"/>
      <c r="M110" s="51"/>
      <c r="N110" s="50"/>
      <c r="O110" s="82"/>
      <c r="P110" s="51"/>
      <c r="Q110" s="82"/>
      <c r="R110" s="50"/>
      <c r="S110" s="68"/>
      <c r="T110" s="82"/>
      <c r="U110" s="51"/>
      <c r="V110" s="51"/>
      <c r="W110" s="178">
        <f t="shared" si="28"/>
        <v>772012.68000000017</v>
      </c>
      <c r="X110" s="141"/>
      <c r="Y110" s="48">
        <v>70733</v>
      </c>
      <c r="Z110" s="48"/>
      <c r="AA110" s="48"/>
      <c r="AB110" s="48"/>
      <c r="AC110" s="48">
        <v>70128.710000000006</v>
      </c>
      <c r="AD110" s="48">
        <v>141282.48000000001</v>
      </c>
      <c r="AE110" s="61"/>
      <c r="AF110" s="62">
        <v>361023.67</v>
      </c>
      <c r="AG110" s="62">
        <v>128844.82</v>
      </c>
      <c r="AH110" s="56"/>
      <c r="AI110" s="56"/>
    </row>
    <row r="111" spans="1:35" x14ac:dyDescent="0.3">
      <c r="A111" s="177">
        <f t="shared" si="29"/>
        <v>69</v>
      </c>
      <c r="B111" s="66" t="s">
        <v>466</v>
      </c>
      <c r="C111" s="50">
        <f t="shared" si="26"/>
        <v>787443.04</v>
      </c>
      <c r="D111" s="51">
        <f t="shared" si="27"/>
        <v>0</v>
      </c>
      <c r="E111" s="51"/>
      <c r="F111" s="51"/>
      <c r="G111" s="51"/>
      <c r="H111" s="50"/>
      <c r="I111" s="50"/>
      <c r="J111" s="51"/>
      <c r="K111" s="51"/>
      <c r="L111" s="51"/>
      <c r="M111" s="51"/>
      <c r="N111" s="50"/>
      <c r="O111" s="82"/>
      <c r="P111" s="51"/>
      <c r="Q111" s="82"/>
      <c r="R111" s="50"/>
      <c r="S111" s="68"/>
      <c r="T111" s="82"/>
      <c r="U111" s="51"/>
      <c r="V111" s="51"/>
      <c r="W111" s="178">
        <f t="shared" si="28"/>
        <v>787443.04</v>
      </c>
      <c r="X111" s="141"/>
      <c r="Y111" s="48">
        <v>72125.41</v>
      </c>
      <c r="Z111" s="48"/>
      <c r="AA111" s="48"/>
      <c r="AB111" s="48"/>
      <c r="AC111" s="48">
        <v>72786.78</v>
      </c>
      <c r="AD111" s="48">
        <v>143826.23999999999</v>
      </c>
      <c r="AE111" s="61"/>
      <c r="AF111" s="62">
        <v>367581.29</v>
      </c>
      <c r="AG111" s="62">
        <v>131123.32</v>
      </c>
      <c r="AH111" s="56"/>
      <c r="AI111" s="56"/>
    </row>
    <row r="112" spans="1:35" x14ac:dyDescent="0.3">
      <c r="A112" s="177">
        <f t="shared" si="29"/>
        <v>70</v>
      </c>
      <c r="B112" s="66" t="s">
        <v>467</v>
      </c>
      <c r="C112" s="50">
        <f t="shared" si="26"/>
        <v>968776.28</v>
      </c>
      <c r="D112" s="51">
        <f t="shared" si="27"/>
        <v>0</v>
      </c>
      <c r="E112" s="51"/>
      <c r="F112" s="51"/>
      <c r="G112" s="51"/>
      <c r="H112" s="50"/>
      <c r="I112" s="50"/>
      <c r="J112" s="51"/>
      <c r="K112" s="51"/>
      <c r="L112" s="51"/>
      <c r="M112" s="51"/>
      <c r="N112" s="50"/>
      <c r="O112" s="82"/>
      <c r="P112" s="51"/>
      <c r="Q112" s="82"/>
      <c r="R112" s="50"/>
      <c r="S112" s="68"/>
      <c r="T112" s="82"/>
      <c r="U112" s="51"/>
      <c r="V112" s="51"/>
      <c r="W112" s="178">
        <f t="shared" si="28"/>
        <v>968776.28</v>
      </c>
      <c r="X112" s="141"/>
      <c r="Y112" s="48">
        <v>92275.8</v>
      </c>
      <c r="Z112" s="48"/>
      <c r="AA112" s="48"/>
      <c r="AB112" s="48"/>
      <c r="AC112" s="48">
        <v>93173.440000000002</v>
      </c>
      <c r="AD112" s="48">
        <v>175583.8</v>
      </c>
      <c r="AE112" s="61"/>
      <c r="AF112" s="62">
        <v>444901.31</v>
      </c>
      <c r="AG112" s="62">
        <v>162841.93</v>
      </c>
      <c r="AH112" s="56"/>
      <c r="AI112" s="56"/>
    </row>
    <row r="113" spans="1:35" x14ac:dyDescent="0.3">
      <c r="A113" s="177">
        <f t="shared" si="29"/>
        <v>71</v>
      </c>
      <c r="B113" s="66" t="s">
        <v>468</v>
      </c>
      <c r="C113" s="50">
        <f t="shared" si="26"/>
        <v>1031861.01</v>
      </c>
      <c r="D113" s="51">
        <f t="shared" si="27"/>
        <v>0</v>
      </c>
      <c r="E113" s="51"/>
      <c r="F113" s="51"/>
      <c r="G113" s="51"/>
      <c r="H113" s="50"/>
      <c r="I113" s="50"/>
      <c r="J113" s="51"/>
      <c r="K113" s="51"/>
      <c r="L113" s="51"/>
      <c r="M113" s="51"/>
      <c r="N113" s="50"/>
      <c r="O113" s="82"/>
      <c r="P113" s="51"/>
      <c r="Q113" s="82"/>
      <c r="R113" s="50"/>
      <c r="S113" s="68"/>
      <c r="T113" s="82"/>
      <c r="U113" s="51"/>
      <c r="V113" s="51"/>
      <c r="W113" s="178">
        <f t="shared" si="28"/>
        <v>1031861.01</v>
      </c>
      <c r="X113" s="141"/>
      <c r="Y113" s="48">
        <v>98521</v>
      </c>
      <c r="Z113" s="48"/>
      <c r="AA113" s="48"/>
      <c r="AB113" s="48"/>
      <c r="AC113" s="48">
        <v>98184.36</v>
      </c>
      <c r="AD113" s="48">
        <v>187165.96</v>
      </c>
      <c r="AE113" s="61"/>
      <c r="AF113" s="62">
        <v>474810.2</v>
      </c>
      <c r="AG113" s="62">
        <v>173179.49</v>
      </c>
      <c r="AH113" s="56"/>
      <c r="AI113" s="56"/>
    </row>
    <row r="114" spans="1:35" x14ac:dyDescent="0.3">
      <c r="A114" s="177">
        <f t="shared" si="29"/>
        <v>72</v>
      </c>
      <c r="B114" s="66" t="s">
        <v>469</v>
      </c>
      <c r="C114" s="50">
        <f t="shared" si="26"/>
        <v>836060.48</v>
      </c>
      <c r="D114" s="51">
        <f t="shared" si="27"/>
        <v>0</v>
      </c>
      <c r="E114" s="51"/>
      <c r="F114" s="51"/>
      <c r="G114" s="51"/>
      <c r="H114" s="50"/>
      <c r="I114" s="50"/>
      <c r="J114" s="51"/>
      <c r="K114" s="51"/>
      <c r="L114" s="51"/>
      <c r="M114" s="51"/>
      <c r="N114" s="50"/>
      <c r="O114" s="82"/>
      <c r="P114" s="51"/>
      <c r="Q114" s="82"/>
      <c r="R114" s="50"/>
      <c r="S114" s="68"/>
      <c r="T114" s="82"/>
      <c r="U114" s="51"/>
      <c r="V114" s="51"/>
      <c r="W114" s="178">
        <f t="shared" si="28"/>
        <v>836060.48</v>
      </c>
      <c r="X114" s="141"/>
      <c r="Y114" s="48">
        <v>77518.36</v>
      </c>
      <c r="Z114" s="48"/>
      <c r="AA114" s="48"/>
      <c r="AB114" s="48"/>
      <c r="AC114" s="48">
        <v>78253.88</v>
      </c>
      <c r="AD114" s="48">
        <v>152342.70000000001</v>
      </c>
      <c r="AE114" s="61"/>
      <c r="AF114" s="62">
        <v>388316.23</v>
      </c>
      <c r="AG114" s="62">
        <v>139629.31</v>
      </c>
      <c r="AH114" s="56"/>
      <c r="AI114" s="56"/>
    </row>
    <row r="115" spans="1:35" x14ac:dyDescent="0.3">
      <c r="A115" s="177">
        <f t="shared" si="29"/>
        <v>73</v>
      </c>
      <c r="B115" s="66" t="s">
        <v>470</v>
      </c>
      <c r="C115" s="50">
        <f t="shared" si="26"/>
        <v>984683.73</v>
      </c>
      <c r="D115" s="51">
        <f t="shared" si="27"/>
        <v>0</v>
      </c>
      <c r="E115" s="51"/>
      <c r="F115" s="51"/>
      <c r="G115" s="51"/>
      <c r="H115" s="50"/>
      <c r="I115" s="50"/>
      <c r="J115" s="51"/>
      <c r="K115" s="51"/>
      <c r="L115" s="51"/>
      <c r="M115" s="51"/>
      <c r="N115" s="50"/>
      <c r="O115" s="82"/>
      <c r="P115" s="51"/>
      <c r="Q115" s="82"/>
      <c r="R115" s="50"/>
      <c r="S115" s="68"/>
      <c r="T115" s="82"/>
      <c r="U115" s="51"/>
      <c r="V115" s="51"/>
      <c r="W115" s="178">
        <f t="shared" si="28"/>
        <v>984683.73</v>
      </c>
      <c r="X115" s="141"/>
      <c r="Y115" s="48">
        <v>94044.44</v>
      </c>
      <c r="Z115" s="48"/>
      <c r="AA115" s="48"/>
      <c r="AB115" s="48"/>
      <c r="AC115" s="48">
        <v>94961.71</v>
      </c>
      <c r="AD115" s="48">
        <v>178369.55</v>
      </c>
      <c r="AE115" s="61"/>
      <c r="AF115" s="62">
        <v>451683.78</v>
      </c>
      <c r="AG115" s="62">
        <v>165624.25</v>
      </c>
      <c r="AH115" s="56"/>
      <c r="AI115" s="56"/>
    </row>
    <row r="116" spans="1:35" x14ac:dyDescent="0.3">
      <c r="A116" s="177">
        <f t="shared" si="29"/>
        <v>74</v>
      </c>
      <c r="B116" s="66" t="s">
        <v>471</v>
      </c>
      <c r="C116" s="50">
        <f t="shared" si="26"/>
        <v>707917.76</v>
      </c>
      <c r="D116" s="51">
        <f t="shared" si="27"/>
        <v>0</v>
      </c>
      <c r="E116" s="51"/>
      <c r="F116" s="51"/>
      <c r="G116" s="51"/>
      <c r="H116" s="50"/>
      <c r="I116" s="50"/>
      <c r="J116" s="51"/>
      <c r="K116" s="51"/>
      <c r="L116" s="51"/>
      <c r="M116" s="51"/>
      <c r="N116" s="50"/>
      <c r="O116" s="82"/>
      <c r="P116" s="51"/>
      <c r="Q116" s="82"/>
      <c r="R116" s="50"/>
      <c r="S116" s="68"/>
      <c r="T116" s="82"/>
      <c r="U116" s="51"/>
      <c r="V116" s="51"/>
      <c r="W116" s="178">
        <f t="shared" si="28"/>
        <v>707917.76</v>
      </c>
      <c r="X116" s="141"/>
      <c r="Y116" s="48">
        <v>63829.19</v>
      </c>
      <c r="Z116" s="48"/>
      <c r="AA116" s="48"/>
      <c r="AB116" s="48"/>
      <c r="AC116" s="48">
        <v>62829.19</v>
      </c>
      <c r="AD116" s="48">
        <v>130025.82</v>
      </c>
      <c r="AE116" s="61"/>
      <c r="AF116" s="62">
        <v>333668.83</v>
      </c>
      <c r="AG116" s="62">
        <v>117564.73</v>
      </c>
      <c r="AH116" s="56"/>
      <c r="AI116" s="56"/>
    </row>
    <row r="117" spans="1:35" x14ac:dyDescent="0.3">
      <c r="A117" s="177">
        <f t="shared" si="29"/>
        <v>75</v>
      </c>
      <c r="B117" s="66" t="s">
        <v>472</v>
      </c>
      <c r="C117" s="50">
        <f t="shared" si="26"/>
        <v>1423242.4899999998</v>
      </c>
      <c r="D117" s="51">
        <f t="shared" si="27"/>
        <v>0</v>
      </c>
      <c r="E117" s="51"/>
      <c r="F117" s="51"/>
      <c r="G117" s="51"/>
      <c r="H117" s="50"/>
      <c r="I117" s="50"/>
      <c r="J117" s="51"/>
      <c r="K117" s="51"/>
      <c r="L117" s="51"/>
      <c r="M117" s="51"/>
      <c r="N117" s="50"/>
      <c r="O117" s="82"/>
      <c r="P117" s="50"/>
      <c r="Q117" s="82"/>
      <c r="R117" s="51"/>
      <c r="S117" s="82"/>
      <c r="T117" s="82"/>
      <c r="U117" s="51"/>
      <c r="V117" s="51"/>
      <c r="W117" s="178">
        <f t="shared" si="28"/>
        <v>1423242.4899999998</v>
      </c>
      <c r="X117" s="141"/>
      <c r="Y117" s="48">
        <v>113725.54</v>
      </c>
      <c r="Z117" s="48">
        <v>141201.1</v>
      </c>
      <c r="AA117" s="48"/>
      <c r="AB117" s="48">
        <v>117301.66</v>
      </c>
      <c r="AC117" s="48">
        <v>115246.18</v>
      </c>
      <c r="AD117" s="48">
        <v>209967.91</v>
      </c>
      <c r="AE117" s="61"/>
      <c r="AF117" s="62">
        <v>528616.24</v>
      </c>
      <c r="AG117" s="62">
        <v>197183.86</v>
      </c>
      <c r="AH117" s="56"/>
      <c r="AI117" s="56"/>
    </row>
    <row r="118" spans="1:35" x14ac:dyDescent="0.3">
      <c r="A118" s="177">
        <f t="shared" si="29"/>
        <v>76</v>
      </c>
      <c r="B118" s="66" t="s">
        <v>473</v>
      </c>
      <c r="C118" s="50">
        <f t="shared" si="26"/>
        <v>1419710.04</v>
      </c>
      <c r="D118" s="51">
        <f t="shared" si="27"/>
        <v>0</v>
      </c>
      <c r="E118" s="51"/>
      <c r="F118" s="51"/>
      <c r="G118" s="51"/>
      <c r="H118" s="50"/>
      <c r="I118" s="50"/>
      <c r="J118" s="51"/>
      <c r="K118" s="51"/>
      <c r="L118" s="51"/>
      <c r="M118" s="51"/>
      <c r="N118" s="50"/>
      <c r="O118" s="82"/>
      <c r="P118" s="50"/>
      <c r="Q118" s="82"/>
      <c r="R118" s="51"/>
      <c r="S118" s="82"/>
      <c r="T118" s="82"/>
      <c r="U118" s="51"/>
      <c r="V118" s="51"/>
      <c r="W118" s="178">
        <f t="shared" si="28"/>
        <v>1419710.04</v>
      </c>
      <c r="X118" s="141"/>
      <c r="Y118" s="48">
        <v>113747.95</v>
      </c>
      <c r="Z118" s="48">
        <v>140831.66</v>
      </c>
      <c r="AA118" s="48"/>
      <c r="AB118" s="48">
        <v>116944</v>
      </c>
      <c r="AC118" s="48">
        <v>114888.52</v>
      </c>
      <c r="AD118" s="48">
        <v>209410.78</v>
      </c>
      <c r="AE118" s="61"/>
      <c r="AF118" s="62">
        <v>527259.73</v>
      </c>
      <c r="AG118" s="62">
        <v>196627.4</v>
      </c>
      <c r="AH118" s="56"/>
      <c r="AI118" s="56"/>
    </row>
    <row r="119" spans="1:35" x14ac:dyDescent="0.3">
      <c r="A119" s="177">
        <f t="shared" si="29"/>
        <v>77</v>
      </c>
      <c r="B119" s="66" t="s">
        <v>474</v>
      </c>
      <c r="C119" s="50">
        <f t="shared" si="26"/>
        <v>783568.4</v>
      </c>
      <c r="D119" s="51">
        <f t="shared" si="27"/>
        <v>0</v>
      </c>
      <c r="E119" s="51"/>
      <c r="F119" s="51"/>
      <c r="G119" s="51"/>
      <c r="H119" s="50"/>
      <c r="I119" s="50"/>
      <c r="J119" s="51"/>
      <c r="K119" s="51"/>
      <c r="L119" s="51"/>
      <c r="M119" s="51"/>
      <c r="N119" s="50"/>
      <c r="O119" s="82"/>
      <c r="P119" s="51"/>
      <c r="Q119" s="82"/>
      <c r="R119" s="50"/>
      <c r="S119" s="68"/>
      <c r="T119" s="82"/>
      <c r="U119" s="51"/>
      <c r="V119" s="51"/>
      <c r="W119" s="178">
        <f t="shared" si="28"/>
        <v>783568.4</v>
      </c>
      <c r="X119" s="141"/>
      <c r="Y119" s="48">
        <v>72023.64</v>
      </c>
      <c r="Z119" s="48"/>
      <c r="AA119" s="48"/>
      <c r="AB119" s="48"/>
      <c r="AC119" s="48">
        <v>71438.880000000005</v>
      </c>
      <c r="AD119" s="48">
        <v>143302.91</v>
      </c>
      <c r="AE119" s="61"/>
      <c r="AF119" s="62">
        <v>365933.51</v>
      </c>
      <c r="AG119" s="62">
        <v>130869.46</v>
      </c>
      <c r="AH119" s="56"/>
      <c r="AI119" s="56"/>
    </row>
    <row r="120" spans="1:35" x14ac:dyDescent="0.3">
      <c r="A120" s="177">
        <f t="shared" si="29"/>
        <v>78</v>
      </c>
      <c r="B120" s="66" t="s">
        <v>475</v>
      </c>
      <c r="C120" s="50">
        <f t="shared" si="26"/>
        <v>782428.56</v>
      </c>
      <c r="D120" s="51">
        <f t="shared" si="27"/>
        <v>0</v>
      </c>
      <c r="E120" s="51"/>
      <c r="F120" s="51"/>
      <c r="G120" s="51"/>
      <c r="H120" s="50"/>
      <c r="I120" s="50"/>
      <c r="J120" s="51"/>
      <c r="K120" s="51"/>
      <c r="L120" s="51"/>
      <c r="M120" s="51"/>
      <c r="N120" s="50"/>
      <c r="O120" s="82"/>
      <c r="P120" s="51"/>
      <c r="Q120" s="82"/>
      <c r="R120" s="50"/>
      <c r="S120" s="68"/>
      <c r="T120" s="82"/>
      <c r="U120" s="51"/>
      <c r="V120" s="51"/>
      <c r="W120" s="178">
        <f t="shared" si="28"/>
        <v>782428.56</v>
      </c>
      <c r="X120" s="141"/>
      <c r="Y120" s="48">
        <v>71554.570000000007</v>
      </c>
      <c r="Z120" s="48"/>
      <c r="AA120" s="48"/>
      <c r="AB120" s="48"/>
      <c r="AC120" s="48">
        <v>72224.740000000005</v>
      </c>
      <c r="AD120" s="48">
        <v>142950.73000000001</v>
      </c>
      <c r="AE120" s="61"/>
      <c r="AF120" s="62">
        <v>365449.64</v>
      </c>
      <c r="AG120" s="62">
        <v>130248.88</v>
      </c>
      <c r="AH120" s="56"/>
      <c r="AI120" s="56"/>
    </row>
    <row r="121" spans="1:35" x14ac:dyDescent="0.3">
      <c r="A121" s="177">
        <f t="shared" si="29"/>
        <v>79</v>
      </c>
      <c r="B121" s="66" t="s">
        <v>476</v>
      </c>
      <c r="C121" s="50">
        <f t="shared" si="26"/>
        <v>593201.56999999995</v>
      </c>
      <c r="D121" s="51">
        <f t="shared" si="27"/>
        <v>0</v>
      </c>
      <c r="E121" s="51"/>
      <c r="F121" s="51"/>
      <c r="G121" s="51"/>
      <c r="H121" s="50"/>
      <c r="I121" s="50"/>
      <c r="J121" s="51"/>
      <c r="K121" s="51"/>
      <c r="L121" s="51"/>
      <c r="M121" s="51"/>
      <c r="N121" s="50"/>
      <c r="O121" s="82"/>
      <c r="P121" s="51"/>
      <c r="Q121" s="82"/>
      <c r="R121" s="50"/>
      <c r="S121" s="68"/>
      <c r="T121" s="82"/>
      <c r="U121" s="51"/>
      <c r="V121" s="51"/>
      <c r="W121" s="178">
        <f t="shared" si="28"/>
        <v>593201.56999999995</v>
      </c>
      <c r="X121" s="141"/>
      <c r="Y121" s="48">
        <v>50786.06</v>
      </c>
      <c r="Z121" s="48"/>
      <c r="AA121" s="48"/>
      <c r="AB121" s="48"/>
      <c r="AC121" s="48">
        <v>49852.28</v>
      </c>
      <c r="AD121" s="48">
        <v>110013.97</v>
      </c>
      <c r="AE121" s="61"/>
      <c r="AF121" s="62">
        <v>285038</v>
      </c>
      <c r="AG121" s="62">
        <v>97511.26</v>
      </c>
      <c r="AH121" s="56"/>
      <c r="AI121" s="56"/>
    </row>
    <row r="122" spans="1:35" x14ac:dyDescent="0.3">
      <c r="A122" s="177">
        <f t="shared" si="29"/>
        <v>80</v>
      </c>
      <c r="B122" s="66" t="s">
        <v>477</v>
      </c>
      <c r="C122" s="50">
        <f t="shared" si="26"/>
        <v>971951.57</v>
      </c>
      <c r="D122" s="51">
        <f t="shared" si="27"/>
        <v>0</v>
      </c>
      <c r="E122" s="51"/>
      <c r="F122" s="51"/>
      <c r="G122" s="51"/>
      <c r="H122" s="50"/>
      <c r="I122" s="50"/>
      <c r="J122" s="51"/>
      <c r="K122" s="51"/>
      <c r="L122" s="51"/>
      <c r="M122" s="51"/>
      <c r="N122" s="50"/>
      <c r="O122" s="82"/>
      <c r="P122" s="51"/>
      <c r="Q122" s="82"/>
      <c r="R122" s="50"/>
      <c r="S122" s="68"/>
      <c r="T122" s="82"/>
      <c r="U122" s="51"/>
      <c r="V122" s="51"/>
      <c r="W122" s="178">
        <f t="shared" si="28"/>
        <v>971951.57</v>
      </c>
      <c r="X122" s="141"/>
      <c r="Y122" s="48">
        <v>92623.360000000001</v>
      </c>
      <c r="Z122" s="48"/>
      <c r="AA122" s="48"/>
      <c r="AB122" s="48"/>
      <c r="AC122" s="48">
        <v>93531.08</v>
      </c>
      <c r="AD122" s="48">
        <v>176140.94</v>
      </c>
      <c r="AE122" s="61"/>
      <c r="AF122" s="62">
        <v>446257.81</v>
      </c>
      <c r="AG122" s="62">
        <v>163398.38</v>
      </c>
      <c r="AH122" s="56"/>
      <c r="AI122" s="56"/>
    </row>
    <row r="123" spans="1:35" x14ac:dyDescent="0.3">
      <c r="A123" s="177">
        <f t="shared" si="29"/>
        <v>81</v>
      </c>
      <c r="B123" s="66" t="s">
        <v>478</v>
      </c>
      <c r="C123" s="50">
        <f t="shared" si="26"/>
        <v>3105548.4299999997</v>
      </c>
      <c r="D123" s="51">
        <f t="shared" si="27"/>
        <v>0</v>
      </c>
      <c r="E123" s="51"/>
      <c r="F123" s="51"/>
      <c r="G123" s="51"/>
      <c r="H123" s="50"/>
      <c r="I123" s="50"/>
      <c r="J123" s="51"/>
      <c r="K123" s="51"/>
      <c r="L123" s="51"/>
      <c r="M123" s="51"/>
      <c r="N123" s="50"/>
      <c r="O123" s="82"/>
      <c r="P123" s="51"/>
      <c r="Q123" s="82"/>
      <c r="R123" s="50"/>
      <c r="S123" s="68"/>
      <c r="T123" s="82"/>
      <c r="U123" s="51"/>
      <c r="V123" s="51"/>
      <c r="W123" s="178">
        <f t="shared" si="28"/>
        <v>3105548.4299999997</v>
      </c>
      <c r="X123" s="141"/>
      <c r="Y123" s="48">
        <v>220023.46</v>
      </c>
      <c r="Z123" s="48">
        <v>279867.90000000002</v>
      </c>
      <c r="AA123" s="48"/>
      <c r="AB123" s="48">
        <v>222865.96</v>
      </c>
      <c r="AC123" s="48">
        <v>213616.34</v>
      </c>
      <c r="AD123" s="48">
        <v>397072.88</v>
      </c>
      <c r="AE123" s="61">
        <v>137936.76999999999</v>
      </c>
      <c r="AF123" s="62">
        <v>1246763.74</v>
      </c>
      <c r="AG123" s="62">
        <v>387401.38</v>
      </c>
      <c r="AH123" s="56"/>
      <c r="AI123" s="56"/>
    </row>
    <row r="124" spans="1:35" x14ac:dyDescent="0.3">
      <c r="A124" s="177"/>
      <c r="B124" s="131" t="s">
        <v>211</v>
      </c>
      <c r="C124" s="50">
        <f>SUM(C107:C123)</f>
        <v>17938547.640000001</v>
      </c>
      <c r="D124" s="50">
        <f t="shared" ref="D124:W124" si="30">SUM(D107:D123)</f>
        <v>0</v>
      </c>
      <c r="E124" s="50">
        <f t="shared" si="30"/>
        <v>0</v>
      </c>
      <c r="F124" s="50">
        <f t="shared" si="30"/>
        <v>0</v>
      </c>
      <c r="G124" s="50">
        <f t="shared" si="30"/>
        <v>0</v>
      </c>
      <c r="H124" s="50">
        <f t="shared" si="30"/>
        <v>0</v>
      </c>
      <c r="I124" s="50">
        <f t="shared" si="30"/>
        <v>0</v>
      </c>
      <c r="J124" s="50">
        <f t="shared" si="30"/>
        <v>0</v>
      </c>
      <c r="K124" s="50">
        <f t="shared" si="30"/>
        <v>0</v>
      </c>
      <c r="L124" s="50">
        <f t="shared" si="30"/>
        <v>0</v>
      </c>
      <c r="M124" s="50">
        <f t="shared" si="30"/>
        <v>0</v>
      </c>
      <c r="N124" s="50">
        <f t="shared" si="30"/>
        <v>0</v>
      </c>
      <c r="O124" s="68">
        <f t="shared" si="30"/>
        <v>0</v>
      </c>
      <c r="P124" s="50">
        <f t="shared" si="30"/>
        <v>0</v>
      </c>
      <c r="Q124" s="68">
        <f t="shared" si="30"/>
        <v>0</v>
      </c>
      <c r="R124" s="50">
        <f t="shared" si="30"/>
        <v>0</v>
      </c>
      <c r="S124" s="68">
        <f t="shared" si="30"/>
        <v>0</v>
      </c>
      <c r="T124" s="68">
        <f t="shared" si="30"/>
        <v>0</v>
      </c>
      <c r="U124" s="50">
        <f t="shared" si="30"/>
        <v>0</v>
      </c>
      <c r="V124" s="50">
        <f t="shared" si="30"/>
        <v>0</v>
      </c>
      <c r="W124" s="34">
        <f t="shared" si="30"/>
        <v>17938547.640000001</v>
      </c>
      <c r="X124" s="141"/>
      <c r="Y124" s="48"/>
      <c r="Z124" s="48"/>
      <c r="AA124" s="48"/>
      <c r="AB124" s="48"/>
      <c r="AC124" s="48"/>
      <c r="AD124" s="48"/>
      <c r="AE124" s="61"/>
      <c r="AF124" s="62"/>
      <c r="AG124" s="62"/>
      <c r="AH124" s="56"/>
      <c r="AI124" s="56"/>
    </row>
    <row r="125" spans="1:35" ht="31.2" x14ac:dyDescent="0.3">
      <c r="A125" s="177"/>
      <c r="B125" s="66" t="s">
        <v>483</v>
      </c>
      <c r="C125" s="50"/>
      <c r="D125" s="51"/>
      <c r="E125" s="51"/>
      <c r="F125" s="50"/>
      <c r="G125" s="50"/>
      <c r="H125" s="50"/>
      <c r="I125" s="50"/>
      <c r="J125" s="51"/>
      <c r="K125" s="51"/>
      <c r="L125" s="51"/>
      <c r="M125" s="51"/>
      <c r="N125" s="50"/>
      <c r="O125" s="82"/>
      <c r="P125" s="50"/>
      <c r="Q125" s="82"/>
      <c r="R125" s="50"/>
      <c r="S125" s="68"/>
      <c r="T125" s="82"/>
      <c r="U125" s="51"/>
      <c r="V125" s="51"/>
      <c r="W125" s="178"/>
      <c r="X125" s="141"/>
      <c r="Y125" s="48"/>
      <c r="Z125" s="48"/>
      <c r="AA125" s="48"/>
      <c r="AB125" s="48"/>
      <c r="AC125" s="48"/>
      <c r="AD125" s="48"/>
      <c r="AE125" s="61"/>
      <c r="AF125" s="62"/>
      <c r="AG125" s="62"/>
      <c r="AH125" s="56"/>
      <c r="AI125" s="56"/>
    </row>
    <row r="126" spans="1:35" x14ac:dyDescent="0.3">
      <c r="A126" s="177">
        <f>A123+1</f>
        <v>82</v>
      </c>
      <c r="B126" s="66" t="s">
        <v>484</v>
      </c>
      <c r="C126" s="50">
        <f t="shared" ref="C126:C131" si="31">D126+K126+L126+N126+P126+R126+S126+U126+V126+W126</f>
        <v>130000</v>
      </c>
      <c r="D126" s="51">
        <f t="shared" ref="D126:D131" si="32">E126+F126+G126+H126+I126</f>
        <v>0</v>
      </c>
      <c r="E126" s="51"/>
      <c r="F126" s="51"/>
      <c r="G126" s="51"/>
      <c r="H126" s="50"/>
      <c r="I126" s="50"/>
      <c r="J126" s="51"/>
      <c r="K126" s="51"/>
      <c r="L126" s="51"/>
      <c r="M126" s="51"/>
      <c r="N126" s="50"/>
      <c r="O126" s="82"/>
      <c r="P126" s="51"/>
      <c r="Q126" s="82"/>
      <c r="R126" s="50"/>
      <c r="S126" s="68"/>
      <c r="T126" s="82"/>
      <c r="U126" s="51"/>
      <c r="V126" s="51"/>
      <c r="W126" s="178">
        <v>130000</v>
      </c>
      <c r="X126" s="141"/>
      <c r="Y126" s="48"/>
      <c r="Z126" s="48"/>
      <c r="AA126" s="48"/>
      <c r="AB126" s="48"/>
      <c r="AC126" s="48"/>
      <c r="AD126" s="48"/>
      <c r="AE126" s="61"/>
      <c r="AF126" s="62"/>
      <c r="AG126" s="62"/>
      <c r="AH126" s="56"/>
      <c r="AI126" s="56"/>
    </row>
    <row r="127" spans="1:35" x14ac:dyDescent="0.3">
      <c r="A127" s="177">
        <f t="shared" ref="A127:A131" si="33">A126+1</f>
        <v>83</v>
      </c>
      <c r="B127" s="66" t="s">
        <v>485</v>
      </c>
      <c r="C127" s="50">
        <f t="shared" si="31"/>
        <v>214485.28</v>
      </c>
      <c r="D127" s="51">
        <f t="shared" si="32"/>
        <v>0</v>
      </c>
      <c r="E127" s="51"/>
      <c r="F127" s="51"/>
      <c r="G127" s="51"/>
      <c r="H127" s="50"/>
      <c r="I127" s="50"/>
      <c r="J127" s="51"/>
      <c r="K127" s="51"/>
      <c r="L127" s="51"/>
      <c r="M127" s="51"/>
      <c r="N127" s="50"/>
      <c r="O127" s="82"/>
      <c r="P127" s="51"/>
      <c r="Q127" s="82"/>
      <c r="R127" s="50"/>
      <c r="S127" s="68"/>
      <c r="T127" s="82"/>
      <c r="U127" s="51"/>
      <c r="V127" s="51"/>
      <c r="W127" s="178">
        <f t="shared" si="28"/>
        <v>214485.28</v>
      </c>
      <c r="X127" s="141"/>
      <c r="Y127" s="48"/>
      <c r="Z127" s="48"/>
      <c r="AA127" s="48"/>
      <c r="AB127" s="48"/>
      <c r="AC127" s="48"/>
      <c r="AD127" s="48">
        <v>214485.28</v>
      </c>
      <c r="AE127" s="61"/>
      <c r="AF127" s="62"/>
      <c r="AG127" s="62"/>
      <c r="AH127" s="56"/>
      <c r="AI127" s="56"/>
    </row>
    <row r="128" spans="1:35" x14ac:dyDescent="0.3">
      <c r="A128" s="177">
        <f t="shared" si="33"/>
        <v>84</v>
      </c>
      <c r="B128" s="66" t="s">
        <v>486</v>
      </c>
      <c r="C128" s="50">
        <f t="shared" si="31"/>
        <v>207854.35</v>
      </c>
      <c r="D128" s="51">
        <f t="shared" si="32"/>
        <v>0</v>
      </c>
      <c r="E128" s="51"/>
      <c r="F128" s="51"/>
      <c r="G128" s="51"/>
      <c r="H128" s="50"/>
      <c r="I128" s="50"/>
      <c r="J128" s="51"/>
      <c r="K128" s="51"/>
      <c r="L128" s="51"/>
      <c r="M128" s="51"/>
      <c r="N128" s="50"/>
      <c r="O128" s="82"/>
      <c r="P128" s="51"/>
      <c r="Q128" s="82"/>
      <c r="R128" s="50"/>
      <c r="S128" s="68"/>
      <c r="T128" s="82"/>
      <c r="U128" s="51"/>
      <c r="V128" s="51"/>
      <c r="W128" s="178">
        <f t="shared" si="28"/>
        <v>207854.35</v>
      </c>
      <c r="X128" s="141"/>
      <c r="Y128" s="48"/>
      <c r="Z128" s="48"/>
      <c r="AA128" s="48"/>
      <c r="AB128" s="48"/>
      <c r="AC128" s="48"/>
      <c r="AD128" s="48">
        <v>207854.35</v>
      </c>
      <c r="AE128" s="61"/>
      <c r="AF128" s="62"/>
      <c r="AG128" s="62"/>
      <c r="AH128" s="56"/>
      <c r="AI128" s="56"/>
    </row>
    <row r="129" spans="1:35" x14ac:dyDescent="0.3">
      <c r="A129" s="177">
        <f t="shared" si="33"/>
        <v>85</v>
      </c>
      <c r="B129" s="66" t="s">
        <v>487</v>
      </c>
      <c r="C129" s="50">
        <f t="shared" si="31"/>
        <v>180438.29</v>
      </c>
      <c r="D129" s="51">
        <f t="shared" si="32"/>
        <v>0</v>
      </c>
      <c r="E129" s="51"/>
      <c r="F129" s="51"/>
      <c r="G129" s="51"/>
      <c r="H129" s="50"/>
      <c r="I129" s="50"/>
      <c r="J129" s="51"/>
      <c r="K129" s="51"/>
      <c r="L129" s="51"/>
      <c r="M129" s="51"/>
      <c r="N129" s="50"/>
      <c r="O129" s="82"/>
      <c r="P129" s="51"/>
      <c r="Q129" s="82"/>
      <c r="R129" s="50"/>
      <c r="S129" s="68"/>
      <c r="T129" s="82"/>
      <c r="U129" s="51"/>
      <c r="V129" s="51"/>
      <c r="W129" s="178">
        <f t="shared" si="28"/>
        <v>180438.29</v>
      </c>
      <c r="X129" s="141"/>
      <c r="Y129" s="48"/>
      <c r="Z129" s="48"/>
      <c r="AA129" s="48"/>
      <c r="AB129" s="48"/>
      <c r="AC129" s="48"/>
      <c r="AD129" s="48">
        <v>180438.29</v>
      </c>
      <c r="AE129" s="61"/>
      <c r="AF129" s="62"/>
      <c r="AG129" s="62"/>
      <c r="AH129" s="56"/>
      <c r="AI129" s="56"/>
    </row>
    <row r="130" spans="1:35" x14ac:dyDescent="0.3">
      <c r="A130" s="177">
        <f t="shared" si="33"/>
        <v>86</v>
      </c>
      <c r="B130" s="66" t="s">
        <v>488</v>
      </c>
      <c r="C130" s="50">
        <f t="shared" si="31"/>
        <v>187714.45</v>
      </c>
      <c r="D130" s="51">
        <f t="shared" si="32"/>
        <v>0</v>
      </c>
      <c r="E130" s="51"/>
      <c r="F130" s="51"/>
      <c r="G130" s="51"/>
      <c r="H130" s="50"/>
      <c r="I130" s="50"/>
      <c r="J130" s="51"/>
      <c r="K130" s="51"/>
      <c r="L130" s="51"/>
      <c r="M130" s="51"/>
      <c r="N130" s="50"/>
      <c r="O130" s="82"/>
      <c r="P130" s="51"/>
      <c r="Q130" s="82"/>
      <c r="R130" s="50"/>
      <c r="S130" s="68"/>
      <c r="T130" s="82"/>
      <c r="U130" s="51"/>
      <c r="V130" s="51"/>
      <c r="W130" s="178">
        <f t="shared" si="28"/>
        <v>187714.45</v>
      </c>
      <c r="X130" s="141"/>
      <c r="Y130" s="48"/>
      <c r="Z130" s="48"/>
      <c r="AA130" s="48"/>
      <c r="AB130" s="48"/>
      <c r="AC130" s="48"/>
      <c r="AD130" s="48">
        <v>187714.45</v>
      </c>
      <c r="AE130" s="61"/>
      <c r="AF130" s="62"/>
      <c r="AG130" s="62"/>
      <c r="AH130" s="56"/>
      <c r="AI130" s="56"/>
    </row>
    <row r="131" spans="1:35" x14ac:dyDescent="0.3">
      <c r="A131" s="177">
        <f t="shared" si="33"/>
        <v>87</v>
      </c>
      <c r="B131" s="66" t="s">
        <v>489</v>
      </c>
      <c r="C131" s="50">
        <f t="shared" si="31"/>
        <v>694129.84000000008</v>
      </c>
      <c r="D131" s="51">
        <f t="shared" si="32"/>
        <v>0</v>
      </c>
      <c r="E131" s="51"/>
      <c r="F131" s="51"/>
      <c r="G131" s="51"/>
      <c r="H131" s="50"/>
      <c r="I131" s="50"/>
      <c r="J131" s="51"/>
      <c r="K131" s="51"/>
      <c r="L131" s="51"/>
      <c r="M131" s="51"/>
      <c r="N131" s="50"/>
      <c r="O131" s="82"/>
      <c r="P131" s="51"/>
      <c r="Q131" s="82"/>
      <c r="R131" s="50"/>
      <c r="S131" s="68"/>
      <c r="T131" s="82"/>
      <c r="U131" s="51"/>
      <c r="V131" s="51"/>
      <c r="W131" s="178">
        <f t="shared" si="28"/>
        <v>694129.84000000008</v>
      </c>
      <c r="X131" s="141"/>
      <c r="Y131" s="48"/>
      <c r="Z131" s="48"/>
      <c r="AA131" s="48"/>
      <c r="AB131" s="48"/>
      <c r="AC131" s="48"/>
      <c r="AD131" s="48"/>
      <c r="AE131" s="61">
        <v>174133.38</v>
      </c>
      <c r="AF131" s="62">
        <v>519996.46</v>
      </c>
      <c r="AG131" s="62"/>
      <c r="AH131" s="56"/>
      <c r="AI131" s="56"/>
    </row>
    <row r="132" spans="1:35" x14ac:dyDescent="0.3">
      <c r="A132" s="177"/>
      <c r="B132" s="131" t="s">
        <v>211</v>
      </c>
      <c r="C132" s="50">
        <f>SUM(C126:C131)</f>
        <v>1614622.2100000002</v>
      </c>
      <c r="D132" s="50">
        <f t="shared" ref="D132:W132" si="34">SUM(D126:D131)</f>
        <v>0</v>
      </c>
      <c r="E132" s="50">
        <f t="shared" si="34"/>
        <v>0</v>
      </c>
      <c r="F132" s="50">
        <f t="shared" si="34"/>
        <v>0</v>
      </c>
      <c r="G132" s="50">
        <f t="shared" si="34"/>
        <v>0</v>
      </c>
      <c r="H132" s="50">
        <f t="shared" si="34"/>
        <v>0</v>
      </c>
      <c r="I132" s="50">
        <f t="shared" si="34"/>
        <v>0</v>
      </c>
      <c r="J132" s="50">
        <f t="shared" si="34"/>
        <v>0</v>
      </c>
      <c r="K132" s="50">
        <f t="shared" si="34"/>
        <v>0</v>
      </c>
      <c r="L132" s="50">
        <f t="shared" si="34"/>
        <v>0</v>
      </c>
      <c r="M132" s="50">
        <f t="shared" si="34"/>
        <v>0</v>
      </c>
      <c r="N132" s="50">
        <f t="shared" si="34"/>
        <v>0</v>
      </c>
      <c r="O132" s="68">
        <f t="shared" si="34"/>
        <v>0</v>
      </c>
      <c r="P132" s="50">
        <f t="shared" si="34"/>
        <v>0</v>
      </c>
      <c r="Q132" s="68">
        <f t="shared" si="34"/>
        <v>0</v>
      </c>
      <c r="R132" s="50">
        <f t="shared" si="34"/>
        <v>0</v>
      </c>
      <c r="S132" s="68">
        <f t="shared" si="34"/>
        <v>0</v>
      </c>
      <c r="T132" s="68">
        <f t="shared" si="34"/>
        <v>0</v>
      </c>
      <c r="U132" s="50">
        <f t="shared" si="34"/>
        <v>0</v>
      </c>
      <c r="V132" s="50">
        <f t="shared" si="34"/>
        <v>0</v>
      </c>
      <c r="W132" s="34">
        <f t="shared" si="34"/>
        <v>1614622.2100000002</v>
      </c>
      <c r="X132" s="141"/>
      <c r="Y132" s="48"/>
      <c r="Z132" s="48"/>
      <c r="AA132" s="48"/>
      <c r="AB132" s="48"/>
      <c r="AC132" s="48"/>
      <c r="AD132" s="48"/>
      <c r="AE132" s="61"/>
      <c r="AF132" s="62"/>
      <c r="AG132" s="62"/>
      <c r="AH132" s="56"/>
      <c r="AI132" s="56"/>
    </row>
    <row r="133" spans="1:35" ht="31.2" x14ac:dyDescent="0.3">
      <c r="A133" s="177"/>
      <c r="B133" s="66" t="s">
        <v>495</v>
      </c>
      <c r="C133" s="50"/>
      <c r="D133" s="51"/>
      <c r="E133" s="51"/>
      <c r="F133" s="51"/>
      <c r="G133" s="51"/>
      <c r="H133" s="50"/>
      <c r="I133" s="50"/>
      <c r="J133" s="51"/>
      <c r="K133" s="51"/>
      <c r="L133" s="51"/>
      <c r="M133" s="51"/>
      <c r="N133" s="50"/>
      <c r="O133" s="82"/>
      <c r="P133" s="51"/>
      <c r="Q133" s="82"/>
      <c r="R133" s="50"/>
      <c r="S133" s="68"/>
      <c r="T133" s="82"/>
      <c r="U133" s="51"/>
      <c r="V133" s="51"/>
      <c r="W133" s="178"/>
      <c r="X133" s="141"/>
      <c r="Y133" s="48"/>
      <c r="Z133" s="48"/>
      <c r="AA133" s="48"/>
      <c r="AB133" s="48"/>
      <c r="AC133" s="48"/>
      <c r="AD133" s="48"/>
      <c r="AE133" s="61"/>
      <c r="AF133" s="62"/>
      <c r="AG133" s="62"/>
      <c r="AH133" s="56"/>
      <c r="AI133" s="56"/>
    </row>
    <row r="134" spans="1:35" x14ac:dyDescent="0.3">
      <c r="A134" s="177">
        <f>A131+1</f>
        <v>88</v>
      </c>
      <c r="B134" s="66" t="s">
        <v>496</v>
      </c>
      <c r="C134" s="50">
        <f>D134+K134+L134+N134+P134+R134+S134+U134+V134+W134</f>
        <v>168990.64</v>
      </c>
      <c r="D134" s="51">
        <f>E134+F134+G134+H134+I134</f>
        <v>0</v>
      </c>
      <c r="E134" s="51"/>
      <c r="F134" s="51"/>
      <c r="G134" s="51"/>
      <c r="H134" s="50"/>
      <c r="I134" s="50"/>
      <c r="J134" s="51"/>
      <c r="K134" s="51"/>
      <c r="L134" s="51"/>
      <c r="M134" s="51"/>
      <c r="N134" s="50"/>
      <c r="O134" s="82"/>
      <c r="P134" s="51"/>
      <c r="Q134" s="82"/>
      <c r="R134" s="50"/>
      <c r="S134" s="68"/>
      <c r="T134" s="82"/>
      <c r="U134" s="51"/>
      <c r="V134" s="51"/>
      <c r="W134" s="178">
        <f t="shared" si="28"/>
        <v>168990.64</v>
      </c>
      <c r="X134" s="141"/>
      <c r="Y134" s="48">
        <v>54839.58</v>
      </c>
      <c r="Z134" s="48"/>
      <c r="AA134" s="48"/>
      <c r="AB134" s="48"/>
      <c r="AC134" s="48"/>
      <c r="AD134" s="48">
        <v>114151.06</v>
      </c>
      <c r="AE134" s="61"/>
      <c r="AF134" s="62"/>
      <c r="AG134" s="62"/>
      <c r="AH134" s="56"/>
      <c r="AI134" s="56"/>
    </row>
    <row r="135" spans="1:35" x14ac:dyDescent="0.3">
      <c r="A135" s="177"/>
      <c r="B135" s="131" t="s">
        <v>211</v>
      </c>
      <c r="C135" s="50">
        <f t="shared" ref="C135:W135" si="35">C134</f>
        <v>168990.64</v>
      </c>
      <c r="D135" s="50">
        <f t="shared" si="35"/>
        <v>0</v>
      </c>
      <c r="E135" s="50">
        <f t="shared" si="35"/>
        <v>0</v>
      </c>
      <c r="F135" s="50">
        <f t="shared" si="35"/>
        <v>0</v>
      </c>
      <c r="G135" s="50">
        <f t="shared" si="35"/>
        <v>0</v>
      </c>
      <c r="H135" s="50">
        <f t="shared" si="35"/>
        <v>0</v>
      </c>
      <c r="I135" s="50">
        <f t="shared" si="35"/>
        <v>0</v>
      </c>
      <c r="J135" s="50">
        <f t="shared" si="35"/>
        <v>0</v>
      </c>
      <c r="K135" s="50">
        <f t="shared" si="35"/>
        <v>0</v>
      </c>
      <c r="L135" s="50">
        <f t="shared" si="35"/>
        <v>0</v>
      </c>
      <c r="M135" s="50">
        <f t="shared" si="35"/>
        <v>0</v>
      </c>
      <c r="N135" s="50">
        <f t="shared" si="35"/>
        <v>0</v>
      </c>
      <c r="O135" s="68">
        <f t="shared" si="35"/>
        <v>0</v>
      </c>
      <c r="P135" s="50">
        <f t="shared" si="35"/>
        <v>0</v>
      </c>
      <c r="Q135" s="68">
        <f t="shared" si="35"/>
        <v>0</v>
      </c>
      <c r="R135" s="50">
        <f t="shared" si="35"/>
        <v>0</v>
      </c>
      <c r="S135" s="68">
        <f t="shared" si="35"/>
        <v>0</v>
      </c>
      <c r="T135" s="68">
        <f t="shared" si="35"/>
        <v>0</v>
      </c>
      <c r="U135" s="50">
        <f t="shared" si="35"/>
        <v>0</v>
      </c>
      <c r="V135" s="50">
        <f t="shared" si="35"/>
        <v>0</v>
      </c>
      <c r="W135" s="34">
        <f t="shared" si="35"/>
        <v>168990.64</v>
      </c>
      <c r="X135" s="141"/>
      <c r="Y135" s="48"/>
      <c r="Z135" s="48"/>
      <c r="AA135" s="48"/>
      <c r="AB135" s="48"/>
      <c r="AC135" s="48"/>
      <c r="AD135" s="48"/>
      <c r="AE135" s="61"/>
      <c r="AF135" s="62"/>
      <c r="AG135" s="62"/>
      <c r="AH135" s="56"/>
      <c r="AI135" s="56"/>
    </row>
    <row r="136" spans="1:35" ht="31.2" x14ac:dyDescent="0.3">
      <c r="A136" s="177"/>
      <c r="B136" s="66" t="s">
        <v>497</v>
      </c>
      <c r="C136" s="50"/>
      <c r="D136" s="51"/>
      <c r="E136" s="51"/>
      <c r="F136" s="51"/>
      <c r="G136" s="51"/>
      <c r="H136" s="50"/>
      <c r="I136" s="50"/>
      <c r="J136" s="51"/>
      <c r="K136" s="51"/>
      <c r="L136" s="51"/>
      <c r="M136" s="51"/>
      <c r="N136" s="50"/>
      <c r="O136" s="82"/>
      <c r="P136" s="51"/>
      <c r="Q136" s="82"/>
      <c r="R136" s="50"/>
      <c r="S136" s="68"/>
      <c r="T136" s="82"/>
      <c r="U136" s="51"/>
      <c r="V136" s="51"/>
      <c r="W136" s="178"/>
      <c r="X136" s="141"/>
      <c r="Y136" s="48"/>
      <c r="Z136" s="48"/>
      <c r="AA136" s="48"/>
      <c r="AB136" s="48"/>
      <c r="AC136" s="48"/>
      <c r="AD136" s="48"/>
      <c r="AE136" s="61"/>
      <c r="AF136" s="62"/>
      <c r="AG136" s="62"/>
      <c r="AH136" s="56"/>
      <c r="AI136" s="56"/>
    </row>
    <row r="137" spans="1:35" x14ac:dyDescent="0.3">
      <c r="A137" s="177">
        <f>A134+1</f>
        <v>89</v>
      </c>
      <c r="B137" s="66" t="s">
        <v>499</v>
      </c>
      <c r="C137" s="50">
        <f>D137+K137+L137+N137+P137+R137+S137+U137+V137+W137</f>
        <v>4983581.2</v>
      </c>
      <c r="D137" s="51">
        <f>E137+F137+G137+H137+I137</f>
        <v>4983581.2</v>
      </c>
      <c r="E137" s="50">
        <v>492717.6</v>
      </c>
      <c r="F137" s="51">
        <f>420*5502+2*607361</f>
        <v>3525562</v>
      </c>
      <c r="G137" s="50">
        <v>209409.6</v>
      </c>
      <c r="H137" s="50">
        <v>561270</v>
      </c>
      <c r="I137" s="50">
        <v>194622</v>
      </c>
      <c r="J137" s="51"/>
      <c r="K137" s="51"/>
      <c r="L137" s="51"/>
      <c r="M137" s="51"/>
      <c r="N137" s="50"/>
      <c r="O137" s="82"/>
      <c r="P137" s="51"/>
      <c r="Q137" s="82"/>
      <c r="R137" s="50"/>
      <c r="S137" s="68"/>
      <c r="T137" s="82"/>
      <c r="U137" s="51"/>
      <c r="V137" s="51"/>
      <c r="W137" s="178"/>
      <c r="X137" s="141"/>
      <c r="Y137" s="48"/>
      <c r="Z137" s="48"/>
      <c r="AA137" s="48"/>
      <c r="AB137" s="48"/>
      <c r="AC137" s="48"/>
      <c r="AD137" s="48">
        <v>193686.96</v>
      </c>
      <c r="AE137" s="61"/>
      <c r="AF137" s="62">
        <v>517803.46</v>
      </c>
      <c r="AG137" s="62"/>
      <c r="AH137" s="56"/>
    </row>
    <row r="138" spans="1:35" x14ac:dyDescent="0.3">
      <c r="A138" s="177"/>
      <c r="B138" s="131" t="s">
        <v>211</v>
      </c>
      <c r="C138" s="50">
        <f>C137</f>
        <v>4983581.2</v>
      </c>
      <c r="D138" s="50">
        <f t="shared" ref="D138:W138" si="36">D137</f>
        <v>4983581.2</v>
      </c>
      <c r="E138" s="50">
        <f t="shared" si="36"/>
        <v>492717.6</v>
      </c>
      <c r="F138" s="50">
        <f t="shared" si="36"/>
        <v>3525562</v>
      </c>
      <c r="G138" s="50">
        <f t="shared" si="36"/>
        <v>209409.6</v>
      </c>
      <c r="H138" s="50">
        <f t="shared" si="36"/>
        <v>561270</v>
      </c>
      <c r="I138" s="50">
        <f t="shared" si="36"/>
        <v>194622</v>
      </c>
      <c r="J138" s="50">
        <f t="shared" si="36"/>
        <v>0</v>
      </c>
      <c r="K138" s="50">
        <f t="shared" si="36"/>
        <v>0</v>
      </c>
      <c r="L138" s="50">
        <f t="shared" si="36"/>
        <v>0</v>
      </c>
      <c r="M138" s="50">
        <f t="shared" si="36"/>
        <v>0</v>
      </c>
      <c r="N138" s="50">
        <f t="shared" si="36"/>
        <v>0</v>
      </c>
      <c r="O138" s="68">
        <f t="shared" si="36"/>
        <v>0</v>
      </c>
      <c r="P138" s="50">
        <f t="shared" si="36"/>
        <v>0</v>
      </c>
      <c r="Q138" s="68">
        <f t="shared" si="36"/>
        <v>0</v>
      </c>
      <c r="R138" s="50">
        <f t="shared" si="36"/>
        <v>0</v>
      </c>
      <c r="S138" s="68">
        <f t="shared" si="36"/>
        <v>0</v>
      </c>
      <c r="T138" s="68">
        <f t="shared" si="36"/>
        <v>0</v>
      </c>
      <c r="U138" s="50">
        <f t="shared" si="36"/>
        <v>0</v>
      </c>
      <c r="V138" s="50">
        <f t="shared" si="36"/>
        <v>0</v>
      </c>
      <c r="W138" s="34">
        <f t="shared" si="36"/>
        <v>0</v>
      </c>
      <c r="X138" s="141"/>
      <c r="Y138" s="48"/>
      <c r="Z138" s="48"/>
      <c r="AA138" s="48"/>
      <c r="AB138" s="48"/>
      <c r="AC138" s="48"/>
      <c r="AD138" s="48"/>
      <c r="AE138" s="61"/>
      <c r="AF138" s="62"/>
      <c r="AG138" s="62"/>
      <c r="AH138" s="56"/>
      <c r="AI138" s="56"/>
    </row>
    <row r="139" spans="1:35" ht="31.2" x14ac:dyDescent="0.3">
      <c r="A139" s="177"/>
      <c r="B139" s="66" t="s">
        <v>508</v>
      </c>
      <c r="C139" s="50"/>
      <c r="D139" s="51"/>
      <c r="E139" s="51"/>
      <c r="F139" s="51"/>
      <c r="G139" s="51"/>
      <c r="H139" s="50"/>
      <c r="I139" s="50"/>
      <c r="J139" s="51"/>
      <c r="K139" s="51"/>
      <c r="L139" s="51"/>
      <c r="M139" s="51"/>
      <c r="N139" s="50"/>
      <c r="O139" s="82"/>
      <c r="P139" s="51"/>
      <c r="Q139" s="82"/>
      <c r="R139" s="50"/>
      <c r="S139" s="68"/>
      <c r="T139" s="82"/>
      <c r="U139" s="51"/>
      <c r="V139" s="51"/>
      <c r="W139" s="178"/>
      <c r="X139" s="141"/>
      <c r="Y139" s="48"/>
      <c r="Z139" s="48"/>
      <c r="AA139" s="48"/>
      <c r="AB139" s="48"/>
      <c r="AC139" s="48"/>
      <c r="AD139" s="48"/>
      <c r="AE139" s="61"/>
      <c r="AF139" s="62"/>
      <c r="AG139" s="62"/>
      <c r="AH139" s="56"/>
      <c r="AI139" s="56"/>
    </row>
    <row r="140" spans="1:35" x14ac:dyDescent="0.3">
      <c r="A140" s="177">
        <f>A137+1</f>
        <v>90</v>
      </c>
      <c r="B140" s="66" t="s">
        <v>512</v>
      </c>
      <c r="C140" s="50">
        <f>D140+K140+L140+N140+P140+R140+S140+U140+V140+W140</f>
        <v>1916686.8</v>
      </c>
      <c r="D140" s="51">
        <f>E140+F140+G140+H140+I140</f>
        <v>0</v>
      </c>
      <c r="E140" s="51"/>
      <c r="F140" s="51"/>
      <c r="G140" s="51"/>
      <c r="H140" s="50"/>
      <c r="I140" s="50"/>
      <c r="J140" s="51"/>
      <c r="K140" s="51"/>
      <c r="L140" s="51"/>
      <c r="M140" s="51"/>
      <c r="N140" s="50"/>
      <c r="O140" s="82"/>
      <c r="P140" s="51"/>
      <c r="Q140" s="82">
        <v>514.12</v>
      </c>
      <c r="R140" s="50">
        <v>1916686.8</v>
      </c>
      <c r="S140" s="68"/>
      <c r="T140" s="82"/>
      <c r="U140" s="51"/>
      <c r="V140" s="51"/>
      <c r="W140" s="178"/>
      <c r="X140" s="141"/>
      <c r="Y140" s="48">
        <v>110076.12</v>
      </c>
      <c r="Z140" s="48"/>
      <c r="AA140" s="48"/>
      <c r="AB140" s="48"/>
      <c r="AC140" s="48"/>
      <c r="AD140" s="48"/>
      <c r="AE140" s="61"/>
      <c r="AF140" s="62"/>
      <c r="AG140" s="62"/>
      <c r="AH140" s="56"/>
      <c r="AI140" s="56"/>
    </row>
    <row r="141" spans="1:35" x14ac:dyDescent="0.3">
      <c r="A141" s="177">
        <f t="shared" ref="A141:A142" si="37">A140+1</f>
        <v>91</v>
      </c>
      <c r="B141" s="66" t="s">
        <v>514</v>
      </c>
      <c r="C141" s="50">
        <f>D141+K141+L141+N141+P141+R141+S141+U141+V141+W141</f>
        <v>2376118.7999999998</v>
      </c>
      <c r="D141" s="51">
        <f>E141+F141+G141+H141+I141</f>
        <v>0</v>
      </c>
      <c r="E141" s="51"/>
      <c r="F141" s="51"/>
      <c r="G141" s="51"/>
      <c r="H141" s="50"/>
      <c r="I141" s="50"/>
      <c r="J141" s="51"/>
      <c r="K141" s="51"/>
      <c r="L141" s="51"/>
      <c r="M141" s="51"/>
      <c r="N141" s="50"/>
      <c r="O141" s="82"/>
      <c r="P141" s="51"/>
      <c r="Q141" s="82">
        <v>514.12</v>
      </c>
      <c r="R141" s="50">
        <v>2376118.7999999998</v>
      </c>
      <c r="S141" s="68"/>
      <c r="T141" s="82"/>
      <c r="U141" s="51"/>
      <c r="V141" s="51"/>
      <c r="W141" s="178"/>
      <c r="X141" s="141"/>
      <c r="Y141" s="48">
        <v>110370.66</v>
      </c>
      <c r="Z141" s="48"/>
      <c r="AA141" s="48"/>
      <c r="AB141" s="48"/>
      <c r="AC141" s="48"/>
      <c r="AD141" s="48"/>
      <c r="AE141" s="61"/>
      <c r="AF141" s="62"/>
      <c r="AG141" s="62"/>
      <c r="AH141" s="56"/>
      <c r="AI141" s="56"/>
    </row>
    <row r="142" spans="1:35" x14ac:dyDescent="0.3">
      <c r="A142" s="177">
        <f t="shared" si="37"/>
        <v>92</v>
      </c>
      <c r="B142" s="66" t="s">
        <v>515</v>
      </c>
      <c r="C142" s="50">
        <f>D142+K142+L142+N142+P142+R142+S142+U142+V142+W142</f>
        <v>1914789.6</v>
      </c>
      <c r="D142" s="51">
        <f>E142+F142+G142+H142+I142</f>
        <v>0</v>
      </c>
      <c r="E142" s="51"/>
      <c r="F142" s="51"/>
      <c r="G142" s="51"/>
      <c r="H142" s="50"/>
      <c r="I142" s="50"/>
      <c r="J142" s="51"/>
      <c r="K142" s="51"/>
      <c r="L142" s="51"/>
      <c r="M142" s="51"/>
      <c r="N142" s="50"/>
      <c r="O142" s="82"/>
      <c r="P142" s="50"/>
      <c r="Q142" s="82">
        <v>514.12</v>
      </c>
      <c r="R142" s="50">
        <v>1914789.6</v>
      </c>
      <c r="S142" s="68"/>
      <c r="T142" s="82"/>
      <c r="U142" s="51"/>
      <c r="V142" s="51"/>
      <c r="W142" s="178"/>
      <c r="X142" s="141"/>
      <c r="Y142" s="48">
        <v>112250.08</v>
      </c>
      <c r="Z142" s="48"/>
      <c r="AA142" s="48"/>
      <c r="AB142" s="48"/>
      <c r="AC142" s="48"/>
      <c r="AD142" s="48"/>
      <c r="AE142" s="61"/>
      <c r="AF142" s="62"/>
      <c r="AG142" s="62"/>
      <c r="AH142" s="56"/>
      <c r="AI142" s="56"/>
    </row>
    <row r="143" spans="1:35" x14ac:dyDescent="0.3">
      <c r="A143" s="177"/>
      <c r="B143" s="131" t="s">
        <v>211</v>
      </c>
      <c r="C143" s="50">
        <f>SUM(C140:C142)</f>
        <v>6207595.1999999993</v>
      </c>
      <c r="D143" s="50">
        <f t="shared" ref="D143:W143" si="38">SUM(D140:D142)</f>
        <v>0</v>
      </c>
      <c r="E143" s="50">
        <f t="shared" si="38"/>
        <v>0</v>
      </c>
      <c r="F143" s="50">
        <f t="shared" si="38"/>
        <v>0</v>
      </c>
      <c r="G143" s="50">
        <f t="shared" si="38"/>
        <v>0</v>
      </c>
      <c r="H143" s="50">
        <f t="shared" si="38"/>
        <v>0</v>
      </c>
      <c r="I143" s="50">
        <f t="shared" si="38"/>
        <v>0</v>
      </c>
      <c r="J143" s="50">
        <f t="shared" si="38"/>
        <v>0</v>
      </c>
      <c r="K143" s="50">
        <f t="shared" si="38"/>
        <v>0</v>
      </c>
      <c r="L143" s="50">
        <f t="shared" si="38"/>
        <v>0</v>
      </c>
      <c r="M143" s="50">
        <f t="shared" si="38"/>
        <v>0</v>
      </c>
      <c r="N143" s="50">
        <f t="shared" si="38"/>
        <v>0</v>
      </c>
      <c r="O143" s="68">
        <f t="shared" si="38"/>
        <v>0</v>
      </c>
      <c r="P143" s="50">
        <f t="shared" si="38"/>
        <v>0</v>
      </c>
      <c r="Q143" s="68">
        <f t="shared" si="38"/>
        <v>1542.3600000000001</v>
      </c>
      <c r="R143" s="50">
        <f t="shared" si="38"/>
        <v>6207595.1999999993</v>
      </c>
      <c r="S143" s="68">
        <f t="shared" si="38"/>
        <v>0</v>
      </c>
      <c r="T143" s="68">
        <f t="shared" si="38"/>
        <v>0</v>
      </c>
      <c r="U143" s="50">
        <f t="shared" si="38"/>
        <v>0</v>
      </c>
      <c r="V143" s="50">
        <f t="shared" si="38"/>
        <v>0</v>
      </c>
      <c r="W143" s="34">
        <f t="shared" si="38"/>
        <v>0</v>
      </c>
      <c r="X143" s="285"/>
      <c r="Y143" s="285"/>
      <c r="Z143" s="285"/>
      <c r="AA143" s="285"/>
      <c r="AB143" s="285"/>
      <c r="AC143" s="285"/>
      <c r="AD143" s="285"/>
      <c r="AE143" s="360"/>
      <c r="AF143" s="361"/>
      <c r="AG143" s="361"/>
      <c r="AH143" s="56"/>
      <c r="AI143" s="56"/>
    </row>
    <row r="144" spans="1:35" x14ac:dyDescent="0.3">
      <c r="A144" s="177"/>
      <c r="B144" s="131" t="s">
        <v>516</v>
      </c>
      <c r="C144" s="50">
        <f>C143+C138+C135+C132+C124+C105+C77+C73+C68+C63</f>
        <v>187235611.81</v>
      </c>
      <c r="D144" s="50">
        <f t="shared" ref="D144:W144" si="39">D143+D138+D135+D132+D124+D105+D77+D73+D68+D63</f>
        <v>19192764.960000001</v>
      </c>
      <c r="E144" s="50">
        <f t="shared" si="39"/>
        <v>4828404.4800000004</v>
      </c>
      <c r="F144" s="50">
        <f t="shared" si="39"/>
        <v>9867588.2400000002</v>
      </c>
      <c r="G144" s="50">
        <f t="shared" si="39"/>
        <v>1376779.2000000002</v>
      </c>
      <c r="H144" s="50">
        <f t="shared" si="39"/>
        <v>1695170</v>
      </c>
      <c r="I144" s="50">
        <f t="shared" si="39"/>
        <v>1424823.04</v>
      </c>
      <c r="J144" s="50">
        <f t="shared" si="39"/>
        <v>0</v>
      </c>
      <c r="K144" s="50">
        <f t="shared" si="39"/>
        <v>0</v>
      </c>
      <c r="L144" s="50">
        <f t="shared" si="39"/>
        <v>0</v>
      </c>
      <c r="M144" s="50">
        <f t="shared" si="39"/>
        <v>0</v>
      </c>
      <c r="N144" s="50">
        <f t="shared" si="39"/>
        <v>0</v>
      </c>
      <c r="O144" s="68">
        <f t="shared" si="39"/>
        <v>0</v>
      </c>
      <c r="P144" s="50">
        <f t="shared" si="39"/>
        <v>0</v>
      </c>
      <c r="Q144" s="68">
        <f t="shared" si="39"/>
        <v>12699.970000000001</v>
      </c>
      <c r="R144" s="50">
        <f t="shared" si="39"/>
        <v>97867168.61999999</v>
      </c>
      <c r="S144" s="68">
        <f t="shared" si="39"/>
        <v>0</v>
      </c>
      <c r="T144" s="68">
        <f t="shared" si="39"/>
        <v>3402.98</v>
      </c>
      <c r="U144" s="50">
        <f t="shared" si="39"/>
        <v>50453517.74000001</v>
      </c>
      <c r="V144" s="50">
        <f t="shared" si="39"/>
        <v>0</v>
      </c>
      <c r="W144" s="34">
        <f t="shared" si="39"/>
        <v>19722160.490000002</v>
      </c>
      <c r="X144" s="384" t="e">
        <f>X143+X138+X135+#REF!+X132+#REF!+X124+X105+X77+X73+X68+#REF!+#REF!</f>
        <v>#REF!</v>
      </c>
      <c r="Y144" s="384" t="e">
        <f>Y143+Y138+Y135+#REF!+Y132+#REF!+Y124+Y105+Y77+Y73+Y68+#REF!+#REF!</f>
        <v>#REF!</v>
      </c>
      <c r="Z144" s="384" t="e">
        <f>Z143+Z138+Z135+#REF!+Z132+#REF!+Z124+Z105+Z77+Z73+Z68+#REF!+#REF!</f>
        <v>#REF!</v>
      </c>
      <c r="AA144" s="384" t="e">
        <f>AA143+AA138+AA135+#REF!+AA132+#REF!+AA124+AA105+AA77+AA73+AA68+#REF!+#REF!</f>
        <v>#REF!</v>
      </c>
      <c r="AB144" s="9"/>
      <c r="AC144" s="9"/>
      <c r="AD144" s="9"/>
      <c r="AE144" s="306"/>
      <c r="AF144" s="302"/>
      <c r="AG144" s="302"/>
      <c r="AH144" s="56"/>
      <c r="AI144" s="56"/>
    </row>
    <row r="145" spans="1:33" x14ac:dyDescent="0.3">
      <c r="A145" s="547" t="s">
        <v>517</v>
      </c>
      <c r="B145" s="547"/>
      <c r="C145" s="547"/>
      <c r="D145" s="547"/>
      <c r="E145" s="547"/>
      <c r="F145" s="547"/>
      <c r="G145" s="547"/>
      <c r="H145" s="547"/>
      <c r="I145" s="547"/>
      <c r="J145" s="547"/>
      <c r="K145" s="547"/>
      <c r="L145" s="547"/>
      <c r="M145" s="547"/>
      <c r="N145" s="547"/>
      <c r="O145" s="547"/>
      <c r="P145" s="547"/>
      <c r="Q145" s="547"/>
      <c r="R145" s="547"/>
      <c r="S145" s="547"/>
      <c r="T145" s="547"/>
      <c r="U145" s="547"/>
      <c r="V145" s="547"/>
      <c r="W145" s="547"/>
      <c r="X145" s="141"/>
      <c r="Y145" s="48"/>
      <c r="Z145" s="57"/>
      <c r="AA145" s="58"/>
      <c r="AB145" s="58"/>
      <c r="AC145" s="58"/>
      <c r="AD145" s="58"/>
      <c r="AE145" s="58"/>
      <c r="AF145" s="58"/>
      <c r="AG145" s="58"/>
    </row>
    <row r="146" spans="1:33" ht="15.75" x14ac:dyDescent="0.25">
      <c r="A146" s="189"/>
      <c r="B146" s="148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344"/>
      <c r="P146" s="189"/>
      <c r="Q146" s="344"/>
      <c r="R146" s="189"/>
      <c r="S146" s="344"/>
      <c r="T146" s="344"/>
      <c r="U146" s="189"/>
      <c r="V146" s="189"/>
      <c r="W146" s="142"/>
      <c r="X146" s="141"/>
      <c r="Y146" s="48"/>
      <c r="Z146" s="57"/>
      <c r="AA146" s="58"/>
      <c r="AB146" s="58"/>
      <c r="AC146" s="58"/>
      <c r="AD146" s="58"/>
      <c r="AE146" s="58"/>
      <c r="AF146" s="58"/>
      <c r="AG146" s="58"/>
    </row>
    <row r="147" spans="1:33" x14ac:dyDescent="0.3">
      <c r="A147" s="189"/>
      <c r="B147" s="66" t="s">
        <v>518</v>
      </c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344"/>
      <c r="P147" s="189"/>
      <c r="Q147" s="344"/>
      <c r="R147" s="189"/>
      <c r="S147" s="344"/>
      <c r="T147" s="344"/>
      <c r="U147" s="189"/>
      <c r="V147" s="189"/>
      <c r="W147" s="142"/>
      <c r="X147" s="141"/>
      <c r="Y147" s="48"/>
      <c r="Z147" s="57"/>
      <c r="AA147" s="58"/>
      <c r="AB147" s="58"/>
      <c r="AC147" s="58"/>
      <c r="AD147" s="58"/>
      <c r="AE147" s="58"/>
      <c r="AF147" s="58"/>
      <c r="AG147" s="58"/>
    </row>
    <row r="148" spans="1:33" x14ac:dyDescent="0.3">
      <c r="A148" s="177">
        <f>A142+1</f>
        <v>93</v>
      </c>
      <c r="B148" s="66" t="s">
        <v>520</v>
      </c>
      <c r="C148" s="50">
        <f t="shared" ref="C148:C156" si="40">D148+K148+L148+N148+R148+S148+U148+V148+W148</f>
        <v>9336735.5999999996</v>
      </c>
      <c r="D148" s="51">
        <f t="shared" ref="D148:D156" si="41">E148+F148+G148+H148+I148</f>
        <v>0</v>
      </c>
      <c r="E148" s="51"/>
      <c r="F148" s="51"/>
      <c r="G148" s="51"/>
      <c r="H148" s="51"/>
      <c r="I148" s="51"/>
      <c r="J148" s="51"/>
      <c r="K148" s="51"/>
      <c r="L148" s="51"/>
      <c r="M148" s="51"/>
      <c r="N148" s="50"/>
      <c r="O148" s="82"/>
      <c r="P148" s="51"/>
      <c r="Q148" s="82">
        <f>1963.2</f>
        <v>1963.2</v>
      </c>
      <c r="R148" s="50">
        <v>9336735.5999999996</v>
      </c>
      <c r="S148" s="68"/>
      <c r="T148" s="82"/>
      <c r="U148" s="51"/>
      <c r="V148" s="51"/>
      <c r="W148" s="178"/>
      <c r="X148" s="141"/>
      <c r="Y148" s="48"/>
      <c r="Z148" s="61"/>
      <c r="AA148" s="62"/>
      <c r="AB148" s="62"/>
      <c r="AC148" s="62"/>
      <c r="AD148" s="63">
        <v>137512.37</v>
      </c>
      <c r="AE148" s="63"/>
      <c r="AF148" s="63">
        <v>283228.03999999998</v>
      </c>
      <c r="AG148" s="62"/>
    </row>
    <row r="149" spans="1:33" x14ac:dyDescent="0.3">
      <c r="A149" s="177">
        <f t="shared" ref="A149:A156" si="42">A148+1</f>
        <v>94</v>
      </c>
      <c r="B149" s="66" t="s">
        <v>521</v>
      </c>
      <c r="C149" s="50">
        <f t="shared" si="40"/>
        <v>8042271.5999999996</v>
      </c>
      <c r="D149" s="51">
        <f t="shared" si="41"/>
        <v>0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0"/>
      <c r="O149" s="82"/>
      <c r="P149" s="51"/>
      <c r="Q149" s="82">
        <v>1192</v>
      </c>
      <c r="R149" s="50">
        <v>8042271.5999999996</v>
      </c>
      <c r="S149" s="68"/>
      <c r="T149" s="82"/>
      <c r="U149" s="51"/>
      <c r="V149" s="51"/>
      <c r="W149" s="178"/>
      <c r="X149" s="144">
        <v>112746.8</v>
      </c>
      <c r="Y149" s="172">
        <v>260867.82</v>
      </c>
      <c r="Z149" s="520">
        <v>122047.49</v>
      </c>
      <c r="AA149" s="478"/>
      <c r="AB149" s="62"/>
      <c r="AC149" s="62"/>
      <c r="AD149" s="62"/>
      <c r="AE149" s="62"/>
      <c r="AF149" s="62"/>
      <c r="AG149" s="62"/>
    </row>
    <row r="150" spans="1:33" x14ac:dyDescent="0.3">
      <c r="A150" s="177">
        <f t="shared" si="42"/>
        <v>95</v>
      </c>
      <c r="B150" s="66" t="s">
        <v>527</v>
      </c>
      <c r="C150" s="50">
        <f t="shared" si="40"/>
        <v>9336735.5999999996</v>
      </c>
      <c r="D150" s="51">
        <f t="shared" si="41"/>
        <v>0</v>
      </c>
      <c r="E150" s="51"/>
      <c r="F150" s="51"/>
      <c r="G150" s="51"/>
      <c r="H150" s="51"/>
      <c r="I150" s="51"/>
      <c r="J150" s="51"/>
      <c r="K150" s="51"/>
      <c r="L150" s="51"/>
      <c r="M150" s="51"/>
      <c r="N150" s="50"/>
      <c r="O150" s="82"/>
      <c r="P150" s="51"/>
      <c r="Q150" s="82">
        <f>1963.2</f>
        <v>1963.2</v>
      </c>
      <c r="R150" s="50">
        <v>9336735.5999999996</v>
      </c>
      <c r="S150" s="68"/>
      <c r="T150" s="82"/>
      <c r="U150" s="51"/>
      <c r="V150" s="51"/>
      <c r="W150" s="178"/>
      <c r="X150" s="141"/>
      <c r="Y150" s="62"/>
      <c r="Z150" s="62"/>
      <c r="AA150" s="62"/>
      <c r="AB150" s="62"/>
      <c r="AC150" s="62"/>
      <c r="AD150" s="62"/>
      <c r="AE150" s="62"/>
      <c r="AF150" s="63">
        <v>273658.63</v>
      </c>
      <c r="AG150" s="62"/>
    </row>
    <row r="151" spans="1:33" x14ac:dyDescent="0.3">
      <c r="A151" s="177">
        <f t="shared" si="42"/>
        <v>96</v>
      </c>
      <c r="B151" s="66" t="s">
        <v>529</v>
      </c>
      <c r="C151" s="50">
        <f t="shared" si="40"/>
        <v>19536401.82</v>
      </c>
      <c r="D151" s="51">
        <f t="shared" si="41"/>
        <v>0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0"/>
      <c r="O151" s="82"/>
      <c r="P151" s="51"/>
      <c r="Q151" s="82">
        <v>2810.2</v>
      </c>
      <c r="R151" s="50">
        <v>19536401.82</v>
      </c>
      <c r="S151" s="68"/>
      <c r="T151" s="82"/>
      <c r="U151" s="51"/>
      <c r="V151" s="51"/>
      <c r="W151" s="178"/>
      <c r="X151" s="141"/>
      <c r="Y151" s="63">
        <v>218236.08</v>
      </c>
      <c r="Z151" s="172">
        <v>178982.57</v>
      </c>
      <c r="AA151" s="172"/>
      <c r="AB151" s="63">
        <v>168021.79</v>
      </c>
      <c r="AC151" s="63"/>
      <c r="AD151" s="63"/>
      <c r="AE151" s="63"/>
      <c r="AF151" s="63">
        <v>318849.42</v>
      </c>
      <c r="AG151" s="62"/>
    </row>
    <row r="152" spans="1:33" ht="31.2" x14ac:dyDescent="0.3">
      <c r="A152" s="177">
        <f t="shared" si="42"/>
        <v>97</v>
      </c>
      <c r="B152" s="66" t="s">
        <v>551</v>
      </c>
      <c r="C152" s="50">
        <f t="shared" si="40"/>
        <v>7535022</v>
      </c>
      <c r="D152" s="51">
        <f t="shared" si="41"/>
        <v>0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0"/>
      <c r="O152" s="82"/>
      <c r="P152" s="51"/>
      <c r="Q152" s="82">
        <v>1963.2</v>
      </c>
      <c r="R152" s="50">
        <v>7535022</v>
      </c>
      <c r="S152" s="68"/>
      <c r="T152" s="82"/>
      <c r="U152" s="51"/>
      <c r="V152" s="51"/>
      <c r="W152" s="178"/>
      <c r="X152" s="144">
        <v>176860.82</v>
      </c>
      <c r="Y152" s="63">
        <v>210008.16</v>
      </c>
      <c r="Z152" s="478">
        <v>175497.88</v>
      </c>
      <c r="AA152" s="478"/>
      <c r="AB152" s="63">
        <v>161109.57999999999</v>
      </c>
      <c r="AC152" s="63">
        <v>338115.38</v>
      </c>
      <c r="AD152" s="63">
        <v>222790.57</v>
      </c>
      <c r="AE152" s="62"/>
      <c r="AF152" s="62"/>
      <c r="AG152" s="62"/>
    </row>
    <row r="153" spans="1:33" ht="31.2" x14ac:dyDescent="0.3">
      <c r="A153" s="177">
        <f t="shared" si="42"/>
        <v>98</v>
      </c>
      <c r="B153" s="66" t="s">
        <v>557</v>
      </c>
      <c r="C153" s="50">
        <f t="shared" si="40"/>
        <v>17469901.199999999</v>
      </c>
      <c r="D153" s="51">
        <f t="shared" si="41"/>
        <v>0</v>
      </c>
      <c r="E153" s="51"/>
      <c r="F153" s="51"/>
      <c r="G153" s="51"/>
      <c r="H153" s="51"/>
      <c r="I153" s="51"/>
      <c r="J153" s="51"/>
      <c r="K153" s="51"/>
      <c r="L153" s="51"/>
      <c r="M153" s="51"/>
      <c r="N153" s="50"/>
      <c r="O153" s="82"/>
      <c r="P153" s="51"/>
      <c r="Q153" s="82">
        <v>2351</v>
      </c>
      <c r="R153" s="50">
        <v>17469901.199999999</v>
      </c>
      <c r="S153" s="68"/>
      <c r="T153" s="82"/>
      <c r="U153" s="51"/>
      <c r="V153" s="51"/>
      <c r="W153" s="178"/>
      <c r="X153" s="144">
        <v>177468.04</v>
      </c>
      <c r="Y153" s="172">
        <v>231651.47</v>
      </c>
      <c r="Z153" s="520">
        <v>184305.66</v>
      </c>
      <c r="AA153" s="478"/>
      <c r="AB153" s="63"/>
      <c r="AC153" s="63"/>
      <c r="AD153" s="63">
        <v>168589.75</v>
      </c>
      <c r="AE153" s="62"/>
      <c r="AF153" s="62"/>
      <c r="AG153" s="62"/>
    </row>
    <row r="154" spans="1:33" ht="31.2" x14ac:dyDescent="0.3">
      <c r="A154" s="177">
        <f t="shared" si="42"/>
        <v>99</v>
      </c>
      <c r="B154" s="66" t="s">
        <v>565</v>
      </c>
      <c r="C154" s="50">
        <f t="shared" si="40"/>
        <v>4188567.6</v>
      </c>
      <c r="D154" s="51">
        <f t="shared" si="41"/>
        <v>0</v>
      </c>
      <c r="E154" s="51"/>
      <c r="F154" s="51"/>
      <c r="G154" s="51"/>
      <c r="H154" s="51"/>
      <c r="I154" s="51"/>
      <c r="J154" s="51"/>
      <c r="K154" s="51"/>
      <c r="L154" s="51"/>
      <c r="M154" s="51"/>
      <c r="N154" s="50"/>
      <c r="O154" s="82"/>
      <c r="P154" s="51"/>
      <c r="Q154" s="82">
        <v>568.41</v>
      </c>
      <c r="R154" s="50">
        <v>4188567.6</v>
      </c>
      <c r="S154" s="68"/>
      <c r="T154" s="82"/>
      <c r="U154" s="51"/>
      <c r="V154" s="51"/>
      <c r="W154" s="178"/>
      <c r="X154" s="144">
        <v>106410.07</v>
      </c>
      <c r="Y154" s="172">
        <v>125013.43</v>
      </c>
      <c r="Z154" s="64">
        <v>104792.46</v>
      </c>
      <c r="AA154" s="62"/>
      <c r="AB154" s="62"/>
      <c r="AC154" s="62"/>
      <c r="AD154" s="62"/>
      <c r="AE154" s="62"/>
      <c r="AF154" s="62"/>
      <c r="AG154" s="62"/>
    </row>
    <row r="155" spans="1:33" ht="31.2" x14ac:dyDescent="0.3">
      <c r="A155" s="177">
        <f t="shared" si="42"/>
        <v>100</v>
      </c>
      <c r="B155" s="66" t="s">
        <v>567</v>
      </c>
      <c r="C155" s="50">
        <f t="shared" si="40"/>
        <v>3950784</v>
      </c>
      <c r="D155" s="51">
        <f t="shared" si="41"/>
        <v>0</v>
      </c>
      <c r="E155" s="51"/>
      <c r="F155" s="51"/>
      <c r="G155" s="51"/>
      <c r="H155" s="51"/>
      <c r="I155" s="51"/>
      <c r="J155" s="51"/>
      <c r="K155" s="51"/>
      <c r="L155" s="51"/>
      <c r="M155" s="51"/>
      <c r="N155" s="50"/>
      <c r="O155" s="82"/>
      <c r="P155" s="51"/>
      <c r="Q155" s="82">
        <v>550</v>
      </c>
      <c r="R155" s="50">
        <v>3950784</v>
      </c>
      <c r="S155" s="68"/>
      <c r="T155" s="82"/>
      <c r="U155" s="51"/>
      <c r="V155" s="51"/>
      <c r="W155" s="178"/>
      <c r="X155" s="144">
        <v>92384.17</v>
      </c>
      <c r="Y155" s="172">
        <v>110748.23</v>
      </c>
      <c r="Z155" s="64">
        <v>91278.37</v>
      </c>
      <c r="AA155" s="62"/>
      <c r="AB155" s="62"/>
      <c r="AC155" s="62"/>
      <c r="AD155" s="62"/>
      <c r="AE155" s="62"/>
      <c r="AF155" s="62"/>
      <c r="AG155" s="62"/>
    </row>
    <row r="156" spans="1:33" ht="31.2" x14ac:dyDescent="0.3">
      <c r="A156" s="177">
        <f t="shared" si="42"/>
        <v>101</v>
      </c>
      <c r="B156" s="66" t="s">
        <v>568</v>
      </c>
      <c r="C156" s="50">
        <f t="shared" si="40"/>
        <v>4308058.8</v>
      </c>
      <c r="D156" s="51">
        <f t="shared" si="41"/>
        <v>0</v>
      </c>
      <c r="E156" s="51"/>
      <c r="F156" s="51"/>
      <c r="G156" s="51"/>
      <c r="H156" s="51"/>
      <c r="I156" s="51"/>
      <c r="J156" s="51"/>
      <c r="K156" s="51"/>
      <c r="L156" s="51"/>
      <c r="M156" s="51"/>
      <c r="N156" s="50"/>
      <c r="O156" s="82"/>
      <c r="P156" s="51"/>
      <c r="Q156" s="82">
        <v>617</v>
      </c>
      <c r="R156" s="50">
        <v>4308058.8</v>
      </c>
      <c r="S156" s="68"/>
      <c r="T156" s="82"/>
      <c r="U156" s="51"/>
      <c r="V156" s="51"/>
      <c r="W156" s="178"/>
      <c r="X156" s="144">
        <v>91149.34</v>
      </c>
      <c r="Y156" s="172">
        <v>109503.61</v>
      </c>
      <c r="Z156" s="64">
        <v>90099.3</v>
      </c>
      <c r="AA156" s="62"/>
      <c r="AB156" s="62"/>
      <c r="AC156" s="62"/>
      <c r="AD156" s="62"/>
      <c r="AE156" s="62"/>
      <c r="AF156" s="62"/>
      <c r="AG156" s="62"/>
    </row>
    <row r="157" spans="1:33" x14ac:dyDescent="0.3">
      <c r="A157" s="59"/>
      <c r="B157" s="66" t="s">
        <v>211</v>
      </c>
      <c r="C157" s="50">
        <f t="shared" ref="C157:W157" si="43">SUM(C148:C156)</f>
        <v>83704478.219999984</v>
      </c>
      <c r="D157" s="50">
        <f t="shared" si="43"/>
        <v>0</v>
      </c>
      <c r="E157" s="50">
        <f t="shared" si="43"/>
        <v>0</v>
      </c>
      <c r="F157" s="50">
        <f t="shared" si="43"/>
        <v>0</v>
      </c>
      <c r="G157" s="50">
        <f t="shared" si="43"/>
        <v>0</v>
      </c>
      <c r="H157" s="50">
        <f t="shared" si="43"/>
        <v>0</v>
      </c>
      <c r="I157" s="50">
        <f t="shared" si="43"/>
        <v>0</v>
      </c>
      <c r="J157" s="50">
        <f t="shared" si="43"/>
        <v>0</v>
      </c>
      <c r="K157" s="50">
        <f t="shared" si="43"/>
        <v>0</v>
      </c>
      <c r="L157" s="50">
        <f t="shared" si="43"/>
        <v>0</v>
      </c>
      <c r="M157" s="50">
        <f t="shared" si="43"/>
        <v>0</v>
      </c>
      <c r="N157" s="50">
        <f t="shared" si="43"/>
        <v>0</v>
      </c>
      <c r="O157" s="68">
        <f t="shared" si="43"/>
        <v>0</v>
      </c>
      <c r="P157" s="50">
        <f t="shared" si="43"/>
        <v>0</v>
      </c>
      <c r="Q157" s="68">
        <f t="shared" si="43"/>
        <v>13978.21</v>
      </c>
      <c r="R157" s="50">
        <f t="shared" si="43"/>
        <v>83704478.219999984</v>
      </c>
      <c r="S157" s="68">
        <f t="shared" si="43"/>
        <v>0</v>
      </c>
      <c r="T157" s="68">
        <f t="shared" si="43"/>
        <v>0</v>
      </c>
      <c r="U157" s="50">
        <f t="shared" si="43"/>
        <v>0</v>
      </c>
      <c r="V157" s="50">
        <f t="shared" si="43"/>
        <v>0</v>
      </c>
      <c r="W157" s="34">
        <f t="shared" si="43"/>
        <v>0</v>
      </c>
      <c r="X157" s="144"/>
      <c r="Y157" s="172"/>
      <c r="Z157" s="64"/>
      <c r="AA157" s="63"/>
      <c r="AB157" s="63"/>
      <c r="AC157" s="63"/>
      <c r="AD157" s="63"/>
      <c r="AE157" s="63"/>
      <c r="AF157" s="63"/>
      <c r="AG157" s="62"/>
    </row>
    <row r="158" spans="1:33" ht="31.2" x14ac:dyDescent="0.3">
      <c r="A158" s="59"/>
      <c r="B158" s="66" t="s">
        <v>598</v>
      </c>
      <c r="C158" s="50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0"/>
      <c r="O158" s="82"/>
      <c r="P158" s="51"/>
      <c r="Q158" s="82"/>
      <c r="R158" s="50"/>
      <c r="S158" s="68"/>
      <c r="T158" s="82"/>
      <c r="U158" s="51"/>
      <c r="V158" s="51"/>
      <c r="W158" s="178"/>
      <c r="X158" s="144"/>
      <c r="Y158" s="172"/>
      <c r="Z158" s="172"/>
      <c r="AA158" s="172"/>
      <c r="AB158" s="172"/>
      <c r="AC158" s="172"/>
      <c r="AD158" s="64"/>
      <c r="AE158" s="63"/>
      <c r="AF158" s="62"/>
      <c r="AG158" s="58"/>
    </row>
    <row r="159" spans="1:33" x14ac:dyDescent="0.3">
      <c r="A159" s="177">
        <f>A153+1</f>
        <v>99</v>
      </c>
      <c r="B159" s="66" t="s">
        <v>599</v>
      </c>
      <c r="C159" s="50">
        <f>D159+K159+L159+N159+R159+S159+U159+V159+W159</f>
        <v>130000</v>
      </c>
      <c r="D159" s="51">
        <f>E159+F159+G159+H159+I159</f>
        <v>0</v>
      </c>
      <c r="E159" s="51"/>
      <c r="F159" s="51"/>
      <c r="G159" s="51"/>
      <c r="H159" s="51"/>
      <c r="I159" s="51"/>
      <c r="J159" s="51"/>
      <c r="K159" s="51"/>
      <c r="L159" s="51"/>
      <c r="M159" s="51"/>
      <c r="N159" s="50"/>
      <c r="O159" s="82"/>
      <c r="P159" s="51"/>
      <c r="Q159" s="82"/>
      <c r="R159" s="50"/>
      <c r="S159" s="68"/>
      <c r="T159" s="82"/>
      <c r="U159" s="51"/>
      <c r="V159" s="51"/>
      <c r="W159" s="178">
        <v>130000</v>
      </c>
      <c r="X159" s="141"/>
      <c r="Y159" s="48"/>
      <c r="Z159" s="57"/>
      <c r="AA159" s="58"/>
      <c r="AB159" s="58"/>
      <c r="AC159" s="58"/>
      <c r="AD159" s="58"/>
      <c r="AE159" s="58"/>
      <c r="AF159" s="58"/>
      <c r="AG159" s="58"/>
    </row>
    <row r="160" spans="1:33" x14ac:dyDescent="0.3">
      <c r="A160" s="177">
        <f t="shared" ref="A160" si="44">A159+1</f>
        <v>100</v>
      </c>
      <c r="B160" s="66" t="s">
        <v>600</v>
      </c>
      <c r="C160" s="50">
        <f>D160+K160+L160+N160+R160+S160+U160+V160+W160</f>
        <v>130000</v>
      </c>
      <c r="D160" s="51">
        <f>E160+F160+G160+H160+I160</f>
        <v>0</v>
      </c>
      <c r="E160" s="51"/>
      <c r="F160" s="51"/>
      <c r="G160" s="51"/>
      <c r="H160" s="51"/>
      <c r="I160" s="51"/>
      <c r="J160" s="51"/>
      <c r="K160" s="51"/>
      <c r="L160" s="51"/>
      <c r="M160" s="51"/>
      <c r="N160" s="50"/>
      <c r="O160" s="82"/>
      <c r="P160" s="51"/>
      <c r="Q160" s="82"/>
      <c r="R160" s="50"/>
      <c r="S160" s="68"/>
      <c r="T160" s="82"/>
      <c r="U160" s="51"/>
      <c r="V160" s="51"/>
      <c r="W160" s="178">
        <v>130000</v>
      </c>
      <c r="X160" s="141"/>
      <c r="Y160" s="48"/>
      <c r="Z160" s="57"/>
      <c r="AA160" s="58"/>
      <c r="AB160" s="58"/>
      <c r="AC160" s="58"/>
      <c r="AD160" s="58"/>
      <c r="AE160" s="58"/>
      <c r="AF160" s="58"/>
      <c r="AG160" s="58"/>
    </row>
    <row r="161" spans="1:33" x14ac:dyDescent="0.3">
      <c r="A161" s="59"/>
      <c r="B161" s="66" t="s">
        <v>211</v>
      </c>
      <c r="C161" s="50">
        <f>SUM(C159:C160)</f>
        <v>260000</v>
      </c>
      <c r="D161" s="50">
        <f>SUM(D159:D160)</f>
        <v>0</v>
      </c>
      <c r="E161" s="51"/>
      <c r="F161" s="51"/>
      <c r="G161" s="51"/>
      <c r="H161" s="51"/>
      <c r="I161" s="51"/>
      <c r="J161" s="51"/>
      <c r="K161" s="51"/>
      <c r="L161" s="51"/>
      <c r="M161" s="51"/>
      <c r="N161" s="50"/>
      <c r="O161" s="82"/>
      <c r="P161" s="51"/>
      <c r="Q161" s="82"/>
      <c r="R161" s="50"/>
      <c r="S161" s="68"/>
      <c r="T161" s="82"/>
      <c r="U161" s="51"/>
      <c r="V161" s="51"/>
      <c r="W161" s="178"/>
      <c r="X161" s="141"/>
      <c r="Y161" s="48"/>
      <c r="Z161" s="57"/>
      <c r="AA161" s="58"/>
      <c r="AB161" s="58"/>
      <c r="AC161" s="58"/>
      <c r="AD161" s="58"/>
      <c r="AE161" s="58"/>
      <c r="AF161" s="58"/>
      <c r="AG161" s="58"/>
    </row>
    <row r="162" spans="1:33" x14ac:dyDescent="0.3">
      <c r="A162" s="59"/>
      <c r="B162" s="66" t="s">
        <v>601</v>
      </c>
      <c r="C162" s="50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0"/>
      <c r="O162" s="82"/>
      <c r="P162" s="51"/>
      <c r="Q162" s="82"/>
      <c r="R162" s="50"/>
      <c r="S162" s="68"/>
      <c r="T162" s="82"/>
      <c r="U162" s="51"/>
      <c r="V162" s="51"/>
      <c r="W162" s="178"/>
      <c r="X162" s="141"/>
      <c r="Y162" s="48"/>
      <c r="Z162" s="57"/>
      <c r="AA162" s="58"/>
      <c r="AB162" s="58"/>
      <c r="AC162" s="58"/>
      <c r="AD162" s="58"/>
      <c r="AE162" s="58"/>
      <c r="AF162" s="58"/>
      <c r="AG162" s="58"/>
    </row>
    <row r="163" spans="1:33" x14ac:dyDescent="0.3">
      <c r="A163" s="59">
        <f>A160+1</f>
        <v>101</v>
      </c>
      <c r="B163" s="66" t="s">
        <v>602</v>
      </c>
      <c r="C163" s="50">
        <f t="shared" ref="C163:C168" si="45">D163+K163+L163+N163+R163+S163+U163+V163+W163</f>
        <v>617747.66</v>
      </c>
      <c r="D163" s="51">
        <f t="shared" ref="D163:D168" si="46">E163+F163+G163+H163+I163</f>
        <v>0</v>
      </c>
      <c r="E163" s="51"/>
      <c r="F163" s="51"/>
      <c r="G163" s="51"/>
      <c r="H163" s="51"/>
      <c r="I163" s="51"/>
      <c r="J163" s="51"/>
      <c r="K163" s="51"/>
      <c r="L163" s="51"/>
      <c r="M163" s="51"/>
      <c r="N163" s="50"/>
      <c r="O163" s="82"/>
      <c r="P163" s="51"/>
      <c r="Q163" s="82"/>
      <c r="R163" s="50"/>
      <c r="S163" s="68"/>
      <c r="T163" s="82"/>
      <c r="U163" s="51"/>
      <c r="V163" s="51"/>
      <c r="W163" s="178">
        <f t="shared" ref="W163:W226" si="47">SUM(X163:AF163)</f>
        <v>617747.66</v>
      </c>
      <c r="X163" s="144">
        <v>65025.54</v>
      </c>
      <c r="Y163" s="172">
        <v>81705.72</v>
      </c>
      <c r="Z163" s="520">
        <v>67409.759999999995</v>
      </c>
      <c r="AA163" s="478"/>
      <c r="AB163" s="63">
        <v>64326.55</v>
      </c>
      <c r="AC163" s="62"/>
      <c r="AD163" s="62"/>
      <c r="AE163" s="63">
        <v>339280.09</v>
      </c>
      <c r="AF163" s="58"/>
      <c r="AG163" s="58"/>
    </row>
    <row r="164" spans="1:33" x14ac:dyDescent="0.3">
      <c r="A164" s="59">
        <f t="shared" ref="A164:A168" si="48">A163+1</f>
        <v>102</v>
      </c>
      <c r="B164" s="66" t="s">
        <v>603</v>
      </c>
      <c r="C164" s="50">
        <f t="shared" si="45"/>
        <v>691836.58</v>
      </c>
      <c r="D164" s="51">
        <f t="shared" si="46"/>
        <v>0</v>
      </c>
      <c r="E164" s="51"/>
      <c r="F164" s="51"/>
      <c r="G164" s="51"/>
      <c r="H164" s="51"/>
      <c r="I164" s="51"/>
      <c r="J164" s="51"/>
      <c r="K164" s="51"/>
      <c r="L164" s="51"/>
      <c r="M164" s="51"/>
      <c r="N164" s="50"/>
      <c r="O164" s="82"/>
      <c r="P164" s="51"/>
      <c r="Q164" s="82"/>
      <c r="R164" s="50"/>
      <c r="S164" s="68"/>
      <c r="T164" s="82"/>
      <c r="U164" s="51"/>
      <c r="V164" s="51"/>
      <c r="W164" s="178">
        <f t="shared" si="47"/>
        <v>691836.58</v>
      </c>
      <c r="X164" s="141"/>
      <c r="Y164" s="48"/>
      <c r="Z164" s="61"/>
      <c r="AA164" s="62"/>
      <c r="AB164" s="62"/>
      <c r="AC164" s="63">
        <v>196357.52</v>
      </c>
      <c r="AD164" s="63"/>
      <c r="AE164" s="63">
        <v>495479.06</v>
      </c>
      <c r="AF164" s="58"/>
      <c r="AG164" s="58"/>
    </row>
    <row r="165" spans="1:33" x14ac:dyDescent="0.3">
      <c r="A165" s="59">
        <f t="shared" si="48"/>
        <v>103</v>
      </c>
      <c r="B165" s="66" t="s">
        <v>604</v>
      </c>
      <c r="C165" s="50">
        <f t="shared" si="45"/>
        <v>120212.32</v>
      </c>
      <c r="D165" s="51">
        <f t="shared" si="46"/>
        <v>0</v>
      </c>
      <c r="E165" s="51"/>
      <c r="F165" s="51"/>
      <c r="G165" s="51"/>
      <c r="H165" s="51"/>
      <c r="I165" s="51"/>
      <c r="J165" s="51"/>
      <c r="K165" s="51"/>
      <c r="L165" s="51"/>
      <c r="M165" s="51"/>
      <c r="N165" s="50"/>
      <c r="O165" s="82"/>
      <c r="P165" s="51"/>
      <c r="Q165" s="82"/>
      <c r="R165" s="50"/>
      <c r="S165" s="68"/>
      <c r="T165" s="82"/>
      <c r="U165" s="51"/>
      <c r="V165" s="51"/>
      <c r="W165" s="178">
        <f t="shared" si="47"/>
        <v>120212.32</v>
      </c>
      <c r="X165" s="141"/>
      <c r="Y165" s="48"/>
      <c r="Z165" s="61"/>
      <c r="AA165" s="62"/>
      <c r="AB165" s="62"/>
      <c r="AC165" s="63">
        <v>120212.32</v>
      </c>
      <c r="AD165" s="62"/>
      <c r="AE165" s="62"/>
      <c r="AF165" s="58"/>
      <c r="AG165" s="58"/>
    </row>
    <row r="166" spans="1:33" x14ac:dyDescent="0.3">
      <c r="A166" s="59">
        <f t="shared" si="48"/>
        <v>104</v>
      </c>
      <c r="B166" s="66" t="s">
        <v>606</v>
      </c>
      <c r="C166" s="50">
        <f t="shared" si="45"/>
        <v>795700.74</v>
      </c>
      <c r="D166" s="51">
        <f t="shared" si="46"/>
        <v>0</v>
      </c>
      <c r="E166" s="51"/>
      <c r="F166" s="51"/>
      <c r="G166" s="51"/>
      <c r="H166" s="51"/>
      <c r="I166" s="51"/>
      <c r="J166" s="51"/>
      <c r="K166" s="51"/>
      <c r="L166" s="51"/>
      <c r="M166" s="51"/>
      <c r="N166" s="50"/>
      <c r="O166" s="82"/>
      <c r="P166" s="51"/>
      <c r="Q166" s="82"/>
      <c r="R166" s="50"/>
      <c r="S166" s="68"/>
      <c r="T166" s="82"/>
      <c r="U166" s="51"/>
      <c r="V166" s="51"/>
      <c r="W166" s="178">
        <f t="shared" si="47"/>
        <v>795700.74</v>
      </c>
      <c r="X166" s="144">
        <v>71729.27</v>
      </c>
      <c r="Y166" s="172">
        <v>86510.93</v>
      </c>
      <c r="Z166" s="520">
        <v>72088.92</v>
      </c>
      <c r="AA166" s="478"/>
      <c r="AB166" s="63">
        <v>69005.710000000006</v>
      </c>
      <c r="AC166" s="63">
        <v>139550.69</v>
      </c>
      <c r="AD166" s="63"/>
      <c r="AE166" s="63">
        <v>356815.22</v>
      </c>
      <c r="AF166" s="58"/>
      <c r="AG166" s="58"/>
    </row>
    <row r="167" spans="1:33" x14ac:dyDescent="0.3">
      <c r="A167" s="59">
        <f t="shared" si="48"/>
        <v>105</v>
      </c>
      <c r="B167" s="66" t="s">
        <v>607</v>
      </c>
      <c r="C167" s="50">
        <f t="shared" si="45"/>
        <v>691836.58</v>
      </c>
      <c r="D167" s="51">
        <f t="shared" si="46"/>
        <v>0</v>
      </c>
      <c r="E167" s="51"/>
      <c r="F167" s="51"/>
      <c r="G167" s="51"/>
      <c r="H167" s="51"/>
      <c r="I167" s="51"/>
      <c r="J167" s="51"/>
      <c r="K167" s="51"/>
      <c r="L167" s="51"/>
      <c r="M167" s="51"/>
      <c r="N167" s="50"/>
      <c r="O167" s="82"/>
      <c r="P167" s="51"/>
      <c r="Q167" s="82"/>
      <c r="R167" s="50"/>
      <c r="S167" s="68"/>
      <c r="T167" s="82"/>
      <c r="U167" s="51"/>
      <c r="V167" s="51"/>
      <c r="W167" s="178">
        <f t="shared" si="47"/>
        <v>691836.58</v>
      </c>
      <c r="X167" s="141"/>
      <c r="Y167" s="62"/>
      <c r="Z167" s="62"/>
      <c r="AA167" s="62"/>
      <c r="AB167" s="62"/>
      <c r="AC167" s="63">
        <v>196357.52</v>
      </c>
      <c r="AD167" s="63"/>
      <c r="AE167" s="63">
        <v>495479.06</v>
      </c>
      <c r="AF167" s="58"/>
      <c r="AG167" s="58"/>
    </row>
    <row r="168" spans="1:33" x14ac:dyDescent="0.3">
      <c r="A168" s="59">
        <f t="shared" si="48"/>
        <v>106</v>
      </c>
      <c r="B168" s="66" t="s">
        <v>608</v>
      </c>
      <c r="C168" s="50">
        <f t="shared" si="45"/>
        <v>130000</v>
      </c>
      <c r="D168" s="51">
        <f t="shared" si="46"/>
        <v>0</v>
      </c>
      <c r="E168" s="51"/>
      <c r="F168" s="51"/>
      <c r="G168" s="51"/>
      <c r="H168" s="51"/>
      <c r="I168" s="51"/>
      <c r="J168" s="51"/>
      <c r="K168" s="51"/>
      <c r="L168" s="51"/>
      <c r="M168" s="51"/>
      <c r="N168" s="50"/>
      <c r="O168" s="82"/>
      <c r="P168" s="51"/>
      <c r="Q168" s="82"/>
      <c r="R168" s="50"/>
      <c r="S168" s="68"/>
      <c r="T168" s="82"/>
      <c r="U168" s="51"/>
      <c r="V168" s="51"/>
      <c r="W168" s="178">
        <v>130000</v>
      </c>
      <c r="X168" s="141"/>
      <c r="Y168" s="62"/>
      <c r="Z168" s="62"/>
      <c r="AA168" s="62"/>
      <c r="AB168" s="62"/>
      <c r="AC168" s="62"/>
      <c r="AD168" s="62"/>
      <c r="AE168" s="62"/>
      <c r="AF168" s="58"/>
      <c r="AG168" s="58"/>
    </row>
    <row r="169" spans="1:33" x14ac:dyDescent="0.3">
      <c r="A169" s="59"/>
      <c r="B169" s="66" t="s">
        <v>211</v>
      </c>
      <c r="C169" s="50">
        <f>SUM(C163:C168)</f>
        <v>3047333.88</v>
      </c>
      <c r="D169" s="50">
        <f t="shared" ref="D169:W169" si="49">SUM(D163:D168)</f>
        <v>0</v>
      </c>
      <c r="E169" s="50">
        <f t="shared" si="49"/>
        <v>0</v>
      </c>
      <c r="F169" s="50">
        <f t="shared" si="49"/>
        <v>0</v>
      </c>
      <c r="G169" s="50">
        <f t="shared" si="49"/>
        <v>0</v>
      </c>
      <c r="H169" s="50">
        <f t="shared" si="49"/>
        <v>0</v>
      </c>
      <c r="I169" s="50">
        <f t="shared" si="49"/>
        <v>0</v>
      </c>
      <c r="J169" s="50">
        <f t="shared" si="49"/>
        <v>0</v>
      </c>
      <c r="K169" s="50">
        <f t="shared" si="49"/>
        <v>0</v>
      </c>
      <c r="L169" s="50">
        <f t="shared" si="49"/>
        <v>0</v>
      </c>
      <c r="M169" s="50">
        <f t="shared" si="49"/>
        <v>0</v>
      </c>
      <c r="N169" s="50">
        <f t="shared" si="49"/>
        <v>0</v>
      </c>
      <c r="O169" s="68">
        <f t="shared" si="49"/>
        <v>0</v>
      </c>
      <c r="P169" s="50">
        <f t="shared" si="49"/>
        <v>0</v>
      </c>
      <c r="Q169" s="68">
        <f t="shared" si="49"/>
        <v>0</v>
      </c>
      <c r="R169" s="50">
        <f t="shared" si="49"/>
        <v>0</v>
      </c>
      <c r="S169" s="68">
        <f t="shared" si="49"/>
        <v>0</v>
      </c>
      <c r="T169" s="68">
        <f t="shared" si="49"/>
        <v>0</v>
      </c>
      <c r="U169" s="50">
        <f t="shared" si="49"/>
        <v>0</v>
      </c>
      <c r="V169" s="50">
        <f t="shared" si="49"/>
        <v>0</v>
      </c>
      <c r="W169" s="34">
        <f t="shared" si="49"/>
        <v>3047333.88</v>
      </c>
      <c r="X169" s="144"/>
      <c r="Y169" s="63"/>
      <c r="Z169" s="63"/>
      <c r="AA169" s="63"/>
      <c r="AB169" s="63"/>
      <c r="AC169" s="63"/>
      <c r="AD169" s="63"/>
      <c r="AE169" s="63"/>
      <c r="AF169" s="63"/>
      <c r="AG169" s="58"/>
    </row>
    <row r="170" spans="1:33" ht="31.2" x14ac:dyDescent="0.3">
      <c r="A170" s="59"/>
      <c r="B170" s="66" t="s">
        <v>610</v>
      </c>
      <c r="C170" s="50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0"/>
      <c r="O170" s="82"/>
      <c r="P170" s="51"/>
      <c r="Q170" s="82"/>
      <c r="R170" s="50"/>
      <c r="S170" s="68"/>
      <c r="T170" s="82"/>
      <c r="U170" s="51"/>
      <c r="V170" s="51"/>
      <c r="W170" s="178"/>
      <c r="X170" s="144"/>
      <c r="Y170" s="63"/>
      <c r="Z170" s="63"/>
      <c r="AA170" s="63"/>
      <c r="AB170" s="63"/>
      <c r="AC170" s="63"/>
      <c r="AD170" s="63"/>
      <c r="AE170" s="63"/>
      <c r="AF170" s="63"/>
      <c r="AG170" s="58"/>
    </row>
    <row r="171" spans="1:33" x14ac:dyDescent="0.3">
      <c r="A171" s="59">
        <f>A168+1</f>
        <v>107</v>
      </c>
      <c r="B171" s="66" t="s">
        <v>609</v>
      </c>
      <c r="C171" s="50">
        <f t="shared" ref="C171:C186" si="50">D171+K171+L171+N171+R171+S171+U171+V171+W171</f>
        <v>433240.23000000004</v>
      </c>
      <c r="D171" s="51">
        <f>E171+F171+G171+H171+I171</f>
        <v>0</v>
      </c>
      <c r="E171" s="51"/>
      <c r="F171" s="51"/>
      <c r="G171" s="51"/>
      <c r="H171" s="51"/>
      <c r="I171" s="51"/>
      <c r="J171" s="51"/>
      <c r="K171" s="51"/>
      <c r="L171" s="51"/>
      <c r="M171" s="51"/>
      <c r="N171" s="50"/>
      <c r="O171" s="82"/>
      <c r="P171" s="51"/>
      <c r="Q171" s="82"/>
      <c r="R171" s="50"/>
      <c r="S171" s="68"/>
      <c r="T171" s="82"/>
      <c r="U171" s="51"/>
      <c r="V171" s="51"/>
      <c r="W171" s="178">
        <f>SUM(X171:AF171)</f>
        <v>433240.23000000004</v>
      </c>
      <c r="X171" s="144"/>
      <c r="Y171" s="63">
        <v>151931.57</v>
      </c>
      <c r="Z171" s="63">
        <v>114715.84</v>
      </c>
      <c r="AA171" s="63"/>
      <c r="AB171" s="63"/>
      <c r="AC171" s="63"/>
      <c r="AD171" s="63">
        <v>166592.82</v>
      </c>
      <c r="AE171" s="63"/>
      <c r="AF171" s="63"/>
      <c r="AG171" s="58"/>
    </row>
    <row r="172" spans="1:33" x14ac:dyDescent="0.3">
      <c r="A172" s="59">
        <f>A171+1</f>
        <v>108</v>
      </c>
      <c r="B172" s="66" t="s">
        <v>628</v>
      </c>
      <c r="C172" s="50">
        <f t="shared" si="50"/>
        <v>70691.03</v>
      </c>
      <c r="D172" s="51">
        <f t="shared" ref="D172:D186" si="51">E172+F172+G172+H172+I172</f>
        <v>0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0"/>
      <c r="O172" s="82"/>
      <c r="P172" s="51"/>
      <c r="Q172" s="82"/>
      <c r="R172" s="50"/>
      <c r="S172" s="68"/>
      <c r="T172" s="82"/>
      <c r="U172" s="51"/>
      <c r="V172" s="51"/>
      <c r="W172" s="178">
        <f t="shared" si="47"/>
        <v>70691.03</v>
      </c>
      <c r="X172" s="144">
        <v>70691.03</v>
      </c>
      <c r="Y172" s="63"/>
      <c r="Z172" s="63"/>
      <c r="AA172" s="63"/>
      <c r="AB172" s="63"/>
      <c r="AC172" s="63"/>
      <c r="AD172" s="63"/>
      <c r="AE172" s="63"/>
      <c r="AF172" s="63"/>
      <c r="AG172" s="58"/>
    </row>
    <row r="173" spans="1:33" x14ac:dyDescent="0.3">
      <c r="A173" s="59">
        <f t="shared" ref="A173:A178" si="52">A172+1</f>
        <v>109</v>
      </c>
      <c r="B173" s="66" t="s">
        <v>629</v>
      </c>
      <c r="C173" s="50">
        <f t="shared" si="50"/>
        <v>1469311.36</v>
      </c>
      <c r="D173" s="51">
        <f t="shared" si="51"/>
        <v>0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0"/>
      <c r="O173" s="82"/>
      <c r="P173" s="51"/>
      <c r="Q173" s="82"/>
      <c r="R173" s="50"/>
      <c r="S173" s="68"/>
      <c r="T173" s="82"/>
      <c r="U173" s="51"/>
      <c r="V173" s="51"/>
      <c r="W173" s="178">
        <f t="shared" si="47"/>
        <v>1469311.36</v>
      </c>
      <c r="X173" s="144"/>
      <c r="Y173" s="63"/>
      <c r="Z173" s="63"/>
      <c r="AA173" s="63"/>
      <c r="AB173" s="63"/>
      <c r="AC173" s="63"/>
      <c r="AD173" s="63"/>
      <c r="AE173" s="63">
        <v>1469311.36</v>
      </c>
      <c r="AF173" s="63"/>
      <c r="AG173" s="58"/>
    </row>
    <row r="174" spans="1:33" x14ac:dyDescent="0.3">
      <c r="A174" s="59">
        <f t="shared" si="52"/>
        <v>110</v>
      </c>
      <c r="B174" s="66" t="s">
        <v>630</v>
      </c>
      <c r="C174" s="50">
        <f t="shared" si="50"/>
        <v>104134.33</v>
      </c>
      <c r="D174" s="51">
        <f t="shared" si="51"/>
        <v>0</v>
      </c>
      <c r="E174" s="51"/>
      <c r="F174" s="51"/>
      <c r="G174" s="51"/>
      <c r="H174" s="51"/>
      <c r="I174" s="51"/>
      <c r="J174" s="51"/>
      <c r="K174" s="51"/>
      <c r="L174" s="51"/>
      <c r="M174" s="51"/>
      <c r="N174" s="50"/>
      <c r="O174" s="82"/>
      <c r="P174" s="51"/>
      <c r="Q174" s="82"/>
      <c r="R174" s="50"/>
      <c r="S174" s="68"/>
      <c r="T174" s="82"/>
      <c r="U174" s="51"/>
      <c r="V174" s="51"/>
      <c r="W174" s="178">
        <f t="shared" si="47"/>
        <v>104134.33</v>
      </c>
      <c r="X174" s="144">
        <v>104134.33</v>
      </c>
      <c r="Y174" s="63"/>
      <c r="Z174" s="63"/>
      <c r="AA174" s="63"/>
      <c r="AB174" s="63"/>
      <c r="AC174" s="63"/>
      <c r="AD174" s="63"/>
      <c r="AE174" s="63"/>
      <c r="AF174" s="63"/>
      <c r="AG174" s="58"/>
    </row>
    <row r="175" spans="1:33" x14ac:dyDescent="0.3">
      <c r="A175" s="59">
        <f t="shared" si="52"/>
        <v>111</v>
      </c>
      <c r="B175" s="66" t="s">
        <v>631</v>
      </c>
      <c r="C175" s="50">
        <f t="shared" si="50"/>
        <v>1444649.53</v>
      </c>
      <c r="D175" s="51">
        <f t="shared" si="51"/>
        <v>0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0"/>
      <c r="O175" s="82"/>
      <c r="P175" s="51"/>
      <c r="Q175" s="82"/>
      <c r="R175" s="50"/>
      <c r="S175" s="68"/>
      <c r="T175" s="82"/>
      <c r="U175" s="51"/>
      <c r="V175" s="51"/>
      <c r="W175" s="178">
        <f t="shared" si="47"/>
        <v>1444649.53</v>
      </c>
      <c r="X175" s="144"/>
      <c r="Y175" s="63"/>
      <c r="Z175" s="63"/>
      <c r="AA175" s="63"/>
      <c r="AB175" s="63"/>
      <c r="AC175" s="63"/>
      <c r="AD175" s="63"/>
      <c r="AE175" s="63">
        <v>1444649.53</v>
      </c>
      <c r="AF175" s="63"/>
      <c r="AG175" s="58"/>
    </row>
    <row r="176" spans="1:33" x14ac:dyDescent="0.3">
      <c r="A176" s="59">
        <f t="shared" si="52"/>
        <v>112</v>
      </c>
      <c r="B176" s="66" t="s">
        <v>632</v>
      </c>
      <c r="C176" s="50">
        <f t="shared" si="50"/>
        <v>103913.86</v>
      </c>
      <c r="D176" s="51">
        <f t="shared" si="51"/>
        <v>0</v>
      </c>
      <c r="E176" s="51"/>
      <c r="F176" s="51"/>
      <c r="G176" s="51"/>
      <c r="H176" s="51"/>
      <c r="I176" s="51"/>
      <c r="J176" s="51"/>
      <c r="K176" s="51"/>
      <c r="L176" s="51"/>
      <c r="M176" s="51"/>
      <c r="N176" s="50"/>
      <c r="O176" s="82"/>
      <c r="P176" s="51"/>
      <c r="Q176" s="82"/>
      <c r="R176" s="50"/>
      <c r="S176" s="68"/>
      <c r="T176" s="82"/>
      <c r="U176" s="51"/>
      <c r="V176" s="51"/>
      <c r="W176" s="178">
        <f t="shared" si="47"/>
        <v>103913.86</v>
      </c>
      <c r="X176" s="144">
        <v>103913.86</v>
      </c>
      <c r="Y176" s="63"/>
      <c r="Z176" s="63"/>
      <c r="AA176" s="63"/>
      <c r="AB176" s="63"/>
      <c r="AC176" s="63"/>
      <c r="AD176" s="63"/>
      <c r="AE176" s="63"/>
      <c r="AF176" s="63"/>
      <c r="AG176" s="58"/>
    </row>
    <row r="177" spans="1:33" x14ac:dyDescent="0.3">
      <c r="A177" s="59">
        <f t="shared" si="52"/>
        <v>113</v>
      </c>
      <c r="B177" s="66" t="s">
        <v>633</v>
      </c>
      <c r="C177" s="50">
        <f t="shared" si="50"/>
        <v>551760.11</v>
      </c>
      <c r="D177" s="51">
        <f t="shared" si="51"/>
        <v>0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0"/>
      <c r="O177" s="82"/>
      <c r="P177" s="51"/>
      <c r="Q177" s="82"/>
      <c r="R177" s="50"/>
      <c r="S177" s="68"/>
      <c r="T177" s="82"/>
      <c r="U177" s="51"/>
      <c r="V177" s="51"/>
      <c r="W177" s="178">
        <f t="shared" si="47"/>
        <v>551760.11</v>
      </c>
      <c r="X177" s="144"/>
      <c r="Y177" s="63"/>
      <c r="Z177" s="63"/>
      <c r="AA177" s="63"/>
      <c r="AB177" s="63"/>
      <c r="AC177" s="63"/>
      <c r="AD177" s="63"/>
      <c r="AE177" s="63">
        <v>551760.11</v>
      </c>
      <c r="AF177" s="63"/>
      <c r="AG177" s="58"/>
    </row>
    <row r="178" spans="1:33" x14ac:dyDescent="0.3">
      <c r="A178" s="59">
        <f t="shared" si="52"/>
        <v>114</v>
      </c>
      <c r="B178" s="66" t="s">
        <v>634</v>
      </c>
      <c r="C178" s="50">
        <f t="shared" si="50"/>
        <v>283358.82</v>
      </c>
      <c r="D178" s="51">
        <f t="shared" si="51"/>
        <v>0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0"/>
      <c r="O178" s="82"/>
      <c r="P178" s="51"/>
      <c r="Q178" s="82"/>
      <c r="R178" s="50"/>
      <c r="S178" s="68"/>
      <c r="T178" s="82"/>
      <c r="U178" s="51"/>
      <c r="V178" s="51"/>
      <c r="W178" s="178">
        <f t="shared" si="47"/>
        <v>283358.82</v>
      </c>
      <c r="X178" s="144"/>
      <c r="Y178" s="63"/>
      <c r="Z178" s="63"/>
      <c r="AA178" s="63"/>
      <c r="AB178" s="63"/>
      <c r="AC178" s="63"/>
      <c r="AD178" s="63">
        <v>283358.82</v>
      </c>
      <c r="AE178" s="63"/>
      <c r="AF178" s="63"/>
      <c r="AG178" s="58"/>
    </row>
    <row r="179" spans="1:33" x14ac:dyDescent="0.3">
      <c r="A179" s="59">
        <f t="shared" ref="A179:A186" si="53">A178+1</f>
        <v>115</v>
      </c>
      <c r="B179" s="66" t="s">
        <v>635</v>
      </c>
      <c r="C179" s="50">
        <f t="shared" si="50"/>
        <v>225087.2</v>
      </c>
      <c r="D179" s="51">
        <f t="shared" si="51"/>
        <v>0</v>
      </c>
      <c r="E179" s="51"/>
      <c r="F179" s="51"/>
      <c r="G179" s="51"/>
      <c r="H179" s="51"/>
      <c r="I179" s="51"/>
      <c r="J179" s="51"/>
      <c r="K179" s="51"/>
      <c r="L179" s="51"/>
      <c r="M179" s="51"/>
      <c r="N179" s="50"/>
      <c r="O179" s="82"/>
      <c r="P179" s="51"/>
      <c r="Q179" s="82"/>
      <c r="R179" s="50"/>
      <c r="S179" s="68"/>
      <c r="T179" s="82"/>
      <c r="U179" s="51"/>
      <c r="V179" s="51"/>
      <c r="W179" s="178">
        <f t="shared" si="47"/>
        <v>225087.2</v>
      </c>
      <c r="X179" s="144"/>
      <c r="Y179" s="63"/>
      <c r="Z179" s="63"/>
      <c r="AA179" s="63"/>
      <c r="AB179" s="63"/>
      <c r="AC179" s="63"/>
      <c r="AD179" s="63">
        <v>225087.2</v>
      </c>
      <c r="AE179" s="63"/>
      <c r="AF179" s="63"/>
      <c r="AG179" s="58"/>
    </row>
    <row r="180" spans="1:33" x14ac:dyDescent="0.3">
      <c r="A180" s="59">
        <f t="shared" si="53"/>
        <v>116</v>
      </c>
      <c r="B180" s="66" t="s">
        <v>636</v>
      </c>
      <c r="C180" s="50">
        <f t="shared" si="50"/>
        <v>551760.11</v>
      </c>
      <c r="D180" s="51">
        <f t="shared" si="51"/>
        <v>0</v>
      </c>
      <c r="E180" s="51"/>
      <c r="F180" s="51"/>
      <c r="G180" s="51"/>
      <c r="H180" s="51"/>
      <c r="I180" s="51"/>
      <c r="J180" s="51"/>
      <c r="K180" s="51"/>
      <c r="L180" s="51"/>
      <c r="M180" s="51"/>
      <c r="N180" s="50"/>
      <c r="O180" s="82"/>
      <c r="P180" s="51"/>
      <c r="Q180" s="82"/>
      <c r="R180" s="50"/>
      <c r="S180" s="68"/>
      <c r="T180" s="82"/>
      <c r="U180" s="51"/>
      <c r="V180" s="51"/>
      <c r="W180" s="178">
        <f t="shared" si="47"/>
        <v>551760.11</v>
      </c>
      <c r="X180" s="144"/>
      <c r="Y180" s="63"/>
      <c r="Z180" s="63"/>
      <c r="AA180" s="63"/>
      <c r="AB180" s="63"/>
      <c r="AC180" s="63"/>
      <c r="AD180" s="63"/>
      <c r="AE180" s="63">
        <v>551760.11</v>
      </c>
      <c r="AF180" s="63"/>
      <c r="AG180" s="58"/>
    </row>
    <row r="181" spans="1:33" x14ac:dyDescent="0.3">
      <c r="A181" s="59">
        <f t="shared" si="53"/>
        <v>117</v>
      </c>
      <c r="B181" s="66" t="s">
        <v>637</v>
      </c>
      <c r="C181" s="50">
        <f t="shared" si="50"/>
        <v>279213.73</v>
      </c>
      <c r="D181" s="51">
        <f t="shared" si="51"/>
        <v>0</v>
      </c>
      <c r="E181" s="51"/>
      <c r="F181" s="51"/>
      <c r="G181" s="51"/>
      <c r="H181" s="51"/>
      <c r="I181" s="51"/>
      <c r="J181" s="51"/>
      <c r="K181" s="51"/>
      <c r="L181" s="51"/>
      <c r="M181" s="51"/>
      <c r="N181" s="50"/>
      <c r="O181" s="82"/>
      <c r="P181" s="51"/>
      <c r="Q181" s="82"/>
      <c r="R181" s="50"/>
      <c r="S181" s="68"/>
      <c r="T181" s="82"/>
      <c r="U181" s="51"/>
      <c r="V181" s="51"/>
      <c r="W181" s="178">
        <f t="shared" si="47"/>
        <v>279213.73</v>
      </c>
      <c r="X181" s="144"/>
      <c r="Y181" s="63"/>
      <c r="Z181" s="63"/>
      <c r="AA181" s="63"/>
      <c r="AB181" s="63"/>
      <c r="AC181" s="63"/>
      <c r="AD181" s="63">
        <v>279213.73</v>
      </c>
      <c r="AE181" s="63"/>
      <c r="AF181" s="63"/>
      <c r="AG181" s="58"/>
    </row>
    <row r="182" spans="1:33" x14ac:dyDescent="0.3">
      <c r="A182" s="59">
        <f t="shared" si="53"/>
        <v>118</v>
      </c>
      <c r="B182" s="66" t="s">
        <v>638</v>
      </c>
      <c r="C182" s="50">
        <f t="shared" si="50"/>
        <v>551760.11</v>
      </c>
      <c r="D182" s="51">
        <f t="shared" si="51"/>
        <v>0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0"/>
      <c r="O182" s="82"/>
      <c r="P182" s="51"/>
      <c r="Q182" s="82"/>
      <c r="R182" s="50"/>
      <c r="S182" s="68"/>
      <c r="T182" s="82"/>
      <c r="U182" s="51"/>
      <c r="V182" s="51"/>
      <c r="W182" s="178">
        <f t="shared" si="47"/>
        <v>551760.11</v>
      </c>
      <c r="X182" s="144"/>
      <c r="Y182" s="63"/>
      <c r="Z182" s="63"/>
      <c r="AA182" s="63"/>
      <c r="AB182" s="63"/>
      <c r="AC182" s="63"/>
      <c r="AD182" s="63"/>
      <c r="AE182" s="63">
        <v>551760.11</v>
      </c>
      <c r="AF182" s="63"/>
      <c r="AG182" s="58"/>
    </row>
    <row r="183" spans="1:33" x14ac:dyDescent="0.3">
      <c r="A183" s="59">
        <f t="shared" si="53"/>
        <v>119</v>
      </c>
      <c r="B183" s="66" t="s">
        <v>639</v>
      </c>
      <c r="C183" s="50">
        <f t="shared" si="50"/>
        <v>502773.12</v>
      </c>
      <c r="D183" s="51">
        <f t="shared" si="51"/>
        <v>0</v>
      </c>
      <c r="E183" s="51"/>
      <c r="F183" s="51"/>
      <c r="G183" s="51"/>
      <c r="H183" s="51"/>
      <c r="I183" s="51"/>
      <c r="J183" s="51"/>
      <c r="K183" s="51"/>
      <c r="L183" s="51"/>
      <c r="M183" s="51"/>
      <c r="N183" s="50"/>
      <c r="O183" s="82"/>
      <c r="P183" s="51"/>
      <c r="Q183" s="82"/>
      <c r="R183" s="50"/>
      <c r="S183" s="68"/>
      <c r="T183" s="82"/>
      <c r="U183" s="51"/>
      <c r="V183" s="51"/>
      <c r="W183" s="178">
        <f>SUM(X183:AF183)</f>
        <v>502773.12</v>
      </c>
      <c r="X183" s="144">
        <v>189312.7</v>
      </c>
      <c r="Y183" s="63"/>
      <c r="Z183" s="63"/>
      <c r="AA183" s="63"/>
      <c r="AB183" s="63"/>
      <c r="AC183" s="63"/>
      <c r="AD183" s="63">
        <v>313460.42</v>
      </c>
      <c r="AE183" s="63"/>
      <c r="AF183" s="63"/>
      <c r="AG183" s="58"/>
    </row>
    <row r="184" spans="1:33" x14ac:dyDescent="0.3">
      <c r="A184" s="59">
        <f t="shared" si="53"/>
        <v>120</v>
      </c>
      <c r="B184" s="66" t="s">
        <v>640</v>
      </c>
      <c r="C184" s="50">
        <f t="shared" si="50"/>
        <v>193195.95</v>
      </c>
      <c r="D184" s="51">
        <f t="shared" si="51"/>
        <v>0</v>
      </c>
      <c r="E184" s="51"/>
      <c r="F184" s="51"/>
      <c r="G184" s="51"/>
      <c r="H184" s="51"/>
      <c r="I184" s="51"/>
      <c r="J184" s="51"/>
      <c r="K184" s="51"/>
      <c r="L184" s="51"/>
      <c r="M184" s="51"/>
      <c r="N184" s="50"/>
      <c r="O184" s="82"/>
      <c r="P184" s="51"/>
      <c r="Q184" s="82"/>
      <c r="R184" s="50"/>
      <c r="S184" s="68"/>
      <c r="T184" s="82"/>
      <c r="U184" s="51"/>
      <c r="V184" s="51"/>
      <c r="W184" s="178">
        <f t="shared" si="47"/>
        <v>193195.95</v>
      </c>
      <c r="X184" s="144"/>
      <c r="Y184" s="63">
        <v>106536.02</v>
      </c>
      <c r="Z184" s="63">
        <v>86659.93</v>
      </c>
      <c r="AA184" s="63"/>
      <c r="AB184" s="63"/>
      <c r="AC184" s="63"/>
      <c r="AD184" s="63"/>
      <c r="AE184" s="63"/>
      <c r="AF184" s="63"/>
      <c r="AG184" s="58"/>
    </row>
    <row r="185" spans="1:33" x14ac:dyDescent="0.3">
      <c r="A185" s="59">
        <f t="shared" si="53"/>
        <v>121</v>
      </c>
      <c r="B185" s="66" t="s">
        <v>641</v>
      </c>
      <c r="C185" s="50">
        <f t="shared" si="50"/>
        <v>273361.01</v>
      </c>
      <c r="D185" s="51">
        <f t="shared" si="51"/>
        <v>0</v>
      </c>
      <c r="E185" s="51"/>
      <c r="F185" s="51"/>
      <c r="G185" s="51"/>
      <c r="H185" s="51"/>
      <c r="I185" s="51"/>
      <c r="J185" s="51"/>
      <c r="K185" s="51"/>
      <c r="L185" s="51"/>
      <c r="M185" s="51"/>
      <c r="N185" s="50"/>
      <c r="O185" s="82"/>
      <c r="P185" s="51"/>
      <c r="Q185" s="82"/>
      <c r="R185" s="50"/>
      <c r="S185" s="68"/>
      <c r="T185" s="82"/>
      <c r="U185" s="51"/>
      <c r="V185" s="51"/>
      <c r="W185" s="178">
        <f t="shared" si="47"/>
        <v>273361.01</v>
      </c>
      <c r="X185" s="144"/>
      <c r="Y185" s="63"/>
      <c r="Z185" s="63"/>
      <c r="AA185" s="63"/>
      <c r="AB185" s="63"/>
      <c r="AC185" s="63"/>
      <c r="AD185" s="63">
        <v>273361.01</v>
      </c>
      <c r="AE185" s="63"/>
      <c r="AF185" s="63"/>
      <c r="AG185" s="58"/>
    </row>
    <row r="186" spans="1:33" x14ac:dyDescent="0.3">
      <c r="A186" s="59">
        <f t="shared" si="53"/>
        <v>122</v>
      </c>
      <c r="B186" s="66" t="s">
        <v>642</v>
      </c>
      <c r="C186" s="50">
        <f t="shared" si="50"/>
        <v>218837.13</v>
      </c>
      <c r="D186" s="51">
        <f t="shared" si="51"/>
        <v>0</v>
      </c>
      <c r="E186" s="51"/>
      <c r="F186" s="51"/>
      <c r="G186" s="51"/>
      <c r="H186" s="51"/>
      <c r="I186" s="51"/>
      <c r="J186" s="51"/>
      <c r="K186" s="51"/>
      <c r="L186" s="51"/>
      <c r="M186" s="51"/>
      <c r="N186" s="50"/>
      <c r="O186" s="82"/>
      <c r="P186" s="51"/>
      <c r="Q186" s="82"/>
      <c r="R186" s="50"/>
      <c r="S186" s="68"/>
      <c r="T186" s="82"/>
      <c r="U186" s="51"/>
      <c r="V186" s="51"/>
      <c r="W186" s="178">
        <f t="shared" si="47"/>
        <v>218837.13</v>
      </c>
      <c r="X186" s="144"/>
      <c r="Y186" s="63">
        <v>119220.67</v>
      </c>
      <c r="Z186" s="63">
        <v>99616.46</v>
      </c>
      <c r="AA186" s="63"/>
      <c r="AB186" s="63"/>
      <c r="AC186" s="63"/>
      <c r="AD186" s="63"/>
      <c r="AE186" s="63"/>
      <c r="AF186" s="63"/>
      <c r="AG186" s="58"/>
    </row>
    <row r="187" spans="1:33" x14ac:dyDescent="0.3">
      <c r="A187" s="59"/>
      <c r="B187" s="66" t="s">
        <v>211</v>
      </c>
      <c r="C187" s="50">
        <f>SUM(C171:C186)</f>
        <v>7257047.6300000008</v>
      </c>
      <c r="D187" s="50">
        <f t="shared" ref="D187:W187" si="54">SUM(D172:D186)</f>
        <v>0</v>
      </c>
      <c r="E187" s="50">
        <f t="shared" si="54"/>
        <v>0</v>
      </c>
      <c r="F187" s="50">
        <f t="shared" si="54"/>
        <v>0</v>
      </c>
      <c r="G187" s="50">
        <f t="shared" si="54"/>
        <v>0</v>
      </c>
      <c r="H187" s="50">
        <f t="shared" si="54"/>
        <v>0</v>
      </c>
      <c r="I187" s="50">
        <f t="shared" si="54"/>
        <v>0</v>
      </c>
      <c r="J187" s="50">
        <f t="shared" si="54"/>
        <v>0</v>
      </c>
      <c r="K187" s="50">
        <f t="shared" si="54"/>
        <v>0</v>
      </c>
      <c r="L187" s="50">
        <f t="shared" si="54"/>
        <v>0</v>
      </c>
      <c r="M187" s="50">
        <f t="shared" si="54"/>
        <v>0</v>
      </c>
      <c r="N187" s="50">
        <f t="shared" si="54"/>
        <v>0</v>
      </c>
      <c r="O187" s="68">
        <f t="shared" si="54"/>
        <v>0</v>
      </c>
      <c r="P187" s="50">
        <f t="shared" si="54"/>
        <v>0</v>
      </c>
      <c r="Q187" s="68">
        <f t="shared" si="54"/>
        <v>0</v>
      </c>
      <c r="R187" s="50">
        <f t="shared" si="54"/>
        <v>0</v>
      </c>
      <c r="S187" s="68">
        <f t="shared" si="54"/>
        <v>0</v>
      </c>
      <c r="T187" s="68">
        <f t="shared" si="54"/>
        <v>0</v>
      </c>
      <c r="U187" s="50">
        <f t="shared" si="54"/>
        <v>0</v>
      </c>
      <c r="V187" s="50">
        <f t="shared" si="54"/>
        <v>0</v>
      </c>
      <c r="W187" s="34">
        <f t="shared" si="54"/>
        <v>6823807.4000000004</v>
      </c>
      <c r="X187" s="144"/>
      <c r="Y187" s="63"/>
      <c r="Z187" s="63"/>
      <c r="AA187" s="63"/>
      <c r="AB187" s="63"/>
      <c r="AC187" s="63"/>
      <c r="AD187" s="63"/>
      <c r="AE187" s="63"/>
      <c r="AF187" s="63"/>
      <c r="AG187" s="58"/>
    </row>
    <row r="188" spans="1:33" ht="31.2" x14ac:dyDescent="0.3">
      <c r="A188" s="59"/>
      <c r="B188" s="66" t="s">
        <v>643</v>
      </c>
      <c r="C188" s="50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0"/>
      <c r="O188" s="82"/>
      <c r="P188" s="51"/>
      <c r="Q188" s="82"/>
      <c r="R188" s="50"/>
      <c r="S188" s="68"/>
      <c r="T188" s="82"/>
      <c r="U188" s="51"/>
      <c r="V188" s="51"/>
      <c r="W188" s="178"/>
      <c r="X188" s="141"/>
      <c r="Y188" s="58"/>
      <c r="Z188" s="58"/>
      <c r="AA188" s="58"/>
      <c r="AB188" s="58"/>
      <c r="AC188" s="58"/>
      <c r="AD188" s="58"/>
      <c r="AE188" s="58"/>
      <c r="AF188" s="58"/>
      <c r="AG188" s="58"/>
    </row>
    <row r="189" spans="1:33" x14ac:dyDescent="0.3">
      <c r="A189" s="59">
        <f>A186+1</f>
        <v>123</v>
      </c>
      <c r="B189" s="66" t="s">
        <v>644</v>
      </c>
      <c r="C189" s="50">
        <f t="shared" ref="C189:C222" si="55">D189+K189+L189+N189+R189+S189+U189+V189+W189</f>
        <v>306158.86</v>
      </c>
      <c r="D189" s="51">
        <f t="shared" ref="D189:D222" si="56">E189+F189+G189+H189+I189</f>
        <v>0</v>
      </c>
      <c r="E189" s="51"/>
      <c r="F189" s="51"/>
      <c r="G189" s="51"/>
      <c r="H189" s="51"/>
      <c r="I189" s="51"/>
      <c r="J189" s="51"/>
      <c r="K189" s="51"/>
      <c r="L189" s="51"/>
      <c r="M189" s="51"/>
      <c r="N189" s="50"/>
      <c r="O189" s="82"/>
      <c r="P189" s="51"/>
      <c r="Q189" s="82"/>
      <c r="R189" s="50"/>
      <c r="S189" s="68"/>
      <c r="T189" s="82"/>
      <c r="U189" s="51"/>
      <c r="V189" s="51"/>
      <c r="W189" s="178">
        <f t="shared" si="47"/>
        <v>306158.86</v>
      </c>
      <c r="X189" s="144">
        <v>108685.5</v>
      </c>
      <c r="Y189" s="65"/>
      <c r="Z189" s="65"/>
      <c r="AA189" s="65"/>
      <c r="AB189" s="65"/>
      <c r="AC189" s="65">
        <v>197473.36</v>
      </c>
      <c r="AD189" s="58"/>
      <c r="AE189" s="58"/>
      <c r="AF189" s="58"/>
      <c r="AG189" s="58"/>
    </row>
    <row r="190" spans="1:33" x14ac:dyDescent="0.3">
      <c r="A190" s="59">
        <f t="shared" ref="A190:A222" si="57">A189+1</f>
        <v>124</v>
      </c>
      <c r="B190" s="66" t="s">
        <v>645</v>
      </c>
      <c r="C190" s="50">
        <f t="shared" si="55"/>
        <v>694255.5</v>
      </c>
      <c r="D190" s="51">
        <f t="shared" si="56"/>
        <v>0</v>
      </c>
      <c r="E190" s="51"/>
      <c r="F190" s="51"/>
      <c r="G190" s="51"/>
      <c r="H190" s="51"/>
      <c r="I190" s="51"/>
      <c r="J190" s="51"/>
      <c r="K190" s="51"/>
      <c r="L190" s="51"/>
      <c r="M190" s="51"/>
      <c r="N190" s="50"/>
      <c r="O190" s="82"/>
      <c r="P190" s="51"/>
      <c r="Q190" s="82"/>
      <c r="R190" s="50"/>
      <c r="S190" s="68"/>
      <c r="T190" s="82"/>
      <c r="U190" s="51"/>
      <c r="V190" s="51"/>
      <c r="W190" s="178">
        <f t="shared" si="47"/>
        <v>694255.5</v>
      </c>
      <c r="X190" s="141"/>
      <c r="Y190" s="58"/>
      <c r="Z190" s="58"/>
      <c r="AA190" s="58"/>
      <c r="AB190" s="58"/>
      <c r="AC190" s="65">
        <v>196526.74</v>
      </c>
      <c r="AD190" s="65"/>
      <c r="AE190" s="65">
        <v>497728.76</v>
      </c>
      <c r="AF190" s="58"/>
      <c r="AG190" s="58"/>
    </row>
    <row r="191" spans="1:33" x14ac:dyDescent="0.3">
      <c r="A191" s="59">
        <f t="shared" si="57"/>
        <v>125</v>
      </c>
      <c r="B191" s="66" t="s">
        <v>646</v>
      </c>
      <c r="C191" s="50">
        <f t="shared" si="55"/>
        <v>404622.37</v>
      </c>
      <c r="D191" s="51">
        <f t="shared" si="56"/>
        <v>0</v>
      </c>
      <c r="E191" s="51"/>
      <c r="F191" s="51"/>
      <c r="G191" s="51"/>
      <c r="H191" s="51"/>
      <c r="I191" s="51"/>
      <c r="J191" s="51"/>
      <c r="K191" s="51"/>
      <c r="L191" s="51"/>
      <c r="M191" s="51"/>
      <c r="N191" s="50"/>
      <c r="O191" s="82"/>
      <c r="P191" s="51"/>
      <c r="Q191" s="82"/>
      <c r="R191" s="50"/>
      <c r="S191" s="68"/>
      <c r="T191" s="82"/>
      <c r="U191" s="51"/>
      <c r="V191" s="51"/>
      <c r="W191" s="178">
        <f t="shared" si="47"/>
        <v>404622.37</v>
      </c>
      <c r="X191" s="141"/>
      <c r="Y191" s="58"/>
      <c r="Z191" s="58"/>
      <c r="AA191" s="58"/>
      <c r="AB191" s="58"/>
      <c r="AC191" s="65">
        <v>112804.1</v>
      </c>
      <c r="AD191" s="65"/>
      <c r="AE191" s="65">
        <v>291818.27</v>
      </c>
      <c r="AF191" s="58"/>
      <c r="AG191" s="58"/>
    </row>
    <row r="192" spans="1:33" x14ac:dyDescent="0.3">
      <c r="A192" s="59">
        <f t="shared" si="57"/>
        <v>126</v>
      </c>
      <c r="B192" s="66" t="s">
        <v>647</v>
      </c>
      <c r="C192" s="50">
        <f t="shared" si="55"/>
        <v>384756.16</v>
      </c>
      <c r="D192" s="51">
        <f t="shared" si="56"/>
        <v>0</v>
      </c>
      <c r="E192" s="51"/>
      <c r="F192" s="51"/>
      <c r="G192" s="51"/>
      <c r="H192" s="51"/>
      <c r="I192" s="51"/>
      <c r="J192" s="51"/>
      <c r="K192" s="51"/>
      <c r="L192" s="51"/>
      <c r="M192" s="51"/>
      <c r="N192" s="50"/>
      <c r="O192" s="82"/>
      <c r="P192" s="51"/>
      <c r="Q192" s="82"/>
      <c r="R192" s="50"/>
      <c r="S192" s="68"/>
      <c r="T192" s="82"/>
      <c r="U192" s="51"/>
      <c r="V192" s="51"/>
      <c r="W192" s="178">
        <f t="shared" si="47"/>
        <v>384756.16</v>
      </c>
      <c r="X192" s="144">
        <v>37759.550000000003</v>
      </c>
      <c r="Y192" s="58"/>
      <c r="Z192" s="58"/>
      <c r="AA192" s="58"/>
      <c r="AB192" s="58"/>
      <c r="AC192" s="65">
        <v>108952.06</v>
      </c>
      <c r="AD192" s="58"/>
      <c r="AE192" s="65">
        <v>141513.35</v>
      </c>
      <c r="AF192" s="65">
        <v>96531.199999999997</v>
      </c>
      <c r="AG192" s="58"/>
    </row>
    <row r="193" spans="1:33" x14ac:dyDescent="0.3">
      <c r="A193" s="59">
        <f t="shared" si="57"/>
        <v>127</v>
      </c>
      <c r="B193" s="66" t="s">
        <v>648</v>
      </c>
      <c r="C193" s="50">
        <f t="shared" si="55"/>
        <v>774114.43</v>
      </c>
      <c r="D193" s="51">
        <f t="shared" si="56"/>
        <v>0</v>
      </c>
      <c r="E193" s="51"/>
      <c r="F193" s="51"/>
      <c r="G193" s="51"/>
      <c r="H193" s="51"/>
      <c r="I193" s="51"/>
      <c r="J193" s="51"/>
      <c r="K193" s="51"/>
      <c r="L193" s="51"/>
      <c r="M193" s="51"/>
      <c r="N193" s="50"/>
      <c r="O193" s="82"/>
      <c r="P193" s="51"/>
      <c r="Q193" s="82"/>
      <c r="R193" s="50"/>
      <c r="S193" s="68"/>
      <c r="T193" s="82"/>
      <c r="U193" s="51"/>
      <c r="V193" s="51"/>
      <c r="W193" s="178">
        <f t="shared" si="47"/>
        <v>774114.43</v>
      </c>
      <c r="X193" s="144">
        <v>109952.32000000001</v>
      </c>
      <c r="Y193" s="65"/>
      <c r="Z193" s="65"/>
      <c r="AA193" s="65"/>
      <c r="AB193" s="65"/>
      <c r="AC193" s="65">
        <v>197210.4</v>
      </c>
      <c r="AD193" s="65"/>
      <c r="AE193" s="65">
        <v>344797.81</v>
      </c>
      <c r="AF193" s="65">
        <v>122153.9</v>
      </c>
      <c r="AG193" s="58"/>
    </row>
    <row r="194" spans="1:33" x14ac:dyDescent="0.3">
      <c r="A194" s="59">
        <f t="shared" si="57"/>
        <v>128</v>
      </c>
      <c r="B194" s="66" t="s">
        <v>649</v>
      </c>
      <c r="C194" s="50">
        <f t="shared" si="55"/>
        <v>130000</v>
      </c>
      <c r="D194" s="51">
        <f t="shared" si="56"/>
        <v>0</v>
      </c>
      <c r="E194" s="51"/>
      <c r="F194" s="51"/>
      <c r="G194" s="51"/>
      <c r="H194" s="51"/>
      <c r="I194" s="51"/>
      <c r="J194" s="51"/>
      <c r="K194" s="51"/>
      <c r="L194" s="51"/>
      <c r="M194" s="51"/>
      <c r="N194" s="50"/>
      <c r="O194" s="82"/>
      <c r="P194" s="51"/>
      <c r="Q194" s="82"/>
      <c r="R194" s="50"/>
      <c r="S194" s="68"/>
      <c r="T194" s="82"/>
      <c r="U194" s="51"/>
      <c r="V194" s="51"/>
      <c r="W194" s="178">
        <v>130000</v>
      </c>
      <c r="X194" s="141"/>
      <c r="Y194" s="58"/>
      <c r="Z194" s="58"/>
      <c r="AA194" s="58"/>
      <c r="AB194" s="58"/>
      <c r="AC194" s="58"/>
      <c r="AD194" s="58"/>
      <c r="AE194" s="58"/>
      <c r="AF194" s="58"/>
      <c r="AG194" s="58"/>
    </row>
    <row r="195" spans="1:33" x14ac:dyDescent="0.3">
      <c r="A195" s="59">
        <f t="shared" si="57"/>
        <v>129</v>
      </c>
      <c r="B195" s="66" t="s">
        <v>650</v>
      </c>
      <c r="C195" s="50">
        <f t="shared" si="55"/>
        <v>894929.09000000008</v>
      </c>
      <c r="D195" s="51">
        <f t="shared" si="56"/>
        <v>0</v>
      </c>
      <c r="E195" s="51"/>
      <c r="F195" s="51"/>
      <c r="G195" s="51"/>
      <c r="H195" s="51"/>
      <c r="I195" s="51"/>
      <c r="J195" s="51"/>
      <c r="K195" s="51"/>
      <c r="L195" s="51"/>
      <c r="M195" s="51"/>
      <c r="N195" s="50"/>
      <c r="O195" s="82"/>
      <c r="P195" s="51"/>
      <c r="Q195" s="82"/>
      <c r="R195" s="50"/>
      <c r="S195" s="68"/>
      <c r="T195" s="82"/>
      <c r="U195" s="51"/>
      <c r="V195" s="51"/>
      <c r="W195" s="178">
        <f t="shared" si="47"/>
        <v>894929.09000000008</v>
      </c>
      <c r="X195" s="141"/>
      <c r="Y195" s="58"/>
      <c r="Z195" s="58"/>
      <c r="AA195" s="58"/>
      <c r="AB195" s="58"/>
      <c r="AC195" s="65">
        <v>204753.67</v>
      </c>
      <c r="AD195" s="65">
        <v>170545.5</v>
      </c>
      <c r="AE195" s="65">
        <v>519629.92</v>
      </c>
      <c r="AF195" s="58"/>
      <c r="AG195" s="58"/>
    </row>
    <row r="196" spans="1:33" x14ac:dyDescent="0.3">
      <c r="A196" s="59">
        <f t="shared" si="57"/>
        <v>130</v>
      </c>
      <c r="B196" s="66" t="s">
        <v>651</v>
      </c>
      <c r="C196" s="50">
        <f t="shared" si="55"/>
        <v>415512.79</v>
      </c>
      <c r="D196" s="51">
        <f t="shared" si="56"/>
        <v>0</v>
      </c>
      <c r="E196" s="51"/>
      <c r="F196" s="51"/>
      <c r="G196" s="51"/>
      <c r="H196" s="51"/>
      <c r="I196" s="51"/>
      <c r="J196" s="51"/>
      <c r="K196" s="51"/>
      <c r="L196" s="51"/>
      <c r="M196" s="51"/>
      <c r="N196" s="50"/>
      <c r="O196" s="82"/>
      <c r="P196" s="51"/>
      <c r="Q196" s="82"/>
      <c r="R196" s="50"/>
      <c r="S196" s="68"/>
      <c r="T196" s="82"/>
      <c r="U196" s="51"/>
      <c r="V196" s="51"/>
      <c r="W196" s="178">
        <f t="shared" si="47"/>
        <v>415512.79</v>
      </c>
      <c r="X196" s="141"/>
      <c r="Y196" s="58"/>
      <c r="Z196" s="58"/>
      <c r="AA196" s="58"/>
      <c r="AB196" s="58"/>
      <c r="AC196" s="65">
        <v>115979.05</v>
      </c>
      <c r="AD196" s="65"/>
      <c r="AE196" s="65">
        <v>299533.74</v>
      </c>
      <c r="AF196" s="58"/>
      <c r="AG196" s="58"/>
    </row>
    <row r="197" spans="1:33" x14ac:dyDescent="0.3">
      <c r="A197" s="59">
        <f t="shared" si="57"/>
        <v>131</v>
      </c>
      <c r="B197" s="66" t="s">
        <v>652</v>
      </c>
      <c r="C197" s="50">
        <f t="shared" si="55"/>
        <v>505026.24</v>
      </c>
      <c r="D197" s="51">
        <f t="shared" si="56"/>
        <v>0</v>
      </c>
      <c r="E197" s="51"/>
      <c r="F197" s="51"/>
      <c r="G197" s="51"/>
      <c r="H197" s="51"/>
      <c r="I197" s="51"/>
      <c r="J197" s="51"/>
      <c r="K197" s="51"/>
      <c r="L197" s="51"/>
      <c r="M197" s="51"/>
      <c r="N197" s="50"/>
      <c r="O197" s="82"/>
      <c r="P197" s="51"/>
      <c r="Q197" s="82"/>
      <c r="R197" s="50"/>
      <c r="S197" s="68"/>
      <c r="T197" s="82"/>
      <c r="U197" s="51"/>
      <c r="V197" s="51"/>
      <c r="W197" s="178">
        <f t="shared" si="47"/>
        <v>505026.24</v>
      </c>
      <c r="X197" s="144">
        <v>64209.36</v>
      </c>
      <c r="Y197" s="65"/>
      <c r="Z197" s="65"/>
      <c r="AA197" s="65"/>
      <c r="AB197" s="65"/>
      <c r="AC197" s="65">
        <v>111824.09</v>
      </c>
      <c r="AD197" s="65"/>
      <c r="AE197" s="65">
        <v>328992.78999999998</v>
      </c>
      <c r="AF197" s="58"/>
      <c r="AG197" s="58"/>
    </row>
    <row r="198" spans="1:33" x14ac:dyDescent="0.3">
      <c r="A198" s="59">
        <f t="shared" si="57"/>
        <v>132</v>
      </c>
      <c r="B198" s="66" t="s">
        <v>653</v>
      </c>
      <c r="C198" s="50">
        <f t="shared" si="55"/>
        <v>692986.09</v>
      </c>
      <c r="D198" s="51">
        <f t="shared" si="56"/>
        <v>0</v>
      </c>
      <c r="E198" s="51"/>
      <c r="F198" s="51"/>
      <c r="G198" s="51"/>
      <c r="H198" s="51"/>
      <c r="I198" s="51"/>
      <c r="J198" s="51"/>
      <c r="K198" s="51"/>
      <c r="L198" s="51"/>
      <c r="M198" s="51"/>
      <c r="N198" s="50"/>
      <c r="O198" s="82"/>
      <c r="P198" s="51"/>
      <c r="Q198" s="82"/>
      <c r="R198" s="50"/>
      <c r="S198" s="68"/>
      <c r="T198" s="82"/>
      <c r="U198" s="51"/>
      <c r="V198" s="51"/>
      <c r="W198" s="178">
        <f t="shared" si="47"/>
        <v>692986.09</v>
      </c>
      <c r="X198" s="141"/>
      <c r="Y198" s="58"/>
      <c r="Z198" s="58"/>
      <c r="AA198" s="58"/>
      <c r="AB198" s="58"/>
      <c r="AC198" s="65">
        <v>196158.62</v>
      </c>
      <c r="AD198" s="65"/>
      <c r="AE198" s="65">
        <v>496827.47</v>
      </c>
      <c r="AF198" s="58"/>
      <c r="AG198" s="58"/>
    </row>
    <row r="199" spans="1:33" x14ac:dyDescent="0.3">
      <c r="A199" s="59">
        <f t="shared" si="57"/>
        <v>133</v>
      </c>
      <c r="B199" s="66" t="s">
        <v>654</v>
      </c>
      <c r="C199" s="50">
        <f t="shared" si="55"/>
        <v>1053510.51</v>
      </c>
      <c r="D199" s="51">
        <f t="shared" si="56"/>
        <v>0</v>
      </c>
      <c r="E199" s="51"/>
      <c r="F199" s="51"/>
      <c r="G199" s="51"/>
      <c r="H199" s="51"/>
      <c r="I199" s="51"/>
      <c r="J199" s="51"/>
      <c r="K199" s="51"/>
      <c r="L199" s="51"/>
      <c r="M199" s="51"/>
      <c r="N199" s="50"/>
      <c r="O199" s="82"/>
      <c r="P199" s="51"/>
      <c r="Q199" s="82"/>
      <c r="R199" s="50"/>
      <c r="S199" s="68"/>
      <c r="T199" s="82"/>
      <c r="U199" s="51"/>
      <c r="V199" s="51"/>
      <c r="W199" s="178">
        <f t="shared" si="47"/>
        <v>1053510.51</v>
      </c>
      <c r="X199" s="144">
        <v>62918.17</v>
      </c>
      <c r="Y199" s="58"/>
      <c r="Z199" s="58"/>
      <c r="AA199" s="58"/>
      <c r="AB199" s="58"/>
      <c r="AC199" s="65">
        <v>127407.67999999999</v>
      </c>
      <c r="AD199" s="65"/>
      <c r="AE199" s="65">
        <v>863184.66</v>
      </c>
      <c r="AF199" s="58"/>
      <c r="AG199" s="58"/>
    </row>
    <row r="200" spans="1:33" x14ac:dyDescent="0.3">
      <c r="A200" s="59">
        <f t="shared" si="57"/>
        <v>134</v>
      </c>
      <c r="B200" s="66" t="s">
        <v>655</v>
      </c>
      <c r="C200" s="50">
        <f t="shared" si="55"/>
        <v>1285861.9500000002</v>
      </c>
      <c r="D200" s="51">
        <f t="shared" si="56"/>
        <v>0</v>
      </c>
      <c r="E200" s="51"/>
      <c r="F200" s="51"/>
      <c r="G200" s="51"/>
      <c r="H200" s="51"/>
      <c r="I200" s="51"/>
      <c r="J200" s="51"/>
      <c r="K200" s="51"/>
      <c r="L200" s="51"/>
      <c r="M200" s="51"/>
      <c r="N200" s="50"/>
      <c r="O200" s="82"/>
      <c r="P200" s="51"/>
      <c r="Q200" s="82"/>
      <c r="R200" s="50"/>
      <c r="S200" s="68"/>
      <c r="T200" s="82"/>
      <c r="U200" s="51"/>
      <c r="V200" s="51"/>
      <c r="W200" s="178">
        <f t="shared" si="47"/>
        <v>1285861.9500000002</v>
      </c>
      <c r="X200" s="144">
        <v>123895.42</v>
      </c>
      <c r="Y200" s="65">
        <v>141867.64000000001</v>
      </c>
      <c r="Z200" s="65">
        <v>120866.56</v>
      </c>
      <c r="AA200" s="58"/>
      <c r="AB200" s="58"/>
      <c r="AC200" s="65">
        <v>218723.14</v>
      </c>
      <c r="AD200" s="65">
        <v>130576.67</v>
      </c>
      <c r="AE200" s="65">
        <v>549932.52</v>
      </c>
      <c r="AF200" s="58"/>
      <c r="AG200" s="58"/>
    </row>
    <row r="201" spans="1:33" x14ac:dyDescent="0.3">
      <c r="A201" s="59">
        <f t="shared" si="57"/>
        <v>135</v>
      </c>
      <c r="B201" s="66" t="s">
        <v>656</v>
      </c>
      <c r="C201" s="50">
        <f t="shared" si="55"/>
        <v>1406422.87</v>
      </c>
      <c r="D201" s="51">
        <f t="shared" si="56"/>
        <v>0</v>
      </c>
      <c r="E201" s="51"/>
      <c r="F201" s="51"/>
      <c r="G201" s="51"/>
      <c r="H201" s="51"/>
      <c r="I201" s="51"/>
      <c r="J201" s="51"/>
      <c r="K201" s="51"/>
      <c r="L201" s="51"/>
      <c r="M201" s="51"/>
      <c r="N201" s="50"/>
      <c r="O201" s="82"/>
      <c r="P201" s="51"/>
      <c r="Q201" s="82"/>
      <c r="R201" s="50"/>
      <c r="S201" s="68"/>
      <c r="T201" s="82"/>
      <c r="U201" s="51"/>
      <c r="V201" s="51"/>
      <c r="W201" s="178">
        <f t="shared" si="47"/>
        <v>1406422.87</v>
      </c>
      <c r="X201" s="144">
        <v>124001.9</v>
      </c>
      <c r="Y201" s="65">
        <v>141867.64000000001</v>
      </c>
      <c r="Z201" s="78">
        <v>120866.56</v>
      </c>
      <c r="AA201" s="65"/>
      <c r="AB201" s="65"/>
      <c r="AC201" s="65">
        <v>218723.14</v>
      </c>
      <c r="AD201" s="65">
        <v>251031.11</v>
      </c>
      <c r="AE201" s="65">
        <v>549932.52</v>
      </c>
      <c r="AF201" s="58"/>
      <c r="AG201" s="58"/>
    </row>
    <row r="202" spans="1:33" x14ac:dyDescent="0.3">
      <c r="A202" s="59">
        <f t="shared" si="57"/>
        <v>136</v>
      </c>
      <c r="B202" s="66" t="s">
        <v>657</v>
      </c>
      <c r="C202" s="50">
        <f t="shared" si="55"/>
        <v>2245499.2599999998</v>
      </c>
      <c r="D202" s="51">
        <f t="shared" si="56"/>
        <v>0</v>
      </c>
      <c r="E202" s="51"/>
      <c r="F202" s="51"/>
      <c r="G202" s="51"/>
      <c r="H202" s="51"/>
      <c r="I202" s="51"/>
      <c r="J202" s="51"/>
      <c r="K202" s="51"/>
      <c r="L202" s="51"/>
      <c r="M202" s="51"/>
      <c r="N202" s="50"/>
      <c r="O202" s="82"/>
      <c r="P202" s="51"/>
      <c r="Q202" s="82"/>
      <c r="R202" s="50"/>
      <c r="S202" s="68"/>
      <c r="T202" s="82"/>
      <c r="U202" s="51"/>
      <c r="V202" s="51"/>
      <c r="W202" s="178">
        <f t="shared" si="47"/>
        <v>2245499.2599999998</v>
      </c>
      <c r="X202" s="144">
        <v>242248.2</v>
      </c>
      <c r="Y202" s="65"/>
      <c r="Z202" s="65"/>
      <c r="AA202" s="65"/>
      <c r="AB202" s="65"/>
      <c r="AC202" s="65">
        <v>432222.13</v>
      </c>
      <c r="AD202" s="65">
        <v>227123.23</v>
      </c>
      <c r="AE202" s="65">
        <v>1343905.7</v>
      </c>
      <c r="AF202" s="58"/>
      <c r="AG202" s="58"/>
    </row>
    <row r="203" spans="1:33" x14ac:dyDescent="0.3">
      <c r="A203" s="59">
        <f t="shared" si="57"/>
        <v>137</v>
      </c>
      <c r="B203" s="66" t="s">
        <v>658</v>
      </c>
      <c r="C203" s="50">
        <f t="shared" si="55"/>
        <v>805943.40999999992</v>
      </c>
      <c r="D203" s="51">
        <f t="shared" si="56"/>
        <v>0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0"/>
      <c r="O203" s="82"/>
      <c r="P203" s="51"/>
      <c r="Q203" s="82"/>
      <c r="R203" s="50"/>
      <c r="S203" s="68"/>
      <c r="T203" s="82"/>
      <c r="U203" s="51"/>
      <c r="V203" s="51"/>
      <c r="W203" s="178">
        <f t="shared" si="47"/>
        <v>805943.40999999992</v>
      </c>
      <c r="X203" s="144">
        <v>189523.34</v>
      </c>
      <c r="Y203" s="65"/>
      <c r="Z203" s="65"/>
      <c r="AA203" s="65"/>
      <c r="AB203" s="65"/>
      <c r="AC203" s="65">
        <v>345655.27</v>
      </c>
      <c r="AD203" s="65">
        <v>270764.79999999999</v>
      </c>
      <c r="AE203" s="58"/>
      <c r="AF203" s="58"/>
      <c r="AG203" s="58"/>
    </row>
    <row r="204" spans="1:33" x14ac:dyDescent="0.3">
      <c r="A204" s="59">
        <f t="shared" si="57"/>
        <v>138</v>
      </c>
      <c r="B204" s="66" t="s">
        <v>659</v>
      </c>
      <c r="C204" s="50">
        <f t="shared" si="55"/>
        <v>1190041.6399999999</v>
      </c>
      <c r="D204" s="51">
        <f t="shared" si="56"/>
        <v>0</v>
      </c>
      <c r="E204" s="51"/>
      <c r="F204" s="51"/>
      <c r="G204" s="51"/>
      <c r="H204" s="51"/>
      <c r="I204" s="51"/>
      <c r="J204" s="51"/>
      <c r="K204" s="51"/>
      <c r="L204" s="51"/>
      <c r="M204" s="51"/>
      <c r="N204" s="50"/>
      <c r="O204" s="82"/>
      <c r="P204" s="51"/>
      <c r="Q204" s="82"/>
      <c r="R204" s="50"/>
      <c r="S204" s="68"/>
      <c r="T204" s="82"/>
      <c r="U204" s="51"/>
      <c r="V204" s="51"/>
      <c r="W204" s="178">
        <f t="shared" si="47"/>
        <v>1190041.6399999999</v>
      </c>
      <c r="X204" s="141"/>
      <c r="Y204" s="58"/>
      <c r="Z204" s="58"/>
      <c r="AA204" s="58"/>
      <c r="AB204" s="58"/>
      <c r="AC204" s="65">
        <v>245254.18</v>
      </c>
      <c r="AD204" s="65">
        <v>115228.13</v>
      </c>
      <c r="AE204" s="65">
        <v>829559.33</v>
      </c>
      <c r="AF204" s="58"/>
      <c r="AG204" s="58"/>
    </row>
    <row r="205" spans="1:33" x14ac:dyDescent="0.3">
      <c r="A205" s="59">
        <f t="shared" si="57"/>
        <v>139</v>
      </c>
      <c r="B205" s="66" t="s">
        <v>660</v>
      </c>
      <c r="C205" s="50">
        <f t="shared" si="55"/>
        <v>1190041.6399999999</v>
      </c>
      <c r="D205" s="51">
        <f t="shared" si="56"/>
        <v>0</v>
      </c>
      <c r="E205" s="51"/>
      <c r="F205" s="51"/>
      <c r="G205" s="51"/>
      <c r="H205" s="51"/>
      <c r="I205" s="51"/>
      <c r="J205" s="51"/>
      <c r="K205" s="51"/>
      <c r="L205" s="51"/>
      <c r="M205" s="51"/>
      <c r="N205" s="50"/>
      <c r="O205" s="82"/>
      <c r="P205" s="51"/>
      <c r="Q205" s="82"/>
      <c r="R205" s="50"/>
      <c r="S205" s="68"/>
      <c r="T205" s="82"/>
      <c r="U205" s="51"/>
      <c r="V205" s="51"/>
      <c r="W205" s="178">
        <f t="shared" si="47"/>
        <v>1190041.6399999999</v>
      </c>
      <c r="X205" s="141"/>
      <c r="Y205" s="58"/>
      <c r="Z205" s="58"/>
      <c r="AA205" s="58"/>
      <c r="AB205" s="58"/>
      <c r="AC205" s="65">
        <v>245254.18</v>
      </c>
      <c r="AD205" s="65">
        <v>115228.13</v>
      </c>
      <c r="AE205" s="65">
        <v>829559.33</v>
      </c>
      <c r="AF205" s="58"/>
      <c r="AG205" s="58"/>
    </row>
    <row r="206" spans="1:33" x14ac:dyDescent="0.3">
      <c r="A206" s="59">
        <f t="shared" si="57"/>
        <v>140</v>
      </c>
      <c r="B206" s="66" t="s">
        <v>661</v>
      </c>
      <c r="C206" s="50">
        <f t="shared" si="55"/>
        <v>130000</v>
      </c>
      <c r="D206" s="51">
        <f t="shared" si="56"/>
        <v>0</v>
      </c>
      <c r="E206" s="51"/>
      <c r="F206" s="51"/>
      <c r="G206" s="51"/>
      <c r="H206" s="51"/>
      <c r="I206" s="51"/>
      <c r="J206" s="51"/>
      <c r="K206" s="51"/>
      <c r="L206" s="51"/>
      <c r="M206" s="51"/>
      <c r="N206" s="50"/>
      <c r="O206" s="82"/>
      <c r="P206" s="51"/>
      <c r="Q206" s="82"/>
      <c r="R206" s="50"/>
      <c r="S206" s="68"/>
      <c r="T206" s="82"/>
      <c r="U206" s="51"/>
      <c r="V206" s="51"/>
      <c r="W206" s="178">
        <v>130000</v>
      </c>
      <c r="X206" s="141"/>
      <c r="Y206" s="58"/>
      <c r="Z206" s="58"/>
      <c r="AA206" s="58"/>
      <c r="AB206" s="58"/>
      <c r="AC206" s="58"/>
      <c r="AD206" s="58"/>
      <c r="AE206" s="58"/>
      <c r="AF206" s="58"/>
      <c r="AG206" s="58"/>
    </row>
    <row r="207" spans="1:33" x14ac:dyDescent="0.3">
      <c r="A207" s="59">
        <f t="shared" si="57"/>
        <v>141</v>
      </c>
      <c r="B207" s="66" t="s">
        <v>662</v>
      </c>
      <c r="C207" s="50">
        <f t="shared" si="55"/>
        <v>1332931.52</v>
      </c>
      <c r="D207" s="51">
        <f t="shared" si="56"/>
        <v>0</v>
      </c>
      <c r="E207" s="51"/>
      <c r="F207" s="51"/>
      <c r="G207" s="51"/>
      <c r="H207" s="51"/>
      <c r="I207" s="51"/>
      <c r="J207" s="51"/>
      <c r="K207" s="51"/>
      <c r="L207" s="51"/>
      <c r="M207" s="51"/>
      <c r="N207" s="50"/>
      <c r="O207" s="82"/>
      <c r="P207" s="51"/>
      <c r="Q207" s="82"/>
      <c r="R207" s="50"/>
      <c r="S207" s="68"/>
      <c r="T207" s="82"/>
      <c r="U207" s="51"/>
      <c r="V207" s="51"/>
      <c r="W207" s="178">
        <f t="shared" si="47"/>
        <v>1332931.52</v>
      </c>
      <c r="X207" s="144">
        <v>112412.06</v>
      </c>
      <c r="Y207" s="65">
        <v>136433.82</v>
      </c>
      <c r="Z207" s="65">
        <v>248062.91</v>
      </c>
      <c r="AA207" s="65"/>
      <c r="AB207" s="65">
        <v>113333.04</v>
      </c>
      <c r="AC207" s="65"/>
      <c r="AD207" s="65"/>
      <c r="AE207" s="65">
        <v>530836.75</v>
      </c>
      <c r="AF207" s="65">
        <v>191852.94</v>
      </c>
      <c r="AG207" s="58"/>
    </row>
    <row r="208" spans="1:33" x14ac:dyDescent="0.3">
      <c r="A208" s="59">
        <f t="shared" si="57"/>
        <v>142</v>
      </c>
      <c r="B208" s="66" t="s">
        <v>663</v>
      </c>
      <c r="C208" s="50">
        <f t="shared" si="55"/>
        <v>1020218.1799999999</v>
      </c>
      <c r="D208" s="51">
        <f t="shared" si="56"/>
        <v>0</v>
      </c>
      <c r="E208" s="51"/>
      <c r="F208" s="51"/>
      <c r="G208" s="51"/>
      <c r="H208" s="51"/>
      <c r="I208" s="51"/>
      <c r="J208" s="51"/>
      <c r="K208" s="51"/>
      <c r="L208" s="51"/>
      <c r="M208" s="51"/>
      <c r="N208" s="50"/>
      <c r="O208" s="82"/>
      <c r="P208" s="51"/>
      <c r="Q208" s="82"/>
      <c r="R208" s="50"/>
      <c r="S208" s="68"/>
      <c r="T208" s="82"/>
      <c r="U208" s="51"/>
      <c r="V208" s="51"/>
      <c r="W208" s="178">
        <f t="shared" si="47"/>
        <v>1020218.1799999999</v>
      </c>
      <c r="X208" s="141"/>
      <c r="Y208" s="58"/>
      <c r="Z208" s="58"/>
      <c r="AA208" s="58"/>
      <c r="AB208" s="58"/>
      <c r="AC208" s="65">
        <v>274782.07</v>
      </c>
      <c r="AD208" s="65"/>
      <c r="AE208" s="65">
        <v>745436.11</v>
      </c>
      <c r="AF208" s="58"/>
      <c r="AG208" s="58"/>
    </row>
    <row r="209" spans="1:33" x14ac:dyDescent="0.3">
      <c r="A209" s="59">
        <f t="shared" si="57"/>
        <v>143</v>
      </c>
      <c r="B209" s="66" t="s">
        <v>664</v>
      </c>
      <c r="C209" s="50">
        <f t="shared" si="55"/>
        <v>1405311.66</v>
      </c>
      <c r="D209" s="51">
        <f t="shared" si="56"/>
        <v>0</v>
      </c>
      <c r="E209" s="51"/>
      <c r="F209" s="51"/>
      <c r="G209" s="51"/>
      <c r="H209" s="51"/>
      <c r="I209" s="51"/>
      <c r="J209" s="51"/>
      <c r="K209" s="51"/>
      <c r="L209" s="51"/>
      <c r="M209" s="51"/>
      <c r="N209" s="50"/>
      <c r="O209" s="82"/>
      <c r="P209" s="51"/>
      <c r="Q209" s="82"/>
      <c r="R209" s="50"/>
      <c r="S209" s="68"/>
      <c r="T209" s="82"/>
      <c r="U209" s="51"/>
      <c r="V209" s="51"/>
      <c r="W209" s="178">
        <f t="shared" si="47"/>
        <v>1405311.66</v>
      </c>
      <c r="X209" s="144">
        <v>97451.29</v>
      </c>
      <c r="Y209" s="172">
        <v>122834.84</v>
      </c>
      <c r="Z209" s="65">
        <v>233152.07</v>
      </c>
      <c r="AA209" s="58"/>
      <c r="AB209" s="65">
        <v>99758.98</v>
      </c>
      <c r="AC209" s="65">
        <v>190722.97</v>
      </c>
      <c r="AD209" s="58"/>
      <c r="AE209" s="65">
        <v>487710.35</v>
      </c>
      <c r="AF209" s="65">
        <v>173681.16</v>
      </c>
      <c r="AG209" s="58"/>
    </row>
    <row r="210" spans="1:33" x14ac:dyDescent="0.3">
      <c r="A210" s="59">
        <f t="shared" si="57"/>
        <v>144</v>
      </c>
      <c r="B210" s="66" t="s">
        <v>665</v>
      </c>
      <c r="C210" s="50">
        <f t="shared" si="55"/>
        <v>1293236.6499999999</v>
      </c>
      <c r="D210" s="51">
        <f t="shared" si="56"/>
        <v>0</v>
      </c>
      <c r="E210" s="51"/>
      <c r="F210" s="51"/>
      <c r="G210" s="51"/>
      <c r="H210" s="51"/>
      <c r="I210" s="51"/>
      <c r="J210" s="51"/>
      <c r="K210" s="51"/>
      <c r="L210" s="51"/>
      <c r="M210" s="51"/>
      <c r="N210" s="50"/>
      <c r="O210" s="82"/>
      <c r="P210" s="51"/>
      <c r="Q210" s="82"/>
      <c r="R210" s="50"/>
      <c r="S210" s="68"/>
      <c r="T210" s="82"/>
      <c r="U210" s="51"/>
      <c r="V210" s="51"/>
      <c r="W210" s="178">
        <f t="shared" si="47"/>
        <v>1293236.6499999999</v>
      </c>
      <c r="X210" s="144">
        <v>105745.21</v>
      </c>
      <c r="Y210" s="189">
        <v>123800.28</v>
      </c>
      <c r="Z210" s="65">
        <v>103266.68</v>
      </c>
      <c r="AA210" s="65"/>
      <c r="AB210" s="65">
        <v>103266.68</v>
      </c>
      <c r="AC210" s="65">
        <v>192229.52</v>
      </c>
      <c r="AD210" s="65"/>
      <c r="AE210" s="65">
        <v>485544.36</v>
      </c>
      <c r="AF210" s="65">
        <v>179383.92</v>
      </c>
      <c r="AG210" s="58"/>
    </row>
    <row r="211" spans="1:33" x14ac:dyDescent="0.3">
      <c r="A211" s="59">
        <f t="shared" si="57"/>
        <v>145</v>
      </c>
      <c r="B211" s="66" t="s">
        <v>666</v>
      </c>
      <c r="C211" s="50">
        <f t="shared" si="55"/>
        <v>1467542.6400000001</v>
      </c>
      <c r="D211" s="51">
        <f t="shared" si="56"/>
        <v>0</v>
      </c>
      <c r="E211" s="51"/>
      <c r="F211" s="51"/>
      <c r="G211" s="51"/>
      <c r="H211" s="51"/>
      <c r="I211" s="51"/>
      <c r="J211" s="51"/>
      <c r="K211" s="51"/>
      <c r="L211" s="51"/>
      <c r="M211" s="51"/>
      <c r="N211" s="50"/>
      <c r="O211" s="82"/>
      <c r="P211" s="51"/>
      <c r="Q211" s="82"/>
      <c r="R211" s="50"/>
      <c r="S211" s="68"/>
      <c r="T211" s="82"/>
      <c r="U211" s="51"/>
      <c r="V211" s="51"/>
      <c r="W211" s="178">
        <f t="shared" si="47"/>
        <v>1467542.6400000001</v>
      </c>
      <c r="X211" s="141"/>
      <c r="Y211" s="58"/>
      <c r="Z211" s="58"/>
      <c r="AA211" s="58"/>
      <c r="AB211" s="58"/>
      <c r="AC211" s="65">
        <v>329741.15999999997</v>
      </c>
      <c r="AD211" s="65">
        <v>171893.83</v>
      </c>
      <c r="AE211" s="65">
        <v>965907.65</v>
      </c>
      <c r="AF211" s="58"/>
      <c r="AG211" s="58"/>
    </row>
    <row r="212" spans="1:33" x14ac:dyDescent="0.3">
      <c r="A212" s="59">
        <f t="shared" si="57"/>
        <v>146</v>
      </c>
      <c r="B212" s="66" t="s">
        <v>667</v>
      </c>
      <c r="C212" s="50">
        <f t="shared" si="55"/>
        <v>298136.15000000002</v>
      </c>
      <c r="D212" s="51">
        <f t="shared" si="56"/>
        <v>0</v>
      </c>
      <c r="E212" s="51"/>
      <c r="F212" s="51"/>
      <c r="G212" s="51"/>
      <c r="H212" s="51"/>
      <c r="I212" s="51"/>
      <c r="J212" s="51"/>
      <c r="K212" s="51"/>
      <c r="L212" s="51"/>
      <c r="M212" s="51"/>
      <c r="N212" s="50"/>
      <c r="O212" s="82"/>
      <c r="P212" s="51"/>
      <c r="Q212" s="82"/>
      <c r="R212" s="50"/>
      <c r="S212" s="68"/>
      <c r="T212" s="82"/>
      <c r="U212" s="51"/>
      <c r="V212" s="51"/>
      <c r="W212" s="178">
        <f t="shared" si="47"/>
        <v>298136.15000000002</v>
      </c>
      <c r="X212" s="141"/>
      <c r="Y212" s="58"/>
      <c r="Z212" s="58"/>
      <c r="AA212" s="58"/>
      <c r="AB212" s="58"/>
      <c r="AC212" s="65">
        <v>122209.14</v>
      </c>
      <c r="AD212" s="65"/>
      <c r="AE212" s="65">
        <v>175927.01</v>
      </c>
      <c r="AF212" s="58"/>
      <c r="AG212" s="58"/>
    </row>
    <row r="213" spans="1:33" x14ac:dyDescent="0.3">
      <c r="A213" s="59">
        <f t="shared" si="57"/>
        <v>147</v>
      </c>
      <c r="B213" s="66" t="s">
        <v>668</v>
      </c>
      <c r="C213" s="50">
        <f t="shared" si="55"/>
        <v>381166.65</v>
      </c>
      <c r="D213" s="51">
        <f t="shared" si="56"/>
        <v>0</v>
      </c>
      <c r="E213" s="51"/>
      <c r="F213" s="51"/>
      <c r="G213" s="51"/>
      <c r="H213" s="51"/>
      <c r="I213" s="51"/>
      <c r="J213" s="51"/>
      <c r="K213" s="51"/>
      <c r="L213" s="51"/>
      <c r="M213" s="51"/>
      <c r="N213" s="50"/>
      <c r="O213" s="82"/>
      <c r="P213" s="51"/>
      <c r="Q213" s="82"/>
      <c r="R213" s="50"/>
      <c r="S213" s="68"/>
      <c r="T213" s="82"/>
      <c r="U213" s="51"/>
      <c r="V213" s="51"/>
      <c r="W213" s="178">
        <f t="shared" si="47"/>
        <v>381166.65</v>
      </c>
      <c r="X213" s="144">
        <v>31135.54</v>
      </c>
      <c r="Y213" s="48"/>
      <c r="Z213" s="65">
        <v>24117.67</v>
      </c>
      <c r="AA213" s="58"/>
      <c r="AB213" s="65">
        <v>30619.25</v>
      </c>
      <c r="AC213" s="65">
        <v>104203.46</v>
      </c>
      <c r="AD213" s="58"/>
      <c r="AE213" s="65">
        <v>111449.21</v>
      </c>
      <c r="AF213" s="65">
        <v>79641.52</v>
      </c>
      <c r="AG213" s="58"/>
    </row>
    <row r="214" spans="1:33" x14ac:dyDescent="0.3">
      <c r="A214" s="59">
        <f t="shared" si="57"/>
        <v>148</v>
      </c>
      <c r="B214" s="66" t="s">
        <v>669</v>
      </c>
      <c r="C214" s="50">
        <f t="shared" si="55"/>
        <v>1467542.6400000001</v>
      </c>
      <c r="D214" s="51">
        <f t="shared" si="56"/>
        <v>0</v>
      </c>
      <c r="E214" s="51"/>
      <c r="F214" s="51"/>
      <c r="G214" s="51"/>
      <c r="H214" s="51"/>
      <c r="I214" s="51"/>
      <c r="J214" s="51"/>
      <c r="K214" s="51"/>
      <c r="L214" s="51"/>
      <c r="M214" s="51"/>
      <c r="N214" s="50"/>
      <c r="O214" s="82"/>
      <c r="P214" s="51"/>
      <c r="Q214" s="82"/>
      <c r="R214" s="50"/>
      <c r="S214" s="68"/>
      <c r="T214" s="82"/>
      <c r="U214" s="51"/>
      <c r="V214" s="51"/>
      <c r="W214" s="178">
        <f t="shared" si="47"/>
        <v>1467542.6400000001</v>
      </c>
      <c r="X214" s="141"/>
      <c r="Y214" s="58"/>
      <c r="Z214" s="58"/>
      <c r="AA214" s="58"/>
      <c r="AB214" s="58"/>
      <c r="AC214" s="65">
        <v>329741.15999999997</v>
      </c>
      <c r="AD214" s="65">
        <v>171893.83</v>
      </c>
      <c r="AE214" s="65">
        <v>965907.65</v>
      </c>
      <c r="AF214" s="58"/>
      <c r="AG214" s="58"/>
    </row>
    <row r="215" spans="1:33" x14ac:dyDescent="0.3">
      <c r="A215" s="59">
        <f t="shared" si="57"/>
        <v>149</v>
      </c>
      <c r="B215" s="66" t="s">
        <v>670</v>
      </c>
      <c r="C215" s="50">
        <f t="shared" si="55"/>
        <v>1123443.17</v>
      </c>
      <c r="D215" s="51">
        <f t="shared" si="56"/>
        <v>0</v>
      </c>
      <c r="E215" s="51"/>
      <c r="F215" s="51"/>
      <c r="G215" s="51"/>
      <c r="H215" s="51"/>
      <c r="I215" s="51"/>
      <c r="J215" s="51"/>
      <c r="K215" s="51"/>
      <c r="L215" s="51"/>
      <c r="M215" s="51"/>
      <c r="N215" s="50"/>
      <c r="O215" s="82"/>
      <c r="P215" s="51"/>
      <c r="Q215" s="82"/>
      <c r="R215" s="50"/>
      <c r="S215" s="68"/>
      <c r="T215" s="82"/>
      <c r="U215" s="51"/>
      <c r="V215" s="51"/>
      <c r="W215" s="178">
        <f t="shared" si="47"/>
        <v>1123443.17</v>
      </c>
      <c r="X215" s="141"/>
      <c r="Y215" s="58"/>
      <c r="Z215" s="58"/>
      <c r="AA215" s="58"/>
      <c r="AB215" s="58"/>
      <c r="AC215" s="65">
        <v>236695.4</v>
      </c>
      <c r="AD215" s="65">
        <v>166540.09</v>
      </c>
      <c r="AE215" s="65">
        <v>720207.68</v>
      </c>
      <c r="AF215" s="58"/>
      <c r="AG215" s="58"/>
    </row>
    <row r="216" spans="1:33" x14ac:dyDescent="0.3">
      <c r="A216" s="59">
        <f t="shared" si="57"/>
        <v>150</v>
      </c>
      <c r="B216" s="66" t="s">
        <v>671</v>
      </c>
      <c r="C216" s="50">
        <f t="shared" si="55"/>
        <v>437334.08</v>
      </c>
      <c r="D216" s="51">
        <f t="shared" si="56"/>
        <v>0</v>
      </c>
      <c r="E216" s="51"/>
      <c r="F216" s="51"/>
      <c r="G216" s="51"/>
      <c r="H216" s="51"/>
      <c r="I216" s="51"/>
      <c r="J216" s="51"/>
      <c r="K216" s="51"/>
      <c r="L216" s="51"/>
      <c r="M216" s="51"/>
      <c r="N216" s="50"/>
      <c r="O216" s="82"/>
      <c r="P216" s="51"/>
      <c r="Q216" s="82"/>
      <c r="R216" s="50"/>
      <c r="S216" s="68"/>
      <c r="T216" s="82"/>
      <c r="U216" s="51"/>
      <c r="V216" s="51"/>
      <c r="W216" s="178">
        <f t="shared" si="47"/>
        <v>437334.08</v>
      </c>
      <c r="X216" s="141"/>
      <c r="Y216" s="58"/>
      <c r="Z216" s="58"/>
      <c r="AA216" s="58"/>
      <c r="AB216" s="58"/>
      <c r="AC216" s="65">
        <v>437334.08</v>
      </c>
      <c r="AD216" s="58"/>
      <c r="AE216" s="58"/>
      <c r="AF216" s="58"/>
      <c r="AG216" s="58"/>
    </row>
    <row r="217" spans="1:33" x14ac:dyDescent="0.3">
      <c r="A217" s="59">
        <f t="shared" si="57"/>
        <v>151</v>
      </c>
      <c r="B217" s="66" t="s">
        <v>672</v>
      </c>
      <c r="C217" s="50">
        <f t="shared" si="55"/>
        <v>561555.14</v>
      </c>
      <c r="D217" s="51">
        <f t="shared" si="56"/>
        <v>0</v>
      </c>
      <c r="E217" s="51"/>
      <c r="F217" s="51"/>
      <c r="G217" s="51"/>
      <c r="H217" s="51"/>
      <c r="I217" s="51"/>
      <c r="J217" s="51"/>
      <c r="K217" s="51"/>
      <c r="L217" s="51"/>
      <c r="M217" s="51"/>
      <c r="N217" s="50"/>
      <c r="O217" s="82"/>
      <c r="P217" s="51"/>
      <c r="Q217" s="82"/>
      <c r="R217" s="50"/>
      <c r="S217" s="68"/>
      <c r="T217" s="82"/>
      <c r="U217" s="51"/>
      <c r="V217" s="51"/>
      <c r="W217" s="178">
        <f t="shared" si="47"/>
        <v>561555.14</v>
      </c>
      <c r="X217" s="141"/>
      <c r="Y217" s="58"/>
      <c r="Z217" s="58"/>
      <c r="AA217" s="58"/>
      <c r="AB217" s="58"/>
      <c r="AC217" s="65">
        <v>390722.32</v>
      </c>
      <c r="AD217" s="65">
        <v>170832.82</v>
      </c>
      <c r="AE217" s="58"/>
      <c r="AF217" s="58"/>
      <c r="AG217" s="58"/>
    </row>
    <row r="218" spans="1:33" x14ac:dyDescent="0.3">
      <c r="A218" s="59">
        <f t="shared" si="57"/>
        <v>152</v>
      </c>
      <c r="B218" s="66" t="s">
        <v>673</v>
      </c>
      <c r="C218" s="50">
        <f t="shared" si="55"/>
        <v>601958.77</v>
      </c>
      <c r="D218" s="51">
        <f t="shared" si="56"/>
        <v>0</v>
      </c>
      <c r="E218" s="51"/>
      <c r="F218" s="51"/>
      <c r="G218" s="51"/>
      <c r="H218" s="51"/>
      <c r="I218" s="51"/>
      <c r="J218" s="51"/>
      <c r="K218" s="51"/>
      <c r="L218" s="51"/>
      <c r="M218" s="51"/>
      <c r="N218" s="50"/>
      <c r="O218" s="82"/>
      <c r="P218" s="51"/>
      <c r="Q218" s="82"/>
      <c r="R218" s="50"/>
      <c r="S218" s="68"/>
      <c r="T218" s="82"/>
      <c r="U218" s="51"/>
      <c r="V218" s="51"/>
      <c r="W218" s="178">
        <f t="shared" si="47"/>
        <v>601958.77</v>
      </c>
      <c r="X218" s="141"/>
      <c r="Y218" s="58"/>
      <c r="Z218" s="58"/>
      <c r="AA218" s="58"/>
      <c r="AB218" s="58"/>
      <c r="AC218" s="65">
        <v>435675.11</v>
      </c>
      <c r="AD218" s="65">
        <v>166283.66</v>
      </c>
      <c r="AE218" s="58"/>
      <c r="AF218" s="58"/>
      <c r="AG218" s="58"/>
    </row>
    <row r="219" spans="1:33" x14ac:dyDescent="0.3">
      <c r="A219" s="59">
        <f t="shared" si="57"/>
        <v>153</v>
      </c>
      <c r="B219" s="66" t="s">
        <v>674</v>
      </c>
      <c r="C219" s="50">
        <f t="shared" si="55"/>
        <v>1453506.31</v>
      </c>
      <c r="D219" s="51">
        <f t="shared" si="56"/>
        <v>0</v>
      </c>
      <c r="E219" s="51"/>
      <c r="F219" s="51"/>
      <c r="G219" s="51"/>
      <c r="H219" s="51"/>
      <c r="I219" s="51"/>
      <c r="J219" s="51"/>
      <c r="K219" s="51"/>
      <c r="L219" s="51"/>
      <c r="M219" s="51"/>
      <c r="N219" s="50"/>
      <c r="O219" s="82"/>
      <c r="P219" s="51"/>
      <c r="Q219" s="82"/>
      <c r="R219" s="50"/>
      <c r="S219" s="68"/>
      <c r="T219" s="82"/>
      <c r="U219" s="51"/>
      <c r="V219" s="51"/>
      <c r="W219" s="178">
        <f t="shared" si="47"/>
        <v>1453506.31</v>
      </c>
      <c r="X219" s="144">
        <v>112435.94</v>
      </c>
      <c r="Y219" s="65">
        <v>247915.33</v>
      </c>
      <c r="Z219" s="65">
        <v>106811.84</v>
      </c>
      <c r="AA219" s="65"/>
      <c r="AB219" s="65"/>
      <c r="AC219" s="65">
        <v>174519.6</v>
      </c>
      <c r="AD219" s="65">
        <v>209764.7</v>
      </c>
      <c r="AE219" s="65">
        <v>602058.9</v>
      </c>
      <c r="AF219" s="58"/>
      <c r="AG219" s="58"/>
    </row>
    <row r="220" spans="1:33" x14ac:dyDescent="0.3">
      <c r="A220" s="59">
        <f t="shared" si="57"/>
        <v>154</v>
      </c>
      <c r="B220" s="66" t="s">
        <v>675</v>
      </c>
      <c r="C220" s="50">
        <f t="shared" si="55"/>
        <v>1289401.3800000001</v>
      </c>
      <c r="D220" s="51">
        <f t="shared" si="56"/>
        <v>0</v>
      </c>
      <c r="E220" s="51"/>
      <c r="F220" s="51"/>
      <c r="G220" s="51"/>
      <c r="H220" s="51"/>
      <c r="I220" s="51"/>
      <c r="J220" s="51"/>
      <c r="K220" s="51"/>
      <c r="L220" s="51"/>
      <c r="M220" s="51"/>
      <c r="N220" s="50"/>
      <c r="O220" s="82"/>
      <c r="P220" s="51"/>
      <c r="Q220" s="82"/>
      <c r="R220" s="50"/>
      <c r="S220" s="68"/>
      <c r="T220" s="82"/>
      <c r="U220" s="51"/>
      <c r="V220" s="51"/>
      <c r="W220" s="178">
        <f t="shared" si="47"/>
        <v>1289401.3800000001</v>
      </c>
      <c r="X220" s="144">
        <v>107479.08</v>
      </c>
      <c r="Y220" s="65">
        <v>134983.31</v>
      </c>
      <c r="Z220" s="65">
        <v>106796.66</v>
      </c>
      <c r="AA220" s="65"/>
      <c r="AB220" s="65"/>
      <c r="AC220" s="65">
        <v>200922.52</v>
      </c>
      <c r="AD220" s="65">
        <v>225688.13</v>
      </c>
      <c r="AE220" s="65">
        <v>513531.68</v>
      </c>
      <c r="AF220" s="58"/>
      <c r="AG220" s="58"/>
    </row>
    <row r="221" spans="1:33" x14ac:dyDescent="0.3">
      <c r="A221" s="59">
        <f t="shared" si="57"/>
        <v>155</v>
      </c>
      <c r="B221" s="66" t="s">
        <v>676</v>
      </c>
      <c r="C221" s="50">
        <f t="shared" si="55"/>
        <v>2222798.5099999998</v>
      </c>
      <c r="D221" s="51">
        <f t="shared" si="56"/>
        <v>0</v>
      </c>
      <c r="E221" s="51"/>
      <c r="F221" s="51"/>
      <c r="G221" s="51"/>
      <c r="H221" s="51"/>
      <c r="I221" s="51"/>
      <c r="J221" s="51"/>
      <c r="K221" s="51"/>
      <c r="L221" s="51"/>
      <c r="M221" s="51"/>
      <c r="N221" s="50"/>
      <c r="O221" s="82"/>
      <c r="P221" s="51"/>
      <c r="Q221" s="82"/>
      <c r="R221" s="50"/>
      <c r="S221" s="68"/>
      <c r="T221" s="82"/>
      <c r="U221" s="51"/>
      <c r="V221" s="51"/>
      <c r="W221" s="178">
        <f t="shared" si="47"/>
        <v>2222798.5099999998</v>
      </c>
      <c r="X221" s="144">
        <v>204837.11</v>
      </c>
      <c r="Y221" s="65">
        <v>147983.67999999999</v>
      </c>
      <c r="Z221" s="65">
        <v>147983.67999999999</v>
      </c>
      <c r="AA221" s="65"/>
      <c r="AB221" s="65"/>
      <c r="AC221" s="65">
        <v>426989.76</v>
      </c>
      <c r="AD221" s="65">
        <v>220200.57</v>
      </c>
      <c r="AE221" s="65">
        <v>1074803.71</v>
      </c>
      <c r="AF221" s="58"/>
      <c r="AG221" s="58"/>
    </row>
    <row r="222" spans="1:33" x14ac:dyDescent="0.3">
      <c r="A222" s="59">
        <f t="shared" si="57"/>
        <v>156</v>
      </c>
      <c r="B222" s="66" t="s">
        <v>677</v>
      </c>
      <c r="C222" s="50">
        <f t="shared" si="55"/>
        <v>1435681.82</v>
      </c>
      <c r="D222" s="51">
        <f t="shared" si="56"/>
        <v>0</v>
      </c>
      <c r="E222" s="51"/>
      <c r="F222" s="51"/>
      <c r="G222" s="51"/>
      <c r="H222" s="51"/>
      <c r="I222" s="51"/>
      <c r="J222" s="51"/>
      <c r="K222" s="51"/>
      <c r="L222" s="51"/>
      <c r="M222" s="51"/>
      <c r="N222" s="50"/>
      <c r="O222" s="82"/>
      <c r="P222" s="51"/>
      <c r="Q222" s="82"/>
      <c r="R222" s="50"/>
      <c r="S222" s="68"/>
      <c r="T222" s="82"/>
      <c r="U222" s="51"/>
      <c r="V222" s="51"/>
      <c r="W222" s="178">
        <f>SUM(X222:AE222)</f>
        <v>1435681.82</v>
      </c>
      <c r="X222" s="144">
        <v>111195.46</v>
      </c>
      <c r="Y222" s="65">
        <v>247960.63</v>
      </c>
      <c r="Z222" s="65">
        <v>106835.82</v>
      </c>
      <c r="AA222" s="65"/>
      <c r="AB222" s="65"/>
      <c r="AC222" s="65">
        <v>174545.03</v>
      </c>
      <c r="AD222" s="65">
        <v>192981.65</v>
      </c>
      <c r="AE222" s="65">
        <v>602163.23</v>
      </c>
      <c r="AF222" s="58"/>
      <c r="AG222" s="58"/>
    </row>
    <row r="223" spans="1:33" x14ac:dyDescent="0.3">
      <c r="A223" s="59"/>
      <c r="B223" s="66" t="s">
        <v>211</v>
      </c>
      <c r="C223" s="50">
        <f t="shared" ref="C223:W223" si="58">SUM(C189:C222)</f>
        <v>32301448.079999998</v>
      </c>
      <c r="D223" s="50">
        <f t="shared" si="58"/>
        <v>0</v>
      </c>
      <c r="E223" s="50">
        <f t="shared" si="58"/>
        <v>0</v>
      </c>
      <c r="F223" s="50">
        <f t="shared" si="58"/>
        <v>0</v>
      </c>
      <c r="G223" s="50">
        <f t="shared" si="58"/>
        <v>0</v>
      </c>
      <c r="H223" s="50">
        <f t="shared" si="58"/>
        <v>0</v>
      </c>
      <c r="I223" s="50">
        <f t="shared" si="58"/>
        <v>0</v>
      </c>
      <c r="J223" s="50">
        <f t="shared" si="58"/>
        <v>0</v>
      </c>
      <c r="K223" s="50">
        <f t="shared" si="58"/>
        <v>0</v>
      </c>
      <c r="L223" s="50">
        <f t="shared" si="58"/>
        <v>0</v>
      </c>
      <c r="M223" s="50">
        <f t="shared" si="58"/>
        <v>0</v>
      </c>
      <c r="N223" s="50">
        <f t="shared" si="58"/>
        <v>0</v>
      </c>
      <c r="O223" s="68">
        <f t="shared" si="58"/>
        <v>0</v>
      </c>
      <c r="P223" s="50">
        <f t="shared" si="58"/>
        <v>0</v>
      </c>
      <c r="Q223" s="68">
        <f t="shared" si="58"/>
        <v>0</v>
      </c>
      <c r="R223" s="50">
        <f t="shared" si="58"/>
        <v>0</v>
      </c>
      <c r="S223" s="68">
        <f t="shared" si="58"/>
        <v>0</v>
      </c>
      <c r="T223" s="68">
        <f t="shared" si="58"/>
        <v>0</v>
      </c>
      <c r="U223" s="50">
        <f t="shared" si="58"/>
        <v>0</v>
      </c>
      <c r="V223" s="50">
        <f t="shared" si="58"/>
        <v>0</v>
      </c>
      <c r="W223" s="34">
        <f t="shared" si="58"/>
        <v>32301448.079999998</v>
      </c>
      <c r="X223" s="141"/>
      <c r="Y223" s="58"/>
      <c r="Z223" s="58"/>
      <c r="AA223" s="58"/>
      <c r="AB223" s="58"/>
      <c r="AC223" s="58"/>
      <c r="AD223" s="58"/>
      <c r="AE223" s="58"/>
      <c r="AF223" s="58"/>
      <c r="AG223" s="58"/>
    </row>
    <row r="224" spans="1:33" ht="31.2" x14ac:dyDescent="0.3">
      <c r="A224" s="59"/>
      <c r="B224" s="66" t="s">
        <v>686</v>
      </c>
      <c r="C224" s="50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0"/>
      <c r="O224" s="82"/>
      <c r="P224" s="51"/>
      <c r="Q224" s="82"/>
      <c r="R224" s="50"/>
      <c r="S224" s="68"/>
      <c r="T224" s="82"/>
      <c r="U224" s="51"/>
      <c r="V224" s="51"/>
      <c r="W224" s="178"/>
      <c r="X224" s="141"/>
      <c r="Y224" s="58"/>
      <c r="Z224" s="58"/>
      <c r="AA224" s="58"/>
      <c r="AB224" s="58"/>
      <c r="AC224" s="58"/>
      <c r="AD224" s="58"/>
      <c r="AE224" s="58"/>
      <c r="AF224" s="58"/>
      <c r="AG224" s="58"/>
    </row>
    <row r="225" spans="1:33" x14ac:dyDescent="0.3">
      <c r="A225" s="59">
        <f>A222+1</f>
        <v>157</v>
      </c>
      <c r="B225" s="66" t="s">
        <v>687</v>
      </c>
      <c r="C225" s="50">
        <f>D225+K225+L225+N225+R225+S225+U225+V225+W225</f>
        <v>130000</v>
      </c>
      <c r="D225" s="51">
        <f>E225+F225+G225+H225+I225</f>
        <v>0</v>
      </c>
      <c r="E225" s="51"/>
      <c r="F225" s="51"/>
      <c r="G225" s="51"/>
      <c r="H225" s="51"/>
      <c r="I225" s="51"/>
      <c r="J225" s="51"/>
      <c r="K225" s="51"/>
      <c r="L225" s="51"/>
      <c r="M225" s="51"/>
      <c r="N225" s="50"/>
      <c r="O225" s="82"/>
      <c r="P225" s="51"/>
      <c r="Q225" s="82"/>
      <c r="R225" s="50"/>
      <c r="S225" s="68"/>
      <c r="T225" s="82"/>
      <c r="U225" s="51"/>
      <c r="V225" s="51"/>
      <c r="W225" s="178">
        <v>130000</v>
      </c>
      <c r="X225" s="141"/>
      <c r="Y225" s="58"/>
      <c r="Z225" s="58"/>
      <c r="AA225" s="58"/>
      <c r="AB225" s="58"/>
      <c r="AC225" s="58"/>
      <c r="AD225" s="58"/>
      <c r="AE225" s="58"/>
      <c r="AF225" s="58"/>
      <c r="AG225" s="58"/>
    </row>
    <row r="226" spans="1:33" x14ac:dyDescent="0.3">
      <c r="A226" s="59">
        <f t="shared" ref="A226" si="59">A225+1</f>
        <v>158</v>
      </c>
      <c r="B226" s="66" t="s">
        <v>692</v>
      </c>
      <c r="C226" s="50">
        <f>D226+K226+L226+N226+R226+S226+U226+V226+W226</f>
        <v>929213.39</v>
      </c>
      <c r="D226" s="51">
        <f>E226+F226+G226+H226+I226</f>
        <v>0</v>
      </c>
      <c r="E226" s="51"/>
      <c r="F226" s="51"/>
      <c r="G226" s="51"/>
      <c r="H226" s="51"/>
      <c r="I226" s="51"/>
      <c r="J226" s="51"/>
      <c r="K226" s="51"/>
      <c r="L226" s="51"/>
      <c r="M226" s="51"/>
      <c r="N226" s="50"/>
      <c r="O226" s="82"/>
      <c r="P226" s="51"/>
      <c r="Q226" s="82"/>
      <c r="R226" s="50"/>
      <c r="S226" s="68"/>
      <c r="T226" s="82"/>
      <c r="U226" s="51"/>
      <c r="V226" s="51"/>
      <c r="W226" s="178">
        <f t="shared" si="47"/>
        <v>929213.39</v>
      </c>
      <c r="X226" s="141"/>
      <c r="Y226" s="65">
        <v>356466.67</v>
      </c>
      <c r="Z226" s="65">
        <v>286373.36</v>
      </c>
      <c r="AA226" s="65"/>
      <c r="AB226" s="65">
        <v>286373.36</v>
      </c>
      <c r="AC226" s="58"/>
      <c r="AD226" s="58"/>
      <c r="AE226" s="58"/>
      <c r="AF226" s="58"/>
      <c r="AG226" s="58"/>
    </row>
    <row r="227" spans="1:33" x14ac:dyDescent="0.3">
      <c r="A227" s="59"/>
      <c r="B227" s="66" t="s">
        <v>211</v>
      </c>
      <c r="C227" s="50">
        <f t="shared" ref="C227:W227" si="60">SUM(C225:C226)</f>
        <v>1059213.3900000001</v>
      </c>
      <c r="D227" s="50">
        <f t="shared" si="60"/>
        <v>0</v>
      </c>
      <c r="E227" s="50">
        <f t="shared" si="60"/>
        <v>0</v>
      </c>
      <c r="F227" s="50">
        <f t="shared" si="60"/>
        <v>0</v>
      </c>
      <c r="G227" s="50">
        <f t="shared" si="60"/>
        <v>0</v>
      </c>
      <c r="H227" s="50">
        <f t="shared" si="60"/>
        <v>0</v>
      </c>
      <c r="I227" s="50">
        <f t="shared" si="60"/>
        <v>0</v>
      </c>
      <c r="J227" s="50">
        <f t="shared" si="60"/>
        <v>0</v>
      </c>
      <c r="K227" s="50">
        <f t="shared" si="60"/>
        <v>0</v>
      </c>
      <c r="L227" s="50">
        <f t="shared" si="60"/>
        <v>0</v>
      </c>
      <c r="M227" s="50">
        <f t="shared" si="60"/>
        <v>0</v>
      </c>
      <c r="N227" s="50">
        <f t="shared" si="60"/>
        <v>0</v>
      </c>
      <c r="O227" s="68">
        <f t="shared" si="60"/>
        <v>0</v>
      </c>
      <c r="P227" s="50">
        <f t="shared" si="60"/>
        <v>0</v>
      </c>
      <c r="Q227" s="68">
        <f t="shared" si="60"/>
        <v>0</v>
      </c>
      <c r="R227" s="50">
        <f t="shared" si="60"/>
        <v>0</v>
      </c>
      <c r="S227" s="68">
        <f t="shared" si="60"/>
        <v>0</v>
      </c>
      <c r="T227" s="68">
        <f t="shared" si="60"/>
        <v>0</v>
      </c>
      <c r="U227" s="50">
        <f t="shared" si="60"/>
        <v>0</v>
      </c>
      <c r="V227" s="50">
        <f t="shared" si="60"/>
        <v>0</v>
      </c>
      <c r="W227" s="34">
        <f t="shared" si="60"/>
        <v>1059213.3900000001</v>
      </c>
      <c r="X227" s="141"/>
      <c r="Y227" s="65"/>
      <c r="Z227" s="65"/>
      <c r="AA227" s="65"/>
      <c r="AB227" s="65"/>
      <c r="AC227" s="58"/>
      <c r="AD227" s="58"/>
      <c r="AE227" s="58"/>
      <c r="AF227" s="58"/>
      <c r="AG227" s="58"/>
    </row>
    <row r="228" spans="1:33" ht="31.2" x14ac:dyDescent="0.3">
      <c r="A228" s="59"/>
      <c r="B228" s="66" t="s">
        <v>696</v>
      </c>
      <c r="C228" s="50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0"/>
      <c r="O228" s="82"/>
      <c r="P228" s="51"/>
      <c r="Q228" s="82"/>
      <c r="R228" s="50"/>
      <c r="S228" s="68"/>
      <c r="T228" s="82"/>
      <c r="U228" s="51"/>
      <c r="V228" s="51"/>
      <c r="W228" s="178"/>
      <c r="X228" s="144"/>
      <c r="Y228" s="65"/>
      <c r="Z228" s="65"/>
      <c r="AA228" s="65"/>
      <c r="AB228" s="65"/>
      <c r="AC228" s="65"/>
      <c r="AD228" s="65"/>
      <c r="AE228" s="65"/>
      <c r="AF228" s="58"/>
      <c r="AG228" s="58"/>
    </row>
    <row r="229" spans="1:33" x14ac:dyDescent="0.3">
      <c r="A229" s="59">
        <f>A226+1</f>
        <v>159</v>
      </c>
      <c r="B229" s="66" t="s">
        <v>697</v>
      </c>
      <c r="C229" s="50">
        <f>D229+K229+L229+N229+R229+S229+U229+V229+W229</f>
        <v>13928230.800000001</v>
      </c>
      <c r="D229" s="51">
        <f>E229+F229+G229+H229+I229</f>
        <v>0</v>
      </c>
      <c r="E229" s="51"/>
      <c r="F229" s="51"/>
      <c r="G229" s="51"/>
      <c r="H229" s="51"/>
      <c r="I229" s="51"/>
      <c r="J229" s="51"/>
      <c r="K229" s="51"/>
      <c r="L229" s="51"/>
      <c r="M229" s="51"/>
      <c r="N229" s="50"/>
      <c r="O229" s="82"/>
      <c r="P229" s="51"/>
      <c r="Q229" s="82">
        <v>2427.9</v>
      </c>
      <c r="R229" s="50">
        <v>13928230.800000001</v>
      </c>
      <c r="S229" s="68"/>
      <c r="T229" s="82"/>
      <c r="U229" s="51"/>
      <c r="V229" s="51"/>
      <c r="W229" s="178"/>
      <c r="X229" s="141"/>
      <c r="Y229" s="58"/>
      <c r="Z229" s="58"/>
      <c r="AA229" s="58"/>
      <c r="AB229" s="58"/>
      <c r="AC229" s="58"/>
      <c r="AD229" s="58"/>
      <c r="AE229" s="58"/>
      <c r="AF229" s="58"/>
      <c r="AG229" s="58"/>
    </row>
    <row r="230" spans="1:33" x14ac:dyDescent="0.3">
      <c r="A230" s="59">
        <f>A229+1</f>
        <v>160</v>
      </c>
      <c r="B230" s="66" t="s">
        <v>698</v>
      </c>
      <c r="C230" s="50">
        <f>D230+K230+L230+N230+R230+S230+U230+V230+W230</f>
        <v>16383876</v>
      </c>
      <c r="D230" s="51">
        <f>E230+F230+G230+H230+I230</f>
        <v>0</v>
      </c>
      <c r="E230" s="51"/>
      <c r="F230" s="51"/>
      <c r="G230" s="51"/>
      <c r="H230" s="51"/>
      <c r="I230" s="51"/>
      <c r="J230" s="51"/>
      <c r="K230" s="51"/>
      <c r="L230" s="51"/>
      <c r="M230" s="51"/>
      <c r="N230" s="50"/>
      <c r="O230" s="82"/>
      <c r="P230" s="51"/>
      <c r="Q230" s="82">
        <v>2765</v>
      </c>
      <c r="R230" s="50">
        <v>16383876</v>
      </c>
      <c r="S230" s="68"/>
      <c r="T230" s="82"/>
      <c r="U230" s="51"/>
      <c r="V230" s="51"/>
      <c r="W230" s="178"/>
      <c r="X230" s="141"/>
      <c r="Y230" s="58"/>
      <c r="Z230" s="58"/>
      <c r="AA230" s="58"/>
      <c r="AB230" s="58"/>
      <c r="AC230" s="58"/>
      <c r="AD230" s="58"/>
      <c r="AE230" s="58"/>
      <c r="AF230" s="58"/>
      <c r="AG230" s="58"/>
    </row>
    <row r="231" spans="1:33" x14ac:dyDescent="0.3">
      <c r="A231" s="59">
        <f>A230+1</f>
        <v>161</v>
      </c>
      <c r="B231" s="66" t="s">
        <v>700</v>
      </c>
      <c r="C231" s="50">
        <f>D231+K231+L231+N231+R231+S231+U231+V231+W231</f>
        <v>15564759.6</v>
      </c>
      <c r="D231" s="51">
        <f>E231+F231+G231+H231+I231</f>
        <v>0</v>
      </c>
      <c r="E231" s="51"/>
      <c r="F231" s="51"/>
      <c r="G231" s="51"/>
      <c r="H231" s="51"/>
      <c r="I231" s="51"/>
      <c r="J231" s="51"/>
      <c r="K231" s="51"/>
      <c r="L231" s="51"/>
      <c r="M231" s="51"/>
      <c r="N231" s="50"/>
      <c r="O231" s="82"/>
      <c r="P231" s="51"/>
      <c r="Q231" s="82">
        <v>2765</v>
      </c>
      <c r="R231" s="50">
        <v>15564759.6</v>
      </c>
      <c r="S231" s="68"/>
      <c r="T231" s="82"/>
      <c r="U231" s="51"/>
      <c r="V231" s="51"/>
      <c r="W231" s="178"/>
      <c r="X231" s="141"/>
      <c r="Y231" s="58"/>
      <c r="Z231" s="58"/>
      <c r="AA231" s="58"/>
      <c r="AB231" s="58"/>
      <c r="AC231" s="58"/>
      <c r="AD231" s="58"/>
      <c r="AE231" s="58"/>
      <c r="AF231" s="58"/>
      <c r="AG231" s="58"/>
    </row>
    <row r="232" spans="1:33" x14ac:dyDescent="0.3">
      <c r="A232" s="59"/>
      <c r="B232" s="66" t="s">
        <v>211</v>
      </c>
      <c r="C232" s="50">
        <f t="shared" ref="C232:W232" si="61">SUM(C229:C231)</f>
        <v>45876866.399999999</v>
      </c>
      <c r="D232" s="50">
        <f t="shared" si="61"/>
        <v>0</v>
      </c>
      <c r="E232" s="50">
        <f t="shared" si="61"/>
        <v>0</v>
      </c>
      <c r="F232" s="50">
        <f t="shared" si="61"/>
        <v>0</v>
      </c>
      <c r="G232" s="50">
        <f t="shared" si="61"/>
        <v>0</v>
      </c>
      <c r="H232" s="50">
        <f t="shared" si="61"/>
        <v>0</v>
      </c>
      <c r="I232" s="50">
        <f t="shared" si="61"/>
        <v>0</v>
      </c>
      <c r="J232" s="50">
        <f t="shared" si="61"/>
        <v>0</v>
      </c>
      <c r="K232" s="50">
        <f t="shared" si="61"/>
        <v>0</v>
      </c>
      <c r="L232" s="50">
        <f t="shared" si="61"/>
        <v>0</v>
      </c>
      <c r="M232" s="50">
        <f t="shared" si="61"/>
        <v>0</v>
      </c>
      <c r="N232" s="50">
        <f t="shared" si="61"/>
        <v>0</v>
      </c>
      <c r="O232" s="68">
        <f t="shared" si="61"/>
        <v>0</v>
      </c>
      <c r="P232" s="50">
        <f t="shared" si="61"/>
        <v>0</v>
      </c>
      <c r="Q232" s="68">
        <f t="shared" si="61"/>
        <v>7957.9</v>
      </c>
      <c r="R232" s="50">
        <f t="shared" si="61"/>
        <v>45876866.399999999</v>
      </c>
      <c r="S232" s="68">
        <f t="shared" si="61"/>
        <v>0</v>
      </c>
      <c r="T232" s="68">
        <f t="shared" si="61"/>
        <v>0</v>
      </c>
      <c r="U232" s="50">
        <f t="shared" si="61"/>
        <v>0</v>
      </c>
      <c r="V232" s="50">
        <f t="shared" si="61"/>
        <v>0</v>
      </c>
      <c r="W232" s="34">
        <f t="shared" si="61"/>
        <v>0</v>
      </c>
      <c r="X232" s="144"/>
      <c r="Y232" s="65"/>
      <c r="Z232" s="65"/>
      <c r="AA232" s="65"/>
      <c r="AB232" s="65"/>
      <c r="AC232" s="65"/>
      <c r="AD232" s="65"/>
      <c r="AE232" s="65"/>
      <c r="AF232" s="58"/>
      <c r="AG232" s="58"/>
    </row>
    <row r="233" spans="1:33" ht="31.2" x14ac:dyDescent="0.3">
      <c r="A233" s="59"/>
      <c r="B233" s="66" t="s">
        <v>704</v>
      </c>
      <c r="C233" s="50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0"/>
      <c r="O233" s="82"/>
      <c r="P233" s="51"/>
      <c r="Q233" s="82"/>
      <c r="R233" s="50"/>
      <c r="S233" s="68"/>
      <c r="T233" s="82"/>
      <c r="U233" s="51"/>
      <c r="V233" s="51"/>
      <c r="W233" s="178"/>
      <c r="X233" s="144"/>
      <c r="Y233" s="65"/>
      <c r="Z233" s="65"/>
      <c r="AA233" s="65"/>
      <c r="AB233" s="65"/>
      <c r="AC233" s="65"/>
      <c r="AD233" s="65"/>
      <c r="AE233" s="65"/>
      <c r="AF233" s="58"/>
      <c r="AG233" s="58"/>
    </row>
    <row r="234" spans="1:33" ht="31.2" x14ac:dyDescent="0.3">
      <c r="A234" s="59">
        <f>A231+1</f>
        <v>162</v>
      </c>
      <c r="B234" s="66" t="s">
        <v>705</v>
      </c>
      <c r="C234" s="50">
        <f t="shared" ref="C234:C244" si="62">D234+K234+L234+N234+R234+S234+U234+V234+W234</f>
        <v>6813236.4000000004</v>
      </c>
      <c r="D234" s="51">
        <f t="shared" ref="D234:D244" si="63">E234+F234+G234+H234+I234</f>
        <v>0</v>
      </c>
      <c r="E234" s="51"/>
      <c r="F234" s="51"/>
      <c r="G234" s="51"/>
      <c r="H234" s="51"/>
      <c r="I234" s="51"/>
      <c r="J234" s="51"/>
      <c r="K234" s="51"/>
      <c r="L234" s="51"/>
      <c r="M234" s="51"/>
      <c r="N234" s="50"/>
      <c r="O234" s="82"/>
      <c r="P234" s="51"/>
      <c r="Q234" s="82">
        <v>519.67999999999995</v>
      </c>
      <c r="R234" s="50">
        <v>6813236.4000000004</v>
      </c>
      <c r="S234" s="68"/>
      <c r="T234" s="82"/>
      <c r="U234" s="51"/>
      <c r="V234" s="51"/>
      <c r="W234" s="178"/>
      <c r="X234" s="144">
        <v>95393.35</v>
      </c>
      <c r="Y234" s="63">
        <v>109997.24</v>
      </c>
      <c r="Z234" s="476">
        <v>95981.96</v>
      </c>
      <c r="AA234" s="525"/>
      <c r="AB234" s="63">
        <v>90843.29</v>
      </c>
      <c r="AC234" s="63">
        <v>214371.46</v>
      </c>
      <c r="AD234" s="63"/>
      <c r="AE234" s="63">
        <v>437857.21</v>
      </c>
      <c r="AF234" s="63">
        <v>158253.41</v>
      </c>
      <c r="AG234" s="58"/>
    </row>
    <row r="235" spans="1:33" ht="31.2" x14ac:dyDescent="0.3">
      <c r="A235" s="59">
        <f>A234+1</f>
        <v>163</v>
      </c>
      <c r="B235" s="66" t="s">
        <v>706</v>
      </c>
      <c r="C235" s="50">
        <f t="shared" si="62"/>
        <v>9470815.1999999993</v>
      </c>
      <c r="D235" s="51">
        <f t="shared" si="63"/>
        <v>0</v>
      </c>
      <c r="E235" s="51"/>
      <c r="F235" s="51"/>
      <c r="G235" s="51"/>
      <c r="H235" s="51"/>
      <c r="I235" s="51"/>
      <c r="J235" s="51"/>
      <c r="K235" s="51"/>
      <c r="L235" s="51"/>
      <c r="M235" s="51"/>
      <c r="N235" s="50"/>
      <c r="O235" s="82"/>
      <c r="P235" s="51"/>
      <c r="Q235" s="82">
        <v>554.4</v>
      </c>
      <c r="R235" s="50">
        <v>9470815.1999999993</v>
      </c>
      <c r="S235" s="68"/>
      <c r="T235" s="82"/>
      <c r="U235" s="51"/>
      <c r="V235" s="51"/>
      <c r="W235" s="178"/>
      <c r="X235" s="144"/>
      <c r="Y235" s="63">
        <v>113267.22</v>
      </c>
      <c r="Z235" s="478">
        <v>99092.32</v>
      </c>
      <c r="AA235" s="478"/>
      <c r="AB235" s="63">
        <v>93953.64</v>
      </c>
      <c r="AC235" s="63">
        <v>177068.92</v>
      </c>
      <c r="AD235" s="63"/>
      <c r="AE235" s="63">
        <v>450089.03</v>
      </c>
      <c r="AF235" s="63">
        <v>163194.1</v>
      </c>
      <c r="AG235" s="58"/>
    </row>
    <row r="236" spans="1:33" x14ac:dyDescent="0.3">
      <c r="A236" s="59">
        <f>A235+1</f>
        <v>164</v>
      </c>
      <c r="B236" s="66" t="s">
        <v>715</v>
      </c>
      <c r="C236" s="50">
        <f t="shared" si="62"/>
        <v>24771691.199999999</v>
      </c>
      <c r="D236" s="51">
        <f t="shared" si="63"/>
        <v>0</v>
      </c>
      <c r="E236" s="51"/>
      <c r="F236" s="51"/>
      <c r="G236" s="51"/>
      <c r="H236" s="51"/>
      <c r="I236" s="51"/>
      <c r="J236" s="51"/>
      <c r="K236" s="51"/>
      <c r="L236" s="51"/>
      <c r="M236" s="51"/>
      <c r="N236" s="50"/>
      <c r="O236" s="82"/>
      <c r="P236" s="51"/>
      <c r="Q236" s="82">
        <f>3100</f>
        <v>3100</v>
      </c>
      <c r="R236" s="50">
        <v>24771691.199999999</v>
      </c>
      <c r="S236" s="68"/>
      <c r="T236" s="82"/>
      <c r="U236" s="51"/>
      <c r="V236" s="51"/>
      <c r="W236" s="178"/>
      <c r="X236" s="144">
        <v>211566.49</v>
      </c>
      <c r="Y236" s="63">
        <v>272300.53999999998</v>
      </c>
      <c r="Z236" s="478">
        <v>222895.08</v>
      </c>
      <c r="AA236" s="478"/>
      <c r="AB236" s="63">
        <v>204909.72</v>
      </c>
      <c r="AC236" s="63">
        <v>391543.5</v>
      </c>
      <c r="AD236" s="63">
        <v>132131.9</v>
      </c>
      <c r="AE236" s="63">
        <v>1237267.46</v>
      </c>
      <c r="AF236" s="63">
        <v>405476.66</v>
      </c>
      <c r="AG236" s="58"/>
    </row>
    <row r="237" spans="1:33" x14ac:dyDescent="0.3">
      <c r="A237" s="59">
        <f t="shared" ref="A237:A244" si="64">A236+1</f>
        <v>165</v>
      </c>
      <c r="B237" s="66" t="s">
        <v>716</v>
      </c>
      <c r="C237" s="50">
        <f t="shared" si="62"/>
        <v>17818168.800000001</v>
      </c>
      <c r="D237" s="51">
        <f t="shared" si="63"/>
        <v>0</v>
      </c>
      <c r="E237" s="51"/>
      <c r="F237" s="51"/>
      <c r="G237" s="51"/>
      <c r="H237" s="51"/>
      <c r="I237" s="51"/>
      <c r="J237" s="51"/>
      <c r="K237" s="51"/>
      <c r="L237" s="51"/>
      <c r="M237" s="51"/>
      <c r="N237" s="50"/>
      <c r="O237" s="82"/>
      <c r="P237" s="51"/>
      <c r="Q237" s="82">
        <f>2078</f>
        <v>2078</v>
      </c>
      <c r="R237" s="50">
        <v>17818168.800000001</v>
      </c>
      <c r="S237" s="68"/>
      <c r="T237" s="82"/>
      <c r="U237" s="51"/>
      <c r="V237" s="51"/>
      <c r="W237" s="178"/>
      <c r="X237" s="144">
        <v>169923.94</v>
      </c>
      <c r="Y237" s="63">
        <v>224780.74</v>
      </c>
      <c r="Z237" s="478">
        <v>176740.28</v>
      </c>
      <c r="AA237" s="478"/>
      <c r="AB237" s="63">
        <v>162352</v>
      </c>
      <c r="AC237" s="63">
        <v>322697.8</v>
      </c>
      <c r="AD237" s="63">
        <v>150672.54</v>
      </c>
      <c r="AE237" s="63">
        <v>1045394.58</v>
      </c>
      <c r="AF237" s="63">
        <v>334903.09000000003</v>
      </c>
      <c r="AG237" s="58"/>
    </row>
    <row r="238" spans="1:33" x14ac:dyDescent="0.3">
      <c r="A238" s="59">
        <f t="shared" si="64"/>
        <v>166</v>
      </c>
      <c r="B238" s="66" t="s">
        <v>717</v>
      </c>
      <c r="C238" s="50">
        <f t="shared" si="62"/>
        <v>17602308</v>
      </c>
      <c r="D238" s="51">
        <f t="shared" si="63"/>
        <v>0</v>
      </c>
      <c r="E238" s="51"/>
      <c r="F238" s="51"/>
      <c r="G238" s="51"/>
      <c r="H238" s="51"/>
      <c r="I238" s="51"/>
      <c r="J238" s="51"/>
      <c r="K238" s="51"/>
      <c r="L238" s="51"/>
      <c r="M238" s="51"/>
      <c r="N238" s="50"/>
      <c r="O238" s="82"/>
      <c r="P238" s="51"/>
      <c r="Q238" s="82">
        <v>2078</v>
      </c>
      <c r="R238" s="50">
        <v>17602308</v>
      </c>
      <c r="S238" s="68"/>
      <c r="T238" s="82"/>
      <c r="U238" s="51"/>
      <c r="V238" s="51"/>
      <c r="W238" s="178"/>
      <c r="X238" s="144">
        <v>170083.96</v>
      </c>
      <c r="Y238" s="63">
        <v>224815.03</v>
      </c>
      <c r="Z238" s="478">
        <v>176888.45</v>
      </c>
      <c r="AA238" s="478"/>
      <c r="AB238" s="63">
        <v>162500.15</v>
      </c>
      <c r="AC238" s="63">
        <v>322963.07</v>
      </c>
      <c r="AD238" s="63">
        <v>149041.94</v>
      </c>
      <c r="AE238" s="63">
        <v>1046133.9</v>
      </c>
      <c r="AF238" s="63">
        <v>335175.02</v>
      </c>
      <c r="AG238" s="58"/>
    </row>
    <row r="239" spans="1:33" x14ac:dyDescent="0.3">
      <c r="A239" s="59">
        <f t="shared" si="64"/>
        <v>167</v>
      </c>
      <c r="B239" s="66" t="s">
        <v>718</v>
      </c>
      <c r="C239" s="50">
        <f t="shared" si="62"/>
        <v>37677846</v>
      </c>
      <c r="D239" s="51">
        <f t="shared" si="63"/>
        <v>0</v>
      </c>
      <c r="E239" s="51"/>
      <c r="F239" s="51"/>
      <c r="G239" s="51"/>
      <c r="H239" s="51"/>
      <c r="I239" s="51"/>
      <c r="J239" s="51"/>
      <c r="K239" s="51"/>
      <c r="L239" s="51"/>
      <c r="M239" s="51"/>
      <c r="N239" s="50"/>
      <c r="O239" s="82"/>
      <c r="P239" s="51"/>
      <c r="Q239" s="82">
        <v>4200</v>
      </c>
      <c r="R239" s="50">
        <v>37677846</v>
      </c>
      <c r="S239" s="68"/>
      <c r="T239" s="82"/>
      <c r="U239" s="51"/>
      <c r="V239" s="51"/>
      <c r="W239" s="178"/>
      <c r="X239" s="144">
        <v>289142.48</v>
      </c>
      <c r="Y239" s="63">
        <v>353863.63</v>
      </c>
      <c r="Z239" s="478">
        <v>304270.46000000002</v>
      </c>
      <c r="AA239" s="478"/>
      <c r="AB239" s="63">
        <v>282174.15999999997</v>
      </c>
      <c r="AC239" s="63">
        <v>507191.18</v>
      </c>
      <c r="AD239" s="63">
        <v>271082.88</v>
      </c>
      <c r="AE239" s="63">
        <v>1551097.56</v>
      </c>
      <c r="AF239" s="63">
        <v>523788.36</v>
      </c>
      <c r="AG239" s="58"/>
    </row>
    <row r="240" spans="1:33" x14ac:dyDescent="0.3">
      <c r="A240" s="59">
        <f t="shared" si="64"/>
        <v>168</v>
      </c>
      <c r="B240" s="66" t="s">
        <v>719</v>
      </c>
      <c r="C240" s="50">
        <f t="shared" si="62"/>
        <v>27058813.199999999</v>
      </c>
      <c r="D240" s="51">
        <f t="shared" si="63"/>
        <v>0</v>
      </c>
      <c r="E240" s="51"/>
      <c r="F240" s="51"/>
      <c r="G240" s="51"/>
      <c r="H240" s="51"/>
      <c r="I240" s="51"/>
      <c r="J240" s="51"/>
      <c r="K240" s="51"/>
      <c r="L240" s="51"/>
      <c r="M240" s="51"/>
      <c r="N240" s="50"/>
      <c r="O240" s="82"/>
      <c r="P240" s="51"/>
      <c r="Q240" s="82">
        <f>5010</f>
        <v>5010</v>
      </c>
      <c r="R240" s="50">
        <v>27058813.199999999</v>
      </c>
      <c r="S240" s="68"/>
      <c r="T240" s="82"/>
      <c r="U240" s="51"/>
      <c r="V240" s="51"/>
      <c r="W240" s="178"/>
      <c r="X240" s="144">
        <v>194211.59</v>
      </c>
      <c r="Y240" s="63">
        <v>373684.75</v>
      </c>
      <c r="Z240" s="478">
        <v>324789.12</v>
      </c>
      <c r="AA240" s="478"/>
      <c r="AB240" s="63">
        <v>326088.88</v>
      </c>
      <c r="AC240" s="63">
        <v>542716.92000000004</v>
      </c>
      <c r="AD240" s="63">
        <v>267944.88</v>
      </c>
      <c r="AE240" s="63">
        <v>1658587.61</v>
      </c>
      <c r="AF240" s="63">
        <v>560444.16000000003</v>
      </c>
      <c r="AG240" s="58"/>
    </row>
    <row r="241" spans="1:33" x14ac:dyDescent="0.3">
      <c r="A241" s="59">
        <f t="shared" si="64"/>
        <v>169</v>
      </c>
      <c r="B241" s="66" t="s">
        <v>738</v>
      </c>
      <c r="C241" s="50">
        <f t="shared" si="62"/>
        <v>21903838.800000001</v>
      </c>
      <c r="D241" s="51">
        <f t="shared" si="63"/>
        <v>0</v>
      </c>
      <c r="E241" s="51"/>
      <c r="F241" s="51"/>
      <c r="G241" s="51"/>
      <c r="H241" s="51"/>
      <c r="I241" s="51"/>
      <c r="J241" s="51"/>
      <c r="K241" s="51"/>
      <c r="L241" s="51"/>
      <c r="M241" s="51"/>
      <c r="N241" s="50"/>
      <c r="O241" s="82"/>
      <c r="P241" s="51"/>
      <c r="Q241" s="82">
        <f>2686.2</f>
        <v>2686.2</v>
      </c>
      <c r="R241" s="50">
        <v>21903838.800000001</v>
      </c>
      <c r="S241" s="68"/>
      <c r="T241" s="82"/>
      <c r="U241" s="51"/>
      <c r="V241" s="51"/>
      <c r="W241" s="178"/>
      <c r="X241" s="144">
        <v>185283.35</v>
      </c>
      <c r="Y241" s="63">
        <v>240680.68</v>
      </c>
      <c r="Z241" s="478">
        <v>198699.41</v>
      </c>
      <c r="AA241" s="478"/>
      <c r="AB241" s="63">
        <v>180714.05</v>
      </c>
      <c r="AC241" s="63">
        <v>368349.77</v>
      </c>
      <c r="AD241" s="63">
        <v>190897.57</v>
      </c>
      <c r="AE241" s="63">
        <v>1116516.26</v>
      </c>
      <c r="AF241" s="63">
        <v>361062.66</v>
      </c>
      <c r="AG241" s="58"/>
    </row>
    <row r="242" spans="1:33" x14ac:dyDescent="0.3">
      <c r="A242" s="59">
        <f t="shared" si="64"/>
        <v>170</v>
      </c>
      <c r="B242" s="66" t="s">
        <v>740</v>
      </c>
      <c r="C242" s="50">
        <f t="shared" si="62"/>
        <v>26991446.719999999</v>
      </c>
      <c r="D242" s="51">
        <f t="shared" si="63"/>
        <v>0</v>
      </c>
      <c r="E242" s="51"/>
      <c r="F242" s="51"/>
      <c r="G242" s="51"/>
      <c r="H242" s="51"/>
      <c r="I242" s="51"/>
      <c r="J242" s="51"/>
      <c r="K242" s="51"/>
      <c r="L242" s="51"/>
      <c r="M242" s="51"/>
      <c r="N242" s="50"/>
      <c r="O242" s="82"/>
      <c r="P242" s="51"/>
      <c r="Q242" s="82" t="s">
        <v>4053</v>
      </c>
      <c r="R242" s="50">
        <v>26991446.719999999</v>
      </c>
      <c r="S242" s="68"/>
      <c r="T242" s="82"/>
      <c r="U242" s="51"/>
      <c r="V242" s="51"/>
      <c r="W242" s="178"/>
      <c r="X242" s="144">
        <v>249612.83</v>
      </c>
      <c r="Y242" s="63">
        <v>311734.37</v>
      </c>
      <c r="Z242" s="478">
        <v>266975.35999999999</v>
      </c>
      <c r="AA242" s="478"/>
      <c r="AB242" s="63">
        <v>244879.06</v>
      </c>
      <c r="AC242" s="63">
        <v>454834.12</v>
      </c>
      <c r="AD242" s="63">
        <v>206508.1</v>
      </c>
      <c r="AE242" s="63">
        <v>1413658.31</v>
      </c>
      <c r="AF242" s="63">
        <v>470355.71</v>
      </c>
      <c r="AG242" s="58"/>
    </row>
    <row r="243" spans="1:33" x14ac:dyDescent="0.3">
      <c r="A243" s="59">
        <f t="shared" si="64"/>
        <v>171</v>
      </c>
      <c r="B243" s="66" t="s">
        <v>759</v>
      </c>
      <c r="C243" s="50">
        <f t="shared" si="62"/>
        <v>19882172.399999999</v>
      </c>
      <c r="D243" s="51">
        <f t="shared" si="63"/>
        <v>0</v>
      </c>
      <c r="E243" s="51"/>
      <c r="F243" s="51"/>
      <c r="G243" s="51"/>
      <c r="H243" s="51"/>
      <c r="I243" s="51"/>
      <c r="J243" s="51"/>
      <c r="K243" s="51"/>
      <c r="L243" s="51"/>
      <c r="M243" s="51"/>
      <c r="N243" s="50"/>
      <c r="O243" s="82"/>
      <c r="P243" s="51"/>
      <c r="Q243" s="82">
        <v>2881</v>
      </c>
      <c r="R243" s="50">
        <v>19882172.399999999</v>
      </c>
      <c r="S243" s="68"/>
      <c r="T243" s="82"/>
      <c r="U243" s="51"/>
      <c r="V243" s="51"/>
      <c r="W243" s="178"/>
      <c r="X243" s="144">
        <v>235453.45</v>
      </c>
      <c r="Y243" s="63">
        <v>288628.78000000003</v>
      </c>
      <c r="Z243" s="478">
        <v>245953.27</v>
      </c>
      <c r="AA243" s="478"/>
      <c r="AB243" s="63">
        <v>227967.9</v>
      </c>
      <c r="AC243" s="63">
        <v>442489.31</v>
      </c>
      <c r="AD243" s="63">
        <v>163903.6</v>
      </c>
      <c r="AE243" s="63">
        <v>1280473.3400000001</v>
      </c>
      <c r="AF243" s="63">
        <v>425959.63</v>
      </c>
      <c r="AG243" s="58"/>
    </row>
    <row r="244" spans="1:33" x14ac:dyDescent="0.3">
      <c r="A244" s="59">
        <f t="shared" si="64"/>
        <v>172</v>
      </c>
      <c r="B244" s="66" t="s">
        <v>761</v>
      </c>
      <c r="C244" s="50">
        <f t="shared" si="62"/>
        <v>19882172.399999999</v>
      </c>
      <c r="D244" s="51">
        <f t="shared" si="63"/>
        <v>0</v>
      </c>
      <c r="E244" s="51"/>
      <c r="F244" s="51"/>
      <c r="G244" s="51"/>
      <c r="H244" s="51"/>
      <c r="I244" s="51"/>
      <c r="J244" s="51"/>
      <c r="K244" s="51"/>
      <c r="L244" s="51"/>
      <c r="M244" s="51"/>
      <c r="N244" s="50"/>
      <c r="O244" s="82"/>
      <c r="P244" s="51"/>
      <c r="Q244" s="82">
        <f>2881</f>
        <v>2881</v>
      </c>
      <c r="R244" s="50">
        <v>19882172.399999999</v>
      </c>
      <c r="S244" s="68"/>
      <c r="T244" s="82"/>
      <c r="U244" s="51"/>
      <c r="V244" s="51"/>
      <c r="W244" s="178"/>
      <c r="X244" s="144">
        <v>211014.26</v>
      </c>
      <c r="Y244" s="63">
        <v>270416.27</v>
      </c>
      <c r="Z244" s="478">
        <v>223018.16</v>
      </c>
      <c r="AA244" s="478"/>
      <c r="AB244" s="63">
        <v>205032.79</v>
      </c>
      <c r="AC244" s="63">
        <v>382288.55</v>
      </c>
      <c r="AD244" s="63">
        <v>152427.76999999999</v>
      </c>
      <c r="AE244" s="63">
        <v>1205904.31</v>
      </c>
      <c r="AF244" s="63">
        <v>395832.83</v>
      </c>
      <c r="AG244" s="58"/>
    </row>
    <row r="245" spans="1:33" x14ac:dyDescent="0.3">
      <c r="A245" s="59"/>
      <c r="B245" s="66" t="s">
        <v>211</v>
      </c>
      <c r="C245" s="50">
        <f t="shared" ref="C245:W245" si="65">SUM(C234:C244)</f>
        <v>229872509.12</v>
      </c>
      <c r="D245" s="50">
        <f t="shared" si="65"/>
        <v>0</v>
      </c>
      <c r="E245" s="50">
        <f t="shared" si="65"/>
        <v>0</v>
      </c>
      <c r="F245" s="50">
        <f t="shared" si="65"/>
        <v>0</v>
      </c>
      <c r="G245" s="50">
        <f t="shared" si="65"/>
        <v>0</v>
      </c>
      <c r="H245" s="50">
        <f t="shared" si="65"/>
        <v>0</v>
      </c>
      <c r="I245" s="50">
        <f t="shared" si="65"/>
        <v>0</v>
      </c>
      <c r="J245" s="50">
        <f t="shared" si="65"/>
        <v>0</v>
      </c>
      <c r="K245" s="50">
        <f t="shared" si="65"/>
        <v>0</v>
      </c>
      <c r="L245" s="50">
        <f t="shared" si="65"/>
        <v>0</v>
      </c>
      <c r="M245" s="50">
        <f t="shared" si="65"/>
        <v>0</v>
      </c>
      <c r="N245" s="50">
        <f t="shared" si="65"/>
        <v>0</v>
      </c>
      <c r="O245" s="68">
        <f t="shared" si="65"/>
        <v>0</v>
      </c>
      <c r="P245" s="50">
        <f t="shared" si="65"/>
        <v>0</v>
      </c>
      <c r="Q245" s="68">
        <f t="shared" si="65"/>
        <v>25988.280000000002</v>
      </c>
      <c r="R245" s="50">
        <f t="shared" si="65"/>
        <v>229872509.12</v>
      </c>
      <c r="S245" s="68">
        <f t="shared" si="65"/>
        <v>0</v>
      </c>
      <c r="T245" s="68">
        <f t="shared" si="65"/>
        <v>0</v>
      </c>
      <c r="U245" s="50">
        <f t="shared" si="65"/>
        <v>0</v>
      </c>
      <c r="V245" s="50">
        <f t="shared" si="65"/>
        <v>0</v>
      </c>
      <c r="W245" s="34">
        <f t="shared" si="65"/>
        <v>0</v>
      </c>
      <c r="X245" s="144"/>
      <c r="Y245" s="63"/>
      <c r="Z245" s="172"/>
      <c r="AA245" s="172"/>
      <c r="AB245" s="63"/>
      <c r="AC245" s="63"/>
      <c r="AD245" s="63"/>
      <c r="AE245" s="63"/>
      <c r="AF245" s="63"/>
      <c r="AG245" s="58"/>
    </row>
    <row r="246" spans="1:33" ht="31.2" x14ac:dyDescent="0.3">
      <c r="A246" s="59"/>
      <c r="B246" s="66" t="s">
        <v>768</v>
      </c>
      <c r="C246" s="50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0"/>
      <c r="O246" s="82"/>
      <c r="P246" s="51"/>
      <c r="Q246" s="82"/>
      <c r="R246" s="50"/>
      <c r="S246" s="68"/>
      <c r="T246" s="82"/>
      <c r="U246" s="51"/>
      <c r="V246" s="51"/>
      <c r="W246" s="178"/>
      <c r="X246" s="144"/>
      <c r="Y246" s="63"/>
      <c r="Z246" s="172"/>
      <c r="AA246" s="172"/>
      <c r="AB246" s="63"/>
      <c r="AC246" s="63"/>
      <c r="AD246" s="63"/>
      <c r="AE246" s="63"/>
      <c r="AF246" s="63"/>
      <c r="AG246" s="58"/>
    </row>
    <row r="247" spans="1:33" x14ac:dyDescent="0.3">
      <c r="A247" s="59">
        <f>A244+1</f>
        <v>173</v>
      </c>
      <c r="B247" s="66" t="s">
        <v>769</v>
      </c>
      <c r="C247" s="50">
        <f>D247+K247+L247+N247+R247+S247+U247+V247+W247</f>
        <v>18087649.199999999</v>
      </c>
      <c r="D247" s="51">
        <f>E247+F247+G247+H247+I247</f>
        <v>0</v>
      </c>
      <c r="E247" s="51"/>
      <c r="F247" s="51"/>
      <c r="G247" s="51"/>
      <c r="H247" s="51"/>
      <c r="I247" s="51"/>
      <c r="J247" s="51"/>
      <c r="K247" s="51"/>
      <c r="L247" s="51"/>
      <c r="M247" s="51"/>
      <c r="N247" s="50"/>
      <c r="O247" s="82"/>
      <c r="P247" s="51"/>
      <c r="Q247" s="82">
        <v>5532.5</v>
      </c>
      <c r="R247" s="50">
        <v>18087649.199999999</v>
      </c>
      <c r="S247" s="68"/>
      <c r="T247" s="82"/>
      <c r="U247" s="51"/>
      <c r="V247" s="51"/>
      <c r="W247" s="178"/>
      <c r="X247" s="141"/>
      <c r="Y247" s="62"/>
      <c r="Z247" s="62"/>
      <c r="AA247" s="62"/>
      <c r="AB247" s="62"/>
      <c r="AC247" s="62"/>
      <c r="AD247" s="62"/>
      <c r="AE247" s="62"/>
      <c r="AF247" s="62"/>
      <c r="AG247" s="58"/>
    </row>
    <row r="248" spans="1:33" x14ac:dyDescent="0.3">
      <c r="A248" s="59">
        <f>A247+1</f>
        <v>174</v>
      </c>
      <c r="B248" s="66" t="s">
        <v>770</v>
      </c>
      <c r="C248" s="50">
        <f>D248+K248+L248+N248+R248+S248+U248+V248+W248</f>
        <v>38042328</v>
      </c>
      <c r="D248" s="51">
        <f>E248+F248+G248+H248+I248</f>
        <v>0</v>
      </c>
      <c r="E248" s="51"/>
      <c r="F248" s="51"/>
      <c r="G248" s="51"/>
      <c r="H248" s="51"/>
      <c r="I248" s="51"/>
      <c r="J248" s="51"/>
      <c r="K248" s="51"/>
      <c r="L248" s="51"/>
      <c r="M248" s="51"/>
      <c r="N248" s="50"/>
      <c r="O248" s="82"/>
      <c r="P248" s="51"/>
      <c r="Q248" s="82">
        <f>6120</f>
        <v>6120</v>
      </c>
      <c r="R248" s="50">
        <v>38042328</v>
      </c>
      <c r="S248" s="68"/>
      <c r="T248" s="82"/>
      <c r="U248" s="51"/>
      <c r="V248" s="51"/>
      <c r="W248" s="178"/>
      <c r="X248" s="141"/>
      <c r="Y248" s="62"/>
      <c r="Z248" s="62"/>
      <c r="AA248" s="62"/>
      <c r="AB248" s="62"/>
      <c r="AC248" s="62"/>
      <c r="AD248" s="62"/>
      <c r="AE248" s="62"/>
      <c r="AF248" s="62"/>
      <c r="AG248" s="58"/>
    </row>
    <row r="249" spans="1:33" x14ac:dyDescent="0.3">
      <c r="A249" s="59">
        <f>A248+1</f>
        <v>175</v>
      </c>
      <c r="B249" s="66" t="s">
        <v>771</v>
      </c>
      <c r="C249" s="50">
        <f>D249+K249+L249+N249+R249+S249+U249+V249+W249</f>
        <v>182039</v>
      </c>
      <c r="D249" s="51">
        <f>E249+F249+G249+H249+I249</f>
        <v>0</v>
      </c>
      <c r="E249" s="51"/>
      <c r="F249" s="51"/>
      <c r="G249" s="51"/>
      <c r="H249" s="51"/>
      <c r="I249" s="51"/>
      <c r="J249" s="51"/>
      <c r="K249" s="51"/>
      <c r="L249" s="51"/>
      <c r="M249" s="51"/>
      <c r="N249" s="50"/>
      <c r="O249" s="82"/>
      <c r="P249" s="51"/>
      <c r="Q249" s="82">
        <v>13</v>
      </c>
      <c r="R249" s="50">
        <f>(10362+3641)*Q249</f>
        <v>182039</v>
      </c>
      <c r="S249" s="68"/>
      <c r="T249" s="82"/>
      <c r="U249" s="51"/>
      <c r="V249" s="51"/>
      <c r="W249" s="178"/>
      <c r="X249" s="141"/>
      <c r="Y249" s="62"/>
      <c r="Z249" s="62"/>
      <c r="AA249" s="62"/>
      <c r="AB249" s="62"/>
      <c r="AC249" s="62"/>
      <c r="AD249" s="62"/>
      <c r="AE249" s="63">
        <v>722009.16</v>
      </c>
      <c r="AF249" s="62"/>
      <c r="AG249" s="58"/>
    </row>
    <row r="250" spans="1:33" x14ac:dyDescent="0.3">
      <c r="A250" s="59"/>
      <c r="B250" s="66" t="s">
        <v>211</v>
      </c>
      <c r="C250" s="50">
        <f t="shared" ref="C250:W250" si="66">SUM(C247:C249)</f>
        <v>56312016.200000003</v>
      </c>
      <c r="D250" s="50">
        <f t="shared" si="66"/>
        <v>0</v>
      </c>
      <c r="E250" s="50">
        <f t="shared" si="66"/>
        <v>0</v>
      </c>
      <c r="F250" s="50">
        <f t="shared" si="66"/>
        <v>0</v>
      </c>
      <c r="G250" s="50">
        <f t="shared" si="66"/>
        <v>0</v>
      </c>
      <c r="H250" s="50">
        <f t="shared" si="66"/>
        <v>0</v>
      </c>
      <c r="I250" s="50">
        <f t="shared" si="66"/>
        <v>0</v>
      </c>
      <c r="J250" s="50">
        <f t="shared" si="66"/>
        <v>0</v>
      </c>
      <c r="K250" s="50">
        <f t="shared" si="66"/>
        <v>0</v>
      </c>
      <c r="L250" s="50">
        <f t="shared" si="66"/>
        <v>0</v>
      </c>
      <c r="M250" s="50">
        <f t="shared" si="66"/>
        <v>0</v>
      </c>
      <c r="N250" s="50">
        <f t="shared" si="66"/>
        <v>0</v>
      </c>
      <c r="O250" s="68">
        <f t="shared" si="66"/>
        <v>0</v>
      </c>
      <c r="P250" s="50">
        <f t="shared" si="66"/>
        <v>0</v>
      </c>
      <c r="Q250" s="68">
        <f t="shared" si="66"/>
        <v>11665.5</v>
      </c>
      <c r="R250" s="50">
        <f t="shared" si="66"/>
        <v>56312016.200000003</v>
      </c>
      <c r="S250" s="68">
        <f t="shared" si="66"/>
        <v>0</v>
      </c>
      <c r="T250" s="68">
        <f t="shared" si="66"/>
        <v>0</v>
      </c>
      <c r="U250" s="50">
        <f t="shared" si="66"/>
        <v>0</v>
      </c>
      <c r="V250" s="50">
        <f t="shared" si="66"/>
        <v>0</v>
      </c>
      <c r="W250" s="34">
        <f t="shared" si="66"/>
        <v>0</v>
      </c>
      <c r="X250" s="141"/>
      <c r="Y250" s="62"/>
      <c r="Z250" s="62"/>
      <c r="AA250" s="62"/>
      <c r="AB250" s="62"/>
      <c r="AC250" s="62"/>
      <c r="AD250" s="62"/>
      <c r="AE250" s="63"/>
      <c r="AF250" s="62"/>
      <c r="AG250" s="58"/>
    </row>
    <row r="251" spans="1:33" ht="31.2" x14ac:dyDescent="0.3">
      <c r="A251" s="59"/>
      <c r="B251" s="66" t="s">
        <v>778</v>
      </c>
      <c r="C251" s="50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0"/>
      <c r="O251" s="82"/>
      <c r="P251" s="51"/>
      <c r="Q251" s="82"/>
      <c r="R251" s="50"/>
      <c r="S251" s="68"/>
      <c r="T251" s="82"/>
      <c r="U251" s="51"/>
      <c r="V251" s="51"/>
      <c r="W251" s="178"/>
      <c r="X251" s="141"/>
      <c r="Y251" s="58"/>
      <c r="Z251" s="58"/>
      <c r="AA251" s="58"/>
      <c r="AB251" s="58"/>
      <c r="AC251" s="58"/>
      <c r="AD251" s="58"/>
      <c r="AE251" s="58"/>
      <c r="AF251" s="58"/>
      <c r="AG251" s="58"/>
    </row>
    <row r="252" spans="1:33" x14ac:dyDescent="0.3">
      <c r="A252" s="59">
        <f>A249+1</f>
        <v>176</v>
      </c>
      <c r="B252" s="66" t="s">
        <v>786</v>
      </c>
      <c r="C252" s="50">
        <f>D252+K252+L252+N252+R252+S252+U252+V252+W252</f>
        <v>4846857.5999999996</v>
      </c>
      <c r="D252" s="51">
        <f t="shared" ref="D252:D256" si="67">E252+F252+G252+H252+I252</f>
        <v>0</v>
      </c>
      <c r="E252" s="51"/>
      <c r="F252" s="51"/>
      <c r="G252" s="51"/>
      <c r="H252" s="51"/>
      <c r="I252" s="51"/>
      <c r="J252" s="51"/>
      <c r="K252" s="51"/>
      <c r="L252" s="51"/>
      <c r="M252" s="51"/>
      <c r="N252" s="50"/>
      <c r="O252" s="82"/>
      <c r="P252" s="51"/>
      <c r="Q252" s="82">
        <v>648.29999999999995</v>
      </c>
      <c r="R252" s="50">
        <v>4846857.5999999996</v>
      </c>
      <c r="S252" s="68"/>
      <c r="T252" s="82"/>
      <c r="U252" s="51"/>
      <c r="V252" s="51"/>
      <c r="W252" s="178"/>
      <c r="X252" s="144">
        <v>98364.53</v>
      </c>
      <c r="Y252" s="63"/>
      <c r="Z252" s="63"/>
      <c r="AA252" s="63"/>
      <c r="AB252" s="63"/>
      <c r="AC252" s="63"/>
      <c r="AD252" s="63">
        <v>206630.28</v>
      </c>
      <c r="AE252" s="62"/>
      <c r="AF252" s="62"/>
      <c r="AG252" s="62"/>
    </row>
    <row r="253" spans="1:33" x14ac:dyDescent="0.3">
      <c r="A253" s="59">
        <f>A252+1</f>
        <v>177</v>
      </c>
      <c r="B253" s="66" t="s">
        <v>4181</v>
      </c>
      <c r="C253" s="50">
        <f>D253+K253+L253+N253+R253+S253+U253+V253+W253</f>
        <v>130000</v>
      </c>
      <c r="D253" s="51">
        <f t="shared" si="67"/>
        <v>0</v>
      </c>
      <c r="E253" s="51"/>
      <c r="F253" s="51"/>
      <c r="G253" s="51"/>
      <c r="H253" s="51"/>
      <c r="I253" s="51"/>
      <c r="J253" s="51"/>
      <c r="K253" s="51"/>
      <c r="L253" s="51"/>
      <c r="M253" s="51"/>
      <c r="N253" s="50"/>
      <c r="O253" s="82"/>
      <c r="P253" s="51"/>
      <c r="Q253" s="82"/>
      <c r="R253" s="50"/>
      <c r="S253" s="68"/>
      <c r="T253" s="82"/>
      <c r="U253" s="51"/>
      <c r="V253" s="51"/>
      <c r="W253" s="178">
        <v>130000</v>
      </c>
      <c r="X253" s="141"/>
      <c r="Y253" s="48"/>
      <c r="Z253" s="61"/>
      <c r="AA253" s="62"/>
      <c r="AB253" s="62"/>
      <c r="AC253" s="62"/>
      <c r="AD253" s="62"/>
      <c r="AE253" s="62"/>
      <c r="AF253" s="62"/>
      <c r="AG253" s="62"/>
    </row>
    <row r="254" spans="1:33" x14ac:dyDescent="0.3">
      <c r="A254" s="59">
        <f t="shared" ref="A254:A256" si="68">A253+1</f>
        <v>178</v>
      </c>
      <c r="B254" s="66" t="s">
        <v>793</v>
      </c>
      <c r="C254" s="50">
        <f>D254+K254+L254+N254+R254+S254+U254+V254+W254</f>
        <v>4237155.5999999996</v>
      </c>
      <c r="D254" s="51">
        <f t="shared" si="67"/>
        <v>0</v>
      </c>
      <c r="E254" s="51"/>
      <c r="F254" s="51"/>
      <c r="G254" s="51"/>
      <c r="H254" s="51"/>
      <c r="I254" s="51"/>
      <c r="J254" s="51"/>
      <c r="K254" s="51"/>
      <c r="L254" s="51"/>
      <c r="M254" s="51"/>
      <c r="N254" s="50"/>
      <c r="O254" s="82"/>
      <c r="P254" s="51"/>
      <c r="Q254" s="82">
        <v>531.4</v>
      </c>
      <c r="R254" s="50">
        <v>4237155.5999999996</v>
      </c>
      <c r="S254" s="68"/>
      <c r="T254" s="82"/>
      <c r="U254" s="51"/>
      <c r="V254" s="51"/>
      <c r="W254" s="178"/>
      <c r="X254" s="141"/>
      <c r="Y254" s="172">
        <v>129926.95</v>
      </c>
      <c r="Z254" s="64">
        <v>109800.07</v>
      </c>
      <c r="AA254" s="62"/>
      <c r="AB254" s="62"/>
      <c r="AC254" s="62"/>
      <c r="AD254" s="62"/>
      <c r="AE254" s="62"/>
      <c r="AF254" s="62"/>
      <c r="AG254" s="62"/>
    </row>
    <row r="255" spans="1:33" x14ac:dyDescent="0.3">
      <c r="A255" s="59">
        <f t="shared" si="68"/>
        <v>179</v>
      </c>
      <c r="B255" s="66" t="s">
        <v>794</v>
      </c>
      <c r="C255" s="50">
        <f>D255+K255+L255+N255+R255+S255+U255+V255+W255</f>
        <v>4820659.2</v>
      </c>
      <c r="D255" s="51">
        <f t="shared" si="67"/>
        <v>0</v>
      </c>
      <c r="E255" s="51"/>
      <c r="F255" s="51"/>
      <c r="G255" s="51"/>
      <c r="H255" s="51"/>
      <c r="I255" s="51"/>
      <c r="J255" s="51"/>
      <c r="K255" s="51"/>
      <c r="L255" s="51"/>
      <c r="M255" s="51"/>
      <c r="N255" s="50"/>
      <c r="O255" s="82"/>
      <c r="P255" s="51"/>
      <c r="Q255" s="82">
        <v>669.2</v>
      </c>
      <c r="R255" s="50">
        <v>4820659.2</v>
      </c>
      <c r="S255" s="68"/>
      <c r="T255" s="82"/>
      <c r="U255" s="51"/>
      <c r="V255" s="51"/>
      <c r="W255" s="178"/>
      <c r="X255" s="141"/>
      <c r="Y255" s="48"/>
      <c r="Z255" s="61"/>
      <c r="AA255" s="62"/>
      <c r="AB255" s="62"/>
      <c r="AC255" s="63">
        <v>193844.71</v>
      </c>
      <c r="AD255" s="63">
        <v>234479.44</v>
      </c>
      <c r="AE255" s="62"/>
      <c r="AF255" s="62"/>
      <c r="AG255" s="62"/>
    </row>
    <row r="256" spans="1:33" x14ac:dyDescent="0.3">
      <c r="A256" s="59">
        <f t="shared" si="68"/>
        <v>180</v>
      </c>
      <c r="B256" s="66" t="s">
        <v>796</v>
      </c>
      <c r="C256" s="50">
        <f>D256+K256+L256+N256+R256+S256+U256+V256+W256</f>
        <v>4855225.2</v>
      </c>
      <c r="D256" s="51">
        <f t="shared" si="67"/>
        <v>0</v>
      </c>
      <c r="E256" s="51"/>
      <c r="F256" s="51"/>
      <c r="G256" s="51"/>
      <c r="H256" s="51"/>
      <c r="I256" s="51"/>
      <c r="J256" s="51"/>
      <c r="K256" s="51"/>
      <c r="L256" s="51"/>
      <c r="M256" s="51"/>
      <c r="N256" s="50"/>
      <c r="O256" s="82"/>
      <c r="P256" s="51"/>
      <c r="Q256" s="82">
        <v>669.2</v>
      </c>
      <c r="R256" s="50">
        <v>4855225.2</v>
      </c>
      <c r="S256" s="68"/>
      <c r="T256" s="82"/>
      <c r="U256" s="51"/>
      <c r="V256" s="51"/>
      <c r="W256" s="178"/>
      <c r="X256" s="141"/>
      <c r="Y256" s="48"/>
      <c r="Z256" s="61"/>
      <c r="AA256" s="62"/>
      <c r="AB256" s="62"/>
      <c r="AC256" s="62"/>
      <c r="AD256" s="63">
        <v>234479.44</v>
      </c>
      <c r="AE256" s="62"/>
      <c r="AF256" s="62"/>
      <c r="AG256" s="62"/>
    </row>
    <row r="257" spans="1:33" x14ac:dyDescent="0.3">
      <c r="A257" s="177"/>
      <c r="B257" s="66" t="s">
        <v>211</v>
      </c>
      <c r="C257" s="50">
        <f t="shared" ref="C257:W257" si="69">SUM(C252:C256)</f>
        <v>18889897.599999998</v>
      </c>
      <c r="D257" s="50">
        <f t="shared" si="69"/>
        <v>0</v>
      </c>
      <c r="E257" s="50">
        <f t="shared" si="69"/>
        <v>0</v>
      </c>
      <c r="F257" s="50">
        <f t="shared" si="69"/>
        <v>0</v>
      </c>
      <c r="G257" s="50">
        <f t="shared" si="69"/>
        <v>0</v>
      </c>
      <c r="H257" s="50">
        <f t="shared" si="69"/>
        <v>0</v>
      </c>
      <c r="I257" s="50">
        <f t="shared" si="69"/>
        <v>0</v>
      </c>
      <c r="J257" s="50">
        <f t="shared" si="69"/>
        <v>0</v>
      </c>
      <c r="K257" s="50">
        <f t="shared" si="69"/>
        <v>0</v>
      </c>
      <c r="L257" s="50">
        <f t="shared" si="69"/>
        <v>0</v>
      </c>
      <c r="M257" s="50">
        <f t="shared" si="69"/>
        <v>0</v>
      </c>
      <c r="N257" s="50">
        <f t="shared" si="69"/>
        <v>0</v>
      </c>
      <c r="O257" s="68">
        <f t="shared" si="69"/>
        <v>0</v>
      </c>
      <c r="P257" s="50">
        <f t="shared" si="69"/>
        <v>0</v>
      </c>
      <c r="Q257" s="68">
        <f t="shared" si="69"/>
        <v>2518.1</v>
      </c>
      <c r="R257" s="50">
        <f t="shared" si="69"/>
        <v>18759897.599999998</v>
      </c>
      <c r="S257" s="68">
        <f t="shared" si="69"/>
        <v>0</v>
      </c>
      <c r="T257" s="68">
        <f t="shared" si="69"/>
        <v>0</v>
      </c>
      <c r="U257" s="50">
        <f t="shared" si="69"/>
        <v>0</v>
      </c>
      <c r="V257" s="50">
        <f t="shared" si="69"/>
        <v>0</v>
      </c>
      <c r="W257" s="34">
        <f t="shared" si="69"/>
        <v>130000</v>
      </c>
      <c r="X257" s="9"/>
      <c r="Y257" s="9"/>
      <c r="Z257" s="40"/>
      <c r="AA257" s="56"/>
      <c r="AB257" s="56"/>
      <c r="AC257" s="56"/>
      <c r="AD257" s="56"/>
      <c r="AE257" s="56"/>
      <c r="AF257" s="56"/>
      <c r="AG257" s="56"/>
    </row>
    <row r="258" spans="1:33" ht="31.2" x14ac:dyDescent="0.3">
      <c r="A258" s="177"/>
      <c r="B258" s="131" t="s">
        <v>3766</v>
      </c>
      <c r="C258" s="50">
        <f t="shared" ref="C258:W258" si="70">C257+C250+C245+C232+C227+C223+C187+C169+C161+C157</f>
        <v>478580810.51999992</v>
      </c>
      <c r="D258" s="50">
        <f t="shared" si="70"/>
        <v>0</v>
      </c>
      <c r="E258" s="50">
        <f t="shared" si="70"/>
        <v>0</v>
      </c>
      <c r="F258" s="50">
        <f t="shared" si="70"/>
        <v>0</v>
      </c>
      <c r="G258" s="50">
        <f t="shared" si="70"/>
        <v>0</v>
      </c>
      <c r="H258" s="50">
        <f t="shared" si="70"/>
        <v>0</v>
      </c>
      <c r="I258" s="50">
        <f t="shared" si="70"/>
        <v>0</v>
      </c>
      <c r="J258" s="50">
        <f t="shared" si="70"/>
        <v>0</v>
      </c>
      <c r="K258" s="50">
        <f t="shared" si="70"/>
        <v>0</v>
      </c>
      <c r="L258" s="50">
        <f t="shared" si="70"/>
        <v>0</v>
      </c>
      <c r="M258" s="50">
        <f t="shared" si="70"/>
        <v>0</v>
      </c>
      <c r="N258" s="50">
        <f t="shared" si="70"/>
        <v>0</v>
      </c>
      <c r="O258" s="68">
        <f t="shared" si="70"/>
        <v>0</v>
      </c>
      <c r="P258" s="50">
        <f t="shared" si="70"/>
        <v>0</v>
      </c>
      <c r="Q258" s="68">
        <f t="shared" si="70"/>
        <v>62107.990000000005</v>
      </c>
      <c r="R258" s="50">
        <f t="shared" si="70"/>
        <v>434525767.53999996</v>
      </c>
      <c r="S258" s="68">
        <f t="shared" si="70"/>
        <v>0</v>
      </c>
      <c r="T258" s="68">
        <f t="shared" si="70"/>
        <v>0</v>
      </c>
      <c r="U258" s="50">
        <f t="shared" si="70"/>
        <v>0</v>
      </c>
      <c r="V258" s="50">
        <f t="shared" si="70"/>
        <v>0</v>
      </c>
      <c r="W258" s="34">
        <f t="shared" si="70"/>
        <v>43361802.75</v>
      </c>
      <c r="X258" s="9"/>
      <c r="Y258" s="9"/>
      <c r="Z258" s="40"/>
      <c r="AA258" s="56"/>
      <c r="AB258" s="56"/>
      <c r="AC258" s="56"/>
      <c r="AD258" s="56"/>
      <c r="AE258" s="56"/>
      <c r="AF258" s="56"/>
      <c r="AG258" s="56"/>
    </row>
    <row r="259" spans="1:33" x14ac:dyDescent="0.3">
      <c r="A259" s="478" t="s">
        <v>803</v>
      </c>
      <c r="B259" s="478"/>
      <c r="C259" s="478"/>
      <c r="D259" s="478"/>
      <c r="E259" s="478"/>
      <c r="F259" s="478"/>
      <c r="G259" s="478"/>
      <c r="H259" s="478"/>
      <c r="I259" s="478"/>
      <c r="J259" s="478"/>
      <c r="K259" s="478"/>
      <c r="L259" s="478"/>
      <c r="M259" s="478"/>
      <c r="N259" s="478"/>
      <c r="O259" s="478"/>
      <c r="P259" s="478"/>
      <c r="Q259" s="478"/>
      <c r="R259" s="478"/>
      <c r="S259" s="478"/>
      <c r="T259" s="478"/>
      <c r="U259" s="478"/>
      <c r="V259" s="478"/>
      <c r="W259" s="478"/>
      <c r="X259" s="313"/>
      <c r="Y259" s="314"/>
      <c r="Z259" s="314"/>
      <c r="AA259" s="314"/>
      <c r="AB259" s="314"/>
      <c r="AC259" s="172"/>
      <c r="AD259" s="172"/>
      <c r="AE259" s="172"/>
      <c r="AF259" s="315"/>
      <c r="AG259" s="56"/>
    </row>
    <row r="260" spans="1:33" x14ac:dyDescent="0.3">
      <c r="A260" s="59"/>
      <c r="B260" s="147" t="s">
        <v>807</v>
      </c>
      <c r="C260" s="50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0"/>
      <c r="O260" s="82"/>
      <c r="P260" s="51"/>
      <c r="Q260" s="82"/>
      <c r="R260" s="50"/>
      <c r="S260" s="68"/>
      <c r="T260" s="82"/>
      <c r="U260" s="51"/>
      <c r="V260" s="51"/>
      <c r="W260" s="178"/>
      <c r="X260" s="285"/>
      <c r="Y260" s="285"/>
      <c r="Z260" s="285"/>
      <c r="AA260" s="285"/>
      <c r="AB260" s="285"/>
      <c r="AC260" s="9"/>
      <c r="AD260" s="306"/>
      <c r="AE260" s="302"/>
      <c r="AF260" s="302"/>
      <c r="AG260" s="56"/>
    </row>
    <row r="261" spans="1:33" x14ac:dyDescent="0.3">
      <c r="A261" s="59">
        <f>A256+1</f>
        <v>181</v>
      </c>
      <c r="B261" s="66" t="s">
        <v>818</v>
      </c>
      <c r="C261" s="50">
        <f>D261+K261+L261+N261+P261+R261+S261+U261+W261</f>
        <v>25043773.879999999</v>
      </c>
      <c r="D261" s="51">
        <f>E261+F261+G261+H261+I261</f>
        <v>0</v>
      </c>
      <c r="E261" s="51"/>
      <c r="F261" s="51"/>
      <c r="G261" s="51"/>
      <c r="H261" s="51"/>
      <c r="I261" s="51"/>
      <c r="J261" s="51"/>
      <c r="K261" s="51"/>
      <c r="L261" s="51"/>
      <c r="M261" s="51"/>
      <c r="N261" s="50"/>
      <c r="O261" s="82"/>
      <c r="P261" s="51"/>
      <c r="Q261" s="82">
        <v>3403.03</v>
      </c>
      <c r="R261" s="50">
        <v>25043773.879999999</v>
      </c>
      <c r="S261" s="68"/>
      <c r="T261" s="82"/>
      <c r="U261" s="51"/>
      <c r="V261" s="51"/>
      <c r="W261" s="178"/>
      <c r="X261" s="285"/>
      <c r="Y261" s="285"/>
      <c r="Z261" s="285"/>
      <c r="AA261" s="285"/>
      <c r="AB261" s="285"/>
      <c r="AC261" s="9">
        <v>630393.13</v>
      </c>
      <c r="AD261" s="306"/>
      <c r="AE261" s="302">
        <v>1911040.16</v>
      </c>
      <c r="AF261" s="302"/>
      <c r="AG261" s="56"/>
    </row>
    <row r="262" spans="1:33" x14ac:dyDescent="0.3">
      <c r="A262" s="59">
        <f>A261+1</f>
        <v>182</v>
      </c>
      <c r="B262" s="66" t="s">
        <v>829</v>
      </c>
      <c r="C262" s="50">
        <f>D262+K262+L262+N262+P262+R262+S262+U262+W262</f>
        <v>7929399.5999999996</v>
      </c>
      <c r="D262" s="51">
        <f>E262+F262+G262+H262+I262</f>
        <v>0</v>
      </c>
      <c r="E262" s="51"/>
      <c r="F262" s="51"/>
      <c r="G262" s="51"/>
      <c r="H262" s="51"/>
      <c r="I262" s="51"/>
      <c r="J262" s="51"/>
      <c r="K262" s="51"/>
      <c r="L262" s="51"/>
      <c r="M262" s="51"/>
      <c r="N262" s="50"/>
      <c r="O262" s="82"/>
      <c r="P262" s="51"/>
      <c r="Q262" s="82">
        <v>1255</v>
      </c>
      <c r="R262" s="50">
        <v>7929399.5999999996</v>
      </c>
      <c r="S262" s="68"/>
      <c r="T262" s="82"/>
      <c r="U262" s="51"/>
      <c r="V262" s="51"/>
      <c r="W262" s="178"/>
      <c r="X262" s="285"/>
      <c r="Y262" s="285"/>
      <c r="Z262" s="285"/>
      <c r="AA262" s="285"/>
      <c r="AB262" s="285"/>
      <c r="AC262" s="9"/>
      <c r="AD262" s="306"/>
      <c r="AE262" s="302">
        <v>633452.19999999995</v>
      </c>
      <c r="AF262" s="302"/>
      <c r="AG262" s="56"/>
    </row>
    <row r="263" spans="1:33" x14ac:dyDescent="0.3">
      <c r="A263" s="59">
        <f>A262+1</f>
        <v>183</v>
      </c>
      <c r="B263" s="66" t="s">
        <v>1009</v>
      </c>
      <c r="C263" s="50">
        <f>D263+K263+L263+N263+P263+R263+S263+U263+W263</f>
        <v>6637080</v>
      </c>
      <c r="D263" s="51">
        <f>E263+F263+G263+H263+I263</f>
        <v>0</v>
      </c>
      <c r="E263" s="51"/>
      <c r="F263" s="51"/>
      <c r="G263" s="51"/>
      <c r="H263" s="51"/>
      <c r="I263" s="51"/>
      <c r="J263" s="51"/>
      <c r="K263" s="51"/>
      <c r="L263" s="51"/>
      <c r="M263" s="51">
        <v>820</v>
      </c>
      <c r="N263" s="50">
        <v>6637080</v>
      </c>
      <c r="O263" s="82"/>
      <c r="P263" s="51"/>
      <c r="Q263" s="82"/>
      <c r="R263" s="50"/>
      <c r="S263" s="68"/>
      <c r="T263" s="82"/>
      <c r="U263" s="51"/>
      <c r="V263" s="51"/>
      <c r="W263" s="178"/>
      <c r="X263" s="285">
        <v>129346.13</v>
      </c>
      <c r="Y263" s="285"/>
      <c r="Z263" s="285"/>
      <c r="AA263" s="285"/>
      <c r="AB263" s="285"/>
      <c r="AC263" s="9">
        <v>263530.52</v>
      </c>
      <c r="AD263" s="306">
        <v>126053.75999999999</v>
      </c>
      <c r="AE263" s="302">
        <v>716929.46</v>
      </c>
      <c r="AF263" s="302"/>
      <c r="AG263" s="56"/>
    </row>
    <row r="264" spans="1:33" x14ac:dyDescent="0.3">
      <c r="A264" s="59"/>
      <c r="B264" s="66" t="s">
        <v>211</v>
      </c>
      <c r="C264" s="50">
        <f t="shared" ref="C264:W264" si="71">SUM(C261:C263)</f>
        <v>39610253.479999997</v>
      </c>
      <c r="D264" s="50">
        <f t="shared" si="71"/>
        <v>0</v>
      </c>
      <c r="E264" s="50">
        <f t="shared" si="71"/>
        <v>0</v>
      </c>
      <c r="F264" s="50">
        <f t="shared" si="71"/>
        <v>0</v>
      </c>
      <c r="G264" s="50">
        <f t="shared" si="71"/>
        <v>0</v>
      </c>
      <c r="H264" s="50">
        <f t="shared" si="71"/>
        <v>0</v>
      </c>
      <c r="I264" s="50">
        <f t="shared" si="71"/>
        <v>0</v>
      </c>
      <c r="J264" s="50">
        <f t="shared" si="71"/>
        <v>0</v>
      </c>
      <c r="K264" s="50">
        <f t="shared" si="71"/>
        <v>0</v>
      </c>
      <c r="L264" s="50">
        <f t="shared" si="71"/>
        <v>0</v>
      </c>
      <c r="M264" s="50">
        <f t="shared" si="71"/>
        <v>820</v>
      </c>
      <c r="N264" s="50">
        <f t="shared" si="71"/>
        <v>6637080</v>
      </c>
      <c r="O264" s="68">
        <f t="shared" si="71"/>
        <v>0</v>
      </c>
      <c r="P264" s="50">
        <f t="shared" si="71"/>
        <v>0</v>
      </c>
      <c r="Q264" s="68">
        <f t="shared" si="71"/>
        <v>4658.0300000000007</v>
      </c>
      <c r="R264" s="50">
        <f t="shared" si="71"/>
        <v>32973173.479999997</v>
      </c>
      <c r="S264" s="68">
        <f t="shared" si="71"/>
        <v>0</v>
      </c>
      <c r="T264" s="68">
        <f t="shared" si="71"/>
        <v>0</v>
      </c>
      <c r="U264" s="50">
        <f t="shared" si="71"/>
        <v>0</v>
      </c>
      <c r="V264" s="50">
        <f t="shared" si="71"/>
        <v>0</v>
      </c>
      <c r="W264" s="34">
        <f t="shared" si="71"/>
        <v>0</v>
      </c>
      <c r="X264" s="285"/>
      <c r="Y264" s="285"/>
      <c r="Z264" s="285"/>
      <c r="AA264" s="285"/>
      <c r="AB264" s="285"/>
      <c r="AC264" s="9"/>
      <c r="AD264" s="306"/>
      <c r="AE264" s="302"/>
      <c r="AF264" s="302"/>
      <c r="AG264" s="56"/>
    </row>
    <row r="265" spans="1:33" ht="31.2" x14ac:dyDescent="0.3">
      <c r="A265" s="59"/>
      <c r="B265" s="66" t="s">
        <v>1071</v>
      </c>
      <c r="C265" s="50"/>
      <c r="D265" s="51"/>
      <c r="E265" s="51"/>
      <c r="F265" s="51"/>
      <c r="G265" s="51"/>
      <c r="H265" s="51"/>
      <c r="I265" s="51"/>
      <c r="J265" s="51"/>
      <c r="K265" s="51"/>
      <c r="L265" s="51"/>
      <c r="M265" s="50"/>
      <c r="N265" s="50"/>
      <c r="O265" s="68"/>
      <c r="P265" s="51"/>
      <c r="Q265" s="68"/>
      <c r="R265" s="50"/>
      <c r="S265" s="68"/>
      <c r="T265" s="82"/>
      <c r="U265" s="51"/>
      <c r="V265" s="51"/>
      <c r="W265" s="178"/>
      <c r="X265" s="285"/>
      <c r="Y265" s="285"/>
      <c r="Z265" s="285"/>
      <c r="AA265" s="285"/>
      <c r="AB265" s="285"/>
      <c r="AC265" s="9"/>
      <c r="AD265" s="306"/>
      <c r="AE265" s="302"/>
      <c r="AF265" s="302"/>
      <c r="AG265" s="56"/>
    </row>
    <row r="266" spans="1:33" x14ac:dyDescent="0.3">
      <c r="A266" s="59">
        <f>A263+1</f>
        <v>184</v>
      </c>
      <c r="B266" s="66" t="s">
        <v>1080</v>
      </c>
      <c r="C266" s="50">
        <f>D266+K266+L266+N266+P266+R266+S266+U266+W266</f>
        <v>3227150.14</v>
      </c>
      <c r="D266" s="51">
        <f>E266+F266+G266+H266+I266</f>
        <v>0</v>
      </c>
      <c r="E266" s="51"/>
      <c r="F266" s="50"/>
      <c r="G266" s="50"/>
      <c r="H266" s="50"/>
      <c r="I266" s="50"/>
      <c r="J266" s="50"/>
      <c r="K266" s="50"/>
      <c r="L266" s="50"/>
      <c r="M266" s="51"/>
      <c r="N266" s="50"/>
      <c r="O266" s="82"/>
      <c r="P266" s="51"/>
      <c r="Q266" s="68">
        <v>362.8</v>
      </c>
      <c r="R266" s="50">
        <v>3227150.14</v>
      </c>
      <c r="S266" s="68"/>
      <c r="T266" s="68"/>
      <c r="U266" s="50"/>
      <c r="V266" s="50"/>
      <c r="W266" s="178"/>
      <c r="X266" s="285">
        <v>98535.96</v>
      </c>
      <c r="Y266" s="285"/>
      <c r="Z266" s="285"/>
      <c r="AA266" s="285"/>
      <c r="AB266" s="285"/>
      <c r="AC266" s="9"/>
      <c r="AD266" s="306">
        <v>10712.02</v>
      </c>
      <c r="AE266" s="302"/>
      <c r="AF266" s="302"/>
      <c r="AG266" s="56"/>
    </row>
    <row r="267" spans="1:33" x14ac:dyDescent="0.3">
      <c r="A267" s="59">
        <f>A266+1</f>
        <v>185</v>
      </c>
      <c r="B267" s="66" t="s">
        <v>1084</v>
      </c>
      <c r="C267" s="50">
        <f>D267+K267+L267+N267+P267+R267+S267+U267+W267</f>
        <v>9148813.7599999998</v>
      </c>
      <c r="D267" s="51">
        <f>E267+F267+G267+H267+I267</f>
        <v>0</v>
      </c>
      <c r="E267" s="51"/>
      <c r="F267" s="51"/>
      <c r="G267" s="51"/>
      <c r="H267" s="51"/>
      <c r="I267" s="50"/>
      <c r="J267" s="50"/>
      <c r="K267" s="50"/>
      <c r="L267" s="50"/>
      <c r="M267" s="50"/>
      <c r="N267" s="50"/>
      <c r="O267" s="82"/>
      <c r="P267" s="51"/>
      <c r="Q267" s="68">
        <v>1136.0999999999999</v>
      </c>
      <c r="R267" s="50">
        <v>9148813.7599999998</v>
      </c>
      <c r="S267" s="68"/>
      <c r="T267" s="68"/>
      <c r="U267" s="50"/>
      <c r="V267" s="50"/>
      <c r="W267" s="178"/>
      <c r="X267" s="285">
        <v>117741.07</v>
      </c>
      <c r="Y267" s="285">
        <v>153956.26</v>
      </c>
      <c r="Z267" s="505">
        <v>126227.53</v>
      </c>
      <c r="AA267" s="505"/>
      <c r="AB267" s="285"/>
      <c r="AC267" s="9"/>
      <c r="AD267" s="306">
        <v>219846.63</v>
      </c>
      <c r="AE267" s="302"/>
      <c r="AF267" s="302"/>
      <c r="AG267" s="56"/>
    </row>
    <row r="268" spans="1:33" x14ac:dyDescent="0.3">
      <c r="A268" s="59">
        <f>A267+1</f>
        <v>186</v>
      </c>
      <c r="B268" s="66" t="s">
        <v>1108</v>
      </c>
      <c r="C268" s="50">
        <f>D268+K268+L268+N268+P268+R268+S268+U268+W268</f>
        <v>6292722.8799999999</v>
      </c>
      <c r="D268" s="51">
        <f>E268+F268+G268+H268+I268</f>
        <v>0</v>
      </c>
      <c r="E268" s="50"/>
      <c r="F268" s="51"/>
      <c r="G268" s="51"/>
      <c r="H268" s="50"/>
      <c r="I268" s="50"/>
      <c r="J268" s="50"/>
      <c r="K268" s="50"/>
      <c r="L268" s="50"/>
      <c r="M268" s="50"/>
      <c r="N268" s="50"/>
      <c r="O268" s="82"/>
      <c r="P268" s="51"/>
      <c r="Q268" s="68">
        <v>700.3</v>
      </c>
      <c r="R268" s="50">
        <v>6292722.8799999999</v>
      </c>
      <c r="S268" s="68"/>
      <c r="T268" s="68"/>
      <c r="U268" s="50"/>
      <c r="V268" s="50"/>
      <c r="W268" s="178"/>
      <c r="X268" s="285">
        <v>112501.63</v>
      </c>
      <c r="Y268" s="285"/>
      <c r="Z268" s="285"/>
      <c r="AA268" s="285"/>
      <c r="AB268" s="285"/>
      <c r="AC268" s="9"/>
      <c r="AD268" s="306"/>
      <c r="AE268" s="302">
        <v>392095.69</v>
      </c>
      <c r="AF268" s="302"/>
      <c r="AG268" s="56"/>
    </row>
    <row r="269" spans="1:33" x14ac:dyDescent="0.3">
      <c r="A269" s="59">
        <f>A268+1</f>
        <v>187</v>
      </c>
      <c r="B269" s="66" t="s">
        <v>1114</v>
      </c>
      <c r="C269" s="50">
        <f>D269+K269+L269+N269+P269+R269+S269+U269+W269</f>
        <v>4588888.8</v>
      </c>
      <c r="D269" s="51">
        <f>E269+F269+G269+H269+I269</f>
        <v>0</v>
      </c>
      <c r="E269" s="50"/>
      <c r="F269" s="50"/>
      <c r="G269" s="50"/>
      <c r="H269" s="50"/>
      <c r="I269" s="50"/>
      <c r="J269" s="50"/>
      <c r="K269" s="50"/>
      <c r="L269" s="50"/>
      <c r="M269" s="51"/>
      <c r="N269" s="50"/>
      <c r="O269" s="68"/>
      <c r="P269" s="50"/>
      <c r="Q269" s="68">
        <v>588</v>
      </c>
      <c r="R269" s="50">
        <v>4588888.8</v>
      </c>
      <c r="S269" s="68"/>
      <c r="T269" s="68"/>
      <c r="U269" s="50"/>
      <c r="V269" s="50"/>
      <c r="W269" s="178"/>
      <c r="X269" s="285"/>
      <c r="Y269" s="285"/>
      <c r="Z269" s="285"/>
      <c r="AA269" s="285"/>
      <c r="AB269" s="285"/>
      <c r="AC269" s="9"/>
      <c r="AD269" s="306"/>
      <c r="AE269" s="302">
        <v>401952.36</v>
      </c>
      <c r="AF269" s="302"/>
      <c r="AG269" s="56"/>
    </row>
    <row r="270" spans="1:33" x14ac:dyDescent="0.3">
      <c r="A270" s="59"/>
      <c r="B270" s="66" t="s">
        <v>211</v>
      </c>
      <c r="C270" s="50">
        <f t="shared" ref="C270:W270" si="72">SUM(C266:C269)</f>
        <v>23257575.580000002</v>
      </c>
      <c r="D270" s="50">
        <f t="shared" si="72"/>
        <v>0</v>
      </c>
      <c r="E270" s="50">
        <f t="shared" si="72"/>
        <v>0</v>
      </c>
      <c r="F270" s="50">
        <f t="shared" si="72"/>
        <v>0</v>
      </c>
      <c r="G270" s="50">
        <f t="shared" si="72"/>
        <v>0</v>
      </c>
      <c r="H270" s="50">
        <f t="shared" si="72"/>
        <v>0</v>
      </c>
      <c r="I270" s="50">
        <f t="shared" si="72"/>
        <v>0</v>
      </c>
      <c r="J270" s="50">
        <f t="shared" si="72"/>
        <v>0</v>
      </c>
      <c r="K270" s="50">
        <f t="shared" si="72"/>
        <v>0</v>
      </c>
      <c r="L270" s="50">
        <f t="shared" si="72"/>
        <v>0</v>
      </c>
      <c r="M270" s="50">
        <f t="shared" si="72"/>
        <v>0</v>
      </c>
      <c r="N270" s="50">
        <f t="shared" si="72"/>
        <v>0</v>
      </c>
      <c r="O270" s="68">
        <f t="shared" si="72"/>
        <v>0</v>
      </c>
      <c r="P270" s="50">
        <f t="shared" si="72"/>
        <v>0</v>
      </c>
      <c r="Q270" s="68">
        <f t="shared" si="72"/>
        <v>2787.2</v>
      </c>
      <c r="R270" s="50">
        <f t="shared" si="72"/>
        <v>23257575.580000002</v>
      </c>
      <c r="S270" s="68">
        <f t="shared" si="72"/>
        <v>0</v>
      </c>
      <c r="T270" s="68">
        <f t="shared" si="72"/>
        <v>0</v>
      </c>
      <c r="U270" s="50">
        <f t="shared" si="72"/>
        <v>0</v>
      </c>
      <c r="V270" s="50">
        <f t="shared" si="72"/>
        <v>0</v>
      </c>
      <c r="W270" s="34">
        <f t="shared" si="72"/>
        <v>0</v>
      </c>
      <c r="X270" s="285"/>
      <c r="Y270" s="285"/>
      <c r="Z270" s="285"/>
      <c r="AA270" s="285"/>
      <c r="AB270" s="285"/>
      <c r="AC270" s="9"/>
      <c r="AD270" s="306"/>
      <c r="AE270" s="302"/>
      <c r="AF270" s="302"/>
      <c r="AG270" s="56"/>
    </row>
    <row r="271" spans="1:33" ht="31.2" x14ac:dyDescent="0.3">
      <c r="A271" s="59"/>
      <c r="B271" s="66" t="s">
        <v>1126</v>
      </c>
      <c r="C271" s="50"/>
      <c r="D271" s="51"/>
      <c r="E271" s="51"/>
      <c r="F271" s="51"/>
      <c r="G271" s="51"/>
      <c r="H271" s="51"/>
      <c r="I271" s="51"/>
      <c r="J271" s="51"/>
      <c r="K271" s="51"/>
      <c r="L271" s="51"/>
      <c r="M271" s="50"/>
      <c r="N271" s="50"/>
      <c r="O271" s="68"/>
      <c r="P271" s="51"/>
      <c r="Q271" s="68"/>
      <c r="R271" s="50"/>
      <c r="S271" s="68"/>
      <c r="T271" s="82"/>
      <c r="U271" s="51"/>
      <c r="V271" s="51"/>
      <c r="W271" s="178"/>
      <c r="X271" s="285"/>
      <c r="Y271" s="285"/>
      <c r="Z271" s="285"/>
      <c r="AA271" s="285"/>
      <c r="AB271" s="285"/>
      <c r="AC271" s="9"/>
      <c r="AD271" s="306"/>
      <c r="AE271" s="302"/>
      <c r="AF271" s="302"/>
      <c r="AG271" s="56"/>
    </row>
    <row r="272" spans="1:33" x14ac:dyDescent="0.3">
      <c r="A272" s="59">
        <f>A269+1</f>
        <v>188</v>
      </c>
      <c r="B272" s="66" t="s">
        <v>1138</v>
      </c>
      <c r="C272" s="50">
        <f>D272+K272+L272+N272+P272+R272+S272+U272+W272</f>
        <v>7585811.3600000003</v>
      </c>
      <c r="D272" s="51">
        <f>E272+F272+G272+H272+I272</f>
        <v>0</v>
      </c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68"/>
      <c r="P272" s="50"/>
      <c r="Q272" s="68">
        <v>1596.25</v>
      </c>
      <c r="R272" s="50">
        <v>7585811.3600000003</v>
      </c>
      <c r="S272" s="68"/>
      <c r="T272" s="68"/>
      <c r="U272" s="50"/>
      <c r="V272" s="50"/>
      <c r="W272" s="178"/>
      <c r="X272" s="285"/>
      <c r="Y272" s="285"/>
      <c r="Z272" s="285"/>
      <c r="AA272" s="285"/>
      <c r="AB272" s="285"/>
      <c r="AC272" s="9"/>
      <c r="AD272" s="306"/>
      <c r="AE272" s="302">
        <v>675953.23</v>
      </c>
      <c r="AF272" s="302">
        <v>226091.95</v>
      </c>
      <c r="AG272" s="56"/>
    </row>
    <row r="273" spans="1:33" x14ac:dyDescent="0.3">
      <c r="A273" s="59"/>
      <c r="B273" s="66" t="s">
        <v>211</v>
      </c>
      <c r="C273" s="50">
        <f t="shared" ref="C273:W273" si="73">SUM(C272:C272)</f>
        <v>7585811.3600000003</v>
      </c>
      <c r="D273" s="50">
        <f t="shared" si="73"/>
        <v>0</v>
      </c>
      <c r="E273" s="50">
        <f t="shared" si="73"/>
        <v>0</v>
      </c>
      <c r="F273" s="50">
        <f t="shared" si="73"/>
        <v>0</v>
      </c>
      <c r="G273" s="50">
        <f t="shared" si="73"/>
        <v>0</v>
      </c>
      <c r="H273" s="50">
        <f t="shared" si="73"/>
        <v>0</v>
      </c>
      <c r="I273" s="50">
        <f t="shared" si="73"/>
        <v>0</v>
      </c>
      <c r="J273" s="50">
        <f t="shared" si="73"/>
        <v>0</v>
      </c>
      <c r="K273" s="50">
        <f t="shared" si="73"/>
        <v>0</v>
      </c>
      <c r="L273" s="50">
        <f t="shared" si="73"/>
        <v>0</v>
      </c>
      <c r="M273" s="50">
        <f t="shared" si="73"/>
        <v>0</v>
      </c>
      <c r="N273" s="50">
        <f t="shared" si="73"/>
        <v>0</v>
      </c>
      <c r="O273" s="68">
        <f t="shared" si="73"/>
        <v>0</v>
      </c>
      <c r="P273" s="50">
        <f t="shared" si="73"/>
        <v>0</v>
      </c>
      <c r="Q273" s="68">
        <f t="shared" si="73"/>
        <v>1596.25</v>
      </c>
      <c r="R273" s="50">
        <f t="shared" si="73"/>
        <v>7585811.3600000003</v>
      </c>
      <c r="S273" s="68">
        <f t="shared" si="73"/>
        <v>0</v>
      </c>
      <c r="T273" s="68">
        <f t="shared" si="73"/>
        <v>0</v>
      </c>
      <c r="U273" s="50">
        <f t="shared" si="73"/>
        <v>0</v>
      </c>
      <c r="V273" s="50">
        <f t="shared" si="73"/>
        <v>0</v>
      </c>
      <c r="W273" s="34">
        <f t="shared" si="73"/>
        <v>0</v>
      </c>
      <c r="X273" s="285"/>
      <c r="Y273" s="285"/>
      <c r="Z273" s="285"/>
      <c r="AA273" s="285"/>
      <c r="AB273" s="285"/>
      <c r="AC273" s="9"/>
      <c r="AD273" s="306"/>
      <c r="AE273" s="302"/>
      <c r="AF273" s="302"/>
      <c r="AG273" s="56"/>
    </row>
    <row r="274" spans="1:33" ht="31.2" x14ac:dyDescent="0.3">
      <c r="A274" s="59"/>
      <c r="B274" s="66" t="s">
        <v>1154</v>
      </c>
      <c r="C274" s="50"/>
      <c r="D274" s="51"/>
      <c r="E274" s="51"/>
      <c r="F274" s="50"/>
      <c r="G274" s="50"/>
      <c r="H274" s="50"/>
      <c r="I274" s="50"/>
      <c r="J274" s="50"/>
      <c r="K274" s="50"/>
      <c r="L274" s="50"/>
      <c r="M274" s="51"/>
      <c r="N274" s="50"/>
      <c r="O274" s="82"/>
      <c r="P274" s="51"/>
      <c r="Q274" s="82"/>
      <c r="R274" s="50"/>
      <c r="S274" s="68"/>
      <c r="T274" s="68"/>
      <c r="U274" s="50"/>
      <c r="V274" s="50"/>
      <c r="W274" s="178"/>
      <c r="X274" s="285"/>
      <c r="Y274" s="285"/>
      <c r="Z274" s="285"/>
      <c r="AA274" s="285"/>
      <c r="AB274" s="285"/>
      <c r="AC274" s="9"/>
      <c r="AD274" s="306"/>
      <c r="AE274" s="302"/>
      <c r="AF274" s="302"/>
      <c r="AG274" s="56"/>
    </row>
    <row r="275" spans="1:33" x14ac:dyDescent="0.3">
      <c r="A275" s="59">
        <f>A272+1</f>
        <v>189</v>
      </c>
      <c r="B275" s="66" t="s">
        <v>1155</v>
      </c>
      <c r="C275" s="50">
        <f>D275+K275+L275+N275+P275+R275+S275+U275+W275</f>
        <v>287261</v>
      </c>
      <c r="D275" s="51">
        <f>E275+F275+G275+H275+I275</f>
        <v>0</v>
      </c>
      <c r="E275" s="51"/>
      <c r="F275" s="50"/>
      <c r="G275" s="50"/>
      <c r="H275" s="50"/>
      <c r="I275" s="50"/>
      <c r="J275" s="50"/>
      <c r="K275" s="50"/>
      <c r="L275" s="50"/>
      <c r="M275" s="51">
        <v>13</v>
      </c>
      <c r="N275" s="50">
        <f>M275*8094</f>
        <v>105222</v>
      </c>
      <c r="O275" s="82"/>
      <c r="P275" s="51"/>
      <c r="Q275" s="82">
        <v>13</v>
      </c>
      <c r="R275" s="50">
        <f>Q275*(3641+10362)</f>
        <v>182039</v>
      </c>
      <c r="S275" s="68"/>
      <c r="T275" s="68"/>
      <c r="U275" s="50"/>
      <c r="V275" s="50"/>
      <c r="W275" s="143"/>
      <c r="X275" s="285"/>
      <c r="Y275" s="285"/>
      <c r="Z275" s="285"/>
      <c r="AA275" s="285"/>
      <c r="AB275" s="285"/>
      <c r="AC275" s="9"/>
      <c r="AD275" s="306"/>
      <c r="AE275" s="302"/>
      <c r="AF275" s="302"/>
      <c r="AG275" s="56"/>
    </row>
    <row r="276" spans="1:33" x14ac:dyDescent="0.3">
      <c r="A276" s="59">
        <f>A275+1</f>
        <v>190</v>
      </c>
      <c r="B276" s="66" t="s">
        <v>1156</v>
      </c>
      <c r="C276" s="50">
        <f>D276+K276+L276+N276+P276+R276+S276+U276+W276</f>
        <v>287261</v>
      </c>
      <c r="D276" s="51">
        <f>E276+F276+G276+H276+I276</f>
        <v>0</v>
      </c>
      <c r="E276" s="51"/>
      <c r="F276" s="50"/>
      <c r="G276" s="50"/>
      <c r="H276" s="50"/>
      <c r="I276" s="50"/>
      <c r="J276" s="50"/>
      <c r="K276" s="50"/>
      <c r="L276" s="50"/>
      <c r="M276" s="51">
        <v>13</v>
      </c>
      <c r="N276" s="50">
        <f>M276*8094</f>
        <v>105222</v>
      </c>
      <c r="O276" s="82"/>
      <c r="P276" s="51"/>
      <c r="Q276" s="82">
        <v>13</v>
      </c>
      <c r="R276" s="50">
        <f>Q276*(3641+10362)</f>
        <v>182039</v>
      </c>
      <c r="S276" s="68"/>
      <c r="T276" s="68"/>
      <c r="U276" s="50"/>
      <c r="V276" s="50"/>
      <c r="W276" s="143"/>
      <c r="X276" s="285"/>
      <c r="Y276" s="285"/>
      <c r="Z276" s="285"/>
      <c r="AA276" s="285"/>
      <c r="AB276" s="285"/>
      <c r="AC276" s="9"/>
      <c r="AD276" s="306"/>
      <c r="AE276" s="302"/>
      <c r="AF276" s="302"/>
      <c r="AG276" s="56"/>
    </row>
    <row r="277" spans="1:33" x14ac:dyDescent="0.3">
      <c r="A277" s="59">
        <f>A276+1</f>
        <v>191</v>
      </c>
      <c r="B277" s="66" t="s">
        <v>1157</v>
      </c>
      <c r="C277" s="50">
        <f>D277+K277+L277+N277+P277+R277+S277+U277+W277</f>
        <v>130000</v>
      </c>
      <c r="D277" s="51">
        <f>E277+F277+G277+H277+I277</f>
        <v>0</v>
      </c>
      <c r="E277" s="51"/>
      <c r="F277" s="50"/>
      <c r="G277" s="50"/>
      <c r="H277" s="50"/>
      <c r="I277" s="50"/>
      <c r="J277" s="50"/>
      <c r="K277" s="50"/>
      <c r="L277" s="50"/>
      <c r="M277" s="51"/>
      <c r="N277" s="50"/>
      <c r="O277" s="82"/>
      <c r="P277" s="51"/>
      <c r="Q277" s="82"/>
      <c r="R277" s="50"/>
      <c r="S277" s="68"/>
      <c r="T277" s="68"/>
      <c r="U277" s="50"/>
      <c r="V277" s="50"/>
      <c r="W277" s="178">
        <v>130000</v>
      </c>
      <c r="X277" s="285"/>
      <c r="Y277" s="285"/>
      <c r="Z277" s="285"/>
      <c r="AA277" s="285"/>
      <c r="AB277" s="285"/>
      <c r="AC277" s="9"/>
      <c r="AD277" s="306"/>
      <c r="AE277" s="302"/>
      <c r="AF277" s="302"/>
      <c r="AG277" s="56"/>
    </row>
    <row r="278" spans="1:33" x14ac:dyDescent="0.3">
      <c r="A278" s="59">
        <f>A277+1</f>
        <v>192</v>
      </c>
      <c r="B278" s="66" t="s">
        <v>1158</v>
      </c>
      <c r="C278" s="50">
        <f>D278+K278+L278+N278+P278+R278+S278+U278+W278</f>
        <v>130000</v>
      </c>
      <c r="D278" s="51">
        <f>E278+F278+G278+H278+I278</f>
        <v>0</v>
      </c>
      <c r="E278" s="51"/>
      <c r="F278" s="50"/>
      <c r="G278" s="50"/>
      <c r="H278" s="50"/>
      <c r="I278" s="50"/>
      <c r="J278" s="50"/>
      <c r="K278" s="50"/>
      <c r="L278" s="50"/>
      <c r="M278" s="51"/>
      <c r="N278" s="50"/>
      <c r="O278" s="82"/>
      <c r="P278" s="51"/>
      <c r="Q278" s="82"/>
      <c r="R278" s="50"/>
      <c r="S278" s="68"/>
      <c r="T278" s="68"/>
      <c r="U278" s="50"/>
      <c r="V278" s="50"/>
      <c r="W278" s="178">
        <v>130000</v>
      </c>
      <c r="X278" s="285"/>
      <c r="Y278" s="285"/>
      <c r="Z278" s="285"/>
      <c r="AA278" s="285"/>
      <c r="AB278" s="285"/>
      <c r="AC278" s="9"/>
      <c r="AD278" s="306"/>
      <c r="AE278" s="302"/>
      <c r="AF278" s="302"/>
      <c r="AG278" s="56"/>
    </row>
    <row r="279" spans="1:33" x14ac:dyDescent="0.3">
      <c r="A279" s="59">
        <f>A278+1</f>
        <v>193</v>
      </c>
      <c r="B279" s="66" t="s">
        <v>211</v>
      </c>
      <c r="C279" s="50">
        <f t="shared" ref="C279:M279" si="74">SUM(C275:C278)</f>
        <v>834522</v>
      </c>
      <c r="D279" s="50">
        <f t="shared" si="74"/>
        <v>0</v>
      </c>
      <c r="E279" s="50">
        <f t="shared" si="74"/>
        <v>0</v>
      </c>
      <c r="F279" s="50">
        <f t="shared" si="74"/>
        <v>0</v>
      </c>
      <c r="G279" s="50">
        <f t="shared" si="74"/>
        <v>0</v>
      </c>
      <c r="H279" s="50">
        <f t="shared" si="74"/>
        <v>0</v>
      </c>
      <c r="I279" s="50">
        <f t="shared" si="74"/>
        <v>0</v>
      </c>
      <c r="J279" s="50">
        <f t="shared" si="74"/>
        <v>0</v>
      </c>
      <c r="K279" s="50">
        <f t="shared" si="74"/>
        <v>0</v>
      </c>
      <c r="L279" s="50">
        <f t="shared" si="74"/>
        <v>0</v>
      </c>
      <c r="M279" s="50">
        <f t="shared" si="74"/>
        <v>26</v>
      </c>
      <c r="N279" s="50"/>
      <c r="O279" s="68"/>
      <c r="P279" s="50"/>
      <c r="Q279" s="68"/>
      <c r="R279" s="50"/>
      <c r="S279" s="68"/>
      <c r="T279" s="68"/>
      <c r="U279" s="50">
        <f>SUM(U275:U278)</f>
        <v>0</v>
      </c>
      <c r="V279" s="50">
        <f>SUM(V275:V278)</f>
        <v>0</v>
      </c>
      <c r="W279" s="34">
        <f>SUM(W277:W278)</f>
        <v>260000</v>
      </c>
      <c r="X279" s="285"/>
      <c r="Y279" s="285"/>
      <c r="Z279" s="285"/>
      <c r="AA279" s="285"/>
      <c r="AB279" s="285"/>
      <c r="AC279" s="9"/>
      <c r="AD279" s="306"/>
      <c r="AE279" s="302"/>
      <c r="AF279" s="302"/>
      <c r="AG279" s="56"/>
    </row>
    <row r="280" spans="1:33" ht="31.2" x14ac:dyDescent="0.3">
      <c r="A280" s="59"/>
      <c r="B280" s="66" t="s">
        <v>1159</v>
      </c>
      <c r="C280" s="50"/>
      <c r="D280" s="51"/>
      <c r="E280" s="51"/>
      <c r="F280" s="50"/>
      <c r="G280" s="50"/>
      <c r="H280" s="50"/>
      <c r="I280" s="50"/>
      <c r="J280" s="50"/>
      <c r="K280" s="50"/>
      <c r="L280" s="50"/>
      <c r="M280" s="51"/>
      <c r="N280" s="50"/>
      <c r="O280" s="82"/>
      <c r="P280" s="51"/>
      <c r="Q280" s="82"/>
      <c r="R280" s="50"/>
      <c r="S280" s="68"/>
      <c r="T280" s="68"/>
      <c r="U280" s="50"/>
      <c r="V280" s="50"/>
      <c r="W280" s="178"/>
      <c r="X280" s="285"/>
      <c r="Y280" s="285"/>
      <c r="Z280" s="285"/>
      <c r="AA280" s="285"/>
      <c r="AB280" s="285"/>
      <c r="AC280" s="9"/>
      <c r="AD280" s="306"/>
      <c r="AE280" s="302"/>
      <c r="AF280" s="302"/>
      <c r="AG280" s="56"/>
    </row>
    <row r="281" spans="1:33" x14ac:dyDescent="0.3">
      <c r="A281" s="59">
        <f>A278+1</f>
        <v>193</v>
      </c>
      <c r="B281" s="66" t="s">
        <v>1168</v>
      </c>
      <c r="C281" s="50">
        <f>D281+K281+L281+N281+P281+R281+S281+U281+W281</f>
        <v>10909440</v>
      </c>
      <c r="D281" s="51">
        <f>E281+F281+G281+H281+I281</f>
        <v>0</v>
      </c>
      <c r="E281" s="51"/>
      <c r="F281" s="51"/>
      <c r="G281" s="51"/>
      <c r="H281" s="51"/>
      <c r="I281" s="51"/>
      <c r="J281" s="51"/>
      <c r="K281" s="51"/>
      <c r="L281" s="51"/>
      <c r="M281" s="51"/>
      <c r="N281" s="50"/>
      <c r="O281" s="82"/>
      <c r="P281" s="51"/>
      <c r="Q281" s="82">
        <v>2182.5</v>
      </c>
      <c r="R281" s="50">
        <v>10909440</v>
      </c>
      <c r="S281" s="68"/>
      <c r="T281" s="82"/>
      <c r="U281" s="51"/>
      <c r="V281" s="51"/>
      <c r="W281" s="178"/>
      <c r="X281" s="285"/>
      <c r="Y281" s="285"/>
      <c r="Z281" s="285"/>
      <c r="AA281" s="285"/>
      <c r="AB281" s="285"/>
      <c r="AC281" s="9"/>
      <c r="AD281" s="306">
        <v>282854.57</v>
      </c>
      <c r="AE281" s="302">
        <v>967646.59</v>
      </c>
      <c r="AF281" s="302"/>
      <c r="AG281" s="56"/>
    </row>
    <row r="282" spans="1:33" x14ac:dyDescent="0.3">
      <c r="A282" s="59">
        <f>A281+1</f>
        <v>194</v>
      </c>
      <c r="B282" s="66" t="s">
        <v>1189</v>
      </c>
      <c r="C282" s="50">
        <f>D282+K282+L282+N282+P282+R282+S282+U282+W282</f>
        <v>13467360.060000001</v>
      </c>
      <c r="D282" s="51">
        <f>E282+F282+G282+H282+I282</f>
        <v>0</v>
      </c>
      <c r="E282" s="51"/>
      <c r="F282" s="51"/>
      <c r="G282" s="51"/>
      <c r="H282" s="51"/>
      <c r="I282" s="51"/>
      <c r="J282" s="51"/>
      <c r="K282" s="51"/>
      <c r="L282" s="51"/>
      <c r="M282" s="51"/>
      <c r="N282" s="50"/>
      <c r="O282" s="82"/>
      <c r="P282" s="51"/>
      <c r="Q282" s="82">
        <v>2391.8000000000002</v>
      </c>
      <c r="R282" s="50">
        <v>13467360.060000001</v>
      </c>
      <c r="S282" s="68"/>
      <c r="T282" s="82"/>
      <c r="U282" s="51"/>
      <c r="V282" s="51"/>
      <c r="W282" s="178"/>
      <c r="X282" s="285"/>
      <c r="Y282" s="285"/>
      <c r="Z282" s="285"/>
      <c r="AA282" s="285"/>
      <c r="AB282" s="285"/>
      <c r="AC282" s="9"/>
      <c r="AD282" s="306"/>
      <c r="AE282" s="302">
        <v>1107196.3400000001</v>
      </c>
      <c r="AF282" s="302"/>
      <c r="AG282" s="56"/>
    </row>
    <row r="283" spans="1:33" x14ac:dyDescent="0.3">
      <c r="A283" s="59"/>
      <c r="B283" s="66" t="s">
        <v>211</v>
      </c>
      <c r="C283" s="50">
        <f t="shared" ref="C283:W283" si="75">SUM(C281:C282)</f>
        <v>24376800.060000002</v>
      </c>
      <c r="D283" s="50">
        <f t="shared" si="75"/>
        <v>0</v>
      </c>
      <c r="E283" s="50">
        <f t="shared" si="75"/>
        <v>0</v>
      </c>
      <c r="F283" s="50">
        <f t="shared" si="75"/>
        <v>0</v>
      </c>
      <c r="G283" s="50">
        <f t="shared" si="75"/>
        <v>0</v>
      </c>
      <c r="H283" s="50">
        <f t="shared" si="75"/>
        <v>0</v>
      </c>
      <c r="I283" s="50">
        <f t="shared" si="75"/>
        <v>0</v>
      </c>
      <c r="J283" s="50">
        <f t="shared" si="75"/>
        <v>0</v>
      </c>
      <c r="K283" s="50">
        <f t="shared" si="75"/>
        <v>0</v>
      </c>
      <c r="L283" s="50">
        <f t="shared" si="75"/>
        <v>0</v>
      </c>
      <c r="M283" s="50">
        <f t="shared" si="75"/>
        <v>0</v>
      </c>
      <c r="N283" s="50">
        <f t="shared" si="75"/>
        <v>0</v>
      </c>
      <c r="O283" s="68">
        <f t="shared" si="75"/>
        <v>0</v>
      </c>
      <c r="P283" s="50">
        <f t="shared" si="75"/>
        <v>0</v>
      </c>
      <c r="Q283" s="68">
        <f t="shared" si="75"/>
        <v>4574.3</v>
      </c>
      <c r="R283" s="50">
        <f t="shared" si="75"/>
        <v>24376800.060000002</v>
      </c>
      <c r="S283" s="68">
        <f t="shared" si="75"/>
        <v>0</v>
      </c>
      <c r="T283" s="68">
        <f t="shared" si="75"/>
        <v>0</v>
      </c>
      <c r="U283" s="50">
        <f t="shared" si="75"/>
        <v>0</v>
      </c>
      <c r="V283" s="50">
        <f t="shared" si="75"/>
        <v>0</v>
      </c>
      <c r="W283" s="34">
        <f t="shared" si="75"/>
        <v>0</v>
      </c>
      <c r="X283" s="285"/>
      <c r="Y283" s="285"/>
      <c r="Z283" s="285"/>
      <c r="AA283" s="285"/>
      <c r="AB283" s="285"/>
      <c r="AC283" s="9"/>
      <c r="AD283" s="306"/>
      <c r="AE283" s="302"/>
      <c r="AF283" s="302"/>
      <c r="AG283" s="56"/>
    </row>
    <row r="284" spans="1:33" ht="31.2" x14ac:dyDescent="0.3">
      <c r="A284" s="59"/>
      <c r="B284" s="66" t="s">
        <v>1240</v>
      </c>
      <c r="C284" s="50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0"/>
      <c r="O284" s="82"/>
      <c r="P284" s="51"/>
      <c r="Q284" s="82"/>
      <c r="R284" s="50"/>
      <c r="S284" s="68"/>
      <c r="T284" s="82"/>
      <c r="U284" s="51"/>
      <c r="V284" s="51"/>
      <c r="W284" s="178"/>
      <c r="X284" s="285"/>
      <c r="Y284" s="285"/>
      <c r="Z284" s="285"/>
      <c r="AA284" s="285"/>
      <c r="AB284" s="285"/>
      <c r="AC284" s="9"/>
      <c r="AD284" s="306"/>
      <c r="AE284" s="302"/>
      <c r="AF284" s="302"/>
      <c r="AG284" s="56"/>
    </row>
    <row r="285" spans="1:33" x14ac:dyDescent="0.3">
      <c r="A285" s="59">
        <f>A282+1</f>
        <v>195</v>
      </c>
      <c r="B285" s="66" t="s">
        <v>1241</v>
      </c>
      <c r="C285" s="50">
        <f t="shared" ref="C285:C316" si="76">D285+K285+L285+N285+P285+R285+S285+U285+W285</f>
        <v>699701.4</v>
      </c>
      <c r="D285" s="51">
        <f t="shared" ref="D285:D335" si="77">E285+F285+G285+H285+I285</f>
        <v>0</v>
      </c>
      <c r="E285" s="51"/>
      <c r="F285" s="51"/>
      <c r="G285" s="51"/>
      <c r="H285" s="51"/>
      <c r="I285" s="51"/>
      <c r="J285" s="51"/>
      <c r="K285" s="51"/>
      <c r="L285" s="51"/>
      <c r="M285" s="51"/>
      <c r="N285" s="50"/>
      <c r="O285" s="82"/>
      <c r="P285" s="51"/>
      <c r="Q285" s="82"/>
      <c r="R285" s="50"/>
      <c r="S285" s="68"/>
      <c r="T285" s="82"/>
      <c r="U285" s="51"/>
      <c r="V285" s="51"/>
      <c r="W285" s="178">
        <f t="shared" ref="W285:W335" si="78">SUM(X285:AH285)</f>
        <v>699701.4</v>
      </c>
      <c r="X285" s="285"/>
      <c r="Y285" s="285"/>
      <c r="Z285" s="285"/>
      <c r="AA285" s="285"/>
      <c r="AB285" s="285"/>
      <c r="AC285" s="9">
        <v>157201.01999999999</v>
      </c>
      <c r="AD285" s="306">
        <v>142270.98000000001</v>
      </c>
      <c r="AE285" s="302">
        <v>400229.4</v>
      </c>
      <c r="AF285" s="302"/>
      <c r="AG285" s="56"/>
    </row>
    <row r="286" spans="1:33" x14ac:dyDescent="0.3">
      <c r="A286" s="59">
        <f>A285+1</f>
        <v>196</v>
      </c>
      <c r="B286" s="66" t="s">
        <v>1243</v>
      </c>
      <c r="C286" s="50">
        <f t="shared" si="76"/>
        <v>722589.98</v>
      </c>
      <c r="D286" s="51">
        <f t="shared" si="77"/>
        <v>0</v>
      </c>
      <c r="E286" s="51"/>
      <c r="F286" s="51"/>
      <c r="G286" s="51"/>
      <c r="H286" s="51"/>
      <c r="I286" s="51"/>
      <c r="J286" s="51"/>
      <c r="K286" s="51"/>
      <c r="L286" s="51"/>
      <c r="M286" s="51"/>
      <c r="N286" s="50"/>
      <c r="O286" s="82"/>
      <c r="P286" s="51"/>
      <c r="Q286" s="82"/>
      <c r="R286" s="50"/>
      <c r="S286" s="68"/>
      <c r="T286" s="82"/>
      <c r="U286" s="51"/>
      <c r="V286" s="51"/>
      <c r="W286" s="178">
        <f t="shared" si="78"/>
        <v>722589.98</v>
      </c>
      <c r="X286" s="285"/>
      <c r="Y286" s="285"/>
      <c r="Z286" s="285"/>
      <c r="AA286" s="285"/>
      <c r="AB286" s="285"/>
      <c r="AC286" s="9">
        <v>154495.85</v>
      </c>
      <c r="AD286" s="306">
        <v>174891.46</v>
      </c>
      <c r="AE286" s="302">
        <v>393202.67</v>
      </c>
      <c r="AF286" s="302"/>
      <c r="AG286" s="56"/>
    </row>
    <row r="287" spans="1:33" x14ac:dyDescent="0.3">
      <c r="A287" s="59">
        <f t="shared" ref="A287:A335" si="79">A286+1</f>
        <v>197</v>
      </c>
      <c r="B287" s="66" t="s">
        <v>1244</v>
      </c>
      <c r="C287" s="50">
        <f t="shared" si="76"/>
        <v>724623.73</v>
      </c>
      <c r="D287" s="51">
        <f t="shared" si="77"/>
        <v>0</v>
      </c>
      <c r="E287" s="51"/>
      <c r="F287" s="51"/>
      <c r="G287" s="51"/>
      <c r="H287" s="51"/>
      <c r="I287" s="51"/>
      <c r="J287" s="51"/>
      <c r="K287" s="51"/>
      <c r="L287" s="51"/>
      <c r="M287" s="51"/>
      <c r="N287" s="50"/>
      <c r="O287" s="82"/>
      <c r="P287" s="51"/>
      <c r="Q287" s="82"/>
      <c r="R287" s="50"/>
      <c r="S287" s="68"/>
      <c r="T287" s="82"/>
      <c r="U287" s="51"/>
      <c r="V287" s="51"/>
      <c r="W287" s="178">
        <f t="shared" si="78"/>
        <v>724623.73</v>
      </c>
      <c r="X287" s="285">
        <v>64505.74</v>
      </c>
      <c r="Y287" s="285"/>
      <c r="Z287" s="285"/>
      <c r="AA287" s="285"/>
      <c r="AB287" s="285"/>
      <c r="AC287" s="9">
        <v>129093.37</v>
      </c>
      <c r="AD287" s="306">
        <v>199571.56</v>
      </c>
      <c r="AE287" s="302">
        <v>331453.06</v>
      </c>
      <c r="AF287" s="302"/>
      <c r="AG287" s="56"/>
    </row>
    <row r="288" spans="1:33" x14ac:dyDescent="0.3">
      <c r="A288" s="59">
        <f t="shared" si="79"/>
        <v>198</v>
      </c>
      <c r="B288" s="66" t="s">
        <v>1245</v>
      </c>
      <c r="C288" s="50">
        <f t="shared" si="76"/>
        <v>660799.53</v>
      </c>
      <c r="D288" s="51">
        <f t="shared" si="77"/>
        <v>0</v>
      </c>
      <c r="E288" s="51"/>
      <c r="F288" s="51"/>
      <c r="G288" s="51"/>
      <c r="H288" s="51"/>
      <c r="I288" s="51"/>
      <c r="J288" s="51"/>
      <c r="K288" s="51"/>
      <c r="L288" s="51"/>
      <c r="M288" s="51"/>
      <c r="N288" s="50"/>
      <c r="O288" s="82"/>
      <c r="P288" s="51"/>
      <c r="Q288" s="82"/>
      <c r="R288" s="50"/>
      <c r="S288" s="68"/>
      <c r="T288" s="82"/>
      <c r="U288" s="51"/>
      <c r="V288" s="51"/>
      <c r="W288" s="178">
        <f t="shared" si="78"/>
        <v>660799.53</v>
      </c>
      <c r="X288" s="285"/>
      <c r="Y288" s="285"/>
      <c r="Z288" s="285"/>
      <c r="AA288" s="285"/>
      <c r="AB288" s="285"/>
      <c r="AC288" s="9">
        <v>142721.32999999999</v>
      </c>
      <c r="AD288" s="306">
        <v>153115.32</v>
      </c>
      <c r="AE288" s="302">
        <v>364962.88</v>
      </c>
      <c r="AF288" s="302"/>
      <c r="AG288" s="56"/>
    </row>
    <row r="289" spans="1:33" x14ac:dyDescent="0.3">
      <c r="A289" s="59">
        <f t="shared" si="79"/>
        <v>199</v>
      </c>
      <c r="B289" s="66" t="s">
        <v>1246</v>
      </c>
      <c r="C289" s="50">
        <f t="shared" si="76"/>
        <v>654654.41999999993</v>
      </c>
      <c r="D289" s="51">
        <f t="shared" si="77"/>
        <v>0</v>
      </c>
      <c r="E289" s="51"/>
      <c r="F289" s="51"/>
      <c r="G289" s="51"/>
      <c r="H289" s="51"/>
      <c r="I289" s="51"/>
      <c r="J289" s="51"/>
      <c r="K289" s="51"/>
      <c r="L289" s="51"/>
      <c r="M289" s="51"/>
      <c r="N289" s="50"/>
      <c r="O289" s="82"/>
      <c r="P289" s="51"/>
      <c r="Q289" s="82"/>
      <c r="R289" s="50"/>
      <c r="S289" s="68"/>
      <c r="T289" s="82"/>
      <c r="U289" s="51"/>
      <c r="V289" s="51"/>
      <c r="W289" s="178">
        <f t="shared" si="78"/>
        <v>654654.41999999993</v>
      </c>
      <c r="X289" s="285"/>
      <c r="Y289" s="285"/>
      <c r="Z289" s="285"/>
      <c r="AA289" s="285"/>
      <c r="AB289" s="285"/>
      <c r="AC289" s="9">
        <v>140564.76999999999</v>
      </c>
      <c r="AD289" s="306">
        <v>154379.23000000001</v>
      </c>
      <c r="AE289" s="302">
        <v>359710.42</v>
      </c>
      <c r="AF289" s="302"/>
      <c r="AG289" s="56"/>
    </row>
    <row r="290" spans="1:33" x14ac:dyDescent="0.3">
      <c r="A290" s="59">
        <f t="shared" si="79"/>
        <v>200</v>
      </c>
      <c r="B290" s="66" t="s">
        <v>1247</v>
      </c>
      <c r="C290" s="50">
        <f t="shared" si="76"/>
        <v>553838.22</v>
      </c>
      <c r="D290" s="51">
        <f t="shared" si="77"/>
        <v>0</v>
      </c>
      <c r="E290" s="51"/>
      <c r="F290" s="51"/>
      <c r="G290" s="51"/>
      <c r="H290" s="51"/>
      <c r="I290" s="51"/>
      <c r="J290" s="51"/>
      <c r="K290" s="51"/>
      <c r="L290" s="51"/>
      <c r="M290" s="51"/>
      <c r="N290" s="50"/>
      <c r="O290" s="82"/>
      <c r="P290" s="51"/>
      <c r="Q290" s="82"/>
      <c r="R290" s="50"/>
      <c r="S290" s="68"/>
      <c r="T290" s="82"/>
      <c r="U290" s="51"/>
      <c r="V290" s="51"/>
      <c r="W290" s="178">
        <f t="shared" si="78"/>
        <v>553838.22</v>
      </c>
      <c r="X290" s="285">
        <v>46117.19</v>
      </c>
      <c r="Y290" s="285"/>
      <c r="Z290" s="285"/>
      <c r="AA290" s="285"/>
      <c r="AB290" s="285"/>
      <c r="AC290" s="9">
        <v>101271.64</v>
      </c>
      <c r="AD290" s="306">
        <v>142626.85</v>
      </c>
      <c r="AE290" s="302">
        <v>263822.53999999998</v>
      </c>
      <c r="AF290" s="302"/>
      <c r="AG290" s="56"/>
    </row>
    <row r="291" spans="1:33" x14ac:dyDescent="0.3">
      <c r="A291" s="59">
        <f t="shared" si="79"/>
        <v>201</v>
      </c>
      <c r="B291" s="66" t="s">
        <v>1248</v>
      </c>
      <c r="C291" s="50">
        <f t="shared" si="76"/>
        <v>733229.12</v>
      </c>
      <c r="D291" s="51">
        <f t="shared" si="77"/>
        <v>0</v>
      </c>
      <c r="E291" s="51"/>
      <c r="F291" s="51"/>
      <c r="G291" s="51"/>
      <c r="H291" s="51"/>
      <c r="I291" s="51"/>
      <c r="J291" s="51"/>
      <c r="K291" s="50"/>
      <c r="L291" s="50"/>
      <c r="M291" s="51"/>
      <c r="N291" s="50"/>
      <c r="O291" s="82"/>
      <c r="P291" s="51"/>
      <c r="Q291" s="82"/>
      <c r="R291" s="50"/>
      <c r="S291" s="68"/>
      <c r="T291" s="82"/>
      <c r="U291" s="51"/>
      <c r="V291" s="51"/>
      <c r="W291" s="178">
        <f t="shared" si="78"/>
        <v>733229.12</v>
      </c>
      <c r="X291" s="285"/>
      <c r="Y291" s="285">
        <v>61055.06</v>
      </c>
      <c r="Z291" s="505">
        <v>47273.26</v>
      </c>
      <c r="AA291" s="505"/>
      <c r="AB291" s="285"/>
      <c r="AC291" s="9">
        <v>101550.78</v>
      </c>
      <c r="AD291" s="306">
        <v>258848.9</v>
      </c>
      <c r="AE291" s="302">
        <v>264501.12</v>
      </c>
      <c r="AF291" s="302"/>
      <c r="AG291" s="56"/>
    </row>
    <row r="292" spans="1:33" x14ac:dyDescent="0.3">
      <c r="A292" s="59">
        <f t="shared" si="79"/>
        <v>202</v>
      </c>
      <c r="B292" s="66" t="s">
        <v>1249</v>
      </c>
      <c r="C292" s="50">
        <f t="shared" si="76"/>
        <v>675994.81</v>
      </c>
      <c r="D292" s="51">
        <f t="shared" si="77"/>
        <v>0</v>
      </c>
      <c r="E292" s="51"/>
      <c r="F292" s="51"/>
      <c r="G292" s="51"/>
      <c r="H292" s="51"/>
      <c r="I292" s="51"/>
      <c r="J292" s="51"/>
      <c r="K292" s="50"/>
      <c r="L292" s="50"/>
      <c r="M292" s="51"/>
      <c r="N292" s="50"/>
      <c r="O292" s="82"/>
      <c r="P292" s="51"/>
      <c r="Q292" s="82"/>
      <c r="R292" s="50"/>
      <c r="S292" s="68"/>
      <c r="T292" s="82"/>
      <c r="U292" s="51"/>
      <c r="V292" s="51"/>
      <c r="W292" s="178">
        <f t="shared" si="78"/>
        <v>675994.81</v>
      </c>
      <c r="X292" s="285">
        <v>49991.7</v>
      </c>
      <c r="Y292" s="285"/>
      <c r="Z292" s="285"/>
      <c r="AA292" s="285"/>
      <c r="AB292" s="285"/>
      <c r="AC292" s="9">
        <v>107133.74</v>
      </c>
      <c r="AD292" s="306">
        <v>240796.92</v>
      </c>
      <c r="AE292" s="302">
        <v>278072.45</v>
      </c>
      <c r="AF292" s="302"/>
      <c r="AG292" s="56"/>
    </row>
    <row r="293" spans="1:33" x14ac:dyDescent="0.3">
      <c r="A293" s="59">
        <f t="shared" si="79"/>
        <v>203</v>
      </c>
      <c r="B293" s="66" t="s">
        <v>1250</v>
      </c>
      <c r="C293" s="50">
        <f t="shared" si="76"/>
        <v>707177.56</v>
      </c>
      <c r="D293" s="51">
        <f t="shared" si="77"/>
        <v>0</v>
      </c>
      <c r="E293" s="51"/>
      <c r="F293" s="51"/>
      <c r="G293" s="51"/>
      <c r="H293" s="51"/>
      <c r="I293" s="51"/>
      <c r="J293" s="51"/>
      <c r="K293" s="50"/>
      <c r="L293" s="50"/>
      <c r="M293" s="51"/>
      <c r="N293" s="50"/>
      <c r="O293" s="82"/>
      <c r="P293" s="51"/>
      <c r="Q293" s="82"/>
      <c r="R293" s="50"/>
      <c r="S293" s="68"/>
      <c r="T293" s="82"/>
      <c r="U293" s="51"/>
      <c r="V293" s="51"/>
      <c r="W293" s="178">
        <f t="shared" si="78"/>
        <v>707177.56</v>
      </c>
      <c r="X293" s="285"/>
      <c r="Y293" s="285"/>
      <c r="Z293" s="285"/>
      <c r="AA293" s="285"/>
      <c r="AB293" s="285"/>
      <c r="AC293" s="9">
        <v>158895.46</v>
      </c>
      <c r="AD293" s="306">
        <v>143925.78</v>
      </c>
      <c r="AE293" s="302">
        <v>404356.32</v>
      </c>
      <c r="AF293" s="302"/>
      <c r="AG293" s="56"/>
    </row>
    <row r="294" spans="1:33" x14ac:dyDescent="0.3">
      <c r="A294" s="59">
        <f t="shared" si="79"/>
        <v>204</v>
      </c>
      <c r="B294" s="66" t="s">
        <v>1251</v>
      </c>
      <c r="C294" s="50">
        <f t="shared" si="76"/>
        <v>709760.39999999991</v>
      </c>
      <c r="D294" s="51">
        <f t="shared" si="77"/>
        <v>0</v>
      </c>
      <c r="E294" s="51"/>
      <c r="F294" s="51"/>
      <c r="G294" s="51"/>
      <c r="H294" s="51"/>
      <c r="I294" s="51"/>
      <c r="J294" s="51"/>
      <c r="K294" s="50"/>
      <c r="L294" s="50"/>
      <c r="M294" s="51"/>
      <c r="N294" s="50"/>
      <c r="O294" s="82"/>
      <c r="P294" s="51"/>
      <c r="Q294" s="82"/>
      <c r="R294" s="50"/>
      <c r="S294" s="68"/>
      <c r="T294" s="82"/>
      <c r="U294" s="51"/>
      <c r="V294" s="51"/>
      <c r="W294" s="178">
        <f t="shared" si="78"/>
        <v>709760.39999999991</v>
      </c>
      <c r="X294" s="285"/>
      <c r="Y294" s="285"/>
      <c r="Z294" s="285"/>
      <c r="AA294" s="285"/>
      <c r="AB294" s="285"/>
      <c r="AC294" s="9">
        <v>159973.72</v>
      </c>
      <c r="AD294" s="306">
        <v>142804.14000000001</v>
      </c>
      <c r="AE294" s="302">
        <v>406982.54</v>
      </c>
      <c r="AF294" s="302"/>
      <c r="AG294" s="56"/>
    </row>
    <row r="295" spans="1:33" x14ac:dyDescent="0.3">
      <c r="A295" s="59">
        <f t="shared" si="79"/>
        <v>205</v>
      </c>
      <c r="B295" s="66" t="s">
        <v>1252</v>
      </c>
      <c r="C295" s="50">
        <f t="shared" si="76"/>
        <v>705818.24</v>
      </c>
      <c r="D295" s="51">
        <f t="shared" si="77"/>
        <v>0</v>
      </c>
      <c r="E295" s="51"/>
      <c r="F295" s="51"/>
      <c r="G295" s="51"/>
      <c r="H295" s="51"/>
      <c r="I295" s="51"/>
      <c r="J295" s="51"/>
      <c r="K295" s="50"/>
      <c r="L295" s="50"/>
      <c r="M295" s="51"/>
      <c r="N295" s="50"/>
      <c r="O295" s="82"/>
      <c r="P295" s="51"/>
      <c r="Q295" s="82"/>
      <c r="R295" s="50"/>
      <c r="S295" s="68"/>
      <c r="T295" s="82"/>
      <c r="U295" s="51"/>
      <c r="V295" s="51"/>
      <c r="W295" s="178">
        <f t="shared" si="78"/>
        <v>705818.24</v>
      </c>
      <c r="X295" s="285"/>
      <c r="Y295" s="285"/>
      <c r="Z295" s="285"/>
      <c r="AA295" s="285"/>
      <c r="AB295" s="285"/>
      <c r="AC295" s="9">
        <v>158587.37</v>
      </c>
      <c r="AD295" s="306">
        <v>143624.9</v>
      </c>
      <c r="AE295" s="302">
        <v>403605.97</v>
      </c>
      <c r="AF295" s="302"/>
      <c r="AG295" s="56"/>
    </row>
    <row r="296" spans="1:33" x14ac:dyDescent="0.3">
      <c r="A296" s="59">
        <f t="shared" si="79"/>
        <v>206</v>
      </c>
      <c r="B296" s="66" t="s">
        <v>1253</v>
      </c>
      <c r="C296" s="50">
        <f t="shared" si="76"/>
        <v>651892.36</v>
      </c>
      <c r="D296" s="51">
        <f t="shared" si="77"/>
        <v>0</v>
      </c>
      <c r="E296" s="51"/>
      <c r="F296" s="51"/>
      <c r="G296" s="51"/>
      <c r="H296" s="51"/>
      <c r="I296" s="51"/>
      <c r="J296" s="51"/>
      <c r="K296" s="50"/>
      <c r="L296" s="50"/>
      <c r="M296" s="51"/>
      <c r="N296" s="50"/>
      <c r="O296" s="82"/>
      <c r="P296" s="51"/>
      <c r="Q296" s="82"/>
      <c r="R296" s="50"/>
      <c r="S296" s="68"/>
      <c r="T296" s="82"/>
      <c r="U296" s="51"/>
      <c r="V296" s="51"/>
      <c r="W296" s="178">
        <f t="shared" si="78"/>
        <v>651892.36</v>
      </c>
      <c r="X296" s="285"/>
      <c r="Y296" s="285"/>
      <c r="Z296" s="285"/>
      <c r="AA296" s="285"/>
      <c r="AB296" s="285"/>
      <c r="AC296" s="9">
        <v>139563.53</v>
      </c>
      <c r="AD296" s="306">
        <v>155057.07999999999</v>
      </c>
      <c r="AE296" s="56">
        <v>357271.75</v>
      </c>
      <c r="AF296" s="302"/>
      <c r="AG296" s="56"/>
    </row>
    <row r="297" spans="1:33" x14ac:dyDescent="0.3">
      <c r="A297" s="59">
        <f t="shared" si="79"/>
        <v>207</v>
      </c>
      <c r="B297" s="66" t="s">
        <v>1254</v>
      </c>
      <c r="C297" s="50">
        <f t="shared" si="76"/>
        <v>665761.54</v>
      </c>
      <c r="D297" s="51">
        <f t="shared" si="77"/>
        <v>0</v>
      </c>
      <c r="E297" s="51"/>
      <c r="F297" s="51"/>
      <c r="G297" s="51"/>
      <c r="H297" s="51"/>
      <c r="I297" s="51"/>
      <c r="J297" s="51"/>
      <c r="K297" s="50"/>
      <c r="L297" s="50"/>
      <c r="M297" s="51"/>
      <c r="N297" s="50"/>
      <c r="O297" s="82"/>
      <c r="P297" s="51"/>
      <c r="Q297" s="82"/>
      <c r="R297" s="50"/>
      <c r="S297" s="68"/>
      <c r="T297" s="82"/>
      <c r="U297" s="51"/>
      <c r="V297" s="51"/>
      <c r="W297" s="178">
        <f t="shared" si="78"/>
        <v>665761.54</v>
      </c>
      <c r="X297" s="285"/>
      <c r="Y297" s="285"/>
      <c r="Z297" s="285"/>
      <c r="AA297" s="285"/>
      <c r="AB297" s="285"/>
      <c r="AC297" s="9">
        <v>144646.82</v>
      </c>
      <c r="AD297" s="306">
        <v>151462.15</v>
      </c>
      <c r="AE297" s="302">
        <v>369652.57</v>
      </c>
      <c r="AF297" s="302"/>
      <c r="AG297" s="56"/>
    </row>
    <row r="298" spans="1:33" x14ac:dyDescent="0.3">
      <c r="A298" s="59">
        <f t="shared" si="79"/>
        <v>208</v>
      </c>
      <c r="B298" s="66" t="s">
        <v>1259</v>
      </c>
      <c r="C298" s="50">
        <f t="shared" si="76"/>
        <v>541640.89999999991</v>
      </c>
      <c r="D298" s="51">
        <f t="shared" si="77"/>
        <v>0</v>
      </c>
      <c r="E298" s="51"/>
      <c r="F298" s="51"/>
      <c r="G298" s="51"/>
      <c r="H298" s="51"/>
      <c r="I298" s="51"/>
      <c r="J298" s="51"/>
      <c r="K298" s="50"/>
      <c r="L298" s="50"/>
      <c r="M298" s="51"/>
      <c r="N298" s="50"/>
      <c r="O298" s="82"/>
      <c r="P298" s="51"/>
      <c r="Q298" s="82"/>
      <c r="R298" s="50"/>
      <c r="S298" s="68"/>
      <c r="T298" s="82"/>
      <c r="U298" s="51"/>
      <c r="V298" s="51"/>
      <c r="W298" s="178">
        <f t="shared" si="78"/>
        <v>541640.89999999991</v>
      </c>
      <c r="X298" s="285">
        <v>41812.14</v>
      </c>
      <c r="Y298" s="285"/>
      <c r="Z298" s="285"/>
      <c r="AA298" s="285"/>
      <c r="AB298" s="285"/>
      <c r="AC298" s="9">
        <v>94758.18</v>
      </c>
      <c r="AD298" s="306">
        <v>157081.26999999999</v>
      </c>
      <c r="AE298" s="302">
        <v>247989.31</v>
      </c>
      <c r="AF298" s="302"/>
      <c r="AG298" s="56"/>
    </row>
    <row r="299" spans="1:33" x14ac:dyDescent="0.3">
      <c r="A299" s="59">
        <f t="shared" si="79"/>
        <v>209</v>
      </c>
      <c r="B299" s="66" t="s">
        <v>1260</v>
      </c>
      <c r="C299" s="50">
        <f t="shared" si="76"/>
        <v>760571.29</v>
      </c>
      <c r="D299" s="51">
        <f t="shared" si="77"/>
        <v>0</v>
      </c>
      <c r="E299" s="51"/>
      <c r="F299" s="51"/>
      <c r="G299" s="51"/>
      <c r="H299" s="51"/>
      <c r="I299" s="51"/>
      <c r="J299" s="51"/>
      <c r="K299" s="50"/>
      <c r="L299" s="50"/>
      <c r="M299" s="51"/>
      <c r="N299" s="50"/>
      <c r="O299" s="82"/>
      <c r="P299" s="51"/>
      <c r="Q299" s="82"/>
      <c r="R299" s="50"/>
      <c r="S299" s="68"/>
      <c r="T299" s="82"/>
      <c r="U299" s="51"/>
      <c r="V299" s="51"/>
      <c r="W299" s="178">
        <f t="shared" si="78"/>
        <v>760571.29</v>
      </c>
      <c r="X299" s="285">
        <v>72904.45</v>
      </c>
      <c r="Y299" s="285"/>
      <c r="Z299" s="285"/>
      <c r="AA299" s="285"/>
      <c r="AB299" s="285"/>
      <c r="AC299" s="9">
        <v>142182.19</v>
      </c>
      <c r="AD299" s="306">
        <v>181834.91</v>
      </c>
      <c r="AE299" s="302">
        <v>363649.74</v>
      </c>
      <c r="AF299" s="302"/>
      <c r="AG299" s="56"/>
    </row>
    <row r="300" spans="1:33" x14ac:dyDescent="0.3">
      <c r="A300" s="59">
        <f t="shared" si="79"/>
        <v>210</v>
      </c>
      <c r="B300" s="66" t="s">
        <v>1262</v>
      </c>
      <c r="C300" s="50">
        <f t="shared" si="76"/>
        <v>1249897.06</v>
      </c>
      <c r="D300" s="51">
        <f t="shared" si="77"/>
        <v>0</v>
      </c>
      <c r="E300" s="51"/>
      <c r="F300" s="51"/>
      <c r="G300" s="51"/>
      <c r="H300" s="51"/>
      <c r="I300" s="51"/>
      <c r="J300" s="51"/>
      <c r="K300" s="50"/>
      <c r="L300" s="50"/>
      <c r="M300" s="51"/>
      <c r="N300" s="50"/>
      <c r="O300" s="82"/>
      <c r="P300" s="51"/>
      <c r="Q300" s="82"/>
      <c r="R300" s="50"/>
      <c r="S300" s="68"/>
      <c r="T300" s="82"/>
      <c r="U300" s="51"/>
      <c r="V300" s="51"/>
      <c r="W300" s="178">
        <f t="shared" si="78"/>
        <v>1249897.06</v>
      </c>
      <c r="X300" s="285">
        <v>106038.1</v>
      </c>
      <c r="Y300" s="285"/>
      <c r="Z300" s="285"/>
      <c r="AA300" s="285"/>
      <c r="AB300" s="285"/>
      <c r="AC300" s="9">
        <v>192553</v>
      </c>
      <c r="AD300" s="306">
        <v>464973.73</v>
      </c>
      <c r="AE300" s="302">
        <v>486332.23</v>
      </c>
      <c r="AF300" s="302"/>
      <c r="AG300" s="56"/>
    </row>
    <row r="301" spans="1:33" x14ac:dyDescent="0.3">
      <c r="A301" s="59">
        <f t="shared" si="79"/>
        <v>211</v>
      </c>
      <c r="B301" s="66" t="s">
        <v>1263</v>
      </c>
      <c r="C301" s="50">
        <f t="shared" si="76"/>
        <v>540817.19999999995</v>
      </c>
      <c r="D301" s="51">
        <f t="shared" si="77"/>
        <v>0</v>
      </c>
      <c r="E301" s="51"/>
      <c r="F301" s="51"/>
      <c r="G301" s="51"/>
      <c r="H301" s="51"/>
      <c r="I301" s="51"/>
      <c r="J301" s="51"/>
      <c r="K301" s="50"/>
      <c r="L301" s="50"/>
      <c r="M301" s="51"/>
      <c r="N301" s="50"/>
      <c r="O301" s="82"/>
      <c r="P301" s="51"/>
      <c r="Q301" s="82"/>
      <c r="R301" s="50"/>
      <c r="S301" s="68"/>
      <c r="T301" s="82"/>
      <c r="U301" s="51"/>
      <c r="V301" s="51"/>
      <c r="W301" s="178">
        <f t="shared" si="78"/>
        <v>540817.19999999995</v>
      </c>
      <c r="X301" s="285">
        <v>41320.15</v>
      </c>
      <c r="Y301" s="285"/>
      <c r="Z301" s="285"/>
      <c r="AA301" s="285"/>
      <c r="AB301" s="285"/>
      <c r="AC301" s="9">
        <v>94013.759999999995</v>
      </c>
      <c r="AD301" s="306">
        <v>159303.48000000001</v>
      </c>
      <c r="AE301" s="302">
        <v>246179.81</v>
      </c>
      <c r="AF301" s="302"/>
      <c r="AG301" s="56"/>
    </row>
    <row r="302" spans="1:33" x14ac:dyDescent="0.3">
      <c r="A302" s="59">
        <f t="shared" si="79"/>
        <v>212</v>
      </c>
      <c r="B302" s="66" t="s">
        <v>1264</v>
      </c>
      <c r="C302" s="50">
        <f t="shared" si="76"/>
        <v>560069</v>
      </c>
      <c r="D302" s="51">
        <f t="shared" si="77"/>
        <v>0</v>
      </c>
      <c r="E302" s="51"/>
      <c r="F302" s="51"/>
      <c r="G302" s="51"/>
      <c r="H302" s="51"/>
      <c r="I302" s="51"/>
      <c r="J302" s="51"/>
      <c r="K302" s="50"/>
      <c r="L302" s="50"/>
      <c r="M302" s="51"/>
      <c r="N302" s="50"/>
      <c r="O302" s="82"/>
      <c r="P302" s="51"/>
      <c r="Q302" s="82"/>
      <c r="R302" s="50"/>
      <c r="S302" s="68"/>
      <c r="T302" s="82"/>
      <c r="U302" s="51"/>
      <c r="V302" s="51"/>
      <c r="W302" s="178">
        <f t="shared" si="78"/>
        <v>560069</v>
      </c>
      <c r="X302" s="285">
        <v>48269.71</v>
      </c>
      <c r="Y302" s="285"/>
      <c r="Z302" s="285"/>
      <c r="AA302" s="285"/>
      <c r="AB302" s="285"/>
      <c r="AC302" s="9">
        <v>104528.36</v>
      </c>
      <c r="AD302" s="306">
        <v>135531.78</v>
      </c>
      <c r="AE302" s="302">
        <v>271739.15000000002</v>
      </c>
      <c r="AF302" s="302"/>
      <c r="AG302" s="56"/>
    </row>
    <row r="303" spans="1:33" x14ac:dyDescent="0.3">
      <c r="A303" s="59">
        <f t="shared" si="79"/>
        <v>213</v>
      </c>
      <c r="B303" s="66" t="s">
        <v>1265</v>
      </c>
      <c r="C303" s="50">
        <f t="shared" si="76"/>
        <v>671953.76</v>
      </c>
      <c r="D303" s="51">
        <f t="shared" si="77"/>
        <v>0</v>
      </c>
      <c r="E303" s="51"/>
      <c r="F303" s="51"/>
      <c r="G303" s="51"/>
      <c r="H303" s="51"/>
      <c r="I303" s="51"/>
      <c r="J303" s="51"/>
      <c r="K303" s="50"/>
      <c r="L303" s="50"/>
      <c r="M303" s="51"/>
      <c r="N303" s="50"/>
      <c r="O303" s="82"/>
      <c r="P303" s="51"/>
      <c r="Q303" s="82"/>
      <c r="R303" s="50"/>
      <c r="S303" s="68"/>
      <c r="T303" s="82"/>
      <c r="U303" s="51"/>
      <c r="V303" s="51"/>
      <c r="W303" s="178">
        <f t="shared" si="78"/>
        <v>671953.76</v>
      </c>
      <c r="X303" s="285">
        <v>46793.68</v>
      </c>
      <c r="Y303" s="285"/>
      <c r="Z303" s="285"/>
      <c r="AA303" s="285"/>
      <c r="AB303" s="285"/>
      <c r="AC303" s="9">
        <v>102295.16</v>
      </c>
      <c r="AD303" s="306">
        <v>256554.3</v>
      </c>
      <c r="AE303" s="302">
        <v>266310.62</v>
      </c>
      <c r="AF303" s="302"/>
      <c r="AG303" s="56"/>
    </row>
    <row r="304" spans="1:33" x14ac:dyDescent="0.3">
      <c r="A304" s="59">
        <f t="shared" si="79"/>
        <v>214</v>
      </c>
      <c r="B304" s="66" t="s">
        <v>1266</v>
      </c>
      <c r="C304" s="50">
        <f t="shared" si="76"/>
        <v>987488.67</v>
      </c>
      <c r="D304" s="51">
        <f t="shared" si="77"/>
        <v>0</v>
      </c>
      <c r="E304" s="51"/>
      <c r="F304" s="51"/>
      <c r="G304" s="51"/>
      <c r="H304" s="51"/>
      <c r="I304" s="51"/>
      <c r="J304" s="51"/>
      <c r="K304" s="51"/>
      <c r="L304" s="51"/>
      <c r="M304" s="51"/>
      <c r="N304" s="50"/>
      <c r="O304" s="82"/>
      <c r="P304" s="51"/>
      <c r="Q304" s="82"/>
      <c r="R304" s="50"/>
      <c r="S304" s="68"/>
      <c r="T304" s="82"/>
      <c r="U304" s="51"/>
      <c r="V304" s="51"/>
      <c r="W304" s="178">
        <f t="shared" si="78"/>
        <v>987488.67</v>
      </c>
      <c r="X304" s="285">
        <v>71232.58</v>
      </c>
      <c r="Y304" s="285"/>
      <c r="Z304" s="285"/>
      <c r="AA304" s="285"/>
      <c r="AB304" s="285"/>
      <c r="AC304" s="9">
        <v>139640.56</v>
      </c>
      <c r="AD304" s="306">
        <v>419156.18</v>
      </c>
      <c r="AE304" s="302">
        <v>357459.35</v>
      </c>
      <c r="AF304" s="302"/>
      <c r="AG304" s="56"/>
    </row>
    <row r="305" spans="1:33" x14ac:dyDescent="0.3">
      <c r="A305" s="59">
        <f t="shared" si="79"/>
        <v>215</v>
      </c>
      <c r="B305" s="66" t="s">
        <v>1267</v>
      </c>
      <c r="C305" s="50">
        <f t="shared" si="76"/>
        <v>745436.88000000012</v>
      </c>
      <c r="D305" s="51">
        <f t="shared" si="77"/>
        <v>0</v>
      </c>
      <c r="E305" s="51"/>
      <c r="F305" s="51"/>
      <c r="G305" s="51"/>
      <c r="H305" s="51"/>
      <c r="I305" s="51"/>
      <c r="J305" s="51"/>
      <c r="K305" s="51"/>
      <c r="L305" s="51"/>
      <c r="M305" s="51"/>
      <c r="N305" s="50"/>
      <c r="O305" s="82"/>
      <c r="P305" s="51"/>
      <c r="Q305" s="82"/>
      <c r="R305" s="50"/>
      <c r="S305" s="68"/>
      <c r="T305" s="82"/>
      <c r="U305" s="51"/>
      <c r="V305" s="51"/>
      <c r="W305" s="178">
        <f t="shared" si="78"/>
        <v>745436.88000000012</v>
      </c>
      <c r="X305" s="285">
        <v>72685.210000000006</v>
      </c>
      <c r="Y305" s="285"/>
      <c r="Z305" s="285"/>
      <c r="AA305" s="285"/>
      <c r="AB305" s="285"/>
      <c r="AC305" s="9">
        <v>141468.95000000001</v>
      </c>
      <c r="AD305" s="306">
        <v>169746.52</v>
      </c>
      <c r="AE305" s="302">
        <v>361536.2</v>
      </c>
      <c r="AF305" s="302"/>
      <c r="AG305" s="56"/>
    </row>
    <row r="306" spans="1:33" x14ac:dyDescent="0.3">
      <c r="A306" s="59">
        <f t="shared" si="79"/>
        <v>216</v>
      </c>
      <c r="B306" s="66" t="s">
        <v>1268</v>
      </c>
      <c r="C306" s="50">
        <f t="shared" si="76"/>
        <v>614102.57999999996</v>
      </c>
      <c r="D306" s="51">
        <f t="shared" si="77"/>
        <v>0</v>
      </c>
      <c r="E306" s="51"/>
      <c r="F306" s="51"/>
      <c r="G306" s="51"/>
      <c r="H306" s="51"/>
      <c r="I306" s="51"/>
      <c r="J306" s="51"/>
      <c r="K306" s="51"/>
      <c r="L306" s="51"/>
      <c r="M306" s="51"/>
      <c r="N306" s="50"/>
      <c r="O306" s="82"/>
      <c r="P306" s="51"/>
      <c r="Q306" s="82"/>
      <c r="R306" s="50"/>
      <c r="S306" s="68"/>
      <c r="T306" s="82"/>
      <c r="U306" s="51"/>
      <c r="V306" s="51"/>
      <c r="W306" s="178">
        <f t="shared" si="78"/>
        <v>614102.57999999996</v>
      </c>
      <c r="X306" s="285">
        <v>60692.68</v>
      </c>
      <c r="Y306" s="285"/>
      <c r="Z306" s="285"/>
      <c r="AA306" s="285"/>
      <c r="AB306" s="285"/>
      <c r="AC306" s="9">
        <v>123324.31</v>
      </c>
      <c r="AD306" s="306">
        <v>112656.24</v>
      </c>
      <c r="AE306" s="302">
        <v>317429.34999999998</v>
      </c>
      <c r="AF306" s="302"/>
      <c r="AG306" s="56"/>
    </row>
    <row r="307" spans="1:33" x14ac:dyDescent="0.3">
      <c r="A307" s="59">
        <f t="shared" si="79"/>
        <v>217</v>
      </c>
      <c r="B307" s="66" t="s">
        <v>1269</v>
      </c>
      <c r="C307" s="50">
        <f t="shared" si="76"/>
        <v>631306.53</v>
      </c>
      <c r="D307" s="51">
        <f t="shared" si="77"/>
        <v>0</v>
      </c>
      <c r="E307" s="51"/>
      <c r="F307" s="51"/>
      <c r="G307" s="51"/>
      <c r="H307" s="51"/>
      <c r="I307" s="51"/>
      <c r="J307" s="51"/>
      <c r="K307" s="51"/>
      <c r="L307" s="51"/>
      <c r="M307" s="51"/>
      <c r="N307" s="50"/>
      <c r="O307" s="82"/>
      <c r="P307" s="51"/>
      <c r="Q307" s="82"/>
      <c r="R307" s="50"/>
      <c r="S307" s="68"/>
      <c r="T307" s="82"/>
      <c r="U307" s="51"/>
      <c r="V307" s="51"/>
      <c r="W307" s="178">
        <f t="shared" si="78"/>
        <v>631306.53</v>
      </c>
      <c r="X307" s="285">
        <v>54542.7</v>
      </c>
      <c r="Y307" s="285"/>
      <c r="Z307" s="285"/>
      <c r="AA307" s="285"/>
      <c r="AB307" s="285"/>
      <c r="AC307" s="9">
        <v>114019.38</v>
      </c>
      <c r="AD307" s="306">
        <v>167934.01</v>
      </c>
      <c r="AE307" s="302">
        <v>294810.44</v>
      </c>
      <c r="AF307" s="302"/>
      <c r="AG307" s="56"/>
    </row>
    <row r="308" spans="1:33" x14ac:dyDescent="0.3">
      <c r="A308" s="59">
        <f t="shared" si="79"/>
        <v>218</v>
      </c>
      <c r="B308" s="66" t="s">
        <v>1270</v>
      </c>
      <c r="C308" s="50">
        <f t="shared" si="76"/>
        <v>624675.6</v>
      </c>
      <c r="D308" s="51">
        <f t="shared" si="77"/>
        <v>0</v>
      </c>
      <c r="E308" s="51"/>
      <c r="F308" s="51"/>
      <c r="G308" s="51"/>
      <c r="H308" s="51"/>
      <c r="I308" s="51"/>
      <c r="J308" s="51"/>
      <c r="K308" s="51"/>
      <c r="L308" s="51"/>
      <c r="M308" s="51"/>
      <c r="N308" s="50"/>
      <c r="O308" s="82"/>
      <c r="P308" s="51"/>
      <c r="Q308" s="82"/>
      <c r="R308" s="50"/>
      <c r="S308" s="68"/>
      <c r="T308" s="82"/>
      <c r="U308" s="51"/>
      <c r="V308" s="51"/>
      <c r="W308" s="178">
        <f t="shared" si="78"/>
        <v>624675.6</v>
      </c>
      <c r="X308" s="285">
        <v>52820.7</v>
      </c>
      <c r="Y308" s="285"/>
      <c r="Z308" s="285"/>
      <c r="AA308" s="285"/>
      <c r="AB308" s="285"/>
      <c r="AC308" s="9">
        <v>111414</v>
      </c>
      <c r="AD308" s="306">
        <v>171963.74</v>
      </c>
      <c r="AE308" s="302">
        <v>288477.15999999997</v>
      </c>
      <c r="AF308" s="302"/>
      <c r="AG308" s="56"/>
    </row>
    <row r="309" spans="1:33" x14ac:dyDescent="0.3">
      <c r="A309" s="59">
        <f t="shared" si="79"/>
        <v>219</v>
      </c>
      <c r="B309" s="66" t="s">
        <v>1271</v>
      </c>
      <c r="C309" s="50">
        <f t="shared" si="76"/>
        <v>500089.32999999996</v>
      </c>
      <c r="D309" s="51">
        <f t="shared" si="77"/>
        <v>0</v>
      </c>
      <c r="E309" s="51"/>
      <c r="F309" s="51"/>
      <c r="G309" s="51"/>
      <c r="H309" s="51"/>
      <c r="I309" s="51"/>
      <c r="J309" s="51"/>
      <c r="K309" s="51"/>
      <c r="L309" s="51"/>
      <c r="M309" s="51"/>
      <c r="N309" s="50"/>
      <c r="O309" s="82"/>
      <c r="P309" s="51"/>
      <c r="Q309" s="82"/>
      <c r="R309" s="50"/>
      <c r="S309" s="68"/>
      <c r="T309" s="82"/>
      <c r="U309" s="51"/>
      <c r="V309" s="51"/>
      <c r="W309" s="178">
        <f t="shared" si="78"/>
        <v>500089.32999999996</v>
      </c>
      <c r="X309" s="285"/>
      <c r="Y309" s="285"/>
      <c r="Z309" s="285"/>
      <c r="AA309" s="285"/>
      <c r="AB309" s="285"/>
      <c r="AC309" s="9">
        <v>89640.46</v>
      </c>
      <c r="AD309" s="306">
        <v>174899.96</v>
      </c>
      <c r="AE309" s="302">
        <v>235548.91</v>
      </c>
      <c r="AF309" s="302"/>
      <c r="AG309" s="56"/>
    </row>
    <row r="310" spans="1:33" x14ac:dyDescent="0.3">
      <c r="A310" s="59">
        <f t="shared" si="79"/>
        <v>220</v>
      </c>
      <c r="B310" s="66" t="s">
        <v>1272</v>
      </c>
      <c r="C310" s="50">
        <f t="shared" si="76"/>
        <v>607935.65</v>
      </c>
      <c r="D310" s="51">
        <f t="shared" si="77"/>
        <v>0</v>
      </c>
      <c r="E310" s="51"/>
      <c r="F310" s="51"/>
      <c r="G310" s="51"/>
      <c r="H310" s="51"/>
      <c r="I310" s="51"/>
      <c r="J310" s="51"/>
      <c r="K310" s="51"/>
      <c r="L310" s="51"/>
      <c r="M310" s="51"/>
      <c r="N310" s="50"/>
      <c r="O310" s="82"/>
      <c r="P310" s="51"/>
      <c r="Q310" s="82"/>
      <c r="R310" s="50"/>
      <c r="S310" s="68"/>
      <c r="T310" s="82"/>
      <c r="U310" s="51"/>
      <c r="V310" s="51"/>
      <c r="W310" s="178">
        <f t="shared" si="78"/>
        <v>607935.65</v>
      </c>
      <c r="X310" s="285">
        <v>47162.7</v>
      </c>
      <c r="Y310" s="285"/>
      <c r="Z310" s="285"/>
      <c r="AA310" s="285"/>
      <c r="AB310" s="285"/>
      <c r="AC310" s="9">
        <v>102853.46</v>
      </c>
      <c r="AD310" s="306">
        <v>190251.74</v>
      </c>
      <c r="AE310" s="302">
        <v>267667.75</v>
      </c>
      <c r="AF310" s="302"/>
      <c r="AG310" s="56"/>
    </row>
    <row r="311" spans="1:33" x14ac:dyDescent="0.3">
      <c r="A311" s="59">
        <f t="shared" si="79"/>
        <v>221</v>
      </c>
      <c r="B311" s="66" t="s">
        <v>1273</v>
      </c>
      <c r="C311" s="50">
        <f t="shared" si="76"/>
        <v>795858.81</v>
      </c>
      <c r="D311" s="51">
        <f t="shared" si="77"/>
        <v>0</v>
      </c>
      <c r="E311" s="51"/>
      <c r="F311" s="51"/>
      <c r="G311" s="51"/>
      <c r="H311" s="51"/>
      <c r="I311" s="51"/>
      <c r="J311" s="51"/>
      <c r="K311" s="51"/>
      <c r="L311" s="51"/>
      <c r="M311" s="51"/>
      <c r="N311" s="50"/>
      <c r="O311" s="82"/>
      <c r="P311" s="51"/>
      <c r="Q311" s="82"/>
      <c r="R311" s="50"/>
      <c r="S311" s="68"/>
      <c r="T311" s="82"/>
      <c r="U311" s="51"/>
      <c r="V311" s="51"/>
      <c r="W311" s="178">
        <f t="shared" si="78"/>
        <v>795858.81</v>
      </c>
      <c r="X311" s="285"/>
      <c r="Y311" s="285"/>
      <c r="Z311" s="285"/>
      <c r="AA311" s="285"/>
      <c r="AB311" s="285"/>
      <c r="AC311" s="9">
        <v>143702.12</v>
      </c>
      <c r="AD311" s="306">
        <v>285191.94</v>
      </c>
      <c r="AE311" s="302">
        <v>366964.75</v>
      </c>
      <c r="AF311" s="302"/>
      <c r="AG311" s="56"/>
    </row>
    <row r="312" spans="1:33" x14ac:dyDescent="0.3">
      <c r="A312" s="59">
        <f t="shared" si="79"/>
        <v>222</v>
      </c>
      <c r="B312" s="66" t="s">
        <v>1274</v>
      </c>
      <c r="C312" s="50">
        <f t="shared" si="76"/>
        <v>602518.33000000007</v>
      </c>
      <c r="D312" s="51">
        <f t="shared" si="77"/>
        <v>0</v>
      </c>
      <c r="E312" s="51"/>
      <c r="F312" s="51"/>
      <c r="G312" s="51"/>
      <c r="H312" s="51"/>
      <c r="I312" s="51"/>
      <c r="J312" s="51"/>
      <c r="K312" s="51"/>
      <c r="L312" s="51"/>
      <c r="M312" s="51"/>
      <c r="N312" s="50"/>
      <c r="O312" s="82"/>
      <c r="P312" s="51"/>
      <c r="Q312" s="82"/>
      <c r="R312" s="50"/>
      <c r="S312" s="68"/>
      <c r="T312" s="82"/>
      <c r="U312" s="51"/>
      <c r="V312" s="51"/>
      <c r="W312" s="178">
        <f t="shared" si="78"/>
        <v>602518.33000000007</v>
      </c>
      <c r="X312" s="285">
        <v>58232.71</v>
      </c>
      <c r="Y312" s="285"/>
      <c r="Z312" s="285"/>
      <c r="AA312" s="285"/>
      <c r="AB312" s="285"/>
      <c r="AC312" s="9">
        <v>119602.34</v>
      </c>
      <c r="AD312" s="306">
        <v>116301.5</v>
      </c>
      <c r="AE312" s="302">
        <v>308381.78000000003</v>
      </c>
      <c r="AF312" s="302"/>
      <c r="AG312" s="56"/>
    </row>
    <row r="313" spans="1:33" x14ac:dyDescent="0.3">
      <c r="A313" s="59">
        <f t="shared" si="79"/>
        <v>223</v>
      </c>
      <c r="B313" s="66" t="s">
        <v>1275</v>
      </c>
      <c r="C313" s="50">
        <f t="shared" si="76"/>
        <v>581770.12</v>
      </c>
      <c r="D313" s="51">
        <f t="shared" si="77"/>
        <v>0</v>
      </c>
      <c r="E313" s="51"/>
      <c r="F313" s="51"/>
      <c r="G313" s="51"/>
      <c r="H313" s="51"/>
      <c r="I313" s="51"/>
      <c r="J313" s="51"/>
      <c r="K313" s="51"/>
      <c r="L313" s="51"/>
      <c r="M313" s="51"/>
      <c r="N313" s="50"/>
      <c r="O313" s="82"/>
      <c r="P313" s="51"/>
      <c r="Q313" s="82"/>
      <c r="R313" s="50"/>
      <c r="S313" s="68"/>
      <c r="T313" s="82"/>
      <c r="U313" s="51"/>
      <c r="V313" s="51"/>
      <c r="W313" s="178">
        <f t="shared" si="78"/>
        <v>581770.12</v>
      </c>
      <c r="X313" s="285">
        <v>53743.21</v>
      </c>
      <c r="Y313" s="285"/>
      <c r="Z313" s="285"/>
      <c r="AA313" s="285"/>
      <c r="AB313" s="285"/>
      <c r="AC313" s="9">
        <v>112809.73</v>
      </c>
      <c r="AD313" s="306">
        <v>123347.2</v>
      </c>
      <c r="AE313" s="302">
        <v>291869.98</v>
      </c>
      <c r="AF313" s="302"/>
      <c r="AG313" s="56"/>
    </row>
    <row r="314" spans="1:33" x14ac:dyDescent="0.3">
      <c r="A314" s="59">
        <f t="shared" si="79"/>
        <v>224</v>
      </c>
      <c r="B314" s="66" t="s">
        <v>1276</v>
      </c>
      <c r="C314" s="50">
        <f t="shared" si="76"/>
        <v>600684.03</v>
      </c>
      <c r="D314" s="51">
        <f t="shared" si="77"/>
        <v>0</v>
      </c>
      <c r="E314" s="51"/>
      <c r="F314" s="51"/>
      <c r="G314" s="51"/>
      <c r="H314" s="51"/>
      <c r="I314" s="51"/>
      <c r="J314" s="51"/>
      <c r="K314" s="51"/>
      <c r="L314" s="51"/>
      <c r="M314" s="51"/>
      <c r="N314" s="50"/>
      <c r="O314" s="82"/>
      <c r="P314" s="51"/>
      <c r="Q314" s="82"/>
      <c r="R314" s="50"/>
      <c r="S314" s="68"/>
      <c r="T314" s="82"/>
      <c r="U314" s="51"/>
      <c r="V314" s="51"/>
      <c r="W314" s="178">
        <f t="shared" si="78"/>
        <v>600684.03</v>
      </c>
      <c r="X314" s="285">
        <v>57863.66</v>
      </c>
      <c r="Y314" s="285"/>
      <c r="Z314" s="285"/>
      <c r="AA314" s="285"/>
      <c r="AB314" s="285"/>
      <c r="AC314" s="9">
        <v>119044.06</v>
      </c>
      <c r="AD314" s="306">
        <v>116751.67</v>
      </c>
      <c r="AE314" s="302">
        <v>307024.64000000001</v>
      </c>
      <c r="AF314" s="302"/>
      <c r="AG314" s="56"/>
    </row>
    <row r="315" spans="1:33" x14ac:dyDescent="0.3">
      <c r="A315" s="59">
        <f t="shared" si="79"/>
        <v>225</v>
      </c>
      <c r="B315" s="66" t="s">
        <v>1277</v>
      </c>
      <c r="C315" s="50">
        <f t="shared" si="76"/>
        <v>499289.18</v>
      </c>
      <c r="D315" s="51">
        <f t="shared" si="77"/>
        <v>0</v>
      </c>
      <c r="E315" s="51"/>
      <c r="F315" s="51"/>
      <c r="G315" s="51"/>
      <c r="H315" s="51"/>
      <c r="I315" s="51"/>
      <c r="J315" s="51"/>
      <c r="K315" s="51"/>
      <c r="L315" s="51"/>
      <c r="M315" s="51"/>
      <c r="N315" s="50"/>
      <c r="O315" s="82"/>
      <c r="P315" s="51"/>
      <c r="Q315" s="82"/>
      <c r="R315" s="50"/>
      <c r="S315" s="68"/>
      <c r="T315" s="82"/>
      <c r="U315" s="51"/>
      <c r="V315" s="51"/>
      <c r="W315" s="178">
        <f t="shared" si="78"/>
        <v>499289.18</v>
      </c>
      <c r="X315" s="285"/>
      <c r="Y315" s="285"/>
      <c r="Z315" s="285"/>
      <c r="AA315" s="285"/>
      <c r="AB315" s="285"/>
      <c r="AC315" s="9">
        <v>93083.28</v>
      </c>
      <c r="AD315" s="306">
        <v>162288</v>
      </c>
      <c r="AE315" s="302">
        <v>243917.9</v>
      </c>
      <c r="AF315" s="302"/>
      <c r="AG315" s="56"/>
    </row>
    <row r="316" spans="1:33" x14ac:dyDescent="0.3">
      <c r="A316" s="59">
        <f t="shared" si="79"/>
        <v>226</v>
      </c>
      <c r="B316" s="66" t="s">
        <v>1278</v>
      </c>
      <c r="C316" s="50">
        <f t="shared" si="76"/>
        <v>617194.59</v>
      </c>
      <c r="D316" s="51">
        <f t="shared" si="77"/>
        <v>0</v>
      </c>
      <c r="E316" s="51"/>
      <c r="F316" s="51"/>
      <c r="G316" s="51"/>
      <c r="H316" s="51"/>
      <c r="I316" s="51"/>
      <c r="J316" s="51"/>
      <c r="K316" s="51"/>
      <c r="L316" s="51"/>
      <c r="M316" s="51"/>
      <c r="N316" s="50"/>
      <c r="O316" s="82"/>
      <c r="P316" s="51"/>
      <c r="Q316" s="82"/>
      <c r="R316" s="50"/>
      <c r="S316" s="68"/>
      <c r="T316" s="82"/>
      <c r="U316" s="51"/>
      <c r="V316" s="51"/>
      <c r="W316" s="178">
        <f t="shared" si="78"/>
        <v>617194.59</v>
      </c>
      <c r="X316" s="285">
        <v>61307.68</v>
      </c>
      <c r="Y316" s="285"/>
      <c r="Z316" s="285"/>
      <c r="AA316" s="285"/>
      <c r="AB316" s="285"/>
      <c r="AC316" s="9">
        <v>124254.8</v>
      </c>
      <c r="AD316" s="306">
        <v>111940.88</v>
      </c>
      <c r="AE316" s="302">
        <v>319691.23</v>
      </c>
      <c r="AF316" s="302"/>
      <c r="AG316" s="56"/>
    </row>
    <row r="317" spans="1:33" x14ac:dyDescent="0.3">
      <c r="A317" s="59">
        <f t="shared" si="79"/>
        <v>227</v>
      </c>
      <c r="B317" s="66" t="s">
        <v>1279</v>
      </c>
      <c r="C317" s="50">
        <f t="shared" ref="C317:C335" si="80">D317+K317+L317+N317+P317+R317+S317+U317+W317</f>
        <v>893910.16</v>
      </c>
      <c r="D317" s="51">
        <f t="shared" si="77"/>
        <v>0</v>
      </c>
      <c r="E317" s="51"/>
      <c r="F317" s="51"/>
      <c r="G317" s="51"/>
      <c r="H317" s="51"/>
      <c r="I317" s="51"/>
      <c r="J317" s="51"/>
      <c r="K317" s="51"/>
      <c r="L317" s="51"/>
      <c r="M317" s="51"/>
      <c r="N317" s="50"/>
      <c r="O317" s="82"/>
      <c r="P317" s="51"/>
      <c r="Q317" s="82"/>
      <c r="R317" s="50"/>
      <c r="S317" s="68"/>
      <c r="T317" s="82"/>
      <c r="U317" s="51"/>
      <c r="V317" s="51"/>
      <c r="W317" s="178">
        <f t="shared" si="78"/>
        <v>893910.16</v>
      </c>
      <c r="X317" s="285">
        <v>97881.35</v>
      </c>
      <c r="Y317" s="285"/>
      <c r="Z317" s="285"/>
      <c r="AA317" s="285"/>
      <c r="AB317" s="285"/>
      <c r="AC317" s="9">
        <v>180152.84</v>
      </c>
      <c r="AD317" s="306">
        <v>159745.39000000001</v>
      </c>
      <c r="AE317" s="302">
        <v>456130.58</v>
      </c>
      <c r="AF317" s="302"/>
      <c r="AG317" s="56"/>
    </row>
    <row r="318" spans="1:33" x14ac:dyDescent="0.3">
      <c r="A318" s="59">
        <f t="shared" si="79"/>
        <v>228</v>
      </c>
      <c r="B318" s="66" t="s">
        <v>1280</v>
      </c>
      <c r="C318" s="50">
        <f t="shared" si="80"/>
        <v>894638.14999999991</v>
      </c>
      <c r="D318" s="51">
        <f t="shared" si="77"/>
        <v>0</v>
      </c>
      <c r="E318" s="51"/>
      <c r="F318" s="51"/>
      <c r="G318" s="51"/>
      <c r="H318" s="51"/>
      <c r="I318" s="51"/>
      <c r="J318" s="51"/>
      <c r="K318" s="51"/>
      <c r="L318" s="51"/>
      <c r="M318" s="51"/>
      <c r="N318" s="50"/>
      <c r="O318" s="82"/>
      <c r="P318" s="51"/>
      <c r="Q318" s="82"/>
      <c r="R318" s="50"/>
      <c r="S318" s="68"/>
      <c r="T318" s="82"/>
      <c r="U318" s="51"/>
      <c r="V318" s="51"/>
      <c r="W318" s="178">
        <f t="shared" si="78"/>
        <v>894638.14999999991</v>
      </c>
      <c r="X318" s="285">
        <v>98083.98</v>
      </c>
      <c r="Y318" s="285"/>
      <c r="Z318" s="285"/>
      <c r="AA318" s="285"/>
      <c r="AB318" s="285"/>
      <c r="AC318" s="9">
        <v>180460.94</v>
      </c>
      <c r="AD318" s="306">
        <v>159212.29999999999</v>
      </c>
      <c r="AE318" s="302">
        <v>456880.93</v>
      </c>
      <c r="AF318" s="302"/>
      <c r="AG318" s="56"/>
    </row>
    <row r="319" spans="1:33" x14ac:dyDescent="0.3">
      <c r="A319" s="59">
        <f t="shared" si="79"/>
        <v>229</v>
      </c>
      <c r="B319" s="66" t="s">
        <v>1281</v>
      </c>
      <c r="C319" s="50">
        <f t="shared" si="80"/>
        <v>616400.82999999996</v>
      </c>
      <c r="D319" s="51">
        <f t="shared" si="77"/>
        <v>0</v>
      </c>
      <c r="E319" s="51"/>
      <c r="F319" s="51"/>
      <c r="G319" s="51"/>
      <c r="H319" s="51"/>
      <c r="I319" s="51"/>
      <c r="J319" s="51"/>
      <c r="K319" s="51"/>
      <c r="L319" s="51"/>
      <c r="M319" s="51"/>
      <c r="N319" s="50"/>
      <c r="O319" s="82"/>
      <c r="P319" s="51"/>
      <c r="Q319" s="82"/>
      <c r="R319" s="50"/>
      <c r="S319" s="68"/>
      <c r="T319" s="82"/>
      <c r="U319" s="51"/>
      <c r="V319" s="51"/>
      <c r="W319" s="178">
        <f t="shared" si="78"/>
        <v>616400.82999999996</v>
      </c>
      <c r="X319" s="285">
        <v>61061.74</v>
      </c>
      <c r="Y319" s="285"/>
      <c r="Z319" s="285"/>
      <c r="AA319" s="285"/>
      <c r="AB319" s="285"/>
      <c r="AC319" s="9">
        <v>123882.62</v>
      </c>
      <c r="AD319" s="306">
        <v>112669.99</v>
      </c>
      <c r="AE319" s="302">
        <v>318786.48</v>
      </c>
      <c r="AF319" s="302"/>
      <c r="AG319" s="56"/>
    </row>
    <row r="320" spans="1:33" x14ac:dyDescent="0.3">
      <c r="A320" s="59">
        <f t="shared" si="79"/>
        <v>230</v>
      </c>
      <c r="B320" s="66" t="s">
        <v>1282</v>
      </c>
      <c r="C320" s="50">
        <f t="shared" si="80"/>
        <v>607477.18999999994</v>
      </c>
      <c r="D320" s="51">
        <f t="shared" si="77"/>
        <v>0</v>
      </c>
      <c r="E320" s="51"/>
      <c r="F320" s="51"/>
      <c r="G320" s="51"/>
      <c r="H320" s="51"/>
      <c r="I320" s="51"/>
      <c r="J320" s="51"/>
      <c r="K320" s="51"/>
      <c r="L320" s="51"/>
      <c r="M320" s="51"/>
      <c r="N320" s="50"/>
      <c r="O320" s="82"/>
      <c r="P320" s="51"/>
      <c r="Q320" s="82"/>
      <c r="R320" s="50"/>
      <c r="S320" s="68"/>
      <c r="T320" s="82"/>
      <c r="U320" s="51"/>
      <c r="V320" s="51"/>
      <c r="W320" s="178">
        <f t="shared" si="78"/>
        <v>607477.18999999994</v>
      </c>
      <c r="X320" s="285">
        <v>59278.2</v>
      </c>
      <c r="Y320" s="285"/>
      <c r="Z320" s="285"/>
      <c r="AA320" s="285"/>
      <c r="AB320" s="285"/>
      <c r="AC320" s="9">
        <v>121184.18</v>
      </c>
      <c r="AD320" s="306">
        <v>114787.82</v>
      </c>
      <c r="AE320" s="302">
        <v>312226.99</v>
      </c>
      <c r="AF320" s="302"/>
      <c r="AG320" s="56"/>
    </row>
    <row r="321" spans="1:33" x14ac:dyDescent="0.3">
      <c r="A321" s="59">
        <f t="shared" si="79"/>
        <v>231</v>
      </c>
      <c r="B321" s="66" t="s">
        <v>1283</v>
      </c>
      <c r="C321" s="50">
        <f t="shared" si="80"/>
        <v>579281.89999999991</v>
      </c>
      <c r="D321" s="51">
        <f t="shared" si="77"/>
        <v>0</v>
      </c>
      <c r="E321" s="51"/>
      <c r="F321" s="51"/>
      <c r="G321" s="51"/>
      <c r="H321" s="51"/>
      <c r="I321" s="51"/>
      <c r="J321" s="51"/>
      <c r="K321" s="51"/>
      <c r="L321" s="51"/>
      <c r="M321" s="51"/>
      <c r="N321" s="50"/>
      <c r="O321" s="82"/>
      <c r="P321" s="51"/>
      <c r="Q321" s="82"/>
      <c r="R321" s="50"/>
      <c r="S321" s="68"/>
      <c r="T321" s="82"/>
      <c r="U321" s="51"/>
      <c r="V321" s="51"/>
      <c r="W321" s="178">
        <f t="shared" si="78"/>
        <v>579281.89999999991</v>
      </c>
      <c r="X321" s="285">
        <v>53128.22</v>
      </c>
      <c r="Y321" s="285"/>
      <c r="Z321" s="285"/>
      <c r="AA321" s="285"/>
      <c r="AB321" s="285"/>
      <c r="AC321" s="9">
        <v>111879.25</v>
      </c>
      <c r="AD321" s="306">
        <v>124666.33</v>
      </c>
      <c r="AE321" s="302">
        <v>289608.09999999998</v>
      </c>
      <c r="AF321" s="302"/>
      <c r="AG321" s="56"/>
    </row>
    <row r="322" spans="1:33" x14ac:dyDescent="0.3">
      <c r="A322" s="59">
        <f t="shared" si="79"/>
        <v>232</v>
      </c>
      <c r="B322" s="66" t="s">
        <v>1284</v>
      </c>
      <c r="C322" s="50">
        <f t="shared" si="80"/>
        <v>573667.57000000007</v>
      </c>
      <c r="D322" s="51">
        <f t="shared" si="77"/>
        <v>0</v>
      </c>
      <c r="E322" s="51"/>
      <c r="F322" s="51"/>
      <c r="G322" s="51"/>
      <c r="H322" s="51"/>
      <c r="I322" s="51"/>
      <c r="J322" s="51"/>
      <c r="K322" s="51"/>
      <c r="L322" s="51"/>
      <c r="M322" s="51"/>
      <c r="N322" s="50"/>
      <c r="O322" s="82"/>
      <c r="P322" s="51"/>
      <c r="Q322" s="82"/>
      <c r="R322" s="50"/>
      <c r="S322" s="68"/>
      <c r="T322" s="82"/>
      <c r="U322" s="51"/>
      <c r="V322" s="51"/>
      <c r="W322" s="178">
        <f t="shared" si="78"/>
        <v>573667.57000000007</v>
      </c>
      <c r="X322" s="285">
        <v>51836.71</v>
      </c>
      <c r="Y322" s="285"/>
      <c r="Z322" s="285"/>
      <c r="AA322" s="285"/>
      <c r="AB322" s="285"/>
      <c r="AC322" s="9">
        <v>109925.21</v>
      </c>
      <c r="AD322" s="306">
        <v>127047.53</v>
      </c>
      <c r="AE322" s="302">
        <v>284858.12</v>
      </c>
      <c r="AF322" s="302"/>
      <c r="AG322" s="56"/>
    </row>
    <row r="323" spans="1:33" x14ac:dyDescent="0.3">
      <c r="A323" s="59">
        <f t="shared" si="79"/>
        <v>233</v>
      </c>
      <c r="B323" s="66" t="s">
        <v>1285</v>
      </c>
      <c r="C323" s="50">
        <f t="shared" si="80"/>
        <v>575205.91999999993</v>
      </c>
      <c r="D323" s="51">
        <f t="shared" si="77"/>
        <v>0</v>
      </c>
      <c r="E323" s="51"/>
      <c r="F323" s="51"/>
      <c r="G323" s="51"/>
      <c r="H323" s="51"/>
      <c r="I323" s="51"/>
      <c r="J323" s="51"/>
      <c r="K323" s="51"/>
      <c r="L323" s="51"/>
      <c r="M323" s="51"/>
      <c r="N323" s="50"/>
      <c r="O323" s="82"/>
      <c r="P323" s="51"/>
      <c r="Q323" s="82"/>
      <c r="R323" s="50"/>
      <c r="S323" s="68"/>
      <c r="T323" s="82"/>
      <c r="U323" s="51"/>
      <c r="V323" s="51"/>
      <c r="W323" s="178">
        <f t="shared" si="78"/>
        <v>575205.91999999993</v>
      </c>
      <c r="X323" s="285">
        <v>52144.24</v>
      </c>
      <c r="Y323" s="285"/>
      <c r="Z323" s="285"/>
      <c r="AA323" s="285"/>
      <c r="AB323" s="285"/>
      <c r="AC323" s="9">
        <v>110390.45</v>
      </c>
      <c r="AD323" s="306">
        <v>126682.15</v>
      </c>
      <c r="AE323" s="302">
        <v>285989.08</v>
      </c>
      <c r="AF323" s="302"/>
      <c r="AG323" s="56"/>
    </row>
    <row r="324" spans="1:33" x14ac:dyDescent="0.3">
      <c r="A324" s="59">
        <f t="shared" si="79"/>
        <v>234</v>
      </c>
      <c r="B324" s="66" t="s">
        <v>1286</v>
      </c>
      <c r="C324" s="50">
        <f t="shared" si="80"/>
        <v>912304.96</v>
      </c>
      <c r="D324" s="51">
        <f t="shared" si="77"/>
        <v>0</v>
      </c>
      <c r="E324" s="51"/>
      <c r="F324" s="51"/>
      <c r="G324" s="51"/>
      <c r="H324" s="51"/>
      <c r="I324" s="51"/>
      <c r="J324" s="51"/>
      <c r="K324" s="51"/>
      <c r="L324" s="51"/>
      <c r="M324" s="51"/>
      <c r="N324" s="50"/>
      <c r="O324" s="82"/>
      <c r="P324" s="51"/>
      <c r="Q324" s="82"/>
      <c r="R324" s="50"/>
      <c r="S324" s="68"/>
      <c r="T324" s="82"/>
      <c r="U324" s="51"/>
      <c r="V324" s="51"/>
      <c r="W324" s="178">
        <f t="shared" si="78"/>
        <v>912304.96</v>
      </c>
      <c r="X324" s="285">
        <v>110915.94</v>
      </c>
      <c r="Y324" s="285"/>
      <c r="Z324" s="285"/>
      <c r="AA324" s="285"/>
      <c r="AB324" s="285"/>
      <c r="AC324" s="9">
        <v>203073.5</v>
      </c>
      <c r="AD324" s="306">
        <v>83284.259999999995</v>
      </c>
      <c r="AE324" s="302">
        <v>515031.26</v>
      </c>
      <c r="AF324" s="302"/>
      <c r="AG324" s="56"/>
    </row>
    <row r="325" spans="1:33" x14ac:dyDescent="0.3">
      <c r="A325" s="59">
        <f t="shared" si="79"/>
        <v>235</v>
      </c>
      <c r="B325" s="66" t="s">
        <v>1287</v>
      </c>
      <c r="C325" s="50">
        <f t="shared" si="80"/>
        <v>951429.56</v>
      </c>
      <c r="D325" s="51">
        <f t="shared" si="77"/>
        <v>0</v>
      </c>
      <c r="E325" s="51"/>
      <c r="F325" s="51"/>
      <c r="G325" s="51"/>
      <c r="H325" s="51"/>
      <c r="I325" s="51"/>
      <c r="J325" s="51"/>
      <c r="K325" s="51"/>
      <c r="L325" s="51"/>
      <c r="M325" s="51"/>
      <c r="N325" s="50"/>
      <c r="O325" s="82"/>
      <c r="P325" s="51"/>
      <c r="Q325" s="82"/>
      <c r="R325" s="50"/>
      <c r="S325" s="68"/>
      <c r="T325" s="82"/>
      <c r="U325" s="51"/>
      <c r="V325" s="51"/>
      <c r="W325" s="178">
        <f t="shared" si="78"/>
        <v>951429.56</v>
      </c>
      <c r="X325" s="285">
        <v>99603.89</v>
      </c>
      <c r="Y325" s="285"/>
      <c r="Z325" s="285"/>
      <c r="AA325" s="285"/>
      <c r="AB325" s="285"/>
      <c r="AC325" s="9">
        <v>182771.52</v>
      </c>
      <c r="AD325" s="306">
        <v>206545.58</v>
      </c>
      <c r="AE325" s="302">
        <v>462508.57</v>
      </c>
      <c r="AF325" s="302"/>
      <c r="AG325" s="56"/>
    </row>
    <row r="326" spans="1:33" x14ac:dyDescent="0.3">
      <c r="A326" s="59">
        <f t="shared" si="79"/>
        <v>236</v>
      </c>
      <c r="B326" s="66" t="s">
        <v>1288</v>
      </c>
      <c r="C326" s="50">
        <f t="shared" si="80"/>
        <v>874019.66999999993</v>
      </c>
      <c r="D326" s="51">
        <f t="shared" si="77"/>
        <v>0</v>
      </c>
      <c r="E326" s="51"/>
      <c r="F326" s="51"/>
      <c r="G326" s="51"/>
      <c r="H326" s="51"/>
      <c r="I326" s="51"/>
      <c r="J326" s="51"/>
      <c r="K326" s="51"/>
      <c r="L326" s="51"/>
      <c r="M326" s="51"/>
      <c r="N326" s="50"/>
      <c r="O326" s="82"/>
      <c r="P326" s="51"/>
      <c r="Q326" s="82"/>
      <c r="R326" s="50"/>
      <c r="S326" s="68"/>
      <c r="T326" s="82"/>
      <c r="U326" s="51"/>
      <c r="V326" s="51"/>
      <c r="W326" s="178">
        <f t="shared" si="78"/>
        <v>874019.66999999993</v>
      </c>
      <c r="X326" s="285">
        <v>75206.7</v>
      </c>
      <c r="Y326" s="285"/>
      <c r="Z326" s="285"/>
      <c r="AA326" s="285"/>
      <c r="AB326" s="285"/>
      <c r="AC326" s="9">
        <v>145283.96</v>
      </c>
      <c r="AD326" s="306">
        <v>282719.05</v>
      </c>
      <c r="AE326" s="302">
        <v>370809.96</v>
      </c>
      <c r="AF326" s="302"/>
      <c r="AG326" s="56"/>
    </row>
    <row r="327" spans="1:33" x14ac:dyDescent="0.3">
      <c r="A327" s="59">
        <f t="shared" si="79"/>
        <v>237</v>
      </c>
      <c r="B327" s="66" t="s">
        <v>1289</v>
      </c>
      <c r="C327" s="50">
        <f t="shared" si="80"/>
        <v>897614.26</v>
      </c>
      <c r="D327" s="51">
        <f t="shared" si="77"/>
        <v>0</v>
      </c>
      <c r="E327" s="51"/>
      <c r="F327" s="51"/>
      <c r="G327" s="51"/>
      <c r="H327" s="51"/>
      <c r="I327" s="51"/>
      <c r="J327" s="51"/>
      <c r="K327" s="51"/>
      <c r="L327" s="51"/>
      <c r="M327" s="51"/>
      <c r="N327" s="50"/>
      <c r="O327" s="82"/>
      <c r="P327" s="51"/>
      <c r="Q327" s="82"/>
      <c r="R327" s="50"/>
      <c r="S327" s="68"/>
      <c r="T327" s="82"/>
      <c r="U327" s="51"/>
      <c r="V327" s="51"/>
      <c r="W327" s="178">
        <f t="shared" si="78"/>
        <v>897614.26</v>
      </c>
      <c r="X327" s="285">
        <v>89521.94</v>
      </c>
      <c r="Y327" s="285"/>
      <c r="Z327" s="285"/>
      <c r="AA327" s="285"/>
      <c r="AB327" s="285"/>
      <c r="AC327" s="9">
        <v>167444.63</v>
      </c>
      <c r="AD327" s="306">
        <v>215469.11</v>
      </c>
      <c r="AE327" s="302">
        <v>425178.58</v>
      </c>
      <c r="AF327" s="302"/>
      <c r="AG327" s="56"/>
    </row>
    <row r="328" spans="1:33" x14ac:dyDescent="0.3">
      <c r="A328" s="59">
        <f t="shared" si="79"/>
        <v>238</v>
      </c>
      <c r="B328" s="66" t="s">
        <v>1290</v>
      </c>
      <c r="C328" s="50">
        <f t="shared" si="80"/>
        <v>816078.79</v>
      </c>
      <c r="D328" s="51">
        <f t="shared" si="77"/>
        <v>0</v>
      </c>
      <c r="E328" s="51"/>
      <c r="F328" s="51"/>
      <c r="G328" s="51"/>
      <c r="H328" s="51"/>
      <c r="I328" s="51"/>
      <c r="J328" s="51"/>
      <c r="K328" s="51"/>
      <c r="L328" s="51"/>
      <c r="M328" s="51"/>
      <c r="N328" s="50"/>
      <c r="O328" s="82"/>
      <c r="P328" s="51"/>
      <c r="Q328" s="82"/>
      <c r="R328" s="50"/>
      <c r="S328" s="68"/>
      <c r="T328" s="82"/>
      <c r="U328" s="51"/>
      <c r="V328" s="51"/>
      <c r="W328" s="178">
        <f t="shared" si="78"/>
        <v>816078.79</v>
      </c>
      <c r="X328" s="285">
        <v>72904.45</v>
      </c>
      <c r="Y328" s="285"/>
      <c r="Z328" s="285"/>
      <c r="AA328" s="285"/>
      <c r="AB328" s="285"/>
      <c r="AC328" s="9">
        <v>142182.19</v>
      </c>
      <c r="AD328" s="306">
        <v>237342.41</v>
      </c>
      <c r="AE328" s="302">
        <v>363649.74</v>
      </c>
      <c r="AF328" s="302"/>
      <c r="AG328" s="56"/>
    </row>
    <row r="329" spans="1:33" x14ac:dyDescent="0.3">
      <c r="A329" s="59">
        <f t="shared" si="79"/>
        <v>239</v>
      </c>
      <c r="B329" s="66" t="s">
        <v>1291</v>
      </c>
      <c r="C329" s="50">
        <f t="shared" si="80"/>
        <v>991113.29999999993</v>
      </c>
      <c r="D329" s="51">
        <f t="shared" si="77"/>
        <v>0</v>
      </c>
      <c r="E329" s="51"/>
      <c r="F329" s="51"/>
      <c r="G329" s="51"/>
      <c r="H329" s="51"/>
      <c r="I329" s="51"/>
      <c r="J329" s="51"/>
      <c r="K329" s="51"/>
      <c r="L329" s="51"/>
      <c r="M329" s="51"/>
      <c r="N329" s="50"/>
      <c r="O329" s="82"/>
      <c r="P329" s="51"/>
      <c r="Q329" s="82"/>
      <c r="R329" s="50"/>
      <c r="S329" s="68"/>
      <c r="T329" s="82"/>
      <c r="U329" s="51"/>
      <c r="V329" s="51"/>
      <c r="W329" s="178">
        <f t="shared" si="78"/>
        <v>991113.29999999993</v>
      </c>
      <c r="X329" s="285">
        <v>114904.15</v>
      </c>
      <c r="Y329" s="285"/>
      <c r="Z329" s="285"/>
      <c r="AA329" s="285"/>
      <c r="AB329" s="285"/>
      <c r="AC329" s="9">
        <v>206031.43</v>
      </c>
      <c r="AD329" s="306">
        <v>151017.62</v>
      </c>
      <c r="AE329" s="302">
        <v>519160.1</v>
      </c>
      <c r="AF329" s="302"/>
      <c r="AG329" s="56"/>
    </row>
    <row r="330" spans="1:33" x14ac:dyDescent="0.3">
      <c r="A330" s="59">
        <f t="shared" si="79"/>
        <v>240</v>
      </c>
      <c r="B330" s="66" t="s">
        <v>1292</v>
      </c>
      <c r="C330" s="50">
        <f t="shared" si="80"/>
        <v>983241.56</v>
      </c>
      <c r="D330" s="51">
        <f t="shared" si="77"/>
        <v>0</v>
      </c>
      <c r="E330" s="51"/>
      <c r="F330" s="51"/>
      <c r="G330" s="51"/>
      <c r="H330" s="51"/>
      <c r="I330" s="51"/>
      <c r="J330" s="51"/>
      <c r="K330" s="51"/>
      <c r="L330" s="51"/>
      <c r="M330" s="51"/>
      <c r="N330" s="50"/>
      <c r="O330" s="82"/>
      <c r="P330" s="51"/>
      <c r="Q330" s="82"/>
      <c r="R330" s="50"/>
      <c r="S330" s="68"/>
      <c r="T330" s="82"/>
      <c r="U330" s="51"/>
      <c r="V330" s="51"/>
      <c r="W330" s="178">
        <f t="shared" si="78"/>
        <v>983241.56</v>
      </c>
      <c r="X330" s="285">
        <v>113586.91</v>
      </c>
      <c r="Y330" s="285"/>
      <c r="Z330" s="285"/>
      <c r="AA330" s="285"/>
      <c r="AB330" s="285"/>
      <c r="AC330" s="9">
        <v>204028.93</v>
      </c>
      <c r="AD330" s="306">
        <v>151342.9</v>
      </c>
      <c r="AE330" s="302">
        <v>514282.82</v>
      </c>
      <c r="AF330" s="302"/>
      <c r="AG330" s="56"/>
    </row>
    <row r="331" spans="1:33" x14ac:dyDescent="0.3">
      <c r="A331" s="59">
        <f t="shared" si="79"/>
        <v>241</v>
      </c>
      <c r="B331" s="66" t="s">
        <v>1293</v>
      </c>
      <c r="C331" s="50">
        <f t="shared" si="80"/>
        <v>500003.38</v>
      </c>
      <c r="D331" s="51">
        <f t="shared" si="77"/>
        <v>0</v>
      </c>
      <c r="E331" s="51"/>
      <c r="F331" s="51"/>
      <c r="G331" s="51"/>
      <c r="H331" s="51"/>
      <c r="I331" s="51"/>
      <c r="J331" s="51"/>
      <c r="K331" s="51"/>
      <c r="L331" s="51"/>
      <c r="M331" s="51"/>
      <c r="N331" s="50"/>
      <c r="O331" s="82"/>
      <c r="P331" s="51"/>
      <c r="Q331" s="82"/>
      <c r="R331" s="50"/>
      <c r="S331" s="68"/>
      <c r="T331" s="82"/>
      <c r="U331" s="51"/>
      <c r="V331" s="51"/>
      <c r="W331" s="178">
        <f t="shared" si="78"/>
        <v>500003.38</v>
      </c>
      <c r="X331" s="285"/>
      <c r="Y331" s="285"/>
      <c r="Z331" s="285"/>
      <c r="AA331" s="285"/>
      <c r="AB331" s="285"/>
      <c r="AC331" s="9">
        <v>94944.28</v>
      </c>
      <c r="AD331" s="306">
        <v>156617.42000000001</v>
      </c>
      <c r="AE331" s="302">
        <v>248441.68</v>
      </c>
      <c r="AF331" s="302"/>
      <c r="AG331" s="56"/>
    </row>
    <row r="332" spans="1:33" x14ac:dyDescent="0.3">
      <c r="A332" s="59">
        <f t="shared" si="79"/>
        <v>242</v>
      </c>
      <c r="B332" s="66" t="s">
        <v>1294</v>
      </c>
      <c r="C332" s="50">
        <f t="shared" si="80"/>
        <v>876209.14999999991</v>
      </c>
      <c r="D332" s="51">
        <f t="shared" si="77"/>
        <v>0</v>
      </c>
      <c r="E332" s="51"/>
      <c r="F332" s="51"/>
      <c r="G332" s="51"/>
      <c r="H332" s="51"/>
      <c r="I332" s="51"/>
      <c r="J332" s="51"/>
      <c r="K332" s="51"/>
      <c r="L332" s="51"/>
      <c r="M332" s="51"/>
      <c r="N332" s="50"/>
      <c r="O332" s="82"/>
      <c r="P332" s="51"/>
      <c r="Q332" s="82"/>
      <c r="R332" s="50"/>
      <c r="S332" s="68"/>
      <c r="T332" s="82"/>
      <c r="U332" s="51"/>
      <c r="V332" s="51"/>
      <c r="W332" s="178">
        <f t="shared" si="78"/>
        <v>876209.14999999991</v>
      </c>
      <c r="X332" s="285"/>
      <c r="Y332" s="285"/>
      <c r="Z332" s="285"/>
      <c r="AA332" s="285"/>
      <c r="AB332" s="285"/>
      <c r="AC332" s="9">
        <v>206031.43</v>
      </c>
      <c r="AD332" s="306">
        <v>151017.62</v>
      </c>
      <c r="AE332" s="302">
        <v>519160.1</v>
      </c>
      <c r="AF332" s="302"/>
      <c r="AG332" s="56"/>
    </row>
    <row r="333" spans="1:33" x14ac:dyDescent="0.3">
      <c r="A333" s="59">
        <f t="shared" si="79"/>
        <v>243</v>
      </c>
      <c r="B333" s="66" t="s">
        <v>1295</v>
      </c>
      <c r="C333" s="50">
        <f t="shared" si="80"/>
        <v>876209.14999999991</v>
      </c>
      <c r="D333" s="51">
        <f t="shared" si="77"/>
        <v>0</v>
      </c>
      <c r="E333" s="51"/>
      <c r="F333" s="51"/>
      <c r="G333" s="51"/>
      <c r="H333" s="51"/>
      <c r="I333" s="51"/>
      <c r="J333" s="51"/>
      <c r="K333" s="51"/>
      <c r="L333" s="51"/>
      <c r="M333" s="51"/>
      <c r="N333" s="50"/>
      <c r="O333" s="82"/>
      <c r="P333" s="51"/>
      <c r="Q333" s="82"/>
      <c r="R333" s="50"/>
      <c r="S333" s="68"/>
      <c r="T333" s="82"/>
      <c r="U333" s="51"/>
      <c r="V333" s="51"/>
      <c r="W333" s="178">
        <f t="shared" si="78"/>
        <v>876209.14999999991</v>
      </c>
      <c r="X333" s="285"/>
      <c r="Y333" s="285"/>
      <c r="Z333" s="285"/>
      <c r="AA333" s="285"/>
      <c r="AB333" s="285"/>
      <c r="AC333" s="9">
        <v>206031.43</v>
      </c>
      <c r="AD333" s="306">
        <v>151017.62</v>
      </c>
      <c r="AE333" s="302">
        <v>519160.1</v>
      </c>
      <c r="AF333" s="302"/>
      <c r="AG333" s="56"/>
    </row>
    <row r="334" spans="1:33" x14ac:dyDescent="0.3">
      <c r="A334" s="59">
        <f t="shared" si="79"/>
        <v>244</v>
      </c>
      <c r="B334" s="66" t="s">
        <v>1296</v>
      </c>
      <c r="C334" s="50">
        <f t="shared" si="80"/>
        <v>876209.14999999991</v>
      </c>
      <c r="D334" s="51">
        <f t="shared" si="77"/>
        <v>0</v>
      </c>
      <c r="E334" s="51"/>
      <c r="F334" s="51"/>
      <c r="G334" s="51"/>
      <c r="H334" s="51"/>
      <c r="I334" s="51"/>
      <c r="J334" s="51"/>
      <c r="K334" s="51"/>
      <c r="L334" s="51"/>
      <c r="M334" s="51"/>
      <c r="N334" s="50"/>
      <c r="O334" s="82"/>
      <c r="P334" s="51"/>
      <c r="Q334" s="82"/>
      <c r="R334" s="50"/>
      <c r="S334" s="68"/>
      <c r="T334" s="82"/>
      <c r="U334" s="51"/>
      <c r="V334" s="51"/>
      <c r="W334" s="178">
        <f t="shared" si="78"/>
        <v>876209.14999999991</v>
      </c>
      <c r="X334" s="285"/>
      <c r="Y334" s="285"/>
      <c r="Z334" s="285"/>
      <c r="AA334" s="285"/>
      <c r="AB334" s="285"/>
      <c r="AC334" s="9">
        <v>206031.43</v>
      </c>
      <c r="AD334" s="306">
        <v>151017.62</v>
      </c>
      <c r="AE334" s="302">
        <v>519160.1</v>
      </c>
      <c r="AF334" s="302"/>
      <c r="AG334" s="56"/>
    </row>
    <row r="335" spans="1:33" x14ac:dyDescent="0.3">
      <c r="A335" s="59">
        <f t="shared" si="79"/>
        <v>245</v>
      </c>
      <c r="B335" s="66" t="s">
        <v>1297</v>
      </c>
      <c r="C335" s="50">
        <f t="shared" si="80"/>
        <v>783967.07000000007</v>
      </c>
      <c r="D335" s="51">
        <f t="shared" si="77"/>
        <v>0</v>
      </c>
      <c r="E335" s="51"/>
      <c r="F335" s="51"/>
      <c r="G335" s="51"/>
      <c r="H335" s="51"/>
      <c r="I335" s="51"/>
      <c r="J335" s="51"/>
      <c r="K335" s="51"/>
      <c r="L335" s="51"/>
      <c r="M335" s="51"/>
      <c r="N335" s="50"/>
      <c r="O335" s="82"/>
      <c r="P335" s="51"/>
      <c r="Q335" s="82"/>
      <c r="R335" s="50"/>
      <c r="S335" s="68"/>
      <c r="T335" s="82"/>
      <c r="U335" s="51"/>
      <c r="V335" s="51"/>
      <c r="W335" s="178">
        <f t="shared" si="78"/>
        <v>783967.07000000007</v>
      </c>
      <c r="X335" s="285">
        <v>77565.440000000002</v>
      </c>
      <c r="Y335" s="285"/>
      <c r="Z335" s="285"/>
      <c r="AA335" s="285"/>
      <c r="AB335" s="285"/>
      <c r="AC335" s="9">
        <v>149267.99</v>
      </c>
      <c r="AD335" s="306">
        <v>176225.81</v>
      </c>
      <c r="AE335" s="302">
        <v>380907.83</v>
      </c>
      <c r="AF335" s="302"/>
      <c r="AG335" s="56"/>
    </row>
    <row r="336" spans="1:33" x14ac:dyDescent="0.3">
      <c r="A336" s="59"/>
      <c r="B336" s="66" t="s">
        <v>211</v>
      </c>
      <c r="C336" s="50">
        <f t="shared" ref="C336:W336" si="81">SUM(C285:C335)</f>
        <v>36678122.539999992</v>
      </c>
      <c r="D336" s="50">
        <f t="shared" si="81"/>
        <v>0</v>
      </c>
      <c r="E336" s="50">
        <f t="shared" si="81"/>
        <v>0</v>
      </c>
      <c r="F336" s="50">
        <f t="shared" si="81"/>
        <v>0</v>
      </c>
      <c r="G336" s="50">
        <f t="shared" si="81"/>
        <v>0</v>
      </c>
      <c r="H336" s="50">
        <f t="shared" si="81"/>
        <v>0</v>
      </c>
      <c r="I336" s="50">
        <f t="shared" si="81"/>
        <v>0</v>
      </c>
      <c r="J336" s="50">
        <f t="shared" si="81"/>
        <v>0</v>
      </c>
      <c r="K336" s="50">
        <f t="shared" si="81"/>
        <v>0</v>
      </c>
      <c r="L336" s="50">
        <f t="shared" si="81"/>
        <v>0</v>
      </c>
      <c r="M336" s="50">
        <f t="shared" si="81"/>
        <v>0</v>
      </c>
      <c r="N336" s="50">
        <f t="shared" si="81"/>
        <v>0</v>
      </c>
      <c r="O336" s="68">
        <f t="shared" si="81"/>
        <v>0</v>
      </c>
      <c r="P336" s="50">
        <f t="shared" si="81"/>
        <v>0</v>
      </c>
      <c r="Q336" s="68">
        <f t="shared" si="81"/>
        <v>0</v>
      </c>
      <c r="R336" s="50">
        <f t="shared" si="81"/>
        <v>0</v>
      </c>
      <c r="S336" s="68">
        <f t="shared" si="81"/>
        <v>0</v>
      </c>
      <c r="T336" s="68">
        <f t="shared" si="81"/>
        <v>0</v>
      </c>
      <c r="U336" s="50">
        <f t="shared" si="81"/>
        <v>0</v>
      </c>
      <c r="V336" s="50">
        <f t="shared" si="81"/>
        <v>0</v>
      </c>
      <c r="W336" s="34">
        <f t="shared" si="81"/>
        <v>36678122.539999992</v>
      </c>
      <c r="X336" s="285"/>
      <c r="Y336" s="285"/>
      <c r="Z336" s="285"/>
      <c r="AA336" s="285"/>
      <c r="AB336" s="285"/>
      <c r="AC336" s="9"/>
      <c r="AD336" s="306"/>
      <c r="AE336" s="302"/>
      <c r="AF336" s="302"/>
      <c r="AG336" s="56"/>
    </row>
    <row r="337" spans="1:33" ht="31.2" x14ac:dyDescent="0.3">
      <c r="A337" s="59"/>
      <c r="B337" s="66" t="s">
        <v>1299</v>
      </c>
      <c r="C337" s="50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0"/>
      <c r="O337" s="82"/>
      <c r="P337" s="51"/>
      <c r="Q337" s="82"/>
      <c r="R337" s="50"/>
      <c r="S337" s="68"/>
      <c r="T337" s="82"/>
      <c r="U337" s="51"/>
      <c r="V337" s="51"/>
      <c r="W337" s="178"/>
      <c r="X337" s="285"/>
      <c r="Y337" s="285"/>
      <c r="Z337" s="285"/>
      <c r="AA337" s="285"/>
      <c r="AB337" s="285"/>
      <c r="AC337" s="9"/>
      <c r="AD337" s="306"/>
      <c r="AE337" s="302"/>
      <c r="AF337" s="302"/>
      <c r="AG337" s="56"/>
    </row>
    <row r="338" spans="1:33" x14ac:dyDescent="0.3">
      <c r="A338" s="59">
        <f>A335+1</f>
        <v>246</v>
      </c>
      <c r="B338" s="66" t="s">
        <v>1300</v>
      </c>
      <c r="C338" s="50">
        <f t="shared" ref="C338:C362" si="82">D338+K338+L338+N338+P338+R338+S338+U338+W338</f>
        <v>130000</v>
      </c>
      <c r="D338" s="51">
        <f t="shared" ref="D338:D362" si="83">E338+F338+G338+H338+I338</f>
        <v>0</v>
      </c>
      <c r="E338" s="51"/>
      <c r="F338" s="51"/>
      <c r="G338" s="51"/>
      <c r="H338" s="51"/>
      <c r="I338" s="51"/>
      <c r="J338" s="51"/>
      <c r="K338" s="51"/>
      <c r="L338" s="51"/>
      <c r="M338" s="51"/>
      <c r="N338" s="50"/>
      <c r="O338" s="82"/>
      <c r="P338" s="51"/>
      <c r="Q338" s="82"/>
      <c r="R338" s="50"/>
      <c r="S338" s="68"/>
      <c r="T338" s="82"/>
      <c r="U338" s="51"/>
      <c r="V338" s="51"/>
      <c r="W338" s="178">
        <v>130000</v>
      </c>
      <c r="X338" s="285"/>
      <c r="Y338" s="285"/>
      <c r="Z338" s="285"/>
      <c r="AA338" s="285"/>
      <c r="AB338" s="285"/>
      <c r="AC338" s="9"/>
      <c r="AD338" s="306"/>
      <c r="AE338" s="302"/>
      <c r="AF338" s="302"/>
      <c r="AG338" s="56"/>
    </row>
    <row r="339" spans="1:33" x14ac:dyDescent="0.3">
      <c r="A339" s="59">
        <f t="shared" ref="A339:A350" si="84">A338+1</f>
        <v>247</v>
      </c>
      <c r="B339" s="66" t="s">
        <v>1301</v>
      </c>
      <c r="C339" s="50">
        <f t="shared" si="82"/>
        <v>130000</v>
      </c>
      <c r="D339" s="51">
        <f t="shared" si="83"/>
        <v>0</v>
      </c>
      <c r="E339" s="51"/>
      <c r="F339" s="51"/>
      <c r="G339" s="51"/>
      <c r="H339" s="51"/>
      <c r="I339" s="51"/>
      <c r="J339" s="51"/>
      <c r="K339" s="51"/>
      <c r="L339" s="51"/>
      <c r="M339" s="51"/>
      <c r="N339" s="50"/>
      <c r="O339" s="82"/>
      <c r="P339" s="51"/>
      <c r="Q339" s="82"/>
      <c r="R339" s="50"/>
      <c r="S339" s="68"/>
      <c r="T339" s="82"/>
      <c r="U339" s="51"/>
      <c r="V339" s="51"/>
      <c r="W339" s="178">
        <v>130000</v>
      </c>
      <c r="X339" s="285"/>
      <c r="Y339" s="285"/>
      <c r="Z339" s="285"/>
      <c r="AA339" s="285"/>
      <c r="AB339" s="285"/>
      <c r="AC339" s="9"/>
      <c r="AD339" s="306"/>
      <c r="AE339" s="302"/>
      <c r="AF339" s="302"/>
      <c r="AG339" s="56"/>
    </row>
    <row r="340" spans="1:33" x14ac:dyDescent="0.3">
      <c r="A340" s="59">
        <f t="shared" si="84"/>
        <v>248</v>
      </c>
      <c r="B340" s="66" t="s">
        <v>1302</v>
      </c>
      <c r="C340" s="50">
        <f t="shared" si="82"/>
        <v>155187.18</v>
      </c>
      <c r="D340" s="51">
        <f t="shared" si="83"/>
        <v>0</v>
      </c>
      <c r="E340" s="51"/>
      <c r="F340" s="51"/>
      <c r="G340" s="51"/>
      <c r="H340" s="51"/>
      <c r="I340" s="51"/>
      <c r="J340" s="51"/>
      <c r="K340" s="51"/>
      <c r="L340" s="51"/>
      <c r="M340" s="51"/>
      <c r="N340" s="50"/>
      <c r="O340" s="82"/>
      <c r="P340" s="51"/>
      <c r="Q340" s="82"/>
      <c r="R340" s="50"/>
      <c r="S340" s="68"/>
      <c r="T340" s="82"/>
      <c r="U340" s="51"/>
      <c r="V340" s="51"/>
      <c r="W340" s="178">
        <f t="shared" ref="W340:W348" si="85">SUM(X340:AH340)</f>
        <v>155187.18</v>
      </c>
      <c r="X340" s="285">
        <v>92528.27</v>
      </c>
      <c r="Y340" s="285"/>
      <c r="Z340" s="285"/>
      <c r="AA340" s="285"/>
      <c r="AB340" s="285"/>
      <c r="AC340" s="9"/>
      <c r="AD340" s="306">
        <v>62658.91</v>
      </c>
      <c r="AE340" s="302"/>
      <c r="AF340" s="302"/>
      <c r="AG340" s="56"/>
    </row>
    <row r="341" spans="1:33" x14ac:dyDescent="0.3">
      <c r="A341" s="59">
        <f t="shared" si="84"/>
        <v>249</v>
      </c>
      <c r="B341" s="66" t="s">
        <v>1303</v>
      </c>
      <c r="C341" s="50">
        <f t="shared" si="82"/>
        <v>1457073.3900000001</v>
      </c>
      <c r="D341" s="51">
        <f t="shared" si="83"/>
        <v>0</v>
      </c>
      <c r="E341" s="51"/>
      <c r="F341" s="51"/>
      <c r="G341" s="51"/>
      <c r="H341" s="51"/>
      <c r="I341" s="51"/>
      <c r="J341" s="51"/>
      <c r="K341" s="51"/>
      <c r="L341" s="51"/>
      <c r="M341" s="51"/>
      <c r="N341" s="50"/>
      <c r="O341" s="82"/>
      <c r="P341" s="51"/>
      <c r="Q341" s="82"/>
      <c r="R341" s="50"/>
      <c r="S341" s="68"/>
      <c r="T341" s="82"/>
      <c r="U341" s="51"/>
      <c r="V341" s="51"/>
      <c r="W341" s="178">
        <f t="shared" si="85"/>
        <v>1457073.3900000001</v>
      </c>
      <c r="X341" s="285"/>
      <c r="Y341" s="285"/>
      <c r="Z341" s="285"/>
      <c r="AA341" s="285"/>
      <c r="AB341" s="285"/>
      <c r="AC341" s="9"/>
      <c r="AD341" s="306">
        <v>242721.35</v>
      </c>
      <c r="AE341" s="302">
        <v>1214352.04</v>
      </c>
      <c r="AF341" s="302"/>
      <c r="AG341" s="56"/>
    </row>
    <row r="342" spans="1:33" x14ac:dyDescent="0.3">
      <c r="A342" s="59">
        <f t="shared" si="84"/>
        <v>250</v>
      </c>
      <c r="B342" s="66" t="s">
        <v>1304</v>
      </c>
      <c r="C342" s="50">
        <f t="shared" si="82"/>
        <v>2191196.67</v>
      </c>
      <c r="D342" s="51">
        <f t="shared" si="83"/>
        <v>0</v>
      </c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82"/>
      <c r="P342" s="51"/>
      <c r="Q342" s="82"/>
      <c r="R342" s="50"/>
      <c r="S342" s="68"/>
      <c r="T342" s="82"/>
      <c r="U342" s="51"/>
      <c r="V342" s="51"/>
      <c r="W342" s="178">
        <f t="shared" si="85"/>
        <v>2191196.67</v>
      </c>
      <c r="X342" s="285">
        <v>195600.42</v>
      </c>
      <c r="Y342" s="285">
        <v>249994.87</v>
      </c>
      <c r="Z342" s="505">
        <v>208672.36</v>
      </c>
      <c r="AA342" s="505"/>
      <c r="AB342" s="285">
        <v>190687</v>
      </c>
      <c r="AC342" s="9"/>
      <c r="AD342" s="306">
        <v>208626.54</v>
      </c>
      <c r="AE342" s="302">
        <v>1137615.48</v>
      </c>
      <c r="AF342" s="302"/>
      <c r="AG342" s="56"/>
    </row>
    <row r="343" spans="1:33" x14ac:dyDescent="0.3">
      <c r="A343" s="59">
        <f t="shared" si="84"/>
        <v>251</v>
      </c>
      <c r="B343" s="66" t="s">
        <v>1305</v>
      </c>
      <c r="C343" s="50">
        <f t="shared" si="82"/>
        <v>1516172.8399999999</v>
      </c>
      <c r="D343" s="51">
        <f t="shared" si="83"/>
        <v>0</v>
      </c>
      <c r="E343" s="50"/>
      <c r="F343" s="50"/>
      <c r="G343" s="50"/>
      <c r="H343" s="50"/>
      <c r="I343" s="50"/>
      <c r="J343" s="50"/>
      <c r="K343" s="50"/>
      <c r="L343" s="50"/>
      <c r="M343" s="51"/>
      <c r="N343" s="50"/>
      <c r="O343" s="82"/>
      <c r="P343" s="51"/>
      <c r="Q343" s="82"/>
      <c r="R343" s="50"/>
      <c r="S343" s="68"/>
      <c r="T343" s="82"/>
      <c r="U343" s="51"/>
      <c r="V343" s="51"/>
      <c r="W343" s="178">
        <f t="shared" si="85"/>
        <v>1516172.8399999999</v>
      </c>
      <c r="X343" s="285"/>
      <c r="Y343" s="285"/>
      <c r="Z343" s="285"/>
      <c r="AA343" s="285"/>
      <c r="AB343" s="285"/>
      <c r="AC343" s="9">
        <v>320369.53000000003</v>
      </c>
      <c r="AD343" s="306">
        <v>161024.47</v>
      </c>
      <c r="AE343" s="302">
        <v>1034778.84</v>
      </c>
      <c r="AF343" s="302"/>
      <c r="AG343" s="56"/>
    </row>
    <row r="344" spans="1:33" x14ac:dyDescent="0.3">
      <c r="A344" s="59">
        <f t="shared" si="84"/>
        <v>252</v>
      </c>
      <c r="B344" s="66" t="s">
        <v>1306</v>
      </c>
      <c r="C344" s="50">
        <f t="shared" si="82"/>
        <v>554764.83000000007</v>
      </c>
      <c r="D344" s="51">
        <f t="shared" si="83"/>
        <v>0</v>
      </c>
      <c r="E344" s="50"/>
      <c r="F344" s="51"/>
      <c r="G344" s="51"/>
      <c r="H344" s="51"/>
      <c r="I344" s="51"/>
      <c r="J344" s="50"/>
      <c r="K344" s="50"/>
      <c r="L344" s="50"/>
      <c r="M344" s="51"/>
      <c r="N344" s="50"/>
      <c r="O344" s="82"/>
      <c r="P344" s="51"/>
      <c r="Q344" s="68"/>
      <c r="R344" s="50"/>
      <c r="S344" s="68"/>
      <c r="T344" s="82"/>
      <c r="U344" s="51"/>
      <c r="V344" s="51"/>
      <c r="W344" s="178">
        <f t="shared" si="85"/>
        <v>554764.83000000007</v>
      </c>
      <c r="X344" s="285"/>
      <c r="Y344" s="285">
        <v>133001.47</v>
      </c>
      <c r="Z344" s="505">
        <v>116907.52</v>
      </c>
      <c r="AA344" s="505"/>
      <c r="AB344" s="285">
        <v>112282.7</v>
      </c>
      <c r="AC344" s="9"/>
      <c r="AD344" s="306"/>
      <c r="AE344" s="302"/>
      <c r="AF344" s="302">
        <v>192573.14</v>
      </c>
      <c r="AG344" s="56"/>
    </row>
    <row r="345" spans="1:33" x14ac:dyDescent="0.3">
      <c r="A345" s="59">
        <f t="shared" si="84"/>
        <v>253</v>
      </c>
      <c r="B345" s="66" t="s">
        <v>1307</v>
      </c>
      <c r="C345" s="50">
        <f t="shared" si="82"/>
        <v>130000</v>
      </c>
      <c r="D345" s="51">
        <f t="shared" si="83"/>
        <v>0</v>
      </c>
      <c r="E345" s="50"/>
      <c r="F345" s="51"/>
      <c r="G345" s="51"/>
      <c r="H345" s="51"/>
      <c r="I345" s="51"/>
      <c r="J345" s="50"/>
      <c r="K345" s="50"/>
      <c r="L345" s="50"/>
      <c r="M345" s="51"/>
      <c r="N345" s="50"/>
      <c r="O345" s="82"/>
      <c r="P345" s="51"/>
      <c r="Q345" s="68"/>
      <c r="R345" s="50"/>
      <c r="S345" s="68"/>
      <c r="T345" s="82"/>
      <c r="U345" s="51"/>
      <c r="V345" s="51"/>
      <c r="W345" s="178">
        <v>130000</v>
      </c>
      <c r="X345" s="285"/>
      <c r="Y345" s="285"/>
      <c r="Z345" s="285"/>
      <c r="AA345" s="285"/>
      <c r="AB345" s="285"/>
      <c r="AC345" s="9"/>
      <c r="AD345" s="306"/>
      <c r="AE345" s="302"/>
      <c r="AF345" s="302"/>
      <c r="AG345" s="56"/>
    </row>
    <row r="346" spans="1:33" x14ac:dyDescent="0.3">
      <c r="A346" s="59">
        <f t="shared" si="84"/>
        <v>254</v>
      </c>
      <c r="B346" s="66" t="s">
        <v>1308</v>
      </c>
      <c r="C346" s="50">
        <f t="shared" si="82"/>
        <v>230253.32</v>
      </c>
      <c r="D346" s="51">
        <f t="shared" si="83"/>
        <v>0</v>
      </c>
      <c r="E346" s="50"/>
      <c r="F346" s="51"/>
      <c r="G346" s="51"/>
      <c r="H346" s="51"/>
      <c r="I346" s="51"/>
      <c r="J346" s="50"/>
      <c r="K346" s="50"/>
      <c r="L346" s="50"/>
      <c r="M346" s="51"/>
      <c r="N346" s="50"/>
      <c r="O346" s="82"/>
      <c r="P346" s="51"/>
      <c r="Q346" s="68"/>
      <c r="R346" s="50"/>
      <c r="S346" s="68"/>
      <c r="T346" s="82"/>
      <c r="U346" s="51"/>
      <c r="V346" s="51"/>
      <c r="W346" s="178">
        <f t="shared" si="85"/>
        <v>230253.32</v>
      </c>
      <c r="X346" s="285"/>
      <c r="Y346" s="285">
        <v>122518.27</v>
      </c>
      <c r="Z346" s="505">
        <v>107735.05</v>
      </c>
      <c r="AA346" s="505"/>
      <c r="AB346" s="285"/>
      <c r="AC346" s="9"/>
      <c r="AD346" s="306"/>
      <c r="AE346" s="302"/>
      <c r="AF346" s="302"/>
      <c r="AG346" s="56"/>
    </row>
    <row r="347" spans="1:33" x14ac:dyDescent="0.3">
      <c r="A347" s="59">
        <f t="shared" si="84"/>
        <v>255</v>
      </c>
      <c r="B347" s="66" t="s">
        <v>1309</v>
      </c>
      <c r="C347" s="50">
        <f t="shared" si="82"/>
        <v>1348946.4</v>
      </c>
      <c r="D347" s="51">
        <f t="shared" si="83"/>
        <v>0</v>
      </c>
      <c r="E347" s="50"/>
      <c r="F347" s="50"/>
      <c r="G347" s="50"/>
      <c r="H347" s="51"/>
      <c r="I347" s="50"/>
      <c r="J347" s="50"/>
      <c r="K347" s="50"/>
      <c r="L347" s="50"/>
      <c r="M347" s="51"/>
      <c r="N347" s="50"/>
      <c r="O347" s="82"/>
      <c r="P347" s="51"/>
      <c r="Q347" s="82"/>
      <c r="R347" s="50"/>
      <c r="S347" s="68"/>
      <c r="T347" s="82"/>
      <c r="U347" s="51"/>
      <c r="V347" s="51"/>
      <c r="W347" s="178">
        <f t="shared" si="85"/>
        <v>1348946.4</v>
      </c>
      <c r="X347" s="285">
        <v>108773.35</v>
      </c>
      <c r="Y347" s="285">
        <v>129043.45</v>
      </c>
      <c r="Z347" s="505">
        <v>108200.75</v>
      </c>
      <c r="AA347" s="505"/>
      <c r="AB347" s="285">
        <v>103062.07</v>
      </c>
      <c r="AC347" s="9">
        <v>174754.79</v>
      </c>
      <c r="AD347" s="306">
        <v>229714.96</v>
      </c>
      <c r="AE347" s="302">
        <v>495397.03</v>
      </c>
      <c r="AF347" s="302"/>
      <c r="AG347" s="56"/>
    </row>
    <row r="348" spans="1:33" x14ac:dyDescent="0.3">
      <c r="A348" s="59">
        <f t="shared" si="84"/>
        <v>256</v>
      </c>
      <c r="B348" s="66" t="s">
        <v>1310</v>
      </c>
      <c r="C348" s="50">
        <f t="shared" si="82"/>
        <v>607069.84</v>
      </c>
      <c r="D348" s="51">
        <f t="shared" si="83"/>
        <v>0</v>
      </c>
      <c r="E348" s="50"/>
      <c r="F348" s="50"/>
      <c r="G348" s="50"/>
      <c r="H348" s="51"/>
      <c r="I348" s="50"/>
      <c r="J348" s="50"/>
      <c r="K348" s="50"/>
      <c r="L348" s="50"/>
      <c r="M348" s="51"/>
      <c r="N348" s="50"/>
      <c r="O348" s="82"/>
      <c r="P348" s="51"/>
      <c r="Q348" s="68"/>
      <c r="R348" s="50"/>
      <c r="S348" s="68"/>
      <c r="T348" s="82"/>
      <c r="U348" s="51"/>
      <c r="V348" s="51"/>
      <c r="W348" s="178">
        <f t="shared" si="85"/>
        <v>607069.84</v>
      </c>
      <c r="X348" s="285">
        <v>143343.73000000001</v>
      </c>
      <c r="Y348" s="285">
        <v>176583.86</v>
      </c>
      <c r="Z348" s="505">
        <v>149223.67000000001</v>
      </c>
      <c r="AA348" s="505"/>
      <c r="AB348" s="285">
        <v>137918.57999999999</v>
      </c>
      <c r="AC348" s="9"/>
      <c r="AD348" s="306"/>
      <c r="AE348" s="302"/>
      <c r="AF348" s="302"/>
      <c r="AG348" s="56"/>
    </row>
    <row r="349" spans="1:33" x14ac:dyDescent="0.3">
      <c r="A349" s="59">
        <f t="shared" si="84"/>
        <v>257</v>
      </c>
      <c r="B349" s="66" t="s">
        <v>1311</v>
      </c>
      <c r="C349" s="50">
        <f t="shared" si="82"/>
        <v>580598.46</v>
      </c>
      <c r="D349" s="51">
        <f t="shared" si="83"/>
        <v>0</v>
      </c>
      <c r="E349" s="50"/>
      <c r="F349" s="50"/>
      <c r="G349" s="50"/>
      <c r="H349" s="51"/>
      <c r="I349" s="50"/>
      <c r="J349" s="50"/>
      <c r="K349" s="50"/>
      <c r="L349" s="50"/>
      <c r="M349" s="51"/>
      <c r="N349" s="50"/>
      <c r="O349" s="82"/>
      <c r="P349" s="51"/>
      <c r="Q349" s="68"/>
      <c r="R349" s="50"/>
      <c r="S349" s="68"/>
      <c r="T349" s="82"/>
      <c r="U349" s="51"/>
      <c r="V349" s="51"/>
      <c r="W349" s="178">
        <f>SUM(X349:AH349)</f>
        <v>580598.46</v>
      </c>
      <c r="X349" s="285">
        <v>136432.01999999999</v>
      </c>
      <c r="Y349" s="285">
        <v>169601.32</v>
      </c>
      <c r="Z349" s="505">
        <v>142935.1</v>
      </c>
      <c r="AA349" s="505"/>
      <c r="AB349" s="285">
        <v>131630.01999999999</v>
      </c>
      <c r="AC349" s="9"/>
      <c r="AD349" s="306"/>
      <c r="AE349" s="302"/>
      <c r="AF349" s="302"/>
      <c r="AG349" s="56"/>
    </row>
    <row r="350" spans="1:33" x14ac:dyDescent="0.3">
      <c r="A350" s="59">
        <f t="shared" si="84"/>
        <v>258</v>
      </c>
      <c r="B350" s="66" t="s">
        <v>1312</v>
      </c>
      <c r="C350" s="50">
        <f t="shared" si="82"/>
        <v>130000</v>
      </c>
      <c r="D350" s="51">
        <f t="shared" si="83"/>
        <v>0</v>
      </c>
      <c r="E350" s="50"/>
      <c r="F350" s="51"/>
      <c r="G350" s="51"/>
      <c r="H350" s="51"/>
      <c r="I350" s="50"/>
      <c r="J350" s="50"/>
      <c r="K350" s="50"/>
      <c r="L350" s="50"/>
      <c r="M350" s="51"/>
      <c r="N350" s="50"/>
      <c r="O350" s="82"/>
      <c r="P350" s="51"/>
      <c r="Q350" s="68"/>
      <c r="R350" s="50"/>
      <c r="S350" s="68"/>
      <c r="T350" s="82"/>
      <c r="U350" s="51"/>
      <c r="V350" s="51"/>
      <c r="W350" s="178">
        <v>130000</v>
      </c>
      <c r="X350" s="9"/>
      <c r="Y350" s="9"/>
      <c r="Z350" s="9"/>
      <c r="AA350" s="9"/>
      <c r="AB350" s="9"/>
      <c r="AC350" s="9"/>
      <c r="AD350" s="40"/>
      <c r="AE350" s="56"/>
      <c r="AF350" s="302"/>
      <c r="AG350" s="56"/>
    </row>
    <row r="351" spans="1:33" x14ac:dyDescent="0.3">
      <c r="A351" s="59">
        <f t="shared" ref="A351:A362" si="86">A350+1</f>
        <v>259</v>
      </c>
      <c r="B351" s="66" t="s">
        <v>1313</v>
      </c>
      <c r="C351" s="50">
        <f t="shared" si="82"/>
        <v>1582941.1199999999</v>
      </c>
      <c r="D351" s="51">
        <f t="shared" si="83"/>
        <v>0</v>
      </c>
      <c r="E351" s="51"/>
      <c r="F351" s="50"/>
      <c r="G351" s="50"/>
      <c r="H351" s="50"/>
      <c r="I351" s="50"/>
      <c r="J351" s="50"/>
      <c r="K351" s="50"/>
      <c r="L351" s="50"/>
      <c r="M351" s="51"/>
      <c r="N351" s="50"/>
      <c r="O351" s="68"/>
      <c r="P351" s="50"/>
      <c r="Q351" s="68"/>
      <c r="R351" s="50"/>
      <c r="S351" s="68"/>
      <c r="T351" s="82"/>
      <c r="U351" s="51"/>
      <c r="V351" s="51"/>
      <c r="W351" s="178">
        <f t="shared" ref="W351:W362" si="87">SUM(X351:AH351)</f>
        <v>1582941.1199999999</v>
      </c>
      <c r="X351" s="285">
        <v>204891.61</v>
      </c>
      <c r="Y351" s="285"/>
      <c r="Z351" s="285"/>
      <c r="AA351" s="285"/>
      <c r="AB351" s="285"/>
      <c r="AC351" s="9"/>
      <c r="AD351" s="306">
        <v>198293.32</v>
      </c>
      <c r="AE351" s="302">
        <v>1179756.19</v>
      </c>
      <c r="AF351" s="302"/>
      <c r="AG351" s="56"/>
    </row>
    <row r="352" spans="1:33" x14ac:dyDescent="0.3">
      <c r="A352" s="59">
        <f t="shared" si="86"/>
        <v>260</v>
      </c>
      <c r="B352" s="66" t="s">
        <v>1314</v>
      </c>
      <c r="C352" s="50">
        <f t="shared" si="82"/>
        <v>248818.34</v>
      </c>
      <c r="D352" s="51">
        <f t="shared" si="83"/>
        <v>0</v>
      </c>
      <c r="E352" s="51"/>
      <c r="F352" s="50"/>
      <c r="G352" s="50"/>
      <c r="H352" s="50"/>
      <c r="I352" s="50"/>
      <c r="J352" s="50"/>
      <c r="K352" s="50"/>
      <c r="L352" s="50"/>
      <c r="M352" s="51"/>
      <c r="N352" s="50"/>
      <c r="O352" s="68"/>
      <c r="P352" s="50"/>
      <c r="Q352" s="68"/>
      <c r="R352" s="50"/>
      <c r="S352" s="68"/>
      <c r="T352" s="82"/>
      <c r="U352" s="51"/>
      <c r="V352" s="51"/>
      <c r="W352" s="178">
        <f t="shared" si="87"/>
        <v>248818.34</v>
      </c>
      <c r="X352" s="285">
        <v>248818.34</v>
      </c>
      <c r="Y352" s="285"/>
      <c r="Z352" s="285"/>
      <c r="AA352" s="285"/>
      <c r="AB352" s="285"/>
      <c r="AC352" s="9"/>
      <c r="AD352" s="306"/>
      <c r="AE352" s="302"/>
      <c r="AF352" s="302"/>
      <c r="AG352" s="56"/>
    </row>
    <row r="353" spans="1:33" x14ac:dyDescent="0.3">
      <c r="A353" s="59">
        <f t="shared" si="86"/>
        <v>261</v>
      </c>
      <c r="B353" s="66" t="s">
        <v>1315</v>
      </c>
      <c r="C353" s="50">
        <f t="shared" si="82"/>
        <v>163933.35999999999</v>
      </c>
      <c r="D353" s="51">
        <f t="shared" si="83"/>
        <v>0</v>
      </c>
      <c r="E353" s="51"/>
      <c r="F353" s="50"/>
      <c r="G353" s="50"/>
      <c r="H353" s="50"/>
      <c r="I353" s="50"/>
      <c r="J353" s="50"/>
      <c r="K353" s="50"/>
      <c r="L353" s="50"/>
      <c r="M353" s="51"/>
      <c r="N353" s="50"/>
      <c r="O353" s="68"/>
      <c r="P353" s="50"/>
      <c r="Q353" s="68"/>
      <c r="R353" s="50"/>
      <c r="S353" s="68"/>
      <c r="T353" s="82"/>
      <c r="U353" s="51"/>
      <c r="V353" s="51"/>
      <c r="W353" s="178">
        <f t="shared" si="87"/>
        <v>163933.35999999999</v>
      </c>
      <c r="X353" s="285">
        <v>163933.35999999999</v>
      </c>
      <c r="Y353" s="285"/>
      <c r="Z353" s="285"/>
      <c r="AA353" s="285"/>
      <c r="AB353" s="285"/>
      <c r="AC353" s="9"/>
      <c r="AD353" s="306"/>
      <c r="AE353" s="302"/>
      <c r="AF353" s="302"/>
      <c r="AG353" s="56"/>
    </row>
    <row r="354" spans="1:33" x14ac:dyDescent="0.3">
      <c r="A354" s="59">
        <f t="shared" si="86"/>
        <v>262</v>
      </c>
      <c r="B354" s="66" t="s">
        <v>1316</v>
      </c>
      <c r="C354" s="50">
        <f t="shared" si="82"/>
        <v>163933.35999999999</v>
      </c>
      <c r="D354" s="51">
        <f t="shared" si="83"/>
        <v>0</v>
      </c>
      <c r="E354" s="51"/>
      <c r="F354" s="50"/>
      <c r="G354" s="50"/>
      <c r="H354" s="50"/>
      <c r="I354" s="50"/>
      <c r="J354" s="50"/>
      <c r="K354" s="50"/>
      <c r="L354" s="50"/>
      <c r="M354" s="51"/>
      <c r="N354" s="50"/>
      <c r="O354" s="68"/>
      <c r="P354" s="50"/>
      <c r="Q354" s="68"/>
      <c r="R354" s="50"/>
      <c r="S354" s="68"/>
      <c r="T354" s="82"/>
      <c r="U354" s="51"/>
      <c r="V354" s="51"/>
      <c r="W354" s="178">
        <f t="shared" si="87"/>
        <v>163933.35999999999</v>
      </c>
      <c r="X354" s="285">
        <v>163933.35999999999</v>
      </c>
      <c r="Y354" s="285"/>
      <c r="Z354" s="285"/>
      <c r="AA354" s="285"/>
      <c r="AB354" s="285"/>
      <c r="AC354" s="9"/>
      <c r="AD354" s="306"/>
      <c r="AE354" s="302"/>
      <c r="AF354" s="302"/>
      <c r="AG354" s="56"/>
    </row>
    <row r="355" spans="1:33" x14ac:dyDescent="0.3">
      <c r="A355" s="59">
        <f t="shared" si="86"/>
        <v>263</v>
      </c>
      <c r="B355" s="66" t="s">
        <v>1318</v>
      </c>
      <c r="C355" s="50">
        <f t="shared" si="82"/>
        <v>1498287.23</v>
      </c>
      <c r="D355" s="51">
        <f t="shared" si="83"/>
        <v>0</v>
      </c>
      <c r="E355" s="51"/>
      <c r="F355" s="50"/>
      <c r="G355" s="50"/>
      <c r="H355" s="50"/>
      <c r="I355" s="50"/>
      <c r="J355" s="50"/>
      <c r="K355" s="50"/>
      <c r="L355" s="50"/>
      <c r="M355" s="51"/>
      <c r="N355" s="50"/>
      <c r="O355" s="82"/>
      <c r="P355" s="51"/>
      <c r="Q355" s="82"/>
      <c r="R355" s="50"/>
      <c r="S355" s="68"/>
      <c r="T355" s="82"/>
      <c r="U355" s="51"/>
      <c r="V355" s="51"/>
      <c r="W355" s="178">
        <f t="shared" si="87"/>
        <v>1498287.23</v>
      </c>
      <c r="X355" s="285"/>
      <c r="Y355" s="285"/>
      <c r="Z355" s="285"/>
      <c r="AA355" s="285"/>
      <c r="AB355" s="285"/>
      <c r="AC355" s="9"/>
      <c r="AD355" s="306">
        <v>202463.64</v>
      </c>
      <c r="AE355" s="302">
        <v>1295823.5900000001</v>
      </c>
      <c r="AF355" s="302"/>
      <c r="AG355" s="56"/>
    </row>
    <row r="356" spans="1:33" x14ac:dyDescent="0.3">
      <c r="A356" s="59">
        <f t="shared" si="86"/>
        <v>264</v>
      </c>
      <c r="B356" s="66" t="s">
        <v>1319</v>
      </c>
      <c r="C356" s="50">
        <f t="shared" si="82"/>
        <v>1038621.12</v>
      </c>
      <c r="D356" s="51">
        <f t="shared" si="83"/>
        <v>0</v>
      </c>
      <c r="E356" s="51"/>
      <c r="F356" s="50"/>
      <c r="G356" s="50"/>
      <c r="H356" s="50"/>
      <c r="I356" s="50"/>
      <c r="J356" s="50"/>
      <c r="K356" s="50"/>
      <c r="L356" s="50"/>
      <c r="M356" s="51"/>
      <c r="N356" s="50"/>
      <c r="O356" s="82"/>
      <c r="P356" s="51"/>
      <c r="Q356" s="82"/>
      <c r="R356" s="50"/>
      <c r="S356" s="68"/>
      <c r="T356" s="82"/>
      <c r="U356" s="51"/>
      <c r="V356" s="51"/>
      <c r="W356" s="178">
        <f t="shared" si="87"/>
        <v>1038621.12</v>
      </c>
      <c r="X356" s="285"/>
      <c r="Y356" s="285"/>
      <c r="Z356" s="285"/>
      <c r="AA356" s="285"/>
      <c r="AB356" s="285"/>
      <c r="AC356" s="9">
        <v>248371.09</v>
      </c>
      <c r="AD356" s="306"/>
      <c r="AE356" s="302">
        <v>790250.03</v>
      </c>
      <c r="AF356" s="302"/>
      <c r="AG356" s="56"/>
    </row>
    <row r="357" spans="1:33" x14ac:dyDescent="0.3">
      <c r="A357" s="59">
        <f t="shared" si="86"/>
        <v>265</v>
      </c>
      <c r="B357" s="66" t="s">
        <v>1320</v>
      </c>
      <c r="C357" s="50">
        <f t="shared" si="82"/>
        <v>1125196.9100000001</v>
      </c>
      <c r="D357" s="51">
        <f t="shared" si="83"/>
        <v>0</v>
      </c>
      <c r="E357" s="51"/>
      <c r="F357" s="50"/>
      <c r="G357" s="50"/>
      <c r="H357" s="50"/>
      <c r="I357" s="50"/>
      <c r="J357" s="50"/>
      <c r="K357" s="50"/>
      <c r="L357" s="50"/>
      <c r="M357" s="51"/>
      <c r="N357" s="50"/>
      <c r="O357" s="82"/>
      <c r="P357" s="51"/>
      <c r="Q357" s="82"/>
      <c r="R357" s="50"/>
      <c r="S357" s="68"/>
      <c r="T357" s="82"/>
      <c r="U357" s="51"/>
      <c r="V357" s="51"/>
      <c r="W357" s="178">
        <f t="shared" si="87"/>
        <v>1125196.9100000001</v>
      </c>
      <c r="X357" s="285">
        <v>118447.84</v>
      </c>
      <c r="Y357" s="285"/>
      <c r="Z357" s="285"/>
      <c r="AA357" s="285"/>
      <c r="AB357" s="285"/>
      <c r="AC357" s="9">
        <v>211672.3</v>
      </c>
      <c r="AD357" s="306">
        <v>260266.25</v>
      </c>
      <c r="AE357" s="302">
        <v>534810.52</v>
      </c>
      <c r="AF357" s="302"/>
      <c r="AG357" s="56"/>
    </row>
    <row r="358" spans="1:33" x14ac:dyDescent="0.3">
      <c r="A358" s="59">
        <f t="shared" si="86"/>
        <v>266</v>
      </c>
      <c r="B358" s="66" t="s">
        <v>1321</v>
      </c>
      <c r="C358" s="50">
        <f t="shared" si="82"/>
        <v>1127433.8399999999</v>
      </c>
      <c r="D358" s="51">
        <f t="shared" si="83"/>
        <v>0</v>
      </c>
      <c r="E358" s="51"/>
      <c r="F358" s="50"/>
      <c r="G358" s="50"/>
      <c r="H358" s="50"/>
      <c r="I358" s="50"/>
      <c r="J358" s="50"/>
      <c r="K358" s="50"/>
      <c r="L358" s="50"/>
      <c r="M358" s="51"/>
      <c r="N358" s="50"/>
      <c r="O358" s="82"/>
      <c r="P358" s="51"/>
      <c r="Q358" s="82"/>
      <c r="R358" s="50"/>
      <c r="S358" s="68"/>
      <c r="T358" s="82"/>
      <c r="U358" s="51"/>
      <c r="V358" s="51"/>
      <c r="W358" s="178">
        <f t="shared" si="87"/>
        <v>1127433.8399999999</v>
      </c>
      <c r="X358" s="285">
        <v>118438.54</v>
      </c>
      <c r="Y358" s="285"/>
      <c r="Z358" s="285"/>
      <c r="AA358" s="285"/>
      <c r="AB358" s="285"/>
      <c r="AC358" s="9">
        <v>212145.6</v>
      </c>
      <c r="AD358" s="306">
        <v>260880.38</v>
      </c>
      <c r="AE358" s="302">
        <v>535969.31999999995</v>
      </c>
      <c r="AF358" s="302"/>
      <c r="AG358" s="56"/>
    </row>
    <row r="359" spans="1:33" x14ac:dyDescent="0.3">
      <c r="A359" s="59">
        <f t="shared" si="86"/>
        <v>267</v>
      </c>
      <c r="B359" s="66" t="s">
        <v>1322</v>
      </c>
      <c r="C359" s="50">
        <f t="shared" si="82"/>
        <v>723270.69</v>
      </c>
      <c r="D359" s="51">
        <f t="shared" si="83"/>
        <v>0</v>
      </c>
      <c r="E359" s="50"/>
      <c r="F359" s="50"/>
      <c r="G359" s="50"/>
      <c r="H359" s="50"/>
      <c r="I359" s="50"/>
      <c r="J359" s="50"/>
      <c r="K359" s="50"/>
      <c r="L359" s="50"/>
      <c r="M359" s="51"/>
      <c r="N359" s="50"/>
      <c r="O359" s="82"/>
      <c r="P359" s="51"/>
      <c r="Q359" s="82"/>
      <c r="R359" s="50"/>
      <c r="S359" s="68"/>
      <c r="T359" s="82"/>
      <c r="U359" s="51"/>
      <c r="V359" s="51"/>
      <c r="W359" s="178">
        <f t="shared" si="87"/>
        <v>723270.69</v>
      </c>
      <c r="X359" s="285"/>
      <c r="Y359" s="285"/>
      <c r="Z359" s="285"/>
      <c r="AA359" s="285"/>
      <c r="AB359" s="285"/>
      <c r="AC359" s="9">
        <v>204940.94</v>
      </c>
      <c r="AD359" s="306"/>
      <c r="AE359" s="302">
        <v>518329.75</v>
      </c>
      <c r="AF359" s="302"/>
      <c r="AG359" s="56"/>
    </row>
    <row r="360" spans="1:33" x14ac:dyDescent="0.3">
      <c r="A360" s="59">
        <f t="shared" si="86"/>
        <v>268</v>
      </c>
      <c r="B360" s="66" t="s">
        <v>1323</v>
      </c>
      <c r="C360" s="50">
        <f t="shared" si="82"/>
        <v>723270.69</v>
      </c>
      <c r="D360" s="51">
        <f t="shared" si="83"/>
        <v>0</v>
      </c>
      <c r="E360" s="50"/>
      <c r="F360" s="50"/>
      <c r="G360" s="50"/>
      <c r="H360" s="50"/>
      <c r="I360" s="50"/>
      <c r="J360" s="50"/>
      <c r="K360" s="50"/>
      <c r="L360" s="50"/>
      <c r="M360" s="51"/>
      <c r="N360" s="50"/>
      <c r="O360" s="82"/>
      <c r="P360" s="51"/>
      <c r="Q360" s="82"/>
      <c r="R360" s="50"/>
      <c r="S360" s="68"/>
      <c r="T360" s="82"/>
      <c r="U360" s="51"/>
      <c r="V360" s="51"/>
      <c r="W360" s="178">
        <f t="shared" si="87"/>
        <v>723270.69</v>
      </c>
      <c r="X360" s="285"/>
      <c r="Y360" s="285"/>
      <c r="Z360" s="285"/>
      <c r="AA360" s="285"/>
      <c r="AB360" s="285"/>
      <c r="AC360" s="9">
        <v>204940.94</v>
      </c>
      <c r="AD360" s="306"/>
      <c r="AE360" s="302">
        <v>518329.75</v>
      </c>
      <c r="AF360" s="302"/>
      <c r="AG360" s="56"/>
    </row>
    <row r="361" spans="1:33" x14ac:dyDescent="0.3">
      <c r="A361" s="59">
        <f t="shared" si="86"/>
        <v>269</v>
      </c>
      <c r="B361" s="66" t="s">
        <v>1324</v>
      </c>
      <c r="C361" s="50">
        <f t="shared" si="82"/>
        <v>723270.69</v>
      </c>
      <c r="D361" s="51">
        <f t="shared" si="83"/>
        <v>0</v>
      </c>
      <c r="E361" s="50"/>
      <c r="F361" s="50"/>
      <c r="G361" s="50"/>
      <c r="H361" s="50"/>
      <c r="I361" s="50"/>
      <c r="J361" s="50"/>
      <c r="K361" s="50"/>
      <c r="L361" s="50"/>
      <c r="M361" s="51"/>
      <c r="N361" s="50"/>
      <c r="O361" s="82"/>
      <c r="P361" s="51"/>
      <c r="Q361" s="82"/>
      <c r="R361" s="50"/>
      <c r="S361" s="68"/>
      <c r="T361" s="82"/>
      <c r="U361" s="51"/>
      <c r="V361" s="51"/>
      <c r="W361" s="178">
        <f t="shared" si="87"/>
        <v>723270.69</v>
      </c>
      <c r="X361" s="285"/>
      <c r="Y361" s="285"/>
      <c r="Z361" s="285"/>
      <c r="AA361" s="285"/>
      <c r="AB361" s="285"/>
      <c r="AC361" s="9">
        <v>204940.94</v>
      </c>
      <c r="AD361" s="306"/>
      <c r="AE361" s="302">
        <v>518329.75</v>
      </c>
      <c r="AF361" s="302"/>
      <c r="AG361" s="56"/>
    </row>
    <row r="362" spans="1:33" x14ac:dyDescent="0.3">
      <c r="A362" s="59">
        <f t="shared" si="86"/>
        <v>270</v>
      </c>
      <c r="B362" s="66" t="s">
        <v>1325</v>
      </c>
      <c r="C362" s="50">
        <f t="shared" si="82"/>
        <v>507822.67000000004</v>
      </c>
      <c r="D362" s="51">
        <f t="shared" si="83"/>
        <v>0</v>
      </c>
      <c r="E362" s="50"/>
      <c r="F362" s="51"/>
      <c r="G362" s="50"/>
      <c r="H362" s="51"/>
      <c r="I362" s="50"/>
      <c r="J362" s="50"/>
      <c r="K362" s="50"/>
      <c r="L362" s="50"/>
      <c r="M362" s="50"/>
      <c r="N362" s="50"/>
      <c r="O362" s="68"/>
      <c r="P362" s="50"/>
      <c r="Q362" s="68"/>
      <c r="R362" s="50"/>
      <c r="S362" s="68"/>
      <c r="T362" s="82"/>
      <c r="U362" s="51"/>
      <c r="V362" s="51"/>
      <c r="W362" s="178">
        <f t="shared" si="87"/>
        <v>507822.67000000004</v>
      </c>
      <c r="X362" s="285">
        <v>118227.25</v>
      </c>
      <c r="Y362" s="285">
        <v>141242.29999999999</v>
      </c>
      <c r="Z362" s="505">
        <v>130342.97</v>
      </c>
      <c r="AA362" s="505"/>
      <c r="AB362" s="285">
        <v>118010.15</v>
      </c>
      <c r="AC362" s="9"/>
      <c r="AD362" s="306"/>
      <c r="AE362" s="302"/>
      <c r="AF362" s="302"/>
      <c r="AG362" s="56"/>
    </row>
    <row r="363" spans="1:33" x14ac:dyDescent="0.3">
      <c r="A363" s="59"/>
      <c r="B363" s="66" t="s">
        <v>211</v>
      </c>
      <c r="C363" s="50">
        <f t="shared" ref="C363:W363" si="88">SUM(C338:C362)</f>
        <v>18788062.950000003</v>
      </c>
      <c r="D363" s="50">
        <f t="shared" si="88"/>
        <v>0</v>
      </c>
      <c r="E363" s="50">
        <f t="shared" si="88"/>
        <v>0</v>
      </c>
      <c r="F363" s="50">
        <f t="shared" si="88"/>
        <v>0</v>
      </c>
      <c r="G363" s="50">
        <f t="shared" si="88"/>
        <v>0</v>
      </c>
      <c r="H363" s="50">
        <f t="shared" si="88"/>
        <v>0</v>
      </c>
      <c r="I363" s="50">
        <f t="shared" si="88"/>
        <v>0</v>
      </c>
      <c r="J363" s="50">
        <f t="shared" si="88"/>
        <v>0</v>
      </c>
      <c r="K363" s="50">
        <f t="shared" si="88"/>
        <v>0</v>
      </c>
      <c r="L363" s="50">
        <f t="shared" si="88"/>
        <v>0</v>
      </c>
      <c r="M363" s="50">
        <f t="shared" si="88"/>
        <v>0</v>
      </c>
      <c r="N363" s="50">
        <f t="shared" si="88"/>
        <v>0</v>
      </c>
      <c r="O363" s="68">
        <f t="shared" si="88"/>
        <v>0</v>
      </c>
      <c r="P363" s="50">
        <f t="shared" si="88"/>
        <v>0</v>
      </c>
      <c r="Q363" s="68">
        <f t="shared" si="88"/>
        <v>0</v>
      </c>
      <c r="R363" s="50">
        <f t="shared" si="88"/>
        <v>0</v>
      </c>
      <c r="S363" s="68">
        <f t="shared" si="88"/>
        <v>0</v>
      </c>
      <c r="T363" s="68">
        <f t="shared" si="88"/>
        <v>0</v>
      </c>
      <c r="U363" s="50">
        <f t="shared" si="88"/>
        <v>0</v>
      </c>
      <c r="V363" s="50">
        <f t="shared" si="88"/>
        <v>0</v>
      </c>
      <c r="W363" s="34">
        <f t="shared" si="88"/>
        <v>18788062.950000003</v>
      </c>
      <c r="X363" s="285"/>
      <c r="Y363" s="285"/>
      <c r="Z363" s="285"/>
      <c r="AA363" s="285"/>
      <c r="AB363" s="285"/>
      <c r="AC363" s="9"/>
      <c r="AD363" s="306"/>
      <c r="AE363" s="302"/>
      <c r="AF363" s="302"/>
      <c r="AG363" s="56"/>
    </row>
    <row r="364" spans="1:33" x14ac:dyDescent="0.3">
      <c r="A364" s="59"/>
      <c r="B364" s="66" t="s">
        <v>1329</v>
      </c>
      <c r="C364" s="50">
        <f>C264+C270+C273+C279+C283+C336+C363</f>
        <v>151131147.97</v>
      </c>
      <c r="D364" s="50">
        <f t="shared" ref="D364:W364" si="89">D264+D270+D273+D279+D283+D336+D363</f>
        <v>0</v>
      </c>
      <c r="E364" s="50">
        <f t="shared" si="89"/>
        <v>0</v>
      </c>
      <c r="F364" s="50">
        <f t="shared" si="89"/>
        <v>0</v>
      </c>
      <c r="G364" s="50">
        <f t="shared" si="89"/>
        <v>0</v>
      </c>
      <c r="H364" s="50">
        <f t="shared" si="89"/>
        <v>0</v>
      </c>
      <c r="I364" s="50">
        <f t="shared" si="89"/>
        <v>0</v>
      </c>
      <c r="J364" s="50">
        <f t="shared" si="89"/>
        <v>0</v>
      </c>
      <c r="K364" s="50">
        <f t="shared" si="89"/>
        <v>0</v>
      </c>
      <c r="L364" s="50">
        <f t="shared" si="89"/>
        <v>0</v>
      </c>
      <c r="M364" s="50">
        <f t="shared" si="89"/>
        <v>846</v>
      </c>
      <c r="N364" s="50">
        <f t="shared" si="89"/>
        <v>6637080</v>
      </c>
      <c r="O364" s="68">
        <f t="shared" si="89"/>
        <v>0</v>
      </c>
      <c r="P364" s="50">
        <f t="shared" si="89"/>
        <v>0</v>
      </c>
      <c r="Q364" s="68">
        <f t="shared" si="89"/>
        <v>13615.779999999999</v>
      </c>
      <c r="R364" s="50">
        <f t="shared" si="89"/>
        <v>88193360.480000004</v>
      </c>
      <c r="S364" s="68">
        <f t="shared" si="89"/>
        <v>0</v>
      </c>
      <c r="T364" s="68">
        <f t="shared" si="89"/>
        <v>0</v>
      </c>
      <c r="U364" s="50">
        <f t="shared" si="89"/>
        <v>0</v>
      </c>
      <c r="V364" s="50">
        <f t="shared" si="89"/>
        <v>0</v>
      </c>
      <c r="W364" s="34">
        <f t="shared" si="89"/>
        <v>55726185.489999995</v>
      </c>
      <c r="X364" s="285"/>
      <c r="Y364" s="285"/>
      <c r="Z364" s="285"/>
      <c r="AA364" s="285"/>
      <c r="AB364" s="285"/>
      <c r="AC364" s="9"/>
      <c r="AD364" s="306"/>
      <c r="AE364" s="302"/>
      <c r="AF364" s="302"/>
      <c r="AG364" s="56"/>
    </row>
    <row r="365" spans="1:33" x14ac:dyDescent="0.3">
      <c r="A365" s="540" t="s">
        <v>1330</v>
      </c>
      <c r="B365" s="540"/>
      <c r="C365" s="50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0"/>
      <c r="O365" s="82"/>
      <c r="P365" s="51"/>
      <c r="Q365" s="82"/>
      <c r="R365" s="50"/>
      <c r="S365" s="68"/>
      <c r="T365" s="82"/>
      <c r="U365" s="51"/>
      <c r="V365" s="51"/>
      <c r="W365" s="178"/>
      <c r="X365" s="285"/>
      <c r="Y365" s="9"/>
      <c r="Z365" s="40"/>
      <c r="AA365" s="56"/>
      <c r="AB365" s="56"/>
      <c r="AC365" s="56"/>
      <c r="AD365" s="56"/>
    </row>
    <row r="366" spans="1:33" x14ac:dyDescent="0.3">
      <c r="A366" s="463" t="s">
        <v>1331</v>
      </c>
      <c r="B366" s="463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68"/>
      <c r="P366" s="50"/>
      <c r="Q366" s="68"/>
      <c r="R366" s="50"/>
      <c r="S366" s="68"/>
      <c r="T366" s="68"/>
      <c r="U366" s="50"/>
      <c r="V366" s="50"/>
      <c r="W366" s="178"/>
      <c r="X366" s="285"/>
      <c r="Y366" s="9"/>
      <c r="Z366" s="40"/>
      <c r="AA366" s="56"/>
      <c r="AB366" s="56"/>
      <c r="AC366" s="56"/>
      <c r="AD366" s="56"/>
    </row>
    <row r="367" spans="1:33" x14ac:dyDescent="0.3">
      <c r="A367" s="59">
        <f>A362+1</f>
        <v>271</v>
      </c>
      <c r="B367" s="66" t="s">
        <v>1336</v>
      </c>
      <c r="C367" s="50">
        <f>D367+K367+L367+N367+P367+R367+U367+S367+V367+W367</f>
        <v>4451317.2</v>
      </c>
      <c r="D367" s="50">
        <f>E367+F367+G367+H367+I367</f>
        <v>0</v>
      </c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68"/>
      <c r="P367" s="50"/>
      <c r="Q367" s="68">
        <v>560</v>
      </c>
      <c r="R367" s="50">
        <v>4451317.2</v>
      </c>
      <c r="S367" s="68"/>
      <c r="T367" s="68"/>
      <c r="U367" s="50"/>
      <c r="V367" s="50"/>
      <c r="W367" s="178"/>
      <c r="X367" s="285"/>
      <c r="Y367" s="9"/>
      <c r="Z367" s="40"/>
      <c r="AA367" s="56"/>
      <c r="AB367" s="56"/>
      <c r="AC367" s="56"/>
      <c r="AD367" s="56"/>
    </row>
    <row r="368" spans="1:33" x14ac:dyDescent="0.3">
      <c r="A368" s="59">
        <f t="shared" ref="A368:A371" si="90">A367+1</f>
        <v>272</v>
      </c>
      <c r="B368" s="66" t="s">
        <v>1339</v>
      </c>
      <c r="C368" s="50">
        <f>D368+K368+L368+N368+P368+R368+U368+S368+V368+W368</f>
        <v>4308062.4000000004</v>
      </c>
      <c r="D368" s="50">
        <f>E368+F368+G368+H368+I368</f>
        <v>0</v>
      </c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68"/>
      <c r="P368" s="50"/>
      <c r="Q368" s="68">
        <v>591.29999999999995</v>
      </c>
      <c r="R368" s="50">
        <v>4308062.4000000004</v>
      </c>
      <c r="S368" s="68"/>
      <c r="T368" s="68"/>
      <c r="U368" s="50"/>
      <c r="V368" s="50"/>
      <c r="W368" s="178"/>
      <c r="X368" s="285"/>
      <c r="Y368" s="9"/>
      <c r="Z368" s="40"/>
      <c r="AA368" s="56"/>
      <c r="AB368" s="56"/>
      <c r="AC368" s="56"/>
      <c r="AD368" s="56"/>
    </row>
    <row r="369" spans="1:30" x14ac:dyDescent="0.3">
      <c r="A369" s="59">
        <f t="shared" si="90"/>
        <v>273</v>
      </c>
      <c r="B369" s="66" t="s">
        <v>1340</v>
      </c>
      <c r="C369" s="50">
        <f>D369+K369+L369+N369+P369+R369+U369+S369+V369+W369</f>
        <v>4552503.5999999996</v>
      </c>
      <c r="D369" s="50">
        <f>E369+F369+G369+H369+I369</f>
        <v>0</v>
      </c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68"/>
      <c r="P369" s="50"/>
      <c r="Q369" s="68">
        <v>591.29999999999995</v>
      </c>
      <c r="R369" s="50">
        <v>4552503.5999999996</v>
      </c>
      <c r="S369" s="68"/>
      <c r="T369" s="68"/>
      <c r="U369" s="50"/>
      <c r="V369" s="50"/>
      <c r="W369" s="178"/>
      <c r="X369" s="285"/>
      <c r="Y369" s="9"/>
      <c r="Z369" s="40"/>
      <c r="AA369" s="56"/>
      <c r="AB369" s="56"/>
      <c r="AC369" s="56"/>
      <c r="AD369" s="56"/>
    </row>
    <row r="370" spans="1:30" x14ac:dyDescent="0.3">
      <c r="A370" s="59">
        <f t="shared" si="90"/>
        <v>274</v>
      </c>
      <c r="B370" s="66" t="s">
        <v>1341</v>
      </c>
      <c r="C370" s="50">
        <f>D370+K370+L370+N370+P370+R370+U370+S370+V370+W370</f>
        <v>6215103.5999999996</v>
      </c>
      <c r="D370" s="50">
        <f>E370+F370+G370+H370+I370</f>
        <v>0</v>
      </c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68"/>
      <c r="P370" s="50"/>
      <c r="Q370" s="68">
        <v>760.5</v>
      </c>
      <c r="R370" s="50">
        <v>6215103.5999999996</v>
      </c>
      <c r="S370" s="68"/>
      <c r="T370" s="68"/>
      <c r="U370" s="50"/>
      <c r="V370" s="50"/>
      <c r="W370" s="178"/>
      <c r="X370" s="285"/>
      <c r="Y370" s="9"/>
      <c r="Z370" s="40"/>
      <c r="AA370" s="56"/>
      <c r="AB370" s="56"/>
      <c r="AC370" s="56"/>
      <c r="AD370" s="56"/>
    </row>
    <row r="371" spans="1:30" x14ac:dyDescent="0.3">
      <c r="A371" s="59">
        <f t="shared" si="90"/>
        <v>275</v>
      </c>
      <c r="B371" s="66" t="s">
        <v>1342</v>
      </c>
      <c r="C371" s="50">
        <f>D371+K371+L371+N371+P371+R371+U371+S371+V371+W371</f>
        <v>6241214.4000000004</v>
      </c>
      <c r="D371" s="50">
        <f>E371+F371+G371+H371+I371</f>
        <v>0</v>
      </c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68"/>
      <c r="P371" s="50"/>
      <c r="Q371" s="68">
        <v>760.5</v>
      </c>
      <c r="R371" s="50">
        <v>6241214.4000000004</v>
      </c>
      <c r="S371" s="68"/>
      <c r="T371" s="68"/>
      <c r="U371" s="50"/>
      <c r="V371" s="50"/>
      <c r="W371" s="178"/>
      <c r="X371" s="285"/>
      <c r="Y371" s="9"/>
      <c r="Z371" s="40"/>
      <c r="AA371" s="56"/>
      <c r="AB371" s="56"/>
      <c r="AC371" s="56"/>
      <c r="AD371" s="56"/>
    </row>
    <row r="372" spans="1:30" x14ac:dyDescent="0.3">
      <c r="A372" s="59"/>
      <c r="B372" s="66" t="s">
        <v>211</v>
      </c>
      <c r="C372" s="50">
        <f t="shared" ref="C372:W372" si="91">SUM(C367:C371)</f>
        <v>25768201.200000003</v>
      </c>
      <c r="D372" s="50">
        <f t="shared" si="91"/>
        <v>0</v>
      </c>
      <c r="E372" s="50">
        <f t="shared" si="91"/>
        <v>0</v>
      </c>
      <c r="F372" s="50">
        <f t="shared" si="91"/>
        <v>0</v>
      </c>
      <c r="G372" s="50">
        <f t="shared" si="91"/>
        <v>0</v>
      </c>
      <c r="H372" s="50">
        <f t="shared" si="91"/>
        <v>0</v>
      </c>
      <c r="I372" s="50">
        <f t="shared" si="91"/>
        <v>0</v>
      </c>
      <c r="J372" s="50">
        <f t="shared" si="91"/>
        <v>0</v>
      </c>
      <c r="K372" s="50">
        <f t="shared" si="91"/>
        <v>0</v>
      </c>
      <c r="L372" s="50">
        <f t="shared" si="91"/>
        <v>0</v>
      </c>
      <c r="M372" s="50">
        <f t="shared" si="91"/>
        <v>0</v>
      </c>
      <c r="N372" s="50">
        <f t="shared" si="91"/>
        <v>0</v>
      </c>
      <c r="O372" s="68">
        <f t="shared" si="91"/>
        <v>0</v>
      </c>
      <c r="P372" s="50">
        <f t="shared" si="91"/>
        <v>0</v>
      </c>
      <c r="Q372" s="68">
        <f t="shared" si="91"/>
        <v>3263.6</v>
      </c>
      <c r="R372" s="50">
        <f t="shared" si="91"/>
        <v>25768201.200000003</v>
      </c>
      <c r="S372" s="68">
        <f t="shared" si="91"/>
        <v>0</v>
      </c>
      <c r="T372" s="68">
        <f t="shared" si="91"/>
        <v>0</v>
      </c>
      <c r="U372" s="50">
        <f t="shared" si="91"/>
        <v>0</v>
      </c>
      <c r="V372" s="50">
        <f t="shared" si="91"/>
        <v>0</v>
      </c>
      <c r="W372" s="34">
        <f t="shared" si="91"/>
        <v>0</v>
      </c>
      <c r="X372" s="285"/>
      <c r="Y372" s="9"/>
      <c r="Z372" s="40"/>
      <c r="AA372" s="56"/>
      <c r="AB372" s="56"/>
      <c r="AC372" s="56"/>
      <c r="AD372" s="56"/>
    </row>
    <row r="373" spans="1:30" x14ac:dyDescent="0.3">
      <c r="A373" s="463" t="s">
        <v>1361</v>
      </c>
      <c r="B373" s="463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68"/>
      <c r="P373" s="50"/>
      <c r="Q373" s="68"/>
      <c r="R373" s="50"/>
      <c r="S373" s="68"/>
      <c r="T373" s="68"/>
      <c r="U373" s="50"/>
      <c r="V373" s="50"/>
      <c r="W373" s="178">
        <f>SUM(X373:AB373)</f>
        <v>0</v>
      </c>
      <c r="X373" s="285"/>
      <c r="Y373" s="9"/>
      <c r="Z373" s="40"/>
      <c r="AA373" s="56"/>
      <c r="AB373" s="56"/>
      <c r="AC373" s="56"/>
      <c r="AD373" s="56"/>
    </row>
    <row r="374" spans="1:30" x14ac:dyDescent="0.3">
      <c r="A374" s="59">
        <f>A371+1</f>
        <v>276</v>
      </c>
      <c r="B374" s="66" t="s">
        <v>1379</v>
      </c>
      <c r="C374" s="50">
        <f>D374+K374+L374+N374+P374+R374+U374+S374+V374+W374</f>
        <v>1989626.4</v>
      </c>
      <c r="D374" s="50">
        <f>E374+F374+G374+H374+I374</f>
        <v>0</v>
      </c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68"/>
      <c r="P374" s="50"/>
      <c r="Q374" s="68">
        <v>430</v>
      </c>
      <c r="R374" s="50">
        <v>1989626.4</v>
      </c>
      <c r="S374" s="68"/>
      <c r="T374" s="68"/>
      <c r="U374" s="50"/>
      <c r="V374" s="50"/>
      <c r="W374" s="178"/>
      <c r="X374" s="285"/>
      <c r="Y374" s="9">
        <v>171604.15</v>
      </c>
      <c r="Z374" s="306"/>
      <c r="AA374" s="302"/>
      <c r="AB374" s="302"/>
      <c r="AC374" s="56"/>
      <c r="AD374" s="56"/>
    </row>
    <row r="375" spans="1:30" x14ac:dyDescent="0.3">
      <c r="A375" s="59"/>
      <c r="B375" s="66" t="s">
        <v>211</v>
      </c>
      <c r="C375" s="50">
        <f t="shared" ref="C375:W375" si="92">SUM(C374:C374)</f>
        <v>1989626.4</v>
      </c>
      <c r="D375" s="50">
        <f t="shared" si="92"/>
        <v>0</v>
      </c>
      <c r="E375" s="50">
        <f t="shared" si="92"/>
        <v>0</v>
      </c>
      <c r="F375" s="50">
        <f t="shared" si="92"/>
        <v>0</v>
      </c>
      <c r="G375" s="50">
        <f t="shared" si="92"/>
        <v>0</v>
      </c>
      <c r="H375" s="50">
        <f t="shared" si="92"/>
        <v>0</v>
      </c>
      <c r="I375" s="50">
        <f t="shared" si="92"/>
        <v>0</v>
      </c>
      <c r="J375" s="50">
        <f t="shared" si="92"/>
        <v>0</v>
      </c>
      <c r="K375" s="50">
        <f t="shared" si="92"/>
        <v>0</v>
      </c>
      <c r="L375" s="50">
        <f t="shared" si="92"/>
        <v>0</v>
      </c>
      <c r="M375" s="50">
        <f t="shared" si="92"/>
        <v>0</v>
      </c>
      <c r="N375" s="50">
        <f t="shared" si="92"/>
        <v>0</v>
      </c>
      <c r="O375" s="68">
        <f t="shared" si="92"/>
        <v>0</v>
      </c>
      <c r="P375" s="50">
        <f t="shared" si="92"/>
        <v>0</v>
      </c>
      <c r="Q375" s="68">
        <f t="shared" si="92"/>
        <v>430</v>
      </c>
      <c r="R375" s="50">
        <f t="shared" si="92"/>
        <v>1989626.4</v>
      </c>
      <c r="S375" s="68">
        <f t="shared" si="92"/>
        <v>0</v>
      </c>
      <c r="T375" s="68">
        <f t="shared" si="92"/>
        <v>0</v>
      </c>
      <c r="U375" s="50">
        <f t="shared" si="92"/>
        <v>0</v>
      </c>
      <c r="V375" s="50">
        <f t="shared" si="92"/>
        <v>0</v>
      </c>
      <c r="W375" s="34">
        <f t="shared" si="92"/>
        <v>0</v>
      </c>
      <c r="X375" s="285"/>
      <c r="Y375" s="9"/>
      <c r="Z375" s="306"/>
      <c r="AA375" s="302"/>
      <c r="AB375" s="302"/>
      <c r="AC375" s="56"/>
      <c r="AD375" s="56"/>
    </row>
    <row r="376" spans="1:30" x14ac:dyDescent="0.3">
      <c r="A376" s="463" t="s">
        <v>1388</v>
      </c>
      <c r="B376" s="463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68"/>
      <c r="P376" s="50"/>
      <c r="Q376" s="68"/>
      <c r="R376" s="50"/>
      <c r="S376" s="68"/>
      <c r="T376" s="68"/>
      <c r="U376" s="50"/>
      <c r="V376" s="50"/>
      <c r="W376" s="178"/>
      <c r="X376" s="285"/>
      <c r="Y376" s="9"/>
      <c r="Z376" s="306"/>
      <c r="AA376" s="302"/>
      <c r="AB376" s="302"/>
      <c r="AC376" s="56"/>
      <c r="AD376" s="56"/>
    </row>
    <row r="377" spans="1:30" x14ac:dyDescent="0.3">
      <c r="A377" s="59">
        <f>A374+1</f>
        <v>277</v>
      </c>
      <c r="B377" s="66" t="s">
        <v>1422</v>
      </c>
      <c r="C377" s="50">
        <f t="shared" ref="C377:C422" si="93">D377+K377+L377+N377+P377+R377+U377+S377+V377+W377</f>
        <v>4690050</v>
      </c>
      <c r="D377" s="50">
        <f t="shared" ref="D377:D401" si="94">E377+F377+G377+H377+I377</f>
        <v>0</v>
      </c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68"/>
      <c r="P377" s="50"/>
      <c r="Q377" s="68">
        <v>3857</v>
      </c>
      <c r="R377" s="50">
        <v>4690050</v>
      </c>
      <c r="S377" s="68"/>
      <c r="T377" s="68"/>
      <c r="U377" s="50"/>
      <c r="V377" s="50"/>
      <c r="W377" s="178"/>
      <c r="X377" s="285"/>
      <c r="Y377" s="9"/>
      <c r="Z377" s="40"/>
      <c r="AA377" s="56"/>
      <c r="AB377" s="56"/>
      <c r="AC377" s="56"/>
      <c r="AD377" s="56"/>
    </row>
    <row r="378" spans="1:30" x14ac:dyDescent="0.3">
      <c r="A378" s="59">
        <f t="shared" ref="A378:A422" si="95">A377+1</f>
        <v>278</v>
      </c>
      <c r="B378" s="66" t="s">
        <v>1424</v>
      </c>
      <c r="C378" s="50">
        <f t="shared" si="93"/>
        <v>12819744</v>
      </c>
      <c r="D378" s="50">
        <f t="shared" si="94"/>
        <v>0</v>
      </c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68"/>
      <c r="P378" s="50"/>
      <c r="Q378" s="68">
        <v>3856</v>
      </c>
      <c r="R378" s="50">
        <v>12819744</v>
      </c>
      <c r="S378" s="68"/>
      <c r="T378" s="68"/>
      <c r="U378" s="50"/>
      <c r="V378" s="50"/>
      <c r="W378" s="178"/>
      <c r="X378" s="285"/>
      <c r="Y378" s="9"/>
      <c r="Z378" s="40"/>
      <c r="AA378" s="56"/>
      <c r="AB378" s="56"/>
      <c r="AC378" s="56"/>
      <c r="AD378" s="56"/>
    </row>
    <row r="379" spans="1:30" x14ac:dyDescent="0.3">
      <c r="A379" s="59">
        <f t="shared" si="95"/>
        <v>279</v>
      </c>
      <c r="B379" s="66" t="s">
        <v>1430</v>
      </c>
      <c r="C379" s="50">
        <f t="shared" si="93"/>
        <v>5714776.7999999998</v>
      </c>
      <c r="D379" s="50">
        <f t="shared" si="94"/>
        <v>0</v>
      </c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68"/>
      <c r="P379" s="50"/>
      <c r="Q379" s="68">
        <v>6250</v>
      </c>
      <c r="R379" s="50">
        <v>5714776.7999999998</v>
      </c>
      <c r="S379" s="68"/>
      <c r="T379" s="68"/>
      <c r="U379" s="50"/>
      <c r="V379" s="50"/>
      <c r="W379" s="178"/>
      <c r="X379" s="285"/>
      <c r="Y379" s="9"/>
      <c r="Z379" s="40"/>
      <c r="AA379" s="56"/>
      <c r="AB379" s="56"/>
      <c r="AC379" s="56"/>
      <c r="AD379" s="56"/>
    </row>
    <row r="380" spans="1:30" x14ac:dyDescent="0.3">
      <c r="A380" s="59">
        <f t="shared" si="95"/>
        <v>280</v>
      </c>
      <c r="B380" s="66" t="s">
        <v>1431</v>
      </c>
      <c r="C380" s="50">
        <f t="shared" si="93"/>
        <v>9440697.5999999996</v>
      </c>
      <c r="D380" s="50">
        <f t="shared" si="94"/>
        <v>0</v>
      </c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68"/>
      <c r="P380" s="50"/>
      <c r="Q380" s="68">
        <v>5578</v>
      </c>
      <c r="R380" s="50">
        <v>9440697.5999999996</v>
      </c>
      <c r="S380" s="68"/>
      <c r="T380" s="68"/>
      <c r="U380" s="50"/>
      <c r="V380" s="50"/>
      <c r="W380" s="178"/>
      <c r="X380" s="285"/>
      <c r="Y380" s="9"/>
      <c r="Z380" s="40"/>
      <c r="AA380" s="56"/>
      <c r="AB380" s="56"/>
      <c r="AC380" s="56"/>
      <c r="AD380" s="56"/>
    </row>
    <row r="381" spans="1:30" x14ac:dyDescent="0.3">
      <c r="A381" s="59">
        <f t="shared" si="95"/>
        <v>281</v>
      </c>
      <c r="B381" s="66" t="s">
        <v>1437</v>
      </c>
      <c r="C381" s="50">
        <f t="shared" si="93"/>
        <v>17249850</v>
      </c>
      <c r="D381" s="50">
        <f t="shared" si="94"/>
        <v>0</v>
      </c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127"/>
      <c r="P381" s="50"/>
      <c r="Q381" s="68">
        <v>3504</v>
      </c>
      <c r="R381" s="50">
        <v>17249850</v>
      </c>
      <c r="S381" s="68"/>
      <c r="T381" s="68"/>
      <c r="U381" s="50"/>
      <c r="V381" s="50"/>
      <c r="W381" s="178"/>
      <c r="X381" s="285">
        <v>209028.12</v>
      </c>
      <c r="Y381" s="9"/>
      <c r="Z381" s="40"/>
      <c r="AA381" s="56"/>
      <c r="AB381" s="285"/>
      <c r="AC381" s="56"/>
      <c r="AD381" s="56" t="s">
        <v>1438</v>
      </c>
    </row>
    <row r="382" spans="1:30" x14ac:dyDescent="0.3">
      <c r="A382" s="59">
        <f t="shared" si="95"/>
        <v>282</v>
      </c>
      <c r="B382" s="66" t="s">
        <v>1442</v>
      </c>
      <c r="C382" s="50">
        <f t="shared" si="93"/>
        <v>8487530.4000000004</v>
      </c>
      <c r="D382" s="50">
        <f t="shared" si="94"/>
        <v>0</v>
      </c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68"/>
      <c r="P382" s="50"/>
      <c r="Q382" s="68">
        <v>1495</v>
      </c>
      <c r="R382" s="50">
        <v>8487530.4000000004</v>
      </c>
      <c r="S382" s="68"/>
      <c r="T382" s="68"/>
      <c r="U382" s="50"/>
      <c r="V382" s="50"/>
      <c r="W382" s="178"/>
      <c r="X382" s="285"/>
      <c r="Y382" s="9"/>
      <c r="Z382" s="40"/>
      <c r="AA382" s="56"/>
      <c r="AB382" s="56"/>
      <c r="AC382" s="56"/>
      <c r="AD382" s="56"/>
    </row>
    <row r="383" spans="1:30" x14ac:dyDescent="0.3">
      <c r="A383" s="59">
        <f t="shared" si="95"/>
        <v>283</v>
      </c>
      <c r="B383" s="66" t="s">
        <v>1446</v>
      </c>
      <c r="C383" s="50">
        <f t="shared" si="93"/>
        <v>1474171.2</v>
      </c>
      <c r="D383" s="50">
        <f t="shared" si="94"/>
        <v>0</v>
      </c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68"/>
      <c r="P383" s="50"/>
      <c r="Q383" s="68">
        <v>300</v>
      </c>
      <c r="R383" s="50">
        <v>1474171.2</v>
      </c>
      <c r="S383" s="68"/>
      <c r="T383" s="68"/>
      <c r="U383" s="50"/>
      <c r="V383" s="50"/>
      <c r="W383" s="178"/>
      <c r="X383" s="285"/>
      <c r="Y383" s="9"/>
      <c r="Z383" s="40"/>
      <c r="AA383" s="56"/>
      <c r="AB383" s="56"/>
      <c r="AC383" s="56"/>
      <c r="AD383" s="56"/>
    </row>
    <row r="384" spans="1:30" x14ac:dyDescent="0.3">
      <c r="A384" s="59">
        <f t="shared" si="95"/>
        <v>284</v>
      </c>
      <c r="B384" s="66" t="s">
        <v>1497</v>
      </c>
      <c r="C384" s="50">
        <f t="shared" si="93"/>
        <v>5409187.2599999998</v>
      </c>
      <c r="D384" s="50">
        <f t="shared" si="94"/>
        <v>0</v>
      </c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68"/>
      <c r="P384" s="50"/>
      <c r="Q384" s="68">
        <v>547</v>
      </c>
      <c r="R384" s="50">
        <v>5409187.2599999998</v>
      </c>
      <c r="S384" s="68"/>
      <c r="T384" s="68"/>
      <c r="U384" s="50"/>
      <c r="V384" s="50"/>
      <c r="W384" s="178"/>
      <c r="X384" s="285">
        <v>113100.23</v>
      </c>
      <c r="Y384" s="285"/>
      <c r="Z384" s="285"/>
      <c r="AA384" s="285"/>
      <c r="AB384" s="285"/>
      <c r="AC384" s="56"/>
      <c r="AD384" s="56" t="s">
        <v>25</v>
      </c>
    </row>
    <row r="385" spans="1:30" x14ac:dyDescent="0.3">
      <c r="A385" s="59">
        <f t="shared" si="95"/>
        <v>285</v>
      </c>
      <c r="B385" s="66" t="s">
        <v>1504</v>
      </c>
      <c r="C385" s="50">
        <f t="shared" si="93"/>
        <v>5649800.6900000004</v>
      </c>
      <c r="D385" s="50">
        <f t="shared" si="94"/>
        <v>0</v>
      </c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68"/>
      <c r="P385" s="50"/>
      <c r="Q385" s="68">
        <v>546.72</v>
      </c>
      <c r="R385" s="50">
        <v>5649800.6900000004</v>
      </c>
      <c r="S385" s="68"/>
      <c r="T385" s="68"/>
      <c r="U385" s="50"/>
      <c r="V385" s="50"/>
      <c r="W385" s="178"/>
      <c r="X385" s="285">
        <v>113100.23</v>
      </c>
      <c r="Y385" s="285"/>
      <c r="Z385" s="285"/>
      <c r="AA385" s="285"/>
      <c r="AB385" s="285"/>
      <c r="AC385" s="56"/>
      <c r="AD385" s="56" t="s">
        <v>25</v>
      </c>
    </row>
    <row r="386" spans="1:30" x14ac:dyDescent="0.3">
      <c r="A386" s="59">
        <f t="shared" si="95"/>
        <v>286</v>
      </c>
      <c r="B386" s="66" t="s">
        <v>1518</v>
      </c>
      <c r="C386" s="50">
        <f t="shared" si="93"/>
        <v>5857737.5999999996</v>
      </c>
      <c r="D386" s="50">
        <f t="shared" si="94"/>
        <v>0</v>
      </c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127"/>
      <c r="P386" s="50"/>
      <c r="Q386" s="68">
        <v>1650</v>
      </c>
      <c r="R386" s="50">
        <v>5857737.5999999996</v>
      </c>
      <c r="S386" s="68"/>
      <c r="T386" s="68"/>
      <c r="U386" s="50"/>
      <c r="V386" s="50"/>
      <c r="W386" s="178"/>
      <c r="X386" s="285"/>
      <c r="Y386" s="285"/>
      <c r="Z386" s="285"/>
      <c r="AA386" s="285"/>
      <c r="AB386" s="285"/>
      <c r="AC386" s="56"/>
      <c r="AD386" s="56"/>
    </row>
    <row r="387" spans="1:30" x14ac:dyDescent="0.3">
      <c r="A387" s="59">
        <f t="shared" si="95"/>
        <v>287</v>
      </c>
      <c r="B387" s="66" t="s">
        <v>1535</v>
      </c>
      <c r="C387" s="50">
        <f t="shared" si="93"/>
        <v>182039</v>
      </c>
      <c r="D387" s="50">
        <f t="shared" si="94"/>
        <v>0</v>
      </c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68"/>
      <c r="P387" s="50"/>
      <c r="Q387" s="68">
        <v>13</v>
      </c>
      <c r="R387" s="50">
        <f>14003*Q387</f>
        <v>182039</v>
      </c>
      <c r="S387" s="68"/>
      <c r="T387" s="68"/>
      <c r="U387" s="50"/>
      <c r="V387" s="50"/>
      <c r="W387" s="178"/>
      <c r="X387" s="285">
        <f>132613.55+159343.61</f>
        <v>291957.15999999997</v>
      </c>
      <c r="Y387" s="285"/>
      <c r="Z387" s="285"/>
      <c r="AA387" s="285"/>
      <c r="AB387" s="285"/>
      <c r="AC387" s="56"/>
      <c r="AD387" s="56" t="s">
        <v>1536</v>
      </c>
    </row>
    <row r="388" spans="1:30" x14ac:dyDescent="0.3">
      <c r="A388" s="59">
        <f t="shared" si="95"/>
        <v>288</v>
      </c>
      <c r="B388" s="66" t="s">
        <v>1542</v>
      </c>
      <c r="C388" s="50">
        <f t="shared" si="93"/>
        <v>2757116.4</v>
      </c>
      <c r="D388" s="50">
        <f t="shared" si="94"/>
        <v>0</v>
      </c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68"/>
      <c r="P388" s="50"/>
      <c r="Q388" s="68">
        <v>560.79999999999995</v>
      </c>
      <c r="R388" s="50">
        <v>2757116.4</v>
      </c>
      <c r="S388" s="68"/>
      <c r="T388" s="68"/>
      <c r="U388" s="50"/>
      <c r="V388" s="50"/>
      <c r="W388" s="178"/>
      <c r="X388" s="285"/>
      <c r="Y388" s="285"/>
      <c r="Z388" s="285"/>
      <c r="AA388" s="285"/>
      <c r="AB388" s="285"/>
      <c r="AC388" s="56"/>
      <c r="AD388" s="56"/>
    </row>
    <row r="389" spans="1:30" x14ac:dyDescent="0.3">
      <c r="A389" s="59">
        <f t="shared" si="95"/>
        <v>289</v>
      </c>
      <c r="B389" s="66" t="s">
        <v>1567</v>
      </c>
      <c r="C389" s="50">
        <f t="shared" si="93"/>
        <v>2757116.4</v>
      </c>
      <c r="D389" s="50">
        <f t="shared" si="94"/>
        <v>0</v>
      </c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68"/>
      <c r="P389" s="50"/>
      <c r="Q389" s="68">
        <v>560.79999999999995</v>
      </c>
      <c r="R389" s="50">
        <v>2757116.4</v>
      </c>
      <c r="S389" s="68"/>
      <c r="T389" s="68"/>
      <c r="U389" s="50"/>
      <c r="V389" s="50"/>
      <c r="W389" s="178"/>
      <c r="X389" s="285">
        <v>90319.43</v>
      </c>
      <c r="Y389" s="9"/>
      <c r="Z389" s="40"/>
      <c r="AA389" s="56"/>
      <c r="AB389" s="56"/>
      <c r="AC389" s="56"/>
      <c r="AD389" s="56" t="s">
        <v>1568</v>
      </c>
    </row>
    <row r="390" spans="1:30" x14ac:dyDescent="0.3">
      <c r="A390" s="59">
        <f t="shared" si="95"/>
        <v>290</v>
      </c>
      <c r="B390" s="66" t="s">
        <v>1577</v>
      </c>
      <c r="C390" s="50">
        <f t="shared" si="93"/>
        <v>2711164.46</v>
      </c>
      <c r="D390" s="50">
        <f t="shared" si="94"/>
        <v>0</v>
      </c>
      <c r="E390" s="51"/>
      <c r="F390" s="51"/>
      <c r="G390" s="51"/>
      <c r="H390" s="50"/>
      <c r="I390" s="51"/>
      <c r="J390" s="50"/>
      <c r="K390" s="50"/>
      <c r="L390" s="50"/>
      <c r="M390" s="50"/>
      <c r="N390" s="50"/>
      <c r="O390" s="68"/>
      <c r="P390" s="50"/>
      <c r="Q390" s="82">
        <v>560.79999999999995</v>
      </c>
      <c r="R390" s="50">
        <v>2711164.46</v>
      </c>
      <c r="S390" s="68"/>
      <c r="T390" s="82"/>
      <c r="U390" s="51"/>
      <c r="V390" s="50"/>
      <c r="W390" s="178"/>
      <c r="X390" s="285"/>
      <c r="Y390" s="285"/>
      <c r="Z390" s="285"/>
      <c r="AA390" s="285"/>
      <c r="AB390" s="285"/>
      <c r="AC390" s="56"/>
      <c r="AD390" s="56"/>
    </row>
    <row r="391" spans="1:30" x14ac:dyDescent="0.3">
      <c r="A391" s="59">
        <f t="shared" si="95"/>
        <v>291</v>
      </c>
      <c r="B391" s="66" t="s">
        <v>1578</v>
      </c>
      <c r="C391" s="50">
        <f t="shared" si="93"/>
        <v>2711164.46</v>
      </c>
      <c r="D391" s="50">
        <f t="shared" si="94"/>
        <v>0</v>
      </c>
      <c r="E391" s="51"/>
      <c r="F391" s="51"/>
      <c r="G391" s="58"/>
      <c r="H391" s="50"/>
      <c r="I391" s="51"/>
      <c r="J391" s="50"/>
      <c r="K391" s="50"/>
      <c r="L391" s="50"/>
      <c r="M391" s="51"/>
      <c r="N391" s="50"/>
      <c r="O391" s="68"/>
      <c r="P391" s="50"/>
      <c r="Q391" s="82">
        <v>560.79999999999995</v>
      </c>
      <c r="R391" s="50">
        <v>2711164.46</v>
      </c>
      <c r="S391" s="68"/>
      <c r="T391" s="82"/>
      <c r="U391" s="51"/>
      <c r="V391" s="50"/>
      <c r="W391" s="178"/>
      <c r="X391" s="285"/>
      <c r="Y391" s="285"/>
      <c r="Z391" s="285"/>
      <c r="AA391" s="285"/>
      <c r="AB391" s="285"/>
      <c r="AC391" s="56"/>
      <c r="AD391" s="56"/>
    </row>
    <row r="392" spans="1:30" x14ac:dyDescent="0.3">
      <c r="A392" s="59">
        <f t="shared" si="95"/>
        <v>292</v>
      </c>
      <c r="B392" s="66" t="s">
        <v>1585</v>
      </c>
      <c r="C392" s="50">
        <f t="shared" si="93"/>
        <v>182039</v>
      </c>
      <c r="D392" s="50">
        <f t="shared" si="94"/>
        <v>0</v>
      </c>
      <c r="E392" s="51"/>
      <c r="F392" s="51"/>
      <c r="G392" s="51"/>
      <c r="H392" s="50"/>
      <c r="I392" s="50"/>
      <c r="J392" s="50"/>
      <c r="K392" s="50"/>
      <c r="L392" s="50"/>
      <c r="M392" s="50"/>
      <c r="N392" s="50"/>
      <c r="O392" s="68"/>
      <c r="P392" s="81"/>
      <c r="Q392" s="68">
        <v>13</v>
      </c>
      <c r="R392" s="50">
        <f>14003*Q392</f>
        <v>182039</v>
      </c>
      <c r="S392" s="68"/>
      <c r="T392" s="68"/>
      <c r="U392" s="50"/>
      <c r="V392" s="50"/>
      <c r="W392" s="178"/>
      <c r="X392" s="285"/>
      <c r="Y392" s="285"/>
      <c r="Z392" s="285"/>
      <c r="AA392" s="285"/>
      <c r="AB392" s="285"/>
      <c r="AC392" s="56"/>
      <c r="AD392" s="56"/>
    </row>
    <row r="393" spans="1:30" x14ac:dyDescent="0.3">
      <c r="A393" s="59">
        <f t="shared" si="95"/>
        <v>293</v>
      </c>
      <c r="B393" s="66" t="s">
        <v>1586</v>
      </c>
      <c r="C393" s="50">
        <f t="shared" si="93"/>
        <v>182039</v>
      </c>
      <c r="D393" s="50">
        <f t="shared" si="94"/>
        <v>0</v>
      </c>
      <c r="E393" s="51"/>
      <c r="F393" s="51"/>
      <c r="G393" s="51"/>
      <c r="H393" s="50"/>
      <c r="I393" s="51"/>
      <c r="J393" s="50"/>
      <c r="K393" s="50"/>
      <c r="L393" s="50"/>
      <c r="M393" s="51"/>
      <c r="N393" s="50"/>
      <c r="O393" s="127"/>
      <c r="P393" s="51"/>
      <c r="Q393" s="68">
        <v>13</v>
      </c>
      <c r="R393" s="50">
        <f>14003*Q393</f>
        <v>182039</v>
      </c>
      <c r="S393" s="68"/>
      <c r="T393" s="82"/>
      <c r="U393" s="51"/>
      <c r="V393" s="50"/>
      <c r="W393" s="178"/>
      <c r="X393" s="285"/>
      <c r="Y393" s="285"/>
      <c r="Z393" s="285"/>
      <c r="AA393" s="285"/>
      <c r="AB393" s="285"/>
      <c r="AC393" s="56"/>
      <c r="AD393" s="56"/>
    </row>
    <row r="394" spans="1:30" x14ac:dyDescent="0.3">
      <c r="A394" s="59">
        <f t="shared" si="95"/>
        <v>294</v>
      </c>
      <c r="B394" s="66" t="s">
        <v>1611</v>
      </c>
      <c r="C394" s="50">
        <f t="shared" si="93"/>
        <v>182039</v>
      </c>
      <c r="D394" s="50">
        <f t="shared" si="94"/>
        <v>0</v>
      </c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68"/>
      <c r="P394" s="50"/>
      <c r="Q394" s="68">
        <v>13</v>
      </c>
      <c r="R394" s="50">
        <f>14003*Q394</f>
        <v>182039</v>
      </c>
      <c r="S394" s="68"/>
      <c r="T394" s="68"/>
      <c r="U394" s="50"/>
      <c r="V394" s="50"/>
      <c r="W394" s="178"/>
      <c r="X394" s="285"/>
      <c r="Y394" s="285"/>
      <c r="Z394" s="285"/>
      <c r="AA394" s="285"/>
      <c r="AB394" s="56"/>
      <c r="AC394" s="56"/>
      <c r="AD394" s="56"/>
    </row>
    <row r="395" spans="1:30" x14ac:dyDescent="0.3">
      <c r="A395" s="59">
        <f t="shared" si="95"/>
        <v>295</v>
      </c>
      <c r="B395" s="66" t="s">
        <v>1613</v>
      </c>
      <c r="C395" s="50">
        <f t="shared" si="93"/>
        <v>6908722.7999999998</v>
      </c>
      <c r="D395" s="50">
        <f t="shared" si="94"/>
        <v>0</v>
      </c>
      <c r="E395" s="51"/>
      <c r="F395" s="50"/>
      <c r="G395" s="50"/>
      <c r="H395" s="50"/>
      <c r="I395" s="50"/>
      <c r="J395" s="50"/>
      <c r="K395" s="50"/>
      <c r="L395" s="50"/>
      <c r="M395" s="50"/>
      <c r="N395" s="50"/>
      <c r="O395" s="68"/>
      <c r="P395" s="51"/>
      <c r="Q395" s="68">
        <v>2440</v>
      </c>
      <c r="R395" s="50">
        <v>6908722.7999999998</v>
      </c>
      <c r="S395" s="68"/>
      <c r="T395" s="68"/>
      <c r="U395" s="50"/>
      <c r="V395" s="50"/>
      <c r="W395" s="178"/>
      <c r="X395" s="285"/>
      <c r="Y395" s="285"/>
      <c r="Z395" s="285"/>
      <c r="AA395" s="285">
        <v>812167.68000000005</v>
      </c>
      <c r="AB395" s="56"/>
      <c r="AC395" s="56"/>
      <c r="AD395" s="56"/>
    </row>
    <row r="396" spans="1:30" x14ac:dyDescent="0.3">
      <c r="A396" s="59">
        <f t="shared" si="95"/>
        <v>296</v>
      </c>
      <c r="B396" s="66" t="s">
        <v>1622</v>
      </c>
      <c r="C396" s="50">
        <f t="shared" si="93"/>
        <v>18157602</v>
      </c>
      <c r="D396" s="50">
        <f t="shared" si="94"/>
        <v>0</v>
      </c>
      <c r="E396" s="51"/>
      <c r="F396" s="50"/>
      <c r="G396" s="50"/>
      <c r="H396" s="50"/>
      <c r="I396" s="50"/>
      <c r="J396" s="50"/>
      <c r="K396" s="50"/>
      <c r="L396" s="50"/>
      <c r="M396" s="50"/>
      <c r="N396" s="50"/>
      <c r="O396" s="68"/>
      <c r="P396" s="50"/>
      <c r="Q396" s="68">
        <v>2570</v>
      </c>
      <c r="R396" s="50">
        <v>18157602</v>
      </c>
      <c r="S396" s="68"/>
      <c r="T396" s="68"/>
      <c r="U396" s="50"/>
      <c r="V396" s="50"/>
      <c r="W396" s="178"/>
      <c r="X396" s="285">
        <f>137749.58+115333.25</f>
        <v>253082.83</v>
      </c>
      <c r="Y396" s="285"/>
      <c r="Z396" s="285"/>
      <c r="AA396" s="285"/>
      <c r="AB396" s="285"/>
      <c r="AC396" s="56"/>
      <c r="AD396" s="56" t="s">
        <v>1448</v>
      </c>
    </row>
    <row r="397" spans="1:30" x14ac:dyDescent="0.3">
      <c r="A397" s="59">
        <f t="shared" si="95"/>
        <v>297</v>
      </c>
      <c r="B397" s="66" t="s">
        <v>1624</v>
      </c>
      <c r="C397" s="50">
        <f t="shared" si="93"/>
        <v>2757116.4</v>
      </c>
      <c r="D397" s="50">
        <f t="shared" si="94"/>
        <v>0</v>
      </c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68"/>
      <c r="P397" s="50"/>
      <c r="Q397" s="68">
        <v>506.8</v>
      </c>
      <c r="R397" s="50">
        <v>2757116.4</v>
      </c>
      <c r="S397" s="68"/>
      <c r="T397" s="68"/>
      <c r="U397" s="50"/>
      <c r="V397" s="50"/>
      <c r="W397" s="178"/>
      <c r="X397" s="285">
        <v>120734.48</v>
      </c>
      <c r="Y397" s="285"/>
      <c r="Z397" s="285"/>
      <c r="AA397" s="285"/>
      <c r="AB397" s="285"/>
      <c r="AC397" s="56"/>
      <c r="AD397" s="56" t="s">
        <v>1395</v>
      </c>
    </row>
    <row r="398" spans="1:30" x14ac:dyDescent="0.3">
      <c r="A398" s="59">
        <f t="shared" si="95"/>
        <v>298</v>
      </c>
      <c r="B398" s="66" t="s">
        <v>1628</v>
      </c>
      <c r="C398" s="50">
        <f t="shared" si="93"/>
        <v>182039</v>
      </c>
      <c r="D398" s="50">
        <f t="shared" si="94"/>
        <v>0</v>
      </c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68"/>
      <c r="P398" s="51"/>
      <c r="Q398" s="68">
        <v>13</v>
      </c>
      <c r="R398" s="50">
        <f>14003*Q398</f>
        <v>182039</v>
      </c>
      <c r="S398" s="68"/>
      <c r="T398" s="68"/>
      <c r="U398" s="50"/>
      <c r="V398" s="50"/>
      <c r="W398" s="178"/>
      <c r="X398" s="285">
        <v>192996.37</v>
      </c>
      <c r="Y398" s="285"/>
      <c r="Z398" s="285"/>
      <c r="AA398" s="285"/>
      <c r="AB398" s="285"/>
      <c r="AC398" s="56"/>
      <c r="AD398" s="56" t="s">
        <v>1395</v>
      </c>
    </row>
    <row r="399" spans="1:30" x14ac:dyDescent="0.3">
      <c r="A399" s="59">
        <f t="shared" si="95"/>
        <v>299</v>
      </c>
      <c r="B399" s="66" t="s">
        <v>1629</v>
      </c>
      <c r="C399" s="50">
        <f t="shared" si="93"/>
        <v>182039</v>
      </c>
      <c r="D399" s="50">
        <f t="shared" si="94"/>
        <v>0</v>
      </c>
      <c r="E399" s="51"/>
      <c r="F399" s="50"/>
      <c r="G399" s="50"/>
      <c r="H399" s="50"/>
      <c r="I399" s="50"/>
      <c r="J399" s="50"/>
      <c r="K399" s="50"/>
      <c r="L399" s="50"/>
      <c r="M399" s="50"/>
      <c r="N399" s="50"/>
      <c r="O399" s="68"/>
      <c r="P399" s="51"/>
      <c r="Q399" s="68">
        <v>13</v>
      </c>
      <c r="R399" s="50">
        <f>14003*Q399</f>
        <v>182039</v>
      </c>
      <c r="S399" s="68"/>
      <c r="T399" s="68"/>
      <c r="U399" s="50"/>
      <c r="V399" s="50"/>
      <c r="W399" s="178"/>
      <c r="X399" s="285">
        <f>125053.2+163553.81</f>
        <v>288607.01</v>
      </c>
      <c r="Y399" s="285"/>
      <c r="Z399" s="285"/>
      <c r="AA399" s="285"/>
      <c r="AB399" s="285"/>
      <c r="AC399" s="56"/>
      <c r="AD399" s="56" t="s">
        <v>1556</v>
      </c>
    </row>
    <row r="400" spans="1:30" x14ac:dyDescent="0.3">
      <c r="A400" s="59">
        <f t="shared" si="95"/>
        <v>300</v>
      </c>
      <c r="B400" s="66" t="s">
        <v>1632</v>
      </c>
      <c r="C400" s="50">
        <f t="shared" si="93"/>
        <v>2757116.4</v>
      </c>
      <c r="D400" s="50">
        <f t="shared" si="94"/>
        <v>0</v>
      </c>
      <c r="E400" s="51"/>
      <c r="F400" s="51"/>
      <c r="G400" s="51"/>
      <c r="H400" s="50"/>
      <c r="I400" s="51"/>
      <c r="J400" s="50"/>
      <c r="K400" s="50"/>
      <c r="L400" s="50"/>
      <c r="M400" s="50"/>
      <c r="N400" s="50"/>
      <c r="O400" s="68"/>
      <c r="P400" s="50"/>
      <c r="Q400" s="68">
        <v>506.8</v>
      </c>
      <c r="R400" s="50">
        <v>2757116.4</v>
      </c>
      <c r="S400" s="68"/>
      <c r="T400" s="68"/>
      <c r="U400" s="51"/>
      <c r="V400" s="50"/>
      <c r="W400" s="178"/>
      <c r="X400" s="285"/>
      <c r="Y400" s="9"/>
      <c r="Z400" s="40"/>
      <c r="AA400" s="56"/>
      <c r="AB400" s="56"/>
      <c r="AC400" s="56"/>
      <c r="AD400" s="56"/>
    </row>
    <row r="401" spans="1:30" x14ac:dyDescent="0.3">
      <c r="A401" s="59">
        <f t="shared" si="95"/>
        <v>301</v>
      </c>
      <c r="B401" s="66" t="s">
        <v>1633</v>
      </c>
      <c r="C401" s="50">
        <f t="shared" si="93"/>
        <v>182039</v>
      </c>
      <c r="D401" s="50">
        <f t="shared" si="94"/>
        <v>0</v>
      </c>
      <c r="E401" s="51"/>
      <c r="F401" s="51"/>
      <c r="G401" s="51"/>
      <c r="H401" s="50"/>
      <c r="I401" s="50"/>
      <c r="J401" s="50"/>
      <c r="K401" s="50"/>
      <c r="L401" s="50"/>
      <c r="M401" s="50"/>
      <c r="N401" s="50"/>
      <c r="O401" s="68"/>
      <c r="P401" s="50"/>
      <c r="Q401" s="68">
        <v>13</v>
      </c>
      <c r="R401" s="50">
        <f>14003*Q401</f>
        <v>182039</v>
      </c>
      <c r="S401" s="68"/>
      <c r="T401" s="68"/>
      <c r="U401" s="50"/>
      <c r="V401" s="50"/>
      <c r="W401" s="178"/>
      <c r="X401" s="285">
        <v>122092.84</v>
      </c>
      <c r="Y401" s="9"/>
      <c r="Z401" s="40"/>
      <c r="AA401" s="56"/>
      <c r="AB401" s="56"/>
      <c r="AC401" s="56"/>
      <c r="AD401" s="56" t="s">
        <v>25</v>
      </c>
    </row>
    <row r="402" spans="1:30" x14ac:dyDescent="0.3">
      <c r="A402" s="59">
        <f t="shared" si="95"/>
        <v>302</v>
      </c>
      <c r="B402" s="66" t="s">
        <v>1719</v>
      </c>
      <c r="C402" s="50">
        <f t="shared" si="93"/>
        <v>182039</v>
      </c>
      <c r="D402" s="50">
        <f t="shared" ref="D402:D422" si="96">E402+F402+G402+H402+I402</f>
        <v>0</v>
      </c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68"/>
      <c r="P402" s="50"/>
      <c r="Q402" s="68">
        <v>13</v>
      </c>
      <c r="R402" s="50">
        <f>14003*Q402</f>
        <v>182039</v>
      </c>
      <c r="S402" s="68"/>
      <c r="T402" s="68"/>
      <c r="U402" s="50"/>
      <c r="V402" s="50"/>
      <c r="W402" s="178"/>
      <c r="X402" s="285">
        <v>190327.96</v>
      </c>
      <c r="Y402" s="285"/>
      <c r="Z402" s="285">
        <v>116312.52</v>
      </c>
      <c r="AA402" s="285">
        <v>1115263.82</v>
      </c>
      <c r="AB402" s="56"/>
      <c r="AC402" s="56"/>
      <c r="AD402" s="56" t="s">
        <v>1576</v>
      </c>
    </row>
    <row r="403" spans="1:30" x14ac:dyDescent="0.3">
      <c r="A403" s="59">
        <f t="shared" si="95"/>
        <v>303</v>
      </c>
      <c r="B403" s="66" t="s">
        <v>1727</v>
      </c>
      <c r="C403" s="50">
        <f t="shared" si="93"/>
        <v>26701450</v>
      </c>
      <c r="D403" s="50">
        <f t="shared" si="96"/>
        <v>0</v>
      </c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68"/>
      <c r="P403" s="50"/>
      <c r="Q403" s="68">
        <v>2000</v>
      </c>
      <c r="R403" s="50">
        <v>26701450</v>
      </c>
      <c r="S403" s="68"/>
      <c r="T403" s="68"/>
      <c r="U403" s="50"/>
      <c r="V403" s="50"/>
      <c r="W403" s="178"/>
      <c r="X403" s="285">
        <v>190928.14</v>
      </c>
      <c r="Y403" s="285"/>
      <c r="Z403" s="285"/>
      <c r="AA403" s="285"/>
      <c r="AB403" s="285"/>
      <c r="AC403" s="56"/>
      <c r="AD403" s="56" t="s">
        <v>1395</v>
      </c>
    </row>
    <row r="404" spans="1:30" x14ac:dyDescent="0.3">
      <c r="A404" s="59">
        <f t="shared" si="95"/>
        <v>304</v>
      </c>
      <c r="B404" s="66" t="s">
        <v>1730</v>
      </c>
      <c r="C404" s="50">
        <f t="shared" si="93"/>
        <v>19258617.600000001</v>
      </c>
      <c r="D404" s="50">
        <f t="shared" si="96"/>
        <v>0</v>
      </c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68"/>
      <c r="P404" s="50"/>
      <c r="Q404" s="68">
        <v>2000</v>
      </c>
      <c r="R404" s="50">
        <v>19258617.600000001</v>
      </c>
      <c r="S404" s="68"/>
      <c r="T404" s="68"/>
      <c r="U404" s="50"/>
      <c r="V404" s="50"/>
      <c r="W404" s="178"/>
      <c r="X404" s="285"/>
      <c r="Y404" s="285"/>
      <c r="Z404" s="285"/>
      <c r="AA404" s="285"/>
      <c r="AB404" s="285"/>
      <c r="AC404" s="56"/>
      <c r="AD404" s="56"/>
    </row>
    <row r="405" spans="1:30" x14ac:dyDescent="0.3">
      <c r="A405" s="59">
        <f t="shared" si="95"/>
        <v>305</v>
      </c>
      <c r="B405" s="66" t="s">
        <v>1731</v>
      </c>
      <c r="C405" s="50">
        <f t="shared" si="93"/>
        <v>2543479.75</v>
      </c>
      <c r="D405" s="50">
        <f t="shared" si="96"/>
        <v>0</v>
      </c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68"/>
      <c r="P405" s="50"/>
      <c r="Q405" s="68">
        <v>850</v>
      </c>
      <c r="R405" s="50">
        <v>2543479.75</v>
      </c>
      <c r="S405" s="68"/>
      <c r="T405" s="68"/>
      <c r="U405" s="50"/>
      <c r="V405" s="50"/>
      <c r="W405" s="178"/>
      <c r="X405" s="285"/>
      <c r="Y405" s="285"/>
      <c r="Z405" s="285"/>
      <c r="AA405" s="285"/>
      <c r="AB405" s="285"/>
      <c r="AC405" s="56"/>
      <c r="AD405" s="56"/>
    </row>
    <row r="406" spans="1:30" x14ac:dyDescent="0.3">
      <c r="A406" s="59">
        <f t="shared" si="95"/>
        <v>306</v>
      </c>
      <c r="B406" s="66" t="s">
        <v>1735</v>
      </c>
      <c r="C406" s="50">
        <f t="shared" si="93"/>
        <v>4317070.8</v>
      </c>
      <c r="D406" s="50">
        <f t="shared" si="96"/>
        <v>0</v>
      </c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68"/>
      <c r="P406" s="50"/>
      <c r="Q406" s="68">
        <v>600</v>
      </c>
      <c r="R406" s="50">
        <v>4317070.8</v>
      </c>
      <c r="S406" s="68"/>
      <c r="T406" s="68"/>
      <c r="U406" s="50"/>
      <c r="V406" s="50"/>
      <c r="W406" s="178"/>
      <c r="X406" s="285"/>
      <c r="Y406" s="285"/>
      <c r="Z406" s="285"/>
      <c r="AA406" s="285"/>
      <c r="AB406" s="285"/>
      <c r="AC406" s="56"/>
      <c r="AD406" s="56"/>
    </row>
    <row r="407" spans="1:30" x14ac:dyDescent="0.3">
      <c r="A407" s="59">
        <f t="shared" si="95"/>
        <v>307</v>
      </c>
      <c r="B407" s="66" t="s">
        <v>1750</v>
      </c>
      <c r="C407" s="50">
        <f t="shared" si="93"/>
        <v>25246108</v>
      </c>
      <c r="D407" s="50">
        <f t="shared" si="96"/>
        <v>0</v>
      </c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68"/>
      <c r="P407" s="50"/>
      <c r="Q407" s="68">
        <v>2000</v>
      </c>
      <c r="R407" s="50">
        <v>25246108</v>
      </c>
      <c r="S407" s="68"/>
      <c r="T407" s="68"/>
      <c r="U407" s="50"/>
      <c r="V407" s="50"/>
      <c r="W407" s="178"/>
      <c r="X407" s="285"/>
      <c r="Y407" s="285"/>
      <c r="Z407" s="285"/>
      <c r="AA407" s="285"/>
      <c r="AB407" s="56"/>
      <c r="AC407" s="56"/>
      <c r="AD407" s="56"/>
    </row>
    <row r="408" spans="1:30" x14ac:dyDescent="0.3">
      <c r="A408" s="59">
        <f t="shared" si="95"/>
        <v>308</v>
      </c>
      <c r="B408" s="66" t="s">
        <v>1760</v>
      </c>
      <c r="C408" s="50">
        <f t="shared" si="93"/>
        <v>1799955.6</v>
      </c>
      <c r="D408" s="50">
        <f t="shared" si="96"/>
        <v>0</v>
      </c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68"/>
      <c r="P408" s="50"/>
      <c r="Q408" s="68">
        <v>380</v>
      </c>
      <c r="R408" s="50">
        <v>1799955.6</v>
      </c>
      <c r="S408" s="68"/>
      <c r="T408" s="68"/>
      <c r="U408" s="50"/>
      <c r="V408" s="50"/>
      <c r="W408" s="178"/>
      <c r="X408" s="285"/>
      <c r="Y408" s="285"/>
      <c r="Z408" s="285"/>
      <c r="AA408" s="285"/>
      <c r="AB408" s="285"/>
      <c r="AC408" s="56"/>
      <c r="AD408" s="56"/>
    </row>
    <row r="409" spans="1:30" x14ac:dyDescent="0.3">
      <c r="A409" s="59">
        <f t="shared" si="95"/>
        <v>309</v>
      </c>
      <c r="B409" s="66" t="s">
        <v>1823</v>
      </c>
      <c r="C409" s="50">
        <f t="shared" si="93"/>
        <v>12159042</v>
      </c>
      <c r="D409" s="50">
        <f t="shared" si="96"/>
        <v>0</v>
      </c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68"/>
      <c r="P409" s="50"/>
      <c r="Q409" s="68">
        <v>1655</v>
      </c>
      <c r="R409" s="50">
        <v>12159042</v>
      </c>
      <c r="S409" s="68"/>
      <c r="T409" s="68"/>
      <c r="U409" s="50"/>
      <c r="V409" s="50"/>
      <c r="W409" s="178"/>
      <c r="X409" s="285">
        <f>186914.14+143739.92</f>
        <v>330654.06000000006</v>
      </c>
      <c r="Y409" s="9"/>
      <c r="Z409" s="306"/>
      <c r="AA409" s="302"/>
      <c r="AB409" s="302"/>
      <c r="AC409" s="56"/>
      <c r="AD409" s="56" t="s">
        <v>1563</v>
      </c>
    </row>
    <row r="410" spans="1:30" x14ac:dyDescent="0.3">
      <c r="A410" s="59">
        <f t="shared" si="95"/>
        <v>310</v>
      </c>
      <c r="B410" s="66" t="s">
        <v>1824</v>
      </c>
      <c r="C410" s="50">
        <f t="shared" si="93"/>
        <v>182039</v>
      </c>
      <c r="D410" s="50">
        <f t="shared" si="96"/>
        <v>0</v>
      </c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68"/>
      <c r="P410" s="50"/>
      <c r="Q410" s="68">
        <v>13</v>
      </c>
      <c r="R410" s="50">
        <f>14003*Q410</f>
        <v>182039</v>
      </c>
      <c r="S410" s="68"/>
      <c r="T410" s="68"/>
      <c r="U410" s="50"/>
      <c r="V410" s="50"/>
      <c r="W410" s="178"/>
      <c r="X410" s="285"/>
      <c r="Y410" s="9"/>
      <c r="Z410" s="306"/>
      <c r="AA410" s="302"/>
      <c r="AB410" s="302"/>
      <c r="AC410" s="56"/>
      <c r="AD410" s="56"/>
    </row>
    <row r="411" spans="1:30" x14ac:dyDescent="0.3">
      <c r="A411" s="59">
        <f t="shared" si="95"/>
        <v>311</v>
      </c>
      <c r="B411" s="66" t="s">
        <v>1825</v>
      </c>
      <c r="C411" s="50">
        <f t="shared" si="93"/>
        <v>12159042</v>
      </c>
      <c r="D411" s="50">
        <f t="shared" si="96"/>
        <v>0</v>
      </c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68"/>
      <c r="P411" s="50"/>
      <c r="Q411" s="68">
        <v>1655</v>
      </c>
      <c r="R411" s="50">
        <v>12159042</v>
      </c>
      <c r="S411" s="68"/>
      <c r="T411" s="68"/>
      <c r="U411" s="50"/>
      <c r="V411" s="50"/>
      <c r="W411" s="178"/>
      <c r="X411" s="285">
        <v>145912.32999999999</v>
      </c>
      <c r="Y411" s="9"/>
      <c r="Z411" s="306"/>
      <c r="AA411" s="302"/>
      <c r="AB411" s="302"/>
      <c r="AC411" s="56"/>
      <c r="AD411" s="56" t="s">
        <v>1395</v>
      </c>
    </row>
    <row r="412" spans="1:30" x14ac:dyDescent="0.3">
      <c r="A412" s="59">
        <f t="shared" si="95"/>
        <v>312</v>
      </c>
      <c r="B412" s="66" t="s">
        <v>1837</v>
      </c>
      <c r="C412" s="50">
        <f t="shared" si="93"/>
        <v>3595148.4</v>
      </c>
      <c r="D412" s="50">
        <f t="shared" si="96"/>
        <v>0</v>
      </c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68"/>
      <c r="P412" s="50"/>
      <c r="Q412" s="68">
        <v>650</v>
      </c>
      <c r="R412" s="50">
        <v>3595148.4</v>
      </c>
      <c r="S412" s="68"/>
      <c r="T412" s="68"/>
      <c r="U412" s="50"/>
      <c r="V412" s="50"/>
      <c r="W412" s="178"/>
      <c r="X412" s="285"/>
      <c r="Y412" s="9"/>
      <c r="Z412" s="306"/>
      <c r="AA412" s="302"/>
      <c r="AB412" s="302"/>
      <c r="AC412" s="56"/>
      <c r="AD412" s="56"/>
    </row>
    <row r="413" spans="1:30" x14ac:dyDescent="0.3">
      <c r="A413" s="59">
        <f t="shared" si="95"/>
        <v>313</v>
      </c>
      <c r="B413" s="66" t="s">
        <v>1842</v>
      </c>
      <c r="C413" s="50">
        <f t="shared" si="93"/>
        <v>10889048.4</v>
      </c>
      <c r="D413" s="50">
        <f t="shared" si="96"/>
        <v>0</v>
      </c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68"/>
      <c r="P413" s="50"/>
      <c r="Q413" s="68">
        <v>725</v>
      </c>
      <c r="R413" s="50">
        <v>10889048.4</v>
      </c>
      <c r="S413" s="68"/>
      <c r="T413" s="68"/>
      <c r="U413" s="50"/>
      <c r="V413" s="50"/>
      <c r="W413" s="178"/>
      <c r="X413" s="285"/>
      <c r="Y413" s="9"/>
      <c r="Z413" s="306"/>
      <c r="AA413" s="302"/>
      <c r="AB413" s="302"/>
      <c r="AC413" s="56"/>
      <c r="AD413" s="56"/>
    </row>
    <row r="414" spans="1:30" x14ac:dyDescent="0.3">
      <c r="A414" s="59">
        <f t="shared" si="95"/>
        <v>314</v>
      </c>
      <c r="B414" s="66" t="s">
        <v>1843</v>
      </c>
      <c r="C414" s="50">
        <f t="shared" si="93"/>
        <v>11641658.4</v>
      </c>
      <c r="D414" s="50">
        <f t="shared" si="96"/>
        <v>0</v>
      </c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68"/>
      <c r="P414" s="50"/>
      <c r="Q414" s="68">
        <v>725</v>
      </c>
      <c r="R414" s="50">
        <v>11641658.4</v>
      </c>
      <c r="S414" s="68"/>
      <c r="T414" s="68"/>
      <c r="U414" s="50"/>
      <c r="V414" s="50"/>
      <c r="W414" s="178"/>
      <c r="X414" s="285">
        <v>111559.18</v>
      </c>
      <c r="Y414" s="9"/>
      <c r="Z414" s="306"/>
      <c r="AA414" s="302"/>
      <c r="AB414" s="302"/>
      <c r="AC414" s="56"/>
      <c r="AD414" s="56" t="s">
        <v>25</v>
      </c>
    </row>
    <row r="415" spans="1:30" x14ac:dyDescent="0.3">
      <c r="A415" s="59">
        <f t="shared" si="95"/>
        <v>315</v>
      </c>
      <c r="B415" s="66" t="s">
        <v>1848</v>
      </c>
      <c r="C415" s="50">
        <f t="shared" si="93"/>
        <v>4749018.08</v>
      </c>
      <c r="D415" s="50">
        <f t="shared" si="96"/>
        <v>0</v>
      </c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68"/>
      <c r="P415" s="50"/>
      <c r="Q415" s="68">
        <v>962.4</v>
      </c>
      <c r="R415" s="50">
        <v>4749018.08</v>
      </c>
      <c r="S415" s="68"/>
      <c r="T415" s="68"/>
      <c r="U415" s="50"/>
      <c r="V415" s="50"/>
      <c r="W415" s="178"/>
      <c r="X415" s="285"/>
      <c r="Y415" s="9"/>
      <c r="Z415" s="306">
        <v>93554.23</v>
      </c>
      <c r="AA415" s="302"/>
      <c r="AB415" s="302">
        <v>193713.02</v>
      </c>
      <c r="AC415" s="56"/>
      <c r="AD415" s="56"/>
    </row>
    <row r="416" spans="1:30" x14ac:dyDescent="0.3">
      <c r="A416" s="59">
        <f t="shared" si="95"/>
        <v>316</v>
      </c>
      <c r="B416" s="66" t="s">
        <v>1868</v>
      </c>
      <c r="C416" s="50">
        <f t="shared" si="93"/>
        <v>4910853.5999999996</v>
      </c>
      <c r="D416" s="50">
        <f t="shared" si="96"/>
        <v>0</v>
      </c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68"/>
      <c r="P416" s="50"/>
      <c r="Q416" s="68">
        <v>1532.4</v>
      </c>
      <c r="R416" s="50">
        <v>4910853.5999999996</v>
      </c>
      <c r="S416" s="68"/>
      <c r="T416" s="68"/>
      <c r="U416" s="50"/>
      <c r="V416" s="50"/>
      <c r="W416" s="178"/>
      <c r="X416" s="285">
        <v>229710.91</v>
      </c>
      <c r="Y416" s="9"/>
      <c r="Z416" s="306">
        <v>225392.46</v>
      </c>
      <c r="AA416" s="302">
        <v>1289663.75</v>
      </c>
      <c r="AB416" s="302"/>
      <c r="AC416" s="56"/>
      <c r="AD416" s="56" t="s">
        <v>1360</v>
      </c>
    </row>
    <row r="417" spans="1:30" x14ac:dyDescent="0.3">
      <c r="A417" s="59">
        <f t="shared" si="95"/>
        <v>317</v>
      </c>
      <c r="B417" s="66" t="s">
        <v>1885</v>
      </c>
      <c r="C417" s="50">
        <f t="shared" si="93"/>
        <v>10954962</v>
      </c>
      <c r="D417" s="50">
        <f t="shared" si="96"/>
        <v>0</v>
      </c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5"/>
      <c r="P417" s="50"/>
      <c r="Q417" s="68">
        <v>2000</v>
      </c>
      <c r="R417" s="50">
        <v>10954962</v>
      </c>
      <c r="S417" s="68"/>
      <c r="T417" s="68"/>
      <c r="U417" s="50"/>
      <c r="V417" s="50"/>
      <c r="W417" s="178"/>
      <c r="X417" s="285"/>
      <c r="Y417" s="9"/>
      <c r="Z417" s="306"/>
      <c r="AA417" s="302"/>
      <c r="AB417" s="302"/>
      <c r="AC417" s="56"/>
      <c r="AD417" s="56"/>
    </row>
    <row r="418" spans="1:30" x14ac:dyDescent="0.3">
      <c r="A418" s="59">
        <f t="shared" si="95"/>
        <v>318</v>
      </c>
      <c r="B418" s="66" t="s">
        <v>1887</v>
      </c>
      <c r="C418" s="50">
        <f t="shared" si="93"/>
        <v>10855045.199999999</v>
      </c>
      <c r="D418" s="50">
        <f t="shared" si="96"/>
        <v>0</v>
      </c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5"/>
      <c r="P418" s="50"/>
      <c r="Q418" s="68">
        <v>1350</v>
      </c>
      <c r="R418" s="50">
        <v>10855045.199999999</v>
      </c>
      <c r="S418" s="68"/>
      <c r="T418" s="68"/>
      <c r="U418" s="50"/>
      <c r="V418" s="50"/>
      <c r="W418" s="178"/>
      <c r="X418" s="285">
        <f>162322.28+121201.85</f>
        <v>283524.13</v>
      </c>
      <c r="Y418" s="9"/>
      <c r="Z418" s="306">
        <v>146520.76</v>
      </c>
      <c r="AA418" s="302"/>
      <c r="AB418" s="302"/>
      <c r="AC418" s="56"/>
      <c r="AD418" s="56" t="s">
        <v>1563</v>
      </c>
    </row>
    <row r="419" spans="1:30" x14ac:dyDescent="0.3">
      <c r="A419" s="59">
        <f t="shared" si="95"/>
        <v>319</v>
      </c>
      <c r="B419" s="66" t="s">
        <v>1889</v>
      </c>
      <c r="C419" s="50">
        <f t="shared" si="93"/>
        <v>10855045.199999999</v>
      </c>
      <c r="D419" s="50">
        <f t="shared" si="96"/>
        <v>0</v>
      </c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378"/>
      <c r="P419" s="50"/>
      <c r="Q419" s="68">
        <v>1350</v>
      </c>
      <c r="R419" s="50">
        <v>10855045.199999999</v>
      </c>
      <c r="S419" s="68"/>
      <c r="T419" s="68"/>
      <c r="U419" s="50"/>
      <c r="V419" s="50"/>
      <c r="W419" s="178"/>
      <c r="X419" s="285">
        <f>153766.74+116709.56</f>
        <v>270476.3</v>
      </c>
      <c r="Y419" s="9"/>
      <c r="Z419" s="306">
        <v>191431.82</v>
      </c>
      <c r="AA419" s="302"/>
      <c r="AB419" s="302"/>
      <c r="AC419" s="56"/>
      <c r="AD419" s="56" t="s">
        <v>1563</v>
      </c>
    </row>
    <row r="420" spans="1:30" x14ac:dyDescent="0.3">
      <c r="A420" s="59">
        <f t="shared" si="95"/>
        <v>320</v>
      </c>
      <c r="B420" s="66" t="s">
        <v>1909</v>
      </c>
      <c r="C420" s="50">
        <f t="shared" si="93"/>
        <v>4124572.34</v>
      </c>
      <c r="D420" s="50">
        <f t="shared" si="96"/>
        <v>0</v>
      </c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5"/>
      <c r="P420" s="50"/>
      <c r="Q420" s="68">
        <v>427.57</v>
      </c>
      <c r="R420" s="50">
        <v>4124572.34</v>
      </c>
      <c r="S420" s="68"/>
      <c r="T420" s="68"/>
      <c r="U420" s="50"/>
      <c r="V420" s="50"/>
      <c r="W420" s="178"/>
      <c r="X420" s="285">
        <f>77822.45+95885.59+76275.86+76275.86</f>
        <v>326259.75999999995</v>
      </c>
      <c r="Y420" s="9">
        <v>149884.16</v>
      </c>
      <c r="Z420" s="306">
        <v>53374.48</v>
      </c>
      <c r="AA420" s="302">
        <v>382408.55</v>
      </c>
      <c r="AB420" s="302">
        <v>137117.59</v>
      </c>
      <c r="AC420" s="56"/>
      <c r="AD420" s="56" t="s">
        <v>1349</v>
      </c>
    </row>
    <row r="421" spans="1:30" x14ac:dyDescent="0.3">
      <c r="A421" s="59">
        <f t="shared" si="95"/>
        <v>321</v>
      </c>
      <c r="B421" s="66" t="s">
        <v>1921</v>
      </c>
      <c r="C421" s="50">
        <f t="shared" si="93"/>
        <v>2887561.92</v>
      </c>
      <c r="D421" s="50">
        <f t="shared" si="96"/>
        <v>0</v>
      </c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5"/>
      <c r="P421" s="50"/>
      <c r="Q421" s="68">
        <v>490.1</v>
      </c>
      <c r="R421" s="50">
        <v>2887561.92</v>
      </c>
      <c r="S421" s="68"/>
      <c r="T421" s="68"/>
      <c r="U421" s="50"/>
      <c r="V421" s="50"/>
      <c r="W421" s="178"/>
      <c r="X421" s="285"/>
      <c r="Y421" s="9"/>
      <c r="Z421" s="306"/>
      <c r="AA421" s="302"/>
      <c r="AB421" s="302"/>
      <c r="AC421" s="56"/>
      <c r="AD421" s="56"/>
    </row>
    <row r="422" spans="1:30" x14ac:dyDescent="0.3">
      <c r="A422" s="59">
        <f t="shared" si="95"/>
        <v>322</v>
      </c>
      <c r="B422" s="66" t="s">
        <v>1925</v>
      </c>
      <c r="C422" s="50">
        <f t="shared" si="93"/>
        <v>2343294</v>
      </c>
      <c r="D422" s="50">
        <f t="shared" si="96"/>
        <v>0</v>
      </c>
      <c r="E422" s="51"/>
      <c r="F422" s="51"/>
      <c r="G422" s="58"/>
      <c r="H422" s="50"/>
      <c r="I422" s="51"/>
      <c r="J422" s="51"/>
      <c r="K422" s="51"/>
      <c r="L422" s="51"/>
      <c r="M422" s="51"/>
      <c r="N422" s="50"/>
      <c r="O422" s="55"/>
      <c r="P422" s="51"/>
      <c r="Q422" s="68">
        <v>345</v>
      </c>
      <c r="R422" s="50">
        <v>2343294</v>
      </c>
      <c r="S422" s="68"/>
      <c r="T422" s="68"/>
      <c r="U422" s="51"/>
      <c r="V422" s="50"/>
      <c r="W422" s="178"/>
      <c r="X422" s="285"/>
      <c r="Y422" s="9"/>
      <c r="Z422" s="306"/>
      <c r="AA422" s="302"/>
      <c r="AB422" s="302"/>
      <c r="AC422" s="56"/>
      <c r="AD422" s="56"/>
    </row>
    <row r="423" spans="1:30" x14ac:dyDescent="0.3">
      <c r="A423" s="59"/>
      <c r="B423" s="66" t="s">
        <v>211</v>
      </c>
      <c r="C423" s="50">
        <f t="shared" ref="C423:W423" si="97">SUM(C377:C422)</f>
        <v>301939989.15999997</v>
      </c>
      <c r="D423" s="50">
        <f t="shared" si="97"/>
        <v>0</v>
      </c>
      <c r="E423" s="50">
        <f t="shared" si="97"/>
        <v>0</v>
      </c>
      <c r="F423" s="50">
        <f t="shared" si="97"/>
        <v>0</v>
      </c>
      <c r="G423" s="50">
        <f t="shared" si="97"/>
        <v>0</v>
      </c>
      <c r="H423" s="50">
        <f t="shared" si="97"/>
        <v>0</v>
      </c>
      <c r="I423" s="50">
        <f t="shared" si="97"/>
        <v>0</v>
      </c>
      <c r="J423" s="50">
        <f t="shared" si="97"/>
        <v>0</v>
      </c>
      <c r="K423" s="50">
        <f t="shared" si="97"/>
        <v>0</v>
      </c>
      <c r="L423" s="50">
        <f t="shared" si="97"/>
        <v>0</v>
      </c>
      <c r="M423" s="50">
        <f t="shared" si="97"/>
        <v>0</v>
      </c>
      <c r="N423" s="50">
        <f t="shared" si="97"/>
        <v>0</v>
      </c>
      <c r="O423" s="68">
        <f t="shared" si="97"/>
        <v>0</v>
      </c>
      <c r="P423" s="50">
        <f t="shared" si="97"/>
        <v>0</v>
      </c>
      <c r="Q423" s="68">
        <f t="shared" si="97"/>
        <v>57664.990000000005</v>
      </c>
      <c r="R423" s="50">
        <f t="shared" si="97"/>
        <v>301939989.15999997</v>
      </c>
      <c r="S423" s="68">
        <f t="shared" si="97"/>
        <v>0</v>
      </c>
      <c r="T423" s="68">
        <f t="shared" si="97"/>
        <v>0</v>
      </c>
      <c r="U423" s="50">
        <f t="shared" si="97"/>
        <v>0</v>
      </c>
      <c r="V423" s="50">
        <f t="shared" si="97"/>
        <v>0</v>
      </c>
      <c r="W423" s="34">
        <f t="shared" si="97"/>
        <v>0</v>
      </c>
      <c r="X423" s="285"/>
      <c r="Y423" s="9"/>
      <c r="Z423" s="306"/>
      <c r="AA423" s="302"/>
      <c r="AB423" s="302"/>
      <c r="AC423" s="56"/>
      <c r="AD423" s="56"/>
    </row>
    <row r="424" spans="1:30" x14ac:dyDescent="0.3">
      <c r="A424" s="463" t="s">
        <v>1936</v>
      </c>
      <c r="B424" s="463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68"/>
      <c r="P424" s="50"/>
      <c r="Q424" s="68"/>
      <c r="R424" s="50"/>
      <c r="S424" s="68"/>
      <c r="T424" s="68"/>
      <c r="U424" s="50"/>
      <c r="V424" s="50"/>
      <c r="W424" s="178"/>
      <c r="X424" s="285"/>
      <c r="Y424" s="9"/>
      <c r="Z424" s="40"/>
      <c r="AA424" s="56"/>
      <c r="AB424" s="56"/>
      <c r="AC424" s="56"/>
      <c r="AD424" s="56"/>
    </row>
    <row r="425" spans="1:30" x14ac:dyDescent="0.3">
      <c r="A425" s="59">
        <f>A422+1</f>
        <v>323</v>
      </c>
      <c r="B425" s="66" t="s">
        <v>1937</v>
      </c>
      <c r="C425" s="50">
        <f t="shared" ref="C425:C431" si="98">D425+K425+L425+N425+P425+R425+U425+S425+V425+W425</f>
        <v>542880.11</v>
      </c>
      <c r="D425" s="50">
        <f t="shared" ref="D425:D431" si="99">E425+F425+G425+H425+I425</f>
        <v>0</v>
      </c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68"/>
      <c r="P425" s="50"/>
      <c r="Q425" s="68"/>
      <c r="R425" s="50"/>
      <c r="S425" s="68"/>
      <c r="T425" s="68"/>
      <c r="U425" s="50"/>
      <c r="V425" s="50"/>
      <c r="W425" s="178">
        <f t="shared" ref="W425:W431" si="100">SUM(X425:AB425)</f>
        <v>542880.11</v>
      </c>
      <c r="X425" s="285">
        <v>67634.990000000005</v>
      </c>
      <c r="Y425" s="9">
        <v>133393.20000000001</v>
      </c>
      <c r="Z425" s="306"/>
      <c r="AA425" s="302">
        <v>341851.92</v>
      </c>
      <c r="AB425" s="302"/>
      <c r="AC425" s="56"/>
      <c r="AD425" s="56" t="s">
        <v>1360</v>
      </c>
    </row>
    <row r="426" spans="1:30" x14ac:dyDescent="0.3">
      <c r="A426" s="59">
        <f t="shared" ref="A426:A431" si="101">A425+1</f>
        <v>324</v>
      </c>
      <c r="B426" s="66" t="s">
        <v>1938</v>
      </c>
      <c r="C426" s="50">
        <f t="shared" si="98"/>
        <v>459777.02</v>
      </c>
      <c r="D426" s="50">
        <f t="shared" si="99"/>
        <v>0</v>
      </c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68"/>
      <c r="P426" s="50"/>
      <c r="Q426" s="68"/>
      <c r="R426" s="50"/>
      <c r="S426" s="68"/>
      <c r="T426" s="68"/>
      <c r="U426" s="50"/>
      <c r="V426" s="50"/>
      <c r="W426" s="178">
        <f t="shared" si="100"/>
        <v>459777.02</v>
      </c>
      <c r="X426" s="285">
        <v>54164.62</v>
      </c>
      <c r="Y426" s="9">
        <v>113092.73</v>
      </c>
      <c r="Z426" s="306"/>
      <c r="AA426" s="302">
        <v>292519.67</v>
      </c>
      <c r="AB426" s="302"/>
      <c r="AC426" s="56"/>
      <c r="AD426" s="56" t="s">
        <v>1360</v>
      </c>
    </row>
    <row r="427" spans="1:30" x14ac:dyDescent="0.3">
      <c r="A427" s="59">
        <f t="shared" si="101"/>
        <v>325</v>
      </c>
      <c r="B427" s="66" t="s">
        <v>1939</v>
      </c>
      <c r="C427" s="50">
        <f t="shared" si="98"/>
        <v>493181.11</v>
      </c>
      <c r="D427" s="50">
        <f t="shared" si="99"/>
        <v>0</v>
      </c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68"/>
      <c r="P427" s="50"/>
      <c r="Q427" s="68"/>
      <c r="R427" s="50"/>
      <c r="S427" s="68"/>
      <c r="T427" s="68"/>
      <c r="U427" s="50"/>
      <c r="V427" s="50"/>
      <c r="W427" s="178">
        <f t="shared" si="100"/>
        <v>493181.11</v>
      </c>
      <c r="X427" s="285">
        <v>45392.32</v>
      </c>
      <c r="Y427" s="9">
        <v>99911.87</v>
      </c>
      <c r="Z427" s="306"/>
      <c r="AA427" s="302">
        <v>260488.8</v>
      </c>
      <c r="AB427" s="302">
        <v>87388.12</v>
      </c>
      <c r="AC427" s="56"/>
      <c r="AD427" s="56" t="s">
        <v>1360</v>
      </c>
    </row>
    <row r="428" spans="1:30" x14ac:dyDescent="0.3">
      <c r="A428" s="59">
        <f t="shared" si="101"/>
        <v>326</v>
      </c>
      <c r="B428" s="66" t="s">
        <v>1940</v>
      </c>
      <c r="C428" s="50">
        <f t="shared" si="98"/>
        <v>719189.24</v>
      </c>
      <c r="D428" s="50">
        <f t="shared" si="99"/>
        <v>0</v>
      </c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68"/>
      <c r="P428" s="50"/>
      <c r="Q428" s="68"/>
      <c r="R428" s="50"/>
      <c r="S428" s="68"/>
      <c r="T428" s="68"/>
      <c r="U428" s="50"/>
      <c r="V428" s="50"/>
      <c r="W428" s="178">
        <f t="shared" si="100"/>
        <v>719189.24</v>
      </c>
      <c r="X428" s="285"/>
      <c r="Y428" s="9">
        <v>203704.86</v>
      </c>
      <c r="Z428" s="306"/>
      <c r="AA428" s="302">
        <v>515484.38</v>
      </c>
      <c r="AB428" s="302"/>
      <c r="AC428" s="56"/>
      <c r="AD428" s="56" t="s">
        <v>1813</v>
      </c>
    </row>
    <row r="429" spans="1:30" x14ac:dyDescent="0.3">
      <c r="A429" s="59">
        <f t="shared" si="101"/>
        <v>327</v>
      </c>
      <c r="B429" s="66" t="s">
        <v>1941</v>
      </c>
      <c r="C429" s="50">
        <f t="shared" si="98"/>
        <v>514282.82</v>
      </c>
      <c r="D429" s="50">
        <f t="shared" si="99"/>
        <v>0</v>
      </c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68"/>
      <c r="P429" s="50"/>
      <c r="Q429" s="68"/>
      <c r="R429" s="50"/>
      <c r="S429" s="68"/>
      <c r="T429" s="68"/>
      <c r="U429" s="50"/>
      <c r="V429" s="50"/>
      <c r="W429" s="178">
        <f t="shared" si="100"/>
        <v>514282.82</v>
      </c>
      <c r="X429" s="285"/>
      <c r="Y429" s="9"/>
      <c r="Z429" s="306"/>
      <c r="AA429" s="302">
        <v>514282.82</v>
      </c>
      <c r="AB429" s="302"/>
      <c r="AC429" s="56"/>
      <c r="AD429" s="56" t="s">
        <v>1813</v>
      </c>
    </row>
    <row r="430" spans="1:30" x14ac:dyDescent="0.3">
      <c r="A430" s="59">
        <f t="shared" si="101"/>
        <v>328</v>
      </c>
      <c r="B430" s="66" t="s">
        <v>1942</v>
      </c>
      <c r="C430" s="50">
        <f t="shared" si="98"/>
        <v>713019.59</v>
      </c>
      <c r="D430" s="50">
        <f t="shared" si="99"/>
        <v>0</v>
      </c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68"/>
      <c r="P430" s="50"/>
      <c r="Q430" s="68"/>
      <c r="R430" s="50"/>
      <c r="S430" s="68"/>
      <c r="T430" s="68"/>
      <c r="U430" s="50"/>
      <c r="V430" s="50"/>
      <c r="W430" s="178">
        <f t="shared" si="100"/>
        <v>713019.59</v>
      </c>
      <c r="X430" s="285"/>
      <c r="Y430" s="9">
        <v>202488.54</v>
      </c>
      <c r="Z430" s="306"/>
      <c r="AA430" s="302">
        <v>510531.05</v>
      </c>
      <c r="AB430" s="302"/>
      <c r="AC430" s="56"/>
      <c r="AD430" s="56" t="s">
        <v>1813</v>
      </c>
    </row>
    <row r="431" spans="1:30" x14ac:dyDescent="0.3">
      <c r="A431" s="59">
        <f t="shared" si="101"/>
        <v>329</v>
      </c>
      <c r="B431" s="66" t="s">
        <v>1943</v>
      </c>
      <c r="C431" s="50">
        <f t="shared" si="98"/>
        <v>640943.89</v>
      </c>
      <c r="D431" s="50">
        <f t="shared" si="99"/>
        <v>0</v>
      </c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68"/>
      <c r="P431" s="50"/>
      <c r="Q431" s="68"/>
      <c r="R431" s="50"/>
      <c r="S431" s="68"/>
      <c r="T431" s="68"/>
      <c r="U431" s="50"/>
      <c r="V431" s="50"/>
      <c r="W431" s="178">
        <f t="shared" si="100"/>
        <v>640943.89</v>
      </c>
      <c r="X431" s="285"/>
      <c r="Y431" s="9">
        <v>181022.64</v>
      </c>
      <c r="Z431" s="306"/>
      <c r="AA431" s="302">
        <v>459921.25</v>
      </c>
      <c r="AB431" s="302"/>
      <c r="AC431" s="56"/>
      <c r="AD431" s="56" t="s">
        <v>1813</v>
      </c>
    </row>
    <row r="432" spans="1:30" x14ac:dyDescent="0.3">
      <c r="A432" s="59"/>
      <c r="B432" s="66" t="s">
        <v>211</v>
      </c>
      <c r="C432" s="50">
        <f t="shared" ref="C432:W432" si="102">SUM(C425:C431)</f>
        <v>4083273.78</v>
      </c>
      <c r="D432" s="50">
        <f t="shared" si="102"/>
        <v>0</v>
      </c>
      <c r="E432" s="50">
        <f t="shared" si="102"/>
        <v>0</v>
      </c>
      <c r="F432" s="50">
        <f t="shared" si="102"/>
        <v>0</v>
      </c>
      <c r="G432" s="50">
        <f t="shared" si="102"/>
        <v>0</v>
      </c>
      <c r="H432" s="50">
        <f t="shared" si="102"/>
        <v>0</v>
      </c>
      <c r="I432" s="50">
        <f t="shared" si="102"/>
        <v>0</v>
      </c>
      <c r="J432" s="50">
        <f t="shared" si="102"/>
        <v>0</v>
      </c>
      <c r="K432" s="50">
        <f t="shared" si="102"/>
        <v>0</v>
      </c>
      <c r="L432" s="50">
        <f t="shared" si="102"/>
        <v>0</v>
      </c>
      <c r="M432" s="50">
        <f t="shared" si="102"/>
        <v>0</v>
      </c>
      <c r="N432" s="50">
        <f t="shared" si="102"/>
        <v>0</v>
      </c>
      <c r="O432" s="68">
        <f t="shared" si="102"/>
        <v>0</v>
      </c>
      <c r="P432" s="50">
        <f t="shared" si="102"/>
        <v>0</v>
      </c>
      <c r="Q432" s="68">
        <f t="shared" si="102"/>
        <v>0</v>
      </c>
      <c r="R432" s="50">
        <f t="shared" si="102"/>
        <v>0</v>
      </c>
      <c r="S432" s="68">
        <f t="shared" si="102"/>
        <v>0</v>
      </c>
      <c r="T432" s="68">
        <f t="shared" si="102"/>
        <v>0</v>
      </c>
      <c r="U432" s="50">
        <f t="shared" si="102"/>
        <v>0</v>
      </c>
      <c r="V432" s="50">
        <f t="shared" si="102"/>
        <v>0</v>
      </c>
      <c r="W432" s="34">
        <f t="shared" si="102"/>
        <v>4083273.78</v>
      </c>
      <c r="X432" s="285"/>
      <c r="Y432" s="9"/>
      <c r="Z432" s="306"/>
      <c r="AA432" s="302"/>
      <c r="AB432" s="302"/>
      <c r="AC432" s="56"/>
      <c r="AD432" s="56"/>
    </row>
    <row r="433" spans="1:30" x14ac:dyDescent="0.3">
      <c r="A433" s="463" t="s">
        <v>1944</v>
      </c>
      <c r="B433" s="463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68"/>
      <c r="P433" s="50"/>
      <c r="Q433" s="68"/>
      <c r="R433" s="50"/>
      <c r="S433" s="68"/>
      <c r="T433" s="68"/>
      <c r="U433" s="50"/>
      <c r="V433" s="50"/>
      <c r="W433" s="178"/>
      <c r="X433" s="285"/>
      <c r="Y433" s="9"/>
      <c r="Z433" s="306"/>
      <c r="AA433" s="302"/>
      <c r="AB433" s="302"/>
      <c r="AC433" s="56"/>
      <c r="AD433" s="56"/>
    </row>
    <row r="434" spans="1:30" x14ac:dyDescent="0.3">
      <c r="A434" s="59">
        <f>A431+1</f>
        <v>330</v>
      </c>
      <c r="B434" s="66" t="s">
        <v>1951</v>
      </c>
      <c r="C434" s="50">
        <f>D434+K434+L434+N434+P434+R434+U434+S434+V434+W434</f>
        <v>23894471.539999999</v>
      </c>
      <c r="D434" s="50">
        <f>E434+F434+G434+H434+I434</f>
        <v>0</v>
      </c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68"/>
      <c r="P434" s="50"/>
      <c r="Q434" s="68">
        <v>2942</v>
      </c>
      <c r="R434" s="50">
        <v>23894471.539999999</v>
      </c>
      <c r="S434" s="68"/>
      <c r="T434" s="68"/>
      <c r="U434" s="50"/>
      <c r="V434" s="50"/>
      <c r="W434" s="178"/>
      <c r="X434" s="285"/>
      <c r="Y434" s="9">
        <v>473965.09</v>
      </c>
      <c r="Z434" s="40"/>
      <c r="AA434" s="56"/>
      <c r="AB434" s="56"/>
      <c r="AC434" s="56"/>
      <c r="AD434" s="56"/>
    </row>
    <row r="435" spans="1:30" x14ac:dyDescent="0.3">
      <c r="A435" s="59"/>
      <c r="B435" s="66" t="s">
        <v>211</v>
      </c>
      <c r="C435" s="50">
        <f t="shared" ref="C435:W435" si="103">SUM(C434:C434)</f>
        <v>23894471.539999999</v>
      </c>
      <c r="D435" s="50">
        <f t="shared" si="103"/>
        <v>0</v>
      </c>
      <c r="E435" s="50">
        <f t="shared" si="103"/>
        <v>0</v>
      </c>
      <c r="F435" s="50">
        <f t="shared" si="103"/>
        <v>0</v>
      </c>
      <c r="G435" s="50">
        <f t="shared" si="103"/>
        <v>0</v>
      </c>
      <c r="H435" s="50">
        <f t="shared" si="103"/>
        <v>0</v>
      </c>
      <c r="I435" s="50">
        <f t="shared" si="103"/>
        <v>0</v>
      </c>
      <c r="J435" s="50">
        <f t="shared" si="103"/>
        <v>0</v>
      </c>
      <c r="K435" s="50">
        <f t="shared" si="103"/>
        <v>0</v>
      </c>
      <c r="L435" s="50">
        <f t="shared" si="103"/>
        <v>0</v>
      </c>
      <c r="M435" s="50">
        <f t="shared" si="103"/>
        <v>0</v>
      </c>
      <c r="N435" s="50">
        <f t="shared" si="103"/>
        <v>0</v>
      </c>
      <c r="O435" s="68">
        <f t="shared" si="103"/>
        <v>0</v>
      </c>
      <c r="P435" s="50">
        <f t="shared" si="103"/>
        <v>0</v>
      </c>
      <c r="Q435" s="68">
        <f t="shared" si="103"/>
        <v>2942</v>
      </c>
      <c r="R435" s="50">
        <f t="shared" si="103"/>
        <v>23894471.539999999</v>
      </c>
      <c r="S435" s="68">
        <f t="shared" si="103"/>
        <v>0</v>
      </c>
      <c r="T435" s="68">
        <f t="shared" si="103"/>
        <v>0</v>
      </c>
      <c r="U435" s="50">
        <f t="shared" si="103"/>
        <v>0</v>
      </c>
      <c r="V435" s="50">
        <f t="shared" si="103"/>
        <v>0</v>
      </c>
      <c r="W435" s="34">
        <f t="shared" si="103"/>
        <v>0</v>
      </c>
      <c r="X435" s="285"/>
      <c r="Y435" s="9"/>
      <c r="Z435" s="40"/>
      <c r="AA435" s="56"/>
      <c r="AB435" s="56"/>
      <c r="AC435" s="56"/>
      <c r="AD435" s="56"/>
    </row>
    <row r="436" spans="1:30" x14ac:dyDescent="0.3">
      <c r="A436" s="463" t="s">
        <v>1956</v>
      </c>
      <c r="B436" s="463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68"/>
      <c r="P436" s="50"/>
      <c r="Q436" s="68"/>
      <c r="R436" s="50"/>
      <c r="S436" s="68"/>
      <c r="T436" s="68"/>
      <c r="U436" s="50"/>
      <c r="V436" s="50"/>
      <c r="W436" s="178"/>
      <c r="X436" s="285"/>
      <c r="Y436" s="285"/>
      <c r="Z436" s="306"/>
      <c r="AA436" s="302"/>
      <c r="AB436" s="302"/>
      <c r="AC436" s="56"/>
      <c r="AD436" s="56"/>
    </row>
    <row r="437" spans="1:30" x14ac:dyDescent="0.3">
      <c r="A437" s="59">
        <f>A434+1</f>
        <v>331</v>
      </c>
      <c r="B437" s="66" t="s">
        <v>1957</v>
      </c>
      <c r="C437" s="50">
        <f>D437+K437+L437+N437+P437+R437+U437+S437+V437+W437</f>
        <v>4163802.98</v>
      </c>
      <c r="D437" s="50">
        <f>E437+F437+G437+H437+I437</f>
        <v>0</v>
      </c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68"/>
      <c r="P437" s="50"/>
      <c r="Q437" s="82">
        <v>637.04</v>
      </c>
      <c r="R437" s="50">
        <v>4163802.98</v>
      </c>
      <c r="S437" s="68"/>
      <c r="T437" s="68"/>
      <c r="U437" s="50"/>
      <c r="V437" s="50"/>
      <c r="W437" s="178"/>
      <c r="X437" s="285"/>
      <c r="Y437" s="285"/>
      <c r="Z437" s="306"/>
      <c r="AA437" s="302"/>
      <c r="AB437" s="302"/>
      <c r="AC437" s="56"/>
      <c r="AD437" s="56"/>
    </row>
    <row r="438" spans="1:30" x14ac:dyDescent="0.3">
      <c r="A438" s="59"/>
      <c r="B438" s="66" t="s">
        <v>211</v>
      </c>
      <c r="C438" s="50">
        <f t="shared" ref="C438:W438" si="104">C437</f>
        <v>4163802.98</v>
      </c>
      <c r="D438" s="50">
        <f t="shared" si="104"/>
        <v>0</v>
      </c>
      <c r="E438" s="50">
        <f t="shared" si="104"/>
        <v>0</v>
      </c>
      <c r="F438" s="50">
        <f t="shared" si="104"/>
        <v>0</v>
      </c>
      <c r="G438" s="50">
        <f t="shared" si="104"/>
        <v>0</v>
      </c>
      <c r="H438" s="50">
        <f t="shared" si="104"/>
        <v>0</v>
      </c>
      <c r="I438" s="50">
        <f t="shared" si="104"/>
        <v>0</v>
      </c>
      <c r="J438" s="50">
        <f t="shared" si="104"/>
        <v>0</v>
      </c>
      <c r="K438" s="50">
        <f t="shared" si="104"/>
        <v>0</v>
      </c>
      <c r="L438" s="50">
        <f t="shared" si="104"/>
        <v>0</v>
      </c>
      <c r="M438" s="50">
        <f t="shared" si="104"/>
        <v>0</v>
      </c>
      <c r="N438" s="50">
        <f t="shared" si="104"/>
        <v>0</v>
      </c>
      <c r="O438" s="68">
        <f t="shared" si="104"/>
        <v>0</v>
      </c>
      <c r="P438" s="50">
        <f t="shared" si="104"/>
        <v>0</v>
      </c>
      <c r="Q438" s="68">
        <f t="shared" si="104"/>
        <v>637.04</v>
      </c>
      <c r="R438" s="50">
        <f t="shared" si="104"/>
        <v>4163802.98</v>
      </c>
      <c r="S438" s="68">
        <f t="shared" si="104"/>
        <v>0</v>
      </c>
      <c r="T438" s="68">
        <f t="shared" si="104"/>
        <v>0</v>
      </c>
      <c r="U438" s="50">
        <f t="shared" si="104"/>
        <v>0</v>
      </c>
      <c r="V438" s="50">
        <f t="shared" si="104"/>
        <v>0</v>
      </c>
      <c r="W438" s="34">
        <f t="shared" si="104"/>
        <v>0</v>
      </c>
      <c r="X438" s="285"/>
      <c r="Y438" s="285"/>
      <c r="Z438" s="306"/>
      <c r="AA438" s="302"/>
      <c r="AB438" s="302"/>
      <c r="AC438" s="56"/>
      <c r="AD438" s="56"/>
    </row>
    <row r="439" spans="1:30" x14ac:dyDescent="0.3">
      <c r="A439" s="463" t="s">
        <v>1958</v>
      </c>
      <c r="B439" s="463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68"/>
      <c r="P439" s="50"/>
      <c r="Q439" s="82"/>
      <c r="R439" s="50"/>
      <c r="S439" s="68"/>
      <c r="T439" s="68"/>
      <c r="U439" s="50"/>
      <c r="V439" s="50"/>
      <c r="W439" s="178"/>
      <c r="X439" s="285"/>
      <c r="Y439" s="285"/>
      <c r="Z439" s="306"/>
      <c r="AA439" s="302"/>
      <c r="AB439" s="302"/>
      <c r="AC439" s="56"/>
      <c r="AD439" s="56"/>
    </row>
    <row r="440" spans="1:30" x14ac:dyDescent="0.3">
      <c r="A440" s="59">
        <f>A437+1</f>
        <v>332</v>
      </c>
      <c r="B440" s="66" t="s">
        <v>1959</v>
      </c>
      <c r="C440" s="50">
        <f>D440+K440+L440+N440+P440+R440+U440+S440+V440+W440</f>
        <v>16084653.220000001</v>
      </c>
      <c r="D440" s="50">
        <f>E440+F440+G440+H440+I440</f>
        <v>0</v>
      </c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68"/>
      <c r="P440" s="50"/>
      <c r="Q440" s="82">
        <v>2500.6</v>
      </c>
      <c r="R440" s="50">
        <v>16084653.220000001</v>
      </c>
      <c r="S440" s="68"/>
      <c r="T440" s="68"/>
      <c r="U440" s="50"/>
      <c r="V440" s="50"/>
      <c r="W440" s="178"/>
      <c r="X440" s="285"/>
      <c r="Y440" s="285"/>
      <c r="Z440" s="306"/>
      <c r="AA440" s="302"/>
      <c r="AB440" s="302"/>
      <c r="AC440" s="56"/>
      <c r="AD440" s="56"/>
    </row>
    <row r="441" spans="1:30" x14ac:dyDescent="0.3">
      <c r="A441" s="59"/>
      <c r="B441" s="66" t="s">
        <v>211</v>
      </c>
      <c r="C441" s="50">
        <f t="shared" ref="C441:W441" si="105">C440</f>
        <v>16084653.220000001</v>
      </c>
      <c r="D441" s="50">
        <f t="shared" si="105"/>
        <v>0</v>
      </c>
      <c r="E441" s="50">
        <f t="shared" si="105"/>
        <v>0</v>
      </c>
      <c r="F441" s="50">
        <f t="shared" si="105"/>
        <v>0</v>
      </c>
      <c r="G441" s="50">
        <f t="shared" si="105"/>
        <v>0</v>
      </c>
      <c r="H441" s="50">
        <f t="shared" si="105"/>
        <v>0</v>
      </c>
      <c r="I441" s="50">
        <f t="shared" si="105"/>
        <v>0</v>
      </c>
      <c r="J441" s="50">
        <f t="shared" si="105"/>
        <v>0</v>
      </c>
      <c r="K441" s="50">
        <f t="shared" si="105"/>
        <v>0</v>
      </c>
      <c r="L441" s="50">
        <f t="shared" si="105"/>
        <v>0</v>
      </c>
      <c r="M441" s="50">
        <f t="shared" si="105"/>
        <v>0</v>
      </c>
      <c r="N441" s="50">
        <f t="shared" si="105"/>
        <v>0</v>
      </c>
      <c r="O441" s="68">
        <f t="shared" si="105"/>
        <v>0</v>
      </c>
      <c r="P441" s="50">
        <f t="shared" si="105"/>
        <v>0</v>
      </c>
      <c r="Q441" s="68">
        <f t="shared" si="105"/>
        <v>2500.6</v>
      </c>
      <c r="R441" s="50">
        <f t="shared" si="105"/>
        <v>16084653.220000001</v>
      </c>
      <c r="S441" s="68">
        <f t="shared" si="105"/>
        <v>0</v>
      </c>
      <c r="T441" s="68">
        <f t="shared" si="105"/>
        <v>0</v>
      </c>
      <c r="U441" s="50">
        <f t="shared" si="105"/>
        <v>0</v>
      </c>
      <c r="V441" s="50">
        <f t="shared" si="105"/>
        <v>0</v>
      </c>
      <c r="W441" s="34">
        <f t="shared" si="105"/>
        <v>0</v>
      </c>
      <c r="X441" s="285"/>
      <c r="Y441" s="285"/>
      <c r="Z441" s="306"/>
      <c r="AA441" s="302"/>
      <c r="AB441" s="302"/>
      <c r="AC441" s="56"/>
      <c r="AD441" s="56"/>
    </row>
    <row r="442" spans="1:30" x14ac:dyDescent="0.3">
      <c r="A442" s="463" t="s">
        <v>1960</v>
      </c>
      <c r="B442" s="463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68"/>
      <c r="P442" s="50"/>
      <c r="Q442" s="68"/>
      <c r="R442" s="50"/>
      <c r="S442" s="68"/>
      <c r="T442" s="68"/>
      <c r="U442" s="50"/>
      <c r="V442" s="50"/>
      <c r="W442" s="178">
        <f>SUM(X442:AB442)</f>
        <v>0</v>
      </c>
      <c r="X442" s="285"/>
      <c r="Y442" s="9"/>
      <c r="Z442" s="306"/>
      <c r="AA442" s="302"/>
      <c r="AB442" s="302"/>
      <c r="AC442" s="56"/>
      <c r="AD442" s="56"/>
    </row>
    <row r="443" spans="1:30" x14ac:dyDescent="0.3">
      <c r="A443" s="59">
        <f>A440+1</f>
        <v>333</v>
      </c>
      <c r="B443" s="66" t="s">
        <v>1962</v>
      </c>
      <c r="C443" s="50">
        <f>D443+K443+L443+N443+P443+R443+U443+S443+V443+W443</f>
        <v>666796.3899999999</v>
      </c>
      <c r="D443" s="50">
        <f>E443+F443+G443+H443+I443</f>
        <v>0</v>
      </c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68"/>
      <c r="P443" s="58"/>
      <c r="Q443" s="68"/>
      <c r="R443" s="50"/>
      <c r="S443" s="68"/>
      <c r="T443" s="68"/>
      <c r="U443" s="50"/>
      <c r="V443" s="50"/>
      <c r="W443" s="178">
        <f>SUM(X443:AB443)</f>
        <v>666796.3899999999</v>
      </c>
      <c r="X443" s="285">
        <v>68053.63</v>
      </c>
      <c r="Y443" s="9">
        <v>133970.46</v>
      </c>
      <c r="Z443" s="306"/>
      <c r="AA443" s="302">
        <v>343254.72</v>
      </c>
      <c r="AB443" s="302">
        <v>121517.58</v>
      </c>
      <c r="AC443" s="56"/>
      <c r="AD443" s="56" t="s">
        <v>1360</v>
      </c>
    </row>
    <row r="444" spans="1:30" x14ac:dyDescent="0.3">
      <c r="A444" s="59">
        <f>A443+1</f>
        <v>334</v>
      </c>
      <c r="B444" s="66" t="s">
        <v>1964</v>
      </c>
      <c r="C444" s="50">
        <f>D444+K444+L444+N444+P444+R444+U444+S444+V444+W444</f>
        <v>116697.46</v>
      </c>
      <c r="D444" s="50">
        <f>E444+F444+G444+H444+I444</f>
        <v>0</v>
      </c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380"/>
      <c r="P444" s="50"/>
      <c r="Q444" s="68"/>
      <c r="R444" s="50"/>
      <c r="S444" s="68"/>
      <c r="T444" s="68"/>
      <c r="U444" s="50"/>
      <c r="V444" s="50"/>
      <c r="W444" s="178">
        <f>SUM(X444:AB444)</f>
        <v>116697.46</v>
      </c>
      <c r="X444" s="285">
        <v>116697.46</v>
      </c>
      <c r="Y444" s="9"/>
      <c r="Z444" s="306"/>
      <c r="AA444" s="302"/>
      <c r="AB444" s="302"/>
      <c r="AC444" s="56"/>
      <c r="AD444" s="56" t="s">
        <v>27</v>
      </c>
    </row>
    <row r="445" spans="1:30" x14ac:dyDescent="0.3">
      <c r="A445" s="59"/>
      <c r="B445" s="66" t="s">
        <v>211</v>
      </c>
      <c r="C445" s="50">
        <f t="shared" ref="C445:W445" si="106">SUM(C443:C444)</f>
        <v>783493.84999999986</v>
      </c>
      <c r="D445" s="50">
        <f t="shared" si="106"/>
        <v>0</v>
      </c>
      <c r="E445" s="50">
        <f t="shared" si="106"/>
        <v>0</v>
      </c>
      <c r="F445" s="50">
        <f t="shared" si="106"/>
        <v>0</v>
      </c>
      <c r="G445" s="50">
        <f t="shared" si="106"/>
        <v>0</v>
      </c>
      <c r="H445" s="50">
        <f t="shared" si="106"/>
        <v>0</v>
      </c>
      <c r="I445" s="50">
        <f t="shared" si="106"/>
        <v>0</v>
      </c>
      <c r="J445" s="50">
        <f t="shared" si="106"/>
        <v>0</v>
      </c>
      <c r="K445" s="50">
        <f t="shared" si="106"/>
        <v>0</v>
      </c>
      <c r="L445" s="50">
        <f t="shared" si="106"/>
        <v>0</v>
      </c>
      <c r="M445" s="50">
        <f t="shared" si="106"/>
        <v>0</v>
      </c>
      <c r="N445" s="50">
        <f t="shared" si="106"/>
        <v>0</v>
      </c>
      <c r="O445" s="68">
        <f t="shared" si="106"/>
        <v>0</v>
      </c>
      <c r="P445" s="50">
        <f t="shared" si="106"/>
        <v>0</v>
      </c>
      <c r="Q445" s="68">
        <f t="shared" si="106"/>
        <v>0</v>
      </c>
      <c r="R445" s="50">
        <f t="shared" si="106"/>
        <v>0</v>
      </c>
      <c r="S445" s="68">
        <f t="shared" si="106"/>
        <v>0</v>
      </c>
      <c r="T445" s="68">
        <f t="shared" si="106"/>
        <v>0</v>
      </c>
      <c r="U445" s="50">
        <f t="shared" si="106"/>
        <v>0</v>
      </c>
      <c r="V445" s="50">
        <f t="shared" si="106"/>
        <v>0</v>
      </c>
      <c r="W445" s="34">
        <f t="shared" si="106"/>
        <v>783493.84999999986</v>
      </c>
      <c r="X445" s="285"/>
      <c r="Y445" s="9"/>
      <c r="Z445" s="306"/>
      <c r="AA445" s="302"/>
      <c r="AB445" s="302"/>
      <c r="AC445" s="56"/>
      <c r="AD445" s="56"/>
    </row>
    <row r="446" spans="1:30" x14ac:dyDescent="0.3">
      <c r="A446" s="463" t="s">
        <v>1965</v>
      </c>
      <c r="B446" s="463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68"/>
      <c r="P446" s="50"/>
      <c r="Q446" s="68"/>
      <c r="R446" s="50"/>
      <c r="S446" s="68"/>
      <c r="T446" s="68"/>
      <c r="U446" s="50"/>
      <c r="V446" s="50"/>
      <c r="W446" s="178"/>
      <c r="X446" s="285"/>
      <c r="Y446" s="9"/>
      <c r="Z446" s="40"/>
      <c r="AA446" s="56"/>
      <c r="AB446" s="56"/>
      <c r="AC446" s="56"/>
      <c r="AD446" s="56"/>
    </row>
    <row r="447" spans="1:30" x14ac:dyDescent="0.3">
      <c r="A447" s="59">
        <f>A444+1</f>
        <v>335</v>
      </c>
      <c r="B447" s="66" t="s">
        <v>1966</v>
      </c>
      <c r="C447" s="50">
        <f>D447+K447+L447+N447+P447+R447+U447+S447+V447+W447</f>
        <v>525349.79</v>
      </c>
      <c r="D447" s="50">
        <f>E447+F447+G447+H447+I447</f>
        <v>0</v>
      </c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68"/>
      <c r="P447" s="50"/>
      <c r="Q447" s="68"/>
      <c r="R447" s="50"/>
      <c r="S447" s="68"/>
      <c r="T447" s="68"/>
      <c r="U447" s="50"/>
      <c r="V447" s="50"/>
      <c r="W447" s="178">
        <f>SUM(X447:AB447)</f>
        <v>525349.79</v>
      </c>
      <c r="X447" s="285"/>
      <c r="Y447" s="9">
        <v>147885.49</v>
      </c>
      <c r="Z447" s="40"/>
      <c r="AA447" s="302">
        <v>377464.3</v>
      </c>
      <c r="AB447" s="302"/>
      <c r="AC447" s="56"/>
      <c r="AD447" s="56" t="s">
        <v>1813</v>
      </c>
    </row>
    <row r="448" spans="1:30" x14ac:dyDescent="0.3">
      <c r="A448" s="59"/>
      <c r="B448" s="66" t="s">
        <v>211</v>
      </c>
      <c r="C448" s="50">
        <f t="shared" ref="C448:W448" si="107">SUM(C447:C447)</f>
        <v>525349.79</v>
      </c>
      <c r="D448" s="50">
        <f t="shared" si="107"/>
        <v>0</v>
      </c>
      <c r="E448" s="50">
        <f t="shared" si="107"/>
        <v>0</v>
      </c>
      <c r="F448" s="50">
        <f t="shared" si="107"/>
        <v>0</v>
      </c>
      <c r="G448" s="50">
        <f t="shared" si="107"/>
        <v>0</v>
      </c>
      <c r="H448" s="50">
        <f t="shared" si="107"/>
        <v>0</v>
      </c>
      <c r="I448" s="50">
        <f t="shared" si="107"/>
        <v>0</v>
      </c>
      <c r="J448" s="50">
        <f t="shared" si="107"/>
        <v>0</v>
      </c>
      <c r="K448" s="50">
        <f t="shared" si="107"/>
        <v>0</v>
      </c>
      <c r="L448" s="50">
        <f t="shared" si="107"/>
        <v>0</v>
      </c>
      <c r="M448" s="50">
        <f t="shared" si="107"/>
        <v>0</v>
      </c>
      <c r="N448" s="50">
        <f t="shared" si="107"/>
        <v>0</v>
      </c>
      <c r="O448" s="68">
        <f t="shared" si="107"/>
        <v>0</v>
      </c>
      <c r="P448" s="50">
        <f t="shared" si="107"/>
        <v>0</v>
      </c>
      <c r="Q448" s="68">
        <f t="shared" si="107"/>
        <v>0</v>
      </c>
      <c r="R448" s="50">
        <f t="shared" si="107"/>
        <v>0</v>
      </c>
      <c r="S448" s="68">
        <f t="shared" si="107"/>
        <v>0</v>
      </c>
      <c r="T448" s="68">
        <f t="shared" si="107"/>
        <v>0</v>
      </c>
      <c r="U448" s="50">
        <f t="shared" si="107"/>
        <v>0</v>
      </c>
      <c r="V448" s="50">
        <f t="shared" si="107"/>
        <v>0</v>
      </c>
      <c r="W448" s="34">
        <f t="shared" si="107"/>
        <v>525349.79</v>
      </c>
      <c r="X448" s="285"/>
      <c r="Y448" s="9"/>
      <c r="Z448" s="40"/>
      <c r="AA448" s="56"/>
      <c r="AB448" s="56"/>
      <c r="AC448" s="56"/>
      <c r="AD448" s="56"/>
    </row>
    <row r="449" spans="1:34" x14ac:dyDescent="0.3">
      <c r="A449" s="177"/>
      <c r="B449" s="66" t="s">
        <v>1986</v>
      </c>
      <c r="C449" s="50">
        <f>C448+C445+C441+C438+C435+C432+C423+C375+C372</f>
        <v>379232861.9199999</v>
      </c>
      <c r="D449" s="50">
        <f t="shared" ref="D449:W449" si="108">D448+D445+D441+D438+D435+D432+D423+D375+D372</f>
        <v>0</v>
      </c>
      <c r="E449" s="50">
        <f t="shared" si="108"/>
        <v>0</v>
      </c>
      <c r="F449" s="50">
        <f t="shared" si="108"/>
        <v>0</v>
      </c>
      <c r="G449" s="50">
        <f t="shared" si="108"/>
        <v>0</v>
      </c>
      <c r="H449" s="50">
        <f t="shared" si="108"/>
        <v>0</v>
      </c>
      <c r="I449" s="50">
        <f t="shared" si="108"/>
        <v>0</v>
      </c>
      <c r="J449" s="50">
        <f t="shared" si="108"/>
        <v>0</v>
      </c>
      <c r="K449" s="50">
        <f t="shared" si="108"/>
        <v>0</v>
      </c>
      <c r="L449" s="50">
        <f t="shared" si="108"/>
        <v>0</v>
      </c>
      <c r="M449" s="50">
        <f t="shared" si="108"/>
        <v>0</v>
      </c>
      <c r="N449" s="50">
        <f t="shared" si="108"/>
        <v>0</v>
      </c>
      <c r="O449" s="68">
        <f t="shared" si="108"/>
        <v>0</v>
      </c>
      <c r="P449" s="50">
        <f t="shared" si="108"/>
        <v>0</v>
      </c>
      <c r="Q449" s="68">
        <f t="shared" si="108"/>
        <v>67438.23000000001</v>
      </c>
      <c r="R449" s="50">
        <f t="shared" si="108"/>
        <v>373840744.49999994</v>
      </c>
      <c r="S449" s="68">
        <f t="shared" si="108"/>
        <v>0</v>
      </c>
      <c r="T449" s="68">
        <f t="shared" si="108"/>
        <v>0</v>
      </c>
      <c r="U449" s="50">
        <f t="shared" si="108"/>
        <v>0</v>
      </c>
      <c r="V449" s="50">
        <f t="shared" si="108"/>
        <v>0</v>
      </c>
      <c r="W449" s="34">
        <f t="shared" si="108"/>
        <v>5392117.4199999999</v>
      </c>
      <c r="X449" s="285"/>
      <c r="Y449" s="9"/>
      <c r="Z449" s="306"/>
      <c r="AA449" s="302"/>
      <c r="AB449" s="302"/>
      <c r="AC449" s="56"/>
      <c r="AD449" s="56"/>
    </row>
    <row r="450" spans="1:34" x14ac:dyDescent="0.3">
      <c r="A450" s="540" t="s">
        <v>1987</v>
      </c>
      <c r="B450" s="540"/>
      <c r="C450" s="172"/>
      <c r="D450" s="49"/>
      <c r="E450" s="49"/>
      <c r="F450" s="49"/>
      <c r="G450" s="179"/>
      <c r="H450" s="179"/>
      <c r="I450" s="49"/>
      <c r="J450" s="49"/>
      <c r="K450" s="49"/>
      <c r="L450" s="49"/>
      <c r="M450" s="49"/>
      <c r="N450" s="179"/>
      <c r="O450" s="343"/>
      <c r="P450" s="49"/>
      <c r="Q450" s="343"/>
      <c r="R450" s="179"/>
      <c r="S450" s="53"/>
      <c r="T450" s="343"/>
      <c r="U450" s="49"/>
      <c r="V450" s="49"/>
      <c r="W450" s="33"/>
      <c r="X450" s="305"/>
      <c r="Y450" s="179"/>
      <c r="Z450" s="179"/>
      <c r="AA450" s="179"/>
      <c r="AB450" s="179"/>
      <c r="AC450" s="179"/>
      <c r="AD450" s="179"/>
      <c r="AE450" s="61"/>
      <c r="AF450" s="62"/>
      <c r="AG450" s="62"/>
      <c r="AH450" s="62"/>
    </row>
    <row r="451" spans="1:34" x14ac:dyDescent="0.3">
      <c r="A451" s="463" t="s">
        <v>1988</v>
      </c>
      <c r="B451" s="463"/>
      <c r="C451" s="50"/>
      <c r="D451" s="51"/>
      <c r="E451" s="51"/>
      <c r="F451" s="51"/>
      <c r="G451" s="50"/>
      <c r="H451" s="50"/>
      <c r="I451" s="51"/>
      <c r="J451" s="51"/>
      <c r="K451" s="51"/>
      <c r="L451" s="51"/>
      <c r="M451" s="51"/>
      <c r="N451" s="50"/>
      <c r="O451" s="82"/>
      <c r="P451" s="51"/>
      <c r="Q451" s="82"/>
      <c r="R451" s="50"/>
      <c r="S451" s="68"/>
      <c r="T451" s="82"/>
      <c r="U451" s="51"/>
      <c r="V451" s="51"/>
      <c r="W451" s="35"/>
      <c r="X451" s="141"/>
      <c r="Y451" s="48"/>
      <c r="Z451" s="48"/>
      <c r="AA451" s="48"/>
      <c r="AB451" s="48"/>
      <c r="AC451" s="48"/>
      <c r="AD451" s="48"/>
      <c r="AE451" s="61"/>
      <c r="AF451" s="62"/>
      <c r="AG451" s="62"/>
      <c r="AH451" s="62"/>
    </row>
    <row r="452" spans="1:34" x14ac:dyDescent="0.3">
      <c r="A452" s="59">
        <f>A447+1</f>
        <v>336</v>
      </c>
      <c r="B452" s="66" t="s">
        <v>1990</v>
      </c>
      <c r="C452" s="50">
        <f>D452+K452+L452+N452+P452+R452+S452+U452+V452+W452</f>
        <v>2991763.2</v>
      </c>
      <c r="D452" s="51">
        <f>E452+F452+G452+H452+I452</f>
        <v>0</v>
      </c>
      <c r="E452" s="51"/>
      <c r="F452" s="51"/>
      <c r="G452" s="50"/>
      <c r="H452" s="50"/>
      <c r="I452" s="51"/>
      <c r="J452" s="51"/>
      <c r="K452" s="51"/>
      <c r="L452" s="51"/>
      <c r="M452" s="51"/>
      <c r="N452" s="50"/>
      <c r="O452" s="82"/>
      <c r="P452" s="51"/>
      <c r="Q452" s="82">
        <v>507.8</v>
      </c>
      <c r="R452" s="50">
        <v>2991763.2</v>
      </c>
      <c r="S452" s="68"/>
      <c r="T452" s="82"/>
      <c r="U452" s="51"/>
      <c r="V452" s="51"/>
      <c r="W452" s="35"/>
      <c r="X452" s="141"/>
      <c r="Y452" s="48"/>
      <c r="Z452" s="48"/>
      <c r="AA452" s="48"/>
      <c r="AB452" s="48"/>
      <c r="AC452" s="48"/>
      <c r="AD452" s="48"/>
      <c r="AE452" s="61"/>
      <c r="AF452" s="62"/>
      <c r="AG452" s="62"/>
      <c r="AH452" s="62"/>
    </row>
    <row r="453" spans="1:34" x14ac:dyDescent="0.3">
      <c r="A453" s="59">
        <f>A452+1</f>
        <v>337</v>
      </c>
      <c r="B453" s="66" t="s">
        <v>1992</v>
      </c>
      <c r="C453" s="50">
        <f>D453+K453+L453+N453+P453+R453+S453+U453+V453+W453</f>
        <v>2067908.4</v>
      </c>
      <c r="D453" s="51">
        <f>E453+F453+G453+H453+I453</f>
        <v>0</v>
      </c>
      <c r="E453" s="50"/>
      <c r="F453" s="50"/>
      <c r="G453" s="50"/>
      <c r="H453" s="50"/>
      <c r="I453" s="50"/>
      <c r="J453" s="51"/>
      <c r="K453" s="51"/>
      <c r="L453" s="51"/>
      <c r="M453" s="51"/>
      <c r="N453" s="50"/>
      <c r="O453" s="82"/>
      <c r="P453" s="50"/>
      <c r="Q453" s="82">
        <v>389.9</v>
      </c>
      <c r="R453" s="50">
        <v>2067908.4</v>
      </c>
      <c r="S453" s="68"/>
      <c r="T453" s="82"/>
      <c r="U453" s="51"/>
      <c r="V453" s="51"/>
      <c r="W453" s="35"/>
      <c r="X453" s="141"/>
      <c r="Y453" s="48">
        <v>99135.79</v>
      </c>
      <c r="Z453" s="48">
        <v>117063.53</v>
      </c>
      <c r="AA453" s="48">
        <v>101477.02</v>
      </c>
      <c r="AB453" s="48">
        <v>96852.2</v>
      </c>
      <c r="AC453" s="48"/>
      <c r="AD453" s="48">
        <v>181314.49</v>
      </c>
      <c r="AE453" s="61">
        <v>122781.31</v>
      </c>
      <c r="AF453" s="62">
        <v>458853.8</v>
      </c>
      <c r="AG453" s="62">
        <v>136869.79999999999</v>
      </c>
      <c r="AH453" s="62"/>
    </row>
    <row r="454" spans="1:34" x14ac:dyDescent="0.3">
      <c r="A454" s="59"/>
      <c r="B454" s="66" t="s">
        <v>211</v>
      </c>
      <c r="C454" s="50">
        <f t="shared" ref="C454:W454" si="109">SUM(C452:C453)</f>
        <v>5059671.5999999996</v>
      </c>
      <c r="D454" s="50">
        <f t="shared" si="109"/>
        <v>0</v>
      </c>
      <c r="E454" s="50">
        <f t="shared" si="109"/>
        <v>0</v>
      </c>
      <c r="F454" s="50">
        <f t="shared" si="109"/>
        <v>0</v>
      </c>
      <c r="G454" s="50">
        <f t="shared" si="109"/>
        <v>0</v>
      </c>
      <c r="H454" s="50">
        <f t="shared" si="109"/>
        <v>0</v>
      </c>
      <c r="I454" s="50">
        <f t="shared" si="109"/>
        <v>0</v>
      </c>
      <c r="J454" s="50">
        <f t="shared" si="109"/>
        <v>0</v>
      </c>
      <c r="K454" s="50">
        <f t="shared" si="109"/>
        <v>0</v>
      </c>
      <c r="L454" s="50">
        <f t="shared" si="109"/>
        <v>0</v>
      </c>
      <c r="M454" s="50">
        <f t="shared" si="109"/>
        <v>0</v>
      </c>
      <c r="N454" s="50">
        <f t="shared" si="109"/>
        <v>0</v>
      </c>
      <c r="O454" s="68">
        <f t="shared" si="109"/>
        <v>0</v>
      </c>
      <c r="P454" s="50">
        <f t="shared" si="109"/>
        <v>0</v>
      </c>
      <c r="Q454" s="68">
        <f t="shared" si="109"/>
        <v>897.7</v>
      </c>
      <c r="R454" s="50">
        <f t="shared" si="109"/>
        <v>5059671.5999999996</v>
      </c>
      <c r="S454" s="68">
        <f t="shared" si="109"/>
        <v>0</v>
      </c>
      <c r="T454" s="68">
        <f t="shared" si="109"/>
        <v>0</v>
      </c>
      <c r="U454" s="50">
        <f t="shared" si="109"/>
        <v>0</v>
      </c>
      <c r="V454" s="50">
        <f t="shared" si="109"/>
        <v>0</v>
      </c>
      <c r="W454" s="34">
        <f t="shared" si="109"/>
        <v>0</v>
      </c>
      <c r="X454" s="141"/>
      <c r="Y454" s="48"/>
      <c r="Z454" s="48"/>
      <c r="AA454" s="48"/>
      <c r="AB454" s="48"/>
      <c r="AC454" s="48"/>
      <c r="AD454" s="48"/>
      <c r="AE454" s="61"/>
      <c r="AF454" s="62"/>
      <c r="AG454" s="62"/>
      <c r="AH454" s="62"/>
    </row>
    <row r="455" spans="1:34" x14ac:dyDescent="0.3">
      <c r="A455" s="463" t="s">
        <v>1995</v>
      </c>
      <c r="B455" s="463"/>
      <c r="C455" s="50"/>
      <c r="D455" s="51"/>
      <c r="E455" s="51"/>
      <c r="F455" s="51"/>
      <c r="G455" s="50"/>
      <c r="H455" s="50"/>
      <c r="I455" s="51"/>
      <c r="J455" s="51"/>
      <c r="K455" s="51"/>
      <c r="L455" s="51"/>
      <c r="M455" s="51"/>
      <c r="N455" s="50"/>
      <c r="O455" s="82"/>
      <c r="P455" s="51"/>
      <c r="Q455" s="82"/>
      <c r="R455" s="50"/>
      <c r="S455" s="68"/>
      <c r="T455" s="82"/>
      <c r="U455" s="51"/>
      <c r="V455" s="51"/>
      <c r="W455" s="35"/>
      <c r="X455" s="141"/>
      <c r="Y455" s="48"/>
      <c r="Z455" s="48"/>
      <c r="AA455" s="48"/>
      <c r="AB455" s="48"/>
      <c r="AC455" s="48"/>
      <c r="AD455" s="48"/>
      <c r="AE455" s="61"/>
      <c r="AF455" s="62"/>
      <c r="AG455" s="62"/>
      <c r="AH455" s="62"/>
    </row>
    <row r="456" spans="1:34" x14ac:dyDescent="0.3">
      <c r="A456" s="59">
        <f>A453+1</f>
        <v>338</v>
      </c>
      <c r="B456" s="66" t="s">
        <v>2020</v>
      </c>
      <c r="C456" s="50">
        <f t="shared" ref="C456:C463" si="110">D456+K456+L456+N456+P456+R456+S456+U456+V456+W456</f>
        <v>28272057</v>
      </c>
      <c r="D456" s="51">
        <f t="shared" ref="D456:D461" si="111">E456+F456+G456+H456+I456</f>
        <v>0</v>
      </c>
      <c r="E456" s="51"/>
      <c r="F456" s="51"/>
      <c r="G456" s="50"/>
      <c r="H456" s="50"/>
      <c r="I456" s="51"/>
      <c r="J456" s="51"/>
      <c r="K456" s="51"/>
      <c r="L456" s="51"/>
      <c r="M456" s="51"/>
      <c r="N456" s="50"/>
      <c r="O456" s="82"/>
      <c r="P456" s="51"/>
      <c r="Q456" s="82">
        <v>2019</v>
      </c>
      <c r="R456" s="50">
        <f>(10362+3641)*2019</f>
        <v>28272057</v>
      </c>
      <c r="S456" s="68"/>
      <c r="T456" s="82"/>
      <c r="U456" s="51"/>
      <c r="V456" s="51"/>
      <c r="W456" s="35"/>
      <c r="X456" s="141"/>
      <c r="Y456" s="48"/>
      <c r="Z456" s="48"/>
      <c r="AA456" s="48"/>
      <c r="AB456" s="48"/>
      <c r="AC456" s="48"/>
      <c r="AD456" s="48"/>
      <c r="AE456" s="61"/>
      <c r="AF456" s="62"/>
      <c r="AG456" s="62"/>
      <c r="AH456" s="62"/>
    </row>
    <row r="457" spans="1:34" x14ac:dyDescent="0.3">
      <c r="A457" s="59">
        <f>A456+1</f>
        <v>339</v>
      </c>
      <c r="B457" s="66" t="s">
        <v>2019</v>
      </c>
      <c r="C457" s="50">
        <f t="shared" si="110"/>
        <v>130000</v>
      </c>
      <c r="D457" s="51">
        <f t="shared" si="111"/>
        <v>0</v>
      </c>
      <c r="E457" s="51"/>
      <c r="F457" s="51"/>
      <c r="G457" s="50"/>
      <c r="H457" s="50"/>
      <c r="I457" s="51"/>
      <c r="J457" s="51"/>
      <c r="K457" s="51"/>
      <c r="L457" s="51"/>
      <c r="M457" s="51"/>
      <c r="N457" s="50"/>
      <c r="O457" s="82"/>
      <c r="P457" s="51"/>
      <c r="Q457" s="82"/>
      <c r="R457" s="50"/>
      <c r="S457" s="68"/>
      <c r="T457" s="82"/>
      <c r="U457" s="51"/>
      <c r="V457" s="51"/>
      <c r="W457" s="35">
        <v>130000</v>
      </c>
      <c r="X457" s="141"/>
      <c r="Y457" s="48"/>
      <c r="Z457" s="48"/>
      <c r="AA457" s="48"/>
      <c r="AB457" s="48"/>
      <c r="AC457" s="48"/>
      <c r="AD457" s="48"/>
      <c r="AE457" s="61"/>
      <c r="AF457" s="62"/>
      <c r="AG457" s="62"/>
      <c r="AH457" s="62"/>
    </row>
    <row r="458" spans="1:34" x14ac:dyDescent="0.3">
      <c r="A458" s="59">
        <f t="shared" ref="A458:A463" si="112">A457+1</f>
        <v>340</v>
      </c>
      <c r="B458" s="66" t="s">
        <v>2023</v>
      </c>
      <c r="C458" s="50">
        <f t="shared" si="110"/>
        <v>130000</v>
      </c>
      <c r="D458" s="51">
        <f t="shared" si="111"/>
        <v>0</v>
      </c>
      <c r="E458" s="51"/>
      <c r="F458" s="51"/>
      <c r="G458" s="50"/>
      <c r="H458" s="50"/>
      <c r="I458" s="51"/>
      <c r="J458" s="51"/>
      <c r="K458" s="51"/>
      <c r="L458" s="51"/>
      <c r="M458" s="51"/>
      <c r="N458" s="50"/>
      <c r="O458" s="82"/>
      <c r="P458" s="51"/>
      <c r="Q458" s="82"/>
      <c r="R458" s="50"/>
      <c r="S458" s="68"/>
      <c r="T458" s="82"/>
      <c r="U458" s="51"/>
      <c r="V458" s="51"/>
      <c r="W458" s="35">
        <v>130000</v>
      </c>
      <c r="X458" s="141"/>
      <c r="Y458" s="48"/>
      <c r="Z458" s="48"/>
      <c r="AA458" s="48"/>
      <c r="AB458" s="48"/>
      <c r="AC458" s="48"/>
      <c r="AD458" s="48"/>
      <c r="AE458" s="61"/>
      <c r="AF458" s="62"/>
      <c r="AG458" s="62"/>
      <c r="AH458" s="62"/>
    </row>
    <row r="459" spans="1:34" x14ac:dyDescent="0.3">
      <c r="A459" s="59">
        <f t="shared" si="112"/>
        <v>341</v>
      </c>
      <c r="B459" s="66" t="s">
        <v>2024</v>
      </c>
      <c r="C459" s="50">
        <f t="shared" si="110"/>
        <v>130000</v>
      </c>
      <c r="D459" s="51">
        <f t="shared" si="111"/>
        <v>0</v>
      </c>
      <c r="E459" s="51"/>
      <c r="F459" s="51"/>
      <c r="G459" s="50"/>
      <c r="H459" s="50"/>
      <c r="I459" s="51"/>
      <c r="J459" s="51"/>
      <c r="K459" s="51"/>
      <c r="L459" s="51"/>
      <c r="M459" s="51"/>
      <c r="N459" s="50"/>
      <c r="O459" s="82"/>
      <c r="P459" s="51"/>
      <c r="Q459" s="82"/>
      <c r="R459" s="50"/>
      <c r="S459" s="68"/>
      <c r="T459" s="82"/>
      <c r="U459" s="51"/>
      <c r="V459" s="51"/>
      <c r="W459" s="35">
        <v>130000</v>
      </c>
      <c r="X459" s="141"/>
      <c r="Y459" s="48"/>
      <c r="Z459" s="48"/>
      <c r="AA459" s="48"/>
      <c r="AB459" s="48"/>
      <c r="AC459" s="48"/>
      <c r="AD459" s="48"/>
      <c r="AE459" s="61"/>
      <c r="AF459" s="62"/>
      <c r="AG459" s="62"/>
      <c r="AH459" s="62"/>
    </row>
    <row r="460" spans="1:34" x14ac:dyDescent="0.3">
      <c r="A460" s="59">
        <f t="shared" si="112"/>
        <v>342</v>
      </c>
      <c r="B460" s="66" t="s">
        <v>2026</v>
      </c>
      <c r="C460" s="50">
        <f t="shared" si="110"/>
        <v>130000</v>
      </c>
      <c r="D460" s="51">
        <f t="shared" si="111"/>
        <v>0</v>
      </c>
      <c r="E460" s="51"/>
      <c r="F460" s="51"/>
      <c r="G460" s="50"/>
      <c r="H460" s="50"/>
      <c r="I460" s="51"/>
      <c r="J460" s="51"/>
      <c r="K460" s="51"/>
      <c r="L460" s="51"/>
      <c r="M460" s="51"/>
      <c r="N460" s="50"/>
      <c r="O460" s="82"/>
      <c r="P460" s="51"/>
      <c r="Q460" s="82"/>
      <c r="R460" s="50"/>
      <c r="S460" s="68"/>
      <c r="T460" s="82"/>
      <c r="U460" s="51"/>
      <c r="V460" s="51"/>
      <c r="W460" s="35">
        <v>130000</v>
      </c>
      <c r="X460" s="141"/>
      <c r="Y460" s="48"/>
      <c r="Z460" s="48"/>
      <c r="AA460" s="48"/>
      <c r="AB460" s="48"/>
      <c r="AC460" s="48"/>
      <c r="AD460" s="48"/>
      <c r="AE460" s="61"/>
      <c r="AF460" s="62"/>
      <c r="AG460" s="62"/>
      <c r="AH460" s="62"/>
    </row>
    <row r="461" spans="1:34" x14ac:dyDescent="0.3">
      <c r="A461" s="59">
        <f t="shared" si="112"/>
        <v>343</v>
      </c>
      <c r="B461" s="66" t="s">
        <v>2027</v>
      </c>
      <c r="C461" s="50">
        <f t="shared" si="110"/>
        <v>130000</v>
      </c>
      <c r="D461" s="51">
        <f t="shared" si="111"/>
        <v>0</v>
      </c>
      <c r="E461" s="51"/>
      <c r="F461" s="51"/>
      <c r="G461" s="50"/>
      <c r="H461" s="50"/>
      <c r="I461" s="51"/>
      <c r="J461" s="51"/>
      <c r="K461" s="51"/>
      <c r="L461" s="51"/>
      <c r="M461" s="51"/>
      <c r="N461" s="50"/>
      <c r="O461" s="82"/>
      <c r="P461" s="51"/>
      <c r="Q461" s="82"/>
      <c r="R461" s="50"/>
      <c r="S461" s="68"/>
      <c r="T461" s="82"/>
      <c r="U461" s="51"/>
      <c r="V461" s="51"/>
      <c r="W461" s="35">
        <v>130000</v>
      </c>
      <c r="X461" s="141"/>
      <c r="Y461" s="48"/>
      <c r="Z461" s="48"/>
      <c r="AA461" s="48"/>
      <c r="AB461" s="48"/>
      <c r="AC461" s="48"/>
      <c r="AD461" s="48"/>
      <c r="AE461" s="61"/>
      <c r="AF461" s="62"/>
      <c r="AG461" s="62"/>
      <c r="AH461" s="62"/>
    </row>
    <row r="462" spans="1:34" x14ac:dyDescent="0.3">
      <c r="A462" s="59">
        <f t="shared" si="112"/>
        <v>344</v>
      </c>
      <c r="B462" s="66" t="s">
        <v>2031</v>
      </c>
      <c r="C462" s="50">
        <f t="shared" si="110"/>
        <v>130000</v>
      </c>
      <c r="D462" s="51"/>
      <c r="E462" s="51"/>
      <c r="F462" s="51"/>
      <c r="G462" s="50"/>
      <c r="H462" s="50"/>
      <c r="I462" s="51"/>
      <c r="J462" s="51"/>
      <c r="K462" s="51"/>
      <c r="L462" s="51"/>
      <c r="M462" s="51"/>
      <c r="N462" s="50"/>
      <c r="O462" s="82"/>
      <c r="P462" s="51"/>
      <c r="Q462" s="82"/>
      <c r="R462" s="50"/>
      <c r="S462" s="68"/>
      <c r="T462" s="82"/>
      <c r="U462" s="51"/>
      <c r="V462" s="51"/>
      <c r="W462" s="35">
        <v>130000</v>
      </c>
      <c r="X462" s="141"/>
      <c r="Y462" s="48"/>
      <c r="Z462" s="48"/>
      <c r="AA462" s="48"/>
      <c r="AB462" s="48"/>
      <c r="AC462" s="48"/>
      <c r="AD462" s="48"/>
      <c r="AE462" s="61"/>
      <c r="AF462" s="62"/>
      <c r="AG462" s="62"/>
      <c r="AH462" s="62"/>
    </row>
    <row r="463" spans="1:34" x14ac:dyDescent="0.3">
      <c r="A463" s="59">
        <f t="shared" si="112"/>
        <v>345</v>
      </c>
      <c r="B463" s="66" t="s">
        <v>2032</v>
      </c>
      <c r="C463" s="50">
        <f t="shared" si="110"/>
        <v>130000</v>
      </c>
      <c r="D463" s="51"/>
      <c r="E463" s="51"/>
      <c r="F463" s="51"/>
      <c r="G463" s="50"/>
      <c r="H463" s="50"/>
      <c r="I463" s="51"/>
      <c r="J463" s="51"/>
      <c r="K463" s="51"/>
      <c r="L463" s="51"/>
      <c r="M463" s="51"/>
      <c r="N463" s="50"/>
      <c r="O463" s="82"/>
      <c r="P463" s="51"/>
      <c r="Q463" s="82"/>
      <c r="R463" s="50"/>
      <c r="S463" s="68"/>
      <c r="T463" s="82"/>
      <c r="U463" s="51"/>
      <c r="V463" s="51"/>
      <c r="W463" s="35">
        <v>130000</v>
      </c>
      <c r="X463" s="141"/>
      <c r="Y463" s="48"/>
      <c r="Z463" s="48"/>
      <c r="AA463" s="48"/>
      <c r="AB463" s="48"/>
      <c r="AC463" s="48"/>
      <c r="AD463" s="48"/>
      <c r="AE463" s="61"/>
      <c r="AF463" s="62"/>
      <c r="AG463" s="62"/>
      <c r="AH463" s="62"/>
    </row>
    <row r="464" spans="1:34" x14ac:dyDescent="0.3">
      <c r="A464" s="59"/>
      <c r="B464" s="66" t="s">
        <v>211</v>
      </c>
      <c r="C464" s="50">
        <f>SUM(C456:C463)</f>
        <v>29182057</v>
      </c>
      <c r="D464" s="50">
        <f t="shared" ref="D464:W464" si="113">SUM(D456:D461)</f>
        <v>0</v>
      </c>
      <c r="E464" s="50">
        <f t="shared" si="113"/>
        <v>0</v>
      </c>
      <c r="F464" s="50">
        <f t="shared" si="113"/>
        <v>0</v>
      </c>
      <c r="G464" s="50">
        <f t="shared" si="113"/>
        <v>0</v>
      </c>
      <c r="H464" s="50">
        <f t="shared" si="113"/>
        <v>0</v>
      </c>
      <c r="I464" s="50">
        <f t="shared" si="113"/>
        <v>0</v>
      </c>
      <c r="J464" s="50">
        <f t="shared" si="113"/>
        <v>0</v>
      </c>
      <c r="K464" s="50">
        <f t="shared" si="113"/>
        <v>0</v>
      </c>
      <c r="L464" s="50">
        <f t="shared" si="113"/>
        <v>0</v>
      </c>
      <c r="M464" s="50">
        <f t="shared" si="113"/>
        <v>0</v>
      </c>
      <c r="N464" s="50">
        <f t="shared" si="113"/>
        <v>0</v>
      </c>
      <c r="O464" s="68">
        <f t="shared" si="113"/>
        <v>0</v>
      </c>
      <c r="P464" s="50">
        <f t="shared" si="113"/>
        <v>0</v>
      </c>
      <c r="Q464" s="68">
        <f t="shared" si="113"/>
        <v>2019</v>
      </c>
      <c r="R464" s="50">
        <f t="shared" si="113"/>
        <v>28272057</v>
      </c>
      <c r="S464" s="68">
        <f t="shared" si="113"/>
        <v>0</v>
      </c>
      <c r="T464" s="68">
        <f t="shared" si="113"/>
        <v>0</v>
      </c>
      <c r="U464" s="50">
        <f t="shared" si="113"/>
        <v>0</v>
      </c>
      <c r="V464" s="50">
        <f t="shared" si="113"/>
        <v>0</v>
      </c>
      <c r="W464" s="34">
        <f t="shared" si="113"/>
        <v>650000</v>
      </c>
      <c r="X464" s="141"/>
      <c r="Y464" s="48"/>
      <c r="Z464" s="48"/>
      <c r="AA464" s="48"/>
      <c r="AB464" s="48"/>
      <c r="AC464" s="48"/>
      <c r="AD464" s="48"/>
      <c r="AE464" s="61"/>
      <c r="AF464" s="62"/>
      <c r="AG464" s="62"/>
      <c r="AH464" s="62"/>
    </row>
    <row r="465" spans="1:38" x14ac:dyDescent="0.3">
      <c r="A465" s="463" t="s">
        <v>2043</v>
      </c>
      <c r="B465" s="463"/>
      <c r="C465" s="50"/>
      <c r="D465" s="51"/>
      <c r="E465" s="51"/>
      <c r="F465" s="51"/>
      <c r="G465" s="50"/>
      <c r="H465" s="50"/>
      <c r="I465" s="51"/>
      <c r="J465" s="51"/>
      <c r="K465" s="51"/>
      <c r="L465" s="51"/>
      <c r="M465" s="51"/>
      <c r="N465" s="50"/>
      <c r="O465" s="82"/>
      <c r="P465" s="51"/>
      <c r="Q465" s="82"/>
      <c r="R465" s="50"/>
      <c r="S465" s="68"/>
      <c r="T465" s="82"/>
      <c r="U465" s="51"/>
      <c r="V465" s="51"/>
      <c r="W465" s="35"/>
      <c r="X465" s="141"/>
      <c r="Y465" s="48"/>
      <c r="Z465" s="48"/>
      <c r="AA465" s="48"/>
      <c r="AB465" s="48"/>
      <c r="AC465" s="48"/>
      <c r="AD465" s="48"/>
      <c r="AE465" s="61"/>
      <c r="AF465" s="62"/>
      <c r="AG465" s="62"/>
      <c r="AH465" s="62"/>
    </row>
    <row r="466" spans="1:38" x14ac:dyDescent="0.3">
      <c r="A466" s="59">
        <f>A463+1</f>
        <v>346</v>
      </c>
      <c r="B466" s="66" t="s">
        <v>2044</v>
      </c>
      <c r="C466" s="50">
        <f>D466+K466+L466+N466+P466+R466+S466+U466+V466+W466</f>
        <v>4311811.2</v>
      </c>
      <c r="D466" s="51">
        <f t="shared" ref="D466:D470" si="114">E466+F466+G466+H466+I466</f>
        <v>0</v>
      </c>
      <c r="E466" s="51"/>
      <c r="F466" s="51"/>
      <c r="G466" s="50"/>
      <c r="H466" s="50"/>
      <c r="I466" s="51"/>
      <c r="J466" s="51"/>
      <c r="K466" s="51"/>
      <c r="L466" s="51"/>
      <c r="M466" s="51"/>
      <c r="N466" s="50"/>
      <c r="O466" s="82"/>
      <c r="P466" s="50"/>
      <c r="Q466" s="82">
        <v>570</v>
      </c>
      <c r="R466" s="50">
        <v>4311811.2</v>
      </c>
      <c r="S466" s="68"/>
      <c r="T466" s="82"/>
      <c r="U466" s="51"/>
      <c r="V466" s="51"/>
      <c r="W466" s="35"/>
      <c r="X466" s="141"/>
      <c r="Y466" s="48"/>
      <c r="Z466" s="48"/>
      <c r="AA466" s="48"/>
      <c r="AB466" s="48"/>
      <c r="AC466" s="48"/>
      <c r="AD466" s="48"/>
      <c r="AE466" s="61"/>
      <c r="AF466" s="62"/>
      <c r="AG466" s="62"/>
      <c r="AH466" s="62"/>
    </row>
    <row r="467" spans="1:38" x14ac:dyDescent="0.3">
      <c r="A467" s="59">
        <f>A466+1</f>
        <v>347</v>
      </c>
      <c r="B467" s="66" t="s">
        <v>2046</v>
      </c>
      <c r="C467" s="50">
        <f>D467+K467+L467+N467+P467+R467+S467+U467+V467+W467</f>
        <v>3614954.4</v>
      </c>
      <c r="D467" s="51">
        <f t="shared" si="114"/>
        <v>0</v>
      </c>
      <c r="E467" s="51"/>
      <c r="F467" s="51"/>
      <c r="G467" s="50"/>
      <c r="H467" s="50"/>
      <c r="I467" s="51"/>
      <c r="J467" s="51"/>
      <c r="K467" s="51"/>
      <c r="L467" s="51"/>
      <c r="M467" s="51"/>
      <c r="N467" s="50"/>
      <c r="O467" s="82"/>
      <c r="P467" s="50"/>
      <c r="Q467" s="82">
        <v>679</v>
      </c>
      <c r="R467" s="50">
        <v>3614954.4</v>
      </c>
      <c r="S467" s="68"/>
      <c r="T467" s="82"/>
      <c r="U467" s="51"/>
      <c r="V467" s="51"/>
      <c r="W467" s="35"/>
      <c r="X467" s="141"/>
      <c r="Y467" s="48"/>
      <c r="Z467" s="48"/>
      <c r="AA467" s="48"/>
      <c r="AB467" s="48"/>
      <c r="AC467" s="48"/>
      <c r="AD467" s="48"/>
      <c r="AE467" s="61"/>
      <c r="AF467" s="62"/>
      <c r="AG467" s="62"/>
      <c r="AH467" s="62"/>
    </row>
    <row r="468" spans="1:38" x14ac:dyDescent="0.3">
      <c r="A468" s="59">
        <f t="shared" ref="A468:A470" si="115">A467+1</f>
        <v>348</v>
      </c>
      <c r="B468" s="66" t="s">
        <v>2047</v>
      </c>
      <c r="C468" s="50">
        <f>D468+K468+L468+N468+P468+R468+S468+U468+V468+W468</f>
        <v>5173819.2</v>
      </c>
      <c r="D468" s="51">
        <f t="shared" si="114"/>
        <v>0</v>
      </c>
      <c r="E468" s="51"/>
      <c r="F468" s="51"/>
      <c r="G468" s="50"/>
      <c r="H468" s="50"/>
      <c r="I468" s="51"/>
      <c r="J468" s="51"/>
      <c r="K468" s="51"/>
      <c r="L468" s="51"/>
      <c r="M468" s="51"/>
      <c r="N468" s="50"/>
      <c r="O468" s="82"/>
      <c r="P468" s="50"/>
      <c r="Q468" s="82">
        <v>551.4</v>
      </c>
      <c r="R468" s="50">
        <v>5173819.2</v>
      </c>
      <c r="S468" s="68"/>
      <c r="T468" s="82"/>
      <c r="U468" s="51"/>
      <c r="V468" s="51"/>
      <c r="W468" s="35"/>
      <c r="X468" s="141"/>
      <c r="Y468" s="48"/>
      <c r="Z468" s="48"/>
      <c r="AA468" s="48"/>
      <c r="AB468" s="48"/>
      <c r="AC468" s="48"/>
      <c r="AD468" s="48"/>
      <c r="AE468" s="61"/>
      <c r="AF468" s="62"/>
      <c r="AG468" s="62"/>
      <c r="AH468" s="62"/>
    </row>
    <row r="469" spans="1:38" x14ac:dyDescent="0.3">
      <c r="A469" s="59">
        <f t="shared" si="115"/>
        <v>349</v>
      </c>
      <c r="B469" s="66" t="s">
        <v>2049</v>
      </c>
      <c r="C469" s="50">
        <f>D469+K469+L469+N469+P469+R469+S469+U469+V469+W469</f>
        <v>14301961.199999999</v>
      </c>
      <c r="D469" s="51">
        <f t="shared" si="114"/>
        <v>0</v>
      </c>
      <c r="E469" s="50"/>
      <c r="F469" s="51"/>
      <c r="G469" s="50"/>
      <c r="H469" s="50"/>
      <c r="I469" s="51"/>
      <c r="J469" s="51"/>
      <c r="K469" s="51"/>
      <c r="L469" s="51"/>
      <c r="M469" s="51"/>
      <c r="N469" s="50"/>
      <c r="O469" s="82"/>
      <c r="P469" s="50"/>
      <c r="Q469" s="82">
        <v>976</v>
      </c>
      <c r="R469" s="50">
        <v>14301961.199999999</v>
      </c>
      <c r="S469" s="68"/>
      <c r="T469" s="82"/>
      <c r="U469" s="51"/>
      <c r="V469" s="51"/>
      <c r="W469" s="35"/>
      <c r="X469" s="141"/>
      <c r="Y469" s="48">
        <v>110445.01</v>
      </c>
      <c r="Z469" s="48"/>
      <c r="AA469" s="48"/>
      <c r="AB469" s="48"/>
      <c r="AC469" s="48"/>
      <c r="AD469" s="48"/>
      <c r="AE469" s="61">
        <v>58111.38</v>
      </c>
      <c r="AF469" s="62"/>
      <c r="AG469" s="62"/>
      <c r="AH469" s="62"/>
    </row>
    <row r="470" spans="1:38" x14ac:dyDescent="0.3">
      <c r="A470" s="59">
        <f t="shared" si="115"/>
        <v>350</v>
      </c>
      <c r="B470" s="66" t="s">
        <v>2050</v>
      </c>
      <c r="C470" s="50">
        <f>D470+K470+L470+N470+P470+R470+S470+U470+V470+W470</f>
        <v>4017582</v>
      </c>
      <c r="D470" s="51">
        <f t="shared" si="114"/>
        <v>0</v>
      </c>
      <c r="E470" s="50"/>
      <c r="F470" s="51"/>
      <c r="G470" s="50"/>
      <c r="H470" s="50"/>
      <c r="I470" s="51"/>
      <c r="J470" s="51"/>
      <c r="K470" s="51"/>
      <c r="L470" s="51"/>
      <c r="M470" s="51"/>
      <c r="N470" s="50"/>
      <c r="O470" s="82"/>
      <c r="P470" s="50"/>
      <c r="Q470" s="82">
        <v>394.32</v>
      </c>
      <c r="R470" s="50">
        <v>4017582</v>
      </c>
      <c r="S470" s="68"/>
      <c r="T470" s="82"/>
      <c r="U470" s="51"/>
      <c r="V470" s="51"/>
      <c r="W470" s="35"/>
      <c r="X470" s="141"/>
      <c r="Y470" s="48">
        <v>120465.47</v>
      </c>
      <c r="Z470" s="48"/>
      <c r="AA470" s="48"/>
      <c r="AB470" s="48"/>
      <c r="AC470" s="48"/>
      <c r="AD470" s="48"/>
      <c r="AE470" s="61">
        <v>185530.97</v>
      </c>
      <c r="AF470" s="62"/>
      <c r="AG470" s="62"/>
      <c r="AH470" s="62"/>
    </row>
    <row r="471" spans="1:38" x14ac:dyDescent="0.3">
      <c r="A471" s="177"/>
      <c r="B471" s="66" t="s">
        <v>211</v>
      </c>
      <c r="C471" s="62">
        <f>SUM(C466:C470)</f>
        <v>31420128</v>
      </c>
      <c r="D471" s="62">
        <f t="shared" ref="D471:W471" si="116">SUM(D466:D470)</f>
        <v>0</v>
      </c>
      <c r="E471" s="62">
        <f t="shared" si="116"/>
        <v>0</v>
      </c>
      <c r="F471" s="62">
        <f t="shared" si="116"/>
        <v>0</v>
      </c>
      <c r="G471" s="62">
        <f t="shared" si="116"/>
        <v>0</v>
      </c>
      <c r="H471" s="62">
        <f t="shared" si="116"/>
        <v>0</v>
      </c>
      <c r="I471" s="62">
        <f t="shared" si="116"/>
        <v>0</v>
      </c>
      <c r="J471" s="62">
        <f t="shared" si="116"/>
        <v>0</v>
      </c>
      <c r="K471" s="62">
        <f t="shared" si="116"/>
        <v>0</v>
      </c>
      <c r="L471" s="62">
        <f t="shared" si="116"/>
        <v>0</v>
      </c>
      <c r="M471" s="62">
        <f t="shared" si="116"/>
        <v>0</v>
      </c>
      <c r="N471" s="62">
        <f t="shared" si="116"/>
        <v>0</v>
      </c>
      <c r="O471" s="54">
        <f t="shared" si="116"/>
        <v>0</v>
      </c>
      <c r="P471" s="62">
        <f t="shared" si="116"/>
        <v>0</v>
      </c>
      <c r="Q471" s="54">
        <f t="shared" si="116"/>
        <v>3170.7200000000003</v>
      </c>
      <c r="R471" s="62">
        <f t="shared" si="116"/>
        <v>31420128</v>
      </c>
      <c r="S471" s="54">
        <f t="shared" si="116"/>
        <v>0</v>
      </c>
      <c r="T471" s="54">
        <f t="shared" si="116"/>
        <v>0</v>
      </c>
      <c r="U471" s="62">
        <f t="shared" si="116"/>
        <v>0</v>
      </c>
      <c r="V471" s="62">
        <f t="shared" si="116"/>
        <v>0</v>
      </c>
      <c r="W471" s="36">
        <f t="shared" si="116"/>
        <v>0</v>
      </c>
      <c r="X471" s="9"/>
      <c r="Y471" s="9"/>
      <c r="Z471" s="9"/>
      <c r="AA471" s="9"/>
      <c r="AB471" s="9"/>
      <c r="AC471" s="9"/>
      <c r="AD471" s="9"/>
      <c r="AE471" s="306"/>
      <c r="AF471" s="302"/>
      <c r="AG471" s="302"/>
      <c r="AH471" s="302"/>
    </row>
    <row r="472" spans="1:38" ht="31.2" x14ac:dyDescent="0.3">
      <c r="A472" s="177"/>
      <c r="B472" s="131" t="s">
        <v>2051</v>
      </c>
      <c r="C472" s="50">
        <f t="shared" ref="C472:W472" si="117">C454+C464+C471</f>
        <v>65661856.600000001</v>
      </c>
      <c r="D472" s="50">
        <f t="shared" si="117"/>
        <v>0</v>
      </c>
      <c r="E472" s="50">
        <f t="shared" si="117"/>
        <v>0</v>
      </c>
      <c r="F472" s="50">
        <f t="shared" si="117"/>
        <v>0</v>
      </c>
      <c r="G472" s="50">
        <f t="shared" si="117"/>
        <v>0</v>
      </c>
      <c r="H472" s="50">
        <f t="shared" si="117"/>
        <v>0</v>
      </c>
      <c r="I472" s="50">
        <f t="shared" si="117"/>
        <v>0</v>
      </c>
      <c r="J472" s="50">
        <f t="shared" si="117"/>
        <v>0</v>
      </c>
      <c r="K472" s="50">
        <f t="shared" si="117"/>
        <v>0</v>
      </c>
      <c r="L472" s="50">
        <f t="shared" si="117"/>
        <v>0</v>
      </c>
      <c r="M472" s="50">
        <f t="shared" si="117"/>
        <v>0</v>
      </c>
      <c r="N472" s="50">
        <f t="shared" si="117"/>
        <v>0</v>
      </c>
      <c r="O472" s="68">
        <f t="shared" si="117"/>
        <v>0</v>
      </c>
      <c r="P472" s="50">
        <f t="shared" si="117"/>
        <v>0</v>
      </c>
      <c r="Q472" s="68">
        <f t="shared" si="117"/>
        <v>6087.42</v>
      </c>
      <c r="R472" s="50">
        <f t="shared" si="117"/>
        <v>64751856.600000001</v>
      </c>
      <c r="S472" s="68">
        <f t="shared" si="117"/>
        <v>0</v>
      </c>
      <c r="T472" s="68">
        <f t="shared" si="117"/>
        <v>0</v>
      </c>
      <c r="U472" s="50">
        <f t="shared" si="117"/>
        <v>0</v>
      </c>
      <c r="V472" s="50">
        <f t="shared" si="117"/>
        <v>0</v>
      </c>
      <c r="W472" s="34">
        <f t="shared" si="117"/>
        <v>650000</v>
      </c>
      <c r="X472" s="9"/>
      <c r="Y472" s="9"/>
      <c r="Z472" s="9"/>
      <c r="AA472" s="9"/>
      <c r="AB472" s="9"/>
      <c r="AC472" s="9"/>
      <c r="AD472" s="9"/>
      <c r="AE472" s="306"/>
      <c r="AF472" s="302"/>
      <c r="AG472" s="302"/>
      <c r="AH472" s="302"/>
    </row>
    <row r="473" spans="1:38" x14ac:dyDescent="0.3">
      <c r="A473" s="540" t="s">
        <v>2052</v>
      </c>
      <c r="B473" s="540"/>
      <c r="C473" s="50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0"/>
      <c r="O473" s="82"/>
      <c r="P473" s="51"/>
      <c r="Q473" s="82"/>
      <c r="R473" s="50"/>
      <c r="S473" s="68"/>
      <c r="T473" s="68"/>
      <c r="U473" s="51"/>
      <c r="V473" s="51"/>
      <c r="W473" s="35"/>
      <c r="X473" s="141"/>
      <c r="Y473" s="48"/>
      <c r="Z473" s="48"/>
      <c r="AA473" s="48"/>
      <c r="AB473" s="48"/>
      <c r="AC473" s="48"/>
      <c r="AD473" s="48"/>
      <c r="AE473" s="48"/>
      <c r="AF473" s="48"/>
      <c r="AG473" s="57"/>
      <c r="AH473" s="58"/>
      <c r="AI473" s="58"/>
      <c r="AJ473" s="58"/>
      <c r="AK473" s="58"/>
      <c r="AL473" s="56"/>
    </row>
    <row r="474" spans="1:38" x14ac:dyDescent="0.3">
      <c r="A474" s="463" t="s">
        <v>2053</v>
      </c>
      <c r="B474" s="463"/>
      <c r="C474" s="50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0"/>
      <c r="O474" s="82"/>
      <c r="P474" s="51"/>
      <c r="Q474" s="82"/>
      <c r="R474" s="50"/>
      <c r="S474" s="68"/>
      <c r="T474" s="68"/>
      <c r="U474" s="51"/>
      <c r="V474" s="51"/>
      <c r="W474" s="35"/>
      <c r="X474" s="141"/>
      <c r="Y474" s="48"/>
      <c r="Z474" s="48"/>
      <c r="AA474" s="48"/>
      <c r="AB474" s="48"/>
      <c r="AC474" s="48"/>
      <c r="AD474" s="48"/>
      <c r="AE474" s="48"/>
      <c r="AF474" s="48"/>
      <c r="AG474" s="57"/>
      <c r="AH474" s="58"/>
      <c r="AI474" s="58"/>
      <c r="AJ474" s="58"/>
      <c r="AK474" s="58"/>
      <c r="AL474" s="56"/>
    </row>
    <row r="475" spans="1:38" x14ac:dyDescent="0.3">
      <c r="A475" s="59">
        <f>A470+1</f>
        <v>351</v>
      </c>
      <c r="B475" s="66" t="s">
        <v>2054</v>
      </c>
      <c r="C475" s="50">
        <f>D475+K475+L475+N475+P475+R475+T475+V475+W475+X475</f>
        <v>535122.66999999993</v>
      </c>
      <c r="D475" s="51">
        <f>E475+F475+G475+H475+I475</f>
        <v>0</v>
      </c>
      <c r="E475" s="50"/>
      <c r="F475" s="51"/>
      <c r="G475" s="51"/>
      <c r="H475" s="51"/>
      <c r="I475" s="51"/>
      <c r="J475" s="51"/>
      <c r="K475" s="51"/>
      <c r="L475" s="51"/>
      <c r="M475" s="51"/>
      <c r="N475" s="50"/>
      <c r="O475" s="82"/>
      <c r="P475" s="51"/>
      <c r="Q475" s="82"/>
      <c r="R475" s="50"/>
      <c r="S475" s="68"/>
      <c r="T475" s="68"/>
      <c r="U475" s="51"/>
      <c r="V475" s="51"/>
      <c r="W475" s="35"/>
      <c r="X475" s="141">
        <f>Z475+AF475+AG475+AH475+AI475+AJ475+AK475</f>
        <v>535122.66999999993</v>
      </c>
      <c r="Y475" s="48"/>
      <c r="Z475" s="48">
        <v>76991.11</v>
      </c>
      <c r="AA475" s="48"/>
      <c r="AB475" s="48"/>
      <c r="AC475" s="48"/>
      <c r="AD475" s="48"/>
      <c r="AE475" s="48"/>
      <c r="AF475" s="48">
        <v>151096</v>
      </c>
      <c r="AG475" s="57"/>
      <c r="AH475" s="58">
        <v>307035.56</v>
      </c>
      <c r="AI475" s="58"/>
      <c r="AJ475" s="58"/>
      <c r="AK475" s="58"/>
      <c r="AL475" s="56" t="s">
        <v>2055</v>
      </c>
    </row>
    <row r="476" spans="1:38" x14ac:dyDescent="0.3">
      <c r="A476" s="59">
        <f>A475+1</f>
        <v>352</v>
      </c>
      <c r="B476" s="66" t="s">
        <v>2056</v>
      </c>
      <c r="C476" s="50">
        <f>D476+K476+L476+N476+P476+R476+T476+V476+W476+X476</f>
        <v>500396.4</v>
      </c>
      <c r="D476" s="51">
        <f>E476+F476+G476+H476+I476</f>
        <v>0</v>
      </c>
      <c r="E476" s="50"/>
      <c r="F476" s="51"/>
      <c r="G476" s="51"/>
      <c r="H476" s="51"/>
      <c r="I476" s="50"/>
      <c r="J476" s="51"/>
      <c r="K476" s="51"/>
      <c r="L476" s="51"/>
      <c r="M476" s="51"/>
      <c r="N476" s="50"/>
      <c r="O476" s="82"/>
      <c r="P476" s="51"/>
      <c r="Q476" s="82"/>
      <c r="R476" s="50"/>
      <c r="S476" s="68"/>
      <c r="T476" s="68"/>
      <c r="U476" s="51"/>
      <c r="V476" s="50"/>
      <c r="W476" s="35"/>
      <c r="X476" s="141">
        <f>Z476+AF476+AG476+AH476+AI476+AJ476+AK476</f>
        <v>500396.4</v>
      </c>
      <c r="Y476" s="48"/>
      <c r="Z476" s="48">
        <v>54819.839999999997</v>
      </c>
      <c r="AA476" s="48">
        <v>53951.24</v>
      </c>
      <c r="AB476" s="48"/>
      <c r="AC476" s="48"/>
      <c r="AD476" s="48"/>
      <c r="AE476" s="48"/>
      <c r="AF476" s="48">
        <v>116335.03999999999</v>
      </c>
      <c r="AG476" s="57"/>
      <c r="AH476" s="58">
        <v>225396.06</v>
      </c>
      <c r="AI476" s="58">
        <v>103845.46</v>
      </c>
      <c r="AJ476" s="58"/>
      <c r="AK476" s="58"/>
      <c r="AL476" s="56"/>
    </row>
    <row r="477" spans="1:38" x14ac:dyDescent="0.3">
      <c r="A477" s="59">
        <f>A476+1</f>
        <v>353</v>
      </c>
      <c r="B477" s="66" t="s">
        <v>2057</v>
      </c>
      <c r="C477" s="50">
        <f>D477+K477+L477+N477+P477+R477+T477+V477+W477+X477</f>
        <v>420437.54000000004</v>
      </c>
      <c r="D477" s="51">
        <f>E477+F477+G477+H477+I477</f>
        <v>0</v>
      </c>
      <c r="E477" s="51"/>
      <c r="F477" s="51"/>
      <c r="G477" s="51"/>
      <c r="H477" s="51"/>
      <c r="I477" s="51"/>
      <c r="J477" s="51"/>
      <c r="K477" s="51"/>
      <c r="L477" s="51"/>
      <c r="M477" s="51"/>
      <c r="N477" s="50"/>
      <c r="O477" s="82"/>
      <c r="P477" s="51"/>
      <c r="Q477" s="82"/>
      <c r="R477" s="50"/>
      <c r="S477" s="68"/>
      <c r="T477" s="68"/>
      <c r="U477" s="51"/>
      <c r="V477" s="51"/>
      <c r="W477" s="35"/>
      <c r="X477" s="141">
        <f>Z477+AF477+AG477+AH477+AI477+AJ477+AK477</f>
        <v>420437.54000000004</v>
      </c>
      <c r="Y477" s="48"/>
      <c r="Z477" s="48"/>
      <c r="AA477" s="48"/>
      <c r="AB477" s="48"/>
      <c r="AC477" s="48"/>
      <c r="AD477" s="48"/>
      <c r="AE477" s="48"/>
      <c r="AF477" s="48">
        <v>139839.34</v>
      </c>
      <c r="AG477" s="57"/>
      <c r="AH477" s="58">
        <v>280598.2</v>
      </c>
      <c r="AI477" s="58"/>
      <c r="AJ477" s="58"/>
      <c r="AK477" s="58"/>
      <c r="AL477" s="56" t="s">
        <v>2058</v>
      </c>
    </row>
    <row r="478" spans="1:38" x14ac:dyDescent="0.3">
      <c r="A478" s="59"/>
      <c r="B478" s="66" t="s">
        <v>211</v>
      </c>
      <c r="C478" s="50">
        <f t="shared" ref="C478:X478" si="118">SUM(C475:C477)</f>
        <v>1455956.6099999999</v>
      </c>
      <c r="D478" s="50">
        <f t="shared" si="118"/>
        <v>0</v>
      </c>
      <c r="E478" s="50">
        <f t="shared" si="118"/>
        <v>0</v>
      </c>
      <c r="F478" s="50">
        <f t="shared" si="118"/>
        <v>0</v>
      </c>
      <c r="G478" s="50">
        <f t="shared" si="118"/>
        <v>0</v>
      </c>
      <c r="H478" s="50">
        <f t="shared" si="118"/>
        <v>0</v>
      </c>
      <c r="I478" s="50">
        <f t="shared" si="118"/>
        <v>0</v>
      </c>
      <c r="J478" s="50">
        <f t="shared" si="118"/>
        <v>0</v>
      </c>
      <c r="K478" s="50">
        <f t="shared" si="118"/>
        <v>0</v>
      </c>
      <c r="L478" s="50">
        <f t="shared" si="118"/>
        <v>0</v>
      </c>
      <c r="M478" s="50">
        <f t="shared" si="118"/>
        <v>0</v>
      </c>
      <c r="N478" s="50">
        <f t="shared" si="118"/>
        <v>0</v>
      </c>
      <c r="O478" s="68">
        <f t="shared" si="118"/>
        <v>0</v>
      </c>
      <c r="P478" s="50">
        <f t="shared" si="118"/>
        <v>0</v>
      </c>
      <c r="Q478" s="68">
        <f t="shared" si="118"/>
        <v>0</v>
      </c>
      <c r="R478" s="50">
        <f t="shared" si="118"/>
        <v>0</v>
      </c>
      <c r="S478" s="68">
        <f t="shared" si="118"/>
        <v>0</v>
      </c>
      <c r="T478" s="68">
        <f t="shared" si="118"/>
        <v>0</v>
      </c>
      <c r="U478" s="50">
        <f t="shared" si="118"/>
        <v>0</v>
      </c>
      <c r="V478" s="50">
        <f t="shared" si="118"/>
        <v>0</v>
      </c>
      <c r="W478" s="34">
        <f t="shared" si="118"/>
        <v>0</v>
      </c>
      <c r="X478" s="304">
        <f t="shared" si="118"/>
        <v>1455956.6099999999</v>
      </c>
      <c r="Y478" s="48"/>
      <c r="Z478" s="48"/>
      <c r="AA478" s="48"/>
      <c r="AB478" s="48"/>
      <c r="AC478" s="48"/>
      <c r="AD478" s="48"/>
      <c r="AE478" s="48"/>
      <c r="AF478" s="48"/>
      <c r="AG478" s="57"/>
      <c r="AH478" s="58"/>
      <c r="AI478" s="58"/>
      <c r="AJ478" s="58"/>
      <c r="AK478" s="58"/>
      <c r="AL478" s="56"/>
    </row>
    <row r="479" spans="1:38" x14ac:dyDescent="0.3">
      <c r="A479" s="463" t="s">
        <v>2059</v>
      </c>
      <c r="B479" s="463"/>
      <c r="C479" s="50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0"/>
      <c r="O479" s="82"/>
      <c r="P479" s="51"/>
      <c r="Q479" s="82"/>
      <c r="R479" s="50"/>
      <c r="S479" s="68"/>
      <c r="T479" s="68"/>
      <c r="U479" s="51"/>
      <c r="V479" s="51"/>
      <c r="W479" s="35"/>
      <c r="X479" s="141"/>
      <c r="Y479" s="48"/>
      <c r="Z479" s="48"/>
      <c r="AA479" s="48"/>
      <c r="AB479" s="48"/>
      <c r="AC479" s="48"/>
      <c r="AD479" s="48"/>
      <c r="AE479" s="48"/>
      <c r="AF479" s="48"/>
      <c r="AG479" s="57"/>
      <c r="AH479" s="58"/>
      <c r="AI479" s="58"/>
      <c r="AJ479" s="58"/>
      <c r="AK479" s="58"/>
      <c r="AL479" s="56"/>
    </row>
    <row r="480" spans="1:38" x14ac:dyDescent="0.3">
      <c r="A480" s="59">
        <f>A477+1</f>
        <v>354</v>
      </c>
      <c r="B480" s="66" t="s">
        <v>2062</v>
      </c>
      <c r="C480" s="50">
        <f>D480+K480+L480+N480+P480+R480+T480+V480+W480+X480</f>
        <v>3234576</v>
      </c>
      <c r="D480" s="51">
        <f>E480+F480+G480+H480+I480</f>
        <v>0</v>
      </c>
      <c r="E480" s="50"/>
      <c r="F480" s="51"/>
      <c r="G480" s="51"/>
      <c r="H480" s="51"/>
      <c r="I480" s="51"/>
      <c r="J480" s="51"/>
      <c r="K480" s="51"/>
      <c r="L480" s="51"/>
      <c r="M480" s="51"/>
      <c r="N480" s="50"/>
      <c r="O480" s="82"/>
      <c r="P480" s="51"/>
      <c r="Q480" s="82">
        <v>503</v>
      </c>
      <c r="R480" s="50">
        <v>3234576</v>
      </c>
      <c r="S480" s="68"/>
      <c r="T480" s="68"/>
      <c r="U480" s="51"/>
      <c r="V480" s="51"/>
      <c r="W480" s="35"/>
      <c r="X480" s="141"/>
      <c r="Y480" s="48"/>
      <c r="Z480" s="48">
        <v>120758.05</v>
      </c>
      <c r="AA480" s="48"/>
      <c r="AB480" s="48"/>
      <c r="AC480" s="48"/>
      <c r="AD480" s="48"/>
      <c r="AE480" s="48"/>
      <c r="AF480" s="48"/>
      <c r="AG480" s="57"/>
      <c r="AH480" s="58"/>
      <c r="AI480" s="58"/>
      <c r="AJ480" s="58"/>
      <c r="AK480" s="58"/>
      <c r="AL480" s="56"/>
    </row>
    <row r="481" spans="1:38" x14ac:dyDescent="0.3">
      <c r="A481" s="59"/>
      <c r="B481" s="66" t="s">
        <v>211</v>
      </c>
      <c r="C481" s="50">
        <f t="shared" ref="C481:X481" si="119">SUM(C480:C480)</f>
        <v>3234576</v>
      </c>
      <c r="D481" s="50">
        <f t="shared" si="119"/>
        <v>0</v>
      </c>
      <c r="E481" s="50">
        <f t="shared" si="119"/>
        <v>0</v>
      </c>
      <c r="F481" s="50">
        <f t="shared" si="119"/>
        <v>0</v>
      </c>
      <c r="G481" s="50">
        <f t="shared" si="119"/>
        <v>0</v>
      </c>
      <c r="H481" s="50">
        <f t="shared" si="119"/>
        <v>0</v>
      </c>
      <c r="I481" s="50">
        <f t="shared" si="119"/>
        <v>0</v>
      </c>
      <c r="J481" s="50">
        <f t="shared" si="119"/>
        <v>0</v>
      </c>
      <c r="K481" s="50">
        <f t="shared" si="119"/>
        <v>0</v>
      </c>
      <c r="L481" s="50">
        <f t="shared" si="119"/>
        <v>0</v>
      </c>
      <c r="M481" s="50">
        <f t="shared" si="119"/>
        <v>0</v>
      </c>
      <c r="N481" s="50">
        <f t="shared" si="119"/>
        <v>0</v>
      </c>
      <c r="O481" s="68">
        <f t="shared" si="119"/>
        <v>0</v>
      </c>
      <c r="P481" s="50">
        <f t="shared" si="119"/>
        <v>0</v>
      </c>
      <c r="Q481" s="68">
        <f t="shared" si="119"/>
        <v>503</v>
      </c>
      <c r="R481" s="50">
        <f t="shared" si="119"/>
        <v>3234576</v>
      </c>
      <c r="S481" s="68">
        <f t="shared" si="119"/>
        <v>0</v>
      </c>
      <c r="T481" s="68">
        <f t="shared" si="119"/>
        <v>0</v>
      </c>
      <c r="U481" s="50">
        <f t="shared" si="119"/>
        <v>0</v>
      </c>
      <c r="V481" s="50">
        <f t="shared" si="119"/>
        <v>0</v>
      </c>
      <c r="W481" s="34">
        <f t="shared" si="119"/>
        <v>0</v>
      </c>
      <c r="X481" s="304">
        <f t="shared" si="119"/>
        <v>0</v>
      </c>
      <c r="Y481" s="48"/>
      <c r="Z481" s="48"/>
      <c r="AA481" s="48"/>
      <c r="AB481" s="48"/>
      <c r="AC481" s="48"/>
      <c r="AD481" s="48"/>
      <c r="AE481" s="48"/>
      <c r="AF481" s="48"/>
      <c r="AG481" s="57"/>
      <c r="AH481" s="58"/>
      <c r="AI481" s="58"/>
      <c r="AJ481" s="58"/>
      <c r="AK481" s="58"/>
      <c r="AL481" s="56"/>
    </row>
    <row r="482" spans="1:38" x14ac:dyDescent="0.3">
      <c r="A482" s="463" t="s">
        <v>2072</v>
      </c>
      <c r="B482" s="463"/>
      <c r="C482" s="50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0"/>
      <c r="O482" s="82"/>
      <c r="P482" s="51"/>
      <c r="Q482" s="82"/>
      <c r="R482" s="50"/>
      <c r="S482" s="68"/>
      <c r="T482" s="68"/>
      <c r="U482" s="51"/>
      <c r="V482" s="51"/>
      <c r="W482" s="35"/>
      <c r="X482" s="141"/>
      <c r="Y482" s="48"/>
      <c r="Z482" s="48"/>
      <c r="AA482" s="48"/>
      <c r="AB482" s="48"/>
      <c r="AC482" s="48"/>
      <c r="AD482" s="48"/>
      <c r="AE482" s="48"/>
      <c r="AF482" s="48"/>
      <c r="AG482" s="57"/>
      <c r="AH482" s="58"/>
      <c r="AI482" s="58"/>
      <c r="AJ482" s="58"/>
      <c r="AK482" s="58"/>
      <c r="AL482" s="56"/>
    </row>
    <row r="483" spans="1:38" x14ac:dyDescent="0.3">
      <c r="A483" s="59">
        <f>A480+1</f>
        <v>355</v>
      </c>
      <c r="B483" s="66" t="s">
        <v>2074</v>
      </c>
      <c r="C483" s="50">
        <f t="shared" ref="C483:C497" si="120">D483+K483+L483+N483+P483+R483+S483+V483+W483+X483</f>
        <v>40433824.799999997</v>
      </c>
      <c r="D483" s="51">
        <f t="shared" ref="D483:D497" si="121">E483+F483+G483+H483+I483</f>
        <v>0</v>
      </c>
      <c r="E483" s="51"/>
      <c r="F483" s="51"/>
      <c r="G483" s="51"/>
      <c r="H483" s="51"/>
      <c r="I483" s="51"/>
      <c r="J483" s="51"/>
      <c r="K483" s="51"/>
      <c r="L483" s="51"/>
      <c r="M483" s="51"/>
      <c r="N483" s="50"/>
      <c r="O483" s="82"/>
      <c r="P483" s="51"/>
      <c r="Q483" s="82">
        <v>3440.5</v>
      </c>
      <c r="R483" s="50">
        <v>40433824.799999997</v>
      </c>
      <c r="S483" s="68"/>
      <c r="T483" s="345"/>
      <c r="U483" s="51"/>
      <c r="V483" s="51"/>
      <c r="W483" s="35"/>
      <c r="X483" s="141"/>
      <c r="Y483" s="48"/>
      <c r="Z483" s="48"/>
      <c r="AA483" s="48"/>
      <c r="AB483" s="48"/>
      <c r="AC483" s="48"/>
      <c r="AD483" s="48"/>
      <c r="AE483" s="48"/>
      <c r="AF483" s="48"/>
      <c r="AG483" s="57"/>
      <c r="AH483" s="58"/>
      <c r="AI483" s="58"/>
      <c r="AJ483" s="58"/>
      <c r="AK483" s="58"/>
      <c r="AL483" s="56"/>
    </row>
    <row r="484" spans="1:38" x14ac:dyDescent="0.3">
      <c r="A484" s="59">
        <f>A483+1</f>
        <v>356</v>
      </c>
      <c r="B484" s="66" t="s">
        <v>2077</v>
      </c>
      <c r="C484" s="50">
        <f t="shared" si="120"/>
        <v>75425814</v>
      </c>
      <c r="D484" s="51">
        <f t="shared" si="121"/>
        <v>0</v>
      </c>
      <c r="E484" s="51"/>
      <c r="F484" s="51"/>
      <c r="G484" s="51"/>
      <c r="H484" s="51"/>
      <c r="I484" s="51"/>
      <c r="J484" s="51"/>
      <c r="K484" s="51"/>
      <c r="L484" s="51"/>
      <c r="M484" s="51"/>
      <c r="N484" s="50"/>
      <c r="O484" s="82"/>
      <c r="P484" s="51"/>
      <c r="Q484" s="82">
        <v>3440.5</v>
      </c>
      <c r="R484" s="50">
        <v>75425814</v>
      </c>
      <c r="S484" s="68"/>
      <c r="T484" s="345"/>
      <c r="U484" s="51"/>
      <c r="V484" s="51"/>
      <c r="W484" s="35"/>
      <c r="X484" s="141"/>
      <c r="Y484" s="51"/>
      <c r="Z484" s="48"/>
      <c r="AA484" s="48"/>
      <c r="AB484" s="48"/>
      <c r="AC484" s="48"/>
      <c r="AD484" s="48"/>
      <c r="AE484" s="48"/>
      <c r="AF484" s="48"/>
      <c r="AG484" s="57"/>
      <c r="AH484" s="58"/>
      <c r="AI484" s="58"/>
      <c r="AJ484" s="58"/>
      <c r="AK484" s="58"/>
      <c r="AL484" s="56"/>
    </row>
    <row r="485" spans="1:38" x14ac:dyDescent="0.3">
      <c r="A485" s="59">
        <f>A484+1</f>
        <v>357</v>
      </c>
      <c r="B485" s="66" t="s">
        <v>2078</v>
      </c>
      <c r="C485" s="50">
        <f t="shared" si="120"/>
        <v>37478562</v>
      </c>
      <c r="D485" s="51">
        <f t="shared" si="121"/>
        <v>0</v>
      </c>
      <c r="E485" s="51"/>
      <c r="F485" s="51"/>
      <c r="G485" s="51"/>
      <c r="H485" s="51"/>
      <c r="I485" s="51"/>
      <c r="J485" s="51"/>
      <c r="K485" s="51"/>
      <c r="L485" s="51"/>
      <c r="M485" s="51"/>
      <c r="N485" s="50"/>
      <c r="O485" s="82"/>
      <c r="P485" s="51"/>
      <c r="Q485" s="82">
        <v>2800</v>
      </c>
      <c r="R485" s="50">
        <v>37478562</v>
      </c>
      <c r="S485" s="68"/>
      <c r="T485" s="345"/>
      <c r="U485" s="51"/>
      <c r="V485" s="51"/>
      <c r="W485" s="35"/>
      <c r="X485" s="141"/>
      <c r="Y485" s="51"/>
      <c r="Z485" s="48"/>
      <c r="AA485" s="48"/>
      <c r="AB485" s="48"/>
      <c r="AC485" s="48"/>
      <c r="AD485" s="48"/>
      <c r="AE485" s="48"/>
      <c r="AF485" s="48"/>
      <c r="AG485" s="57"/>
      <c r="AH485" s="58"/>
      <c r="AI485" s="58"/>
      <c r="AJ485" s="58"/>
      <c r="AK485" s="58"/>
      <c r="AL485" s="56"/>
    </row>
    <row r="486" spans="1:38" x14ac:dyDescent="0.3">
      <c r="A486" s="59">
        <f t="shared" ref="A486:A497" si="122">A485+1</f>
        <v>358</v>
      </c>
      <c r="B486" s="66" t="s">
        <v>2079</v>
      </c>
      <c r="C486" s="50">
        <f t="shared" si="120"/>
        <v>72717076.799999997</v>
      </c>
      <c r="D486" s="51">
        <f t="shared" si="121"/>
        <v>0</v>
      </c>
      <c r="E486" s="51"/>
      <c r="F486" s="51"/>
      <c r="G486" s="51"/>
      <c r="H486" s="51"/>
      <c r="I486" s="51"/>
      <c r="J486" s="51"/>
      <c r="K486" s="51"/>
      <c r="L486" s="51"/>
      <c r="M486" s="51"/>
      <c r="N486" s="50"/>
      <c r="O486" s="82"/>
      <c r="P486" s="51"/>
      <c r="Q486" s="82">
        <v>4320</v>
      </c>
      <c r="R486" s="50">
        <v>72717076.799999997</v>
      </c>
      <c r="S486" s="68"/>
      <c r="T486" s="345"/>
      <c r="U486" s="51"/>
      <c r="V486" s="51"/>
      <c r="W486" s="35"/>
      <c r="X486" s="141"/>
      <c r="Y486" s="51"/>
      <c r="Z486" s="48"/>
      <c r="AA486" s="48"/>
      <c r="AB486" s="48"/>
      <c r="AC486" s="48"/>
      <c r="AD486" s="48"/>
      <c r="AE486" s="48"/>
      <c r="AF486" s="48"/>
      <c r="AG486" s="57"/>
      <c r="AH486" s="58"/>
      <c r="AI486" s="58"/>
      <c r="AJ486" s="58"/>
      <c r="AK486" s="58"/>
      <c r="AL486" s="56"/>
    </row>
    <row r="487" spans="1:38" x14ac:dyDescent="0.3">
      <c r="A487" s="59">
        <f t="shared" si="122"/>
        <v>359</v>
      </c>
      <c r="B487" s="66" t="s">
        <v>2082</v>
      </c>
      <c r="C487" s="50">
        <f t="shared" si="120"/>
        <v>50112697.200000003</v>
      </c>
      <c r="D487" s="51">
        <f t="shared" si="121"/>
        <v>0</v>
      </c>
      <c r="E487" s="51"/>
      <c r="F487" s="51"/>
      <c r="G487" s="51"/>
      <c r="H487" s="51"/>
      <c r="I487" s="51"/>
      <c r="J487" s="51"/>
      <c r="K487" s="51"/>
      <c r="L487" s="51"/>
      <c r="M487" s="51"/>
      <c r="N487" s="50"/>
      <c r="O487" s="82"/>
      <c r="P487" s="51"/>
      <c r="Q487" s="82">
        <v>3462.78</v>
      </c>
      <c r="R487" s="50">
        <v>50112697.200000003</v>
      </c>
      <c r="S487" s="68"/>
      <c r="T487" s="345"/>
      <c r="U487" s="51"/>
      <c r="V487" s="51"/>
      <c r="W487" s="35"/>
      <c r="X487" s="141"/>
      <c r="Y487" s="51"/>
      <c r="Z487" s="48"/>
      <c r="AA487" s="48"/>
      <c r="AB487" s="48"/>
      <c r="AC487" s="48"/>
      <c r="AD487" s="48"/>
      <c r="AE487" s="48"/>
      <c r="AF487" s="48"/>
      <c r="AG487" s="57"/>
      <c r="AH487" s="58"/>
      <c r="AI487" s="58"/>
      <c r="AJ487" s="58"/>
      <c r="AK487" s="58"/>
      <c r="AL487" s="56"/>
    </row>
    <row r="488" spans="1:38" x14ac:dyDescent="0.3">
      <c r="A488" s="59">
        <f t="shared" si="122"/>
        <v>360</v>
      </c>
      <c r="B488" s="66" t="s">
        <v>2083</v>
      </c>
      <c r="C488" s="50">
        <f t="shared" si="120"/>
        <v>37756554</v>
      </c>
      <c r="D488" s="51">
        <f t="shared" si="121"/>
        <v>0</v>
      </c>
      <c r="E488" s="51"/>
      <c r="F488" s="51"/>
      <c r="G488" s="51"/>
      <c r="H488" s="51"/>
      <c r="I488" s="51"/>
      <c r="J488" s="51"/>
      <c r="K488" s="51"/>
      <c r="L488" s="51"/>
      <c r="M488" s="51"/>
      <c r="N488" s="50"/>
      <c r="O488" s="82"/>
      <c r="P488" s="51"/>
      <c r="Q488" s="82">
        <v>1840</v>
      </c>
      <c r="R488" s="50">
        <v>37756554</v>
      </c>
      <c r="S488" s="68"/>
      <c r="T488" s="345"/>
      <c r="U488" s="51"/>
      <c r="V488" s="51"/>
      <c r="W488" s="35"/>
      <c r="X488" s="141"/>
      <c r="Y488" s="51"/>
      <c r="Z488" s="48"/>
      <c r="AA488" s="48"/>
      <c r="AB488" s="48"/>
      <c r="AC488" s="48"/>
      <c r="AD488" s="48"/>
      <c r="AE488" s="48"/>
      <c r="AF488" s="48"/>
      <c r="AG488" s="57"/>
      <c r="AH488" s="58"/>
      <c r="AI488" s="58"/>
      <c r="AJ488" s="58"/>
      <c r="AK488" s="58"/>
      <c r="AL488" s="56"/>
    </row>
    <row r="489" spans="1:38" x14ac:dyDescent="0.3">
      <c r="A489" s="59">
        <f t="shared" si="122"/>
        <v>361</v>
      </c>
      <c r="B489" s="66" t="s">
        <v>2084</v>
      </c>
      <c r="C489" s="50">
        <f t="shared" si="120"/>
        <v>10293680.4</v>
      </c>
      <c r="D489" s="51">
        <f t="shared" si="121"/>
        <v>0</v>
      </c>
      <c r="E489" s="51"/>
      <c r="F489" s="51"/>
      <c r="G489" s="51"/>
      <c r="H489" s="51"/>
      <c r="I489" s="51"/>
      <c r="J489" s="51"/>
      <c r="K489" s="51"/>
      <c r="L489" s="51"/>
      <c r="M489" s="51"/>
      <c r="N489" s="50"/>
      <c r="O489" s="82"/>
      <c r="P489" s="51"/>
      <c r="Q489" s="82">
        <v>1414.6</v>
      </c>
      <c r="R489" s="50">
        <v>10293680.4</v>
      </c>
      <c r="S489" s="68"/>
      <c r="T489" s="345"/>
      <c r="U489" s="51"/>
      <c r="V489" s="51"/>
      <c r="W489" s="35"/>
      <c r="X489" s="141"/>
      <c r="Y489" s="51"/>
      <c r="Z489" s="48"/>
      <c r="AA489" s="48"/>
      <c r="AB489" s="48"/>
      <c r="AC489" s="48"/>
      <c r="AD489" s="48"/>
      <c r="AE489" s="48"/>
      <c r="AF489" s="48"/>
      <c r="AG489" s="57"/>
      <c r="AH489" s="58"/>
      <c r="AI489" s="58"/>
      <c r="AJ489" s="58"/>
      <c r="AK489" s="58"/>
      <c r="AL489" s="56"/>
    </row>
    <row r="490" spans="1:38" x14ac:dyDescent="0.3">
      <c r="A490" s="59">
        <f t="shared" si="122"/>
        <v>362</v>
      </c>
      <c r="B490" s="66" t="s">
        <v>2087</v>
      </c>
      <c r="C490" s="50">
        <f t="shared" si="120"/>
        <v>17061554.399999999</v>
      </c>
      <c r="D490" s="51">
        <f t="shared" si="121"/>
        <v>0</v>
      </c>
      <c r="E490" s="51"/>
      <c r="F490" s="51"/>
      <c r="G490" s="51"/>
      <c r="H490" s="51"/>
      <c r="I490" s="51"/>
      <c r="J490" s="51"/>
      <c r="K490" s="51"/>
      <c r="L490" s="51"/>
      <c r="M490" s="51"/>
      <c r="N490" s="50"/>
      <c r="O490" s="82"/>
      <c r="P490" s="51"/>
      <c r="Q490" s="82">
        <v>2370.6999999999998</v>
      </c>
      <c r="R490" s="50">
        <v>17061554.399999999</v>
      </c>
      <c r="S490" s="68"/>
      <c r="T490" s="345"/>
      <c r="U490" s="51"/>
      <c r="V490" s="51"/>
      <c r="W490" s="35"/>
      <c r="X490" s="141"/>
      <c r="Y490" s="51"/>
      <c r="Z490" s="48"/>
      <c r="AA490" s="48"/>
      <c r="AB490" s="48"/>
      <c r="AC490" s="48"/>
      <c r="AD490" s="48"/>
      <c r="AE490" s="48"/>
      <c r="AF490" s="48"/>
      <c r="AG490" s="57"/>
      <c r="AH490" s="58"/>
      <c r="AI490" s="58"/>
      <c r="AJ490" s="58"/>
      <c r="AK490" s="58"/>
      <c r="AL490" s="56"/>
    </row>
    <row r="491" spans="1:38" x14ac:dyDescent="0.3">
      <c r="A491" s="59">
        <f t="shared" si="122"/>
        <v>363</v>
      </c>
      <c r="B491" s="66" t="s">
        <v>2088</v>
      </c>
      <c r="C491" s="50">
        <f t="shared" si="120"/>
        <v>10965387.6</v>
      </c>
      <c r="D491" s="51">
        <f t="shared" si="121"/>
        <v>0</v>
      </c>
      <c r="E491" s="51"/>
      <c r="F491" s="51"/>
      <c r="G491" s="51"/>
      <c r="H491" s="51"/>
      <c r="I491" s="51"/>
      <c r="J491" s="51"/>
      <c r="K491" s="51"/>
      <c r="L491" s="51"/>
      <c r="M491" s="51"/>
      <c r="N491" s="50"/>
      <c r="O491" s="82"/>
      <c r="P491" s="51"/>
      <c r="Q491" s="82">
        <v>1916.8</v>
      </c>
      <c r="R491" s="50">
        <v>10965387.6</v>
      </c>
      <c r="S491" s="68"/>
      <c r="T491" s="345"/>
      <c r="U491" s="51"/>
      <c r="V491" s="51"/>
      <c r="W491" s="35"/>
      <c r="X491" s="141"/>
      <c r="Y491" s="51"/>
      <c r="Z491" s="48"/>
      <c r="AA491" s="48"/>
      <c r="AB491" s="48"/>
      <c r="AC491" s="48"/>
      <c r="AD491" s="48"/>
      <c r="AE491" s="48"/>
      <c r="AF491" s="48"/>
      <c r="AG491" s="57"/>
      <c r="AH491" s="58"/>
      <c r="AI491" s="58"/>
      <c r="AJ491" s="58"/>
      <c r="AK491" s="58"/>
      <c r="AL491" s="56"/>
    </row>
    <row r="492" spans="1:38" x14ac:dyDescent="0.3">
      <c r="A492" s="59">
        <f t="shared" si="122"/>
        <v>364</v>
      </c>
      <c r="B492" s="66" t="s">
        <v>2093</v>
      </c>
      <c r="C492" s="50">
        <f t="shared" si="120"/>
        <v>21019412.399999999</v>
      </c>
      <c r="D492" s="51">
        <f t="shared" si="121"/>
        <v>0</v>
      </c>
      <c r="E492" s="51"/>
      <c r="F492" s="51"/>
      <c r="G492" s="51"/>
      <c r="H492" s="51"/>
      <c r="I492" s="51"/>
      <c r="J492" s="51"/>
      <c r="K492" s="51"/>
      <c r="L492" s="51"/>
      <c r="M492" s="51"/>
      <c r="N492" s="50"/>
      <c r="O492" s="82"/>
      <c r="P492" s="51"/>
      <c r="Q492" s="82">
        <v>2622.5</v>
      </c>
      <c r="R492" s="50">
        <v>21019412.399999999</v>
      </c>
      <c r="S492" s="68"/>
      <c r="T492" s="345"/>
      <c r="U492" s="51"/>
      <c r="V492" s="51"/>
      <c r="W492" s="35"/>
      <c r="X492" s="141"/>
      <c r="Y492" s="51"/>
      <c r="Z492" s="48"/>
      <c r="AA492" s="48"/>
      <c r="AB492" s="48"/>
      <c r="AC492" s="48"/>
      <c r="AD492" s="48"/>
      <c r="AE492" s="48"/>
      <c r="AF492" s="48"/>
      <c r="AG492" s="57"/>
      <c r="AH492" s="58"/>
      <c r="AI492" s="58"/>
      <c r="AJ492" s="58"/>
      <c r="AK492" s="58"/>
      <c r="AL492" s="56"/>
    </row>
    <row r="493" spans="1:38" x14ac:dyDescent="0.3">
      <c r="A493" s="59">
        <f t="shared" si="122"/>
        <v>365</v>
      </c>
      <c r="B493" s="66" t="s">
        <v>2100</v>
      </c>
      <c r="C493" s="50">
        <f t="shared" si="120"/>
        <v>70944207.599999994</v>
      </c>
      <c r="D493" s="51">
        <f t="shared" si="121"/>
        <v>0</v>
      </c>
      <c r="E493" s="51"/>
      <c r="F493" s="51"/>
      <c r="G493" s="51"/>
      <c r="H493" s="51"/>
      <c r="I493" s="51"/>
      <c r="J493" s="51"/>
      <c r="K493" s="51"/>
      <c r="L493" s="51"/>
      <c r="M493" s="51"/>
      <c r="N493" s="50"/>
      <c r="O493" s="82"/>
      <c r="P493" s="51"/>
      <c r="Q493" s="82">
        <v>10023</v>
      </c>
      <c r="R493" s="50">
        <v>70944207.599999994</v>
      </c>
      <c r="S493" s="68"/>
      <c r="T493" s="345"/>
      <c r="U493" s="51"/>
      <c r="V493" s="51"/>
      <c r="W493" s="35"/>
      <c r="X493" s="141"/>
      <c r="Y493" s="48"/>
      <c r="Z493" s="48"/>
      <c r="AA493" s="48"/>
      <c r="AB493" s="48"/>
      <c r="AC493" s="48"/>
      <c r="AD493" s="48"/>
      <c r="AE493" s="48"/>
      <c r="AF493" s="48"/>
      <c r="AG493" s="57"/>
      <c r="AH493" s="58"/>
      <c r="AI493" s="58"/>
      <c r="AJ493" s="58"/>
      <c r="AK493" s="58"/>
      <c r="AL493" s="56"/>
    </row>
    <row r="494" spans="1:38" x14ac:dyDescent="0.3">
      <c r="A494" s="59">
        <f t="shared" si="122"/>
        <v>366</v>
      </c>
      <c r="B494" s="66" t="s">
        <v>2101</v>
      </c>
      <c r="C494" s="50">
        <f t="shared" si="120"/>
        <v>34242170.399999999</v>
      </c>
      <c r="D494" s="51">
        <f t="shared" si="121"/>
        <v>0</v>
      </c>
      <c r="E494" s="51"/>
      <c r="F494" s="51"/>
      <c r="G494" s="51"/>
      <c r="H494" s="51"/>
      <c r="I494" s="51"/>
      <c r="J494" s="51"/>
      <c r="K494" s="51"/>
      <c r="L494" s="51"/>
      <c r="M494" s="51"/>
      <c r="N494" s="50"/>
      <c r="O494" s="82"/>
      <c r="P494" s="51"/>
      <c r="Q494" s="82">
        <v>3887.1</v>
      </c>
      <c r="R494" s="50">
        <v>34242170.399999999</v>
      </c>
      <c r="S494" s="68"/>
      <c r="T494" s="345"/>
      <c r="U494" s="51"/>
      <c r="V494" s="51"/>
      <c r="W494" s="35"/>
      <c r="X494" s="141"/>
      <c r="Y494" s="48"/>
      <c r="Z494" s="48"/>
      <c r="AA494" s="48"/>
      <c r="AB494" s="48"/>
      <c r="AC494" s="48"/>
      <c r="AD494" s="48"/>
      <c r="AE494" s="48"/>
      <c r="AF494" s="48"/>
      <c r="AG494" s="57"/>
      <c r="AH494" s="58"/>
      <c r="AI494" s="58"/>
      <c r="AJ494" s="58"/>
      <c r="AK494" s="58"/>
      <c r="AL494" s="56"/>
    </row>
    <row r="495" spans="1:38" x14ac:dyDescent="0.3">
      <c r="A495" s="59">
        <f t="shared" si="122"/>
        <v>367</v>
      </c>
      <c r="B495" s="66" t="s">
        <v>2104</v>
      </c>
      <c r="C495" s="50">
        <f t="shared" si="120"/>
        <v>59581736.399999999</v>
      </c>
      <c r="D495" s="51">
        <f t="shared" si="121"/>
        <v>0</v>
      </c>
      <c r="E495" s="51"/>
      <c r="F495" s="51"/>
      <c r="G495" s="51"/>
      <c r="H495" s="51"/>
      <c r="I495" s="51"/>
      <c r="J495" s="51"/>
      <c r="K495" s="51"/>
      <c r="L495" s="51"/>
      <c r="M495" s="51"/>
      <c r="N495" s="50"/>
      <c r="O495" s="82"/>
      <c r="P495" s="51"/>
      <c r="Q495" s="82">
        <v>7250.9</v>
      </c>
      <c r="R495" s="50">
        <v>59581736.399999999</v>
      </c>
      <c r="S495" s="68"/>
      <c r="T495" s="345"/>
      <c r="U495" s="51"/>
      <c r="V495" s="51"/>
      <c r="W495" s="35"/>
      <c r="X495" s="141"/>
      <c r="Y495" s="48"/>
      <c r="Z495" s="48"/>
      <c r="AA495" s="48"/>
      <c r="AB495" s="48"/>
      <c r="AC495" s="48"/>
      <c r="AD495" s="48"/>
      <c r="AE495" s="48"/>
      <c r="AF495" s="48"/>
      <c r="AG495" s="57"/>
      <c r="AH495" s="58"/>
      <c r="AI495" s="58"/>
      <c r="AJ495" s="58"/>
      <c r="AK495" s="58"/>
      <c r="AL495" s="56"/>
    </row>
    <row r="496" spans="1:38" x14ac:dyDescent="0.3">
      <c r="A496" s="59">
        <f t="shared" si="122"/>
        <v>368</v>
      </c>
      <c r="B496" s="66" t="s">
        <v>2108</v>
      </c>
      <c r="C496" s="50">
        <f t="shared" si="120"/>
        <v>19628611.199999999</v>
      </c>
      <c r="D496" s="51">
        <f t="shared" si="121"/>
        <v>0</v>
      </c>
      <c r="E496" s="51"/>
      <c r="F496" s="51"/>
      <c r="G496" s="51"/>
      <c r="H496" s="51"/>
      <c r="I496" s="51"/>
      <c r="J496" s="51"/>
      <c r="K496" s="51"/>
      <c r="L496" s="51"/>
      <c r="M496" s="51"/>
      <c r="N496" s="50"/>
      <c r="O496" s="82"/>
      <c r="P496" s="51"/>
      <c r="Q496" s="82">
        <v>2318.6</v>
      </c>
      <c r="R496" s="50">
        <v>19628611.199999999</v>
      </c>
      <c r="S496" s="68"/>
      <c r="T496" s="345"/>
      <c r="U496" s="51"/>
      <c r="V496" s="51"/>
      <c r="W496" s="35"/>
      <c r="X496" s="141"/>
      <c r="Y496" s="48"/>
      <c r="Z496" s="48"/>
      <c r="AA496" s="48"/>
      <c r="AB496" s="48"/>
      <c r="AC496" s="48"/>
      <c r="AD496" s="48"/>
      <c r="AE496" s="48"/>
      <c r="AF496" s="48"/>
      <c r="AG496" s="57"/>
      <c r="AH496" s="58"/>
      <c r="AI496" s="58"/>
      <c r="AJ496" s="58"/>
      <c r="AK496" s="58"/>
      <c r="AL496" s="56"/>
    </row>
    <row r="497" spans="1:38" x14ac:dyDescent="0.3">
      <c r="A497" s="59">
        <f t="shared" si="122"/>
        <v>369</v>
      </c>
      <c r="B497" s="66" t="s">
        <v>2109</v>
      </c>
      <c r="C497" s="50">
        <f t="shared" si="120"/>
        <v>34004422.799999997</v>
      </c>
      <c r="D497" s="51">
        <f t="shared" si="121"/>
        <v>0</v>
      </c>
      <c r="E497" s="51"/>
      <c r="F497" s="51"/>
      <c r="G497" s="51"/>
      <c r="H497" s="51"/>
      <c r="I497" s="51"/>
      <c r="J497" s="51"/>
      <c r="K497" s="51"/>
      <c r="L497" s="51"/>
      <c r="M497" s="51"/>
      <c r="N497" s="50"/>
      <c r="O497" s="82"/>
      <c r="P497" s="51"/>
      <c r="Q497" s="82">
        <v>4057.55</v>
      </c>
      <c r="R497" s="50">
        <v>34004422.799999997</v>
      </c>
      <c r="S497" s="68"/>
      <c r="T497" s="345"/>
      <c r="U497" s="51"/>
      <c r="V497" s="51"/>
      <c r="W497" s="35"/>
      <c r="X497" s="141"/>
      <c r="Y497" s="48"/>
      <c r="Z497" s="48"/>
      <c r="AA497" s="48"/>
      <c r="AB497" s="48"/>
      <c r="AC497" s="48"/>
      <c r="AD497" s="48"/>
      <c r="AE497" s="48"/>
      <c r="AF497" s="48"/>
      <c r="AG497" s="57"/>
      <c r="AH497" s="58"/>
      <c r="AI497" s="58"/>
      <c r="AJ497" s="58"/>
      <c r="AK497" s="58"/>
      <c r="AL497" s="56"/>
    </row>
    <row r="498" spans="1:38" x14ac:dyDescent="0.3">
      <c r="A498" s="59"/>
      <c r="B498" s="66" t="s">
        <v>211</v>
      </c>
      <c r="C498" s="50">
        <f t="shared" ref="C498:X498" si="123">SUM(C483:C497)</f>
        <v>591665711.99999988</v>
      </c>
      <c r="D498" s="50">
        <f t="shared" si="123"/>
        <v>0</v>
      </c>
      <c r="E498" s="50">
        <f t="shared" si="123"/>
        <v>0</v>
      </c>
      <c r="F498" s="50">
        <f t="shared" si="123"/>
        <v>0</v>
      </c>
      <c r="G498" s="50">
        <f t="shared" si="123"/>
        <v>0</v>
      </c>
      <c r="H498" s="50">
        <f t="shared" si="123"/>
        <v>0</v>
      </c>
      <c r="I498" s="50">
        <f t="shared" si="123"/>
        <v>0</v>
      </c>
      <c r="J498" s="50">
        <f t="shared" si="123"/>
        <v>0</v>
      </c>
      <c r="K498" s="50">
        <f t="shared" si="123"/>
        <v>0</v>
      </c>
      <c r="L498" s="50">
        <f t="shared" si="123"/>
        <v>0</v>
      </c>
      <c r="M498" s="50">
        <f t="shared" si="123"/>
        <v>0</v>
      </c>
      <c r="N498" s="50">
        <f t="shared" si="123"/>
        <v>0</v>
      </c>
      <c r="O498" s="68">
        <f t="shared" si="123"/>
        <v>0</v>
      </c>
      <c r="P498" s="50">
        <f t="shared" si="123"/>
        <v>0</v>
      </c>
      <c r="Q498" s="68">
        <f t="shared" si="123"/>
        <v>55165.53</v>
      </c>
      <c r="R498" s="50">
        <f t="shared" si="123"/>
        <v>591665711.99999988</v>
      </c>
      <c r="S498" s="68">
        <f t="shared" si="123"/>
        <v>0</v>
      </c>
      <c r="T498" s="68">
        <f t="shared" si="123"/>
        <v>0</v>
      </c>
      <c r="U498" s="50">
        <f t="shared" si="123"/>
        <v>0</v>
      </c>
      <c r="V498" s="50">
        <f t="shared" si="123"/>
        <v>0</v>
      </c>
      <c r="W498" s="34">
        <f t="shared" si="123"/>
        <v>0</v>
      </c>
      <c r="X498" s="304">
        <f t="shared" si="123"/>
        <v>0</v>
      </c>
      <c r="Y498" s="48"/>
      <c r="Z498" s="48"/>
      <c r="AA498" s="48"/>
      <c r="AB498" s="48"/>
      <c r="AC498" s="48"/>
      <c r="AD498" s="48"/>
      <c r="AE498" s="48"/>
      <c r="AF498" s="48"/>
      <c r="AG498" s="57"/>
      <c r="AH498" s="58"/>
      <c r="AI498" s="58"/>
      <c r="AJ498" s="58"/>
      <c r="AK498" s="58"/>
      <c r="AL498" s="56"/>
    </row>
    <row r="499" spans="1:38" x14ac:dyDescent="0.3">
      <c r="A499" s="463" t="s">
        <v>2110</v>
      </c>
      <c r="B499" s="463"/>
      <c r="C499" s="50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0"/>
      <c r="O499" s="82"/>
      <c r="P499" s="51"/>
      <c r="Q499" s="82"/>
      <c r="R499" s="50"/>
      <c r="S499" s="68"/>
      <c r="T499" s="68"/>
      <c r="U499" s="51"/>
      <c r="V499" s="51"/>
      <c r="W499" s="35"/>
      <c r="X499" s="141"/>
      <c r="Y499" s="48"/>
      <c r="Z499" s="48"/>
      <c r="AA499" s="48"/>
      <c r="AB499" s="48"/>
      <c r="AC499" s="48"/>
      <c r="AD499" s="48"/>
      <c r="AE499" s="48"/>
      <c r="AF499" s="48"/>
      <c r="AG499" s="57"/>
      <c r="AH499" s="58"/>
      <c r="AI499" s="58"/>
      <c r="AJ499" s="58"/>
      <c r="AK499" s="58"/>
      <c r="AL499" s="56"/>
    </row>
    <row r="500" spans="1:38" ht="23.25" customHeight="1" x14ac:dyDescent="0.3">
      <c r="A500" s="59">
        <f>A497+1</f>
        <v>370</v>
      </c>
      <c r="B500" s="66" t="s">
        <v>2111</v>
      </c>
      <c r="C500" s="50"/>
      <c r="D500" s="51"/>
      <c r="E500" s="58"/>
      <c r="F500" s="51"/>
      <c r="G500" s="51"/>
      <c r="H500" s="51"/>
      <c r="I500" s="51"/>
      <c r="J500" s="51"/>
      <c r="K500" s="51"/>
      <c r="L500" s="51"/>
      <c r="M500" s="51"/>
      <c r="N500" s="50"/>
      <c r="O500" s="82"/>
      <c r="P500" s="51"/>
      <c r="Q500" s="82"/>
      <c r="R500" s="50"/>
      <c r="S500" s="68"/>
      <c r="T500" s="68"/>
      <c r="U500" s="51"/>
      <c r="V500" s="51"/>
      <c r="W500" s="35"/>
      <c r="X500" s="56"/>
      <c r="Y500" s="187" t="s">
        <v>2112</v>
      </c>
      <c r="Z500" s="48"/>
      <c r="AA500" s="48"/>
      <c r="AB500" s="48"/>
      <c r="AC500" s="48"/>
      <c r="AD500" s="48"/>
      <c r="AE500" s="48"/>
      <c r="AF500" s="48"/>
      <c r="AG500" s="57"/>
      <c r="AH500" s="58"/>
      <c r="AI500" s="58"/>
      <c r="AJ500" s="58"/>
      <c r="AK500" s="58"/>
      <c r="AL500" s="56"/>
    </row>
    <row r="501" spans="1:38" x14ac:dyDescent="0.3">
      <c r="A501" s="59">
        <f>A500+1</f>
        <v>371</v>
      </c>
      <c r="B501" s="66" t="s">
        <v>2113</v>
      </c>
      <c r="C501" s="50">
        <f t="shared" ref="C501:C507" si="124">D501+K501+L501+N501+P501+R501+T501+V501+W501+X501</f>
        <v>1105979.5999999999</v>
      </c>
      <c r="D501" s="51">
        <f t="shared" ref="D501:D507" si="125">E501+F501+G501+H501+I501</f>
        <v>0</v>
      </c>
      <c r="E501" s="51"/>
      <c r="F501" s="51"/>
      <c r="G501" s="51"/>
      <c r="H501" s="51"/>
      <c r="I501" s="51"/>
      <c r="J501" s="51"/>
      <c r="K501" s="51"/>
      <c r="L501" s="51"/>
      <c r="M501" s="51"/>
      <c r="N501" s="50"/>
      <c r="O501" s="82"/>
      <c r="P501" s="50"/>
      <c r="Q501" s="82"/>
      <c r="R501" s="50"/>
      <c r="S501" s="68"/>
      <c r="T501" s="68"/>
      <c r="U501" s="51"/>
      <c r="V501" s="51"/>
      <c r="W501" s="35"/>
      <c r="X501" s="141">
        <f t="shared" ref="X501:X507" si="126">Z501+AA501+AB501+AC501+AD501+AE501+AF501+AG501+AH501+AI501</f>
        <v>1105979.5999999999</v>
      </c>
      <c r="Y501" s="48"/>
      <c r="Z501" s="48"/>
      <c r="AA501" s="48"/>
      <c r="AB501" s="48"/>
      <c r="AC501" s="48"/>
      <c r="AD501" s="48"/>
      <c r="AE501" s="48"/>
      <c r="AF501" s="48">
        <v>215362.36</v>
      </c>
      <c r="AG501" s="57">
        <v>292150.90999999997</v>
      </c>
      <c r="AH501" s="58">
        <v>598466.32999999996</v>
      </c>
      <c r="AI501" s="58"/>
      <c r="AJ501" s="58"/>
      <c r="AK501" s="58"/>
      <c r="AL501" s="56"/>
    </row>
    <row r="502" spans="1:38" x14ac:dyDescent="0.3">
      <c r="A502" s="59">
        <f>A501+1</f>
        <v>372</v>
      </c>
      <c r="B502" s="66" t="s">
        <v>2114</v>
      </c>
      <c r="C502" s="50">
        <f t="shared" si="124"/>
        <v>1027880.8799999999</v>
      </c>
      <c r="D502" s="51">
        <f t="shared" si="125"/>
        <v>0</v>
      </c>
      <c r="E502" s="51"/>
      <c r="F502" s="51"/>
      <c r="G502" s="51"/>
      <c r="H502" s="51"/>
      <c r="I502" s="51"/>
      <c r="J502" s="51"/>
      <c r="K502" s="51"/>
      <c r="L502" s="51"/>
      <c r="M502" s="51"/>
      <c r="N502" s="50"/>
      <c r="O502" s="82"/>
      <c r="P502" s="50"/>
      <c r="Q502" s="82"/>
      <c r="R502" s="50"/>
      <c r="S502" s="68"/>
      <c r="T502" s="68"/>
      <c r="U502" s="51"/>
      <c r="V502" s="51"/>
      <c r="W502" s="35"/>
      <c r="X502" s="141">
        <f t="shared" si="126"/>
        <v>1027880.8799999999</v>
      </c>
      <c r="Y502" s="48"/>
      <c r="Z502" s="48"/>
      <c r="AA502" s="48"/>
      <c r="AB502" s="48"/>
      <c r="AC502" s="48"/>
      <c r="AD502" s="48"/>
      <c r="AE502" s="48"/>
      <c r="AF502" s="48">
        <v>207566.65</v>
      </c>
      <c r="AG502" s="57">
        <v>241748.65</v>
      </c>
      <c r="AH502" s="58">
        <v>578565.57999999996</v>
      </c>
      <c r="AI502" s="58"/>
      <c r="AJ502" s="58"/>
      <c r="AK502" s="58"/>
      <c r="AL502" s="56"/>
    </row>
    <row r="503" spans="1:38" x14ac:dyDescent="0.3">
      <c r="A503" s="59">
        <f t="shared" ref="A503:A507" si="127">A502+1</f>
        <v>373</v>
      </c>
      <c r="B503" s="66" t="s">
        <v>2115</v>
      </c>
      <c r="C503" s="50">
        <f t="shared" si="124"/>
        <v>116124.9</v>
      </c>
      <c r="D503" s="51">
        <f t="shared" si="125"/>
        <v>0</v>
      </c>
      <c r="E503" s="50"/>
      <c r="F503" s="51"/>
      <c r="G503" s="51"/>
      <c r="H503" s="51"/>
      <c r="I503" s="51"/>
      <c r="J503" s="51"/>
      <c r="K503" s="51"/>
      <c r="L503" s="51"/>
      <c r="M503" s="51"/>
      <c r="N503" s="50"/>
      <c r="O503" s="82"/>
      <c r="P503" s="51"/>
      <c r="Q503" s="82"/>
      <c r="R503" s="50"/>
      <c r="S503" s="68"/>
      <c r="T503" s="68"/>
      <c r="U503" s="51"/>
      <c r="V503" s="51"/>
      <c r="W503" s="35"/>
      <c r="X503" s="141">
        <f t="shared" si="126"/>
        <v>116124.9</v>
      </c>
      <c r="Y503" s="48"/>
      <c r="Z503" s="48">
        <v>116124.9</v>
      </c>
      <c r="AA503" s="48"/>
      <c r="AB503" s="48"/>
      <c r="AC503" s="48"/>
      <c r="AD503" s="48"/>
      <c r="AE503" s="48"/>
      <c r="AF503" s="48"/>
      <c r="AG503" s="57"/>
      <c r="AH503" s="58"/>
      <c r="AI503" s="58"/>
      <c r="AJ503" s="58"/>
      <c r="AK503" s="58"/>
      <c r="AL503" s="56"/>
    </row>
    <row r="504" spans="1:38" x14ac:dyDescent="0.3">
      <c r="A504" s="59">
        <f t="shared" si="127"/>
        <v>374</v>
      </c>
      <c r="B504" s="66" t="s">
        <v>2116</v>
      </c>
      <c r="C504" s="50">
        <f t="shared" si="124"/>
        <v>128805.4</v>
      </c>
      <c r="D504" s="51">
        <f t="shared" si="125"/>
        <v>0</v>
      </c>
      <c r="E504" s="50"/>
      <c r="F504" s="51"/>
      <c r="G504" s="51"/>
      <c r="H504" s="51"/>
      <c r="I504" s="51"/>
      <c r="J504" s="51"/>
      <c r="K504" s="51"/>
      <c r="L504" s="51"/>
      <c r="M504" s="51"/>
      <c r="N504" s="50"/>
      <c r="O504" s="82"/>
      <c r="P504" s="51"/>
      <c r="Q504" s="82"/>
      <c r="R504" s="50"/>
      <c r="S504" s="68"/>
      <c r="T504" s="68"/>
      <c r="U504" s="51"/>
      <c r="V504" s="51"/>
      <c r="W504" s="35"/>
      <c r="X504" s="141">
        <f t="shared" si="126"/>
        <v>128805.4</v>
      </c>
      <c r="Y504" s="48"/>
      <c r="Z504" s="48">
        <v>128805.4</v>
      </c>
      <c r="AA504" s="48"/>
      <c r="AB504" s="48"/>
      <c r="AC504" s="48"/>
      <c r="AD504" s="48"/>
      <c r="AE504" s="48"/>
      <c r="AF504" s="48"/>
      <c r="AG504" s="57"/>
      <c r="AH504" s="58"/>
      <c r="AI504" s="58"/>
      <c r="AJ504" s="58"/>
      <c r="AK504" s="58"/>
      <c r="AL504" s="56"/>
    </row>
    <row r="505" spans="1:38" x14ac:dyDescent="0.3">
      <c r="A505" s="59">
        <f t="shared" si="127"/>
        <v>375</v>
      </c>
      <c r="B505" s="66" t="s">
        <v>2117</v>
      </c>
      <c r="C505" s="50">
        <f t="shared" si="124"/>
        <v>938058.14</v>
      </c>
      <c r="D505" s="51">
        <f t="shared" si="125"/>
        <v>0</v>
      </c>
      <c r="E505" s="51"/>
      <c r="F505" s="51"/>
      <c r="G505" s="51"/>
      <c r="H505" s="51"/>
      <c r="I505" s="51"/>
      <c r="J505" s="51"/>
      <c r="K505" s="51"/>
      <c r="L505" s="51"/>
      <c r="M505" s="51"/>
      <c r="N505" s="50"/>
      <c r="O505" s="82"/>
      <c r="P505" s="50"/>
      <c r="Q505" s="82"/>
      <c r="R505" s="50"/>
      <c r="S505" s="68"/>
      <c r="T505" s="68"/>
      <c r="U505" s="51"/>
      <c r="V505" s="51"/>
      <c r="W505" s="35"/>
      <c r="X505" s="141">
        <f t="shared" si="126"/>
        <v>938058.14</v>
      </c>
      <c r="Y505" s="48"/>
      <c r="Z505" s="48"/>
      <c r="AA505" s="48"/>
      <c r="AB505" s="48"/>
      <c r="AC505" s="48"/>
      <c r="AD505" s="48"/>
      <c r="AE505" s="48"/>
      <c r="AF505" s="48">
        <v>176443.19</v>
      </c>
      <c r="AG505" s="57">
        <v>256456.6</v>
      </c>
      <c r="AH505" s="58">
        <v>505158.35</v>
      </c>
      <c r="AI505" s="58"/>
      <c r="AJ505" s="58"/>
      <c r="AK505" s="58"/>
      <c r="AL505" s="56"/>
    </row>
    <row r="506" spans="1:38" x14ac:dyDescent="0.3">
      <c r="A506" s="59">
        <f t="shared" si="127"/>
        <v>376</v>
      </c>
      <c r="B506" s="66" t="s">
        <v>2118</v>
      </c>
      <c r="C506" s="50">
        <f t="shared" si="124"/>
        <v>1079144.3999999999</v>
      </c>
      <c r="D506" s="51">
        <f t="shared" si="125"/>
        <v>0</v>
      </c>
      <c r="E506" s="51"/>
      <c r="F506" s="51"/>
      <c r="G506" s="51"/>
      <c r="H506" s="51"/>
      <c r="I506" s="51"/>
      <c r="J506" s="51"/>
      <c r="K506" s="51"/>
      <c r="L506" s="51"/>
      <c r="M506" s="51"/>
      <c r="N506" s="50"/>
      <c r="O506" s="82"/>
      <c r="P506" s="50"/>
      <c r="Q506" s="82"/>
      <c r="R506" s="50"/>
      <c r="S506" s="68"/>
      <c r="T506" s="68"/>
      <c r="U506" s="51"/>
      <c r="V506" s="51"/>
      <c r="W506" s="35"/>
      <c r="X506" s="141">
        <f t="shared" si="126"/>
        <v>1079144.3999999999</v>
      </c>
      <c r="Y506" s="48"/>
      <c r="Z506" s="48"/>
      <c r="AA506" s="48"/>
      <c r="AB506" s="48"/>
      <c r="AC506" s="48"/>
      <c r="AD506" s="48"/>
      <c r="AE506" s="48"/>
      <c r="AF506" s="48">
        <v>212295.18</v>
      </c>
      <c r="AG506" s="57">
        <v>276212.69</v>
      </c>
      <c r="AH506" s="58">
        <v>590636.53</v>
      </c>
      <c r="AI506" s="58"/>
      <c r="AJ506" s="58"/>
      <c r="AK506" s="58"/>
      <c r="AL506" s="56"/>
    </row>
    <row r="507" spans="1:38" x14ac:dyDescent="0.3">
      <c r="A507" s="59">
        <f t="shared" si="127"/>
        <v>377</v>
      </c>
      <c r="B507" s="66" t="s">
        <v>2119</v>
      </c>
      <c r="C507" s="50">
        <f t="shared" si="124"/>
        <v>890755.8</v>
      </c>
      <c r="D507" s="51">
        <f t="shared" si="125"/>
        <v>0</v>
      </c>
      <c r="E507" s="51"/>
      <c r="F507" s="51"/>
      <c r="G507" s="51"/>
      <c r="H507" s="51"/>
      <c r="I507" s="51"/>
      <c r="J507" s="51"/>
      <c r="K507" s="51"/>
      <c r="L507" s="51"/>
      <c r="M507" s="51"/>
      <c r="N507" s="50"/>
      <c r="O507" s="82"/>
      <c r="P507" s="51"/>
      <c r="Q507" s="82"/>
      <c r="R507" s="50"/>
      <c r="S507" s="68"/>
      <c r="T507" s="68"/>
      <c r="U507" s="51"/>
      <c r="V507" s="51"/>
      <c r="W507" s="35"/>
      <c r="X507" s="141">
        <f t="shared" si="126"/>
        <v>890755.8</v>
      </c>
      <c r="Y507" s="48"/>
      <c r="Z507" s="48"/>
      <c r="AA507" s="48"/>
      <c r="AB507" s="48"/>
      <c r="AC507" s="48"/>
      <c r="AD507" s="48"/>
      <c r="AE507" s="48"/>
      <c r="AF507" s="48"/>
      <c r="AG507" s="57">
        <v>292833.2</v>
      </c>
      <c r="AH507" s="58">
        <v>597922.6</v>
      </c>
      <c r="AI507" s="58"/>
      <c r="AJ507" s="58"/>
      <c r="AK507" s="58"/>
      <c r="AL507" s="56"/>
    </row>
    <row r="508" spans="1:38" x14ac:dyDescent="0.3">
      <c r="A508" s="59"/>
      <c r="B508" s="66" t="s">
        <v>211</v>
      </c>
      <c r="C508" s="50">
        <f t="shared" ref="C508:X508" si="128">SUM(C500:C507)</f>
        <v>5286749.1199999992</v>
      </c>
      <c r="D508" s="50">
        <f t="shared" si="128"/>
        <v>0</v>
      </c>
      <c r="E508" s="50">
        <f t="shared" si="128"/>
        <v>0</v>
      </c>
      <c r="F508" s="50">
        <f t="shared" si="128"/>
        <v>0</v>
      </c>
      <c r="G508" s="50">
        <f t="shared" si="128"/>
        <v>0</v>
      </c>
      <c r="H508" s="50">
        <f t="shared" si="128"/>
        <v>0</v>
      </c>
      <c r="I508" s="50">
        <f t="shared" si="128"/>
        <v>0</v>
      </c>
      <c r="J508" s="50">
        <f t="shared" si="128"/>
        <v>0</v>
      </c>
      <c r="K508" s="50">
        <f t="shared" si="128"/>
        <v>0</v>
      </c>
      <c r="L508" s="50">
        <f t="shared" si="128"/>
        <v>0</v>
      </c>
      <c r="M508" s="50">
        <f t="shared" si="128"/>
        <v>0</v>
      </c>
      <c r="N508" s="50">
        <f t="shared" si="128"/>
        <v>0</v>
      </c>
      <c r="O508" s="68">
        <f t="shared" si="128"/>
        <v>0</v>
      </c>
      <c r="P508" s="50">
        <f t="shared" si="128"/>
        <v>0</v>
      </c>
      <c r="Q508" s="68">
        <f t="shared" si="128"/>
        <v>0</v>
      </c>
      <c r="R508" s="50">
        <f t="shared" si="128"/>
        <v>0</v>
      </c>
      <c r="S508" s="68">
        <f t="shared" si="128"/>
        <v>0</v>
      </c>
      <c r="T508" s="68">
        <f t="shared" si="128"/>
        <v>0</v>
      </c>
      <c r="U508" s="50">
        <f t="shared" si="128"/>
        <v>0</v>
      </c>
      <c r="V508" s="50">
        <f t="shared" si="128"/>
        <v>0</v>
      </c>
      <c r="W508" s="34">
        <f t="shared" si="128"/>
        <v>0</v>
      </c>
      <c r="X508" s="304">
        <f t="shared" si="128"/>
        <v>5286749.1199999992</v>
      </c>
      <c r="Y508" s="48"/>
      <c r="Z508" s="48"/>
      <c r="AA508" s="48"/>
      <c r="AB508" s="48"/>
      <c r="AC508" s="48"/>
      <c r="AD508" s="48"/>
      <c r="AE508" s="48"/>
      <c r="AF508" s="48"/>
      <c r="AG508" s="57"/>
      <c r="AH508" s="58"/>
      <c r="AI508" s="58"/>
      <c r="AJ508" s="58"/>
      <c r="AK508" s="58"/>
      <c r="AL508" s="56"/>
    </row>
    <row r="509" spans="1:38" x14ac:dyDescent="0.3">
      <c r="A509" s="177"/>
      <c r="B509" s="66" t="s">
        <v>2131</v>
      </c>
      <c r="C509" s="50">
        <f>C478+C481+C498+C508</f>
        <v>601642993.7299999</v>
      </c>
      <c r="D509" s="50">
        <f t="shared" ref="D509:W509" si="129">D478+D481+D498+D508</f>
        <v>0</v>
      </c>
      <c r="E509" s="50">
        <f t="shared" si="129"/>
        <v>0</v>
      </c>
      <c r="F509" s="50">
        <f t="shared" si="129"/>
        <v>0</v>
      </c>
      <c r="G509" s="50">
        <f t="shared" si="129"/>
        <v>0</v>
      </c>
      <c r="H509" s="50">
        <f t="shared" si="129"/>
        <v>0</v>
      </c>
      <c r="I509" s="50">
        <f t="shared" si="129"/>
        <v>0</v>
      </c>
      <c r="J509" s="50">
        <f t="shared" si="129"/>
        <v>0</v>
      </c>
      <c r="K509" s="50">
        <f t="shared" si="129"/>
        <v>0</v>
      </c>
      <c r="L509" s="50">
        <f t="shared" si="129"/>
        <v>0</v>
      </c>
      <c r="M509" s="50">
        <f t="shared" si="129"/>
        <v>0</v>
      </c>
      <c r="N509" s="50">
        <f t="shared" si="129"/>
        <v>0</v>
      </c>
      <c r="O509" s="68">
        <f t="shared" si="129"/>
        <v>0</v>
      </c>
      <c r="P509" s="50">
        <f t="shared" si="129"/>
        <v>0</v>
      </c>
      <c r="Q509" s="68">
        <f t="shared" si="129"/>
        <v>55668.53</v>
      </c>
      <c r="R509" s="50">
        <f t="shared" si="129"/>
        <v>594900287.99999988</v>
      </c>
      <c r="S509" s="68">
        <f t="shared" si="129"/>
        <v>0</v>
      </c>
      <c r="T509" s="68">
        <f t="shared" si="129"/>
        <v>0</v>
      </c>
      <c r="U509" s="50">
        <f t="shared" si="129"/>
        <v>0</v>
      </c>
      <c r="V509" s="50">
        <f t="shared" si="129"/>
        <v>0</v>
      </c>
      <c r="W509" s="34">
        <f t="shared" si="129"/>
        <v>0</v>
      </c>
      <c r="X509" s="304" t="e">
        <f>X478+X481+X498+X508+#REF!</f>
        <v>#REF!</v>
      </c>
      <c r="Y509" s="48"/>
      <c r="Z509" s="48"/>
      <c r="AA509" s="48"/>
      <c r="AB509" s="48"/>
      <c r="AC509" s="48"/>
      <c r="AD509" s="48"/>
      <c r="AE509" s="48"/>
      <c r="AF509" s="48"/>
      <c r="AG509" s="57"/>
      <c r="AH509" s="58"/>
      <c r="AI509" s="58"/>
      <c r="AJ509" s="58"/>
      <c r="AK509" s="58"/>
      <c r="AL509" s="56"/>
    </row>
    <row r="510" spans="1:38" x14ac:dyDescent="0.3">
      <c r="A510" s="540" t="s">
        <v>2132</v>
      </c>
      <c r="B510" s="540"/>
      <c r="C510" s="50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0"/>
      <c r="O510" s="82"/>
      <c r="P510" s="51"/>
      <c r="Q510" s="82"/>
      <c r="R510" s="50"/>
      <c r="S510" s="68"/>
      <c r="T510" s="82"/>
      <c r="U510" s="51"/>
      <c r="V510" s="51"/>
      <c r="W510" s="35"/>
      <c r="X510" s="141"/>
      <c r="Y510" s="285"/>
      <c r="Z510" s="285"/>
      <c r="AA510" s="285"/>
      <c r="AB510" s="285"/>
      <c r="AC510" s="285"/>
      <c r="AD510" s="285"/>
      <c r="AE510" s="9"/>
      <c r="AF510" s="40"/>
      <c r="AG510" s="56"/>
      <c r="AH510" s="56"/>
    </row>
    <row r="511" spans="1:38" x14ac:dyDescent="0.3">
      <c r="A511" s="463" t="s">
        <v>2133</v>
      </c>
      <c r="B511" s="463"/>
      <c r="C511" s="50"/>
      <c r="D511" s="51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132"/>
      <c r="P511" s="67"/>
      <c r="Q511" s="132"/>
      <c r="R511" s="67"/>
      <c r="S511" s="132"/>
      <c r="T511" s="132"/>
      <c r="U511" s="67"/>
      <c r="V511" s="67"/>
      <c r="W511" s="37"/>
      <c r="X511" s="141"/>
      <c r="Y511" s="285"/>
      <c r="Z511" s="285"/>
      <c r="AA511" s="285"/>
      <c r="AB511" s="285"/>
      <c r="AC511" s="285"/>
      <c r="AD511" s="285"/>
      <c r="AE511" s="9"/>
      <c r="AF511" s="40"/>
      <c r="AG511" s="56"/>
      <c r="AH511" s="56"/>
    </row>
    <row r="512" spans="1:38" x14ac:dyDescent="0.3">
      <c r="A512" s="59">
        <f>A507+1</f>
        <v>378</v>
      </c>
      <c r="B512" s="66" t="s">
        <v>2134</v>
      </c>
      <c r="C512" s="50">
        <f t="shared" ref="C512:C543" si="130">D512+K512+L512+N512+P512+R512+S512+U512+V512+W512</f>
        <v>1937238.12</v>
      </c>
      <c r="D512" s="51">
        <f t="shared" ref="D512:D575" si="131">E512+F512+G512+H512+I512</f>
        <v>0</v>
      </c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68"/>
      <c r="P512" s="50"/>
      <c r="Q512" s="68"/>
      <c r="R512" s="50"/>
      <c r="S512" s="68"/>
      <c r="T512" s="68"/>
      <c r="U512" s="50"/>
      <c r="V512" s="50"/>
      <c r="W512" s="34">
        <f>SUM(Y512:AJ512)</f>
        <v>1937238.12</v>
      </c>
      <c r="X512" s="141"/>
      <c r="Y512" s="285"/>
      <c r="Z512" s="285"/>
      <c r="AA512" s="285"/>
      <c r="AB512" s="285"/>
      <c r="AC512" s="285"/>
      <c r="AD512" s="285">
        <v>231439.55</v>
      </c>
      <c r="AE512" s="9">
        <v>410535.02</v>
      </c>
      <c r="AF512" s="40"/>
      <c r="AG512" s="56">
        <v>1295263.55</v>
      </c>
      <c r="AH512" s="56"/>
    </row>
    <row r="513" spans="1:34" x14ac:dyDescent="0.3">
      <c r="A513" s="59">
        <f>A512+1</f>
        <v>379</v>
      </c>
      <c r="B513" s="66" t="s">
        <v>2135</v>
      </c>
      <c r="C513" s="50">
        <f t="shared" si="130"/>
        <v>130000</v>
      </c>
      <c r="D513" s="51">
        <f t="shared" si="131"/>
        <v>0</v>
      </c>
      <c r="E513" s="51"/>
      <c r="F513" s="50"/>
      <c r="G513" s="50"/>
      <c r="H513" s="50"/>
      <c r="I513" s="50"/>
      <c r="J513" s="50"/>
      <c r="K513" s="50"/>
      <c r="L513" s="50"/>
      <c r="M513" s="50"/>
      <c r="N513" s="50"/>
      <c r="O513" s="68"/>
      <c r="P513" s="50"/>
      <c r="Q513" s="68"/>
      <c r="R513" s="50"/>
      <c r="S513" s="68"/>
      <c r="T513" s="68"/>
      <c r="U513" s="50"/>
      <c r="V513" s="50"/>
      <c r="W513" s="34">
        <v>130000</v>
      </c>
      <c r="X513" s="141"/>
      <c r="Y513" s="285"/>
      <c r="Z513" s="285"/>
      <c r="AA513" s="285"/>
      <c r="AB513" s="285"/>
      <c r="AC513" s="285"/>
      <c r="AD513" s="285"/>
      <c r="AE513" s="9"/>
      <c r="AF513" s="40"/>
      <c r="AG513" s="56"/>
      <c r="AH513" s="56"/>
    </row>
    <row r="514" spans="1:34" x14ac:dyDescent="0.3">
      <c r="A514" s="59">
        <f>A513+1</f>
        <v>380</v>
      </c>
      <c r="B514" s="66" t="s">
        <v>2136</v>
      </c>
      <c r="C514" s="50">
        <f t="shared" si="130"/>
        <v>1541338.39</v>
      </c>
      <c r="D514" s="51">
        <f t="shared" si="131"/>
        <v>0</v>
      </c>
      <c r="E514" s="51"/>
      <c r="F514" s="50"/>
      <c r="G514" s="50"/>
      <c r="H514" s="50"/>
      <c r="I514" s="50"/>
      <c r="J514" s="50"/>
      <c r="K514" s="50"/>
      <c r="L514" s="50"/>
      <c r="M514" s="50"/>
      <c r="N514" s="50"/>
      <c r="O514" s="68"/>
      <c r="P514" s="50"/>
      <c r="Q514" s="68"/>
      <c r="R514" s="50"/>
      <c r="S514" s="68"/>
      <c r="T514" s="68"/>
      <c r="U514" s="50"/>
      <c r="V514" s="50"/>
      <c r="W514" s="34">
        <f t="shared" ref="W514:W574" si="132">SUM(Y514:AJ514)</f>
        <v>1541338.39</v>
      </c>
      <c r="X514" s="141"/>
      <c r="Y514" s="285"/>
      <c r="Z514" s="285"/>
      <c r="AA514" s="285"/>
      <c r="AB514" s="285"/>
      <c r="AC514" s="285"/>
      <c r="AD514" s="285"/>
      <c r="AE514" s="9">
        <v>369839.51</v>
      </c>
      <c r="AF514" s="40"/>
      <c r="AG514" s="56">
        <v>1171498.8799999999</v>
      </c>
      <c r="AH514" s="56"/>
    </row>
    <row r="515" spans="1:34" x14ac:dyDescent="0.3">
      <c r="A515" s="59">
        <f t="shared" ref="A515:A516" si="133">A514+1</f>
        <v>381</v>
      </c>
      <c r="B515" s="66" t="s">
        <v>2137</v>
      </c>
      <c r="C515" s="50">
        <f t="shared" si="130"/>
        <v>631939.43000000005</v>
      </c>
      <c r="D515" s="51">
        <f t="shared" si="131"/>
        <v>0</v>
      </c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68"/>
      <c r="P515" s="58"/>
      <c r="Q515" s="68"/>
      <c r="R515" s="50"/>
      <c r="S515" s="68"/>
      <c r="T515" s="68"/>
      <c r="U515" s="50"/>
      <c r="V515" s="50"/>
      <c r="W515" s="34">
        <f t="shared" si="132"/>
        <v>631939.43000000005</v>
      </c>
      <c r="X515" s="141"/>
      <c r="Y515" s="285"/>
      <c r="Z515" s="285"/>
      <c r="AA515" s="285"/>
      <c r="AB515" s="285"/>
      <c r="AC515" s="285"/>
      <c r="AD515" s="285"/>
      <c r="AE515" s="9"/>
      <c r="AF515" s="40"/>
      <c r="AG515" s="56">
        <v>631939.43000000005</v>
      </c>
      <c r="AH515" s="56"/>
    </row>
    <row r="516" spans="1:34" x14ac:dyDescent="0.3">
      <c r="A516" s="59">
        <f t="shared" si="133"/>
        <v>382</v>
      </c>
      <c r="B516" s="66" t="s">
        <v>2138</v>
      </c>
      <c r="C516" s="50">
        <f t="shared" si="130"/>
        <v>560956.92000000004</v>
      </c>
      <c r="D516" s="51">
        <f t="shared" si="131"/>
        <v>0</v>
      </c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68"/>
      <c r="P516" s="58"/>
      <c r="Q516" s="68"/>
      <c r="R516" s="50"/>
      <c r="S516" s="68"/>
      <c r="T516" s="68"/>
      <c r="U516" s="50"/>
      <c r="V516" s="50"/>
      <c r="W516" s="34">
        <f t="shared" si="132"/>
        <v>560956.92000000004</v>
      </c>
      <c r="X516" s="141"/>
      <c r="Y516" s="285"/>
      <c r="Z516" s="285"/>
      <c r="AA516" s="285"/>
      <c r="AB516" s="285"/>
      <c r="AC516" s="285"/>
      <c r="AD516" s="285"/>
      <c r="AE516" s="9"/>
      <c r="AF516" s="40"/>
      <c r="AG516" s="56">
        <v>560956.92000000004</v>
      </c>
      <c r="AH516" s="56"/>
    </row>
    <row r="517" spans="1:34" x14ac:dyDescent="0.3">
      <c r="A517" s="59">
        <f t="shared" ref="A517:A576" si="134">A516+1</f>
        <v>383</v>
      </c>
      <c r="B517" s="66" t="s">
        <v>2139</v>
      </c>
      <c r="C517" s="50">
        <f t="shared" si="130"/>
        <v>560956.92000000004</v>
      </c>
      <c r="D517" s="51">
        <f t="shared" si="131"/>
        <v>0</v>
      </c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68"/>
      <c r="P517" s="58"/>
      <c r="Q517" s="68"/>
      <c r="R517" s="50"/>
      <c r="S517" s="68"/>
      <c r="T517" s="68"/>
      <c r="U517" s="50"/>
      <c r="V517" s="50"/>
      <c r="W517" s="34">
        <f t="shared" si="132"/>
        <v>560956.92000000004</v>
      </c>
      <c r="X517" s="141"/>
      <c r="Y517" s="285"/>
      <c r="Z517" s="285"/>
      <c r="AA517" s="285"/>
      <c r="AB517" s="285"/>
      <c r="AC517" s="285"/>
      <c r="AD517" s="285"/>
      <c r="AE517" s="9"/>
      <c r="AF517" s="40"/>
      <c r="AG517" s="56">
        <v>560956.92000000004</v>
      </c>
      <c r="AH517" s="56"/>
    </row>
    <row r="518" spans="1:34" x14ac:dyDescent="0.3">
      <c r="A518" s="59">
        <f t="shared" si="134"/>
        <v>384</v>
      </c>
      <c r="B518" s="66" t="s">
        <v>2140</v>
      </c>
      <c r="C518" s="50">
        <f t="shared" si="130"/>
        <v>633656.74</v>
      </c>
      <c r="D518" s="51">
        <f t="shared" si="131"/>
        <v>0</v>
      </c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68"/>
      <c r="P518" s="58"/>
      <c r="Q518" s="68"/>
      <c r="R518" s="50"/>
      <c r="S518" s="68"/>
      <c r="T518" s="68"/>
      <c r="U518" s="50"/>
      <c r="V518" s="50"/>
      <c r="W518" s="34">
        <f t="shared" si="132"/>
        <v>633656.74</v>
      </c>
      <c r="X518" s="141"/>
      <c r="Y518" s="285"/>
      <c r="Z518" s="285"/>
      <c r="AA518" s="285"/>
      <c r="AB518" s="285"/>
      <c r="AC518" s="285"/>
      <c r="AD518" s="285"/>
      <c r="AE518" s="9"/>
      <c r="AF518" s="40"/>
      <c r="AG518" s="56">
        <v>633656.74</v>
      </c>
      <c r="AH518" s="56"/>
    </row>
    <row r="519" spans="1:34" x14ac:dyDescent="0.3">
      <c r="A519" s="59">
        <f t="shared" si="134"/>
        <v>385</v>
      </c>
      <c r="B519" s="66" t="s">
        <v>2141</v>
      </c>
      <c r="C519" s="50">
        <f t="shared" si="130"/>
        <v>781786.54</v>
      </c>
      <c r="D519" s="51">
        <f t="shared" si="131"/>
        <v>0</v>
      </c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68"/>
      <c r="P519" s="58"/>
      <c r="Q519" s="68"/>
      <c r="R519" s="50"/>
      <c r="S519" s="68"/>
      <c r="T519" s="68"/>
      <c r="U519" s="50"/>
      <c r="V519" s="48"/>
      <c r="W519" s="34">
        <f t="shared" si="132"/>
        <v>781786.54</v>
      </c>
      <c r="X519" s="141" t="s">
        <v>2142</v>
      </c>
      <c r="Y519" s="285">
        <v>137574.98000000001</v>
      </c>
      <c r="Z519" s="285"/>
      <c r="AA519" s="285"/>
      <c r="AB519" s="285"/>
      <c r="AC519" s="285">
        <v>119597.74</v>
      </c>
      <c r="AD519" s="285"/>
      <c r="AE519" s="9"/>
      <c r="AF519" s="40"/>
      <c r="AG519" s="56">
        <v>524613.81999999995</v>
      </c>
      <c r="AH519" s="56"/>
    </row>
    <row r="520" spans="1:34" x14ac:dyDescent="0.3">
      <c r="A520" s="59">
        <f t="shared" si="134"/>
        <v>386</v>
      </c>
      <c r="B520" s="66" t="s">
        <v>2143</v>
      </c>
      <c r="C520" s="50">
        <f t="shared" si="130"/>
        <v>313276.81999999995</v>
      </c>
      <c r="D520" s="51">
        <f t="shared" si="131"/>
        <v>0</v>
      </c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68"/>
      <c r="P520" s="58"/>
      <c r="Q520" s="68"/>
      <c r="R520" s="50"/>
      <c r="S520" s="68"/>
      <c r="T520" s="68"/>
      <c r="U520" s="50"/>
      <c r="V520" s="48"/>
      <c r="W520" s="34">
        <f t="shared" si="132"/>
        <v>313276.81999999995</v>
      </c>
      <c r="X520" s="141" t="s">
        <v>2142</v>
      </c>
      <c r="Y520" s="285">
        <v>167521.24</v>
      </c>
      <c r="Z520" s="285"/>
      <c r="AA520" s="285"/>
      <c r="AB520" s="285"/>
      <c r="AC520" s="285">
        <v>145755.57999999999</v>
      </c>
      <c r="AD520" s="285"/>
      <c r="AE520" s="9"/>
      <c r="AF520" s="40"/>
      <c r="AG520" s="56"/>
      <c r="AH520" s="56"/>
    </row>
    <row r="521" spans="1:34" x14ac:dyDescent="0.3">
      <c r="A521" s="59">
        <f t="shared" si="134"/>
        <v>387</v>
      </c>
      <c r="B521" s="66" t="s">
        <v>2144</v>
      </c>
      <c r="C521" s="50">
        <f t="shared" si="130"/>
        <v>128457.84</v>
      </c>
      <c r="D521" s="51">
        <f t="shared" si="131"/>
        <v>0</v>
      </c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68"/>
      <c r="P521" s="58"/>
      <c r="Q521" s="68"/>
      <c r="R521" s="50"/>
      <c r="S521" s="68"/>
      <c r="T521" s="68"/>
      <c r="U521" s="50"/>
      <c r="V521" s="48"/>
      <c r="W521" s="34">
        <f t="shared" si="132"/>
        <v>128457.84</v>
      </c>
      <c r="X521" s="141" t="s">
        <v>2142</v>
      </c>
      <c r="Y521" s="285">
        <v>128457.84</v>
      </c>
      <c r="Z521" s="285"/>
      <c r="AA521" s="285"/>
      <c r="AB521" s="285"/>
      <c r="AC521" s="285"/>
      <c r="AD521" s="285"/>
      <c r="AE521" s="9"/>
      <c r="AF521" s="40"/>
      <c r="AG521" s="56"/>
      <c r="AH521" s="56"/>
    </row>
    <row r="522" spans="1:34" x14ac:dyDescent="0.3">
      <c r="A522" s="59">
        <f t="shared" si="134"/>
        <v>388</v>
      </c>
      <c r="B522" s="66" t="s">
        <v>2145</v>
      </c>
      <c r="C522" s="50">
        <f t="shared" si="130"/>
        <v>797931.15999999992</v>
      </c>
      <c r="D522" s="51">
        <f t="shared" si="131"/>
        <v>0</v>
      </c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68"/>
      <c r="P522" s="58"/>
      <c r="Q522" s="68"/>
      <c r="R522" s="50"/>
      <c r="S522" s="68"/>
      <c r="T522" s="68"/>
      <c r="U522" s="50"/>
      <c r="V522" s="50"/>
      <c r="W522" s="34">
        <f t="shared" si="132"/>
        <v>797931.15999999992</v>
      </c>
      <c r="X522" s="141"/>
      <c r="Y522" s="285"/>
      <c r="Z522" s="285">
        <v>112604.87</v>
      </c>
      <c r="AA522" s="285"/>
      <c r="AB522" s="285"/>
      <c r="AC522" s="285"/>
      <c r="AD522" s="285">
        <v>117612.79</v>
      </c>
      <c r="AE522" s="9"/>
      <c r="AF522" s="40"/>
      <c r="AG522" s="56">
        <v>567713.5</v>
      </c>
      <c r="AH522" s="56"/>
    </row>
    <row r="523" spans="1:34" x14ac:dyDescent="0.3">
      <c r="A523" s="59">
        <f t="shared" si="134"/>
        <v>389</v>
      </c>
      <c r="B523" s="66" t="s">
        <v>2146</v>
      </c>
      <c r="C523" s="50">
        <f t="shared" si="130"/>
        <v>161967.85</v>
      </c>
      <c r="D523" s="51">
        <f t="shared" si="131"/>
        <v>0</v>
      </c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68"/>
      <c r="P523" s="50"/>
      <c r="Q523" s="68"/>
      <c r="R523" s="50"/>
      <c r="S523" s="68"/>
      <c r="T523" s="68"/>
      <c r="U523" s="50"/>
      <c r="V523" s="50"/>
      <c r="W523" s="34">
        <f t="shared" si="132"/>
        <v>161967.85</v>
      </c>
      <c r="X523" s="141"/>
      <c r="Y523" s="285"/>
      <c r="Z523" s="285"/>
      <c r="AA523" s="285"/>
      <c r="AB523" s="285"/>
      <c r="AC523" s="285"/>
      <c r="AD523" s="285">
        <v>161967.85</v>
      </c>
      <c r="AE523" s="9"/>
      <c r="AF523" s="40"/>
      <c r="AG523" s="56"/>
      <c r="AH523" s="56"/>
    </row>
    <row r="524" spans="1:34" x14ac:dyDescent="0.3">
      <c r="A524" s="59">
        <f t="shared" si="134"/>
        <v>390</v>
      </c>
      <c r="B524" s="66" t="s">
        <v>2147</v>
      </c>
      <c r="C524" s="50">
        <f t="shared" si="130"/>
        <v>105659.06</v>
      </c>
      <c r="D524" s="51">
        <f t="shared" si="131"/>
        <v>0</v>
      </c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68"/>
      <c r="P524" s="58"/>
      <c r="Q524" s="68"/>
      <c r="R524" s="50"/>
      <c r="S524" s="68"/>
      <c r="T524" s="68"/>
      <c r="U524" s="50"/>
      <c r="V524" s="50"/>
      <c r="W524" s="34">
        <f t="shared" si="132"/>
        <v>105659.06</v>
      </c>
      <c r="X524" s="141"/>
      <c r="Y524" s="285"/>
      <c r="Z524" s="285">
        <v>105659.06</v>
      </c>
      <c r="AA524" s="285"/>
      <c r="AB524" s="285"/>
      <c r="AC524" s="285"/>
      <c r="AD524" s="285"/>
      <c r="AE524" s="9"/>
      <c r="AF524" s="40"/>
      <c r="AG524" s="56"/>
      <c r="AH524" s="56"/>
    </row>
    <row r="525" spans="1:34" x14ac:dyDescent="0.3">
      <c r="A525" s="59">
        <f t="shared" si="134"/>
        <v>391</v>
      </c>
      <c r="B525" s="66" t="s">
        <v>2148</v>
      </c>
      <c r="C525" s="50">
        <f t="shared" si="130"/>
        <v>674629.80999999994</v>
      </c>
      <c r="D525" s="51">
        <f t="shared" si="131"/>
        <v>0</v>
      </c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68"/>
      <c r="P525" s="58"/>
      <c r="Q525" s="68"/>
      <c r="R525" s="50"/>
      <c r="S525" s="68"/>
      <c r="T525" s="68"/>
      <c r="U525" s="50"/>
      <c r="V525" s="50"/>
      <c r="W525" s="34">
        <f t="shared" si="132"/>
        <v>674629.80999999994</v>
      </c>
      <c r="X525" s="141"/>
      <c r="Y525" s="285"/>
      <c r="Z525" s="285"/>
      <c r="AA525" s="285"/>
      <c r="AB525" s="285">
        <v>119221.46</v>
      </c>
      <c r="AC525" s="285"/>
      <c r="AD525" s="285"/>
      <c r="AE525" s="9"/>
      <c r="AF525" s="40"/>
      <c r="AG525" s="56">
        <v>555408.35</v>
      </c>
      <c r="AH525" s="56"/>
    </row>
    <row r="526" spans="1:34" x14ac:dyDescent="0.3">
      <c r="A526" s="59">
        <f t="shared" si="134"/>
        <v>392</v>
      </c>
      <c r="B526" s="66" t="s">
        <v>2149</v>
      </c>
      <c r="C526" s="50">
        <f t="shared" si="130"/>
        <v>368379.51</v>
      </c>
      <c r="D526" s="51">
        <f t="shared" si="131"/>
        <v>0</v>
      </c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68"/>
      <c r="P526" s="58"/>
      <c r="Q526" s="68"/>
      <c r="R526" s="50"/>
      <c r="S526" s="68"/>
      <c r="T526" s="68"/>
      <c r="U526" s="50"/>
      <c r="V526" s="50"/>
      <c r="W526" s="34">
        <f t="shared" si="132"/>
        <v>368379.51</v>
      </c>
      <c r="X526" s="141"/>
      <c r="Y526" s="285"/>
      <c r="Z526" s="285">
        <v>85429.56</v>
      </c>
      <c r="AA526" s="285"/>
      <c r="AB526" s="285">
        <v>85429.56</v>
      </c>
      <c r="AC526" s="285">
        <v>109205.56</v>
      </c>
      <c r="AD526" s="285">
        <v>88314.83</v>
      </c>
      <c r="AE526" s="9"/>
      <c r="AF526" s="40"/>
      <c r="AG526" s="56"/>
      <c r="AH526" s="56"/>
    </row>
    <row r="527" spans="1:34" x14ac:dyDescent="0.3">
      <c r="A527" s="59">
        <f t="shared" si="134"/>
        <v>393</v>
      </c>
      <c r="B527" s="66" t="s">
        <v>2150</v>
      </c>
      <c r="C527" s="50">
        <f t="shared" si="130"/>
        <v>589659.22</v>
      </c>
      <c r="D527" s="51">
        <f t="shared" si="131"/>
        <v>0</v>
      </c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68"/>
      <c r="P527" s="50"/>
      <c r="Q527" s="68"/>
      <c r="R527" s="50"/>
      <c r="S527" s="68"/>
      <c r="T527" s="68"/>
      <c r="U527" s="50"/>
      <c r="V527" s="50"/>
      <c r="W527" s="34">
        <f t="shared" si="132"/>
        <v>589659.22</v>
      </c>
      <c r="X527" s="141"/>
      <c r="Y527" s="285"/>
      <c r="Z527" s="285"/>
      <c r="AA527" s="285"/>
      <c r="AB527" s="285"/>
      <c r="AC527" s="285"/>
      <c r="AD527" s="285"/>
      <c r="AE527" s="9"/>
      <c r="AF527" s="40"/>
      <c r="AG527" s="56">
        <v>589659.22</v>
      </c>
      <c r="AH527" s="56"/>
    </row>
    <row r="528" spans="1:34" x14ac:dyDescent="0.3">
      <c r="A528" s="59">
        <f t="shared" si="134"/>
        <v>394</v>
      </c>
      <c r="B528" s="66" t="s">
        <v>2151</v>
      </c>
      <c r="C528" s="50">
        <f t="shared" si="130"/>
        <v>211949.84999999998</v>
      </c>
      <c r="D528" s="51">
        <f t="shared" si="131"/>
        <v>0</v>
      </c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68"/>
      <c r="P528" s="58"/>
      <c r="Q528" s="68"/>
      <c r="R528" s="50"/>
      <c r="S528" s="68"/>
      <c r="T528" s="68"/>
      <c r="U528" s="50"/>
      <c r="V528" s="50"/>
      <c r="W528" s="34">
        <f t="shared" si="132"/>
        <v>211949.84999999998</v>
      </c>
      <c r="X528" s="141"/>
      <c r="Y528" s="285"/>
      <c r="Z528" s="285">
        <v>105461.06</v>
      </c>
      <c r="AA528" s="285"/>
      <c r="AB528" s="285">
        <v>106488.79</v>
      </c>
      <c r="AC528" s="285"/>
      <c r="AD528" s="285"/>
      <c r="AE528" s="9"/>
      <c r="AF528" s="40"/>
      <c r="AG528" s="56"/>
      <c r="AH528" s="56"/>
    </row>
    <row r="529" spans="1:34" x14ac:dyDescent="0.3">
      <c r="A529" s="59">
        <f t="shared" si="134"/>
        <v>395</v>
      </c>
      <c r="B529" s="66" t="s">
        <v>2152</v>
      </c>
      <c r="C529" s="50">
        <f t="shared" si="130"/>
        <v>354256.16000000003</v>
      </c>
      <c r="D529" s="51">
        <f t="shared" si="131"/>
        <v>0</v>
      </c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68"/>
      <c r="P529" s="58"/>
      <c r="Q529" s="68"/>
      <c r="R529" s="50"/>
      <c r="S529" s="68"/>
      <c r="T529" s="68"/>
      <c r="U529" s="50"/>
      <c r="V529" s="50"/>
      <c r="W529" s="34">
        <f t="shared" si="132"/>
        <v>354256.16000000003</v>
      </c>
      <c r="X529" s="141"/>
      <c r="Y529" s="285">
        <v>111667.2</v>
      </c>
      <c r="Z529" s="285"/>
      <c r="AA529" s="285"/>
      <c r="AB529" s="285">
        <v>106528.52</v>
      </c>
      <c r="AC529" s="285">
        <v>136060.44</v>
      </c>
      <c r="AD529" s="285"/>
      <c r="AE529" s="9"/>
      <c r="AF529" s="40"/>
      <c r="AG529" s="56"/>
      <c r="AH529" s="56"/>
    </row>
    <row r="530" spans="1:34" x14ac:dyDescent="0.3">
      <c r="A530" s="59">
        <f t="shared" si="134"/>
        <v>396</v>
      </c>
      <c r="B530" s="66" t="s">
        <v>2153</v>
      </c>
      <c r="C530" s="50">
        <f t="shared" si="130"/>
        <v>353528.07</v>
      </c>
      <c r="D530" s="51">
        <f t="shared" si="131"/>
        <v>0</v>
      </c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68"/>
      <c r="P530" s="58"/>
      <c r="Q530" s="68"/>
      <c r="R530" s="50"/>
      <c r="S530" s="68"/>
      <c r="T530" s="68"/>
      <c r="U530" s="50"/>
      <c r="V530" s="50"/>
      <c r="W530" s="34">
        <f t="shared" si="132"/>
        <v>353528.07</v>
      </c>
      <c r="X530" s="141"/>
      <c r="Y530" s="285">
        <v>111432.62</v>
      </c>
      <c r="Z530" s="285"/>
      <c r="AA530" s="285"/>
      <c r="AB530" s="285">
        <v>106293.95</v>
      </c>
      <c r="AC530" s="285">
        <v>135801.5</v>
      </c>
      <c r="AD530" s="285"/>
      <c r="AE530" s="9"/>
      <c r="AF530" s="40"/>
      <c r="AG530" s="56"/>
      <c r="AH530" s="56"/>
    </row>
    <row r="531" spans="1:34" x14ac:dyDescent="0.3">
      <c r="A531" s="59">
        <f t="shared" si="134"/>
        <v>397</v>
      </c>
      <c r="B531" s="66" t="s">
        <v>2154</v>
      </c>
      <c r="C531" s="50">
        <f t="shared" si="130"/>
        <v>217730</v>
      </c>
      <c r="D531" s="51">
        <f t="shared" si="131"/>
        <v>0</v>
      </c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68"/>
      <c r="P531" s="58"/>
      <c r="Q531" s="68"/>
      <c r="R531" s="50"/>
      <c r="S531" s="68"/>
      <c r="T531" s="68"/>
      <c r="U531" s="50"/>
      <c r="V531" s="50"/>
      <c r="W531" s="34">
        <f t="shared" si="132"/>
        <v>217730</v>
      </c>
      <c r="X531" s="285" t="s">
        <v>2155</v>
      </c>
      <c r="Y531" s="285"/>
      <c r="Z531" s="285">
        <v>112480.34</v>
      </c>
      <c r="AA531" s="285"/>
      <c r="AB531" s="285"/>
      <c r="AC531" s="285">
        <v>105249.66</v>
      </c>
      <c r="AD531" s="285"/>
      <c r="AE531" s="9"/>
      <c r="AF531" s="40"/>
      <c r="AG531" s="56"/>
      <c r="AH531" s="56"/>
    </row>
    <row r="532" spans="1:34" x14ac:dyDescent="0.3">
      <c r="A532" s="59">
        <f t="shared" si="134"/>
        <v>398</v>
      </c>
      <c r="B532" s="66" t="s">
        <v>2156</v>
      </c>
      <c r="C532" s="50">
        <f t="shared" si="130"/>
        <v>354013.48</v>
      </c>
      <c r="D532" s="51">
        <f t="shared" si="131"/>
        <v>0</v>
      </c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68"/>
      <c r="P532" s="58"/>
      <c r="Q532" s="68"/>
      <c r="R532" s="50"/>
      <c r="S532" s="68"/>
      <c r="T532" s="68"/>
      <c r="U532" s="50"/>
      <c r="V532" s="50"/>
      <c r="W532" s="34">
        <f t="shared" si="132"/>
        <v>354013.48</v>
      </c>
      <c r="X532" s="141"/>
      <c r="Y532" s="285">
        <v>111589.01</v>
      </c>
      <c r="Z532" s="285"/>
      <c r="AA532" s="285"/>
      <c r="AB532" s="285">
        <v>106450.33</v>
      </c>
      <c r="AC532" s="285">
        <v>135974.14000000001</v>
      </c>
      <c r="AD532" s="285"/>
      <c r="AE532" s="9"/>
      <c r="AF532" s="40"/>
      <c r="AG532" s="56"/>
      <c r="AH532" s="56"/>
    </row>
    <row r="533" spans="1:34" x14ac:dyDescent="0.3">
      <c r="A533" s="59">
        <f t="shared" si="134"/>
        <v>399</v>
      </c>
      <c r="B533" s="66" t="s">
        <v>2157</v>
      </c>
      <c r="C533" s="50">
        <f t="shared" si="130"/>
        <v>354013.48</v>
      </c>
      <c r="D533" s="51">
        <f t="shared" si="131"/>
        <v>0</v>
      </c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68"/>
      <c r="P533" s="58"/>
      <c r="Q533" s="68"/>
      <c r="R533" s="50"/>
      <c r="S533" s="68"/>
      <c r="T533" s="68"/>
      <c r="U533" s="50"/>
      <c r="V533" s="50"/>
      <c r="W533" s="34">
        <f t="shared" si="132"/>
        <v>354013.48</v>
      </c>
      <c r="X533" s="141"/>
      <c r="Y533" s="285">
        <v>111589.01</v>
      </c>
      <c r="Z533" s="285"/>
      <c r="AA533" s="285"/>
      <c r="AB533" s="285">
        <v>106450.33</v>
      </c>
      <c r="AC533" s="285">
        <v>135974.14000000001</v>
      </c>
      <c r="AD533" s="285"/>
      <c r="AE533" s="9"/>
      <c r="AF533" s="40"/>
      <c r="AG533" s="56"/>
      <c r="AH533" s="56"/>
    </row>
    <row r="534" spans="1:34" x14ac:dyDescent="0.3">
      <c r="A534" s="59">
        <f t="shared" si="134"/>
        <v>400</v>
      </c>
      <c r="B534" s="66" t="s">
        <v>2158</v>
      </c>
      <c r="C534" s="50">
        <f t="shared" si="130"/>
        <v>921527.44</v>
      </c>
      <c r="D534" s="51">
        <f t="shared" si="131"/>
        <v>0</v>
      </c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68"/>
      <c r="P534" s="58"/>
      <c r="Q534" s="68"/>
      <c r="R534" s="50"/>
      <c r="S534" s="68"/>
      <c r="T534" s="68"/>
      <c r="U534" s="50"/>
      <c r="V534" s="48"/>
      <c r="W534" s="34">
        <f t="shared" si="132"/>
        <v>921527.44</v>
      </c>
      <c r="X534" s="141" t="s">
        <v>2142</v>
      </c>
      <c r="Y534" s="285">
        <v>133940.71</v>
      </c>
      <c r="Z534" s="285"/>
      <c r="AA534" s="285"/>
      <c r="AB534" s="285"/>
      <c r="AC534" s="285">
        <v>156463.24</v>
      </c>
      <c r="AD534" s="285"/>
      <c r="AE534" s="9"/>
      <c r="AF534" s="40"/>
      <c r="AG534" s="56">
        <v>631123.49</v>
      </c>
      <c r="AH534" s="56"/>
    </row>
    <row r="535" spans="1:34" x14ac:dyDescent="0.3">
      <c r="A535" s="59">
        <f t="shared" si="134"/>
        <v>401</v>
      </c>
      <c r="B535" s="66" t="s">
        <v>2159</v>
      </c>
      <c r="C535" s="50">
        <f t="shared" si="130"/>
        <v>235553.39</v>
      </c>
      <c r="D535" s="51">
        <f t="shared" si="131"/>
        <v>0</v>
      </c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68"/>
      <c r="P535" s="58"/>
      <c r="Q535" s="68"/>
      <c r="R535" s="50"/>
      <c r="S535" s="68"/>
      <c r="T535" s="68"/>
      <c r="U535" s="50"/>
      <c r="V535" s="50"/>
      <c r="W535" s="34">
        <f t="shared" si="132"/>
        <v>235553.39</v>
      </c>
      <c r="X535" s="141"/>
      <c r="Y535" s="285"/>
      <c r="Z535" s="285">
        <v>116748.96</v>
      </c>
      <c r="AA535" s="285"/>
      <c r="AB535" s="285">
        <v>118804.43</v>
      </c>
      <c r="AC535" s="285"/>
      <c r="AD535" s="285"/>
      <c r="AE535" s="9"/>
      <c r="AF535" s="40"/>
      <c r="AG535" s="56"/>
      <c r="AH535" s="56"/>
    </row>
    <row r="536" spans="1:34" x14ac:dyDescent="0.3">
      <c r="A536" s="59">
        <f t="shared" si="134"/>
        <v>402</v>
      </c>
      <c r="B536" s="66" t="s">
        <v>2160</v>
      </c>
      <c r="C536" s="50">
        <f t="shared" si="130"/>
        <v>1102255.98</v>
      </c>
      <c r="D536" s="51">
        <f t="shared" si="131"/>
        <v>0</v>
      </c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68"/>
      <c r="P536" s="58"/>
      <c r="Q536" s="68"/>
      <c r="R536" s="50"/>
      <c r="S536" s="68"/>
      <c r="T536" s="68"/>
      <c r="U536" s="50"/>
      <c r="V536" s="48"/>
      <c r="W536" s="34">
        <f t="shared" si="132"/>
        <v>1102255.98</v>
      </c>
      <c r="X536" s="141" t="s">
        <v>2142</v>
      </c>
      <c r="Y536" s="285">
        <v>119607.18</v>
      </c>
      <c r="Z536" s="285"/>
      <c r="AA536" s="285"/>
      <c r="AB536" s="285">
        <v>108302.1</v>
      </c>
      <c r="AC536" s="285">
        <v>134098.26</v>
      </c>
      <c r="AD536" s="285">
        <v>107049.65</v>
      </c>
      <c r="AE536" s="9"/>
      <c r="AF536" s="40"/>
      <c r="AG536" s="56">
        <v>633198.79</v>
      </c>
      <c r="AH536" s="56"/>
    </row>
    <row r="537" spans="1:34" x14ac:dyDescent="0.3">
      <c r="A537" s="59">
        <f t="shared" si="134"/>
        <v>403</v>
      </c>
      <c r="B537" s="66" t="s">
        <v>2161</v>
      </c>
      <c r="C537" s="50">
        <f t="shared" si="130"/>
        <v>1653989.92</v>
      </c>
      <c r="D537" s="51">
        <f t="shared" si="131"/>
        <v>0</v>
      </c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68"/>
      <c r="P537" s="50"/>
      <c r="Q537" s="68"/>
      <c r="R537" s="50"/>
      <c r="S537" s="68"/>
      <c r="T537" s="68"/>
      <c r="U537" s="50"/>
      <c r="V537" s="50"/>
      <c r="W537" s="34">
        <f t="shared" si="132"/>
        <v>1653989.92</v>
      </c>
      <c r="X537" s="141"/>
      <c r="Y537" s="285"/>
      <c r="Z537" s="285"/>
      <c r="AA537" s="285"/>
      <c r="AB537" s="285"/>
      <c r="AC537" s="285"/>
      <c r="AD537" s="285">
        <v>254940.62</v>
      </c>
      <c r="AE537" s="9"/>
      <c r="AF537" s="40"/>
      <c r="AG537" s="56">
        <v>1399049.3</v>
      </c>
      <c r="AH537" s="56"/>
    </row>
    <row r="538" spans="1:34" x14ac:dyDescent="0.3">
      <c r="A538" s="59">
        <f t="shared" si="134"/>
        <v>404</v>
      </c>
      <c r="B538" s="66" t="s">
        <v>2162</v>
      </c>
      <c r="C538" s="50">
        <f t="shared" si="130"/>
        <v>344971.66000000003</v>
      </c>
      <c r="D538" s="51">
        <f t="shared" si="131"/>
        <v>0</v>
      </c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68"/>
      <c r="P538" s="58"/>
      <c r="Q538" s="68"/>
      <c r="R538" s="50"/>
      <c r="S538" s="68"/>
      <c r="T538" s="68"/>
      <c r="U538" s="50"/>
      <c r="V538" s="50"/>
      <c r="W538" s="34">
        <f t="shared" si="132"/>
        <v>344971.66000000003</v>
      </c>
      <c r="X538" s="141"/>
      <c r="Y538" s="285"/>
      <c r="Z538" s="285">
        <v>105769.7</v>
      </c>
      <c r="AA538" s="285"/>
      <c r="AB538" s="285">
        <v>106797.44</v>
      </c>
      <c r="AC538" s="285">
        <v>132404.51999999999</v>
      </c>
      <c r="AD538" s="285"/>
      <c r="AE538" s="9"/>
      <c r="AF538" s="40"/>
      <c r="AG538" s="56"/>
      <c r="AH538" s="56"/>
    </row>
    <row r="539" spans="1:34" x14ac:dyDescent="0.3">
      <c r="A539" s="59">
        <f t="shared" si="134"/>
        <v>405</v>
      </c>
      <c r="B539" s="66" t="s">
        <v>2163</v>
      </c>
      <c r="C539" s="50">
        <f t="shared" si="130"/>
        <v>1117383.4300000002</v>
      </c>
      <c r="D539" s="51">
        <f t="shared" si="131"/>
        <v>0</v>
      </c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68"/>
      <c r="P539" s="58"/>
      <c r="Q539" s="68"/>
      <c r="R539" s="50"/>
      <c r="S539" s="68"/>
      <c r="T539" s="68"/>
      <c r="U539" s="50"/>
      <c r="V539" s="50"/>
      <c r="W539" s="34">
        <f t="shared" si="132"/>
        <v>1117383.4300000002</v>
      </c>
      <c r="X539" s="141"/>
      <c r="Y539" s="285">
        <v>120378.8</v>
      </c>
      <c r="Z539" s="285"/>
      <c r="AA539" s="285"/>
      <c r="AB539" s="285">
        <v>109073.71</v>
      </c>
      <c r="AC539" s="285">
        <v>134966.81</v>
      </c>
      <c r="AD539" s="285"/>
      <c r="AE539" s="9">
        <v>201364.51</v>
      </c>
      <c r="AF539" s="40"/>
      <c r="AG539" s="56">
        <v>551599.6</v>
      </c>
      <c r="AH539" s="56"/>
    </row>
    <row r="540" spans="1:34" x14ac:dyDescent="0.3">
      <c r="A540" s="59">
        <f t="shared" si="134"/>
        <v>406</v>
      </c>
      <c r="B540" s="66" t="s">
        <v>2164</v>
      </c>
      <c r="C540" s="50">
        <f t="shared" si="130"/>
        <v>130000</v>
      </c>
      <c r="D540" s="51">
        <f t="shared" si="131"/>
        <v>0</v>
      </c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68"/>
      <c r="P540" s="58"/>
      <c r="Q540" s="68"/>
      <c r="R540" s="50"/>
      <c r="S540" s="68"/>
      <c r="T540" s="68"/>
      <c r="U540" s="50"/>
      <c r="V540" s="50"/>
      <c r="W540" s="34">
        <v>130000</v>
      </c>
      <c r="X540" s="141" t="s">
        <v>2165</v>
      </c>
      <c r="Y540" s="285"/>
      <c r="Z540" s="285"/>
      <c r="AA540" s="285"/>
      <c r="AB540" s="285"/>
      <c r="AC540" s="285"/>
      <c r="AD540" s="285"/>
      <c r="AE540" s="9"/>
      <c r="AF540" s="40"/>
      <c r="AG540" s="56"/>
      <c r="AH540" s="56"/>
    </row>
    <row r="541" spans="1:34" x14ac:dyDescent="0.3">
      <c r="A541" s="59">
        <f t="shared" si="134"/>
        <v>407</v>
      </c>
      <c r="B541" s="66" t="s">
        <v>2166</v>
      </c>
      <c r="C541" s="50">
        <f t="shared" si="130"/>
        <v>116145.96</v>
      </c>
      <c r="D541" s="51">
        <f t="shared" si="131"/>
        <v>0</v>
      </c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68"/>
      <c r="P541" s="50"/>
      <c r="Q541" s="68"/>
      <c r="R541" s="50"/>
      <c r="S541" s="68"/>
      <c r="T541" s="68"/>
      <c r="U541" s="50"/>
      <c r="V541" s="50"/>
      <c r="W541" s="34">
        <f t="shared" si="132"/>
        <v>116145.96</v>
      </c>
      <c r="X541" s="141"/>
      <c r="Y541" s="285"/>
      <c r="Z541" s="285"/>
      <c r="AA541" s="285"/>
      <c r="AB541" s="285">
        <v>116145.96</v>
      </c>
      <c r="AC541" s="285"/>
      <c r="AD541" s="285"/>
      <c r="AE541" s="9"/>
      <c r="AF541" s="40"/>
      <c r="AG541" s="56"/>
      <c r="AH541" s="56"/>
    </row>
    <row r="542" spans="1:34" x14ac:dyDescent="0.3">
      <c r="A542" s="59">
        <f t="shared" si="134"/>
        <v>408</v>
      </c>
      <c r="B542" s="66" t="s">
        <v>2167</v>
      </c>
      <c r="C542" s="50">
        <f t="shared" si="130"/>
        <v>1009473.3700000001</v>
      </c>
      <c r="D542" s="51">
        <f t="shared" si="131"/>
        <v>0</v>
      </c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68"/>
      <c r="P542" s="58"/>
      <c r="Q542" s="68"/>
      <c r="R542" s="50"/>
      <c r="S542" s="68"/>
      <c r="T542" s="68"/>
      <c r="U542" s="50"/>
      <c r="V542" s="50"/>
      <c r="W542" s="34">
        <f t="shared" si="132"/>
        <v>1009473.3700000001</v>
      </c>
      <c r="X542" s="141"/>
      <c r="Y542" s="285"/>
      <c r="Z542" s="285">
        <v>121622.83</v>
      </c>
      <c r="AA542" s="285"/>
      <c r="AB542" s="285"/>
      <c r="AC542" s="285">
        <v>154993.49</v>
      </c>
      <c r="AD542" s="285">
        <v>127129.38</v>
      </c>
      <c r="AE542" s="9"/>
      <c r="AF542" s="40"/>
      <c r="AG542" s="56">
        <v>605727.67000000004</v>
      </c>
      <c r="AH542" s="56"/>
    </row>
    <row r="543" spans="1:34" x14ac:dyDescent="0.3">
      <c r="A543" s="59">
        <f t="shared" si="134"/>
        <v>409</v>
      </c>
      <c r="B543" s="66" t="s">
        <v>2168</v>
      </c>
      <c r="C543" s="50">
        <f t="shared" si="130"/>
        <v>626786.5</v>
      </c>
      <c r="D543" s="51">
        <f t="shared" si="131"/>
        <v>0</v>
      </c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68"/>
      <c r="P543" s="58"/>
      <c r="Q543" s="68"/>
      <c r="R543" s="50"/>
      <c r="S543" s="68"/>
      <c r="T543" s="68"/>
      <c r="U543" s="50"/>
      <c r="V543" s="50"/>
      <c r="W543" s="34">
        <f t="shared" si="132"/>
        <v>626786.5</v>
      </c>
      <c r="X543" s="141" t="s">
        <v>2169</v>
      </c>
      <c r="Y543" s="285"/>
      <c r="Z543" s="285"/>
      <c r="AA543" s="285"/>
      <c r="AB543" s="285"/>
      <c r="AC543" s="285"/>
      <c r="AD543" s="285"/>
      <c r="AE543" s="9"/>
      <c r="AF543" s="40"/>
      <c r="AG543" s="56">
        <v>626786.5</v>
      </c>
      <c r="AH543" s="56"/>
    </row>
    <row r="544" spans="1:34" x14ac:dyDescent="0.3">
      <c r="A544" s="59">
        <f t="shared" si="134"/>
        <v>410</v>
      </c>
      <c r="B544" s="66" t="s">
        <v>2170</v>
      </c>
      <c r="C544" s="50">
        <f t="shared" ref="C544:C575" si="135">D544+K544+L544+N544+P544+R544+S544+U544+V544+W544</f>
        <v>854760.90999999992</v>
      </c>
      <c r="D544" s="51">
        <f t="shared" si="131"/>
        <v>0</v>
      </c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68"/>
      <c r="P544" s="58"/>
      <c r="Q544" s="68"/>
      <c r="R544" s="50"/>
      <c r="S544" s="68"/>
      <c r="T544" s="68"/>
      <c r="U544" s="50"/>
      <c r="V544" s="50"/>
      <c r="W544" s="34">
        <f t="shared" si="132"/>
        <v>854760.90999999992</v>
      </c>
      <c r="X544" s="141"/>
      <c r="Y544" s="285"/>
      <c r="Z544" s="285">
        <v>113021.65</v>
      </c>
      <c r="AA544" s="285"/>
      <c r="AB544" s="285"/>
      <c r="AC544" s="285"/>
      <c r="AD544" s="285">
        <v>114952.76</v>
      </c>
      <c r="AE544" s="9"/>
      <c r="AF544" s="40"/>
      <c r="AG544" s="56">
        <v>626786.5</v>
      </c>
      <c r="AH544" s="56"/>
    </row>
    <row r="545" spans="1:34" x14ac:dyDescent="0.3">
      <c r="A545" s="59">
        <f t="shared" si="134"/>
        <v>411</v>
      </c>
      <c r="B545" s="66" t="s">
        <v>2171</v>
      </c>
      <c r="C545" s="50">
        <f t="shared" si="135"/>
        <v>1243346.8999999999</v>
      </c>
      <c r="D545" s="51">
        <f t="shared" si="131"/>
        <v>0</v>
      </c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68"/>
      <c r="P545" s="50"/>
      <c r="Q545" s="68"/>
      <c r="R545" s="50"/>
      <c r="S545" s="68"/>
      <c r="T545" s="68"/>
      <c r="U545" s="50"/>
      <c r="V545" s="50"/>
      <c r="W545" s="34">
        <f t="shared" si="132"/>
        <v>1243346.8999999999</v>
      </c>
      <c r="X545" s="141"/>
      <c r="Y545" s="285"/>
      <c r="Z545" s="285"/>
      <c r="AA545" s="285"/>
      <c r="AB545" s="285"/>
      <c r="AC545" s="285"/>
      <c r="AD545" s="285"/>
      <c r="AE545" s="9"/>
      <c r="AF545" s="40"/>
      <c r="AG545" s="56">
        <v>1243346.8999999999</v>
      </c>
      <c r="AH545" s="56"/>
    </row>
    <row r="546" spans="1:34" x14ac:dyDescent="0.3">
      <c r="A546" s="59">
        <f t="shared" si="134"/>
        <v>412</v>
      </c>
      <c r="B546" s="66" t="s">
        <v>2172</v>
      </c>
      <c r="C546" s="50">
        <f t="shared" si="135"/>
        <v>564048.1</v>
      </c>
      <c r="D546" s="51">
        <f t="shared" si="131"/>
        <v>0</v>
      </c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68"/>
      <c r="P546" s="58"/>
      <c r="Q546" s="68"/>
      <c r="R546" s="50"/>
      <c r="S546" s="68"/>
      <c r="T546" s="68"/>
      <c r="U546" s="50"/>
      <c r="V546" s="50"/>
      <c r="W546" s="34">
        <f t="shared" si="132"/>
        <v>564048.1</v>
      </c>
      <c r="X546" s="141"/>
      <c r="Y546" s="285"/>
      <c r="Z546" s="285"/>
      <c r="AA546" s="285"/>
      <c r="AB546" s="285"/>
      <c r="AC546" s="285"/>
      <c r="AD546" s="285"/>
      <c r="AE546" s="9"/>
      <c r="AF546" s="40"/>
      <c r="AG546" s="56">
        <v>564048.1</v>
      </c>
      <c r="AH546" s="56"/>
    </row>
    <row r="547" spans="1:34" x14ac:dyDescent="0.3">
      <c r="A547" s="59">
        <f t="shared" si="134"/>
        <v>413</v>
      </c>
      <c r="B547" s="66" t="s">
        <v>2173</v>
      </c>
      <c r="C547" s="50">
        <f t="shared" si="135"/>
        <v>111484.14</v>
      </c>
      <c r="D547" s="51">
        <f t="shared" si="131"/>
        <v>0</v>
      </c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68"/>
      <c r="P547" s="58"/>
      <c r="Q547" s="68"/>
      <c r="R547" s="50"/>
      <c r="S547" s="68"/>
      <c r="T547" s="68"/>
      <c r="U547" s="50"/>
      <c r="V547" s="50"/>
      <c r="W547" s="34">
        <f t="shared" si="132"/>
        <v>111484.14</v>
      </c>
      <c r="X547" s="141"/>
      <c r="Y547" s="285"/>
      <c r="Z547" s="285">
        <v>111484.14</v>
      </c>
      <c r="AA547" s="285"/>
      <c r="AB547" s="285"/>
      <c r="AC547" s="285"/>
      <c r="AD547" s="285"/>
      <c r="AE547" s="9"/>
      <c r="AF547" s="40"/>
      <c r="AG547" s="56"/>
      <c r="AH547" s="56"/>
    </row>
    <row r="548" spans="1:34" x14ac:dyDescent="0.3">
      <c r="A548" s="59">
        <f t="shared" si="134"/>
        <v>414</v>
      </c>
      <c r="B548" s="66" t="s">
        <v>2174</v>
      </c>
      <c r="C548" s="50">
        <f t="shared" si="135"/>
        <v>678229.32000000007</v>
      </c>
      <c r="D548" s="51">
        <f t="shared" si="131"/>
        <v>0</v>
      </c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68"/>
      <c r="P548" s="58"/>
      <c r="Q548" s="68"/>
      <c r="R548" s="50"/>
      <c r="S548" s="68"/>
      <c r="T548" s="68"/>
      <c r="U548" s="50"/>
      <c r="V548" s="50"/>
      <c r="W548" s="34">
        <f t="shared" si="132"/>
        <v>678229.32000000007</v>
      </c>
      <c r="X548" s="141"/>
      <c r="Y548" s="285"/>
      <c r="Z548" s="285"/>
      <c r="AA548" s="285"/>
      <c r="AB548" s="285">
        <v>115472.52</v>
      </c>
      <c r="AC548" s="285"/>
      <c r="AD548" s="285"/>
      <c r="AE548" s="9"/>
      <c r="AF548" s="40"/>
      <c r="AG548" s="56">
        <v>562756.80000000005</v>
      </c>
      <c r="AH548" s="56"/>
    </row>
    <row r="549" spans="1:34" x14ac:dyDescent="0.3">
      <c r="A549" s="59">
        <f t="shared" si="134"/>
        <v>415</v>
      </c>
      <c r="B549" s="66" t="s">
        <v>2175</v>
      </c>
      <c r="C549" s="50">
        <f t="shared" si="135"/>
        <v>111484.14</v>
      </c>
      <c r="D549" s="51">
        <f t="shared" si="131"/>
        <v>0</v>
      </c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68"/>
      <c r="P549" s="58"/>
      <c r="Q549" s="68"/>
      <c r="R549" s="50"/>
      <c r="S549" s="68"/>
      <c r="T549" s="68"/>
      <c r="U549" s="50"/>
      <c r="V549" s="50"/>
      <c r="W549" s="34">
        <f t="shared" si="132"/>
        <v>111484.14</v>
      </c>
      <c r="X549" s="141"/>
      <c r="Y549" s="285"/>
      <c r="Z549" s="285">
        <v>111484.14</v>
      </c>
      <c r="AA549" s="285"/>
      <c r="AB549" s="285"/>
      <c r="AC549" s="285"/>
      <c r="AD549" s="285"/>
      <c r="AE549" s="9"/>
      <c r="AF549" s="40"/>
      <c r="AG549" s="56"/>
      <c r="AH549" s="56"/>
    </row>
    <row r="550" spans="1:34" x14ac:dyDescent="0.3">
      <c r="A550" s="59">
        <f t="shared" si="134"/>
        <v>416</v>
      </c>
      <c r="B550" s="66" t="s">
        <v>2176</v>
      </c>
      <c r="C550" s="50">
        <f t="shared" si="135"/>
        <v>548157.1</v>
      </c>
      <c r="D550" s="51">
        <f t="shared" si="131"/>
        <v>0</v>
      </c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68"/>
      <c r="P550" s="58"/>
      <c r="Q550" s="68"/>
      <c r="R550" s="50"/>
      <c r="S550" s="68"/>
      <c r="T550" s="68"/>
      <c r="U550" s="50"/>
      <c r="V550" s="50"/>
      <c r="W550" s="34">
        <f t="shared" si="132"/>
        <v>548157.1</v>
      </c>
      <c r="X550" s="141"/>
      <c r="Y550" s="285"/>
      <c r="Z550" s="285"/>
      <c r="AA550" s="285"/>
      <c r="AB550" s="285"/>
      <c r="AC550" s="285"/>
      <c r="AD550" s="285"/>
      <c r="AE550" s="9"/>
      <c r="AF550" s="40"/>
      <c r="AG550" s="56">
        <v>548157.1</v>
      </c>
      <c r="AH550" s="56"/>
    </row>
    <row r="551" spans="1:34" x14ac:dyDescent="0.3">
      <c r="A551" s="59">
        <f t="shared" si="134"/>
        <v>417</v>
      </c>
      <c r="B551" s="66" t="s">
        <v>2177</v>
      </c>
      <c r="C551" s="50">
        <f t="shared" si="135"/>
        <v>922979.29</v>
      </c>
      <c r="D551" s="51">
        <f t="shared" si="131"/>
        <v>0</v>
      </c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68"/>
      <c r="P551" s="58"/>
      <c r="Q551" s="68"/>
      <c r="R551" s="50"/>
      <c r="S551" s="68"/>
      <c r="T551" s="68"/>
      <c r="U551" s="50"/>
      <c r="V551" s="50"/>
      <c r="W551" s="34">
        <f t="shared" si="132"/>
        <v>922979.29</v>
      </c>
      <c r="X551" s="141"/>
      <c r="Y551" s="285"/>
      <c r="Z551" s="285">
        <v>109894.26</v>
      </c>
      <c r="AA551" s="285"/>
      <c r="AB551" s="285"/>
      <c r="AC551" s="285">
        <v>142045.38</v>
      </c>
      <c r="AD551" s="285">
        <v>114752.35</v>
      </c>
      <c r="AE551" s="9"/>
      <c r="AF551" s="40"/>
      <c r="AG551" s="56">
        <v>556287.30000000005</v>
      </c>
      <c r="AH551" s="56"/>
    </row>
    <row r="552" spans="1:34" x14ac:dyDescent="0.3">
      <c r="A552" s="59">
        <f t="shared" si="134"/>
        <v>418</v>
      </c>
      <c r="B552" s="66" t="s">
        <v>2178</v>
      </c>
      <c r="C552" s="50">
        <f t="shared" si="135"/>
        <v>568081.74</v>
      </c>
      <c r="D552" s="51">
        <f t="shared" si="131"/>
        <v>0</v>
      </c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68"/>
      <c r="P552" s="58"/>
      <c r="Q552" s="68"/>
      <c r="R552" s="50"/>
      <c r="S552" s="68"/>
      <c r="T552" s="68"/>
      <c r="U552" s="50"/>
      <c r="V552" s="50"/>
      <c r="W552" s="34">
        <f t="shared" si="132"/>
        <v>568081.74</v>
      </c>
      <c r="X552" s="141"/>
      <c r="Y552" s="285"/>
      <c r="Z552" s="285"/>
      <c r="AA552" s="285"/>
      <c r="AB552" s="285"/>
      <c r="AC552" s="285"/>
      <c r="AD552" s="285"/>
      <c r="AE552" s="9"/>
      <c r="AF552" s="40"/>
      <c r="AG552" s="56">
        <v>568081.74</v>
      </c>
      <c r="AH552" s="56"/>
    </row>
    <row r="553" spans="1:34" x14ac:dyDescent="0.3">
      <c r="A553" s="59">
        <f t="shared" si="134"/>
        <v>419</v>
      </c>
      <c r="B553" s="66" t="s">
        <v>2179</v>
      </c>
      <c r="C553" s="50">
        <f t="shared" si="135"/>
        <v>1128112.3999999999</v>
      </c>
      <c r="D553" s="51">
        <f t="shared" si="131"/>
        <v>0</v>
      </c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68"/>
      <c r="P553" s="58"/>
      <c r="Q553" s="68"/>
      <c r="R553" s="50"/>
      <c r="S553" s="68"/>
      <c r="T553" s="68"/>
      <c r="U553" s="50"/>
      <c r="V553" s="50"/>
      <c r="W553" s="34">
        <f t="shared" si="132"/>
        <v>1128112.3999999999</v>
      </c>
      <c r="X553" s="141"/>
      <c r="Y553" s="285">
        <v>109556.04</v>
      </c>
      <c r="Z553" s="285"/>
      <c r="AA553" s="285"/>
      <c r="AB553" s="285">
        <v>100864.88</v>
      </c>
      <c r="AC553" s="285">
        <v>133729.79999999999</v>
      </c>
      <c r="AD553" s="285">
        <v>102307.15</v>
      </c>
      <c r="AE553" s="9"/>
      <c r="AF553" s="40"/>
      <c r="AG553" s="56">
        <v>502494.22</v>
      </c>
      <c r="AH553" s="56">
        <v>179160.31</v>
      </c>
    </row>
    <row r="554" spans="1:34" x14ac:dyDescent="0.3">
      <c r="A554" s="59">
        <f t="shared" si="134"/>
        <v>420</v>
      </c>
      <c r="B554" s="66" t="s">
        <v>2180</v>
      </c>
      <c r="C554" s="50">
        <f t="shared" si="135"/>
        <v>555408.35</v>
      </c>
      <c r="D554" s="51">
        <f t="shared" si="131"/>
        <v>0</v>
      </c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68"/>
      <c r="P554" s="58"/>
      <c r="Q554" s="68"/>
      <c r="R554" s="50"/>
      <c r="S554" s="68"/>
      <c r="T554" s="68"/>
      <c r="U554" s="50"/>
      <c r="V554" s="50"/>
      <c r="W554" s="34">
        <f t="shared" si="132"/>
        <v>555408.35</v>
      </c>
      <c r="X554" s="141"/>
      <c r="Y554" s="285"/>
      <c r="Z554" s="285"/>
      <c r="AA554" s="285"/>
      <c r="AB554" s="285"/>
      <c r="AC554" s="285"/>
      <c r="AD554" s="285"/>
      <c r="AE554" s="9"/>
      <c r="AF554" s="40"/>
      <c r="AG554" s="56">
        <v>555408.35</v>
      </c>
      <c r="AH554" s="56"/>
    </row>
    <row r="555" spans="1:34" x14ac:dyDescent="0.3">
      <c r="A555" s="59">
        <f t="shared" si="134"/>
        <v>421</v>
      </c>
      <c r="B555" s="66" t="s">
        <v>2181</v>
      </c>
      <c r="C555" s="50">
        <f t="shared" si="135"/>
        <v>894399.5</v>
      </c>
      <c r="D555" s="51">
        <f t="shared" si="131"/>
        <v>0</v>
      </c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68"/>
      <c r="P555" s="50"/>
      <c r="Q555" s="68"/>
      <c r="R555" s="50"/>
      <c r="S555" s="68"/>
      <c r="T555" s="68"/>
      <c r="U555" s="50"/>
      <c r="V555" s="50"/>
      <c r="W555" s="34">
        <f t="shared" si="132"/>
        <v>894399.5</v>
      </c>
      <c r="X555" s="141"/>
      <c r="Y555" s="285"/>
      <c r="Z555" s="285">
        <v>163068.12</v>
      </c>
      <c r="AA555" s="285"/>
      <c r="AB555" s="285"/>
      <c r="AC555" s="285"/>
      <c r="AD555" s="285"/>
      <c r="AE555" s="9"/>
      <c r="AF555" s="40"/>
      <c r="AG555" s="56">
        <v>731331.38</v>
      </c>
      <c r="AH555" s="56"/>
    </row>
    <row r="556" spans="1:34" x14ac:dyDescent="0.3">
      <c r="A556" s="59">
        <f t="shared" si="134"/>
        <v>422</v>
      </c>
      <c r="B556" s="66" t="s">
        <v>2182</v>
      </c>
      <c r="C556" s="50">
        <f t="shared" si="135"/>
        <v>866868.16</v>
      </c>
      <c r="D556" s="51">
        <f t="shared" si="131"/>
        <v>0</v>
      </c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68"/>
      <c r="P556" s="58"/>
      <c r="Q556" s="68"/>
      <c r="R556" s="50"/>
      <c r="S556" s="68"/>
      <c r="T556" s="68"/>
      <c r="U556" s="50"/>
      <c r="V556" s="50"/>
      <c r="W556" s="34">
        <f t="shared" si="132"/>
        <v>866868.16</v>
      </c>
      <c r="X556" s="141"/>
      <c r="Y556" s="285">
        <v>114638.45</v>
      </c>
      <c r="Z556" s="285"/>
      <c r="AA556" s="285"/>
      <c r="AB556" s="285"/>
      <c r="AC556" s="285">
        <v>139340.65</v>
      </c>
      <c r="AD556" s="285"/>
      <c r="AE556" s="9"/>
      <c r="AF556" s="40"/>
      <c r="AG556" s="56">
        <v>612889.06000000006</v>
      </c>
      <c r="AH556" s="56"/>
    </row>
    <row r="557" spans="1:34" x14ac:dyDescent="0.3">
      <c r="A557" s="59">
        <f t="shared" si="134"/>
        <v>423</v>
      </c>
      <c r="B557" s="66" t="s">
        <v>2183</v>
      </c>
      <c r="C557" s="50">
        <f t="shared" si="135"/>
        <v>941995.91</v>
      </c>
      <c r="D557" s="51">
        <f t="shared" si="131"/>
        <v>0</v>
      </c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68"/>
      <c r="P557" s="58"/>
      <c r="Q557" s="68"/>
      <c r="R557" s="50"/>
      <c r="S557" s="68"/>
      <c r="T557" s="68"/>
      <c r="U557" s="50"/>
      <c r="V557" s="50"/>
      <c r="W557" s="34">
        <f t="shared" si="132"/>
        <v>941995.91</v>
      </c>
      <c r="X557" s="141"/>
      <c r="Y557" s="285"/>
      <c r="Z557" s="285">
        <v>89774.080000000002</v>
      </c>
      <c r="AA557" s="285"/>
      <c r="AB557" s="285">
        <v>91829.54</v>
      </c>
      <c r="AC557" s="285">
        <v>113955.65</v>
      </c>
      <c r="AD557" s="285">
        <v>92858.23</v>
      </c>
      <c r="AE557" s="9"/>
      <c r="AF557" s="40"/>
      <c r="AG557" s="56">
        <v>553578.41</v>
      </c>
      <c r="AH557" s="56"/>
    </row>
    <row r="558" spans="1:34" x14ac:dyDescent="0.3">
      <c r="A558" s="59">
        <f t="shared" si="134"/>
        <v>424</v>
      </c>
      <c r="B558" s="66" t="s">
        <v>2184</v>
      </c>
      <c r="C558" s="50">
        <f t="shared" si="135"/>
        <v>306551.43</v>
      </c>
      <c r="D558" s="51">
        <f t="shared" si="131"/>
        <v>0</v>
      </c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68"/>
      <c r="P558" s="58"/>
      <c r="Q558" s="68"/>
      <c r="R558" s="50"/>
      <c r="S558" s="68"/>
      <c r="T558" s="68"/>
      <c r="U558" s="50"/>
      <c r="V558" s="50"/>
      <c r="W558" s="34">
        <f t="shared" si="132"/>
        <v>306551.43</v>
      </c>
      <c r="X558" s="141"/>
      <c r="Y558" s="285">
        <v>98196.01</v>
      </c>
      <c r="Z558" s="285"/>
      <c r="AA558" s="285"/>
      <c r="AB558" s="285">
        <v>93057.34</v>
      </c>
      <c r="AC558" s="285">
        <v>115298.08</v>
      </c>
      <c r="AD558" s="285"/>
      <c r="AE558" s="9"/>
      <c r="AF558" s="40"/>
      <c r="AG558" s="56"/>
      <c r="AH558" s="56"/>
    </row>
    <row r="559" spans="1:34" x14ac:dyDescent="0.3">
      <c r="A559" s="59">
        <f t="shared" si="134"/>
        <v>425</v>
      </c>
      <c r="B559" s="66" t="s">
        <v>2185</v>
      </c>
      <c r="C559" s="50">
        <f t="shared" si="135"/>
        <v>1018247.1</v>
      </c>
      <c r="D559" s="51">
        <f t="shared" si="131"/>
        <v>0</v>
      </c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68"/>
      <c r="P559" s="58"/>
      <c r="Q559" s="68"/>
      <c r="R559" s="50"/>
      <c r="S559" s="68"/>
      <c r="T559" s="68"/>
      <c r="U559" s="50"/>
      <c r="V559" s="50"/>
      <c r="W559" s="34">
        <f t="shared" si="132"/>
        <v>1018247.1</v>
      </c>
      <c r="X559" s="141"/>
      <c r="Y559" s="285"/>
      <c r="Z559" s="285">
        <v>97770.48</v>
      </c>
      <c r="AA559" s="285"/>
      <c r="AB559" s="285">
        <v>99825.96</v>
      </c>
      <c r="AC559" s="285">
        <v>122698.57</v>
      </c>
      <c r="AD559" s="285">
        <v>101220.65</v>
      </c>
      <c r="AE559" s="9"/>
      <c r="AF559" s="40"/>
      <c r="AG559" s="56">
        <v>596731.43999999994</v>
      </c>
      <c r="AH559" s="56"/>
    </row>
    <row r="560" spans="1:34" x14ac:dyDescent="0.3">
      <c r="A560" s="59">
        <f t="shared" si="134"/>
        <v>426</v>
      </c>
      <c r="B560" s="66" t="s">
        <v>2186</v>
      </c>
      <c r="C560" s="50">
        <f t="shared" si="135"/>
        <v>560883.85</v>
      </c>
      <c r="D560" s="51">
        <f t="shared" si="131"/>
        <v>0</v>
      </c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68"/>
      <c r="P560" s="58"/>
      <c r="Q560" s="68"/>
      <c r="R560" s="50"/>
      <c r="S560" s="68"/>
      <c r="T560" s="68"/>
      <c r="U560" s="50"/>
      <c r="V560" s="50"/>
      <c r="W560" s="34">
        <f t="shared" si="132"/>
        <v>560883.85</v>
      </c>
      <c r="X560" s="141"/>
      <c r="Y560" s="285"/>
      <c r="Z560" s="285"/>
      <c r="AA560" s="285"/>
      <c r="AB560" s="285"/>
      <c r="AC560" s="285"/>
      <c r="AD560" s="285"/>
      <c r="AE560" s="9"/>
      <c r="AF560" s="40"/>
      <c r="AG560" s="56">
        <v>560883.85</v>
      </c>
      <c r="AH560" s="56"/>
    </row>
    <row r="561" spans="1:34" x14ac:dyDescent="0.3">
      <c r="A561" s="59">
        <f t="shared" si="134"/>
        <v>427</v>
      </c>
      <c r="B561" s="66" t="s">
        <v>2187</v>
      </c>
      <c r="C561" s="50">
        <f t="shared" si="135"/>
        <v>720795.84</v>
      </c>
      <c r="D561" s="51">
        <f t="shared" si="131"/>
        <v>0</v>
      </c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68"/>
      <c r="P561" s="58"/>
      <c r="Q561" s="68"/>
      <c r="R561" s="50"/>
      <c r="S561" s="68"/>
      <c r="T561" s="68"/>
      <c r="U561" s="50"/>
      <c r="V561" s="50"/>
      <c r="W561" s="34">
        <f t="shared" si="132"/>
        <v>720795.84</v>
      </c>
      <c r="X561" s="141"/>
      <c r="Y561" s="285"/>
      <c r="Z561" s="285">
        <v>102361.9</v>
      </c>
      <c r="AA561" s="285"/>
      <c r="AB561" s="285">
        <v>86729.46</v>
      </c>
      <c r="AC561" s="285"/>
      <c r="AD561" s="285">
        <v>87524.74</v>
      </c>
      <c r="AE561" s="9"/>
      <c r="AF561" s="40"/>
      <c r="AG561" s="56">
        <v>444179.74</v>
      </c>
      <c r="AH561" s="56"/>
    </row>
    <row r="562" spans="1:34" x14ac:dyDescent="0.3">
      <c r="A562" s="59">
        <f t="shared" si="134"/>
        <v>428</v>
      </c>
      <c r="B562" s="66" t="s">
        <v>2188</v>
      </c>
      <c r="C562" s="50">
        <f t="shared" si="135"/>
        <v>608835.15</v>
      </c>
      <c r="D562" s="51">
        <f t="shared" si="131"/>
        <v>0</v>
      </c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68"/>
      <c r="P562" s="58"/>
      <c r="Q562" s="68"/>
      <c r="R562" s="50"/>
      <c r="S562" s="68"/>
      <c r="T562" s="68"/>
      <c r="U562" s="50"/>
      <c r="V562" s="50"/>
      <c r="W562" s="34">
        <f t="shared" si="132"/>
        <v>608835.15</v>
      </c>
      <c r="X562" s="141" t="s">
        <v>2189</v>
      </c>
      <c r="Y562" s="285"/>
      <c r="Z562" s="285"/>
      <c r="AA562" s="285"/>
      <c r="AB562" s="285">
        <v>100559.96</v>
      </c>
      <c r="AC562" s="285"/>
      <c r="AD562" s="285"/>
      <c r="AE562" s="9"/>
      <c r="AF562" s="40"/>
      <c r="AG562" s="56">
        <v>508275.19</v>
      </c>
      <c r="AH562" s="56"/>
    </row>
    <row r="563" spans="1:34" x14ac:dyDescent="0.3">
      <c r="A563" s="59">
        <f t="shared" si="134"/>
        <v>429</v>
      </c>
      <c r="B563" s="66" t="s">
        <v>2190</v>
      </c>
      <c r="C563" s="50">
        <f t="shared" si="135"/>
        <v>1054749.31</v>
      </c>
      <c r="D563" s="51">
        <f t="shared" si="131"/>
        <v>0</v>
      </c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68"/>
      <c r="P563" s="50"/>
      <c r="Q563" s="68"/>
      <c r="R563" s="50"/>
      <c r="S563" s="68"/>
      <c r="T563" s="68"/>
      <c r="U563" s="50"/>
      <c r="V563" s="50"/>
      <c r="W563" s="34">
        <f t="shared" si="132"/>
        <v>1054749.31</v>
      </c>
      <c r="X563" s="141"/>
      <c r="Y563" s="285"/>
      <c r="Z563" s="285"/>
      <c r="AA563" s="285"/>
      <c r="AB563" s="285"/>
      <c r="AC563" s="285"/>
      <c r="AD563" s="285"/>
      <c r="AE563" s="9"/>
      <c r="AF563" s="40"/>
      <c r="AG563" s="56">
        <v>1054749.31</v>
      </c>
      <c r="AH563" s="56"/>
    </row>
    <row r="564" spans="1:34" x14ac:dyDescent="0.3">
      <c r="A564" s="59">
        <f t="shared" si="134"/>
        <v>430</v>
      </c>
      <c r="B564" s="66" t="s">
        <v>2191</v>
      </c>
      <c r="C564" s="50">
        <f t="shared" si="135"/>
        <v>1532824.3900000001</v>
      </c>
      <c r="D564" s="51">
        <f t="shared" si="131"/>
        <v>0</v>
      </c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68"/>
      <c r="P564" s="58"/>
      <c r="Q564" s="68"/>
      <c r="R564" s="50"/>
      <c r="S564" s="68"/>
      <c r="T564" s="68"/>
      <c r="U564" s="50"/>
      <c r="V564" s="50"/>
      <c r="W564" s="34">
        <f t="shared" si="132"/>
        <v>1532824.3900000001</v>
      </c>
      <c r="X564" s="141"/>
      <c r="Y564" s="285"/>
      <c r="Z564" s="285"/>
      <c r="AA564" s="285"/>
      <c r="AB564" s="285">
        <v>236255.64</v>
      </c>
      <c r="AC564" s="285">
        <v>299704.21999999997</v>
      </c>
      <c r="AD564" s="285"/>
      <c r="AE564" s="9"/>
      <c r="AF564" s="40"/>
      <c r="AG564" s="56">
        <v>996864.53</v>
      </c>
      <c r="AH564" s="56"/>
    </row>
    <row r="565" spans="1:34" x14ac:dyDescent="0.3">
      <c r="A565" s="59">
        <f t="shared" si="134"/>
        <v>431</v>
      </c>
      <c r="B565" s="66" t="s">
        <v>2192</v>
      </c>
      <c r="C565" s="50">
        <f t="shared" si="135"/>
        <v>887765.35999999987</v>
      </c>
      <c r="D565" s="51">
        <f t="shared" si="131"/>
        <v>0</v>
      </c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68"/>
      <c r="P565" s="58"/>
      <c r="Q565" s="68"/>
      <c r="R565" s="50"/>
      <c r="S565" s="68"/>
      <c r="T565" s="68"/>
      <c r="U565" s="50"/>
      <c r="V565" s="50"/>
      <c r="W565" s="34">
        <f t="shared" si="132"/>
        <v>887765.35999999987</v>
      </c>
      <c r="X565" s="141"/>
      <c r="Y565" s="285"/>
      <c r="Z565" s="285">
        <v>144085.21</v>
      </c>
      <c r="AA565" s="285"/>
      <c r="AB565" s="285"/>
      <c r="AC565" s="285"/>
      <c r="AD565" s="285">
        <v>133678.32999999999</v>
      </c>
      <c r="AE565" s="9"/>
      <c r="AF565" s="40"/>
      <c r="AG565" s="56">
        <v>610001.81999999995</v>
      </c>
      <c r="AH565" s="56"/>
    </row>
    <row r="566" spans="1:34" x14ac:dyDescent="0.3">
      <c r="A566" s="59">
        <f t="shared" si="134"/>
        <v>432</v>
      </c>
      <c r="B566" s="66" t="s">
        <v>2193</v>
      </c>
      <c r="C566" s="50">
        <f t="shared" si="135"/>
        <v>1082967.51</v>
      </c>
      <c r="D566" s="51">
        <f t="shared" si="131"/>
        <v>0</v>
      </c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68"/>
      <c r="P566" s="50"/>
      <c r="Q566" s="68"/>
      <c r="R566" s="50"/>
      <c r="S566" s="68"/>
      <c r="T566" s="68"/>
      <c r="U566" s="50"/>
      <c r="V566" s="50"/>
      <c r="W566" s="34">
        <f t="shared" si="132"/>
        <v>1082967.51</v>
      </c>
      <c r="X566" s="141"/>
      <c r="Y566" s="285"/>
      <c r="Z566" s="285"/>
      <c r="AA566" s="285"/>
      <c r="AB566" s="285"/>
      <c r="AC566" s="285"/>
      <c r="AD566" s="285">
        <v>208593.94</v>
      </c>
      <c r="AE566" s="9"/>
      <c r="AF566" s="40"/>
      <c r="AG566" s="56">
        <v>874373.57</v>
      </c>
      <c r="AH566" s="56"/>
    </row>
    <row r="567" spans="1:34" x14ac:dyDescent="0.3">
      <c r="A567" s="59">
        <f t="shared" si="134"/>
        <v>433</v>
      </c>
      <c r="B567" s="66" t="s">
        <v>2194</v>
      </c>
      <c r="C567" s="50">
        <f t="shared" si="135"/>
        <v>1056977.8799999999</v>
      </c>
      <c r="D567" s="51">
        <f t="shared" si="131"/>
        <v>0</v>
      </c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68"/>
      <c r="P567" s="50"/>
      <c r="Q567" s="68"/>
      <c r="R567" s="50"/>
      <c r="S567" s="68"/>
      <c r="T567" s="68"/>
      <c r="U567" s="50"/>
      <c r="V567" s="50"/>
      <c r="W567" s="34">
        <f t="shared" si="132"/>
        <v>1056977.8799999999</v>
      </c>
      <c r="X567" s="141"/>
      <c r="Y567" s="285"/>
      <c r="Z567" s="285"/>
      <c r="AA567" s="285"/>
      <c r="AB567" s="285"/>
      <c r="AC567" s="285"/>
      <c r="AD567" s="285">
        <v>203307.02</v>
      </c>
      <c r="AE567" s="9"/>
      <c r="AF567" s="40"/>
      <c r="AG567" s="56">
        <v>853670.86</v>
      </c>
      <c r="AH567" s="56"/>
    </row>
    <row r="568" spans="1:34" x14ac:dyDescent="0.3">
      <c r="A568" s="59">
        <f t="shared" si="134"/>
        <v>434</v>
      </c>
      <c r="B568" s="66" t="s">
        <v>2195</v>
      </c>
      <c r="C568" s="50">
        <f t="shared" si="135"/>
        <v>1519602.46</v>
      </c>
      <c r="D568" s="51">
        <f t="shared" si="131"/>
        <v>0</v>
      </c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68"/>
      <c r="P568" s="50"/>
      <c r="Q568" s="68"/>
      <c r="R568" s="50"/>
      <c r="S568" s="68"/>
      <c r="T568" s="68"/>
      <c r="U568" s="50"/>
      <c r="V568" s="50"/>
      <c r="W568" s="34">
        <f t="shared" si="132"/>
        <v>1519602.46</v>
      </c>
      <c r="X568" s="141"/>
      <c r="Y568" s="285"/>
      <c r="Z568" s="285"/>
      <c r="AA568" s="285"/>
      <c r="AB568" s="285"/>
      <c r="AC568" s="285"/>
      <c r="AD568" s="285">
        <v>230128.54</v>
      </c>
      <c r="AE568" s="9"/>
      <c r="AF568" s="40"/>
      <c r="AG568" s="56">
        <v>1289473.92</v>
      </c>
      <c r="AH568" s="56"/>
    </row>
    <row r="569" spans="1:34" x14ac:dyDescent="0.3">
      <c r="A569" s="59">
        <f t="shared" si="134"/>
        <v>435</v>
      </c>
      <c r="B569" s="66" t="s">
        <v>2196</v>
      </c>
      <c r="C569" s="50">
        <f t="shared" si="135"/>
        <v>1406109.41</v>
      </c>
      <c r="D569" s="51">
        <f t="shared" si="131"/>
        <v>0</v>
      </c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68"/>
      <c r="P569" s="50"/>
      <c r="Q569" s="68"/>
      <c r="R569" s="50"/>
      <c r="S569" s="68"/>
      <c r="T569" s="68"/>
      <c r="U569" s="50"/>
      <c r="V569" s="50"/>
      <c r="W569" s="34">
        <f t="shared" si="132"/>
        <v>1406109.41</v>
      </c>
      <c r="X569" s="141"/>
      <c r="Y569" s="285"/>
      <c r="Z569" s="285"/>
      <c r="AA569" s="285"/>
      <c r="AB569" s="285"/>
      <c r="AC569" s="285"/>
      <c r="AD569" s="285">
        <v>209174.23</v>
      </c>
      <c r="AE569" s="9"/>
      <c r="AF569" s="40"/>
      <c r="AG569" s="56">
        <v>1196935.18</v>
      </c>
      <c r="AH569" s="56"/>
    </row>
    <row r="570" spans="1:34" x14ac:dyDescent="0.3">
      <c r="A570" s="59">
        <f t="shared" si="134"/>
        <v>436</v>
      </c>
      <c r="B570" s="66" t="s">
        <v>2197</v>
      </c>
      <c r="C570" s="50">
        <f t="shared" si="135"/>
        <v>1426188.93</v>
      </c>
      <c r="D570" s="51">
        <f t="shared" si="131"/>
        <v>0</v>
      </c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68"/>
      <c r="P570" s="50"/>
      <c r="Q570" s="68"/>
      <c r="R570" s="50"/>
      <c r="S570" s="68"/>
      <c r="T570" s="68"/>
      <c r="U570" s="50"/>
      <c r="V570" s="50"/>
      <c r="W570" s="34">
        <f t="shared" si="132"/>
        <v>1426188.93</v>
      </c>
      <c r="X570" s="141"/>
      <c r="Y570" s="285"/>
      <c r="Z570" s="285"/>
      <c r="AA570" s="285"/>
      <c r="AB570" s="285"/>
      <c r="AC570" s="285"/>
      <c r="AD570" s="285">
        <v>212881.51</v>
      </c>
      <c r="AE570" s="9"/>
      <c r="AF570" s="40"/>
      <c r="AG570" s="56">
        <v>1213307.42</v>
      </c>
      <c r="AH570" s="56"/>
    </row>
    <row r="571" spans="1:34" x14ac:dyDescent="0.3">
      <c r="A571" s="59">
        <f t="shared" si="134"/>
        <v>437</v>
      </c>
      <c r="B571" s="66" t="s">
        <v>2198</v>
      </c>
      <c r="C571" s="50">
        <f t="shared" si="135"/>
        <v>778560.46</v>
      </c>
      <c r="D571" s="51">
        <f t="shared" si="131"/>
        <v>0</v>
      </c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68"/>
      <c r="P571" s="50"/>
      <c r="Q571" s="68"/>
      <c r="R571" s="50"/>
      <c r="S571" s="68"/>
      <c r="T571" s="68"/>
      <c r="U571" s="50"/>
      <c r="V571" s="50"/>
      <c r="W571" s="34">
        <f t="shared" si="132"/>
        <v>778560.46</v>
      </c>
      <c r="X571" s="141"/>
      <c r="Y571" s="285"/>
      <c r="Z571" s="285"/>
      <c r="AA571" s="285"/>
      <c r="AB571" s="285"/>
      <c r="AC571" s="285"/>
      <c r="AD571" s="285"/>
      <c r="AE571" s="9"/>
      <c r="AF571" s="40"/>
      <c r="AG571" s="56">
        <v>778560.46</v>
      </c>
      <c r="AH571" s="56"/>
    </row>
    <row r="572" spans="1:34" x14ac:dyDescent="0.3">
      <c r="A572" s="59">
        <f t="shared" si="134"/>
        <v>438</v>
      </c>
      <c r="B572" s="66" t="s">
        <v>2199</v>
      </c>
      <c r="C572" s="50">
        <f t="shared" si="135"/>
        <v>1477034.68</v>
      </c>
      <c r="D572" s="51">
        <f t="shared" si="131"/>
        <v>0</v>
      </c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68"/>
      <c r="P572" s="50"/>
      <c r="Q572" s="68"/>
      <c r="R572" s="50"/>
      <c r="S572" s="68"/>
      <c r="T572" s="68"/>
      <c r="U572" s="50"/>
      <c r="V572" s="50"/>
      <c r="W572" s="34">
        <f t="shared" si="132"/>
        <v>1477034.68</v>
      </c>
      <c r="X572" s="141"/>
      <c r="Y572" s="285"/>
      <c r="Z572" s="285"/>
      <c r="AA572" s="285"/>
      <c r="AB572" s="285"/>
      <c r="AC572" s="285"/>
      <c r="AD572" s="285"/>
      <c r="AE572" s="9">
        <v>352754.26</v>
      </c>
      <c r="AF572" s="40"/>
      <c r="AG572" s="56">
        <v>1124280.42</v>
      </c>
      <c r="AH572" s="56"/>
    </row>
    <row r="573" spans="1:34" x14ac:dyDescent="0.3">
      <c r="A573" s="59">
        <f t="shared" si="134"/>
        <v>439</v>
      </c>
      <c r="B573" s="66" t="s">
        <v>2200</v>
      </c>
      <c r="C573" s="50">
        <f t="shared" si="135"/>
        <v>1072983.67</v>
      </c>
      <c r="D573" s="51">
        <f t="shared" si="131"/>
        <v>0</v>
      </c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68"/>
      <c r="P573" s="50"/>
      <c r="Q573" s="68"/>
      <c r="R573" s="50"/>
      <c r="S573" s="68"/>
      <c r="T573" s="68"/>
      <c r="U573" s="50"/>
      <c r="V573" s="50"/>
      <c r="W573" s="34">
        <f t="shared" si="132"/>
        <v>1072983.67</v>
      </c>
      <c r="X573" s="141"/>
      <c r="Y573" s="285"/>
      <c r="Z573" s="285"/>
      <c r="AA573" s="285"/>
      <c r="AB573" s="285"/>
      <c r="AC573" s="285"/>
      <c r="AD573" s="285"/>
      <c r="AE573" s="9">
        <v>206562.97</v>
      </c>
      <c r="AF573" s="40"/>
      <c r="AG573" s="56">
        <v>866420.7</v>
      </c>
      <c r="AH573" s="56"/>
    </row>
    <row r="574" spans="1:34" x14ac:dyDescent="0.3">
      <c r="A574" s="59">
        <f t="shared" si="134"/>
        <v>440</v>
      </c>
      <c r="B574" s="66" t="s">
        <v>2201</v>
      </c>
      <c r="C574" s="50">
        <f t="shared" si="135"/>
        <v>528240.13</v>
      </c>
      <c r="D574" s="51">
        <f t="shared" si="131"/>
        <v>0</v>
      </c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68"/>
      <c r="P574" s="58"/>
      <c r="Q574" s="68"/>
      <c r="R574" s="50"/>
      <c r="S574" s="68"/>
      <c r="T574" s="68"/>
      <c r="U574" s="50"/>
      <c r="V574" s="50"/>
      <c r="W574" s="34">
        <f t="shared" si="132"/>
        <v>528240.13</v>
      </c>
      <c r="X574" s="141"/>
      <c r="Y574" s="285"/>
      <c r="Z574" s="285"/>
      <c r="AA574" s="285"/>
      <c r="AB574" s="285"/>
      <c r="AC574" s="285"/>
      <c r="AD574" s="285"/>
      <c r="AE574" s="9">
        <v>88030.16</v>
      </c>
      <c r="AF574" s="40"/>
      <c r="AG574" s="56">
        <v>440209.97</v>
      </c>
      <c r="AH574" s="56"/>
    </row>
    <row r="575" spans="1:34" x14ac:dyDescent="0.3">
      <c r="A575" s="59">
        <f t="shared" si="134"/>
        <v>441</v>
      </c>
      <c r="B575" s="66" t="s">
        <v>2202</v>
      </c>
      <c r="C575" s="50">
        <f t="shared" si="135"/>
        <v>130000</v>
      </c>
      <c r="D575" s="51">
        <f t="shared" si="131"/>
        <v>0</v>
      </c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68"/>
      <c r="P575" s="50"/>
      <c r="Q575" s="68"/>
      <c r="R575" s="50"/>
      <c r="S575" s="68"/>
      <c r="T575" s="68"/>
      <c r="U575" s="50"/>
      <c r="V575" s="50"/>
      <c r="W575" s="34">
        <v>130000</v>
      </c>
      <c r="X575" s="141"/>
      <c r="Y575" s="285"/>
      <c r="Z575" s="285"/>
      <c r="AA575" s="285"/>
      <c r="AB575" s="285"/>
      <c r="AC575" s="285"/>
      <c r="AD575" s="285"/>
      <c r="AE575" s="9"/>
      <c r="AF575" s="40"/>
      <c r="AG575" s="56"/>
      <c r="AH575" s="56"/>
    </row>
    <row r="576" spans="1:34" x14ac:dyDescent="0.3">
      <c r="A576" s="59">
        <f t="shared" si="134"/>
        <v>442</v>
      </c>
      <c r="B576" s="66" t="s">
        <v>2203</v>
      </c>
      <c r="C576" s="50">
        <f t="shared" ref="C576:C607" si="136">D576+K576+L576+N576+P576+R576+S576+U576+V576+W576</f>
        <v>1207707.6499999999</v>
      </c>
      <c r="D576" s="51">
        <f t="shared" ref="D576:D626" si="137">E576+F576+G576+H576+I576</f>
        <v>0</v>
      </c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68"/>
      <c r="P576" s="50"/>
      <c r="Q576" s="68"/>
      <c r="R576" s="50"/>
      <c r="S576" s="68"/>
      <c r="T576" s="68"/>
      <c r="U576" s="50"/>
      <c r="V576" s="50"/>
      <c r="W576" s="34">
        <f t="shared" ref="W576:W639" si="138">SUM(Y576:AJ576)</f>
        <v>1207707.6499999999</v>
      </c>
      <c r="X576" s="141"/>
      <c r="Y576" s="285"/>
      <c r="Z576" s="285"/>
      <c r="AA576" s="285"/>
      <c r="AB576" s="285"/>
      <c r="AC576" s="285"/>
      <c r="AD576" s="285"/>
      <c r="AE576" s="9"/>
      <c r="AF576" s="40"/>
      <c r="AG576" s="56">
        <v>1207707.6499999999</v>
      </c>
      <c r="AH576" s="56"/>
    </row>
    <row r="577" spans="1:34" x14ac:dyDescent="0.3">
      <c r="A577" s="59">
        <f t="shared" ref="A577:A626" si="139">A576+1</f>
        <v>443</v>
      </c>
      <c r="B577" s="66" t="s">
        <v>2204</v>
      </c>
      <c r="C577" s="50">
        <f t="shared" si="136"/>
        <v>358248.78</v>
      </c>
      <c r="D577" s="51">
        <f t="shared" si="137"/>
        <v>0</v>
      </c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68"/>
      <c r="P577" s="50"/>
      <c r="Q577" s="68"/>
      <c r="R577" s="50"/>
      <c r="S577" s="68"/>
      <c r="T577" s="68"/>
      <c r="U577" s="50"/>
      <c r="V577" s="50"/>
      <c r="W577" s="34">
        <f t="shared" si="138"/>
        <v>358248.78</v>
      </c>
      <c r="X577" s="141"/>
      <c r="Y577" s="285"/>
      <c r="Z577" s="285"/>
      <c r="AA577" s="285"/>
      <c r="AB577" s="285"/>
      <c r="AC577" s="285"/>
      <c r="AD577" s="285"/>
      <c r="AE577" s="9">
        <v>358248.78</v>
      </c>
      <c r="AF577" s="40"/>
      <c r="AG577" s="56"/>
      <c r="AH577" s="56"/>
    </row>
    <row r="578" spans="1:34" x14ac:dyDescent="0.3">
      <c r="A578" s="59">
        <f t="shared" si="139"/>
        <v>444</v>
      </c>
      <c r="B578" s="66" t="s">
        <v>2205</v>
      </c>
      <c r="C578" s="50">
        <f t="shared" si="136"/>
        <v>1342018.69</v>
      </c>
      <c r="D578" s="51">
        <f t="shared" si="137"/>
        <v>0</v>
      </c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68"/>
      <c r="P578" s="50"/>
      <c r="Q578" s="68"/>
      <c r="R578" s="50"/>
      <c r="S578" s="68"/>
      <c r="T578" s="68"/>
      <c r="U578" s="50"/>
      <c r="V578" s="50"/>
      <c r="W578" s="34">
        <f t="shared" si="138"/>
        <v>1342018.69</v>
      </c>
      <c r="X578" s="141"/>
      <c r="Y578" s="285"/>
      <c r="Z578" s="285"/>
      <c r="AA578" s="285"/>
      <c r="AB578" s="285"/>
      <c r="AC578" s="285"/>
      <c r="AD578" s="285"/>
      <c r="AE578" s="9">
        <v>261291.41</v>
      </c>
      <c r="AF578" s="40"/>
      <c r="AG578" s="56">
        <v>1080727.28</v>
      </c>
      <c r="AH578" s="56"/>
    </row>
    <row r="579" spans="1:34" x14ac:dyDescent="0.3">
      <c r="A579" s="59">
        <f t="shared" si="139"/>
        <v>445</v>
      </c>
      <c r="B579" s="66" t="s">
        <v>2206</v>
      </c>
      <c r="C579" s="50">
        <f t="shared" si="136"/>
        <v>1072356.8600000001</v>
      </c>
      <c r="D579" s="51">
        <f t="shared" si="137"/>
        <v>0</v>
      </c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68"/>
      <c r="P579" s="50"/>
      <c r="Q579" s="68"/>
      <c r="R579" s="50"/>
      <c r="S579" s="68"/>
      <c r="T579" s="68"/>
      <c r="U579" s="50"/>
      <c r="V579" s="50"/>
      <c r="W579" s="34">
        <f t="shared" si="138"/>
        <v>1072356.8600000001</v>
      </c>
      <c r="X579" s="356"/>
      <c r="Y579" s="285"/>
      <c r="Z579" s="285"/>
      <c r="AA579" s="285"/>
      <c r="AB579" s="285"/>
      <c r="AC579" s="285">
        <v>213048.17</v>
      </c>
      <c r="AD579" s="285"/>
      <c r="AE579" s="9">
        <v>163096.16</v>
      </c>
      <c r="AF579" s="40"/>
      <c r="AG579" s="56">
        <v>696212.53</v>
      </c>
      <c r="AH579" s="56"/>
    </row>
    <row r="580" spans="1:34" x14ac:dyDescent="0.3">
      <c r="A580" s="59">
        <f t="shared" si="139"/>
        <v>446</v>
      </c>
      <c r="B580" s="66" t="s">
        <v>2207</v>
      </c>
      <c r="C580" s="50">
        <f t="shared" si="136"/>
        <v>130000</v>
      </c>
      <c r="D580" s="51">
        <f t="shared" si="137"/>
        <v>0</v>
      </c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68"/>
      <c r="P580" s="50"/>
      <c r="Q580" s="68"/>
      <c r="R580" s="50"/>
      <c r="S580" s="68"/>
      <c r="T580" s="68"/>
      <c r="U580" s="50"/>
      <c r="V580" s="50"/>
      <c r="W580" s="34">
        <v>130000</v>
      </c>
      <c r="X580" s="356"/>
      <c r="Y580" s="285"/>
      <c r="Z580" s="285"/>
      <c r="AA580" s="285"/>
      <c r="AB580" s="285"/>
      <c r="AC580" s="285"/>
      <c r="AD580" s="285"/>
      <c r="AE580" s="9"/>
      <c r="AF580" s="40"/>
      <c r="AG580" s="56"/>
      <c r="AH580" s="56"/>
    </row>
    <row r="581" spans="1:34" ht="31.2" x14ac:dyDescent="0.3">
      <c r="A581" s="59">
        <f t="shared" si="139"/>
        <v>447</v>
      </c>
      <c r="B581" s="66" t="s">
        <v>2208</v>
      </c>
      <c r="C581" s="50">
        <f t="shared" si="136"/>
        <v>1298984.17</v>
      </c>
      <c r="D581" s="51">
        <f t="shared" si="137"/>
        <v>0</v>
      </c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68"/>
      <c r="P581" s="50"/>
      <c r="Q581" s="68"/>
      <c r="R581" s="50"/>
      <c r="S581" s="68"/>
      <c r="T581" s="68"/>
      <c r="U581" s="50"/>
      <c r="V581" s="50"/>
      <c r="W581" s="34">
        <f t="shared" si="138"/>
        <v>1298984.17</v>
      </c>
      <c r="X581" s="356" t="s">
        <v>2209</v>
      </c>
      <c r="Y581" s="285"/>
      <c r="Z581" s="285">
        <v>218603.65</v>
      </c>
      <c r="AA581" s="285"/>
      <c r="AB581" s="285"/>
      <c r="AC581" s="285"/>
      <c r="AD581" s="285"/>
      <c r="AE581" s="9"/>
      <c r="AF581" s="40"/>
      <c r="AG581" s="56">
        <v>1080380.52</v>
      </c>
      <c r="AH581" s="56"/>
    </row>
    <row r="582" spans="1:34" x14ac:dyDescent="0.3">
      <c r="A582" s="59">
        <f t="shared" si="139"/>
        <v>448</v>
      </c>
      <c r="B582" s="66" t="s">
        <v>2210</v>
      </c>
      <c r="C582" s="50">
        <f t="shared" si="136"/>
        <v>739312.52</v>
      </c>
      <c r="D582" s="51">
        <f t="shared" si="137"/>
        <v>0</v>
      </c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68"/>
      <c r="P582" s="50"/>
      <c r="Q582" s="68"/>
      <c r="R582" s="50"/>
      <c r="S582" s="68"/>
      <c r="T582" s="68"/>
      <c r="U582" s="50"/>
      <c r="V582" s="50"/>
      <c r="W582" s="34">
        <f t="shared" si="138"/>
        <v>739312.52</v>
      </c>
      <c r="X582" s="356"/>
      <c r="Y582" s="285"/>
      <c r="Z582" s="285"/>
      <c r="AA582" s="285"/>
      <c r="AB582" s="285"/>
      <c r="AC582" s="285"/>
      <c r="AD582" s="285"/>
      <c r="AE582" s="9"/>
      <c r="AF582" s="40"/>
      <c r="AG582" s="56">
        <v>739312.52</v>
      </c>
      <c r="AH582" s="56"/>
    </row>
    <row r="583" spans="1:34" x14ac:dyDescent="0.3">
      <c r="A583" s="59">
        <f t="shared" si="139"/>
        <v>449</v>
      </c>
      <c r="B583" s="66" t="s">
        <v>2211</v>
      </c>
      <c r="C583" s="50">
        <f t="shared" si="136"/>
        <v>2183445.64</v>
      </c>
      <c r="D583" s="51">
        <f t="shared" si="137"/>
        <v>0</v>
      </c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68"/>
      <c r="P583" s="50"/>
      <c r="Q583" s="68"/>
      <c r="R583" s="50"/>
      <c r="S583" s="68"/>
      <c r="T583" s="68"/>
      <c r="U583" s="50"/>
      <c r="V583" s="50"/>
      <c r="W583" s="34">
        <f t="shared" si="138"/>
        <v>2183445.64</v>
      </c>
      <c r="X583" s="356"/>
      <c r="Y583" s="285"/>
      <c r="Z583" s="285"/>
      <c r="AA583" s="285"/>
      <c r="AB583" s="285"/>
      <c r="AC583" s="285"/>
      <c r="AD583" s="285"/>
      <c r="AE583" s="9"/>
      <c r="AF583" s="40"/>
      <c r="AG583" s="56">
        <v>2183445.64</v>
      </c>
      <c r="AH583" s="56"/>
    </row>
    <row r="584" spans="1:34" x14ac:dyDescent="0.3">
      <c r="A584" s="59">
        <f t="shared" si="139"/>
        <v>450</v>
      </c>
      <c r="B584" s="66" t="s">
        <v>2212</v>
      </c>
      <c r="C584" s="50">
        <f t="shared" si="136"/>
        <v>965379.23</v>
      </c>
      <c r="D584" s="51">
        <f t="shared" si="137"/>
        <v>0</v>
      </c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68"/>
      <c r="P584" s="58"/>
      <c r="Q584" s="68"/>
      <c r="R584" s="50"/>
      <c r="S584" s="68"/>
      <c r="T584" s="68"/>
      <c r="U584" s="50"/>
      <c r="V584" s="50"/>
      <c r="W584" s="34">
        <f t="shared" si="138"/>
        <v>965379.23</v>
      </c>
      <c r="X584" s="356"/>
      <c r="Y584" s="285"/>
      <c r="Z584" s="285"/>
      <c r="AA584" s="285"/>
      <c r="AB584" s="285">
        <v>246884.52</v>
      </c>
      <c r="AC584" s="285">
        <v>287968.3</v>
      </c>
      <c r="AD584" s="285"/>
      <c r="AE584" s="9"/>
      <c r="AF584" s="40"/>
      <c r="AG584" s="56"/>
      <c r="AH584" s="56">
        <v>430526.41</v>
      </c>
    </row>
    <row r="585" spans="1:34" x14ac:dyDescent="0.3">
      <c r="A585" s="59">
        <f t="shared" si="139"/>
        <v>451</v>
      </c>
      <c r="B585" s="66" t="s">
        <v>2213</v>
      </c>
      <c r="C585" s="50">
        <f t="shared" si="136"/>
        <v>2251194.21</v>
      </c>
      <c r="D585" s="51">
        <f t="shared" si="137"/>
        <v>0</v>
      </c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68"/>
      <c r="P585" s="58"/>
      <c r="Q585" s="68"/>
      <c r="R585" s="50"/>
      <c r="S585" s="68"/>
      <c r="T585" s="68"/>
      <c r="U585" s="50"/>
      <c r="V585" s="50"/>
      <c r="W585" s="34">
        <f t="shared" si="138"/>
        <v>2251194.21</v>
      </c>
      <c r="X585" s="356"/>
      <c r="Y585" s="285"/>
      <c r="Z585" s="285"/>
      <c r="AA585" s="285"/>
      <c r="AB585" s="285">
        <v>250721.57</v>
      </c>
      <c r="AC585" s="285">
        <v>291946.98</v>
      </c>
      <c r="AD585" s="285"/>
      <c r="AE585" s="9"/>
      <c r="AF585" s="40"/>
      <c r="AG585" s="56">
        <v>1271474.1599999999</v>
      </c>
      <c r="AH585" s="56">
        <v>437051.5</v>
      </c>
    </row>
    <row r="586" spans="1:34" x14ac:dyDescent="0.3">
      <c r="A586" s="59">
        <f t="shared" si="139"/>
        <v>452</v>
      </c>
      <c r="B586" s="66" t="s">
        <v>2214</v>
      </c>
      <c r="C586" s="50">
        <f t="shared" si="136"/>
        <v>612027.21</v>
      </c>
      <c r="D586" s="51">
        <f t="shared" si="137"/>
        <v>0</v>
      </c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68"/>
      <c r="P586" s="58"/>
      <c r="Q586" s="68"/>
      <c r="R586" s="50"/>
      <c r="S586" s="68"/>
      <c r="T586" s="68"/>
      <c r="U586" s="50"/>
      <c r="V586" s="48"/>
      <c r="W586" s="34">
        <f t="shared" si="138"/>
        <v>612027.21</v>
      </c>
      <c r="X586" s="141" t="s">
        <v>2142</v>
      </c>
      <c r="Y586" s="285">
        <v>123656.41</v>
      </c>
      <c r="Z586" s="285"/>
      <c r="AA586" s="285"/>
      <c r="AB586" s="285">
        <v>118517.74</v>
      </c>
      <c r="AC586" s="285">
        <v>149296.32000000001</v>
      </c>
      <c r="AD586" s="285"/>
      <c r="AE586" s="9">
        <v>220556.74</v>
      </c>
      <c r="AF586" s="40"/>
      <c r="AG586" s="56"/>
      <c r="AH586" s="56"/>
    </row>
    <row r="587" spans="1:34" x14ac:dyDescent="0.3">
      <c r="A587" s="59">
        <f t="shared" si="139"/>
        <v>453</v>
      </c>
      <c r="B587" s="66" t="s">
        <v>2215</v>
      </c>
      <c r="C587" s="50">
        <f t="shared" si="136"/>
        <v>1783197.3900000001</v>
      </c>
      <c r="D587" s="51">
        <f t="shared" si="137"/>
        <v>0</v>
      </c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68"/>
      <c r="P587" s="50"/>
      <c r="Q587" s="68"/>
      <c r="R587" s="50"/>
      <c r="S587" s="68"/>
      <c r="T587" s="68"/>
      <c r="U587" s="50"/>
      <c r="V587" s="50"/>
      <c r="W587" s="34">
        <f t="shared" si="138"/>
        <v>1783197.3900000001</v>
      </c>
      <c r="X587" s="356"/>
      <c r="Y587" s="285"/>
      <c r="Z587" s="285"/>
      <c r="AA587" s="285"/>
      <c r="AB587" s="285"/>
      <c r="AC587" s="285"/>
      <c r="AD587" s="285">
        <v>278796.31</v>
      </c>
      <c r="AE587" s="9"/>
      <c r="AF587" s="40"/>
      <c r="AG587" s="56">
        <v>1504401.08</v>
      </c>
      <c r="AH587" s="56"/>
    </row>
    <row r="588" spans="1:34" x14ac:dyDescent="0.3">
      <c r="A588" s="59">
        <f t="shared" si="139"/>
        <v>454</v>
      </c>
      <c r="B588" s="66" t="s">
        <v>2216</v>
      </c>
      <c r="C588" s="50">
        <f t="shared" si="136"/>
        <v>387442.08</v>
      </c>
      <c r="D588" s="51">
        <f t="shared" si="137"/>
        <v>0</v>
      </c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68"/>
      <c r="P588" s="58"/>
      <c r="Q588" s="68"/>
      <c r="R588" s="50"/>
      <c r="S588" s="68"/>
      <c r="T588" s="68"/>
      <c r="U588" s="50"/>
      <c r="V588" s="50"/>
      <c r="W588" s="34">
        <f t="shared" si="138"/>
        <v>387442.08</v>
      </c>
      <c r="X588" s="356"/>
      <c r="Y588" s="285"/>
      <c r="Z588" s="285">
        <v>116462.26</v>
      </c>
      <c r="AA588" s="285"/>
      <c r="AB588" s="285"/>
      <c r="AC588" s="285">
        <v>149296.32000000001</v>
      </c>
      <c r="AD588" s="285">
        <v>121683.5</v>
      </c>
      <c r="AE588" s="9"/>
      <c r="AF588" s="40"/>
      <c r="AG588" s="56"/>
      <c r="AH588" s="56"/>
    </row>
    <row r="589" spans="1:34" x14ac:dyDescent="0.3">
      <c r="A589" s="59">
        <f t="shared" si="139"/>
        <v>455</v>
      </c>
      <c r="B589" s="66" t="s">
        <v>2217</v>
      </c>
      <c r="C589" s="50">
        <f t="shared" si="136"/>
        <v>343745.11</v>
      </c>
      <c r="D589" s="51">
        <f t="shared" si="137"/>
        <v>0</v>
      </c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68"/>
      <c r="P589" s="58"/>
      <c r="Q589" s="68"/>
      <c r="R589" s="50"/>
      <c r="S589" s="68"/>
      <c r="T589" s="68"/>
      <c r="U589" s="50"/>
      <c r="V589" s="50"/>
      <c r="W589" s="34">
        <f t="shared" si="138"/>
        <v>343745.11</v>
      </c>
      <c r="X589" s="356"/>
      <c r="Y589" s="285"/>
      <c r="Z589" s="285">
        <v>103404.46</v>
      </c>
      <c r="AA589" s="285"/>
      <c r="AB589" s="285">
        <v>105459.92</v>
      </c>
      <c r="AC589" s="285">
        <v>134880.73000000001</v>
      </c>
      <c r="AD589" s="285"/>
      <c r="AE589" s="9"/>
      <c r="AF589" s="40"/>
      <c r="AG589" s="56"/>
      <c r="AH589" s="56"/>
    </row>
    <row r="590" spans="1:34" x14ac:dyDescent="0.3">
      <c r="A590" s="59">
        <f t="shared" si="139"/>
        <v>456</v>
      </c>
      <c r="B590" s="66" t="s">
        <v>2218</v>
      </c>
      <c r="C590" s="50">
        <f t="shared" si="136"/>
        <v>1101929.8599999999</v>
      </c>
      <c r="D590" s="51">
        <f t="shared" si="137"/>
        <v>0</v>
      </c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68"/>
      <c r="P590" s="58"/>
      <c r="Q590" s="68"/>
      <c r="R590" s="50"/>
      <c r="S590" s="68"/>
      <c r="T590" s="68"/>
      <c r="U590" s="50"/>
      <c r="V590" s="50"/>
      <c r="W590" s="34">
        <f t="shared" si="138"/>
        <v>1101929.8599999999</v>
      </c>
      <c r="X590" s="356"/>
      <c r="Y590" s="285">
        <v>124229.81</v>
      </c>
      <c r="Z590" s="285"/>
      <c r="AA590" s="285"/>
      <c r="AB590" s="285">
        <v>119091.13</v>
      </c>
      <c r="AC590" s="285">
        <v>149929.34</v>
      </c>
      <c r="AD590" s="285">
        <v>122288.59</v>
      </c>
      <c r="AE590" s="9"/>
      <c r="AF590" s="40"/>
      <c r="AG590" s="56">
        <v>586390.99</v>
      </c>
      <c r="AH590" s="56"/>
    </row>
    <row r="591" spans="1:34" x14ac:dyDescent="0.3">
      <c r="A591" s="59">
        <f t="shared" si="139"/>
        <v>457</v>
      </c>
      <c r="B591" s="66" t="s">
        <v>2219</v>
      </c>
      <c r="C591" s="50">
        <f t="shared" si="136"/>
        <v>355301.19</v>
      </c>
      <c r="D591" s="51">
        <f t="shared" si="137"/>
        <v>0</v>
      </c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68"/>
      <c r="P591" s="58"/>
      <c r="Q591" s="68"/>
      <c r="R591" s="50"/>
      <c r="S591" s="68"/>
      <c r="T591" s="68"/>
      <c r="U591" s="50"/>
      <c r="V591" s="50"/>
      <c r="W591" s="34">
        <f t="shared" si="138"/>
        <v>355301.19</v>
      </c>
      <c r="X591" s="356"/>
      <c r="Y591" s="285">
        <v>119105.64</v>
      </c>
      <c r="Z591" s="285"/>
      <c r="AA591" s="285"/>
      <c r="AB591" s="285">
        <v>102661.87</v>
      </c>
      <c r="AC591" s="285">
        <v>133533.68</v>
      </c>
      <c r="AD591" s="285"/>
      <c r="AE591" s="9"/>
      <c r="AF591" s="40"/>
      <c r="AG591" s="56"/>
      <c r="AH591" s="56"/>
    </row>
    <row r="592" spans="1:34" x14ac:dyDescent="0.3">
      <c r="A592" s="59">
        <f t="shared" si="139"/>
        <v>458</v>
      </c>
      <c r="B592" s="66" t="s">
        <v>2220</v>
      </c>
      <c r="C592" s="50">
        <f t="shared" si="136"/>
        <v>228068.78000000003</v>
      </c>
      <c r="D592" s="51">
        <f t="shared" si="137"/>
        <v>0</v>
      </c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68"/>
      <c r="P592" s="58"/>
      <c r="Q592" s="68"/>
      <c r="R592" s="50"/>
      <c r="S592" s="68"/>
      <c r="T592" s="68"/>
      <c r="U592" s="50"/>
      <c r="V592" s="50"/>
      <c r="W592" s="34">
        <f t="shared" si="138"/>
        <v>228068.78000000003</v>
      </c>
      <c r="X592" s="356"/>
      <c r="Y592" s="285">
        <v>104513.96</v>
      </c>
      <c r="Z592" s="285"/>
      <c r="AA592" s="285"/>
      <c r="AB592" s="285"/>
      <c r="AC592" s="285">
        <v>123554.82</v>
      </c>
      <c r="AD592" s="285"/>
      <c r="AE592" s="9"/>
      <c r="AF592" s="40"/>
      <c r="AG592" s="56"/>
      <c r="AH592" s="56"/>
    </row>
    <row r="593" spans="1:34" x14ac:dyDescent="0.3">
      <c r="A593" s="59">
        <f t="shared" si="139"/>
        <v>459</v>
      </c>
      <c r="B593" s="66" t="s">
        <v>2221</v>
      </c>
      <c r="C593" s="50">
        <f t="shared" si="136"/>
        <v>356627.68999999994</v>
      </c>
      <c r="D593" s="51">
        <f t="shared" si="137"/>
        <v>0</v>
      </c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68"/>
      <c r="P593" s="58"/>
      <c r="Q593" s="68"/>
      <c r="R593" s="50"/>
      <c r="S593" s="68"/>
      <c r="T593" s="68"/>
      <c r="U593" s="50"/>
      <c r="V593" s="50"/>
      <c r="W593" s="34">
        <f t="shared" si="138"/>
        <v>356627.68999999994</v>
      </c>
      <c r="X593" s="356"/>
      <c r="Y593" s="285">
        <v>119530.03</v>
      </c>
      <c r="Z593" s="285"/>
      <c r="AA593" s="285"/>
      <c r="AB593" s="285">
        <v>103086.26</v>
      </c>
      <c r="AC593" s="285">
        <v>134011.4</v>
      </c>
      <c r="AD593" s="285"/>
      <c r="AE593" s="9"/>
      <c r="AF593" s="40"/>
      <c r="AG593" s="56"/>
      <c r="AH593" s="56"/>
    </row>
    <row r="594" spans="1:34" x14ac:dyDescent="0.3">
      <c r="A594" s="59">
        <f t="shared" si="139"/>
        <v>460</v>
      </c>
      <c r="B594" s="66" t="s">
        <v>2222</v>
      </c>
      <c r="C594" s="50">
        <f t="shared" si="136"/>
        <v>438762.35</v>
      </c>
      <c r="D594" s="51">
        <f t="shared" si="137"/>
        <v>0</v>
      </c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68"/>
      <c r="P594" s="58"/>
      <c r="Q594" s="68"/>
      <c r="R594" s="50"/>
      <c r="S594" s="68"/>
      <c r="T594" s="68"/>
      <c r="U594" s="50"/>
      <c r="V594" s="50"/>
      <c r="W594" s="34">
        <f t="shared" si="138"/>
        <v>438762.35</v>
      </c>
      <c r="X594" s="356"/>
      <c r="Y594" s="285"/>
      <c r="Z594" s="285"/>
      <c r="AA594" s="285"/>
      <c r="AB594" s="285"/>
      <c r="AC594" s="285"/>
      <c r="AD594" s="285"/>
      <c r="AE594" s="9"/>
      <c r="AF594" s="40"/>
      <c r="AG594" s="56"/>
      <c r="AH594" s="56">
        <v>438762.35</v>
      </c>
    </row>
    <row r="595" spans="1:34" x14ac:dyDescent="0.3">
      <c r="A595" s="59">
        <f t="shared" si="139"/>
        <v>461</v>
      </c>
      <c r="B595" s="66" t="s">
        <v>2223</v>
      </c>
      <c r="C595" s="50">
        <f t="shared" si="136"/>
        <v>1658797.24</v>
      </c>
      <c r="D595" s="51">
        <f t="shared" si="137"/>
        <v>0</v>
      </c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68"/>
      <c r="P595" s="58"/>
      <c r="Q595" s="68"/>
      <c r="R595" s="50"/>
      <c r="S595" s="68"/>
      <c r="T595" s="68"/>
      <c r="U595" s="50"/>
      <c r="V595" s="50"/>
      <c r="W595" s="34">
        <f t="shared" si="138"/>
        <v>1658797.24</v>
      </c>
      <c r="X595" s="356"/>
      <c r="Y595" s="285">
        <v>177501.24</v>
      </c>
      <c r="Z595" s="285"/>
      <c r="AA595" s="285"/>
      <c r="AB595" s="285"/>
      <c r="AC595" s="285">
        <v>189376.58</v>
      </c>
      <c r="AD595" s="285">
        <v>138644.35999999999</v>
      </c>
      <c r="AE595" s="9">
        <v>295457.65000000002</v>
      </c>
      <c r="AF595" s="40"/>
      <c r="AG595" s="56">
        <v>857817.41</v>
      </c>
      <c r="AH595" s="56"/>
    </row>
    <row r="596" spans="1:34" x14ac:dyDescent="0.3">
      <c r="A596" s="59">
        <f t="shared" si="139"/>
        <v>462</v>
      </c>
      <c r="B596" s="66" t="s">
        <v>2224</v>
      </c>
      <c r="C596" s="50">
        <f t="shared" si="136"/>
        <v>1744625.45</v>
      </c>
      <c r="D596" s="51">
        <f t="shared" si="137"/>
        <v>0</v>
      </c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68"/>
      <c r="P596" s="58"/>
      <c r="Q596" s="68"/>
      <c r="R596" s="50"/>
      <c r="S596" s="68"/>
      <c r="T596" s="68"/>
      <c r="U596" s="50"/>
      <c r="V596" s="50"/>
      <c r="W596" s="34">
        <f t="shared" si="138"/>
        <v>1744625.45</v>
      </c>
      <c r="X596" s="356"/>
      <c r="Y596" s="285"/>
      <c r="Z596" s="285"/>
      <c r="AA596" s="285"/>
      <c r="AB596" s="285"/>
      <c r="AC596" s="285"/>
      <c r="AD596" s="285"/>
      <c r="AE596" s="9"/>
      <c r="AF596" s="40"/>
      <c r="AG596" s="56">
        <v>1297746.54</v>
      </c>
      <c r="AH596" s="56">
        <v>446878.91</v>
      </c>
    </row>
    <row r="597" spans="1:34" x14ac:dyDescent="0.3">
      <c r="A597" s="59">
        <f t="shared" si="139"/>
        <v>463</v>
      </c>
      <c r="B597" s="66" t="s">
        <v>2225</v>
      </c>
      <c r="C597" s="50">
        <f t="shared" si="136"/>
        <v>2379219.1</v>
      </c>
      <c r="D597" s="51">
        <f t="shared" si="137"/>
        <v>0</v>
      </c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68"/>
      <c r="P597" s="58"/>
      <c r="Q597" s="68"/>
      <c r="R597" s="50"/>
      <c r="S597" s="68"/>
      <c r="T597" s="68"/>
      <c r="U597" s="50"/>
      <c r="V597" s="50"/>
      <c r="W597" s="34">
        <f t="shared" si="138"/>
        <v>2379219.1</v>
      </c>
      <c r="X597" s="356"/>
      <c r="Y597" s="285"/>
      <c r="Z597" s="285"/>
      <c r="AA597" s="285"/>
      <c r="AB597" s="285">
        <v>248803.04</v>
      </c>
      <c r="AC597" s="285"/>
      <c r="AD597" s="285"/>
      <c r="AE597" s="9">
        <v>433874.95</v>
      </c>
      <c r="AF597" s="40"/>
      <c r="AG597" s="56">
        <v>1262752.1499999999</v>
      </c>
      <c r="AH597" s="56">
        <v>433788.96</v>
      </c>
    </row>
    <row r="598" spans="1:34" x14ac:dyDescent="0.3">
      <c r="A598" s="59">
        <f t="shared" si="139"/>
        <v>464</v>
      </c>
      <c r="B598" s="66" t="s">
        <v>2226</v>
      </c>
      <c r="C598" s="50">
        <f t="shared" si="136"/>
        <v>384234.11</v>
      </c>
      <c r="D598" s="51">
        <f t="shared" si="137"/>
        <v>0</v>
      </c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68"/>
      <c r="P598" s="58"/>
      <c r="Q598" s="68"/>
      <c r="R598" s="50"/>
      <c r="S598" s="68"/>
      <c r="T598" s="68"/>
      <c r="U598" s="50"/>
      <c r="V598" s="50"/>
      <c r="W598" s="34">
        <f t="shared" si="138"/>
        <v>384234.11</v>
      </c>
      <c r="X598" s="356"/>
      <c r="Y598" s="285"/>
      <c r="Z598" s="285"/>
      <c r="AA598" s="285"/>
      <c r="AB598" s="285"/>
      <c r="AC598" s="285"/>
      <c r="AD598" s="285"/>
      <c r="AE598" s="9"/>
      <c r="AF598" s="40"/>
      <c r="AG598" s="56"/>
      <c r="AH598" s="56">
        <v>384234.11</v>
      </c>
    </row>
    <row r="599" spans="1:34" x14ac:dyDescent="0.3">
      <c r="A599" s="59">
        <f t="shared" si="139"/>
        <v>465</v>
      </c>
      <c r="B599" s="66" t="s">
        <v>2227</v>
      </c>
      <c r="C599" s="50">
        <f t="shared" si="136"/>
        <v>1261880.6200000001</v>
      </c>
      <c r="D599" s="51">
        <f t="shared" si="137"/>
        <v>0</v>
      </c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68"/>
      <c r="P599" s="58"/>
      <c r="Q599" s="68"/>
      <c r="R599" s="50"/>
      <c r="S599" s="68"/>
      <c r="T599" s="68"/>
      <c r="U599" s="50"/>
      <c r="V599" s="48"/>
      <c r="W599" s="34">
        <f t="shared" si="138"/>
        <v>1261880.6200000001</v>
      </c>
      <c r="X599" s="141" t="s">
        <v>2142</v>
      </c>
      <c r="Y599" s="285">
        <v>128449.75</v>
      </c>
      <c r="Z599" s="285"/>
      <c r="AA599" s="285"/>
      <c r="AB599" s="285"/>
      <c r="AC599" s="285">
        <v>109338.26</v>
      </c>
      <c r="AD599" s="285"/>
      <c r="AE599" s="9"/>
      <c r="AF599" s="40"/>
      <c r="AG599" s="56">
        <v>1024092.61</v>
      </c>
      <c r="AH599" s="56"/>
    </row>
    <row r="600" spans="1:34" x14ac:dyDescent="0.3">
      <c r="A600" s="59">
        <f t="shared" si="139"/>
        <v>466</v>
      </c>
      <c r="B600" s="66" t="s">
        <v>2228</v>
      </c>
      <c r="C600" s="50">
        <f t="shared" si="136"/>
        <v>1417530.3599999999</v>
      </c>
      <c r="D600" s="51">
        <f t="shared" si="137"/>
        <v>0</v>
      </c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68"/>
      <c r="P600" s="58"/>
      <c r="Q600" s="68"/>
      <c r="R600" s="50"/>
      <c r="S600" s="68"/>
      <c r="T600" s="68"/>
      <c r="U600" s="50"/>
      <c r="V600" s="50"/>
      <c r="W600" s="34">
        <f t="shared" si="138"/>
        <v>1417530.3599999999</v>
      </c>
      <c r="X600" s="356"/>
      <c r="Y600" s="285"/>
      <c r="Z600" s="285">
        <v>142037.99</v>
      </c>
      <c r="AA600" s="285"/>
      <c r="AB600" s="285"/>
      <c r="AC600" s="285">
        <v>181686.02</v>
      </c>
      <c r="AD600" s="285"/>
      <c r="AE600" s="9"/>
      <c r="AF600" s="40"/>
      <c r="AG600" s="56">
        <v>824099.41</v>
      </c>
      <c r="AH600" s="56">
        <v>269706.94</v>
      </c>
    </row>
    <row r="601" spans="1:34" x14ac:dyDescent="0.3">
      <c r="A601" s="59">
        <f t="shared" si="139"/>
        <v>467</v>
      </c>
      <c r="B601" s="66" t="s">
        <v>2229</v>
      </c>
      <c r="C601" s="50">
        <f t="shared" si="136"/>
        <v>1240032.3799999999</v>
      </c>
      <c r="D601" s="51">
        <f t="shared" si="137"/>
        <v>0</v>
      </c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68"/>
      <c r="P601" s="50"/>
      <c r="Q601" s="68"/>
      <c r="R601" s="50"/>
      <c r="S601" s="68"/>
      <c r="T601" s="68"/>
      <c r="U601" s="50"/>
      <c r="V601" s="50"/>
      <c r="W601" s="34">
        <f t="shared" si="138"/>
        <v>1240032.3799999999</v>
      </c>
      <c r="X601" s="356"/>
      <c r="Y601" s="285"/>
      <c r="Z601" s="285"/>
      <c r="AA601" s="285"/>
      <c r="AB601" s="285"/>
      <c r="AC601" s="285"/>
      <c r="AD601" s="285"/>
      <c r="AE601" s="9"/>
      <c r="AF601" s="40"/>
      <c r="AG601" s="56">
        <v>930518.44</v>
      </c>
      <c r="AH601" s="56">
        <v>309513.94</v>
      </c>
    </row>
    <row r="602" spans="1:34" x14ac:dyDescent="0.3">
      <c r="A602" s="59">
        <f t="shared" si="139"/>
        <v>468</v>
      </c>
      <c r="B602" s="66" t="s">
        <v>2230</v>
      </c>
      <c r="C602" s="50">
        <f t="shared" si="136"/>
        <v>1003550.95</v>
      </c>
      <c r="D602" s="51">
        <f t="shared" si="137"/>
        <v>0</v>
      </c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68"/>
      <c r="P602" s="58"/>
      <c r="Q602" s="68"/>
      <c r="R602" s="50"/>
      <c r="S602" s="68"/>
      <c r="T602" s="68"/>
      <c r="U602" s="50"/>
      <c r="V602" s="48"/>
      <c r="W602" s="34">
        <f t="shared" si="138"/>
        <v>1003550.95</v>
      </c>
      <c r="X602" s="141" t="s">
        <v>2142</v>
      </c>
      <c r="Y602" s="285">
        <v>145415.93</v>
      </c>
      <c r="Z602" s="285"/>
      <c r="AA602" s="285"/>
      <c r="AB602" s="285"/>
      <c r="AC602" s="285">
        <v>128413.27</v>
      </c>
      <c r="AD602" s="285"/>
      <c r="AE602" s="9"/>
      <c r="AF602" s="40"/>
      <c r="AG602" s="56">
        <v>729721.75</v>
      </c>
      <c r="AH602" s="56"/>
    </row>
    <row r="603" spans="1:34" x14ac:dyDescent="0.3">
      <c r="A603" s="59">
        <f t="shared" si="139"/>
        <v>469</v>
      </c>
      <c r="B603" s="66" t="s">
        <v>2231</v>
      </c>
      <c r="C603" s="50">
        <f t="shared" si="136"/>
        <v>300315.08</v>
      </c>
      <c r="D603" s="51">
        <f t="shared" si="137"/>
        <v>0</v>
      </c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68"/>
      <c r="P603" s="58"/>
      <c r="Q603" s="68"/>
      <c r="R603" s="50"/>
      <c r="S603" s="68"/>
      <c r="T603" s="68"/>
      <c r="U603" s="50"/>
      <c r="V603" s="48"/>
      <c r="W603" s="34">
        <f t="shared" si="138"/>
        <v>300315.08</v>
      </c>
      <c r="X603" s="141" t="s">
        <v>2142</v>
      </c>
      <c r="Y603" s="285">
        <v>115457.82</v>
      </c>
      <c r="Z603" s="285"/>
      <c r="AA603" s="285"/>
      <c r="AB603" s="285">
        <v>96024.56</v>
      </c>
      <c r="AC603" s="285">
        <v>88832.7</v>
      </c>
      <c r="AD603" s="285"/>
      <c r="AE603" s="9"/>
      <c r="AF603" s="40"/>
      <c r="AG603" s="56"/>
      <c r="AH603" s="56"/>
    </row>
    <row r="604" spans="1:34" x14ac:dyDescent="0.3">
      <c r="A604" s="59">
        <f t="shared" si="139"/>
        <v>470</v>
      </c>
      <c r="B604" s="66" t="s">
        <v>2232</v>
      </c>
      <c r="C604" s="50">
        <f t="shared" si="136"/>
        <v>1949742.6</v>
      </c>
      <c r="D604" s="51">
        <f t="shared" si="137"/>
        <v>0</v>
      </c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68"/>
      <c r="P604" s="50"/>
      <c r="Q604" s="68"/>
      <c r="R604" s="50"/>
      <c r="S604" s="68"/>
      <c r="T604" s="68"/>
      <c r="U604" s="50"/>
      <c r="V604" s="50"/>
      <c r="W604" s="34">
        <f t="shared" si="138"/>
        <v>1949742.6</v>
      </c>
      <c r="X604" s="356"/>
      <c r="Y604" s="285"/>
      <c r="Z604" s="285"/>
      <c r="AA604" s="285"/>
      <c r="AB604" s="285"/>
      <c r="AC604" s="285"/>
      <c r="AD604" s="285"/>
      <c r="AE604" s="9">
        <v>619201.85</v>
      </c>
      <c r="AF604" s="40"/>
      <c r="AG604" s="56">
        <v>1330540.75</v>
      </c>
      <c r="AH604" s="56"/>
    </row>
    <row r="605" spans="1:34" x14ac:dyDescent="0.3">
      <c r="A605" s="59">
        <f t="shared" si="139"/>
        <v>471</v>
      </c>
      <c r="B605" s="66" t="s">
        <v>2233</v>
      </c>
      <c r="C605" s="50">
        <f t="shared" si="136"/>
        <v>1820009.46</v>
      </c>
      <c r="D605" s="51">
        <f t="shared" si="137"/>
        <v>0</v>
      </c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68"/>
      <c r="P605" s="50"/>
      <c r="Q605" s="68"/>
      <c r="R605" s="50"/>
      <c r="S605" s="68"/>
      <c r="T605" s="68"/>
      <c r="U605" s="50"/>
      <c r="V605" s="50"/>
      <c r="W605" s="34">
        <f t="shared" si="138"/>
        <v>1820009.46</v>
      </c>
      <c r="X605" s="356"/>
      <c r="Y605" s="285"/>
      <c r="Z605" s="285"/>
      <c r="AA605" s="285"/>
      <c r="AB605" s="285"/>
      <c r="AC605" s="285"/>
      <c r="AD605" s="285"/>
      <c r="AE605" s="9">
        <v>443881.3</v>
      </c>
      <c r="AF605" s="40"/>
      <c r="AG605" s="56">
        <v>1376128.16</v>
      </c>
      <c r="AH605" s="56"/>
    </row>
    <row r="606" spans="1:34" x14ac:dyDescent="0.3">
      <c r="A606" s="59">
        <f t="shared" si="139"/>
        <v>472</v>
      </c>
      <c r="B606" s="66" t="s">
        <v>2234</v>
      </c>
      <c r="C606" s="50">
        <f t="shared" si="136"/>
        <v>866816.87</v>
      </c>
      <c r="D606" s="51">
        <f t="shared" si="137"/>
        <v>0</v>
      </c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68"/>
      <c r="P606" s="50"/>
      <c r="Q606" s="68"/>
      <c r="R606" s="50"/>
      <c r="S606" s="68"/>
      <c r="T606" s="68"/>
      <c r="U606" s="50"/>
      <c r="V606" s="48"/>
      <c r="W606" s="34">
        <f t="shared" si="138"/>
        <v>866816.87</v>
      </c>
      <c r="X606" s="141" t="s">
        <v>2142</v>
      </c>
      <c r="Y606" s="285">
        <v>110797.74</v>
      </c>
      <c r="Z606" s="285"/>
      <c r="AA606" s="285"/>
      <c r="AB606" s="285">
        <v>106172.94</v>
      </c>
      <c r="AC606" s="285">
        <v>130309.98</v>
      </c>
      <c r="AD606" s="285"/>
      <c r="AE606" s="9"/>
      <c r="AF606" s="40"/>
      <c r="AG606" s="56">
        <v>519536.21</v>
      </c>
      <c r="AH606" s="56"/>
    </row>
    <row r="607" spans="1:34" x14ac:dyDescent="0.3">
      <c r="A607" s="59">
        <f t="shared" si="139"/>
        <v>473</v>
      </c>
      <c r="B607" s="66" t="s">
        <v>2235</v>
      </c>
      <c r="C607" s="50">
        <f t="shared" si="136"/>
        <v>922942.28999999992</v>
      </c>
      <c r="D607" s="51">
        <f t="shared" si="137"/>
        <v>0</v>
      </c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68"/>
      <c r="P607" s="58"/>
      <c r="Q607" s="68"/>
      <c r="R607" s="50"/>
      <c r="S607" s="68"/>
      <c r="T607" s="68"/>
      <c r="U607" s="50"/>
      <c r="V607" s="48"/>
      <c r="W607" s="34">
        <f t="shared" si="138"/>
        <v>922942.28999999992</v>
      </c>
      <c r="X607" s="141" t="s">
        <v>2142</v>
      </c>
      <c r="Y607" s="285">
        <v>126884.32</v>
      </c>
      <c r="Z607" s="285"/>
      <c r="AA607" s="285"/>
      <c r="AB607" s="285"/>
      <c r="AC607" s="285">
        <v>111473.53</v>
      </c>
      <c r="AD607" s="285"/>
      <c r="AE607" s="9"/>
      <c r="AF607" s="40"/>
      <c r="AG607" s="56">
        <v>684584.44</v>
      </c>
      <c r="AH607" s="56"/>
    </row>
    <row r="608" spans="1:34" x14ac:dyDescent="0.3">
      <c r="A608" s="59">
        <f t="shared" si="139"/>
        <v>474</v>
      </c>
      <c r="B608" s="66" t="s">
        <v>2236</v>
      </c>
      <c r="C608" s="50">
        <f t="shared" ref="C608:C626" si="140">D608+K608+L608+N608+P608+R608+S608+U608+V608+W608</f>
        <v>975413.98</v>
      </c>
      <c r="D608" s="51">
        <f t="shared" si="137"/>
        <v>0</v>
      </c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68"/>
      <c r="P608" s="50"/>
      <c r="Q608" s="68"/>
      <c r="R608" s="50"/>
      <c r="S608" s="68"/>
      <c r="T608" s="68"/>
      <c r="U608" s="50"/>
      <c r="V608" s="48"/>
      <c r="W608" s="34">
        <f t="shared" si="138"/>
        <v>975413.98</v>
      </c>
      <c r="X608" s="141" t="s">
        <v>2142</v>
      </c>
      <c r="Y608" s="285">
        <v>110797.74</v>
      </c>
      <c r="Z608" s="285"/>
      <c r="AA608" s="285"/>
      <c r="AB608" s="285">
        <v>106172.94</v>
      </c>
      <c r="AC608" s="285">
        <v>130309.98</v>
      </c>
      <c r="AD608" s="285">
        <v>108597.11</v>
      </c>
      <c r="AE608" s="9"/>
      <c r="AF608" s="40"/>
      <c r="AG608" s="56">
        <v>519536.21</v>
      </c>
      <c r="AH608" s="56"/>
    </row>
    <row r="609" spans="1:34" x14ac:dyDescent="0.3">
      <c r="A609" s="59">
        <f t="shared" si="139"/>
        <v>475</v>
      </c>
      <c r="B609" s="66" t="s">
        <v>2237</v>
      </c>
      <c r="C609" s="50">
        <f t="shared" si="140"/>
        <v>1055902.1499999999</v>
      </c>
      <c r="D609" s="51">
        <f t="shared" si="137"/>
        <v>0</v>
      </c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68"/>
      <c r="P609" s="58"/>
      <c r="Q609" s="68"/>
      <c r="R609" s="50"/>
      <c r="S609" s="68"/>
      <c r="T609" s="68"/>
      <c r="U609" s="50"/>
      <c r="V609" s="50"/>
      <c r="W609" s="34">
        <f t="shared" si="138"/>
        <v>1055902.1499999999</v>
      </c>
      <c r="X609" s="356"/>
      <c r="Y609" s="285">
        <v>171280.57</v>
      </c>
      <c r="Z609" s="285"/>
      <c r="AA609" s="285"/>
      <c r="AB609" s="285"/>
      <c r="AC609" s="285"/>
      <c r="AD609" s="285"/>
      <c r="AE609" s="9"/>
      <c r="AF609" s="40"/>
      <c r="AG609" s="56">
        <v>884621.58</v>
      </c>
      <c r="AH609" s="56"/>
    </row>
    <row r="610" spans="1:34" x14ac:dyDescent="0.3">
      <c r="A610" s="59">
        <f t="shared" si="139"/>
        <v>476</v>
      </c>
      <c r="B610" s="66" t="s">
        <v>2238</v>
      </c>
      <c r="C610" s="50">
        <f t="shared" si="140"/>
        <v>697425.03</v>
      </c>
      <c r="D610" s="51">
        <f t="shared" si="137"/>
        <v>0</v>
      </c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68"/>
      <c r="P610" s="58"/>
      <c r="Q610" s="68"/>
      <c r="R610" s="50"/>
      <c r="S610" s="68"/>
      <c r="T610" s="68"/>
      <c r="U610" s="50"/>
      <c r="V610" s="50"/>
      <c r="W610" s="34">
        <f t="shared" si="138"/>
        <v>697425.03</v>
      </c>
      <c r="X610" s="356"/>
      <c r="Y610" s="285"/>
      <c r="Z610" s="285"/>
      <c r="AA610" s="285"/>
      <c r="AB610" s="285"/>
      <c r="AC610" s="285"/>
      <c r="AD610" s="285">
        <v>125141.99</v>
      </c>
      <c r="AE610" s="9"/>
      <c r="AF610" s="40"/>
      <c r="AG610" s="56">
        <v>572283.04</v>
      </c>
      <c r="AH610" s="56"/>
    </row>
    <row r="611" spans="1:34" x14ac:dyDescent="0.3">
      <c r="A611" s="59">
        <f t="shared" si="139"/>
        <v>477</v>
      </c>
      <c r="B611" s="66" t="s">
        <v>2239</v>
      </c>
      <c r="C611" s="50">
        <f t="shared" si="140"/>
        <v>975413.98</v>
      </c>
      <c r="D611" s="51">
        <f t="shared" si="137"/>
        <v>0</v>
      </c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68"/>
      <c r="P611" s="58"/>
      <c r="Q611" s="68"/>
      <c r="R611" s="50"/>
      <c r="S611" s="68"/>
      <c r="T611" s="68"/>
      <c r="U611" s="50"/>
      <c r="V611" s="48"/>
      <c r="W611" s="34">
        <f t="shared" si="138"/>
        <v>975413.98</v>
      </c>
      <c r="X611" s="141" t="s">
        <v>2142</v>
      </c>
      <c r="Y611" s="285">
        <v>110797.74</v>
      </c>
      <c r="Z611" s="285"/>
      <c r="AA611" s="285"/>
      <c r="AB611" s="285">
        <v>106172.94</v>
      </c>
      <c r="AC611" s="285">
        <v>130309.98</v>
      </c>
      <c r="AD611" s="285">
        <v>108597.11</v>
      </c>
      <c r="AE611" s="9"/>
      <c r="AF611" s="40"/>
      <c r="AG611" s="56">
        <v>519536.21</v>
      </c>
      <c r="AH611" s="56"/>
    </row>
    <row r="612" spans="1:34" x14ac:dyDescent="0.3">
      <c r="A612" s="59">
        <f t="shared" si="139"/>
        <v>478</v>
      </c>
      <c r="B612" s="66" t="s">
        <v>2240</v>
      </c>
      <c r="C612" s="50">
        <f t="shared" si="140"/>
        <v>890625.97</v>
      </c>
      <c r="D612" s="51">
        <f t="shared" si="137"/>
        <v>0</v>
      </c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68"/>
      <c r="P612" s="58"/>
      <c r="Q612" s="68"/>
      <c r="R612" s="50"/>
      <c r="S612" s="68"/>
      <c r="T612" s="68"/>
      <c r="U612" s="50"/>
      <c r="V612" s="48"/>
      <c r="W612" s="34">
        <f t="shared" si="138"/>
        <v>890625.97</v>
      </c>
      <c r="X612" s="141" t="s">
        <v>2142</v>
      </c>
      <c r="Y612" s="285">
        <v>144104.84</v>
      </c>
      <c r="Z612" s="285"/>
      <c r="AA612" s="285"/>
      <c r="AB612" s="285"/>
      <c r="AC612" s="285">
        <v>174238.09</v>
      </c>
      <c r="AD612" s="285"/>
      <c r="AE612" s="9"/>
      <c r="AF612" s="40"/>
      <c r="AG612" s="56">
        <v>572283.04</v>
      </c>
      <c r="AH612" s="56"/>
    </row>
    <row r="613" spans="1:34" x14ac:dyDescent="0.3">
      <c r="A613" s="59">
        <f t="shared" si="139"/>
        <v>479</v>
      </c>
      <c r="B613" s="66" t="s">
        <v>2241</v>
      </c>
      <c r="C613" s="50">
        <f t="shared" si="140"/>
        <v>866816.87</v>
      </c>
      <c r="D613" s="51">
        <f t="shared" si="137"/>
        <v>0</v>
      </c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68"/>
      <c r="P613" s="58"/>
      <c r="Q613" s="68"/>
      <c r="R613" s="50"/>
      <c r="S613" s="68"/>
      <c r="T613" s="68"/>
      <c r="U613" s="50"/>
      <c r="V613" s="48"/>
      <c r="W613" s="34">
        <f t="shared" si="138"/>
        <v>866816.87</v>
      </c>
      <c r="X613" s="141" t="s">
        <v>2142</v>
      </c>
      <c r="Y613" s="285">
        <v>110797.74</v>
      </c>
      <c r="Z613" s="285"/>
      <c r="AA613" s="285"/>
      <c r="AB613" s="285">
        <v>106172.94</v>
      </c>
      <c r="AC613" s="285">
        <v>130309.98</v>
      </c>
      <c r="AD613" s="285"/>
      <c r="AE613" s="9"/>
      <c r="AF613" s="40"/>
      <c r="AG613" s="56">
        <v>519536.21</v>
      </c>
      <c r="AH613" s="56"/>
    </row>
    <row r="614" spans="1:34" x14ac:dyDescent="0.3">
      <c r="A614" s="59">
        <f t="shared" si="139"/>
        <v>480</v>
      </c>
      <c r="B614" s="66" t="s">
        <v>2242</v>
      </c>
      <c r="C614" s="50">
        <f t="shared" si="140"/>
        <v>1704799.89</v>
      </c>
      <c r="D614" s="51">
        <f t="shared" si="137"/>
        <v>0</v>
      </c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68"/>
      <c r="P614" s="50"/>
      <c r="Q614" s="68"/>
      <c r="R614" s="50"/>
      <c r="S614" s="68"/>
      <c r="T614" s="68"/>
      <c r="U614" s="50"/>
      <c r="V614" s="50"/>
      <c r="W614" s="34">
        <f t="shared" si="138"/>
        <v>1704799.89</v>
      </c>
      <c r="X614" s="141"/>
      <c r="Y614" s="285"/>
      <c r="Z614" s="285"/>
      <c r="AA614" s="285"/>
      <c r="AB614" s="285"/>
      <c r="AC614" s="285"/>
      <c r="AD614" s="285">
        <v>264321.73</v>
      </c>
      <c r="AE614" s="9"/>
      <c r="AF614" s="40"/>
      <c r="AG614" s="56">
        <v>1440478.16</v>
      </c>
      <c r="AH614" s="56"/>
    </row>
    <row r="615" spans="1:34" x14ac:dyDescent="0.3">
      <c r="A615" s="59">
        <f t="shared" si="139"/>
        <v>481</v>
      </c>
      <c r="B615" s="66" t="s">
        <v>2243</v>
      </c>
      <c r="C615" s="50">
        <f t="shared" si="140"/>
        <v>616862.78</v>
      </c>
      <c r="D615" s="51">
        <f t="shared" si="137"/>
        <v>0</v>
      </c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68"/>
      <c r="P615" s="58"/>
      <c r="Q615" s="68"/>
      <c r="R615" s="50"/>
      <c r="S615" s="68"/>
      <c r="T615" s="68"/>
      <c r="U615" s="50"/>
      <c r="V615" s="50"/>
      <c r="W615" s="34">
        <f t="shared" si="138"/>
        <v>616862.78</v>
      </c>
      <c r="X615" s="141"/>
      <c r="Y615" s="285"/>
      <c r="Z615" s="285"/>
      <c r="AA615" s="285"/>
      <c r="AB615" s="285"/>
      <c r="AC615" s="285"/>
      <c r="AD615" s="285"/>
      <c r="AE615" s="9"/>
      <c r="AF615" s="40"/>
      <c r="AG615" s="56">
        <v>616862.78</v>
      </c>
      <c r="AH615" s="56"/>
    </row>
    <row r="616" spans="1:34" x14ac:dyDescent="0.3">
      <c r="A616" s="59">
        <f t="shared" si="139"/>
        <v>482</v>
      </c>
      <c r="B616" s="66" t="s">
        <v>2244</v>
      </c>
      <c r="C616" s="50">
        <f t="shared" si="140"/>
        <v>715672.86</v>
      </c>
      <c r="D616" s="51">
        <f t="shared" si="137"/>
        <v>0</v>
      </c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68"/>
      <c r="P616" s="58"/>
      <c r="Q616" s="68"/>
      <c r="R616" s="50"/>
      <c r="S616" s="68"/>
      <c r="T616" s="68"/>
      <c r="U616" s="50"/>
      <c r="V616" s="50"/>
      <c r="W616" s="34">
        <f t="shared" si="138"/>
        <v>715672.86</v>
      </c>
      <c r="X616" s="141"/>
      <c r="Y616" s="285"/>
      <c r="Z616" s="285"/>
      <c r="AA616" s="285"/>
      <c r="AB616" s="285">
        <v>117689.1</v>
      </c>
      <c r="AC616" s="285"/>
      <c r="AD616" s="285"/>
      <c r="AE616" s="9"/>
      <c r="AF616" s="40"/>
      <c r="AG616" s="56">
        <v>597983.76</v>
      </c>
      <c r="AH616" s="56"/>
    </row>
    <row r="617" spans="1:34" x14ac:dyDescent="0.3">
      <c r="A617" s="59">
        <f t="shared" si="139"/>
        <v>483</v>
      </c>
      <c r="B617" s="66" t="s">
        <v>2245</v>
      </c>
      <c r="C617" s="50">
        <f t="shared" si="140"/>
        <v>592468.07999999996</v>
      </c>
      <c r="D617" s="51">
        <f t="shared" si="137"/>
        <v>0</v>
      </c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68"/>
      <c r="P617" s="58"/>
      <c r="Q617" s="68"/>
      <c r="R617" s="50"/>
      <c r="S617" s="68"/>
      <c r="T617" s="68"/>
      <c r="U617" s="50"/>
      <c r="V617" s="50"/>
      <c r="W617" s="34">
        <f t="shared" si="138"/>
        <v>592468.07999999996</v>
      </c>
      <c r="X617" s="141" t="s">
        <v>2246</v>
      </c>
      <c r="Y617" s="285"/>
      <c r="Z617" s="285"/>
      <c r="AA617" s="285"/>
      <c r="AB617" s="285"/>
      <c r="AC617" s="285"/>
      <c r="AD617" s="285"/>
      <c r="AE617" s="9"/>
      <c r="AF617" s="40"/>
      <c r="AG617" s="56">
        <v>592468.07999999996</v>
      </c>
      <c r="AH617" s="56"/>
    </row>
    <row r="618" spans="1:34" x14ac:dyDescent="0.3">
      <c r="A618" s="59">
        <f t="shared" si="139"/>
        <v>484</v>
      </c>
      <c r="B618" s="66" t="s">
        <v>2247</v>
      </c>
      <c r="C618" s="50">
        <f t="shared" si="140"/>
        <v>407379.02999999997</v>
      </c>
      <c r="D618" s="51">
        <f t="shared" si="137"/>
        <v>0</v>
      </c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68"/>
      <c r="P618" s="50"/>
      <c r="Q618" s="68"/>
      <c r="R618" s="50"/>
      <c r="S618" s="68"/>
      <c r="T618" s="68"/>
      <c r="U618" s="50"/>
      <c r="V618" s="50"/>
      <c r="W618" s="34">
        <f t="shared" si="138"/>
        <v>407379.02999999997</v>
      </c>
      <c r="X618" s="141"/>
      <c r="Y618" s="285"/>
      <c r="Z618" s="285"/>
      <c r="AA618" s="285"/>
      <c r="AB618" s="285">
        <v>104417.36</v>
      </c>
      <c r="AC618" s="285"/>
      <c r="AD618" s="285"/>
      <c r="AE618" s="9"/>
      <c r="AF618" s="40"/>
      <c r="AG618" s="56">
        <v>302961.67</v>
      </c>
      <c r="AH618" s="56"/>
    </row>
    <row r="619" spans="1:34" x14ac:dyDescent="0.3">
      <c r="A619" s="59">
        <f t="shared" si="139"/>
        <v>485</v>
      </c>
      <c r="B619" s="66" t="s">
        <v>2248</v>
      </c>
      <c r="C619" s="50">
        <f t="shared" si="140"/>
        <v>600297.24</v>
      </c>
      <c r="D619" s="51">
        <f t="shared" si="137"/>
        <v>0</v>
      </c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68"/>
      <c r="P619" s="50"/>
      <c r="Q619" s="68"/>
      <c r="R619" s="50"/>
      <c r="S619" s="68"/>
      <c r="T619" s="68"/>
      <c r="U619" s="50"/>
      <c r="V619" s="50"/>
      <c r="W619" s="34">
        <f t="shared" si="138"/>
        <v>600297.24</v>
      </c>
      <c r="X619" s="141"/>
      <c r="Y619" s="285"/>
      <c r="Z619" s="285"/>
      <c r="AA619" s="285"/>
      <c r="AB619" s="285"/>
      <c r="AC619" s="285"/>
      <c r="AD619" s="285"/>
      <c r="AE619" s="9"/>
      <c r="AF619" s="40"/>
      <c r="AG619" s="56">
        <v>600297.24</v>
      </c>
      <c r="AH619" s="56"/>
    </row>
    <row r="620" spans="1:34" x14ac:dyDescent="0.3">
      <c r="A620" s="59">
        <f t="shared" si="139"/>
        <v>486</v>
      </c>
      <c r="B620" s="66" t="s">
        <v>2249</v>
      </c>
      <c r="C620" s="50">
        <f t="shared" si="140"/>
        <v>564055.55000000005</v>
      </c>
      <c r="D620" s="51">
        <f t="shared" si="137"/>
        <v>0</v>
      </c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68"/>
      <c r="P620" s="50"/>
      <c r="Q620" s="68"/>
      <c r="R620" s="50"/>
      <c r="S620" s="68"/>
      <c r="T620" s="68"/>
      <c r="U620" s="50"/>
      <c r="V620" s="50"/>
      <c r="W620" s="34">
        <f t="shared" si="138"/>
        <v>564055.55000000005</v>
      </c>
      <c r="X620" s="141" t="s">
        <v>2246</v>
      </c>
      <c r="Y620" s="285"/>
      <c r="Z620" s="285"/>
      <c r="AA620" s="285"/>
      <c r="AB620" s="285"/>
      <c r="AC620" s="285"/>
      <c r="AD620" s="285"/>
      <c r="AE620" s="9"/>
      <c r="AF620" s="40"/>
      <c r="AG620" s="56">
        <v>564055.55000000005</v>
      </c>
      <c r="AH620" s="56"/>
    </row>
    <row r="621" spans="1:34" x14ac:dyDescent="0.3">
      <c r="A621" s="59">
        <f t="shared" si="139"/>
        <v>487</v>
      </c>
      <c r="B621" s="66" t="s">
        <v>2250</v>
      </c>
      <c r="C621" s="50">
        <f t="shared" si="140"/>
        <v>649195.81999999995</v>
      </c>
      <c r="D621" s="51">
        <f t="shared" si="137"/>
        <v>0</v>
      </c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68"/>
      <c r="P621" s="58"/>
      <c r="Q621" s="68"/>
      <c r="R621" s="50"/>
      <c r="S621" s="68"/>
      <c r="T621" s="68"/>
      <c r="U621" s="50"/>
      <c r="V621" s="50"/>
      <c r="W621" s="34">
        <f t="shared" si="138"/>
        <v>649195.81999999995</v>
      </c>
      <c r="X621" s="141"/>
      <c r="Y621" s="285"/>
      <c r="Z621" s="285"/>
      <c r="AA621" s="285"/>
      <c r="AB621" s="285"/>
      <c r="AC621" s="285"/>
      <c r="AD621" s="285"/>
      <c r="AE621" s="9"/>
      <c r="AF621" s="40"/>
      <c r="AG621" s="56">
        <v>649195.81999999995</v>
      </c>
      <c r="AH621" s="56"/>
    </row>
    <row r="622" spans="1:34" x14ac:dyDescent="0.3">
      <c r="A622" s="59">
        <f t="shared" si="139"/>
        <v>488</v>
      </c>
      <c r="B622" s="66" t="s">
        <v>2251</v>
      </c>
      <c r="C622" s="50">
        <f t="shared" si="140"/>
        <v>866816.87</v>
      </c>
      <c r="D622" s="51">
        <f t="shared" si="137"/>
        <v>0</v>
      </c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68"/>
      <c r="P622" s="50"/>
      <c r="Q622" s="68"/>
      <c r="R622" s="50"/>
      <c r="S622" s="68"/>
      <c r="T622" s="68"/>
      <c r="U622" s="50"/>
      <c r="V622" s="48"/>
      <c r="W622" s="34">
        <f t="shared" si="138"/>
        <v>866816.87</v>
      </c>
      <c r="X622" s="141" t="s">
        <v>2142</v>
      </c>
      <c r="Y622" s="285">
        <v>110797.74</v>
      </c>
      <c r="Z622" s="285"/>
      <c r="AA622" s="285"/>
      <c r="AB622" s="285">
        <v>106172.94</v>
      </c>
      <c r="AC622" s="285">
        <v>130309.98</v>
      </c>
      <c r="AD622" s="285"/>
      <c r="AE622" s="9"/>
      <c r="AF622" s="40"/>
      <c r="AG622" s="56">
        <v>519536.21</v>
      </c>
      <c r="AH622" s="56"/>
    </row>
    <row r="623" spans="1:34" x14ac:dyDescent="0.3">
      <c r="A623" s="59">
        <f t="shared" si="139"/>
        <v>489</v>
      </c>
      <c r="B623" s="66" t="s">
        <v>2252</v>
      </c>
      <c r="C623" s="50">
        <f t="shared" si="140"/>
        <v>1081968.73</v>
      </c>
      <c r="D623" s="51">
        <f t="shared" si="137"/>
        <v>0</v>
      </c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68"/>
      <c r="P623" s="50"/>
      <c r="Q623" s="68"/>
      <c r="R623" s="50"/>
      <c r="S623" s="68"/>
      <c r="T623" s="68"/>
      <c r="U623" s="50"/>
      <c r="V623" s="50"/>
      <c r="W623" s="34">
        <f t="shared" si="138"/>
        <v>1081968.73</v>
      </c>
      <c r="X623" s="141"/>
      <c r="Y623" s="285"/>
      <c r="Z623" s="285"/>
      <c r="AA623" s="285"/>
      <c r="AB623" s="285"/>
      <c r="AC623" s="285"/>
      <c r="AD623" s="285"/>
      <c r="AE623" s="9">
        <v>328697.53000000003</v>
      </c>
      <c r="AF623" s="40"/>
      <c r="AG623" s="56">
        <v>753271.2</v>
      </c>
      <c r="AH623" s="56"/>
    </row>
    <row r="624" spans="1:34" x14ac:dyDescent="0.3">
      <c r="A624" s="59">
        <f t="shared" si="139"/>
        <v>490</v>
      </c>
      <c r="B624" s="66" t="s">
        <v>2253</v>
      </c>
      <c r="C624" s="50">
        <f t="shared" si="140"/>
        <v>957016.03</v>
      </c>
      <c r="D624" s="51">
        <f t="shared" si="137"/>
        <v>0</v>
      </c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68"/>
      <c r="P624" s="50"/>
      <c r="Q624" s="68"/>
      <c r="R624" s="50"/>
      <c r="S624" s="68"/>
      <c r="T624" s="68"/>
      <c r="U624" s="50"/>
      <c r="V624" s="50"/>
      <c r="W624" s="34">
        <f t="shared" si="138"/>
        <v>957016.03</v>
      </c>
      <c r="X624" s="141"/>
      <c r="Y624" s="285"/>
      <c r="Z624" s="285"/>
      <c r="AA624" s="285"/>
      <c r="AB624" s="285"/>
      <c r="AC624" s="285"/>
      <c r="AD624" s="285"/>
      <c r="AE624" s="9"/>
      <c r="AF624" s="40"/>
      <c r="AG624" s="56">
        <v>957016.03</v>
      </c>
      <c r="AH624" s="56"/>
    </row>
    <row r="625" spans="1:34" x14ac:dyDescent="0.3">
      <c r="A625" s="59">
        <f t="shared" si="139"/>
        <v>491</v>
      </c>
      <c r="B625" s="66" t="s">
        <v>2254</v>
      </c>
      <c r="C625" s="50">
        <f t="shared" si="140"/>
        <v>130000</v>
      </c>
      <c r="D625" s="51">
        <f t="shared" si="137"/>
        <v>0</v>
      </c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68"/>
      <c r="P625" s="50"/>
      <c r="Q625" s="68"/>
      <c r="R625" s="50"/>
      <c r="S625" s="68"/>
      <c r="T625" s="68"/>
      <c r="U625" s="50"/>
      <c r="V625" s="50"/>
      <c r="W625" s="34">
        <v>130000</v>
      </c>
      <c r="X625" s="141"/>
      <c r="Y625" s="285"/>
      <c r="Z625" s="285"/>
      <c r="AA625" s="285"/>
      <c r="AB625" s="285"/>
      <c r="AC625" s="285"/>
      <c r="AD625" s="285"/>
      <c r="AE625" s="9"/>
      <c r="AF625" s="40"/>
      <c r="AG625" s="56"/>
      <c r="AH625" s="56"/>
    </row>
    <row r="626" spans="1:34" x14ac:dyDescent="0.3">
      <c r="A626" s="59">
        <f t="shared" si="139"/>
        <v>492</v>
      </c>
      <c r="B626" s="66" t="s">
        <v>2255</v>
      </c>
      <c r="C626" s="50">
        <f t="shared" si="140"/>
        <v>1025857.14</v>
      </c>
      <c r="D626" s="51">
        <f t="shared" si="137"/>
        <v>0</v>
      </c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68"/>
      <c r="P626" s="50"/>
      <c r="Q626" s="68"/>
      <c r="R626" s="50"/>
      <c r="S626" s="68"/>
      <c r="T626" s="68"/>
      <c r="U626" s="50"/>
      <c r="V626" s="50"/>
      <c r="W626" s="34">
        <f t="shared" si="138"/>
        <v>1025857.14</v>
      </c>
      <c r="X626" s="141"/>
      <c r="Y626" s="285"/>
      <c r="Z626" s="285"/>
      <c r="AA626" s="285"/>
      <c r="AB626" s="285"/>
      <c r="AC626" s="285"/>
      <c r="AD626" s="285"/>
      <c r="AE626" s="9"/>
      <c r="AF626" s="40"/>
      <c r="AG626" s="56">
        <v>1025857.14</v>
      </c>
      <c r="AH626" s="56"/>
    </row>
    <row r="627" spans="1:34" x14ac:dyDescent="0.3">
      <c r="A627" s="59"/>
      <c r="B627" s="66" t="s">
        <v>211</v>
      </c>
      <c r="C627" s="50">
        <f>SUM(C512:C626)</f>
        <v>95659520.460000023</v>
      </c>
      <c r="D627" s="50">
        <f>SUM(D512:D626)</f>
        <v>0</v>
      </c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68"/>
      <c r="P627" s="50"/>
      <c r="Q627" s="68"/>
      <c r="R627" s="50"/>
      <c r="S627" s="68"/>
      <c r="T627" s="68"/>
      <c r="U627" s="50"/>
      <c r="V627" s="50"/>
      <c r="W627" s="34">
        <f>SUM(W512:W626)</f>
        <v>95659520.460000023</v>
      </c>
      <c r="X627" s="304">
        <f>SUM(X512:X626)</f>
        <v>0</v>
      </c>
      <c r="Y627" s="285"/>
      <c r="Z627" s="285"/>
      <c r="AA627" s="285"/>
      <c r="AB627" s="285"/>
      <c r="AC627" s="285"/>
      <c r="AD627" s="285"/>
      <c r="AE627" s="9"/>
      <c r="AF627" s="40"/>
      <c r="AG627" s="56"/>
      <c r="AH627" s="56"/>
    </row>
    <row r="628" spans="1:34" x14ac:dyDescent="0.3">
      <c r="A628" s="463" t="s">
        <v>2256</v>
      </c>
      <c r="B628" s="463"/>
      <c r="C628" s="50"/>
      <c r="D628" s="51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132"/>
      <c r="P628" s="67"/>
      <c r="Q628" s="132"/>
      <c r="R628" s="67"/>
      <c r="S628" s="132"/>
      <c r="T628" s="132"/>
      <c r="U628" s="67"/>
      <c r="V628" s="67"/>
      <c r="W628" s="37"/>
      <c r="X628" s="141"/>
      <c r="Y628" s="285"/>
      <c r="Z628" s="285"/>
      <c r="AA628" s="285"/>
      <c r="AB628" s="285"/>
      <c r="AC628" s="285"/>
      <c r="AD628" s="285"/>
      <c r="AE628" s="9"/>
      <c r="AF628" s="40"/>
      <c r="AG628" s="56"/>
      <c r="AH628" s="56"/>
    </row>
    <row r="629" spans="1:34" x14ac:dyDescent="0.3">
      <c r="A629" s="59">
        <f>A626+1</f>
        <v>493</v>
      </c>
      <c r="B629" s="66" t="s">
        <v>2257</v>
      </c>
      <c r="C629" s="50">
        <f>D629+K629+L629+N629+P629+R629+S629+U629+V629+W629</f>
        <v>106431</v>
      </c>
      <c r="D629" s="51">
        <f>E629+F629+G629+H629+I629</f>
        <v>0</v>
      </c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68"/>
      <c r="P629" s="50"/>
      <c r="Q629" s="68">
        <v>13</v>
      </c>
      <c r="R629" s="50">
        <f>Q629*8187</f>
        <v>106431</v>
      </c>
      <c r="S629" s="68"/>
      <c r="T629" s="68"/>
      <c r="U629" s="50"/>
      <c r="V629" s="50"/>
      <c r="W629" s="34"/>
      <c r="X629" s="141"/>
      <c r="Y629" s="285"/>
      <c r="Z629" s="285"/>
      <c r="AA629" s="285"/>
      <c r="AB629" s="285"/>
      <c r="AC629" s="285"/>
      <c r="AD629" s="285"/>
      <c r="AE629" s="9"/>
      <c r="AF629" s="40"/>
      <c r="AG629" s="56"/>
      <c r="AH629" s="56"/>
    </row>
    <row r="630" spans="1:34" x14ac:dyDescent="0.3">
      <c r="A630" s="59"/>
      <c r="B630" s="66" t="s">
        <v>211</v>
      </c>
      <c r="C630" s="50">
        <f t="shared" ref="C630:R630" si="141">SUM(C629:C629)</f>
        <v>106431</v>
      </c>
      <c r="D630" s="50">
        <f t="shared" si="141"/>
        <v>0</v>
      </c>
      <c r="E630" s="50">
        <f t="shared" si="141"/>
        <v>0</v>
      </c>
      <c r="F630" s="50">
        <f t="shared" si="141"/>
        <v>0</v>
      </c>
      <c r="G630" s="50">
        <f t="shared" si="141"/>
        <v>0</v>
      </c>
      <c r="H630" s="50">
        <f t="shared" si="141"/>
        <v>0</v>
      </c>
      <c r="I630" s="50">
        <f t="shared" si="141"/>
        <v>0</v>
      </c>
      <c r="J630" s="50">
        <f t="shared" si="141"/>
        <v>0</v>
      </c>
      <c r="K630" s="50">
        <f t="shared" si="141"/>
        <v>0</v>
      </c>
      <c r="L630" s="50">
        <f t="shared" si="141"/>
        <v>0</v>
      </c>
      <c r="M630" s="50">
        <f t="shared" si="141"/>
        <v>0</v>
      </c>
      <c r="N630" s="50">
        <f t="shared" si="141"/>
        <v>0</v>
      </c>
      <c r="O630" s="68">
        <f t="shared" si="141"/>
        <v>0</v>
      </c>
      <c r="P630" s="50">
        <f t="shared" si="141"/>
        <v>0</v>
      </c>
      <c r="Q630" s="68">
        <f t="shared" si="141"/>
        <v>13</v>
      </c>
      <c r="R630" s="50">
        <f t="shared" si="141"/>
        <v>106431</v>
      </c>
      <c r="S630" s="68">
        <f t="shared" ref="S630:X630" si="142">SUM(S629:S629)</f>
        <v>0</v>
      </c>
      <c r="T630" s="68">
        <f t="shared" si="142"/>
        <v>0</v>
      </c>
      <c r="U630" s="50">
        <f t="shared" si="142"/>
        <v>0</v>
      </c>
      <c r="V630" s="50">
        <f t="shared" si="142"/>
        <v>0</v>
      </c>
      <c r="W630" s="34">
        <f t="shared" si="142"/>
        <v>0</v>
      </c>
      <c r="X630" s="304">
        <f t="shared" si="142"/>
        <v>0</v>
      </c>
      <c r="Y630" s="285"/>
      <c r="Z630" s="285"/>
      <c r="AA630" s="285"/>
      <c r="AB630" s="285"/>
      <c r="AC630" s="285"/>
      <c r="AD630" s="285"/>
      <c r="AE630" s="9"/>
      <c r="AF630" s="40"/>
      <c r="AG630" s="56"/>
      <c r="AH630" s="56"/>
    </row>
    <row r="631" spans="1:34" x14ac:dyDescent="0.3">
      <c r="A631" s="463" t="s">
        <v>2262</v>
      </c>
      <c r="B631" s="463"/>
      <c r="C631" s="50"/>
      <c r="D631" s="51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132"/>
      <c r="P631" s="67"/>
      <c r="Q631" s="132"/>
      <c r="R631" s="67"/>
      <c r="S631" s="132"/>
      <c r="T631" s="132"/>
      <c r="U631" s="67"/>
      <c r="V631" s="67"/>
      <c r="W631" s="37"/>
      <c r="X631" s="141"/>
      <c r="Y631" s="285"/>
      <c r="Z631" s="285"/>
      <c r="AA631" s="285"/>
      <c r="AB631" s="285"/>
      <c r="AC631" s="285"/>
      <c r="AD631" s="285"/>
      <c r="AE631" s="9"/>
      <c r="AF631" s="40"/>
      <c r="AG631" s="56"/>
      <c r="AH631" s="56"/>
    </row>
    <row r="632" spans="1:34" x14ac:dyDescent="0.3">
      <c r="A632" s="59">
        <f>A629+1</f>
        <v>494</v>
      </c>
      <c r="B632" s="66" t="s">
        <v>2263</v>
      </c>
      <c r="C632" s="50">
        <f t="shared" ref="C632:C667" si="143">D632+K632+L632+N632+P632+R632+S632+U632+V632+W632</f>
        <v>767899.40999999992</v>
      </c>
      <c r="D632" s="51">
        <f t="shared" ref="D632:D667" si="144">E632+F632+G632+H632+I632</f>
        <v>0</v>
      </c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68"/>
      <c r="P632" s="50"/>
      <c r="Q632" s="68"/>
      <c r="R632" s="50"/>
      <c r="S632" s="68"/>
      <c r="T632" s="68"/>
      <c r="U632" s="50"/>
      <c r="V632" s="50"/>
      <c r="W632" s="34">
        <f t="shared" si="138"/>
        <v>767899.40999999992</v>
      </c>
      <c r="X632" s="141"/>
      <c r="Y632" s="285"/>
      <c r="Z632" s="285"/>
      <c r="AA632" s="285"/>
      <c r="AB632" s="285"/>
      <c r="AC632" s="285"/>
      <c r="AD632" s="285">
        <v>98290.54</v>
      </c>
      <c r="AE632" s="9">
        <v>182959.56</v>
      </c>
      <c r="AF632" s="40"/>
      <c r="AG632" s="56">
        <v>486649.31</v>
      </c>
      <c r="AH632" s="56"/>
    </row>
    <row r="633" spans="1:34" x14ac:dyDescent="0.3">
      <c r="A633" s="59">
        <f t="shared" ref="A633" si="145">A632+1</f>
        <v>495</v>
      </c>
      <c r="B633" s="66" t="s">
        <v>2264</v>
      </c>
      <c r="C633" s="50">
        <f t="shared" si="143"/>
        <v>722152.49</v>
      </c>
      <c r="D633" s="51">
        <f t="shared" si="144"/>
        <v>0</v>
      </c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68"/>
      <c r="P633" s="50"/>
      <c r="Q633" s="68"/>
      <c r="R633" s="50"/>
      <c r="S633" s="68"/>
      <c r="T633" s="68"/>
      <c r="U633" s="50"/>
      <c r="V633" s="50"/>
      <c r="W633" s="34">
        <f t="shared" si="138"/>
        <v>722152.49</v>
      </c>
      <c r="X633" s="141"/>
      <c r="Y633" s="285"/>
      <c r="Z633" s="285"/>
      <c r="AA633" s="285"/>
      <c r="AB633" s="285"/>
      <c r="AC633" s="285"/>
      <c r="AD633" s="285">
        <v>91245.01</v>
      </c>
      <c r="AE633" s="9">
        <v>172051.7</v>
      </c>
      <c r="AF633" s="40"/>
      <c r="AG633" s="56">
        <v>458855.78</v>
      </c>
      <c r="AH633" s="56"/>
    </row>
    <row r="634" spans="1:34" x14ac:dyDescent="0.3">
      <c r="A634" s="59">
        <f t="shared" ref="A634:A667" si="146">A633+1</f>
        <v>496</v>
      </c>
      <c r="B634" s="66" t="s">
        <v>2265</v>
      </c>
      <c r="C634" s="50">
        <f t="shared" si="143"/>
        <v>714029.21</v>
      </c>
      <c r="D634" s="51">
        <f t="shared" si="144"/>
        <v>0</v>
      </c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68"/>
      <c r="P634" s="50"/>
      <c r="Q634" s="68"/>
      <c r="R634" s="50"/>
      <c r="S634" s="68"/>
      <c r="T634" s="68"/>
      <c r="U634" s="50"/>
      <c r="V634" s="50"/>
      <c r="W634" s="34">
        <f t="shared" si="138"/>
        <v>714029.21</v>
      </c>
      <c r="X634" s="141"/>
      <c r="Y634" s="285"/>
      <c r="Z634" s="285"/>
      <c r="AA634" s="285"/>
      <c r="AB634" s="285"/>
      <c r="AC634" s="285"/>
      <c r="AD634" s="285">
        <v>89993.94</v>
      </c>
      <c r="AE634" s="9">
        <v>170114.8</v>
      </c>
      <c r="AF634" s="40"/>
      <c r="AG634" s="56">
        <v>453920.47</v>
      </c>
      <c r="AH634" s="56"/>
    </row>
    <row r="635" spans="1:34" x14ac:dyDescent="0.3">
      <c r="A635" s="59">
        <f t="shared" si="146"/>
        <v>497</v>
      </c>
      <c r="B635" s="66" t="s">
        <v>2266</v>
      </c>
      <c r="C635" s="50">
        <f t="shared" si="143"/>
        <v>1025254</v>
      </c>
      <c r="D635" s="51">
        <f t="shared" si="144"/>
        <v>0</v>
      </c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68"/>
      <c r="P635" s="50"/>
      <c r="Q635" s="68"/>
      <c r="R635" s="50"/>
      <c r="S635" s="68"/>
      <c r="T635" s="68"/>
      <c r="U635" s="50"/>
      <c r="V635" s="50"/>
      <c r="W635" s="34">
        <f t="shared" si="138"/>
        <v>1025254</v>
      </c>
      <c r="X635" s="141"/>
      <c r="Y635" s="285"/>
      <c r="Z635" s="285"/>
      <c r="AA635" s="285"/>
      <c r="AB635" s="285">
        <v>95701.85</v>
      </c>
      <c r="AC635" s="285"/>
      <c r="AD635" s="285">
        <v>96907.78</v>
      </c>
      <c r="AE635" s="9">
        <v>180818.75</v>
      </c>
      <c r="AF635" s="40"/>
      <c r="AG635" s="56">
        <v>481194.49</v>
      </c>
      <c r="AH635" s="56">
        <v>170631.13</v>
      </c>
    </row>
    <row r="636" spans="1:34" x14ac:dyDescent="0.3">
      <c r="A636" s="59">
        <f t="shared" si="146"/>
        <v>498</v>
      </c>
      <c r="B636" s="66" t="s">
        <v>2267</v>
      </c>
      <c r="C636" s="50">
        <f t="shared" si="143"/>
        <v>812439.23</v>
      </c>
      <c r="D636" s="51">
        <f t="shared" si="144"/>
        <v>0</v>
      </c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68"/>
      <c r="P636" s="50"/>
      <c r="Q636" s="68"/>
      <c r="R636" s="50"/>
      <c r="S636" s="68"/>
      <c r="T636" s="68"/>
      <c r="U636" s="50"/>
      <c r="V636" s="50"/>
      <c r="W636" s="34">
        <f t="shared" si="138"/>
        <v>812439.23</v>
      </c>
      <c r="X636" s="141"/>
      <c r="Y636" s="285"/>
      <c r="Z636" s="285"/>
      <c r="AA636" s="285"/>
      <c r="AB636" s="285">
        <v>90286.92</v>
      </c>
      <c r="AC636" s="285"/>
      <c r="AD636" s="285">
        <v>91244.83</v>
      </c>
      <c r="AE636" s="9">
        <v>172051.7</v>
      </c>
      <c r="AF636" s="40"/>
      <c r="AG636" s="56">
        <v>458855.78</v>
      </c>
      <c r="AH636" s="56"/>
    </row>
    <row r="637" spans="1:34" x14ac:dyDescent="0.3">
      <c r="A637" s="59">
        <f t="shared" si="146"/>
        <v>499</v>
      </c>
      <c r="B637" s="66" t="s">
        <v>2268</v>
      </c>
      <c r="C637" s="50">
        <f t="shared" si="143"/>
        <v>525532.9</v>
      </c>
      <c r="D637" s="51">
        <f t="shared" si="144"/>
        <v>0</v>
      </c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68"/>
      <c r="P637" s="58"/>
      <c r="Q637" s="68"/>
      <c r="R637" s="50"/>
      <c r="S637" s="68"/>
      <c r="T637" s="68"/>
      <c r="U637" s="50"/>
      <c r="V637" s="50"/>
      <c r="W637" s="34">
        <f t="shared" si="138"/>
        <v>525532.9</v>
      </c>
      <c r="X637" s="356"/>
      <c r="Y637" s="285">
        <v>133052.6</v>
      </c>
      <c r="Z637" s="285"/>
      <c r="AA637" s="285"/>
      <c r="AB637" s="285">
        <v>121747.52</v>
      </c>
      <c r="AC637" s="285">
        <v>149233.25</v>
      </c>
      <c r="AD637" s="285">
        <v>121499.53</v>
      </c>
      <c r="AE637" s="9"/>
      <c r="AF637" s="40"/>
      <c r="AG637" s="56"/>
      <c r="AH637" s="56"/>
    </row>
    <row r="638" spans="1:34" x14ac:dyDescent="0.3">
      <c r="A638" s="59">
        <f t="shared" si="146"/>
        <v>500</v>
      </c>
      <c r="B638" s="66" t="s">
        <v>2269</v>
      </c>
      <c r="C638" s="50">
        <f t="shared" si="143"/>
        <v>113772.52</v>
      </c>
      <c r="D638" s="51">
        <f t="shared" si="144"/>
        <v>0</v>
      </c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68"/>
      <c r="P638" s="58"/>
      <c r="Q638" s="68"/>
      <c r="R638" s="50"/>
      <c r="S638" s="68"/>
      <c r="T638" s="68"/>
      <c r="U638" s="50"/>
      <c r="V638" s="50"/>
      <c r="W638" s="34">
        <f t="shared" si="138"/>
        <v>113772.52</v>
      </c>
      <c r="X638" s="141"/>
      <c r="Y638" s="285"/>
      <c r="Z638" s="285"/>
      <c r="AA638" s="285"/>
      <c r="AB638" s="285">
        <v>113772.52</v>
      </c>
      <c r="AC638" s="285"/>
      <c r="AD638" s="285"/>
      <c r="AE638" s="9"/>
      <c r="AF638" s="40"/>
      <c r="AG638" s="56"/>
      <c r="AH638" s="56"/>
    </row>
    <row r="639" spans="1:34" x14ac:dyDescent="0.3">
      <c r="A639" s="59">
        <f t="shared" si="146"/>
        <v>501</v>
      </c>
      <c r="B639" s="66" t="s">
        <v>2270</v>
      </c>
      <c r="C639" s="50">
        <f t="shared" si="143"/>
        <v>965511.92999999993</v>
      </c>
      <c r="D639" s="51">
        <f t="shared" si="144"/>
        <v>0</v>
      </c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68"/>
      <c r="P639" s="58"/>
      <c r="Q639" s="68"/>
      <c r="R639" s="50"/>
      <c r="S639" s="68"/>
      <c r="T639" s="68"/>
      <c r="U639" s="50"/>
      <c r="V639" s="50"/>
      <c r="W639" s="34">
        <f t="shared" si="138"/>
        <v>965511.92999999993</v>
      </c>
      <c r="X639" s="356"/>
      <c r="Y639" s="285">
        <v>106272.04</v>
      </c>
      <c r="Z639" s="285"/>
      <c r="AA639" s="285"/>
      <c r="AB639" s="285">
        <v>101133.36</v>
      </c>
      <c r="AC639" s="285">
        <v>130104.34</v>
      </c>
      <c r="AD639" s="285">
        <v>103337.93</v>
      </c>
      <c r="AE639" s="9"/>
      <c r="AF639" s="40"/>
      <c r="AG639" s="56">
        <v>524664.26</v>
      </c>
      <c r="AH639" s="56"/>
    </row>
    <row r="640" spans="1:34" x14ac:dyDescent="0.3">
      <c r="A640" s="59">
        <f t="shared" si="146"/>
        <v>502</v>
      </c>
      <c r="B640" s="66" t="s">
        <v>2271</v>
      </c>
      <c r="C640" s="50">
        <f t="shared" si="143"/>
        <v>111628.36</v>
      </c>
      <c r="D640" s="51">
        <f t="shared" si="144"/>
        <v>0</v>
      </c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68"/>
      <c r="P640" s="58"/>
      <c r="Q640" s="68"/>
      <c r="R640" s="80"/>
      <c r="S640" s="68"/>
      <c r="T640" s="68"/>
      <c r="U640" s="50"/>
      <c r="V640" s="50"/>
      <c r="W640" s="34">
        <f t="shared" ref="W640:W667" si="147">SUM(Y640:AJ640)</f>
        <v>111628.36</v>
      </c>
      <c r="X640" s="356"/>
      <c r="Y640" s="285"/>
      <c r="Z640" s="285"/>
      <c r="AA640" s="285"/>
      <c r="AB640" s="285">
        <v>111628.36</v>
      </c>
      <c r="AC640" s="285"/>
      <c r="AD640" s="285"/>
      <c r="AE640" s="9"/>
      <c r="AF640" s="40"/>
      <c r="AG640" s="56"/>
      <c r="AH640" s="56"/>
    </row>
    <row r="641" spans="1:34" x14ac:dyDescent="0.3">
      <c r="A641" s="59">
        <f t="shared" si="146"/>
        <v>503</v>
      </c>
      <c r="B641" s="66" t="s">
        <v>2272</v>
      </c>
      <c r="C641" s="50">
        <f t="shared" si="143"/>
        <v>102198.71</v>
      </c>
      <c r="D641" s="51">
        <f t="shared" si="144"/>
        <v>0</v>
      </c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68"/>
      <c r="P641" s="58"/>
      <c r="Q641" s="68"/>
      <c r="R641" s="50"/>
      <c r="S641" s="68"/>
      <c r="T641" s="68"/>
      <c r="U641" s="50"/>
      <c r="V641" s="50"/>
      <c r="W641" s="34">
        <f t="shared" si="147"/>
        <v>102198.71</v>
      </c>
      <c r="X641" s="356"/>
      <c r="Y641" s="285"/>
      <c r="Z641" s="285"/>
      <c r="AA641" s="285"/>
      <c r="AB641" s="285">
        <v>102198.71</v>
      </c>
      <c r="AC641" s="285"/>
      <c r="AD641" s="285"/>
      <c r="AE641" s="9"/>
      <c r="AF641" s="40"/>
      <c r="AG641" s="56"/>
      <c r="AH641" s="56"/>
    </row>
    <row r="642" spans="1:34" x14ac:dyDescent="0.3">
      <c r="A642" s="59">
        <f t="shared" si="146"/>
        <v>504</v>
      </c>
      <c r="B642" s="66" t="s">
        <v>2273</v>
      </c>
      <c r="C642" s="50">
        <f t="shared" si="143"/>
        <v>517381.79</v>
      </c>
      <c r="D642" s="51">
        <f t="shared" si="144"/>
        <v>0</v>
      </c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68"/>
      <c r="P642" s="58"/>
      <c r="Q642" s="68"/>
      <c r="R642" s="50"/>
      <c r="S642" s="68"/>
      <c r="T642" s="68"/>
      <c r="U642" s="50"/>
      <c r="V642" s="50"/>
      <c r="W642" s="34">
        <f t="shared" si="147"/>
        <v>517381.79</v>
      </c>
      <c r="X642" s="356"/>
      <c r="Y642" s="285">
        <v>124672.9</v>
      </c>
      <c r="Z642" s="285"/>
      <c r="AA642" s="285"/>
      <c r="AB642" s="285">
        <v>119534.22</v>
      </c>
      <c r="AC642" s="285">
        <v>150418.5</v>
      </c>
      <c r="AD642" s="285">
        <v>122756.17</v>
      </c>
      <c r="AE642" s="9"/>
      <c r="AF642" s="40"/>
      <c r="AG642" s="56"/>
      <c r="AH642" s="56"/>
    </row>
    <row r="643" spans="1:34" x14ac:dyDescent="0.3">
      <c r="A643" s="59">
        <f t="shared" si="146"/>
        <v>505</v>
      </c>
      <c r="B643" s="66" t="s">
        <v>2274</v>
      </c>
      <c r="C643" s="50">
        <f t="shared" si="143"/>
        <v>118418.46</v>
      </c>
      <c r="D643" s="51">
        <f t="shared" si="144"/>
        <v>0</v>
      </c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68"/>
      <c r="P643" s="58"/>
      <c r="Q643" s="68"/>
      <c r="R643" s="50"/>
      <c r="S643" s="68"/>
      <c r="T643" s="68"/>
      <c r="U643" s="50"/>
      <c r="V643" s="50"/>
      <c r="W643" s="34">
        <f t="shared" si="147"/>
        <v>118418.46</v>
      </c>
      <c r="X643" s="356"/>
      <c r="Y643" s="285"/>
      <c r="Z643" s="285"/>
      <c r="AA643" s="285"/>
      <c r="AB643" s="285">
        <v>118418.46</v>
      </c>
      <c r="AC643" s="285"/>
      <c r="AD643" s="285"/>
      <c r="AE643" s="9"/>
      <c r="AF643" s="40"/>
      <c r="AG643" s="56"/>
      <c r="AH643" s="56"/>
    </row>
    <row r="644" spans="1:34" x14ac:dyDescent="0.3">
      <c r="A644" s="59">
        <f t="shared" si="146"/>
        <v>506</v>
      </c>
      <c r="B644" s="66" t="s">
        <v>2275</v>
      </c>
      <c r="C644" s="50">
        <f t="shared" si="143"/>
        <v>496738.01999999996</v>
      </c>
      <c r="D644" s="51">
        <f t="shared" si="144"/>
        <v>0</v>
      </c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68"/>
      <c r="P644" s="58"/>
      <c r="Q644" s="68"/>
      <c r="R644" s="50"/>
      <c r="S644" s="68"/>
      <c r="T644" s="68"/>
      <c r="U644" s="50"/>
      <c r="V644" s="50"/>
      <c r="W644" s="34">
        <f t="shared" si="147"/>
        <v>496738.01999999996</v>
      </c>
      <c r="X644" s="356"/>
      <c r="Y644" s="285">
        <v>124855.34</v>
      </c>
      <c r="Z644" s="285"/>
      <c r="AA644" s="285"/>
      <c r="AB644" s="285">
        <v>98314.08</v>
      </c>
      <c r="AC644" s="285">
        <v>150619.9</v>
      </c>
      <c r="AD644" s="285">
        <v>122948.7</v>
      </c>
      <c r="AE644" s="9"/>
      <c r="AF644" s="40"/>
      <c r="AG644" s="56"/>
      <c r="AH644" s="56"/>
    </row>
    <row r="645" spans="1:34" x14ac:dyDescent="0.3">
      <c r="A645" s="59">
        <f t="shared" si="146"/>
        <v>507</v>
      </c>
      <c r="B645" s="66" t="s">
        <v>2276</v>
      </c>
      <c r="C645" s="50">
        <f t="shared" si="143"/>
        <v>201476.77</v>
      </c>
      <c r="D645" s="51">
        <f t="shared" si="144"/>
        <v>0</v>
      </c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68"/>
      <c r="P645" s="58"/>
      <c r="Q645" s="68"/>
      <c r="R645" s="50"/>
      <c r="S645" s="68"/>
      <c r="T645" s="68"/>
      <c r="U645" s="50"/>
      <c r="V645" s="50"/>
      <c r="W645" s="34">
        <f t="shared" si="147"/>
        <v>201476.77</v>
      </c>
      <c r="X645" s="356"/>
      <c r="Y645" s="285"/>
      <c r="Z645" s="285"/>
      <c r="AA645" s="285"/>
      <c r="AB645" s="285"/>
      <c r="AC645" s="285"/>
      <c r="AD645" s="285"/>
      <c r="AE645" s="9"/>
      <c r="AF645" s="40"/>
      <c r="AG645" s="56"/>
      <c r="AH645" s="56">
        <v>201476.77</v>
      </c>
    </row>
    <row r="646" spans="1:34" x14ac:dyDescent="0.3">
      <c r="A646" s="59">
        <f t="shared" si="146"/>
        <v>508</v>
      </c>
      <c r="B646" s="66" t="s">
        <v>2278</v>
      </c>
      <c r="C646" s="50">
        <f t="shared" si="143"/>
        <v>560289.14</v>
      </c>
      <c r="D646" s="51">
        <f t="shared" si="144"/>
        <v>0</v>
      </c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68"/>
      <c r="P646" s="58"/>
      <c r="Q646" s="68"/>
      <c r="R646" s="50"/>
      <c r="S646" s="68"/>
      <c r="T646" s="68"/>
      <c r="U646" s="50"/>
      <c r="V646" s="50"/>
      <c r="W646" s="34">
        <f t="shared" si="147"/>
        <v>560289.14</v>
      </c>
      <c r="X646" s="141"/>
      <c r="Y646" s="285"/>
      <c r="Z646" s="285"/>
      <c r="AA646" s="285"/>
      <c r="AB646" s="285"/>
      <c r="AC646" s="285"/>
      <c r="AD646" s="285"/>
      <c r="AE646" s="9"/>
      <c r="AF646" s="40"/>
      <c r="AG646" s="56">
        <v>560289.14</v>
      </c>
      <c r="AH646" s="56"/>
    </row>
    <row r="647" spans="1:34" x14ac:dyDescent="0.3">
      <c r="A647" s="59">
        <f t="shared" si="146"/>
        <v>509</v>
      </c>
      <c r="B647" s="66" t="s">
        <v>2280</v>
      </c>
      <c r="C647" s="50">
        <f t="shared" si="143"/>
        <v>99752.69</v>
      </c>
      <c r="D647" s="51">
        <f t="shared" si="144"/>
        <v>0</v>
      </c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68"/>
      <c r="P647" s="58"/>
      <c r="Q647" s="68"/>
      <c r="R647" s="50"/>
      <c r="S647" s="68"/>
      <c r="T647" s="68"/>
      <c r="U647" s="50"/>
      <c r="V647" s="50"/>
      <c r="W647" s="34">
        <f t="shared" si="147"/>
        <v>99752.69</v>
      </c>
      <c r="X647" s="141"/>
      <c r="Y647" s="285"/>
      <c r="Z647" s="285"/>
      <c r="AA647" s="285"/>
      <c r="AB647" s="285">
        <v>99752.69</v>
      </c>
      <c r="AC647" s="285"/>
      <c r="AD647" s="285"/>
      <c r="AE647" s="9"/>
      <c r="AF647" s="40"/>
      <c r="AG647" s="56"/>
      <c r="AH647" s="56"/>
    </row>
    <row r="648" spans="1:34" ht="18" customHeight="1" x14ac:dyDescent="0.3">
      <c r="A648" s="59">
        <f t="shared" si="146"/>
        <v>510</v>
      </c>
      <c r="B648" s="66" t="s">
        <v>2281</v>
      </c>
      <c r="C648" s="50">
        <f t="shared" si="143"/>
        <v>207359.18</v>
      </c>
      <c r="D648" s="51">
        <f t="shared" si="144"/>
        <v>0</v>
      </c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68"/>
      <c r="P648" s="58"/>
      <c r="Q648" s="68"/>
      <c r="R648" s="50"/>
      <c r="S648" s="68"/>
      <c r="T648" s="68"/>
      <c r="U648" s="50"/>
      <c r="V648" s="50"/>
      <c r="W648" s="34">
        <f t="shared" si="147"/>
        <v>207359.18</v>
      </c>
      <c r="X648" s="356" t="s">
        <v>2282</v>
      </c>
      <c r="Y648" s="285"/>
      <c r="Z648" s="285"/>
      <c r="AA648" s="285"/>
      <c r="AB648" s="285"/>
      <c r="AC648" s="285"/>
      <c r="AD648" s="285"/>
      <c r="AE648" s="9">
        <v>207359.18</v>
      </c>
      <c r="AF648" s="40"/>
      <c r="AG648" s="56"/>
      <c r="AH648" s="56"/>
    </row>
    <row r="649" spans="1:34" x14ac:dyDescent="0.3">
      <c r="A649" s="59">
        <f t="shared" si="146"/>
        <v>511</v>
      </c>
      <c r="B649" s="66" t="s">
        <v>2283</v>
      </c>
      <c r="C649" s="50">
        <f t="shared" si="143"/>
        <v>1648042.63</v>
      </c>
      <c r="D649" s="51">
        <f t="shared" si="144"/>
        <v>0</v>
      </c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68"/>
      <c r="P649" s="50"/>
      <c r="Q649" s="68"/>
      <c r="R649" s="50"/>
      <c r="S649" s="68"/>
      <c r="T649" s="68"/>
      <c r="U649" s="50"/>
      <c r="V649" s="50"/>
      <c r="W649" s="34">
        <f t="shared" si="147"/>
        <v>1648042.63</v>
      </c>
      <c r="X649" s="141"/>
      <c r="Y649" s="285"/>
      <c r="Z649" s="285"/>
      <c r="AA649" s="285"/>
      <c r="AB649" s="285"/>
      <c r="AC649" s="285"/>
      <c r="AD649" s="285">
        <v>249664.43</v>
      </c>
      <c r="AE649" s="9"/>
      <c r="AF649" s="40">
        <v>22629.68</v>
      </c>
      <c r="AG649" s="56">
        <v>1375748.52</v>
      </c>
      <c r="AH649" s="56"/>
    </row>
    <row r="650" spans="1:34" x14ac:dyDescent="0.3">
      <c r="A650" s="59">
        <f t="shared" si="146"/>
        <v>512</v>
      </c>
      <c r="B650" s="66" t="s">
        <v>2284</v>
      </c>
      <c r="C650" s="50">
        <f t="shared" si="143"/>
        <v>740442.03</v>
      </c>
      <c r="D650" s="51">
        <f t="shared" si="144"/>
        <v>0</v>
      </c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68"/>
      <c r="P650" s="58"/>
      <c r="Q650" s="68"/>
      <c r="R650" s="50"/>
      <c r="S650" s="68"/>
      <c r="T650" s="68"/>
      <c r="U650" s="50"/>
      <c r="V650" s="50"/>
      <c r="W650" s="34">
        <f t="shared" si="147"/>
        <v>740442.03</v>
      </c>
      <c r="X650" s="356"/>
      <c r="Y650" s="285">
        <v>130328.69</v>
      </c>
      <c r="Z650" s="285"/>
      <c r="AA650" s="285"/>
      <c r="AB650" s="285">
        <v>103434.55</v>
      </c>
      <c r="AC650" s="285">
        <v>156662.35999999999</v>
      </c>
      <c r="AD650" s="285">
        <v>128724.65</v>
      </c>
      <c r="AE650" s="9"/>
      <c r="AF650" s="40"/>
      <c r="AG650" s="56"/>
      <c r="AH650" s="56">
        <v>221291.78</v>
      </c>
    </row>
    <row r="651" spans="1:34" x14ac:dyDescent="0.3">
      <c r="A651" s="59">
        <f t="shared" si="146"/>
        <v>513</v>
      </c>
      <c r="B651" s="66" t="s">
        <v>2285</v>
      </c>
      <c r="C651" s="50">
        <f t="shared" si="143"/>
        <v>1065753.78</v>
      </c>
      <c r="D651" s="51">
        <f t="shared" si="144"/>
        <v>0</v>
      </c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68"/>
      <c r="P651" s="50"/>
      <c r="Q651" s="68"/>
      <c r="R651" s="50"/>
      <c r="S651" s="68"/>
      <c r="T651" s="68"/>
      <c r="U651" s="50"/>
      <c r="V651" s="50"/>
      <c r="W651" s="34">
        <f t="shared" si="147"/>
        <v>1065753.78</v>
      </c>
      <c r="X651" s="141"/>
      <c r="Y651" s="285"/>
      <c r="Z651" s="285"/>
      <c r="AA651" s="285"/>
      <c r="AB651" s="285"/>
      <c r="AC651" s="285"/>
      <c r="AD651" s="285"/>
      <c r="AE651" s="9"/>
      <c r="AF651" s="40">
        <v>16690.75</v>
      </c>
      <c r="AG651" s="56">
        <v>1049063.03</v>
      </c>
      <c r="AH651" s="56"/>
    </row>
    <row r="652" spans="1:34" x14ac:dyDescent="0.3">
      <c r="A652" s="59">
        <f t="shared" si="146"/>
        <v>514</v>
      </c>
      <c r="B652" s="66" t="s">
        <v>2287</v>
      </c>
      <c r="C652" s="50">
        <f t="shared" si="143"/>
        <v>1228804.26</v>
      </c>
      <c r="D652" s="51">
        <f t="shared" si="144"/>
        <v>0</v>
      </c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68"/>
      <c r="P652" s="50"/>
      <c r="Q652" s="68"/>
      <c r="R652" s="50"/>
      <c r="S652" s="68"/>
      <c r="T652" s="68"/>
      <c r="U652" s="50"/>
      <c r="V652" s="50"/>
      <c r="W652" s="34">
        <f t="shared" si="147"/>
        <v>1228804.26</v>
      </c>
      <c r="X652" s="141"/>
      <c r="Y652" s="285"/>
      <c r="Z652" s="285"/>
      <c r="AA652" s="285"/>
      <c r="AB652" s="285"/>
      <c r="AC652" s="285"/>
      <c r="AD652" s="285">
        <v>173390.64</v>
      </c>
      <c r="AE652" s="9"/>
      <c r="AF652" s="40">
        <v>16506.13</v>
      </c>
      <c r="AG652" s="56">
        <v>1038907.49</v>
      </c>
      <c r="AH652" s="56"/>
    </row>
    <row r="653" spans="1:34" x14ac:dyDescent="0.3">
      <c r="A653" s="59">
        <f t="shared" si="146"/>
        <v>515</v>
      </c>
      <c r="B653" s="66" t="s">
        <v>2288</v>
      </c>
      <c r="C653" s="50">
        <f t="shared" si="143"/>
        <v>1087647.32</v>
      </c>
      <c r="D653" s="51">
        <f t="shared" si="144"/>
        <v>0</v>
      </c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68"/>
      <c r="P653" s="50"/>
      <c r="Q653" s="68"/>
      <c r="R653" s="50"/>
      <c r="S653" s="68"/>
      <c r="T653" s="68"/>
      <c r="U653" s="50"/>
      <c r="V653" s="50"/>
      <c r="W653" s="34">
        <f t="shared" si="147"/>
        <v>1087647.32</v>
      </c>
      <c r="X653" s="141"/>
      <c r="Y653" s="285"/>
      <c r="Z653" s="285"/>
      <c r="AA653" s="285"/>
      <c r="AB653" s="285"/>
      <c r="AC653" s="285"/>
      <c r="AD653" s="285">
        <v>111428.46</v>
      </c>
      <c r="AE653" s="9">
        <v>248230.79</v>
      </c>
      <c r="AF653" s="40">
        <v>8041.15</v>
      </c>
      <c r="AG653" s="56">
        <v>719946.92</v>
      </c>
      <c r="AH653" s="56"/>
    </row>
    <row r="654" spans="1:34" x14ac:dyDescent="0.3">
      <c r="A654" s="59">
        <f t="shared" si="146"/>
        <v>516</v>
      </c>
      <c r="B654" s="66" t="s">
        <v>2289</v>
      </c>
      <c r="C654" s="50">
        <f t="shared" si="143"/>
        <v>1668627.1800000002</v>
      </c>
      <c r="D654" s="51">
        <f t="shared" si="144"/>
        <v>0</v>
      </c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68"/>
      <c r="P654" s="50"/>
      <c r="Q654" s="68"/>
      <c r="R654" s="50"/>
      <c r="S654" s="68"/>
      <c r="T654" s="68"/>
      <c r="U654" s="50"/>
      <c r="V654" s="50"/>
      <c r="W654" s="34">
        <f t="shared" si="147"/>
        <v>1668627.1800000002</v>
      </c>
      <c r="X654" s="141"/>
      <c r="Y654" s="285"/>
      <c r="Z654" s="285"/>
      <c r="AA654" s="285"/>
      <c r="AB654" s="285"/>
      <c r="AC654" s="285"/>
      <c r="AD654" s="285"/>
      <c r="AE654" s="9"/>
      <c r="AF654" s="40">
        <v>24753.61</v>
      </c>
      <c r="AG654" s="56">
        <v>1643873.57</v>
      </c>
      <c r="AH654" s="56"/>
    </row>
    <row r="655" spans="1:34" x14ac:dyDescent="0.3">
      <c r="A655" s="59">
        <f t="shared" si="146"/>
        <v>517</v>
      </c>
      <c r="B655" s="66" t="s">
        <v>2290</v>
      </c>
      <c r="C655" s="50">
        <f t="shared" si="143"/>
        <v>1310949.82</v>
      </c>
      <c r="D655" s="51">
        <f t="shared" si="144"/>
        <v>0</v>
      </c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68"/>
      <c r="P655" s="58"/>
      <c r="Q655" s="68"/>
      <c r="R655" s="50"/>
      <c r="S655" s="68"/>
      <c r="T655" s="68"/>
      <c r="U655" s="50"/>
      <c r="V655" s="50"/>
      <c r="W655" s="34">
        <f t="shared" si="147"/>
        <v>1310949.82</v>
      </c>
      <c r="X655" s="356"/>
      <c r="Y655" s="285"/>
      <c r="Z655" s="285"/>
      <c r="AA655" s="285"/>
      <c r="AB655" s="285"/>
      <c r="AC655" s="285"/>
      <c r="AD655" s="285">
        <v>191604.82</v>
      </c>
      <c r="AE655" s="9"/>
      <c r="AF655" s="40"/>
      <c r="AG655" s="56">
        <v>1119345</v>
      </c>
      <c r="AH655" s="56"/>
    </row>
    <row r="656" spans="1:34" x14ac:dyDescent="0.3">
      <c r="A656" s="59">
        <f t="shared" si="146"/>
        <v>518</v>
      </c>
      <c r="B656" s="66" t="s">
        <v>2291</v>
      </c>
      <c r="C656" s="50">
        <f t="shared" si="143"/>
        <v>1152590.81</v>
      </c>
      <c r="D656" s="51">
        <f t="shared" si="144"/>
        <v>0</v>
      </c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68"/>
      <c r="P656" s="50"/>
      <c r="Q656" s="68"/>
      <c r="R656" s="50"/>
      <c r="S656" s="68"/>
      <c r="T656" s="68"/>
      <c r="U656" s="50"/>
      <c r="V656" s="50"/>
      <c r="W656" s="34">
        <f t="shared" si="147"/>
        <v>1152590.81</v>
      </c>
      <c r="X656" s="141"/>
      <c r="Y656" s="285"/>
      <c r="Z656" s="285"/>
      <c r="AA656" s="285"/>
      <c r="AB656" s="285"/>
      <c r="AC656" s="285"/>
      <c r="AD656" s="285"/>
      <c r="AE656" s="9"/>
      <c r="AF656" s="40">
        <v>16446.46</v>
      </c>
      <c r="AG656" s="56">
        <v>1136144.3500000001</v>
      </c>
      <c r="AH656" s="56"/>
    </row>
    <row r="657" spans="1:34" x14ac:dyDescent="0.3">
      <c r="A657" s="59">
        <f t="shared" si="146"/>
        <v>519</v>
      </c>
      <c r="B657" s="66" t="s">
        <v>2292</v>
      </c>
      <c r="C657" s="50">
        <f t="shared" si="143"/>
        <v>1328918.25</v>
      </c>
      <c r="D657" s="51">
        <f t="shared" si="144"/>
        <v>0</v>
      </c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68"/>
      <c r="P657" s="50"/>
      <c r="Q657" s="68"/>
      <c r="R657" s="50"/>
      <c r="S657" s="68"/>
      <c r="T657" s="68"/>
      <c r="U657" s="50"/>
      <c r="V657" s="50"/>
      <c r="W657" s="34">
        <f t="shared" si="147"/>
        <v>1328918.25</v>
      </c>
      <c r="X657" s="141"/>
      <c r="Y657" s="285"/>
      <c r="Z657" s="285"/>
      <c r="AA657" s="285"/>
      <c r="AB657" s="285"/>
      <c r="AC657" s="285"/>
      <c r="AD657" s="285">
        <v>191604.82</v>
      </c>
      <c r="AE657" s="9"/>
      <c r="AF657" s="40">
        <v>17968.43</v>
      </c>
      <c r="AG657" s="56">
        <v>1119345</v>
      </c>
      <c r="AH657" s="56"/>
    </row>
    <row r="658" spans="1:34" x14ac:dyDescent="0.3">
      <c r="A658" s="59">
        <f t="shared" si="146"/>
        <v>520</v>
      </c>
      <c r="B658" s="66" t="s">
        <v>2293</v>
      </c>
      <c r="C658" s="50">
        <f t="shared" si="143"/>
        <v>298196.76</v>
      </c>
      <c r="D658" s="51">
        <f t="shared" si="144"/>
        <v>0</v>
      </c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68"/>
      <c r="P658" s="58"/>
      <c r="Q658" s="68"/>
      <c r="R658" s="50"/>
      <c r="S658" s="68"/>
      <c r="T658" s="68"/>
      <c r="U658" s="50"/>
      <c r="V658" s="50"/>
      <c r="W658" s="34">
        <f t="shared" si="147"/>
        <v>298196.76</v>
      </c>
      <c r="X658" s="356"/>
      <c r="Y658" s="285"/>
      <c r="Z658" s="285"/>
      <c r="AA658" s="285"/>
      <c r="AB658" s="285"/>
      <c r="AC658" s="285"/>
      <c r="AD658" s="285">
        <v>104941.02</v>
      </c>
      <c r="AE658" s="9">
        <v>193255.74</v>
      </c>
      <c r="AF658" s="40"/>
      <c r="AG658" s="56"/>
      <c r="AH658" s="56"/>
    </row>
    <row r="659" spans="1:34" x14ac:dyDescent="0.3">
      <c r="A659" s="59">
        <f t="shared" si="146"/>
        <v>521</v>
      </c>
      <c r="B659" s="66" t="s">
        <v>2294</v>
      </c>
      <c r="C659" s="50">
        <f t="shared" si="143"/>
        <v>130000</v>
      </c>
      <c r="D659" s="51">
        <f t="shared" si="144"/>
        <v>0</v>
      </c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68"/>
      <c r="P659" s="58"/>
      <c r="Q659" s="68"/>
      <c r="R659" s="50"/>
      <c r="S659" s="68"/>
      <c r="T659" s="68"/>
      <c r="U659" s="50"/>
      <c r="V659" s="50"/>
      <c r="W659" s="34">
        <v>130000</v>
      </c>
      <c r="X659" s="141"/>
      <c r="Y659" s="285"/>
      <c r="Z659" s="285"/>
      <c r="AA659" s="285"/>
      <c r="AB659" s="285"/>
      <c r="AC659" s="285"/>
      <c r="AD659" s="285"/>
      <c r="AE659" s="9"/>
      <c r="AF659" s="40"/>
      <c r="AG659" s="56"/>
      <c r="AH659" s="56"/>
    </row>
    <row r="660" spans="1:34" x14ac:dyDescent="0.3">
      <c r="A660" s="59">
        <f t="shared" si="146"/>
        <v>522</v>
      </c>
      <c r="B660" s="66" t="s">
        <v>2295</v>
      </c>
      <c r="C660" s="50">
        <f t="shared" si="143"/>
        <v>94924.81</v>
      </c>
      <c r="D660" s="51">
        <f t="shared" si="144"/>
        <v>0</v>
      </c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68"/>
      <c r="P660" s="58"/>
      <c r="Q660" s="68"/>
      <c r="R660" s="50"/>
      <c r="S660" s="68"/>
      <c r="T660" s="68"/>
      <c r="U660" s="50"/>
      <c r="V660" s="50"/>
      <c r="W660" s="34">
        <f t="shared" si="147"/>
        <v>94924.81</v>
      </c>
      <c r="X660" s="141"/>
      <c r="Y660" s="285"/>
      <c r="Z660" s="285"/>
      <c r="AA660" s="285"/>
      <c r="AB660" s="285">
        <v>94924.81</v>
      </c>
      <c r="AC660" s="285"/>
      <c r="AD660" s="285"/>
      <c r="AE660" s="9"/>
      <c r="AF660" s="40"/>
      <c r="AG660" s="56"/>
      <c r="AH660" s="56"/>
    </row>
    <row r="661" spans="1:34" x14ac:dyDescent="0.3">
      <c r="A661" s="59">
        <f t="shared" si="146"/>
        <v>523</v>
      </c>
      <c r="B661" s="66" t="s">
        <v>2298</v>
      </c>
      <c r="C661" s="50">
        <f t="shared" si="143"/>
        <v>991114.98</v>
      </c>
      <c r="D661" s="51">
        <f t="shared" si="144"/>
        <v>0</v>
      </c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68"/>
      <c r="P661" s="58"/>
      <c r="Q661" s="68"/>
      <c r="R661" s="50"/>
      <c r="S661" s="68"/>
      <c r="T661" s="68"/>
      <c r="U661" s="50"/>
      <c r="V661" s="50"/>
      <c r="W661" s="34">
        <f t="shared" si="147"/>
        <v>991114.98</v>
      </c>
      <c r="X661" s="356"/>
      <c r="Y661" s="285">
        <v>98070.1</v>
      </c>
      <c r="Z661" s="285"/>
      <c r="AA661" s="285"/>
      <c r="AB661" s="285"/>
      <c r="AC661" s="285">
        <v>73709.81</v>
      </c>
      <c r="AD661" s="285">
        <v>94010.559999999998</v>
      </c>
      <c r="AE661" s="9">
        <v>199964.77</v>
      </c>
      <c r="AF661" s="40"/>
      <c r="AG661" s="56">
        <v>525359.74</v>
      </c>
      <c r="AH661" s="56"/>
    </row>
    <row r="662" spans="1:34" x14ac:dyDescent="0.3">
      <c r="A662" s="59">
        <f t="shared" si="146"/>
        <v>524</v>
      </c>
      <c r="B662" s="66" t="s">
        <v>2299</v>
      </c>
      <c r="C662" s="50">
        <f t="shared" si="143"/>
        <v>1044754.6599999999</v>
      </c>
      <c r="D662" s="51">
        <f t="shared" si="144"/>
        <v>0</v>
      </c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68"/>
      <c r="P662" s="58"/>
      <c r="Q662" s="68"/>
      <c r="R662" s="50"/>
      <c r="S662" s="68"/>
      <c r="T662" s="68"/>
      <c r="U662" s="50"/>
      <c r="V662" s="50"/>
      <c r="W662" s="34">
        <f t="shared" si="147"/>
        <v>1044754.6599999999</v>
      </c>
      <c r="X662" s="356"/>
      <c r="Y662" s="285">
        <v>106759.13</v>
      </c>
      <c r="Z662" s="285"/>
      <c r="AA662" s="285"/>
      <c r="AB662" s="285"/>
      <c r="AC662" s="285">
        <v>124660.56</v>
      </c>
      <c r="AD662" s="285">
        <v>103097.3</v>
      </c>
      <c r="AE662" s="9">
        <v>190401.35</v>
      </c>
      <c r="AF662" s="40"/>
      <c r="AG662" s="56">
        <v>519836.32</v>
      </c>
      <c r="AH662" s="56"/>
    </row>
    <row r="663" spans="1:34" x14ac:dyDescent="0.3">
      <c r="A663" s="59">
        <f t="shared" si="146"/>
        <v>525</v>
      </c>
      <c r="B663" s="66" t="s">
        <v>2300</v>
      </c>
      <c r="C663" s="50">
        <f t="shared" si="143"/>
        <v>931051.53999999992</v>
      </c>
      <c r="D663" s="51">
        <f t="shared" si="144"/>
        <v>0</v>
      </c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68"/>
      <c r="P663" s="58"/>
      <c r="Q663" s="68"/>
      <c r="R663" s="50"/>
      <c r="S663" s="68"/>
      <c r="T663" s="68"/>
      <c r="U663" s="50"/>
      <c r="V663" s="50"/>
      <c r="W663" s="34">
        <f t="shared" si="147"/>
        <v>931051.53999999992</v>
      </c>
      <c r="X663" s="356"/>
      <c r="Y663" s="285"/>
      <c r="Z663" s="285"/>
      <c r="AA663" s="285"/>
      <c r="AB663" s="285"/>
      <c r="AC663" s="285"/>
      <c r="AD663" s="285">
        <v>127587.1</v>
      </c>
      <c r="AE663" s="9"/>
      <c r="AF663" s="40"/>
      <c r="AG663" s="56">
        <v>803464.44</v>
      </c>
      <c r="AH663" s="56"/>
    </row>
    <row r="664" spans="1:34" x14ac:dyDescent="0.3">
      <c r="A664" s="59">
        <f t="shared" si="146"/>
        <v>526</v>
      </c>
      <c r="B664" s="66" t="s">
        <v>2301</v>
      </c>
      <c r="C664" s="50">
        <f t="shared" si="143"/>
        <v>109947.01</v>
      </c>
      <c r="D664" s="51">
        <f t="shared" si="144"/>
        <v>0</v>
      </c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68"/>
      <c r="P664" s="58"/>
      <c r="Q664" s="68"/>
      <c r="R664" s="50"/>
      <c r="S664" s="68"/>
      <c r="T664" s="68"/>
      <c r="U664" s="50"/>
      <c r="V664" s="50"/>
      <c r="W664" s="34">
        <f t="shared" si="147"/>
        <v>109947.01</v>
      </c>
      <c r="X664" s="356"/>
      <c r="Y664" s="285">
        <v>109947.01</v>
      </c>
      <c r="Z664" s="285"/>
      <c r="AA664" s="285"/>
      <c r="AB664" s="285"/>
      <c r="AC664" s="285"/>
      <c r="AD664" s="285"/>
      <c r="AE664" s="9"/>
      <c r="AF664" s="40"/>
      <c r="AG664" s="56"/>
      <c r="AH664" s="56"/>
    </row>
    <row r="665" spans="1:34" x14ac:dyDescent="0.3">
      <c r="A665" s="59">
        <f t="shared" si="146"/>
        <v>527</v>
      </c>
      <c r="B665" s="66" t="s">
        <v>2302</v>
      </c>
      <c r="C665" s="50">
        <f t="shared" si="143"/>
        <v>1331373.1800000002</v>
      </c>
      <c r="D665" s="51">
        <f t="shared" si="144"/>
        <v>0</v>
      </c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68"/>
      <c r="P665" s="58"/>
      <c r="Q665" s="68"/>
      <c r="R665" s="50"/>
      <c r="S665" s="68"/>
      <c r="T665" s="68"/>
      <c r="U665" s="50"/>
      <c r="V665" s="50"/>
      <c r="W665" s="34">
        <f t="shared" si="147"/>
        <v>1331373.1800000002</v>
      </c>
      <c r="X665" s="356"/>
      <c r="Y665" s="285">
        <v>162740.78</v>
      </c>
      <c r="Z665" s="285"/>
      <c r="AA665" s="285"/>
      <c r="AB665" s="285"/>
      <c r="AC665" s="285">
        <v>186635.12</v>
      </c>
      <c r="AD665" s="285">
        <v>136199.23000000001</v>
      </c>
      <c r="AE665" s="9"/>
      <c r="AF665" s="40"/>
      <c r="AG665" s="56">
        <v>845798.05</v>
      </c>
      <c r="AH665" s="56"/>
    </row>
    <row r="666" spans="1:34" x14ac:dyDescent="0.3">
      <c r="A666" s="59">
        <f t="shared" si="146"/>
        <v>528</v>
      </c>
      <c r="B666" s="66" t="s">
        <v>2303</v>
      </c>
      <c r="C666" s="50">
        <f t="shared" si="143"/>
        <v>235279.63</v>
      </c>
      <c r="D666" s="51">
        <f t="shared" si="144"/>
        <v>0</v>
      </c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68"/>
      <c r="P666" s="58"/>
      <c r="Q666" s="68"/>
      <c r="R666" s="50"/>
      <c r="S666" s="68"/>
      <c r="T666" s="68"/>
      <c r="U666" s="50"/>
      <c r="V666" s="50"/>
      <c r="W666" s="34">
        <f t="shared" si="147"/>
        <v>235279.63</v>
      </c>
      <c r="X666" s="356"/>
      <c r="Y666" s="285">
        <v>105750.78</v>
      </c>
      <c r="Z666" s="285"/>
      <c r="AA666" s="285"/>
      <c r="AB666" s="285"/>
      <c r="AC666" s="285">
        <v>129528.85</v>
      </c>
      <c r="AD666" s="285"/>
      <c r="AE666" s="9"/>
      <c r="AF666" s="40"/>
      <c r="AG666" s="56"/>
      <c r="AH666" s="56"/>
    </row>
    <row r="667" spans="1:34" x14ac:dyDescent="0.3">
      <c r="A667" s="59">
        <f t="shared" si="146"/>
        <v>529</v>
      </c>
      <c r="B667" s="66" t="s">
        <v>2304</v>
      </c>
      <c r="C667" s="50">
        <f t="shared" si="143"/>
        <v>734368.13</v>
      </c>
      <c r="D667" s="51">
        <f t="shared" si="144"/>
        <v>0</v>
      </c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68"/>
      <c r="P667" s="58"/>
      <c r="Q667" s="68"/>
      <c r="R667" s="50"/>
      <c r="S667" s="68"/>
      <c r="T667" s="68"/>
      <c r="U667" s="50"/>
      <c r="V667" s="50"/>
      <c r="W667" s="34">
        <f t="shared" si="147"/>
        <v>734368.13</v>
      </c>
      <c r="X667" s="356"/>
      <c r="Y667" s="285"/>
      <c r="Z667" s="285"/>
      <c r="AA667" s="285"/>
      <c r="AB667" s="285"/>
      <c r="AC667" s="285"/>
      <c r="AD667" s="285">
        <v>127431.91</v>
      </c>
      <c r="AE667" s="9"/>
      <c r="AF667" s="40"/>
      <c r="AG667" s="56">
        <v>606936.22</v>
      </c>
      <c r="AH667" s="56"/>
    </row>
    <row r="668" spans="1:34" x14ac:dyDescent="0.3">
      <c r="A668" s="59"/>
      <c r="B668" s="66" t="s">
        <v>211</v>
      </c>
      <c r="C668" s="50">
        <f t="shared" ref="C668:R668" si="148">SUM(C632:C667)</f>
        <v>25194621.589999992</v>
      </c>
      <c r="D668" s="50">
        <f t="shared" si="148"/>
        <v>0</v>
      </c>
      <c r="E668" s="50">
        <f t="shared" si="148"/>
        <v>0</v>
      </c>
      <c r="F668" s="50">
        <f t="shared" si="148"/>
        <v>0</v>
      </c>
      <c r="G668" s="50">
        <f t="shared" si="148"/>
        <v>0</v>
      </c>
      <c r="H668" s="50">
        <f t="shared" si="148"/>
        <v>0</v>
      </c>
      <c r="I668" s="50">
        <f t="shared" si="148"/>
        <v>0</v>
      </c>
      <c r="J668" s="50">
        <f t="shared" si="148"/>
        <v>0</v>
      </c>
      <c r="K668" s="50">
        <f t="shared" si="148"/>
        <v>0</v>
      </c>
      <c r="L668" s="50">
        <f t="shared" si="148"/>
        <v>0</v>
      </c>
      <c r="M668" s="50">
        <f t="shared" si="148"/>
        <v>0</v>
      </c>
      <c r="N668" s="50">
        <f t="shared" si="148"/>
        <v>0</v>
      </c>
      <c r="O668" s="68">
        <f t="shared" si="148"/>
        <v>0</v>
      </c>
      <c r="P668" s="50">
        <f t="shared" si="148"/>
        <v>0</v>
      </c>
      <c r="Q668" s="68">
        <f t="shared" si="148"/>
        <v>0</v>
      </c>
      <c r="R668" s="50">
        <f t="shared" si="148"/>
        <v>0</v>
      </c>
      <c r="S668" s="68">
        <f t="shared" ref="S668:X668" si="149">SUM(S632:S667)</f>
        <v>0</v>
      </c>
      <c r="T668" s="68">
        <f t="shared" si="149"/>
        <v>0</v>
      </c>
      <c r="U668" s="50">
        <f t="shared" si="149"/>
        <v>0</v>
      </c>
      <c r="V668" s="50">
        <f t="shared" si="149"/>
        <v>0</v>
      </c>
      <c r="W668" s="34">
        <f t="shared" si="149"/>
        <v>25194621.589999992</v>
      </c>
      <c r="X668" s="304">
        <f t="shared" si="149"/>
        <v>0</v>
      </c>
      <c r="Y668" s="285"/>
      <c r="Z668" s="285"/>
      <c r="AA668" s="285"/>
      <c r="AB668" s="285"/>
      <c r="AC668" s="285"/>
      <c r="AD668" s="285"/>
      <c r="AE668" s="9"/>
      <c r="AF668" s="40"/>
      <c r="AG668" s="56"/>
      <c r="AH668" s="56"/>
    </row>
    <row r="669" spans="1:34" ht="15.75" hidden="1" x14ac:dyDescent="0.25">
      <c r="A669" s="463" t="s">
        <v>2308</v>
      </c>
      <c r="B669" s="463"/>
      <c r="C669" s="50"/>
      <c r="D669" s="51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68"/>
      <c r="P669" s="50"/>
      <c r="Q669" s="68"/>
      <c r="R669" s="50"/>
      <c r="S669" s="68"/>
      <c r="T669" s="68"/>
      <c r="U669" s="50"/>
      <c r="V669" s="50"/>
      <c r="W669" s="34"/>
      <c r="X669" s="304">
        <f>X670+X671</f>
        <v>0</v>
      </c>
      <c r="Y669" s="285"/>
      <c r="Z669" s="285"/>
      <c r="AA669" s="285"/>
      <c r="AB669" s="285"/>
      <c r="AC669" s="285"/>
      <c r="AD669" s="285"/>
      <c r="AE669" s="9"/>
      <c r="AF669" s="40"/>
      <c r="AG669" s="56"/>
      <c r="AH669" s="56"/>
    </row>
    <row r="670" spans="1:34" ht="15.75" hidden="1" x14ac:dyDescent="0.25">
      <c r="A670" s="59" t="e">
        <f>#REF!+1</f>
        <v>#REF!</v>
      </c>
      <c r="B670" s="66" t="s">
        <v>2309</v>
      </c>
      <c r="C670" s="50">
        <f>D670+K670+L670+N670+P670+R670+S670+U670+V670+W670</f>
        <v>0</v>
      </c>
      <c r="D670" s="51">
        <f>E670+F670+G670+H670+I670</f>
        <v>0</v>
      </c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68"/>
      <c r="P670" s="50"/>
      <c r="Q670" s="68"/>
      <c r="R670" s="50"/>
      <c r="S670" s="68"/>
      <c r="T670" s="68"/>
      <c r="U670" s="50"/>
      <c r="V670" s="50"/>
      <c r="W670" s="34"/>
      <c r="X670" s="141"/>
      <c r="Y670" s="285"/>
      <c r="Z670" s="285"/>
      <c r="AA670" s="285"/>
      <c r="AB670" s="285"/>
      <c r="AC670" s="285"/>
      <c r="AD670" s="285"/>
      <c r="AE670" s="9"/>
      <c r="AF670" s="40"/>
      <c r="AG670" s="56"/>
      <c r="AH670" s="56"/>
    </row>
    <row r="671" spans="1:34" ht="15.75" hidden="1" x14ac:dyDescent="0.25">
      <c r="A671" s="59" t="e">
        <f>A670+1</f>
        <v>#REF!</v>
      </c>
      <c r="B671" s="66" t="s">
        <v>2310</v>
      </c>
      <c r="C671" s="50">
        <f>D671+K671+L671+N671+P671+R671+S671+U671+V671+W671</f>
        <v>0</v>
      </c>
      <c r="D671" s="51">
        <f>E671+F671+G671+H671+I671</f>
        <v>0</v>
      </c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68"/>
      <c r="P671" s="50"/>
      <c r="Q671" s="68"/>
      <c r="R671" s="50"/>
      <c r="S671" s="68"/>
      <c r="T671" s="68"/>
      <c r="U671" s="50"/>
      <c r="V671" s="50"/>
      <c r="W671" s="34"/>
      <c r="X671" s="141"/>
      <c r="Y671" s="285"/>
      <c r="Z671" s="285"/>
      <c r="AA671" s="285"/>
      <c r="AB671" s="285"/>
      <c r="AC671" s="285"/>
      <c r="AD671" s="285"/>
      <c r="AE671" s="9"/>
      <c r="AF671" s="40"/>
      <c r="AG671" s="56"/>
      <c r="AH671" s="56"/>
    </row>
    <row r="672" spans="1:34" ht="15.75" hidden="1" x14ac:dyDescent="0.25">
      <c r="A672" s="59"/>
      <c r="B672" s="66" t="s">
        <v>211</v>
      </c>
      <c r="C672" s="50">
        <f t="shared" ref="C672:R672" si="150">SUM(C670:C671)</f>
        <v>0</v>
      </c>
      <c r="D672" s="50">
        <f t="shared" si="150"/>
        <v>0</v>
      </c>
      <c r="E672" s="50">
        <f t="shared" si="150"/>
        <v>0</v>
      </c>
      <c r="F672" s="50">
        <f t="shared" si="150"/>
        <v>0</v>
      </c>
      <c r="G672" s="50">
        <f t="shared" si="150"/>
        <v>0</v>
      </c>
      <c r="H672" s="50">
        <f t="shared" si="150"/>
        <v>0</v>
      </c>
      <c r="I672" s="50">
        <f t="shared" si="150"/>
        <v>0</v>
      </c>
      <c r="J672" s="50">
        <f t="shared" si="150"/>
        <v>0</v>
      </c>
      <c r="K672" s="50">
        <f t="shared" si="150"/>
        <v>0</v>
      </c>
      <c r="L672" s="50">
        <f t="shared" si="150"/>
        <v>0</v>
      </c>
      <c r="M672" s="50">
        <f t="shared" si="150"/>
        <v>0</v>
      </c>
      <c r="N672" s="50">
        <f t="shared" si="150"/>
        <v>0</v>
      </c>
      <c r="O672" s="68">
        <f t="shared" si="150"/>
        <v>0</v>
      </c>
      <c r="P672" s="50">
        <f t="shared" si="150"/>
        <v>0</v>
      </c>
      <c r="Q672" s="68">
        <f t="shared" si="150"/>
        <v>0</v>
      </c>
      <c r="R672" s="50">
        <f t="shared" si="150"/>
        <v>0</v>
      </c>
      <c r="S672" s="68">
        <f t="shared" ref="S672:X672" si="151">SUM(S670:S671)</f>
        <v>0</v>
      </c>
      <c r="T672" s="68">
        <f t="shared" si="151"/>
        <v>0</v>
      </c>
      <c r="U672" s="50">
        <f t="shared" si="151"/>
        <v>0</v>
      </c>
      <c r="V672" s="50">
        <f t="shared" si="151"/>
        <v>0</v>
      </c>
      <c r="W672" s="34">
        <f t="shared" si="151"/>
        <v>0</v>
      </c>
      <c r="X672" s="304">
        <f t="shared" si="151"/>
        <v>0</v>
      </c>
      <c r="Y672" s="285"/>
      <c r="Z672" s="285"/>
      <c r="AA672" s="285"/>
      <c r="AB672" s="285"/>
      <c r="AC672" s="285"/>
      <c r="AD672" s="285"/>
      <c r="AE672" s="9"/>
      <c r="AF672" s="40"/>
      <c r="AG672" s="56"/>
      <c r="AH672" s="56"/>
    </row>
    <row r="673" spans="1:34" x14ac:dyDescent="0.3">
      <c r="A673" s="463" t="s">
        <v>2311</v>
      </c>
      <c r="B673" s="463"/>
      <c r="C673" s="50"/>
      <c r="D673" s="51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132"/>
      <c r="P673" s="67"/>
      <c r="Q673" s="132"/>
      <c r="R673" s="67"/>
      <c r="S673" s="132"/>
      <c r="T673" s="132"/>
      <c r="U673" s="67"/>
      <c r="V673" s="67"/>
      <c r="W673" s="37"/>
      <c r="X673" s="141"/>
      <c r="Y673" s="285"/>
      <c r="Z673" s="285"/>
      <c r="AA673" s="285"/>
      <c r="AB673" s="285"/>
      <c r="AC673" s="285"/>
      <c r="AD673" s="285"/>
      <c r="AE673" s="9"/>
      <c r="AF673" s="40"/>
      <c r="AG673" s="56"/>
      <c r="AH673" s="56"/>
    </row>
    <row r="674" spans="1:34" x14ac:dyDescent="0.3">
      <c r="A674" s="59">
        <f>A667+1</f>
        <v>530</v>
      </c>
      <c r="B674" s="66" t="s">
        <v>2312</v>
      </c>
      <c r="C674" s="50">
        <f>D674+K674+L674+N674+P674+R674+S674+U674+V674+W674</f>
        <v>22326920.200000003</v>
      </c>
      <c r="D674" s="51">
        <f>E674+F674+G674+H674+I674</f>
        <v>0</v>
      </c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68"/>
      <c r="P674" s="50"/>
      <c r="Q674" s="68">
        <v>1583.4</v>
      </c>
      <c r="R674" s="50">
        <f>Q674*(10362+3641)</f>
        <v>22172350.200000003</v>
      </c>
      <c r="S674" s="68"/>
      <c r="T674" s="68">
        <v>13</v>
      </c>
      <c r="U674" s="50">
        <f>T674*11890</f>
        <v>154570</v>
      </c>
      <c r="V674" s="50"/>
      <c r="W674" s="143"/>
      <c r="X674" s="141"/>
      <c r="Y674" s="285"/>
      <c r="Z674" s="285"/>
      <c r="AA674" s="285"/>
      <c r="AB674" s="285"/>
      <c r="AC674" s="285"/>
      <c r="AD674" s="285"/>
      <c r="AE674" s="9"/>
      <c r="AF674" s="40"/>
      <c r="AG674" s="56">
        <v>941385.88</v>
      </c>
      <c r="AH674" s="56"/>
    </row>
    <row r="675" spans="1:34" x14ac:dyDescent="0.3">
      <c r="A675" s="59">
        <f t="shared" ref="A675" si="152">A674+1</f>
        <v>531</v>
      </c>
      <c r="B675" s="66" t="s">
        <v>2313</v>
      </c>
      <c r="C675" s="50">
        <f>D675+K675+L675+N675+P675+R675+S675+U675+V675+W675</f>
        <v>11986560</v>
      </c>
      <c r="D675" s="51">
        <f>E675+F675+G675+H675+I675</f>
        <v>0</v>
      </c>
      <c r="E675" s="50"/>
      <c r="F675" s="50"/>
      <c r="G675" s="50"/>
      <c r="H675" s="50"/>
      <c r="I675" s="50"/>
      <c r="J675" s="50"/>
      <c r="K675" s="50"/>
      <c r="L675" s="50"/>
      <c r="M675" s="50"/>
      <c r="N675" s="50">
        <f>1920*6243</f>
        <v>11986560</v>
      </c>
      <c r="O675" s="68"/>
      <c r="P675" s="50"/>
      <c r="Q675" s="68"/>
      <c r="R675" s="50"/>
      <c r="S675" s="68"/>
      <c r="T675" s="68"/>
      <c r="U675" s="50"/>
      <c r="V675" s="50"/>
      <c r="W675" s="143"/>
      <c r="X675" s="141"/>
      <c r="Y675" s="285"/>
      <c r="Z675" s="285"/>
      <c r="AA675" s="285"/>
      <c r="AB675" s="285"/>
      <c r="AC675" s="285"/>
      <c r="AD675" s="285"/>
      <c r="AE675" s="9">
        <v>1077271.8799999999</v>
      </c>
      <c r="AF675" s="40"/>
      <c r="AG675" s="56"/>
      <c r="AH675" s="56"/>
    </row>
    <row r="676" spans="1:34" x14ac:dyDescent="0.3">
      <c r="A676" s="59"/>
      <c r="B676" s="66" t="s">
        <v>211</v>
      </c>
      <c r="C676" s="50">
        <f>SUM(C674:C675)</f>
        <v>34313480.200000003</v>
      </c>
      <c r="D676" s="50">
        <f t="shared" ref="D676:X676" si="153">SUM(D674:D675)</f>
        <v>0</v>
      </c>
      <c r="E676" s="50">
        <f t="shared" si="153"/>
        <v>0</v>
      </c>
      <c r="F676" s="50">
        <f t="shared" si="153"/>
        <v>0</v>
      </c>
      <c r="G676" s="50">
        <f t="shared" si="153"/>
        <v>0</v>
      </c>
      <c r="H676" s="50">
        <f t="shared" si="153"/>
        <v>0</v>
      </c>
      <c r="I676" s="50">
        <f t="shared" si="153"/>
        <v>0</v>
      </c>
      <c r="J676" s="50">
        <f t="shared" si="153"/>
        <v>0</v>
      </c>
      <c r="K676" s="50">
        <f t="shared" si="153"/>
        <v>0</v>
      </c>
      <c r="L676" s="50">
        <f t="shared" si="153"/>
        <v>0</v>
      </c>
      <c r="M676" s="50">
        <f t="shared" si="153"/>
        <v>0</v>
      </c>
      <c r="N676" s="50">
        <f t="shared" si="153"/>
        <v>11986560</v>
      </c>
      <c r="O676" s="68">
        <f t="shared" si="153"/>
        <v>0</v>
      </c>
      <c r="P676" s="50">
        <f t="shared" si="153"/>
        <v>0</v>
      </c>
      <c r="Q676" s="68">
        <f t="shared" si="153"/>
        <v>1583.4</v>
      </c>
      <c r="R676" s="50">
        <f t="shared" si="153"/>
        <v>22172350.200000003</v>
      </c>
      <c r="S676" s="68">
        <f t="shared" si="153"/>
        <v>0</v>
      </c>
      <c r="T676" s="68">
        <f t="shared" si="153"/>
        <v>13</v>
      </c>
      <c r="U676" s="50">
        <f t="shared" si="153"/>
        <v>154570</v>
      </c>
      <c r="V676" s="50">
        <f t="shared" si="153"/>
        <v>0</v>
      </c>
      <c r="W676" s="34">
        <f t="shared" si="153"/>
        <v>0</v>
      </c>
      <c r="X676" s="304">
        <f t="shared" si="153"/>
        <v>0</v>
      </c>
      <c r="Y676" s="285"/>
      <c r="Z676" s="285"/>
      <c r="AA676" s="285"/>
      <c r="AB676" s="285"/>
      <c r="AC676" s="285"/>
      <c r="AD676" s="285"/>
      <c r="AE676" s="9"/>
      <c r="AF676" s="40"/>
      <c r="AG676" s="56"/>
      <c r="AH676" s="56"/>
    </row>
    <row r="677" spans="1:34" x14ac:dyDescent="0.3">
      <c r="A677" s="463" t="s">
        <v>2314</v>
      </c>
      <c r="B677" s="463"/>
      <c r="C677" s="50"/>
      <c r="D677" s="51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132"/>
      <c r="P677" s="67"/>
      <c r="Q677" s="132"/>
      <c r="R677" s="67"/>
      <c r="S677" s="132"/>
      <c r="T677" s="132"/>
      <c r="U677" s="67"/>
      <c r="V677" s="67"/>
      <c r="W677" s="37"/>
      <c r="X677" s="141"/>
      <c r="Y677" s="285"/>
      <c r="Z677" s="285"/>
      <c r="AA677" s="285"/>
      <c r="AB677" s="285"/>
      <c r="AC677" s="285"/>
      <c r="AD677" s="285"/>
      <c r="AE677" s="9"/>
      <c r="AF677" s="40"/>
      <c r="AG677" s="56"/>
      <c r="AH677" s="56"/>
    </row>
    <row r="678" spans="1:34" x14ac:dyDescent="0.3">
      <c r="A678" s="59">
        <f>A675+1</f>
        <v>532</v>
      </c>
      <c r="B678" s="66" t="s">
        <v>2315</v>
      </c>
      <c r="C678" s="50">
        <f>D678+K678+L678+N678+P678+R678+S678+U678+V678+W678</f>
        <v>1849711.27</v>
      </c>
      <c r="D678" s="51">
        <f>E678+F678+G678+H678+I678</f>
        <v>0</v>
      </c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68"/>
      <c r="P678" s="50"/>
      <c r="Q678" s="68"/>
      <c r="R678" s="50"/>
      <c r="S678" s="68"/>
      <c r="T678" s="68"/>
      <c r="U678" s="50"/>
      <c r="V678" s="50"/>
      <c r="W678" s="34">
        <f t="shared" ref="W678:W737" si="154">SUM(Y678:AJ678)</f>
        <v>1849711.27</v>
      </c>
      <c r="X678" s="141"/>
      <c r="Y678" s="285"/>
      <c r="Z678" s="285"/>
      <c r="AA678" s="285"/>
      <c r="AB678" s="285"/>
      <c r="AC678" s="285"/>
      <c r="AD678" s="285"/>
      <c r="AE678" s="9">
        <v>359021.71</v>
      </c>
      <c r="AF678" s="40">
        <v>349087.8</v>
      </c>
      <c r="AG678" s="56">
        <v>1141601.76</v>
      </c>
      <c r="AH678" s="56"/>
    </row>
    <row r="679" spans="1:34" x14ac:dyDescent="0.3">
      <c r="A679" s="59">
        <f t="shared" ref="A679" si="155">A678+1</f>
        <v>533</v>
      </c>
      <c r="B679" s="66" t="s">
        <v>2316</v>
      </c>
      <c r="C679" s="50">
        <f>D679+K679+L679+N679+P679+R679+S679+U679+V679+W679</f>
        <v>1840155.3499999999</v>
      </c>
      <c r="D679" s="51">
        <f>E679+F679+G679+H679+I679</f>
        <v>0</v>
      </c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68"/>
      <c r="P679" s="50"/>
      <c r="Q679" s="68"/>
      <c r="R679" s="50"/>
      <c r="S679" s="68"/>
      <c r="T679" s="68"/>
      <c r="U679" s="50"/>
      <c r="V679" s="50"/>
      <c r="W679" s="34">
        <f t="shared" si="154"/>
        <v>1840155.3499999999</v>
      </c>
      <c r="X679" s="141"/>
      <c r="Y679" s="285"/>
      <c r="Z679" s="285"/>
      <c r="AA679" s="285"/>
      <c r="AB679" s="285"/>
      <c r="AC679" s="285"/>
      <c r="AD679" s="285"/>
      <c r="AE679" s="9">
        <v>360910.52</v>
      </c>
      <c r="AF679" s="40">
        <v>332422.93</v>
      </c>
      <c r="AG679" s="56">
        <v>1146821.8999999999</v>
      </c>
      <c r="AH679" s="56"/>
    </row>
    <row r="680" spans="1:34" x14ac:dyDescent="0.3">
      <c r="A680" s="59"/>
      <c r="B680" s="66" t="s">
        <v>211</v>
      </c>
      <c r="C680" s="50">
        <f t="shared" ref="C680:R680" si="156">SUM(C678:C679)</f>
        <v>3689866.62</v>
      </c>
      <c r="D680" s="50">
        <f t="shared" si="156"/>
        <v>0</v>
      </c>
      <c r="E680" s="50">
        <f t="shared" si="156"/>
        <v>0</v>
      </c>
      <c r="F680" s="50">
        <f t="shared" si="156"/>
        <v>0</v>
      </c>
      <c r="G680" s="50">
        <f t="shared" si="156"/>
        <v>0</v>
      </c>
      <c r="H680" s="50">
        <f t="shared" si="156"/>
        <v>0</v>
      </c>
      <c r="I680" s="50">
        <f t="shared" si="156"/>
        <v>0</v>
      </c>
      <c r="J680" s="50">
        <f t="shared" si="156"/>
        <v>0</v>
      </c>
      <c r="K680" s="50">
        <f t="shared" si="156"/>
        <v>0</v>
      </c>
      <c r="L680" s="50">
        <f t="shared" si="156"/>
        <v>0</v>
      </c>
      <c r="M680" s="50">
        <f t="shared" si="156"/>
        <v>0</v>
      </c>
      <c r="N680" s="50">
        <f t="shared" si="156"/>
        <v>0</v>
      </c>
      <c r="O680" s="68">
        <f t="shared" si="156"/>
        <v>0</v>
      </c>
      <c r="P680" s="50">
        <f t="shared" si="156"/>
        <v>0</v>
      </c>
      <c r="Q680" s="68">
        <f t="shared" si="156"/>
        <v>0</v>
      </c>
      <c r="R680" s="50">
        <f t="shared" si="156"/>
        <v>0</v>
      </c>
      <c r="S680" s="68">
        <f t="shared" ref="S680:X680" si="157">SUM(S678:S679)</f>
        <v>0</v>
      </c>
      <c r="T680" s="68">
        <f t="shared" si="157"/>
        <v>0</v>
      </c>
      <c r="U680" s="50">
        <f t="shared" si="157"/>
        <v>0</v>
      </c>
      <c r="V680" s="50">
        <f t="shared" si="157"/>
        <v>0</v>
      </c>
      <c r="W680" s="34">
        <f t="shared" si="157"/>
        <v>3689866.62</v>
      </c>
      <c r="X680" s="304">
        <f t="shared" si="157"/>
        <v>0</v>
      </c>
      <c r="Y680" s="285"/>
      <c r="Z680" s="285"/>
      <c r="AA680" s="285"/>
      <c r="AB680" s="285"/>
      <c r="AC680" s="285"/>
      <c r="AD680" s="285"/>
      <c r="AE680" s="9"/>
      <c r="AF680" s="40"/>
      <c r="AG680" s="56"/>
      <c r="AH680" s="56"/>
    </row>
    <row r="681" spans="1:34" x14ac:dyDescent="0.3">
      <c r="A681" s="463" t="s">
        <v>2317</v>
      </c>
      <c r="B681" s="463"/>
      <c r="C681" s="50"/>
      <c r="D681" s="51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132"/>
      <c r="P681" s="67"/>
      <c r="Q681" s="132"/>
      <c r="R681" s="67"/>
      <c r="S681" s="132"/>
      <c r="T681" s="132"/>
      <c r="U681" s="67"/>
      <c r="V681" s="67"/>
      <c r="W681" s="37"/>
      <c r="X681" s="141"/>
      <c r="Y681" s="285"/>
      <c r="Z681" s="285"/>
      <c r="AA681" s="285"/>
      <c r="AB681" s="285"/>
      <c r="AC681" s="285"/>
      <c r="AD681" s="285"/>
      <c r="AE681" s="9"/>
      <c r="AF681" s="40"/>
      <c r="AG681" s="56"/>
      <c r="AH681" s="56"/>
    </row>
    <row r="682" spans="1:34" ht="24" customHeight="1" x14ac:dyDescent="0.3">
      <c r="A682" s="59">
        <f>A679+1</f>
        <v>534</v>
      </c>
      <c r="B682" s="66" t="s">
        <v>2318</v>
      </c>
      <c r="C682" s="50">
        <f>D682+K682+L682+N682+P682+R682+S682+U682+V682+W682</f>
        <v>166262.53</v>
      </c>
      <c r="D682" s="51">
        <f>E682+F682+G682+H682+I682</f>
        <v>0</v>
      </c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68"/>
      <c r="P682" s="50"/>
      <c r="Q682" s="68"/>
      <c r="R682" s="50"/>
      <c r="S682" s="68"/>
      <c r="T682" s="68"/>
      <c r="U682" s="50"/>
      <c r="V682" s="50"/>
      <c r="W682" s="34">
        <f t="shared" si="154"/>
        <v>166262.53</v>
      </c>
      <c r="X682" s="356" t="s">
        <v>2319</v>
      </c>
      <c r="Y682" s="285"/>
      <c r="Z682" s="285"/>
      <c r="AA682" s="285"/>
      <c r="AB682" s="285"/>
      <c r="AC682" s="285"/>
      <c r="AD682" s="285"/>
      <c r="AE682" s="9"/>
      <c r="AF682" s="40"/>
      <c r="AG682" s="56"/>
      <c r="AH682" s="56">
        <v>166262.53</v>
      </c>
    </row>
    <row r="683" spans="1:34" ht="24" customHeight="1" x14ac:dyDescent="0.3">
      <c r="A683" s="59">
        <f>A682+1</f>
        <v>535</v>
      </c>
      <c r="B683" s="66" t="s">
        <v>2320</v>
      </c>
      <c r="C683" s="50">
        <f>D683+K683+L683+N683+P683+R683+S683+U683+V683+W683</f>
        <v>166262.53</v>
      </c>
      <c r="D683" s="51">
        <f>E683+F683+G683+H683+I683</f>
        <v>0</v>
      </c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68"/>
      <c r="P683" s="50"/>
      <c r="Q683" s="68"/>
      <c r="R683" s="50"/>
      <c r="S683" s="68"/>
      <c r="T683" s="68"/>
      <c r="U683" s="50"/>
      <c r="V683" s="50"/>
      <c r="W683" s="34">
        <f t="shared" si="154"/>
        <v>166262.53</v>
      </c>
      <c r="X683" s="356" t="s">
        <v>2319</v>
      </c>
      <c r="Y683" s="285"/>
      <c r="Z683" s="285"/>
      <c r="AA683" s="285"/>
      <c r="AB683" s="285"/>
      <c r="AC683" s="285"/>
      <c r="AD683" s="285"/>
      <c r="AE683" s="9"/>
      <c r="AF683" s="40"/>
      <c r="AG683" s="56"/>
      <c r="AH683" s="56">
        <v>166262.53</v>
      </c>
    </row>
    <row r="684" spans="1:34" ht="24" customHeight="1" x14ac:dyDescent="0.3">
      <c r="A684" s="59">
        <f>A683+1</f>
        <v>536</v>
      </c>
      <c r="B684" s="66" t="s">
        <v>2321</v>
      </c>
      <c r="C684" s="50">
        <f>D684+K684+L684+N684+P684+R684+S684+U684+V684+W684</f>
        <v>166262.53</v>
      </c>
      <c r="D684" s="51">
        <f>E684+F684+G684+H684+I684</f>
        <v>0</v>
      </c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68"/>
      <c r="P684" s="50"/>
      <c r="Q684" s="68"/>
      <c r="R684" s="50"/>
      <c r="S684" s="68"/>
      <c r="T684" s="68"/>
      <c r="U684" s="50"/>
      <c r="V684" s="50"/>
      <c r="W684" s="34">
        <f t="shared" si="154"/>
        <v>166262.53</v>
      </c>
      <c r="X684" s="356" t="s">
        <v>2319</v>
      </c>
      <c r="Y684" s="285"/>
      <c r="Z684" s="285"/>
      <c r="AA684" s="285"/>
      <c r="AB684" s="285"/>
      <c r="AC684" s="285"/>
      <c r="AD684" s="285"/>
      <c r="AE684" s="9"/>
      <c r="AF684" s="40"/>
      <c r="AG684" s="56"/>
      <c r="AH684" s="56">
        <v>166262.53</v>
      </c>
    </row>
    <row r="685" spans="1:34" x14ac:dyDescent="0.3">
      <c r="A685" s="59"/>
      <c r="B685" s="66" t="s">
        <v>211</v>
      </c>
      <c r="C685" s="50">
        <f t="shared" ref="C685:R685" si="158">SUM(C682:C684)</f>
        <v>498787.58999999997</v>
      </c>
      <c r="D685" s="50">
        <f t="shared" si="158"/>
        <v>0</v>
      </c>
      <c r="E685" s="50">
        <f t="shared" si="158"/>
        <v>0</v>
      </c>
      <c r="F685" s="50">
        <f t="shared" si="158"/>
        <v>0</v>
      </c>
      <c r="G685" s="50">
        <f t="shared" si="158"/>
        <v>0</v>
      </c>
      <c r="H685" s="50">
        <f t="shared" si="158"/>
        <v>0</v>
      </c>
      <c r="I685" s="50">
        <f t="shared" si="158"/>
        <v>0</v>
      </c>
      <c r="J685" s="50">
        <f t="shared" si="158"/>
        <v>0</v>
      </c>
      <c r="K685" s="50">
        <f t="shared" si="158"/>
        <v>0</v>
      </c>
      <c r="L685" s="50">
        <f t="shared" si="158"/>
        <v>0</v>
      </c>
      <c r="M685" s="50">
        <f t="shared" si="158"/>
        <v>0</v>
      </c>
      <c r="N685" s="50">
        <f t="shared" si="158"/>
        <v>0</v>
      </c>
      <c r="O685" s="68">
        <f t="shared" si="158"/>
        <v>0</v>
      </c>
      <c r="P685" s="50">
        <f t="shared" si="158"/>
        <v>0</v>
      </c>
      <c r="Q685" s="68">
        <f t="shared" si="158"/>
        <v>0</v>
      </c>
      <c r="R685" s="50">
        <f t="shared" si="158"/>
        <v>0</v>
      </c>
      <c r="S685" s="68">
        <f t="shared" ref="S685:X685" si="159">SUM(S682:S684)</f>
        <v>0</v>
      </c>
      <c r="T685" s="68">
        <f t="shared" si="159"/>
        <v>0</v>
      </c>
      <c r="U685" s="50">
        <f t="shared" si="159"/>
        <v>0</v>
      </c>
      <c r="V685" s="50">
        <f t="shared" si="159"/>
        <v>0</v>
      </c>
      <c r="W685" s="34">
        <f t="shared" si="159"/>
        <v>498787.58999999997</v>
      </c>
      <c r="X685" s="304">
        <f t="shared" si="159"/>
        <v>0</v>
      </c>
      <c r="Y685" s="285"/>
      <c r="Z685" s="285"/>
      <c r="AA685" s="285"/>
      <c r="AB685" s="285"/>
      <c r="AC685" s="285"/>
      <c r="AD685" s="285"/>
      <c r="AE685" s="9"/>
      <c r="AF685" s="40"/>
      <c r="AG685" s="56"/>
      <c r="AH685" s="56"/>
    </row>
    <row r="686" spans="1:34" ht="15.75" hidden="1" x14ac:dyDescent="0.25">
      <c r="A686" s="463" t="s">
        <v>2324</v>
      </c>
      <c r="B686" s="463"/>
      <c r="C686" s="50"/>
      <c r="D686" s="51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132"/>
      <c r="P686" s="67"/>
      <c r="Q686" s="132"/>
      <c r="R686" s="67"/>
      <c r="S686" s="132"/>
      <c r="T686" s="132"/>
      <c r="U686" s="67"/>
      <c r="V686" s="67"/>
      <c r="W686" s="37"/>
      <c r="X686" s="141"/>
      <c r="Y686" s="285"/>
      <c r="Z686" s="285"/>
      <c r="AA686" s="285"/>
      <c r="AB686" s="285"/>
      <c r="AC686" s="285"/>
      <c r="AD686" s="285"/>
      <c r="AE686" s="9"/>
      <c r="AF686" s="40"/>
      <c r="AG686" s="56"/>
      <c r="AH686" s="56"/>
    </row>
    <row r="687" spans="1:34" ht="15.75" hidden="1" x14ac:dyDescent="0.25">
      <c r="A687" s="59" t="e">
        <f>#REF!+1</f>
        <v>#REF!</v>
      </c>
      <c r="B687" s="66" t="s">
        <v>2325</v>
      </c>
      <c r="C687" s="50">
        <f t="shared" ref="C687:C696" si="160">D687+K687+L687+N687+P687+R687+S687+U687+V687+W687</f>
        <v>0</v>
      </c>
      <c r="D687" s="51">
        <f t="shared" ref="D687:D696" si="161">E687+F687+G687+H687+I687</f>
        <v>0</v>
      </c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68"/>
      <c r="P687" s="58"/>
      <c r="Q687" s="68"/>
      <c r="R687" s="50"/>
      <c r="S687" s="68"/>
      <c r="T687" s="68"/>
      <c r="U687" s="50"/>
      <c r="V687" s="50"/>
      <c r="W687" s="34"/>
      <c r="X687" s="141"/>
      <c r="Y687" s="285"/>
      <c r="Z687" s="285"/>
      <c r="AA687" s="285"/>
      <c r="AB687" s="285"/>
      <c r="AC687" s="285"/>
      <c r="AD687" s="285"/>
      <c r="AE687" s="9"/>
      <c r="AF687" s="40"/>
      <c r="AG687" s="56"/>
      <c r="AH687" s="56"/>
    </row>
    <row r="688" spans="1:34" ht="15.75" hidden="1" x14ac:dyDescent="0.25">
      <c r="A688" s="59" t="e">
        <f t="shared" ref="A688:A696" si="162">A687+1</f>
        <v>#REF!</v>
      </c>
      <c r="B688" s="66" t="s">
        <v>2326</v>
      </c>
      <c r="C688" s="50">
        <f t="shared" si="160"/>
        <v>0</v>
      </c>
      <c r="D688" s="51">
        <f t="shared" si="161"/>
        <v>0</v>
      </c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68"/>
      <c r="P688" s="50"/>
      <c r="Q688" s="68"/>
      <c r="R688" s="50"/>
      <c r="S688" s="68"/>
      <c r="T688" s="68"/>
      <c r="U688" s="50"/>
      <c r="V688" s="50"/>
      <c r="W688" s="34"/>
      <c r="X688" s="141"/>
      <c r="Y688" s="285"/>
      <c r="Z688" s="285"/>
      <c r="AA688" s="285"/>
      <c r="AB688" s="285"/>
      <c r="AC688" s="285"/>
      <c r="AD688" s="285"/>
      <c r="AE688" s="9"/>
      <c r="AF688" s="40"/>
      <c r="AG688" s="56"/>
      <c r="AH688" s="56"/>
    </row>
    <row r="689" spans="1:34" ht="15.75" hidden="1" x14ac:dyDescent="0.25">
      <c r="A689" s="59" t="e">
        <f t="shared" si="162"/>
        <v>#REF!</v>
      </c>
      <c r="B689" s="66" t="s">
        <v>2327</v>
      </c>
      <c r="C689" s="50">
        <f t="shared" si="160"/>
        <v>0</v>
      </c>
      <c r="D689" s="51">
        <f t="shared" si="161"/>
        <v>0</v>
      </c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68"/>
      <c r="P689" s="50"/>
      <c r="Q689" s="68"/>
      <c r="R689" s="50"/>
      <c r="S689" s="68"/>
      <c r="T689" s="68"/>
      <c r="U689" s="50"/>
      <c r="V689" s="50"/>
      <c r="W689" s="34"/>
      <c r="X689" s="141"/>
      <c r="Y689" s="285"/>
      <c r="Z689" s="285"/>
      <c r="AA689" s="285"/>
      <c r="AB689" s="285"/>
      <c r="AC689" s="285"/>
      <c r="AD689" s="285"/>
      <c r="AE689" s="9"/>
      <c r="AF689" s="40"/>
      <c r="AG689" s="56"/>
      <c r="AH689" s="56"/>
    </row>
    <row r="690" spans="1:34" ht="15.75" hidden="1" x14ac:dyDescent="0.25">
      <c r="A690" s="59" t="e">
        <f t="shared" si="162"/>
        <v>#REF!</v>
      </c>
      <c r="B690" s="66" t="s">
        <v>2328</v>
      </c>
      <c r="C690" s="50">
        <f t="shared" si="160"/>
        <v>0</v>
      </c>
      <c r="D690" s="51">
        <f t="shared" si="161"/>
        <v>0</v>
      </c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68"/>
      <c r="P690" s="50"/>
      <c r="Q690" s="68"/>
      <c r="R690" s="50"/>
      <c r="S690" s="68"/>
      <c r="T690" s="68"/>
      <c r="U690" s="50"/>
      <c r="V690" s="50"/>
      <c r="W690" s="34"/>
      <c r="X690" s="141"/>
      <c r="Y690" s="285"/>
      <c r="Z690" s="285"/>
      <c r="AA690" s="285"/>
      <c r="AB690" s="285"/>
      <c r="AC690" s="285"/>
      <c r="AD690" s="285"/>
      <c r="AE690" s="9"/>
      <c r="AF690" s="40"/>
      <c r="AG690" s="56"/>
      <c r="AH690" s="56"/>
    </row>
    <row r="691" spans="1:34" ht="15.75" hidden="1" x14ac:dyDescent="0.25">
      <c r="A691" s="59" t="e">
        <f t="shared" si="162"/>
        <v>#REF!</v>
      </c>
      <c r="B691" s="66" t="s">
        <v>2329</v>
      </c>
      <c r="C691" s="50">
        <f t="shared" si="160"/>
        <v>0</v>
      </c>
      <c r="D691" s="51">
        <f t="shared" si="161"/>
        <v>0</v>
      </c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68"/>
      <c r="P691" s="50"/>
      <c r="Q691" s="68"/>
      <c r="R691" s="50"/>
      <c r="S691" s="68"/>
      <c r="T691" s="68"/>
      <c r="U691" s="50"/>
      <c r="V691" s="50"/>
      <c r="W691" s="34"/>
      <c r="X691" s="141"/>
      <c r="Y691" s="285"/>
      <c r="Z691" s="285"/>
      <c r="AA691" s="285"/>
      <c r="AB691" s="285"/>
      <c r="AC691" s="285"/>
      <c r="AD691" s="285"/>
      <c r="AE691" s="9"/>
      <c r="AF691" s="40"/>
      <c r="AG691" s="56"/>
      <c r="AH691" s="56"/>
    </row>
    <row r="692" spans="1:34" ht="15.75" hidden="1" x14ac:dyDescent="0.25">
      <c r="A692" s="59" t="e">
        <f t="shared" si="162"/>
        <v>#REF!</v>
      </c>
      <c r="B692" s="66" t="s">
        <v>2330</v>
      </c>
      <c r="C692" s="50">
        <f t="shared" si="160"/>
        <v>0</v>
      </c>
      <c r="D692" s="51">
        <f t="shared" si="161"/>
        <v>0</v>
      </c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68"/>
      <c r="P692" s="50"/>
      <c r="Q692" s="68"/>
      <c r="R692" s="50"/>
      <c r="S692" s="68"/>
      <c r="T692" s="68"/>
      <c r="U692" s="50"/>
      <c r="V692" s="50"/>
      <c r="W692" s="34"/>
      <c r="X692" s="141"/>
      <c r="Y692" s="285"/>
      <c r="Z692" s="285"/>
      <c r="AA692" s="285"/>
      <c r="AB692" s="285"/>
      <c r="AC692" s="285"/>
      <c r="AD692" s="285"/>
      <c r="AE692" s="9"/>
      <c r="AF692" s="40"/>
      <c r="AG692" s="56"/>
      <c r="AH692" s="56"/>
    </row>
    <row r="693" spans="1:34" ht="15.75" hidden="1" x14ac:dyDescent="0.25">
      <c r="A693" s="59" t="e">
        <f t="shared" si="162"/>
        <v>#REF!</v>
      </c>
      <c r="B693" s="66" t="s">
        <v>2331</v>
      </c>
      <c r="C693" s="50">
        <f t="shared" si="160"/>
        <v>0</v>
      </c>
      <c r="D693" s="51">
        <f t="shared" si="161"/>
        <v>0</v>
      </c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68"/>
      <c r="P693" s="50"/>
      <c r="Q693" s="68"/>
      <c r="R693" s="50"/>
      <c r="S693" s="68"/>
      <c r="T693" s="68"/>
      <c r="U693" s="50"/>
      <c r="V693" s="50"/>
      <c r="W693" s="34"/>
      <c r="X693" s="141"/>
      <c r="Y693" s="285"/>
      <c r="Z693" s="285"/>
      <c r="AA693" s="285"/>
      <c r="AB693" s="285"/>
      <c r="AC693" s="285"/>
      <c r="AD693" s="285"/>
      <c r="AE693" s="9"/>
      <c r="AF693" s="40"/>
      <c r="AG693" s="56"/>
      <c r="AH693" s="56"/>
    </row>
    <row r="694" spans="1:34" ht="15.75" hidden="1" x14ac:dyDescent="0.25">
      <c r="A694" s="59" t="e">
        <f t="shared" si="162"/>
        <v>#REF!</v>
      </c>
      <c r="B694" s="66" t="s">
        <v>2332</v>
      </c>
      <c r="C694" s="50">
        <f t="shared" si="160"/>
        <v>0</v>
      </c>
      <c r="D694" s="51">
        <f t="shared" si="161"/>
        <v>0</v>
      </c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68"/>
      <c r="P694" s="50"/>
      <c r="Q694" s="68"/>
      <c r="R694" s="50"/>
      <c r="S694" s="68"/>
      <c r="T694" s="68"/>
      <c r="U694" s="50"/>
      <c r="V694" s="50"/>
      <c r="W694" s="34"/>
      <c r="X694" s="141"/>
      <c r="Y694" s="285"/>
      <c r="Z694" s="285"/>
      <c r="AA694" s="285"/>
      <c r="AB694" s="285"/>
      <c r="AC694" s="285"/>
      <c r="AD694" s="285"/>
      <c r="AE694" s="9"/>
      <c r="AF694" s="40"/>
      <c r="AG694" s="56"/>
      <c r="AH694" s="56"/>
    </row>
    <row r="695" spans="1:34" ht="15.75" hidden="1" x14ac:dyDescent="0.25">
      <c r="A695" s="59" t="e">
        <f t="shared" si="162"/>
        <v>#REF!</v>
      </c>
      <c r="B695" s="66" t="s">
        <v>2333</v>
      </c>
      <c r="C695" s="50">
        <f t="shared" si="160"/>
        <v>0</v>
      </c>
      <c r="D695" s="51">
        <f t="shared" si="161"/>
        <v>0</v>
      </c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68"/>
      <c r="P695" s="50"/>
      <c r="Q695" s="68"/>
      <c r="R695" s="50"/>
      <c r="S695" s="68"/>
      <c r="T695" s="68"/>
      <c r="U695" s="50"/>
      <c r="V695" s="50"/>
      <c r="W695" s="34"/>
      <c r="X695" s="141"/>
      <c r="Y695" s="285"/>
      <c r="Z695" s="285"/>
      <c r="AA695" s="285"/>
      <c r="AB695" s="285"/>
      <c r="AC695" s="285"/>
      <c r="AD695" s="285"/>
      <c r="AE695" s="9"/>
      <c r="AF695" s="40"/>
      <c r="AG695" s="56"/>
      <c r="AH695" s="56"/>
    </row>
    <row r="696" spans="1:34" ht="15.75" hidden="1" x14ac:dyDescent="0.25">
      <c r="A696" s="59" t="e">
        <f t="shared" si="162"/>
        <v>#REF!</v>
      </c>
      <c r="B696" s="66" t="s">
        <v>2334</v>
      </c>
      <c r="C696" s="50">
        <f t="shared" si="160"/>
        <v>0</v>
      </c>
      <c r="D696" s="51">
        <f t="shared" si="161"/>
        <v>0</v>
      </c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68"/>
      <c r="P696" s="50"/>
      <c r="Q696" s="68"/>
      <c r="R696" s="50"/>
      <c r="S696" s="68"/>
      <c r="T696" s="68"/>
      <c r="U696" s="50"/>
      <c r="V696" s="50"/>
      <c r="W696" s="34"/>
      <c r="X696" s="141"/>
      <c r="Y696" s="285"/>
      <c r="Z696" s="285"/>
      <c r="AA696" s="285"/>
      <c r="AB696" s="285"/>
      <c r="AC696" s="285"/>
      <c r="AD696" s="285"/>
      <c r="AE696" s="9"/>
      <c r="AF696" s="40"/>
      <c r="AG696" s="56"/>
      <c r="AH696" s="56"/>
    </row>
    <row r="697" spans="1:34" ht="15.75" hidden="1" x14ac:dyDescent="0.25">
      <c r="A697" s="59"/>
      <c r="B697" s="66" t="s">
        <v>211</v>
      </c>
      <c r="C697" s="50">
        <f t="shared" ref="C697:R697" si="163">SUM(C687:C696)</f>
        <v>0</v>
      </c>
      <c r="D697" s="50">
        <f t="shared" si="163"/>
        <v>0</v>
      </c>
      <c r="E697" s="50">
        <f t="shared" si="163"/>
        <v>0</v>
      </c>
      <c r="F697" s="50">
        <f t="shared" si="163"/>
        <v>0</v>
      </c>
      <c r="G697" s="50">
        <f t="shared" si="163"/>
        <v>0</v>
      </c>
      <c r="H697" s="50">
        <f t="shared" si="163"/>
        <v>0</v>
      </c>
      <c r="I697" s="50">
        <f t="shared" si="163"/>
        <v>0</v>
      </c>
      <c r="J697" s="50">
        <f t="shared" si="163"/>
        <v>0</v>
      </c>
      <c r="K697" s="50">
        <f t="shared" si="163"/>
        <v>0</v>
      </c>
      <c r="L697" s="50">
        <f t="shared" si="163"/>
        <v>0</v>
      </c>
      <c r="M697" s="50">
        <f t="shared" si="163"/>
        <v>0</v>
      </c>
      <c r="N697" s="50">
        <f t="shared" si="163"/>
        <v>0</v>
      </c>
      <c r="O697" s="68">
        <f t="shared" si="163"/>
        <v>0</v>
      </c>
      <c r="P697" s="50">
        <f t="shared" si="163"/>
        <v>0</v>
      </c>
      <c r="Q697" s="68">
        <f t="shared" si="163"/>
        <v>0</v>
      </c>
      <c r="R697" s="50">
        <f t="shared" si="163"/>
        <v>0</v>
      </c>
      <c r="S697" s="68">
        <f t="shared" ref="S697:X697" si="164">SUM(S687:S696)</f>
        <v>0</v>
      </c>
      <c r="T697" s="68">
        <f t="shared" si="164"/>
        <v>0</v>
      </c>
      <c r="U697" s="50">
        <f t="shared" si="164"/>
        <v>0</v>
      </c>
      <c r="V697" s="50">
        <f t="shared" si="164"/>
        <v>0</v>
      </c>
      <c r="W697" s="34">
        <f t="shared" si="164"/>
        <v>0</v>
      </c>
      <c r="X697" s="304">
        <f t="shared" si="164"/>
        <v>0</v>
      </c>
      <c r="Y697" s="285"/>
      <c r="Z697" s="285"/>
      <c r="AA697" s="285"/>
      <c r="AB697" s="285"/>
      <c r="AC697" s="285"/>
      <c r="AD697" s="285"/>
      <c r="AE697" s="9"/>
      <c r="AF697" s="40"/>
      <c r="AG697" s="56"/>
      <c r="AH697" s="56"/>
    </row>
    <row r="698" spans="1:34" x14ac:dyDescent="0.3">
      <c r="A698" s="463" t="s">
        <v>2335</v>
      </c>
      <c r="B698" s="463"/>
      <c r="C698" s="50"/>
      <c r="D698" s="51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132"/>
      <c r="P698" s="67"/>
      <c r="Q698" s="132"/>
      <c r="R698" s="67"/>
      <c r="S698" s="132"/>
      <c r="T698" s="132"/>
      <c r="U698" s="67"/>
      <c r="V698" s="67"/>
      <c r="W698" s="37"/>
      <c r="X698" s="141"/>
      <c r="Y698" s="285"/>
      <c r="Z698" s="285"/>
      <c r="AA698" s="285"/>
      <c r="AB698" s="285"/>
      <c r="AC698" s="285"/>
      <c r="AD698" s="285"/>
      <c r="AE698" s="9"/>
      <c r="AF698" s="40"/>
      <c r="AG698" s="56"/>
      <c r="AH698" s="56"/>
    </row>
    <row r="699" spans="1:34" ht="17.25" customHeight="1" x14ac:dyDescent="0.3">
      <c r="A699" s="59">
        <f>A684+1</f>
        <v>537</v>
      </c>
      <c r="B699" s="66" t="s">
        <v>2336</v>
      </c>
      <c r="C699" s="50">
        <f>D699+K699+L699+N699+P699+R699+S699+U699+V699+W699</f>
        <v>3931299.8</v>
      </c>
      <c r="D699" s="51">
        <f>E699+F699+G699+H699+I699</f>
        <v>0</v>
      </c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68"/>
      <c r="P699" s="50"/>
      <c r="Q699" s="68">
        <v>525</v>
      </c>
      <c r="R699" s="50">
        <v>3931299.8</v>
      </c>
      <c r="S699" s="68"/>
      <c r="T699" s="68"/>
      <c r="U699" s="50"/>
      <c r="V699" s="50"/>
      <c r="W699" s="34"/>
      <c r="X699" s="356" t="s">
        <v>2337</v>
      </c>
      <c r="Y699" s="285"/>
      <c r="Z699" s="285"/>
      <c r="AA699" s="285"/>
      <c r="AB699" s="285"/>
      <c r="AC699" s="285"/>
      <c r="AD699" s="285"/>
      <c r="AE699" s="9"/>
      <c r="AF699" s="40"/>
      <c r="AG699" s="56"/>
      <c r="AH699" s="56"/>
    </row>
    <row r="700" spans="1:34" x14ac:dyDescent="0.3">
      <c r="A700" s="59">
        <f>A699+1</f>
        <v>538</v>
      </c>
      <c r="B700" s="66" t="s">
        <v>2340</v>
      </c>
      <c r="C700" s="50">
        <f>D700+K700+L700+N700+P700+R700+S700+U700+V700+W700</f>
        <v>3926704.88</v>
      </c>
      <c r="D700" s="51">
        <f>E700+F700+G700+H700+I700</f>
        <v>0</v>
      </c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68"/>
      <c r="P700" s="50"/>
      <c r="Q700" s="68">
        <v>525</v>
      </c>
      <c r="R700" s="50">
        <v>3926704.88</v>
      </c>
      <c r="S700" s="68"/>
      <c r="T700" s="68"/>
      <c r="U700" s="50"/>
      <c r="V700" s="50"/>
      <c r="W700" s="34"/>
      <c r="X700" s="141"/>
      <c r="Y700" s="285"/>
      <c r="Z700" s="285"/>
      <c r="AA700" s="285"/>
      <c r="AB700" s="285"/>
      <c r="AC700" s="285"/>
      <c r="AD700" s="285"/>
      <c r="AE700" s="9"/>
      <c r="AF700" s="40"/>
      <c r="AG700" s="56"/>
      <c r="AH700" s="56"/>
    </row>
    <row r="701" spans="1:34" x14ac:dyDescent="0.3">
      <c r="A701" s="59"/>
      <c r="B701" s="66" t="s">
        <v>211</v>
      </c>
      <c r="C701" s="50">
        <f t="shared" ref="C701:R701" si="165">SUM(C699:C700)</f>
        <v>7858004.6799999997</v>
      </c>
      <c r="D701" s="50">
        <f t="shared" si="165"/>
        <v>0</v>
      </c>
      <c r="E701" s="50">
        <f t="shared" si="165"/>
        <v>0</v>
      </c>
      <c r="F701" s="50">
        <f t="shared" si="165"/>
        <v>0</v>
      </c>
      <c r="G701" s="50">
        <f t="shared" si="165"/>
        <v>0</v>
      </c>
      <c r="H701" s="50">
        <f t="shared" si="165"/>
        <v>0</v>
      </c>
      <c r="I701" s="50">
        <f t="shared" si="165"/>
        <v>0</v>
      </c>
      <c r="J701" s="50">
        <f t="shared" si="165"/>
        <v>0</v>
      </c>
      <c r="K701" s="50">
        <f t="shared" si="165"/>
        <v>0</v>
      </c>
      <c r="L701" s="50">
        <f t="shared" si="165"/>
        <v>0</v>
      </c>
      <c r="M701" s="50">
        <f t="shared" si="165"/>
        <v>0</v>
      </c>
      <c r="N701" s="50">
        <f t="shared" si="165"/>
        <v>0</v>
      </c>
      <c r="O701" s="68">
        <f t="shared" si="165"/>
        <v>0</v>
      </c>
      <c r="P701" s="50">
        <f t="shared" si="165"/>
        <v>0</v>
      </c>
      <c r="Q701" s="68">
        <f t="shared" si="165"/>
        <v>1050</v>
      </c>
      <c r="R701" s="50">
        <f t="shared" si="165"/>
        <v>7858004.6799999997</v>
      </c>
      <c r="S701" s="68">
        <f t="shared" ref="S701:X701" si="166">SUM(S699:S700)</f>
        <v>0</v>
      </c>
      <c r="T701" s="68">
        <f t="shared" si="166"/>
        <v>0</v>
      </c>
      <c r="U701" s="50">
        <f t="shared" si="166"/>
        <v>0</v>
      </c>
      <c r="V701" s="50">
        <f t="shared" si="166"/>
        <v>0</v>
      </c>
      <c r="W701" s="34">
        <f t="shared" si="166"/>
        <v>0</v>
      </c>
      <c r="X701" s="304">
        <f t="shared" si="166"/>
        <v>0</v>
      </c>
      <c r="Y701" s="285"/>
      <c r="Z701" s="285"/>
      <c r="AA701" s="285"/>
      <c r="AB701" s="285"/>
      <c r="AC701" s="285"/>
      <c r="AD701" s="285"/>
      <c r="AE701" s="9"/>
      <c r="AF701" s="40"/>
      <c r="AG701" s="56"/>
      <c r="AH701" s="56"/>
    </row>
    <row r="702" spans="1:34" x14ac:dyDescent="0.3">
      <c r="A702" s="463" t="s">
        <v>2343</v>
      </c>
      <c r="B702" s="463"/>
      <c r="C702" s="50"/>
      <c r="D702" s="51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132"/>
      <c r="P702" s="67"/>
      <c r="Q702" s="132"/>
      <c r="R702" s="67"/>
      <c r="S702" s="132"/>
      <c r="T702" s="132"/>
      <c r="U702" s="67"/>
      <c r="V702" s="67"/>
      <c r="W702" s="37"/>
      <c r="X702" s="141"/>
      <c r="Y702" s="285"/>
      <c r="Z702" s="285"/>
      <c r="AA702" s="285"/>
      <c r="AB702" s="285"/>
      <c r="AC702" s="285"/>
      <c r="AD702" s="285"/>
      <c r="AE702" s="9"/>
      <c r="AF702" s="40"/>
      <c r="AG702" s="56"/>
      <c r="AH702" s="56"/>
    </row>
    <row r="703" spans="1:34" x14ac:dyDescent="0.3">
      <c r="A703" s="59">
        <f>A700+1</f>
        <v>539</v>
      </c>
      <c r="B703" s="66" t="s">
        <v>2344</v>
      </c>
      <c r="C703" s="50">
        <f t="shared" ref="C703:C734" si="167">D703+K703+L703+N703+P703+R703+S703+U703+V703+W703</f>
        <v>622479.54</v>
      </c>
      <c r="D703" s="51">
        <f t="shared" ref="D703:D751" si="168">E703+F703+G703+H703+I703</f>
        <v>0</v>
      </c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68"/>
      <c r="P703" s="50"/>
      <c r="Q703" s="68"/>
      <c r="R703" s="50"/>
      <c r="S703" s="68"/>
      <c r="T703" s="68"/>
      <c r="U703" s="50"/>
      <c r="V703" s="50"/>
      <c r="W703" s="34">
        <f t="shared" si="154"/>
        <v>622479.54</v>
      </c>
      <c r="X703" s="141"/>
      <c r="Y703" s="285"/>
      <c r="Z703" s="285"/>
      <c r="AA703" s="285">
        <v>126382.5</v>
      </c>
      <c r="AB703" s="285"/>
      <c r="AC703" s="285">
        <v>153612.35</v>
      </c>
      <c r="AD703" s="285">
        <v>125809.15</v>
      </c>
      <c r="AE703" s="9"/>
      <c r="AF703" s="40"/>
      <c r="AG703" s="56"/>
      <c r="AH703" s="56">
        <v>216675.54</v>
      </c>
    </row>
    <row r="704" spans="1:34" x14ac:dyDescent="0.3">
      <c r="A704" s="59">
        <f>A703+1</f>
        <v>540</v>
      </c>
      <c r="B704" s="66" t="s">
        <v>2345</v>
      </c>
      <c r="C704" s="50">
        <f t="shared" si="167"/>
        <v>723191.21</v>
      </c>
      <c r="D704" s="51">
        <f t="shared" si="168"/>
        <v>0</v>
      </c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68"/>
      <c r="P704" s="50"/>
      <c r="Q704" s="68"/>
      <c r="R704" s="50"/>
      <c r="S704" s="68"/>
      <c r="T704" s="68"/>
      <c r="U704" s="50"/>
      <c r="V704" s="50"/>
      <c r="W704" s="34">
        <f t="shared" si="154"/>
        <v>723191.21</v>
      </c>
      <c r="X704" s="141"/>
      <c r="Y704" s="285"/>
      <c r="Z704" s="285"/>
      <c r="AA704" s="285"/>
      <c r="AB704" s="285"/>
      <c r="AC704" s="285"/>
      <c r="AD704" s="285">
        <v>72107.14</v>
      </c>
      <c r="AE704" s="9">
        <v>141173.23000000001</v>
      </c>
      <c r="AF704" s="40"/>
      <c r="AG704" s="56">
        <v>378795.47</v>
      </c>
      <c r="AH704" s="56">
        <v>131115.37</v>
      </c>
    </row>
    <row r="705" spans="1:34" x14ac:dyDescent="0.3">
      <c r="A705" s="59">
        <f t="shared" ref="A705:A751" si="169">A704+1</f>
        <v>541</v>
      </c>
      <c r="B705" s="66" t="s">
        <v>2346</v>
      </c>
      <c r="C705" s="50">
        <f t="shared" si="167"/>
        <v>286205.52999999997</v>
      </c>
      <c r="D705" s="51">
        <f t="shared" si="168"/>
        <v>0</v>
      </c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68"/>
      <c r="P705" s="50"/>
      <c r="Q705" s="68"/>
      <c r="R705" s="50"/>
      <c r="S705" s="68"/>
      <c r="T705" s="68"/>
      <c r="U705" s="50"/>
      <c r="V705" s="50"/>
      <c r="W705" s="34">
        <f t="shared" si="154"/>
        <v>286205.52999999997</v>
      </c>
      <c r="X705" s="141"/>
      <c r="Y705" s="285"/>
      <c r="Z705" s="285"/>
      <c r="AA705" s="285">
        <v>89034.79</v>
      </c>
      <c r="AB705" s="285"/>
      <c r="AC705" s="285">
        <v>108988.98</v>
      </c>
      <c r="AD705" s="285">
        <v>88181.759999999995</v>
      </c>
      <c r="AE705" s="9"/>
      <c r="AF705" s="40"/>
      <c r="AG705" s="56"/>
      <c r="AH705" s="56"/>
    </row>
    <row r="706" spans="1:34" x14ac:dyDescent="0.3">
      <c r="A706" s="59">
        <f t="shared" si="169"/>
        <v>542</v>
      </c>
      <c r="B706" s="66" t="s">
        <v>2347</v>
      </c>
      <c r="C706" s="50">
        <f t="shared" si="167"/>
        <v>363335.17</v>
      </c>
      <c r="D706" s="51">
        <f t="shared" si="168"/>
        <v>0</v>
      </c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68"/>
      <c r="P706" s="50"/>
      <c r="Q706" s="68"/>
      <c r="R706" s="50"/>
      <c r="S706" s="68"/>
      <c r="T706" s="68"/>
      <c r="U706" s="50"/>
      <c r="V706" s="50"/>
      <c r="W706" s="34">
        <f t="shared" si="154"/>
        <v>363335.17</v>
      </c>
      <c r="X706" s="141"/>
      <c r="Y706" s="285"/>
      <c r="Z706" s="285"/>
      <c r="AA706" s="285">
        <v>88932.59</v>
      </c>
      <c r="AB706" s="285"/>
      <c r="AC706" s="285">
        <v>108883.45</v>
      </c>
      <c r="AD706" s="285"/>
      <c r="AE706" s="9">
        <v>165519.13</v>
      </c>
      <c r="AF706" s="40"/>
      <c r="AG706" s="56"/>
      <c r="AH706" s="56"/>
    </row>
    <row r="707" spans="1:34" x14ac:dyDescent="0.3">
      <c r="A707" s="59">
        <f t="shared" si="169"/>
        <v>543</v>
      </c>
      <c r="B707" s="66" t="s">
        <v>2348</v>
      </c>
      <c r="C707" s="50">
        <f t="shared" si="167"/>
        <v>143409.82999999999</v>
      </c>
      <c r="D707" s="51">
        <f t="shared" si="168"/>
        <v>0</v>
      </c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68"/>
      <c r="P707" s="50"/>
      <c r="Q707" s="68"/>
      <c r="R707" s="50"/>
      <c r="S707" s="68"/>
      <c r="T707" s="68"/>
      <c r="U707" s="50"/>
      <c r="V707" s="50"/>
      <c r="W707" s="34">
        <f t="shared" si="154"/>
        <v>143409.82999999999</v>
      </c>
      <c r="X707" s="141"/>
      <c r="Y707" s="285"/>
      <c r="Z707" s="285"/>
      <c r="AA707" s="285"/>
      <c r="AB707" s="285"/>
      <c r="AC707" s="285"/>
      <c r="AD707" s="285">
        <v>143409.82999999999</v>
      </c>
      <c r="AE707" s="9"/>
      <c r="AF707" s="40"/>
      <c r="AG707" s="56"/>
      <c r="AH707" s="56"/>
    </row>
    <row r="708" spans="1:34" x14ac:dyDescent="0.3">
      <c r="A708" s="59">
        <f t="shared" si="169"/>
        <v>544</v>
      </c>
      <c r="B708" s="66" t="s">
        <v>2349</v>
      </c>
      <c r="C708" s="50">
        <f t="shared" si="167"/>
        <v>1268261.21</v>
      </c>
      <c r="D708" s="51">
        <f t="shared" si="168"/>
        <v>0</v>
      </c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68"/>
      <c r="P708" s="50"/>
      <c r="Q708" s="68"/>
      <c r="R708" s="50"/>
      <c r="S708" s="68"/>
      <c r="T708" s="68"/>
      <c r="U708" s="50"/>
      <c r="V708" s="50"/>
      <c r="W708" s="34">
        <f t="shared" si="154"/>
        <v>1268261.21</v>
      </c>
      <c r="X708" s="141"/>
      <c r="Y708" s="285"/>
      <c r="Z708" s="285"/>
      <c r="AA708" s="285"/>
      <c r="AB708" s="285"/>
      <c r="AC708" s="285"/>
      <c r="AD708" s="285"/>
      <c r="AE708" s="9"/>
      <c r="AF708" s="40"/>
      <c r="AG708" s="56">
        <v>1268261.21</v>
      </c>
      <c r="AH708" s="56"/>
    </row>
    <row r="709" spans="1:34" x14ac:dyDescent="0.3">
      <c r="A709" s="59">
        <f t="shared" si="169"/>
        <v>545</v>
      </c>
      <c r="B709" s="66" t="s">
        <v>2350</v>
      </c>
      <c r="C709" s="50">
        <f t="shared" si="167"/>
        <v>1523327.34</v>
      </c>
      <c r="D709" s="51">
        <f t="shared" si="168"/>
        <v>0</v>
      </c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68"/>
      <c r="P709" s="50"/>
      <c r="Q709" s="68"/>
      <c r="R709" s="50"/>
      <c r="S709" s="68"/>
      <c r="T709" s="68"/>
      <c r="U709" s="50"/>
      <c r="V709" s="50"/>
      <c r="W709" s="34">
        <f t="shared" si="154"/>
        <v>1523327.34</v>
      </c>
      <c r="X709" s="141"/>
      <c r="Y709" s="285"/>
      <c r="Z709" s="285"/>
      <c r="AA709" s="285"/>
      <c r="AB709" s="285"/>
      <c r="AC709" s="285"/>
      <c r="AD709" s="285">
        <v>230816.24</v>
      </c>
      <c r="AE709" s="9"/>
      <c r="AF709" s="40"/>
      <c r="AG709" s="56">
        <v>1292511.1000000001</v>
      </c>
      <c r="AH709" s="56"/>
    </row>
    <row r="710" spans="1:34" x14ac:dyDescent="0.3">
      <c r="A710" s="59">
        <f t="shared" si="169"/>
        <v>546</v>
      </c>
      <c r="B710" s="66" t="s">
        <v>2351</v>
      </c>
      <c r="C710" s="50">
        <f t="shared" si="167"/>
        <v>1522105.1</v>
      </c>
      <c r="D710" s="51">
        <f t="shared" si="168"/>
        <v>0</v>
      </c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68"/>
      <c r="P710" s="50"/>
      <c r="Q710" s="68"/>
      <c r="R710" s="50"/>
      <c r="S710" s="68"/>
      <c r="T710" s="68"/>
      <c r="U710" s="50"/>
      <c r="V710" s="50"/>
      <c r="W710" s="34">
        <f t="shared" si="154"/>
        <v>1522105.1</v>
      </c>
      <c r="X710" s="141"/>
      <c r="Y710" s="285"/>
      <c r="Z710" s="285"/>
      <c r="AA710" s="285"/>
      <c r="AB710" s="285"/>
      <c r="AC710" s="285"/>
      <c r="AD710" s="285">
        <v>230590.58</v>
      </c>
      <c r="AE710" s="9"/>
      <c r="AF710" s="40"/>
      <c r="AG710" s="56">
        <v>1291514.52</v>
      </c>
      <c r="AH710" s="56"/>
    </row>
    <row r="711" spans="1:34" x14ac:dyDescent="0.3">
      <c r="A711" s="59">
        <f t="shared" si="169"/>
        <v>547</v>
      </c>
      <c r="B711" s="66" t="s">
        <v>2352</v>
      </c>
      <c r="C711" s="50">
        <f t="shared" si="167"/>
        <v>1544396.32</v>
      </c>
      <c r="D711" s="51">
        <f t="shared" si="168"/>
        <v>0</v>
      </c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68"/>
      <c r="P711" s="50"/>
      <c r="Q711" s="68"/>
      <c r="R711" s="50"/>
      <c r="S711" s="68"/>
      <c r="T711" s="68"/>
      <c r="U711" s="50"/>
      <c r="V711" s="50"/>
      <c r="W711" s="34">
        <f t="shared" si="154"/>
        <v>1544396.32</v>
      </c>
      <c r="X711" s="141"/>
      <c r="Y711" s="285"/>
      <c r="Z711" s="285"/>
      <c r="AA711" s="285"/>
      <c r="AB711" s="285"/>
      <c r="AC711" s="285"/>
      <c r="AD711" s="285">
        <v>234706.24</v>
      </c>
      <c r="AE711" s="9"/>
      <c r="AF711" s="40"/>
      <c r="AG711" s="56">
        <v>1309690.08</v>
      </c>
      <c r="AH711" s="56"/>
    </row>
    <row r="712" spans="1:34" x14ac:dyDescent="0.3">
      <c r="A712" s="59">
        <f t="shared" si="169"/>
        <v>548</v>
      </c>
      <c r="B712" s="66" t="s">
        <v>2353</v>
      </c>
      <c r="C712" s="50">
        <f t="shared" si="167"/>
        <v>1098796.6599999999</v>
      </c>
      <c r="D712" s="51">
        <f t="shared" si="168"/>
        <v>0</v>
      </c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68"/>
      <c r="P712" s="50"/>
      <c r="Q712" s="68"/>
      <c r="R712" s="50"/>
      <c r="S712" s="68"/>
      <c r="T712" s="68"/>
      <c r="U712" s="50"/>
      <c r="V712" s="50"/>
      <c r="W712" s="34">
        <f t="shared" si="154"/>
        <v>1098796.6599999999</v>
      </c>
      <c r="X712" s="141"/>
      <c r="Y712" s="285"/>
      <c r="Z712" s="285"/>
      <c r="AA712" s="285"/>
      <c r="AB712" s="285"/>
      <c r="AC712" s="285"/>
      <c r="AD712" s="285"/>
      <c r="AE712" s="9"/>
      <c r="AF712" s="40"/>
      <c r="AG712" s="56">
        <v>1098796.6599999999</v>
      </c>
      <c r="AH712" s="56"/>
    </row>
    <row r="713" spans="1:34" x14ac:dyDescent="0.3">
      <c r="A713" s="59">
        <f t="shared" si="169"/>
        <v>549</v>
      </c>
      <c r="B713" s="66" t="s">
        <v>2354</v>
      </c>
      <c r="C713" s="50">
        <f t="shared" si="167"/>
        <v>130000</v>
      </c>
      <c r="D713" s="51">
        <f t="shared" si="168"/>
        <v>0</v>
      </c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68"/>
      <c r="P713" s="50"/>
      <c r="Q713" s="68"/>
      <c r="R713" s="50"/>
      <c r="S713" s="68"/>
      <c r="T713" s="68"/>
      <c r="U713" s="50"/>
      <c r="V713" s="50"/>
      <c r="W713" s="34">
        <v>130000</v>
      </c>
      <c r="X713" s="141"/>
      <c r="Y713" s="285"/>
      <c r="Z713" s="285"/>
      <c r="AA713" s="285"/>
      <c r="AB713" s="285"/>
      <c r="AC713" s="285"/>
      <c r="AD713" s="285"/>
      <c r="AE713" s="9"/>
      <c r="AF713" s="40"/>
      <c r="AG713" s="56"/>
      <c r="AH713" s="56"/>
    </row>
    <row r="714" spans="1:34" x14ac:dyDescent="0.3">
      <c r="A714" s="59">
        <f t="shared" si="169"/>
        <v>550</v>
      </c>
      <c r="B714" s="66" t="s">
        <v>2355</v>
      </c>
      <c r="C714" s="50">
        <f t="shared" si="167"/>
        <v>1006147.77</v>
      </c>
      <c r="D714" s="51">
        <f t="shared" si="168"/>
        <v>0</v>
      </c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68"/>
      <c r="P714" s="50"/>
      <c r="Q714" s="68"/>
      <c r="R714" s="50"/>
      <c r="S714" s="68"/>
      <c r="T714" s="68"/>
      <c r="U714" s="50"/>
      <c r="V714" s="50"/>
      <c r="W714" s="34">
        <f t="shared" si="154"/>
        <v>1006147.77</v>
      </c>
      <c r="X714" s="141"/>
      <c r="Y714" s="285"/>
      <c r="Z714" s="285"/>
      <c r="AA714" s="285"/>
      <c r="AB714" s="285"/>
      <c r="AC714" s="285"/>
      <c r="AD714" s="285"/>
      <c r="AE714" s="9">
        <v>229750.84</v>
      </c>
      <c r="AF714" s="40"/>
      <c r="AG714" s="56">
        <v>776396.93</v>
      </c>
      <c r="AH714" s="56"/>
    </row>
    <row r="715" spans="1:34" x14ac:dyDescent="0.3">
      <c r="A715" s="59">
        <f t="shared" si="169"/>
        <v>551</v>
      </c>
      <c r="B715" s="66" t="s">
        <v>2357</v>
      </c>
      <c r="C715" s="50">
        <f t="shared" si="167"/>
        <v>1165282.19</v>
      </c>
      <c r="D715" s="51">
        <f t="shared" si="168"/>
        <v>0</v>
      </c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68"/>
      <c r="P715" s="50"/>
      <c r="Q715" s="68"/>
      <c r="R715" s="50"/>
      <c r="S715" s="68"/>
      <c r="T715" s="68"/>
      <c r="U715" s="50"/>
      <c r="V715" s="50"/>
      <c r="W715" s="34">
        <f t="shared" si="154"/>
        <v>1165282.19</v>
      </c>
      <c r="X715" s="141"/>
      <c r="Y715" s="285"/>
      <c r="Z715" s="285"/>
      <c r="AA715" s="285"/>
      <c r="AB715" s="285"/>
      <c r="AC715" s="285"/>
      <c r="AD715" s="285"/>
      <c r="AE715" s="9"/>
      <c r="AF715" s="40"/>
      <c r="AG715" s="56">
        <v>1165282.19</v>
      </c>
      <c r="AH715" s="56"/>
    </row>
    <row r="716" spans="1:34" x14ac:dyDescent="0.3">
      <c r="A716" s="59">
        <f t="shared" si="169"/>
        <v>552</v>
      </c>
      <c r="B716" s="66" t="s">
        <v>2358</v>
      </c>
      <c r="C716" s="50">
        <f t="shared" si="167"/>
        <v>645076.32999999996</v>
      </c>
      <c r="D716" s="51">
        <f t="shared" si="168"/>
        <v>0</v>
      </c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68"/>
      <c r="P716" s="50"/>
      <c r="Q716" s="68"/>
      <c r="R716" s="50"/>
      <c r="S716" s="68"/>
      <c r="T716" s="68"/>
      <c r="U716" s="50"/>
      <c r="V716" s="50"/>
      <c r="W716" s="34">
        <f t="shared" si="154"/>
        <v>645076.32999999996</v>
      </c>
      <c r="X716" s="141"/>
      <c r="Y716" s="285"/>
      <c r="Z716" s="285"/>
      <c r="AA716" s="285"/>
      <c r="AB716" s="285"/>
      <c r="AC716" s="285"/>
      <c r="AD716" s="285">
        <v>109554.01</v>
      </c>
      <c r="AE716" s="9"/>
      <c r="AF716" s="40"/>
      <c r="AG716" s="56">
        <v>535522.31999999995</v>
      </c>
      <c r="AH716" s="56"/>
    </row>
    <row r="717" spans="1:34" x14ac:dyDescent="0.3">
      <c r="A717" s="59">
        <f t="shared" si="169"/>
        <v>553</v>
      </c>
      <c r="B717" s="66" t="s">
        <v>2359</v>
      </c>
      <c r="C717" s="50">
        <f t="shared" si="167"/>
        <v>757308.09</v>
      </c>
      <c r="D717" s="51">
        <f t="shared" si="168"/>
        <v>0</v>
      </c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68"/>
      <c r="P717" s="50"/>
      <c r="Q717" s="68"/>
      <c r="R717" s="50"/>
      <c r="S717" s="68"/>
      <c r="T717" s="68"/>
      <c r="U717" s="50"/>
      <c r="V717" s="50"/>
      <c r="W717" s="34">
        <f t="shared" si="154"/>
        <v>757308.09</v>
      </c>
      <c r="X717" s="141"/>
      <c r="Y717" s="285"/>
      <c r="Z717" s="285"/>
      <c r="AA717" s="285"/>
      <c r="AB717" s="285"/>
      <c r="AC717" s="285"/>
      <c r="AD717" s="285"/>
      <c r="AE717" s="9">
        <v>207283.24</v>
      </c>
      <c r="AF717" s="40"/>
      <c r="AG717" s="56">
        <v>550024.85</v>
      </c>
      <c r="AH717" s="56"/>
    </row>
    <row r="718" spans="1:34" x14ac:dyDescent="0.3">
      <c r="A718" s="59">
        <f t="shared" si="169"/>
        <v>554</v>
      </c>
      <c r="B718" s="66" t="s">
        <v>2360</v>
      </c>
      <c r="C718" s="50">
        <f t="shared" si="167"/>
        <v>664445.77</v>
      </c>
      <c r="D718" s="51">
        <f t="shared" si="168"/>
        <v>0</v>
      </c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68"/>
      <c r="P718" s="50"/>
      <c r="Q718" s="68"/>
      <c r="R718" s="50"/>
      <c r="S718" s="68"/>
      <c r="T718" s="68"/>
      <c r="U718" s="50"/>
      <c r="V718" s="50"/>
      <c r="W718" s="34">
        <f t="shared" si="154"/>
        <v>664445.77</v>
      </c>
      <c r="X718" s="141"/>
      <c r="Y718" s="285"/>
      <c r="Z718" s="285"/>
      <c r="AA718" s="285"/>
      <c r="AB718" s="285"/>
      <c r="AC718" s="285"/>
      <c r="AD718" s="285">
        <v>113432.12</v>
      </c>
      <c r="AE718" s="9"/>
      <c r="AF718" s="40"/>
      <c r="AG718" s="56">
        <v>551013.65</v>
      </c>
      <c r="AH718" s="56"/>
    </row>
    <row r="719" spans="1:34" x14ac:dyDescent="0.3">
      <c r="A719" s="59">
        <f t="shared" si="169"/>
        <v>555</v>
      </c>
      <c r="B719" s="66" t="s">
        <v>2361</v>
      </c>
      <c r="C719" s="50">
        <f t="shared" si="167"/>
        <v>1043831.23</v>
      </c>
      <c r="D719" s="51">
        <f t="shared" si="168"/>
        <v>0</v>
      </c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68"/>
      <c r="P719" s="50"/>
      <c r="Q719" s="68"/>
      <c r="R719" s="50"/>
      <c r="S719" s="68"/>
      <c r="T719" s="68"/>
      <c r="U719" s="50"/>
      <c r="V719" s="50"/>
      <c r="W719" s="34">
        <f t="shared" si="154"/>
        <v>1043831.23</v>
      </c>
      <c r="X719" s="141"/>
      <c r="Y719" s="285"/>
      <c r="Z719" s="285"/>
      <c r="AA719" s="285"/>
      <c r="AB719" s="285"/>
      <c r="AC719" s="285"/>
      <c r="AD719" s="285"/>
      <c r="AE719" s="9">
        <v>289399.98</v>
      </c>
      <c r="AF719" s="40"/>
      <c r="AG719" s="56">
        <v>754431.25</v>
      </c>
      <c r="AH719" s="56"/>
    </row>
    <row r="720" spans="1:34" x14ac:dyDescent="0.3">
      <c r="A720" s="59">
        <f t="shared" si="169"/>
        <v>556</v>
      </c>
      <c r="B720" s="66" t="s">
        <v>2362</v>
      </c>
      <c r="C720" s="50">
        <f t="shared" si="167"/>
        <v>635460.26</v>
      </c>
      <c r="D720" s="51">
        <f t="shared" si="168"/>
        <v>0</v>
      </c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68"/>
      <c r="P720" s="50"/>
      <c r="Q720" s="68"/>
      <c r="R720" s="50"/>
      <c r="S720" s="68"/>
      <c r="T720" s="68"/>
      <c r="U720" s="50"/>
      <c r="V720" s="50"/>
      <c r="W720" s="34">
        <f t="shared" si="154"/>
        <v>635460.26</v>
      </c>
      <c r="X720" s="141"/>
      <c r="Y720" s="285"/>
      <c r="Z720" s="285"/>
      <c r="AA720" s="285"/>
      <c r="AB720" s="285"/>
      <c r="AC720" s="285"/>
      <c r="AD720" s="285">
        <v>107628.67</v>
      </c>
      <c r="AE720" s="9"/>
      <c r="AF720" s="40"/>
      <c r="AG720" s="56">
        <v>527831.59</v>
      </c>
      <c r="AH720" s="56"/>
    </row>
    <row r="721" spans="1:34" x14ac:dyDescent="0.3">
      <c r="A721" s="59">
        <f t="shared" si="169"/>
        <v>557</v>
      </c>
      <c r="B721" s="66" t="s">
        <v>2363</v>
      </c>
      <c r="C721" s="50">
        <f t="shared" si="167"/>
        <v>630789.6</v>
      </c>
      <c r="D721" s="51">
        <f t="shared" si="168"/>
        <v>0</v>
      </c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68"/>
      <c r="P721" s="50"/>
      <c r="Q721" s="68"/>
      <c r="R721" s="50"/>
      <c r="S721" s="68"/>
      <c r="T721" s="68"/>
      <c r="U721" s="50"/>
      <c r="V721" s="50"/>
      <c r="W721" s="34">
        <f t="shared" si="154"/>
        <v>630789.6</v>
      </c>
      <c r="X721" s="141"/>
      <c r="Y721" s="285"/>
      <c r="Z721" s="285"/>
      <c r="AA721" s="285"/>
      <c r="AB721" s="285"/>
      <c r="AC721" s="285"/>
      <c r="AD721" s="285">
        <v>106693.5</v>
      </c>
      <c r="AE721" s="9"/>
      <c r="AF721" s="40"/>
      <c r="AG721" s="56">
        <v>524096.1</v>
      </c>
      <c r="AH721" s="56"/>
    </row>
    <row r="722" spans="1:34" x14ac:dyDescent="0.3">
      <c r="A722" s="59">
        <f t="shared" si="169"/>
        <v>558</v>
      </c>
      <c r="B722" s="66" t="s">
        <v>2364</v>
      </c>
      <c r="C722" s="50">
        <f t="shared" si="167"/>
        <v>932160.17</v>
      </c>
      <c r="D722" s="51">
        <f t="shared" si="168"/>
        <v>0</v>
      </c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68"/>
      <c r="P722" s="50"/>
      <c r="Q722" s="68"/>
      <c r="R722" s="50"/>
      <c r="S722" s="68"/>
      <c r="T722" s="68"/>
      <c r="U722" s="50"/>
      <c r="V722" s="50"/>
      <c r="W722" s="34">
        <f t="shared" si="154"/>
        <v>932160.17</v>
      </c>
      <c r="X722" s="141"/>
      <c r="Y722" s="285"/>
      <c r="Z722" s="285"/>
      <c r="AA722" s="285">
        <v>105674.77</v>
      </c>
      <c r="AB722" s="285"/>
      <c r="AC722" s="285">
        <v>125589.92</v>
      </c>
      <c r="AD722" s="285"/>
      <c r="AE722" s="9">
        <v>191777.58</v>
      </c>
      <c r="AF722" s="40"/>
      <c r="AG722" s="56">
        <v>509117.9</v>
      </c>
      <c r="AH722" s="56"/>
    </row>
    <row r="723" spans="1:34" x14ac:dyDescent="0.3">
      <c r="A723" s="59">
        <f t="shared" si="169"/>
        <v>559</v>
      </c>
      <c r="B723" s="66" t="s">
        <v>2365</v>
      </c>
      <c r="C723" s="50">
        <f t="shared" si="167"/>
        <v>643015.69000000006</v>
      </c>
      <c r="D723" s="51">
        <f t="shared" si="168"/>
        <v>0</v>
      </c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68"/>
      <c r="P723" s="50"/>
      <c r="Q723" s="68"/>
      <c r="R723" s="50"/>
      <c r="S723" s="68"/>
      <c r="T723" s="68"/>
      <c r="U723" s="50"/>
      <c r="V723" s="50"/>
      <c r="W723" s="34">
        <f t="shared" si="154"/>
        <v>643015.69000000006</v>
      </c>
      <c r="X723" s="141"/>
      <c r="Y723" s="285"/>
      <c r="Z723" s="285"/>
      <c r="AA723" s="285"/>
      <c r="AB723" s="285"/>
      <c r="AC723" s="285"/>
      <c r="AD723" s="285">
        <v>109141.38</v>
      </c>
      <c r="AE723" s="9"/>
      <c r="AF723" s="40"/>
      <c r="AG723" s="56">
        <v>533874.31000000006</v>
      </c>
      <c r="AH723" s="56"/>
    </row>
    <row r="724" spans="1:34" x14ac:dyDescent="0.3">
      <c r="A724" s="59">
        <f t="shared" si="169"/>
        <v>560</v>
      </c>
      <c r="B724" s="66" t="s">
        <v>2366</v>
      </c>
      <c r="C724" s="50">
        <f t="shared" si="167"/>
        <v>715587.14</v>
      </c>
      <c r="D724" s="51">
        <f t="shared" si="168"/>
        <v>0</v>
      </c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68"/>
      <c r="P724" s="50"/>
      <c r="Q724" s="68"/>
      <c r="R724" s="50"/>
      <c r="S724" s="68"/>
      <c r="T724" s="68"/>
      <c r="U724" s="50"/>
      <c r="V724" s="50"/>
      <c r="W724" s="34">
        <f t="shared" si="154"/>
        <v>715587.14</v>
      </c>
      <c r="X724" s="141"/>
      <c r="Y724" s="285"/>
      <c r="Z724" s="285"/>
      <c r="AA724" s="285"/>
      <c r="AB724" s="285"/>
      <c r="AC724" s="285"/>
      <c r="AD724" s="285"/>
      <c r="AE724" s="9">
        <v>195556.15</v>
      </c>
      <c r="AF724" s="40"/>
      <c r="AG724" s="56">
        <v>520030.99</v>
      </c>
      <c r="AH724" s="56"/>
    </row>
    <row r="725" spans="1:34" x14ac:dyDescent="0.3">
      <c r="A725" s="59">
        <f t="shared" si="169"/>
        <v>561</v>
      </c>
      <c r="B725" s="66" t="s">
        <v>2367</v>
      </c>
      <c r="C725" s="50">
        <f t="shared" si="167"/>
        <v>637018.5</v>
      </c>
      <c r="D725" s="51">
        <f t="shared" si="168"/>
        <v>0</v>
      </c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68"/>
      <c r="P725" s="50"/>
      <c r="Q725" s="68"/>
      <c r="R725" s="50"/>
      <c r="S725" s="68"/>
      <c r="T725" s="68"/>
      <c r="U725" s="50"/>
      <c r="V725" s="50"/>
      <c r="W725" s="34">
        <f t="shared" si="154"/>
        <v>637018.5</v>
      </c>
      <c r="X725" s="141"/>
      <c r="Y725" s="285"/>
      <c r="Z725" s="285"/>
      <c r="AA725" s="285"/>
      <c r="AB725" s="285"/>
      <c r="AC725" s="285"/>
      <c r="AD725" s="285">
        <v>106241.14</v>
      </c>
      <c r="AE725" s="9"/>
      <c r="AF725" s="40"/>
      <c r="AG725" s="56">
        <v>530777.36</v>
      </c>
      <c r="AH725" s="56"/>
    </row>
    <row r="726" spans="1:34" x14ac:dyDescent="0.3">
      <c r="A726" s="59">
        <f t="shared" si="169"/>
        <v>562</v>
      </c>
      <c r="B726" s="66" t="s">
        <v>2368</v>
      </c>
      <c r="C726" s="50">
        <f t="shared" si="167"/>
        <v>639552.62</v>
      </c>
      <c r="D726" s="51">
        <f t="shared" si="168"/>
        <v>0</v>
      </c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68"/>
      <c r="P726" s="50"/>
      <c r="Q726" s="68"/>
      <c r="R726" s="50"/>
      <c r="S726" s="68"/>
      <c r="T726" s="68"/>
      <c r="U726" s="50"/>
      <c r="V726" s="50"/>
      <c r="W726" s="34">
        <f t="shared" si="154"/>
        <v>639552.62</v>
      </c>
      <c r="X726" s="141"/>
      <c r="Y726" s="285"/>
      <c r="Z726" s="285"/>
      <c r="AA726" s="285"/>
      <c r="AB726" s="285"/>
      <c r="AC726" s="285"/>
      <c r="AD726" s="285">
        <v>106738.72</v>
      </c>
      <c r="AE726" s="9"/>
      <c r="AF726" s="40"/>
      <c r="AG726" s="56">
        <v>532813.9</v>
      </c>
      <c r="AH726" s="56"/>
    </row>
    <row r="727" spans="1:34" x14ac:dyDescent="0.3">
      <c r="A727" s="59">
        <f t="shared" si="169"/>
        <v>563</v>
      </c>
      <c r="B727" s="66" t="s">
        <v>2369</v>
      </c>
      <c r="C727" s="50">
        <f t="shared" si="167"/>
        <v>341570.37</v>
      </c>
      <c r="D727" s="51">
        <f t="shared" si="168"/>
        <v>0</v>
      </c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68"/>
      <c r="P727" s="50"/>
      <c r="Q727" s="68"/>
      <c r="R727" s="50"/>
      <c r="S727" s="68"/>
      <c r="T727" s="68"/>
      <c r="U727" s="50"/>
      <c r="V727" s="50"/>
      <c r="W727" s="34">
        <f t="shared" si="154"/>
        <v>341570.37</v>
      </c>
      <c r="X727" s="141"/>
      <c r="Y727" s="285"/>
      <c r="Z727" s="285"/>
      <c r="AA727" s="285">
        <v>107892.94</v>
      </c>
      <c r="AB727" s="285"/>
      <c r="AC727" s="285">
        <v>130276.5</v>
      </c>
      <c r="AD727" s="285">
        <v>103400.93</v>
      </c>
      <c r="AE727" s="9"/>
      <c r="AF727" s="40"/>
      <c r="AG727" s="56"/>
      <c r="AH727" s="56"/>
    </row>
    <row r="728" spans="1:34" x14ac:dyDescent="0.3">
      <c r="A728" s="59">
        <f t="shared" si="169"/>
        <v>564</v>
      </c>
      <c r="B728" s="66" t="s">
        <v>2370</v>
      </c>
      <c r="C728" s="50">
        <f t="shared" si="167"/>
        <v>1038520.23</v>
      </c>
      <c r="D728" s="51">
        <f t="shared" si="168"/>
        <v>0</v>
      </c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68"/>
      <c r="P728" s="50"/>
      <c r="Q728" s="68"/>
      <c r="R728" s="50"/>
      <c r="S728" s="68"/>
      <c r="T728" s="68"/>
      <c r="U728" s="50"/>
      <c r="V728" s="50"/>
      <c r="W728" s="34">
        <f t="shared" si="154"/>
        <v>1038520.23</v>
      </c>
      <c r="X728" s="141"/>
      <c r="Y728" s="285"/>
      <c r="Z728" s="285"/>
      <c r="AA728" s="285"/>
      <c r="AB728" s="285"/>
      <c r="AC728" s="285"/>
      <c r="AD728" s="285">
        <v>143721.5</v>
      </c>
      <c r="AE728" s="9">
        <v>274454</v>
      </c>
      <c r="AF728" s="40"/>
      <c r="AG728" s="56">
        <v>620344.73</v>
      </c>
      <c r="AH728" s="56"/>
    </row>
    <row r="729" spans="1:34" x14ac:dyDescent="0.3">
      <c r="A729" s="59">
        <f t="shared" si="169"/>
        <v>565</v>
      </c>
      <c r="B729" s="66" t="s">
        <v>2371</v>
      </c>
      <c r="C729" s="50">
        <f t="shared" si="167"/>
        <v>2169794.2999999998</v>
      </c>
      <c r="D729" s="51">
        <f t="shared" si="168"/>
        <v>0</v>
      </c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68"/>
      <c r="P729" s="50"/>
      <c r="Q729" s="68"/>
      <c r="R729" s="50"/>
      <c r="S729" s="68"/>
      <c r="T729" s="68"/>
      <c r="U729" s="50"/>
      <c r="V729" s="50"/>
      <c r="W729" s="34">
        <f t="shared" si="154"/>
        <v>2169794.2999999998</v>
      </c>
      <c r="X729" s="141"/>
      <c r="Y729" s="285"/>
      <c r="Z729" s="285"/>
      <c r="AA729" s="285"/>
      <c r="AB729" s="285"/>
      <c r="AC729" s="285"/>
      <c r="AD729" s="285"/>
      <c r="AE729" s="9">
        <v>643959.02</v>
      </c>
      <c r="AF729" s="40"/>
      <c r="AG729" s="56">
        <v>1525835.28</v>
      </c>
      <c r="AH729" s="56"/>
    </row>
    <row r="730" spans="1:34" x14ac:dyDescent="0.3">
      <c r="A730" s="59">
        <f t="shared" si="169"/>
        <v>566</v>
      </c>
      <c r="B730" s="66" t="s">
        <v>2372</v>
      </c>
      <c r="C730" s="50">
        <f t="shared" si="167"/>
        <v>1306045.18</v>
      </c>
      <c r="D730" s="51">
        <f t="shared" si="168"/>
        <v>0</v>
      </c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68"/>
      <c r="P730" s="50"/>
      <c r="Q730" s="68"/>
      <c r="R730" s="50"/>
      <c r="S730" s="68"/>
      <c r="T730" s="68"/>
      <c r="U730" s="50"/>
      <c r="V730" s="50"/>
      <c r="W730" s="34">
        <f t="shared" si="154"/>
        <v>1306045.18</v>
      </c>
      <c r="X730" s="141"/>
      <c r="Y730" s="285"/>
      <c r="Z730" s="285"/>
      <c r="AA730" s="285"/>
      <c r="AB730" s="285"/>
      <c r="AC730" s="285"/>
      <c r="AD730" s="285">
        <v>253973.48</v>
      </c>
      <c r="AE730" s="9"/>
      <c r="AF730" s="40"/>
      <c r="AG730" s="56">
        <v>1052071.7</v>
      </c>
      <c r="AH730" s="56"/>
    </row>
    <row r="731" spans="1:34" ht="31.2" x14ac:dyDescent="0.3">
      <c r="A731" s="59">
        <f t="shared" si="169"/>
        <v>567</v>
      </c>
      <c r="B731" s="66" t="s">
        <v>2373</v>
      </c>
      <c r="C731" s="50">
        <f t="shared" si="167"/>
        <v>763421.04</v>
      </c>
      <c r="D731" s="51">
        <f t="shared" si="168"/>
        <v>0</v>
      </c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68"/>
      <c r="P731" s="50"/>
      <c r="Q731" s="68"/>
      <c r="R731" s="50"/>
      <c r="S731" s="68"/>
      <c r="T731" s="68"/>
      <c r="U731" s="50"/>
      <c r="V731" s="50"/>
      <c r="W731" s="34">
        <f t="shared" si="154"/>
        <v>763421.04</v>
      </c>
      <c r="X731" s="141"/>
      <c r="Y731" s="285"/>
      <c r="Z731" s="285"/>
      <c r="AA731" s="285"/>
      <c r="AB731" s="285"/>
      <c r="AC731" s="285"/>
      <c r="AD731" s="285"/>
      <c r="AE731" s="9">
        <v>209001.49</v>
      </c>
      <c r="AF731" s="40"/>
      <c r="AG731" s="56">
        <v>554419.55000000005</v>
      </c>
      <c r="AH731" s="56"/>
    </row>
    <row r="732" spans="1:34" x14ac:dyDescent="0.3">
      <c r="A732" s="59">
        <f t="shared" si="169"/>
        <v>568</v>
      </c>
      <c r="B732" s="66" t="s">
        <v>2374</v>
      </c>
      <c r="C732" s="50">
        <f t="shared" si="167"/>
        <v>1283462.23</v>
      </c>
      <c r="D732" s="51">
        <f t="shared" si="168"/>
        <v>0</v>
      </c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68"/>
      <c r="P732" s="50"/>
      <c r="Q732" s="68"/>
      <c r="R732" s="50"/>
      <c r="S732" s="68"/>
      <c r="T732" s="68"/>
      <c r="U732" s="50"/>
      <c r="V732" s="50"/>
      <c r="W732" s="34">
        <f t="shared" si="154"/>
        <v>1283462.23</v>
      </c>
      <c r="X732" s="141"/>
      <c r="Y732" s="285"/>
      <c r="Z732" s="285"/>
      <c r="AA732" s="285"/>
      <c r="AB732" s="285"/>
      <c r="AC732" s="285"/>
      <c r="AD732" s="285"/>
      <c r="AE732" s="9"/>
      <c r="AF732" s="40"/>
      <c r="AG732" s="56">
        <v>1283462.23</v>
      </c>
      <c r="AH732" s="56"/>
    </row>
    <row r="733" spans="1:34" ht="31.2" x14ac:dyDescent="0.3">
      <c r="A733" s="59">
        <f t="shared" si="169"/>
        <v>569</v>
      </c>
      <c r="B733" s="66" t="s">
        <v>2375</v>
      </c>
      <c r="C733" s="50">
        <f t="shared" si="167"/>
        <v>1920945.31</v>
      </c>
      <c r="D733" s="51">
        <f t="shared" si="168"/>
        <v>0</v>
      </c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68"/>
      <c r="P733" s="50"/>
      <c r="Q733" s="68"/>
      <c r="R733" s="50"/>
      <c r="S733" s="68"/>
      <c r="T733" s="68"/>
      <c r="U733" s="50"/>
      <c r="V733" s="50"/>
      <c r="W733" s="34">
        <f t="shared" si="154"/>
        <v>1920945.31</v>
      </c>
      <c r="X733" s="141"/>
      <c r="Y733" s="285"/>
      <c r="Z733" s="285"/>
      <c r="AA733" s="285"/>
      <c r="AB733" s="285"/>
      <c r="AC733" s="285"/>
      <c r="AD733" s="285"/>
      <c r="AE733" s="9">
        <v>571840.38</v>
      </c>
      <c r="AF733" s="40"/>
      <c r="AG733" s="56">
        <v>1349104.93</v>
      </c>
      <c r="AH733" s="56"/>
    </row>
    <row r="734" spans="1:34" ht="31.2" x14ac:dyDescent="0.3">
      <c r="A734" s="59">
        <f t="shared" si="169"/>
        <v>570</v>
      </c>
      <c r="B734" s="66" t="s">
        <v>2376</v>
      </c>
      <c r="C734" s="50">
        <f t="shared" si="167"/>
        <v>729794.69</v>
      </c>
      <c r="D734" s="51">
        <f t="shared" si="168"/>
        <v>0</v>
      </c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68"/>
      <c r="P734" s="50"/>
      <c r="Q734" s="68"/>
      <c r="R734" s="50"/>
      <c r="S734" s="68"/>
      <c r="T734" s="68"/>
      <c r="U734" s="50"/>
      <c r="V734" s="50"/>
      <c r="W734" s="34">
        <f t="shared" si="154"/>
        <v>729794.69</v>
      </c>
      <c r="X734" s="141"/>
      <c r="Y734" s="285"/>
      <c r="Z734" s="285"/>
      <c r="AA734" s="285">
        <v>89443.55</v>
      </c>
      <c r="AB734" s="285"/>
      <c r="AC734" s="285">
        <v>109411.21</v>
      </c>
      <c r="AD734" s="285">
        <v>88586.02</v>
      </c>
      <c r="AE734" s="9"/>
      <c r="AF734" s="40"/>
      <c r="AG734" s="56">
        <v>442353.91</v>
      </c>
      <c r="AH734" s="56"/>
    </row>
    <row r="735" spans="1:34" ht="31.2" x14ac:dyDescent="0.3">
      <c r="A735" s="59">
        <f t="shared" si="169"/>
        <v>571</v>
      </c>
      <c r="B735" s="66" t="s">
        <v>2377</v>
      </c>
      <c r="C735" s="50">
        <f t="shared" ref="C735:C751" si="170">D735+K735+L735+N735+P735+R735+S735+U735+V735+W735</f>
        <v>729096</v>
      </c>
      <c r="D735" s="51">
        <f t="shared" si="168"/>
        <v>0</v>
      </c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68"/>
      <c r="P735" s="50"/>
      <c r="Q735" s="68"/>
      <c r="R735" s="50"/>
      <c r="S735" s="68"/>
      <c r="T735" s="68"/>
      <c r="U735" s="50"/>
      <c r="V735" s="50"/>
      <c r="W735" s="34">
        <f t="shared" si="154"/>
        <v>729096</v>
      </c>
      <c r="X735" s="141"/>
      <c r="Y735" s="285"/>
      <c r="Z735" s="285"/>
      <c r="AA735" s="285">
        <v>89341.36</v>
      </c>
      <c r="AB735" s="285"/>
      <c r="AC735" s="285">
        <v>109305.65</v>
      </c>
      <c r="AD735" s="285">
        <v>88484.89</v>
      </c>
      <c r="AE735" s="9"/>
      <c r="AF735" s="40"/>
      <c r="AG735" s="56">
        <v>441964.1</v>
      </c>
      <c r="AH735" s="56"/>
    </row>
    <row r="736" spans="1:34" x14ac:dyDescent="0.3">
      <c r="A736" s="59">
        <f t="shared" si="169"/>
        <v>572</v>
      </c>
      <c r="B736" s="66" t="s">
        <v>2378</v>
      </c>
      <c r="C736" s="50">
        <f t="shared" si="170"/>
        <v>279110.33999999997</v>
      </c>
      <c r="D736" s="51">
        <f t="shared" si="168"/>
        <v>0</v>
      </c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68"/>
      <c r="P736" s="50"/>
      <c r="Q736" s="68"/>
      <c r="R736" s="50"/>
      <c r="S736" s="68"/>
      <c r="T736" s="68"/>
      <c r="U736" s="50"/>
      <c r="V736" s="50"/>
      <c r="W736" s="34">
        <f t="shared" si="154"/>
        <v>279110.33999999997</v>
      </c>
      <c r="X736" s="141"/>
      <c r="Y736" s="285"/>
      <c r="Z736" s="285"/>
      <c r="AA736" s="285"/>
      <c r="AB736" s="285"/>
      <c r="AC736" s="285"/>
      <c r="AD736" s="285">
        <v>98187.29</v>
      </c>
      <c r="AE736" s="9">
        <v>180923.05</v>
      </c>
      <c r="AF736" s="40"/>
      <c r="AG736" s="56"/>
      <c r="AH736" s="56"/>
    </row>
    <row r="737" spans="1:34" x14ac:dyDescent="0.3">
      <c r="A737" s="59">
        <f t="shared" si="169"/>
        <v>573</v>
      </c>
      <c r="B737" s="66" t="s">
        <v>2379</v>
      </c>
      <c r="C737" s="50">
        <f t="shared" si="170"/>
        <v>598824.21</v>
      </c>
      <c r="D737" s="51">
        <f t="shared" si="168"/>
        <v>0</v>
      </c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68"/>
      <c r="P737" s="50"/>
      <c r="Q737" s="68"/>
      <c r="R737" s="50"/>
      <c r="S737" s="68"/>
      <c r="T737" s="68"/>
      <c r="U737" s="50"/>
      <c r="V737" s="50"/>
      <c r="W737" s="34">
        <f t="shared" si="154"/>
        <v>598824.21</v>
      </c>
      <c r="X737" s="141"/>
      <c r="Y737" s="285"/>
      <c r="Z737" s="285"/>
      <c r="AA737" s="285"/>
      <c r="AB737" s="285"/>
      <c r="AC737" s="285">
        <v>119438.39</v>
      </c>
      <c r="AD737" s="285"/>
      <c r="AE737" s="9"/>
      <c r="AF737" s="40"/>
      <c r="AG737" s="56">
        <v>479385.82</v>
      </c>
      <c r="AH737" s="56"/>
    </row>
    <row r="738" spans="1:34" x14ac:dyDescent="0.3">
      <c r="A738" s="59">
        <f t="shared" si="169"/>
        <v>574</v>
      </c>
      <c r="B738" s="66" t="s">
        <v>2380</v>
      </c>
      <c r="C738" s="50">
        <f t="shared" si="170"/>
        <v>877934.55</v>
      </c>
      <c r="D738" s="51">
        <f t="shared" si="168"/>
        <v>0</v>
      </c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68"/>
      <c r="P738" s="50"/>
      <c r="Q738" s="68"/>
      <c r="R738" s="50"/>
      <c r="S738" s="68"/>
      <c r="T738" s="68"/>
      <c r="U738" s="50"/>
      <c r="V738" s="50"/>
      <c r="W738" s="34">
        <f t="shared" ref="W738:W751" si="171">SUM(Y738:AJ738)</f>
        <v>877934.55</v>
      </c>
      <c r="X738" s="141"/>
      <c r="Y738" s="285"/>
      <c r="Z738" s="285"/>
      <c r="AA738" s="285"/>
      <c r="AB738" s="285"/>
      <c r="AC738" s="285">
        <v>119438.39</v>
      </c>
      <c r="AD738" s="285">
        <v>98187.29</v>
      </c>
      <c r="AE738" s="9">
        <v>180923.05</v>
      </c>
      <c r="AF738" s="40"/>
      <c r="AG738" s="56">
        <v>479385.82</v>
      </c>
      <c r="AH738" s="56"/>
    </row>
    <row r="739" spans="1:34" x14ac:dyDescent="0.3">
      <c r="A739" s="59">
        <f t="shared" si="169"/>
        <v>575</v>
      </c>
      <c r="B739" s="66" t="s">
        <v>2381</v>
      </c>
      <c r="C739" s="50">
        <f t="shared" si="170"/>
        <v>311990.67</v>
      </c>
      <c r="D739" s="51">
        <f t="shared" si="168"/>
        <v>0</v>
      </c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68"/>
      <c r="P739" s="50"/>
      <c r="Q739" s="68"/>
      <c r="R739" s="50"/>
      <c r="S739" s="68"/>
      <c r="T739" s="68"/>
      <c r="U739" s="50"/>
      <c r="V739" s="50"/>
      <c r="W739" s="34">
        <f t="shared" si="171"/>
        <v>311990.67</v>
      </c>
      <c r="X739" s="141"/>
      <c r="Y739" s="285"/>
      <c r="Z739" s="285"/>
      <c r="AA739" s="285">
        <v>97567.54</v>
      </c>
      <c r="AB739" s="285"/>
      <c r="AC739" s="285">
        <v>117802.38</v>
      </c>
      <c r="AD739" s="285">
        <v>96620.75</v>
      </c>
      <c r="AE739" s="9"/>
      <c r="AF739" s="40"/>
      <c r="AG739" s="56"/>
      <c r="AH739" s="56"/>
    </row>
    <row r="740" spans="1:34" x14ac:dyDescent="0.3">
      <c r="A740" s="59">
        <f t="shared" si="169"/>
        <v>576</v>
      </c>
      <c r="B740" s="66" t="s">
        <v>2382</v>
      </c>
      <c r="C740" s="50">
        <f t="shared" si="170"/>
        <v>779133.40999999992</v>
      </c>
      <c r="D740" s="51">
        <f t="shared" si="168"/>
        <v>0</v>
      </c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68"/>
      <c r="P740" s="50"/>
      <c r="Q740" s="68"/>
      <c r="R740" s="50"/>
      <c r="S740" s="68"/>
      <c r="T740" s="68"/>
      <c r="U740" s="50"/>
      <c r="V740" s="50"/>
      <c r="W740" s="34">
        <f t="shared" si="171"/>
        <v>779133.40999999992</v>
      </c>
      <c r="X740" s="141"/>
      <c r="Y740" s="285"/>
      <c r="Z740" s="285"/>
      <c r="AA740" s="285"/>
      <c r="AB740" s="285"/>
      <c r="AC740" s="285"/>
      <c r="AD740" s="285">
        <v>101421.38</v>
      </c>
      <c r="AE740" s="9">
        <v>185852.3</v>
      </c>
      <c r="AF740" s="40"/>
      <c r="AG740" s="56">
        <v>491859.73</v>
      </c>
      <c r="AH740" s="56"/>
    </row>
    <row r="741" spans="1:34" x14ac:dyDescent="0.3">
      <c r="A741" s="59">
        <f t="shared" si="169"/>
        <v>577</v>
      </c>
      <c r="B741" s="66" t="s">
        <v>2383</v>
      </c>
      <c r="C741" s="50">
        <f t="shared" si="170"/>
        <v>829734.92999999993</v>
      </c>
      <c r="D741" s="51">
        <f t="shared" si="168"/>
        <v>0</v>
      </c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68"/>
      <c r="P741" s="50"/>
      <c r="Q741" s="68"/>
      <c r="R741" s="50"/>
      <c r="S741" s="68"/>
      <c r="T741" s="68"/>
      <c r="U741" s="50"/>
      <c r="V741" s="50"/>
      <c r="W741" s="34">
        <f t="shared" si="171"/>
        <v>829734.92999999993</v>
      </c>
      <c r="X741" s="141"/>
      <c r="Y741" s="285"/>
      <c r="Z741" s="285"/>
      <c r="AA741" s="285">
        <v>121684.07</v>
      </c>
      <c r="AB741" s="285"/>
      <c r="AC741" s="285">
        <v>142712.03</v>
      </c>
      <c r="AD741" s="285"/>
      <c r="AE741" s="9"/>
      <c r="AF741" s="40"/>
      <c r="AG741" s="56">
        <v>565338.82999999996</v>
      </c>
      <c r="AH741" s="56"/>
    </row>
    <row r="742" spans="1:34" x14ac:dyDescent="0.3">
      <c r="A742" s="59">
        <f t="shared" si="169"/>
        <v>578</v>
      </c>
      <c r="B742" s="66" t="s">
        <v>2384</v>
      </c>
      <c r="C742" s="50">
        <f t="shared" si="170"/>
        <v>815286.66</v>
      </c>
      <c r="D742" s="51">
        <f t="shared" si="168"/>
        <v>0</v>
      </c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68"/>
      <c r="P742" s="50"/>
      <c r="Q742" s="68"/>
      <c r="R742" s="50"/>
      <c r="S742" s="68"/>
      <c r="T742" s="68"/>
      <c r="U742" s="50"/>
      <c r="V742" s="50"/>
      <c r="W742" s="34">
        <f t="shared" si="171"/>
        <v>815286.66</v>
      </c>
      <c r="X742" s="141"/>
      <c r="Y742" s="285"/>
      <c r="Z742" s="285"/>
      <c r="AA742" s="285"/>
      <c r="AB742" s="285"/>
      <c r="AC742" s="285"/>
      <c r="AD742" s="285"/>
      <c r="AE742" s="9">
        <v>218838.49</v>
      </c>
      <c r="AF742" s="40"/>
      <c r="AG742" s="56">
        <v>596448.17000000004</v>
      </c>
      <c r="AH742" s="56"/>
    </row>
    <row r="743" spans="1:34" x14ac:dyDescent="0.3">
      <c r="A743" s="59">
        <f t="shared" si="169"/>
        <v>579</v>
      </c>
      <c r="B743" s="66" t="s">
        <v>2385</v>
      </c>
      <c r="C743" s="50">
        <f t="shared" si="170"/>
        <v>639416.01</v>
      </c>
      <c r="D743" s="51">
        <f t="shared" si="168"/>
        <v>0</v>
      </c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68"/>
      <c r="P743" s="50"/>
      <c r="Q743" s="68"/>
      <c r="R743" s="50"/>
      <c r="S743" s="68"/>
      <c r="T743" s="68"/>
      <c r="U743" s="50"/>
      <c r="V743" s="50"/>
      <c r="W743" s="34">
        <f t="shared" si="171"/>
        <v>639416.01</v>
      </c>
      <c r="X743" s="141"/>
      <c r="Y743" s="285"/>
      <c r="Z743" s="285"/>
      <c r="AA743" s="285">
        <v>89136.98</v>
      </c>
      <c r="AB743" s="285"/>
      <c r="AC743" s="285">
        <v>109094.54</v>
      </c>
      <c r="AD743" s="285"/>
      <c r="AE743" s="9"/>
      <c r="AF743" s="40"/>
      <c r="AG743" s="56">
        <v>441184.49</v>
      </c>
      <c r="AH743" s="56"/>
    </row>
    <row r="744" spans="1:34" x14ac:dyDescent="0.3">
      <c r="A744" s="59">
        <f t="shared" si="169"/>
        <v>580</v>
      </c>
      <c r="B744" s="66" t="s">
        <v>2386</v>
      </c>
      <c r="C744" s="50">
        <f t="shared" si="170"/>
        <v>222936.65999999997</v>
      </c>
      <c r="D744" s="51">
        <f t="shared" si="168"/>
        <v>0</v>
      </c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68"/>
      <c r="P744" s="50"/>
      <c r="Q744" s="68"/>
      <c r="R744" s="50"/>
      <c r="S744" s="68"/>
      <c r="T744" s="68"/>
      <c r="U744" s="50"/>
      <c r="V744" s="50"/>
      <c r="W744" s="34">
        <f t="shared" si="171"/>
        <v>222936.65999999997</v>
      </c>
      <c r="X744" s="141"/>
      <c r="Y744" s="285"/>
      <c r="Z744" s="285"/>
      <c r="AA744" s="285">
        <v>101614.93</v>
      </c>
      <c r="AB744" s="285"/>
      <c r="AC744" s="285">
        <v>121321.73</v>
      </c>
      <c r="AD744" s="285"/>
      <c r="AE744" s="9"/>
      <c r="AF744" s="40"/>
      <c r="AG744" s="56"/>
      <c r="AH744" s="56"/>
    </row>
    <row r="745" spans="1:34" x14ac:dyDescent="0.3">
      <c r="A745" s="59">
        <f t="shared" si="169"/>
        <v>581</v>
      </c>
      <c r="B745" s="66" t="s">
        <v>2387</v>
      </c>
      <c r="C745" s="50">
        <f t="shared" si="170"/>
        <v>682285.8</v>
      </c>
      <c r="D745" s="51">
        <f t="shared" si="168"/>
        <v>0</v>
      </c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68"/>
      <c r="P745" s="50"/>
      <c r="Q745" s="68"/>
      <c r="R745" s="50"/>
      <c r="S745" s="68"/>
      <c r="T745" s="68"/>
      <c r="U745" s="50"/>
      <c r="V745" s="50"/>
      <c r="W745" s="34">
        <f t="shared" si="171"/>
        <v>682285.8</v>
      </c>
      <c r="X745" s="141"/>
      <c r="Y745" s="285"/>
      <c r="Z745" s="285"/>
      <c r="AA745" s="285">
        <v>74371.149999999994</v>
      </c>
      <c r="AB745" s="285"/>
      <c r="AC745" s="285"/>
      <c r="AD745" s="285">
        <v>74906.289999999994</v>
      </c>
      <c r="AE745" s="9">
        <v>145004.81</v>
      </c>
      <c r="AF745" s="40"/>
      <c r="AG745" s="56">
        <v>388003.55</v>
      </c>
      <c r="AH745" s="56"/>
    </row>
    <row r="746" spans="1:34" x14ac:dyDescent="0.3">
      <c r="A746" s="59">
        <f t="shared" si="169"/>
        <v>582</v>
      </c>
      <c r="B746" s="66" t="s">
        <v>2388</v>
      </c>
      <c r="C746" s="50">
        <f t="shared" si="170"/>
        <v>895950.82000000007</v>
      </c>
      <c r="D746" s="51">
        <f t="shared" si="168"/>
        <v>0</v>
      </c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68"/>
      <c r="P746" s="50"/>
      <c r="Q746" s="68"/>
      <c r="R746" s="50"/>
      <c r="S746" s="68"/>
      <c r="T746" s="68"/>
      <c r="U746" s="50"/>
      <c r="V746" s="50"/>
      <c r="W746" s="34">
        <f t="shared" si="171"/>
        <v>895950.82000000007</v>
      </c>
      <c r="X746" s="141"/>
      <c r="Y746" s="285"/>
      <c r="Z746" s="285"/>
      <c r="AA746" s="285">
        <v>100894.63</v>
      </c>
      <c r="AB746" s="285"/>
      <c r="AC746" s="285">
        <v>120564.46</v>
      </c>
      <c r="AD746" s="285"/>
      <c r="AE746" s="9">
        <v>184335.78</v>
      </c>
      <c r="AF746" s="40"/>
      <c r="AG746" s="56">
        <v>490155.95</v>
      </c>
      <c r="AH746" s="56"/>
    </row>
    <row r="747" spans="1:34" x14ac:dyDescent="0.3">
      <c r="A747" s="59">
        <f t="shared" si="169"/>
        <v>583</v>
      </c>
      <c r="B747" s="66" t="s">
        <v>2389</v>
      </c>
      <c r="C747" s="50">
        <f t="shared" si="170"/>
        <v>558816</v>
      </c>
      <c r="D747" s="51">
        <f t="shared" si="168"/>
        <v>0</v>
      </c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68"/>
      <c r="P747" s="50"/>
      <c r="Q747" s="68"/>
      <c r="R747" s="50"/>
      <c r="S747" s="68"/>
      <c r="T747" s="68"/>
      <c r="U747" s="50"/>
      <c r="V747" s="50"/>
      <c r="W747" s="34">
        <f t="shared" si="171"/>
        <v>558816</v>
      </c>
      <c r="X747" s="141"/>
      <c r="Y747" s="285"/>
      <c r="Z747" s="285"/>
      <c r="AA747" s="285">
        <v>112721.15</v>
      </c>
      <c r="AB747" s="285"/>
      <c r="AC747" s="285">
        <v>135509.69</v>
      </c>
      <c r="AD747" s="285">
        <v>108397.21</v>
      </c>
      <c r="AE747" s="9">
        <v>202187.95</v>
      </c>
      <c r="AF747" s="40"/>
      <c r="AG747" s="56"/>
      <c r="AH747" s="56"/>
    </row>
    <row r="748" spans="1:34" x14ac:dyDescent="0.3">
      <c r="A748" s="59">
        <f t="shared" si="169"/>
        <v>584</v>
      </c>
      <c r="B748" s="66" t="s">
        <v>2390</v>
      </c>
      <c r="C748" s="50">
        <f t="shared" si="170"/>
        <v>248192.5</v>
      </c>
      <c r="D748" s="51">
        <f t="shared" si="168"/>
        <v>0</v>
      </c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68"/>
      <c r="P748" s="50"/>
      <c r="Q748" s="68"/>
      <c r="R748" s="50"/>
      <c r="S748" s="68"/>
      <c r="T748" s="68"/>
      <c r="U748" s="50"/>
      <c r="V748" s="50"/>
      <c r="W748" s="34">
        <f t="shared" si="171"/>
        <v>248192.5</v>
      </c>
      <c r="X748" s="141"/>
      <c r="Y748" s="285"/>
      <c r="Z748" s="285"/>
      <c r="AA748" s="285">
        <v>113713.34</v>
      </c>
      <c r="AB748" s="285"/>
      <c r="AC748" s="285">
        <v>134479.16</v>
      </c>
      <c r="AD748" s="285"/>
      <c r="AE748" s="9"/>
      <c r="AF748" s="40"/>
      <c r="AG748" s="56"/>
      <c r="AH748" s="56"/>
    </row>
    <row r="749" spans="1:34" x14ac:dyDescent="0.3">
      <c r="A749" s="59">
        <f t="shared" si="169"/>
        <v>585</v>
      </c>
      <c r="B749" s="66" t="s">
        <v>2391</v>
      </c>
      <c r="C749" s="50">
        <f t="shared" si="170"/>
        <v>820804.12</v>
      </c>
      <c r="D749" s="51">
        <f t="shared" si="168"/>
        <v>0</v>
      </c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68"/>
      <c r="P749" s="50"/>
      <c r="Q749" s="68"/>
      <c r="R749" s="50"/>
      <c r="S749" s="68"/>
      <c r="T749" s="68"/>
      <c r="U749" s="50"/>
      <c r="V749" s="50"/>
      <c r="W749" s="34">
        <f t="shared" si="171"/>
        <v>820804.12</v>
      </c>
      <c r="X749" s="141"/>
      <c r="Y749" s="285"/>
      <c r="Z749" s="285"/>
      <c r="AA749" s="285">
        <v>90974.26</v>
      </c>
      <c r="AB749" s="285"/>
      <c r="AC749" s="285">
        <v>110134.93</v>
      </c>
      <c r="AD749" s="285"/>
      <c r="AE749" s="9">
        <v>168891.49</v>
      </c>
      <c r="AF749" s="40"/>
      <c r="AG749" s="56">
        <v>450803.44</v>
      </c>
      <c r="AH749" s="56"/>
    </row>
    <row r="750" spans="1:34" x14ac:dyDescent="0.3">
      <c r="A750" s="59">
        <f t="shared" si="169"/>
        <v>586</v>
      </c>
      <c r="B750" s="66" t="s">
        <v>2392</v>
      </c>
      <c r="C750" s="50">
        <f t="shared" si="170"/>
        <v>820804.12</v>
      </c>
      <c r="D750" s="51">
        <f t="shared" si="168"/>
        <v>0</v>
      </c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68"/>
      <c r="P750" s="50"/>
      <c r="Q750" s="68"/>
      <c r="R750" s="50"/>
      <c r="S750" s="68"/>
      <c r="T750" s="68"/>
      <c r="U750" s="50"/>
      <c r="V750" s="50"/>
      <c r="W750" s="34">
        <f t="shared" si="171"/>
        <v>820804.12</v>
      </c>
      <c r="X750" s="141"/>
      <c r="Y750" s="285"/>
      <c r="Z750" s="285"/>
      <c r="AA750" s="285">
        <v>90974.26</v>
      </c>
      <c r="AB750" s="285"/>
      <c r="AC750" s="285">
        <v>110134.93</v>
      </c>
      <c r="AD750" s="285"/>
      <c r="AE750" s="9">
        <v>168891.49</v>
      </c>
      <c r="AF750" s="40"/>
      <c r="AG750" s="56">
        <v>450803.44</v>
      </c>
      <c r="AH750" s="56"/>
    </row>
    <row r="751" spans="1:34" x14ac:dyDescent="0.3">
      <c r="A751" s="59">
        <f t="shared" si="169"/>
        <v>587</v>
      </c>
      <c r="B751" s="66" t="s">
        <v>2393</v>
      </c>
      <c r="C751" s="50">
        <f t="shared" si="170"/>
        <v>619694.92999999993</v>
      </c>
      <c r="D751" s="51">
        <f t="shared" si="168"/>
        <v>0</v>
      </c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68"/>
      <c r="P751" s="50"/>
      <c r="Q751" s="68"/>
      <c r="R751" s="50"/>
      <c r="S751" s="68"/>
      <c r="T751" s="68"/>
      <c r="U751" s="50"/>
      <c r="V751" s="50"/>
      <c r="W751" s="34">
        <f t="shared" si="171"/>
        <v>619694.92999999993</v>
      </c>
      <c r="X751" s="141"/>
      <c r="Y751" s="285"/>
      <c r="Z751" s="285"/>
      <c r="AA751" s="285"/>
      <c r="AB751" s="285"/>
      <c r="AC751" s="285"/>
      <c r="AD751" s="285"/>
      <c r="AE751" s="9">
        <v>168891.49</v>
      </c>
      <c r="AF751" s="40"/>
      <c r="AG751" s="56">
        <v>450803.44</v>
      </c>
      <c r="AH751" s="56"/>
    </row>
    <row r="752" spans="1:34" x14ac:dyDescent="0.3">
      <c r="A752" s="59"/>
      <c r="B752" s="66" t="s">
        <v>211</v>
      </c>
      <c r="C752" s="50">
        <f t="shared" ref="C752:R752" si="172">SUM(C703:C751)</f>
        <v>39624748.349999987</v>
      </c>
      <c r="D752" s="50">
        <f t="shared" si="172"/>
        <v>0</v>
      </c>
      <c r="E752" s="50">
        <f t="shared" si="172"/>
        <v>0</v>
      </c>
      <c r="F752" s="50">
        <f t="shared" si="172"/>
        <v>0</v>
      </c>
      <c r="G752" s="50">
        <f t="shared" si="172"/>
        <v>0</v>
      </c>
      <c r="H752" s="50">
        <f t="shared" si="172"/>
        <v>0</v>
      </c>
      <c r="I752" s="50">
        <f t="shared" si="172"/>
        <v>0</v>
      </c>
      <c r="J752" s="50">
        <f t="shared" si="172"/>
        <v>0</v>
      </c>
      <c r="K752" s="50">
        <f t="shared" si="172"/>
        <v>0</v>
      </c>
      <c r="L752" s="50">
        <f t="shared" si="172"/>
        <v>0</v>
      </c>
      <c r="M752" s="50">
        <f t="shared" si="172"/>
        <v>0</v>
      </c>
      <c r="N752" s="50">
        <f t="shared" si="172"/>
        <v>0</v>
      </c>
      <c r="O752" s="68">
        <f t="shared" si="172"/>
        <v>0</v>
      </c>
      <c r="P752" s="50">
        <f t="shared" si="172"/>
        <v>0</v>
      </c>
      <c r="Q752" s="68">
        <f t="shared" si="172"/>
        <v>0</v>
      </c>
      <c r="R752" s="50">
        <f t="shared" si="172"/>
        <v>0</v>
      </c>
      <c r="S752" s="68">
        <f t="shared" ref="S752:X752" si="173">SUM(S703:S751)</f>
        <v>0</v>
      </c>
      <c r="T752" s="68">
        <f t="shared" si="173"/>
        <v>0</v>
      </c>
      <c r="U752" s="50">
        <f t="shared" si="173"/>
        <v>0</v>
      </c>
      <c r="V752" s="50">
        <f t="shared" si="173"/>
        <v>0</v>
      </c>
      <c r="W752" s="34">
        <f t="shared" si="173"/>
        <v>39624748.349999987</v>
      </c>
      <c r="X752" s="304">
        <f t="shared" si="173"/>
        <v>0</v>
      </c>
      <c r="Y752" s="285"/>
      <c r="Z752" s="285"/>
      <c r="AA752" s="285"/>
      <c r="AB752" s="285"/>
      <c r="AC752" s="285"/>
      <c r="AD752" s="285"/>
      <c r="AE752" s="9"/>
      <c r="AF752" s="40"/>
      <c r="AG752" s="56"/>
      <c r="AH752" s="56"/>
    </row>
    <row r="753" spans="1:34" x14ac:dyDescent="0.3">
      <c r="A753" s="59"/>
      <c r="B753" s="66" t="s">
        <v>2394</v>
      </c>
      <c r="C753" s="50">
        <f t="shared" ref="C753:X753" si="174">C627+C630+C668+C672+C676+C680+C685+C697+C701+C752</f>
        <v>206945460.49000001</v>
      </c>
      <c r="D753" s="50">
        <f t="shared" si="174"/>
        <v>0</v>
      </c>
      <c r="E753" s="50">
        <f t="shared" si="174"/>
        <v>0</v>
      </c>
      <c r="F753" s="50">
        <f t="shared" si="174"/>
        <v>0</v>
      </c>
      <c r="G753" s="50">
        <f t="shared" si="174"/>
        <v>0</v>
      </c>
      <c r="H753" s="50">
        <f t="shared" si="174"/>
        <v>0</v>
      </c>
      <c r="I753" s="50">
        <f t="shared" si="174"/>
        <v>0</v>
      </c>
      <c r="J753" s="50">
        <f t="shared" si="174"/>
        <v>0</v>
      </c>
      <c r="K753" s="50">
        <f t="shared" si="174"/>
        <v>0</v>
      </c>
      <c r="L753" s="50">
        <f t="shared" si="174"/>
        <v>0</v>
      </c>
      <c r="M753" s="50">
        <f t="shared" si="174"/>
        <v>0</v>
      </c>
      <c r="N753" s="50">
        <f t="shared" si="174"/>
        <v>11986560</v>
      </c>
      <c r="O753" s="68">
        <f t="shared" si="174"/>
        <v>0</v>
      </c>
      <c r="P753" s="50">
        <f t="shared" si="174"/>
        <v>0</v>
      </c>
      <c r="Q753" s="68">
        <f t="shared" si="174"/>
        <v>2646.4</v>
      </c>
      <c r="R753" s="50">
        <f t="shared" si="174"/>
        <v>30136785.880000003</v>
      </c>
      <c r="S753" s="68">
        <f t="shared" si="174"/>
        <v>0</v>
      </c>
      <c r="T753" s="68">
        <f t="shared" si="174"/>
        <v>13</v>
      </c>
      <c r="U753" s="50">
        <f t="shared" si="174"/>
        <v>154570</v>
      </c>
      <c r="V753" s="50">
        <f t="shared" si="174"/>
        <v>0</v>
      </c>
      <c r="W753" s="34">
        <f t="shared" si="174"/>
        <v>164667544.61000001</v>
      </c>
      <c r="X753" s="329">
        <f t="shared" si="174"/>
        <v>0</v>
      </c>
      <c r="Y753" s="285"/>
      <c r="Z753" s="285"/>
      <c r="AA753" s="285"/>
      <c r="AB753" s="285"/>
      <c r="AC753" s="285"/>
      <c r="AD753" s="285"/>
      <c r="AE753" s="9"/>
      <c r="AF753" s="40"/>
      <c r="AG753" s="56"/>
      <c r="AH753" s="56"/>
    </row>
    <row r="754" spans="1:34" x14ac:dyDescent="0.3">
      <c r="A754" s="172" t="s">
        <v>2395</v>
      </c>
      <c r="B754" s="147"/>
      <c r="C754" s="172"/>
      <c r="D754" s="172"/>
      <c r="E754" s="172"/>
      <c r="F754" s="172"/>
      <c r="G754" s="172"/>
      <c r="H754" s="172"/>
      <c r="I754" s="172"/>
      <c r="J754" s="172"/>
      <c r="K754" s="172"/>
      <c r="L754" s="172"/>
      <c r="M754" s="172"/>
      <c r="N754" s="172"/>
      <c r="O754" s="133"/>
      <c r="P754" s="172"/>
      <c r="Q754" s="133"/>
      <c r="R754" s="172"/>
      <c r="S754" s="133"/>
      <c r="T754" s="133"/>
      <c r="U754" s="172"/>
      <c r="V754" s="172"/>
      <c r="W754" s="175"/>
      <c r="X754" s="298"/>
      <c r="Z754" s="179"/>
      <c r="AA754" s="57"/>
      <c r="AB754" s="58"/>
      <c r="AC754" s="62"/>
      <c r="AD754" s="58"/>
      <c r="AE754" s="58"/>
    </row>
    <row r="755" spans="1:34" x14ac:dyDescent="0.3">
      <c r="A755" s="176" t="s">
        <v>2396</v>
      </c>
      <c r="B755" s="147"/>
      <c r="C755" s="172"/>
      <c r="D755" s="172"/>
      <c r="E755" s="172"/>
      <c r="F755" s="172"/>
      <c r="G755" s="172"/>
      <c r="H755" s="172"/>
      <c r="I755" s="172"/>
      <c r="J755" s="172"/>
      <c r="K755" s="172"/>
      <c r="L755" s="172"/>
      <c r="M755" s="172"/>
      <c r="N755" s="172"/>
      <c r="O755" s="133"/>
      <c r="P755" s="172"/>
      <c r="Q755" s="133"/>
      <c r="R755" s="172"/>
      <c r="S755" s="133"/>
      <c r="T755" s="133"/>
      <c r="U755" s="172"/>
      <c r="V755" s="172"/>
      <c r="W755" s="175"/>
      <c r="X755" s="144"/>
      <c r="Y755" s="179"/>
      <c r="Z755" s="179"/>
      <c r="AA755" s="57"/>
      <c r="AB755" s="58"/>
      <c r="AC755" s="62"/>
      <c r="AD755" s="58"/>
      <c r="AE755" s="58"/>
    </row>
    <row r="756" spans="1:34" x14ac:dyDescent="0.3">
      <c r="A756" s="59">
        <f>A751+1</f>
        <v>588</v>
      </c>
      <c r="B756" s="66" t="s">
        <v>2397</v>
      </c>
      <c r="C756" s="50">
        <f>D756+K756+L756+N756+P756+R756+S756+U756+V756+W756</f>
        <v>130000</v>
      </c>
      <c r="D756" s="51">
        <f>E756+F756+G756+H756+I756</f>
        <v>0</v>
      </c>
      <c r="E756" s="51"/>
      <c r="F756" s="51"/>
      <c r="G756" s="51"/>
      <c r="H756" s="51"/>
      <c r="I756" s="51"/>
      <c r="J756" s="51"/>
      <c r="K756" s="51"/>
      <c r="L756" s="51"/>
      <c r="M756" s="51"/>
      <c r="N756" s="50"/>
      <c r="O756" s="82"/>
      <c r="P756" s="51"/>
      <c r="Q756" s="82"/>
      <c r="R756" s="50"/>
      <c r="S756" s="68"/>
      <c r="T756" s="82"/>
      <c r="U756" s="51"/>
      <c r="V756" s="51"/>
      <c r="W756" s="178">
        <v>130000</v>
      </c>
      <c r="X756" s="141"/>
      <c r="Y756" s="48"/>
      <c r="Z756" s="48"/>
      <c r="AA756" s="57"/>
      <c r="AB756" s="58"/>
      <c r="AC756" s="58"/>
      <c r="AD756" s="58"/>
      <c r="AE756" s="58"/>
    </row>
    <row r="757" spans="1:34" x14ac:dyDescent="0.3">
      <c r="A757" s="177" t="s">
        <v>211</v>
      </c>
      <c r="B757" s="131"/>
      <c r="C757" s="50">
        <f t="shared" ref="C757:R757" si="175">C756</f>
        <v>130000</v>
      </c>
      <c r="D757" s="50">
        <f t="shared" si="175"/>
        <v>0</v>
      </c>
      <c r="E757" s="50">
        <f t="shared" si="175"/>
        <v>0</v>
      </c>
      <c r="F757" s="50">
        <f t="shared" si="175"/>
        <v>0</v>
      </c>
      <c r="G757" s="50">
        <f t="shared" si="175"/>
        <v>0</v>
      </c>
      <c r="H757" s="50">
        <f t="shared" si="175"/>
        <v>0</v>
      </c>
      <c r="I757" s="50">
        <f t="shared" si="175"/>
        <v>0</v>
      </c>
      <c r="J757" s="50">
        <f t="shared" si="175"/>
        <v>0</v>
      </c>
      <c r="K757" s="50">
        <f t="shared" si="175"/>
        <v>0</v>
      </c>
      <c r="L757" s="50">
        <f t="shared" si="175"/>
        <v>0</v>
      </c>
      <c r="M757" s="50">
        <f t="shared" si="175"/>
        <v>0</v>
      </c>
      <c r="N757" s="50">
        <f t="shared" si="175"/>
        <v>0</v>
      </c>
      <c r="O757" s="68">
        <f t="shared" si="175"/>
        <v>0</v>
      </c>
      <c r="P757" s="50">
        <f t="shared" si="175"/>
        <v>0</v>
      </c>
      <c r="Q757" s="68">
        <f t="shared" si="175"/>
        <v>0</v>
      </c>
      <c r="R757" s="50">
        <f t="shared" si="175"/>
        <v>0</v>
      </c>
      <c r="S757" s="68">
        <f>S756</f>
        <v>0</v>
      </c>
      <c r="T757" s="68">
        <f>T756</f>
        <v>0</v>
      </c>
      <c r="U757" s="50">
        <f>U756</f>
        <v>0</v>
      </c>
      <c r="V757" s="50">
        <f>V756</f>
        <v>0</v>
      </c>
      <c r="W757" s="34">
        <f>W756</f>
        <v>130000</v>
      </c>
      <c r="X757" s="141"/>
      <c r="Y757" s="48"/>
      <c r="Z757" s="48"/>
      <c r="AA757" s="57"/>
      <c r="AB757" s="58"/>
      <c r="AC757" s="58"/>
      <c r="AD757" s="58"/>
      <c r="AE757" s="58"/>
    </row>
    <row r="758" spans="1:34" x14ac:dyDescent="0.3">
      <c r="A758" s="176" t="s">
        <v>2398</v>
      </c>
      <c r="B758" s="147"/>
      <c r="C758" s="50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0"/>
      <c r="O758" s="82"/>
      <c r="P758" s="51"/>
      <c r="Q758" s="82"/>
      <c r="R758" s="50"/>
      <c r="S758" s="68"/>
      <c r="T758" s="82"/>
      <c r="U758" s="51"/>
      <c r="V758" s="51"/>
      <c r="W758" s="178"/>
      <c r="X758" s="141"/>
      <c r="Y758" s="48"/>
      <c r="Z758" s="48"/>
      <c r="AA758" s="48"/>
      <c r="AB758" s="48"/>
      <c r="AC758" s="48"/>
      <c r="AD758" s="58"/>
      <c r="AE758" s="58"/>
    </row>
    <row r="759" spans="1:34" x14ac:dyDescent="0.3">
      <c r="A759" s="59">
        <f>A756+1</f>
        <v>589</v>
      </c>
      <c r="B759" s="66" t="s">
        <v>2400</v>
      </c>
      <c r="C759" s="50">
        <f t="shared" ref="C759:C797" si="176">D759+K759+L759+N759+P759+R759+S759+U759+V759+W759</f>
        <v>182039</v>
      </c>
      <c r="D759" s="51">
        <f t="shared" ref="D759:D766" si="177">E759+F759+G759+H759+I759</f>
        <v>0</v>
      </c>
      <c r="E759" s="50"/>
      <c r="F759" s="51"/>
      <c r="G759" s="51"/>
      <c r="H759" s="51"/>
      <c r="I759" s="51"/>
      <c r="J759" s="51"/>
      <c r="K759" s="51"/>
      <c r="L759" s="51"/>
      <c r="M759" s="51"/>
      <c r="N759" s="50"/>
      <c r="O759" s="82"/>
      <c r="P759" s="50"/>
      <c r="Q759" s="82">
        <v>13</v>
      </c>
      <c r="R759" s="50">
        <f t="shared" ref="R759:R767" si="178">Q759*14003</f>
        <v>182039</v>
      </c>
      <c r="S759" s="68"/>
      <c r="T759" s="82"/>
      <c r="U759" s="50"/>
      <c r="V759" s="51"/>
      <c r="W759" s="178"/>
      <c r="X759" s="141"/>
      <c r="Y759" s="48">
        <v>78746.559999999998</v>
      </c>
      <c r="Z759" s="48"/>
      <c r="AA759" s="48"/>
      <c r="AB759" s="48"/>
      <c r="AC759" s="48">
        <v>137800.92000000001</v>
      </c>
      <c r="AD759" s="58"/>
      <c r="AE759" s="58" t="s">
        <v>1395</v>
      </c>
    </row>
    <row r="760" spans="1:34" x14ac:dyDescent="0.3">
      <c r="A760" s="59">
        <f t="shared" ref="A760:A797" si="179">A759+1</f>
        <v>590</v>
      </c>
      <c r="B760" s="66" t="s">
        <v>2403</v>
      </c>
      <c r="C760" s="50">
        <f t="shared" si="176"/>
        <v>182039</v>
      </c>
      <c r="D760" s="51">
        <f t="shared" si="177"/>
        <v>0</v>
      </c>
      <c r="E760" s="51"/>
      <c r="F760" s="51"/>
      <c r="G760" s="51"/>
      <c r="H760" s="51"/>
      <c r="I760" s="51"/>
      <c r="J760" s="51"/>
      <c r="K760" s="51"/>
      <c r="L760" s="51"/>
      <c r="M760" s="51"/>
      <c r="N760" s="50"/>
      <c r="O760" s="82"/>
      <c r="P760" s="50"/>
      <c r="Q760" s="82">
        <v>13</v>
      </c>
      <c r="R760" s="50">
        <f t="shared" si="178"/>
        <v>182039</v>
      </c>
      <c r="S760" s="68"/>
      <c r="T760" s="82"/>
      <c r="U760" s="50"/>
      <c r="V760" s="51"/>
      <c r="W760" s="178"/>
      <c r="X760" s="141"/>
      <c r="Y760" s="48"/>
      <c r="Z760" s="48"/>
      <c r="AA760" s="48"/>
      <c r="AB760" s="48"/>
      <c r="AC760" s="48">
        <v>137005.96</v>
      </c>
      <c r="AD760" s="58"/>
      <c r="AE760" s="58"/>
    </row>
    <row r="761" spans="1:34" x14ac:dyDescent="0.3">
      <c r="A761" s="59">
        <f t="shared" si="179"/>
        <v>591</v>
      </c>
      <c r="B761" s="66" t="s">
        <v>2406</v>
      </c>
      <c r="C761" s="50">
        <f t="shared" si="176"/>
        <v>182039</v>
      </c>
      <c r="D761" s="51">
        <f t="shared" si="177"/>
        <v>0</v>
      </c>
      <c r="E761" s="51"/>
      <c r="F761" s="51"/>
      <c r="G761" s="51"/>
      <c r="H761" s="50"/>
      <c r="I761" s="51"/>
      <c r="J761" s="51"/>
      <c r="K761" s="51"/>
      <c r="L761" s="51"/>
      <c r="M761" s="51"/>
      <c r="N761" s="50"/>
      <c r="O761" s="82"/>
      <c r="P761" s="50"/>
      <c r="Q761" s="82">
        <v>13</v>
      </c>
      <c r="R761" s="50">
        <f t="shared" si="178"/>
        <v>182039</v>
      </c>
      <c r="S761" s="68"/>
      <c r="T761" s="82"/>
      <c r="U761" s="50"/>
      <c r="V761" s="51"/>
      <c r="W761" s="178"/>
      <c r="X761" s="141"/>
      <c r="Y761" s="48"/>
      <c r="Z761" s="48"/>
      <c r="AA761" s="48"/>
      <c r="AB761" s="48"/>
      <c r="AC761" s="48">
        <v>141298.70000000001</v>
      </c>
      <c r="AD761" s="58"/>
      <c r="AE761" s="58"/>
    </row>
    <row r="762" spans="1:34" x14ac:dyDescent="0.3">
      <c r="A762" s="59">
        <f t="shared" si="179"/>
        <v>592</v>
      </c>
      <c r="B762" s="66" t="s">
        <v>2413</v>
      </c>
      <c r="C762" s="50">
        <f t="shared" si="176"/>
        <v>182039</v>
      </c>
      <c r="D762" s="51">
        <f t="shared" si="177"/>
        <v>0</v>
      </c>
      <c r="E762" s="51"/>
      <c r="F762" s="50"/>
      <c r="G762" s="50"/>
      <c r="H762" s="50"/>
      <c r="I762" s="51"/>
      <c r="J762" s="51"/>
      <c r="K762" s="51"/>
      <c r="L762" s="51"/>
      <c r="M762" s="51"/>
      <c r="N762" s="50"/>
      <c r="O762" s="82"/>
      <c r="P762" s="51"/>
      <c r="Q762" s="82">
        <v>13</v>
      </c>
      <c r="R762" s="50">
        <f t="shared" si="178"/>
        <v>182039</v>
      </c>
      <c r="S762" s="68"/>
      <c r="T762" s="82"/>
      <c r="U762" s="51"/>
      <c r="V762" s="51"/>
      <c r="W762" s="178"/>
      <c r="X762" s="141"/>
      <c r="Y762" s="48">
        <f>348363.9+358336.56</f>
        <v>706700.46</v>
      </c>
      <c r="Z762" s="48"/>
      <c r="AA762" s="57"/>
      <c r="AB762" s="58"/>
      <c r="AC762" s="58"/>
      <c r="AD762" s="58"/>
      <c r="AE762" s="58" t="s">
        <v>2414</v>
      </c>
    </row>
    <row r="763" spans="1:34" x14ac:dyDescent="0.3">
      <c r="A763" s="59">
        <f t="shared" si="179"/>
        <v>593</v>
      </c>
      <c r="B763" s="66" t="s">
        <v>2436</v>
      </c>
      <c r="C763" s="50">
        <f t="shared" si="176"/>
        <v>182039</v>
      </c>
      <c r="D763" s="51">
        <f t="shared" si="177"/>
        <v>0</v>
      </c>
      <c r="E763" s="51"/>
      <c r="F763" s="50"/>
      <c r="G763" s="51"/>
      <c r="H763" s="50"/>
      <c r="I763" s="51"/>
      <c r="J763" s="51"/>
      <c r="K763" s="51"/>
      <c r="L763" s="51"/>
      <c r="M763" s="51"/>
      <c r="N763" s="50"/>
      <c r="O763" s="82"/>
      <c r="P763" s="50"/>
      <c r="Q763" s="82">
        <v>13</v>
      </c>
      <c r="R763" s="50">
        <f t="shared" si="178"/>
        <v>182039</v>
      </c>
      <c r="S763" s="68"/>
      <c r="T763" s="82"/>
      <c r="U763" s="51"/>
      <c r="V763" s="51"/>
      <c r="W763" s="178"/>
      <c r="X763" s="141"/>
      <c r="Y763" s="48">
        <f>216029.63+175932.14</f>
        <v>391961.77</v>
      </c>
      <c r="Z763" s="48"/>
      <c r="AA763" s="48">
        <v>364007.4</v>
      </c>
      <c r="AB763" s="58"/>
      <c r="AC763" s="58"/>
      <c r="AD763" s="58"/>
      <c r="AE763" s="58" t="s">
        <v>1448</v>
      </c>
    </row>
    <row r="764" spans="1:34" x14ac:dyDescent="0.3">
      <c r="A764" s="59">
        <f t="shared" si="179"/>
        <v>594</v>
      </c>
      <c r="B764" s="66" t="s">
        <v>2437</v>
      </c>
      <c r="C764" s="50">
        <f t="shared" si="176"/>
        <v>182039</v>
      </c>
      <c r="D764" s="51">
        <f t="shared" si="177"/>
        <v>0</v>
      </c>
      <c r="E764" s="51"/>
      <c r="F764" s="50"/>
      <c r="G764" s="51"/>
      <c r="H764" s="50"/>
      <c r="I764" s="51"/>
      <c r="J764" s="51"/>
      <c r="K764" s="51"/>
      <c r="L764" s="51"/>
      <c r="M764" s="51"/>
      <c r="N764" s="50"/>
      <c r="O764" s="82"/>
      <c r="P764" s="50"/>
      <c r="Q764" s="82">
        <v>13</v>
      </c>
      <c r="R764" s="50">
        <f t="shared" si="178"/>
        <v>182039</v>
      </c>
      <c r="S764" s="68"/>
      <c r="T764" s="82"/>
      <c r="U764" s="51"/>
      <c r="V764" s="51"/>
      <c r="W764" s="178"/>
      <c r="X764" s="141"/>
      <c r="Y764" s="48">
        <f>166014.4+127651.6</f>
        <v>293666</v>
      </c>
      <c r="Z764" s="48"/>
      <c r="AA764" s="48">
        <v>289108.15999999997</v>
      </c>
      <c r="AB764" s="58"/>
      <c r="AC764" s="58"/>
      <c r="AD764" s="58"/>
      <c r="AE764" s="58" t="s">
        <v>1563</v>
      </c>
    </row>
    <row r="765" spans="1:34" x14ac:dyDescent="0.3">
      <c r="A765" s="59">
        <f t="shared" si="179"/>
        <v>595</v>
      </c>
      <c r="B765" s="66" t="s">
        <v>2438</v>
      </c>
      <c r="C765" s="50">
        <f t="shared" si="176"/>
        <v>182039</v>
      </c>
      <c r="D765" s="51">
        <f t="shared" si="177"/>
        <v>0</v>
      </c>
      <c r="E765" s="51"/>
      <c r="F765" s="50"/>
      <c r="G765" s="51"/>
      <c r="H765" s="51"/>
      <c r="I765" s="50"/>
      <c r="J765" s="51"/>
      <c r="K765" s="51"/>
      <c r="L765" s="51"/>
      <c r="M765" s="51"/>
      <c r="N765" s="50"/>
      <c r="O765" s="82"/>
      <c r="P765" s="50"/>
      <c r="Q765" s="82">
        <v>13</v>
      </c>
      <c r="R765" s="50">
        <f t="shared" si="178"/>
        <v>182039</v>
      </c>
      <c r="S765" s="68"/>
      <c r="T765" s="82"/>
      <c r="U765" s="51"/>
      <c r="V765" s="51"/>
      <c r="W765" s="178"/>
      <c r="X765" s="141"/>
      <c r="Y765" s="48">
        <v>103546.08</v>
      </c>
      <c r="Z765" s="48"/>
      <c r="AA765" s="48">
        <v>87586.16</v>
      </c>
      <c r="AB765" s="58"/>
      <c r="AC765" s="58"/>
      <c r="AD765" s="58"/>
      <c r="AE765" s="58" t="s">
        <v>25</v>
      </c>
    </row>
    <row r="766" spans="1:34" x14ac:dyDescent="0.3">
      <c r="A766" s="59">
        <f t="shared" si="179"/>
        <v>596</v>
      </c>
      <c r="B766" s="66" t="s">
        <v>2439</v>
      </c>
      <c r="C766" s="50">
        <f t="shared" si="176"/>
        <v>182039</v>
      </c>
      <c r="D766" s="51">
        <f t="shared" si="177"/>
        <v>0</v>
      </c>
      <c r="E766" s="51"/>
      <c r="F766" s="50"/>
      <c r="G766" s="51"/>
      <c r="H766" s="51"/>
      <c r="I766" s="51"/>
      <c r="J766" s="51"/>
      <c r="K766" s="51"/>
      <c r="L766" s="51"/>
      <c r="M766" s="51"/>
      <c r="N766" s="50"/>
      <c r="O766" s="82"/>
      <c r="P766" s="50"/>
      <c r="Q766" s="82">
        <v>13</v>
      </c>
      <c r="R766" s="50">
        <f t="shared" si="178"/>
        <v>182039</v>
      </c>
      <c r="S766" s="68"/>
      <c r="T766" s="82"/>
      <c r="U766" s="51"/>
      <c r="V766" s="51"/>
      <c r="W766" s="178"/>
      <c r="X766" s="141"/>
      <c r="Y766" s="48"/>
      <c r="Z766" s="48"/>
      <c r="AA766" s="48">
        <v>73386.84</v>
      </c>
      <c r="AB766" s="58"/>
      <c r="AC766" s="58"/>
      <c r="AD766" s="58"/>
      <c r="AE766" s="58" t="s">
        <v>379</v>
      </c>
    </row>
    <row r="767" spans="1:34" x14ac:dyDescent="0.3">
      <c r="A767" s="59">
        <f t="shared" si="179"/>
        <v>597</v>
      </c>
      <c r="B767" s="66" t="s">
        <v>2444</v>
      </c>
      <c r="C767" s="50">
        <f t="shared" si="176"/>
        <v>182039</v>
      </c>
      <c r="D767" s="51">
        <f>E767+F767+G767+H767+I767</f>
        <v>0</v>
      </c>
      <c r="E767" s="51"/>
      <c r="F767" s="51"/>
      <c r="G767" s="51"/>
      <c r="H767" s="50"/>
      <c r="I767" s="51"/>
      <c r="J767" s="51"/>
      <c r="K767" s="51"/>
      <c r="L767" s="51"/>
      <c r="M767" s="51"/>
      <c r="N767" s="50"/>
      <c r="O767" s="82"/>
      <c r="P767" s="50"/>
      <c r="Q767" s="82">
        <v>13</v>
      </c>
      <c r="R767" s="50">
        <f t="shared" si="178"/>
        <v>182039</v>
      </c>
      <c r="S767" s="68"/>
      <c r="T767" s="82"/>
      <c r="U767" s="51"/>
      <c r="V767" s="51"/>
      <c r="W767" s="178"/>
      <c r="X767" s="141"/>
      <c r="Y767" s="48"/>
      <c r="Z767" s="48"/>
      <c r="AA767" s="57"/>
      <c r="AB767" s="58"/>
      <c r="AC767" s="58"/>
      <c r="AD767" s="58"/>
      <c r="AE767" s="58"/>
    </row>
    <row r="768" spans="1:34" x14ac:dyDescent="0.3">
      <c r="A768" s="59">
        <f t="shared" si="179"/>
        <v>598</v>
      </c>
      <c r="B768" s="66" t="s">
        <v>2445</v>
      </c>
      <c r="C768" s="50">
        <f t="shared" si="176"/>
        <v>2724327.6</v>
      </c>
      <c r="D768" s="51">
        <f>E768+F768+G768+H768+I768</f>
        <v>0</v>
      </c>
      <c r="E768" s="50"/>
      <c r="F768" s="51"/>
      <c r="G768" s="51"/>
      <c r="H768" s="50"/>
      <c r="I768" s="51"/>
      <c r="J768" s="51"/>
      <c r="K768" s="51"/>
      <c r="L768" s="51"/>
      <c r="M768" s="51"/>
      <c r="N768" s="50"/>
      <c r="O768" s="82"/>
      <c r="P768" s="50"/>
      <c r="Q768" s="82">
        <v>498.5</v>
      </c>
      <c r="R768" s="50">
        <v>2724327.6</v>
      </c>
      <c r="S768" s="68"/>
      <c r="T768" s="82"/>
      <c r="U768" s="51"/>
      <c r="V768" s="51"/>
      <c r="W768" s="178"/>
      <c r="X768" s="141"/>
      <c r="Y768" s="48"/>
      <c r="Z768" s="48"/>
      <c r="AA768" s="57"/>
      <c r="AB768" s="58"/>
      <c r="AC768" s="58"/>
      <c r="AD768" s="58"/>
      <c r="AE768" s="58"/>
    </row>
    <row r="769" spans="1:31" ht="31.2" x14ac:dyDescent="0.3">
      <c r="A769" s="59">
        <f t="shared" si="179"/>
        <v>599</v>
      </c>
      <c r="B769" s="66" t="s">
        <v>2450</v>
      </c>
      <c r="C769" s="50">
        <f t="shared" si="176"/>
        <v>182039</v>
      </c>
      <c r="D769" s="51">
        <f>E769+F769+G769+H769+I769</f>
        <v>0</v>
      </c>
      <c r="E769" s="50"/>
      <c r="F769" s="51"/>
      <c r="G769" s="51"/>
      <c r="H769" s="51"/>
      <c r="I769" s="51"/>
      <c r="J769" s="51"/>
      <c r="K769" s="51"/>
      <c r="L769" s="51"/>
      <c r="M769" s="51"/>
      <c r="N769" s="50"/>
      <c r="O769" s="82"/>
      <c r="P769" s="50"/>
      <c r="Q769" s="82">
        <v>13</v>
      </c>
      <c r="R769" s="50">
        <f>Q769*14003</f>
        <v>182039</v>
      </c>
      <c r="S769" s="68"/>
      <c r="T769" s="82"/>
      <c r="U769" s="51"/>
      <c r="V769" s="51"/>
      <c r="W769" s="178"/>
      <c r="X769" s="141"/>
      <c r="Y769" s="187">
        <v>283432.90000000002</v>
      </c>
      <c r="Z769" s="48"/>
      <c r="AA769" s="187">
        <v>398615.3</v>
      </c>
      <c r="AB769" s="187"/>
      <c r="AC769" s="187"/>
      <c r="AD769" s="58"/>
      <c r="AE769" s="58" t="s">
        <v>1395</v>
      </c>
    </row>
    <row r="770" spans="1:31" x14ac:dyDescent="0.3">
      <c r="A770" s="59">
        <f t="shared" si="179"/>
        <v>600</v>
      </c>
      <c r="B770" s="66" t="s">
        <v>2457</v>
      </c>
      <c r="C770" s="50">
        <f t="shared" si="176"/>
        <v>182039</v>
      </c>
      <c r="D770" s="51">
        <f>E770+F770+G770+H770+I770</f>
        <v>0</v>
      </c>
      <c r="E770" s="51"/>
      <c r="F770" s="51"/>
      <c r="G770" s="51"/>
      <c r="H770" s="51"/>
      <c r="I770" s="51"/>
      <c r="J770" s="51"/>
      <c r="K770" s="51"/>
      <c r="L770" s="51"/>
      <c r="M770" s="51"/>
      <c r="N770" s="50"/>
      <c r="O770" s="82"/>
      <c r="P770" s="50"/>
      <c r="Q770" s="82">
        <v>13</v>
      </c>
      <c r="R770" s="50">
        <f>Q770*14003</f>
        <v>182039</v>
      </c>
      <c r="S770" s="68"/>
      <c r="T770" s="82"/>
      <c r="U770" s="51"/>
      <c r="V770" s="51"/>
      <c r="W770" s="178"/>
      <c r="X770" s="141"/>
      <c r="Y770" s="48"/>
      <c r="Z770" s="48"/>
      <c r="AA770" s="187">
        <v>256782.18</v>
      </c>
      <c r="AB770" s="187"/>
      <c r="AC770" s="58"/>
      <c r="AD770" s="58"/>
      <c r="AE770" s="58"/>
    </row>
    <row r="771" spans="1:31" x14ac:dyDescent="0.3">
      <c r="A771" s="59">
        <f t="shared" si="179"/>
        <v>601</v>
      </c>
      <c r="B771" s="66" t="s">
        <v>2487</v>
      </c>
      <c r="C771" s="50">
        <f t="shared" si="176"/>
        <v>7062388.7999999998</v>
      </c>
      <c r="D771" s="51">
        <f t="shared" ref="D771:D797" si="180">E771+F771+G771+H771+I771</f>
        <v>0</v>
      </c>
      <c r="E771" s="50"/>
      <c r="F771" s="51"/>
      <c r="G771" s="51"/>
      <c r="H771" s="51"/>
      <c r="I771" s="50"/>
      <c r="J771" s="51"/>
      <c r="K771" s="51"/>
      <c r="L771" s="51"/>
      <c r="M771" s="51"/>
      <c r="N771" s="50"/>
      <c r="O771" s="82"/>
      <c r="P771" s="50"/>
      <c r="Q771" s="82">
        <v>1439.3</v>
      </c>
      <c r="R771" s="50">
        <v>7062388.7999999998</v>
      </c>
      <c r="S771" s="68"/>
      <c r="T771" s="82"/>
      <c r="U771" s="51"/>
      <c r="V771" s="51"/>
      <c r="W771" s="178"/>
      <c r="X771" s="141"/>
      <c r="Y771" s="48">
        <f>133787.99
+125685.49
+125685.49</f>
        <v>385158.97</v>
      </c>
      <c r="Z771" s="48"/>
      <c r="AA771" s="48">
        <v>174787.36</v>
      </c>
      <c r="AB771" s="58"/>
      <c r="AC771" s="58"/>
      <c r="AD771" s="58"/>
      <c r="AE771" s="58" t="s">
        <v>2480</v>
      </c>
    </row>
    <row r="772" spans="1:31" x14ac:dyDescent="0.3">
      <c r="A772" s="59">
        <f t="shared" si="179"/>
        <v>602</v>
      </c>
      <c r="B772" s="66" t="s">
        <v>2488</v>
      </c>
      <c r="C772" s="50">
        <f t="shared" si="176"/>
        <v>11348060.4</v>
      </c>
      <c r="D772" s="51">
        <f t="shared" si="180"/>
        <v>0</v>
      </c>
      <c r="E772" s="51"/>
      <c r="F772" s="51"/>
      <c r="G772" s="51"/>
      <c r="H772" s="51"/>
      <c r="I772" s="50"/>
      <c r="J772" s="51"/>
      <c r="K772" s="51"/>
      <c r="L772" s="51"/>
      <c r="M772" s="51"/>
      <c r="N772" s="50"/>
      <c r="O772" s="82"/>
      <c r="P772" s="50"/>
      <c r="Q772" s="82">
        <v>2511.1</v>
      </c>
      <c r="R772" s="50">
        <v>11348060.4</v>
      </c>
      <c r="S772" s="68"/>
      <c r="T772" s="82"/>
      <c r="U772" s="51"/>
      <c r="V772" s="51"/>
      <c r="W772" s="178"/>
      <c r="X772" s="141"/>
      <c r="Y772" s="48">
        <f>219278.9+219278.9</f>
        <v>438557.8</v>
      </c>
      <c r="Z772" s="48"/>
      <c r="AA772" s="57"/>
      <c r="AB772" s="58"/>
      <c r="AC772" s="58"/>
      <c r="AD772" s="58"/>
      <c r="AE772" s="58" t="s">
        <v>1475</v>
      </c>
    </row>
    <row r="773" spans="1:31" x14ac:dyDescent="0.3">
      <c r="A773" s="59">
        <f t="shared" si="179"/>
        <v>603</v>
      </c>
      <c r="B773" s="66" t="s">
        <v>2513</v>
      </c>
      <c r="C773" s="50">
        <f t="shared" si="176"/>
        <v>182039</v>
      </c>
      <c r="D773" s="51">
        <f t="shared" si="180"/>
        <v>0</v>
      </c>
      <c r="E773" s="50"/>
      <c r="F773" s="51"/>
      <c r="G773" s="51"/>
      <c r="H773" s="51"/>
      <c r="I773" s="51"/>
      <c r="J773" s="51"/>
      <c r="K773" s="51"/>
      <c r="L773" s="51"/>
      <c r="M773" s="51"/>
      <c r="N773" s="50"/>
      <c r="O773" s="82"/>
      <c r="P773" s="50"/>
      <c r="Q773" s="82">
        <v>13</v>
      </c>
      <c r="R773" s="50">
        <f t="shared" ref="R773:R778" si="181">Q773*14003</f>
        <v>182039</v>
      </c>
      <c r="S773" s="68"/>
      <c r="T773" s="82"/>
      <c r="U773" s="51"/>
      <c r="V773" s="51"/>
      <c r="W773" s="178"/>
      <c r="X773" s="141"/>
      <c r="Y773" s="48">
        <v>217225.85</v>
      </c>
      <c r="Z773" s="48"/>
      <c r="AA773" s="48">
        <v>315738.90999999997</v>
      </c>
      <c r="AB773" s="48">
        <v>1234377.79</v>
      </c>
      <c r="AC773" s="58"/>
      <c r="AD773" s="58"/>
      <c r="AE773" s="58" t="s">
        <v>1393</v>
      </c>
    </row>
    <row r="774" spans="1:31" x14ac:dyDescent="0.3">
      <c r="A774" s="59">
        <f t="shared" si="179"/>
        <v>604</v>
      </c>
      <c r="B774" s="66" t="s">
        <v>2514</v>
      </c>
      <c r="C774" s="50">
        <f t="shared" si="176"/>
        <v>182039</v>
      </c>
      <c r="D774" s="51">
        <f t="shared" si="180"/>
        <v>0</v>
      </c>
      <c r="E774" s="50"/>
      <c r="F774" s="51"/>
      <c r="G774" s="51"/>
      <c r="H774" s="51"/>
      <c r="I774" s="51"/>
      <c r="J774" s="51"/>
      <c r="K774" s="51"/>
      <c r="L774" s="51"/>
      <c r="M774" s="51"/>
      <c r="N774" s="50"/>
      <c r="O774" s="82"/>
      <c r="P774" s="50"/>
      <c r="Q774" s="82">
        <v>13</v>
      </c>
      <c r="R774" s="50">
        <f t="shared" si="181"/>
        <v>182039</v>
      </c>
      <c r="S774" s="68"/>
      <c r="T774" s="82"/>
      <c r="U774" s="51"/>
      <c r="V774" s="51"/>
      <c r="W774" s="178"/>
      <c r="X774" s="141"/>
      <c r="Y774" s="48"/>
      <c r="Z774" s="48"/>
      <c r="AA774" s="57"/>
      <c r="AB774" s="58"/>
      <c r="AC774" s="58"/>
      <c r="AD774" s="58"/>
      <c r="AE774" s="58"/>
    </row>
    <row r="775" spans="1:31" x14ac:dyDescent="0.3">
      <c r="A775" s="59">
        <f t="shared" si="179"/>
        <v>605</v>
      </c>
      <c r="B775" s="66" t="s">
        <v>2515</v>
      </c>
      <c r="C775" s="50">
        <f t="shared" si="176"/>
        <v>182039</v>
      </c>
      <c r="D775" s="51">
        <f t="shared" si="180"/>
        <v>0</v>
      </c>
      <c r="E775" s="50"/>
      <c r="F775" s="51"/>
      <c r="G775" s="51"/>
      <c r="H775" s="51"/>
      <c r="I775" s="51"/>
      <c r="J775" s="51"/>
      <c r="K775" s="51"/>
      <c r="L775" s="51"/>
      <c r="M775" s="51"/>
      <c r="N775" s="50"/>
      <c r="O775" s="82"/>
      <c r="P775" s="50"/>
      <c r="Q775" s="82">
        <v>13</v>
      </c>
      <c r="R775" s="50">
        <f t="shared" si="181"/>
        <v>182039</v>
      </c>
      <c r="S775" s="68"/>
      <c r="T775" s="82"/>
      <c r="U775" s="51"/>
      <c r="V775" s="51"/>
      <c r="W775" s="178"/>
      <c r="X775" s="141"/>
      <c r="Y775" s="48"/>
      <c r="Z775" s="48"/>
      <c r="AA775" s="57"/>
      <c r="AB775" s="58"/>
      <c r="AC775" s="58"/>
      <c r="AD775" s="58"/>
      <c r="AE775" s="58"/>
    </row>
    <row r="776" spans="1:31" x14ac:dyDescent="0.3">
      <c r="A776" s="59">
        <f t="shared" si="179"/>
        <v>606</v>
      </c>
      <c r="B776" s="66" t="s">
        <v>2516</v>
      </c>
      <c r="C776" s="50">
        <f t="shared" si="176"/>
        <v>182039</v>
      </c>
      <c r="D776" s="51">
        <f t="shared" si="180"/>
        <v>0</v>
      </c>
      <c r="E776" s="50"/>
      <c r="F776" s="51"/>
      <c r="G776" s="51"/>
      <c r="H776" s="51"/>
      <c r="I776" s="51"/>
      <c r="J776" s="51"/>
      <c r="K776" s="51"/>
      <c r="L776" s="51"/>
      <c r="M776" s="51"/>
      <c r="N776" s="50"/>
      <c r="O776" s="82"/>
      <c r="P776" s="50"/>
      <c r="Q776" s="82">
        <v>13</v>
      </c>
      <c r="R776" s="50">
        <f t="shared" si="181"/>
        <v>182039</v>
      </c>
      <c r="S776" s="68"/>
      <c r="T776" s="82"/>
      <c r="U776" s="51"/>
      <c r="V776" s="51"/>
      <c r="W776" s="178"/>
      <c r="X776" s="141"/>
      <c r="Y776" s="48"/>
      <c r="Z776" s="48"/>
      <c r="AA776" s="57"/>
      <c r="AB776" s="58"/>
      <c r="AC776" s="48" t="s">
        <v>379</v>
      </c>
      <c r="AD776" s="58"/>
      <c r="AE776" s="58"/>
    </row>
    <row r="777" spans="1:31" x14ac:dyDescent="0.3">
      <c r="A777" s="59">
        <f t="shared" si="179"/>
        <v>607</v>
      </c>
      <c r="B777" s="66" t="s">
        <v>2517</v>
      </c>
      <c r="C777" s="50">
        <f t="shared" si="176"/>
        <v>182039</v>
      </c>
      <c r="D777" s="51">
        <f t="shared" si="180"/>
        <v>0</v>
      </c>
      <c r="E777" s="50"/>
      <c r="F777" s="51"/>
      <c r="G777" s="51"/>
      <c r="H777" s="51"/>
      <c r="I777" s="51"/>
      <c r="J777" s="51"/>
      <c r="K777" s="51"/>
      <c r="L777" s="51"/>
      <c r="M777" s="51"/>
      <c r="N777" s="50"/>
      <c r="O777" s="82"/>
      <c r="P777" s="50"/>
      <c r="Q777" s="82">
        <v>13</v>
      </c>
      <c r="R777" s="50">
        <f t="shared" si="181"/>
        <v>182039</v>
      </c>
      <c r="S777" s="68"/>
      <c r="T777" s="82"/>
      <c r="U777" s="51"/>
      <c r="V777" s="51"/>
      <c r="W777" s="178"/>
      <c r="X777" s="141"/>
      <c r="Y777" s="48"/>
      <c r="Z777" s="48">
        <v>164202.04</v>
      </c>
      <c r="AA777" s="57"/>
      <c r="AB777" s="58"/>
      <c r="AC777" s="58"/>
      <c r="AD777" s="58"/>
      <c r="AE777" s="58"/>
    </row>
    <row r="778" spans="1:31" x14ac:dyDescent="0.3">
      <c r="A778" s="59">
        <f t="shared" si="179"/>
        <v>608</v>
      </c>
      <c r="B778" s="66" t="s">
        <v>2518</v>
      </c>
      <c r="C778" s="50">
        <f t="shared" si="176"/>
        <v>182039</v>
      </c>
      <c r="D778" s="51">
        <f t="shared" si="180"/>
        <v>0</v>
      </c>
      <c r="E778" s="50"/>
      <c r="F778" s="51"/>
      <c r="G778" s="51"/>
      <c r="H778" s="51"/>
      <c r="I778" s="50"/>
      <c r="J778" s="51"/>
      <c r="K778" s="51"/>
      <c r="L778" s="51"/>
      <c r="M778" s="51"/>
      <c r="N778" s="50"/>
      <c r="O778" s="82"/>
      <c r="P778" s="50"/>
      <c r="Q778" s="82">
        <v>13</v>
      </c>
      <c r="R778" s="50">
        <f t="shared" si="181"/>
        <v>182039</v>
      </c>
      <c r="S778" s="68"/>
      <c r="T778" s="82"/>
      <c r="U778" s="51"/>
      <c r="V778" s="51"/>
      <c r="W778" s="178"/>
      <c r="X778" s="141"/>
      <c r="Y778" s="48">
        <v>94246.42</v>
      </c>
      <c r="Z778" s="48"/>
      <c r="AA778" s="57"/>
      <c r="AB778" s="58"/>
      <c r="AC778" s="58"/>
      <c r="AD778" s="58"/>
      <c r="AE778" s="58" t="s">
        <v>25</v>
      </c>
    </row>
    <row r="779" spans="1:31" x14ac:dyDescent="0.3">
      <c r="A779" s="59">
        <f t="shared" si="179"/>
        <v>609</v>
      </c>
      <c r="B779" s="66" t="s">
        <v>2520</v>
      </c>
      <c r="C779" s="50">
        <f t="shared" si="176"/>
        <v>182039</v>
      </c>
      <c r="D779" s="51">
        <f t="shared" si="180"/>
        <v>0</v>
      </c>
      <c r="E779" s="50"/>
      <c r="F779" s="51"/>
      <c r="G779" s="51"/>
      <c r="H779" s="51"/>
      <c r="I779" s="51"/>
      <c r="J779" s="51"/>
      <c r="K779" s="51"/>
      <c r="L779" s="51"/>
      <c r="M779" s="51"/>
      <c r="N779" s="50"/>
      <c r="O779" s="82"/>
      <c r="P779" s="50"/>
      <c r="Q779" s="82">
        <v>13</v>
      </c>
      <c r="R779" s="50">
        <f>Q779*14003</f>
        <v>182039</v>
      </c>
      <c r="S779" s="68"/>
      <c r="T779" s="82"/>
      <c r="U779" s="51"/>
      <c r="V779" s="51"/>
      <c r="W779" s="178"/>
      <c r="X779" s="141"/>
      <c r="Y779" s="48">
        <v>207259.57</v>
      </c>
      <c r="Z779" s="48"/>
      <c r="AA779" s="48">
        <v>286934.15999999997</v>
      </c>
      <c r="AB779" s="58"/>
      <c r="AC779" s="58"/>
      <c r="AD779" s="58"/>
      <c r="AE779" s="58" t="s">
        <v>1395</v>
      </c>
    </row>
    <row r="780" spans="1:31" x14ac:dyDescent="0.3">
      <c r="A780" s="59">
        <f t="shared" si="179"/>
        <v>610</v>
      </c>
      <c r="B780" s="66" t="s">
        <v>2522</v>
      </c>
      <c r="C780" s="50">
        <f t="shared" si="176"/>
        <v>182039</v>
      </c>
      <c r="D780" s="51">
        <f t="shared" si="180"/>
        <v>0</v>
      </c>
      <c r="E780" s="50"/>
      <c r="F780" s="51"/>
      <c r="G780" s="51"/>
      <c r="H780" s="51"/>
      <c r="I780" s="51"/>
      <c r="J780" s="51"/>
      <c r="K780" s="51"/>
      <c r="L780" s="51"/>
      <c r="M780" s="51"/>
      <c r="N780" s="50"/>
      <c r="O780" s="82"/>
      <c r="P780" s="50"/>
      <c r="Q780" s="82">
        <v>13</v>
      </c>
      <c r="R780" s="50">
        <f>Q780*14003</f>
        <v>182039</v>
      </c>
      <c r="S780" s="68"/>
      <c r="T780" s="82"/>
      <c r="U780" s="51"/>
      <c r="V780" s="51"/>
      <c r="W780" s="178"/>
      <c r="X780" s="141"/>
      <c r="Y780" s="48"/>
      <c r="Z780" s="48"/>
      <c r="AA780" s="57"/>
      <c r="AB780" s="58"/>
      <c r="AC780" s="58"/>
      <c r="AD780" s="58"/>
      <c r="AE780" s="58"/>
    </row>
    <row r="781" spans="1:31" x14ac:dyDescent="0.3">
      <c r="A781" s="59">
        <f t="shared" si="179"/>
        <v>611</v>
      </c>
      <c r="B781" s="66" t="s">
        <v>2523</v>
      </c>
      <c r="C781" s="50">
        <f t="shared" si="176"/>
        <v>182039</v>
      </c>
      <c r="D781" s="51">
        <f t="shared" si="180"/>
        <v>0</v>
      </c>
      <c r="E781" s="50"/>
      <c r="F781" s="51"/>
      <c r="G781" s="51"/>
      <c r="H781" s="51"/>
      <c r="I781" s="51"/>
      <c r="J781" s="51"/>
      <c r="K781" s="51"/>
      <c r="L781" s="51"/>
      <c r="M781" s="51"/>
      <c r="N781" s="50"/>
      <c r="O781" s="382"/>
      <c r="P781" s="50"/>
      <c r="Q781" s="82">
        <v>13</v>
      </c>
      <c r="R781" s="50">
        <f>Q781*14003</f>
        <v>182039</v>
      </c>
      <c r="S781" s="68"/>
      <c r="T781" s="82"/>
      <c r="U781" s="51"/>
      <c r="V781" s="51"/>
      <c r="W781" s="178"/>
      <c r="X781" s="141"/>
      <c r="Y781" s="48">
        <v>277602.76</v>
      </c>
      <c r="Z781" s="48"/>
      <c r="AA781" s="48"/>
      <c r="AB781" s="58"/>
      <c r="AC781" s="58"/>
      <c r="AD781" s="58"/>
      <c r="AE781" s="58" t="s">
        <v>1395</v>
      </c>
    </row>
    <row r="782" spans="1:31" x14ac:dyDescent="0.3">
      <c r="A782" s="59">
        <f t="shared" si="179"/>
        <v>612</v>
      </c>
      <c r="B782" s="66" t="s">
        <v>2524</v>
      </c>
      <c r="C782" s="50">
        <f t="shared" si="176"/>
        <v>182039</v>
      </c>
      <c r="D782" s="51">
        <f t="shared" si="180"/>
        <v>0</v>
      </c>
      <c r="E782" s="51"/>
      <c r="F782" s="51"/>
      <c r="G782" s="51"/>
      <c r="H782" s="51"/>
      <c r="I782" s="51"/>
      <c r="J782" s="51"/>
      <c r="K782" s="51"/>
      <c r="L782" s="51"/>
      <c r="M782" s="51"/>
      <c r="N782" s="50"/>
      <c r="O782" s="382"/>
      <c r="P782" s="50"/>
      <c r="Q782" s="82">
        <v>13</v>
      </c>
      <c r="R782" s="50">
        <f>Q782*14003</f>
        <v>182039</v>
      </c>
      <c r="S782" s="68"/>
      <c r="T782" s="82"/>
      <c r="U782" s="51"/>
      <c r="V782" s="51"/>
      <c r="W782" s="178"/>
      <c r="X782" s="141"/>
      <c r="Y782" s="48"/>
      <c r="Z782" s="48"/>
      <c r="AA782" s="48"/>
      <c r="AB782" s="58"/>
      <c r="AC782" s="58"/>
      <c r="AD782" s="58"/>
      <c r="AE782" s="58"/>
    </row>
    <row r="783" spans="1:31" x14ac:dyDescent="0.3">
      <c r="A783" s="59">
        <f t="shared" si="179"/>
        <v>613</v>
      </c>
      <c r="B783" s="66" t="s">
        <v>2531</v>
      </c>
      <c r="C783" s="50">
        <f t="shared" si="176"/>
        <v>1952337.9999999998</v>
      </c>
      <c r="D783" s="51">
        <f t="shared" si="180"/>
        <v>0</v>
      </c>
      <c r="E783" s="50"/>
      <c r="F783" s="50"/>
      <c r="G783" s="51"/>
      <c r="H783" s="50"/>
      <c r="I783" s="50"/>
      <c r="J783" s="51"/>
      <c r="K783" s="51"/>
      <c r="L783" s="51"/>
      <c r="M783" s="51"/>
      <c r="N783" s="50"/>
      <c r="O783" s="82"/>
      <c r="P783" s="50"/>
      <c r="Q783" s="82"/>
      <c r="R783" s="51"/>
      <c r="S783" s="68"/>
      <c r="T783" s="82">
        <v>164.2</v>
      </c>
      <c r="U783" s="50">
        <f>T783*11890</f>
        <v>1952337.9999999998</v>
      </c>
      <c r="V783" s="51"/>
      <c r="W783" s="178"/>
      <c r="X783" s="141"/>
      <c r="Y783" s="48">
        <f>45371.23+43301.45+43301.45</f>
        <v>131974.13</v>
      </c>
      <c r="Z783" s="48">
        <v>99911.87</v>
      </c>
      <c r="AA783" s="48"/>
      <c r="AB783" s="48">
        <v>163623.79999999999</v>
      </c>
      <c r="AC783" s="48">
        <v>87388.12</v>
      </c>
      <c r="AD783" s="58"/>
      <c r="AE783" s="58" t="s">
        <v>2480</v>
      </c>
    </row>
    <row r="784" spans="1:31" x14ac:dyDescent="0.3">
      <c r="A784" s="59">
        <f t="shared" si="179"/>
        <v>614</v>
      </c>
      <c r="B784" s="66" t="s">
        <v>2533</v>
      </c>
      <c r="C784" s="50">
        <f t="shared" si="176"/>
        <v>182039</v>
      </c>
      <c r="D784" s="51">
        <f t="shared" si="180"/>
        <v>0</v>
      </c>
      <c r="E784" s="50"/>
      <c r="F784" s="51"/>
      <c r="G784" s="51"/>
      <c r="H784" s="51"/>
      <c r="I784" s="50"/>
      <c r="J784" s="51"/>
      <c r="K784" s="51"/>
      <c r="L784" s="51"/>
      <c r="M784" s="51"/>
      <c r="N784" s="50"/>
      <c r="O784" s="82"/>
      <c r="P784" s="50"/>
      <c r="Q784" s="82">
        <v>13</v>
      </c>
      <c r="R784" s="50">
        <f>Q784*14003</f>
        <v>182039</v>
      </c>
      <c r="S784" s="68"/>
      <c r="T784" s="82"/>
      <c r="U784" s="51"/>
      <c r="V784" s="51"/>
      <c r="W784" s="178"/>
      <c r="X784" s="141"/>
      <c r="Y784" s="48">
        <v>97465.36</v>
      </c>
      <c r="Z784" s="48"/>
      <c r="AA784" s="57"/>
      <c r="AB784" s="58"/>
      <c r="AC784" s="58"/>
      <c r="AD784" s="58"/>
      <c r="AE784" s="58" t="s">
        <v>25</v>
      </c>
    </row>
    <row r="785" spans="1:31" x14ac:dyDescent="0.3">
      <c r="A785" s="59">
        <f t="shared" si="179"/>
        <v>615</v>
      </c>
      <c r="B785" s="66" t="s">
        <v>2535</v>
      </c>
      <c r="C785" s="50">
        <f t="shared" si="176"/>
        <v>182039</v>
      </c>
      <c r="D785" s="51">
        <f t="shared" si="180"/>
        <v>0</v>
      </c>
      <c r="E785" s="50"/>
      <c r="F785" s="51"/>
      <c r="G785" s="51"/>
      <c r="H785" s="50"/>
      <c r="I785" s="50"/>
      <c r="J785" s="51"/>
      <c r="K785" s="51"/>
      <c r="L785" s="51"/>
      <c r="M785" s="51"/>
      <c r="N785" s="50"/>
      <c r="O785" s="82"/>
      <c r="P785" s="51"/>
      <c r="Q785" s="82">
        <v>13</v>
      </c>
      <c r="R785" s="50">
        <f>Q785*14003</f>
        <v>182039</v>
      </c>
      <c r="S785" s="68"/>
      <c r="T785" s="82"/>
      <c r="U785" s="51"/>
      <c r="V785" s="51"/>
      <c r="W785" s="178"/>
      <c r="X785" s="141"/>
      <c r="Y785" s="48">
        <f>50835+48604.51+48604.51</f>
        <v>148044.02000000002</v>
      </c>
      <c r="Z785" s="48"/>
      <c r="AA785" s="48"/>
      <c r="AB785" s="58"/>
      <c r="AC785" s="58"/>
      <c r="AD785" s="58"/>
      <c r="AE785" s="58" t="s">
        <v>2480</v>
      </c>
    </row>
    <row r="786" spans="1:31" x14ac:dyDescent="0.3">
      <c r="A786" s="59">
        <f t="shared" si="179"/>
        <v>616</v>
      </c>
      <c r="B786" s="66" t="s">
        <v>2539</v>
      </c>
      <c r="C786" s="50">
        <f t="shared" si="176"/>
        <v>182039</v>
      </c>
      <c r="D786" s="51">
        <f t="shared" si="180"/>
        <v>0</v>
      </c>
      <c r="E786" s="50"/>
      <c r="F786" s="50"/>
      <c r="G786" s="51"/>
      <c r="H786" s="50"/>
      <c r="I786" s="51"/>
      <c r="J786" s="51"/>
      <c r="K786" s="51"/>
      <c r="L786" s="51"/>
      <c r="M786" s="51"/>
      <c r="N786" s="50"/>
      <c r="O786" s="82"/>
      <c r="P786" s="50"/>
      <c r="Q786" s="82">
        <v>13</v>
      </c>
      <c r="R786" s="50">
        <f>Q786*14003</f>
        <v>182039</v>
      </c>
      <c r="S786" s="68"/>
      <c r="T786" s="82"/>
      <c r="U786" s="51"/>
      <c r="V786" s="51"/>
      <c r="W786" s="178"/>
      <c r="X786" s="141"/>
      <c r="Y786" s="48">
        <f>50194.64+44424.44</f>
        <v>94619.08</v>
      </c>
      <c r="Z786" s="48"/>
      <c r="AA786" s="48"/>
      <c r="AB786" s="58"/>
      <c r="AC786" s="58"/>
      <c r="AD786" s="58"/>
      <c r="AE786" s="58" t="s">
        <v>2498</v>
      </c>
    </row>
    <row r="787" spans="1:31" x14ac:dyDescent="0.3">
      <c r="A787" s="59">
        <f t="shared" si="179"/>
        <v>617</v>
      </c>
      <c r="B787" s="66" t="s">
        <v>2540</v>
      </c>
      <c r="C787" s="50">
        <f t="shared" si="176"/>
        <v>182039</v>
      </c>
      <c r="D787" s="51">
        <f t="shared" si="180"/>
        <v>0</v>
      </c>
      <c r="E787" s="50"/>
      <c r="F787" s="51"/>
      <c r="G787" s="51"/>
      <c r="H787" s="51"/>
      <c r="I787" s="50"/>
      <c r="J787" s="51"/>
      <c r="K787" s="51"/>
      <c r="L787" s="51"/>
      <c r="M787" s="51"/>
      <c r="N787" s="50"/>
      <c r="O787" s="82"/>
      <c r="P787" s="50"/>
      <c r="Q787" s="82">
        <v>13</v>
      </c>
      <c r="R787" s="50">
        <f>Q787*14003</f>
        <v>182039</v>
      </c>
      <c r="S787" s="68"/>
      <c r="T787" s="82"/>
      <c r="U787" s="51"/>
      <c r="V787" s="51"/>
      <c r="W787" s="178"/>
      <c r="X787" s="141"/>
      <c r="Y787" s="48">
        <f>48145.7+45984.18+45984.18</f>
        <v>140114.06</v>
      </c>
      <c r="Z787" s="48">
        <v>104048.93</v>
      </c>
      <c r="AA787" s="48"/>
      <c r="AB787" s="58"/>
      <c r="AC787" s="58"/>
      <c r="AD787" s="58"/>
      <c r="AE787" s="58" t="s">
        <v>2541</v>
      </c>
    </row>
    <row r="788" spans="1:31" x14ac:dyDescent="0.3">
      <c r="A788" s="59">
        <f t="shared" si="179"/>
        <v>618</v>
      </c>
      <c r="B788" s="66" t="s">
        <v>2544</v>
      </c>
      <c r="C788" s="50">
        <f t="shared" si="176"/>
        <v>182039</v>
      </c>
      <c r="D788" s="51">
        <f t="shared" si="180"/>
        <v>0</v>
      </c>
      <c r="E788" s="50"/>
      <c r="F788" s="51"/>
      <c r="G788" s="51"/>
      <c r="H788" s="51"/>
      <c r="I788" s="51"/>
      <c r="J788" s="51"/>
      <c r="K788" s="51"/>
      <c r="L788" s="51"/>
      <c r="M788" s="51"/>
      <c r="N788" s="50"/>
      <c r="O788" s="82"/>
      <c r="P788" s="50"/>
      <c r="Q788" s="82">
        <v>13</v>
      </c>
      <c r="R788" s="50">
        <f>Q788*14003</f>
        <v>182039</v>
      </c>
      <c r="S788" s="68"/>
      <c r="T788" s="82"/>
      <c r="U788" s="51"/>
      <c r="V788" s="51"/>
      <c r="W788" s="178"/>
      <c r="X788" s="141"/>
      <c r="Y788" s="48">
        <v>189018.58</v>
      </c>
      <c r="Z788" s="48"/>
      <c r="AA788" s="48">
        <v>278745.40000000002</v>
      </c>
      <c r="AB788" s="58"/>
      <c r="AC788" s="58"/>
      <c r="AD788" s="58"/>
      <c r="AE788" s="58" t="s">
        <v>1395</v>
      </c>
    </row>
    <row r="789" spans="1:31" x14ac:dyDescent="0.3">
      <c r="A789" s="59">
        <f t="shared" si="179"/>
        <v>619</v>
      </c>
      <c r="B789" s="66" t="s">
        <v>2545</v>
      </c>
      <c r="C789" s="50">
        <f t="shared" si="176"/>
        <v>19232592</v>
      </c>
      <c r="D789" s="51">
        <f t="shared" si="180"/>
        <v>0</v>
      </c>
      <c r="E789" s="50"/>
      <c r="F789" s="51"/>
      <c r="G789" s="51"/>
      <c r="H789" s="51"/>
      <c r="I789" s="51"/>
      <c r="J789" s="51"/>
      <c r="K789" s="51"/>
      <c r="L789" s="51"/>
      <c r="M789" s="51"/>
      <c r="N789" s="50"/>
      <c r="O789" s="82"/>
      <c r="P789" s="50"/>
      <c r="Q789" s="82">
        <v>3099.6</v>
      </c>
      <c r="R789" s="50">
        <v>19232592</v>
      </c>
      <c r="S789" s="68"/>
      <c r="T789" s="82"/>
      <c r="U789" s="51"/>
      <c r="V789" s="51"/>
      <c r="W789" s="178"/>
      <c r="X789" s="141"/>
      <c r="Y789" s="48">
        <v>184325.8</v>
      </c>
      <c r="Z789" s="48"/>
      <c r="AA789" s="48">
        <v>290461.82</v>
      </c>
      <c r="AB789" s="58"/>
      <c r="AC789" s="58"/>
      <c r="AD789" s="58"/>
      <c r="AE789" s="58" t="s">
        <v>1395</v>
      </c>
    </row>
    <row r="790" spans="1:31" x14ac:dyDescent="0.3">
      <c r="A790" s="59">
        <f t="shared" si="179"/>
        <v>620</v>
      </c>
      <c r="B790" s="66" t="s">
        <v>2553</v>
      </c>
      <c r="C790" s="50">
        <f t="shared" si="176"/>
        <v>17167154.399999999</v>
      </c>
      <c r="D790" s="51">
        <f t="shared" si="180"/>
        <v>0</v>
      </c>
      <c r="E790" s="50"/>
      <c r="F790" s="50"/>
      <c r="G790" s="51"/>
      <c r="H790" s="50"/>
      <c r="I790" s="51"/>
      <c r="J790" s="51"/>
      <c r="K790" s="51"/>
      <c r="L790" s="51"/>
      <c r="M790" s="51"/>
      <c r="N790" s="50"/>
      <c r="O790" s="82"/>
      <c r="P790" s="50"/>
      <c r="Q790" s="82">
        <v>3099.6</v>
      </c>
      <c r="R790" s="50">
        <v>17167154.399999999</v>
      </c>
      <c r="S790" s="68"/>
      <c r="T790" s="82"/>
      <c r="U790" s="51"/>
      <c r="V790" s="51"/>
      <c r="W790" s="178"/>
      <c r="X790" s="141"/>
      <c r="Y790" s="48">
        <f>260895.49
+199044.88</f>
        <v>459940.37</v>
      </c>
      <c r="Z790" s="48"/>
      <c r="AA790" s="48">
        <v>277043.42</v>
      </c>
      <c r="AB790" s="58"/>
      <c r="AC790" s="58"/>
      <c r="AD790" s="58"/>
      <c r="AE790" s="58" t="s">
        <v>1563</v>
      </c>
    </row>
    <row r="791" spans="1:31" x14ac:dyDescent="0.3">
      <c r="A791" s="59">
        <f t="shared" si="179"/>
        <v>621</v>
      </c>
      <c r="B791" s="66" t="s">
        <v>2554</v>
      </c>
      <c r="C791" s="50">
        <f t="shared" si="176"/>
        <v>182039</v>
      </c>
      <c r="D791" s="51">
        <f t="shared" si="180"/>
        <v>0</v>
      </c>
      <c r="E791" s="50"/>
      <c r="F791" s="50"/>
      <c r="G791" s="51"/>
      <c r="H791" s="51"/>
      <c r="I791" s="50"/>
      <c r="J791" s="51"/>
      <c r="K791" s="51"/>
      <c r="L791" s="51"/>
      <c r="M791" s="51"/>
      <c r="N791" s="50"/>
      <c r="O791" s="82"/>
      <c r="P791" s="50"/>
      <c r="Q791" s="82">
        <v>13</v>
      </c>
      <c r="R791" s="50">
        <f>Q791*14003</f>
        <v>182039</v>
      </c>
      <c r="S791" s="68"/>
      <c r="T791" s="82"/>
      <c r="U791" s="51"/>
      <c r="V791" s="51"/>
      <c r="W791" s="178"/>
      <c r="X791" s="141"/>
      <c r="Y791" s="48"/>
      <c r="Z791" s="48"/>
      <c r="AA791" s="57"/>
      <c r="AB791" s="58"/>
      <c r="AC791" s="58"/>
      <c r="AD791" s="58"/>
      <c r="AE791" s="58"/>
    </row>
    <row r="792" spans="1:31" x14ac:dyDescent="0.3">
      <c r="A792" s="59">
        <f t="shared" si="179"/>
        <v>622</v>
      </c>
      <c r="B792" s="66" t="s">
        <v>2562</v>
      </c>
      <c r="C792" s="50">
        <f t="shared" si="176"/>
        <v>2620821.6</v>
      </c>
      <c r="D792" s="51">
        <f t="shared" si="180"/>
        <v>0</v>
      </c>
      <c r="E792" s="50"/>
      <c r="F792" s="50"/>
      <c r="G792" s="51"/>
      <c r="H792" s="50"/>
      <c r="I792" s="50"/>
      <c r="J792" s="51"/>
      <c r="K792" s="51"/>
      <c r="L792" s="51"/>
      <c r="M792" s="51"/>
      <c r="N792" s="50"/>
      <c r="O792" s="82"/>
      <c r="P792" s="50"/>
      <c r="Q792" s="82">
        <v>611.4</v>
      </c>
      <c r="R792" s="50">
        <v>2620821.6</v>
      </c>
      <c r="S792" s="68"/>
      <c r="T792" s="82"/>
      <c r="U792" s="50"/>
      <c r="V792" s="51"/>
      <c r="W792" s="178"/>
      <c r="X792" s="141"/>
      <c r="Y792" s="48">
        <v>80297.66</v>
      </c>
      <c r="Z792" s="48"/>
      <c r="AA792" s="57"/>
      <c r="AB792" s="48"/>
      <c r="AC792" s="58"/>
      <c r="AD792" s="58"/>
      <c r="AE792" s="58" t="s">
        <v>2563</v>
      </c>
    </row>
    <row r="793" spans="1:31" x14ac:dyDescent="0.3">
      <c r="A793" s="59">
        <f t="shared" si="179"/>
        <v>623</v>
      </c>
      <c r="B793" s="66" t="s">
        <v>2565</v>
      </c>
      <c r="C793" s="50">
        <f t="shared" si="176"/>
        <v>182039</v>
      </c>
      <c r="D793" s="51">
        <f t="shared" si="180"/>
        <v>0</v>
      </c>
      <c r="E793" s="51"/>
      <c r="F793" s="51"/>
      <c r="G793" s="51"/>
      <c r="H793" s="50"/>
      <c r="I793" s="51"/>
      <c r="J793" s="51"/>
      <c r="K793" s="51"/>
      <c r="L793" s="51"/>
      <c r="M793" s="51"/>
      <c r="N793" s="50"/>
      <c r="O793" s="82"/>
      <c r="P793" s="50"/>
      <c r="Q793" s="82">
        <v>13</v>
      </c>
      <c r="R793" s="50">
        <f>Q793*14003</f>
        <v>182039</v>
      </c>
      <c r="S793" s="68"/>
      <c r="T793" s="82"/>
      <c r="U793" s="50"/>
      <c r="V793" s="51"/>
      <c r="W793" s="178"/>
      <c r="X793" s="141"/>
      <c r="Y793" s="48"/>
      <c r="Z793" s="48"/>
      <c r="AA793" s="57"/>
      <c r="AB793" s="58"/>
      <c r="AC793" s="58"/>
      <c r="AD793" s="58"/>
      <c r="AE793" s="58"/>
    </row>
    <row r="794" spans="1:31" x14ac:dyDescent="0.3">
      <c r="A794" s="59">
        <f t="shared" si="179"/>
        <v>624</v>
      </c>
      <c r="B794" s="66" t="s">
        <v>2569</v>
      </c>
      <c r="C794" s="50">
        <f t="shared" si="176"/>
        <v>182039</v>
      </c>
      <c r="D794" s="51">
        <f t="shared" si="180"/>
        <v>0</v>
      </c>
      <c r="E794" s="50"/>
      <c r="F794" s="51"/>
      <c r="G794" s="51"/>
      <c r="H794" s="51"/>
      <c r="I794" s="51"/>
      <c r="J794" s="51"/>
      <c r="K794" s="51"/>
      <c r="L794" s="51"/>
      <c r="M794" s="51"/>
      <c r="N794" s="50"/>
      <c r="O794" s="82"/>
      <c r="P794" s="50"/>
      <c r="Q794" s="82">
        <v>13</v>
      </c>
      <c r="R794" s="50">
        <f>Q794*14003</f>
        <v>182039</v>
      </c>
      <c r="S794" s="68"/>
      <c r="T794" s="82"/>
      <c r="U794" s="51"/>
      <c r="V794" s="51"/>
      <c r="W794" s="178"/>
      <c r="X794" s="141"/>
      <c r="Y794" s="48">
        <v>210142.7</v>
      </c>
      <c r="Z794" s="48">
        <v>381241.12</v>
      </c>
      <c r="AA794" s="48">
        <v>278698.37</v>
      </c>
      <c r="AB794" s="58"/>
      <c r="AC794" s="58"/>
      <c r="AD794" s="58"/>
      <c r="AE794" s="58" t="s">
        <v>1395</v>
      </c>
    </row>
    <row r="795" spans="1:31" x14ac:dyDescent="0.3">
      <c r="A795" s="59">
        <f t="shared" si="179"/>
        <v>625</v>
      </c>
      <c r="B795" s="66" t="s">
        <v>2573</v>
      </c>
      <c r="C795" s="50">
        <f t="shared" si="176"/>
        <v>182039</v>
      </c>
      <c r="D795" s="51">
        <f t="shared" si="180"/>
        <v>0</v>
      </c>
      <c r="E795" s="50"/>
      <c r="F795" s="51"/>
      <c r="G795" s="51"/>
      <c r="H795" s="51"/>
      <c r="I795" s="51"/>
      <c r="J795" s="51"/>
      <c r="K795" s="51"/>
      <c r="L795" s="51"/>
      <c r="M795" s="51"/>
      <c r="N795" s="50"/>
      <c r="O795" s="82"/>
      <c r="P795" s="50"/>
      <c r="Q795" s="82">
        <v>13</v>
      </c>
      <c r="R795" s="50">
        <f>Q795*14003</f>
        <v>182039</v>
      </c>
      <c r="S795" s="68"/>
      <c r="T795" s="82"/>
      <c r="U795" s="51"/>
      <c r="V795" s="51"/>
      <c r="W795" s="178"/>
      <c r="X795" s="141"/>
      <c r="Y795" s="48">
        <v>201194.23999999999</v>
      </c>
      <c r="Z795" s="48">
        <v>374441.35</v>
      </c>
      <c r="AA795" s="48">
        <v>247006.12</v>
      </c>
      <c r="AB795" s="58"/>
      <c r="AC795" s="58"/>
      <c r="AD795" s="58"/>
      <c r="AE795" s="58" t="s">
        <v>1395</v>
      </c>
    </row>
    <row r="796" spans="1:31" x14ac:dyDescent="0.3">
      <c r="A796" s="59">
        <f t="shared" si="179"/>
        <v>626</v>
      </c>
      <c r="B796" s="66" t="s">
        <v>2585</v>
      </c>
      <c r="C796" s="50">
        <f t="shared" si="176"/>
        <v>182039</v>
      </c>
      <c r="D796" s="51">
        <f t="shared" si="180"/>
        <v>0</v>
      </c>
      <c r="E796" s="50"/>
      <c r="F796" s="51"/>
      <c r="G796" s="51"/>
      <c r="H796" s="51"/>
      <c r="I796" s="51"/>
      <c r="J796" s="51"/>
      <c r="K796" s="51"/>
      <c r="L796" s="51"/>
      <c r="M796" s="51"/>
      <c r="N796" s="50"/>
      <c r="O796" s="82"/>
      <c r="P796" s="50"/>
      <c r="Q796" s="82">
        <v>13</v>
      </c>
      <c r="R796" s="50">
        <f>Q796*14003</f>
        <v>182039</v>
      </c>
      <c r="S796" s="68"/>
      <c r="T796" s="82"/>
      <c r="U796" s="51"/>
      <c r="V796" s="51"/>
      <c r="W796" s="178"/>
      <c r="X796" s="141"/>
      <c r="Y796" s="48">
        <v>133521.65</v>
      </c>
      <c r="Z796" s="48"/>
      <c r="AA796" s="48">
        <v>266365.13</v>
      </c>
      <c r="AB796" s="48">
        <v>716400.14</v>
      </c>
      <c r="AC796" s="58"/>
      <c r="AD796" s="58"/>
      <c r="AE796" s="58" t="s">
        <v>1393</v>
      </c>
    </row>
    <row r="797" spans="1:31" x14ac:dyDescent="0.3">
      <c r="A797" s="59">
        <f t="shared" si="179"/>
        <v>627</v>
      </c>
      <c r="B797" s="66" t="s">
        <v>2586</v>
      </c>
      <c r="C797" s="50">
        <f t="shared" si="176"/>
        <v>182039</v>
      </c>
      <c r="D797" s="51">
        <f t="shared" si="180"/>
        <v>0</v>
      </c>
      <c r="E797" s="50"/>
      <c r="F797" s="51"/>
      <c r="G797" s="51"/>
      <c r="H797" s="51"/>
      <c r="I797" s="51"/>
      <c r="J797" s="51"/>
      <c r="K797" s="51"/>
      <c r="L797" s="51"/>
      <c r="M797" s="51"/>
      <c r="N797" s="50"/>
      <c r="O797" s="82"/>
      <c r="P797" s="50"/>
      <c r="Q797" s="82">
        <v>13</v>
      </c>
      <c r="R797" s="50">
        <f>Q797*14003</f>
        <v>182039</v>
      </c>
      <c r="S797" s="68"/>
      <c r="T797" s="82"/>
      <c r="U797" s="51"/>
      <c r="V797" s="51"/>
      <c r="W797" s="178"/>
      <c r="X797" s="141"/>
      <c r="Y797" s="48">
        <v>209681.08</v>
      </c>
      <c r="Z797" s="48"/>
      <c r="AA797" s="48">
        <v>330689.09000000003</v>
      </c>
      <c r="AB797" s="48">
        <v>1200968.93</v>
      </c>
      <c r="AC797" s="58"/>
      <c r="AD797" s="58"/>
      <c r="AE797" s="58" t="s">
        <v>1393</v>
      </c>
    </row>
    <row r="798" spans="1:31" x14ac:dyDescent="0.3">
      <c r="A798" s="177" t="s">
        <v>211</v>
      </c>
      <c r="B798" s="131"/>
      <c r="C798" s="50">
        <f t="shared" ref="C798:W798" si="182">SUM(C759:C797)</f>
        <v>67932930.799999997</v>
      </c>
      <c r="D798" s="50">
        <f t="shared" si="182"/>
        <v>0</v>
      </c>
      <c r="E798" s="50">
        <f t="shared" si="182"/>
        <v>0</v>
      </c>
      <c r="F798" s="50">
        <f t="shared" si="182"/>
        <v>0</v>
      </c>
      <c r="G798" s="50">
        <f t="shared" si="182"/>
        <v>0</v>
      </c>
      <c r="H798" s="50">
        <f t="shared" si="182"/>
        <v>0</v>
      </c>
      <c r="I798" s="50">
        <f t="shared" si="182"/>
        <v>0</v>
      </c>
      <c r="J798" s="50">
        <f t="shared" si="182"/>
        <v>0</v>
      </c>
      <c r="K798" s="50">
        <f t="shared" si="182"/>
        <v>0</v>
      </c>
      <c r="L798" s="50">
        <f t="shared" si="182"/>
        <v>0</v>
      </c>
      <c r="M798" s="50">
        <f t="shared" si="182"/>
        <v>0</v>
      </c>
      <c r="N798" s="50">
        <f t="shared" si="182"/>
        <v>0</v>
      </c>
      <c r="O798" s="68">
        <f t="shared" si="182"/>
        <v>0</v>
      </c>
      <c r="P798" s="50">
        <f t="shared" si="182"/>
        <v>0</v>
      </c>
      <c r="Q798" s="68">
        <f t="shared" si="182"/>
        <v>11675.5</v>
      </c>
      <c r="R798" s="50">
        <f t="shared" si="182"/>
        <v>65980592.799999997</v>
      </c>
      <c r="S798" s="68">
        <f t="shared" si="182"/>
        <v>0</v>
      </c>
      <c r="T798" s="68">
        <f t="shared" si="182"/>
        <v>164.2</v>
      </c>
      <c r="U798" s="50">
        <f t="shared" si="182"/>
        <v>1952337.9999999998</v>
      </c>
      <c r="V798" s="50">
        <f t="shared" si="182"/>
        <v>0</v>
      </c>
      <c r="W798" s="34">
        <f t="shared" si="182"/>
        <v>0</v>
      </c>
      <c r="X798" s="141"/>
      <c r="Y798" s="48"/>
      <c r="Z798" s="48"/>
      <c r="AA798" s="57"/>
      <c r="AB798" s="58"/>
      <c r="AC798" s="58"/>
      <c r="AD798" s="58"/>
      <c r="AE798" s="58"/>
    </row>
    <row r="799" spans="1:31" x14ac:dyDescent="0.3">
      <c r="A799" s="176" t="s">
        <v>2590</v>
      </c>
      <c r="B799" s="147"/>
      <c r="C799" s="50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0"/>
      <c r="O799" s="82"/>
      <c r="P799" s="51"/>
      <c r="Q799" s="82"/>
      <c r="R799" s="51"/>
      <c r="S799" s="68"/>
      <c r="T799" s="82"/>
      <c r="U799" s="51"/>
      <c r="V799" s="51"/>
      <c r="W799" s="178"/>
      <c r="X799" s="141"/>
      <c r="Y799" s="48"/>
      <c r="Z799" s="48"/>
      <c r="AA799" s="57"/>
      <c r="AB799" s="58"/>
      <c r="AC799" s="58"/>
      <c r="AD799" s="58"/>
      <c r="AE799" s="58"/>
    </row>
    <row r="800" spans="1:31" x14ac:dyDescent="0.3">
      <c r="A800" s="59">
        <f>A797+1</f>
        <v>628</v>
      </c>
      <c r="B800" s="66" t="s">
        <v>2591</v>
      </c>
      <c r="C800" s="50">
        <f>D800+K800+L800+N800+P800+R800+S800+U800+V800+W800</f>
        <v>973895.94</v>
      </c>
      <c r="D800" s="51">
        <f>E800+F800+G800+H800+I800</f>
        <v>0</v>
      </c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82"/>
      <c r="P800" s="51"/>
      <c r="Q800" s="82"/>
      <c r="R800" s="51"/>
      <c r="S800" s="68"/>
      <c r="T800" s="82"/>
      <c r="U800" s="51"/>
      <c r="V800" s="51"/>
      <c r="W800" s="178">
        <f>SUM(Y800:AD800)</f>
        <v>973895.94</v>
      </c>
      <c r="X800" s="141"/>
      <c r="Y800" s="48"/>
      <c r="Z800" s="48">
        <v>193730.98</v>
      </c>
      <c r="AA800" s="48">
        <v>453957.22</v>
      </c>
      <c r="AB800" s="48">
        <v>326207.74</v>
      </c>
      <c r="AC800" s="58"/>
      <c r="AD800" s="58"/>
      <c r="AE800" s="58"/>
    </row>
    <row r="801" spans="1:31" x14ac:dyDescent="0.3">
      <c r="A801" s="59">
        <f t="shared" ref="A801:A802" si="183">A800+1</f>
        <v>629</v>
      </c>
      <c r="B801" s="66" t="s">
        <v>2592</v>
      </c>
      <c r="C801" s="50">
        <f>D801+K801+L801+N801+P801+R801+S801+U801+V801+W801</f>
        <v>986370.44</v>
      </c>
      <c r="D801" s="51">
        <f>E801+F801+G801+H801+I801</f>
        <v>0</v>
      </c>
      <c r="E801" s="51"/>
      <c r="F801" s="51"/>
      <c r="G801" s="51"/>
      <c r="H801" s="51"/>
      <c r="I801" s="51"/>
      <c r="J801" s="51"/>
      <c r="K801" s="51"/>
      <c r="L801" s="51"/>
      <c r="M801" s="51"/>
      <c r="N801" s="50"/>
      <c r="O801" s="82"/>
      <c r="P801" s="51"/>
      <c r="Q801" s="82"/>
      <c r="R801" s="51"/>
      <c r="S801" s="68"/>
      <c r="T801" s="82"/>
      <c r="U801" s="51"/>
      <c r="V801" s="51"/>
      <c r="W801" s="178">
        <f>SUM(Y801:AD801)</f>
        <v>986370.44</v>
      </c>
      <c r="X801" s="141"/>
      <c r="Y801" s="48"/>
      <c r="Z801" s="48"/>
      <c r="AA801" s="57"/>
      <c r="AB801" s="48">
        <v>986370.44</v>
      </c>
      <c r="AC801" s="58"/>
      <c r="AD801" s="58"/>
      <c r="AE801" s="58"/>
    </row>
    <row r="802" spans="1:31" x14ac:dyDescent="0.3">
      <c r="A802" s="59">
        <f t="shared" si="183"/>
        <v>630</v>
      </c>
      <c r="B802" s="66" t="s">
        <v>2593</v>
      </c>
      <c r="C802" s="50">
        <f>D802+K802+L802+N802+P802+R802+S802+U802+V802+W802</f>
        <v>844529.45</v>
      </c>
      <c r="D802" s="51">
        <f>E802+F802+G802+H802+I802</f>
        <v>0</v>
      </c>
      <c r="E802" s="51"/>
      <c r="F802" s="51"/>
      <c r="G802" s="51"/>
      <c r="H802" s="51"/>
      <c r="I802" s="51"/>
      <c r="J802" s="51"/>
      <c r="K802" s="51"/>
      <c r="L802" s="51"/>
      <c r="M802" s="51"/>
      <c r="N802" s="50"/>
      <c r="O802" s="82"/>
      <c r="P802" s="51"/>
      <c r="Q802" s="82"/>
      <c r="R802" s="51"/>
      <c r="S802" s="68"/>
      <c r="T802" s="82"/>
      <c r="U802" s="51"/>
      <c r="V802" s="51"/>
      <c r="W802" s="178">
        <f>SUM(Y802:AD802)</f>
        <v>844529.45</v>
      </c>
      <c r="X802" s="141"/>
      <c r="Y802" s="48"/>
      <c r="Z802" s="48"/>
      <c r="AA802" s="57"/>
      <c r="AB802" s="48">
        <v>844529.45</v>
      </c>
      <c r="AC802" s="58"/>
      <c r="AD802" s="58"/>
      <c r="AE802" s="58"/>
    </row>
    <row r="803" spans="1:31" ht="15.75" x14ac:dyDescent="0.25">
      <c r="A803" s="59"/>
      <c r="B803" s="131"/>
      <c r="C803" s="50">
        <f t="shared" ref="C803:R803" si="184">SUM(C800:C802)</f>
        <v>2804795.83</v>
      </c>
      <c r="D803" s="50">
        <f t="shared" si="184"/>
        <v>0</v>
      </c>
      <c r="E803" s="50">
        <f t="shared" si="184"/>
        <v>0</v>
      </c>
      <c r="F803" s="50">
        <f t="shared" si="184"/>
        <v>0</v>
      </c>
      <c r="G803" s="50">
        <f t="shared" si="184"/>
        <v>0</v>
      </c>
      <c r="H803" s="50">
        <f t="shared" si="184"/>
        <v>0</v>
      </c>
      <c r="I803" s="50">
        <f t="shared" si="184"/>
        <v>0</v>
      </c>
      <c r="J803" s="50">
        <f t="shared" si="184"/>
        <v>0</v>
      </c>
      <c r="K803" s="50">
        <f t="shared" si="184"/>
        <v>0</v>
      </c>
      <c r="L803" s="50">
        <f t="shared" si="184"/>
        <v>0</v>
      </c>
      <c r="M803" s="50">
        <f t="shared" si="184"/>
        <v>0</v>
      </c>
      <c r="N803" s="50">
        <f t="shared" si="184"/>
        <v>0</v>
      </c>
      <c r="O803" s="68">
        <f t="shared" si="184"/>
        <v>0</v>
      </c>
      <c r="P803" s="50">
        <f t="shared" si="184"/>
        <v>0</v>
      </c>
      <c r="Q803" s="68">
        <f t="shared" si="184"/>
        <v>0</v>
      </c>
      <c r="R803" s="50">
        <f t="shared" si="184"/>
        <v>0</v>
      </c>
      <c r="S803" s="68">
        <f>SUM(S800:S802)</f>
        <v>0</v>
      </c>
      <c r="T803" s="68">
        <f>SUM(T800:T802)</f>
        <v>0</v>
      </c>
      <c r="U803" s="50">
        <f>SUM(U800:U802)</f>
        <v>0</v>
      </c>
      <c r="V803" s="50">
        <f>SUM(V800:V802)</f>
        <v>0</v>
      </c>
      <c r="W803" s="34">
        <f>SUM(W800:W802)</f>
        <v>2804795.83</v>
      </c>
      <c r="X803" s="141"/>
      <c r="Y803" s="48"/>
      <c r="Z803" s="48"/>
      <c r="AA803" s="57"/>
      <c r="AB803" s="58"/>
      <c r="AC803" s="58"/>
      <c r="AD803" s="58"/>
      <c r="AE803" s="58"/>
    </row>
    <row r="804" spans="1:31" x14ac:dyDescent="0.3">
      <c r="A804" s="167" t="s">
        <v>2594</v>
      </c>
      <c r="B804" s="148"/>
      <c r="C804" s="50">
        <f t="shared" ref="C804:R804" si="185">C803+C798+C757</f>
        <v>70867726.629999995</v>
      </c>
      <c r="D804" s="50">
        <f t="shared" si="185"/>
        <v>0</v>
      </c>
      <c r="E804" s="50">
        <f t="shared" si="185"/>
        <v>0</v>
      </c>
      <c r="F804" s="50">
        <f t="shared" si="185"/>
        <v>0</v>
      </c>
      <c r="G804" s="50">
        <f t="shared" si="185"/>
        <v>0</v>
      </c>
      <c r="H804" s="50">
        <f t="shared" si="185"/>
        <v>0</v>
      </c>
      <c r="I804" s="50">
        <f t="shared" si="185"/>
        <v>0</v>
      </c>
      <c r="J804" s="50">
        <f t="shared" si="185"/>
        <v>0</v>
      </c>
      <c r="K804" s="50">
        <f t="shared" si="185"/>
        <v>0</v>
      </c>
      <c r="L804" s="50">
        <f t="shared" si="185"/>
        <v>0</v>
      </c>
      <c r="M804" s="50">
        <f t="shared" si="185"/>
        <v>0</v>
      </c>
      <c r="N804" s="50">
        <f t="shared" si="185"/>
        <v>0</v>
      </c>
      <c r="O804" s="68">
        <f t="shared" si="185"/>
        <v>0</v>
      </c>
      <c r="P804" s="50">
        <f t="shared" si="185"/>
        <v>0</v>
      </c>
      <c r="Q804" s="68">
        <f t="shared" si="185"/>
        <v>11675.5</v>
      </c>
      <c r="R804" s="50">
        <f t="shared" si="185"/>
        <v>65980592.799999997</v>
      </c>
      <c r="S804" s="68">
        <f>S803+S798+S757</f>
        <v>0</v>
      </c>
      <c r="T804" s="68">
        <f>T803+T798+T757</f>
        <v>164.2</v>
      </c>
      <c r="U804" s="50">
        <f>U803+U798+U757</f>
        <v>1952337.9999999998</v>
      </c>
      <c r="V804" s="50">
        <f>V803+V798+V757</f>
        <v>0</v>
      </c>
      <c r="W804" s="34">
        <f>W803+W798+W757</f>
        <v>2934795.83</v>
      </c>
      <c r="X804" s="141"/>
      <c r="Y804" s="48"/>
      <c r="Z804" s="48"/>
      <c r="AA804" s="57"/>
      <c r="AB804" s="58"/>
      <c r="AC804" s="58"/>
      <c r="AD804" s="58"/>
      <c r="AE804" s="58"/>
    </row>
    <row r="805" spans="1:31" x14ac:dyDescent="0.3">
      <c r="A805" s="478" t="s">
        <v>2595</v>
      </c>
      <c r="B805" s="478"/>
      <c r="C805" s="478"/>
      <c r="D805" s="478"/>
      <c r="E805" s="478"/>
      <c r="F805" s="478"/>
      <c r="G805" s="478"/>
      <c r="H805" s="478"/>
      <c r="I805" s="478"/>
      <c r="J805" s="478"/>
      <c r="K805" s="478"/>
      <c r="L805" s="478"/>
      <c r="M805" s="478"/>
      <c r="N805" s="478"/>
      <c r="O805" s="478"/>
      <c r="P805" s="478"/>
      <c r="Q805" s="478"/>
      <c r="R805" s="478"/>
      <c r="S805" s="478"/>
      <c r="T805" s="478"/>
      <c r="U805" s="478"/>
      <c r="V805" s="478"/>
      <c r="W805" s="478"/>
      <c r="X805" s="285"/>
      <c r="Y805" s="9"/>
      <c r="Z805" s="40"/>
      <c r="AA805" s="7"/>
      <c r="AB805" s="56"/>
      <c r="AC805" s="56"/>
    </row>
    <row r="806" spans="1:31" x14ac:dyDescent="0.3">
      <c r="A806" s="448" t="s">
        <v>2596</v>
      </c>
      <c r="B806" s="448"/>
      <c r="C806" s="50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0"/>
      <c r="O806" s="82"/>
      <c r="P806" s="51"/>
      <c r="Q806" s="82"/>
      <c r="R806" s="50"/>
      <c r="S806" s="68"/>
      <c r="T806" s="82"/>
      <c r="U806" s="51"/>
      <c r="V806" s="51"/>
      <c r="W806" s="178"/>
      <c r="X806" s="285"/>
      <c r="Y806" s="9"/>
      <c r="Z806" s="40"/>
      <c r="AA806" s="7"/>
      <c r="AB806" s="56"/>
      <c r="AC806" s="56"/>
    </row>
    <row r="807" spans="1:31" x14ac:dyDescent="0.3">
      <c r="A807" s="59">
        <f>A802+1</f>
        <v>631</v>
      </c>
      <c r="B807" s="66" t="s">
        <v>2598</v>
      </c>
      <c r="C807" s="50">
        <f>D807+K807+L807+N807+P807+R807+S807+U807+V807+W807</f>
        <v>130000</v>
      </c>
      <c r="D807" s="51">
        <f>E807+F807+G807+H807+I807</f>
        <v>0</v>
      </c>
      <c r="E807" s="51"/>
      <c r="F807" s="51"/>
      <c r="G807" s="51"/>
      <c r="H807" s="51"/>
      <c r="I807" s="51"/>
      <c r="J807" s="51"/>
      <c r="K807" s="51"/>
      <c r="L807" s="51"/>
      <c r="M807" s="51"/>
      <c r="N807" s="50"/>
      <c r="O807" s="82"/>
      <c r="P807" s="51"/>
      <c r="Q807" s="82"/>
      <c r="R807" s="50"/>
      <c r="S807" s="68"/>
      <c r="T807" s="82"/>
      <c r="U807" s="51"/>
      <c r="V807" s="51"/>
      <c r="W807" s="178">
        <v>130000</v>
      </c>
      <c r="X807" s="285"/>
      <c r="Y807" s="9"/>
      <c r="Z807" s="40"/>
      <c r="AA807" s="7"/>
      <c r="AB807" s="56"/>
      <c r="AC807" s="56"/>
    </row>
    <row r="808" spans="1:31" x14ac:dyDescent="0.3">
      <c r="A808" s="59">
        <f t="shared" ref="A808" si="186">A807+1</f>
        <v>632</v>
      </c>
      <c r="B808" s="66" t="s">
        <v>2599</v>
      </c>
      <c r="C808" s="50">
        <f>D808+K808+L808+N808+P808+R808+S808+U808+V808+W808</f>
        <v>130000</v>
      </c>
      <c r="D808" s="51">
        <f>E808+F808+G808+H808+I808</f>
        <v>0</v>
      </c>
      <c r="E808" s="51"/>
      <c r="F808" s="51"/>
      <c r="G808" s="51"/>
      <c r="H808" s="51"/>
      <c r="I808" s="51"/>
      <c r="J808" s="51"/>
      <c r="K808" s="51"/>
      <c r="L808" s="51"/>
      <c r="M808" s="51"/>
      <c r="N808" s="50"/>
      <c r="O808" s="82"/>
      <c r="P808" s="51"/>
      <c r="Q808" s="82"/>
      <c r="R808" s="50"/>
      <c r="S808" s="68"/>
      <c r="T808" s="82"/>
      <c r="U808" s="51"/>
      <c r="V808" s="51"/>
      <c r="W808" s="178">
        <v>130000</v>
      </c>
      <c r="X808" s="285"/>
      <c r="Y808" s="9"/>
      <c r="Z808" s="40"/>
      <c r="AA808" s="7"/>
      <c r="AB808" s="56"/>
      <c r="AC808" s="56"/>
    </row>
    <row r="809" spans="1:31" x14ac:dyDescent="0.3">
      <c r="A809" s="449" t="s">
        <v>211</v>
      </c>
      <c r="B809" s="449"/>
      <c r="C809" s="50">
        <f t="shared" ref="C809:W809" si="187">SUM(C807:C808)</f>
        <v>260000</v>
      </c>
      <c r="D809" s="50">
        <f t="shared" si="187"/>
        <v>0</v>
      </c>
      <c r="E809" s="50">
        <f t="shared" si="187"/>
        <v>0</v>
      </c>
      <c r="F809" s="50">
        <f t="shared" si="187"/>
        <v>0</v>
      </c>
      <c r="G809" s="50">
        <f t="shared" si="187"/>
        <v>0</v>
      </c>
      <c r="H809" s="50">
        <f t="shared" si="187"/>
        <v>0</v>
      </c>
      <c r="I809" s="50">
        <f t="shared" si="187"/>
        <v>0</v>
      </c>
      <c r="J809" s="50">
        <f t="shared" si="187"/>
        <v>0</v>
      </c>
      <c r="K809" s="50">
        <f t="shared" si="187"/>
        <v>0</v>
      </c>
      <c r="L809" s="50">
        <f t="shared" si="187"/>
        <v>0</v>
      </c>
      <c r="M809" s="50">
        <f t="shared" si="187"/>
        <v>0</v>
      </c>
      <c r="N809" s="50">
        <f t="shared" si="187"/>
        <v>0</v>
      </c>
      <c r="O809" s="68">
        <f t="shared" si="187"/>
        <v>0</v>
      </c>
      <c r="P809" s="50">
        <f t="shared" si="187"/>
        <v>0</v>
      </c>
      <c r="Q809" s="68">
        <f t="shared" si="187"/>
        <v>0</v>
      </c>
      <c r="R809" s="50">
        <f t="shared" si="187"/>
        <v>0</v>
      </c>
      <c r="S809" s="68">
        <f t="shared" si="187"/>
        <v>0</v>
      </c>
      <c r="T809" s="68">
        <f t="shared" si="187"/>
        <v>0</v>
      </c>
      <c r="U809" s="50">
        <f t="shared" si="187"/>
        <v>0</v>
      </c>
      <c r="V809" s="50">
        <f t="shared" si="187"/>
        <v>0</v>
      </c>
      <c r="W809" s="34">
        <f t="shared" si="187"/>
        <v>260000</v>
      </c>
      <c r="X809" s="285"/>
      <c r="Y809" s="9"/>
      <c r="Z809" s="40"/>
      <c r="AA809" s="7"/>
      <c r="AB809" s="56"/>
      <c r="AC809" s="56"/>
    </row>
    <row r="810" spans="1:31" ht="16.5" customHeight="1" x14ac:dyDescent="0.3">
      <c r="A810" s="448" t="s">
        <v>2600</v>
      </c>
      <c r="B810" s="448"/>
      <c r="C810" s="50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0"/>
      <c r="O810" s="82"/>
      <c r="P810" s="51"/>
      <c r="Q810" s="82"/>
      <c r="R810" s="50"/>
      <c r="S810" s="68"/>
      <c r="T810" s="82"/>
      <c r="U810" s="51"/>
      <c r="V810" s="51"/>
      <c r="W810" s="178"/>
      <c r="X810" s="285"/>
      <c r="Y810" s="9"/>
      <c r="Z810" s="40"/>
      <c r="AA810" s="7"/>
      <c r="AB810" s="56"/>
      <c r="AC810" s="56"/>
    </row>
    <row r="811" spans="1:31" x14ac:dyDescent="0.3">
      <c r="A811" s="59">
        <f>A808+1</f>
        <v>633</v>
      </c>
      <c r="B811" s="66" t="s">
        <v>2610</v>
      </c>
      <c r="C811" s="50">
        <f>D811+K811+L811+N811+P811+R811+S811+U811+V811+W811</f>
        <v>17114338.800000001</v>
      </c>
      <c r="D811" s="51">
        <f t="shared" ref="D811:D812" si="188">E811+F811+G811+H811+I811</f>
        <v>0</v>
      </c>
      <c r="E811" s="51"/>
      <c r="F811" s="51"/>
      <c r="G811" s="51"/>
      <c r="H811" s="51"/>
      <c r="I811" s="51"/>
      <c r="J811" s="51"/>
      <c r="K811" s="51"/>
      <c r="L811" s="51"/>
      <c r="M811" s="51"/>
      <c r="N811" s="50"/>
      <c r="O811" s="82"/>
      <c r="P811" s="51"/>
      <c r="Q811" s="82">
        <v>2327</v>
      </c>
      <c r="R811" s="50">
        <v>17114338.800000001</v>
      </c>
      <c r="S811" s="68"/>
      <c r="T811" s="82"/>
      <c r="U811" s="51"/>
      <c r="V811" s="50"/>
      <c r="W811" s="178"/>
      <c r="X811" s="285"/>
      <c r="Y811" s="9"/>
      <c r="Z811" s="306"/>
      <c r="AA811" s="9"/>
      <c r="AB811" s="302"/>
      <c r="AC811" s="302"/>
    </row>
    <row r="812" spans="1:31" x14ac:dyDescent="0.3">
      <c r="A812" s="59">
        <f t="shared" ref="A812" si="189">A811+1</f>
        <v>634</v>
      </c>
      <c r="B812" s="66" t="s">
        <v>2613</v>
      </c>
      <c r="C812" s="50">
        <f>D812+K812+L812+N812+P812+R812+S812+U812+V812+W812</f>
        <v>16308234.300000001</v>
      </c>
      <c r="D812" s="51">
        <f t="shared" si="188"/>
        <v>0</v>
      </c>
      <c r="E812" s="50"/>
      <c r="F812" s="51"/>
      <c r="G812" s="51"/>
      <c r="H812" s="51"/>
      <c r="I812" s="51"/>
      <c r="J812" s="51"/>
      <c r="K812" s="51"/>
      <c r="L812" s="51"/>
      <c r="M812" s="51"/>
      <c r="N812" s="50"/>
      <c r="O812" s="82"/>
      <c r="P812" s="51"/>
      <c r="Q812" s="82">
        <v>1543</v>
      </c>
      <c r="R812" s="50">
        <v>16308234.300000001</v>
      </c>
      <c r="S812" s="68"/>
      <c r="T812" s="82"/>
      <c r="U812" s="51"/>
      <c r="V812" s="51"/>
      <c r="W812" s="178"/>
      <c r="X812" s="285"/>
      <c r="Y812" s="9"/>
      <c r="Z812" s="306"/>
      <c r="AA812" s="9"/>
      <c r="AB812" s="302"/>
      <c r="AC812" s="302"/>
    </row>
    <row r="813" spans="1:31" x14ac:dyDescent="0.3">
      <c r="A813" s="449" t="s">
        <v>211</v>
      </c>
      <c r="B813" s="449"/>
      <c r="C813" s="50">
        <f t="shared" ref="C813:W813" si="190">SUM(C811:C812)</f>
        <v>33422573.100000001</v>
      </c>
      <c r="D813" s="50">
        <f t="shared" si="190"/>
        <v>0</v>
      </c>
      <c r="E813" s="50">
        <f t="shared" si="190"/>
        <v>0</v>
      </c>
      <c r="F813" s="50">
        <f t="shared" si="190"/>
        <v>0</v>
      </c>
      <c r="G813" s="50">
        <f t="shared" si="190"/>
        <v>0</v>
      </c>
      <c r="H813" s="50">
        <f t="shared" si="190"/>
        <v>0</v>
      </c>
      <c r="I813" s="50">
        <f t="shared" si="190"/>
        <v>0</v>
      </c>
      <c r="J813" s="50">
        <f t="shared" si="190"/>
        <v>0</v>
      </c>
      <c r="K813" s="50">
        <f t="shared" si="190"/>
        <v>0</v>
      </c>
      <c r="L813" s="50">
        <f t="shared" si="190"/>
        <v>0</v>
      </c>
      <c r="M813" s="50">
        <f t="shared" si="190"/>
        <v>0</v>
      </c>
      <c r="N813" s="50">
        <f t="shared" si="190"/>
        <v>0</v>
      </c>
      <c r="O813" s="68">
        <f t="shared" si="190"/>
        <v>0</v>
      </c>
      <c r="P813" s="50">
        <f t="shared" si="190"/>
        <v>0</v>
      </c>
      <c r="Q813" s="68">
        <f t="shared" si="190"/>
        <v>3870</v>
      </c>
      <c r="R813" s="50">
        <f t="shared" si="190"/>
        <v>33422573.100000001</v>
      </c>
      <c r="S813" s="68">
        <f t="shared" si="190"/>
        <v>0</v>
      </c>
      <c r="T813" s="68">
        <f t="shared" si="190"/>
        <v>0</v>
      </c>
      <c r="U813" s="50">
        <f t="shared" si="190"/>
        <v>0</v>
      </c>
      <c r="V813" s="50">
        <f t="shared" si="190"/>
        <v>0</v>
      </c>
      <c r="W813" s="34">
        <f t="shared" si="190"/>
        <v>0</v>
      </c>
      <c r="X813" s="285"/>
      <c r="Y813" s="9"/>
      <c r="Z813" s="306"/>
      <c r="AA813" s="9"/>
      <c r="AB813" s="302"/>
      <c r="AC813" s="302"/>
    </row>
    <row r="814" spans="1:31" ht="15.75" hidden="1" x14ac:dyDescent="0.25">
      <c r="A814" s="448" t="s">
        <v>2614</v>
      </c>
      <c r="B814" s="448"/>
      <c r="C814" s="50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0"/>
      <c r="O814" s="82"/>
      <c r="P814" s="51"/>
      <c r="Q814" s="82"/>
      <c r="R814" s="50"/>
      <c r="S814" s="68"/>
      <c r="T814" s="82"/>
      <c r="U814" s="51"/>
      <c r="V814" s="51"/>
      <c r="W814" s="178"/>
      <c r="X814" s="285"/>
      <c r="Y814" s="9"/>
      <c r="Z814" s="306"/>
      <c r="AA814" s="9"/>
      <c r="AB814" s="302"/>
      <c r="AC814" s="302"/>
    </row>
    <row r="815" spans="1:31" ht="15.75" hidden="1" x14ac:dyDescent="0.25">
      <c r="A815" s="59">
        <f>A812+1</f>
        <v>635</v>
      </c>
      <c r="B815" s="66" t="s">
        <v>2615</v>
      </c>
      <c r="C815" s="50">
        <f t="shared" ref="C815:C820" si="191">D815+K815+L815+N815+P815+R815+S815+U815+V815+W815</f>
        <v>0</v>
      </c>
      <c r="D815" s="51">
        <f t="shared" ref="D815:D820" si="192">E815+F815+G815+H815+I815</f>
        <v>0</v>
      </c>
      <c r="E815" s="50"/>
      <c r="F815" s="50"/>
      <c r="G815" s="50"/>
      <c r="H815" s="50"/>
      <c r="I815" s="51"/>
      <c r="J815" s="51"/>
      <c r="K815" s="51"/>
      <c r="L815" s="51"/>
      <c r="M815" s="51"/>
      <c r="N815" s="50"/>
      <c r="O815" s="82"/>
      <c r="P815" s="51"/>
      <c r="Q815" s="82"/>
      <c r="R815" s="51"/>
      <c r="S815" s="68"/>
      <c r="T815" s="82"/>
      <c r="U815" s="51"/>
      <c r="V815" s="51"/>
      <c r="W815" s="178"/>
      <c r="X815" s="285">
        <v>107164.56</v>
      </c>
      <c r="Y815" s="9">
        <v>197618.05</v>
      </c>
      <c r="Z815" s="306"/>
      <c r="AA815" s="9">
        <v>331229.86</v>
      </c>
      <c r="AB815" s="302">
        <v>182634.91</v>
      </c>
      <c r="AC815" s="302"/>
    </row>
    <row r="816" spans="1:31" ht="15.75" hidden="1" x14ac:dyDescent="0.25">
      <c r="A816" s="59">
        <f>A815+1</f>
        <v>636</v>
      </c>
      <c r="B816" s="66" t="s">
        <v>2616</v>
      </c>
      <c r="C816" s="50">
        <f t="shared" si="191"/>
        <v>0</v>
      </c>
      <c r="D816" s="51">
        <f t="shared" si="192"/>
        <v>0</v>
      </c>
      <c r="E816" s="50"/>
      <c r="F816" s="50"/>
      <c r="G816" s="50"/>
      <c r="H816" s="50"/>
      <c r="I816" s="51"/>
      <c r="J816" s="51"/>
      <c r="K816" s="51"/>
      <c r="L816" s="51"/>
      <c r="M816" s="51"/>
      <c r="N816" s="50"/>
      <c r="O816" s="82"/>
      <c r="P816" s="51"/>
      <c r="Q816" s="82"/>
      <c r="R816" s="51"/>
      <c r="S816" s="68"/>
      <c r="T816" s="82"/>
      <c r="U816" s="51"/>
      <c r="V816" s="51"/>
      <c r="W816" s="178"/>
      <c r="X816" s="285">
        <f>102638.23+120893.3+101053.79</f>
        <v>324585.32</v>
      </c>
      <c r="Y816" s="9">
        <v>189483.86</v>
      </c>
      <c r="Z816" s="306"/>
      <c r="AA816" s="9">
        <v>317780.03000000003</v>
      </c>
      <c r="AB816" s="302">
        <v>175354.57</v>
      </c>
      <c r="AC816" s="302"/>
    </row>
    <row r="817" spans="1:29" ht="15.75" hidden="1" x14ac:dyDescent="0.25">
      <c r="A817" s="59">
        <f>A816+1</f>
        <v>637</v>
      </c>
      <c r="B817" s="66" t="s">
        <v>2617</v>
      </c>
      <c r="C817" s="50">
        <f t="shared" si="191"/>
        <v>0</v>
      </c>
      <c r="D817" s="51">
        <f t="shared" si="192"/>
        <v>0</v>
      </c>
      <c r="E817" s="50"/>
      <c r="F817" s="50"/>
      <c r="G817" s="50"/>
      <c r="H817" s="50"/>
      <c r="I817" s="51"/>
      <c r="J817" s="51"/>
      <c r="K817" s="51"/>
      <c r="L817" s="51"/>
      <c r="M817" s="51"/>
      <c r="N817" s="50"/>
      <c r="O817" s="82"/>
      <c r="P817" s="51"/>
      <c r="Q817" s="82"/>
      <c r="R817" s="51"/>
      <c r="S817" s="68"/>
      <c r="T817" s="82"/>
      <c r="U817" s="51"/>
      <c r="V817" s="51"/>
      <c r="W817" s="178"/>
      <c r="X817" s="285">
        <f>102638.23+120893.3+101053.79</f>
        <v>324585.32</v>
      </c>
      <c r="Y817" s="9">
        <v>189483.86</v>
      </c>
      <c r="Z817" s="306"/>
      <c r="AA817" s="9">
        <v>317780.03000000003</v>
      </c>
      <c r="AB817" s="302">
        <v>175354.57</v>
      </c>
      <c r="AC817" s="302"/>
    </row>
    <row r="818" spans="1:29" ht="15.75" hidden="1" x14ac:dyDescent="0.25">
      <c r="A818" s="59">
        <f>A817+1</f>
        <v>638</v>
      </c>
      <c r="B818" s="66" t="s">
        <v>2618</v>
      </c>
      <c r="C818" s="50">
        <f t="shared" si="191"/>
        <v>0</v>
      </c>
      <c r="D818" s="51">
        <f t="shared" si="192"/>
        <v>0</v>
      </c>
      <c r="E818" s="50"/>
      <c r="F818" s="50"/>
      <c r="G818" s="50"/>
      <c r="H818" s="50"/>
      <c r="I818" s="51"/>
      <c r="J818" s="51"/>
      <c r="K818" s="51"/>
      <c r="L818" s="51"/>
      <c r="M818" s="51"/>
      <c r="N818" s="50"/>
      <c r="O818" s="82"/>
      <c r="P818" s="51"/>
      <c r="Q818" s="82"/>
      <c r="R818" s="51"/>
      <c r="S818" s="68"/>
      <c r="T818" s="82"/>
      <c r="U818" s="51"/>
      <c r="V818" s="51"/>
      <c r="W818" s="178"/>
      <c r="X818" s="285">
        <f>103495.62+121755.54+101872.32</f>
        <v>327123.48</v>
      </c>
      <c r="Y818" s="9">
        <v>190809.13</v>
      </c>
      <c r="Z818" s="306"/>
      <c r="AA818" s="9">
        <v>320066.95</v>
      </c>
      <c r="AB818" s="302">
        <v>176663.95</v>
      </c>
      <c r="AC818" s="302"/>
    </row>
    <row r="819" spans="1:29" ht="15.75" hidden="1" x14ac:dyDescent="0.25">
      <c r="A819" s="59">
        <f>A818+1</f>
        <v>639</v>
      </c>
      <c r="B819" s="66" t="s">
        <v>2619</v>
      </c>
      <c r="C819" s="50">
        <f t="shared" si="191"/>
        <v>0</v>
      </c>
      <c r="D819" s="51">
        <f t="shared" si="192"/>
        <v>0</v>
      </c>
      <c r="E819" s="50"/>
      <c r="F819" s="50"/>
      <c r="G819" s="50"/>
      <c r="H819" s="50"/>
      <c r="I819" s="51"/>
      <c r="J819" s="51"/>
      <c r="K819" s="51"/>
      <c r="L819" s="51"/>
      <c r="M819" s="51"/>
      <c r="N819" s="50"/>
      <c r="O819" s="82"/>
      <c r="P819" s="51"/>
      <c r="Q819" s="82"/>
      <c r="R819" s="51"/>
      <c r="S819" s="68"/>
      <c r="T819" s="82"/>
      <c r="U819" s="51"/>
      <c r="V819" s="51"/>
      <c r="W819" s="178"/>
      <c r="X819" s="285">
        <f>103495.62+121755.54+101872.32</f>
        <v>327123.48</v>
      </c>
      <c r="Y819" s="9">
        <v>190809.13</v>
      </c>
      <c r="Z819" s="306"/>
      <c r="AA819" s="9">
        <v>320066.95</v>
      </c>
      <c r="AB819" s="302">
        <v>176663.95</v>
      </c>
      <c r="AC819" s="302"/>
    </row>
    <row r="820" spans="1:29" ht="15.75" hidden="1" x14ac:dyDescent="0.25">
      <c r="A820" s="59">
        <f>A819+1</f>
        <v>640</v>
      </c>
      <c r="B820" s="66" t="s">
        <v>2620</v>
      </c>
      <c r="C820" s="50">
        <f t="shared" si="191"/>
        <v>0</v>
      </c>
      <c r="D820" s="51">
        <f t="shared" si="192"/>
        <v>0</v>
      </c>
      <c r="E820" s="50"/>
      <c r="F820" s="50"/>
      <c r="G820" s="50"/>
      <c r="H820" s="51"/>
      <c r="I820" s="51"/>
      <c r="J820" s="51"/>
      <c r="K820" s="51"/>
      <c r="L820" s="51"/>
      <c r="M820" s="51"/>
      <c r="N820" s="50"/>
      <c r="O820" s="82"/>
      <c r="P820" s="51"/>
      <c r="Q820" s="82"/>
      <c r="R820" s="51"/>
      <c r="S820" s="68"/>
      <c r="T820" s="82"/>
      <c r="U820" s="51"/>
      <c r="V820" s="51"/>
      <c r="W820" s="178"/>
      <c r="X820" s="285">
        <f>108508.02+106657.58+126796.21</f>
        <v>341961.81</v>
      </c>
      <c r="Y820" s="9">
        <v>198556.75</v>
      </c>
      <c r="Z820" s="306"/>
      <c r="AA820" s="9">
        <v>333436.62</v>
      </c>
      <c r="AB820" s="302">
        <v>184318.79</v>
      </c>
      <c r="AC820" s="302"/>
    </row>
    <row r="821" spans="1:29" ht="15.75" hidden="1" x14ac:dyDescent="0.25">
      <c r="A821" s="449" t="s">
        <v>211</v>
      </c>
      <c r="B821" s="449"/>
      <c r="C821" s="50">
        <f t="shared" ref="C821:W821" si="193">SUM(C815:C820)</f>
        <v>0</v>
      </c>
      <c r="D821" s="50">
        <f t="shared" si="193"/>
        <v>0</v>
      </c>
      <c r="E821" s="50">
        <f t="shared" si="193"/>
        <v>0</v>
      </c>
      <c r="F821" s="50">
        <f t="shared" si="193"/>
        <v>0</v>
      </c>
      <c r="G821" s="50">
        <f t="shared" si="193"/>
        <v>0</v>
      </c>
      <c r="H821" s="50">
        <f t="shared" si="193"/>
        <v>0</v>
      </c>
      <c r="I821" s="50">
        <f t="shared" si="193"/>
        <v>0</v>
      </c>
      <c r="J821" s="50">
        <f t="shared" si="193"/>
        <v>0</v>
      </c>
      <c r="K821" s="50">
        <f t="shared" si="193"/>
        <v>0</v>
      </c>
      <c r="L821" s="50">
        <f t="shared" si="193"/>
        <v>0</v>
      </c>
      <c r="M821" s="50">
        <f t="shared" si="193"/>
        <v>0</v>
      </c>
      <c r="N821" s="50">
        <f t="shared" si="193"/>
        <v>0</v>
      </c>
      <c r="O821" s="68">
        <f t="shared" si="193"/>
        <v>0</v>
      </c>
      <c r="P821" s="50">
        <f t="shared" si="193"/>
        <v>0</v>
      </c>
      <c r="Q821" s="68">
        <f t="shared" si="193"/>
        <v>0</v>
      </c>
      <c r="R821" s="50">
        <f t="shared" si="193"/>
        <v>0</v>
      </c>
      <c r="S821" s="68">
        <f t="shared" si="193"/>
        <v>0</v>
      </c>
      <c r="T821" s="68">
        <f t="shared" si="193"/>
        <v>0</v>
      </c>
      <c r="U821" s="50">
        <f t="shared" si="193"/>
        <v>0</v>
      </c>
      <c r="V821" s="50">
        <f t="shared" si="193"/>
        <v>0</v>
      </c>
      <c r="W821" s="34">
        <f t="shared" si="193"/>
        <v>0</v>
      </c>
      <c r="X821" s="285"/>
      <c r="Y821" s="9"/>
      <c r="Z821" s="306"/>
      <c r="AA821" s="9"/>
      <c r="AB821" s="302"/>
      <c r="AC821" s="302"/>
    </row>
    <row r="822" spans="1:29" x14ac:dyDescent="0.3">
      <c r="A822" s="448" t="s">
        <v>2621</v>
      </c>
      <c r="B822" s="448"/>
      <c r="C822" s="50"/>
      <c r="D822" s="51">
        <f>E822+F822+G822+H822+I822</f>
        <v>0</v>
      </c>
      <c r="E822" s="51"/>
      <c r="F822" s="51"/>
      <c r="G822" s="51"/>
      <c r="H822" s="51"/>
      <c r="I822" s="51"/>
      <c r="J822" s="51"/>
      <c r="K822" s="51"/>
      <c r="L822" s="51"/>
      <c r="M822" s="51"/>
      <c r="N822" s="50"/>
      <c r="O822" s="82"/>
      <c r="P822" s="51"/>
      <c r="Q822" s="82"/>
      <c r="R822" s="50"/>
      <c r="S822" s="68"/>
      <c r="T822" s="82"/>
      <c r="U822" s="51"/>
      <c r="V822" s="51"/>
      <c r="W822" s="178"/>
      <c r="X822" s="285"/>
      <c r="Y822" s="9"/>
      <c r="Z822" s="306"/>
      <c r="AA822" s="9"/>
      <c r="AB822" s="302"/>
      <c r="AC822" s="302"/>
    </row>
    <row r="823" spans="1:29" x14ac:dyDescent="0.3">
      <c r="A823" s="59">
        <f>A820+1</f>
        <v>641</v>
      </c>
      <c r="B823" s="66" t="s">
        <v>2622</v>
      </c>
      <c r="C823" s="50">
        <f>D823+K823+L823+N823+P823+R823+S823+U823+V823+W823</f>
        <v>66078821.5</v>
      </c>
      <c r="D823" s="51">
        <f>E823+F823+G823+H823+I823</f>
        <v>0</v>
      </c>
      <c r="E823" s="51"/>
      <c r="F823" s="51"/>
      <c r="G823" s="51"/>
      <c r="H823" s="51"/>
      <c r="I823" s="51"/>
      <c r="J823" s="51"/>
      <c r="K823" s="51"/>
      <c r="L823" s="51"/>
      <c r="M823" s="51"/>
      <c r="N823" s="50"/>
      <c r="O823" s="82"/>
      <c r="P823" s="51"/>
      <c r="Q823" s="82">
        <v>7464</v>
      </c>
      <c r="R823" s="50">
        <v>66078821.5</v>
      </c>
      <c r="S823" s="68"/>
      <c r="T823" s="82"/>
      <c r="U823" s="51"/>
      <c r="V823" s="51"/>
      <c r="W823" s="178"/>
      <c r="X823" s="285"/>
      <c r="Y823" s="9"/>
      <c r="Z823" s="306"/>
      <c r="AA823" s="9"/>
      <c r="AB823" s="302"/>
      <c r="AC823" s="302"/>
    </row>
    <row r="824" spans="1:29" x14ac:dyDescent="0.3">
      <c r="A824" s="59">
        <f>A823+1</f>
        <v>642</v>
      </c>
      <c r="B824" s="66" t="s">
        <v>2623</v>
      </c>
      <c r="C824" s="50">
        <f>D824+K824+L824+N824+P824+R824+S824+U824+V824+W824</f>
        <v>17281753.300000001</v>
      </c>
      <c r="D824" s="51">
        <f>E824+F824+G824+H824+I824</f>
        <v>0</v>
      </c>
      <c r="E824" s="51"/>
      <c r="F824" s="51"/>
      <c r="G824" s="51"/>
      <c r="H824" s="51"/>
      <c r="I824" s="51"/>
      <c r="J824" s="51"/>
      <c r="K824" s="51"/>
      <c r="L824" s="51"/>
      <c r="M824" s="51"/>
      <c r="N824" s="50"/>
      <c r="O824" s="82"/>
      <c r="P824" s="51"/>
      <c r="Q824" s="82">
        <v>2248.8000000000002</v>
      </c>
      <c r="R824" s="50">
        <v>17281753.300000001</v>
      </c>
      <c r="S824" s="68"/>
      <c r="T824" s="82"/>
      <c r="U824" s="51"/>
      <c r="V824" s="51"/>
      <c r="W824" s="178"/>
      <c r="X824" s="285"/>
      <c r="Y824" s="9"/>
      <c r="Z824" s="306"/>
      <c r="AA824" s="9"/>
      <c r="AB824" s="302"/>
      <c r="AC824" s="302"/>
    </row>
    <row r="825" spans="1:29" x14ac:dyDescent="0.3">
      <c r="A825" s="59">
        <f>A824+1</f>
        <v>643</v>
      </c>
      <c r="B825" s="66" t="s">
        <v>2624</v>
      </c>
      <c r="C825" s="50">
        <f>D825+K825+L825+N825+P825+R825+S825+U825+V825+W825</f>
        <v>17281753.300000001</v>
      </c>
      <c r="D825" s="51">
        <f>E825+F825+G825+H825+I825</f>
        <v>0</v>
      </c>
      <c r="E825" s="51"/>
      <c r="F825" s="51"/>
      <c r="G825" s="51"/>
      <c r="H825" s="51"/>
      <c r="I825" s="51"/>
      <c r="J825" s="51"/>
      <c r="K825" s="51"/>
      <c r="L825" s="51"/>
      <c r="M825" s="51"/>
      <c r="N825" s="50"/>
      <c r="O825" s="82"/>
      <c r="P825" s="51"/>
      <c r="Q825" s="82">
        <v>2248.8000000000002</v>
      </c>
      <c r="R825" s="50">
        <v>17281753.300000001</v>
      </c>
      <c r="S825" s="68"/>
      <c r="T825" s="82"/>
      <c r="U825" s="51"/>
      <c r="V825" s="51"/>
      <c r="W825" s="178"/>
      <c r="X825" s="285"/>
      <c r="Y825" s="9"/>
      <c r="Z825" s="306"/>
      <c r="AA825" s="9"/>
      <c r="AB825" s="302"/>
      <c r="AC825" s="302"/>
    </row>
    <row r="826" spans="1:29" x14ac:dyDescent="0.3">
      <c r="A826" s="59">
        <f>A825+1</f>
        <v>644</v>
      </c>
      <c r="B826" s="66" t="s">
        <v>2625</v>
      </c>
      <c r="C826" s="50">
        <f>D826+K826+L826+N826+P826+R826+S826+U826+V826+W826</f>
        <v>17871674.399999999</v>
      </c>
      <c r="D826" s="51">
        <f>E826+F826+G826+H826+I826</f>
        <v>0</v>
      </c>
      <c r="E826" s="51"/>
      <c r="F826" s="51"/>
      <c r="G826" s="51"/>
      <c r="H826" s="51"/>
      <c r="I826" s="51"/>
      <c r="J826" s="51"/>
      <c r="K826" s="51"/>
      <c r="L826" s="51"/>
      <c r="M826" s="51"/>
      <c r="N826" s="50"/>
      <c r="O826" s="82"/>
      <c r="P826" s="51"/>
      <c r="Q826" s="82">
        <v>3354</v>
      </c>
      <c r="R826" s="50">
        <v>17871674.399999999</v>
      </c>
      <c r="S826" s="68"/>
      <c r="T826" s="82"/>
      <c r="U826" s="51"/>
      <c r="V826" s="51"/>
      <c r="W826" s="178"/>
      <c r="X826" s="285"/>
      <c r="Y826" s="9"/>
      <c r="Z826" s="306"/>
      <c r="AA826" s="9"/>
      <c r="AB826" s="302"/>
      <c r="AC826" s="302"/>
    </row>
    <row r="827" spans="1:29" x14ac:dyDescent="0.3">
      <c r="A827" s="449" t="s">
        <v>211</v>
      </c>
      <c r="B827" s="449"/>
      <c r="C827" s="50">
        <f t="shared" ref="C827:W827" si="194">SUM(C823:C826)</f>
        <v>118514002.5</v>
      </c>
      <c r="D827" s="50">
        <f t="shared" si="194"/>
        <v>0</v>
      </c>
      <c r="E827" s="50">
        <f t="shared" si="194"/>
        <v>0</v>
      </c>
      <c r="F827" s="50">
        <f t="shared" si="194"/>
        <v>0</v>
      </c>
      <c r="G827" s="50">
        <f t="shared" si="194"/>
        <v>0</v>
      </c>
      <c r="H827" s="50">
        <f t="shared" si="194"/>
        <v>0</v>
      </c>
      <c r="I827" s="50">
        <f t="shared" si="194"/>
        <v>0</v>
      </c>
      <c r="J827" s="50">
        <f t="shared" si="194"/>
        <v>0</v>
      </c>
      <c r="K827" s="50">
        <f t="shared" si="194"/>
        <v>0</v>
      </c>
      <c r="L827" s="50">
        <f t="shared" si="194"/>
        <v>0</v>
      </c>
      <c r="M827" s="50">
        <f t="shared" si="194"/>
        <v>0</v>
      </c>
      <c r="N827" s="50">
        <f t="shared" si="194"/>
        <v>0</v>
      </c>
      <c r="O827" s="68">
        <f t="shared" si="194"/>
        <v>0</v>
      </c>
      <c r="P827" s="50">
        <f t="shared" si="194"/>
        <v>0</v>
      </c>
      <c r="Q827" s="68">
        <f t="shared" si="194"/>
        <v>15315.599999999999</v>
      </c>
      <c r="R827" s="50">
        <f t="shared" si="194"/>
        <v>118514002.5</v>
      </c>
      <c r="S827" s="68">
        <f t="shared" si="194"/>
        <v>0</v>
      </c>
      <c r="T827" s="68">
        <f t="shared" si="194"/>
        <v>0</v>
      </c>
      <c r="U827" s="50">
        <f t="shared" si="194"/>
        <v>0</v>
      </c>
      <c r="V827" s="50">
        <f t="shared" si="194"/>
        <v>0</v>
      </c>
      <c r="W827" s="34">
        <f t="shared" si="194"/>
        <v>0</v>
      </c>
      <c r="X827" s="285"/>
      <c r="Y827" s="9"/>
      <c r="Z827" s="306"/>
      <c r="AA827" s="9"/>
      <c r="AB827" s="302"/>
      <c r="AC827" s="302"/>
    </row>
    <row r="828" spans="1:29" x14ac:dyDescent="0.3">
      <c r="A828" s="448" t="s">
        <v>2626</v>
      </c>
      <c r="B828" s="448"/>
      <c r="C828" s="50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0"/>
      <c r="O828" s="82"/>
      <c r="P828" s="51"/>
      <c r="Q828" s="82"/>
      <c r="R828" s="50"/>
      <c r="S828" s="68"/>
      <c r="T828" s="82"/>
      <c r="U828" s="51"/>
      <c r="V828" s="51"/>
      <c r="W828" s="178"/>
      <c r="X828" s="285"/>
      <c r="Y828" s="9"/>
      <c r="Z828" s="306"/>
      <c r="AA828" s="9"/>
      <c r="AB828" s="302"/>
      <c r="AC828" s="302"/>
    </row>
    <row r="829" spans="1:29" x14ac:dyDescent="0.3">
      <c r="A829" s="59">
        <f>A826+1</f>
        <v>645</v>
      </c>
      <c r="B829" s="66" t="s">
        <v>2638</v>
      </c>
      <c r="C829" s="50">
        <f>D829+K829+L829+N829+P829+R829+S829+U829+V829+W829</f>
        <v>4994337.9400000004</v>
      </c>
      <c r="D829" s="51">
        <f>E829+F829+G829+H829+I829</f>
        <v>0</v>
      </c>
      <c r="E829" s="50"/>
      <c r="F829" s="51"/>
      <c r="G829" s="50"/>
      <c r="H829" s="50"/>
      <c r="I829" s="50"/>
      <c r="J829" s="51"/>
      <c r="K829" s="51"/>
      <c r="L829" s="51"/>
      <c r="M829" s="51"/>
      <c r="N829" s="50"/>
      <c r="O829" s="82"/>
      <c r="P829" s="50"/>
      <c r="Q829" s="82">
        <v>518</v>
      </c>
      <c r="R829" s="50">
        <v>4994337.9400000004</v>
      </c>
      <c r="S829" s="68"/>
      <c r="T829" s="82"/>
      <c r="U829" s="50"/>
      <c r="V829" s="51"/>
      <c r="W829" s="178"/>
      <c r="X829" s="285"/>
      <c r="Y829" s="9"/>
      <c r="Z829" s="306"/>
      <c r="AA829" s="9"/>
      <c r="AB829" s="302"/>
      <c r="AC829" s="302"/>
    </row>
    <row r="830" spans="1:29" x14ac:dyDescent="0.3">
      <c r="A830" s="449" t="s">
        <v>211</v>
      </c>
      <c r="B830" s="449"/>
      <c r="C830" s="50">
        <f t="shared" ref="C830:W830" si="195">SUM(C829:C829)</f>
        <v>4994337.9400000004</v>
      </c>
      <c r="D830" s="50">
        <f t="shared" si="195"/>
        <v>0</v>
      </c>
      <c r="E830" s="50">
        <f t="shared" si="195"/>
        <v>0</v>
      </c>
      <c r="F830" s="50">
        <f t="shared" si="195"/>
        <v>0</v>
      </c>
      <c r="G830" s="50">
        <f t="shared" si="195"/>
        <v>0</v>
      </c>
      <c r="H830" s="50">
        <f t="shared" si="195"/>
        <v>0</v>
      </c>
      <c r="I830" s="50">
        <f t="shared" si="195"/>
        <v>0</v>
      </c>
      <c r="J830" s="50">
        <f t="shared" si="195"/>
        <v>0</v>
      </c>
      <c r="K830" s="50">
        <f t="shared" si="195"/>
        <v>0</v>
      </c>
      <c r="L830" s="50">
        <f t="shared" si="195"/>
        <v>0</v>
      </c>
      <c r="M830" s="50">
        <f t="shared" si="195"/>
        <v>0</v>
      </c>
      <c r="N830" s="50">
        <f t="shared" si="195"/>
        <v>0</v>
      </c>
      <c r="O830" s="68">
        <f t="shared" si="195"/>
        <v>0</v>
      </c>
      <c r="P830" s="50">
        <f t="shared" si="195"/>
        <v>0</v>
      </c>
      <c r="Q830" s="68">
        <f t="shared" si="195"/>
        <v>518</v>
      </c>
      <c r="R830" s="50">
        <f t="shared" si="195"/>
        <v>4994337.9400000004</v>
      </c>
      <c r="S830" s="68">
        <f t="shared" si="195"/>
        <v>0</v>
      </c>
      <c r="T830" s="68">
        <f t="shared" si="195"/>
        <v>0</v>
      </c>
      <c r="U830" s="50">
        <f t="shared" si="195"/>
        <v>0</v>
      </c>
      <c r="V830" s="50">
        <f t="shared" si="195"/>
        <v>0</v>
      </c>
      <c r="W830" s="34">
        <f t="shared" si="195"/>
        <v>0</v>
      </c>
      <c r="X830" s="285"/>
      <c r="Y830" s="9"/>
      <c r="Z830" s="306"/>
      <c r="AA830" s="9"/>
      <c r="AB830" s="302"/>
      <c r="AC830" s="302"/>
    </row>
    <row r="831" spans="1:29" ht="15.75" hidden="1" x14ac:dyDescent="0.25">
      <c r="A831" s="448" t="s">
        <v>2643</v>
      </c>
      <c r="B831" s="448"/>
      <c r="C831" s="50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0"/>
      <c r="O831" s="82"/>
      <c r="P831" s="51"/>
      <c r="Q831" s="82"/>
      <c r="R831" s="50"/>
      <c r="S831" s="68"/>
      <c r="T831" s="82"/>
      <c r="U831" s="51"/>
      <c r="V831" s="51"/>
      <c r="W831" s="178"/>
      <c r="X831" s="285"/>
      <c r="Y831" s="9"/>
      <c r="Z831" s="306"/>
      <c r="AA831" s="9"/>
      <c r="AB831" s="302"/>
      <c r="AC831" s="302"/>
    </row>
    <row r="832" spans="1:29" ht="15.75" hidden="1" x14ac:dyDescent="0.25">
      <c r="A832" s="59" t="e">
        <f>#REF!+1</f>
        <v>#REF!</v>
      </c>
      <c r="B832" s="66" t="s">
        <v>2644</v>
      </c>
      <c r="C832" s="50">
        <f>D832+K832+L832+N832+P832+R832+S832+U832+V832+W832</f>
        <v>0</v>
      </c>
      <c r="D832" s="51">
        <f>E832+F832+G832+H832+I832</f>
        <v>0</v>
      </c>
      <c r="E832" s="51"/>
      <c r="F832" s="51"/>
      <c r="G832" s="51"/>
      <c r="H832" s="51"/>
      <c r="I832" s="51"/>
      <c r="J832" s="51"/>
      <c r="K832" s="51"/>
      <c r="L832" s="51"/>
      <c r="M832" s="51"/>
      <c r="N832" s="50"/>
      <c r="O832" s="82"/>
      <c r="P832" s="51"/>
      <c r="Q832" s="82"/>
      <c r="R832" s="50"/>
      <c r="S832" s="68"/>
      <c r="T832" s="82"/>
      <c r="U832" s="51"/>
      <c r="V832" s="51"/>
      <c r="W832" s="178"/>
      <c r="X832" s="285"/>
      <c r="Y832" s="9"/>
      <c r="Z832" s="306"/>
      <c r="AA832" s="9"/>
      <c r="AB832" s="302"/>
      <c r="AC832" s="302"/>
    </row>
    <row r="833" spans="1:29" ht="15.75" hidden="1" x14ac:dyDescent="0.25">
      <c r="A833" s="59" t="e">
        <f>A832+1</f>
        <v>#REF!</v>
      </c>
      <c r="B833" s="66" t="s">
        <v>2645</v>
      </c>
      <c r="C833" s="50">
        <f>D833+K833+L833+N833+P833+R833+S833+U833+V833+W833</f>
        <v>0</v>
      </c>
      <c r="D833" s="51">
        <f>E833+F833+G833+H833+I833</f>
        <v>0</v>
      </c>
      <c r="E833" s="51"/>
      <c r="F833" s="51"/>
      <c r="G833" s="51"/>
      <c r="H833" s="51"/>
      <c r="I833" s="51"/>
      <c r="J833" s="51"/>
      <c r="K833" s="51"/>
      <c r="L833" s="51"/>
      <c r="M833" s="51"/>
      <c r="N833" s="50"/>
      <c r="O833" s="82"/>
      <c r="P833" s="51"/>
      <c r="Q833" s="82"/>
      <c r="R833" s="51"/>
      <c r="S833" s="68"/>
      <c r="T833" s="82"/>
      <c r="U833" s="51"/>
      <c r="V833" s="51"/>
      <c r="W833" s="178"/>
      <c r="X833" s="285">
        <f>89139.88+93100.81+106968.2</f>
        <v>289208.89</v>
      </c>
      <c r="Y833" s="9">
        <v>167445.18</v>
      </c>
      <c r="Z833" s="306"/>
      <c r="AA833" s="9">
        <v>279824.27</v>
      </c>
      <c r="AB833" s="302"/>
      <c r="AC833" s="302"/>
    </row>
    <row r="834" spans="1:29" ht="15.75" hidden="1" x14ac:dyDescent="0.25">
      <c r="A834" s="59" t="e">
        <f>A833+1</f>
        <v>#REF!</v>
      </c>
      <c r="B834" s="66" t="s">
        <v>2646</v>
      </c>
      <c r="C834" s="50">
        <f>D834+K834+L834+N834+P834+R834+S834+U834+V834+W834</f>
        <v>0</v>
      </c>
      <c r="D834" s="51">
        <f>E834+F834+G834+H834+I834</f>
        <v>0</v>
      </c>
      <c r="E834" s="51"/>
      <c r="F834" s="51"/>
      <c r="G834" s="51"/>
      <c r="H834" s="51"/>
      <c r="I834" s="51"/>
      <c r="J834" s="51"/>
      <c r="K834" s="51"/>
      <c r="L834" s="51"/>
      <c r="M834" s="51"/>
      <c r="N834" s="50"/>
      <c r="O834" s="82"/>
      <c r="P834" s="51"/>
      <c r="Q834" s="82"/>
      <c r="R834" s="50"/>
      <c r="S834" s="68"/>
      <c r="T834" s="82"/>
      <c r="U834" s="51"/>
      <c r="V834" s="51"/>
      <c r="W834" s="178"/>
      <c r="X834" s="285"/>
      <c r="Y834" s="9"/>
      <c r="Z834" s="306"/>
      <c r="AA834" s="9"/>
      <c r="AB834" s="302"/>
      <c r="AC834" s="302"/>
    </row>
    <row r="835" spans="1:29" ht="15.75" hidden="1" x14ac:dyDescent="0.25">
      <c r="A835" s="59" t="e">
        <f>A834+1</f>
        <v>#REF!</v>
      </c>
      <c r="B835" s="66" t="s">
        <v>2647</v>
      </c>
      <c r="C835" s="50">
        <f>D835+K835+L835+N835+P835+R835+S835+U835+V835+W835</f>
        <v>0</v>
      </c>
      <c r="D835" s="51">
        <f>E835+F835+G835+H835+I835</f>
        <v>0</v>
      </c>
      <c r="E835" s="51"/>
      <c r="F835" s="51"/>
      <c r="G835" s="51"/>
      <c r="H835" s="51"/>
      <c r="I835" s="51"/>
      <c r="J835" s="51"/>
      <c r="K835" s="51"/>
      <c r="L835" s="51"/>
      <c r="M835" s="51"/>
      <c r="N835" s="50"/>
      <c r="O835" s="82"/>
      <c r="P835" s="51"/>
      <c r="Q835" s="82"/>
      <c r="R835" s="50"/>
      <c r="S835" s="68"/>
      <c r="T835" s="82"/>
      <c r="U835" s="51"/>
      <c r="V835" s="51"/>
      <c r="W835" s="178"/>
      <c r="X835" s="285"/>
      <c r="Y835" s="9"/>
      <c r="Z835" s="306"/>
      <c r="AA835" s="9"/>
      <c r="AB835" s="302"/>
      <c r="AC835" s="302"/>
    </row>
    <row r="836" spans="1:29" ht="15.75" hidden="1" x14ac:dyDescent="0.25">
      <c r="A836" s="59" t="e">
        <f>A835+1</f>
        <v>#REF!</v>
      </c>
      <c r="B836" s="66" t="s">
        <v>2648</v>
      </c>
      <c r="C836" s="50">
        <f>D836+K836+L836+N836+P836+R836+S836+U836+V836+W836</f>
        <v>0</v>
      </c>
      <c r="D836" s="51">
        <f>E836+F836+G836+H836+I836</f>
        <v>0</v>
      </c>
      <c r="E836" s="51"/>
      <c r="F836" s="51"/>
      <c r="G836" s="51"/>
      <c r="H836" s="51"/>
      <c r="I836" s="51"/>
      <c r="J836" s="51"/>
      <c r="K836" s="51"/>
      <c r="L836" s="51"/>
      <c r="M836" s="51"/>
      <c r="N836" s="50"/>
      <c r="O836" s="82"/>
      <c r="P836" s="51"/>
      <c r="Q836" s="82"/>
      <c r="R836" s="50"/>
      <c r="S836" s="68"/>
      <c r="T836" s="82"/>
      <c r="U836" s="51"/>
      <c r="V836" s="51"/>
      <c r="W836" s="178"/>
      <c r="X836" s="285"/>
      <c r="Y836" s="9"/>
      <c r="Z836" s="318"/>
      <c r="AA836" s="9"/>
      <c r="AB836" s="302"/>
      <c r="AC836" s="302"/>
    </row>
    <row r="837" spans="1:29" ht="15.75" hidden="1" x14ac:dyDescent="0.25">
      <c r="A837" s="449" t="s">
        <v>211</v>
      </c>
      <c r="B837" s="449"/>
      <c r="C837" s="50">
        <f t="shared" ref="C837:W837" si="196">SUM(C832:C836)</f>
        <v>0</v>
      </c>
      <c r="D837" s="50">
        <f t="shared" si="196"/>
        <v>0</v>
      </c>
      <c r="E837" s="50">
        <f t="shared" si="196"/>
        <v>0</v>
      </c>
      <c r="F837" s="50">
        <f t="shared" si="196"/>
        <v>0</v>
      </c>
      <c r="G837" s="50">
        <f t="shared" si="196"/>
        <v>0</v>
      </c>
      <c r="H837" s="50">
        <f t="shared" si="196"/>
        <v>0</v>
      </c>
      <c r="I837" s="50">
        <f t="shared" si="196"/>
        <v>0</v>
      </c>
      <c r="J837" s="50">
        <f t="shared" si="196"/>
        <v>0</v>
      </c>
      <c r="K837" s="50">
        <f t="shared" si="196"/>
        <v>0</v>
      </c>
      <c r="L837" s="50">
        <f t="shared" si="196"/>
        <v>0</v>
      </c>
      <c r="M837" s="50">
        <f t="shared" si="196"/>
        <v>0</v>
      </c>
      <c r="N837" s="50">
        <f t="shared" si="196"/>
        <v>0</v>
      </c>
      <c r="O837" s="68">
        <f t="shared" si="196"/>
        <v>0</v>
      </c>
      <c r="P837" s="50">
        <f t="shared" si="196"/>
        <v>0</v>
      </c>
      <c r="Q837" s="68">
        <f t="shared" si="196"/>
        <v>0</v>
      </c>
      <c r="R837" s="50">
        <f t="shared" si="196"/>
        <v>0</v>
      </c>
      <c r="S837" s="68">
        <f t="shared" si="196"/>
        <v>0</v>
      </c>
      <c r="T837" s="68">
        <f t="shared" si="196"/>
        <v>0</v>
      </c>
      <c r="U837" s="50">
        <f t="shared" si="196"/>
        <v>0</v>
      </c>
      <c r="V837" s="50">
        <f t="shared" si="196"/>
        <v>0</v>
      </c>
      <c r="W837" s="34">
        <f t="shared" si="196"/>
        <v>0</v>
      </c>
      <c r="X837" s="285"/>
      <c r="Y837" s="9"/>
      <c r="Z837" s="318"/>
      <c r="AA837" s="9"/>
      <c r="AB837" s="302"/>
      <c r="AC837" s="302"/>
    </row>
    <row r="838" spans="1:29" x14ac:dyDescent="0.3">
      <c r="A838" s="448" t="s">
        <v>2649</v>
      </c>
      <c r="B838" s="448"/>
      <c r="C838" s="50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0"/>
      <c r="O838" s="82"/>
      <c r="P838" s="51"/>
      <c r="Q838" s="82"/>
      <c r="R838" s="50"/>
      <c r="S838" s="68"/>
      <c r="T838" s="82"/>
      <c r="U838" s="51"/>
      <c r="V838" s="51"/>
      <c r="W838" s="178"/>
      <c r="X838" s="285"/>
      <c r="Y838" s="9"/>
      <c r="Z838" s="318"/>
      <c r="AA838" s="9"/>
      <c r="AB838" s="302"/>
      <c r="AC838" s="302"/>
    </row>
    <row r="839" spans="1:29" x14ac:dyDescent="0.3">
      <c r="A839" s="59">
        <f>A829+1</f>
        <v>646</v>
      </c>
      <c r="B839" s="66" t="s">
        <v>2650</v>
      </c>
      <c r="C839" s="50">
        <f>D839+K839+L839+N839+P839+R839+S839+U839+V839+W839</f>
        <v>3870798.35</v>
      </c>
      <c r="D839" s="51">
        <f>E839+F839+G839+H839+I839</f>
        <v>0</v>
      </c>
      <c r="E839" s="50"/>
      <c r="F839" s="51"/>
      <c r="G839" s="51"/>
      <c r="H839" s="51"/>
      <c r="I839" s="50"/>
      <c r="J839" s="51"/>
      <c r="K839" s="51"/>
      <c r="L839" s="51"/>
      <c r="M839" s="51"/>
      <c r="N839" s="50"/>
      <c r="O839" s="82"/>
      <c r="P839" s="51"/>
      <c r="Q839" s="82">
        <v>468</v>
      </c>
      <c r="R839" s="50">
        <v>3870798.35</v>
      </c>
      <c r="S839" s="68"/>
      <c r="T839" s="82"/>
      <c r="U839" s="50"/>
      <c r="V839" s="50"/>
      <c r="W839" s="178"/>
      <c r="X839" s="285"/>
      <c r="Y839" s="9"/>
      <c r="Z839" s="318"/>
      <c r="AA839" s="9"/>
      <c r="AB839" s="302"/>
      <c r="AC839" s="302"/>
    </row>
    <row r="840" spans="1:29" x14ac:dyDescent="0.3">
      <c r="A840" s="449" t="s">
        <v>211</v>
      </c>
      <c r="B840" s="449"/>
      <c r="C840" s="50">
        <f t="shared" ref="C840:W840" si="197">C839</f>
        <v>3870798.35</v>
      </c>
      <c r="D840" s="50">
        <f t="shared" si="197"/>
        <v>0</v>
      </c>
      <c r="E840" s="50">
        <f t="shared" si="197"/>
        <v>0</v>
      </c>
      <c r="F840" s="50">
        <f t="shared" si="197"/>
        <v>0</v>
      </c>
      <c r="G840" s="50">
        <f t="shared" si="197"/>
        <v>0</v>
      </c>
      <c r="H840" s="50">
        <f t="shared" si="197"/>
        <v>0</v>
      </c>
      <c r="I840" s="50">
        <f t="shared" si="197"/>
        <v>0</v>
      </c>
      <c r="J840" s="50">
        <f t="shared" si="197"/>
        <v>0</v>
      </c>
      <c r="K840" s="50">
        <f t="shared" si="197"/>
        <v>0</v>
      </c>
      <c r="L840" s="50">
        <f t="shared" si="197"/>
        <v>0</v>
      </c>
      <c r="M840" s="50">
        <f t="shared" si="197"/>
        <v>0</v>
      </c>
      <c r="N840" s="50">
        <f t="shared" si="197"/>
        <v>0</v>
      </c>
      <c r="O840" s="68">
        <f t="shared" si="197"/>
        <v>0</v>
      </c>
      <c r="P840" s="50">
        <f t="shared" si="197"/>
        <v>0</v>
      </c>
      <c r="Q840" s="68">
        <f t="shared" si="197"/>
        <v>468</v>
      </c>
      <c r="R840" s="50">
        <f t="shared" si="197"/>
        <v>3870798.35</v>
      </c>
      <c r="S840" s="68">
        <f t="shared" si="197"/>
        <v>0</v>
      </c>
      <c r="T840" s="68">
        <f t="shared" si="197"/>
        <v>0</v>
      </c>
      <c r="U840" s="50">
        <f t="shared" si="197"/>
        <v>0</v>
      </c>
      <c r="V840" s="50">
        <f t="shared" si="197"/>
        <v>0</v>
      </c>
      <c r="W840" s="34">
        <f t="shared" si="197"/>
        <v>0</v>
      </c>
      <c r="X840" s="285"/>
      <c r="Y840" s="9"/>
      <c r="Z840" s="318"/>
      <c r="AA840" s="9"/>
      <c r="AB840" s="302"/>
      <c r="AC840" s="302"/>
    </row>
    <row r="841" spans="1:29" x14ac:dyDescent="0.3">
      <c r="A841" s="448" t="s">
        <v>2651</v>
      </c>
      <c r="B841" s="448"/>
      <c r="C841" s="50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0"/>
      <c r="O841" s="82"/>
      <c r="P841" s="51"/>
      <c r="Q841" s="82"/>
      <c r="R841" s="50"/>
      <c r="S841" s="68"/>
      <c r="T841" s="82"/>
      <c r="U841" s="51"/>
      <c r="V841" s="51"/>
      <c r="W841" s="178"/>
      <c r="X841" s="285"/>
      <c r="Y841" s="9"/>
      <c r="Z841" s="318"/>
      <c r="AA841" s="9"/>
      <c r="AB841" s="302"/>
      <c r="AC841" s="302"/>
    </row>
    <row r="842" spans="1:29" x14ac:dyDescent="0.3">
      <c r="A842" s="59">
        <f>A839+1</f>
        <v>647</v>
      </c>
      <c r="B842" s="66" t="s">
        <v>2652</v>
      </c>
      <c r="C842" s="50">
        <f t="shared" ref="C842:C852" si="198">D842+K842+L842+N842+P842+R842+S842+U842+V842+W842</f>
        <v>1155458.7</v>
      </c>
      <c r="D842" s="51">
        <f t="shared" ref="D842:D852" si="199">E842+F842+G842+H842+I842</f>
        <v>0</v>
      </c>
      <c r="E842" s="51"/>
      <c r="F842" s="51"/>
      <c r="G842" s="51"/>
      <c r="H842" s="51"/>
      <c r="I842" s="51"/>
      <c r="J842" s="51"/>
      <c r="K842" s="51"/>
      <c r="L842" s="51"/>
      <c r="M842" s="51"/>
      <c r="N842" s="50"/>
      <c r="O842" s="82"/>
      <c r="P842" s="51"/>
      <c r="Q842" s="82"/>
      <c r="R842" s="51"/>
      <c r="S842" s="68"/>
      <c r="T842" s="82"/>
      <c r="U842" s="51"/>
      <c r="V842" s="51"/>
      <c r="W842" s="178">
        <f t="shared" ref="W842:W852" si="200">SUM(X842:AD842)</f>
        <v>1155458.7</v>
      </c>
      <c r="X842" s="285">
        <v>197208.78</v>
      </c>
      <c r="Y842" s="9"/>
      <c r="Z842" s="318">
        <v>148596.79999999999</v>
      </c>
      <c r="AA842" s="9">
        <v>809653.12</v>
      </c>
      <c r="AB842" s="302"/>
      <c r="AC842" s="302"/>
    </row>
    <row r="843" spans="1:29" x14ac:dyDescent="0.3">
      <c r="A843" s="59">
        <f t="shared" ref="A843:A852" si="201">A842+1</f>
        <v>648</v>
      </c>
      <c r="B843" s="66" t="s">
        <v>2653</v>
      </c>
      <c r="C843" s="50">
        <f t="shared" si="198"/>
        <v>1347404.27</v>
      </c>
      <c r="D843" s="51">
        <f t="shared" si="199"/>
        <v>0</v>
      </c>
      <c r="E843" s="51"/>
      <c r="F843" s="51"/>
      <c r="G843" s="51"/>
      <c r="H843" s="51"/>
      <c r="I843" s="51"/>
      <c r="J843" s="51"/>
      <c r="K843" s="51"/>
      <c r="L843" s="51"/>
      <c r="M843" s="51"/>
      <c r="N843" s="50"/>
      <c r="O843" s="82"/>
      <c r="P843" s="51"/>
      <c r="Q843" s="82"/>
      <c r="R843" s="51"/>
      <c r="S843" s="68"/>
      <c r="T843" s="82"/>
      <c r="U843" s="51"/>
      <c r="V843" s="51"/>
      <c r="W843" s="178">
        <f t="shared" si="200"/>
        <v>1347404.27</v>
      </c>
      <c r="X843" s="285">
        <v>242459.51</v>
      </c>
      <c r="Y843" s="9"/>
      <c r="Z843" s="318">
        <v>154446.19</v>
      </c>
      <c r="AA843" s="9">
        <v>950498.57</v>
      </c>
      <c r="AB843" s="302"/>
      <c r="AC843" s="302"/>
    </row>
    <row r="844" spans="1:29" x14ac:dyDescent="0.3">
      <c r="A844" s="59">
        <f t="shared" si="201"/>
        <v>649</v>
      </c>
      <c r="B844" s="66" t="s">
        <v>2654</v>
      </c>
      <c r="C844" s="50">
        <f t="shared" si="198"/>
        <v>1371712.24</v>
      </c>
      <c r="D844" s="51">
        <f t="shared" si="199"/>
        <v>0</v>
      </c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82"/>
      <c r="P844" s="51"/>
      <c r="Q844" s="82"/>
      <c r="R844" s="51"/>
      <c r="S844" s="68"/>
      <c r="T844" s="82"/>
      <c r="U844" s="51"/>
      <c r="V844" s="51"/>
      <c r="W844" s="178">
        <f t="shared" si="200"/>
        <v>1371712.24</v>
      </c>
      <c r="X844" s="285"/>
      <c r="Y844" s="9">
        <v>390753.91</v>
      </c>
      <c r="Z844" s="318">
        <v>136082.9</v>
      </c>
      <c r="AA844" s="9">
        <v>844875.43</v>
      </c>
      <c r="AB844" s="302"/>
      <c r="AC844" s="302"/>
    </row>
    <row r="845" spans="1:29" x14ac:dyDescent="0.3">
      <c r="A845" s="59">
        <f t="shared" si="201"/>
        <v>650</v>
      </c>
      <c r="B845" s="66" t="s">
        <v>2655</v>
      </c>
      <c r="C845" s="50">
        <f t="shared" si="198"/>
        <v>1367654.85</v>
      </c>
      <c r="D845" s="51">
        <f t="shared" si="199"/>
        <v>0</v>
      </c>
      <c r="E845" s="51"/>
      <c r="F845" s="51"/>
      <c r="G845" s="51"/>
      <c r="H845" s="51"/>
      <c r="I845" s="51"/>
      <c r="J845" s="51"/>
      <c r="K845" s="51"/>
      <c r="L845" s="51"/>
      <c r="M845" s="51"/>
      <c r="N845" s="50"/>
      <c r="O845" s="82"/>
      <c r="P845" s="51"/>
      <c r="Q845" s="82"/>
      <c r="R845" s="51"/>
      <c r="S845" s="68"/>
      <c r="T845" s="82"/>
      <c r="U845" s="51"/>
      <c r="V845" s="51"/>
      <c r="W845" s="178">
        <f t="shared" si="200"/>
        <v>1367654.85</v>
      </c>
      <c r="X845" s="285">
        <v>247024.25</v>
      </c>
      <c r="Y845" s="9"/>
      <c r="Z845" s="318">
        <v>162606.71</v>
      </c>
      <c r="AA845" s="9">
        <v>958023.89</v>
      </c>
      <c r="AB845" s="302"/>
      <c r="AC845" s="302"/>
    </row>
    <row r="846" spans="1:29" x14ac:dyDescent="0.3">
      <c r="A846" s="59">
        <f t="shared" si="201"/>
        <v>651</v>
      </c>
      <c r="B846" s="66" t="s">
        <v>2656</v>
      </c>
      <c r="C846" s="50">
        <f t="shared" si="198"/>
        <v>1302877.1000000001</v>
      </c>
      <c r="D846" s="51">
        <f t="shared" si="199"/>
        <v>0</v>
      </c>
      <c r="E846" s="51"/>
      <c r="F846" s="51"/>
      <c r="G846" s="51"/>
      <c r="H846" s="51"/>
      <c r="I846" s="51"/>
      <c r="J846" s="51"/>
      <c r="K846" s="51"/>
      <c r="L846" s="51"/>
      <c r="M846" s="51"/>
      <c r="N846" s="50"/>
      <c r="O846" s="82"/>
      <c r="P846" s="51"/>
      <c r="Q846" s="82"/>
      <c r="R846" s="51"/>
      <c r="S846" s="68"/>
      <c r="T846" s="82"/>
      <c r="U846" s="51"/>
      <c r="V846" s="51"/>
      <c r="W846" s="178">
        <f t="shared" si="200"/>
        <v>1302877.1000000001</v>
      </c>
      <c r="X846" s="285">
        <v>225263.62</v>
      </c>
      <c r="Y846" s="9"/>
      <c r="Z846" s="318">
        <v>182218.86</v>
      </c>
      <c r="AA846" s="9">
        <v>895394.62</v>
      </c>
      <c r="AB846" s="302"/>
      <c r="AC846" s="302"/>
    </row>
    <row r="847" spans="1:29" x14ac:dyDescent="0.3">
      <c r="A847" s="59">
        <f t="shared" si="201"/>
        <v>652</v>
      </c>
      <c r="B847" s="66" t="s">
        <v>2657</v>
      </c>
      <c r="C847" s="50">
        <f t="shared" si="198"/>
        <v>866481.48</v>
      </c>
      <c r="D847" s="51">
        <f t="shared" si="199"/>
        <v>0</v>
      </c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82"/>
      <c r="P847" s="51"/>
      <c r="Q847" s="82"/>
      <c r="R847" s="51"/>
      <c r="S847" s="68"/>
      <c r="T847" s="82"/>
      <c r="U847" s="51"/>
      <c r="V847" s="51"/>
      <c r="W847" s="178">
        <f t="shared" si="200"/>
        <v>866481.48</v>
      </c>
      <c r="X847" s="285">
        <v>117755.14</v>
      </c>
      <c r="Y847" s="9">
        <v>192698.53</v>
      </c>
      <c r="Z847" s="318">
        <v>147346.13</v>
      </c>
      <c r="AA847" s="9">
        <v>408681.68</v>
      </c>
      <c r="AB847" s="302"/>
      <c r="AC847" s="302"/>
    </row>
    <row r="848" spans="1:29" x14ac:dyDescent="0.3">
      <c r="A848" s="59">
        <f t="shared" si="201"/>
        <v>653</v>
      </c>
      <c r="B848" s="66" t="s">
        <v>2658</v>
      </c>
      <c r="C848" s="50">
        <f t="shared" si="198"/>
        <v>1149804.3899999999</v>
      </c>
      <c r="D848" s="51">
        <f t="shared" si="199"/>
        <v>0</v>
      </c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82"/>
      <c r="P848" s="51"/>
      <c r="Q848" s="82"/>
      <c r="R848" s="51"/>
      <c r="S848" s="68"/>
      <c r="T848" s="82"/>
      <c r="U848" s="51"/>
      <c r="V848" s="51"/>
      <c r="W848" s="178">
        <f t="shared" si="200"/>
        <v>1149804.3899999999</v>
      </c>
      <c r="X848" s="285">
        <f>121947.8+139794.4+124324.49</f>
        <v>386066.69</v>
      </c>
      <c r="Y848" s="9">
        <v>197502.76</v>
      </c>
      <c r="Z848" s="318">
        <v>147974.87</v>
      </c>
      <c r="AA848" s="9">
        <v>418260.07</v>
      </c>
      <c r="AB848" s="302"/>
      <c r="AC848" s="302"/>
    </row>
    <row r="849" spans="1:29" x14ac:dyDescent="0.3">
      <c r="A849" s="59">
        <f t="shared" si="201"/>
        <v>654</v>
      </c>
      <c r="B849" s="66" t="s">
        <v>2659</v>
      </c>
      <c r="C849" s="50">
        <f t="shared" si="198"/>
        <v>1087284.9099999999</v>
      </c>
      <c r="D849" s="51">
        <f t="shared" si="199"/>
        <v>0</v>
      </c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82"/>
      <c r="P849" s="51"/>
      <c r="Q849" s="82"/>
      <c r="R849" s="51"/>
      <c r="S849" s="68"/>
      <c r="T849" s="82"/>
      <c r="U849" s="51"/>
      <c r="V849" s="51"/>
      <c r="W849" s="178">
        <f t="shared" si="200"/>
        <v>1087284.9099999999</v>
      </c>
      <c r="X849" s="285">
        <f>111697.15+113581.26+129684.8</f>
        <v>354963.20999999996</v>
      </c>
      <c r="Y849" s="9">
        <v>201156.08</v>
      </c>
      <c r="Z849" s="318">
        <v>144454.39999999999</v>
      </c>
      <c r="AA849" s="9">
        <v>386711.22</v>
      </c>
      <c r="AB849" s="302"/>
      <c r="AC849" s="302"/>
    </row>
    <row r="850" spans="1:29" x14ac:dyDescent="0.3">
      <c r="A850" s="59">
        <f t="shared" si="201"/>
        <v>655</v>
      </c>
      <c r="B850" s="66" t="s">
        <v>2660</v>
      </c>
      <c r="C850" s="50">
        <f t="shared" si="198"/>
        <v>1101360.05</v>
      </c>
      <c r="D850" s="51">
        <f t="shared" si="199"/>
        <v>0</v>
      </c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82"/>
      <c r="P850" s="51"/>
      <c r="Q850" s="82"/>
      <c r="R850" s="51"/>
      <c r="S850" s="68"/>
      <c r="T850" s="82"/>
      <c r="U850" s="51"/>
      <c r="V850" s="51"/>
      <c r="W850" s="178">
        <f t="shared" si="200"/>
        <v>1101360.05</v>
      </c>
      <c r="X850" s="285">
        <f>131547.14+115381.97+113555.47</f>
        <v>360484.58</v>
      </c>
      <c r="Y850" s="9">
        <v>203981.16</v>
      </c>
      <c r="Z850" s="318">
        <v>144726.85</v>
      </c>
      <c r="AA850" s="9">
        <v>392167.46</v>
      </c>
      <c r="AB850" s="302"/>
      <c r="AC850" s="302"/>
    </row>
    <row r="851" spans="1:29" x14ac:dyDescent="0.3">
      <c r="A851" s="59">
        <f t="shared" si="201"/>
        <v>656</v>
      </c>
      <c r="B851" s="66" t="s">
        <v>2661</v>
      </c>
      <c r="C851" s="50">
        <f t="shared" si="198"/>
        <v>1121978.49</v>
      </c>
      <c r="D851" s="51">
        <f t="shared" si="199"/>
        <v>0</v>
      </c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82"/>
      <c r="P851" s="51"/>
      <c r="Q851" s="82"/>
      <c r="R851" s="51"/>
      <c r="S851" s="68"/>
      <c r="T851" s="82"/>
      <c r="U851" s="51"/>
      <c r="V851" s="51"/>
      <c r="W851" s="178">
        <f t="shared" si="200"/>
        <v>1121978.49</v>
      </c>
      <c r="X851" s="285">
        <f>133741.54+117503.71+115684.58</f>
        <v>366929.83</v>
      </c>
      <c r="Y851" s="9">
        <v>207309.96</v>
      </c>
      <c r="Z851" s="318">
        <v>149142.16</v>
      </c>
      <c r="AA851" s="9">
        <v>398596.54</v>
      </c>
      <c r="AB851" s="302"/>
      <c r="AC851" s="302"/>
    </row>
    <row r="852" spans="1:29" x14ac:dyDescent="0.3">
      <c r="A852" s="59">
        <f t="shared" si="201"/>
        <v>657</v>
      </c>
      <c r="B852" s="66" t="s">
        <v>2662</v>
      </c>
      <c r="C852" s="50">
        <f t="shared" si="198"/>
        <v>877940.19</v>
      </c>
      <c r="D852" s="51">
        <f t="shared" si="199"/>
        <v>0</v>
      </c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82"/>
      <c r="P852" s="51"/>
      <c r="Q852" s="82"/>
      <c r="R852" s="51"/>
      <c r="S852" s="68"/>
      <c r="T852" s="82"/>
      <c r="U852" s="51"/>
      <c r="V852" s="51"/>
      <c r="W852" s="178">
        <f t="shared" si="200"/>
        <v>877940.19</v>
      </c>
      <c r="X852" s="285">
        <v>116312.47</v>
      </c>
      <c r="Y852" s="9">
        <v>210743.99</v>
      </c>
      <c r="Z852" s="318">
        <v>145870.81</v>
      </c>
      <c r="AA852" s="9">
        <v>405012.92</v>
      </c>
      <c r="AB852" s="302"/>
      <c r="AC852" s="302"/>
    </row>
    <row r="853" spans="1:29" x14ac:dyDescent="0.3">
      <c r="A853" s="449" t="s">
        <v>211</v>
      </c>
      <c r="B853" s="449"/>
      <c r="C853" s="50">
        <f t="shared" ref="C853:W853" si="202">SUM(C842:C852)</f>
        <v>12749956.670000002</v>
      </c>
      <c r="D853" s="50">
        <f t="shared" si="202"/>
        <v>0</v>
      </c>
      <c r="E853" s="50">
        <f t="shared" si="202"/>
        <v>0</v>
      </c>
      <c r="F853" s="50">
        <f t="shared" si="202"/>
        <v>0</v>
      </c>
      <c r="G853" s="50">
        <f t="shared" si="202"/>
        <v>0</v>
      </c>
      <c r="H853" s="50">
        <f t="shared" si="202"/>
        <v>0</v>
      </c>
      <c r="I853" s="50">
        <f t="shared" si="202"/>
        <v>0</v>
      </c>
      <c r="J853" s="50">
        <f t="shared" si="202"/>
        <v>0</v>
      </c>
      <c r="K853" s="50">
        <f t="shared" si="202"/>
        <v>0</v>
      </c>
      <c r="L853" s="50">
        <f t="shared" si="202"/>
        <v>0</v>
      </c>
      <c r="M853" s="50">
        <f t="shared" si="202"/>
        <v>0</v>
      </c>
      <c r="N853" s="50">
        <f t="shared" si="202"/>
        <v>0</v>
      </c>
      <c r="O853" s="68">
        <f t="shared" si="202"/>
        <v>0</v>
      </c>
      <c r="P853" s="50">
        <f t="shared" si="202"/>
        <v>0</v>
      </c>
      <c r="Q853" s="68">
        <f t="shared" si="202"/>
        <v>0</v>
      </c>
      <c r="R853" s="50">
        <f t="shared" si="202"/>
        <v>0</v>
      </c>
      <c r="S853" s="68">
        <f t="shared" si="202"/>
        <v>0</v>
      </c>
      <c r="T853" s="68">
        <f t="shared" si="202"/>
        <v>0</v>
      </c>
      <c r="U853" s="50">
        <f t="shared" si="202"/>
        <v>0</v>
      </c>
      <c r="V853" s="50">
        <f t="shared" si="202"/>
        <v>0</v>
      </c>
      <c r="W853" s="34">
        <f t="shared" si="202"/>
        <v>12749956.670000002</v>
      </c>
      <c r="X853" s="285"/>
      <c r="Y853" s="9"/>
      <c r="Z853" s="318"/>
      <c r="AA853" s="9"/>
      <c r="AB853" s="302"/>
      <c r="AC853" s="302"/>
    </row>
    <row r="854" spans="1:29" x14ac:dyDescent="0.3">
      <c r="A854" s="448" t="s">
        <v>2672</v>
      </c>
      <c r="B854" s="448"/>
      <c r="C854" s="50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0"/>
      <c r="O854" s="82"/>
      <c r="P854" s="51"/>
      <c r="Q854" s="82"/>
      <c r="R854" s="50"/>
      <c r="S854" s="68"/>
      <c r="T854" s="82"/>
      <c r="U854" s="51"/>
      <c r="V854" s="51"/>
      <c r="W854" s="178"/>
      <c r="X854" s="285"/>
      <c r="Y854" s="9"/>
      <c r="Z854" s="318"/>
      <c r="AA854" s="9"/>
      <c r="AB854" s="302"/>
      <c r="AC854" s="302"/>
    </row>
    <row r="855" spans="1:29" x14ac:dyDescent="0.3">
      <c r="A855" s="59">
        <f>A852+1</f>
        <v>658</v>
      </c>
      <c r="B855" s="66" t="s">
        <v>2673</v>
      </c>
      <c r="C855" s="50">
        <f>D855+K855+L855+N855+P855+R855+S855+U855+V855+W855</f>
        <v>123945.74</v>
      </c>
      <c r="D855" s="51">
        <f t="shared" ref="D855:D866" si="203">E855+F855+G855+H855+I855</f>
        <v>0</v>
      </c>
      <c r="E855" s="51"/>
      <c r="F855" s="51"/>
      <c r="G855" s="51"/>
      <c r="H855" s="51"/>
      <c r="I855" s="51"/>
      <c r="J855" s="51"/>
      <c r="K855" s="51"/>
      <c r="L855" s="51"/>
      <c r="M855" s="51"/>
      <c r="N855" s="50"/>
      <c r="O855" s="82"/>
      <c r="P855" s="51"/>
      <c r="Q855" s="82"/>
      <c r="R855" s="50"/>
      <c r="S855" s="68"/>
      <c r="T855" s="82"/>
      <c r="U855" s="51"/>
      <c r="V855" s="51"/>
      <c r="W855" s="178">
        <f>SUM(X855:AD855)</f>
        <v>123945.74</v>
      </c>
      <c r="X855" s="285">
        <v>123945.74</v>
      </c>
      <c r="Y855" s="9"/>
      <c r="Z855" s="318"/>
      <c r="AA855" s="9"/>
      <c r="AB855" s="302"/>
      <c r="AC855" s="302"/>
    </row>
    <row r="856" spans="1:29" x14ac:dyDescent="0.3">
      <c r="A856" s="59">
        <f t="shared" ref="A856:A866" si="204">A855+1</f>
        <v>659</v>
      </c>
      <c r="B856" s="66" t="s">
        <v>2674</v>
      </c>
      <c r="C856" s="50">
        <f>D856+K856+L856+N856+P856+R856+S856+U856+V856+W856</f>
        <v>119578.8</v>
      </c>
      <c r="D856" s="51">
        <f t="shared" si="203"/>
        <v>0</v>
      </c>
      <c r="E856" s="51"/>
      <c r="F856" s="51"/>
      <c r="G856" s="51"/>
      <c r="H856" s="51"/>
      <c r="I856" s="51"/>
      <c r="J856" s="51"/>
      <c r="K856" s="51"/>
      <c r="L856" s="51"/>
      <c r="M856" s="51"/>
      <c r="N856" s="50"/>
      <c r="O856" s="82"/>
      <c r="P856" s="51"/>
      <c r="Q856" s="82"/>
      <c r="R856" s="50"/>
      <c r="S856" s="68"/>
      <c r="T856" s="82"/>
      <c r="U856" s="51"/>
      <c r="V856" s="51"/>
      <c r="W856" s="178">
        <v>119578.8</v>
      </c>
      <c r="X856" s="285"/>
      <c r="Y856" s="9"/>
      <c r="Z856" s="318"/>
      <c r="AA856" s="9"/>
      <c r="AB856" s="302"/>
      <c r="AC856" s="302"/>
    </row>
    <row r="857" spans="1:29" x14ac:dyDescent="0.3">
      <c r="A857" s="59">
        <f t="shared" si="204"/>
        <v>660</v>
      </c>
      <c r="B857" s="66" t="s">
        <v>2675</v>
      </c>
      <c r="C857" s="50">
        <f>D857+K857+L857+'2021'!N2002+P857+R857+S857+U857+V857+W857</f>
        <v>333710.20999999996</v>
      </c>
      <c r="D857" s="51">
        <f t="shared" si="203"/>
        <v>0</v>
      </c>
      <c r="E857" s="51"/>
      <c r="F857" s="51"/>
      <c r="G857" s="51"/>
      <c r="H857" s="51"/>
      <c r="I857" s="51"/>
      <c r="J857" s="51"/>
      <c r="K857" s="51"/>
      <c r="L857" s="51"/>
      <c r="M857" s="51"/>
      <c r="N857" s="312"/>
      <c r="O857" s="82"/>
      <c r="P857" s="51"/>
      <c r="Q857" s="82"/>
      <c r="R857" s="50"/>
      <c r="S857" s="68"/>
      <c r="T857" s="82"/>
      <c r="U857" s="51"/>
      <c r="V857" s="51"/>
      <c r="W857" s="178">
        <f>SUM(X857:AD857)</f>
        <v>228488.21</v>
      </c>
      <c r="X857" s="285"/>
      <c r="Y857" s="9">
        <v>228488.21</v>
      </c>
      <c r="Z857" s="318"/>
      <c r="AA857" s="9"/>
      <c r="AB857" s="302"/>
      <c r="AC857" s="302"/>
    </row>
    <row r="858" spans="1:29" x14ac:dyDescent="0.3">
      <c r="A858" s="59">
        <f t="shared" si="204"/>
        <v>661</v>
      </c>
      <c r="B858" s="66" t="s">
        <v>2676</v>
      </c>
      <c r="C858" s="50">
        <f>D858+K858+L858+N858+P858+R858+S858+U858+V858+'2020'!W569</f>
        <v>903395.99</v>
      </c>
      <c r="D858" s="51">
        <f t="shared" si="203"/>
        <v>788403</v>
      </c>
      <c r="E858" s="51">
        <v>788403</v>
      </c>
      <c r="F858" s="51"/>
      <c r="G858" s="51"/>
      <c r="H858" s="51"/>
      <c r="I858" s="51"/>
      <c r="J858" s="51"/>
      <c r="K858" s="51"/>
      <c r="L858" s="51"/>
      <c r="M858" s="51"/>
      <c r="N858" s="50"/>
      <c r="O858" s="82"/>
      <c r="P858" s="51"/>
      <c r="Q858" s="82"/>
      <c r="R858" s="50"/>
      <c r="S858" s="68"/>
      <c r="T858" s="82"/>
      <c r="U858" s="51"/>
      <c r="V858" s="51"/>
      <c r="W858" s="143"/>
      <c r="X858" s="285">
        <v>114992.99</v>
      </c>
      <c r="Y858" s="9"/>
      <c r="Z858" s="318"/>
      <c r="AA858" s="9"/>
      <c r="AB858" s="302"/>
      <c r="AC858" s="302"/>
    </row>
    <row r="859" spans="1:29" x14ac:dyDescent="0.3">
      <c r="A859" s="59">
        <f t="shared" si="204"/>
        <v>662</v>
      </c>
      <c r="B859" s="66" t="s">
        <v>2677</v>
      </c>
      <c r="C859" s="50">
        <f t="shared" ref="C859:C866" si="205">D859+K859+L859+N859+P859+R859+S859+U859+V859+W859</f>
        <v>91685.58</v>
      </c>
      <c r="D859" s="51">
        <f t="shared" si="203"/>
        <v>0</v>
      </c>
      <c r="E859" s="51"/>
      <c r="F859" s="51"/>
      <c r="G859" s="51"/>
      <c r="H859" s="51"/>
      <c r="I859" s="51"/>
      <c r="J859" s="51"/>
      <c r="K859" s="51"/>
      <c r="L859" s="51"/>
      <c r="M859" s="51"/>
      <c r="N859" s="50"/>
      <c r="O859" s="82"/>
      <c r="P859" s="51"/>
      <c r="Q859" s="82"/>
      <c r="R859" s="50"/>
      <c r="S859" s="68"/>
      <c r="T859" s="82"/>
      <c r="U859" s="51"/>
      <c r="V859" s="51"/>
      <c r="W859" s="178">
        <v>91685.58</v>
      </c>
      <c r="X859" s="285">
        <v>91685.58</v>
      </c>
      <c r="Y859" s="9"/>
      <c r="Z859" s="318"/>
      <c r="AA859" s="9"/>
      <c r="AB859" s="302"/>
      <c r="AC859" s="302"/>
    </row>
    <row r="860" spans="1:29" x14ac:dyDescent="0.3">
      <c r="A860" s="59">
        <f t="shared" si="204"/>
        <v>663</v>
      </c>
      <c r="B860" s="66" t="s">
        <v>2678</v>
      </c>
      <c r="C860" s="50">
        <f t="shared" si="205"/>
        <v>109932.97</v>
      </c>
      <c r="D860" s="51">
        <f t="shared" si="203"/>
        <v>0</v>
      </c>
      <c r="E860" s="51"/>
      <c r="F860" s="51"/>
      <c r="G860" s="51"/>
      <c r="H860" s="51"/>
      <c r="I860" s="51"/>
      <c r="J860" s="51"/>
      <c r="K860" s="51"/>
      <c r="L860" s="51"/>
      <c r="M860" s="51"/>
      <c r="N860" s="50"/>
      <c r="O860" s="82"/>
      <c r="P860" s="51"/>
      <c r="Q860" s="82"/>
      <c r="R860" s="50"/>
      <c r="S860" s="68"/>
      <c r="T860" s="82"/>
      <c r="U860" s="51"/>
      <c r="V860" s="51"/>
      <c r="W860" s="178">
        <f t="shared" ref="W860:W865" si="206">SUM(X860:AD860)</f>
        <v>109932.97</v>
      </c>
      <c r="X860" s="285">
        <v>109932.97</v>
      </c>
      <c r="Y860" s="9"/>
      <c r="Z860" s="318"/>
      <c r="AA860" s="9"/>
      <c r="AB860" s="302"/>
      <c r="AC860" s="302"/>
    </row>
    <row r="861" spans="1:29" x14ac:dyDescent="0.3">
      <c r="A861" s="59">
        <f t="shared" si="204"/>
        <v>664</v>
      </c>
      <c r="B861" s="66" t="s">
        <v>2679</v>
      </c>
      <c r="C861" s="50">
        <f t="shared" si="205"/>
        <v>107083.18</v>
      </c>
      <c r="D861" s="51">
        <f t="shared" si="203"/>
        <v>0</v>
      </c>
      <c r="E861" s="51"/>
      <c r="F861" s="51"/>
      <c r="G861" s="51"/>
      <c r="H861" s="51"/>
      <c r="I861" s="51"/>
      <c r="J861" s="51"/>
      <c r="K861" s="51"/>
      <c r="L861" s="51"/>
      <c r="M861" s="51"/>
      <c r="N861" s="50"/>
      <c r="O861" s="82"/>
      <c r="P861" s="51"/>
      <c r="Q861" s="82"/>
      <c r="R861" s="50"/>
      <c r="S861" s="68"/>
      <c r="T861" s="82"/>
      <c r="U861" s="51"/>
      <c r="V861" s="51"/>
      <c r="W861" s="178">
        <f t="shared" si="206"/>
        <v>107083.18</v>
      </c>
      <c r="X861" s="285">
        <v>107083.18</v>
      </c>
      <c r="Y861" s="9"/>
      <c r="Z861" s="318"/>
      <c r="AA861" s="9"/>
      <c r="AB861" s="302"/>
      <c r="AC861" s="302"/>
    </row>
    <row r="862" spans="1:29" x14ac:dyDescent="0.3">
      <c r="A862" s="59">
        <f t="shared" si="204"/>
        <v>665</v>
      </c>
      <c r="B862" s="66" t="s">
        <v>2680</v>
      </c>
      <c r="C862" s="50">
        <f t="shared" si="205"/>
        <v>376209.98</v>
      </c>
      <c r="D862" s="51">
        <f t="shared" si="203"/>
        <v>0</v>
      </c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82"/>
      <c r="P862" s="51"/>
      <c r="Q862" s="82"/>
      <c r="R862" s="50"/>
      <c r="S862" s="68"/>
      <c r="T862" s="82"/>
      <c r="U862" s="51"/>
      <c r="V862" s="51"/>
      <c r="W862" s="178">
        <f t="shared" si="206"/>
        <v>376209.98</v>
      </c>
      <c r="X862" s="285"/>
      <c r="Y862" s="9">
        <v>376209.98</v>
      </c>
      <c r="Z862" s="318"/>
      <c r="AA862" s="9"/>
      <c r="AB862" s="302"/>
      <c r="AC862" s="302"/>
    </row>
    <row r="863" spans="1:29" x14ac:dyDescent="0.3">
      <c r="A863" s="59">
        <f t="shared" si="204"/>
        <v>666</v>
      </c>
      <c r="B863" s="66" t="s">
        <v>2681</v>
      </c>
      <c r="C863" s="50">
        <f t="shared" si="205"/>
        <v>204609.5</v>
      </c>
      <c r="D863" s="51">
        <f t="shared" si="203"/>
        <v>0</v>
      </c>
      <c r="E863" s="51"/>
      <c r="F863" s="51"/>
      <c r="G863" s="51"/>
      <c r="H863" s="51"/>
      <c r="I863" s="51"/>
      <c r="J863" s="51"/>
      <c r="K863" s="51"/>
      <c r="L863" s="51"/>
      <c r="M863" s="51"/>
      <c r="N863" s="50"/>
      <c r="O863" s="82"/>
      <c r="P863" s="51"/>
      <c r="Q863" s="82"/>
      <c r="R863" s="50"/>
      <c r="S863" s="68"/>
      <c r="T863" s="82"/>
      <c r="U863" s="51"/>
      <c r="V863" s="51"/>
      <c r="W863" s="178">
        <f t="shared" si="206"/>
        <v>204609.5</v>
      </c>
      <c r="X863" s="285">
        <v>204609.5</v>
      </c>
      <c r="Y863" s="9"/>
      <c r="Z863" s="318"/>
      <c r="AA863" s="9"/>
      <c r="AB863" s="302"/>
      <c r="AC863" s="302"/>
    </row>
    <row r="864" spans="1:29" x14ac:dyDescent="0.3">
      <c r="A864" s="59">
        <f t="shared" si="204"/>
        <v>667</v>
      </c>
      <c r="B864" s="66" t="s">
        <v>2682</v>
      </c>
      <c r="C864" s="50">
        <f t="shared" si="205"/>
        <v>204609.5</v>
      </c>
      <c r="D864" s="51">
        <f t="shared" si="203"/>
        <v>0</v>
      </c>
      <c r="E864" s="51"/>
      <c r="F864" s="51"/>
      <c r="G864" s="51"/>
      <c r="H864" s="51"/>
      <c r="I864" s="51"/>
      <c r="J864" s="51"/>
      <c r="K864" s="51"/>
      <c r="L864" s="51"/>
      <c r="M864" s="51"/>
      <c r="N864" s="50"/>
      <c r="O864" s="82"/>
      <c r="P864" s="51"/>
      <c r="Q864" s="82"/>
      <c r="R864" s="50"/>
      <c r="S864" s="68"/>
      <c r="T864" s="82"/>
      <c r="U864" s="51"/>
      <c r="V864" s="51"/>
      <c r="W864" s="178">
        <f t="shared" si="206"/>
        <v>204609.5</v>
      </c>
      <c r="X864" s="285">
        <v>204609.5</v>
      </c>
      <c r="Y864" s="9"/>
      <c r="Z864" s="318"/>
      <c r="AA864" s="9"/>
      <c r="AB864" s="302"/>
      <c r="AC864" s="302"/>
    </row>
    <row r="865" spans="1:29" x14ac:dyDescent="0.3">
      <c r="A865" s="59">
        <f t="shared" si="204"/>
        <v>668</v>
      </c>
      <c r="B865" s="66" t="s">
        <v>2683</v>
      </c>
      <c r="C865" s="50">
        <f t="shared" si="205"/>
        <v>201542.47</v>
      </c>
      <c r="D865" s="51">
        <f t="shared" si="203"/>
        <v>0</v>
      </c>
      <c r="E865" s="51"/>
      <c r="F865" s="51"/>
      <c r="G865" s="51"/>
      <c r="H865" s="51"/>
      <c r="I865" s="51"/>
      <c r="J865" s="51"/>
      <c r="K865" s="51"/>
      <c r="L865" s="51"/>
      <c r="M865" s="51"/>
      <c r="N865" s="50"/>
      <c r="O865" s="82"/>
      <c r="P865" s="51"/>
      <c r="Q865" s="82"/>
      <c r="R865" s="50"/>
      <c r="S865" s="68"/>
      <c r="T865" s="82"/>
      <c r="U865" s="51"/>
      <c r="V865" s="51"/>
      <c r="W865" s="178">
        <f t="shared" si="206"/>
        <v>201542.47</v>
      </c>
      <c r="X865" s="285">
        <v>201542.47</v>
      </c>
      <c r="Y865" s="9"/>
      <c r="Z865" s="318"/>
      <c r="AA865" s="9"/>
      <c r="AB865" s="302"/>
      <c r="AC865" s="302"/>
    </row>
    <row r="866" spans="1:29" x14ac:dyDescent="0.3">
      <c r="A866" s="59">
        <f t="shared" si="204"/>
        <v>669</v>
      </c>
      <c r="B866" s="66" t="s">
        <v>2684</v>
      </c>
      <c r="C866" s="50">
        <f t="shared" si="205"/>
        <v>130000</v>
      </c>
      <c r="D866" s="51">
        <f t="shared" si="203"/>
        <v>0</v>
      </c>
      <c r="E866" s="51"/>
      <c r="F866" s="51"/>
      <c r="G866" s="51"/>
      <c r="H866" s="51"/>
      <c r="I866" s="51"/>
      <c r="J866" s="51"/>
      <c r="K866" s="51"/>
      <c r="L866" s="51"/>
      <c r="M866" s="51"/>
      <c r="N866" s="50"/>
      <c r="O866" s="82"/>
      <c r="P866" s="51"/>
      <c r="Q866" s="82"/>
      <c r="R866" s="51"/>
      <c r="S866" s="68"/>
      <c r="T866" s="82"/>
      <c r="U866" s="51"/>
      <c r="V866" s="51"/>
      <c r="W866" s="178">
        <v>130000</v>
      </c>
      <c r="X866" s="285"/>
      <c r="Y866" s="9"/>
      <c r="Z866" s="318"/>
      <c r="AA866" s="9"/>
      <c r="AB866" s="302"/>
      <c r="AC866" s="302"/>
    </row>
    <row r="867" spans="1:29" x14ac:dyDescent="0.3">
      <c r="A867" s="449" t="s">
        <v>211</v>
      </c>
      <c r="B867" s="449"/>
      <c r="C867" s="50">
        <f t="shared" ref="C867:W867" si="207">SUM(C855:C866)</f>
        <v>2906303.9200000004</v>
      </c>
      <c r="D867" s="50">
        <f t="shared" si="207"/>
        <v>788403</v>
      </c>
      <c r="E867" s="50">
        <f t="shared" si="207"/>
        <v>788403</v>
      </c>
      <c r="F867" s="50">
        <f t="shared" si="207"/>
        <v>0</v>
      </c>
      <c r="G867" s="50">
        <f t="shared" si="207"/>
        <v>0</v>
      </c>
      <c r="H867" s="50">
        <f t="shared" si="207"/>
        <v>0</v>
      </c>
      <c r="I867" s="50">
        <f t="shared" si="207"/>
        <v>0</v>
      </c>
      <c r="J867" s="50">
        <f t="shared" si="207"/>
        <v>0</v>
      </c>
      <c r="K867" s="50">
        <f t="shared" si="207"/>
        <v>0</v>
      </c>
      <c r="L867" s="50">
        <f t="shared" si="207"/>
        <v>0</v>
      </c>
      <c r="M867" s="50">
        <f t="shared" si="207"/>
        <v>0</v>
      </c>
      <c r="N867" s="50">
        <f t="shared" si="207"/>
        <v>0</v>
      </c>
      <c r="O867" s="68">
        <f t="shared" si="207"/>
        <v>0</v>
      </c>
      <c r="P867" s="50">
        <f t="shared" si="207"/>
        <v>0</v>
      </c>
      <c r="Q867" s="68">
        <f t="shared" si="207"/>
        <v>0</v>
      </c>
      <c r="R867" s="50">
        <f t="shared" si="207"/>
        <v>0</v>
      </c>
      <c r="S867" s="68">
        <f t="shared" si="207"/>
        <v>0</v>
      </c>
      <c r="T867" s="68">
        <f t="shared" si="207"/>
        <v>0</v>
      </c>
      <c r="U867" s="50">
        <f t="shared" si="207"/>
        <v>0</v>
      </c>
      <c r="V867" s="50">
        <f t="shared" si="207"/>
        <v>0</v>
      </c>
      <c r="W867" s="34">
        <f t="shared" si="207"/>
        <v>1897685.93</v>
      </c>
      <c r="X867" s="285"/>
      <c r="Y867" s="9"/>
      <c r="Z867" s="318"/>
      <c r="AA867" s="9"/>
      <c r="AB867" s="302"/>
      <c r="AC867" s="302"/>
    </row>
    <row r="868" spans="1:29" x14ac:dyDescent="0.3">
      <c r="A868" s="448" t="s">
        <v>2685</v>
      </c>
      <c r="B868" s="448"/>
      <c r="C868" s="50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0"/>
      <c r="O868" s="82"/>
      <c r="P868" s="51"/>
      <c r="Q868" s="82"/>
      <c r="R868" s="50"/>
      <c r="S868" s="68"/>
      <c r="T868" s="82"/>
      <c r="U868" s="51"/>
      <c r="V868" s="51"/>
      <c r="W868" s="178"/>
      <c r="X868" s="285"/>
      <c r="Y868" s="9"/>
      <c r="Z868" s="318"/>
      <c r="AA868" s="9"/>
      <c r="AB868" s="302"/>
      <c r="AC868" s="302"/>
    </row>
    <row r="869" spans="1:29" x14ac:dyDescent="0.3">
      <c r="A869" s="59">
        <f>A866+1</f>
        <v>670</v>
      </c>
      <c r="B869" s="66" t="s">
        <v>2687</v>
      </c>
      <c r="C869" s="50">
        <f>D869+K869+L869+N869+P869+R869+S869+U869+V869+W869</f>
        <v>407673.7</v>
      </c>
      <c r="D869" s="51">
        <f>E869+F869+G869+H869+I869</f>
        <v>0</v>
      </c>
      <c r="E869" s="51"/>
      <c r="F869" s="51"/>
      <c r="G869" s="51"/>
      <c r="H869" s="51"/>
      <c r="I869" s="51"/>
      <c r="J869" s="51"/>
      <c r="K869" s="51"/>
      <c r="L869" s="51"/>
      <c r="M869" s="51"/>
      <c r="N869" s="50"/>
      <c r="O869" s="82"/>
      <c r="P869" s="51"/>
      <c r="Q869" s="82"/>
      <c r="R869" s="50"/>
      <c r="S869" s="68"/>
      <c r="T869" s="82"/>
      <c r="U869" s="51"/>
      <c r="V869" s="51"/>
      <c r="W869" s="178">
        <f>SUM(X869:AD869)</f>
        <v>407673.7</v>
      </c>
      <c r="X869" s="285"/>
      <c r="Y869" s="9"/>
      <c r="Z869" s="318">
        <v>407673.7</v>
      </c>
      <c r="AA869" s="9"/>
      <c r="AB869" s="302"/>
      <c r="AC869" s="302"/>
    </row>
    <row r="870" spans="1:29" x14ac:dyDescent="0.3">
      <c r="A870" s="449" t="s">
        <v>211</v>
      </c>
      <c r="B870" s="449"/>
      <c r="C870" s="50">
        <f t="shared" ref="C870:W870" si="208">SUM(C869:C869)</f>
        <v>407673.7</v>
      </c>
      <c r="D870" s="50">
        <f t="shared" si="208"/>
        <v>0</v>
      </c>
      <c r="E870" s="50">
        <f t="shared" si="208"/>
        <v>0</v>
      </c>
      <c r="F870" s="50">
        <f t="shared" si="208"/>
        <v>0</v>
      </c>
      <c r="G870" s="50">
        <f t="shared" si="208"/>
        <v>0</v>
      </c>
      <c r="H870" s="50">
        <f t="shared" si="208"/>
        <v>0</v>
      </c>
      <c r="I870" s="50">
        <f t="shared" si="208"/>
        <v>0</v>
      </c>
      <c r="J870" s="50">
        <f t="shared" si="208"/>
        <v>0</v>
      </c>
      <c r="K870" s="50">
        <f t="shared" si="208"/>
        <v>0</v>
      </c>
      <c r="L870" s="50">
        <f t="shared" si="208"/>
        <v>0</v>
      </c>
      <c r="M870" s="50">
        <f t="shared" si="208"/>
        <v>0</v>
      </c>
      <c r="N870" s="50">
        <f t="shared" si="208"/>
        <v>0</v>
      </c>
      <c r="O870" s="68">
        <f t="shared" si="208"/>
        <v>0</v>
      </c>
      <c r="P870" s="50">
        <f t="shared" si="208"/>
        <v>0</v>
      </c>
      <c r="Q870" s="68">
        <f t="shared" si="208"/>
        <v>0</v>
      </c>
      <c r="R870" s="50">
        <f t="shared" si="208"/>
        <v>0</v>
      </c>
      <c r="S870" s="68">
        <f t="shared" si="208"/>
        <v>0</v>
      </c>
      <c r="T870" s="68">
        <f t="shared" si="208"/>
        <v>0</v>
      </c>
      <c r="U870" s="50">
        <f t="shared" si="208"/>
        <v>0</v>
      </c>
      <c r="V870" s="50">
        <f t="shared" si="208"/>
        <v>0</v>
      </c>
      <c r="W870" s="34">
        <f t="shared" si="208"/>
        <v>407673.7</v>
      </c>
      <c r="X870" s="285"/>
      <c r="Y870" s="9"/>
      <c r="Z870" s="318"/>
      <c r="AA870" s="9"/>
      <c r="AB870" s="302"/>
      <c r="AC870" s="302"/>
    </row>
    <row r="871" spans="1:29" x14ac:dyDescent="0.3">
      <c r="A871" s="448" t="s">
        <v>2688</v>
      </c>
      <c r="B871" s="448"/>
      <c r="C871" s="50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0"/>
      <c r="O871" s="82"/>
      <c r="P871" s="51"/>
      <c r="Q871" s="82"/>
      <c r="R871" s="50"/>
      <c r="S871" s="68"/>
      <c r="T871" s="82"/>
      <c r="U871" s="51"/>
      <c r="V871" s="51"/>
      <c r="W871" s="178"/>
      <c r="X871" s="285"/>
      <c r="Y871" s="9"/>
      <c r="Z871" s="318"/>
      <c r="AA871" s="9"/>
      <c r="AB871" s="302"/>
      <c r="AC871" s="302"/>
    </row>
    <row r="872" spans="1:29" x14ac:dyDescent="0.3">
      <c r="A872" s="59">
        <f>A869+1</f>
        <v>671</v>
      </c>
      <c r="B872" s="66" t="s">
        <v>2691</v>
      </c>
      <c r="C872" s="50">
        <f>D872+K872+L872+N872+P872+R872+S872+U872+V872+W872</f>
        <v>25416229.440000001</v>
      </c>
      <c r="D872" s="51">
        <f>E872+F872+G872+H872+I872</f>
        <v>0</v>
      </c>
      <c r="E872" s="51"/>
      <c r="F872" s="51"/>
      <c r="G872" s="51"/>
      <c r="H872" s="51"/>
      <c r="I872" s="51"/>
      <c r="J872" s="51"/>
      <c r="K872" s="51"/>
      <c r="L872" s="51"/>
      <c r="M872" s="51"/>
      <c r="N872" s="50"/>
      <c r="O872" s="82"/>
      <c r="P872" s="50"/>
      <c r="Q872" s="82">
        <v>2450</v>
      </c>
      <c r="R872" s="51">
        <v>25416229.440000001</v>
      </c>
      <c r="S872" s="68"/>
      <c r="T872" s="82"/>
      <c r="U872" s="51"/>
      <c r="V872" s="51"/>
      <c r="W872" s="178"/>
      <c r="X872" s="285"/>
      <c r="Y872" s="9"/>
      <c r="Z872" s="318"/>
      <c r="AA872" s="9"/>
      <c r="AB872" s="302"/>
      <c r="AC872" s="302"/>
    </row>
    <row r="873" spans="1:29" x14ac:dyDescent="0.3">
      <c r="A873" s="449" t="s">
        <v>211</v>
      </c>
      <c r="B873" s="449"/>
      <c r="C873" s="50">
        <f t="shared" ref="C873:W873" si="209">SUM(C872:C872)</f>
        <v>25416229.440000001</v>
      </c>
      <c r="D873" s="50">
        <f t="shared" si="209"/>
        <v>0</v>
      </c>
      <c r="E873" s="50">
        <f t="shared" si="209"/>
        <v>0</v>
      </c>
      <c r="F873" s="50">
        <f t="shared" si="209"/>
        <v>0</v>
      </c>
      <c r="G873" s="50">
        <f t="shared" si="209"/>
        <v>0</v>
      </c>
      <c r="H873" s="50">
        <f t="shared" si="209"/>
        <v>0</v>
      </c>
      <c r="I873" s="50">
        <f t="shared" si="209"/>
        <v>0</v>
      </c>
      <c r="J873" s="50">
        <f t="shared" si="209"/>
        <v>0</v>
      </c>
      <c r="K873" s="50">
        <f t="shared" si="209"/>
        <v>0</v>
      </c>
      <c r="L873" s="50">
        <f t="shared" si="209"/>
        <v>0</v>
      </c>
      <c r="M873" s="50">
        <f t="shared" si="209"/>
        <v>0</v>
      </c>
      <c r="N873" s="50">
        <f t="shared" si="209"/>
        <v>0</v>
      </c>
      <c r="O873" s="68">
        <f t="shared" si="209"/>
        <v>0</v>
      </c>
      <c r="P873" s="50">
        <f t="shared" si="209"/>
        <v>0</v>
      </c>
      <c r="Q873" s="68">
        <f t="shared" si="209"/>
        <v>2450</v>
      </c>
      <c r="R873" s="50">
        <f t="shared" si="209"/>
        <v>25416229.440000001</v>
      </c>
      <c r="S873" s="68">
        <f t="shared" si="209"/>
        <v>0</v>
      </c>
      <c r="T873" s="68">
        <f t="shared" si="209"/>
        <v>0</v>
      </c>
      <c r="U873" s="50">
        <f t="shared" si="209"/>
        <v>0</v>
      </c>
      <c r="V873" s="50">
        <f t="shared" si="209"/>
        <v>0</v>
      </c>
      <c r="W873" s="34">
        <f t="shared" si="209"/>
        <v>0</v>
      </c>
      <c r="X873" s="285"/>
      <c r="Y873" s="9"/>
      <c r="Z873" s="318"/>
      <c r="AA873" s="9"/>
      <c r="AB873" s="302"/>
      <c r="AC873" s="302"/>
    </row>
    <row r="874" spans="1:29" x14ac:dyDescent="0.3">
      <c r="A874" s="448" t="s">
        <v>2696</v>
      </c>
      <c r="B874" s="448"/>
      <c r="C874" s="50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0"/>
      <c r="O874" s="82"/>
      <c r="P874" s="51"/>
      <c r="Q874" s="82"/>
      <c r="R874" s="50"/>
      <c r="S874" s="68"/>
      <c r="T874" s="82"/>
      <c r="U874" s="51"/>
      <c r="V874" s="51"/>
      <c r="W874" s="178"/>
      <c r="X874" s="285"/>
      <c r="Y874" s="9"/>
      <c r="Z874" s="318"/>
      <c r="AA874" s="9"/>
      <c r="AB874" s="302"/>
      <c r="AC874" s="302"/>
    </row>
    <row r="875" spans="1:29" x14ac:dyDescent="0.3">
      <c r="A875" s="59">
        <f>A872+1</f>
        <v>672</v>
      </c>
      <c r="B875" s="66" t="s">
        <v>2697</v>
      </c>
      <c r="C875" s="50">
        <f>D875+K875+L875+N875+P875+R875+S875+U875+V875+W875</f>
        <v>615062.97</v>
      </c>
      <c r="D875" s="51">
        <f>E875+F875+G875+H875+I875</f>
        <v>0</v>
      </c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82"/>
      <c r="P875" s="51"/>
      <c r="Q875" s="82"/>
      <c r="R875" s="51"/>
      <c r="S875" s="68"/>
      <c r="T875" s="82"/>
      <c r="U875" s="51"/>
      <c r="V875" s="51"/>
      <c r="W875" s="178">
        <f>SUM(X875:AD875)</f>
        <v>615062.97</v>
      </c>
      <c r="X875" s="285">
        <v>103314.9</v>
      </c>
      <c r="Y875" s="9">
        <v>191334.39999999999</v>
      </c>
      <c r="Z875" s="318"/>
      <c r="AA875" s="9">
        <v>320413.67</v>
      </c>
      <c r="AB875" s="302"/>
      <c r="AC875" s="302"/>
    </row>
    <row r="876" spans="1:29" x14ac:dyDescent="0.3">
      <c r="A876" s="59">
        <f>A875+1</f>
        <v>673</v>
      </c>
      <c r="B876" s="66" t="s">
        <v>2698</v>
      </c>
      <c r="C876" s="50">
        <f>D876+K876+L876+N876+P876+R876+S876+U876+V876+W876</f>
        <v>628111.98</v>
      </c>
      <c r="D876" s="51">
        <f>E876+F876+G876+H876+I876</f>
        <v>0</v>
      </c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82"/>
      <c r="P876" s="51"/>
      <c r="Q876" s="82"/>
      <c r="R876" s="51"/>
      <c r="S876" s="68"/>
      <c r="T876" s="82"/>
      <c r="U876" s="51"/>
      <c r="V876" s="51"/>
      <c r="W876" s="178">
        <f>SUM(X876:AD876)</f>
        <v>628111.98</v>
      </c>
      <c r="X876" s="285">
        <v>105693.47</v>
      </c>
      <c r="Y876" s="9">
        <v>195255.44</v>
      </c>
      <c r="Z876" s="318"/>
      <c r="AA876" s="9">
        <v>327163.07</v>
      </c>
      <c r="AB876" s="302"/>
      <c r="AC876" s="302"/>
    </row>
    <row r="877" spans="1:29" x14ac:dyDescent="0.3">
      <c r="A877" s="59">
        <f>A876+1</f>
        <v>674</v>
      </c>
      <c r="B877" s="66" t="s">
        <v>2699</v>
      </c>
      <c r="C877" s="50">
        <f>D877+K877+L877+N877+P877+R877+S877+U877+V877+W877</f>
        <v>526058.23</v>
      </c>
      <c r="D877" s="51">
        <f>E877+F877+G877+H877+I877</f>
        <v>0</v>
      </c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82"/>
      <c r="P877" s="51"/>
      <c r="Q877" s="82"/>
      <c r="R877" s="50"/>
      <c r="S877" s="68"/>
      <c r="T877" s="82"/>
      <c r="U877" s="51"/>
      <c r="V877" s="51"/>
      <c r="W877" s="178">
        <f>SUM(X877:AD877)</f>
        <v>526058.23</v>
      </c>
      <c r="X877" s="285">
        <f>104094.32+127545.29+101654.64</f>
        <v>333294.25</v>
      </c>
      <c r="Y877" s="9">
        <v>192763.98</v>
      </c>
      <c r="Z877" s="318"/>
      <c r="AA877" s="9"/>
      <c r="AB877" s="302"/>
      <c r="AC877" s="302"/>
    </row>
    <row r="878" spans="1:29" x14ac:dyDescent="0.3">
      <c r="A878" s="59">
        <f>A877+1</f>
        <v>675</v>
      </c>
      <c r="B878" s="66" t="s">
        <v>2700</v>
      </c>
      <c r="C878" s="50">
        <f>D878+K878+L878+N878+P878+R878+S878+U878+V878+W878</f>
        <v>529382.49</v>
      </c>
      <c r="D878" s="51">
        <f>E878+F878+G878+H878+I878</f>
        <v>0</v>
      </c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82"/>
      <c r="P878" s="51"/>
      <c r="Q878" s="82"/>
      <c r="R878" s="50"/>
      <c r="S878" s="68"/>
      <c r="T878" s="82"/>
      <c r="U878" s="51"/>
      <c r="V878" s="51"/>
      <c r="W878" s="178">
        <f>SUM(X878:AD878)</f>
        <v>529382.49</v>
      </c>
      <c r="X878" s="285">
        <f>106158.73+124275.88+104264.94</f>
        <v>334699.55</v>
      </c>
      <c r="Y878" s="9">
        <v>194682.94</v>
      </c>
      <c r="Z878" s="318"/>
      <c r="AA878" s="9"/>
      <c r="AB878" s="302"/>
      <c r="AC878" s="302"/>
    </row>
    <row r="879" spans="1:29" x14ac:dyDescent="0.3">
      <c r="A879" s="449" t="s">
        <v>211</v>
      </c>
      <c r="B879" s="449"/>
      <c r="C879" s="50">
        <f>SUM(C875:C878)</f>
        <v>2298615.67</v>
      </c>
      <c r="D879" s="50">
        <f t="shared" ref="D879:W879" si="210">SUM(D875:D878)</f>
        <v>0</v>
      </c>
      <c r="E879" s="50">
        <f t="shared" si="210"/>
        <v>0</v>
      </c>
      <c r="F879" s="50">
        <f t="shared" si="210"/>
        <v>0</v>
      </c>
      <c r="G879" s="50">
        <f t="shared" si="210"/>
        <v>0</v>
      </c>
      <c r="H879" s="50">
        <f t="shared" si="210"/>
        <v>0</v>
      </c>
      <c r="I879" s="50">
        <f t="shared" si="210"/>
        <v>0</v>
      </c>
      <c r="J879" s="50">
        <f t="shared" si="210"/>
        <v>0</v>
      </c>
      <c r="K879" s="50">
        <f t="shared" si="210"/>
        <v>0</v>
      </c>
      <c r="L879" s="50">
        <f t="shared" si="210"/>
        <v>0</v>
      </c>
      <c r="M879" s="50">
        <f t="shared" si="210"/>
        <v>0</v>
      </c>
      <c r="N879" s="50">
        <f t="shared" si="210"/>
        <v>0</v>
      </c>
      <c r="O879" s="68">
        <f t="shared" si="210"/>
        <v>0</v>
      </c>
      <c r="P879" s="50">
        <f t="shared" si="210"/>
        <v>0</v>
      </c>
      <c r="Q879" s="68">
        <f t="shared" si="210"/>
        <v>0</v>
      </c>
      <c r="R879" s="50">
        <f t="shared" si="210"/>
        <v>0</v>
      </c>
      <c r="S879" s="68">
        <f t="shared" si="210"/>
        <v>0</v>
      </c>
      <c r="T879" s="68">
        <f t="shared" si="210"/>
        <v>0</v>
      </c>
      <c r="U879" s="50">
        <f t="shared" si="210"/>
        <v>0</v>
      </c>
      <c r="V879" s="50">
        <f t="shared" si="210"/>
        <v>0</v>
      </c>
      <c r="W879" s="34">
        <f t="shared" si="210"/>
        <v>2298615.67</v>
      </c>
      <c r="X879" s="285"/>
      <c r="Y879" s="9"/>
      <c r="Z879" s="318"/>
      <c r="AA879" s="9"/>
      <c r="AB879" s="302"/>
      <c r="AC879" s="302"/>
    </row>
    <row r="880" spans="1:29" x14ac:dyDescent="0.3">
      <c r="A880" s="448" t="s">
        <v>2701</v>
      </c>
      <c r="B880" s="448"/>
      <c r="C880" s="50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0"/>
      <c r="O880" s="82"/>
      <c r="P880" s="51"/>
      <c r="Q880" s="82"/>
      <c r="R880" s="50"/>
      <c r="S880" s="68"/>
      <c r="T880" s="82"/>
      <c r="U880" s="51"/>
      <c r="V880" s="51"/>
      <c r="W880" s="178"/>
      <c r="X880" s="285"/>
      <c r="Y880" s="9"/>
      <c r="Z880" s="318"/>
      <c r="AA880" s="9"/>
      <c r="AB880" s="302"/>
      <c r="AC880" s="302"/>
    </row>
    <row r="881" spans="1:38" x14ac:dyDescent="0.3">
      <c r="A881" s="59">
        <f>A878+1</f>
        <v>676</v>
      </c>
      <c r="B881" s="66" t="s">
        <v>2702</v>
      </c>
      <c r="C881" s="50">
        <f t="shared" ref="C881:C889" si="211">D881+K881+L881+N881+P881+R881+S881+U881+V881+W881</f>
        <v>0</v>
      </c>
      <c r="D881" s="51">
        <f t="shared" ref="D881:D889" si="212">E881+F881+G881+H881+I881</f>
        <v>0</v>
      </c>
      <c r="E881" s="51"/>
      <c r="F881" s="51"/>
      <c r="G881" s="51"/>
      <c r="H881" s="51"/>
      <c r="I881" s="51"/>
      <c r="J881" s="51"/>
      <c r="K881" s="51"/>
      <c r="L881" s="51"/>
      <c r="M881" s="51"/>
      <c r="N881" s="50"/>
      <c r="O881" s="82"/>
      <c r="P881" s="51"/>
      <c r="Q881" s="82"/>
      <c r="R881" s="50"/>
      <c r="S881" s="68"/>
      <c r="T881" s="82"/>
      <c r="U881" s="51"/>
      <c r="V881" s="51"/>
      <c r="W881" s="178"/>
      <c r="X881" s="285">
        <v>192030.89</v>
      </c>
      <c r="Y881" s="9"/>
      <c r="Z881" s="318"/>
      <c r="AA881" s="9"/>
      <c r="AB881" s="302"/>
      <c r="AC881" s="302"/>
    </row>
    <row r="882" spans="1:38" x14ac:dyDescent="0.3">
      <c r="A882" s="59">
        <f t="shared" ref="A882:A889" si="213">A881+1</f>
        <v>677</v>
      </c>
      <c r="B882" s="66" t="s">
        <v>2703</v>
      </c>
      <c r="C882" s="50">
        <f t="shared" si="211"/>
        <v>0</v>
      </c>
      <c r="D882" s="51">
        <f t="shared" si="212"/>
        <v>0</v>
      </c>
      <c r="E882" s="51"/>
      <c r="F882" s="51"/>
      <c r="G882" s="51"/>
      <c r="H882" s="51"/>
      <c r="I882" s="51"/>
      <c r="J882" s="51"/>
      <c r="K882" s="51"/>
      <c r="L882" s="51"/>
      <c r="M882" s="51"/>
      <c r="N882" s="50"/>
      <c r="O882" s="82"/>
      <c r="P882" s="51"/>
      <c r="Q882" s="82"/>
      <c r="R882" s="51"/>
      <c r="S882" s="68"/>
      <c r="T882" s="82"/>
      <c r="U882" s="51"/>
      <c r="V882" s="51"/>
      <c r="W882" s="178"/>
      <c r="X882" s="285"/>
      <c r="Y882" s="9"/>
      <c r="Z882" s="318"/>
      <c r="AA882" s="9">
        <v>562660.14</v>
      </c>
      <c r="AB882" s="302"/>
      <c r="AC882" s="302"/>
    </row>
    <row r="883" spans="1:38" x14ac:dyDescent="0.3">
      <c r="A883" s="59">
        <f t="shared" si="213"/>
        <v>678</v>
      </c>
      <c r="B883" s="66" t="s">
        <v>2704</v>
      </c>
      <c r="C883" s="50">
        <f t="shared" si="211"/>
        <v>0</v>
      </c>
      <c r="D883" s="51">
        <f t="shared" si="212"/>
        <v>0</v>
      </c>
      <c r="E883" s="51"/>
      <c r="F883" s="51"/>
      <c r="G883" s="51"/>
      <c r="H883" s="51"/>
      <c r="I883" s="51"/>
      <c r="J883" s="51"/>
      <c r="K883" s="51"/>
      <c r="L883" s="51"/>
      <c r="M883" s="51"/>
      <c r="N883" s="50"/>
      <c r="O883" s="82"/>
      <c r="P883" s="51"/>
      <c r="Q883" s="82"/>
      <c r="R883" s="51"/>
      <c r="S883" s="68"/>
      <c r="T883" s="82"/>
      <c r="U883" s="51"/>
      <c r="V883" s="51"/>
      <c r="W883" s="178"/>
      <c r="X883" s="285"/>
      <c r="Y883" s="9"/>
      <c r="Z883" s="318"/>
      <c r="AA883" s="9">
        <v>580271.29</v>
      </c>
      <c r="AB883" s="302"/>
      <c r="AC883" s="302"/>
    </row>
    <row r="884" spans="1:38" x14ac:dyDescent="0.3">
      <c r="A884" s="59">
        <f t="shared" si="213"/>
        <v>679</v>
      </c>
      <c r="B884" s="66" t="s">
        <v>2705</v>
      </c>
      <c r="C884" s="50">
        <f t="shared" si="211"/>
        <v>0</v>
      </c>
      <c r="D884" s="51">
        <f t="shared" si="212"/>
        <v>0</v>
      </c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82"/>
      <c r="P884" s="51"/>
      <c r="Q884" s="82"/>
      <c r="R884" s="51"/>
      <c r="S884" s="68"/>
      <c r="T884" s="82"/>
      <c r="U884" s="51"/>
      <c r="V884" s="51"/>
      <c r="W884" s="178"/>
      <c r="X884" s="285"/>
      <c r="Y884" s="9">
        <v>242144.32</v>
      </c>
      <c r="Z884" s="318">
        <v>206302.07</v>
      </c>
      <c r="AA884" s="9">
        <v>562660.14</v>
      </c>
      <c r="AB884" s="302"/>
      <c r="AC884" s="302"/>
    </row>
    <row r="885" spans="1:38" x14ac:dyDescent="0.3">
      <c r="A885" s="59">
        <f t="shared" si="213"/>
        <v>680</v>
      </c>
      <c r="B885" s="66" t="s">
        <v>2706</v>
      </c>
      <c r="C885" s="50">
        <f t="shared" si="211"/>
        <v>0</v>
      </c>
      <c r="D885" s="51">
        <f t="shared" si="212"/>
        <v>0</v>
      </c>
      <c r="E885" s="50"/>
      <c r="F885" s="50"/>
      <c r="G885" s="50"/>
      <c r="H885" s="50"/>
      <c r="I885" s="51"/>
      <c r="J885" s="51"/>
      <c r="K885" s="51"/>
      <c r="L885" s="51"/>
      <c r="M885" s="51"/>
      <c r="N885" s="50"/>
      <c r="O885" s="82"/>
      <c r="P885" s="51"/>
      <c r="Q885" s="82"/>
      <c r="R885" s="51"/>
      <c r="S885" s="68"/>
      <c r="T885" s="82"/>
      <c r="U885" s="51"/>
      <c r="V885" s="50"/>
      <c r="W885" s="178"/>
      <c r="X885" s="285"/>
      <c r="Y885" s="9"/>
      <c r="Z885" s="318"/>
      <c r="AA885" s="9">
        <v>838622.77</v>
      </c>
      <c r="AB885" s="302"/>
      <c r="AC885" s="302"/>
    </row>
    <row r="886" spans="1:38" x14ac:dyDescent="0.3">
      <c r="A886" s="59">
        <f t="shared" si="213"/>
        <v>681</v>
      </c>
      <c r="B886" s="66" t="s">
        <v>2707</v>
      </c>
      <c r="C886" s="50">
        <f t="shared" si="211"/>
        <v>0</v>
      </c>
      <c r="D886" s="51">
        <f t="shared" si="212"/>
        <v>0</v>
      </c>
      <c r="E886" s="51"/>
      <c r="F886" s="51"/>
      <c r="G886" s="51"/>
      <c r="H886" s="51"/>
      <c r="I886" s="51"/>
      <c r="J886" s="51"/>
      <c r="K886" s="51"/>
      <c r="L886" s="51"/>
      <c r="M886" s="51"/>
      <c r="N886" s="50"/>
      <c r="O886" s="82"/>
      <c r="P886" s="51"/>
      <c r="Q886" s="82"/>
      <c r="R886" s="50"/>
      <c r="S886" s="68"/>
      <c r="T886" s="82"/>
      <c r="U886" s="51"/>
      <c r="V886" s="51"/>
      <c r="W886" s="178"/>
      <c r="X886" s="285">
        <v>202196.69</v>
      </c>
      <c r="Y886" s="9"/>
      <c r="Z886" s="318"/>
      <c r="AA886" s="9"/>
      <c r="AB886" s="302"/>
      <c r="AC886" s="302"/>
    </row>
    <row r="887" spans="1:38" x14ac:dyDescent="0.3">
      <c r="A887" s="59">
        <f t="shared" si="213"/>
        <v>682</v>
      </c>
      <c r="B887" s="66" t="s">
        <v>2708</v>
      </c>
      <c r="C887" s="50">
        <f t="shared" si="211"/>
        <v>0</v>
      </c>
      <c r="D887" s="51">
        <f t="shared" si="212"/>
        <v>0</v>
      </c>
      <c r="E887" s="51"/>
      <c r="F887" s="51"/>
      <c r="G887" s="51"/>
      <c r="H887" s="51"/>
      <c r="I887" s="51"/>
      <c r="J887" s="51"/>
      <c r="K887" s="51"/>
      <c r="L887" s="51"/>
      <c r="M887" s="51"/>
      <c r="N887" s="50"/>
      <c r="O887" s="82"/>
      <c r="P887" s="51"/>
      <c r="Q887" s="82"/>
      <c r="R887" s="50"/>
      <c r="S887" s="68"/>
      <c r="T887" s="82"/>
      <c r="U887" s="51"/>
      <c r="V887" s="51"/>
      <c r="W887" s="178"/>
      <c r="X887" s="285">
        <v>202196.69</v>
      </c>
      <c r="Y887" s="9"/>
      <c r="Z887" s="318"/>
      <c r="AA887" s="9"/>
      <c r="AB887" s="302"/>
      <c r="AC887" s="302"/>
    </row>
    <row r="888" spans="1:38" x14ac:dyDescent="0.3">
      <c r="A888" s="59">
        <f t="shared" si="213"/>
        <v>683</v>
      </c>
      <c r="B888" s="66" t="s">
        <v>2709</v>
      </c>
      <c r="C888" s="50">
        <f t="shared" si="211"/>
        <v>0</v>
      </c>
      <c r="D888" s="51">
        <f t="shared" si="212"/>
        <v>0</v>
      </c>
      <c r="E888" s="51"/>
      <c r="F888" s="51"/>
      <c r="G888" s="51"/>
      <c r="H888" s="51"/>
      <c r="I888" s="51"/>
      <c r="J888" s="51"/>
      <c r="K888" s="51"/>
      <c r="L888" s="51"/>
      <c r="M888" s="51"/>
      <c r="N888" s="50"/>
      <c r="O888" s="82"/>
      <c r="P888" s="51"/>
      <c r="Q888" s="82"/>
      <c r="R888" s="50"/>
      <c r="S888" s="68"/>
      <c r="T888" s="82"/>
      <c r="U888" s="51"/>
      <c r="V888" s="51"/>
      <c r="W888" s="178"/>
      <c r="X888" s="285">
        <v>202679.24</v>
      </c>
      <c r="Y888" s="9"/>
      <c r="Z888" s="318"/>
      <c r="AA888" s="9"/>
      <c r="AB888" s="302"/>
      <c r="AC888" s="302"/>
    </row>
    <row r="889" spans="1:38" x14ac:dyDescent="0.3">
      <c r="A889" s="59">
        <f t="shared" si="213"/>
        <v>684</v>
      </c>
      <c r="B889" s="66" t="s">
        <v>2710</v>
      </c>
      <c r="C889" s="50">
        <f t="shared" si="211"/>
        <v>0</v>
      </c>
      <c r="D889" s="51">
        <f t="shared" si="212"/>
        <v>0</v>
      </c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82"/>
      <c r="P889" s="51"/>
      <c r="Q889" s="82"/>
      <c r="R889" s="51"/>
      <c r="S889" s="68"/>
      <c r="T889" s="82"/>
      <c r="U889" s="51"/>
      <c r="V889" s="51"/>
      <c r="W889" s="178"/>
      <c r="X889" s="285">
        <v>232177.03</v>
      </c>
      <c r="Y889" s="9">
        <v>413111.87</v>
      </c>
      <c r="Z889" s="318">
        <v>337355.87</v>
      </c>
      <c r="AA889" s="9">
        <v>909781.74</v>
      </c>
      <c r="AB889" s="302"/>
      <c r="AC889" s="302"/>
    </row>
    <row r="890" spans="1:38" x14ac:dyDescent="0.3">
      <c r="A890" s="449" t="s">
        <v>211</v>
      </c>
      <c r="B890" s="449"/>
      <c r="C890" s="50">
        <f>SUM(C881:C889)</f>
        <v>0</v>
      </c>
      <c r="D890" s="50">
        <f t="shared" ref="D890:W890" si="214">SUM(D881:D889)</f>
        <v>0</v>
      </c>
      <c r="E890" s="50">
        <f t="shared" si="214"/>
        <v>0</v>
      </c>
      <c r="F890" s="50">
        <f t="shared" si="214"/>
        <v>0</v>
      </c>
      <c r="G890" s="50">
        <f t="shared" si="214"/>
        <v>0</v>
      </c>
      <c r="H890" s="50">
        <f t="shared" si="214"/>
        <v>0</v>
      </c>
      <c r="I890" s="50">
        <f t="shared" si="214"/>
        <v>0</v>
      </c>
      <c r="J890" s="50">
        <f t="shared" si="214"/>
        <v>0</v>
      </c>
      <c r="K890" s="50">
        <f t="shared" si="214"/>
        <v>0</v>
      </c>
      <c r="L890" s="50">
        <f t="shared" si="214"/>
        <v>0</v>
      </c>
      <c r="M890" s="50">
        <f t="shared" si="214"/>
        <v>0</v>
      </c>
      <c r="N890" s="50">
        <f t="shared" si="214"/>
        <v>0</v>
      </c>
      <c r="O890" s="68">
        <f t="shared" si="214"/>
        <v>0</v>
      </c>
      <c r="P890" s="50">
        <f t="shared" si="214"/>
        <v>0</v>
      </c>
      <c r="Q890" s="68">
        <f t="shared" si="214"/>
        <v>0</v>
      </c>
      <c r="R890" s="50">
        <f t="shared" si="214"/>
        <v>0</v>
      </c>
      <c r="S890" s="68">
        <f t="shared" si="214"/>
        <v>0</v>
      </c>
      <c r="T890" s="68">
        <f t="shared" si="214"/>
        <v>0</v>
      </c>
      <c r="U890" s="50">
        <f t="shared" si="214"/>
        <v>0</v>
      </c>
      <c r="V890" s="50">
        <f t="shared" si="214"/>
        <v>0</v>
      </c>
      <c r="W890" s="34">
        <f t="shared" si="214"/>
        <v>0</v>
      </c>
      <c r="X890" s="285"/>
      <c r="Y890" s="9"/>
      <c r="Z890" s="318"/>
      <c r="AA890" s="9"/>
      <c r="AB890" s="302"/>
      <c r="AC890" s="302"/>
    </row>
    <row r="891" spans="1:38" x14ac:dyDescent="0.3">
      <c r="A891" s="450" t="s">
        <v>2711</v>
      </c>
      <c r="B891" s="450"/>
      <c r="C891" s="50">
        <f>C890+C879+C873+C870+C867+C853+C840+C837+C830+C827+C821+C813+C809</f>
        <v>204840491.28999999</v>
      </c>
      <c r="D891" s="50">
        <f t="shared" ref="D891:W891" si="215">D890+D879+D873+D870+D867+D853+D840+D837+D830+D827+D821+D813+D809</f>
        <v>788403</v>
      </c>
      <c r="E891" s="50">
        <f t="shared" si="215"/>
        <v>788403</v>
      </c>
      <c r="F891" s="50">
        <f t="shared" si="215"/>
        <v>0</v>
      </c>
      <c r="G891" s="50">
        <f t="shared" si="215"/>
        <v>0</v>
      </c>
      <c r="H891" s="50">
        <f t="shared" si="215"/>
        <v>0</v>
      </c>
      <c r="I891" s="50">
        <f t="shared" si="215"/>
        <v>0</v>
      </c>
      <c r="J891" s="50">
        <f t="shared" si="215"/>
        <v>0</v>
      </c>
      <c r="K891" s="50">
        <f t="shared" si="215"/>
        <v>0</v>
      </c>
      <c r="L891" s="50">
        <f t="shared" si="215"/>
        <v>0</v>
      </c>
      <c r="M891" s="50">
        <f t="shared" si="215"/>
        <v>0</v>
      </c>
      <c r="N891" s="50">
        <f t="shared" si="215"/>
        <v>0</v>
      </c>
      <c r="O891" s="68">
        <f t="shared" si="215"/>
        <v>0</v>
      </c>
      <c r="P891" s="50">
        <f t="shared" si="215"/>
        <v>0</v>
      </c>
      <c r="Q891" s="68">
        <f t="shared" si="215"/>
        <v>22621.599999999999</v>
      </c>
      <c r="R891" s="50">
        <f t="shared" si="215"/>
        <v>186217941.33000001</v>
      </c>
      <c r="S891" s="68">
        <f t="shared" si="215"/>
        <v>0</v>
      </c>
      <c r="T891" s="68">
        <f t="shared" si="215"/>
        <v>0</v>
      </c>
      <c r="U891" s="50">
        <f t="shared" si="215"/>
        <v>0</v>
      </c>
      <c r="V891" s="50">
        <f t="shared" si="215"/>
        <v>0</v>
      </c>
      <c r="W891" s="34">
        <f t="shared" si="215"/>
        <v>17613931.970000003</v>
      </c>
      <c r="X891" s="285"/>
      <c r="Y891" s="9"/>
      <c r="Z891" s="318"/>
      <c r="AA891" s="9"/>
      <c r="AB891" s="302"/>
      <c r="AC891" s="302"/>
    </row>
    <row r="892" spans="1:38" x14ac:dyDescent="0.3">
      <c r="A892" s="478" t="s">
        <v>3836</v>
      </c>
      <c r="B892" s="478"/>
      <c r="C892" s="478"/>
      <c r="D892" s="478"/>
      <c r="E892" s="478"/>
      <c r="F892" s="478"/>
      <c r="G892" s="478"/>
      <c r="H892" s="478"/>
      <c r="I892" s="478"/>
      <c r="J892" s="478"/>
      <c r="K892" s="478"/>
      <c r="L892" s="478"/>
      <c r="M892" s="478"/>
      <c r="N892" s="478"/>
      <c r="O892" s="478"/>
      <c r="P892" s="478"/>
      <c r="Q892" s="478"/>
      <c r="R892" s="478"/>
      <c r="S892" s="478"/>
      <c r="T892" s="478"/>
      <c r="U892" s="478"/>
      <c r="V892" s="478"/>
      <c r="W892" s="478"/>
      <c r="X892" s="144"/>
      <c r="Y892" s="48"/>
      <c r="Z892" s="48"/>
      <c r="AA892" s="48"/>
      <c r="AB892" s="48"/>
      <c r="AC892" s="48"/>
      <c r="AD892" s="48"/>
      <c r="AE892" s="48"/>
      <c r="AF892" s="48"/>
      <c r="AG892" s="48"/>
      <c r="AH892" s="187"/>
      <c r="AI892" s="48"/>
      <c r="AJ892" s="48"/>
      <c r="AK892" s="48"/>
      <c r="AL892" s="48"/>
    </row>
    <row r="893" spans="1:38" x14ac:dyDescent="0.3">
      <c r="A893" s="448" t="s">
        <v>3922</v>
      </c>
      <c r="B893" s="448"/>
      <c r="C893" s="172"/>
      <c r="D893" s="172"/>
      <c r="E893" s="172"/>
      <c r="F893" s="172"/>
      <c r="G893" s="172"/>
      <c r="H893" s="172"/>
      <c r="I893" s="172"/>
      <c r="J893" s="172"/>
      <c r="K893" s="172"/>
      <c r="L893" s="172"/>
      <c r="M893" s="172"/>
      <c r="N893" s="172"/>
      <c r="O893" s="133"/>
      <c r="P893" s="172"/>
      <c r="Q893" s="133"/>
      <c r="R893" s="172"/>
      <c r="S893" s="133"/>
      <c r="T893" s="133"/>
      <c r="U893" s="172"/>
      <c r="V893" s="172"/>
      <c r="W893" s="175"/>
      <c r="X893" s="144"/>
      <c r="Y893" s="48"/>
      <c r="Z893" s="48"/>
      <c r="AA893" s="48"/>
      <c r="AB893" s="48"/>
      <c r="AC893" s="48"/>
      <c r="AD893" s="48"/>
      <c r="AE893" s="48"/>
      <c r="AF893" s="48"/>
      <c r="AG893" s="48"/>
      <c r="AH893" s="187"/>
      <c r="AI893" s="48"/>
      <c r="AJ893" s="48"/>
      <c r="AK893" s="48"/>
      <c r="AL893" s="48"/>
    </row>
    <row r="894" spans="1:38" x14ac:dyDescent="0.3">
      <c r="A894" s="59">
        <f>A878+1</f>
        <v>676</v>
      </c>
      <c r="B894" s="66" t="s">
        <v>3923</v>
      </c>
      <c r="C894" s="50">
        <f t="shared" ref="C894:C900" si="216">D894+K894+L894+N894+P894+R894+S894+U894+V894+W894</f>
        <v>847073.73</v>
      </c>
      <c r="D894" s="51">
        <f t="shared" ref="D894:D900" si="217">E894+F894+G894+H894+I894</f>
        <v>0</v>
      </c>
      <c r="E894" s="51"/>
      <c r="F894" s="51"/>
      <c r="G894" s="51"/>
      <c r="H894" s="51"/>
      <c r="I894" s="50"/>
      <c r="J894" s="51"/>
      <c r="K894" s="51"/>
      <c r="L894" s="51"/>
      <c r="M894" s="51"/>
      <c r="N894" s="50"/>
      <c r="O894" s="82"/>
      <c r="P894" s="51"/>
      <c r="Q894" s="82"/>
      <c r="R894" s="50"/>
      <c r="S894" s="68"/>
      <c r="T894" s="68"/>
      <c r="U894" s="50"/>
      <c r="V894" s="51"/>
      <c r="W894" s="178">
        <f>SUM(Y894:AL894)</f>
        <v>847073.73</v>
      </c>
      <c r="X894" s="141"/>
      <c r="Y894" s="48"/>
      <c r="Z894" s="48"/>
      <c r="AA894" s="48">
        <v>102470.89</v>
      </c>
      <c r="AB894" s="48"/>
      <c r="AC894" s="48"/>
      <c r="AD894" s="48"/>
      <c r="AE894" s="48"/>
      <c r="AF894" s="48"/>
      <c r="AG894" s="48">
        <v>193476.59</v>
      </c>
      <c r="AH894" s="187"/>
      <c r="AI894" s="48">
        <v>371705.89</v>
      </c>
      <c r="AJ894" s="48">
        <v>179420.36</v>
      </c>
      <c r="AK894" s="48"/>
      <c r="AL894" s="48"/>
    </row>
    <row r="895" spans="1:38" x14ac:dyDescent="0.3">
      <c r="A895" s="59">
        <f t="shared" ref="A895:A900" si="218">A894+1</f>
        <v>677</v>
      </c>
      <c r="B895" s="66" t="s">
        <v>3924</v>
      </c>
      <c r="C895" s="50">
        <f t="shared" si="216"/>
        <v>859261.85</v>
      </c>
      <c r="D895" s="51">
        <f t="shared" si="217"/>
        <v>0</v>
      </c>
      <c r="E895" s="51"/>
      <c r="F895" s="51"/>
      <c r="G895" s="51"/>
      <c r="H895" s="51"/>
      <c r="I895" s="50"/>
      <c r="J895" s="51"/>
      <c r="K895" s="51"/>
      <c r="L895" s="51"/>
      <c r="M895" s="51"/>
      <c r="N895" s="50"/>
      <c r="O895" s="82"/>
      <c r="P895" s="51"/>
      <c r="Q895" s="82"/>
      <c r="R895" s="50"/>
      <c r="S895" s="68"/>
      <c r="T895" s="68"/>
      <c r="U895" s="50"/>
      <c r="V895" s="51"/>
      <c r="W895" s="178">
        <f t="shared" ref="W895:W900" si="219">SUM(Y895:AL895)</f>
        <v>859261.85</v>
      </c>
      <c r="X895" s="141"/>
      <c r="Y895" s="48"/>
      <c r="Z895" s="48"/>
      <c r="AA895" s="48">
        <v>104148.19</v>
      </c>
      <c r="AB895" s="48"/>
      <c r="AC895" s="48"/>
      <c r="AD895" s="48"/>
      <c r="AE895" s="48"/>
      <c r="AF895" s="48"/>
      <c r="AG895" s="48">
        <v>196158.62</v>
      </c>
      <c r="AH895" s="187"/>
      <c r="AI895" s="48">
        <v>376882.3</v>
      </c>
      <c r="AJ895" s="48">
        <v>182072.74</v>
      </c>
      <c r="AK895" s="48"/>
      <c r="AL895" s="48"/>
    </row>
    <row r="896" spans="1:38" x14ac:dyDescent="0.3">
      <c r="A896" s="59">
        <f t="shared" si="218"/>
        <v>678</v>
      </c>
      <c r="B896" s="66" t="s">
        <v>3925</v>
      </c>
      <c r="C896" s="50">
        <f t="shared" si="216"/>
        <v>843727.49</v>
      </c>
      <c r="D896" s="51">
        <f t="shared" si="217"/>
        <v>0</v>
      </c>
      <c r="E896" s="51"/>
      <c r="F896" s="51"/>
      <c r="G896" s="51"/>
      <c r="H896" s="51"/>
      <c r="I896" s="50"/>
      <c r="J896" s="51"/>
      <c r="K896" s="51"/>
      <c r="L896" s="51"/>
      <c r="M896" s="51"/>
      <c r="N896" s="50"/>
      <c r="O896" s="82"/>
      <c r="P896" s="51"/>
      <c r="Q896" s="82"/>
      <c r="R896" s="50"/>
      <c r="S896" s="68"/>
      <c r="T896" s="68"/>
      <c r="U896" s="50"/>
      <c r="V896" s="51"/>
      <c r="W896" s="178">
        <f t="shared" si="219"/>
        <v>843727.49</v>
      </c>
      <c r="X896" s="141"/>
      <c r="Y896" s="48"/>
      <c r="Z896" s="48"/>
      <c r="AA896" s="48">
        <v>102009.97</v>
      </c>
      <c r="AB896" s="48"/>
      <c r="AC896" s="48"/>
      <c r="AD896" s="48"/>
      <c r="AE896" s="48"/>
      <c r="AF896" s="48"/>
      <c r="AG896" s="48">
        <v>192740.35</v>
      </c>
      <c r="AH896" s="187"/>
      <c r="AI896" s="48">
        <v>370284.91</v>
      </c>
      <c r="AJ896" s="48">
        <v>178692.26</v>
      </c>
      <c r="AK896" s="48"/>
      <c r="AL896" s="48"/>
    </row>
    <row r="897" spans="1:38" x14ac:dyDescent="0.3">
      <c r="A897" s="59">
        <f t="shared" si="218"/>
        <v>679</v>
      </c>
      <c r="B897" s="66" t="s">
        <v>3926</v>
      </c>
      <c r="C897" s="50">
        <f t="shared" si="216"/>
        <v>833688.76</v>
      </c>
      <c r="D897" s="51">
        <f t="shared" si="217"/>
        <v>0</v>
      </c>
      <c r="E897" s="51"/>
      <c r="F897" s="51"/>
      <c r="G897" s="51"/>
      <c r="H897" s="51"/>
      <c r="I897" s="50"/>
      <c r="J897" s="51"/>
      <c r="K897" s="51"/>
      <c r="L897" s="51"/>
      <c r="M897" s="51"/>
      <c r="N897" s="50"/>
      <c r="O897" s="82"/>
      <c r="P897" s="51"/>
      <c r="Q897" s="82"/>
      <c r="R897" s="50"/>
      <c r="S897" s="68"/>
      <c r="T897" s="68"/>
      <c r="U897" s="50"/>
      <c r="V897" s="51"/>
      <c r="W897" s="178">
        <f t="shared" si="219"/>
        <v>833688.76</v>
      </c>
      <c r="X897" s="141"/>
      <c r="Y897" s="48"/>
      <c r="Z897" s="48"/>
      <c r="AA897" s="48">
        <v>100627.19</v>
      </c>
      <c r="AB897" s="48"/>
      <c r="AC897" s="48"/>
      <c r="AD897" s="48"/>
      <c r="AE897" s="48"/>
      <c r="AF897" s="48"/>
      <c r="AG897" s="48">
        <v>190531.63</v>
      </c>
      <c r="AH897" s="187"/>
      <c r="AI897" s="48">
        <v>366022</v>
      </c>
      <c r="AJ897" s="48">
        <v>176507.94</v>
      </c>
      <c r="AK897" s="48"/>
      <c r="AL897" s="48"/>
    </row>
    <row r="898" spans="1:38" x14ac:dyDescent="0.3">
      <c r="A898" s="59">
        <f t="shared" si="218"/>
        <v>680</v>
      </c>
      <c r="B898" s="66" t="s">
        <v>3927</v>
      </c>
      <c r="C898" s="50">
        <f t="shared" si="216"/>
        <v>825323.14999999991</v>
      </c>
      <c r="D898" s="51">
        <f t="shared" si="217"/>
        <v>0</v>
      </c>
      <c r="E898" s="51"/>
      <c r="F898" s="51"/>
      <c r="G898" s="51"/>
      <c r="H898" s="51"/>
      <c r="I898" s="50"/>
      <c r="J898" s="51"/>
      <c r="K898" s="51"/>
      <c r="L898" s="51"/>
      <c r="M898" s="51"/>
      <c r="N898" s="50"/>
      <c r="O898" s="82"/>
      <c r="P898" s="51"/>
      <c r="Q898" s="82"/>
      <c r="R898" s="50"/>
      <c r="S898" s="68"/>
      <c r="T898" s="68"/>
      <c r="U898" s="50"/>
      <c r="V898" s="51"/>
      <c r="W898" s="178">
        <f t="shared" si="219"/>
        <v>825323.14999999991</v>
      </c>
      <c r="X898" s="141"/>
      <c r="Y898" s="48"/>
      <c r="Z898" s="48"/>
      <c r="AA898" s="48">
        <v>99474.880000000005</v>
      </c>
      <c r="AB898" s="48"/>
      <c r="AC898" s="48"/>
      <c r="AD898" s="48"/>
      <c r="AE898" s="48"/>
      <c r="AF898" s="48"/>
      <c r="AG898" s="48">
        <v>188691.02</v>
      </c>
      <c r="AH898" s="187"/>
      <c r="AI898" s="48">
        <v>362469.55</v>
      </c>
      <c r="AJ898" s="48">
        <v>174687.7</v>
      </c>
      <c r="AK898" s="48"/>
      <c r="AL898" s="48"/>
    </row>
    <row r="899" spans="1:38" x14ac:dyDescent="0.3">
      <c r="A899" s="59">
        <f t="shared" si="218"/>
        <v>681</v>
      </c>
      <c r="B899" s="66" t="s">
        <v>3928</v>
      </c>
      <c r="C899" s="50">
        <f t="shared" si="216"/>
        <v>1634102.77</v>
      </c>
      <c r="D899" s="51">
        <f t="shared" si="217"/>
        <v>0</v>
      </c>
      <c r="E899" s="51"/>
      <c r="F899" s="51"/>
      <c r="G899" s="51"/>
      <c r="H899" s="51"/>
      <c r="I899" s="50"/>
      <c r="J899" s="51"/>
      <c r="K899" s="51"/>
      <c r="L899" s="51"/>
      <c r="M899" s="51"/>
      <c r="N899" s="50"/>
      <c r="O899" s="82"/>
      <c r="P899" s="50"/>
      <c r="Q899" s="82"/>
      <c r="R899" s="50"/>
      <c r="S899" s="68"/>
      <c r="T899" s="82"/>
      <c r="U899" s="51"/>
      <c r="V899" s="51"/>
      <c r="W899" s="178">
        <f t="shared" si="219"/>
        <v>1634102.77</v>
      </c>
      <c r="X899" s="141"/>
      <c r="Y899" s="48"/>
      <c r="Z899" s="48"/>
      <c r="AA899" s="48"/>
      <c r="AB899" s="48"/>
      <c r="AC899" s="48"/>
      <c r="AD899" s="48"/>
      <c r="AE899" s="48"/>
      <c r="AF899" s="48"/>
      <c r="AG899" s="48">
        <v>403410.15</v>
      </c>
      <c r="AH899" s="187">
        <v>327939.89</v>
      </c>
      <c r="AI899" s="48">
        <v>902752.73</v>
      </c>
      <c r="AJ899" s="48"/>
      <c r="AK899" s="48"/>
      <c r="AL899" s="48"/>
    </row>
    <row r="900" spans="1:38" x14ac:dyDescent="0.3">
      <c r="A900" s="59">
        <f t="shared" si="218"/>
        <v>682</v>
      </c>
      <c r="B900" s="66" t="s">
        <v>3929</v>
      </c>
      <c r="C900" s="50">
        <f t="shared" si="216"/>
        <v>860422.21</v>
      </c>
      <c r="D900" s="51">
        <f t="shared" si="217"/>
        <v>0</v>
      </c>
      <c r="E900" s="51"/>
      <c r="F900" s="51"/>
      <c r="G900" s="51"/>
      <c r="H900" s="51"/>
      <c r="I900" s="50"/>
      <c r="J900" s="51"/>
      <c r="K900" s="51"/>
      <c r="L900" s="51"/>
      <c r="M900" s="51"/>
      <c r="N900" s="50"/>
      <c r="O900" s="82"/>
      <c r="P900" s="51"/>
      <c r="Q900" s="82"/>
      <c r="R900" s="50"/>
      <c r="S900" s="68"/>
      <c r="T900" s="82"/>
      <c r="U900" s="50"/>
      <c r="V900" s="51"/>
      <c r="W900" s="178">
        <f t="shared" si="219"/>
        <v>860422.21</v>
      </c>
      <c r="X900" s="141"/>
      <c r="Y900" s="48"/>
      <c r="Z900" s="48"/>
      <c r="AA900" s="48">
        <v>102272.47</v>
      </c>
      <c r="AB900" s="48"/>
      <c r="AC900" s="48">
        <v>103972.26</v>
      </c>
      <c r="AD900" s="48"/>
      <c r="AE900" s="48"/>
      <c r="AF900" s="48">
        <v>103972.26</v>
      </c>
      <c r="AG900" s="48"/>
      <c r="AH900" s="187"/>
      <c r="AI900" s="48">
        <v>371096.9</v>
      </c>
      <c r="AJ900" s="48">
        <v>179108.32</v>
      </c>
      <c r="AK900" s="48"/>
      <c r="AL900" s="48"/>
    </row>
    <row r="901" spans="1:38" x14ac:dyDescent="0.3">
      <c r="A901" s="449" t="s">
        <v>211</v>
      </c>
      <c r="B901" s="449"/>
      <c r="C901" s="50">
        <f>SUM(C894:C900)</f>
        <v>6703599.96</v>
      </c>
      <c r="D901" s="50">
        <f t="shared" ref="D901:W901" si="220">SUM(D894:D900)</f>
        <v>0</v>
      </c>
      <c r="E901" s="50">
        <f t="shared" si="220"/>
        <v>0</v>
      </c>
      <c r="F901" s="50">
        <f t="shared" si="220"/>
        <v>0</v>
      </c>
      <c r="G901" s="50">
        <f t="shared" si="220"/>
        <v>0</v>
      </c>
      <c r="H901" s="50">
        <f t="shared" si="220"/>
        <v>0</v>
      </c>
      <c r="I901" s="50">
        <f t="shared" si="220"/>
        <v>0</v>
      </c>
      <c r="J901" s="50">
        <f t="shared" si="220"/>
        <v>0</v>
      </c>
      <c r="K901" s="50">
        <f t="shared" si="220"/>
        <v>0</v>
      </c>
      <c r="L901" s="50">
        <f t="shared" si="220"/>
        <v>0</v>
      </c>
      <c r="M901" s="50">
        <f t="shared" si="220"/>
        <v>0</v>
      </c>
      <c r="N901" s="50">
        <f t="shared" si="220"/>
        <v>0</v>
      </c>
      <c r="O901" s="68">
        <f t="shared" si="220"/>
        <v>0</v>
      </c>
      <c r="P901" s="50">
        <f t="shared" si="220"/>
        <v>0</v>
      </c>
      <c r="Q901" s="68">
        <f t="shared" si="220"/>
        <v>0</v>
      </c>
      <c r="R901" s="50">
        <f t="shared" si="220"/>
        <v>0</v>
      </c>
      <c r="S901" s="68">
        <f t="shared" si="220"/>
        <v>0</v>
      </c>
      <c r="T901" s="68">
        <f t="shared" si="220"/>
        <v>0</v>
      </c>
      <c r="U901" s="50">
        <f t="shared" si="220"/>
        <v>0</v>
      </c>
      <c r="V901" s="50">
        <f t="shared" si="220"/>
        <v>0</v>
      </c>
      <c r="W901" s="34">
        <f t="shared" si="220"/>
        <v>6703599.96</v>
      </c>
      <c r="X901" s="304"/>
      <c r="Y901" s="48"/>
      <c r="Z901" s="48"/>
      <c r="AA901" s="48"/>
      <c r="AB901" s="48"/>
      <c r="AC901" s="48"/>
      <c r="AD901" s="48"/>
      <c r="AE901" s="48"/>
      <c r="AF901" s="48"/>
      <c r="AG901" s="48"/>
      <c r="AH901" s="187"/>
      <c r="AI901" s="48"/>
      <c r="AJ901" s="48"/>
      <c r="AK901" s="48"/>
      <c r="AL901" s="48"/>
    </row>
    <row r="902" spans="1:38" x14ac:dyDescent="0.3">
      <c r="A902" s="448" t="s">
        <v>3839</v>
      </c>
      <c r="B902" s="448"/>
      <c r="C902" s="50"/>
      <c r="D902" s="51"/>
      <c r="E902" s="51"/>
      <c r="F902" s="51"/>
      <c r="G902" s="51"/>
      <c r="H902" s="51"/>
      <c r="I902" s="50"/>
      <c r="J902" s="51"/>
      <c r="K902" s="51"/>
      <c r="L902" s="51"/>
      <c r="M902" s="51"/>
      <c r="N902" s="50"/>
      <c r="O902" s="82"/>
      <c r="P902" s="51"/>
      <c r="Q902" s="82"/>
      <c r="R902" s="50"/>
      <c r="S902" s="68"/>
      <c r="T902" s="82"/>
      <c r="U902" s="51"/>
      <c r="V902" s="51"/>
      <c r="W902" s="178"/>
      <c r="X902" s="141"/>
      <c r="Y902" s="48"/>
      <c r="Z902" s="48"/>
      <c r="AA902" s="48"/>
      <c r="AB902" s="48"/>
      <c r="AC902" s="48"/>
      <c r="AD902" s="48"/>
      <c r="AE902" s="48"/>
      <c r="AF902" s="48"/>
      <c r="AG902" s="48"/>
      <c r="AH902" s="187"/>
      <c r="AI902" s="48"/>
      <c r="AJ902" s="48"/>
      <c r="AK902" s="48"/>
      <c r="AL902" s="48"/>
    </row>
    <row r="903" spans="1:38" x14ac:dyDescent="0.3">
      <c r="A903" s="59">
        <f>A887+1</f>
        <v>683</v>
      </c>
      <c r="B903" s="66" t="s">
        <v>4054</v>
      </c>
      <c r="C903" s="50">
        <f>D903+K903+L903+N903+P903+R903+S903+U903+V903+W903</f>
        <v>4696462.8</v>
      </c>
      <c r="D903" s="51">
        <f t="shared" ref="D903:D906" si="221">E903+F903+G903+H903+I903</f>
        <v>0</v>
      </c>
      <c r="E903" s="51"/>
      <c r="F903" s="51"/>
      <c r="G903" s="51"/>
      <c r="H903" s="51"/>
      <c r="I903" s="50"/>
      <c r="J903" s="51"/>
      <c r="K903" s="51"/>
      <c r="L903" s="51"/>
      <c r="M903" s="51"/>
      <c r="N903" s="50"/>
      <c r="O903" s="82"/>
      <c r="P903" s="51"/>
      <c r="Q903" s="82">
        <v>1968</v>
      </c>
      <c r="R903" s="50">
        <v>4696462.8</v>
      </c>
      <c r="S903" s="68"/>
      <c r="T903" s="82"/>
      <c r="U903" s="51"/>
      <c r="V903" s="51"/>
      <c r="W903" s="178"/>
      <c r="X903" s="141"/>
      <c r="Y903" s="48"/>
      <c r="Z903" s="48"/>
      <c r="AA903" s="48"/>
      <c r="AB903" s="48"/>
      <c r="AC903" s="48"/>
      <c r="AD903" s="48"/>
      <c r="AE903" s="48"/>
      <c r="AF903" s="48"/>
      <c r="AG903" s="48"/>
      <c r="AH903" s="187"/>
      <c r="AI903" s="48"/>
      <c r="AJ903" s="48"/>
      <c r="AK903" s="48"/>
      <c r="AL903" s="48"/>
    </row>
    <row r="904" spans="1:38" x14ac:dyDescent="0.3">
      <c r="A904" s="59">
        <f t="shared" ref="A904:A906" si="222">A903+1</f>
        <v>684</v>
      </c>
      <c r="B904" s="66" t="s">
        <v>4055</v>
      </c>
      <c r="C904" s="50">
        <f>D904+K904+L904+N904+P904+R904+S904+U904+V904+W904</f>
        <v>5264296.8</v>
      </c>
      <c r="D904" s="51">
        <f t="shared" si="221"/>
        <v>0</v>
      </c>
      <c r="E904" s="51"/>
      <c r="F904" s="51"/>
      <c r="G904" s="51"/>
      <c r="H904" s="51"/>
      <c r="I904" s="50"/>
      <c r="J904" s="51"/>
      <c r="K904" s="51"/>
      <c r="L904" s="51"/>
      <c r="M904" s="51"/>
      <c r="N904" s="50"/>
      <c r="O904" s="82"/>
      <c r="P904" s="51"/>
      <c r="Q904" s="82">
        <v>1865</v>
      </c>
      <c r="R904" s="50">
        <v>5264296.8</v>
      </c>
      <c r="S904" s="68"/>
      <c r="T904" s="82"/>
      <c r="U904" s="51"/>
      <c r="V904" s="51"/>
      <c r="W904" s="178"/>
      <c r="X904" s="141"/>
      <c r="Y904" s="48"/>
      <c r="Z904" s="48"/>
      <c r="AA904" s="48"/>
      <c r="AB904" s="48"/>
      <c r="AC904" s="48"/>
      <c r="AD904" s="48"/>
      <c r="AE904" s="48"/>
      <c r="AF904" s="48"/>
      <c r="AG904" s="48"/>
      <c r="AH904" s="187"/>
      <c r="AI904" s="48"/>
      <c r="AJ904" s="48"/>
      <c r="AK904" s="48"/>
      <c r="AL904" s="48"/>
    </row>
    <row r="905" spans="1:38" x14ac:dyDescent="0.3">
      <c r="A905" s="59">
        <f t="shared" si="222"/>
        <v>685</v>
      </c>
      <c r="B905" s="66" t="s">
        <v>4056</v>
      </c>
      <c r="C905" s="50">
        <f>D905+K905+L905+N905+P905+R905+S905+U905+V905+W905</f>
        <v>25584548.399999999</v>
      </c>
      <c r="D905" s="51">
        <f t="shared" si="221"/>
        <v>0</v>
      </c>
      <c r="E905" s="51"/>
      <c r="F905" s="51"/>
      <c r="G905" s="51"/>
      <c r="H905" s="51"/>
      <c r="I905" s="50"/>
      <c r="J905" s="51"/>
      <c r="K905" s="51"/>
      <c r="L905" s="51"/>
      <c r="M905" s="51"/>
      <c r="N905" s="50"/>
      <c r="O905" s="82"/>
      <c r="P905" s="51"/>
      <c r="Q905" s="82">
        <v>3561</v>
      </c>
      <c r="R905" s="50">
        <v>25584548.399999999</v>
      </c>
      <c r="S905" s="68"/>
      <c r="T905" s="82"/>
      <c r="U905" s="51"/>
      <c r="V905" s="51"/>
      <c r="W905" s="178"/>
      <c r="X905" s="141"/>
      <c r="Y905" s="48"/>
      <c r="Z905" s="48"/>
      <c r="AA905" s="48"/>
      <c r="AB905" s="48"/>
      <c r="AC905" s="48"/>
      <c r="AD905" s="48"/>
      <c r="AE905" s="48"/>
      <c r="AF905" s="48"/>
      <c r="AG905" s="48"/>
      <c r="AH905" s="187"/>
      <c r="AI905" s="48"/>
      <c r="AJ905" s="48"/>
      <c r="AK905" s="48"/>
      <c r="AL905" s="48"/>
    </row>
    <row r="906" spans="1:38" x14ac:dyDescent="0.3">
      <c r="A906" s="59">
        <f t="shared" si="222"/>
        <v>686</v>
      </c>
      <c r="B906" s="66" t="s">
        <v>4057</v>
      </c>
      <c r="C906" s="50">
        <f>D906+K906+L906+N906+P906+R906+S906+U906+V906+W906</f>
        <v>22961302.800000001</v>
      </c>
      <c r="D906" s="51">
        <f t="shared" si="221"/>
        <v>0</v>
      </c>
      <c r="E906" s="51"/>
      <c r="F906" s="51"/>
      <c r="G906" s="51"/>
      <c r="H906" s="51"/>
      <c r="I906" s="50"/>
      <c r="J906" s="51"/>
      <c r="K906" s="51"/>
      <c r="L906" s="51"/>
      <c r="M906" s="51"/>
      <c r="N906" s="50"/>
      <c r="O906" s="82"/>
      <c r="P906" s="51"/>
      <c r="Q906" s="82">
        <v>3513</v>
      </c>
      <c r="R906" s="50">
        <v>22961302.800000001</v>
      </c>
      <c r="S906" s="68"/>
      <c r="T906" s="82"/>
      <c r="U906" s="51"/>
      <c r="V906" s="51"/>
      <c r="W906" s="178"/>
      <c r="X906" s="141"/>
      <c r="Y906" s="48"/>
      <c r="Z906" s="48"/>
      <c r="AA906" s="48"/>
      <c r="AB906" s="48"/>
      <c r="AC906" s="48"/>
      <c r="AD906" s="48"/>
      <c r="AE906" s="48"/>
      <c r="AF906" s="48"/>
      <c r="AG906" s="48"/>
      <c r="AH906" s="187"/>
      <c r="AI906" s="48"/>
      <c r="AJ906" s="48"/>
      <c r="AK906" s="48"/>
      <c r="AL906" s="48"/>
    </row>
    <row r="907" spans="1:38" x14ac:dyDescent="0.3">
      <c r="A907" s="449" t="s">
        <v>211</v>
      </c>
      <c r="B907" s="449"/>
      <c r="C907" s="50">
        <f t="shared" ref="C907:W907" si="223">SUM(C903:C906)</f>
        <v>58506610.799999997</v>
      </c>
      <c r="D907" s="50">
        <f t="shared" si="223"/>
        <v>0</v>
      </c>
      <c r="E907" s="50">
        <f t="shared" si="223"/>
        <v>0</v>
      </c>
      <c r="F907" s="50">
        <f t="shared" si="223"/>
        <v>0</v>
      </c>
      <c r="G907" s="50">
        <f t="shared" si="223"/>
        <v>0</v>
      </c>
      <c r="H907" s="50">
        <f t="shared" si="223"/>
        <v>0</v>
      </c>
      <c r="I907" s="50">
        <f t="shared" si="223"/>
        <v>0</v>
      </c>
      <c r="J907" s="50">
        <f t="shared" si="223"/>
        <v>0</v>
      </c>
      <c r="K907" s="50">
        <f t="shared" si="223"/>
        <v>0</v>
      </c>
      <c r="L907" s="50">
        <f t="shared" si="223"/>
        <v>0</v>
      </c>
      <c r="M907" s="50">
        <f t="shared" si="223"/>
        <v>0</v>
      </c>
      <c r="N907" s="50">
        <f t="shared" si="223"/>
        <v>0</v>
      </c>
      <c r="O907" s="68">
        <f t="shared" si="223"/>
        <v>0</v>
      </c>
      <c r="P907" s="50">
        <f t="shared" si="223"/>
        <v>0</v>
      </c>
      <c r="Q907" s="68">
        <f t="shared" si="223"/>
        <v>10907</v>
      </c>
      <c r="R907" s="50">
        <f t="shared" si="223"/>
        <v>58506610.799999997</v>
      </c>
      <c r="S907" s="68">
        <f t="shared" si="223"/>
        <v>0</v>
      </c>
      <c r="T907" s="68">
        <f t="shared" si="223"/>
        <v>0</v>
      </c>
      <c r="U907" s="50">
        <f t="shared" si="223"/>
        <v>0</v>
      </c>
      <c r="V907" s="50">
        <f t="shared" si="223"/>
        <v>0</v>
      </c>
      <c r="W907" s="34">
        <f t="shared" si="223"/>
        <v>0</v>
      </c>
      <c r="X907" s="304"/>
      <c r="Y907" s="48"/>
      <c r="Z907" s="48"/>
      <c r="AA907" s="48"/>
      <c r="AB907" s="48"/>
      <c r="AC907" s="48"/>
      <c r="AD907" s="48"/>
      <c r="AE907" s="48"/>
      <c r="AF907" s="48"/>
      <c r="AG907" s="48"/>
      <c r="AH907" s="187"/>
      <c r="AI907" s="48"/>
      <c r="AJ907" s="48"/>
      <c r="AK907" s="48"/>
      <c r="AL907" s="48"/>
    </row>
    <row r="908" spans="1:38" x14ac:dyDescent="0.3">
      <c r="A908" s="448" t="s">
        <v>3866</v>
      </c>
      <c r="B908" s="448"/>
      <c r="C908" s="50"/>
      <c r="D908" s="51"/>
      <c r="E908" s="51"/>
      <c r="F908" s="51"/>
      <c r="G908" s="51"/>
      <c r="H908" s="51"/>
      <c r="I908" s="50"/>
      <c r="J908" s="51"/>
      <c r="K908" s="51"/>
      <c r="L908" s="51"/>
      <c r="M908" s="51"/>
      <c r="N908" s="50"/>
      <c r="O908" s="82"/>
      <c r="P908" s="51"/>
      <c r="Q908" s="82"/>
      <c r="R908" s="50"/>
      <c r="S908" s="68"/>
      <c r="T908" s="82"/>
      <c r="U908" s="51"/>
      <c r="V908" s="51"/>
      <c r="W908" s="178"/>
      <c r="X908" s="141"/>
      <c r="Y908" s="48"/>
      <c r="Z908" s="48"/>
      <c r="AA908" s="48"/>
      <c r="AB908" s="48"/>
      <c r="AC908" s="48"/>
      <c r="AD908" s="48"/>
      <c r="AE908" s="48"/>
      <c r="AF908" s="48"/>
      <c r="AG908" s="48"/>
      <c r="AH908" s="187"/>
      <c r="AI908" s="48"/>
      <c r="AJ908" s="48"/>
      <c r="AK908" s="48"/>
      <c r="AL908" s="48"/>
    </row>
    <row r="909" spans="1:38" x14ac:dyDescent="0.3">
      <c r="A909" s="59">
        <f>A906+1</f>
        <v>687</v>
      </c>
      <c r="B909" s="66" t="s">
        <v>3867</v>
      </c>
      <c r="C909" s="50">
        <f>D909+K909+L909+N909+P909+R909+S909+U909+V909+W909</f>
        <v>4902662.4000000004</v>
      </c>
      <c r="D909" s="51">
        <f>E909+F909+G909+H909+I909</f>
        <v>0</v>
      </c>
      <c r="E909" s="51"/>
      <c r="F909" s="51"/>
      <c r="G909" s="50"/>
      <c r="H909" s="51"/>
      <c r="I909" s="50"/>
      <c r="J909" s="51"/>
      <c r="K909" s="51"/>
      <c r="L909" s="51"/>
      <c r="M909" s="51"/>
      <c r="N909" s="50"/>
      <c r="O909" s="82"/>
      <c r="P909" s="51"/>
      <c r="Q909" s="82"/>
      <c r="R909" s="50"/>
      <c r="S909" s="68"/>
      <c r="T909" s="82">
        <v>2110.1999999999998</v>
      </c>
      <c r="U909" s="50">
        <v>4902662.4000000004</v>
      </c>
      <c r="V909" s="51"/>
      <c r="W909" s="178"/>
      <c r="X909" s="141"/>
      <c r="Y909" s="48"/>
      <c r="Z909" s="48"/>
      <c r="AA909" s="48"/>
      <c r="AB909" s="48"/>
      <c r="AC909" s="48"/>
      <c r="AD909" s="48"/>
      <c r="AE909" s="48"/>
      <c r="AF909" s="48"/>
      <c r="AG909" s="48"/>
      <c r="AH909" s="187"/>
      <c r="AI909" s="48"/>
      <c r="AJ909" s="48"/>
      <c r="AK909" s="48"/>
      <c r="AL909" s="48"/>
    </row>
    <row r="910" spans="1:38" x14ac:dyDescent="0.3">
      <c r="A910" s="59">
        <f t="shared" ref="A910" si="224">A909+1</f>
        <v>688</v>
      </c>
      <c r="B910" s="66" t="s">
        <v>4058</v>
      </c>
      <c r="C910" s="50">
        <f>D910+K910+L910+N910+P910+R910+S910+U910+V910+W910</f>
        <v>4902662.4000000004</v>
      </c>
      <c r="D910" s="51">
        <f>E910+F910+G910+H910+I910</f>
        <v>0</v>
      </c>
      <c r="E910" s="51"/>
      <c r="F910" s="51"/>
      <c r="G910" s="51"/>
      <c r="H910" s="51"/>
      <c r="I910" s="50"/>
      <c r="J910" s="51"/>
      <c r="K910" s="51"/>
      <c r="L910" s="51"/>
      <c r="M910" s="51"/>
      <c r="N910" s="50"/>
      <c r="O910" s="82"/>
      <c r="P910" s="51"/>
      <c r="Q910" s="82"/>
      <c r="R910" s="50"/>
      <c r="S910" s="68"/>
      <c r="T910" s="82">
        <v>2102.1</v>
      </c>
      <c r="U910" s="50">
        <v>4902662.4000000004</v>
      </c>
      <c r="V910" s="51"/>
      <c r="W910" s="178"/>
      <c r="X910" s="141"/>
      <c r="Y910" s="48"/>
      <c r="Z910" s="48"/>
      <c r="AA910" s="48"/>
      <c r="AB910" s="48"/>
      <c r="AC910" s="48"/>
      <c r="AD910" s="48"/>
      <c r="AE910" s="48"/>
      <c r="AF910" s="48"/>
      <c r="AG910" s="48"/>
      <c r="AH910" s="187"/>
      <c r="AI910" s="48"/>
      <c r="AJ910" s="48"/>
      <c r="AK910" s="48"/>
      <c r="AL910" s="48"/>
    </row>
    <row r="911" spans="1:38" x14ac:dyDescent="0.3">
      <c r="A911" s="59">
        <f>A910+1</f>
        <v>689</v>
      </c>
      <c r="B911" s="66" t="s">
        <v>3869</v>
      </c>
      <c r="C911" s="50">
        <f>D911+K911+L911+N911+P911+R911+S911+U911+V911+W911</f>
        <v>4126047.6</v>
      </c>
      <c r="D911" s="51">
        <f>E911+F911+G911+H911+I911</f>
        <v>0</v>
      </c>
      <c r="E911" s="51"/>
      <c r="F911" s="50"/>
      <c r="G911" s="51"/>
      <c r="H911" s="51"/>
      <c r="I911" s="50"/>
      <c r="J911" s="51"/>
      <c r="K911" s="51"/>
      <c r="L911" s="51"/>
      <c r="M911" s="51"/>
      <c r="N911" s="50"/>
      <c r="O911" s="82"/>
      <c r="P911" s="51"/>
      <c r="Q911" s="82"/>
      <c r="R911" s="50"/>
      <c r="S911" s="68"/>
      <c r="T911" s="82">
        <v>1282.7</v>
      </c>
      <c r="U911" s="50">
        <v>4126047.6</v>
      </c>
      <c r="V911" s="51"/>
      <c r="W911" s="178"/>
      <c r="X911" s="141"/>
      <c r="Y911" s="48"/>
      <c r="Z911" s="48"/>
      <c r="AA911" s="48"/>
      <c r="AB911" s="48"/>
      <c r="AC911" s="48"/>
      <c r="AD911" s="48"/>
      <c r="AE911" s="48"/>
      <c r="AF911" s="48"/>
      <c r="AG911" s="48"/>
      <c r="AH911" s="187"/>
      <c r="AI911" s="48"/>
      <c r="AJ911" s="48"/>
      <c r="AK911" s="48"/>
      <c r="AL911" s="48"/>
    </row>
    <row r="912" spans="1:38" x14ac:dyDescent="0.3">
      <c r="A912" s="449" t="s">
        <v>211</v>
      </c>
      <c r="B912" s="449"/>
      <c r="C912" s="50">
        <f t="shared" ref="C912:W912" si="225">SUM(C909:C911)</f>
        <v>13931372.4</v>
      </c>
      <c r="D912" s="50">
        <f t="shared" si="225"/>
        <v>0</v>
      </c>
      <c r="E912" s="50">
        <f t="shared" si="225"/>
        <v>0</v>
      </c>
      <c r="F912" s="50">
        <f t="shared" si="225"/>
        <v>0</v>
      </c>
      <c r="G912" s="50">
        <f t="shared" si="225"/>
        <v>0</v>
      </c>
      <c r="H912" s="50">
        <f t="shared" si="225"/>
        <v>0</v>
      </c>
      <c r="I912" s="50">
        <f t="shared" si="225"/>
        <v>0</v>
      </c>
      <c r="J912" s="50">
        <f t="shared" si="225"/>
        <v>0</v>
      </c>
      <c r="K912" s="50">
        <f t="shared" si="225"/>
        <v>0</v>
      </c>
      <c r="L912" s="50">
        <f t="shared" si="225"/>
        <v>0</v>
      </c>
      <c r="M912" s="50">
        <f t="shared" si="225"/>
        <v>0</v>
      </c>
      <c r="N912" s="50">
        <f t="shared" si="225"/>
        <v>0</v>
      </c>
      <c r="O912" s="68">
        <f t="shared" si="225"/>
        <v>0</v>
      </c>
      <c r="P912" s="50">
        <f t="shared" si="225"/>
        <v>0</v>
      </c>
      <c r="Q912" s="68">
        <f t="shared" si="225"/>
        <v>0</v>
      </c>
      <c r="R912" s="50">
        <f t="shared" si="225"/>
        <v>0</v>
      </c>
      <c r="S912" s="68">
        <f t="shared" si="225"/>
        <v>0</v>
      </c>
      <c r="T912" s="68">
        <f t="shared" si="225"/>
        <v>5494.9999999999991</v>
      </c>
      <c r="U912" s="50">
        <f t="shared" si="225"/>
        <v>13931372.4</v>
      </c>
      <c r="V912" s="50">
        <f t="shared" si="225"/>
        <v>0</v>
      </c>
      <c r="W912" s="34">
        <f t="shared" si="225"/>
        <v>0</v>
      </c>
      <c r="X912" s="304"/>
      <c r="Y912" s="48"/>
      <c r="Z912" s="48"/>
      <c r="AA912" s="48"/>
      <c r="AB912" s="48"/>
      <c r="AC912" s="48"/>
      <c r="AD912" s="48"/>
      <c r="AE912" s="48"/>
      <c r="AF912" s="48"/>
      <c r="AG912" s="48"/>
      <c r="AH912" s="187"/>
      <c r="AI912" s="48"/>
      <c r="AJ912" s="48"/>
      <c r="AK912" s="48"/>
      <c r="AL912" s="48"/>
    </row>
    <row r="913" spans="1:38" x14ac:dyDescent="0.3">
      <c r="A913" s="448" t="s">
        <v>3870</v>
      </c>
      <c r="B913" s="448"/>
      <c r="C913" s="50"/>
      <c r="D913" s="51"/>
      <c r="E913" s="51"/>
      <c r="F913" s="51"/>
      <c r="G913" s="51"/>
      <c r="H913" s="51"/>
      <c r="I913" s="50"/>
      <c r="J913" s="51"/>
      <c r="K913" s="51"/>
      <c r="L913" s="51"/>
      <c r="M913" s="51"/>
      <c r="N913" s="50"/>
      <c r="O913" s="82"/>
      <c r="P913" s="51"/>
      <c r="Q913" s="82"/>
      <c r="R913" s="50"/>
      <c r="S913" s="68"/>
      <c r="T913" s="82"/>
      <c r="U913" s="51"/>
      <c r="V913" s="51"/>
      <c r="W913" s="178"/>
      <c r="X913" s="141"/>
      <c r="Y913" s="48"/>
      <c r="Z913" s="48"/>
      <c r="AA913" s="48"/>
      <c r="AB913" s="48"/>
      <c r="AC913" s="48"/>
      <c r="AD913" s="48"/>
      <c r="AE913" s="48"/>
      <c r="AF913" s="48"/>
      <c r="AG913" s="48"/>
      <c r="AH913" s="187"/>
      <c r="AI913" s="48"/>
      <c r="AJ913" s="48"/>
      <c r="AK913" s="48"/>
      <c r="AL913" s="48"/>
    </row>
    <row r="914" spans="1:38" x14ac:dyDescent="0.3">
      <c r="A914" s="59">
        <f>A911+1</f>
        <v>690</v>
      </c>
      <c r="B914" s="66" t="s">
        <v>3871</v>
      </c>
      <c r="C914" s="50">
        <f t="shared" ref="C914:C935" si="226">D914+K914+L914+N914+P914+R914+S914+U914+V914+W914</f>
        <v>671544.53</v>
      </c>
      <c r="D914" s="51">
        <f t="shared" ref="D914:D935" si="227">E914+F914+G914+H914+I914</f>
        <v>0</v>
      </c>
      <c r="E914" s="50"/>
      <c r="F914" s="51"/>
      <c r="G914" s="50"/>
      <c r="H914" s="51"/>
      <c r="I914" s="50"/>
      <c r="J914" s="51"/>
      <c r="K914" s="51"/>
      <c r="L914" s="51"/>
      <c r="M914" s="51"/>
      <c r="N914" s="50"/>
      <c r="O914" s="82"/>
      <c r="P914" s="50"/>
      <c r="Q914" s="82"/>
      <c r="R914" s="50"/>
      <c r="S914" s="68"/>
      <c r="T914" s="82"/>
      <c r="U914" s="51"/>
      <c r="V914" s="51"/>
      <c r="W914" s="178">
        <f t="shared" ref="W914:W919" si="228">SUM(Y914:AL914)</f>
        <v>671544.53</v>
      </c>
      <c r="X914" s="141"/>
      <c r="Y914" s="48"/>
      <c r="Z914" s="48"/>
      <c r="AA914" s="48">
        <v>106053.88</v>
      </c>
      <c r="AB914" s="48"/>
      <c r="AC914" s="48"/>
      <c r="AD914" s="48"/>
      <c r="AE914" s="48"/>
      <c r="AF914" s="48"/>
      <c r="AG914" s="48">
        <v>193581.78</v>
      </c>
      <c r="AH914" s="187"/>
      <c r="AI914" s="48">
        <v>371908.87</v>
      </c>
      <c r="AJ914" s="48"/>
      <c r="AK914" s="48"/>
      <c r="AL914" s="48"/>
    </row>
    <row r="915" spans="1:38" x14ac:dyDescent="0.3">
      <c r="A915" s="59">
        <f t="shared" ref="A915:A935" si="229">A914+1</f>
        <v>691</v>
      </c>
      <c r="B915" s="66" t="s">
        <v>4059</v>
      </c>
      <c r="C915" s="50">
        <f t="shared" si="226"/>
        <v>671544.53</v>
      </c>
      <c r="D915" s="51">
        <f t="shared" si="227"/>
        <v>0</v>
      </c>
      <c r="E915" s="50"/>
      <c r="F915" s="51"/>
      <c r="G915" s="50"/>
      <c r="H915" s="51"/>
      <c r="I915" s="50"/>
      <c r="J915" s="51"/>
      <c r="K915" s="51"/>
      <c r="L915" s="51"/>
      <c r="M915" s="51"/>
      <c r="N915" s="50"/>
      <c r="O915" s="82"/>
      <c r="P915" s="50"/>
      <c r="Q915" s="82"/>
      <c r="R915" s="50"/>
      <c r="S915" s="68"/>
      <c r="T915" s="82"/>
      <c r="U915" s="51"/>
      <c r="V915" s="51"/>
      <c r="W915" s="178">
        <f t="shared" si="228"/>
        <v>671544.53</v>
      </c>
      <c r="X915" s="141"/>
      <c r="Y915" s="48"/>
      <c r="Z915" s="48"/>
      <c r="AA915" s="48">
        <v>106053.88</v>
      </c>
      <c r="AB915" s="48"/>
      <c r="AC915" s="48"/>
      <c r="AD915" s="48"/>
      <c r="AE915" s="48"/>
      <c r="AF915" s="48"/>
      <c r="AG915" s="48">
        <v>193581.78</v>
      </c>
      <c r="AH915" s="187"/>
      <c r="AI915" s="48">
        <v>371908.87</v>
      </c>
      <c r="AJ915" s="48"/>
      <c r="AK915" s="48"/>
      <c r="AL915" s="48"/>
    </row>
    <row r="916" spans="1:38" x14ac:dyDescent="0.3">
      <c r="A916" s="59">
        <f t="shared" si="229"/>
        <v>692</v>
      </c>
      <c r="B916" s="66" t="s">
        <v>3872</v>
      </c>
      <c r="C916" s="50">
        <f t="shared" si="226"/>
        <v>691649.96</v>
      </c>
      <c r="D916" s="51">
        <f t="shared" si="227"/>
        <v>0</v>
      </c>
      <c r="E916" s="50"/>
      <c r="F916" s="51"/>
      <c r="G916" s="51"/>
      <c r="H916" s="51"/>
      <c r="I916" s="50"/>
      <c r="J916" s="51"/>
      <c r="K916" s="51"/>
      <c r="L916" s="51"/>
      <c r="M916" s="51"/>
      <c r="N916" s="50"/>
      <c r="O916" s="82"/>
      <c r="P916" s="51"/>
      <c r="Q916" s="82"/>
      <c r="R916" s="50"/>
      <c r="S916" s="68"/>
      <c r="T916" s="82"/>
      <c r="U916" s="51"/>
      <c r="V916" s="51"/>
      <c r="W916" s="178">
        <f t="shared" si="228"/>
        <v>691649.96</v>
      </c>
      <c r="X916" s="141"/>
      <c r="Y916" s="48"/>
      <c r="Z916" s="48"/>
      <c r="AA916" s="48">
        <v>103927.57</v>
      </c>
      <c r="AB916" s="48"/>
      <c r="AC916" s="48"/>
      <c r="AD916" s="48"/>
      <c r="AE916" s="48"/>
      <c r="AF916" s="48"/>
      <c r="AG916" s="48">
        <v>190321.28</v>
      </c>
      <c r="AH916" s="187">
        <v>40785.129999999997</v>
      </c>
      <c r="AI916" s="48">
        <v>356615.98</v>
      </c>
      <c r="AJ916" s="48"/>
      <c r="AK916" s="48"/>
      <c r="AL916" s="48"/>
    </row>
    <row r="917" spans="1:38" x14ac:dyDescent="0.3">
      <c r="A917" s="59">
        <f t="shared" si="229"/>
        <v>693</v>
      </c>
      <c r="B917" s="66" t="s">
        <v>3873</v>
      </c>
      <c r="C917" s="50">
        <f t="shared" si="226"/>
        <v>486962.43</v>
      </c>
      <c r="D917" s="51">
        <f t="shared" si="227"/>
        <v>0</v>
      </c>
      <c r="E917" s="50"/>
      <c r="F917" s="50"/>
      <c r="G917" s="50"/>
      <c r="H917" s="51"/>
      <c r="I917" s="50"/>
      <c r="J917" s="51"/>
      <c r="K917" s="51"/>
      <c r="L917" s="51"/>
      <c r="M917" s="51"/>
      <c r="N917" s="50"/>
      <c r="O917" s="82"/>
      <c r="P917" s="51"/>
      <c r="Q917" s="82"/>
      <c r="R917" s="50"/>
      <c r="S917" s="68"/>
      <c r="T917" s="82"/>
      <c r="U917" s="51"/>
      <c r="V917" s="51"/>
      <c r="W917" s="178">
        <f t="shared" si="228"/>
        <v>486962.43</v>
      </c>
      <c r="X917" s="141"/>
      <c r="Y917" s="48"/>
      <c r="Z917" s="48"/>
      <c r="AA917" s="48">
        <v>109199.12</v>
      </c>
      <c r="AB917" s="48"/>
      <c r="AC917" s="48"/>
      <c r="AD917" s="48"/>
      <c r="AE917" s="48"/>
      <c r="AF917" s="48"/>
      <c r="AG917" s="48"/>
      <c r="AH917" s="187"/>
      <c r="AI917" s="48">
        <v>377763.31</v>
      </c>
      <c r="AJ917" s="48"/>
      <c r="AK917" s="48"/>
      <c r="AL917" s="48"/>
    </row>
    <row r="918" spans="1:38" x14ac:dyDescent="0.3">
      <c r="A918" s="59">
        <f t="shared" si="229"/>
        <v>694</v>
      </c>
      <c r="B918" s="66" t="s">
        <v>3874</v>
      </c>
      <c r="C918" s="50">
        <f t="shared" si="226"/>
        <v>662419.30000000005</v>
      </c>
      <c r="D918" s="51">
        <f t="shared" si="227"/>
        <v>0</v>
      </c>
      <c r="E918" s="50"/>
      <c r="F918" s="50"/>
      <c r="G918" s="50"/>
      <c r="H918" s="51"/>
      <c r="I918" s="50"/>
      <c r="J918" s="51"/>
      <c r="K918" s="51"/>
      <c r="L918" s="51"/>
      <c r="M918" s="51"/>
      <c r="N918" s="50"/>
      <c r="O918" s="82"/>
      <c r="P918" s="51"/>
      <c r="Q918" s="82"/>
      <c r="R918" s="50"/>
      <c r="S918" s="68"/>
      <c r="T918" s="82"/>
      <c r="U918" s="51"/>
      <c r="V918" s="51"/>
      <c r="W918" s="178">
        <f t="shared" si="228"/>
        <v>662419.30000000005</v>
      </c>
      <c r="X918" s="141"/>
      <c r="Y918" s="48"/>
      <c r="Z918" s="48"/>
      <c r="AA918" s="48">
        <v>107670.32</v>
      </c>
      <c r="AB918" s="48"/>
      <c r="AC918" s="48"/>
      <c r="AD918" s="48"/>
      <c r="AE918" s="48"/>
      <c r="AF918" s="48"/>
      <c r="AG918" s="48"/>
      <c r="AH918" s="187"/>
      <c r="AI918" s="48">
        <v>373305.16</v>
      </c>
      <c r="AJ918" s="48">
        <v>181443.82</v>
      </c>
      <c r="AK918" s="48"/>
      <c r="AL918" s="48"/>
    </row>
    <row r="919" spans="1:38" x14ac:dyDescent="0.3">
      <c r="A919" s="59">
        <f t="shared" si="229"/>
        <v>695</v>
      </c>
      <c r="B919" s="66" t="s">
        <v>3875</v>
      </c>
      <c r="C919" s="50">
        <f t="shared" si="226"/>
        <v>478909.29</v>
      </c>
      <c r="D919" s="51">
        <f t="shared" si="227"/>
        <v>0</v>
      </c>
      <c r="E919" s="50"/>
      <c r="F919" s="50"/>
      <c r="G919" s="50"/>
      <c r="H919" s="51"/>
      <c r="I919" s="50"/>
      <c r="J919" s="51"/>
      <c r="K919" s="51"/>
      <c r="L919" s="51"/>
      <c r="M919" s="51"/>
      <c r="N919" s="50"/>
      <c r="O919" s="82"/>
      <c r="P919" s="51"/>
      <c r="Q919" s="82"/>
      <c r="R919" s="50"/>
      <c r="S919" s="68"/>
      <c r="T919" s="82"/>
      <c r="U919" s="51"/>
      <c r="V919" s="51"/>
      <c r="W919" s="178">
        <f t="shared" si="228"/>
        <v>478909.29</v>
      </c>
      <c r="X919" s="141"/>
      <c r="Y919" s="48"/>
      <c r="Z919" s="48"/>
      <c r="AA919" s="48">
        <v>107141.44</v>
      </c>
      <c r="AB919" s="48"/>
      <c r="AC919" s="48"/>
      <c r="AD919" s="48"/>
      <c r="AE919" s="48"/>
      <c r="AF919" s="48"/>
      <c r="AG919" s="48"/>
      <c r="AH919" s="187"/>
      <c r="AI919" s="48">
        <v>371767.85</v>
      </c>
      <c r="AJ919" s="48"/>
      <c r="AK919" s="48"/>
      <c r="AL919" s="48"/>
    </row>
    <row r="920" spans="1:38" x14ac:dyDescent="0.3">
      <c r="A920" s="59">
        <f t="shared" si="229"/>
        <v>696</v>
      </c>
      <c r="B920" s="66" t="s">
        <v>4060</v>
      </c>
      <c r="C920" s="50">
        <f t="shared" si="226"/>
        <v>130000</v>
      </c>
      <c r="D920" s="51">
        <f t="shared" si="227"/>
        <v>0</v>
      </c>
      <c r="E920" s="50"/>
      <c r="F920" s="51"/>
      <c r="G920" s="51"/>
      <c r="H920" s="51"/>
      <c r="I920" s="50"/>
      <c r="J920" s="51"/>
      <c r="K920" s="51"/>
      <c r="L920" s="51"/>
      <c r="M920" s="51"/>
      <c r="N920" s="50"/>
      <c r="O920" s="82"/>
      <c r="P920" s="51"/>
      <c r="Q920" s="82"/>
      <c r="R920" s="50"/>
      <c r="S920" s="68"/>
      <c r="T920" s="82"/>
      <c r="U920" s="51"/>
      <c r="V920" s="51"/>
      <c r="W920" s="178">
        <v>130000</v>
      </c>
      <c r="X920" s="141"/>
      <c r="Y920" s="48"/>
      <c r="Z920" s="48"/>
      <c r="AA920" s="48"/>
      <c r="AB920" s="48"/>
      <c r="AC920" s="48"/>
      <c r="AD920" s="48"/>
      <c r="AE920" s="48"/>
      <c r="AF920" s="48"/>
      <c r="AG920" s="48"/>
      <c r="AH920" s="187"/>
      <c r="AI920" s="48"/>
      <c r="AJ920" s="48"/>
      <c r="AK920" s="48"/>
      <c r="AL920" s="48"/>
    </row>
    <row r="921" spans="1:38" x14ac:dyDescent="0.3">
      <c r="A921" s="59">
        <f t="shared" si="229"/>
        <v>697</v>
      </c>
      <c r="B921" s="66" t="s">
        <v>3876</v>
      </c>
      <c r="C921" s="50">
        <f t="shared" si="226"/>
        <v>130000</v>
      </c>
      <c r="D921" s="51">
        <f t="shared" si="227"/>
        <v>0</v>
      </c>
      <c r="E921" s="50"/>
      <c r="F921" s="50"/>
      <c r="G921" s="50"/>
      <c r="H921" s="51"/>
      <c r="I921" s="50"/>
      <c r="J921" s="51"/>
      <c r="K921" s="51"/>
      <c r="L921" s="51"/>
      <c r="M921" s="51"/>
      <c r="N921" s="50"/>
      <c r="O921" s="82"/>
      <c r="P921" s="50"/>
      <c r="Q921" s="82"/>
      <c r="R921" s="50"/>
      <c r="S921" s="68"/>
      <c r="T921" s="82"/>
      <c r="U921" s="51"/>
      <c r="V921" s="51"/>
      <c r="W921" s="178">
        <v>130000</v>
      </c>
      <c r="X921" s="141"/>
      <c r="Y921" s="48"/>
      <c r="Z921" s="48"/>
      <c r="AA921" s="48"/>
      <c r="AB921" s="48"/>
      <c r="AC921" s="48"/>
      <c r="AD921" s="48"/>
      <c r="AE921" s="48"/>
      <c r="AF921" s="48"/>
      <c r="AG921" s="48"/>
      <c r="AH921" s="187"/>
      <c r="AI921" s="48"/>
      <c r="AJ921" s="48"/>
      <c r="AK921" s="48"/>
      <c r="AL921" s="48"/>
    </row>
    <row r="922" spans="1:38" x14ac:dyDescent="0.3">
      <c r="A922" s="59">
        <f t="shared" si="229"/>
        <v>698</v>
      </c>
      <c r="B922" s="66" t="s">
        <v>3877</v>
      </c>
      <c r="C922" s="50">
        <f t="shared" si="226"/>
        <v>130000</v>
      </c>
      <c r="D922" s="51">
        <f t="shared" si="227"/>
        <v>0</v>
      </c>
      <c r="E922" s="50"/>
      <c r="F922" s="50"/>
      <c r="G922" s="50"/>
      <c r="H922" s="51"/>
      <c r="I922" s="50"/>
      <c r="J922" s="51"/>
      <c r="K922" s="51"/>
      <c r="L922" s="51"/>
      <c r="M922" s="51"/>
      <c r="N922" s="50"/>
      <c r="O922" s="82"/>
      <c r="P922" s="51"/>
      <c r="Q922" s="82"/>
      <c r="R922" s="50"/>
      <c r="S922" s="68"/>
      <c r="T922" s="82"/>
      <c r="U922" s="51"/>
      <c r="V922" s="51"/>
      <c r="W922" s="178">
        <v>130000</v>
      </c>
      <c r="X922" s="141"/>
      <c r="Y922" s="48"/>
      <c r="Z922" s="48"/>
      <c r="AA922" s="48"/>
      <c r="AB922" s="48"/>
      <c r="AC922" s="48"/>
      <c r="AD922" s="48"/>
      <c r="AE922" s="48"/>
      <c r="AF922" s="48"/>
      <c r="AG922" s="48"/>
      <c r="AH922" s="187"/>
      <c r="AI922" s="48"/>
      <c r="AJ922" s="48"/>
      <c r="AK922" s="48"/>
      <c r="AL922" s="48"/>
    </row>
    <row r="923" spans="1:38" x14ac:dyDescent="0.3">
      <c r="A923" s="59">
        <f t="shared" si="229"/>
        <v>699</v>
      </c>
      <c r="B923" s="66" t="s">
        <v>4021</v>
      </c>
      <c r="C923" s="50">
        <f t="shared" si="226"/>
        <v>130000</v>
      </c>
      <c r="D923" s="51">
        <f t="shared" si="227"/>
        <v>0</v>
      </c>
      <c r="E923" s="50"/>
      <c r="F923" s="51"/>
      <c r="G923" s="51"/>
      <c r="H923" s="51"/>
      <c r="I923" s="50"/>
      <c r="J923" s="51"/>
      <c r="K923" s="51"/>
      <c r="L923" s="51"/>
      <c r="M923" s="51"/>
      <c r="N923" s="50"/>
      <c r="O923" s="82"/>
      <c r="P923" s="50"/>
      <c r="Q923" s="82"/>
      <c r="R923" s="50"/>
      <c r="S923" s="68"/>
      <c r="T923" s="82"/>
      <c r="U923" s="51"/>
      <c r="V923" s="51"/>
      <c r="W923" s="178">
        <v>130000</v>
      </c>
      <c r="X923" s="141"/>
      <c r="Y923" s="48"/>
      <c r="Z923" s="48"/>
      <c r="AA923" s="48"/>
      <c r="AB923" s="48"/>
      <c r="AC923" s="48"/>
      <c r="AD923" s="48"/>
      <c r="AE923" s="48"/>
      <c r="AF923" s="48"/>
      <c r="AG923" s="48"/>
      <c r="AH923" s="187"/>
      <c r="AI923" s="48"/>
      <c r="AJ923" s="48"/>
      <c r="AK923" s="48"/>
      <c r="AL923" s="48"/>
    </row>
    <row r="924" spans="1:38" x14ac:dyDescent="0.3">
      <c r="A924" s="59">
        <f t="shared" si="229"/>
        <v>700</v>
      </c>
      <c r="B924" s="66" t="s">
        <v>4061</v>
      </c>
      <c r="C924" s="50">
        <f t="shared" si="226"/>
        <v>130000</v>
      </c>
      <c r="D924" s="51">
        <f t="shared" si="227"/>
        <v>0</v>
      </c>
      <c r="E924" s="50"/>
      <c r="F924" s="51"/>
      <c r="G924" s="50"/>
      <c r="H924" s="51"/>
      <c r="I924" s="50"/>
      <c r="J924" s="51"/>
      <c r="K924" s="51"/>
      <c r="L924" s="51"/>
      <c r="M924" s="51"/>
      <c r="N924" s="50"/>
      <c r="O924" s="82"/>
      <c r="P924" s="50"/>
      <c r="Q924" s="82"/>
      <c r="R924" s="50"/>
      <c r="S924" s="68"/>
      <c r="T924" s="82"/>
      <c r="U924" s="51"/>
      <c r="V924" s="51"/>
      <c r="W924" s="178">
        <v>130000</v>
      </c>
      <c r="X924" s="141"/>
      <c r="Y924" s="48"/>
      <c r="Z924" s="48"/>
      <c r="AA924" s="48"/>
      <c r="AB924" s="48"/>
      <c r="AC924" s="48"/>
      <c r="AD924" s="48"/>
      <c r="AE924" s="48"/>
      <c r="AF924" s="48"/>
      <c r="AG924" s="48"/>
      <c r="AH924" s="187"/>
      <c r="AI924" s="48"/>
      <c r="AJ924" s="48"/>
      <c r="AK924" s="48"/>
      <c r="AL924" s="48"/>
    </row>
    <row r="925" spans="1:38" x14ac:dyDescent="0.3">
      <c r="A925" s="59">
        <f t="shared" si="229"/>
        <v>701</v>
      </c>
      <c r="B925" s="66" t="s">
        <v>3878</v>
      </c>
      <c r="C925" s="50">
        <f t="shared" si="226"/>
        <v>130000</v>
      </c>
      <c r="D925" s="51">
        <f t="shared" si="227"/>
        <v>0</v>
      </c>
      <c r="E925" s="50"/>
      <c r="F925" s="50"/>
      <c r="G925" s="50"/>
      <c r="H925" s="51"/>
      <c r="I925" s="50"/>
      <c r="J925" s="51"/>
      <c r="K925" s="51"/>
      <c r="L925" s="51"/>
      <c r="M925" s="51"/>
      <c r="N925" s="50"/>
      <c r="O925" s="82"/>
      <c r="P925" s="51"/>
      <c r="Q925" s="82"/>
      <c r="R925" s="50"/>
      <c r="S925" s="68"/>
      <c r="T925" s="82"/>
      <c r="U925" s="51"/>
      <c r="V925" s="51"/>
      <c r="W925" s="178">
        <v>130000</v>
      </c>
      <c r="X925" s="141"/>
      <c r="Y925" s="48"/>
      <c r="Z925" s="48"/>
      <c r="AA925" s="48"/>
      <c r="AB925" s="48"/>
      <c r="AC925" s="48"/>
      <c r="AD925" s="48"/>
      <c r="AE925" s="48"/>
      <c r="AF925" s="48"/>
      <c r="AG925" s="48"/>
      <c r="AH925" s="187"/>
      <c r="AI925" s="48"/>
      <c r="AJ925" s="48"/>
      <c r="AK925" s="48"/>
      <c r="AL925" s="48"/>
    </row>
    <row r="926" spans="1:38" x14ac:dyDescent="0.3">
      <c r="A926" s="59">
        <f t="shared" si="229"/>
        <v>702</v>
      </c>
      <c r="B926" s="66" t="s">
        <v>4022</v>
      </c>
      <c r="C926" s="50">
        <f t="shared" si="226"/>
        <v>130000</v>
      </c>
      <c r="D926" s="51">
        <f t="shared" si="227"/>
        <v>0</v>
      </c>
      <c r="E926" s="51"/>
      <c r="F926" s="51"/>
      <c r="G926" s="51"/>
      <c r="H926" s="51"/>
      <c r="I926" s="50"/>
      <c r="J926" s="51"/>
      <c r="K926" s="51"/>
      <c r="L926" s="51"/>
      <c r="M926" s="51"/>
      <c r="N926" s="50"/>
      <c r="O926" s="82"/>
      <c r="P926" s="50"/>
      <c r="Q926" s="82"/>
      <c r="R926" s="50"/>
      <c r="S926" s="68"/>
      <c r="T926" s="82"/>
      <c r="U926" s="51"/>
      <c r="V926" s="51"/>
      <c r="W926" s="178">
        <v>130000</v>
      </c>
      <c r="X926" s="141"/>
      <c r="Y926" s="48"/>
      <c r="Z926" s="48"/>
      <c r="AA926" s="48"/>
      <c r="AB926" s="48"/>
      <c r="AC926" s="48"/>
      <c r="AD926" s="48"/>
      <c r="AE926" s="48"/>
      <c r="AF926" s="48"/>
      <c r="AG926" s="48"/>
      <c r="AH926" s="187"/>
      <c r="AI926" s="48"/>
      <c r="AJ926" s="48"/>
      <c r="AK926" s="48"/>
      <c r="AL926" s="48"/>
    </row>
    <row r="927" spans="1:38" x14ac:dyDescent="0.3">
      <c r="A927" s="59">
        <f t="shared" si="229"/>
        <v>703</v>
      </c>
      <c r="B927" s="66" t="s">
        <v>3879</v>
      </c>
      <c r="C927" s="50">
        <f t="shared" si="226"/>
        <v>130000</v>
      </c>
      <c r="D927" s="51">
        <f t="shared" si="227"/>
        <v>0</v>
      </c>
      <c r="E927" s="50"/>
      <c r="F927" s="51"/>
      <c r="G927" s="51"/>
      <c r="H927" s="51"/>
      <c r="I927" s="50"/>
      <c r="J927" s="51"/>
      <c r="K927" s="51"/>
      <c r="L927" s="51"/>
      <c r="M927" s="51"/>
      <c r="N927" s="50"/>
      <c r="O927" s="82"/>
      <c r="P927" s="50"/>
      <c r="Q927" s="82"/>
      <c r="R927" s="50"/>
      <c r="S927" s="68"/>
      <c r="T927" s="82"/>
      <c r="U927" s="51"/>
      <c r="V927" s="51"/>
      <c r="W927" s="178">
        <v>130000</v>
      </c>
      <c r="X927" s="141"/>
      <c r="Y927" s="48"/>
      <c r="Z927" s="48"/>
      <c r="AA927" s="48"/>
      <c r="AB927" s="48"/>
      <c r="AC927" s="48"/>
      <c r="AD927" s="48"/>
      <c r="AE927" s="48"/>
      <c r="AF927" s="48"/>
      <c r="AG927" s="48"/>
      <c r="AH927" s="187"/>
      <c r="AI927" s="48"/>
      <c r="AJ927" s="48"/>
      <c r="AK927" s="48"/>
      <c r="AL927" s="48"/>
    </row>
    <row r="928" spans="1:38" x14ac:dyDescent="0.3">
      <c r="A928" s="59">
        <f t="shared" si="229"/>
        <v>704</v>
      </c>
      <c r="B928" s="66" t="s">
        <v>3880</v>
      </c>
      <c r="C928" s="50">
        <f t="shared" si="226"/>
        <v>130000</v>
      </c>
      <c r="D928" s="51">
        <f t="shared" si="227"/>
        <v>0</v>
      </c>
      <c r="E928" s="50"/>
      <c r="F928" s="51"/>
      <c r="G928" s="51"/>
      <c r="H928" s="51"/>
      <c r="I928" s="50"/>
      <c r="J928" s="51"/>
      <c r="K928" s="51"/>
      <c r="L928" s="51"/>
      <c r="M928" s="51"/>
      <c r="N928" s="50"/>
      <c r="O928" s="82"/>
      <c r="P928" s="51"/>
      <c r="Q928" s="82"/>
      <c r="R928" s="50"/>
      <c r="S928" s="68"/>
      <c r="T928" s="82"/>
      <c r="U928" s="51"/>
      <c r="V928" s="51"/>
      <c r="W928" s="178">
        <v>130000</v>
      </c>
      <c r="X928" s="141"/>
      <c r="Y928" s="48"/>
      <c r="Z928" s="48"/>
      <c r="AA928" s="48"/>
      <c r="AB928" s="48"/>
      <c r="AC928" s="48"/>
      <c r="AD928" s="48"/>
      <c r="AE928" s="48"/>
      <c r="AF928" s="48"/>
      <c r="AG928" s="48"/>
      <c r="AH928" s="187"/>
      <c r="AI928" s="48"/>
      <c r="AJ928" s="48"/>
      <c r="AK928" s="48"/>
      <c r="AL928" s="48"/>
    </row>
    <row r="929" spans="1:38" x14ac:dyDescent="0.3">
      <c r="A929" s="59">
        <f t="shared" si="229"/>
        <v>705</v>
      </c>
      <c r="B929" s="66" t="s">
        <v>3881</v>
      </c>
      <c r="C929" s="50">
        <f t="shared" si="226"/>
        <v>130000</v>
      </c>
      <c r="D929" s="51">
        <f t="shared" si="227"/>
        <v>0</v>
      </c>
      <c r="E929" s="50"/>
      <c r="F929" s="50"/>
      <c r="G929" s="50"/>
      <c r="H929" s="51"/>
      <c r="I929" s="50"/>
      <c r="J929" s="51"/>
      <c r="K929" s="51"/>
      <c r="L929" s="51"/>
      <c r="M929" s="51"/>
      <c r="N929" s="50"/>
      <c r="O929" s="82"/>
      <c r="P929" s="51"/>
      <c r="Q929" s="82"/>
      <c r="R929" s="50"/>
      <c r="S929" s="68"/>
      <c r="T929" s="82"/>
      <c r="U929" s="51"/>
      <c r="V929" s="51"/>
      <c r="W929" s="178">
        <v>130000</v>
      </c>
      <c r="X929" s="141"/>
      <c r="Y929" s="48"/>
      <c r="Z929" s="48"/>
      <c r="AA929" s="48"/>
      <c r="AB929" s="48"/>
      <c r="AC929" s="48"/>
      <c r="AD929" s="48"/>
      <c r="AE929" s="48"/>
      <c r="AF929" s="48"/>
      <c r="AG929" s="48"/>
      <c r="AH929" s="187"/>
      <c r="AI929" s="48"/>
      <c r="AJ929" s="48"/>
      <c r="AK929" s="48"/>
      <c r="AL929" s="48"/>
    </row>
    <row r="930" spans="1:38" x14ac:dyDescent="0.3">
      <c r="A930" s="59">
        <f t="shared" si="229"/>
        <v>706</v>
      </c>
      <c r="B930" s="66" t="s">
        <v>3882</v>
      </c>
      <c r="C930" s="50">
        <f t="shared" si="226"/>
        <v>130000</v>
      </c>
      <c r="D930" s="51">
        <f t="shared" si="227"/>
        <v>0</v>
      </c>
      <c r="E930" s="50"/>
      <c r="F930" s="51"/>
      <c r="G930" s="51"/>
      <c r="H930" s="51"/>
      <c r="I930" s="50"/>
      <c r="J930" s="51"/>
      <c r="K930" s="51"/>
      <c r="L930" s="51"/>
      <c r="M930" s="51"/>
      <c r="N930" s="50"/>
      <c r="O930" s="82"/>
      <c r="P930" s="51"/>
      <c r="Q930" s="82"/>
      <c r="R930" s="50"/>
      <c r="S930" s="68"/>
      <c r="T930" s="82"/>
      <c r="U930" s="51"/>
      <c r="V930" s="51"/>
      <c r="W930" s="178">
        <v>130000</v>
      </c>
      <c r="X930" s="141"/>
      <c r="Y930" s="48"/>
      <c r="Z930" s="48"/>
      <c r="AA930" s="48"/>
      <c r="AB930" s="48"/>
      <c r="AC930" s="48"/>
      <c r="AD930" s="48"/>
      <c r="AE930" s="48"/>
      <c r="AF930" s="48"/>
      <c r="AG930" s="48"/>
      <c r="AH930" s="187"/>
      <c r="AI930" s="48"/>
      <c r="AJ930" s="48"/>
      <c r="AK930" s="48"/>
      <c r="AL930" s="48"/>
    </row>
    <row r="931" spans="1:38" x14ac:dyDescent="0.3">
      <c r="A931" s="59">
        <f t="shared" si="229"/>
        <v>707</v>
      </c>
      <c r="B931" s="66" t="s">
        <v>4062</v>
      </c>
      <c r="C931" s="50">
        <f t="shared" si="226"/>
        <v>130000</v>
      </c>
      <c r="D931" s="51">
        <f t="shared" si="227"/>
        <v>0</v>
      </c>
      <c r="E931" s="50"/>
      <c r="F931" s="51"/>
      <c r="G931" s="50"/>
      <c r="H931" s="51"/>
      <c r="I931" s="50"/>
      <c r="J931" s="51"/>
      <c r="K931" s="51"/>
      <c r="L931" s="51"/>
      <c r="M931" s="51"/>
      <c r="N931" s="50"/>
      <c r="O931" s="82"/>
      <c r="P931" s="51"/>
      <c r="Q931" s="82"/>
      <c r="R931" s="50"/>
      <c r="S931" s="68"/>
      <c r="T931" s="82"/>
      <c r="U931" s="51"/>
      <c r="V931" s="51"/>
      <c r="W931" s="178">
        <v>130000</v>
      </c>
      <c r="X931" s="141"/>
      <c r="Y931" s="48"/>
      <c r="Z931" s="48"/>
      <c r="AA931" s="48"/>
      <c r="AB931" s="48"/>
      <c r="AC931" s="48"/>
      <c r="AD931" s="48"/>
      <c r="AE931" s="48"/>
      <c r="AF931" s="48"/>
      <c r="AG931" s="48"/>
      <c r="AH931" s="187"/>
      <c r="AI931" s="48"/>
      <c r="AJ931" s="48"/>
      <c r="AK931" s="48"/>
      <c r="AL931" s="48"/>
    </row>
    <row r="932" spans="1:38" x14ac:dyDescent="0.3">
      <c r="A932" s="59">
        <f t="shared" si="229"/>
        <v>708</v>
      </c>
      <c r="B932" s="66" t="s">
        <v>4063</v>
      </c>
      <c r="C932" s="50">
        <f t="shared" si="226"/>
        <v>130000</v>
      </c>
      <c r="D932" s="51">
        <f t="shared" si="227"/>
        <v>0</v>
      </c>
      <c r="E932" s="50"/>
      <c r="F932" s="51"/>
      <c r="G932" s="51"/>
      <c r="H932" s="51"/>
      <c r="I932" s="50"/>
      <c r="J932" s="51"/>
      <c r="K932" s="51"/>
      <c r="L932" s="51"/>
      <c r="M932" s="51"/>
      <c r="N932" s="50"/>
      <c r="O932" s="82"/>
      <c r="P932" s="51"/>
      <c r="Q932" s="82"/>
      <c r="R932" s="50"/>
      <c r="S932" s="68"/>
      <c r="T932" s="82"/>
      <c r="U932" s="51"/>
      <c r="V932" s="51"/>
      <c r="W932" s="178">
        <v>130000</v>
      </c>
      <c r="X932" s="141"/>
      <c r="Y932" s="48"/>
      <c r="Z932" s="48"/>
      <c r="AA932" s="48"/>
      <c r="AB932" s="48"/>
      <c r="AC932" s="48"/>
      <c r="AD932" s="48"/>
      <c r="AE932" s="48"/>
      <c r="AF932" s="48"/>
      <c r="AG932" s="48"/>
      <c r="AH932" s="187"/>
      <c r="AI932" s="48"/>
      <c r="AJ932" s="48"/>
      <c r="AK932" s="48"/>
      <c r="AL932" s="48"/>
    </row>
    <row r="933" spans="1:38" x14ac:dyDescent="0.3">
      <c r="A933" s="59">
        <f t="shared" si="229"/>
        <v>709</v>
      </c>
      <c r="B933" s="66" t="s">
        <v>4064</v>
      </c>
      <c r="C933" s="50">
        <f t="shared" si="226"/>
        <v>130000</v>
      </c>
      <c r="D933" s="51">
        <f t="shared" si="227"/>
        <v>0</v>
      </c>
      <c r="E933" s="50"/>
      <c r="F933" s="51"/>
      <c r="G933" s="50"/>
      <c r="H933" s="51"/>
      <c r="I933" s="50"/>
      <c r="J933" s="51"/>
      <c r="K933" s="51"/>
      <c r="L933" s="51"/>
      <c r="M933" s="51"/>
      <c r="N933" s="50"/>
      <c r="O933" s="82"/>
      <c r="P933" s="51"/>
      <c r="Q933" s="82"/>
      <c r="R933" s="50"/>
      <c r="S933" s="68"/>
      <c r="T933" s="82"/>
      <c r="U933" s="51"/>
      <c r="V933" s="51"/>
      <c r="W933" s="178">
        <v>130000</v>
      </c>
      <c r="X933" s="141"/>
      <c r="Y933" s="48"/>
      <c r="Z933" s="48"/>
      <c r="AA933" s="48"/>
      <c r="AB933" s="48"/>
      <c r="AC933" s="48"/>
      <c r="AD933" s="48"/>
      <c r="AE933" s="48"/>
      <c r="AF933" s="48"/>
      <c r="AG933" s="48"/>
      <c r="AH933" s="187"/>
      <c r="AI933" s="48"/>
      <c r="AJ933" s="48"/>
      <c r="AK933" s="48"/>
      <c r="AL933" s="48"/>
    </row>
    <row r="934" spans="1:38" x14ac:dyDescent="0.3">
      <c r="A934" s="59">
        <f t="shared" si="229"/>
        <v>710</v>
      </c>
      <c r="B934" s="66" t="s">
        <v>3883</v>
      </c>
      <c r="C934" s="50">
        <f t="shared" si="226"/>
        <v>130000</v>
      </c>
      <c r="D934" s="51">
        <f t="shared" si="227"/>
        <v>0</v>
      </c>
      <c r="E934" s="50"/>
      <c r="F934" s="50"/>
      <c r="G934" s="50"/>
      <c r="H934" s="51"/>
      <c r="I934" s="50"/>
      <c r="J934" s="51"/>
      <c r="K934" s="51"/>
      <c r="L934" s="51"/>
      <c r="M934" s="51"/>
      <c r="N934" s="50"/>
      <c r="O934" s="82"/>
      <c r="P934" s="51"/>
      <c r="Q934" s="82"/>
      <c r="R934" s="50"/>
      <c r="S934" s="68"/>
      <c r="T934" s="82"/>
      <c r="U934" s="51"/>
      <c r="V934" s="51"/>
      <c r="W934" s="178">
        <v>130000</v>
      </c>
      <c r="X934" s="141"/>
      <c r="Y934" s="48"/>
      <c r="Z934" s="48"/>
      <c r="AA934" s="48"/>
      <c r="AB934" s="48"/>
      <c r="AC934" s="48"/>
      <c r="AD934" s="48"/>
      <c r="AE934" s="48"/>
      <c r="AF934" s="48"/>
      <c r="AG934" s="48"/>
      <c r="AH934" s="187"/>
      <c r="AI934" s="48"/>
      <c r="AJ934" s="48"/>
      <c r="AK934" s="48"/>
      <c r="AL934" s="48"/>
    </row>
    <row r="935" spans="1:38" x14ac:dyDescent="0.3">
      <c r="A935" s="59">
        <f t="shared" si="229"/>
        <v>711</v>
      </c>
      <c r="B935" s="66" t="s">
        <v>4065</v>
      </c>
      <c r="C935" s="50">
        <f t="shared" si="226"/>
        <v>130000</v>
      </c>
      <c r="D935" s="51">
        <f t="shared" si="227"/>
        <v>0</v>
      </c>
      <c r="E935" s="51"/>
      <c r="F935" s="50"/>
      <c r="G935" s="50"/>
      <c r="H935" s="51"/>
      <c r="I935" s="50"/>
      <c r="J935" s="51"/>
      <c r="K935" s="51"/>
      <c r="L935" s="51"/>
      <c r="M935" s="51"/>
      <c r="N935" s="50"/>
      <c r="O935" s="82"/>
      <c r="P935" s="51"/>
      <c r="Q935" s="82"/>
      <c r="R935" s="50"/>
      <c r="S935" s="68"/>
      <c r="T935" s="82"/>
      <c r="U935" s="51"/>
      <c r="V935" s="51"/>
      <c r="W935" s="178">
        <v>130000</v>
      </c>
      <c r="X935" s="141"/>
      <c r="Y935" s="48"/>
      <c r="Z935" s="48"/>
      <c r="AA935" s="48"/>
      <c r="AB935" s="48"/>
      <c r="AC935" s="48"/>
      <c r="AD935" s="48"/>
      <c r="AE935" s="48"/>
      <c r="AF935" s="48"/>
      <c r="AG935" s="48"/>
      <c r="AH935" s="187"/>
      <c r="AI935" s="48"/>
      <c r="AJ935" s="48"/>
      <c r="AK935" s="48"/>
      <c r="AL935" s="48"/>
    </row>
    <row r="936" spans="1:38" x14ac:dyDescent="0.3">
      <c r="A936" s="449" t="s">
        <v>211</v>
      </c>
      <c r="B936" s="449"/>
      <c r="C936" s="50">
        <f>SUM(C914:C935)</f>
        <v>5743030.04</v>
      </c>
      <c r="D936" s="50">
        <f t="shared" ref="D936:W936" si="230">SUM(D914:D935)</f>
        <v>0</v>
      </c>
      <c r="E936" s="50">
        <f t="shared" si="230"/>
        <v>0</v>
      </c>
      <c r="F936" s="50">
        <f t="shared" si="230"/>
        <v>0</v>
      </c>
      <c r="G936" s="50">
        <f t="shared" si="230"/>
        <v>0</v>
      </c>
      <c r="H936" s="50">
        <f t="shared" si="230"/>
        <v>0</v>
      </c>
      <c r="I936" s="50">
        <f t="shared" si="230"/>
        <v>0</v>
      </c>
      <c r="J936" s="50">
        <f t="shared" si="230"/>
        <v>0</v>
      </c>
      <c r="K936" s="50">
        <f t="shared" si="230"/>
        <v>0</v>
      </c>
      <c r="L936" s="50">
        <f t="shared" si="230"/>
        <v>0</v>
      </c>
      <c r="M936" s="50">
        <f t="shared" si="230"/>
        <v>0</v>
      </c>
      <c r="N936" s="50">
        <f t="shared" si="230"/>
        <v>0</v>
      </c>
      <c r="O936" s="68">
        <f t="shared" si="230"/>
        <v>0</v>
      </c>
      <c r="P936" s="50">
        <f t="shared" si="230"/>
        <v>0</v>
      </c>
      <c r="Q936" s="68">
        <f t="shared" si="230"/>
        <v>0</v>
      </c>
      <c r="R936" s="50">
        <f t="shared" si="230"/>
        <v>0</v>
      </c>
      <c r="S936" s="68">
        <f t="shared" si="230"/>
        <v>0</v>
      </c>
      <c r="T936" s="68">
        <f t="shared" si="230"/>
        <v>0</v>
      </c>
      <c r="U936" s="50">
        <f t="shared" si="230"/>
        <v>0</v>
      </c>
      <c r="V936" s="50">
        <f t="shared" si="230"/>
        <v>0</v>
      </c>
      <c r="W936" s="34">
        <f t="shared" si="230"/>
        <v>5743030.04</v>
      </c>
      <c r="X936" s="304"/>
      <c r="Y936" s="48"/>
      <c r="Z936" s="48"/>
      <c r="AA936" s="48"/>
      <c r="AB936" s="48"/>
      <c r="AC936" s="48"/>
      <c r="AD936" s="48"/>
      <c r="AE936" s="48"/>
      <c r="AF936" s="48"/>
      <c r="AG936" s="48"/>
      <c r="AH936" s="187"/>
      <c r="AI936" s="48"/>
      <c r="AJ936" s="48"/>
      <c r="AK936" s="48"/>
      <c r="AL936" s="48"/>
    </row>
    <row r="937" spans="1:38" x14ac:dyDescent="0.3">
      <c r="A937" s="448" t="s">
        <v>3894</v>
      </c>
      <c r="B937" s="448"/>
      <c r="C937" s="50"/>
      <c r="D937" s="51"/>
      <c r="E937" s="51"/>
      <c r="F937" s="51"/>
      <c r="G937" s="51"/>
      <c r="H937" s="51"/>
      <c r="I937" s="50"/>
      <c r="J937" s="51"/>
      <c r="K937" s="51"/>
      <c r="L937" s="51"/>
      <c r="M937" s="51"/>
      <c r="N937" s="50"/>
      <c r="O937" s="82"/>
      <c r="P937" s="51"/>
      <c r="Q937" s="82"/>
      <c r="R937" s="50"/>
      <c r="S937" s="68"/>
      <c r="T937" s="82"/>
      <c r="U937" s="51"/>
      <c r="V937" s="51"/>
      <c r="W937" s="178"/>
      <c r="X937" s="141"/>
      <c r="Y937" s="48"/>
      <c r="Z937" s="48"/>
      <c r="AA937" s="48"/>
      <c r="AB937" s="48"/>
      <c r="AC937" s="48"/>
      <c r="AD937" s="48"/>
      <c r="AE937" s="48"/>
      <c r="AF937" s="48"/>
      <c r="AG937" s="48"/>
      <c r="AH937" s="187"/>
      <c r="AI937" s="48"/>
      <c r="AJ937" s="48"/>
      <c r="AK937" s="48"/>
      <c r="AL937" s="48"/>
    </row>
    <row r="938" spans="1:38" x14ac:dyDescent="0.3">
      <c r="A938" s="59">
        <f>A935+1</f>
        <v>712</v>
      </c>
      <c r="B938" s="66" t="s">
        <v>3901</v>
      </c>
      <c r="C938" s="50">
        <f>D938+K938+L938+N938+P938+R938+S938+U938+V938+W938</f>
        <v>14235768</v>
      </c>
      <c r="D938" s="51">
        <f>E938+F938+G938+H938+I938</f>
        <v>0</v>
      </c>
      <c r="E938" s="50"/>
      <c r="F938" s="51"/>
      <c r="G938" s="50"/>
      <c r="H938" s="51"/>
      <c r="I938" s="50"/>
      <c r="J938" s="51"/>
      <c r="K938" s="51"/>
      <c r="L938" s="51"/>
      <c r="M938" s="51"/>
      <c r="N938" s="50"/>
      <c r="O938" s="82"/>
      <c r="P938" s="51"/>
      <c r="Q938" s="82">
        <v>3060</v>
      </c>
      <c r="R938" s="50">
        <v>14235768</v>
      </c>
      <c r="S938" s="68"/>
      <c r="T938" s="82"/>
      <c r="U938" s="51"/>
      <c r="V938" s="51"/>
      <c r="W938" s="178"/>
      <c r="X938" s="141"/>
      <c r="Y938" s="48"/>
      <c r="Z938" s="48"/>
      <c r="AA938" s="48"/>
      <c r="AB938" s="48"/>
      <c r="AC938" s="48"/>
      <c r="AD938" s="48"/>
      <c r="AE938" s="48"/>
      <c r="AF938" s="48"/>
      <c r="AG938" s="48"/>
      <c r="AH938" s="187"/>
      <c r="AI938" s="48"/>
      <c r="AJ938" s="48"/>
      <c r="AK938" s="48"/>
      <c r="AL938" s="48"/>
    </row>
    <row r="939" spans="1:38" x14ac:dyDescent="0.3">
      <c r="A939" s="449" t="s">
        <v>211</v>
      </c>
      <c r="B939" s="449"/>
      <c r="C939" s="50">
        <f t="shared" ref="C939:W939" si="231">SUM(C938:C938)</f>
        <v>14235768</v>
      </c>
      <c r="D939" s="50">
        <f t="shared" si="231"/>
        <v>0</v>
      </c>
      <c r="E939" s="50">
        <f t="shared" si="231"/>
        <v>0</v>
      </c>
      <c r="F939" s="50">
        <f t="shared" si="231"/>
        <v>0</v>
      </c>
      <c r="G939" s="50">
        <f t="shared" si="231"/>
        <v>0</v>
      </c>
      <c r="H939" s="50">
        <f t="shared" si="231"/>
        <v>0</v>
      </c>
      <c r="I939" s="50">
        <f t="shared" si="231"/>
        <v>0</v>
      </c>
      <c r="J939" s="50">
        <f t="shared" si="231"/>
        <v>0</v>
      </c>
      <c r="K939" s="50">
        <f t="shared" si="231"/>
        <v>0</v>
      </c>
      <c r="L939" s="50">
        <f t="shared" si="231"/>
        <v>0</v>
      </c>
      <c r="M939" s="50">
        <f t="shared" si="231"/>
        <v>0</v>
      </c>
      <c r="N939" s="50">
        <f t="shared" si="231"/>
        <v>0</v>
      </c>
      <c r="O939" s="68">
        <f t="shared" si="231"/>
        <v>0</v>
      </c>
      <c r="P939" s="50">
        <f t="shared" si="231"/>
        <v>0</v>
      </c>
      <c r="Q939" s="68">
        <f t="shared" si="231"/>
        <v>3060</v>
      </c>
      <c r="R939" s="50">
        <f t="shared" si="231"/>
        <v>14235768</v>
      </c>
      <c r="S939" s="68">
        <f t="shared" si="231"/>
        <v>0</v>
      </c>
      <c r="T939" s="68">
        <f t="shared" si="231"/>
        <v>0</v>
      </c>
      <c r="U939" s="50">
        <f t="shared" si="231"/>
        <v>0</v>
      </c>
      <c r="V939" s="50">
        <f t="shared" si="231"/>
        <v>0</v>
      </c>
      <c r="W939" s="34">
        <f t="shared" si="231"/>
        <v>0</v>
      </c>
      <c r="X939" s="304"/>
      <c r="Y939" s="48"/>
      <c r="Z939" s="48"/>
      <c r="AA939" s="48"/>
      <c r="AB939" s="48"/>
      <c r="AC939" s="48"/>
      <c r="AD939" s="48"/>
      <c r="AE939" s="48"/>
      <c r="AF939" s="48"/>
      <c r="AG939" s="48"/>
      <c r="AH939" s="187"/>
      <c r="AI939" s="48"/>
      <c r="AJ939" s="48"/>
      <c r="AK939" s="48"/>
      <c r="AL939" s="48"/>
    </row>
    <row r="940" spans="1:38" x14ac:dyDescent="0.3">
      <c r="A940" s="448" t="s">
        <v>3909</v>
      </c>
      <c r="B940" s="448"/>
      <c r="C940" s="50"/>
      <c r="D940" s="51"/>
      <c r="E940" s="51"/>
      <c r="F940" s="51"/>
      <c r="G940" s="51"/>
      <c r="H940" s="51"/>
      <c r="I940" s="50"/>
      <c r="J940" s="51"/>
      <c r="K940" s="51"/>
      <c r="L940" s="51"/>
      <c r="M940" s="51"/>
      <c r="N940" s="50"/>
      <c r="O940" s="82"/>
      <c r="P940" s="51"/>
      <c r="Q940" s="82"/>
      <c r="R940" s="50"/>
      <c r="S940" s="68"/>
      <c r="T940" s="82"/>
      <c r="U940" s="51"/>
      <c r="V940" s="51"/>
      <c r="W940" s="178"/>
      <c r="X940" s="141"/>
      <c r="Y940" s="48"/>
      <c r="Z940" s="48"/>
      <c r="AA940" s="48"/>
      <c r="AB940" s="48"/>
      <c r="AC940" s="48"/>
      <c r="AD940" s="48"/>
      <c r="AE940" s="48"/>
      <c r="AF940" s="48"/>
      <c r="AG940" s="48"/>
      <c r="AH940" s="187"/>
      <c r="AI940" s="48"/>
      <c r="AJ940" s="48"/>
      <c r="AK940" s="48"/>
      <c r="AL940" s="48"/>
    </row>
    <row r="941" spans="1:38" x14ac:dyDescent="0.3">
      <c r="A941" s="59">
        <f>A938+1</f>
        <v>713</v>
      </c>
      <c r="B941" s="66" t="s">
        <v>3910</v>
      </c>
      <c r="C941" s="50">
        <f>D941+K941+L941+N941+P941+R941+S941+U941+V941+W941</f>
        <v>4075405.2</v>
      </c>
      <c r="D941" s="51">
        <f>E941+F941+G941+H941+I941</f>
        <v>0</v>
      </c>
      <c r="E941" s="51"/>
      <c r="F941" s="51"/>
      <c r="G941" s="51"/>
      <c r="H941" s="51"/>
      <c r="I941" s="50"/>
      <c r="J941" s="51"/>
      <c r="K941" s="51"/>
      <c r="L941" s="51"/>
      <c r="M941" s="51"/>
      <c r="N941" s="50"/>
      <c r="O941" s="82"/>
      <c r="P941" s="51"/>
      <c r="Q941" s="82">
        <v>585</v>
      </c>
      <c r="R941" s="50">
        <v>4075405.2</v>
      </c>
      <c r="S941" s="68"/>
      <c r="T941" s="82"/>
      <c r="U941" s="51"/>
      <c r="V941" s="51"/>
      <c r="W941" s="178"/>
      <c r="X941" s="141"/>
      <c r="Y941" s="48"/>
      <c r="Z941" s="48"/>
      <c r="AA941" s="48"/>
      <c r="AB941" s="48"/>
      <c r="AC941" s="48"/>
      <c r="AD941" s="48"/>
      <c r="AE941" s="48"/>
      <c r="AF941" s="48"/>
      <c r="AG941" s="48"/>
      <c r="AH941" s="187"/>
      <c r="AI941" s="48"/>
      <c r="AJ941" s="48"/>
      <c r="AK941" s="48"/>
      <c r="AL941" s="48"/>
    </row>
    <row r="942" spans="1:38" x14ac:dyDescent="0.3">
      <c r="A942" s="59">
        <f t="shared" ref="A942" si="232">A941+1</f>
        <v>714</v>
      </c>
      <c r="B942" s="66" t="s">
        <v>4066</v>
      </c>
      <c r="C942" s="50">
        <f>D942+K942+L942+N942+P942+R942+S942+U942+V942+W942</f>
        <v>6448930.7999999998</v>
      </c>
      <c r="D942" s="51">
        <f>E942+F942+G942+H942+I942</f>
        <v>0</v>
      </c>
      <c r="E942" s="51"/>
      <c r="F942" s="51"/>
      <c r="G942" s="51"/>
      <c r="H942" s="51"/>
      <c r="I942" s="50"/>
      <c r="J942" s="51"/>
      <c r="K942" s="51"/>
      <c r="L942" s="51"/>
      <c r="M942" s="51"/>
      <c r="N942" s="50"/>
      <c r="O942" s="82"/>
      <c r="P942" s="51"/>
      <c r="Q942" s="82">
        <v>1346</v>
      </c>
      <c r="R942" s="50">
        <v>6448930.7999999998</v>
      </c>
      <c r="S942" s="68"/>
      <c r="T942" s="82"/>
      <c r="U942" s="51"/>
      <c r="V942" s="51"/>
      <c r="W942" s="178"/>
      <c r="X942" s="141"/>
      <c r="Y942" s="48"/>
      <c r="Z942" s="48"/>
      <c r="AA942" s="48"/>
      <c r="AB942" s="48"/>
      <c r="AC942" s="48"/>
      <c r="AD942" s="48"/>
      <c r="AE942" s="48"/>
      <c r="AF942" s="48"/>
      <c r="AG942" s="48"/>
      <c r="AH942" s="187"/>
      <c r="AI942" s="48"/>
      <c r="AJ942" s="48"/>
      <c r="AK942" s="48"/>
      <c r="AL942" s="48"/>
    </row>
    <row r="943" spans="1:38" x14ac:dyDescent="0.3">
      <c r="A943" s="449" t="s">
        <v>211</v>
      </c>
      <c r="B943" s="449"/>
      <c r="C943" s="50">
        <f t="shared" ref="C943:W943" si="233">SUM(C941:C942)</f>
        <v>10524336</v>
      </c>
      <c r="D943" s="50">
        <f t="shared" si="233"/>
        <v>0</v>
      </c>
      <c r="E943" s="50">
        <f t="shared" si="233"/>
        <v>0</v>
      </c>
      <c r="F943" s="50">
        <f t="shared" si="233"/>
        <v>0</v>
      </c>
      <c r="G943" s="50">
        <f t="shared" si="233"/>
        <v>0</v>
      </c>
      <c r="H943" s="50">
        <f t="shared" si="233"/>
        <v>0</v>
      </c>
      <c r="I943" s="50">
        <f t="shared" si="233"/>
        <v>0</v>
      </c>
      <c r="J943" s="50">
        <f t="shared" si="233"/>
        <v>0</v>
      </c>
      <c r="K943" s="50">
        <f t="shared" si="233"/>
        <v>0</v>
      </c>
      <c r="L943" s="50">
        <f t="shared" si="233"/>
        <v>0</v>
      </c>
      <c r="M943" s="50">
        <f t="shared" si="233"/>
        <v>0</v>
      </c>
      <c r="N943" s="50">
        <f t="shared" si="233"/>
        <v>0</v>
      </c>
      <c r="O943" s="68">
        <f t="shared" si="233"/>
        <v>0</v>
      </c>
      <c r="P943" s="50">
        <f t="shared" si="233"/>
        <v>0</v>
      </c>
      <c r="Q943" s="68">
        <f t="shared" si="233"/>
        <v>1931</v>
      </c>
      <c r="R943" s="50">
        <f t="shared" si="233"/>
        <v>10524336</v>
      </c>
      <c r="S943" s="68">
        <f t="shared" si="233"/>
        <v>0</v>
      </c>
      <c r="T943" s="68">
        <f t="shared" si="233"/>
        <v>0</v>
      </c>
      <c r="U943" s="50">
        <f t="shared" si="233"/>
        <v>0</v>
      </c>
      <c r="V943" s="50">
        <f t="shared" si="233"/>
        <v>0</v>
      </c>
      <c r="W943" s="34">
        <f t="shared" si="233"/>
        <v>0</v>
      </c>
      <c r="X943" s="304"/>
      <c r="Y943" s="48"/>
      <c r="Z943" s="48"/>
      <c r="AA943" s="48"/>
      <c r="AB943" s="48"/>
      <c r="AC943" s="48"/>
      <c r="AD943" s="48"/>
      <c r="AE943" s="48"/>
      <c r="AF943" s="48"/>
      <c r="AG943" s="48"/>
      <c r="AH943" s="187"/>
      <c r="AI943" s="48"/>
      <c r="AJ943" s="48"/>
      <c r="AK943" s="48"/>
      <c r="AL943" s="48"/>
    </row>
    <row r="944" spans="1:38" x14ac:dyDescent="0.3">
      <c r="A944" s="448" t="s">
        <v>4031</v>
      </c>
      <c r="B944" s="448"/>
      <c r="C944" s="50"/>
      <c r="D944" s="51"/>
      <c r="E944" s="51"/>
      <c r="F944" s="51"/>
      <c r="G944" s="51"/>
      <c r="H944" s="51"/>
      <c r="I944" s="50"/>
      <c r="J944" s="51"/>
      <c r="K944" s="51"/>
      <c r="L944" s="51"/>
      <c r="M944" s="51"/>
      <c r="N944" s="50"/>
      <c r="O944" s="82"/>
      <c r="P944" s="51"/>
      <c r="Q944" s="82"/>
      <c r="R944" s="50"/>
      <c r="S944" s="68"/>
      <c r="T944" s="82"/>
      <c r="U944" s="51"/>
      <c r="V944" s="51"/>
      <c r="W944" s="178"/>
      <c r="X944" s="141"/>
      <c r="Y944" s="48"/>
      <c r="Z944" s="48"/>
      <c r="AA944" s="48"/>
      <c r="AB944" s="48"/>
      <c r="AC944" s="48"/>
      <c r="AD944" s="48"/>
      <c r="AE944" s="48"/>
      <c r="AF944" s="48"/>
      <c r="AG944" s="48"/>
      <c r="AH944" s="187"/>
      <c r="AI944" s="48"/>
      <c r="AJ944" s="48"/>
      <c r="AK944" s="48"/>
      <c r="AL944" s="48"/>
    </row>
    <row r="945" spans="1:38" x14ac:dyDescent="0.3">
      <c r="A945" s="59">
        <f>A942+1</f>
        <v>715</v>
      </c>
      <c r="B945" s="66" t="s">
        <v>4067</v>
      </c>
      <c r="C945" s="50">
        <f>D945+K945+L945+N945+P945+R945+S945+U945+V945+W945</f>
        <v>31388754</v>
      </c>
      <c r="D945" s="51">
        <f>E945+F945+G945+H945+I945</f>
        <v>0</v>
      </c>
      <c r="E945" s="51"/>
      <c r="F945" s="51"/>
      <c r="G945" s="51"/>
      <c r="H945" s="51"/>
      <c r="I945" s="50"/>
      <c r="J945" s="51"/>
      <c r="K945" s="51"/>
      <c r="L945" s="51"/>
      <c r="M945" s="51"/>
      <c r="N945" s="50"/>
      <c r="O945" s="82"/>
      <c r="P945" s="51"/>
      <c r="Q945" s="82">
        <v>2990</v>
      </c>
      <c r="R945" s="50">
        <v>31388754</v>
      </c>
      <c r="S945" s="68"/>
      <c r="T945" s="82"/>
      <c r="U945" s="51"/>
      <c r="V945" s="51"/>
      <c r="W945" s="178"/>
      <c r="X945" s="141"/>
      <c r="Y945" s="48"/>
      <c r="Z945" s="48"/>
      <c r="AA945" s="48"/>
      <c r="AB945" s="48"/>
      <c r="AC945" s="48"/>
      <c r="AD945" s="48"/>
      <c r="AE945" s="48"/>
      <c r="AF945" s="48"/>
      <c r="AG945" s="48"/>
      <c r="AH945" s="187"/>
      <c r="AI945" s="48"/>
      <c r="AJ945" s="48"/>
      <c r="AK945" s="48"/>
      <c r="AL945" s="48"/>
    </row>
    <row r="946" spans="1:38" x14ac:dyDescent="0.3">
      <c r="A946" s="59">
        <f t="shared" ref="A946" si="234">A945+1</f>
        <v>716</v>
      </c>
      <c r="B946" s="66" t="s">
        <v>4068</v>
      </c>
      <c r="C946" s="50">
        <f>D946+K946+L946+N946+P946+R946+S946+U946+V946+W946</f>
        <v>4386566.4000000004</v>
      </c>
      <c r="D946" s="51">
        <f>E946+F946+G946+H946+I946</f>
        <v>0</v>
      </c>
      <c r="E946" s="51"/>
      <c r="F946" s="51"/>
      <c r="G946" s="51"/>
      <c r="H946" s="51"/>
      <c r="I946" s="50"/>
      <c r="J946" s="51"/>
      <c r="K946" s="51"/>
      <c r="L946" s="51"/>
      <c r="M946" s="51"/>
      <c r="N946" s="50"/>
      <c r="O946" s="82"/>
      <c r="P946" s="51"/>
      <c r="Q946" s="82">
        <v>547</v>
      </c>
      <c r="R946" s="50">
        <v>4386566.4000000004</v>
      </c>
      <c r="S946" s="68"/>
      <c r="T946" s="82"/>
      <c r="U946" s="51"/>
      <c r="V946" s="51"/>
      <c r="W946" s="178"/>
      <c r="X946" s="141"/>
      <c r="Y946" s="48"/>
      <c r="Z946" s="48"/>
      <c r="AA946" s="48"/>
      <c r="AB946" s="48"/>
      <c r="AC946" s="48"/>
      <c r="AD946" s="48"/>
      <c r="AE946" s="48"/>
      <c r="AF946" s="48"/>
      <c r="AG946" s="48"/>
      <c r="AH946" s="187"/>
      <c r="AI946" s="48"/>
      <c r="AJ946" s="48"/>
      <c r="AK946" s="48"/>
      <c r="AL946" s="48"/>
    </row>
    <row r="947" spans="1:38" x14ac:dyDescent="0.3">
      <c r="A947" s="449" t="s">
        <v>211</v>
      </c>
      <c r="B947" s="449"/>
      <c r="C947" s="50">
        <f t="shared" ref="C947:W947" si="235">SUM(C945:C946)</f>
        <v>35775320.399999999</v>
      </c>
      <c r="D947" s="50">
        <f t="shared" si="235"/>
        <v>0</v>
      </c>
      <c r="E947" s="50">
        <f t="shared" si="235"/>
        <v>0</v>
      </c>
      <c r="F947" s="50">
        <f t="shared" si="235"/>
        <v>0</v>
      </c>
      <c r="G947" s="50">
        <f t="shared" si="235"/>
        <v>0</v>
      </c>
      <c r="H947" s="50">
        <f t="shared" si="235"/>
        <v>0</v>
      </c>
      <c r="I947" s="50">
        <f t="shared" si="235"/>
        <v>0</v>
      </c>
      <c r="J947" s="50">
        <f t="shared" si="235"/>
        <v>0</v>
      </c>
      <c r="K947" s="50">
        <f t="shared" si="235"/>
        <v>0</v>
      </c>
      <c r="L947" s="50">
        <f t="shared" si="235"/>
        <v>0</v>
      </c>
      <c r="M947" s="50">
        <f t="shared" si="235"/>
        <v>0</v>
      </c>
      <c r="N947" s="50">
        <f t="shared" si="235"/>
        <v>0</v>
      </c>
      <c r="O947" s="68">
        <f t="shared" si="235"/>
        <v>0</v>
      </c>
      <c r="P947" s="50">
        <f t="shared" si="235"/>
        <v>0</v>
      </c>
      <c r="Q947" s="68">
        <f t="shared" si="235"/>
        <v>3537</v>
      </c>
      <c r="R947" s="50">
        <f t="shared" si="235"/>
        <v>35775320.399999999</v>
      </c>
      <c r="S947" s="68">
        <f t="shared" si="235"/>
        <v>0</v>
      </c>
      <c r="T947" s="68">
        <f t="shared" si="235"/>
        <v>0</v>
      </c>
      <c r="U947" s="50">
        <f t="shared" si="235"/>
        <v>0</v>
      </c>
      <c r="V947" s="50">
        <f t="shared" si="235"/>
        <v>0</v>
      </c>
      <c r="W947" s="34">
        <f t="shared" si="235"/>
        <v>0</v>
      </c>
      <c r="X947" s="304"/>
      <c r="Y947" s="48"/>
      <c r="Z947" s="48"/>
      <c r="AA947" s="48"/>
      <c r="AB947" s="48"/>
      <c r="AC947" s="48"/>
      <c r="AD947" s="48"/>
      <c r="AE947" s="48"/>
      <c r="AF947" s="48"/>
      <c r="AG947" s="48"/>
      <c r="AH947" s="187"/>
      <c r="AI947" s="48"/>
      <c r="AJ947" s="48"/>
      <c r="AK947" s="48"/>
      <c r="AL947" s="48"/>
    </row>
    <row r="948" spans="1:38" x14ac:dyDescent="0.3">
      <c r="A948" s="448" t="s">
        <v>4034</v>
      </c>
      <c r="B948" s="448"/>
      <c r="C948" s="50"/>
      <c r="D948" s="51"/>
      <c r="E948" s="51"/>
      <c r="F948" s="51"/>
      <c r="G948" s="51"/>
      <c r="H948" s="51"/>
      <c r="I948" s="50"/>
      <c r="J948" s="51"/>
      <c r="K948" s="51"/>
      <c r="L948" s="51"/>
      <c r="M948" s="51"/>
      <c r="N948" s="50"/>
      <c r="O948" s="82"/>
      <c r="P948" s="51"/>
      <c r="Q948" s="82"/>
      <c r="R948" s="50"/>
      <c r="S948" s="68"/>
      <c r="T948" s="82"/>
      <c r="U948" s="51"/>
      <c r="V948" s="51"/>
      <c r="W948" s="178"/>
      <c r="X948" s="141"/>
      <c r="Y948" s="48"/>
      <c r="Z948" s="48"/>
      <c r="AA948" s="48"/>
      <c r="AB948" s="48"/>
      <c r="AC948" s="48"/>
      <c r="AD948" s="48"/>
      <c r="AE948" s="48"/>
      <c r="AF948" s="48"/>
      <c r="AG948" s="48"/>
      <c r="AH948" s="187"/>
      <c r="AI948" s="48"/>
      <c r="AJ948" s="48"/>
      <c r="AK948" s="48"/>
      <c r="AL948" s="48"/>
    </row>
    <row r="949" spans="1:38" x14ac:dyDescent="0.3">
      <c r="A949" s="59">
        <f>A946+1</f>
        <v>717</v>
      </c>
      <c r="B949" s="66" t="s">
        <v>4035</v>
      </c>
      <c r="C949" s="50">
        <f t="shared" ref="C949:C966" si="236">D949+K949+L949+N949+P949+R949+S949+U949+V949+W949</f>
        <v>130000</v>
      </c>
      <c r="D949" s="51">
        <f t="shared" ref="D949:D966" si="237">E949+F949+G949+H949+I949</f>
        <v>0</v>
      </c>
      <c r="E949" s="50"/>
      <c r="F949" s="50"/>
      <c r="G949" s="50"/>
      <c r="H949" s="51"/>
      <c r="I949" s="50"/>
      <c r="J949" s="51"/>
      <c r="K949" s="51"/>
      <c r="L949" s="51"/>
      <c r="M949" s="51"/>
      <c r="N949" s="50"/>
      <c r="O949" s="82"/>
      <c r="P949" s="51"/>
      <c r="Q949" s="82"/>
      <c r="R949" s="50"/>
      <c r="S949" s="68"/>
      <c r="T949" s="82"/>
      <c r="U949" s="51"/>
      <c r="V949" s="51"/>
      <c r="W949" s="178">
        <v>130000</v>
      </c>
      <c r="X949" s="141"/>
      <c r="Y949" s="48"/>
      <c r="Z949" s="48"/>
      <c r="AA949" s="48"/>
      <c r="AB949" s="48"/>
      <c r="AC949" s="48"/>
      <c r="AD949" s="48"/>
      <c r="AE949" s="48"/>
      <c r="AF949" s="48"/>
      <c r="AG949" s="48"/>
      <c r="AH949" s="187"/>
      <c r="AI949" s="48"/>
      <c r="AJ949" s="48"/>
      <c r="AK949" s="48"/>
      <c r="AL949" s="48"/>
    </row>
    <row r="950" spans="1:38" x14ac:dyDescent="0.3">
      <c r="A950" s="59">
        <f t="shared" ref="A950:A966" si="238">A949+1</f>
        <v>718</v>
      </c>
      <c r="B950" s="66" t="s">
        <v>4036</v>
      </c>
      <c r="C950" s="50">
        <f t="shared" si="236"/>
        <v>582867.61</v>
      </c>
      <c r="D950" s="51">
        <f t="shared" si="237"/>
        <v>0</v>
      </c>
      <c r="E950" s="50"/>
      <c r="F950" s="51"/>
      <c r="G950" s="51"/>
      <c r="H950" s="51"/>
      <c r="I950" s="50"/>
      <c r="J950" s="51"/>
      <c r="K950" s="51"/>
      <c r="L950" s="51"/>
      <c r="M950" s="51"/>
      <c r="N950" s="50"/>
      <c r="O950" s="82"/>
      <c r="P950" s="51"/>
      <c r="Q950" s="82"/>
      <c r="R950" s="50"/>
      <c r="S950" s="68"/>
      <c r="T950" s="82"/>
      <c r="U950" s="51"/>
      <c r="V950" s="51"/>
      <c r="W950" s="178">
        <f t="shared" ref="W950:W966" si="239">SUM(Y950:AL950)</f>
        <v>582867.61</v>
      </c>
      <c r="X950" s="141"/>
      <c r="Y950" s="48"/>
      <c r="Z950" s="48"/>
      <c r="AA950" s="48">
        <v>100460.82</v>
      </c>
      <c r="AB950" s="48"/>
      <c r="AC950" s="48"/>
      <c r="AD950" s="48"/>
      <c r="AE950" s="48"/>
      <c r="AF950" s="48"/>
      <c r="AG950" s="48"/>
      <c r="AH950" s="187"/>
      <c r="AI950" s="48">
        <v>482406.79</v>
      </c>
      <c r="AJ950" s="48"/>
      <c r="AK950" s="48"/>
      <c r="AL950" s="48"/>
    </row>
    <row r="951" spans="1:38" x14ac:dyDescent="0.3">
      <c r="A951" s="59">
        <f t="shared" si="238"/>
        <v>719</v>
      </c>
      <c r="B951" s="66" t="s">
        <v>4037</v>
      </c>
      <c r="C951" s="50">
        <f t="shared" si="236"/>
        <v>734289.68</v>
      </c>
      <c r="D951" s="51">
        <f t="shared" si="237"/>
        <v>0</v>
      </c>
      <c r="E951" s="50"/>
      <c r="F951" s="51"/>
      <c r="G951" s="51"/>
      <c r="H951" s="51"/>
      <c r="I951" s="50"/>
      <c r="J951" s="51"/>
      <c r="K951" s="51"/>
      <c r="L951" s="51"/>
      <c r="M951" s="51"/>
      <c r="N951" s="50"/>
      <c r="O951" s="82"/>
      <c r="P951" s="51"/>
      <c r="Q951" s="82"/>
      <c r="R951" s="50"/>
      <c r="S951" s="68"/>
      <c r="T951" s="82"/>
      <c r="U951" s="51"/>
      <c r="V951" s="51"/>
      <c r="W951" s="178">
        <f t="shared" si="239"/>
        <v>734289.68</v>
      </c>
      <c r="X951" s="141"/>
      <c r="Y951" s="48"/>
      <c r="Z951" s="48"/>
      <c r="AA951" s="48">
        <v>108038.58</v>
      </c>
      <c r="AB951" s="48"/>
      <c r="AC951" s="48"/>
      <c r="AD951" s="48"/>
      <c r="AE951" s="48"/>
      <c r="AF951" s="48"/>
      <c r="AG951" s="48"/>
      <c r="AH951" s="187">
        <v>110432.71</v>
      </c>
      <c r="AI951" s="48">
        <v>515818.39</v>
      </c>
      <c r="AJ951" s="48"/>
      <c r="AK951" s="48"/>
      <c r="AL951" s="48"/>
    </row>
    <row r="952" spans="1:38" x14ac:dyDescent="0.3">
      <c r="A952" s="59">
        <f t="shared" si="238"/>
        <v>720</v>
      </c>
      <c r="B952" s="66" t="s">
        <v>4038</v>
      </c>
      <c r="C952" s="50">
        <f t="shared" si="236"/>
        <v>611656.67000000004</v>
      </c>
      <c r="D952" s="51">
        <f t="shared" si="237"/>
        <v>0</v>
      </c>
      <c r="E952" s="51"/>
      <c r="F952" s="50"/>
      <c r="G952" s="50"/>
      <c r="H952" s="51"/>
      <c r="I952" s="50"/>
      <c r="J952" s="51"/>
      <c r="K952" s="51"/>
      <c r="L952" s="51"/>
      <c r="M952" s="51"/>
      <c r="N952" s="50"/>
      <c r="O952" s="82"/>
      <c r="P952" s="51"/>
      <c r="Q952" s="82"/>
      <c r="R952" s="50"/>
      <c r="S952" s="68"/>
      <c r="T952" s="82"/>
      <c r="U952" s="51"/>
      <c r="V952" s="51"/>
      <c r="W952" s="178">
        <f t="shared" si="239"/>
        <v>611656.67000000004</v>
      </c>
      <c r="X952" s="141"/>
      <c r="Y952" s="48"/>
      <c r="Z952" s="48"/>
      <c r="AA952" s="48"/>
      <c r="AB952" s="48"/>
      <c r="AC952" s="48"/>
      <c r="AD952" s="48">
        <v>123455.83</v>
      </c>
      <c r="AE952" s="48"/>
      <c r="AF952" s="48"/>
      <c r="AG952" s="48"/>
      <c r="AH952" s="187"/>
      <c r="AI952" s="48">
        <v>488200.84</v>
      </c>
      <c r="AJ952" s="48"/>
      <c r="AK952" s="48"/>
      <c r="AL952" s="48"/>
    </row>
    <row r="953" spans="1:38" x14ac:dyDescent="0.3">
      <c r="A953" s="59">
        <f t="shared" si="238"/>
        <v>721</v>
      </c>
      <c r="B953" s="66" t="s">
        <v>4039</v>
      </c>
      <c r="C953" s="50">
        <f t="shared" si="236"/>
        <v>1985182.3699999999</v>
      </c>
      <c r="D953" s="51">
        <f t="shared" si="237"/>
        <v>0</v>
      </c>
      <c r="E953" s="51"/>
      <c r="F953" s="51"/>
      <c r="G953" s="51"/>
      <c r="H953" s="51"/>
      <c r="I953" s="50"/>
      <c r="J953" s="51"/>
      <c r="K953" s="51"/>
      <c r="L953" s="51"/>
      <c r="M953" s="51"/>
      <c r="N953" s="50"/>
      <c r="O953" s="82"/>
      <c r="P953" s="51"/>
      <c r="Q953" s="82"/>
      <c r="R953" s="50"/>
      <c r="S953" s="68"/>
      <c r="T953" s="82"/>
      <c r="U953" s="51"/>
      <c r="V953" s="51"/>
      <c r="W953" s="178">
        <f t="shared" si="239"/>
        <v>1985182.3699999999</v>
      </c>
      <c r="X953" s="141"/>
      <c r="Y953" s="48"/>
      <c r="Z953" s="48"/>
      <c r="AA953" s="48"/>
      <c r="AB953" s="48"/>
      <c r="AC953" s="48"/>
      <c r="AD953" s="48"/>
      <c r="AE953" s="48"/>
      <c r="AF953" s="48"/>
      <c r="AG953" s="48">
        <v>383073.24</v>
      </c>
      <c r="AH953" s="187">
        <v>379168.18</v>
      </c>
      <c r="AI953" s="48">
        <v>1222940.95</v>
      </c>
      <c r="AJ953" s="48"/>
      <c r="AK953" s="48"/>
      <c r="AL953" s="48"/>
    </row>
    <row r="954" spans="1:38" x14ac:dyDescent="0.3">
      <c r="A954" s="59">
        <f t="shared" si="238"/>
        <v>722</v>
      </c>
      <c r="B954" s="66" t="s">
        <v>4040</v>
      </c>
      <c r="C954" s="50">
        <f t="shared" si="236"/>
        <v>482793.07</v>
      </c>
      <c r="D954" s="51">
        <f t="shared" si="237"/>
        <v>0</v>
      </c>
      <c r="E954" s="51"/>
      <c r="F954" s="51"/>
      <c r="G954" s="51"/>
      <c r="H954" s="51"/>
      <c r="I954" s="50"/>
      <c r="J954" s="51"/>
      <c r="K954" s="51"/>
      <c r="L954" s="51"/>
      <c r="M954" s="51"/>
      <c r="N954" s="50"/>
      <c r="O954" s="82"/>
      <c r="P954" s="51"/>
      <c r="Q954" s="82"/>
      <c r="R954" s="50"/>
      <c r="S954" s="68"/>
      <c r="T954" s="82"/>
      <c r="U954" s="51"/>
      <c r="V954" s="51"/>
      <c r="W954" s="178">
        <f t="shared" si="239"/>
        <v>482793.07</v>
      </c>
      <c r="X954" s="141"/>
      <c r="Y954" s="48"/>
      <c r="Z954" s="48"/>
      <c r="AA954" s="48"/>
      <c r="AB954" s="48"/>
      <c r="AC954" s="48"/>
      <c r="AD954" s="48"/>
      <c r="AE954" s="48"/>
      <c r="AF954" s="48"/>
      <c r="AG954" s="48"/>
      <c r="AH954" s="187"/>
      <c r="AI954" s="48">
        <v>482793.07</v>
      </c>
      <c r="AJ954" s="48"/>
      <c r="AK954" s="48"/>
      <c r="AL954" s="48"/>
    </row>
    <row r="955" spans="1:38" x14ac:dyDescent="0.3">
      <c r="A955" s="59">
        <f t="shared" si="238"/>
        <v>723</v>
      </c>
      <c r="B955" s="66" t="s">
        <v>4041</v>
      </c>
      <c r="C955" s="50">
        <f t="shared" si="236"/>
        <v>613288.43000000005</v>
      </c>
      <c r="D955" s="51">
        <f t="shared" si="237"/>
        <v>0</v>
      </c>
      <c r="E955" s="51"/>
      <c r="F955" s="50"/>
      <c r="G955" s="50"/>
      <c r="H955" s="51"/>
      <c r="I955" s="50"/>
      <c r="J955" s="51"/>
      <c r="K955" s="51"/>
      <c r="L955" s="51"/>
      <c r="M955" s="51"/>
      <c r="N955" s="50"/>
      <c r="O955" s="82"/>
      <c r="P955" s="51"/>
      <c r="Q955" s="82"/>
      <c r="R955" s="50"/>
      <c r="S955" s="68"/>
      <c r="T955" s="82"/>
      <c r="U955" s="51"/>
      <c r="V955" s="51"/>
      <c r="W955" s="178">
        <f t="shared" si="239"/>
        <v>613288.43000000005</v>
      </c>
      <c r="X955" s="141"/>
      <c r="Y955" s="48"/>
      <c r="Z955" s="48"/>
      <c r="AA955" s="48"/>
      <c r="AB955" s="48"/>
      <c r="AC955" s="48"/>
      <c r="AD955" s="48">
        <v>123800.03</v>
      </c>
      <c r="AE955" s="48"/>
      <c r="AF955" s="48"/>
      <c r="AG955" s="48"/>
      <c r="AH955" s="187"/>
      <c r="AI955" s="48">
        <v>489488.4</v>
      </c>
      <c r="AJ955" s="48"/>
      <c r="AK955" s="48"/>
      <c r="AL955" s="48"/>
    </row>
    <row r="956" spans="1:38" x14ac:dyDescent="0.3">
      <c r="A956" s="59">
        <f t="shared" si="238"/>
        <v>724</v>
      </c>
      <c r="B956" s="66" t="s">
        <v>4042</v>
      </c>
      <c r="C956" s="50">
        <f t="shared" si="236"/>
        <v>172165.25</v>
      </c>
      <c r="D956" s="51">
        <f t="shared" si="237"/>
        <v>0</v>
      </c>
      <c r="E956" s="50"/>
      <c r="F956" s="51"/>
      <c r="G956" s="51"/>
      <c r="H956" s="51"/>
      <c r="I956" s="50"/>
      <c r="J956" s="51"/>
      <c r="K956" s="51"/>
      <c r="L956" s="51"/>
      <c r="M956" s="51"/>
      <c r="N956" s="50"/>
      <c r="O956" s="82"/>
      <c r="P956" s="51"/>
      <c r="Q956" s="82"/>
      <c r="R956" s="50"/>
      <c r="S956" s="68"/>
      <c r="T956" s="82"/>
      <c r="U956" s="51"/>
      <c r="V956" s="51"/>
      <c r="W956" s="178">
        <f t="shared" si="239"/>
        <v>172165.25</v>
      </c>
      <c r="X956" s="141"/>
      <c r="Y956" s="48"/>
      <c r="Z956" s="48"/>
      <c r="AA956" s="48">
        <v>172165.25</v>
      </c>
      <c r="AB956" s="48"/>
      <c r="AC956" s="48"/>
      <c r="AD956" s="48"/>
      <c r="AE956" s="48"/>
      <c r="AF956" s="48"/>
      <c r="AG956" s="48"/>
      <c r="AH956" s="187"/>
      <c r="AI956" s="48"/>
      <c r="AJ956" s="48"/>
      <c r="AK956" s="48"/>
      <c r="AL956" s="48"/>
    </row>
    <row r="957" spans="1:38" x14ac:dyDescent="0.3">
      <c r="A957" s="59">
        <f t="shared" si="238"/>
        <v>725</v>
      </c>
      <c r="B957" s="66" t="s">
        <v>4043</v>
      </c>
      <c r="C957" s="50">
        <f t="shared" si="236"/>
        <v>1739130.3</v>
      </c>
      <c r="D957" s="51">
        <f t="shared" si="237"/>
        <v>0</v>
      </c>
      <c r="E957" s="50"/>
      <c r="F957" s="51"/>
      <c r="G957" s="51"/>
      <c r="H957" s="51"/>
      <c r="I957" s="50"/>
      <c r="J957" s="51"/>
      <c r="K957" s="51"/>
      <c r="L957" s="51"/>
      <c r="M957" s="51"/>
      <c r="N957" s="50"/>
      <c r="O957" s="82"/>
      <c r="P957" s="51"/>
      <c r="Q957" s="82"/>
      <c r="R957" s="50"/>
      <c r="S957" s="68"/>
      <c r="T957" s="82"/>
      <c r="U957" s="51"/>
      <c r="V957" s="51"/>
      <c r="W957" s="178">
        <f t="shared" si="239"/>
        <v>1739130.3</v>
      </c>
      <c r="X957" s="141"/>
      <c r="Y957" s="48"/>
      <c r="Z957" s="48"/>
      <c r="AA957" s="48">
        <v>210214.81</v>
      </c>
      <c r="AB957" s="48"/>
      <c r="AC957" s="48"/>
      <c r="AD957" s="48"/>
      <c r="AE957" s="48"/>
      <c r="AF957" s="48"/>
      <c r="AG957" s="48"/>
      <c r="AH957" s="187">
        <v>325573.78000000003</v>
      </c>
      <c r="AI957" s="48">
        <v>1203341.71</v>
      </c>
      <c r="AJ957" s="48"/>
      <c r="AK957" s="48"/>
      <c r="AL957" s="48"/>
    </row>
    <row r="958" spans="1:38" x14ac:dyDescent="0.3">
      <c r="A958" s="59">
        <f t="shared" si="238"/>
        <v>726</v>
      </c>
      <c r="B958" s="66" t="s">
        <v>4044</v>
      </c>
      <c r="C958" s="50">
        <f t="shared" si="236"/>
        <v>1762533.62</v>
      </c>
      <c r="D958" s="51">
        <f t="shared" si="237"/>
        <v>0</v>
      </c>
      <c r="E958" s="51"/>
      <c r="F958" s="51"/>
      <c r="G958" s="51"/>
      <c r="H958" s="51"/>
      <c r="I958" s="50"/>
      <c r="J958" s="51"/>
      <c r="K958" s="51"/>
      <c r="L958" s="51"/>
      <c r="M958" s="51"/>
      <c r="N958" s="50"/>
      <c r="O958" s="82"/>
      <c r="P958" s="51"/>
      <c r="Q958" s="82"/>
      <c r="R958" s="50"/>
      <c r="S958" s="68"/>
      <c r="T958" s="82"/>
      <c r="U958" s="51"/>
      <c r="V958" s="51"/>
      <c r="W958" s="178">
        <f t="shared" si="239"/>
        <v>1762533.62</v>
      </c>
      <c r="X958" s="141"/>
      <c r="Y958" s="48"/>
      <c r="Z958" s="48"/>
      <c r="AA958" s="48"/>
      <c r="AB958" s="48"/>
      <c r="AC958" s="48"/>
      <c r="AD958" s="48"/>
      <c r="AE958" s="48"/>
      <c r="AF958" s="48"/>
      <c r="AG958" s="48">
        <v>376045.94</v>
      </c>
      <c r="AH958" s="187">
        <v>183240.88</v>
      </c>
      <c r="AI958" s="48">
        <v>1203246.8</v>
      </c>
      <c r="AJ958" s="48"/>
      <c r="AK958" s="48"/>
      <c r="AL958" s="48"/>
    </row>
    <row r="959" spans="1:38" x14ac:dyDescent="0.3">
      <c r="A959" s="59">
        <f t="shared" si="238"/>
        <v>727</v>
      </c>
      <c r="B959" s="66" t="s">
        <v>4045</v>
      </c>
      <c r="C959" s="50">
        <f t="shared" si="236"/>
        <v>210666.14</v>
      </c>
      <c r="D959" s="51">
        <f t="shared" si="237"/>
        <v>0</v>
      </c>
      <c r="E959" s="50"/>
      <c r="F959" s="51"/>
      <c r="G959" s="51"/>
      <c r="H959" s="51"/>
      <c r="I959" s="50"/>
      <c r="J959" s="51"/>
      <c r="K959" s="51"/>
      <c r="L959" s="51"/>
      <c r="M959" s="51"/>
      <c r="N959" s="50"/>
      <c r="O959" s="82"/>
      <c r="P959" s="51"/>
      <c r="Q959" s="82"/>
      <c r="R959" s="50"/>
      <c r="S959" s="68"/>
      <c r="T959" s="82"/>
      <c r="U959" s="51"/>
      <c r="V959" s="51"/>
      <c r="W959" s="178">
        <f t="shared" si="239"/>
        <v>210666.14</v>
      </c>
      <c r="X959" s="141"/>
      <c r="Y959" s="48"/>
      <c r="Z959" s="48"/>
      <c r="AA959" s="48">
        <v>210666.14</v>
      </c>
      <c r="AB959" s="48"/>
      <c r="AC959" s="48"/>
      <c r="AD959" s="48"/>
      <c r="AE959" s="48"/>
      <c r="AF959" s="48"/>
      <c r="AG959" s="48"/>
      <c r="AH959" s="187"/>
      <c r="AI959" s="48"/>
      <c r="AJ959" s="48"/>
      <c r="AK959" s="48"/>
      <c r="AL959" s="48"/>
    </row>
    <row r="960" spans="1:38" x14ac:dyDescent="0.3">
      <c r="A960" s="59">
        <f t="shared" si="238"/>
        <v>728</v>
      </c>
      <c r="B960" s="66" t="s">
        <v>4046</v>
      </c>
      <c r="C960" s="50">
        <f t="shared" si="236"/>
        <v>1576538.24</v>
      </c>
      <c r="D960" s="51">
        <f t="shared" si="237"/>
        <v>0</v>
      </c>
      <c r="E960" s="51"/>
      <c r="F960" s="51"/>
      <c r="G960" s="51"/>
      <c r="H960" s="51"/>
      <c r="I960" s="50"/>
      <c r="J960" s="51"/>
      <c r="K960" s="51"/>
      <c r="L960" s="51"/>
      <c r="M960" s="51"/>
      <c r="N960" s="50"/>
      <c r="O960" s="82"/>
      <c r="P960" s="51"/>
      <c r="Q960" s="82"/>
      <c r="R960" s="50"/>
      <c r="S960" s="68"/>
      <c r="T960" s="82"/>
      <c r="U960" s="51"/>
      <c r="V960" s="51"/>
      <c r="W960" s="178">
        <f t="shared" si="239"/>
        <v>1576538.24</v>
      </c>
      <c r="X960" s="141"/>
      <c r="Y960" s="48"/>
      <c r="Z960" s="48"/>
      <c r="AA960" s="48"/>
      <c r="AB960" s="48"/>
      <c r="AC960" s="48"/>
      <c r="AD960" s="48"/>
      <c r="AE960" s="48"/>
      <c r="AF960" s="48"/>
      <c r="AG960" s="48"/>
      <c r="AH960" s="187">
        <v>344343.42</v>
      </c>
      <c r="AI960" s="48">
        <v>1232194.82</v>
      </c>
      <c r="AJ960" s="48"/>
      <c r="AK960" s="48"/>
      <c r="AL960" s="48"/>
    </row>
    <row r="961" spans="1:38" x14ac:dyDescent="0.3">
      <c r="A961" s="59">
        <f t="shared" si="238"/>
        <v>729</v>
      </c>
      <c r="B961" s="66" t="s">
        <v>4047</v>
      </c>
      <c r="C961" s="50">
        <f t="shared" si="236"/>
        <v>1576538.24</v>
      </c>
      <c r="D961" s="51">
        <f t="shared" si="237"/>
        <v>0</v>
      </c>
      <c r="E961" s="51"/>
      <c r="F961" s="51"/>
      <c r="G961" s="51"/>
      <c r="H961" s="51"/>
      <c r="I961" s="50"/>
      <c r="J961" s="51"/>
      <c r="K961" s="51"/>
      <c r="L961" s="51"/>
      <c r="M961" s="51"/>
      <c r="N961" s="50"/>
      <c r="O961" s="82"/>
      <c r="P961" s="51"/>
      <c r="Q961" s="82"/>
      <c r="R961" s="50"/>
      <c r="S961" s="68"/>
      <c r="T961" s="82"/>
      <c r="U961" s="51"/>
      <c r="V961" s="51"/>
      <c r="W961" s="178">
        <f t="shared" si="239"/>
        <v>1576538.24</v>
      </c>
      <c r="X961" s="141"/>
      <c r="Y961" s="48"/>
      <c r="Z961" s="48"/>
      <c r="AA961" s="48"/>
      <c r="AB961" s="48"/>
      <c r="AC961" s="48"/>
      <c r="AD961" s="48"/>
      <c r="AE961" s="48"/>
      <c r="AF961" s="48"/>
      <c r="AG961" s="48"/>
      <c r="AH961" s="187">
        <v>344343.42</v>
      </c>
      <c r="AI961" s="48">
        <v>1232194.82</v>
      </c>
      <c r="AJ961" s="48"/>
      <c r="AK961" s="48"/>
      <c r="AL961" s="48"/>
    </row>
    <row r="962" spans="1:38" x14ac:dyDescent="0.3">
      <c r="A962" s="59">
        <f t="shared" si="238"/>
        <v>730</v>
      </c>
      <c r="B962" s="66" t="s">
        <v>4048</v>
      </c>
      <c r="C962" s="50">
        <f t="shared" si="236"/>
        <v>707715.12</v>
      </c>
      <c r="D962" s="51">
        <f t="shared" si="237"/>
        <v>0</v>
      </c>
      <c r="E962" s="50"/>
      <c r="F962" s="50"/>
      <c r="G962" s="51"/>
      <c r="H962" s="51"/>
      <c r="I962" s="50"/>
      <c r="J962" s="51"/>
      <c r="K962" s="51"/>
      <c r="L962" s="51"/>
      <c r="M962" s="51"/>
      <c r="N962" s="51"/>
      <c r="O962" s="82"/>
      <c r="P962" s="51"/>
      <c r="Q962" s="82"/>
      <c r="R962" s="50"/>
      <c r="S962" s="68"/>
      <c r="T962" s="82"/>
      <c r="U962" s="51"/>
      <c r="V962" s="51"/>
      <c r="W962" s="178">
        <f t="shared" si="239"/>
        <v>707715.12</v>
      </c>
      <c r="X962" s="141"/>
      <c r="Y962" s="48"/>
      <c r="Z962" s="48"/>
      <c r="AA962" s="48">
        <v>100953.78</v>
      </c>
      <c r="AB962" s="48"/>
      <c r="AC962" s="48"/>
      <c r="AD962" s="48">
        <v>122423.2</v>
      </c>
      <c r="AE962" s="48"/>
      <c r="AF962" s="48"/>
      <c r="AG962" s="48"/>
      <c r="AH962" s="187"/>
      <c r="AI962" s="48">
        <v>484338.14</v>
      </c>
      <c r="AJ962" s="48"/>
      <c r="AK962" s="48"/>
      <c r="AL962" s="48"/>
    </row>
    <row r="963" spans="1:38" x14ac:dyDescent="0.3">
      <c r="A963" s="59">
        <f t="shared" si="238"/>
        <v>731</v>
      </c>
      <c r="B963" s="66" t="s">
        <v>4049</v>
      </c>
      <c r="C963" s="50">
        <f t="shared" si="236"/>
        <v>710857.14</v>
      </c>
      <c r="D963" s="51">
        <f t="shared" si="237"/>
        <v>0</v>
      </c>
      <c r="E963" s="50"/>
      <c r="F963" s="50"/>
      <c r="G963" s="50"/>
      <c r="H963" s="51"/>
      <c r="I963" s="50"/>
      <c r="J963" s="51"/>
      <c r="K963" s="51"/>
      <c r="L963" s="51"/>
      <c r="M963" s="51"/>
      <c r="N963" s="51"/>
      <c r="O963" s="82"/>
      <c r="P963" s="51"/>
      <c r="Q963" s="82"/>
      <c r="R963" s="50"/>
      <c r="S963" s="68"/>
      <c r="T963" s="82"/>
      <c r="U963" s="51"/>
      <c r="V963" s="51"/>
      <c r="W963" s="178">
        <f t="shared" si="239"/>
        <v>710857.14</v>
      </c>
      <c r="X963" s="141"/>
      <c r="Y963" s="48"/>
      <c r="Z963" s="48"/>
      <c r="AA963" s="48">
        <v>101484.96</v>
      </c>
      <c r="AB963" s="48"/>
      <c r="AC963" s="48"/>
      <c r="AD963" s="48">
        <v>122973.95</v>
      </c>
      <c r="AE963" s="48"/>
      <c r="AF963" s="48"/>
      <c r="AG963" s="48"/>
      <c r="AH963" s="187"/>
      <c r="AI963" s="48">
        <v>486398.23</v>
      </c>
      <c r="AJ963" s="48"/>
      <c r="AK963" s="48"/>
      <c r="AL963" s="48"/>
    </row>
    <row r="964" spans="1:38" x14ac:dyDescent="0.3">
      <c r="A964" s="59">
        <f t="shared" si="238"/>
        <v>732</v>
      </c>
      <c r="B964" s="66" t="s">
        <v>4050</v>
      </c>
      <c r="C964" s="50">
        <f t="shared" si="236"/>
        <v>1293884.29</v>
      </c>
      <c r="D964" s="51">
        <f t="shared" si="237"/>
        <v>0</v>
      </c>
      <c r="E964" s="51"/>
      <c r="F964" s="51"/>
      <c r="G964" s="51"/>
      <c r="H964" s="51"/>
      <c r="I964" s="50"/>
      <c r="J964" s="51"/>
      <c r="K964" s="51"/>
      <c r="L964" s="51"/>
      <c r="M964" s="51"/>
      <c r="N964" s="50"/>
      <c r="O964" s="82"/>
      <c r="P964" s="51"/>
      <c r="Q964" s="82"/>
      <c r="R964" s="50"/>
      <c r="S964" s="68"/>
      <c r="T964" s="82"/>
      <c r="U964" s="51"/>
      <c r="V964" s="51"/>
      <c r="W964" s="178">
        <f t="shared" si="239"/>
        <v>1293884.29</v>
      </c>
      <c r="X964" s="141"/>
      <c r="Y964" s="48"/>
      <c r="Z964" s="48"/>
      <c r="AA964" s="48"/>
      <c r="AB964" s="48"/>
      <c r="AC964" s="48"/>
      <c r="AD964" s="48"/>
      <c r="AE964" s="48"/>
      <c r="AF964" s="48"/>
      <c r="AG964" s="48"/>
      <c r="AH964" s="187">
        <v>219527.34</v>
      </c>
      <c r="AI964" s="48">
        <v>1074356.95</v>
      </c>
      <c r="AJ964" s="48"/>
      <c r="AK964" s="48"/>
      <c r="AL964" s="48"/>
    </row>
    <row r="965" spans="1:38" x14ac:dyDescent="0.3">
      <c r="A965" s="59">
        <f t="shared" si="238"/>
        <v>733</v>
      </c>
      <c r="B965" s="66" t="s">
        <v>4051</v>
      </c>
      <c r="C965" s="50">
        <f t="shared" si="236"/>
        <v>1801586.32</v>
      </c>
      <c r="D965" s="51">
        <f t="shared" si="237"/>
        <v>0</v>
      </c>
      <c r="E965" s="50"/>
      <c r="F965" s="51"/>
      <c r="G965" s="51"/>
      <c r="H965" s="51"/>
      <c r="I965" s="50"/>
      <c r="J965" s="51"/>
      <c r="K965" s="51"/>
      <c r="L965" s="51"/>
      <c r="M965" s="51"/>
      <c r="N965" s="50"/>
      <c r="O965" s="82"/>
      <c r="P965" s="51"/>
      <c r="Q965" s="82"/>
      <c r="R965" s="50"/>
      <c r="S965" s="68"/>
      <c r="T965" s="82"/>
      <c r="U965" s="51"/>
      <c r="V965" s="51"/>
      <c r="W965" s="178">
        <f t="shared" si="239"/>
        <v>1801586.32</v>
      </c>
      <c r="X965" s="141"/>
      <c r="Y965" s="48"/>
      <c r="Z965" s="48"/>
      <c r="AA965" s="48">
        <v>180664.2</v>
      </c>
      <c r="AB965" s="48"/>
      <c r="AC965" s="48"/>
      <c r="AD965" s="48"/>
      <c r="AE965" s="48"/>
      <c r="AF965" s="48"/>
      <c r="AG965" s="48">
        <v>329377.77</v>
      </c>
      <c r="AH965" s="187">
        <v>219085.63</v>
      </c>
      <c r="AI965" s="48">
        <v>1072458.72</v>
      </c>
      <c r="AJ965" s="48"/>
      <c r="AK965" s="48"/>
      <c r="AL965" s="48"/>
    </row>
    <row r="966" spans="1:38" x14ac:dyDescent="0.3">
      <c r="A966" s="59">
        <f t="shared" si="238"/>
        <v>734</v>
      </c>
      <c r="B966" s="66" t="s">
        <v>4052</v>
      </c>
      <c r="C966" s="50">
        <f t="shared" si="236"/>
        <v>928863.99</v>
      </c>
      <c r="D966" s="51">
        <f t="shared" si="237"/>
        <v>0</v>
      </c>
      <c r="E966" s="51"/>
      <c r="F966" s="51"/>
      <c r="G966" s="51"/>
      <c r="H966" s="51"/>
      <c r="I966" s="50"/>
      <c r="J966" s="51"/>
      <c r="K966" s="51"/>
      <c r="L966" s="51"/>
      <c r="M966" s="51"/>
      <c r="N966" s="50"/>
      <c r="O966" s="82"/>
      <c r="P966" s="51"/>
      <c r="Q966" s="82"/>
      <c r="R966" s="50"/>
      <c r="S966" s="68"/>
      <c r="T966" s="82"/>
      <c r="U966" s="51"/>
      <c r="V966" s="51"/>
      <c r="W966" s="178">
        <f t="shared" si="239"/>
        <v>928863.99</v>
      </c>
      <c r="X966" s="141"/>
      <c r="Y966" s="48"/>
      <c r="Z966" s="48"/>
      <c r="AA966" s="48"/>
      <c r="AB966" s="48"/>
      <c r="AC966" s="48"/>
      <c r="AD966" s="48"/>
      <c r="AE966" s="48"/>
      <c r="AF966" s="48"/>
      <c r="AG966" s="48">
        <v>230818.44</v>
      </c>
      <c r="AH966" s="187">
        <v>267489.37</v>
      </c>
      <c r="AI966" s="48">
        <v>430556.18</v>
      </c>
      <c r="AJ966" s="48"/>
      <c r="AK966" s="48"/>
      <c r="AL966" s="48"/>
    </row>
    <row r="967" spans="1:38" x14ac:dyDescent="0.3">
      <c r="A967" s="449" t="s">
        <v>211</v>
      </c>
      <c r="B967" s="449"/>
      <c r="C967" s="50">
        <f>SUM(C949:C966)</f>
        <v>17620556.48</v>
      </c>
      <c r="D967" s="50">
        <f t="shared" ref="D967:W967" si="240">SUM(D949:D966)</f>
        <v>0</v>
      </c>
      <c r="E967" s="50">
        <f t="shared" si="240"/>
        <v>0</v>
      </c>
      <c r="F967" s="50">
        <f t="shared" si="240"/>
        <v>0</v>
      </c>
      <c r="G967" s="50">
        <f t="shared" si="240"/>
        <v>0</v>
      </c>
      <c r="H967" s="50">
        <f t="shared" si="240"/>
        <v>0</v>
      </c>
      <c r="I967" s="50">
        <f t="shared" si="240"/>
        <v>0</v>
      </c>
      <c r="J967" s="50">
        <f t="shared" si="240"/>
        <v>0</v>
      </c>
      <c r="K967" s="50">
        <f t="shared" si="240"/>
        <v>0</v>
      </c>
      <c r="L967" s="50">
        <f t="shared" si="240"/>
        <v>0</v>
      </c>
      <c r="M967" s="50">
        <f t="shared" si="240"/>
        <v>0</v>
      </c>
      <c r="N967" s="50">
        <f t="shared" si="240"/>
        <v>0</v>
      </c>
      <c r="O967" s="68">
        <f t="shared" si="240"/>
        <v>0</v>
      </c>
      <c r="P967" s="50">
        <f t="shared" si="240"/>
        <v>0</v>
      </c>
      <c r="Q967" s="68">
        <f t="shared" si="240"/>
        <v>0</v>
      </c>
      <c r="R967" s="50">
        <f t="shared" si="240"/>
        <v>0</v>
      </c>
      <c r="S967" s="68">
        <f t="shared" si="240"/>
        <v>0</v>
      </c>
      <c r="T967" s="68">
        <f t="shared" si="240"/>
        <v>0</v>
      </c>
      <c r="U967" s="50">
        <f t="shared" si="240"/>
        <v>0</v>
      </c>
      <c r="V967" s="50">
        <f t="shared" si="240"/>
        <v>0</v>
      </c>
      <c r="W967" s="34">
        <f t="shared" si="240"/>
        <v>17620556.48</v>
      </c>
      <c r="X967" s="329"/>
      <c r="Y967" s="285"/>
      <c r="Z967" s="285"/>
      <c r="AA967" s="285"/>
      <c r="AB967" s="285"/>
      <c r="AC967" s="285"/>
      <c r="AD967" s="285"/>
      <c r="AE967" s="285"/>
      <c r="AF967" s="285"/>
      <c r="AG967" s="9"/>
      <c r="AH967" s="318"/>
      <c r="AI967" s="9"/>
      <c r="AJ967" s="9"/>
      <c r="AK967" s="9"/>
      <c r="AL967" s="9"/>
    </row>
    <row r="968" spans="1:38" x14ac:dyDescent="0.3">
      <c r="A968" s="450" t="s">
        <v>3914</v>
      </c>
      <c r="B968" s="450"/>
      <c r="C968" s="48">
        <f>C901+C907+C912+C936+C939+C943+C947+C967</f>
        <v>163040594.07999998</v>
      </c>
      <c r="D968" s="48">
        <f t="shared" ref="D968:W968" si="241">D901+D907+D912+D936+D939+D943+D947+D967</f>
        <v>0</v>
      </c>
      <c r="E968" s="48">
        <f t="shared" si="241"/>
        <v>0</v>
      </c>
      <c r="F968" s="48">
        <f t="shared" si="241"/>
        <v>0</v>
      </c>
      <c r="G968" s="48">
        <f t="shared" si="241"/>
        <v>0</v>
      </c>
      <c r="H968" s="48">
        <f t="shared" si="241"/>
        <v>0</v>
      </c>
      <c r="I968" s="48">
        <f t="shared" si="241"/>
        <v>0</v>
      </c>
      <c r="J968" s="48">
        <f t="shared" si="241"/>
        <v>0</v>
      </c>
      <c r="K968" s="48">
        <f t="shared" si="241"/>
        <v>0</v>
      </c>
      <c r="L968" s="48">
        <f t="shared" si="241"/>
        <v>0</v>
      </c>
      <c r="M968" s="48">
        <f t="shared" si="241"/>
        <v>0</v>
      </c>
      <c r="N968" s="48">
        <f t="shared" si="241"/>
        <v>0</v>
      </c>
      <c r="O968" s="55">
        <f t="shared" si="241"/>
        <v>0</v>
      </c>
      <c r="P968" s="48">
        <f t="shared" si="241"/>
        <v>0</v>
      </c>
      <c r="Q968" s="55">
        <f t="shared" si="241"/>
        <v>19435</v>
      </c>
      <c r="R968" s="48">
        <f t="shared" si="241"/>
        <v>119042035.19999999</v>
      </c>
      <c r="S968" s="55">
        <f t="shared" si="241"/>
        <v>0</v>
      </c>
      <c r="T968" s="55">
        <f t="shared" si="241"/>
        <v>5494.9999999999991</v>
      </c>
      <c r="U968" s="48">
        <f t="shared" si="241"/>
        <v>13931372.4</v>
      </c>
      <c r="V968" s="48">
        <f t="shared" si="241"/>
        <v>0</v>
      </c>
      <c r="W968" s="178">
        <f t="shared" si="241"/>
        <v>30067186.48</v>
      </c>
      <c r="X968" s="9"/>
      <c r="Y968" s="285"/>
      <c r="Z968" s="285"/>
      <c r="AA968" s="285"/>
      <c r="AB968" s="285"/>
      <c r="AC968" s="285"/>
      <c r="AD968" s="285"/>
      <c r="AE968" s="285"/>
      <c r="AF968" s="285"/>
      <c r="AG968" s="9"/>
      <c r="AH968" s="318"/>
      <c r="AI968" s="9"/>
      <c r="AJ968" s="9"/>
      <c r="AK968" s="9"/>
      <c r="AL968" s="9"/>
    </row>
    <row r="969" spans="1:38" x14ac:dyDescent="0.3">
      <c r="A969" s="478" t="s">
        <v>2712</v>
      </c>
      <c r="B969" s="478"/>
      <c r="C969" s="478"/>
      <c r="D969" s="478"/>
      <c r="E969" s="478"/>
      <c r="F969" s="478"/>
      <c r="G969" s="478"/>
      <c r="H969" s="478"/>
      <c r="I969" s="478"/>
      <c r="J969" s="478"/>
      <c r="K969" s="478"/>
      <c r="L969" s="478"/>
      <c r="M969" s="478"/>
      <c r="N969" s="478"/>
      <c r="O969" s="478"/>
      <c r="P969" s="478"/>
      <c r="Q969" s="478"/>
      <c r="R969" s="478"/>
      <c r="S969" s="478"/>
      <c r="T969" s="478"/>
      <c r="U969" s="478"/>
      <c r="V969" s="478"/>
      <c r="W969" s="478"/>
      <c r="X969" s="298"/>
      <c r="Y969" s="48"/>
      <c r="Z969" s="48"/>
      <c r="AA969" s="57"/>
      <c r="AB969" s="58"/>
      <c r="AC969" s="58"/>
      <c r="AD969" s="58"/>
      <c r="AE969" s="56"/>
    </row>
    <row r="970" spans="1:38" ht="15.75" x14ac:dyDescent="0.25">
      <c r="A970" s="172"/>
      <c r="B970" s="147"/>
      <c r="C970" s="172"/>
      <c r="D970" s="172"/>
      <c r="E970" s="172"/>
      <c r="F970" s="172"/>
      <c r="G970" s="172"/>
      <c r="H970" s="172"/>
      <c r="I970" s="172"/>
      <c r="J970" s="172"/>
      <c r="K970" s="172"/>
      <c r="L970" s="172"/>
      <c r="M970" s="172"/>
      <c r="N970" s="172"/>
      <c r="O970" s="133"/>
      <c r="P970" s="172"/>
      <c r="Q970" s="133"/>
      <c r="R970" s="172"/>
      <c r="S970" s="133"/>
      <c r="T970" s="133"/>
      <c r="U970" s="172"/>
      <c r="V970" s="172"/>
      <c r="W970" s="175"/>
      <c r="X970" s="298"/>
      <c r="Y970" s="48"/>
      <c r="Z970" s="48"/>
      <c r="AA970" s="57"/>
      <c r="AB970" s="58"/>
      <c r="AC970" s="58"/>
      <c r="AD970" s="58"/>
      <c r="AE970" s="56"/>
    </row>
    <row r="971" spans="1:38" x14ac:dyDescent="0.3">
      <c r="A971" s="448" t="s">
        <v>2713</v>
      </c>
      <c r="B971" s="448"/>
      <c r="C971" s="172"/>
      <c r="D971" s="172"/>
      <c r="E971" s="172"/>
      <c r="F971" s="172"/>
      <c r="G971" s="172"/>
      <c r="H971" s="172"/>
      <c r="I971" s="172"/>
      <c r="J971" s="172"/>
      <c r="K971" s="172"/>
      <c r="L971" s="172"/>
      <c r="M971" s="172"/>
      <c r="N971" s="172"/>
      <c r="O971" s="133"/>
      <c r="P971" s="172"/>
      <c r="Q971" s="133"/>
      <c r="R971" s="172"/>
      <c r="S971" s="133"/>
      <c r="T971" s="133"/>
      <c r="U971" s="172"/>
      <c r="V971" s="172"/>
      <c r="W971" s="175"/>
      <c r="X971" s="298"/>
      <c r="Y971" s="48"/>
      <c r="Z971" s="48"/>
      <c r="AA971" s="57"/>
      <c r="AB971" s="58"/>
      <c r="AC971" s="58"/>
      <c r="AD971" s="58"/>
      <c r="AE971" s="56"/>
    </row>
    <row r="972" spans="1:38" x14ac:dyDescent="0.3">
      <c r="A972" s="59">
        <f>A966+1</f>
        <v>735</v>
      </c>
      <c r="B972" s="66" t="s">
        <v>2718</v>
      </c>
      <c r="C972" s="50">
        <f>D972+K972+L972+N972+P972+R972+S972+U972+V972+W972</f>
        <v>115125.12</v>
      </c>
      <c r="D972" s="51">
        <f>E972+F972+G972+H972+I972</f>
        <v>0</v>
      </c>
      <c r="E972" s="50"/>
      <c r="F972" s="51"/>
      <c r="G972" s="51"/>
      <c r="H972" s="51"/>
      <c r="I972" s="51"/>
      <c r="J972" s="51"/>
      <c r="K972" s="51"/>
      <c r="L972" s="51"/>
      <c r="M972" s="51"/>
      <c r="N972" s="50"/>
      <c r="O972" s="82"/>
      <c r="P972" s="50"/>
      <c r="Q972" s="82"/>
      <c r="R972" s="50"/>
      <c r="S972" s="68"/>
      <c r="T972" s="82"/>
      <c r="U972" s="51"/>
      <c r="V972" s="51"/>
      <c r="W972" s="178">
        <f>SUM(Y972:AE972)</f>
        <v>115125.12</v>
      </c>
      <c r="X972" s="285"/>
      <c r="Y972" s="48"/>
      <c r="Z972" s="48"/>
      <c r="AA972" s="57">
        <v>115125.12</v>
      </c>
      <c r="AB972" s="58"/>
      <c r="AC972" s="58"/>
      <c r="AD972" s="58"/>
      <c r="AE972" s="56"/>
    </row>
    <row r="973" spans="1:38" x14ac:dyDescent="0.3">
      <c r="A973" s="449" t="s">
        <v>211</v>
      </c>
      <c r="B973" s="449"/>
      <c r="C973" s="50">
        <f t="shared" ref="C973:W973" si="242">SUM(C972:C972)</f>
        <v>115125.12</v>
      </c>
      <c r="D973" s="50">
        <f t="shared" si="242"/>
        <v>0</v>
      </c>
      <c r="E973" s="50">
        <f t="shared" si="242"/>
        <v>0</v>
      </c>
      <c r="F973" s="50">
        <f t="shared" si="242"/>
        <v>0</v>
      </c>
      <c r="G973" s="50">
        <f t="shared" si="242"/>
        <v>0</v>
      </c>
      <c r="H973" s="50">
        <f t="shared" si="242"/>
        <v>0</v>
      </c>
      <c r="I973" s="50">
        <f t="shared" si="242"/>
        <v>0</v>
      </c>
      <c r="J973" s="50">
        <f t="shared" si="242"/>
        <v>0</v>
      </c>
      <c r="K973" s="50">
        <f t="shared" si="242"/>
        <v>0</v>
      </c>
      <c r="L973" s="50">
        <f t="shared" si="242"/>
        <v>0</v>
      </c>
      <c r="M973" s="50">
        <f t="shared" si="242"/>
        <v>0</v>
      </c>
      <c r="N973" s="50">
        <f t="shared" si="242"/>
        <v>0</v>
      </c>
      <c r="O973" s="68">
        <f t="shared" si="242"/>
        <v>0</v>
      </c>
      <c r="P973" s="50">
        <f t="shared" si="242"/>
        <v>0</v>
      </c>
      <c r="Q973" s="68">
        <f t="shared" si="242"/>
        <v>0</v>
      </c>
      <c r="R973" s="50">
        <f t="shared" si="242"/>
        <v>0</v>
      </c>
      <c r="S973" s="68">
        <f t="shared" si="242"/>
        <v>0</v>
      </c>
      <c r="T973" s="68">
        <f t="shared" si="242"/>
        <v>0</v>
      </c>
      <c r="U973" s="50">
        <f t="shared" si="242"/>
        <v>0</v>
      </c>
      <c r="V973" s="50">
        <f t="shared" si="242"/>
        <v>0</v>
      </c>
      <c r="W973" s="34">
        <f t="shared" si="242"/>
        <v>115125.12</v>
      </c>
      <c r="X973" s="285"/>
      <c r="Y973" s="48"/>
      <c r="Z973" s="48"/>
      <c r="AA973" s="57"/>
      <c r="AB973" s="58"/>
      <c r="AC973" s="58"/>
      <c r="AD973" s="58"/>
      <c r="AE973" s="56"/>
    </row>
    <row r="974" spans="1:38" x14ac:dyDescent="0.3">
      <c r="A974" s="448" t="s">
        <v>2719</v>
      </c>
      <c r="B974" s="448"/>
      <c r="C974" s="50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0"/>
      <c r="O974" s="82"/>
      <c r="P974" s="51"/>
      <c r="Q974" s="82"/>
      <c r="R974" s="50"/>
      <c r="S974" s="68"/>
      <c r="T974" s="82"/>
      <c r="U974" s="51"/>
      <c r="V974" s="51"/>
      <c r="W974" s="178"/>
      <c r="X974" s="285"/>
      <c r="Y974" s="48"/>
      <c r="Z974" s="48"/>
      <c r="AA974" s="61"/>
      <c r="AB974" s="62"/>
      <c r="AC974" s="62"/>
      <c r="AD974" s="58"/>
      <c r="AE974" s="56"/>
    </row>
    <row r="975" spans="1:38" x14ac:dyDescent="0.3">
      <c r="A975" s="59">
        <f>A972+1</f>
        <v>736</v>
      </c>
      <c r="B975" s="66" t="s">
        <v>2720</v>
      </c>
      <c r="C975" s="50">
        <f t="shared" ref="C975:C980" si="243">D975+K975+L975+N975+P975+R975+S975+U975+V975+W975</f>
        <v>316563.84000000003</v>
      </c>
      <c r="D975" s="51">
        <f t="shared" ref="D975:D980" si="244">E975+F975+G975+H975+I975</f>
        <v>0</v>
      </c>
      <c r="E975" s="51"/>
      <c r="F975" s="51"/>
      <c r="G975" s="51"/>
      <c r="H975" s="51"/>
      <c r="I975" s="51"/>
      <c r="J975" s="51"/>
      <c r="K975" s="51"/>
      <c r="L975" s="51"/>
      <c r="M975" s="51"/>
      <c r="N975" s="50"/>
      <c r="O975" s="82"/>
      <c r="P975" s="50"/>
      <c r="Q975" s="82"/>
      <c r="R975" s="50"/>
      <c r="S975" s="68"/>
      <c r="T975" s="82"/>
      <c r="U975" s="51"/>
      <c r="V975" s="51"/>
      <c r="W975" s="178">
        <f>SUM(Z975:AF975)</f>
        <v>316563.84000000003</v>
      </c>
      <c r="X975" s="285"/>
      <c r="Y975" s="48"/>
      <c r="Z975" s="48"/>
      <c r="AA975" s="61"/>
      <c r="AB975" s="62">
        <v>316563.84000000003</v>
      </c>
      <c r="AC975" s="62"/>
      <c r="AD975" s="58"/>
      <c r="AE975" s="56"/>
    </row>
    <row r="976" spans="1:38" x14ac:dyDescent="0.3">
      <c r="A976" s="59">
        <f>A975+1</f>
        <v>737</v>
      </c>
      <c r="B976" s="66" t="s">
        <v>2721</v>
      </c>
      <c r="C976" s="50">
        <f t="shared" si="243"/>
        <v>283585.62</v>
      </c>
      <c r="D976" s="51">
        <f t="shared" si="244"/>
        <v>0</v>
      </c>
      <c r="E976" s="51"/>
      <c r="F976" s="51"/>
      <c r="G976" s="51"/>
      <c r="H976" s="51"/>
      <c r="I976" s="51"/>
      <c r="J976" s="51"/>
      <c r="K976" s="51"/>
      <c r="L976" s="51"/>
      <c r="M976" s="51"/>
      <c r="N976" s="50"/>
      <c r="O976" s="82"/>
      <c r="P976" s="50"/>
      <c r="Q976" s="82"/>
      <c r="R976" s="50"/>
      <c r="S976" s="68"/>
      <c r="T976" s="82"/>
      <c r="U976" s="51"/>
      <c r="V976" s="51"/>
      <c r="W976" s="178">
        <f>SUM(Z976:AF976)</f>
        <v>283585.62</v>
      </c>
      <c r="X976" s="285"/>
      <c r="Y976" s="48"/>
      <c r="Z976" s="48"/>
      <c r="AA976" s="61"/>
      <c r="AB976" s="62">
        <v>283585.62</v>
      </c>
      <c r="AC976" s="62"/>
      <c r="AD976" s="58"/>
      <c r="AE976" s="56"/>
    </row>
    <row r="977" spans="1:31" x14ac:dyDescent="0.3">
      <c r="A977" s="59">
        <f>A976+1</f>
        <v>738</v>
      </c>
      <c r="B977" s="66" t="s">
        <v>2722</v>
      </c>
      <c r="C977" s="50">
        <f t="shared" si="243"/>
        <v>130000</v>
      </c>
      <c r="D977" s="51">
        <f t="shared" si="244"/>
        <v>0</v>
      </c>
      <c r="E977" s="50"/>
      <c r="F977" s="51"/>
      <c r="G977" s="51"/>
      <c r="H977" s="51"/>
      <c r="I977" s="51"/>
      <c r="J977" s="51"/>
      <c r="K977" s="51"/>
      <c r="L977" s="51"/>
      <c r="M977" s="51"/>
      <c r="N977" s="50"/>
      <c r="O977" s="82"/>
      <c r="P977" s="50"/>
      <c r="Q977" s="82"/>
      <c r="R977" s="50"/>
      <c r="S977" s="68"/>
      <c r="T977" s="82"/>
      <c r="U977" s="51"/>
      <c r="V977" s="51"/>
      <c r="W977" s="178">
        <v>130000</v>
      </c>
      <c r="X977" s="285"/>
      <c r="Y977" s="48"/>
      <c r="Z977" s="48"/>
      <c r="AA977" s="61"/>
      <c r="AB977" s="62"/>
      <c r="AC977" s="62"/>
      <c r="AD977" s="58"/>
      <c r="AE977" s="56"/>
    </row>
    <row r="978" spans="1:31" x14ac:dyDescent="0.3">
      <c r="A978" s="59">
        <f>A977+1</f>
        <v>739</v>
      </c>
      <c r="B978" s="66" t="s">
        <v>2723</v>
      </c>
      <c r="C978" s="50">
        <f t="shared" si="243"/>
        <v>567682.4</v>
      </c>
      <c r="D978" s="51">
        <f t="shared" si="244"/>
        <v>0</v>
      </c>
      <c r="E978" s="51"/>
      <c r="F978" s="51"/>
      <c r="G978" s="51"/>
      <c r="H978" s="51"/>
      <c r="I978" s="51"/>
      <c r="J978" s="51"/>
      <c r="K978" s="51"/>
      <c r="L978" s="51"/>
      <c r="M978" s="51"/>
      <c r="N978" s="50"/>
      <c r="O978" s="82"/>
      <c r="P978" s="50"/>
      <c r="Q978" s="82"/>
      <c r="R978" s="50"/>
      <c r="S978" s="68"/>
      <c r="T978" s="82"/>
      <c r="U978" s="51"/>
      <c r="V978" s="51"/>
      <c r="W978" s="178">
        <f>SUM(Z978:AF978)</f>
        <v>567682.4</v>
      </c>
      <c r="X978" s="285"/>
      <c r="Y978" s="48"/>
      <c r="Z978" s="48">
        <v>213390.4</v>
      </c>
      <c r="AA978" s="61"/>
      <c r="AB978" s="62">
        <v>354292</v>
      </c>
      <c r="AC978" s="62"/>
      <c r="AD978" s="58"/>
      <c r="AE978" s="56"/>
    </row>
    <row r="979" spans="1:31" x14ac:dyDescent="0.3">
      <c r="A979" s="59">
        <f>A978+1</f>
        <v>740</v>
      </c>
      <c r="B979" s="66" t="s">
        <v>2724</v>
      </c>
      <c r="C979" s="50">
        <f t="shared" si="243"/>
        <v>355377.7</v>
      </c>
      <c r="D979" s="51">
        <f t="shared" si="244"/>
        <v>0</v>
      </c>
      <c r="E979" s="51"/>
      <c r="F979" s="51"/>
      <c r="G979" s="51"/>
      <c r="H979" s="51"/>
      <c r="I979" s="51"/>
      <c r="J979" s="51"/>
      <c r="K979" s="51"/>
      <c r="L979" s="51"/>
      <c r="M979" s="51"/>
      <c r="N979" s="50"/>
      <c r="O979" s="82"/>
      <c r="P979" s="50"/>
      <c r="Q979" s="82"/>
      <c r="R979" s="50"/>
      <c r="S979" s="68"/>
      <c r="T979" s="82"/>
      <c r="U979" s="51"/>
      <c r="V979" s="51"/>
      <c r="W979" s="178">
        <f>SUM(Z979:AF979)</f>
        <v>355377.7</v>
      </c>
      <c r="X979" s="285"/>
      <c r="Y979" s="48"/>
      <c r="Z979" s="48"/>
      <c r="AA979" s="61"/>
      <c r="AB979" s="62">
        <v>355377.7</v>
      </c>
      <c r="AC979" s="62"/>
      <c r="AD979" s="58"/>
      <c r="AE979" s="56"/>
    </row>
    <row r="980" spans="1:31" x14ac:dyDescent="0.3">
      <c r="A980" s="59">
        <f>A979+1</f>
        <v>741</v>
      </c>
      <c r="B980" s="66" t="s">
        <v>2725</v>
      </c>
      <c r="C980" s="50">
        <f t="shared" si="243"/>
        <v>692338.3</v>
      </c>
      <c r="D980" s="51">
        <f t="shared" si="244"/>
        <v>0</v>
      </c>
      <c r="E980" s="51"/>
      <c r="F980" s="51"/>
      <c r="G980" s="51"/>
      <c r="H980" s="51"/>
      <c r="I980" s="51"/>
      <c r="J980" s="51"/>
      <c r="K980" s="51"/>
      <c r="L980" s="51"/>
      <c r="M980" s="51"/>
      <c r="N980" s="50"/>
      <c r="O980" s="82"/>
      <c r="P980" s="50"/>
      <c r="Q980" s="82"/>
      <c r="R980" s="50"/>
      <c r="S980" s="68"/>
      <c r="T980" s="82"/>
      <c r="U980" s="51"/>
      <c r="V980" s="51"/>
      <c r="W980" s="178">
        <f>SUM(Y980:AF980)</f>
        <v>692338.3</v>
      </c>
      <c r="X980" s="285" t="s">
        <v>2742</v>
      </c>
      <c r="Y980" s="48">
        <f>219425.17+195027.44</f>
        <v>414452.61</v>
      </c>
      <c r="Z980" s="48"/>
      <c r="AA980" s="61"/>
      <c r="AB980" s="62">
        <v>277885.69</v>
      </c>
      <c r="AC980" s="62"/>
      <c r="AD980" s="58"/>
      <c r="AE980" s="56"/>
    </row>
    <row r="981" spans="1:31" x14ac:dyDescent="0.3">
      <c r="A981" s="449" t="s">
        <v>211</v>
      </c>
      <c r="B981" s="449"/>
      <c r="C981" s="50">
        <f t="shared" ref="C981:W981" si="245">SUM(C975:C980)</f>
        <v>2345547.86</v>
      </c>
      <c r="D981" s="50">
        <f t="shared" si="245"/>
        <v>0</v>
      </c>
      <c r="E981" s="50">
        <f t="shared" si="245"/>
        <v>0</v>
      </c>
      <c r="F981" s="50">
        <f t="shared" si="245"/>
        <v>0</v>
      </c>
      <c r="G981" s="50">
        <f t="shared" si="245"/>
        <v>0</v>
      </c>
      <c r="H981" s="50">
        <f t="shared" si="245"/>
        <v>0</v>
      </c>
      <c r="I981" s="50">
        <f t="shared" si="245"/>
        <v>0</v>
      </c>
      <c r="J981" s="50">
        <f t="shared" si="245"/>
        <v>0</v>
      </c>
      <c r="K981" s="50">
        <f t="shared" si="245"/>
        <v>0</v>
      </c>
      <c r="L981" s="50">
        <f t="shared" si="245"/>
        <v>0</v>
      </c>
      <c r="M981" s="50">
        <f t="shared" si="245"/>
        <v>0</v>
      </c>
      <c r="N981" s="50">
        <f t="shared" si="245"/>
        <v>0</v>
      </c>
      <c r="O981" s="68">
        <f t="shared" si="245"/>
        <v>0</v>
      </c>
      <c r="P981" s="50">
        <f t="shared" si="245"/>
        <v>0</v>
      </c>
      <c r="Q981" s="68">
        <f t="shared" si="245"/>
        <v>0</v>
      </c>
      <c r="R981" s="50">
        <f t="shared" si="245"/>
        <v>0</v>
      </c>
      <c r="S981" s="68">
        <f t="shared" si="245"/>
        <v>0</v>
      </c>
      <c r="T981" s="68">
        <f t="shared" si="245"/>
        <v>0</v>
      </c>
      <c r="U981" s="50">
        <f t="shared" si="245"/>
        <v>0</v>
      </c>
      <c r="V981" s="50">
        <f t="shared" si="245"/>
        <v>0</v>
      </c>
      <c r="W981" s="34">
        <f t="shared" si="245"/>
        <v>2345547.86</v>
      </c>
      <c r="X981" s="285"/>
      <c r="Y981" s="48"/>
      <c r="Z981" s="48"/>
      <c r="AA981" s="61"/>
      <c r="AB981" s="62"/>
      <c r="AC981" s="62"/>
      <c r="AD981" s="58"/>
      <c r="AE981" s="56"/>
    </row>
    <row r="982" spans="1:31" x14ac:dyDescent="0.3">
      <c r="A982" s="448" t="s">
        <v>2727</v>
      </c>
      <c r="B982" s="448"/>
      <c r="C982" s="50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0"/>
      <c r="O982" s="82"/>
      <c r="P982" s="51"/>
      <c r="Q982" s="82"/>
      <c r="R982" s="50"/>
      <c r="S982" s="68"/>
      <c r="T982" s="82"/>
      <c r="U982" s="51"/>
      <c r="V982" s="51"/>
      <c r="W982" s="178"/>
      <c r="X982" s="285"/>
      <c r="Y982" s="48"/>
      <c r="Z982" s="48"/>
      <c r="AA982" s="61"/>
      <c r="AB982" s="62"/>
      <c r="AC982" s="62"/>
      <c r="AD982" s="58"/>
      <c r="AE982" s="56"/>
    </row>
    <row r="983" spans="1:31" x14ac:dyDescent="0.3">
      <c r="A983" s="59">
        <f>A980+1</f>
        <v>742</v>
      </c>
      <c r="B983" s="66" t="s">
        <v>2728</v>
      </c>
      <c r="C983" s="50">
        <f>D983+K983+L983+N983+P983+R983+S983+U983+V983+W983</f>
        <v>130000</v>
      </c>
      <c r="D983" s="51">
        <f>E983+F983+G983+H983+I983</f>
        <v>0</v>
      </c>
      <c r="E983" s="51"/>
      <c r="F983" s="51"/>
      <c r="G983" s="51"/>
      <c r="H983" s="51"/>
      <c r="I983" s="51"/>
      <c r="J983" s="51"/>
      <c r="K983" s="51"/>
      <c r="L983" s="51"/>
      <c r="M983" s="51"/>
      <c r="N983" s="50"/>
      <c r="O983" s="82"/>
      <c r="P983" s="50"/>
      <c r="Q983" s="82"/>
      <c r="R983" s="50"/>
      <c r="S983" s="68"/>
      <c r="T983" s="82"/>
      <c r="U983" s="51"/>
      <c r="V983" s="51"/>
      <c r="W983" s="178">
        <v>130000</v>
      </c>
      <c r="X983" s="285"/>
      <c r="Y983" s="48"/>
      <c r="Z983" s="48"/>
      <c r="AA983" s="61"/>
      <c r="AB983" s="62"/>
      <c r="AC983" s="62"/>
      <c r="AD983" s="58"/>
      <c r="AE983" s="56"/>
    </row>
    <row r="984" spans="1:31" x14ac:dyDescent="0.3">
      <c r="A984" s="59">
        <f>A983+1</f>
        <v>743</v>
      </c>
      <c r="B984" s="66" t="s">
        <v>2729</v>
      </c>
      <c r="C984" s="50">
        <f>D984+K984+L984+N984+P984+R984+S984+U984+V984+W984</f>
        <v>130000</v>
      </c>
      <c r="D984" s="51">
        <f>E984+F984+G984+H984+I984</f>
        <v>0</v>
      </c>
      <c r="E984" s="51"/>
      <c r="F984" s="51"/>
      <c r="G984" s="51"/>
      <c r="H984" s="51"/>
      <c r="I984" s="51"/>
      <c r="J984" s="51"/>
      <c r="K984" s="51"/>
      <c r="L984" s="51"/>
      <c r="M984" s="51"/>
      <c r="N984" s="50"/>
      <c r="O984" s="82"/>
      <c r="P984" s="50"/>
      <c r="Q984" s="82"/>
      <c r="R984" s="50"/>
      <c r="S984" s="68"/>
      <c r="T984" s="82"/>
      <c r="U984" s="51"/>
      <c r="V984" s="51"/>
      <c r="W984" s="178">
        <v>130000</v>
      </c>
      <c r="X984" s="285"/>
      <c r="Y984" s="48"/>
      <c r="Z984" s="48"/>
      <c r="AA984" s="61"/>
      <c r="AB984" s="62"/>
      <c r="AC984" s="62"/>
      <c r="AD984" s="58"/>
      <c r="AE984" s="56"/>
    </row>
    <row r="985" spans="1:31" x14ac:dyDescent="0.3">
      <c r="A985" s="59">
        <f>A984+1</f>
        <v>744</v>
      </c>
      <c r="B985" s="66" t="s">
        <v>2730</v>
      </c>
      <c r="C985" s="50">
        <f>D985+K985+L985+N985+P985+R985+S985+U985+V985+W985</f>
        <v>677022.62</v>
      </c>
      <c r="D985" s="51">
        <f>E985+F985+G985+H985+I985</f>
        <v>0</v>
      </c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82"/>
      <c r="P985" s="50"/>
      <c r="Q985" s="82"/>
      <c r="R985" s="50"/>
      <c r="S985" s="68"/>
      <c r="T985" s="82"/>
      <c r="U985" s="51"/>
      <c r="V985" s="51"/>
      <c r="W985" s="178">
        <f>SUM(Z985:AF985)</f>
        <v>677022.62</v>
      </c>
      <c r="X985" s="285"/>
      <c r="Y985" s="48"/>
      <c r="Z985" s="48">
        <v>360086.3</v>
      </c>
      <c r="AA985" s="61">
        <v>316936.32000000001</v>
      </c>
      <c r="AB985" s="62"/>
      <c r="AC985" s="62"/>
      <c r="AD985" s="58"/>
      <c r="AE985" s="56"/>
    </row>
    <row r="986" spans="1:31" x14ac:dyDescent="0.3">
      <c r="A986" s="449" t="s">
        <v>211</v>
      </c>
      <c r="B986" s="449"/>
      <c r="C986" s="50">
        <f t="shared" ref="C986:W986" si="246">SUM(C983:C985)</f>
        <v>937022.62</v>
      </c>
      <c r="D986" s="50">
        <f t="shared" si="246"/>
        <v>0</v>
      </c>
      <c r="E986" s="50">
        <f t="shared" si="246"/>
        <v>0</v>
      </c>
      <c r="F986" s="50">
        <f t="shared" si="246"/>
        <v>0</v>
      </c>
      <c r="G986" s="50">
        <f t="shared" si="246"/>
        <v>0</v>
      </c>
      <c r="H986" s="50">
        <f t="shared" si="246"/>
        <v>0</v>
      </c>
      <c r="I986" s="50">
        <f t="shared" si="246"/>
        <v>0</v>
      </c>
      <c r="J986" s="50">
        <f t="shared" si="246"/>
        <v>0</v>
      </c>
      <c r="K986" s="50">
        <f t="shared" si="246"/>
        <v>0</v>
      </c>
      <c r="L986" s="50">
        <f t="shared" si="246"/>
        <v>0</v>
      </c>
      <c r="M986" s="50">
        <f t="shared" si="246"/>
        <v>0</v>
      </c>
      <c r="N986" s="50">
        <f t="shared" si="246"/>
        <v>0</v>
      </c>
      <c r="O986" s="68">
        <f t="shared" si="246"/>
        <v>0</v>
      </c>
      <c r="P986" s="50">
        <f t="shared" si="246"/>
        <v>0</v>
      </c>
      <c r="Q986" s="68">
        <f t="shared" si="246"/>
        <v>0</v>
      </c>
      <c r="R986" s="50">
        <f t="shared" si="246"/>
        <v>0</v>
      </c>
      <c r="S986" s="68">
        <f t="shared" si="246"/>
        <v>0</v>
      </c>
      <c r="T986" s="68">
        <f t="shared" si="246"/>
        <v>0</v>
      </c>
      <c r="U986" s="50">
        <f t="shared" si="246"/>
        <v>0</v>
      </c>
      <c r="V986" s="50">
        <f t="shared" si="246"/>
        <v>0</v>
      </c>
      <c r="W986" s="34">
        <f t="shared" si="246"/>
        <v>937022.62</v>
      </c>
      <c r="X986" s="285"/>
      <c r="Y986" s="48"/>
      <c r="Z986" s="48"/>
      <c r="AA986" s="61"/>
      <c r="AB986" s="62"/>
      <c r="AC986" s="62"/>
      <c r="AD986" s="58"/>
      <c r="AE986" s="56"/>
    </row>
    <row r="987" spans="1:31" x14ac:dyDescent="0.3">
      <c r="A987" s="448" t="s">
        <v>2732</v>
      </c>
      <c r="B987" s="448"/>
      <c r="C987" s="50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0"/>
      <c r="O987" s="82"/>
      <c r="P987" s="51"/>
      <c r="Q987" s="82"/>
      <c r="R987" s="50"/>
      <c r="S987" s="68"/>
      <c r="T987" s="82"/>
      <c r="U987" s="51"/>
      <c r="V987" s="51"/>
      <c r="W987" s="178"/>
      <c r="X987" s="285"/>
      <c r="Y987" s="48"/>
      <c r="Z987" s="48"/>
      <c r="AA987" s="61"/>
      <c r="AB987" s="62"/>
      <c r="AC987" s="62"/>
      <c r="AD987" s="58"/>
      <c r="AE987" s="56"/>
    </row>
    <row r="988" spans="1:31" x14ac:dyDescent="0.3">
      <c r="A988" s="59">
        <f>A985+1</f>
        <v>745</v>
      </c>
      <c r="B988" s="66" t="s">
        <v>2733</v>
      </c>
      <c r="C988" s="50">
        <f>D988+K988+L988+N988+P988+R988+S988+U988+V988+W988</f>
        <v>264679.79000000004</v>
      </c>
      <c r="D988" s="51">
        <f>E988+F988+G988+H988+I988</f>
        <v>0</v>
      </c>
      <c r="E988" s="51"/>
      <c r="F988" s="50"/>
      <c r="G988" s="50"/>
      <c r="H988" s="51"/>
      <c r="I988" s="51"/>
      <c r="J988" s="51"/>
      <c r="K988" s="51"/>
      <c r="L988" s="51"/>
      <c r="M988" s="51"/>
      <c r="N988" s="50"/>
      <c r="O988" s="82"/>
      <c r="P988" s="51"/>
      <c r="Q988" s="82"/>
      <c r="R988" s="50"/>
      <c r="S988" s="68"/>
      <c r="T988" s="82"/>
      <c r="U988" s="51"/>
      <c r="V988" s="50"/>
      <c r="W988" s="178">
        <f>SUM(Y988:AE988)</f>
        <v>264679.79000000004</v>
      </c>
      <c r="X988" s="285" t="s">
        <v>2742</v>
      </c>
      <c r="Y988" s="48">
        <f>144065.2+120614.59</f>
        <v>264679.79000000004</v>
      </c>
      <c r="Z988" s="48"/>
      <c r="AA988" s="61"/>
      <c r="AB988" s="62"/>
      <c r="AC988" s="62"/>
      <c r="AD988" s="58"/>
      <c r="AE988" s="56"/>
    </row>
    <row r="989" spans="1:31" x14ac:dyDescent="0.3">
      <c r="A989" s="59">
        <f>A988+1</f>
        <v>746</v>
      </c>
      <c r="B989" s="66" t="s">
        <v>2736</v>
      </c>
      <c r="C989" s="50">
        <f>D989+K989+L989+N989+P989+R989+S989+U989+V989+W989</f>
        <v>105577.22</v>
      </c>
      <c r="D989" s="51">
        <f>E989+F989+G989+H989+I989</f>
        <v>0</v>
      </c>
      <c r="E989" s="50"/>
      <c r="F989" s="51"/>
      <c r="G989" s="51"/>
      <c r="H989" s="51"/>
      <c r="I989" s="51"/>
      <c r="J989" s="51"/>
      <c r="K989" s="51"/>
      <c r="L989" s="51"/>
      <c r="M989" s="51"/>
      <c r="N989" s="50"/>
      <c r="O989" s="82"/>
      <c r="P989" s="51"/>
      <c r="Q989" s="82"/>
      <c r="R989" s="50"/>
      <c r="S989" s="68"/>
      <c r="T989" s="82"/>
      <c r="U989" s="51"/>
      <c r="V989" s="50"/>
      <c r="W989" s="178">
        <f>SUM(Y989:AE989)</f>
        <v>105577.22</v>
      </c>
      <c r="X989" s="285" t="s">
        <v>2743</v>
      </c>
      <c r="Y989" s="48">
        <v>105577.22</v>
      </c>
      <c r="Z989" s="48"/>
      <c r="AA989" s="61"/>
      <c r="AB989" s="62"/>
      <c r="AC989" s="62"/>
      <c r="AD989" s="58"/>
      <c r="AE989" s="56"/>
    </row>
    <row r="990" spans="1:31" x14ac:dyDescent="0.3">
      <c r="A990" s="59">
        <f>A989+1</f>
        <v>747</v>
      </c>
      <c r="B990" s="66" t="s">
        <v>2737</v>
      </c>
      <c r="C990" s="50">
        <f>D990+K990+L990+N990+P990+R990+S990+U990+V990+W990</f>
        <v>179085.89</v>
      </c>
      <c r="D990" s="51">
        <f>E990+F990+G990+H990+I990</f>
        <v>0</v>
      </c>
      <c r="E990" s="51"/>
      <c r="F990" s="51"/>
      <c r="G990" s="51"/>
      <c r="H990" s="51"/>
      <c r="I990" s="51"/>
      <c r="J990" s="51"/>
      <c r="K990" s="51"/>
      <c r="L990" s="51"/>
      <c r="M990" s="51"/>
      <c r="N990" s="50"/>
      <c r="O990" s="82"/>
      <c r="P990" s="50"/>
      <c r="Q990" s="82"/>
      <c r="R990" s="50"/>
      <c r="S990" s="68"/>
      <c r="T990" s="82"/>
      <c r="U990" s="51"/>
      <c r="V990" s="51"/>
      <c r="W990" s="178">
        <f>SUM(Y990:AE990)</f>
        <v>179085.89</v>
      </c>
      <c r="X990" s="285"/>
      <c r="Y990" s="48"/>
      <c r="Z990" s="48">
        <v>179085.89</v>
      </c>
      <c r="AA990" s="61"/>
      <c r="AB990" s="62"/>
      <c r="AC990" s="62"/>
      <c r="AD990" s="58"/>
      <c r="AE990" s="56"/>
    </row>
    <row r="991" spans="1:31" x14ac:dyDescent="0.3">
      <c r="A991" s="59">
        <f>A990+1</f>
        <v>748</v>
      </c>
      <c r="B991" s="66" t="s">
        <v>2738</v>
      </c>
      <c r="C991" s="50">
        <f>D991+K991+L991+N991+P991+R991+S991+U991+V991+W991</f>
        <v>475962.18000000005</v>
      </c>
      <c r="D991" s="51">
        <f>E991+F991+G991+H991+I991</f>
        <v>0</v>
      </c>
      <c r="E991" s="51"/>
      <c r="F991" s="51"/>
      <c r="G991" s="51"/>
      <c r="H991" s="51"/>
      <c r="I991" s="51"/>
      <c r="J991" s="51"/>
      <c r="K991" s="51"/>
      <c r="L991" s="51"/>
      <c r="M991" s="51"/>
      <c r="N991" s="50"/>
      <c r="O991" s="82"/>
      <c r="P991" s="50"/>
      <c r="Q991" s="82"/>
      <c r="R991" s="50"/>
      <c r="S991" s="68"/>
      <c r="T991" s="82"/>
      <c r="U991" s="51"/>
      <c r="V991" s="51"/>
      <c r="W991" s="178">
        <f>SUM(Y991:AE991)</f>
        <v>475962.18000000005</v>
      </c>
      <c r="X991" s="285"/>
      <c r="Y991" s="48"/>
      <c r="Z991" s="48">
        <v>179483.84</v>
      </c>
      <c r="AA991" s="61"/>
      <c r="AB991" s="62">
        <v>296478.34000000003</v>
      </c>
      <c r="AC991" s="62"/>
      <c r="AD991" s="58"/>
      <c r="AE991" s="56"/>
    </row>
    <row r="992" spans="1:31" x14ac:dyDescent="0.3">
      <c r="A992" s="449" t="s">
        <v>211</v>
      </c>
      <c r="B992" s="449"/>
      <c r="C992" s="50">
        <f t="shared" ref="C992:W992" si="247">SUM(C988:C991)</f>
        <v>1025305.0800000001</v>
      </c>
      <c r="D992" s="50">
        <f t="shared" si="247"/>
        <v>0</v>
      </c>
      <c r="E992" s="50">
        <f t="shared" si="247"/>
        <v>0</v>
      </c>
      <c r="F992" s="50">
        <f t="shared" si="247"/>
        <v>0</v>
      </c>
      <c r="G992" s="50">
        <f t="shared" si="247"/>
        <v>0</v>
      </c>
      <c r="H992" s="50">
        <f t="shared" si="247"/>
        <v>0</v>
      </c>
      <c r="I992" s="50">
        <f t="shared" si="247"/>
        <v>0</v>
      </c>
      <c r="J992" s="50">
        <f t="shared" si="247"/>
        <v>0</v>
      </c>
      <c r="K992" s="50">
        <f t="shared" si="247"/>
        <v>0</v>
      </c>
      <c r="L992" s="50">
        <f t="shared" si="247"/>
        <v>0</v>
      </c>
      <c r="M992" s="50">
        <f t="shared" si="247"/>
        <v>0</v>
      </c>
      <c r="N992" s="50">
        <f t="shared" si="247"/>
        <v>0</v>
      </c>
      <c r="O992" s="68">
        <f t="shared" si="247"/>
        <v>0</v>
      </c>
      <c r="P992" s="50">
        <f t="shared" si="247"/>
        <v>0</v>
      </c>
      <c r="Q992" s="68">
        <f t="shared" si="247"/>
        <v>0</v>
      </c>
      <c r="R992" s="50">
        <f t="shared" si="247"/>
        <v>0</v>
      </c>
      <c r="S992" s="68">
        <f t="shared" si="247"/>
        <v>0</v>
      </c>
      <c r="T992" s="68">
        <f t="shared" si="247"/>
        <v>0</v>
      </c>
      <c r="U992" s="50">
        <f t="shared" si="247"/>
        <v>0</v>
      </c>
      <c r="V992" s="50">
        <f t="shared" si="247"/>
        <v>0</v>
      </c>
      <c r="W992" s="34">
        <f t="shared" si="247"/>
        <v>1025305.0800000001</v>
      </c>
      <c r="X992" s="285"/>
      <c r="Y992" s="48"/>
      <c r="Z992" s="48"/>
      <c r="AA992" s="61"/>
      <c r="AB992" s="62"/>
      <c r="AC992" s="62"/>
      <c r="AD992" s="58"/>
      <c r="AE992" s="56"/>
    </row>
    <row r="993" spans="1:33" x14ac:dyDescent="0.3">
      <c r="A993" s="450" t="s">
        <v>2741</v>
      </c>
      <c r="B993" s="450"/>
      <c r="C993" s="50">
        <f t="shared" ref="C993:W993" si="248">C973+C981+C986+C992</f>
        <v>4423000.68</v>
      </c>
      <c r="D993" s="50">
        <f t="shared" si="248"/>
        <v>0</v>
      </c>
      <c r="E993" s="50">
        <f t="shared" si="248"/>
        <v>0</v>
      </c>
      <c r="F993" s="50">
        <f t="shared" si="248"/>
        <v>0</v>
      </c>
      <c r="G993" s="50">
        <f t="shared" si="248"/>
        <v>0</v>
      </c>
      <c r="H993" s="50">
        <f t="shared" si="248"/>
        <v>0</v>
      </c>
      <c r="I993" s="50">
        <f t="shared" si="248"/>
        <v>0</v>
      </c>
      <c r="J993" s="50">
        <f t="shared" si="248"/>
        <v>0</v>
      </c>
      <c r="K993" s="50">
        <f t="shared" si="248"/>
        <v>0</v>
      </c>
      <c r="L993" s="50">
        <f t="shared" si="248"/>
        <v>0</v>
      </c>
      <c r="M993" s="50">
        <f t="shared" si="248"/>
        <v>0</v>
      </c>
      <c r="N993" s="50">
        <f t="shared" si="248"/>
        <v>0</v>
      </c>
      <c r="O993" s="68">
        <f t="shared" si="248"/>
        <v>0</v>
      </c>
      <c r="P993" s="50">
        <f t="shared" si="248"/>
        <v>0</v>
      </c>
      <c r="Q993" s="68">
        <f t="shared" si="248"/>
        <v>0</v>
      </c>
      <c r="R993" s="50">
        <f t="shared" si="248"/>
        <v>0</v>
      </c>
      <c r="S993" s="68">
        <f t="shared" si="248"/>
        <v>0</v>
      </c>
      <c r="T993" s="68">
        <f t="shared" si="248"/>
        <v>0</v>
      </c>
      <c r="U993" s="50">
        <f t="shared" si="248"/>
        <v>0</v>
      </c>
      <c r="V993" s="50">
        <f t="shared" si="248"/>
        <v>0</v>
      </c>
      <c r="W993" s="34">
        <f t="shared" si="248"/>
        <v>4423000.68</v>
      </c>
      <c r="X993" s="285"/>
      <c r="Y993" s="48"/>
      <c r="Z993" s="48"/>
      <c r="AA993" s="61"/>
      <c r="AB993" s="62"/>
      <c r="AC993" s="62"/>
      <c r="AD993" s="58"/>
      <c r="AE993" s="56"/>
    </row>
    <row r="994" spans="1:33" x14ac:dyDescent="0.3">
      <c r="A994" s="478" t="s">
        <v>2744</v>
      </c>
      <c r="B994" s="478"/>
      <c r="C994" s="478"/>
      <c r="D994" s="478"/>
      <c r="E994" s="478"/>
      <c r="F994" s="478"/>
      <c r="G994" s="478"/>
      <c r="H994" s="478"/>
      <c r="I994" s="478"/>
      <c r="J994" s="478"/>
      <c r="K994" s="478"/>
      <c r="L994" s="478"/>
      <c r="M994" s="478"/>
      <c r="N994" s="478"/>
      <c r="O994" s="478"/>
      <c r="P994" s="478"/>
      <c r="Q994" s="478"/>
      <c r="R994" s="478"/>
      <c r="S994" s="478"/>
      <c r="T994" s="478"/>
      <c r="U994" s="478"/>
      <c r="V994" s="478"/>
      <c r="W994" s="478"/>
      <c r="X994" s="9"/>
      <c r="Y994" s="9"/>
      <c r="Z994" s="9"/>
      <c r="AA994" s="9"/>
      <c r="AB994" s="9"/>
      <c r="AC994" s="9"/>
      <c r="AD994" s="40"/>
      <c r="AE994" s="56"/>
      <c r="AF994" s="56"/>
      <c r="AG994" s="56"/>
    </row>
    <row r="995" spans="1:33" x14ac:dyDescent="0.3">
      <c r="A995" s="448" t="s">
        <v>2745</v>
      </c>
      <c r="B995" s="448"/>
      <c r="C995" s="172"/>
      <c r="D995" s="172"/>
      <c r="E995" s="172"/>
      <c r="F995" s="172"/>
      <c r="G995" s="172"/>
      <c r="H995" s="172"/>
      <c r="I995" s="172"/>
      <c r="J995" s="172"/>
      <c r="K995" s="172"/>
      <c r="L995" s="172"/>
      <c r="M995" s="172"/>
      <c r="N995" s="172"/>
      <c r="O995" s="133"/>
      <c r="P995" s="172"/>
      <c r="Q995" s="133"/>
      <c r="R995" s="172"/>
      <c r="S995" s="133"/>
      <c r="T995" s="133"/>
      <c r="U995" s="172"/>
      <c r="V995" s="172"/>
      <c r="W995" s="175"/>
      <c r="X995" s="9"/>
      <c r="Y995" s="9"/>
      <c r="Z995" s="9"/>
      <c r="AA995" s="9"/>
      <c r="AB995" s="9"/>
      <c r="AC995" s="9"/>
      <c r="AD995" s="40"/>
      <c r="AE995" s="56"/>
      <c r="AF995" s="56"/>
      <c r="AG995" s="56"/>
    </row>
    <row r="996" spans="1:33" x14ac:dyDescent="0.3">
      <c r="A996" s="59">
        <f>A991+1</f>
        <v>749</v>
      </c>
      <c r="B996" s="66" t="s">
        <v>2746</v>
      </c>
      <c r="C996" s="50">
        <f>D996+K996+L996+N996+P996+R996+S996+U996+V996+W996</f>
        <v>23849624.359999999</v>
      </c>
      <c r="D996" s="51">
        <f>E996+F996+G996+H996+I996</f>
        <v>0</v>
      </c>
      <c r="E996" s="51"/>
      <c r="F996" s="51"/>
      <c r="G996" s="51"/>
      <c r="H996" s="51"/>
      <c r="I996" s="51"/>
      <c r="J996" s="51"/>
      <c r="K996" s="51"/>
      <c r="L996" s="51"/>
      <c r="M996" s="51"/>
      <c r="N996" s="50"/>
      <c r="O996" s="82"/>
      <c r="P996" s="51"/>
      <c r="Q996" s="82">
        <v>2016.37</v>
      </c>
      <c r="R996" s="50">
        <f>2016.37*(8187+3641)</f>
        <v>23849624.359999999</v>
      </c>
      <c r="S996" s="68"/>
      <c r="T996" s="82"/>
      <c r="U996" s="51"/>
      <c r="V996" s="51"/>
      <c r="W996" s="178"/>
      <c r="X996" s="9"/>
      <c r="Y996" s="9"/>
      <c r="Z996" s="9"/>
      <c r="AA996" s="9"/>
      <c r="AB996" s="9"/>
      <c r="AC996" s="9"/>
      <c r="AD996" s="40"/>
      <c r="AF996" s="56"/>
      <c r="AG996" s="56"/>
    </row>
    <row r="997" spans="1:33" x14ac:dyDescent="0.3">
      <c r="A997" s="59">
        <f>A996+1</f>
        <v>750</v>
      </c>
      <c r="B997" s="66" t="s">
        <v>2747</v>
      </c>
      <c r="C997" s="50">
        <f>D997+K997+L997+N997+P997+R997+S997+U997+V997+W997</f>
        <v>965106.95</v>
      </c>
      <c r="D997" s="51">
        <f t="shared" ref="D997:D1026" si="249">E997+F997+G997+H997+I997</f>
        <v>0</v>
      </c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68"/>
      <c r="P997" s="50"/>
      <c r="Q997" s="68"/>
      <c r="R997" s="50"/>
      <c r="S997" s="68"/>
      <c r="T997" s="68"/>
      <c r="U997" s="50"/>
      <c r="V997" s="50"/>
      <c r="W997" s="178">
        <f>SUM(X997:AH997)</f>
        <v>965106.95</v>
      </c>
      <c r="X997" s="9"/>
      <c r="Y997" s="9"/>
      <c r="Z997" s="9"/>
      <c r="AA997" s="9"/>
      <c r="AB997" s="9">
        <v>122259.3</v>
      </c>
      <c r="AC997" s="9">
        <v>205010.69</v>
      </c>
      <c r="AD997" s="40">
        <v>202771.48</v>
      </c>
      <c r="AE997" s="56">
        <v>435065.48</v>
      </c>
      <c r="AF997" s="56"/>
      <c r="AG997" s="56"/>
    </row>
    <row r="998" spans="1:33" x14ac:dyDescent="0.3">
      <c r="A998" s="59">
        <f>A997+1</f>
        <v>751</v>
      </c>
      <c r="B998" s="66" t="s">
        <v>2748</v>
      </c>
      <c r="C998" s="50">
        <f>D998+K998+L998+N998+P998+R998+S998+U998+V998+W998</f>
        <v>973375.73</v>
      </c>
      <c r="D998" s="51">
        <f t="shared" si="249"/>
        <v>0</v>
      </c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68"/>
      <c r="P998" s="50"/>
      <c r="Q998" s="68"/>
      <c r="R998" s="50"/>
      <c r="S998" s="68"/>
      <c r="T998" s="68"/>
      <c r="U998" s="50"/>
      <c r="V998" s="50"/>
      <c r="W998" s="178">
        <f>SUM(X998:AH998)</f>
        <v>973375.73</v>
      </c>
      <c r="X998" s="9"/>
      <c r="Y998" s="9"/>
      <c r="Z998" s="9"/>
      <c r="AA998" s="9"/>
      <c r="AB998" s="9">
        <v>123414.5</v>
      </c>
      <c r="AC998" s="9">
        <v>206799.88</v>
      </c>
      <c r="AD998" s="40">
        <v>204507.94</v>
      </c>
      <c r="AE998" s="56">
        <v>438653.41</v>
      </c>
      <c r="AF998" s="56"/>
      <c r="AG998" s="56"/>
    </row>
    <row r="999" spans="1:33" x14ac:dyDescent="0.3">
      <c r="A999" s="59">
        <f>A998+1</f>
        <v>752</v>
      </c>
      <c r="B999" s="66" t="s">
        <v>2749</v>
      </c>
      <c r="C999" s="50">
        <f>D999+K999+L999+N999+P999+R999+S999+U999+V999+W999</f>
        <v>879498.7</v>
      </c>
      <c r="D999" s="51">
        <f t="shared" si="249"/>
        <v>0</v>
      </c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68"/>
      <c r="P999" s="50"/>
      <c r="Q999" s="68"/>
      <c r="R999" s="50"/>
      <c r="S999" s="68"/>
      <c r="T999" s="68"/>
      <c r="U999" s="50"/>
      <c r="V999" s="50"/>
      <c r="W999" s="178">
        <f>SUM(X999:AH999)</f>
        <v>879498.7</v>
      </c>
      <c r="X999" s="9"/>
      <c r="Y999" s="9"/>
      <c r="Z999" s="9"/>
      <c r="AA999" s="9"/>
      <c r="AB999" s="9"/>
      <c r="AC999" s="9"/>
      <c r="AD999" s="40">
        <v>163007.99</v>
      </c>
      <c r="AE999" s="56">
        <v>716490.71</v>
      </c>
      <c r="AF999" s="56"/>
      <c r="AG999" s="56"/>
    </row>
    <row r="1000" spans="1:33" x14ac:dyDescent="0.3">
      <c r="A1000" s="59">
        <f>A999+1</f>
        <v>753</v>
      </c>
      <c r="B1000" s="66" t="s">
        <v>2750</v>
      </c>
      <c r="C1000" s="50">
        <f>D1000+K1000+L1000+N1000+P1000+R1000+S1000+U1000+V1000+W1000</f>
        <v>485309.81000000006</v>
      </c>
      <c r="D1000" s="51">
        <f t="shared" si="249"/>
        <v>0</v>
      </c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68"/>
      <c r="P1000" s="50"/>
      <c r="Q1000" s="68"/>
      <c r="R1000" s="50"/>
      <c r="S1000" s="68"/>
      <c r="T1000" s="68"/>
      <c r="U1000" s="50"/>
      <c r="V1000" s="50"/>
      <c r="W1000" s="178">
        <f>SUM(X1000:AH1000)</f>
        <v>485309.81000000006</v>
      </c>
      <c r="X1000" s="9"/>
      <c r="Y1000" s="9"/>
      <c r="Z1000" s="9"/>
      <c r="AA1000" s="9"/>
      <c r="AB1000" s="9">
        <v>78452.990000000005</v>
      </c>
      <c r="AC1000" s="9">
        <v>150379.34</v>
      </c>
      <c r="AD1000" s="40"/>
      <c r="AE1000" s="56">
        <v>256477.48</v>
      </c>
      <c r="AF1000" s="56"/>
      <c r="AG1000" s="56"/>
    </row>
    <row r="1001" spans="1:33" x14ac:dyDescent="0.3">
      <c r="A1001" s="449" t="s">
        <v>211</v>
      </c>
      <c r="B1001" s="449"/>
      <c r="C1001" s="50">
        <f>SUM(C996:C1000)</f>
        <v>27152915.549999997</v>
      </c>
      <c r="D1001" s="50">
        <f t="shared" ref="D1001:W1001" si="250">SUM(D996:D1000)</f>
        <v>0</v>
      </c>
      <c r="E1001" s="50">
        <f t="shared" si="250"/>
        <v>0</v>
      </c>
      <c r="F1001" s="50">
        <f t="shared" si="250"/>
        <v>0</v>
      </c>
      <c r="G1001" s="50">
        <f t="shared" si="250"/>
        <v>0</v>
      </c>
      <c r="H1001" s="50">
        <f t="shared" si="250"/>
        <v>0</v>
      </c>
      <c r="I1001" s="50">
        <f t="shared" si="250"/>
        <v>0</v>
      </c>
      <c r="J1001" s="50">
        <f t="shared" si="250"/>
        <v>0</v>
      </c>
      <c r="K1001" s="50">
        <f t="shared" si="250"/>
        <v>0</v>
      </c>
      <c r="L1001" s="50">
        <f t="shared" si="250"/>
        <v>0</v>
      </c>
      <c r="M1001" s="50">
        <f t="shared" si="250"/>
        <v>0</v>
      </c>
      <c r="N1001" s="50">
        <f t="shared" si="250"/>
        <v>0</v>
      </c>
      <c r="O1001" s="68">
        <f t="shared" si="250"/>
        <v>0</v>
      </c>
      <c r="P1001" s="50">
        <f t="shared" si="250"/>
        <v>0</v>
      </c>
      <c r="Q1001" s="68">
        <f t="shared" si="250"/>
        <v>2016.37</v>
      </c>
      <c r="R1001" s="50">
        <f t="shared" si="250"/>
        <v>23849624.359999999</v>
      </c>
      <c r="S1001" s="68">
        <f>SUM(S996:S1000)</f>
        <v>0</v>
      </c>
      <c r="T1001" s="68">
        <f t="shared" si="250"/>
        <v>0</v>
      </c>
      <c r="U1001" s="50">
        <f t="shared" si="250"/>
        <v>0</v>
      </c>
      <c r="V1001" s="50">
        <f t="shared" si="250"/>
        <v>0</v>
      </c>
      <c r="W1001" s="34">
        <f t="shared" si="250"/>
        <v>3303291.19</v>
      </c>
      <c r="X1001" s="9"/>
      <c r="Y1001" s="9"/>
      <c r="Z1001" s="9"/>
      <c r="AA1001" s="9"/>
      <c r="AB1001" s="9"/>
      <c r="AC1001" s="9"/>
      <c r="AD1001" s="40"/>
      <c r="AE1001" s="56"/>
      <c r="AF1001" s="56"/>
      <c r="AG1001" s="56"/>
    </row>
    <row r="1002" spans="1:33" x14ac:dyDescent="0.3">
      <c r="A1002" s="448" t="s">
        <v>2751</v>
      </c>
      <c r="B1002" s="448"/>
      <c r="C1002" s="50"/>
      <c r="D1002" s="51"/>
      <c r="E1002" s="50"/>
      <c r="F1002" s="50"/>
      <c r="G1002" s="50"/>
      <c r="H1002" s="50"/>
      <c r="I1002" s="50"/>
      <c r="J1002" s="50"/>
      <c r="K1002" s="50"/>
      <c r="L1002" s="50"/>
      <c r="M1002" s="50"/>
      <c r="N1002" s="50"/>
      <c r="O1002" s="68"/>
      <c r="P1002" s="50"/>
      <c r="Q1002" s="68"/>
      <c r="R1002" s="50"/>
      <c r="S1002" s="68"/>
      <c r="T1002" s="68"/>
      <c r="U1002" s="50"/>
      <c r="V1002" s="50"/>
      <c r="W1002" s="178"/>
      <c r="X1002" s="9"/>
      <c r="Y1002" s="9"/>
      <c r="Z1002" s="9"/>
      <c r="AA1002" s="9"/>
      <c r="AB1002" s="9"/>
      <c r="AC1002" s="9"/>
      <c r="AD1002" s="40"/>
      <c r="AE1002" s="56"/>
      <c r="AF1002" s="56"/>
      <c r="AG1002" s="56"/>
    </row>
    <row r="1003" spans="1:33" x14ac:dyDescent="0.3">
      <c r="A1003" s="59">
        <f>A1000+1</f>
        <v>754</v>
      </c>
      <c r="B1003" s="66" t="s">
        <v>2752</v>
      </c>
      <c r="C1003" s="50">
        <f>D1003+K1003+L1003+N1003+P1003+R1003+S1003+U1003+V1003+W1003</f>
        <v>114612.96</v>
      </c>
      <c r="D1003" s="51">
        <f t="shared" si="249"/>
        <v>0</v>
      </c>
      <c r="E1003" s="50"/>
      <c r="F1003" s="50"/>
      <c r="G1003" s="50"/>
      <c r="H1003" s="50"/>
      <c r="I1003" s="50"/>
      <c r="J1003" s="50"/>
      <c r="K1003" s="50"/>
      <c r="L1003" s="50"/>
      <c r="M1003" s="50"/>
      <c r="N1003" s="50"/>
      <c r="O1003" s="68"/>
      <c r="P1003" s="50"/>
      <c r="Q1003" s="68"/>
      <c r="R1003" s="50"/>
      <c r="S1003" s="68"/>
      <c r="T1003" s="68"/>
      <c r="U1003" s="50"/>
      <c r="V1003" s="50"/>
      <c r="W1003" s="178">
        <f>SUM(X1003:AH1003)</f>
        <v>114612.96</v>
      </c>
      <c r="X1003" s="9"/>
      <c r="Y1003" s="9">
        <v>114612.96</v>
      </c>
      <c r="Z1003" s="9"/>
      <c r="AA1003" s="9"/>
      <c r="AB1003" s="9"/>
      <c r="AC1003" s="9"/>
      <c r="AD1003" s="40"/>
      <c r="AE1003" s="56"/>
      <c r="AF1003" s="56"/>
      <c r="AG1003" s="56"/>
    </row>
    <row r="1004" spans="1:33" x14ac:dyDescent="0.3">
      <c r="A1004" s="59">
        <f>A1003+1</f>
        <v>755</v>
      </c>
      <c r="B1004" s="66" t="s">
        <v>2753</v>
      </c>
      <c r="C1004" s="50">
        <f>D1004+K1004+L1004+N1004+P1004+R1004+S1004+U1004+V1004+W1004</f>
        <v>334996.51</v>
      </c>
      <c r="D1004" s="51">
        <f t="shared" si="249"/>
        <v>0</v>
      </c>
      <c r="E1004" s="50"/>
      <c r="F1004" s="50"/>
      <c r="G1004" s="50"/>
      <c r="H1004" s="50"/>
      <c r="I1004" s="50"/>
      <c r="J1004" s="50"/>
      <c r="K1004" s="50"/>
      <c r="L1004" s="50"/>
      <c r="M1004" s="50"/>
      <c r="N1004" s="50"/>
      <c r="O1004" s="68"/>
      <c r="P1004" s="50"/>
      <c r="Q1004" s="68"/>
      <c r="R1004" s="50"/>
      <c r="S1004" s="68"/>
      <c r="T1004" s="68"/>
      <c r="U1004" s="50"/>
      <c r="V1004" s="50"/>
      <c r="W1004" s="178">
        <f>SUM(X1004:AH1004)</f>
        <v>334996.51</v>
      </c>
      <c r="X1004" s="9">
        <v>134986.84</v>
      </c>
      <c r="Y1004" s="9"/>
      <c r="Z1004" s="9"/>
      <c r="AA1004" s="9"/>
      <c r="AB1004" s="9">
        <v>112975.97</v>
      </c>
      <c r="AC1004" s="9"/>
      <c r="AD1004" s="40">
        <v>87033.7</v>
      </c>
      <c r="AE1004" s="56"/>
      <c r="AF1004" s="56"/>
      <c r="AG1004" s="56"/>
    </row>
    <row r="1005" spans="1:33" x14ac:dyDescent="0.3">
      <c r="A1005" s="59">
        <f>A1004+1</f>
        <v>756</v>
      </c>
      <c r="B1005" s="66" t="s">
        <v>2754</v>
      </c>
      <c r="C1005" s="50">
        <f>D1005+K1005+L1005+N1005+P1005+R1005+S1005+U1005+V1005+W1005</f>
        <v>437626.4</v>
      </c>
      <c r="D1005" s="51">
        <f t="shared" si="249"/>
        <v>0</v>
      </c>
      <c r="E1005" s="50"/>
      <c r="F1005" s="50"/>
      <c r="G1005" s="50"/>
      <c r="H1005" s="50"/>
      <c r="I1005" s="50"/>
      <c r="J1005" s="50"/>
      <c r="K1005" s="50"/>
      <c r="L1005" s="50"/>
      <c r="M1005" s="50"/>
      <c r="N1005" s="50"/>
      <c r="O1005" s="68"/>
      <c r="P1005" s="50"/>
      <c r="Q1005" s="68"/>
      <c r="R1005" s="50"/>
      <c r="S1005" s="68"/>
      <c r="T1005" s="68"/>
      <c r="U1005" s="50"/>
      <c r="V1005" s="50"/>
      <c r="W1005" s="178">
        <f>SUM(X1005:AH1005)</f>
        <v>437626.4</v>
      </c>
      <c r="X1005" s="9"/>
      <c r="Y1005" s="9"/>
      <c r="Z1005" s="9"/>
      <c r="AA1005" s="9"/>
      <c r="AB1005" s="9">
        <v>105236.41</v>
      </c>
      <c r="AC1005" s="9"/>
      <c r="AD1005" s="40"/>
      <c r="AE1005" s="56">
        <v>332389.99</v>
      </c>
      <c r="AF1005" s="56"/>
      <c r="AG1005" s="56"/>
    </row>
    <row r="1006" spans="1:33" x14ac:dyDescent="0.3">
      <c r="A1006" s="449" t="s">
        <v>211</v>
      </c>
      <c r="B1006" s="449"/>
      <c r="C1006" s="50">
        <f>SUM(C1003:C1005)</f>
        <v>887235.87000000011</v>
      </c>
      <c r="D1006" s="50">
        <f t="shared" ref="D1006:W1006" si="251">SUM(D1003:D1005)</f>
        <v>0</v>
      </c>
      <c r="E1006" s="50">
        <f t="shared" si="251"/>
        <v>0</v>
      </c>
      <c r="F1006" s="50">
        <f t="shared" si="251"/>
        <v>0</v>
      </c>
      <c r="G1006" s="50">
        <f t="shared" si="251"/>
        <v>0</v>
      </c>
      <c r="H1006" s="50">
        <f t="shared" si="251"/>
        <v>0</v>
      </c>
      <c r="I1006" s="50">
        <f t="shared" si="251"/>
        <v>0</v>
      </c>
      <c r="J1006" s="50">
        <f t="shared" si="251"/>
        <v>0</v>
      </c>
      <c r="K1006" s="50">
        <f t="shared" si="251"/>
        <v>0</v>
      </c>
      <c r="L1006" s="50">
        <f t="shared" si="251"/>
        <v>0</v>
      </c>
      <c r="M1006" s="50">
        <f t="shared" si="251"/>
        <v>0</v>
      </c>
      <c r="N1006" s="50">
        <f t="shared" si="251"/>
        <v>0</v>
      </c>
      <c r="O1006" s="68">
        <f t="shared" si="251"/>
        <v>0</v>
      </c>
      <c r="P1006" s="50">
        <f t="shared" si="251"/>
        <v>0</v>
      </c>
      <c r="Q1006" s="68">
        <f t="shared" si="251"/>
        <v>0</v>
      </c>
      <c r="R1006" s="50">
        <f t="shared" si="251"/>
        <v>0</v>
      </c>
      <c r="S1006" s="68">
        <f t="shared" si="251"/>
        <v>0</v>
      </c>
      <c r="T1006" s="68">
        <f t="shared" si="251"/>
        <v>0</v>
      </c>
      <c r="U1006" s="50">
        <f t="shared" si="251"/>
        <v>0</v>
      </c>
      <c r="V1006" s="50">
        <f t="shared" si="251"/>
        <v>0</v>
      </c>
      <c r="W1006" s="34">
        <f t="shared" si="251"/>
        <v>887235.87000000011</v>
      </c>
      <c r="X1006" s="9"/>
      <c r="Y1006" s="9"/>
      <c r="Z1006" s="9"/>
      <c r="AA1006" s="9"/>
      <c r="AB1006" s="9"/>
      <c r="AC1006" s="9"/>
      <c r="AD1006" s="40"/>
      <c r="AE1006" s="56"/>
      <c r="AF1006" s="56"/>
      <c r="AG1006" s="56"/>
    </row>
    <row r="1007" spans="1:33" x14ac:dyDescent="0.3">
      <c r="A1007" s="448" t="s">
        <v>2755</v>
      </c>
      <c r="B1007" s="448"/>
      <c r="C1007" s="50"/>
      <c r="D1007" s="51"/>
      <c r="E1007" s="50"/>
      <c r="F1007" s="50"/>
      <c r="G1007" s="50"/>
      <c r="H1007" s="50"/>
      <c r="I1007" s="50"/>
      <c r="J1007" s="50"/>
      <c r="K1007" s="50"/>
      <c r="L1007" s="50"/>
      <c r="M1007" s="50"/>
      <c r="N1007" s="50"/>
      <c r="O1007" s="68"/>
      <c r="P1007" s="50"/>
      <c r="Q1007" s="68"/>
      <c r="R1007" s="50"/>
      <c r="S1007" s="68"/>
      <c r="T1007" s="68"/>
      <c r="U1007" s="50"/>
      <c r="V1007" s="50"/>
      <c r="W1007" s="178"/>
      <c r="X1007" s="9"/>
      <c r="Y1007" s="9"/>
      <c r="Z1007" s="9"/>
      <c r="AA1007" s="9"/>
      <c r="AB1007" s="9"/>
      <c r="AC1007" s="9"/>
      <c r="AD1007" s="40"/>
      <c r="AE1007" s="56"/>
      <c r="AF1007" s="56"/>
      <c r="AG1007" s="56"/>
    </row>
    <row r="1008" spans="1:33" x14ac:dyDescent="0.3">
      <c r="A1008" s="59">
        <f>A1005+1</f>
        <v>757</v>
      </c>
      <c r="B1008" s="66" t="s">
        <v>2756</v>
      </c>
      <c r="C1008" s="50">
        <f>D1008+K1008+L1008+N1008+P1008+R1008+S1008+U1008+V1008+W1008</f>
        <v>130000</v>
      </c>
      <c r="D1008" s="51">
        <f t="shared" si="249"/>
        <v>0</v>
      </c>
      <c r="E1008" s="50"/>
      <c r="F1008" s="50"/>
      <c r="G1008" s="50"/>
      <c r="H1008" s="50"/>
      <c r="I1008" s="50"/>
      <c r="J1008" s="50"/>
      <c r="K1008" s="50"/>
      <c r="L1008" s="50"/>
      <c r="M1008" s="50"/>
      <c r="N1008" s="50"/>
      <c r="O1008" s="68"/>
      <c r="P1008" s="50"/>
      <c r="Q1008" s="68"/>
      <c r="R1008" s="50"/>
      <c r="S1008" s="68"/>
      <c r="T1008" s="68"/>
      <c r="U1008" s="50"/>
      <c r="V1008" s="50"/>
      <c r="W1008" s="178">
        <v>130000</v>
      </c>
      <c r="X1008" s="9"/>
      <c r="Y1008" s="9"/>
      <c r="Z1008" s="9"/>
      <c r="AA1008" s="9"/>
      <c r="AB1008" s="9"/>
      <c r="AC1008" s="9"/>
      <c r="AD1008" s="40"/>
      <c r="AE1008" s="56"/>
      <c r="AF1008" s="56"/>
      <c r="AG1008" s="56"/>
    </row>
    <row r="1009" spans="1:33" x14ac:dyDescent="0.3">
      <c r="A1009" s="59">
        <f>A1008+1</f>
        <v>758</v>
      </c>
      <c r="B1009" s="66" t="s">
        <v>2757</v>
      </c>
      <c r="C1009" s="50">
        <f>D1009+K1009+L1009+N1009+P1009+R1009+S1009+U1009+V1009+W1009</f>
        <v>130000</v>
      </c>
      <c r="D1009" s="51">
        <f t="shared" si="249"/>
        <v>0</v>
      </c>
      <c r="E1009" s="50"/>
      <c r="F1009" s="50"/>
      <c r="G1009" s="50"/>
      <c r="H1009" s="50"/>
      <c r="I1009" s="50"/>
      <c r="J1009" s="50"/>
      <c r="K1009" s="50"/>
      <c r="L1009" s="50"/>
      <c r="M1009" s="50"/>
      <c r="N1009" s="50"/>
      <c r="O1009" s="68"/>
      <c r="P1009" s="50"/>
      <c r="Q1009" s="68"/>
      <c r="R1009" s="50"/>
      <c r="S1009" s="68"/>
      <c r="T1009" s="68"/>
      <c r="U1009" s="50"/>
      <c r="V1009" s="50"/>
      <c r="W1009" s="178">
        <v>130000</v>
      </c>
      <c r="X1009" s="9"/>
      <c r="Y1009" s="9"/>
      <c r="Z1009" s="9"/>
      <c r="AA1009" s="9"/>
      <c r="AB1009" s="9"/>
      <c r="AC1009" s="9"/>
      <c r="AD1009" s="40"/>
      <c r="AE1009" s="56"/>
      <c r="AF1009" s="56"/>
      <c r="AG1009" s="56"/>
    </row>
    <row r="1010" spans="1:33" x14ac:dyDescent="0.3">
      <c r="A1010" s="449" t="s">
        <v>211</v>
      </c>
      <c r="B1010" s="449"/>
      <c r="C1010" s="50">
        <f t="shared" ref="C1010:R1010" si="252">SUM(C1008:C1009)</f>
        <v>260000</v>
      </c>
      <c r="D1010" s="50">
        <f t="shared" si="252"/>
        <v>0</v>
      </c>
      <c r="E1010" s="50">
        <f t="shared" si="252"/>
        <v>0</v>
      </c>
      <c r="F1010" s="50">
        <f t="shared" si="252"/>
        <v>0</v>
      </c>
      <c r="G1010" s="50">
        <f t="shared" si="252"/>
        <v>0</v>
      </c>
      <c r="H1010" s="50">
        <f t="shared" si="252"/>
        <v>0</v>
      </c>
      <c r="I1010" s="50">
        <f t="shared" si="252"/>
        <v>0</v>
      </c>
      <c r="J1010" s="50">
        <f t="shared" si="252"/>
        <v>0</v>
      </c>
      <c r="K1010" s="50">
        <f t="shared" si="252"/>
        <v>0</v>
      </c>
      <c r="L1010" s="50">
        <f t="shared" si="252"/>
        <v>0</v>
      </c>
      <c r="M1010" s="50">
        <f t="shared" si="252"/>
        <v>0</v>
      </c>
      <c r="N1010" s="50">
        <f t="shared" si="252"/>
        <v>0</v>
      </c>
      <c r="O1010" s="68">
        <f t="shared" si="252"/>
        <v>0</v>
      </c>
      <c r="P1010" s="50">
        <f t="shared" si="252"/>
        <v>0</v>
      </c>
      <c r="Q1010" s="68">
        <f t="shared" si="252"/>
        <v>0</v>
      </c>
      <c r="R1010" s="50">
        <f t="shared" si="252"/>
        <v>0</v>
      </c>
      <c r="S1010" s="68">
        <f>SUM(S1008:S1009)</f>
        <v>0</v>
      </c>
      <c r="T1010" s="68">
        <f>SUM(T1008:T1009)</f>
        <v>0</v>
      </c>
      <c r="U1010" s="50">
        <f>SUM(U1008:U1009)</f>
        <v>0</v>
      </c>
      <c r="V1010" s="50">
        <f>SUM(V1008:V1009)</f>
        <v>0</v>
      </c>
      <c r="W1010" s="34">
        <f>SUM(W1008:W1009)</f>
        <v>260000</v>
      </c>
      <c r="X1010" s="9"/>
      <c r="Y1010" s="9"/>
      <c r="Z1010" s="9"/>
      <c r="AA1010" s="9"/>
      <c r="AB1010" s="9"/>
      <c r="AC1010" s="9"/>
      <c r="AD1010" s="40"/>
      <c r="AE1010" s="56"/>
      <c r="AF1010" s="56"/>
      <c r="AG1010" s="56"/>
    </row>
    <row r="1011" spans="1:33" x14ac:dyDescent="0.3">
      <c r="A1011" s="448" t="s">
        <v>2760</v>
      </c>
      <c r="B1011" s="448"/>
      <c r="C1011" s="50"/>
      <c r="D1011" s="51"/>
      <c r="E1011" s="50"/>
      <c r="F1011" s="50"/>
      <c r="G1011" s="50"/>
      <c r="H1011" s="50"/>
      <c r="I1011" s="50"/>
      <c r="J1011" s="50"/>
      <c r="K1011" s="50"/>
      <c r="L1011" s="50"/>
      <c r="M1011" s="50"/>
      <c r="N1011" s="50"/>
      <c r="O1011" s="68"/>
      <c r="P1011" s="50"/>
      <c r="Q1011" s="68"/>
      <c r="R1011" s="50"/>
      <c r="S1011" s="68"/>
      <c r="T1011" s="68"/>
      <c r="U1011" s="50"/>
      <c r="V1011" s="50"/>
      <c r="W1011" s="178"/>
      <c r="X1011" s="9"/>
      <c r="Y1011" s="9"/>
      <c r="Z1011" s="9"/>
      <c r="AA1011" s="9"/>
      <c r="AB1011" s="9"/>
      <c r="AC1011" s="9"/>
      <c r="AD1011" s="40"/>
      <c r="AE1011" s="56"/>
      <c r="AF1011" s="56"/>
      <c r="AG1011" s="56"/>
    </row>
    <row r="1012" spans="1:33" x14ac:dyDescent="0.3">
      <c r="A1012" s="59">
        <f>A1009+1</f>
        <v>759</v>
      </c>
      <c r="B1012" s="66" t="s">
        <v>2761</v>
      </c>
      <c r="C1012" s="50">
        <f>D1012+K1012+L1012+N1012+P1012+R1012+S1012+U1012+V1012+W1012</f>
        <v>305138.77</v>
      </c>
      <c r="D1012" s="51">
        <f t="shared" si="249"/>
        <v>0</v>
      </c>
      <c r="E1012" s="50"/>
      <c r="F1012" s="50"/>
      <c r="G1012" s="50"/>
      <c r="H1012" s="50"/>
      <c r="I1012" s="50"/>
      <c r="J1012" s="50"/>
      <c r="K1012" s="50"/>
      <c r="L1012" s="50"/>
      <c r="M1012" s="50"/>
      <c r="N1012" s="50"/>
      <c r="O1012" s="68"/>
      <c r="P1012" s="50"/>
      <c r="Q1012" s="68"/>
      <c r="R1012" s="50"/>
      <c r="S1012" s="68"/>
      <c r="T1012" s="68"/>
      <c r="U1012" s="50"/>
      <c r="V1012" s="50"/>
      <c r="W1012" s="178">
        <f>SUM(X1012:AH1012)</f>
        <v>305138.77</v>
      </c>
      <c r="X1012" s="9"/>
      <c r="Y1012" s="9"/>
      <c r="Z1012" s="9"/>
      <c r="AA1012" s="9"/>
      <c r="AB1012" s="9"/>
      <c r="AC1012" s="9">
        <v>305138.77</v>
      </c>
      <c r="AD1012" s="40"/>
      <c r="AE1012" s="56"/>
      <c r="AF1012" s="56"/>
      <c r="AG1012" s="56"/>
    </row>
    <row r="1013" spans="1:33" x14ac:dyDescent="0.3">
      <c r="A1013" s="59">
        <f>A1012+1</f>
        <v>760</v>
      </c>
      <c r="B1013" s="66" t="s">
        <v>2762</v>
      </c>
      <c r="C1013" s="50">
        <f>D1013+K1013+L1013+N1013+P1013+R1013+S1013+U1013+V1013+W1013</f>
        <v>534602.82000000007</v>
      </c>
      <c r="D1013" s="51">
        <f t="shared" si="249"/>
        <v>0</v>
      </c>
      <c r="E1013" s="50"/>
      <c r="F1013" s="50"/>
      <c r="G1013" s="50"/>
      <c r="H1013" s="50"/>
      <c r="I1013" s="50"/>
      <c r="J1013" s="50"/>
      <c r="K1013" s="50"/>
      <c r="L1013" s="50"/>
      <c r="M1013" s="50"/>
      <c r="N1013" s="50"/>
      <c r="O1013" s="68"/>
      <c r="P1013" s="50"/>
      <c r="Q1013" s="68"/>
      <c r="R1013" s="50"/>
      <c r="S1013" s="68"/>
      <c r="T1013" s="68"/>
      <c r="U1013" s="50"/>
      <c r="V1013" s="50"/>
      <c r="W1013" s="178">
        <f>SUM(X1013:AH1013)</f>
        <v>534602.82000000007</v>
      </c>
      <c r="X1013" s="9"/>
      <c r="Y1013" s="9"/>
      <c r="Z1013" s="9"/>
      <c r="AA1013" s="9"/>
      <c r="AB1013" s="9"/>
      <c r="AC1013" s="9">
        <v>196249.94</v>
      </c>
      <c r="AD1013" s="40"/>
      <c r="AE1013" s="56">
        <v>338352.88</v>
      </c>
      <c r="AF1013" s="56"/>
      <c r="AG1013" s="56"/>
    </row>
    <row r="1014" spans="1:33" x14ac:dyDescent="0.3">
      <c r="A1014" s="59">
        <f>A1013+1</f>
        <v>761</v>
      </c>
      <c r="B1014" s="66" t="s">
        <v>2763</v>
      </c>
      <c r="C1014" s="50">
        <f>D1014+K1014+L1014+N1014+P1014+R1014+S1014+U1014+V1014+W1014</f>
        <v>1449226.79</v>
      </c>
      <c r="D1014" s="51">
        <f t="shared" si="249"/>
        <v>0</v>
      </c>
      <c r="E1014" s="50"/>
      <c r="F1014" s="50"/>
      <c r="G1014" s="50"/>
      <c r="H1014" s="50"/>
      <c r="I1014" s="50"/>
      <c r="J1014" s="50"/>
      <c r="K1014" s="50"/>
      <c r="L1014" s="50"/>
      <c r="M1014" s="50"/>
      <c r="N1014" s="50"/>
      <c r="O1014" s="68"/>
      <c r="P1014" s="50"/>
      <c r="Q1014" s="68"/>
      <c r="R1014" s="50"/>
      <c r="S1014" s="68"/>
      <c r="T1014" s="68"/>
      <c r="U1014" s="50"/>
      <c r="V1014" s="50"/>
      <c r="W1014" s="178">
        <f>SUM(X1014:AH1014)</f>
        <v>1449226.79</v>
      </c>
      <c r="X1014" s="9">
        <v>112894.31</v>
      </c>
      <c r="Y1014" s="9">
        <v>92815.76</v>
      </c>
      <c r="Z1014" s="9">
        <v>92815.76</v>
      </c>
      <c r="AA1014" s="9"/>
      <c r="AB1014" s="9">
        <v>91922.05</v>
      </c>
      <c r="AC1014" s="9">
        <v>171372.61</v>
      </c>
      <c r="AD1014" s="40">
        <v>390277.78</v>
      </c>
      <c r="AE1014" s="56">
        <v>334843.08</v>
      </c>
      <c r="AF1014" s="56"/>
      <c r="AG1014" s="56">
        <v>162285.44</v>
      </c>
    </row>
    <row r="1015" spans="1:33" x14ac:dyDescent="0.3">
      <c r="A1015" s="59">
        <f>A1014+1</f>
        <v>762</v>
      </c>
      <c r="B1015" s="66" t="s">
        <v>2764</v>
      </c>
      <c r="C1015" s="50">
        <f>D1015+K1015+L1015+N1015+P1015+R1015+S1015+U1015+V1015+W1015</f>
        <v>1252659.32</v>
      </c>
      <c r="D1015" s="51">
        <f t="shared" si="249"/>
        <v>0</v>
      </c>
      <c r="E1015" s="50"/>
      <c r="F1015" s="50"/>
      <c r="G1015" s="50"/>
      <c r="H1015" s="50"/>
      <c r="I1015" s="50"/>
      <c r="J1015" s="50"/>
      <c r="K1015" s="50"/>
      <c r="L1015" s="50"/>
      <c r="M1015" s="50"/>
      <c r="N1015" s="50"/>
      <c r="O1015" s="68"/>
      <c r="P1015" s="50"/>
      <c r="Q1015" s="68"/>
      <c r="R1015" s="50"/>
      <c r="S1015" s="68"/>
      <c r="T1015" s="68"/>
      <c r="U1015" s="50"/>
      <c r="V1015" s="50"/>
      <c r="W1015" s="178">
        <f>SUM(X1015:AH1015)</f>
        <v>1252659.32</v>
      </c>
      <c r="X1015" s="9"/>
      <c r="Y1015" s="9">
        <v>97132.98</v>
      </c>
      <c r="Z1015" s="9">
        <v>112877.69</v>
      </c>
      <c r="AA1015" s="9"/>
      <c r="AB1015" s="9">
        <v>111228.43</v>
      </c>
      <c r="AC1015" s="9">
        <v>202991.26</v>
      </c>
      <c r="AD1015" s="40">
        <v>185705.63</v>
      </c>
      <c r="AE1015" s="56">
        <v>349469.04</v>
      </c>
      <c r="AF1015" s="56"/>
      <c r="AG1015" s="56">
        <v>193254.29</v>
      </c>
    </row>
    <row r="1016" spans="1:33" x14ac:dyDescent="0.3">
      <c r="A1016" s="449" t="s">
        <v>211</v>
      </c>
      <c r="B1016" s="449"/>
      <c r="C1016" s="50">
        <f>SUM(C1012:C1015)</f>
        <v>3541627.7</v>
      </c>
      <c r="D1016" s="50">
        <f t="shared" ref="D1016:W1016" si="253">SUM(D1012:D1015)</f>
        <v>0</v>
      </c>
      <c r="E1016" s="50">
        <f t="shared" si="253"/>
        <v>0</v>
      </c>
      <c r="F1016" s="50">
        <f t="shared" si="253"/>
        <v>0</v>
      </c>
      <c r="G1016" s="50">
        <f t="shared" si="253"/>
        <v>0</v>
      </c>
      <c r="H1016" s="50">
        <f t="shared" si="253"/>
        <v>0</v>
      </c>
      <c r="I1016" s="50">
        <f t="shared" si="253"/>
        <v>0</v>
      </c>
      <c r="J1016" s="50">
        <f t="shared" si="253"/>
        <v>0</v>
      </c>
      <c r="K1016" s="50">
        <f t="shared" si="253"/>
        <v>0</v>
      </c>
      <c r="L1016" s="50">
        <f t="shared" si="253"/>
        <v>0</v>
      </c>
      <c r="M1016" s="50">
        <f t="shared" si="253"/>
        <v>0</v>
      </c>
      <c r="N1016" s="50">
        <f t="shared" si="253"/>
        <v>0</v>
      </c>
      <c r="O1016" s="68">
        <f t="shared" si="253"/>
        <v>0</v>
      </c>
      <c r="P1016" s="50">
        <f t="shared" si="253"/>
        <v>0</v>
      </c>
      <c r="Q1016" s="68">
        <f t="shared" si="253"/>
        <v>0</v>
      </c>
      <c r="R1016" s="50">
        <f t="shared" si="253"/>
        <v>0</v>
      </c>
      <c r="S1016" s="68">
        <f t="shared" si="253"/>
        <v>0</v>
      </c>
      <c r="T1016" s="68">
        <f t="shared" si="253"/>
        <v>0</v>
      </c>
      <c r="U1016" s="50">
        <f t="shared" si="253"/>
        <v>0</v>
      </c>
      <c r="V1016" s="50">
        <f t="shared" si="253"/>
        <v>0</v>
      </c>
      <c r="W1016" s="34">
        <f t="shared" si="253"/>
        <v>3541627.7</v>
      </c>
      <c r="X1016" s="9"/>
      <c r="Y1016" s="9"/>
      <c r="Z1016" s="9"/>
      <c r="AA1016" s="9"/>
      <c r="AB1016" s="9"/>
      <c r="AC1016" s="9"/>
      <c r="AD1016" s="40"/>
      <c r="AE1016" s="56"/>
      <c r="AF1016" s="56"/>
      <c r="AG1016" s="56"/>
    </row>
    <row r="1017" spans="1:33" x14ac:dyDescent="0.3">
      <c r="A1017" s="448" t="s">
        <v>2765</v>
      </c>
      <c r="B1017" s="448"/>
      <c r="C1017" s="50"/>
      <c r="D1017" s="51"/>
      <c r="E1017" s="50"/>
      <c r="F1017" s="50"/>
      <c r="G1017" s="50"/>
      <c r="H1017" s="50"/>
      <c r="I1017" s="50"/>
      <c r="J1017" s="50"/>
      <c r="K1017" s="50"/>
      <c r="L1017" s="50"/>
      <c r="M1017" s="50"/>
      <c r="N1017" s="50"/>
      <c r="O1017" s="68"/>
      <c r="P1017" s="50"/>
      <c r="Q1017" s="68"/>
      <c r="R1017" s="50"/>
      <c r="S1017" s="68"/>
      <c r="T1017" s="68"/>
      <c r="U1017" s="50"/>
      <c r="V1017" s="50"/>
      <c r="W1017" s="178"/>
      <c r="X1017" s="9"/>
      <c r="Y1017" s="9"/>
      <c r="Z1017" s="9"/>
      <c r="AA1017" s="9"/>
      <c r="AB1017" s="9"/>
      <c r="AC1017" s="9"/>
      <c r="AD1017" s="40"/>
      <c r="AE1017" s="56"/>
      <c r="AF1017" s="56"/>
      <c r="AG1017" s="56"/>
    </row>
    <row r="1018" spans="1:33" x14ac:dyDescent="0.3">
      <c r="A1018" s="59">
        <f>A1015+1</f>
        <v>763</v>
      </c>
      <c r="B1018" s="66" t="s">
        <v>2766</v>
      </c>
      <c r="C1018" s="50">
        <f t="shared" ref="C1018:C1026" si="254">D1018+K1018+L1018+N1018+P1018+R1018+S1018+U1018+V1018+W1018</f>
        <v>91894.28</v>
      </c>
      <c r="D1018" s="51">
        <f t="shared" si="249"/>
        <v>0</v>
      </c>
      <c r="E1018" s="50"/>
      <c r="F1018" s="50"/>
      <c r="G1018" s="50"/>
      <c r="H1018" s="50"/>
      <c r="I1018" s="50"/>
      <c r="J1018" s="50"/>
      <c r="K1018" s="50"/>
      <c r="L1018" s="50"/>
      <c r="M1018" s="50"/>
      <c r="N1018" s="50"/>
      <c r="O1018" s="68"/>
      <c r="P1018" s="50"/>
      <c r="Q1018" s="68"/>
      <c r="R1018" s="50"/>
      <c r="S1018" s="68"/>
      <c r="T1018" s="68"/>
      <c r="U1018" s="50"/>
      <c r="V1018" s="50"/>
      <c r="W1018" s="178">
        <f t="shared" ref="W1018:W1026" si="255">SUM(X1018:AH1018)</f>
        <v>91894.28</v>
      </c>
      <c r="X1018" s="9"/>
      <c r="Y1018" s="9"/>
      <c r="Z1018" s="9"/>
      <c r="AA1018" s="9"/>
      <c r="AB1018" s="9"/>
      <c r="AC1018" s="9"/>
      <c r="AD1018" s="40">
        <v>91894.28</v>
      </c>
      <c r="AE1018" s="56"/>
      <c r="AF1018" s="56"/>
      <c r="AG1018" s="56"/>
    </row>
    <row r="1019" spans="1:33" x14ac:dyDescent="0.3">
      <c r="A1019" s="59">
        <f t="shared" ref="A1019:A1026" si="256">A1018+1</f>
        <v>764</v>
      </c>
      <c r="B1019" s="66" t="s">
        <v>2767</v>
      </c>
      <c r="C1019" s="50">
        <f t="shared" si="254"/>
        <v>315941.87</v>
      </c>
      <c r="D1019" s="51">
        <f t="shared" si="249"/>
        <v>0</v>
      </c>
      <c r="E1019" s="50"/>
      <c r="F1019" s="50"/>
      <c r="G1019" s="50"/>
      <c r="H1019" s="50"/>
      <c r="I1019" s="50"/>
      <c r="J1019" s="50"/>
      <c r="K1019" s="50"/>
      <c r="L1019" s="50"/>
      <c r="M1019" s="50"/>
      <c r="N1019" s="50"/>
      <c r="O1019" s="68"/>
      <c r="P1019" s="50"/>
      <c r="Q1019" s="68"/>
      <c r="R1019" s="50"/>
      <c r="S1019" s="68"/>
      <c r="T1019" s="68"/>
      <c r="U1019" s="50"/>
      <c r="V1019" s="50"/>
      <c r="W1019" s="178">
        <f t="shared" si="255"/>
        <v>315941.87</v>
      </c>
      <c r="X1019" s="9"/>
      <c r="Y1019" s="9"/>
      <c r="Z1019" s="9"/>
      <c r="AA1019" s="9"/>
      <c r="AB1019" s="9">
        <v>118627.84</v>
      </c>
      <c r="AC1019" s="9"/>
      <c r="AD1019" s="40">
        <v>197314.03</v>
      </c>
      <c r="AE1019" s="56"/>
      <c r="AF1019" s="56"/>
      <c r="AG1019" s="56"/>
    </row>
    <row r="1020" spans="1:33" x14ac:dyDescent="0.3">
      <c r="A1020" s="59">
        <f t="shared" si="256"/>
        <v>765</v>
      </c>
      <c r="B1020" s="66" t="s">
        <v>2768</v>
      </c>
      <c r="C1020" s="50">
        <f t="shared" si="254"/>
        <v>116184.34</v>
      </c>
      <c r="D1020" s="51">
        <f t="shared" si="249"/>
        <v>0</v>
      </c>
      <c r="E1020" s="50"/>
      <c r="F1020" s="50"/>
      <c r="G1020" s="50"/>
      <c r="H1020" s="50"/>
      <c r="I1020" s="50"/>
      <c r="J1020" s="50"/>
      <c r="K1020" s="50"/>
      <c r="L1020" s="50"/>
      <c r="M1020" s="50"/>
      <c r="N1020" s="50"/>
      <c r="O1020" s="68"/>
      <c r="P1020" s="50"/>
      <c r="Q1020" s="68"/>
      <c r="R1020" s="50"/>
      <c r="S1020" s="68"/>
      <c r="T1020" s="68"/>
      <c r="U1020" s="50"/>
      <c r="V1020" s="50"/>
      <c r="W1020" s="178">
        <f t="shared" si="255"/>
        <v>116184.34</v>
      </c>
      <c r="X1020" s="9"/>
      <c r="Y1020" s="9"/>
      <c r="Z1020" s="9"/>
      <c r="AA1020" s="9"/>
      <c r="AB1020" s="9">
        <v>116184.34</v>
      </c>
      <c r="AC1020" s="9"/>
      <c r="AD1020" s="40"/>
      <c r="AE1020" s="56"/>
      <c r="AF1020" s="56"/>
      <c r="AG1020" s="56"/>
    </row>
    <row r="1021" spans="1:33" x14ac:dyDescent="0.3">
      <c r="A1021" s="59">
        <f t="shared" si="256"/>
        <v>766</v>
      </c>
      <c r="B1021" s="66" t="s">
        <v>2769</v>
      </c>
      <c r="C1021" s="50">
        <f t="shared" si="254"/>
        <v>307214.63</v>
      </c>
      <c r="D1021" s="51">
        <f t="shared" si="249"/>
        <v>0</v>
      </c>
      <c r="E1021" s="50"/>
      <c r="F1021" s="50"/>
      <c r="G1021" s="50"/>
      <c r="H1021" s="50"/>
      <c r="I1021" s="50"/>
      <c r="J1021" s="50"/>
      <c r="K1021" s="50"/>
      <c r="L1021" s="50"/>
      <c r="M1021" s="50"/>
      <c r="N1021" s="50"/>
      <c r="O1021" s="68"/>
      <c r="P1021" s="50"/>
      <c r="Q1021" s="68"/>
      <c r="R1021" s="50"/>
      <c r="S1021" s="68"/>
      <c r="T1021" s="68"/>
      <c r="U1021" s="50"/>
      <c r="V1021" s="50"/>
      <c r="W1021" s="178">
        <f t="shared" si="255"/>
        <v>307214.63</v>
      </c>
      <c r="X1021" s="9"/>
      <c r="Y1021" s="9"/>
      <c r="Z1021" s="9"/>
      <c r="AA1021" s="9"/>
      <c r="AB1021" s="9">
        <v>115344.67</v>
      </c>
      <c r="AC1021" s="9"/>
      <c r="AD1021" s="40">
        <v>191869.96</v>
      </c>
      <c r="AE1021" s="56"/>
      <c r="AF1021" s="56"/>
      <c r="AG1021" s="56"/>
    </row>
    <row r="1022" spans="1:33" x14ac:dyDescent="0.3">
      <c r="A1022" s="59">
        <f t="shared" si="256"/>
        <v>767</v>
      </c>
      <c r="B1022" s="66" t="s">
        <v>2770</v>
      </c>
      <c r="C1022" s="50">
        <f t="shared" si="254"/>
        <v>309273.20999999996</v>
      </c>
      <c r="D1022" s="51">
        <f t="shared" si="249"/>
        <v>0</v>
      </c>
      <c r="E1022" s="50"/>
      <c r="F1022" s="50"/>
      <c r="G1022" s="50"/>
      <c r="H1022" s="50"/>
      <c r="I1022" s="50"/>
      <c r="J1022" s="50"/>
      <c r="K1022" s="50"/>
      <c r="L1022" s="50"/>
      <c r="M1022" s="50"/>
      <c r="N1022" s="50"/>
      <c r="O1022" s="68"/>
      <c r="P1022" s="50"/>
      <c r="Q1022" s="68"/>
      <c r="R1022" s="50"/>
      <c r="S1022" s="68"/>
      <c r="T1022" s="68"/>
      <c r="U1022" s="50"/>
      <c r="V1022" s="50"/>
      <c r="W1022" s="178">
        <f t="shared" si="255"/>
        <v>309273.20999999996</v>
      </c>
      <c r="X1022" s="9"/>
      <c r="Y1022" s="9"/>
      <c r="Z1022" s="9"/>
      <c r="AA1022" s="9"/>
      <c r="AB1022" s="9">
        <v>116170.4</v>
      </c>
      <c r="AC1022" s="9"/>
      <c r="AD1022" s="40">
        <v>193102.81</v>
      </c>
      <c r="AE1022" s="56"/>
      <c r="AF1022" s="56"/>
      <c r="AG1022" s="56"/>
    </row>
    <row r="1023" spans="1:33" x14ac:dyDescent="0.3">
      <c r="A1023" s="59">
        <f t="shared" si="256"/>
        <v>768</v>
      </c>
      <c r="B1023" s="66" t="s">
        <v>2771</v>
      </c>
      <c r="C1023" s="50">
        <f t="shared" si="254"/>
        <v>306226</v>
      </c>
      <c r="D1023" s="51">
        <f t="shared" si="249"/>
        <v>0</v>
      </c>
      <c r="E1023" s="50"/>
      <c r="F1023" s="50"/>
      <c r="G1023" s="50"/>
      <c r="H1023" s="50"/>
      <c r="I1023" s="50"/>
      <c r="J1023" s="50"/>
      <c r="K1023" s="50"/>
      <c r="L1023" s="50"/>
      <c r="M1023" s="50"/>
      <c r="N1023" s="50"/>
      <c r="O1023" s="68"/>
      <c r="P1023" s="50"/>
      <c r="Q1023" s="68"/>
      <c r="R1023" s="50"/>
      <c r="S1023" s="68"/>
      <c r="T1023" s="68"/>
      <c r="U1023" s="50"/>
      <c r="V1023" s="50"/>
      <c r="W1023" s="178">
        <f t="shared" si="255"/>
        <v>306226</v>
      </c>
      <c r="X1023" s="9"/>
      <c r="Y1023" s="9"/>
      <c r="Z1023" s="9"/>
      <c r="AA1023" s="9"/>
      <c r="AB1023" s="9">
        <v>114947.82</v>
      </c>
      <c r="AC1023" s="9"/>
      <c r="AD1023" s="40">
        <v>191278.18</v>
      </c>
      <c r="AE1023" s="56"/>
      <c r="AF1023" s="56"/>
      <c r="AG1023" s="56"/>
    </row>
    <row r="1024" spans="1:33" x14ac:dyDescent="0.3">
      <c r="A1024" s="59">
        <f t="shared" si="256"/>
        <v>769</v>
      </c>
      <c r="B1024" s="66" t="s">
        <v>2772</v>
      </c>
      <c r="C1024" s="50">
        <f t="shared" si="254"/>
        <v>1230127.02</v>
      </c>
      <c r="D1024" s="51">
        <f t="shared" si="249"/>
        <v>0</v>
      </c>
      <c r="E1024" s="50"/>
      <c r="F1024" s="50"/>
      <c r="G1024" s="50"/>
      <c r="H1024" s="50"/>
      <c r="I1024" s="50"/>
      <c r="J1024" s="50"/>
      <c r="K1024" s="50"/>
      <c r="L1024" s="50"/>
      <c r="M1024" s="50"/>
      <c r="N1024" s="50"/>
      <c r="O1024" s="68"/>
      <c r="P1024" s="50"/>
      <c r="Q1024" s="68"/>
      <c r="R1024" s="50"/>
      <c r="S1024" s="68"/>
      <c r="T1024" s="68"/>
      <c r="U1024" s="50"/>
      <c r="V1024" s="50"/>
      <c r="W1024" s="178">
        <f t="shared" si="255"/>
        <v>1230127.02</v>
      </c>
      <c r="X1024" s="9"/>
      <c r="Y1024" s="9"/>
      <c r="Z1024" s="9"/>
      <c r="AA1024" s="9"/>
      <c r="AB1024" s="9"/>
      <c r="AC1024" s="9"/>
      <c r="AD1024" s="40">
        <v>213279.52</v>
      </c>
      <c r="AE1024" s="56">
        <v>1016847.5</v>
      </c>
      <c r="AF1024" s="56"/>
      <c r="AG1024" s="56"/>
    </row>
    <row r="1025" spans="1:35" x14ac:dyDescent="0.3">
      <c r="A1025" s="59">
        <f t="shared" si="256"/>
        <v>770</v>
      </c>
      <c r="B1025" s="66" t="s">
        <v>2773</v>
      </c>
      <c r="C1025" s="50">
        <f t="shared" si="254"/>
        <v>617906.37</v>
      </c>
      <c r="D1025" s="51">
        <f t="shared" si="249"/>
        <v>0</v>
      </c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68"/>
      <c r="P1025" s="50"/>
      <c r="Q1025" s="68"/>
      <c r="R1025" s="50"/>
      <c r="S1025" s="68"/>
      <c r="T1025" s="68"/>
      <c r="U1025" s="50"/>
      <c r="V1025" s="50"/>
      <c r="W1025" s="178">
        <f t="shared" si="255"/>
        <v>617906.37</v>
      </c>
      <c r="X1025" s="9"/>
      <c r="Y1025" s="9"/>
      <c r="Z1025" s="9"/>
      <c r="AA1025" s="9"/>
      <c r="AB1025" s="9"/>
      <c r="AC1025" s="9"/>
      <c r="AD1025" s="40">
        <v>112305.02</v>
      </c>
      <c r="AE1025" s="56">
        <v>505601.35</v>
      </c>
      <c r="AF1025" s="56"/>
      <c r="AG1025" s="56"/>
    </row>
    <row r="1026" spans="1:35" x14ac:dyDescent="0.3">
      <c r="A1026" s="59">
        <f t="shared" si="256"/>
        <v>771</v>
      </c>
      <c r="B1026" s="66" t="s">
        <v>2777</v>
      </c>
      <c r="C1026" s="50">
        <f t="shared" si="254"/>
        <v>204020.46</v>
      </c>
      <c r="D1026" s="51">
        <f t="shared" si="249"/>
        <v>0</v>
      </c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68"/>
      <c r="P1026" s="50"/>
      <c r="Q1026" s="68"/>
      <c r="R1026" s="50"/>
      <c r="S1026" s="68"/>
      <c r="T1026" s="68"/>
      <c r="U1026" s="50"/>
      <c r="V1026" s="50"/>
      <c r="W1026" s="178">
        <f t="shared" si="255"/>
        <v>204020.46</v>
      </c>
      <c r="X1026" s="9"/>
      <c r="Y1026" s="9"/>
      <c r="Z1026" s="9"/>
      <c r="AA1026" s="9"/>
      <c r="AB1026" s="9"/>
      <c r="AC1026" s="9"/>
      <c r="AD1026" s="40"/>
      <c r="AE1026" s="56"/>
      <c r="AF1026" s="56"/>
      <c r="AG1026" s="56">
        <v>204020.46</v>
      </c>
    </row>
    <row r="1027" spans="1:35" x14ac:dyDescent="0.3">
      <c r="A1027" s="449" t="s">
        <v>211</v>
      </c>
      <c r="B1027" s="449"/>
      <c r="C1027" s="50">
        <f t="shared" ref="C1027:R1027" si="257">SUM(C1018:C1026)</f>
        <v>3498788.18</v>
      </c>
      <c r="D1027" s="50">
        <f t="shared" si="257"/>
        <v>0</v>
      </c>
      <c r="E1027" s="50">
        <f t="shared" si="257"/>
        <v>0</v>
      </c>
      <c r="F1027" s="50">
        <f t="shared" si="257"/>
        <v>0</v>
      </c>
      <c r="G1027" s="50">
        <f t="shared" si="257"/>
        <v>0</v>
      </c>
      <c r="H1027" s="50">
        <f t="shared" si="257"/>
        <v>0</v>
      </c>
      <c r="I1027" s="50">
        <f t="shared" si="257"/>
        <v>0</v>
      </c>
      <c r="J1027" s="50">
        <f t="shared" si="257"/>
        <v>0</v>
      </c>
      <c r="K1027" s="50">
        <f t="shared" si="257"/>
        <v>0</v>
      </c>
      <c r="L1027" s="50">
        <f t="shared" si="257"/>
        <v>0</v>
      </c>
      <c r="M1027" s="50">
        <f t="shared" si="257"/>
        <v>0</v>
      </c>
      <c r="N1027" s="50">
        <f t="shared" si="257"/>
        <v>0</v>
      </c>
      <c r="O1027" s="68">
        <f t="shared" si="257"/>
        <v>0</v>
      </c>
      <c r="P1027" s="50">
        <f t="shared" si="257"/>
        <v>0</v>
      </c>
      <c r="Q1027" s="68">
        <f t="shared" si="257"/>
        <v>0</v>
      </c>
      <c r="R1027" s="50">
        <f t="shared" si="257"/>
        <v>0</v>
      </c>
      <c r="S1027" s="68">
        <f>SUM(S1018:S1026)</f>
        <v>0</v>
      </c>
      <c r="T1027" s="68">
        <f>SUM(T1018:T1026)</f>
        <v>0</v>
      </c>
      <c r="U1027" s="50">
        <f>SUM(U1018:U1026)</f>
        <v>0</v>
      </c>
      <c r="V1027" s="50">
        <f>SUM(V1018:V1026)</f>
        <v>0</v>
      </c>
      <c r="W1027" s="34">
        <f>SUM(W1018:W1026)</f>
        <v>3498788.18</v>
      </c>
      <c r="X1027" s="9"/>
      <c r="Y1027" s="9"/>
      <c r="Z1027" s="9"/>
      <c r="AA1027" s="9"/>
      <c r="AB1027" s="9"/>
      <c r="AC1027" s="9"/>
      <c r="AD1027" s="40"/>
      <c r="AE1027" s="56"/>
      <c r="AF1027" s="56"/>
      <c r="AG1027" s="56"/>
    </row>
    <row r="1028" spans="1:35" x14ac:dyDescent="0.3">
      <c r="A1028" s="448" t="s">
        <v>2827</v>
      </c>
      <c r="B1028" s="448"/>
      <c r="C1028" s="50"/>
      <c r="D1028" s="51"/>
      <c r="E1028" s="50"/>
      <c r="F1028" s="50"/>
      <c r="G1028" s="50"/>
      <c r="H1028" s="50"/>
      <c r="I1028" s="50"/>
      <c r="J1028" s="50"/>
      <c r="K1028" s="50"/>
      <c r="L1028" s="50"/>
      <c r="M1028" s="50"/>
      <c r="N1028" s="50"/>
      <c r="O1028" s="68"/>
      <c r="P1028" s="50"/>
      <c r="Q1028" s="68"/>
      <c r="R1028" s="50"/>
      <c r="S1028" s="68"/>
      <c r="T1028" s="68"/>
      <c r="U1028" s="50"/>
      <c r="V1028" s="50"/>
      <c r="W1028" s="178"/>
      <c r="X1028" s="9"/>
      <c r="Y1028" s="9"/>
      <c r="Z1028" s="9"/>
      <c r="AA1028" s="9"/>
      <c r="AB1028" s="9"/>
      <c r="AC1028" s="9"/>
      <c r="AD1028" s="40"/>
      <c r="AE1028" s="56"/>
      <c r="AF1028" s="56"/>
      <c r="AG1028" s="56"/>
    </row>
    <row r="1029" spans="1:35" x14ac:dyDescent="0.3">
      <c r="A1029" s="59">
        <f>A1026+1</f>
        <v>772</v>
      </c>
      <c r="B1029" s="66" t="s">
        <v>2828</v>
      </c>
      <c r="C1029" s="50">
        <f>D1029+K1029+L1029+N1029+P1029+R1029+S1029+U1029+V1029+W1029</f>
        <v>2096895.6</v>
      </c>
      <c r="D1029" s="51">
        <f t="shared" ref="D1029:D1031" si="258">E1029+F1029+G1029+H1029+I1029</f>
        <v>0</v>
      </c>
      <c r="E1029" s="50"/>
      <c r="F1029" s="50"/>
      <c r="G1029" s="50"/>
      <c r="H1029" s="50"/>
      <c r="I1029" s="50"/>
      <c r="J1029" s="50"/>
      <c r="K1029" s="50"/>
      <c r="L1029" s="50"/>
      <c r="M1029" s="50"/>
      <c r="N1029" s="50"/>
      <c r="O1029" s="68"/>
      <c r="P1029" s="50"/>
      <c r="Q1029" s="68">
        <v>600.5</v>
      </c>
      <c r="R1029" s="50">
        <v>2096895.6</v>
      </c>
      <c r="S1029" s="68"/>
      <c r="T1029" s="68"/>
      <c r="U1029" s="50"/>
      <c r="V1029" s="50"/>
      <c r="W1029" s="178"/>
      <c r="X1029" s="9"/>
      <c r="Y1029" s="9"/>
      <c r="Z1029" s="9"/>
      <c r="AA1029" s="9"/>
      <c r="AB1029" s="9"/>
      <c r="AC1029" s="9"/>
      <c r="AD1029" s="40"/>
      <c r="AE1029" s="56"/>
      <c r="AF1029" s="56"/>
      <c r="AG1029" s="56"/>
    </row>
    <row r="1030" spans="1:35" x14ac:dyDescent="0.3">
      <c r="A1030" s="59">
        <f>A1029+1</f>
        <v>773</v>
      </c>
      <c r="B1030" s="66" t="s">
        <v>2829</v>
      </c>
      <c r="C1030" s="50">
        <f>D1030+K1030+L1030+N1030+P1030+R1030+S1030+U1030+V1030+W1030</f>
        <v>2096895.6</v>
      </c>
      <c r="D1030" s="51">
        <f t="shared" si="258"/>
        <v>0</v>
      </c>
      <c r="E1030" s="50"/>
      <c r="F1030" s="50"/>
      <c r="G1030" s="50"/>
      <c r="H1030" s="50"/>
      <c r="I1030" s="50"/>
      <c r="J1030" s="50"/>
      <c r="K1030" s="50"/>
      <c r="L1030" s="50"/>
      <c r="M1030" s="50"/>
      <c r="N1030" s="50"/>
      <c r="O1030" s="68"/>
      <c r="P1030" s="50"/>
      <c r="Q1030" s="68">
        <v>600.5</v>
      </c>
      <c r="R1030" s="50">
        <v>2096895.6</v>
      </c>
      <c r="S1030" s="68"/>
      <c r="T1030" s="68"/>
      <c r="U1030" s="50"/>
      <c r="V1030" s="50"/>
      <c r="W1030" s="178"/>
      <c r="X1030" s="9"/>
      <c r="Y1030" s="9"/>
      <c r="Z1030" s="9"/>
      <c r="AA1030" s="9"/>
      <c r="AB1030" s="9"/>
      <c r="AC1030" s="9"/>
      <c r="AD1030" s="40"/>
      <c r="AE1030" s="56"/>
      <c r="AF1030" s="56"/>
      <c r="AG1030" s="56"/>
    </row>
    <row r="1031" spans="1:35" x14ac:dyDescent="0.3">
      <c r="A1031" s="59">
        <f>A1030+1</f>
        <v>774</v>
      </c>
      <c r="B1031" s="66" t="s">
        <v>2832</v>
      </c>
      <c r="C1031" s="50">
        <f>D1031+K1031+L1031+N1031+P1031+R1031+S1031+U1031+V1031+W1031</f>
        <v>2096895.6</v>
      </c>
      <c r="D1031" s="51">
        <f t="shared" si="258"/>
        <v>0</v>
      </c>
      <c r="E1031" s="50"/>
      <c r="F1031" s="50"/>
      <c r="G1031" s="50"/>
      <c r="H1031" s="50"/>
      <c r="I1031" s="50"/>
      <c r="J1031" s="50"/>
      <c r="K1031" s="50"/>
      <c r="L1031" s="50"/>
      <c r="M1031" s="50"/>
      <c r="N1031" s="50"/>
      <c r="O1031" s="68"/>
      <c r="P1031" s="50"/>
      <c r="Q1031" s="68">
        <v>63.8</v>
      </c>
      <c r="R1031" s="50">
        <v>2096895.6</v>
      </c>
      <c r="S1031" s="68"/>
      <c r="T1031" s="68"/>
      <c r="U1031" s="50"/>
      <c r="V1031" s="50"/>
      <c r="W1031" s="178"/>
      <c r="X1031" s="9"/>
      <c r="Y1031" s="9"/>
      <c r="Z1031" s="9"/>
      <c r="AA1031" s="9"/>
      <c r="AB1031" s="9"/>
      <c r="AC1031" s="9">
        <v>187343.08</v>
      </c>
      <c r="AD1031" s="40">
        <v>255849.06</v>
      </c>
      <c r="AE1031" s="56"/>
      <c r="AF1031" s="56"/>
      <c r="AG1031" s="56"/>
    </row>
    <row r="1032" spans="1:35" x14ac:dyDescent="0.3">
      <c r="A1032" s="449" t="s">
        <v>211</v>
      </c>
      <c r="B1032" s="449"/>
      <c r="C1032" s="50">
        <f t="shared" ref="C1032:R1032" si="259">SUM(C1029:C1031)</f>
        <v>6290686.8000000007</v>
      </c>
      <c r="D1032" s="50">
        <f t="shared" si="259"/>
        <v>0</v>
      </c>
      <c r="E1032" s="50">
        <f t="shared" si="259"/>
        <v>0</v>
      </c>
      <c r="F1032" s="50">
        <f t="shared" si="259"/>
        <v>0</v>
      </c>
      <c r="G1032" s="50">
        <f t="shared" si="259"/>
        <v>0</v>
      </c>
      <c r="H1032" s="50">
        <f t="shared" si="259"/>
        <v>0</v>
      </c>
      <c r="I1032" s="50">
        <f t="shared" si="259"/>
        <v>0</v>
      </c>
      <c r="J1032" s="50">
        <f t="shared" si="259"/>
        <v>0</v>
      </c>
      <c r="K1032" s="50">
        <f t="shared" si="259"/>
        <v>0</v>
      </c>
      <c r="L1032" s="50">
        <f t="shared" si="259"/>
        <v>0</v>
      </c>
      <c r="M1032" s="50">
        <f t="shared" si="259"/>
        <v>0</v>
      </c>
      <c r="N1032" s="50">
        <f t="shared" si="259"/>
        <v>0</v>
      </c>
      <c r="O1032" s="68">
        <f t="shared" si="259"/>
        <v>0</v>
      </c>
      <c r="P1032" s="50">
        <f t="shared" si="259"/>
        <v>0</v>
      </c>
      <c r="Q1032" s="68">
        <f t="shared" si="259"/>
        <v>1264.8</v>
      </c>
      <c r="R1032" s="50">
        <f t="shared" si="259"/>
        <v>6290686.8000000007</v>
      </c>
      <c r="S1032" s="68">
        <f>SUM(S1029:S1031)</f>
        <v>0</v>
      </c>
      <c r="T1032" s="68">
        <f>SUM(T1029:T1031)</f>
        <v>0</v>
      </c>
      <c r="U1032" s="50">
        <f>SUM(U1029:U1031)</f>
        <v>0</v>
      </c>
      <c r="V1032" s="50">
        <f>SUM(V1029:V1031)</f>
        <v>0</v>
      </c>
      <c r="W1032" s="34">
        <f>SUM(W1029:W1031)</f>
        <v>0</v>
      </c>
      <c r="X1032" s="9"/>
      <c r="Y1032" s="9"/>
      <c r="Z1032" s="9"/>
      <c r="AA1032" s="9"/>
      <c r="AB1032" s="9"/>
      <c r="AC1032" s="9"/>
      <c r="AD1032" s="40"/>
      <c r="AE1032" s="56"/>
      <c r="AF1032" s="56"/>
      <c r="AG1032" s="56"/>
    </row>
    <row r="1033" spans="1:35" x14ac:dyDescent="0.3">
      <c r="A1033" s="448" t="s">
        <v>2857</v>
      </c>
      <c r="B1033" s="448"/>
      <c r="C1033" s="50"/>
      <c r="D1033" s="51"/>
      <c r="E1033" s="50"/>
      <c r="F1033" s="50"/>
      <c r="G1033" s="50"/>
      <c r="H1033" s="50"/>
      <c r="I1033" s="50"/>
      <c r="J1033" s="50"/>
      <c r="K1033" s="50"/>
      <c r="L1033" s="50"/>
      <c r="M1033" s="50"/>
      <c r="N1033" s="50"/>
      <c r="O1033" s="68"/>
      <c r="P1033" s="50"/>
      <c r="Q1033" s="68"/>
      <c r="R1033" s="50"/>
      <c r="S1033" s="68"/>
      <c r="T1033" s="68"/>
      <c r="U1033" s="50"/>
      <c r="V1033" s="50"/>
      <c r="W1033" s="178"/>
      <c r="X1033" s="9"/>
      <c r="Y1033" s="9"/>
      <c r="Z1033" s="9"/>
      <c r="AA1033" s="9"/>
      <c r="AB1033" s="9"/>
      <c r="AC1033" s="9"/>
      <c r="AD1033" s="40"/>
      <c r="AE1033" s="56"/>
      <c r="AF1033" s="56"/>
      <c r="AG1033" s="56"/>
    </row>
    <row r="1034" spans="1:35" x14ac:dyDescent="0.3">
      <c r="A1034" s="59">
        <f>A1031+1</f>
        <v>775</v>
      </c>
      <c r="B1034" s="66" t="s">
        <v>2877</v>
      </c>
      <c r="C1034" s="50">
        <f>D1034+K1034+L1034+N1034+P1034+R1034+S1034+U1034+V1034+W1034</f>
        <v>389668</v>
      </c>
      <c r="D1034" s="51">
        <f>E1034+F1034+G1034+H1034+I1034</f>
        <v>389668</v>
      </c>
      <c r="E1034" s="50"/>
      <c r="F1034" s="50"/>
      <c r="G1034" s="50"/>
      <c r="H1034" s="50"/>
      <c r="I1034" s="50">
        <v>389668</v>
      </c>
      <c r="J1034" s="50"/>
      <c r="K1034" s="50"/>
      <c r="L1034" s="50"/>
      <c r="M1034" s="50"/>
      <c r="N1034" s="50"/>
      <c r="O1034" s="68"/>
      <c r="P1034" s="50"/>
      <c r="Q1034" s="68"/>
      <c r="R1034" s="50"/>
      <c r="S1034" s="68"/>
      <c r="T1034" s="68"/>
      <c r="U1034" s="50"/>
      <c r="V1034" s="50"/>
      <c r="W1034" s="178"/>
      <c r="X1034" s="9"/>
      <c r="Y1034" s="9"/>
      <c r="Z1034" s="9">
        <v>104299.67</v>
      </c>
      <c r="AA1034" s="9"/>
      <c r="AB1034" s="9"/>
      <c r="AC1034" s="9"/>
      <c r="AD1034" s="40"/>
      <c r="AE1034" s="56"/>
      <c r="AF1034" s="56"/>
      <c r="AG1034" s="56"/>
    </row>
    <row r="1035" spans="1:35" x14ac:dyDescent="0.3">
      <c r="A1035" s="59">
        <f>A1034+1</f>
        <v>776</v>
      </c>
      <c r="B1035" s="66" t="s">
        <v>2878</v>
      </c>
      <c r="C1035" s="50">
        <f>D1035+K1035+L1035+N1035+P1035+R1035+S1035+U1035+V1035+W1035</f>
        <v>76656</v>
      </c>
      <c r="D1035" s="51">
        <f>E1035+F1035+G1035+H1035+I1035</f>
        <v>76656</v>
      </c>
      <c r="E1035" s="50"/>
      <c r="F1035" s="50"/>
      <c r="G1035" s="50"/>
      <c r="H1035" s="50"/>
      <c r="I1035" s="50">
        <v>76656</v>
      </c>
      <c r="J1035" s="50"/>
      <c r="K1035" s="50"/>
      <c r="L1035" s="50"/>
      <c r="M1035" s="50"/>
      <c r="N1035" s="50"/>
      <c r="O1035" s="68"/>
      <c r="P1035" s="50"/>
      <c r="Q1035" s="68"/>
      <c r="R1035" s="50"/>
      <c r="S1035" s="68"/>
      <c r="T1035" s="68"/>
      <c r="U1035" s="50"/>
      <c r="V1035" s="50"/>
      <c r="W1035" s="178"/>
      <c r="X1035" s="9"/>
      <c r="Y1035" s="9"/>
      <c r="Z1035" s="9">
        <v>49477.96</v>
      </c>
      <c r="AA1035" s="9"/>
      <c r="AB1035" s="9"/>
      <c r="AC1035" s="9"/>
      <c r="AD1035" s="40"/>
      <c r="AE1035" s="56"/>
      <c r="AF1035" s="56"/>
      <c r="AG1035" s="56"/>
    </row>
    <row r="1036" spans="1:35" x14ac:dyDescent="0.3">
      <c r="A1036" s="59">
        <f>A1035+1</f>
        <v>777</v>
      </c>
      <c r="B1036" s="66" t="s">
        <v>2879</v>
      </c>
      <c r="C1036" s="50">
        <f>D1036+K1036+L1036+N1036+P1036+R1036+S1036+U1036+V1036+W1036</f>
        <v>25895712</v>
      </c>
      <c r="D1036" s="51">
        <f>E1036+F1036+G1036+H1036+I1036</f>
        <v>0</v>
      </c>
      <c r="E1036" s="50"/>
      <c r="F1036" s="50"/>
      <c r="G1036" s="50"/>
      <c r="H1036" s="50"/>
      <c r="I1036" s="50"/>
      <c r="J1036" s="50"/>
      <c r="K1036" s="50"/>
      <c r="L1036" s="50"/>
      <c r="M1036" s="51">
        <v>624</v>
      </c>
      <c r="N1036" s="50">
        <f>624*6243</f>
        <v>3895632</v>
      </c>
      <c r="O1036" s="68"/>
      <c r="P1036" s="50"/>
      <c r="Q1036" s="68">
        <v>1860</v>
      </c>
      <c r="R1036" s="50">
        <f>1860*(8187+3641)</f>
        <v>22000080</v>
      </c>
      <c r="S1036" s="68"/>
      <c r="T1036" s="68"/>
      <c r="U1036" s="50"/>
      <c r="V1036" s="50"/>
      <c r="W1036" s="178"/>
      <c r="X1036" s="9"/>
      <c r="Y1036" s="9"/>
      <c r="Z1036" s="9"/>
      <c r="AA1036" s="9"/>
      <c r="AB1036" s="9"/>
      <c r="AC1036" s="9">
        <v>318772.62</v>
      </c>
      <c r="AD1036" s="40">
        <v>98105.02</v>
      </c>
      <c r="AE1036" s="56">
        <v>718522.52</v>
      </c>
      <c r="AF1036" s="56"/>
      <c r="AG1036" s="56"/>
      <c r="AH1036" s="152">
        <f>AC1036+AD1036+AE1036</f>
        <v>1135400.1600000001</v>
      </c>
    </row>
    <row r="1037" spans="1:35" x14ac:dyDescent="0.3">
      <c r="A1037" s="59">
        <f>A1036+1</f>
        <v>778</v>
      </c>
      <c r="B1037" s="66" t="s">
        <v>2880</v>
      </c>
      <c r="C1037" s="50">
        <f>D1037+K1037+L1037+N1037+P1037+R1037+S1037+U1037+V1037+W1037</f>
        <v>25895712</v>
      </c>
      <c r="D1037" s="51">
        <f>E1037+F1037+G1037+H1037+I1037</f>
        <v>0</v>
      </c>
      <c r="E1037" s="50"/>
      <c r="F1037" s="50"/>
      <c r="G1037" s="50"/>
      <c r="H1037" s="50"/>
      <c r="I1037" s="50"/>
      <c r="J1037" s="50"/>
      <c r="K1037" s="50"/>
      <c r="L1037" s="50"/>
      <c r="M1037" s="51">
        <v>624</v>
      </c>
      <c r="N1037" s="50">
        <f>624*6243</f>
        <v>3895632</v>
      </c>
      <c r="O1037" s="68"/>
      <c r="P1037" s="50"/>
      <c r="Q1037" s="68">
        <v>1860</v>
      </c>
      <c r="R1037" s="50">
        <f>1860*(8187+3641)</f>
        <v>22000080</v>
      </c>
      <c r="S1037" s="68"/>
      <c r="T1037" s="68"/>
      <c r="U1037" s="50"/>
      <c r="V1037" s="50"/>
      <c r="W1037" s="178"/>
      <c r="X1037" s="9"/>
      <c r="Y1037" s="9"/>
      <c r="Z1037" s="9"/>
      <c r="AA1037" s="9"/>
      <c r="AB1037" s="9"/>
      <c r="AC1037" s="9">
        <v>318772.62</v>
      </c>
      <c r="AD1037" s="40">
        <v>147157.51999999999</v>
      </c>
      <c r="AE1037" s="56">
        <v>718522.52</v>
      </c>
      <c r="AF1037" s="56"/>
      <c r="AG1037" s="56"/>
      <c r="AH1037" s="152">
        <f>AC1037+AD1037+AE1037</f>
        <v>1184452.6600000001</v>
      </c>
    </row>
    <row r="1038" spans="1:35" x14ac:dyDescent="0.3">
      <c r="A1038" s="449" t="s">
        <v>211</v>
      </c>
      <c r="B1038" s="449"/>
      <c r="C1038" s="50">
        <f t="shared" ref="C1038:W1038" si="260">SUM(C1034:C1037)</f>
        <v>52257748</v>
      </c>
      <c r="D1038" s="50">
        <f t="shared" si="260"/>
        <v>466324</v>
      </c>
      <c r="E1038" s="50">
        <f t="shared" si="260"/>
        <v>0</v>
      </c>
      <c r="F1038" s="50">
        <f t="shared" si="260"/>
        <v>0</v>
      </c>
      <c r="G1038" s="50">
        <f t="shared" si="260"/>
        <v>0</v>
      </c>
      <c r="H1038" s="50">
        <f t="shared" si="260"/>
        <v>0</v>
      </c>
      <c r="I1038" s="50">
        <f t="shared" si="260"/>
        <v>466324</v>
      </c>
      <c r="J1038" s="50">
        <f t="shared" si="260"/>
        <v>0</v>
      </c>
      <c r="K1038" s="50">
        <f t="shared" si="260"/>
        <v>0</v>
      </c>
      <c r="L1038" s="50">
        <f t="shared" si="260"/>
        <v>0</v>
      </c>
      <c r="M1038" s="51">
        <f t="shared" si="260"/>
        <v>1248</v>
      </c>
      <c r="N1038" s="50">
        <f t="shared" si="260"/>
        <v>7791264</v>
      </c>
      <c r="O1038" s="68">
        <f t="shared" si="260"/>
        <v>0</v>
      </c>
      <c r="P1038" s="50">
        <f t="shared" si="260"/>
        <v>0</v>
      </c>
      <c r="Q1038" s="68">
        <f t="shared" si="260"/>
        <v>3720</v>
      </c>
      <c r="R1038" s="50">
        <f t="shared" si="260"/>
        <v>44000160</v>
      </c>
      <c r="S1038" s="68">
        <f t="shared" si="260"/>
        <v>0</v>
      </c>
      <c r="T1038" s="68">
        <f t="shared" si="260"/>
        <v>0</v>
      </c>
      <c r="U1038" s="50">
        <f t="shared" si="260"/>
        <v>0</v>
      </c>
      <c r="V1038" s="50">
        <f t="shared" si="260"/>
        <v>0</v>
      </c>
      <c r="W1038" s="34">
        <f t="shared" si="260"/>
        <v>0</v>
      </c>
      <c r="X1038" s="9"/>
      <c r="Y1038" s="9"/>
      <c r="Z1038" s="9"/>
      <c r="AA1038" s="9"/>
      <c r="AB1038" s="9"/>
      <c r="AC1038" s="9"/>
      <c r="AD1038" s="40"/>
      <c r="AE1038" s="56"/>
      <c r="AF1038" s="56"/>
      <c r="AG1038" s="56"/>
    </row>
    <row r="1039" spans="1:35" x14ac:dyDescent="0.3">
      <c r="A1039" s="450" t="s">
        <v>2888</v>
      </c>
      <c r="B1039" s="450"/>
      <c r="C1039" s="50">
        <f>C1001+C1006+C1010+C1016+C1027+C1032+C1038</f>
        <v>93889002.099999994</v>
      </c>
      <c r="D1039" s="50">
        <f t="shared" ref="D1039:W1039" si="261">D1001+D1006+D1010+D1016+D1027+D1032+D1038</f>
        <v>466324</v>
      </c>
      <c r="E1039" s="50">
        <f t="shared" si="261"/>
        <v>0</v>
      </c>
      <c r="F1039" s="50">
        <f t="shared" si="261"/>
        <v>0</v>
      </c>
      <c r="G1039" s="50">
        <f t="shared" si="261"/>
        <v>0</v>
      </c>
      <c r="H1039" s="50">
        <f t="shared" si="261"/>
        <v>0</v>
      </c>
      <c r="I1039" s="50">
        <f t="shared" si="261"/>
        <v>466324</v>
      </c>
      <c r="J1039" s="50">
        <f t="shared" si="261"/>
        <v>0</v>
      </c>
      <c r="K1039" s="50">
        <f t="shared" si="261"/>
        <v>0</v>
      </c>
      <c r="L1039" s="50">
        <f t="shared" si="261"/>
        <v>0</v>
      </c>
      <c r="M1039" s="51">
        <f t="shared" si="261"/>
        <v>1248</v>
      </c>
      <c r="N1039" s="50">
        <f t="shared" si="261"/>
        <v>7791264</v>
      </c>
      <c r="O1039" s="68">
        <f t="shared" si="261"/>
        <v>0</v>
      </c>
      <c r="P1039" s="50">
        <f t="shared" si="261"/>
        <v>0</v>
      </c>
      <c r="Q1039" s="68">
        <f t="shared" si="261"/>
        <v>7001.17</v>
      </c>
      <c r="R1039" s="50">
        <f t="shared" si="261"/>
        <v>74140471.159999996</v>
      </c>
      <c r="S1039" s="68">
        <f t="shared" si="261"/>
        <v>0</v>
      </c>
      <c r="T1039" s="68">
        <f t="shared" si="261"/>
        <v>0</v>
      </c>
      <c r="U1039" s="50">
        <f t="shared" si="261"/>
        <v>0</v>
      </c>
      <c r="V1039" s="50">
        <f t="shared" si="261"/>
        <v>0</v>
      </c>
      <c r="W1039" s="34">
        <f t="shared" si="261"/>
        <v>11490942.940000001</v>
      </c>
      <c r="X1039" s="9"/>
      <c r="Y1039" s="9"/>
      <c r="Z1039" s="9"/>
      <c r="AA1039" s="9"/>
      <c r="AB1039" s="9"/>
      <c r="AC1039" s="9"/>
      <c r="AD1039" s="40"/>
      <c r="AE1039" s="56"/>
      <c r="AF1039" s="56"/>
      <c r="AG1039" s="56"/>
    </row>
    <row r="1040" spans="1:35" x14ac:dyDescent="0.3">
      <c r="A1040" s="478" t="s">
        <v>2889</v>
      </c>
      <c r="B1040" s="478"/>
      <c r="C1040" s="478"/>
      <c r="D1040" s="478"/>
      <c r="E1040" s="478"/>
      <c r="F1040" s="478"/>
      <c r="G1040" s="478"/>
      <c r="H1040" s="478"/>
      <c r="I1040" s="478"/>
      <c r="J1040" s="478"/>
      <c r="K1040" s="478"/>
      <c r="L1040" s="478"/>
      <c r="M1040" s="478"/>
      <c r="N1040" s="478"/>
      <c r="O1040" s="478"/>
      <c r="P1040" s="478"/>
      <c r="Q1040" s="478"/>
      <c r="R1040" s="478"/>
      <c r="S1040" s="478"/>
      <c r="T1040" s="478"/>
      <c r="U1040" s="478"/>
      <c r="V1040" s="478"/>
      <c r="W1040" s="478"/>
      <c r="X1040" s="298"/>
      <c r="Y1040" s="298" t="s">
        <v>2890</v>
      </c>
      <c r="Z1040" s="298" t="s">
        <v>2891</v>
      </c>
      <c r="AA1040" s="298" t="s">
        <v>2892</v>
      </c>
      <c r="AB1040" s="9" t="s">
        <v>2893</v>
      </c>
      <c r="AC1040" s="9" t="s">
        <v>2894</v>
      </c>
      <c r="AD1040" s="9"/>
      <c r="AE1040" s="40"/>
      <c r="AF1040" s="56"/>
      <c r="AG1040" s="56"/>
      <c r="AH1040" s="56"/>
      <c r="AI1040" s="56"/>
    </row>
    <row r="1041" spans="1:35" ht="15.75" x14ac:dyDescent="0.25">
      <c r="A1041" s="172"/>
      <c r="B1041" s="147"/>
      <c r="C1041" s="172"/>
      <c r="D1041" s="172"/>
      <c r="E1041" s="172"/>
      <c r="F1041" s="172"/>
      <c r="G1041" s="172"/>
      <c r="H1041" s="172"/>
      <c r="I1041" s="172"/>
      <c r="J1041" s="172"/>
      <c r="K1041" s="172"/>
      <c r="L1041" s="172"/>
      <c r="M1041" s="172"/>
      <c r="N1041" s="172"/>
      <c r="O1041" s="133"/>
      <c r="P1041" s="172"/>
      <c r="Q1041" s="133"/>
      <c r="R1041" s="172"/>
      <c r="S1041" s="133"/>
      <c r="T1041" s="133"/>
      <c r="U1041" s="172"/>
      <c r="V1041" s="172"/>
      <c r="W1041" s="175"/>
      <c r="X1041" s="298"/>
      <c r="Y1041" s="298"/>
      <c r="Z1041" s="298"/>
      <c r="AA1041" s="298"/>
      <c r="AB1041" s="9"/>
      <c r="AC1041" s="9"/>
      <c r="AD1041" s="9"/>
      <c r="AE1041" s="40"/>
      <c r="AF1041" s="56"/>
      <c r="AG1041" s="56"/>
      <c r="AH1041" s="56"/>
      <c r="AI1041" s="56"/>
    </row>
    <row r="1042" spans="1:35" x14ac:dyDescent="0.3">
      <c r="A1042" s="448" t="s">
        <v>2908</v>
      </c>
      <c r="B1042" s="448"/>
      <c r="C1042" s="50"/>
      <c r="D1042" s="51"/>
      <c r="E1042" s="51"/>
      <c r="F1042" s="51"/>
      <c r="G1042" s="51"/>
      <c r="H1042" s="51"/>
      <c r="I1042" s="51"/>
      <c r="J1042" s="51"/>
      <c r="K1042" s="51"/>
      <c r="L1042" s="51"/>
      <c r="M1042" s="51"/>
      <c r="N1042" s="50"/>
      <c r="O1042" s="82"/>
      <c r="P1042" s="51"/>
      <c r="Q1042" s="82"/>
      <c r="R1042" s="50"/>
      <c r="S1042" s="68"/>
      <c r="T1042" s="82"/>
      <c r="U1042" s="51"/>
      <c r="V1042" s="51"/>
      <c r="W1042" s="178"/>
      <c r="X1042" s="285"/>
      <c r="Y1042" s="285"/>
      <c r="Z1042" s="285"/>
      <c r="AA1042" s="285"/>
      <c r="AB1042" s="285"/>
      <c r="AC1042" s="9"/>
      <c r="AD1042" s="9"/>
      <c r="AE1042" s="40"/>
      <c r="AF1042" s="56"/>
      <c r="AG1042" s="56"/>
      <c r="AH1042" s="56"/>
      <c r="AI1042" s="56"/>
    </row>
    <row r="1043" spans="1:35" x14ac:dyDescent="0.3">
      <c r="A1043" s="59">
        <f>A1037+1</f>
        <v>779</v>
      </c>
      <c r="B1043" s="66" t="s">
        <v>2930</v>
      </c>
      <c r="C1043" s="50">
        <f>D1043+K1043+L1043+N1043+P1043+R1043+S1043+U1043+V1043+W1043</f>
        <v>182039</v>
      </c>
      <c r="D1043" s="51">
        <f>E1043+F1043+G1043+H1043+I1043</f>
        <v>0</v>
      </c>
      <c r="E1043" s="51"/>
      <c r="F1043" s="51"/>
      <c r="G1043" s="51"/>
      <c r="H1043" s="51"/>
      <c r="I1043" s="51"/>
      <c r="J1043" s="51"/>
      <c r="K1043" s="51"/>
      <c r="L1043" s="51"/>
      <c r="M1043" s="51"/>
      <c r="N1043" s="50"/>
      <c r="O1043" s="82"/>
      <c r="P1043" s="51"/>
      <c r="Q1043" s="82">
        <v>13</v>
      </c>
      <c r="R1043" s="51">
        <f>Q1043*(10362+3641)</f>
        <v>182039</v>
      </c>
      <c r="S1043" s="68"/>
      <c r="T1043" s="82"/>
      <c r="U1043" s="51"/>
      <c r="V1043" s="51"/>
      <c r="W1043" s="178"/>
      <c r="X1043" s="285"/>
      <c r="Y1043" s="285"/>
      <c r="Z1043" s="285"/>
      <c r="AA1043" s="285"/>
      <c r="AB1043" s="285"/>
      <c r="AC1043" s="9"/>
      <c r="AD1043" s="9"/>
      <c r="AE1043" s="40"/>
      <c r="AF1043" s="56"/>
      <c r="AG1043" s="56"/>
      <c r="AH1043" s="56"/>
      <c r="AI1043" s="56"/>
    </row>
    <row r="1044" spans="1:35" x14ac:dyDescent="0.3">
      <c r="A1044" s="59">
        <f>A1043+1</f>
        <v>780</v>
      </c>
      <c r="B1044" s="66" t="s">
        <v>2931</v>
      </c>
      <c r="C1044" s="50">
        <f>D1044+K1044+L1044+N1044+P1044+R1044+S1044+U1044+V1044+W1044</f>
        <v>182039</v>
      </c>
      <c r="D1044" s="51">
        <f>E1044+F1044+G1044+H1044+I1044</f>
        <v>0</v>
      </c>
      <c r="E1044" s="51"/>
      <c r="F1044" s="51"/>
      <c r="G1044" s="51"/>
      <c r="H1044" s="51"/>
      <c r="I1044" s="51"/>
      <c r="J1044" s="51"/>
      <c r="K1044" s="51"/>
      <c r="L1044" s="51"/>
      <c r="M1044" s="51"/>
      <c r="N1044" s="50"/>
      <c r="O1044" s="82"/>
      <c r="P1044" s="51"/>
      <c r="Q1044" s="82">
        <v>13</v>
      </c>
      <c r="R1044" s="51">
        <f>Q1044*(10362+3641)</f>
        <v>182039</v>
      </c>
      <c r="S1044" s="68"/>
      <c r="T1044" s="82"/>
      <c r="U1044" s="51"/>
      <c r="V1044" s="51"/>
      <c r="W1044" s="178"/>
      <c r="X1044" s="285"/>
      <c r="Y1044" s="285"/>
      <c r="Z1044" s="285"/>
      <c r="AA1044" s="285"/>
      <c r="AB1044" s="285"/>
      <c r="AC1044" s="9"/>
      <c r="AD1044" s="9"/>
      <c r="AE1044" s="40"/>
      <c r="AF1044" s="56"/>
      <c r="AG1044" s="56"/>
      <c r="AH1044" s="56"/>
      <c r="AI1044" s="56"/>
    </row>
    <row r="1045" spans="1:35" x14ac:dyDescent="0.3">
      <c r="A1045" s="59">
        <f>A1044+1</f>
        <v>781</v>
      </c>
      <c r="B1045" s="66" t="s">
        <v>2938</v>
      </c>
      <c r="C1045" s="50">
        <f>D1045+K1045+L1045+N1045+P1045+R1045+S1045+U1045+V1045+W1045</f>
        <v>182039</v>
      </c>
      <c r="D1045" s="51">
        <f>E1045+F1045+G1045+H1045+I1045</f>
        <v>0</v>
      </c>
      <c r="E1045" s="51"/>
      <c r="F1045" s="51"/>
      <c r="G1045" s="51"/>
      <c r="H1045" s="51"/>
      <c r="I1045" s="51"/>
      <c r="J1045" s="51"/>
      <c r="K1045" s="51"/>
      <c r="L1045" s="51"/>
      <c r="M1045" s="51"/>
      <c r="N1045" s="50"/>
      <c r="O1045" s="82"/>
      <c r="P1045" s="51"/>
      <c r="Q1045" s="82">
        <v>13</v>
      </c>
      <c r="R1045" s="51">
        <f>Q1045*(10362+3641)</f>
        <v>182039</v>
      </c>
      <c r="S1045" s="68"/>
      <c r="T1045" s="82"/>
      <c r="U1045" s="51"/>
      <c r="V1045" s="51"/>
      <c r="W1045" s="178"/>
      <c r="X1045" s="285"/>
      <c r="Y1045" s="285"/>
      <c r="Z1045" s="285"/>
      <c r="AA1045" s="285"/>
      <c r="AB1045" s="285"/>
      <c r="AC1045" s="9"/>
      <c r="AD1045" s="9"/>
      <c r="AE1045" s="40"/>
      <c r="AF1045" s="56"/>
      <c r="AG1045" s="56"/>
      <c r="AH1045" s="56"/>
      <c r="AI1045" s="56"/>
    </row>
    <row r="1046" spans="1:35" x14ac:dyDescent="0.3">
      <c r="A1046" s="59">
        <f t="shared" ref="A1046:A1047" si="262">A1045+1</f>
        <v>782</v>
      </c>
      <c r="B1046" s="66" t="s">
        <v>3011</v>
      </c>
      <c r="C1046" s="50">
        <f>D1046+K1046+L1046+N1046+P1046+R1046+S1046+U1046+V1046+W1046</f>
        <v>182039</v>
      </c>
      <c r="D1046" s="51">
        <f>E1046+F1046+G1046+H1046+I1046</f>
        <v>0</v>
      </c>
      <c r="E1046" s="51"/>
      <c r="F1046" s="51"/>
      <c r="G1046" s="51"/>
      <c r="H1046" s="51"/>
      <c r="I1046" s="51"/>
      <c r="J1046" s="51"/>
      <c r="K1046" s="51"/>
      <c r="L1046" s="51"/>
      <c r="M1046" s="51"/>
      <c r="N1046" s="50"/>
      <c r="O1046" s="82"/>
      <c r="P1046" s="51"/>
      <c r="Q1046" s="82">
        <v>13</v>
      </c>
      <c r="R1046" s="51">
        <f>Q1046*(10362+3641)</f>
        <v>182039</v>
      </c>
      <c r="S1046" s="68"/>
      <c r="T1046" s="82"/>
      <c r="U1046" s="51"/>
      <c r="V1046" s="51"/>
      <c r="W1046" s="178"/>
      <c r="X1046" s="285"/>
      <c r="Y1046" s="285"/>
      <c r="Z1046" s="285"/>
      <c r="AA1046" s="285"/>
      <c r="AB1046" s="285"/>
      <c r="AC1046" s="9">
        <v>223486.58</v>
      </c>
      <c r="AD1046" s="9"/>
      <c r="AE1046" s="40"/>
      <c r="AF1046" s="56">
        <v>1520614.32</v>
      </c>
      <c r="AG1046" s="56"/>
      <c r="AH1046" s="56"/>
      <c r="AI1046" s="56"/>
    </row>
    <row r="1047" spans="1:35" x14ac:dyDescent="0.3">
      <c r="A1047" s="59">
        <f t="shared" si="262"/>
        <v>783</v>
      </c>
      <c r="B1047" s="66" t="s">
        <v>3015</v>
      </c>
      <c r="C1047" s="50">
        <f>D1047+K1047+L1047+N1047+P1047+R1047+S1047+U1047+V1047+W1047</f>
        <v>182039</v>
      </c>
      <c r="D1047" s="51">
        <f>E1047+F1047+G1047+H1047+I1047</f>
        <v>0</v>
      </c>
      <c r="E1047" s="51"/>
      <c r="F1047" s="51"/>
      <c r="G1047" s="51"/>
      <c r="H1047" s="51"/>
      <c r="I1047" s="51"/>
      <c r="J1047" s="51"/>
      <c r="K1047" s="51"/>
      <c r="L1047" s="51"/>
      <c r="M1047" s="51"/>
      <c r="N1047" s="50"/>
      <c r="O1047" s="82"/>
      <c r="P1047" s="51"/>
      <c r="Q1047" s="82">
        <v>13</v>
      </c>
      <c r="R1047" s="51">
        <f>Q1047*(10362+3641)</f>
        <v>182039</v>
      </c>
      <c r="S1047" s="68"/>
      <c r="T1047" s="82"/>
      <c r="U1047" s="51"/>
      <c r="V1047" s="51"/>
      <c r="W1047" s="178"/>
      <c r="X1047" s="285"/>
      <c r="Y1047" s="285">
        <v>102102.44</v>
      </c>
      <c r="Z1047" s="285"/>
      <c r="AA1047" s="285"/>
      <c r="AB1047" s="285"/>
      <c r="AC1047" s="9"/>
      <c r="AD1047" s="9">
        <v>268914.38</v>
      </c>
      <c r="AE1047" s="40"/>
      <c r="AF1047" s="56">
        <v>530759.51</v>
      </c>
      <c r="AG1047" s="56"/>
      <c r="AH1047" s="56"/>
      <c r="AI1047" s="56"/>
    </row>
    <row r="1048" spans="1:35" x14ac:dyDescent="0.3">
      <c r="A1048" s="449" t="s">
        <v>211</v>
      </c>
      <c r="B1048" s="449"/>
      <c r="C1048" s="50">
        <f t="shared" ref="C1048:W1048" si="263">SUM(C1043:C1047)</f>
        <v>910195</v>
      </c>
      <c r="D1048" s="50">
        <f t="shared" si="263"/>
        <v>0</v>
      </c>
      <c r="E1048" s="50">
        <f t="shared" si="263"/>
        <v>0</v>
      </c>
      <c r="F1048" s="50">
        <f t="shared" si="263"/>
        <v>0</v>
      </c>
      <c r="G1048" s="50">
        <f t="shared" si="263"/>
        <v>0</v>
      </c>
      <c r="H1048" s="50">
        <f t="shared" si="263"/>
        <v>0</v>
      </c>
      <c r="I1048" s="50">
        <f t="shared" si="263"/>
        <v>0</v>
      </c>
      <c r="J1048" s="50">
        <f t="shared" si="263"/>
        <v>0</v>
      </c>
      <c r="K1048" s="50">
        <f t="shared" si="263"/>
        <v>0</v>
      </c>
      <c r="L1048" s="50">
        <f t="shared" si="263"/>
        <v>0</v>
      </c>
      <c r="M1048" s="50">
        <f t="shared" si="263"/>
        <v>0</v>
      </c>
      <c r="N1048" s="50">
        <f t="shared" si="263"/>
        <v>0</v>
      </c>
      <c r="O1048" s="68">
        <f t="shared" si="263"/>
        <v>0</v>
      </c>
      <c r="P1048" s="50">
        <f t="shared" si="263"/>
        <v>0</v>
      </c>
      <c r="Q1048" s="68">
        <f t="shared" si="263"/>
        <v>65</v>
      </c>
      <c r="R1048" s="50">
        <f t="shared" si="263"/>
        <v>910195</v>
      </c>
      <c r="S1048" s="68">
        <f t="shared" si="263"/>
        <v>0</v>
      </c>
      <c r="T1048" s="68">
        <f t="shared" si="263"/>
        <v>0</v>
      </c>
      <c r="U1048" s="50">
        <f t="shared" si="263"/>
        <v>0</v>
      </c>
      <c r="V1048" s="50">
        <f t="shared" si="263"/>
        <v>0</v>
      </c>
      <c r="W1048" s="34">
        <f t="shared" si="263"/>
        <v>0</v>
      </c>
      <c r="X1048" s="329"/>
      <c r="Y1048" s="285"/>
      <c r="Z1048" s="285"/>
      <c r="AA1048" s="285"/>
      <c r="AB1048" s="285"/>
      <c r="AC1048" s="9"/>
      <c r="AD1048" s="9"/>
      <c r="AE1048" s="40"/>
      <c r="AF1048" s="56"/>
      <c r="AG1048" s="56"/>
      <c r="AH1048" s="56"/>
      <c r="AI1048" s="56"/>
    </row>
    <row r="1049" spans="1:35" x14ac:dyDescent="0.3">
      <c r="A1049" s="450" t="s">
        <v>3021</v>
      </c>
      <c r="B1049" s="450"/>
      <c r="C1049" s="50">
        <f>C1048</f>
        <v>910195</v>
      </c>
      <c r="D1049" s="50">
        <f t="shared" ref="D1049:W1049" si="264">D1048</f>
        <v>0</v>
      </c>
      <c r="E1049" s="50">
        <f t="shared" si="264"/>
        <v>0</v>
      </c>
      <c r="F1049" s="50">
        <f t="shared" si="264"/>
        <v>0</v>
      </c>
      <c r="G1049" s="50">
        <f t="shared" si="264"/>
        <v>0</v>
      </c>
      <c r="H1049" s="50">
        <f t="shared" si="264"/>
        <v>0</v>
      </c>
      <c r="I1049" s="50">
        <f t="shared" si="264"/>
        <v>0</v>
      </c>
      <c r="J1049" s="50">
        <f t="shared" si="264"/>
        <v>0</v>
      </c>
      <c r="K1049" s="50">
        <f t="shared" si="264"/>
        <v>0</v>
      </c>
      <c r="L1049" s="50">
        <f t="shared" si="264"/>
        <v>0</v>
      </c>
      <c r="M1049" s="50">
        <f t="shared" si="264"/>
        <v>0</v>
      </c>
      <c r="N1049" s="50">
        <f t="shared" si="264"/>
        <v>0</v>
      </c>
      <c r="O1049" s="68">
        <f t="shared" si="264"/>
        <v>0</v>
      </c>
      <c r="P1049" s="50">
        <f t="shared" si="264"/>
        <v>0</v>
      </c>
      <c r="Q1049" s="68">
        <f t="shared" si="264"/>
        <v>65</v>
      </c>
      <c r="R1049" s="50">
        <f t="shared" si="264"/>
        <v>910195</v>
      </c>
      <c r="S1049" s="68">
        <f t="shared" si="264"/>
        <v>0</v>
      </c>
      <c r="T1049" s="68">
        <f t="shared" si="264"/>
        <v>0</v>
      </c>
      <c r="U1049" s="50">
        <f t="shared" si="264"/>
        <v>0</v>
      </c>
      <c r="V1049" s="50">
        <f t="shared" si="264"/>
        <v>0</v>
      </c>
      <c r="W1049" s="34">
        <f t="shared" si="264"/>
        <v>0</v>
      </c>
      <c r="X1049" s="329"/>
      <c r="Y1049" s="285"/>
      <c r="Z1049" s="285"/>
      <c r="AA1049" s="285"/>
      <c r="AB1049" s="285"/>
      <c r="AC1049" s="9"/>
      <c r="AD1049" s="9"/>
      <c r="AE1049" s="40"/>
      <c r="AF1049" s="56"/>
      <c r="AG1049" s="56"/>
      <c r="AH1049" s="56"/>
      <c r="AI1049" s="56"/>
    </row>
    <row r="1050" spans="1:35" x14ac:dyDescent="0.3">
      <c r="A1050" s="478" t="s">
        <v>3022</v>
      </c>
      <c r="B1050" s="478"/>
      <c r="C1050" s="478"/>
      <c r="D1050" s="478"/>
      <c r="E1050" s="478"/>
      <c r="F1050" s="478"/>
      <c r="G1050" s="478"/>
      <c r="H1050" s="478"/>
      <c r="I1050" s="478"/>
      <c r="J1050" s="478"/>
      <c r="K1050" s="478"/>
      <c r="L1050" s="478"/>
      <c r="M1050" s="478"/>
      <c r="N1050" s="478"/>
      <c r="O1050" s="478"/>
      <c r="P1050" s="478"/>
      <c r="Q1050" s="478"/>
      <c r="R1050" s="478"/>
      <c r="S1050" s="478"/>
      <c r="T1050" s="478"/>
      <c r="U1050" s="478"/>
      <c r="V1050" s="478"/>
      <c r="W1050" s="478"/>
      <c r="X1050" s="144"/>
      <c r="Y1050" s="188"/>
      <c r="Z1050" s="188"/>
      <c r="AA1050" s="48"/>
      <c r="AB1050" s="48"/>
      <c r="AC1050" s="57"/>
      <c r="AD1050" s="59"/>
      <c r="AE1050" s="56"/>
    </row>
    <row r="1051" spans="1:35" x14ac:dyDescent="0.3">
      <c r="A1051" s="59">
        <f>A1047+1</f>
        <v>784</v>
      </c>
      <c r="B1051" s="66" t="s">
        <v>3024</v>
      </c>
      <c r="C1051" s="48">
        <f t="shared" ref="C1051:C1082" si="265">D1051+K1051+L1051+N1051+P1051+R1051+S1051+U1051+V1051+W1051</f>
        <v>901385.73</v>
      </c>
      <c r="D1051" s="48">
        <f t="shared" ref="D1051:D1113" si="266">SUM(E1051:I1051)</f>
        <v>0</v>
      </c>
      <c r="E1051" s="48"/>
      <c r="F1051" s="48"/>
      <c r="G1051" s="48"/>
      <c r="H1051" s="48"/>
      <c r="I1051" s="48"/>
      <c r="J1051" s="48"/>
      <c r="K1051" s="48"/>
      <c r="L1051" s="48"/>
      <c r="M1051" s="48"/>
      <c r="N1051" s="48"/>
      <c r="O1051" s="55"/>
      <c r="P1051" s="48"/>
      <c r="Q1051" s="55"/>
      <c r="R1051" s="48"/>
      <c r="S1051" s="55"/>
      <c r="T1051" s="55"/>
      <c r="U1051" s="48"/>
      <c r="V1051" s="48"/>
      <c r="W1051" s="178">
        <f>SUM(X1051:AD1051)</f>
        <v>901385.73</v>
      </c>
      <c r="X1051" s="375"/>
      <c r="Y1051" s="376"/>
      <c r="Z1051" s="376"/>
      <c r="AA1051" s="48"/>
      <c r="AB1051" s="48">
        <v>221099.75</v>
      </c>
      <c r="AC1051" s="187">
        <v>123642.26</v>
      </c>
      <c r="AD1051" s="48">
        <v>556643.72</v>
      </c>
      <c r="AE1051" s="56"/>
    </row>
    <row r="1052" spans="1:35" x14ac:dyDescent="0.3">
      <c r="A1052" s="59">
        <f>A1051+1</f>
        <v>785</v>
      </c>
      <c r="B1052" s="66" t="s">
        <v>3025</v>
      </c>
      <c r="C1052" s="48">
        <f t="shared" si="265"/>
        <v>3381338.5999999996</v>
      </c>
      <c r="D1052" s="48">
        <f t="shared" si="266"/>
        <v>0</v>
      </c>
      <c r="E1052" s="48"/>
      <c r="F1052" s="48"/>
      <c r="G1052" s="48"/>
      <c r="H1052" s="48"/>
      <c r="I1052" s="48"/>
      <c r="J1052" s="48"/>
      <c r="K1052" s="48"/>
      <c r="L1052" s="48"/>
      <c r="M1052" s="48"/>
      <c r="N1052" s="48"/>
      <c r="O1052" s="74"/>
      <c r="P1052" s="48"/>
      <c r="Q1052" s="55"/>
      <c r="R1052" s="48"/>
      <c r="S1052" s="55"/>
      <c r="T1052" s="55"/>
      <c r="U1052" s="48"/>
      <c r="V1052" s="48"/>
      <c r="W1052" s="178">
        <f t="shared" ref="W1052:W1115" si="267">SUM(X1052:AD1052)</f>
        <v>3381338.5999999996</v>
      </c>
      <c r="X1052" s="375"/>
      <c r="Y1052" s="376"/>
      <c r="Z1052" s="376"/>
      <c r="AA1052" s="48"/>
      <c r="AB1052" s="48">
        <v>894905.16</v>
      </c>
      <c r="AC1052" s="187">
        <v>441212.47</v>
      </c>
      <c r="AD1052" s="48">
        <v>2045220.97</v>
      </c>
      <c r="AE1052" s="56"/>
    </row>
    <row r="1053" spans="1:35" x14ac:dyDescent="0.3">
      <c r="A1053" s="59">
        <f>A1052+1</f>
        <v>786</v>
      </c>
      <c r="B1053" s="66" t="s">
        <v>3026</v>
      </c>
      <c r="C1053" s="48">
        <f t="shared" si="265"/>
        <v>2316776.5999999996</v>
      </c>
      <c r="D1053" s="48">
        <f t="shared" si="266"/>
        <v>0</v>
      </c>
      <c r="E1053" s="48"/>
      <c r="F1053" s="48"/>
      <c r="G1053" s="48"/>
      <c r="H1053" s="48"/>
      <c r="I1053" s="48"/>
      <c r="J1053" s="48"/>
      <c r="K1053" s="48"/>
      <c r="L1053" s="48"/>
      <c r="M1053" s="48"/>
      <c r="N1053" s="48"/>
      <c r="O1053" s="74"/>
      <c r="P1053" s="48"/>
      <c r="Q1053" s="55"/>
      <c r="R1053" s="48"/>
      <c r="S1053" s="55"/>
      <c r="T1053" s="55"/>
      <c r="U1053" s="48"/>
      <c r="V1053" s="48"/>
      <c r="W1053" s="178">
        <f t="shared" si="267"/>
        <v>2316776.5999999996</v>
      </c>
      <c r="X1053" s="375"/>
      <c r="Y1053" s="376"/>
      <c r="Z1053" s="376"/>
      <c r="AA1053" s="48"/>
      <c r="AB1053" s="48">
        <v>616252.63</v>
      </c>
      <c r="AC1053" s="187">
        <v>270904.82</v>
      </c>
      <c r="AD1053" s="48">
        <v>1429619.15</v>
      </c>
      <c r="AE1053" s="56"/>
    </row>
    <row r="1054" spans="1:35" x14ac:dyDescent="0.3">
      <c r="A1054" s="59">
        <f t="shared" ref="A1054:A1060" si="268">A1053+1</f>
        <v>787</v>
      </c>
      <c r="B1054" s="66" t="s">
        <v>3028</v>
      </c>
      <c r="C1054" s="48">
        <f t="shared" si="265"/>
        <v>905908.87999999989</v>
      </c>
      <c r="D1054" s="48">
        <f t="shared" si="266"/>
        <v>0</v>
      </c>
      <c r="E1054" s="48"/>
      <c r="F1054" s="48"/>
      <c r="G1054" s="48"/>
      <c r="H1054" s="48"/>
      <c r="I1054" s="48"/>
      <c r="J1054" s="48"/>
      <c r="K1054" s="48"/>
      <c r="L1054" s="48"/>
      <c r="M1054" s="48"/>
      <c r="N1054" s="48"/>
      <c r="O1054" s="74"/>
      <c r="P1054" s="48"/>
      <c r="Q1054" s="55"/>
      <c r="R1054" s="48"/>
      <c r="S1054" s="55"/>
      <c r="T1054" s="55"/>
      <c r="U1054" s="48"/>
      <c r="V1054" s="48"/>
      <c r="W1054" s="178">
        <f t="shared" si="267"/>
        <v>905908.87999999989</v>
      </c>
      <c r="X1054" s="375"/>
      <c r="Y1054" s="376"/>
      <c r="Z1054" s="376"/>
      <c r="AA1054" s="48"/>
      <c r="AB1054" s="48">
        <v>222304.86</v>
      </c>
      <c r="AC1054" s="187">
        <v>124297.93</v>
      </c>
      <c r="AD1054" s="48">
        <v>559306.09</v>
      </c>
      <c r="AE1054" s="56"/>
    </row>
    <row r="1055" spans="1:35" x14ac:dyDescent="0.3">
      <c r="A1055" s="59">
        <f t="shared" si="268"/>
        <v>788</v>
      </c>
      <c r="B1055" s="66" t="s">
        <v>3029</v>
      </c>
      <c r="C1055" s="48">
        <f t="shared" si="265"/>
        <v>903826.94</v>
      </c>
      <c r="D1055" s="48">
        <f t="shared" si="266"/>
        <v>0</v>
      </c>
      <c r="E1055" s="48"/>
      <c r="F1055" s="48"/>
      <c r="G1055" s="48"/>
      <c r="H1055" s="48"/>
      <c r="I1055" s="48"/>
      <c r="J1055" s="48"/>
      <c r="K1055" s="48"/>
      <c r="L1055" s="48"/>
      <c r="M1055" s="48"/>
      <c r="N1055" s="48"/>
      <c r="O1055" s="55"/>
      <c r="P1055" s="48"/>
      <c r="Q1055" s="55"/>
      <c r="R1055" s="48"/>
      <c r="S1055" s="55"/>
      <c r="T1055" s="55"/>
      <c r="U1055" s="48"/>
      <c r="V1055" s="48"/>
      <c r="W1055" s="178">
        <f t="shared" si="267"/>
        <v>903826.94</v>
      </c>
      <c r="X1055" s="375"/>
      <c r="Y1055" s="376"/>
      <c r="Z1055" s="376"/>
      <c r="AA1055" s="48"/>
      <c r="AB1055" s="48">
        <v>217516.11</v>
      </c>
      <c r="AC1055" s="187">
        <v>124832.81</v>
      </c>
      <c r="AD1055" s="48">
        <v>561478.02</v>
      </c>
      <c r="AE1055" s="56"/>
    </row>
    <row r="1056" spans="1:35" x14ac:dyDescent="0.3">
      <c r="A1056" s="59">
        <f t="shared" si="268"/>
        <v>789</v>
      </c>
      <c r="B1056" s="66" t="s">
        <v>3030</v>
      </c>
      <c r="C1056" s="48">
        <f t="shared" si="265"/>
        <v>1196288.3699999999</v>
      </c>
      <c r="D1056" s="48">
        <f t="shared" si="266"/>
        <v>0</v>
      </c>
      <c r="E1056" s="48"/>
      <c r="F1056" s="48"/>
      <c r="G1056" s="48"/>
      <c r="H1056" s="48"/>
      <c r="I1056" s="48"/>
      <c r="J1056" s="48"/>
      <c r="K1056" s="48"/>
      <c r="L1056" s="48"/>
      <c r="M1056" s="48"/>
      <c r="N1056" s="48"/>
      <c r="O1056" s="55"/>
      <c r="P1056" s="48"/>
      <c r="Q1056" s="128"/>
      <c r="R1056" s="48"/>
      <c r="S1056" s="55"/>
      <c r="T1056" s="55"/>
      <c r="U1056" s="48"/>
      <c r="V1056" s="48"/>
      <c r="W1056" s="178">
        <f t="shared" si="267"/>
        <v>1196288.3699999999</v>
      </c>
      <c r="X1056" s="375"/>
      <c r="Y1056" s="376"/>
      <c r="Z1056" s="376"/>
      <c r="AA1056" s="48"/>
      <c r="AB1056" s="48">
        <v>326719.15999999997</v>
      </c>
      <c r="AC1056" s="187">
        <v>53453.75</v>
      </c>
      <c r="AD1056" s="48">
        <v>816115.46</v>
      </c>
      <c r="AE1056" s="56"/>
    </row>
    <row r="1057" spans="1:31" x14ac:dyDescent="0.3">
      <c r="A1057" s="59">
        <f t="shared" si="268"/>
        <v>790</v>
      </c>
      <c r="B1057" s="66" t="s">
        <v>3031</v>
      </c>
      <c r="C1057" s="48">
        <f t="shared" si="265"/>
        <v>1177687.2</v>
      </c>
      <c r="D1057" s="48">
        <f t="shared" si="266"/>
        <v>0</v>
      </c>
      <c r="E1057" s="48"/>
      <c r="F1057" s="48"/>
      <c r="G1057" s="48"/>
      <c r="H1057" s="48"/>
      <c r="I1057" s="48"/>
      <c r="J1057" s="48"/>
      <c r="K1057" s="48"/>
      <c r="L1057" s="48"/>
      <c r="M1057" s="48"/>
      <c r="N1057" s="48"/>
      <c r="O1057" s="55"/>
      <c r="P1057" s="48"/>
      <c r="Q1057" s="128"/>
      <c r="R1057" s="48"/>
      <c r="S1057" s="55"/>
      <c r="T1057" s="55"/>
      <c r="U1057" s="48"/>
      <c r="V1057" s="48"/>
      <c r="W1057" s="178">
        <f t="shared" si="267"/>
        <v>1177687.2</v>
      </c>
      <c r="X1057" s="375"/>
      <c r="Y1057" s="376"/>
      <c r="Z1057" s="376"/>
      <c r="AA1057" s="48"/>
      <c r="AB1057" s="48">
        <v>321021.3</v>
      </c>
      <c r="AC1057" s="187">
        <v>52578.02</v>
      </c>
      <c r="AD1057" s="48">
        <v>804087.88</v>
      </c>
      <c r="AE1057" s="56"/>
    </row>
    <row r="1058" spans="1:31" x14ac:dyDescent="0.3">
      <c r="A1058" s="59">
        <f t="shared" si="268"/>
        <v>791</v>
      </c>
      <c r="B1058" s="66" t="s">
        <v>3032</v>
      </c>
      <c r="C1058" s="48">
        <f t="shared" si="265"/>
        <v>1187867.1399999999</v>
      </c>
      <c r="D1058" s="48">
        <f t="shared" si="266"/>
        <v>0</v>
      </c>
      <c r="E1058" s="48"/>
      <c r="F1058" s="48"/>
      <c r="G1058" s="48"/>
      <c r="H1058" s="48"/>
      <c r="I1058" s="48"/>
      <c r="J1058" s="48"/>
      <c r="K1058" s="48"/>
      <c r="L1058" s="48"/>
      <c r="M1058" s="48"/>
      <c r="N1058" s="48"/>
      <c r="O1058" s="55"/>
      <c r="P1058" s="48"/>
      <c r="Q1058" s="128"/>
      <c r="R1058" s="48"/>
      <c r="S1058" s="55"/>
      <c r="T1058" s="55"/>
      <c r="U1058" s="48"/>
      <c r="V1058" s="48"/>
      <c r="W1058" s="178">
        <f t="shared" si="267"/>
        <v>1187867.1399999999</v>
      </c>
      <c r="X1058" s="375"/>
      <c r="Y1058" s="376"/>
      <c r="Z1058" s="376"/>
      <c r="AA1058" s="48"/>
      <c r="AB1058" s="48">
        <v>321544.94</v>
      </c>
      <c r="AC1058" s="187">
        <v>53233.38</v>
      </c>
      <c r="AD1058" s="187">
        <v>813088.82</v>
      </c>
      <c r="AE1058" s="56"/>
    </row>
    <row r="1059" spans="1:31" x14ac:dyDescent="0.3">
      <c r="A1059" s="59">
        <f t="shared" si="268"/>
        <v>792</v>
      </c>
      <c r="B1059" s="66" t="s">
        <v>3033</v>
      </c>
      <c r="C1059" s="48">
        <f t="shared" si="265"/>
        <v>1180617.81</v>
      </c>
      <c r="D1059" s="48">
        <f t="shared" si="266"/>
        <v>0</v>
      </c>
      <c r="E1059" s="48"/>
      <c r="F1059" s="48"/>
      <c r="G1059" s="48"/>
      <c r="H1059" s="48"/>
      <c r="I1059" s="48"/>
      <c r="J1059" s="48"/>
      <c r="K1059" s="48"/>
      <c r="L1059" s="48"/>
      <c r="M1059" s="48"/>
      <c r="N1059" s="48"/>
      <c r="O1059" s="55"/>
      <c r="P1059" s="48"/>
      <c r="Q1059" s="55"/>
      <c r="R1059" s="48"/>
      <c r="S1059" s="55"/>
      <c r="T1059" s="55"/>
      <c r="U1059" s="48"/>
      <c r="V1059" s="48"/>
      <c r="W1059" s="178">
        <f t="shared" si="267"/>
        <v>1180617.81</v>
      </c>
      <c r="X1059" s="375"/>
      <c r="Y1059" s="376"/>
      <c r="Z1059" s="376"/>
      <c r="AA1059" s="48"/>
      <c r="AB1059" s="48">
        <v>321919.01</v>
      </c>
      <c r="AC1059" s="187">
        <v>52715.99</v>
      </c>
      <c r="AD1059" s="48">
        <v>805982.81</v>
      </c>
      <c r="AE1059" s="56"/>
    </row>
    <row r="1060" spans="1:31" x14ac:dyDescent="0.3">
      <c r="A1060" s="59">
        <f t="shared" si="268"/>
        <v>793</v>
      </c>
      <c r="B1060" s="66" t="s">
        <v>3034</v>
      </c>
      <c r="C1060" s="48">
        <f t="shared" si="265"/>
        <v>889712.6</v>
      </c>
      <c r="D1060" s="48">
        <f t="shared" si="266"/>
        <v>0</v>
      </c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55"/>
      <c r="P1060" s="48"/>
      <c r="Q1060" s="55"/>
      <c r="R1060" s="48"/>
      <c r="S1060" s="55"/>
      <c r="T1060" s="55"/>
      <c r="U1060" s="48"/>
      <c r="V1060" s="48"/>
      <c r="W1060" s="178">
        <f t="shared" si="267"/>
        <v>889712.6</v>
      </c>
      <c r="X1060" s="375"/>
      <c r="Y1060" s="376"/>
      <c r="Z1060" s="376"/>
      <c r="AA1060" s="48"/>
      <c r="AB1060" s="48">
        <v>217516.11</v>
      </c>
      <c r="AC1060" s="187">
        <v>121692.53</v>
      </c>
      <c r="AD1060" s="48">
        <v>550503.96</v>
      </c>
      <c r="AE1060" s="56"/>
    </row>
    <row r="1061" spans="1:31" x14ac:dyDescent="0.3">
      <c r="A1061" s="59">
        <f t="shared" ref="A1061:A1115" si="269">A1060+1</f>
        <v>794</v>
      </c>
      <c r="B1061" s="66" t="s">
        <v>3035</v>
      </c>
      <c r="C1061" s="48">
        <f t="shared" si="265"/>
        <v>1588492.22</v>
      </c>
      <c r="D1061" s="48">
        <f t="shared" si="266"/>
        <v>0</v>
      </c>
      <c r="E1061" s="48"/>
      <c r="F1061" s="48"/>
      <c r="G1061" s="48"/>
      <c r="H1061" s="48"/>
      <c r="I1061" s="48"/>
      <c r="J1061" s="48"/>
      <c r="K1061" s="48"/>
      <c r="L1061" s="48"/>
      <c r="M1061" s="48"/>
      <c r="N1061" s="48"/>
      <c r="O1061" s="55"/>
      <c r="P1061" s="48"/>
      <c r="Q1061" s="55"/>
      <c r="R1061" s="48"/>
      <c r="S1061" s="55"/>
      <c r="T1061" s="55"/>
      <c r="U1061" s="48"/>
      <c r="V1061" s="48"/>
      <c r="W1061" s="178">
        <f t="shared" si="267"/>
        <v>1588492.22</v>
      </c>
      <c r="X1061" s="375"/>
      <c r="Y1061" s="376"/>
      <c r="Z1061" s="376"/>
      <c r="AA1061" s="48"/>
      <c r="AB1061" s="48">
        <v>481965.16</v>
      </c>
      <c r="AC1061" s="187">
        <v>74651.7</v>
      </c>
      <c r="AD1061" s="48">
        <v>1031875.36</v>
      </c>
      <c r="AE1061" s="56"/>
    </row>
    <row r="1062" spans="1:31" x14ac:dyDescent="0.3">
      <c r="A1062" s="59">
        <f t="shared" si="269"/>
        <v>795</v>
      </c>
      <c r="B1062" s="66" t="s">
        <v>3036</v>
      </c>
      <c r="C1062" s="48">
        <f t="shared" si="265"/>
        <v>1201493.19</v>
      </c>
      <c r="D1062" s="48">
        <f t="shared" si="266"/>
        <v>0</v>
      </c>
      <c r="E1062" s="48"/>
      <c r="F1062" s="48"/>
      <c r="G1062" s="48"/>
      <c r="H1062" s="48"/>
      <c r="I1062" s="48"/>
      <c r="J1062" s="48"/>
      <c r="K1062" s="48"/>
      <c r="L1062" s="48"/>
      <c r="M1062" s="48"/>
      <c r="N1062" s="48"/>
      <c r="O1062" s="55"/>
      <c r="P1062" s="48"/>
      <c r="Q1062" s="128"/>
      <c r="R1062" s="48"/>
      <c r="S1062" s="55"/>
      <c r="T1062" s="55"/>
      <c r="U1062" s="48"/>
      <c r="V1062" s="48"/>
      <c r="W1062" s="178">
        <f t="shared" si="267"/>
        <v>1201493.19</v>
      </c>
      <c r="X1062" s="375"/>
      <c r="Y1062" s="376"/>
      <c r="Z1062" s="376"/>
      <c r="AA1062" s="48"/>
      <c r="AB1062" s="48">
        <v>310231.15000000002</v>
      </c>
      <c r="AC1062" s="187">
        <v>137708.41</v>
      </c>
      <c r="AD1062" s="48">
        <v>753553.63</v>
      </c>
      <c r="AE1062" s="56"/>
    </row>
    <row r="1063" spans="1:31" x14ac:dyDescent="0.3">
      <c r="A1063" s="59">
        <f t="shared" si="269"/>
        <v>796</v>
      </c>
      <c r="B1063" s="66" t="s">
        <v>3038</v>
      </c>
      <c r="C1063" s="48">
        <f t="shared" si="265"/>
        <v>913407.8</v>
      </c>
      <c r="D1063" s="48">
        <f t="shared" si="266"/>
        <v>0</v>
      </c>
      <c r="E1063" s="48"/>
      <c r="F1063" s="48"/>
      <c r="G1063" s="48"/>
      <c r="H1063" s="48"/>
      <c r="I1063" s="48"/>
      <c r="J1063" s="48"/>
      <c r="K1063" s="48"/>
      <c r="L1063" s="48"/>
      <c r="M1063" s="48"/>
      <c r="N1063" s="48"/>
      <c r="O1063" s="55"/>
      <c r="P1063" s="48"/>
      <c r="Q1063" s="128"/>
      <c r="R1063" s="48"/>
      <c r="S1063" s="55"/>
      <c r="T1063" s="55"/>
      <c r="U1063" s="48"/>
      <c r="V1063" s="48"/>
      <c r="W1063" s="178">
        <f t="shared" si="267"/>
        <v>913407.8</v>
      </c>
      <c r="X1063" s="375"/>
      <c r="Y1063" s="376"/>
      <c r="Z1063" s="376"/>
      <c r="AA1063" s="48"/>
      <c r="AB1063" s="48">
        <v>224302.83</v>
      </c>
      <c r="AC1063" s="187">
        <v>125384.95</v>
      </c>
      <c r="AD1063" s="48">
        <v>563720.02</v>
      </c>
      <c r="AE1063" s="56"/>
    </row>
    <row r="1064" spans="1:31" x14ac:dyDescent="0.3">
      <c r="A1064" s="59">
        <f t="shared" si="269"/>
        <v>797</v>
      </c>
      <c r="B1064" s="66" t="s">
        <v>3039</v>
      </c>
      <c r="C1064" s="48">
        <f t="shared" si="265"/>
        <v>922811.19</v>
      </c>
      <c r="D1064" s="48">
        <f t="shared" si="266"/>
        <v>0</v>
      </c>
      <c r="E1064" s="48"/>
      <c r="F1064" s="48"/>
      <c r="G1064" s="48"/>
      <c r="H1064" s="48"/>
      <c r="I1064" s="48"/>
      <c r="J1064" s="48"/>
      <c r="K1064" s="48"/>
      <c r="L1064" s="48"/>
      <c r="M1064" s="48"/>
      <c r="N1064" s="48"/>
      <c r="O1064" s="55"/>
      <c r="P1064" s="48"/>
      <c r="Q1064" s="128"/>
      <c r="R1064" s="48"/>
      <c r="S1064" s="55"/>
      <c r="T1064" s="55"/>
      <c r="U1064" s="48"/>
      <c r="V1064" s="48"/>
      <c r="W1064" s="178">
        <f t="shared" si="267"/>
        <v>922811.19</v>
      </c>
      <c r="X1064" s="375"/>
      <c r="Y1064" s="376"/>
      <c r="Z1064" s="376"/>
      <c r="AA1064" s="48"/>
      <c r="AB1064" s="48">
        <v>226808.21</v>
      </c>
      <c r="AC1064" s="187">
        <v>126748.04</v>
      </c>
      <c r="AD1064" s="48">
        <v>569254.93999999994</v>
      </c>
      <c r="AE1064" s="56"/>
    </row>
    <row r="1065" spans="1:31" x14ac:dyDescent="0.3">
      <c r="A1065" s="59">
        <f t="shared" si="269"/>
        <v>798</v>
      </c>
      <c r="B1065" s="66" t="s">
        <v>3040</v>
      </c>
      <c r="C1065" s="48">
        <f t="shared" si="265"/>
        <v>1872472.83</v>
      </c>
      <c r="D1065" s="48">
        <f t="shared" si="266"/>
        <v>0</v>
      </c>
      <c r="E1065" s="48"/>
      <c r="F1065" s="48"/>
      <c r="G1065" s="48"/>
      <c r="H1065" s="48"/>
      <c r="I1065" s="48"/>
      <c r="J1065" s="48"/>
      <c r="K1065" s="48"/>
      <c r="L1065" s="48"/>
      <c r="M1065" s="48"/>
      <c r="N1065" s="48"/>
      <c r="O1065" s="55"/>
      <c r="P1065" s="48"/>
      <c r="Q1065" s="128"/>
      <c r="R1065" s="48"/>
      <c r="S1065" s="55"/>
      <c r="T1065" s="55"/>
      <c r="U1065" s="48"/>
      <c r="V1065" s="48"/>
      <c r="W1065" s="178">
        <f t="shared" si="267"/>
        <v>1872472.83</v>
      </c>
      <c r="X1065" s="375"/>
      <c r="Y1065" s="376"/>
      <c r="Z1065" s="376"/>
      <c r="AA1065" s="48"/>
      <c r="AB1065" s="48">
        <v>562989.48</v>
      </c>
      <c r="AC1065" s="187">
        <v>115906.52</v>
      </c>
      <c r="AD1065" s="48">
        <v>1193576.83</v>
      </c>
      <c r="AE1065" s="56"/>
    </row>
    <row r="1066" spans="1:31" x14ac:dyDescent="0.3">
      <c r="A1066" s="59">
        <f t="shared" si="269"/>
        <v>799</v>
      </c>
      <c r="B1066" s="66" t="s">
        <v>3041</v>
      </c>
      <c r="C1066" s="48">
        <f t="shared" si="265"/>
        <v>1034567.9299999999</v>
      </c>
      <c r="D1066" s="48">
        <f t="shared" si="266"/>
        <v>0</v>
      </c>
      <c r="E1066" s="48"/>
      <c r="F1066" s="48"/>
      <c r="G1066" s="48"/>
      <c r="H1066" s="48"/>
      <c r="I1066" s="48"/>
      <c r="J1066" s="48"/>
      <c r="K1066" s="48"/>
      <c r="L1066" s="48"/>
      <c r="M1066" s="48"/>
      <c r="N1066" s="48"/>
      <c r="O1066" s="55"/>
      <c r="P1066" s="48"/>
      <c r="Q1066" s="128"/>
      <c r="R1066" s="48"/>
      <c r="S1066" s="55"/>
      <c r="T1066" s="55"/>
      <c r="U1066" s="48"/>
      <c r="V1066" s="48"/>
      <c r="W1066" s="178">
        <f t="shared" si="267"/>
        <v>1034567.9299999999</v>
      </c>
      <c r="X1066" s="375"/>
      <c r="Y1066" s="376"/>
      <c r="Z1066" s="376"/>
      <c r="AA1066" s="48"/>
      <c r="AB1066" s="48">
        <v>223319.7</v>
      </c>
      <c r="AC1066" s="187">
        <v>249700.14</v>
      </c>
      <c r="AD1066" s="48">
        <v>561548.09</v>
      </c>
      <c r="AE1066" s="56"/>
    </row>
    <row r="1067" spans="1:31" x14ac:dyDescent="0.3">
      <c r="A1067" s="59">
        <f t="shared" si="269"/>
        <v>800</v>
      </c>
      <c r="B1067" s="66" t="s">
        <v>3042</v>
      </c>
      <c r="C1067" s="48">
        <f t="shared" si="265"/>
        <v>1190259.1100000001</v>
      </c>
      <c r="D1067" s="48">
        <f t="shared" si="266"/>
        <v>0</v>
      </c>
      <c r="E1067" s="48"/>
      <c r="F1067" s="48"/>
      <c r="G1067" s="48"/>
      <c r="H1067" s="48"/>
      <c r="I1067" s="48"/>
      <c r="J1067" s="48"/>
      <c r="K1067" s="48"/>
      <c r="L1067" s="48"/>
      <c r="M1067" s="48"/>
      <c r="N1067" s="48"/>
      <c r="O1067" s="55"/>
      <c r="P1067" s="48"/>
      <c r="Q1067" s="128"/>
      <c r="R1067" s="48"/>
      <c r="S1067" s="55"/>
      <c r="T1067" s="55"/>
      <c r="U1067" s="48"/>
      <c r="V1067" s="48"/>
      <c r="W1067" s="178">
        <f t="shared" si="267"/>
        <v>1190259.1100000001</v>
      </c>
      <c r="X1067" s="375"/>
      <c r="Y1067" s="376"/>
      <c r="Z1067" s="376"/>
      <c r="AA1067" s="48"/>
      <c r="AB1067" s="48">
        <v>323340.34999999998</v>
      </c>
      <c r="AC1067" s="187">
        <v>52934.45</v>
      </c>
      <c r="AD1067" s="48">
        <v>813984.31</v>
      </c>
      <c r="AE1067" s="56"/>
    </row>
    <row r="1068" spans="1:31" x14ac:dyDescent="0.3">
      <c r="A1068" s="59">
        <f t="shared" si="269"/>
        <v>801</v>
      </c>
      <c r="B1068" s="66" t="s">
        <v>3043</v>
      </c>
      <c r="C1068" s="48">
        <f t="shared" si="265"/>
        <v>1639743.93</v>
      </c>
      <c r="D1068" s="48">
        <f t="shared" si="266"/>
        <v>0</v>
      </c>
      <c r="E1068" s="48"/>
      <c r="F1068" s="48"/>
      <c r="G1068" s="48"/>
      <c r="H1068" s="48"/>
      <c r="I1068" s="48"/>
      <c r="J1068" s="48"/>
      <c r="K1068" s="48"/>
      <c r="L1068" s="48"/>
      <c r="M1068" s="48"/>
      <c r="N1068" s="48"/>
      <c r="O1068" s="55"/>
      <c r="P1068" s="48"/>
      <c r="Q1068" s="55"/>
      <c r="R1068" s="48"/>
      <c r="S1068" s="55"/>
      <c r="T1068" s="55"/>
      <c r="U1068" s="48"/>
      <c r="V1068" s="48"/>
      <c r="W1068" s="178">
        <f t="shared" si="267"/>
        <v>1639743.93</v>
      </c>
      <c r="X1068" s="375"/>
      <c r="Y1068" s="376"/>
      <c r="Z1068" s="376"/>
      <c r="AA1068" s="48"/>
      <c r="AB1068" s="48">
        <v>443920.3</v>
      </c>
      <c r="AC1068" s="187">
        <v>146922.65</v>
      </c>
      <c r="AD1068" s="48">
        <v>1048900.98</v>
      </c>
      <c r="AE1068" s="56"/>
    </row>
    <row r="1069" spans="1:31" x14ac:dyDescent="0.3">
      <c r="A1069" s="59">
        <f t="shared" si="269"/>
        <v>802</v>
      </c>
      <c r="B1069" s="66" t="s">
        <v>3044</v>
      </c>
      <c r="C1069" s="48">
        <f t="shared" si="265"/>
        <v>1183426.3</v>
      </c>
      <c r="D1069" s="48">
        <f t="shared" si="266"/>
        <v>0</v>
      </c>
      <c r="E1069" s="48"/>
      <c r="F1069" s="48"/>
      <c r="G1069" s="48"/>
      <c r="H1069" s="48"/>
      <c r="I1069" s="48"/>
      <c r="J1069" s="48"/>
      <c r="K1069" s="48"/>
      <c r="L1069" s="48"/>
      <c r="M1069" s="48"/>
      <c r="N1069" s="48"/>
      <c r="O1069" s="55"/>
      <c r="P1069" s="48"/>
      <c r="Q1069" s="55"/>
      <c r="R1069" s="48"/>
      <c r="S1069" s="55"/>
      <c r="T1069" s="55"/>
      <c r="U1069" s="48"/>
      <c r="V1069" s="48"/>
      <c r="W1069" s="178">
        <f t="shared" si="267"/>
        <v>1183426.3</v>
      </c>
      <c r="X1069" s="375"/>
      <c r="Y1069" s="376"/>
      <c r="Z1069" s="376"/>
      <c r="AA1069" s="48"/>
      <c r="AB1069" s="48">
        <v>322779.28999999998</v>
      </c>
      <c r="AC1069" s="187">
        <v>52848.22</v>
      </c>
      <c r="AD1069" s="48">
        <v>807798.79</v>
      </c>
      <c r="AE1069" s="56"/>
    </row>
    <row r="1070" spans="1:31" x14ac:dyDescent="0.3">
      <c r="A1070" s="59">
        <f t="shared" si="269"/>
        <v>803</v>
      </c>
      <c r="B1070" s="66" t="s">
        <v>3045</v>
      </c>
      <c r="C1070" s="48">
        <f t="shared" si="265"/>
        <v>1684243.2100000002</v>
      </c>
      <c r="D1070" s="48">
        <f t="shared" si="266"/>
        <v>0</v>
      </c>
      <c r="E1070" s="48"/>
      <c r="F1070" s="48"/>
      <c r="G1070" s="48"/>
      <c r="H1070" s="48"/>
      <c r="I1070" s="48"/>
      <c r="J1070" s="48"/>
      <c r="K1070" s="48"/>
      <c r="L1070" s="48"/>
      <c r="M1070" s="48"/>
      <c r="N1070" s="48"/>
      <c r="O1070" s="55"/>
      <c r="P1070" s="48"/>
      <c r="Q1070" s="128"/>
      <c r="R1070" s="48"/>
      <c r="S1070" s="55"/>
      <c r="T1070" s="55"/>
      <c r="U1070" s="48"/>
      <c r="V1070" s="48"/>
      <c r="W1070" s="178">
        <f t="shared" si="267"/>
        <v>1684243.2100000002</v>
      </c>
      <c r="X1070" s="375"/>
      <c r="Y1070" s="376"/>
      <c r="Z1070" s="376"/>
      <c r="AA1070" s="48"/>
      <c r="AB1070" s="48">
        <v>512388.84</v>
      </c>
      <c r="AC1070" s="187">
        <v>79262</v>
      </c>
      <c r="AD1070" s="48">
        <v>1092592.3700000001</v>
      </c>
      <c r="AE1070" s="56"/>
    </row>
    <row r="1071" spans="1:31" x14ac:dyDescent="0.3">
      <c r="A1071" s="59">
        <f t="shared" si="269"/>
        <v>804</v>
      </c>
      <c r="B1071" s="66" t="s">
        <v>3046</v>
      </c>
      <c r="C1071" s="48">
        <f t="shared" si="265"/>
        <v>1619657.19</v>
      </c>
      <c r="D1071" s="48">
        <f t="shared" si="266"/>
        <v>0</v>
      </c>
      <c r="E1071" s="48"/>
      <c r="F1071" s="48"/>
      <c r="G1071" s="48"/>
      <c r="H1071" s="48"/>
      <c r="I1071" s="48"/>
      <c r="J1071" s="48"/>
      <c r="K1071" s="48"/>
      <c r="L1071" s="48"/>
      <c r="M1071" s="48"/>
      <c r="N1071" s="48"/>
      <c r="O1071" s="55"/>
      <c r="P1071" s="48"/>
      <c r="Q1071" s="128"/>
      <c r="R1071" s="48"/>
      <c r="S1071" s="55"/>
      <c r="T1071" s="55"/>
      <c r="U1071" s="48"/>
      <c r="V1071" s="48"/>
      <c r="W1071" s="178">
        <f t="shared" si="267"/>
        <v>1619657.19</v>
      </c>
      <c r="X1071" s="375"/>
      <c r="Y1071" s="376"/>
      <c r="Z1071" s="376"/>
      <c r="AA1071" s="48"/>
      <c r="AB1071" s="48">
        <v>431504.37</v>
      </c>
      <c r="AC1071" s="187">
        <v>166681.21</v>
      </c>
      <c r="AD1071" s="48">
        <v>1021471.61</v>
      </c>
      <c r="AE1071" s="56"/>
    </row>
    <row r="1072" spans="1:31" x14ac:dyDescent="0.3">
      <c r="A1072" s="59">
        <f t="shared" si="269"/>
        <v>805</v>
      </c>
      <c r="B1072" s="66" t="s">
        <v>3047</v>
      </c>
      <c r="C1072" s="48">
        <f t="shared" si="265"/>
        <v>1927621.57</v>
      </c>
      <c r="D1072" s="48">
        <f t="shared" si="266"/>
        <v>0</v>
      </c>
      <c r="E1072" s="48"/>
      <c r="F1072" s="48"/>
      <c r="G1072" s="48"/>
      <c r="H1072" s="48"/>
      <c r="I1072" s="48"/>
      <c r="J1072" s="48"/>
      <c r="K1072" s="48"/>
      <c r="L1072" s="48"/>
      <c r="M1072" s="48"/>
      <c r="N1072" s="48"/>
      <c r="O1072" s="55"/>
      <c r="P1072" s="48"/>
      <c r="Q1072" s="128"/>
      <c r="R1072" s="48"/>
      <c r="S1072" s="55"/>
      <c r="T1072" s="55"/>
      <c r="U1072" s="48"/>
      <c r="V1072" s="48"/>
      <c r="W1072" s="178">
        <f t="shared" si="267"/>
        <v>1927621.57</v>
      </c>
      <c r="X1072" s="375"/>
      <c r="Y1072" s="376"/>
      <c r="Z1072" s="376"/>
      <c r="AA1072" s="48"/>
      <c r="AB1072" s="48">
        <v>533338.26</v>
      </c>
      <c r="AC1072" s="187">
        <v>142016</v>
      </c>
      <c r="AD1072" s="48">
        <v>1252267.31</v>
      </c>
      <c r="AE1072" s="56"/>
    </row>
    <row r="1073" spans="1:31" x14ac:dyDescent="0.3">
      <c r="A1073" s="59">
        <f t="shared" si="269"/>
        <v>806</v>
      </c>
      <c r="B1073" s="66" t="s">
        <v>3048</v>
      </c>
      <c r="C1073" s="48">
        <f t="shared" si="265"/>
        <v>1237561.02</v>
      </c>
      <c r="D1073" s="48">
        <f t="shared" si="266"/>
        <v>0</v>
      </c>
      <c r="E1073" s="48"/>
      <c r="F1073" s="48"/>
      <c r="G1073" s="48"/>
      <c r="H1073" s="48"/>
      <c r="I1073" s="48"/>
      <c r="J1073" s="48"/>
      <c r="K1073" s="48"/>
      <c r="L1073" s="48"/>
      <c r="M1073" s="48"/>
      <c r="N1073" s="48"/>
      <c r="O1073" s="55"/>
      <c r="P1073" s="48"/>
      <c r="Q1073" s="128"/>
      <c r="R1073" s="48"/>
      <c r="S1073" s="55"/>
      <c r="T1073" s="55"/>
      <c r="U1073" s="48"/>
      <c r="V1073" s="48"/>
      <c r="W1073" s="178">
        <f t="shared" si="267"/>
        <v>1237561.02</v>
      </c>
      <c r="X1073" s="375"/>
      <c r="Y1073" s="376"/>
      <c r="Z1073" s="376"/>
      <c r="AA1073" s="48"/>
      <c r="AB1073" s="48">
        <v>339361.68</v>
      </c>
      <c r="AC1073" s="187">
        <v>55396.81</v>
      </c>
      <c r="AD1073" s="48">
        <v>842802.53</v>
      </c>
      <c r="AE1073" s="56"/>
    </row>
    <row r="1074" spans="1:31" x14ac:dyDescent="0.3">
      <c r="A1074" s="59">
        <f t="shared" si="269"/>
        <v>807</v>
      </c>
      <c r="B1074" s="66" t="s">
        <v>3049</v>
      </c>
      <c r="C1074" s="48">
        <f t="shared" si="265"/>
        <v>2159680.41</v>
      </c>
      <c r="D1074" s="48">
        <f t="shared" si="266"/>
        <v>0</v>
      </c>
      <c r="E1074" s="48"/>
      <c r="F1074" s="48"/>
      <c r="G1074" s="48"/>
      <c r="H1074" s="48"/>
      <c r="I1074" s="48"/>
      <c r="J1074" s="48"/>
      <c r="K1074" s="48"/>
      <c r="L1074" s="48"/>
      <c r="M1074" s="48"/>
      <c r="N1074" s="48"/>
      <c r="O1074" s="55"/>
      <c r="P1074" s="48"/>
      <c r="Q1074" s="128"/>
      <c r="R1074" s="48"/>
      <c r="S1074" s="55"/>
      <c r="T1074" s="55"/>
      <c r="U1074" s="48"/>
      <c r="V1074" s="48"/>
      <c r="W1074" s="178">
        <f t="shared" si="267"/>
        <v>2159680.41</v>
      </c>
      <c r="X1074" s="375"/>
      <c r="Y1074" s="376">
        <v>275427.65999999997</v>
      </c>
      <c r="Z1074" s="376"/>
      <c r="AA1074" s="48"/>
      <c r="AB1074" s="48">
        <v>528824.86</v>
      </c>
      <c r="AC1074" s="187">
        <v>112687.91</v>
      </c>
      <c r="AD1074" s="48">
        <v>1242739.98</v>
      </c>
      <c r="AE1074" s="56"/>
    </row>
    <row r="1075" spans="1:31" x14ac:dyDescent="0.3">
      <c r="A1075" s="59">
        <f t="shared" si="269"/>
        <v>808</v>
      </c>
      <c r="B1075" s="66" t="s">
        <v>3050</v>
      </c>
      <c r="C1075" s="48">
        <f t="shared" si="265"/>
        <v>1674074.6</v>
      </c>
      <c r="D1075" s="48">
        <f t="shared" si="266"/>
        <v>0</v>
      </c>
      <c r="E1075" s="48"/>
      <c r="F1075" s="48"/>
      <c r="G1075" s="48"/>
      <c r="H1075" s="48"/>
      <c r="I1075" s="48"/>
      <c r="J1075" s="48"/>
      <c r="K1075" s="48"/>
      <c r="L1075" s="48"/>
      <c r="M1075" s="48"/>
      <c r="N1075" s="48"/>
      <c r="O1075" s="55"/>
      <c r="P1075" s="48"/>
      <c r="Q1075" s="128"/>
      <c r="R1075" s="48"/>
      <c r="S1075" s="55"/>
      <c r="T1075" s="55"/>
      <c r="U1075" s="48"/>
      <c r="V1075" s="48"/>
      <c r="W1075" s="178">
        <f t="shared" si="267"/>
        <v>1674074.6</v>
      </c>
      <c r="X1075" s="375"/>
      <c r="Y1075" s="376"/>
      <c r="Z1075" s="376"/>
      <c r="AA1075" s="48"/>
      <c r="AB1075" s="48">
        <v>509157.89</v>
      </c>
      <c r="AC1075" s="187">
        <v>78772.39</v>
      </c>
      <c r="AD1075" s="48">
        <v>1086144.32</v>
      </c>
      <c r="AE1075" s="56"/>
    </row>
    <row r="1076" spans="1:31" x14ac:dyDescent="0.3">
      <c r="A1076" s="59">
        <f t="shared" si="269"/>
        <v>809</v>
      </c>
      <c r="B1076" s="66" t="s">
        <v>3051</v>
      </c>
      <c r="C1076" s="48">
        <f t="shared" si="265"/>
        <v>461464.83</v>
      </c>
      <c r="D1076" s="48">
        <f t="shared" si="266"/>
        <v>0</v>
      </c>
      <c r="E1076" s="48"/>
      <c r="F1076" s="48"/>
      <c r="G1076" s="48"/>
      <c r="H1076" s="48"/>
      <c r="I1076" s="48"/>
      <c r="J1076" s="48"/>
      <c r="K1076" s="48"/>
      <c r="L1076" s="48"/>
      <c r="M1076" s="48"/>
      <c r="N1076" s="48"/>
      <c r="O1076" s="55"/>
      <c r="P1076" s="48"/>
      <c r="Q1076" s="55"/>
      <c r="R1076" s="48"/>
      <c r="S1076" s="55"/>
      <c r="T1076" s="55"/>
      <c r="U1076" s="48"/>
      <c r="V1076" s="48"/>
      <c r="W1076" s="178">
        <f t="shared" si="267"/>
        <v>461464.83</v>
      </c>
      <c r="X1076" s="375"/>
      <c r="Y1076" s="376">
        <v>169516.64</v>
      </c>
      <c r="Z1076" s="376"/>
      <c r="AA1076" s="48"/>
      <c r="AB1076" s="48">
        <v>291948.19</v>
      </c>
      <c r="AC1076" s="187"/>
      <c r="AD1076" s="48"/>
      <c r="AE1076" s="56"/>
    </row>
    <row r="1077" spans="1:31" x14ac:dyDescent="0.3">
      <c r="A1077" s="59">
        <f t="shared" si="269"/>
        <v>810</v>
      </c>
      <c r="B1077" s="66" t="s">
        <v>3052</v>
      </c>
      <c r="C1077" s="48">
        <f t="shared" si="265"/>
        <v>611578.76</v>
      </c>
      <c r="D1077" s="48">
        <f t="shared" si="266"/>
        <v>0</v>
      </c>
      <c r="E1077" s="48"/>
      <c r="F1077" s="48"/>
      <c r="G1077" s="48"/>
      <c r="H1077" s="48"/>
      <c r="I1077" s="48"/>
      <c r="J1077" s="48"/>
      <c r="K1077" s="48"/>
      <c r="L1077" s="48"/>
      <c r="M1077" s="48"/>
      <c r="N1077" s="48"/>
      <c r="O1077" s="55"/>
      <c r="P1077" s="48"/>
      <c r="Q1077" s="55"/>
      <c r="R1077" s="48"/>
      <c r="S1077" s="55"/>
      <c r="T1077" s="55"/>
      <c r="U1077" s="48"/>
      <c r="V1077" s="48"/>
      <c r="W1077" s="178">
        <f t="shared" si="267"/>
        <v>611578.76</v>
      </c>
      <c r="X1077" s="375"/>
      <c r="Y1077" s="376">
        <v>199940.6</v>
      </c>
      <c r="Z1077" s="376"/>
      <c r="AA1077" s="48"/>
      <c r="AB1077" s="48">
        <v>336965.8</v>
      </c>
      <c r="AC1077" s="187">
        <v>74672.36</v>
      </c>
      <c r="AD1077" s="48"/>
      <c r="AE1077" s="56"/>
    </row>
    <row r="1078" spans="1:31" x14ac:dyDescent="0.3">
      <c r="A1078" s="59">
        <f t="shared" si="269"/>
        <v>811</v>
      </c>
      <c r="B1078" s="66" t="s">
        <v>3053</v>
      </c>
      <c r="C1078" s="48">
        <f t="shared" si="265"/>
        <v>491094.06000000006</v>
      </c>
      <c r="D1078" s="48">
        <f t="shared" si="266"/>
        <v>0</v>
      </c>
      <c r="E1078" s="48"/>
      <c r="F1078" s="48"/>
      <c r="G1078" s="48"/>
      <c r="H1078" s="48"/>
      <c r="I1078" s="48"/>
      <c r="J1078" s="48"/>
      <c r="K1078" s="48"/>
      <c r="L1078" s="48"/>
      <c r="M1078" s="48"/>
      <c r="N1078" s="48"/>
      <c r="O1078" s="55"/>
      <c r="P1078" s="48"/>
      <c r="Q1078" s="55"/>
      <c r="R1078" s="48"/>
      <c r="S1078" s="55"/>
      <c r="T1078" s="55"/>
      <c r="U1078" s="48"/>
      <c r="V1078" s="48"/>
      <c r="W1078" s="178">
        <f t="shared" si="267"/>
        <v>491094.06000000006</v>
      </c>
      <c r="X1078" s="375"/>
      <c r="Y1078" s="376">
        <v>181465.48</v>
      </c>
      <c r="Z1078" s="376"/>
      <c r="AA1078" s="48"/>
      <c r="AB1078" s="48">
        <v>309628.58</v>
      </c>
      <c r="AC1078" s="187"/>
      <c r="AD1078" s="48"/>
      <c r="AE1078" s="56"/>
    </row>
    <row r="1079" spans="1:31" x14ac:dyDescent="0.3">
      <c r="A1079" s="59">
        <f t="shared" si="269"/>
        <v>812</v>
      </c>
      <c r="B1079" s="66" t="s">
        <v>3055</v>
      </c>
      <c r="C1079" s="48">
        <f t="shared" si="265"/>
        <v>258347.42</v>
      </c>
      <c r="D1079" s="48">
        <f t="shared" si="266"/>
        <v>0</v>
      </c>
      <c r="E1079" s="48"/>
      <c r="F1079" s="48"/>
      <c r="G1079" s="48"/>
      <c r="H1079" s="48"/>
      <c r="I1079" s="48"/>
      <c r="J1079" s="48"/>
      <c r="K1079" s="48"/>
      <c r="L1079" s="48"/>
      <c r="M1079" s="48"/>
      <c r="N1079" s="48"/>
      <c r="O1079" s="55"/>
      <c r="P1079" s="48"/>
      <c r="Q1079" s="55"/>
      <c r="R1079" s="48"/>
      <c r="S1079" s="55"/>
      <c r="T1079" s="55"/>
      <c r="U1079" s="48"/>
      <c r="V1079" s="48"/>
      <c r="W1079" s="178">
        <f t="shared" si="267"/>
        <v>258347.42</v>
      </c>
      <c r="X1079" s="375"/>
      <c r="Y1079" s="376">
        <v>258347.42</v>
      </c>
      <c r="Z1079" s="376"/>
      <c r="AA1079" s="48"/>
      <c r="AB1079" s="48"/>
      <c r="AC1079" s="187"/>
      <c r="AD1079" s="48"/>
      <c r="AE1079" s="56"/>
    </row>
    <row r="1080" spans="1:31" x14ac:dyDescent="0.3">
      <c r="A1080" s="59">
        <f t="shared" si="269"/>
        <v>813</v>
      </c>
      <c r="B1080" s="66" t="s">
        <v>3057</v>
      </c>
      <c r="C1080" s="48">
        <f t="shared" si="265"/>
        <v>2167214.58</v>
      </c>
      <c r="D1080" s="48">
        <f t="shared" si="266"/>
        <v>0</v>
      </c>
      <c r="E1080" s="48"/>
      <c r="F1080" s="48"/>
      <c r="G1080" s="48"/>
      <c r="H1080" s="48"/>
      <c r="I1080" s="48"/>
      <c r="J1080" s="48"/>
      <c r="K1080" s="48"/>
      <c r="L1080" s="48"/>
      <c r="M1080" s="48"/>
      <c r="N1080" s="48"/>
      <c r="O1080" s="55"/>
      <c r="P1080" s="48"/>
      <c r="Q1080" s="55"/>
      <c r="R1080" s="48"/>
      <c r="S1080" s="55"/>
      <c r="T1080" s="55"/>
      <c r="U1080" s="48"/>
      <c r="V1080" s="48"/>
      <c r="W1080" s="178">
        <f t="shared" si="267"/>
        <v>2167214.58</v>
      </c>
      <c r="X1080" s="375"/>
      <c r="Y1080" s="376">
        <v>272715.46000000002</v>
      </c>
      <c r="Z1080" s="376"/>
      <c r="AA1080" s="48"/>
      <c r="AB1080" s="48">
        <v>523501.03</v>
      </c>
      <c r="AC1080" s="187">
        <v>139496.16</v>
      </c>
      <c r="AD1080" s="48">
        <v>1231501.93</v>
      </c>
      <c r="AE1080" s="56"/>
    </row>
    <row r="1081" spans="1:31" x14ac:dyDescent="0.3">
      <c r="A1081" s="59">
        <f t="shared" si="269"/>
        <v>814</v>
      </c>
      <c r="B1081" s="66" t="s">
        <v>3058</v>
      </c>
      <c r="C1081" s="48">
        <f t="shared" si="265"/>
        <v>1595796.85</v>
      </c>
      <c r="D1081" s="48">
        <f t="shared" si="266"/>
        <v>0</v>
      </c>
      <c r="E1081" s="48"/>
      <c r="F1081" s="48"/>
      <c r="G1081" s="48"/>
      <c r="H1081" s="48"/>
      <c r="I1081" s="48"/>
      <c r="J1081" s="48"/>
      <c r="K1081" s="48"/>
      <c r="L1081" s="48"/>
      <c r="M1081" s="48"/>
      <c r="N1081" s="48"/>
      <c r="O1081" s="55"/>
      <c r="P1081" s="48"/>
      <c r="Q1081" s="55"/>
      <c r="R1081" s="48"/>
      <c r="S1081" s="55"/>
      <c r="T1081" s="55"/>
      <c r="U1081" s="48"/>
      <c r="V1081" s="48"/>
      <c r="W1081" s="178">
        <f t="shared" si="267"/>
        <v>1595796.85</v>
      </c>
      <c r="X1081" s="375"/>
      <c r="Y1081" s="376">
        <v>258347.42</v>
      </c>
      <c r="Z1081" s="376"/>
      <c r="AA1081" s="48"/>
      <c r="AB1081" s="48"/>
      <c r="AC1081" s="187">
        <v>159584.81</v>
      </c>
      <c r="AD1081" s="48">
        <v>1177864.6200000001</v>
      </c>
      <c r="AE1081" s="56"/>
    </row>
    <row r="1082" spans="1:31" x14ac:dyDescent="0.3">
      <c r="A1082" s="59">
        <f t="shared" si="269"/>
        <v>815</v>
      </c>
      <c r="B1082" s="66" t="s">
        <v>3059</v>
      </c>
      <c r="C1082" s="48">
        <f t="shared" si="265"/>
        <v>1029533.58</v>
      </c>
      <c r="D1082" s="48">
        <f t="shared" si="266"/>
        <v>0</v>
      </c>
      <c r="E1082" s="48"/>
      <c r="F1082" s="48"/>
      <c r="G1082" s="48"/>
      <c r="H1082" s="48"/>
      <c r="I1082" s="48"/>
      <c r="J1082" s="48"/>
      <c r="K1082" s="48"/>
      <c r="L1082" s="48"/>
      <c r="M1082" s="48"/>
      <c r="N1082" s="48"/>
      <c r="O1082" s="55"/>
      <c r="P1082" s="48"/>
      <c r="Q1082" s="55"/>
      <c r="R1082" s="48"/>
      <c r="S1082" s="55"/>
      <c r="T1082" s="55"/>
      <c r="U1082" s="48"/>
      <c r="V1082" s="48"/>
      <c r="W1082" s="178">
        <f t="shared" si="267"/>
        <v>1029533.58</v>
      </c>
      <c r="X1082" s="375"/>
      <c r="Y1082" s="376">
        <v>169930.51</v>
      </c>
      <c r="Z1082" s="376"/>
      <c r="AA1082" s="48"/>
      <c r="AB1082" s="48"/>
      <c r="AC1082" s="187">
        <v>146054.98000000001</v>
      </c>
      <c r="AD1082" s="48">
        <v>713548.09</v>
      </c>
      <c r="AE1082" s="56"/>
    </row>
    <row r="1083" spans="1:31" x14ac:dyDescent="0.3">
      <c r="A1083" s="59">
        <f t="shared" si="269"/>
        <v>816</v>
      </c>
      <c r="B1083" s="66" t="s">
        <v>3060</v>
      </c>
      <c r="C1083" s="48">
        <f t="shared" ref="C1083:C1114" si="270">D1083+K1083+L1083+N1083+P1083+R1083+S1083+U1083+V1083+W1083</f>
        <v>491094.06000000006</v>
      </c>
      <c r="D1083" s="48">
        <f t="shared" si="266"/>
        <v>0</v>
      </c>
      <c r="E1083" s="48"/>
      <c r="F1083" s="48"/>
      <c r="G1083" s="48"/>
      <c r="H1083" s="48"/>
      <c r="I1083" s="48"/>
      <c r="J1083" s="48"/>
      <c r="K1083" s="48"/>
      <c r="L1083" s="48"/>
      <c r="M1083" s="48"/>
      <c r="N1083" s="48"/>
      <c r="O1083" s="55"/>
      <c r="P1083" s="48"/>
      <c r="Q1083" s="55"/>
      <c r="R1083" s="48"/>
      <c r="S1083" s="55"/>
      <c r="T1083" s="55"/>
      <c r="U1083" s="48"/>
      <c r="V1083" s="48"/>
      <c r="W1083" s="178">
        <f t="shared" si="267"/>
        <v>491094.06000000006</v>
      </c>
      <c r="X1083" s="375"/>
      <c r="Y1083" s="376">
        <v>181465.48</v>
      </c>
      <c r="Z1083" s="376"/>
      <c r="AA1083" s="48"/>
      <c r="AB1083" s="48">
        <v>309628.58</v>
      </c>
      <c r="AC1083" s="187"/>
      <c r="AD1083" s="48"/>
      <c r="AE1083" s="56"/>
    </row>
    <row r="1084" spans="1:31" x14ac:dyDescent="0.3">
      <c r="A1084" s="59">
        <f t="shared" si="269"/>
        <v>817</v>
      </c>
      <c r="B1084" s="66" t="s">
        <v>3061</v>
      </c>
      <c r="C1084" s="48">
        <f t="shared" si="270"/>
        <v>1407050.49</v>
      </c>
      <c r="D1084" s="48">
        <f t="shared" si="266"/>
        <v>0</v>
      </c>
      <c r="E1084" s="48"/>
      <c r="F1084" s="48"/>
      <c r="G1084" s="48"/>
      <c r="H1084" s="48"/>
      <c r="I1084" s="48"/>
      <c r="J1084" s="48"/>
      <c r="K1084" s="48"/>
      <c r="L1084" s="48"/>
      <c r="M1084" s="48"/>
      <c r="N1084" s="48"/>
      <c r="O1084" s="55"/>
      <c r="P1084" s="48"/>
      <c r="Q1084" s="55"/>
      <c r="R1084" s="48"/>
      <c r="S1084" s="55"/>
      <c r="T1084" s="55"/>
      <c r="U1084" s="48"/>
      <c r="V1084" s="48"/>
      <c r="W1084" s="178">
        <f t="shared" si="267"/>
        <v>1407050.49</v>
      </c>
      <c r="X1084" s="375"/>
      <c r="Y1084" s="376">
        <v>168797.5</v>
      </c>
      <c r="Z1084" s="376"/>
      <c r="AA1084" s="48"/>
      <c r="AB1084" s="48">
        <v>339573.65</v>
      </c>
      <c r="AC1084" s="187">
        <v>55429.39</v>
      </c>
      <c r="AD1084" s="48">
        <v>843249.95</v>
      </c>
      <c r="AE1084" s="56"/>
    </row>
    <row r="1085" spans="1:31" x14ac:dyDescent="0.3">
      <c r="A1085" s="59">
        <f t="shared" si="269"/>
        <v>818</v>
      </c>
      <c r="B1085" s="66" t="s">
        <v>3062</v>
      </c>
      <c r="C1085" s="48">
        <f t="shared" si="270"/>
        <v>880415.53</v>
      </c>
      <c r="D1085" s="48">
        <f t="shared" si="266"/>
        <v>0</v>
      </c>
      <c r="E1085" s="48"/>
      <c r="F1085" s="48"/>
      <c r="G1085" s="48"/>
      <c r="H1085" s="48"/>
      <c r="I1085" s="48"/>
      <c r="J1085" s="48"/>
      <c r="K1085" s="48"/>
      <c r="L1085" s="48"/>
      <c r="M1085" s="48"/>
      <c r="N1085" s="48"/>
      <c r="O1085" s="55"/>
      <c r="P1085" s="48"/>
      <c r="Q1085" s="55"/>
      <c r="R1085" s="48"/>
      <c r="S1085" s="55"/>
      <c r="T1085" s="55"/>
      <c r="U1085" s="48"/>
      <c r="V1085" s="48"/>
      <c r="W1085" s="178">
        <f t="shared" si="267"/>
        <v>880415.53</v>
      </c>
      <c r="X1085" s="375"/>
      <c r="Y1085" s="376"/>
      <c r="Z1085" s="376"/>
      <c r="AA1085" s="48"/>
      <c r="AB1085" s="48"/>
      <c r="AC1085" s="187">
        <v>163189.16</v>
      </c>
      <c r="AD1085" s="48">
        <v>717226.37</v>
      </c>
      <c r="AE1085" s="56"/>
    </row>
    <row r="1086" spans="1:31" x14ac:dyDescent="0.3">
      <c r="A1086" s="59">
        <f t="shared" si="269"/>
        <v>819</v>
      </c>
      <c r="B1086" s="66" t="s">
        <v>3064</v>
      </c>
      <c r="C1086" s="48">
        <f t="shared" si="270"/>
        <v>600617.13</v>
      </c>
      <c r="D1086" s="48">
        <f t="shared" si="266"/>
        <v>0</v>
      </c>
      <c r="E1086" s="48"/>
      <c r="F1086" s="48"/>
      <c r="G1086" s="48"/>
      <c r="H1086" s="48"/>
      <c r="I1086" s="48"/>
      <c r="J1086" s="48"/>
      <c r="K1086" s="48"/>
      <c r="L1086" s="48"/>
      <c r="M1086" s="48"/>
      <c r="N1086" s="48"/>
      <c r="O1086" s="55"/>
      <c r="P1086" s="48"/>
      <c r="Q1086" s="55"/>
      <c r="R1086" s="48"/>
      <c r="S1086" s="55"/>
      <c r="T1086" s="55"/>
      <c r="U1086" s="48"/>
      <c r="V1086" s="48"/>
      <c r="W1086" s="178">
        <f t="shared" si="267"/>
        <v>600617.13</v>
      </c>
      <c r="X1086" s="375"/>
      <c r="Y1086" s="376">
        <v>168755.15</v>
      </c>
      <c r="Z1086" s="376"/>
      <c r="AA1086" s="48"/>
      <c r="AB1086" s="48">
        <v>339498.83</v>
      </c>
      <c r="AC1086" s="187">
        <v>92363.15</v>
      </c>
      <c r="AD1086" s="48"/>
      <c r="AE1086" s="56"/>
    </row>
    <row r="1087" spans="1:31" x14ac:dyDescent="0.3">
      <c r="A1087" s="59">
        <f t="shared" si="269"/>
        <v>820</v>
      </c>
      <c r="B1087" s="66" t="s">
        <v>3065</v>
      </c>
      <c r="C1087" s="48">
        <f t="shared" si="270"/>
        <v>1048086.6599999999</v>
      </c>
      <c r="D1087" s="48">
        <f t="shared" si="266"/>
        <v>0</v>
      </c>
      <c r="E1087" s="48"/>
      <c r="F1087" s="48"/>
      <c r="G1087" s="48"/>
      <c r="H1087" s="48"/>
      <c r="I1087" s="48"/>
      <c r="J1087" s="48"/>
      <c r="K1087" s="48"/>
      <c r="L1087" s="48"/>
      <c r="M1087" s="48"/>
      <c r="N1087" s="48"/>
      <c r="O1087" s="55"/>
      <c r="P1087" s="48"/>
      <c r="Q1087" s="128"/>
      <c r="R1087" s="48"/>
      <c r="S1087" s="55"/>
      <c r="T1087" s="55"/>
      <c r="U1087" s="48"/>
      <c r="V1087" s="48"/>
      <c r="W1087" s="178">
        <f t="shared" si="267"/>
        <v>1048086.6599999999</v>
      </c>
      <c r="X1087" s="375"/>
      <c r="Y1087" s="376">
        <v>171220</v>
      </c>
      <c r="Z1087" s="376"/>
      <c r="AA1087" s="48"/>
      <c r="AB1087" s="48"/>
      <c r="AC1087" s="187">
        <v>163318.57</v>
      </c>
      <c r="AD1087" s="48">
        <v>713548.09</v>
      </c>
      <c r="AE1087" s="56"/>
    </row>
    <row r="1088" spans="1:31" x14ac:dyDescent="0.3">
      <c r="A1088" s="59">
        <f t="shared" si="269"/>
        <v>821</v>
      </c>
      <c r="B1088" s="66" t="s">
        <v>3066</v>
      </c>
      <c r="C1088" s="48">
        <f t="shared" si="270"/>
        <v>1334474.57</v>
      </c>
      <c r="D1088" s="48">
        <f t="shared" si="266"/>
        <v>0</v>
      </c>
      <c r="E1088" s="48"/>
      <c r="F1088" s="48"/>
      <c r="G1088" s="48"/>
      <c r="H1088" s="48"/>
      <c r="I1088" s="48"/>
      <c r="J1088" s="48"/>
      <c r="K1088" s="48"/>
      <c r="L1088" s="48"/>
      <c r="M1088" s="48"/>
      <c r="N1088" s="48"/>
      <c r="O1088" s="55"/>
      <c r="P1088" s="48"/>
      <c r="Q1088" s="128"/>
      <c r="R1088" s="48"/>
      <c r="S1088" s="55"/>
      <c r="T1088" s="55"/>
      <c r="U1088" s="48"/>
      <c r="V1088" s="48"/>
      <c r="W1088" s="178">
        <f t="shared" si="267"/>
        <v>1334474.57</v>
      </c>
      <c r="X1088" s="375"/>
      <c r="Y1088" s="376">
        <v>160571.42000000001</v>
      </c>
      <c r="Z1088" s="376"/>
      <c r="AA1088" s="48"/>
      <c r="AB1088" s="48">
        <v>325297.82</v>
      </c>
      <c r="AC1088" s="187">
        <v>35490.19</v>
      </c>
      <c r="AD1088" s="48">
        <v>813115.14</v>
      </c>
      <c r="AE1088" s="56"/>
    </row>
    <row r="1089" spans="1:31" x14ac:dyDescent="0.3">
      <c r="A1089" s="59">
        <f t="shared" si="269"/>
        <v>822</v>
      </c>
      <c r="B1089" s="66" t="s">
        <v>3067</v>
      </c>
      <c r="C1089" s="48">
        <f t="shared" si="270"/>
        <v>1406154.11</v>
      </c>
      <c r="D1089" s="48">
        <f t="shared" si="266"/>
        <v>0</v>
      </c>
      <c r="E1089" s="48"/>
      <c r="F1089" s="48"/>
      <c r="G1089" s="48"/>
      <c r="H1089" s="48"/>
      <c r="I1089" s="48"/>
      <c r="J1089" s="48"/>
      <c r="K1089" s="48"/>
      <c r="L1089" s="48"/>
      <c r="M1089" s="48"/>
      <c r="N1089" s="48"/>
      <c r="O1089" s="55"/>
      <c r="P1089" s="48"/>
      <c r="Q1089" s="128"/>
      <c r="R1089" s="48"/>
      <c r="S1089" s="55"/>
      <c r="T1089" s="55"/>
      <c r="U1089" s="48"/>
      <c r="V1089" s="48"/>
      <c r="W1089" s="178">
        <f t="shared" si="267"/>
        <v>1406154.11</v>
      </c>
      <c r="X1089" s="375"/>
      <c r="Y1089" s="376">
        <v>168593.09</v>
      </c>
      <c r="Z1089" s="376"/>
      <c r="AA1089" s="48"/>
      <c r="AB1089" s="48">
        <v>339361.68</v>
      </c>
      <c r="AC1089" s="187">
        <v>55396.81</v>
      </c>
      <c r="AD1089" s="48">
        <v>842802.53</v>
      </c>
      <c r="AE1089" s="56"/>
    </row>
    <row r="1090" spans="1:31" x14ac:dyDescent="0.3">
      <c r="A1090" s="59">
        <f t="shared" si="269"/>
        <v>823</v>
      </c>
      <c r="B1090" s="66" t="s">
        <v>3068</v>
      </c>
      <c r="C1090" s="48">
        <f t="shared" si="270"/>
        <v>1044666.96</v>
      </c>
      <c r="D1090" s="48">
        <f t="shared" si="266"/>
        <v>0</v>
      </c>
      <c r="E1090" s="48"/>
      <c r="F1090" s="48"/>
      <c r="G1090" s="48"/>
      <c r="H1090" s="48"/>
      <c r="I1090" s="48"/>
      <c r="J1090" s="48"/>
      <c r="K1090" s="48"/>
      <c r="L1090" s="48"/>
      <c r="M1090" s="48"/>
      <c r="N1090" s="48"/>
      <c r="O1090" s="55"/>
      <c r="P1090" s="48"/>
      <c r="Q1090" s="128"/>
      <c r="R1090" s="48"/>
      <c r="S1090" s="55"/>
      <c r="T1090" s="55"/>
      <c r="U1090" s="48"/>
      <c r="V1090" s="48"/>
      <c r="W1090" s="178">
        <f t="shared" si="267"/>
        <v>1044666.96</v>
      </c>
      <c r="X1090" s="375"/>
      <c r="Y1090" s="376">
        <v>160571.42000000001</v>
      </c>
      <c r="Z1090" s="376"/>
      <c r="AA1090" s="48"/>
      <c r="AB1090" s="48"/>
      <c r="AC1090" s="187">
        <v>70980.399999999994</v>
      </c>
      <c r="AD1090" s="48">
        <v>813115.14</v>
      </c>
      <c r="AE1090" s="56"/>
    </row>
    <row r="1091" spans="1:31" x14ac:dyDescent="0.3">
      <c r="A1091" s="59">
        <f t="shared" si="269"/>
        <v>824</v>
      </c>
      <c r="B1091" s="66" t="s">
        <v>3070</v>
      </c>
      <c r="C1091" s="48">
        <f t="shared" si="270"/>
        <v>187483.24</v>
      </c>
      <c r="D1091" s="48">
        <f t="shared" si="266"/>
        <v>0</v>
      </c>
      <c r="E1091" s="48"/>
      <c r="F1091" s="48"/>
      <c r="G1091" s="48"/>
      <c r="H1091" s="48"/>
      <c r="I1091" s="48"/>
      <c r="J1091" s="48"/>
      <c r="K1091" s="48"/>
      <c r="L1091" s="48"/>
      <c r="M1091" s="48"/>
      <c r="N1091" s="48"/>
      <c r="O1091" s="55"/>
      <c r="P1091" s="48"/>
      <c r="Q1091" s="55"/>
      <c r="R1091" s="48"/>
      <c r="S1091" s="55"/>
      <c r="T1091" s="55"/>
      <c r="U1091" s="48"/>
      <c r="V1091" s="48"/>
      <c r="W1091" s="178">
        <f t="shared" si="267"/>
        <v>187483.24</v>
      </c>
      <c r="X1091" s="375"/>
      <c r="Y1091" s="376"/>
      <c r="Z1091" s="376"/>
      <c r="AA1091" s="48"/>
      <c r="AB1091" s="48"/>
      <c r="AC1091" s="187">
        <v>187483.24</v>
      </c>
      <c r="AD1091" s="48"/>
      <c r="AE1091" s="56"/>
    </row>
    <row r="1092" spans="1:31" x14ac:dyDescent="0.3">
      <c r="A1092" s="59">
        <f t="shared" si="269"/>
        <v>825</v>
      </c>
      <c r="B1092" s="66" t="s">
        <v>3071</v>
      </c>
      <c r="C1092" s="48">
        <f t="shared" si="270"/>
        <v>1120387.1400000001</v>
      </c>
      <c r="D1092" s="48">
        <f t="shared" si="266"/>
        <v>0</v>
      </c>
      <c r="E1092" s="48"/>
      <c r="F1092" s="48"/>
      <c r="G1092" s="48"/>
      <c r="H1092" s="48"/>
      <c r="I1092" s="48"/>
      <c r="J1092" s="48"/>
      <c r="K1092" s="48"/>
      <c r="L1092" s="48"/>
      <c r="M1092" s="48"/>
      <c r="N1092" s="48"/>
      <c r="O1092" s="55"/>
      <c r="P1092" s="48"/>
      <c r="Q1092" s="128"/>
      <c r="R1092" s="48"/>
      <c r="S1092" s="55"/>
      <c r="T1092" s="55"/>
      <c r="U1092" s="48"/>
      <c r="V1092" s="48"/>
      <c r="W1092" s="178">
        <f t="shared" si="267"/>
        <v>1120387.1400000001</v>
      </c>
      <c r="X1092" s="375"/>
      <c r="Y1092" s="376"/>
      <c r="Z1092" s="376"/>
      <c r="AA1092" s="48"/>
      <c r="AB1092" s="48"/>
      <c r="AC1092" s="187">
        <v>156716.85999999999</v>
      </c>
      <c r="AD1092" s="48">
        <v>963670.28</v>
      </c>
      <c r="AE1092" s="56"/>
    </row>
    <row r="1093" spans="1:31" x14ac:dyDescent="0.3">
      <c r="A1093" s="59">
        <f t="shared" si="269"/>
        <v>826</v>
      </c>
      <c r="B1093" s="66" t="s">
        <v>3072</v>
      </c>
      <c r="C1093" s="48">
        <f t="shared" si="270"/>
        <v>919346.59</v>
      </c>
      <c r="D1093" s="48">
        <f t="shared" si="266"/>
        <v>0</v>
      </c>
      <c r="E1093" s="48"/>
      <c r="F1093" s="48"/>
      <c r="G1093" s="48"/>
      <c r="H1093" s="48"/>
      <c r="I1093" s="48"/>
      <c r="J1093" s="48"/>
      <c r="K1093" s="48"/>
      <c r="L1093" s="48"/>
      <c r="M1093" s="48"/>
      <c r="N1093" s="48"/>
      <c r="O1093" s="55"/>
      <c r="P1093" s="48"/>
      <c r="Q1093" s="128"/>
      <c r="R1093" s="48"/>
      <c r="S1093" s="55"/>
      <c r="T1093" s="55"/>
      <c r="U1093" s="48"/>
      <c r="V1093" s="48"/>
      <c r="W1093" s="178">
        <f t="shared" si="267"/>
        <v>919346.59</v>
      </c>
      <c r="X1093" s="375"/>
      <c r="Y1093" s="376"/>
      <c r="Z1093" s="376">
        <v>140397.34</v>
      </c>
      <c r="AA1093" s="48">
        <v>138250.93</v>
      </c>
      <c r="AB1093" s="48"/>
      <c r="AC1093" s="187">
        <v>138974.82999999999</v>
      </c>
      <c r="AD1093" s="48">
        <v>501723.49</v>
      </c>
      <c r="AE1093" s="56"/>
    </row>
    <row r="1094" spans="1:31" x14ac:dyDescent="0.3">
      <c r="A1094" s="59">
        <f t="shared" si="269"/>
        <v>827</v>
      </c>
      <c r="B1094" s="66" t="s">
        <v>3073</v>
      </c>
      <c r="C1094" s="48">
        <f t="shared" si="270"/>
        <v>1588492.22</v>
      </c>
      <c r="D1094" s="48">
        <f t="shared" si="266"/>
        <v>0</v>
      </c>
      <c r="E1094" s="48"/>
      <c r="F1094" s="48"/>
      <c r="G1094" s="48"/>
      <c r="H1094" s="48"/>
      <c r="I1094" s="48"/>
      <c r="J1094" s="48"/>
      <c r="K1094" s="48"/>
      <c r="L1094" s="48"/>
      <c r="M1094" s="48"/>
      <c r="N1094" s="48"/>
      <c r="O1094" s="55"/>
      <c r="P1094" s="48"/>
      <c r="Q1094" s="128"/>
      <c r="R1094" s="48"/>
      <c r="S1094" s="55"/>
      <c r="T1094" s="55"/>
      <c r="U1094" s="48"/>
      <c r="V1094" s="48"/>
      <c r="W1094" s="178">
        <f t="shared" si="267"/>
        <v>1588492.22</v>
      </c>
      <c r="X1094" s="375"/>
      <c r="Y1094" s="376"/>
      <c r="Z1094" s="376"/>
      <c r="AA1094" s="48"/>
      <c r="AB1094" s="48">
        <v>481965.16</v>
      </c>
      <c r="AC1094" s="187">
        <v>74651.7</v>
      </c>
      <c r="AD1094" s="48">
        <v>1031875.36</v>
      </c>
      <c r="AE1094" s="56"/>
    </row>
    <row r="1095" spans="1:31" x14ac:dyDescent="0.3">
      <c r="A1095" s="59">
        <f t="shared" si="269"/>
        <v>828</v>
      </c>
      <c r="B1095" s="66" t="s">
        <v>3074</v>
      </c>
      <c r="C1095" s="48">
        <f t="shared" si="270"/>
        <v>910627.06</v>
      </c>
      <c r="D1095" s="48">
        <f t="shared" si="266"/>
        <v>0</v>
      </c>
      <c r="E1095" s="48"/>
      <c r="F1095" s="48"/>
      <c r="G1095" s="48"/>
      <c r="H1095" s="48"/>
      <c r="I1095" s="48"/>
      <c r="J1095" s="48"/>
      <c r="K1095" s="48"/>
      <c r="L1095" s="48"/>
      <c r="M1095" s="48"/>
      <c r="N1095" s="48"/>
      <c r="O1095" s="55"/>
      <c r="P1095" s="48"/>
      <c r="Q1095" s="128"/>
      <c r="R1095" s="48"/>
      <c r="S1095" s="55"/>
      <c r="T1095" s="55"/>
      <c r="U1095" s="48"/>
      <c r="V1095" s="48"/>
      <c r="W1095" s="178">
        <f t="shared" si="267"/>
        <v>910627.06</v>
      </c>
      <c r="X1095" s="375"/>
      <c r="Y1095" s="376"/>
      <c r="Z1095" s="376"/>
      <c r="AA1095" s="48"/>
      <c r="AB1095" s="48"/>
      <c r="AC1095" s="187">
        <v>169159.14</v>
      </c>
      <c r="AD1095" s="48">
        <v>741467.92</v>
      </c>
      <c r="AE1095" s="56"/>
    </row>
    <row r="1096" spans="1:31" x14ac:dyDescent="0.3">
      <c r="A1096" s="59">
        <f t="shared" si="269"/>
        <v>829</v>
      </c>
      <c r="B1096" s="66" t="s">
        <v>3075</v>
      </c>
      <c r="C1096" s="48">
        <f t="shared" si="270"/>
        <v>190994.48</v>
      </c>
      <c r="D1096" s="48">
        <f t="shared" si="266"/>
        <v>0</v>
      </c>
      <c r="E1096" s="48"/>
      <c r="F1096" s="48"/>
      <c r="G1096" s="48"/>
      <c r="H1096" s="48"/>
      <c r="I1096" s="48"/>
      <c r="J1096" s="48"/>
      <c r="K1096" s="48"/>
      <c r="L1096" s="48"/>
      <c r="M1096" s="48"/>
      <c r="N1096" s="48"/>
      <c r="O1096" s="55"/>
      <c r="P1096" s="48"/>
      <c r="Q1096" s="55"/>
      <c r="R1096" s="48"/>
      <c r="S1096" s="55"/>
      <c r="T1096" s="55"/>
      <c r="U1096" s="48"/>
      <c r="V1096" s="48"/>
      <c r="W1096" s="178">
        <f t="shared" si="267"/>
        <v>190994.48</v>
      </c>
      <c r="X1096" s="375"/>
      <c r="Y1096" s="376"/>
      <c r="Z1096" s="376"/>
      <c r="AA1096" s="48"/>
      <c r="AB1096" s="48"/>
      <c r="AC1096" s="187">
        <v>190994.48</v>
      </c>
      <c r="AD1096" s="48"/>
      <c r="AE1096" s="56"/>
    </row>
    <row r="1097" spans="1:31" x14ac:dyDescent="0.3">
      <c r="A1097" s="59">
        <f t="shared" si="269"/>
        <v>830</v>
      </c>
      <c r="B1097" s="66" t="s">
        <v>3076</v>
      </c>
      <c r="C1097" s="48">
        <f t="shared" si="270"/>
        <v>418546.72</v>
      </c>
      <c r="D1097" s="48">
        <f t="shared" si="266"/>
        <v>0</v>
      </c>
      <c r="E1097" s="48"/>
      <c r="F1097" s="48"/>
      <c r="G1097" s="48"/>
      <c r="H1097" s="48"/>
      <c r="I1097" s="48"/>
      <c r="J1097" s="48"/>
      <c r="K1097" s="48"/>
      <c r="L1097" s="48"/>
      <c r="M1097" s="48"/>
      <c r="N1097" s="48"/>
      <c r="O1097" s="55"/>
      <c r="P1097" s="48"/>
      <c r="Q1097" s="55"/>
      <c r="R1097" s="48"/>
      <c r="S1097" s="55"/>
      <c r="T1097" s="55"/>
      <c r="U1097" s="48"/>
      <c r="V1097" s="48"/>
      <c r="W1097" s="178">
        <f t="shared" si="267"/>
        <v>418546.72</v>
      </c>
      <c r="X1097" s="375"/>
      <c r="Y1097" s="376"/>
      <c r="Z1097" s="376">
        <v>140772.35999999999</v>
      </c>
      <c r="AA1097" s="48">
        <v>138521.29999999999</v>
      </c>
      <c r="AB1097" s="48"/>
      <c r="AC1097" s="187">
        <v>139253.06</v>
      </c>
      <c r="AD1097" s="48"/>
      <c r="AE1097" s="56"/>
    </row>
    <row r="1098" spans="1:31" x14ac:dyDescent="0.3">
      <c r="A1098" s="59">
        <f t="shared" si="269"/>
        <v>831</v>
      </c>
      <c r="B1098" s="66" t="s">
        <v>3077</v>
      </c>
      <c r="C1098" s="48">
        <f t="shared" si="270"/>
        <v>205078.59</v>
      </c>
      <c r="D1098" s="48">
        <f t="shared" si="266"/>
        <v>0</v>
      </c>
      <c r="E1098" s="48"/>
      <c r="F1098" s="48"/>
      <c r="G1098" s="48"/>
      <c r="H1098" s="48"/>
      <c r="I1098" s="48"/>
      <c r="J1098" s="48"/>
      <c r="K1098" s="48"/>
      <c r="L1098" s="48"/>
      <c r="M1098" s="48"/>
      <c r="N1098" s="48"/>
      <c r="O1098" s="55"/>
      <c r="P1098" s="48"/>
      <c r="Q1098" s="55"/>
      <c r="R1098" s="48"/>
      <c r="S1098" s="55"/>
      <c r="T1098" s="55"/>
      <c r="U1098" s="48"/>
      <c r="V1098" s="48"/>
      <c r="W1098" s="178">
        <f t="shared" si="267"/>
        <v>205078.59</v>
      </c>
      <c r="X1098" s="375"/>
      <c r="Y1098" s="376"/>
      <c r="Z1098" s="376">
        <v>89245.22</v>
      </c>
      <c r="AA1098" s="48">
        <v>115833.37</v>
      </c>
      <c r="AB1098" s="48"/>
      <c r="AC1098" s="187"/>
      <c r="AD1098" s="48"/>
      <c r="AE1098" s="56"/>
    </row>
    <row r="1099" spans="1:31" x14ac:dyDescent="0.3">
      <c r="A1099" s="59">
        <f t="shared" si="269"/>
        <v>832</v>
      </c>
      <c r="B1099" s="66" t="s">
        <v>3079</v>
      </c>
      <c r="C1099" s="48">
        <f t="shared" si="270"/>
        <v>902596.8899999999</v>
      </c>
      <c r="D1099" s="48">
        <f t="shared" si="266"/>
        <v>0</v>
      </c>
      <c r="E1099" s="48"/>
      <c r="F1099" s="48"/>
      <c r="G1099" s="48"/>
      <c r="H1099" s="48"/>
      <c r="I1099" s="48"/>
      <c r="J1099" s="48"/>
      <c r="K1099" s="48"/>
      <c r="L1099" s="48"/>
      <c r="M1099" s="48"/>
      <c r="N1099" s="48"/>
      <c r="O1099" s="55"/>
      <c r="P1099" s="48"/>
      <c r="Q1099" s="128"/>
      <c r="R1099" s="48"/>
      <c r="S1099" s="55"/>
      <c r="T1099" s="55"/>
      <c r="U1099" s="48"/>
      <c r="V1099" s="48"/>
      <c r="W1099" s="178">
        <f t="shared" si="267"/>
        <v>902596.8899999999</v>
      </c>
      <c r="X1099" s="375"/>
      <c r="Y1099" s="376"/>
      <c r="Z1099" s="376"/>
      <c r="AA1099" s="48"/>
      <c r="AB1099" s="48"/>
      <c r="AC1099" s="187">
        <v>550534.1</v>
      </c>
      <c r="AD1099" s="48">
        <v>352062.79</v>
      </c>
      <c r="AE1099" s="56"/>
    </row>
    <row r="1100" spans="1:31" x14ac:dyDescent="0.3">
      <c r="A1100" s="59">
        <f t="shared" si="269"/>
        <v>833</v>
      </c>
      <c r="B1100" s="66" t="s">
        <v>3080</v>
      </c>
      <c r="C1100" s="48">
        <f t="shared" si="270"/>
        <v>780534.66999999993</v>
      </c>
      <c r="D1100" s="48">
        <f t="shared" si="266"/>
        <v>0</v>
      </c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55"/>
      <c r="P1100" s="48"/>
      <c r="Q1100" s="128"/>
      <c r="R1100" s="48"/>
      <c r="S1100" s="55"/>
      <c r="T1100" s="55"/>
      <c r="U1100" s="48"/>
      <c r="V1100" s="48"/>
      <c r="W1100" s="178">
        <f t="shared" si="267"/>
        <v>780534.66999999993</v>
      </c>
      <c r="X1100" s="375"/>
      <c r="Y1100" s="376"/>
      <c r="Z1100" s="376">
        <v>140772.35999999999</v>
      </c>
      <c r="AA1100" s="48">
        <v>138521.29999999999</v>
      </c>
      <c r="AB1100" s="48"/>
      <c r="AC1100" s="187"/>
      <c r="AD1100" s="48">
        <v>501241.01</v>
      </c>
      <c r="AE1100" s="56"/>
    </row>
    <row r="1101" spans="1:31" x14ac:dyDescent="0.3">
      <c r="A1101" s="59">
        <f t="shared" si="269"/>
        <v>834</v>
      </c>
      <c r="B1101" s="66" t="s">
        <v>3081</v>
      </c>
      <c r="C1101" s="48">
        <f t="shared" si="270"/>
        <v>722981.49</v>
      </c>
      <c r="D1101" s="48">
        <f t="shared" si="266"/>
        <v>0</v>
      </c>
      <c r="E1101" s="48"/>
      <c r="F1101" s="48"/>
      <c r="G1101" s="48"/>
      <c r="H1101" s="48"/>
      <c r="I1101" s="48"/>
      <c r="J1101" s="48"/>
      <c r="K1101" s="48"/>
      <c r="L1101" s="48"/>
      <c r="M1101" s="48"/>
      <c r="N1101" s="48"/>
      <c r="O1101" s="55"/>
      <c r="P1101" s="48"/>
      <c r="Q1101" s="346"/>
      <c r="R1101" s="48"/>
      <c r="S1101" s="55"/>
      <c r="T1101" s="55"/>
      <c r="U1101" s="48"/>
      <c r="V1101" s="48"/>
      <c r="W1101" s="178">
        <f t="shared" si="267"/>
        <v>722981.49</v>
      </c>
      <c r="X1101" s="375"/>
      <c r="Y1101" s="376"/>
      <c r="Z1101" s="376"/>
      <c r="AA1101" s="48"/>
      <c r="AB1101" s="48"/>
      <c r="AC1101" s="187">
        <v>166488.17000000001</v>
      </c>
      <c r="AD1101" s="48">
        <v>556493.31999999995</v>
      </c>
      <c r="AE1101" s="56"/>
    </row>
    <row r="1102" spans="1:31" x14ac:dyDescent="0.3">
      <c r="A1102" s="59">
        <f t="shared" si="269"/>
        <v>835</v>
      </c>
      <c r="B1102" s="66" t="s">
        <v>3082</v>
      </c>
      <c r="C1102" s="48">
        <f t="shared" si="270"/>
        <v>1067622.25</v>
      </c>
      <c r="D1102" s="48">
        <f t="shared" si="266"/>
        <v>0</v>
      </c>
      <c r="E1102" s="48"/>
      <c r="F1102" s="48"/>
      <c r="G1102" s="48"/>
      <c r="H1102" s="48"/>
      <c r="I1102" s="48"/>
      <c r="J1102" s="48"/>
      <c r="K1102" s="48"/>
      <c r="L1102" s="48"/>
      <c r="M1102" s="48"/>
      <c r="N1102" s="48"/>
      <c r="O1102" s="55"/>
      <c r="P1102" s="48"/>
      <c r="Q1102" s="128"/>
      <c r="R1102" s="48"/>
      <c r="S1102" s="55"/>
      <c r="T1102" s="55"/>
      <c r="U1102" s="48"/>
      <c r="V1102" s="48"/>
      <c r="W1102" s="178">
        <f t="shared" si="267"/>
        <v>1067622.25</v>
      </c>
      <c r="X1102" s="375"/>
      <c r="Y1102" s="376"/>
      <c r="Z1102" s="187">
        <v>186271.24</v>
      </c>
      <c r="AA1102" s="48">
        <v>148600.74</v>
      </c>
      <c r="AB1102" s="48"/>
      <c r="AC1102" s="187">
        <v>158874.70000000001</v>
      </c>
      <c r="AD1102" s="48">
        <v>573875.56999999995</v>
      </c>
      <c r="AE1102" s="56"/>
    </row>
    <row r="1103" spans="1:31" x14ac:dyDescent="0.3">
      <c r="A1103" s="59">
        <f t="shared" si="269"/>
        <v>836</v>
      </c>
      <c r="B1103" s="66" t="s">
        <v>3083</v>
      </c>
      <c r="C1103" s="48">
        <f t="shared" si="270"/>
        <v>1376653.51</v>
      </c>
      <c r="D1103" s="48">
        <f t="shared" si="266"/>
        <v>0</v>
      </c>
      <c r="E1103" s="48"/>
      <c r="F1103" s="48"/>
      <c r="G1103" s="48"/>
      <c r="H1103" s="48"/>
      <c r="I1103" s="48"/>
      <c r="J1103" s="48"/>
      <c r="K1103" s="48"/>
      <c r="L1103" s="48"/>
      <c r="M1103" s="48"/>
      <c r="N1103" s="48"/>
      <c r="O1103" s="55"/>
      <c r="P1103" s="48"/>
      <c r="Q1103" s="55"/>
      <c r="R1103" s="48"/>
      <c r="S1103" s="55"/>
      <c r="T1103" s="55"/>
      <c r="U1103" s="48"/>
      <c r="V1103" s="48"/>
      <c r="W1103" s="178">
        <f t="shared" si="267"/>
        <v>1376653.51</v>
      </c>
      <c r="X1103" s="375"/>
      <c r="Y1103" s="376">
        <v>186937.43</v>
      </c>
      <c r="Z1103" s="376"/>
      <c r="AA1103" s="48"/>
      <c r="AB1103" s="48">
        <v>316637.32</v>
      </c>
      <c r="AC1103" s="187">
        <v>105372.54</v>
      </c>
      <c r="AD1103" s="48">
        <v>767706.22</v>
      </c>
      <c r="AE1103" s="56"/>
    </row>
    <row r="1104" spans="1:31" x14ac:dyDescent="0.3">
      <c r="A1104" s="59">
        <f t="shared" si="269"/>
        <v>837</v>
      </c>
      <c r="B1104" s="66" t="s">
        <v>3084</v>
      </c>
      <c r="C1104" s="48">
        <f t="shared" si="270"/>
        <v>1369006.2200000002</v>
      </c>
      <c r="D1104" s="48">
        <f t="shared" si="266"/>
        <v>0</v>
      </c>
      <c r="E1104" s="48"/>
      <c r="F1104" s="48"/>
      <c r="G1104" s="48"/>
      <c r="H1104" s="48"/>
      <c r="I1104" s="48"/>
      <c r="J1104" s="48"/>
      <c r="K1104" s="48"/>
      <c r="L1104" s="48"/>
      <c r="M1104" s="48"/>
      <c r="N1104" s="48"/>
      <c r="O1104" s="55"/>
      <c r="P1104" s="48"/>
      <c r="Q1104" s="128"/>
      <c r="R1104" s="48"/>
      <c r="S1104" s="55"/>
      <c r="T1104" s="55"/>
      <c r="U1104" s="48"/>
      <c r="V1104" s="48"/>
      <c r="W1104" s="178">
        <f t="shared" si="267"/>
        <v>1369006.2200000002</v>
      </c>
      <c r="X1104" s="375"/>
      <c r="Y1104" s="376">
        <v>160770.85</v>
      </c>
      <c r="Z1104" s="376"/>
      <c r="AA1104" s="48"/>
      <c r="AB1104" s="48">
        <v>341884.93</v>
      </c>
      <c r="AC1104" s="187">
        <v>53235.3</v>
      </c>
      <c r="AD1104" s="48">
        <v>813115.14</v>
      </c>
      <c r="AE1104" s="56"/>
    </row>
    <row r="1105" spans="1:31" x14ac:dyDescent="0.3">
      <c r="A1105" s="59">
        <f t="shared" si="269"/>
        <v>838</v>
      </c>
      <c r="B1105" s="66" t="s">
        <v>3085</v>
      </c>
      <c r="C1105" s="48">
        <f t="shared" si="270"/>
        <v>1443772.35</v>
      </c>
      <c r="D1105" s="48">
        <f t="shared" si="266"/>
        <v>0</v>
      </c>
      <c r="E1105" s="48"/>
      <c r="F1105" s="48"/>
      <c r="G1105" s="48"/>
      <c r="H1105" s="48"/>
      <c r="I1105" s="48"/>
      <c r="J1105" s="48"/>
      <c r="K1105" s="48"/>
      <c r="L1105" s="48"/>
      <c r="M1105" s="48"/>
      <c r="N1105" s="48"/>
      <c r="O1105" s="55"/>
      <c r="P1105" s="48"/>
      <c r="Q1105" s="128"/>
      <c r="R1105" s="48"/>
      <c r="S1105" s="55"/>
      <c r="T1105" s="55"/>
      <c r="U1105" s="48"/>
      <c r="V1105" s="48"/>
      <c r="W1105" s="178">
        <f t="shared" si="267"/>
        <v>1443772.35</v>
      </c>
      <c r="X1105" s="375"/>
      <c r="Y1105" s="376">
        <v>168818.35</v>
      </c>
      <c r="Z1105" s="376"/>
      <c r="AA1105" s="48"/>
      <c r="AB1105" s="48">
        <v>339498.83</v>
      </c>
      <c r="AC1105" s="187">
        <v>92363.15</v>
      </c>
      <c r="AD1105" s="48">
        <v>843092.02</v>
      </c>
      <c r="AE1105" s="56"/>
    </row>
    <row r="1106" spans="1:31" x14ac:dyDescent="0.3">
      <c r="A1106" s="59">
        <f t="shared" si="269"/>
        <v>839</v>
      </c>
      <c r="B1106" s="66" t="s">
        <v>3086</v>
      </c>
      <c r="C1106" s="48">
        <f t="shared" si="270"/>
        <v>1460585.74</v>
      </c>
      <c r="D1106" s="48">
        <f t="shared" si="266"/>
        <v>0</v>
      </c>
      <c r="E1106" s="48"/>
      <c r="F1106" s="48"/>
      <c r="G1106" s="48"/>
      <c r="H1106" s="48"/>
      <c r="I1106" s="48"/>
      <c r="J1106" s="48"/>
      <c r="K1106" s="48"/>
      <c r="L1106" s="48"/>
      <c r="M1106" s="48"/>
      <c r="N1106" s="48"/>
      <c r="O1106" s="55"/>
      <c r="P1106" s="48"/>
      <c r="Q1106" s="128"/>
      <c r="R1106" s="48"/>
      <c r="S1106" s="55"/>
      <c r="T1106" s="55"/>
      <c r="U1106" s="48"/>
      <c r="V1106" s="48"/>
      <c r="W1106" s="178">
        <f t="shared" si="267"/>
        <v>1460585.74</v>
      </c>
      <c r="X1106" s="375"/>
      <c r="Y1106" s="376">
        <v>168818.35</v>
      </c>
      <c r="Z1106" s="376"/>
      <c r="AA1106" s="48"/>
      <c r="AB1106" s="48">
        <v>356312.22</v>
      </c>
      <c r="AC1106" s="187">
        <v>92363.15</v>
      </c>
      <c r="AD1106" s="48">
        <v>843092.02</v>
      </c>
      <c r="AE1106" s="56"/>
    </row>
    <row r="1107" spans="1:31" x14ac:dyDescent="0.3">
      <c r="A1107" s="59">
        <f t="shared" si="269"/>
        <v>840</v>
      </c>
      <c r="B1107" s="66" t="s">
        <v>3087</v>
      </c>
      <c r="C1107" s="48">
        <f t="shared" si="270"/>
        <v>1348049.16</v>
      </c>
      <c r="D1107" s="48">
        <f t="shared" si="266"/>
        <v>0</v>
      </c>
      <c r="E1107" s="48"/>
      <c r="F1107" s="48"/>
      <c r="G1107" s="48"/>
      <c r="H1107" s="48"/>
      <c r="I1107" s="48"/>
      <c r="J1107" s="48"/>
      <c r="K1107" s="48"/>
      <c r="L1107" s="48"/>
      <c r="M1107" s="48"/>
      <c r="N1107" s="48"/>
      <c r="O1107" s="55"/>
      <c r="P1107" s="48"/>
      <c r="Q1107" s="128"/>
      <c r="R1107" s="48"/>
      <c r="S1107" s="55"/>
      <c r="T1107" s="55"/>
      <c r="U1107" s="48"/>
      <c r="V1107" s="48"/>
      <c r="W1107" s="178">
        <f t="shared" si="267"/>
        <v>1348049.16</v>
      </c>
      <c r="X1107" s="375"/>
      <c r="Y1107" s="376">
        <v>159973.44</v>
      </c>
      <c r="Z1107" s="376"/>
      <c r="AA1107" s="48"/>
      <c r="AB1107" s="48">
        <v>342616.31</v>
      </c>
      <c r="AC1107" s="187">
        <v>35344.57</v>
      </c>
      <c r="AD1107" s="48">
        <v>810114.84</v>
      </c>
      <c r="AE1107" s="56"/>
    </row>
    <row r="1108" spans="1:31" x14ac:dyDescent="0.3">
      <c r="A1108" s="59">
        <f t="shared" si="269"/>
        <v>841</v>
      </c>
      <c r="B1108" s="66" t="s">
        <v>3088</v>
      </c>
      <c r="C1108" s="48">
        <f t="shared" si="270"/>
        <v>1422241.51</v>
      </c>
      <c r="D1108" s="48">
        <f t="shared" si="266"/>
        <v>0</v>
      </c>
      <c r="E1108" s="48"/>
      <c r="F1108" s="48"/>
      <c r="G1108" s="48"/>
      <c r="H1108" s="48"/>
      <c r="I1108" s="48"/>
      <c r="J1108" s="48"/>
      <c r="K1108" s="48"/>
      <c r="L1108" s="48"/>
      <c r="M1108" s="48"/>
      <c r="N1108" s="48"/>
      <c r="O1108" s="55"/>
      <c r="P1108" s="48"/>
      <c r="Q1108" s="128"/>
      <c r="R1108" s="48"/>
      <c r="S1108" s="55"/>
      <c r="T1108" s="55"/>
      <c r="U1108" s="48"/>
      <c r="V1108" s="48"/>
      <c r="W1108" s="178">
        <f t="shared" si="267"/>
        <v>1422241.51</v>
      </c>
      <c r="X1108" s="375"/>
      <c r="Y1108" s="376">
        <v>160770.85</v>
      </c>
      <c r="Z1108" s="376"/>
      <c r="AA1108" s="48"/>
      <c r="AB1108" s="48">
        <v>341884.93</v>
      </c>
      <c r="AC1108" s="187">
        <v>106470.59</v>
      </c>
      <c r="AD1108" s="48">
        <v>813115.14</v>
      </c>
      <c r="AE1108" s="56"/>
    </row>
    <row r="1109" spans="1:31" x14ac:dyDescent="0.3">
      <c r="A1109" s="59">
        <f t="shared" si="269"/>
        <v>842</v>
      </c>
      <c r="B1109" s="66" t="s">
        <v>3089</v>
      </c>
      <c r="C1109" s="48">
        <f t="shared" si="270"/>
        <v>130000</v>
      </c>
      <c r="D1109" s="48">
        <f t="shared" si="266"/>
        <v>0</v>
      </c>
      <c r="E1109" s="48"/>
      <c r="F1109" s="48"/>
      <c r="G1109" s="48"/>
      <c r="H1109" s="48"/>
      <c r="I1109" s="48"/>
      <c r="J1109" s="48"/>
      <c r="K1109" s="48"/>
      <c r="L1109" s="48"/>
      <c r="M1109" s="48"/>
      <c r="N1109" s="48"/>
      <c r="O1109" s="55"/>
      <c r="P1109" s="48"/>
      <c r="Q1109" s="55"/>
      <c r="R1109" s="48"/>
      <c r="S1109" s="55"/>
      <c r="T1109" s="55"/>
      <c r="U1109" s="48"/>
      <c r="V1109" s="48"/>
      <c r="W1109" s="178">
        <v>130000</v>
      </c>
      <c r="X1109" s="375"/>
      <c r="Y1109" s="376"/>
      <c r="Z1109" s="376"/>
      <c r="AA1109" s="48"/>
      <c r="AB1109" s="48"/>
      <c r="AC1109" s="187"/>
      <c r="AD1109" s="48"/>
      <c r="AE1109" s="56"/>
    </row>
    <row r="1110" spans="1:31" x14ac:dyDescent="0.3">
      <c r="A1110" s="59">
        <f t="shared" si="269"/>
        <v>843</v>
      </c>
      <c r="B1110" s="66" t="s">
        <v>3090</v>
      </c>
      <c r="C1110" s="48">
        <f t="shared" si="270"/>
        <v>2069205.5599999998</v>
      </c>
      <c r="D1110" s="48">
        <f t="shared" si="266"/>
        <v>0</v>
      </c>
      <c r="E1110" s="48"/>
      <c r="F1110" s="48"/>
      <c r="G1110" s="48"/>
      <c r="H1110" s="48"/>
      <c r="I1110" s="48"/>
      <c r="J1110" s="48"/>
      <c r="K1110" s="48"/>
      <c r="L1110" s="48"/>
      <c r="M1110" s="48"/>
      <c r="N1110" s="48"/>
      <c r="O1110" s="55"/>
      <c r="P1110" s="48"/>
      <c r="Q1110" s="128"/>
      <c r="R1110" s="48"/>
      <c r="S1110" s="55"/>
      <c r="T1110" s="55"/>
      <c r="U1110" s="48"/>
      <c r="V1110" s="48"/>
      <c r="W1110" s="178">
        <f t="shared" si="267"/>
        <v>2069205.5599999998</v>
      </c>
      <c r="X1110" s="375"/>
      <c r="Y1110" s="376"/>
      <c r="Z1110" s="376"/>
      <c r="AA1110" s="48"/>
      <c r="AB1110" s="48">
        <v>599005.19999999995</v>
      </c>
      <c r="AC1110" s="187">
        <v>122843.95</v>
      </c>
      <c r="AD1110" s="48">
        <v>1347356.41</v>
      </c>
      <c r="AE1110" s="56"/>
    </row>
    <row r="1111" spans="1:31" x14ac:dyDescent="0.3">
      <c r="A1111" s="59">
        <f t="shared" si="269"/>
        <v>844</v>
      </c>
      <c r="B1111" s="66" t="s">
        <v>3091</v>
      </c>
      <c r="C1111" s="48">
        <f t="shared" si="270"/>
        <v>925483.04</v>
      </c>
      <c r="D1111" s="48">
        <f t="shared" si="266"/>
        <v>0</v>
      </c>
      <c r="E1111" s="48"/>
      <c r="F1111" s="48"/>
      <c r="G1111" s="48"/>
      <c r="H1111" s="48"/>
      <c r="I1111" s="48"/>
      <c r="J1111" s="48"/>
      <c r="K1111" s="48"/>
      <c r="L1111" s="48"/>
      <c r="M1111" s="48"/>
      <c r="N1111" s="48"/>
      <c r="O1111" s="55"/>
      <c r="P1111" s="48"/>
      <c r="Q1111" s="128"/>
      <c r="R1111" s="48"/>
      <c r="S1111" s="55"/>
      <c r="T1111" s="55"/>
      <c r="U1111" s="48"/>
      <c r="V1111" s="48"/>
      <c r="W1111" s="178">
        <f t="shared" si="267"/>
        <v>925483.04</v>
      </c>
      <c r="X1111" s="375"/>
      <c r="Y1111" s="376"/>
      <c r="Z1111" s="376"/>
      <c r="AA1111" s="48"/>
      <c r="AB1111" s="48"/>
      <c r="AC1111" s="187">
        <v>184015.12</v>
      </c>
      <c r="AD1111" s="48">
        <v>741467.92</v>
      </c>
      <c r="AE1111" s="56"/>
    </row>
    <row r="1112" spans="1:31" x14ac:dyDescent="0.3">
      <c r="A1112" s="59">
        <f t="shared" si="269"/>
        <v>845</v>
      </c>
      <c r="B1112" s="66" t="s">
        <v>3092</v>
      </c>
      <c r="C1112" s="48">
        <f t="shared" si="270"/>
        <v>1345534.4100000001</v>
      </c>
      <c r="D1112" s="48">
        <f t="shared" si="266"/>
        <v>0</v>
      </c>
      <c r="E1112" s="48"/>
      <c r="F1112" s="48"/>
      <c r="G1112" s="48"/>
      <c r="H1112" s="48"/>
      <c r="I1112" s="48"/>
      <c r="J1112" s="48"/>
      <c r="K1112" s="48"/>
      <c r="L1112" s="48"/>
      <c r="M1112" s="48"/>
      <c r="N1112" s="48"/>
      <c r="O1112" s="55"/>
      <c r="P1112" s="48"/>
      <c r="Q1112" s="128"/>
      <c r="R1112" s="48"/>
      <c r="S1112" s="55"/>
      <c r="T1112" s="55"/>
      <c r="U1112" s="48"/>
      <c r="V1112" s="48"/>
      <c r="W1112" s="178">
        <f t="shared" si="267"/>
        <v>1345534.4100000001</v>
      </c>
      <c r="X1112" s="375"/>
      <c r="Y1112" s="376">
        <v>159915.94</v>
      </c>
      <c r="Z1112" s="376"/>
      <c r="AA1112" s="48"/>
      <c r="AB1112" s="48">
        <v>340352.26</v>
      </c>
      <c r="AC1112" s="187">
        <v>35335.620000000003</v>
      </c>
      <c r="AD1112" s="48">
        <v>809930.59</v>
      </c>
      <c r="AE1112" s="56"/>
    </row>
    <row r="1113" spans="1:31" x14ac:dyDescent="0.3">
      <c r="A1113" s="59">
        <f t="shared" si="269"/>
        <v>846</v>
      </c>
      <c r="B1113" s="66" t="s">
        <v>3093</v>
      </c>
      <c r="C1113" s="48">
        <f t="shared" si="270"/>
        <v>2052735.5</v>
      </c>
      <c r="D1113" s="48">
        <f t="shared" si="266"/>
        <v>0</v>
      </c>
      <c r="E1113" s="48"/>
      <c r="F1113" s="48"/>
      <c r="G1113" s="48"/>
      <c r="H1113" s="48"/>
      <c r="I1113" s="48"/>
      <c r="J1113" s="48"/>
      <c r="K1113" s="48"/>
      <c r="L1113" s="48"/>
      <c r="M1113" s="48"/>
      <c r="N1113" s="48"/>
      <c r="O1113" s="55"/>
      <c r="P1113" s="48"/>
      <c r="Q1113" s="128"/>
      <c r="R1113" s="48"/>
      <c r="S1113" s="55"/>
      <c r="T1113" s="55"/>
      <c r="U1113" s="48"/>
      <c r="V1113" s="48"/>
      <c r="W1113" s="178">
        <f t="shared" si="267"/>
        <v>2052735.5</v>
      </c>
      <c r="X1113" s="375"/>
      <c r="Y1113" s="376"/>
      <c r="Z1113" s="376"/>
      <c r="AA1113" s="48"/>
      <c r="AB1113" s="48">
        <v>543802.65</v>
      </c>
      <c r="AC1113" s="187">
        <v>239370.85</v>
      </c>
      <c r="AD1113" s="48">
        <v>1269562</v>
      </c>
      <c r="AE1113" s="56"/>
    </row>
    <row r="1114" spans="1:31" x14ac:dyDescent="0.3">
      <c r="A1114" s="59">
        <f t="shared" si="269"/>
        <v>847</v>
      </c>
      <c r="B1114" s="66" t="s">
        <v>3094</v>
      </c>
      <c r="C1114" s="48">
        <f t="shared" si="270"/>
        <v>2715335.6100000003</v>
      </c>
      <c r="D1114" s="48">
        <f t="shared" ref="D1114:D1177" si="271">SUM(E1114:I1114)</f>
        <v>0</v>
      </c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55"/>
      <c r="P1114" s="48"/>
      <c r="Q1114" s="128"/>
      <c r="R1114" s="48"/>
      <c r="S1114" s="55"/>
      <c r="T1114" s="55"/>
      <c r="U1114" s="48"/>
      <c r="V1114" s="48"/>
      <c r="W1114" s="178">
        <f t="shared" si="267"/>
        <v>2715335.6100000003</v>
      </c>
      <c r="X1114" s="375"/>
      <c r="Y1114" s="376"/>
      <c r="Z1114" s="376">
        <v>462956.48</v>
      </c>
      <c r="AA1114" s="48">
        <v>381337.03</v>
      </c>
      <c r="AB1114" s="48">
        <v>574533.23</v>
      </c>
      <c r="AC1114" s="187"/>
      <c r="AD1114" s="48">
        <v>1296508.8700000001</v>
      </c>
      <c r="AE1114" s="56"/>
    </row>
    <row r="1115" spans="1:31" x14ac:dyDescent="0.3">
      <c r="A1115" s="59">
        <f t="shared" si="269"/>
        <v>848</v>
      </c>
      <c r="B1115" s="66" t="s">
        <v>3096</v>
      </c>
      <c r="C1115" s="48">
        <f t="shared" ref="C1115:C1146" si="272">D1115+K1115+L1115+N1115+P1115+R1115+S1115+U1115+V1115+W1115</f>
        <v>1798217.65</v>
      </c>
      <c r="D1115" s="48">
        <f t="shared" si="271"/>
        <v>0</v>
      </c>
      <c r="E1115" s="48"/>
      <c r="F1115" s="48"/>
      <c r="G1115" s="48"/>
      <c r="H1115" s="48"/>
      <c r="I1115" s="48"/>
      <c r="J1115" s="48"/>
      <c r="K1115" s="48"/>
      <c r="L1115" s="48"/>
      <c r="M1115" s="48"/>
      <c r="N1115" s="48"/>
      <c r="O1115" s="55"/>
      <c r="P1115" s="48"/>
      <c r="Q1115" s="55"/>
      <c r="R1115" s="48"/>
      <c r="S1115" s="55"/>
      <c r="T1115" s="55"/>
      <c r="U1115" s="48"/>
      <c r="V1115" s="48"/>
      <c r="W1115" s="178">
        <f t="shared" si="267"/>
        <v>1798217.65</v>
      </c>
      <c r="X1115" s="375"/>
      <c r="Y1115" s="376"/>
      <c r="Z1115" s="376"/>
      <c r="AA1115" s="48"/>
      <c r="AB1115" s="48">
        <v>550871.93000000005</v>
      </c>
      <c r="AC1115" s="187"/>
      <c r="AD1115" s="48">
        <v>1247345.72</v>
      </c>
      <c r="AE1115" s="56"/>
    </row>
    <row r="1116" spans="1:31" x14ac:dyDescent="0.3">
      <c r="A1116" s="59">
        <f t="shared" ref="A1116:A1179" si="273">A1115+1</f>
        <v>849</v>
      </c>
      <c r="B1116" s="66" t="s">
        <v>3097</v>
      </c>
      <c r="C1116" s="48">
        <f t="shared" si="272"/>
        <v>2578165.0599999996</v>
      </c>
      <c r="D1116" s="48">
        <f t="shared" si="271"/>
        <v>0</v>
      </c>
      <c r="E1116" s="48"/>
      <c r="F1116" s="48"/>
      <c r="G1116" s="48"/>
      <c r="H1116" s="48"/>
      <c r="I1116" s="48"/>
      <c r="J1116" s="48"/>
      <c r="K1116" s="48"/>
      <c r="L1116" s="48"/>
      <c r="M1116" s="48"/>
      <c r="N1116" s="48"/>
      <c r="O1116" s="55"/>
      <c r="P1116" s="48"/>
      <c r="Q1116" s="128"/>
      <c r="R1116" s="48"/>
      <c r="S1116" s="55"/>
      <c r="T1116" s="55"/>
      <c r="U1116" s="48"/>
      <c r="V1116" s="48"/>
      <c r="W1116" s="178">
        <f t="shared" ref="W1116:W1179" si="274">SUM(X1116:AD1116)</f>
        <v>2578165.0599999996</v>
      </c>
      <c r="X1116" s="375"/>
      <c r="Y1116" s="376"/>
      <c r="Z1116" s="376"/>
      <c r="AA1116" s="48"/>
      <c r="AB1116" s="48">
        <v>667850.82999999996</v>
      </c>
      <c r="AC1116" s="187">
        <v>366703.81</v>
      </c>
      <c r="AD1116" s="48">
        <v>1543610.42</v>
      </c>
      <c r="AE1116" s="56"/>
    </row>
    <row r="1117" spans="1:31" x14ac:dyDescent="0.3">
      <c r="A1117" s="59">
        <f t="shared" si="273"/>
        <v>850</v>
      </c>
      <c r="B1117" s="66" t="s">
        <v>3098</v>
      </c>
      <c r="C1117" s="48">
        <f t="shared" si="272"/>
        <v>1677795.8900000001</v>
      </c>
      <c r="D1117" s="48">
        <f t="shared" si="271"/>
        <v>0</v>
      </c>
      <c r="E1117" s="48"/>
      <c r="F1117" s="48"/>
      <c r="G1117" s="48"/>
      <c r="H1117" s="48"/>
      <c r="I1117" s="48"/>
      <c r="J1117" s="48"/>
      <c r="K1117" s="48"/>
      <c r="L1117" s="48"/>
      <c r="M1117" s="48"/>
      <c r="N1117" s="48"/>
      <c r="O1117" s="55"/>
      <c r="P1117" s="48"/>
      <c r="Q1117" s="128"/>
      <c r="R1117" s="48"/>
      <c r="S1117" s="55"/>
      <c r="T1117" s="55"/>
      <c r="U1117" s="48"/>
      <c r="V1117" s="48"/>
      <c r="W1117" s="178">
        <f t="shared" si="274"/>
        <v>1677795.8900000001</v>
      </c>
      <c r="X1117" s="375"/>
      <c r="Y1117" s="376"/>
      <c r="Z1117" s="376"/>
      <c r="AA1117" s="48"/>
      <c r="AB1117" s="48">
        <v>440923.35</v>
      </c>
      <c r="AC1117" s="187">
        <v>194592.44</v>
      </c>
      <c r="AD1117" s="48">
        <v>1042280.1</v>
      </c>
      <c r="AE1117" s="56"/>
    </row>
    <row r="1118" spans="1:31" x14ac:dyDescent="0.3">
      <c r="A1118" s="59">
        <f t="shared" si="273"/>
        <v>851</v>
      </c>
      <c r="B1118" s="66" t="s">
        <v>3099</v>
      </c>
      <c r="C1118" s="48">
        <f t="shared" si="272"/>
        <v>1599914.85</v>
      </c>
      <c r="D1118" s="48">
        <f t="shared" si="271"/>
        <v>0</v>
      </c>
      <c r="E1118" s="48"/>
      <c r="F1118" s="48"/>
      <c r="G1118" s="48"/>
      <c r="H1118" s="48"/>
      <c r="I1118" s="48"/>
      <c r="J1118" s="48"/>
      <c r="K1118" s="48"/>
      <c r="L1118" s="48"/>
      <c r="M1118" s="48"/>
      <c r="N1118" s="48"/>
      <c r="O1118" s="55"/>
      <c r="P1118" s="48"/>
      <c r="Q1118" s="128"/>
      <c r="R1118" s="48"/>
      <c r="S1118" s="55"/>
      <c r="T1118" s="55"/>
      <c r="U1118" s="48"/>
      <c r="V1118" s="48"/>
      <c r="W1118" s="178">
        <f t="shared" si="274"/>
        <v>1599914.85</v>
      </c>
      <c r="X1118" s="375"/>
      <c r="Y1118" s="376"/>
      <c r="Z1118" s="376"/>
      <c r="AA1118" s="48"/>
      <c r="AB1118" s="48">
        <v>407211.68</v>
      </c>
      <c r="AC1118" s="187">
        <v>224899.22</v>
      </c>
      <c r="AD1118" s="48">
        <v>967803.95</v>
      </c>
      <c r="AE1118" s="56"/>
    </row>
    <row r="1119" spans="1:31" x14ac:dyDescent="0.3">
      <c r="A1119" s="59">
        <f t="shared" si="273"/>
        <v>852</v>
      </c>
      <c r="B1119" s="66" t="s">
        <v>3100</v>
      </c>
      <c r="C1119" s="48">
        <f t="shared" si="272"/>
        <v>2112462.35</v>
      </c>
      <c r="D1119" s="48">
        <f t="shared" si="271"/>
        <v>0</v>
      </c>
      <c r="E1119" s="48"/>
      <c r="F1119" s="48"/>
      <c r="G1119" s="48"/>
      <c r="H1119" s="48"/>
      <c r="I1119" s="48"/>
      <c r="J1119" s="48"/>
      <c r="K1119" s="48"/>
      <c r="L1119" s="48"/>
      <c r="M1119" s="48"/>
      <c r="N1119" s="48"/>
      <c r="O1119" s="55"/>
      <c r="P1119" s="48"/>
      <c r="Q1119" s="128"/>
      <c r="R1119" s="48"/>
      <c r="S1119" s="55"/>
      <c r="T1119" s="55"/>
      <c r="U1119" s="48"/>
      <c r="V1119" s="48"/>
      <c r="W1119" s="178">
        <f t="shared" si="274"/>
        <v>2112462.35</v>
      </c>
      <c r="X1119" s="375"/>
      <c r="Y1119" s="376">
        <v>300107.28999999998</v>
      </c>
      <c r="Z1119" s="376"/>
      <c r="AA1119" s="48"/>
      <c r="AB1119" s="48">
        <v>485179.84</v>
      </c>
      <c r="AC1119" s="187">
        <v>187123.26</v>
      </c>
      <c r="AD1119" s="48">
        <v>1140051.96</v>
      </c>
      <c r="AE1119" s="56"/>
    </row>
    <row r="1120" spans="1:31" x14ac:dyDescent="0.3">
      <c r="A1120" s="59">
        <f t="shared" si="273"/>
        <v>853</v>
      </c>
      <c r="B1120" s="66" t="s">
        <v>3101</v>
      </c>
      <c r="C1120" s="48">
        <f t="shared" si="272"/>
        <v>181508.38</v>
      </c>
      <c r="D1120" s="48">
        <f t="shared" si="271"/>
        <v>0</v>
      </c>
      <c r="E1120" s="48"/>
      <c r="F1120" s="48"/>
      <c r="G1120" s="48"/>
      <c r="H1120" s="48"/>
      <c r="I1120" s="48"/>
      <c r="J1120" s="48"/>
      <c r="K1120" s="48"/>
      <c r="L1120" s="48"/>
      <c r="M1120" s="48"/>
      <c r="N1120" s="48"/>
      <c r="O1120" s="55"/>
      <c r="P1120" s="48"/>
      <c r="Q1120" s="55"/>
      <c r="R1120" s="48"/>
      <c r="S1120" s="55"/>
      <c r="T1120" s="55"/>
      <c r="U1120" s="48"/>
      <c r="V1120" s="48"/>
      <c r="W1120" s="178">
        <f t="shared" si="274"/>
        <v>181508.38</v>
      </c>
      <c r="X1120" s="375"/>
      <c r="Y1120" s="376">
        <v>181508.38</v>
      </c>
      <c r="Z1120" s="376"/>
      <c r="AA1120" s="48"/>
      <c r="AB1120" s="48"/>
      <c r="AC1120" s="187"/>
      <c r="AD1120" s="48"/>
      <c r="AE1120" s="56"/>
    </row>
    <row r="1121" spans="1:31" x14ac:dyDescent="0.3">
      <c r="A1121" s="59">
        <f t="shared" si="273"/>
        <v>854</v>
      </c>
      <c r="B1121" s="66" t="s">
        <v>3103</v>
      </c>
      <c r="C1121" s="48">
        <f t="shared" si="272"/>
        <v>723274.58000000007</v>
      </c>
      <c r="D1121" s="48">
        <f t="shared" si="271"/>
        <v>0</v>
      </c>
      <c r="E1121" s="48"/>
      <c r="F1121" s="48"/>
      <c r="G1121" s="48"/>
      <c r="H1121" s="48"/>
      <c r="I1121" s="48"/>
      <c r="J1121" s="48"/>
      <c r="K1121" s="48"/>
      <c r="L1121" s="48"/>
      <c r="M1121" s="48"/>
      <c r="N1121" s="48"/>
      <c r="O1121" s="55"/>
      <c r="P1121" s="48"/>
      <c r="Q1121" s="55"/>
      <c r="R1121" s="48"/>
      <c r="S1121" s="55"/>
      <c r="T1121" s="55"/>
      <c r="U1121" s="48"/>
      <c r="V1121" s="48"/>
      <c r="W1121" s="178">
        <f t="shared" si="274"/>
        <v>723274.58000000007</v>
      </c>
      <c r="X1121" s="375"/>
      <c r="Y1121" s="376">
        <v>211793.05</v>
      </c>
      <c r="Z1121" s="376"/>
      <c r="AA1121" s="48"/>
      <c r="AB1121" s="48">
        <v>354503.49</v>
      </c>
      <c r="AC1121" s="187">
        <v>156978.04</v>
      </c>
      <c r="AD1121" s="48"/>
      <c r="AE1121" s="56"/>
    </row>
    <row r="1122" spans="1:31" x14ac:dyDescent="0.3">
      <c r="A1122" s="59">
        <f t="shared" si="273"/>
        <v>855</v>
      </c>
      <c r="B1122" s="66" t="s">
        <v>3104</v>
      </c>
      <c r="C1122" s="48">
        <f t="shared" si="272"/>
        <v>229824.82</v>
      </c>
      <c r="D1122" s="48">
        <f t="shared" si="271"/>
        <v>0</v>
      </c>
      <c r="E1122" s="48"/>
      <c r="F1122" s="48"/>
      <c r="G1122" s="48"/>
      <c r="H1122" s="48"/>
      <c r="I1122" s="48"/>
      <c r="J1122" s="48"/>
      <c r="K1122" s="48"/>
      <c r="L1122" s="48"/>
      <c r="M1122" s="48"/>
      <c r="N1122" s="48"/>
      <c r="O1122" s="55"/>
      <c r="P1122" s="48"/>
      <c r="Q1122" s="55"/>
      <c r="R1122" s="48"/>
      <c r="S1122" s="55"/>
      <c r="T1122" s="55"/>
      <c r="U1122" s="48"/>
      <c r="V1122" s="48"/>
      <c r="W1122" s="178">
        <f t="shared" si="274"/>
        <v>229824.82</v>
      </c>
      <c r="X1122" s="375"/>
      <c r="Y1122" s="376">
        <v>229824.82</v>
      </c>
      <c r="Z1122" s="376"/>
      <c r="AA1122" s="48"/>
      <c r="AB1122" s="48"/>
      <c r="AC1122" s="187"/>
      <c r="AD1122" s="48"/>
      <c r="AE1122" s="56"/>
    </row>
    <row r="1123" spans="1:31" x14ac:dyDescent="0.3">
      <c r="A1123" s="59">
        <f t="shared" si="273"/>
        <v>856</v>
      </c>
      <c r="B1123" s="66" t="s">
        <v>3106</v>
      </c>
      <c r="C1123" s="48">
        <f t="shared" si="272"/>
        <v>1063308.03</v>
      </c>
      <c r="D1123" s="48">
        <f t="shared" si="271"/>
        <v>0</v>
      </c>
      <c r="E1123" s="48"/>
      <c r="F1123" s="48"/>
      <c r="G1123" s="48"/>
      <c r="H1123" s="48"/>
      <c r="I1123" s="48"/>
      <c r="J1123" s="48"/>
      <c r="K1123" s="48"/>
      <c r="L1123" s="48"/>
      <c r="M1123" s="48"/>
      <c r="N1123" s="48"/>
      <c r="O1123" s="55"/>
      <c r="P1123" s="48"/>
      <c r="Q1123" s="128"/>
      <c r="R1123" s="48"/>
      <c r="S1123" s="55"/>
      <c r="T1123" s="55"/>
      <c r="U1123" s="48"/>
      <c r="V1123" s="48"/>
      <c r="W1123" s="178">
        <f t="shared" si="274"/>
        <v>1063308.03</v>
      </c>
      <c r="X1123" s="375"/>
      <c r="Y1123" s="376">
        <v>129769.33</v>
      </c>
      <c r="Z1123" s="376"/>
      <c r="AA1123" s="48"/>
      <c r="AB1123" s="48">
        <v>233135.1</v>
      </c>
      <c r="AC1123" s="187">
        <v>117171.25</v>
      </c>
      <c r="AD1123" s="187">
        <v>583232.35</v>
      </c>
      <c r="AE1123" s="56"/>
    </row>
    <row r="1124" spans="1:31" x14ac:dyDescent="0.3">
      <c r="A1124" s="59">
        <f t="shared" si="273"/>
        <v>857</v>
      </c>
      <c r="B1124" s="66" t="s">
        <v>3107</v>
      </c>
      <c r="C1124" s="48">
        <f t="shared" si="272"/>
        <v>1736704.34</v>
      </c>
      <c r="D1124" s="48">
        <f t="shared" si="271"/>
        <v>0</v>
      </c>
      <c r="E1124" s="48"/>
      <c r="F1124" s="48"/>
      <c r="G1124" s="48"/>
      <c r="H1124" s="48"/>
      <c r="I1124" s="48"/>
      <c r="J1124" s="48"/>
      <c r="K1124" s="48"/>
      <c r="L1124" s="48"/>
      <c r="M1124" s="48"/>
      <c r="N1124" s="48"/>
      <c r="O1124" s="55"/>
      <c r="P1124" s="48"/>
      <c r="Q1124" s="128"/>
      <c r="R1124" s="48"/>
      <c r="S1124" s="55"/>
      <c r="T1124" s="55"/>
      <c r="U1124" s="48"/>
      <c r="V1124" s="48"/>
      <c r="W1124" s="178">
        <f t="shared" si="274"/>
        <v>1736704.34</v>
      </c>
      <c r="X1124" s="375"/>
      <c r="Y1124" s="376">
        <v>230823.41</v>
      </c>
      <c r="Z1124" s="376"/>
      <c r="AA1124" s="48"/>
      <c r="AB1124" s="48">
        <v>382157.84</v>
      </c>
      <c r="AC1124" s="187">
        <v>211268.3</v>
      </c>
      <c r="AD1124" s="48">
        <v>912454.79</v>
      </c>
      <c r="AE1124" s="56"/>
    </row>
    <row r="1125" spans="1:31" x14ac:dyDescent="0.3">
      <c r="A1125" s="59">
        <f t="shared" si="273"/>
        <v>858</v>
      </c>
      <c r="B1125" s="66" t="s">
        <v>3108</v>
      </c>
      <c r="C1125" s="48">
        <f t="shared" si="272"/>
        <v>1072187.2</v>
      </c>
      <c r="D1125" s="48">
        <f t="shared" si="271"/>
        <v>0</v>
      </c>
      <c r="E1125" s="48"/>
      <c r="F1125" s="48"/>
      <c r="G1125" s="48"/>
      <c r="H1125" s="48"/>
      <c r="I1125" s="48"/>
      <c r="J1125" s="48"/>
      <c r="K1125" s="48"/>
      <c r="L1125" s="48"/>
      <c r="M1125" s="48"/>
      <c r="N1125" s="48"/>
      <c r="O1125" s="55"/>
      <c r="P1125" s="48"/>
      <c r="Q1125" s="128"/>
      <c r="R1125" s="48"/>
      <c r="S1125" s="55"/>
      <c r="T1125" s="55"/>
      <c r="U1125" s="48"/>
      <c r="V1125" s="48"/>
      <c r="W1125" s="178">
        <f t="shared" si="274"/>
        <v>1072187.2</v>
      </c>
      <c r="X1125" s="375"/>
      <c r="Y1125" s="376">
        <v>131141</v>
      </c>
      <c r="Z1125" s="376"/>
      <c r="AA1125" s="48"/>
      <c r="AB1125" s="48">
        <v>235164.77</v>
      </c>
      <c r="AC1125" s="187">
        <v>118165.1</v>
      </c>
      <c r="AD1125" s="48">
        <v>587716.32999999996</v>
      </c>
      <c r="AE1125" s="56"/>
    </row>
    <row r="1126" spans="1:31" x14ac:dyDescent="0.3">
      <c r="A1126" s="59">
        <f t="shared" si="273"/>
        <v>859</v>
      </c>
      <c r="B1126" s="66" t="s">
        <v>3109</v>
      </c>
      <c r="C1126" s="48">
        <f t="shared" si="272"/>
        <v>1736952.35</v>
      </c>
      <c r="D1126" s="48">
        <f t="shared" si="271"/>
        <v>0</v>
      </c>
      <c r="E1126" s="48"/>
      <c r="F1126" s="48"/>
      <c r="G1126" s="48"/>
      <c r="H1126" s="48"/>
      <c r="I1126" s="48"/>
      <c r="J1126" s="48"/>
      <c r="K1126" s="48"/>
      <c r="L1126" s="48"/>
      <c r="M1126" s="48"/>
      <c r="N1126" s="48"/>
      <c r="O1126" s="55"/>
      <c r="P1126" s="48"/>
      <c r="Q1126" s="128"/>
      <c r="R1126" s="48"/>
      <c r="S1126" s="55"/>
      <c r="T1126" s="55"/>
      <c r="U1126" s="48"/>
      <c r="V1126" s="48"/>
      <c r="W1126" s="178">
        <f t="shared" si="274"/>
        <v>1736952.35</v>
      </c>
      <c r="X1126" s="375"/>
      <c r="Y1126" s="376">
        <v>231071.42</v>
      </c>
      <c r="Z1126" s="376"/>
      <c r="AA1126" s="48"/>
      <c r="AB1126" s="187">
        <v>382157.84</v>
      </c>
      <c r="AC1126" s="187">
        <v>211268.3</v>
      </c>
      <c r="AD1126" s="48">
        <v>912454.79</v>
      </c>
      <c r="AE1126" s="56"/>
    </row>
    <row r="1127" spans="1:31" x14ac:dyDescent="0.3">
      <c r="A1127" s="59">
        <f t="shared" si="273"/>
        <v>860</v>
      </c>
      <c r="B1127" s="66" t="s">
        <v>3110</v>
      </c>
      <c r="C1127" s="48">
        <f t="shared" si="272"/>
        <v>1342765.49</v>
      </c>
      <c r="D1127" s="48">
        <f t="shared" si="271"/>
        <v>0</v>
      </c>
      <c r="E1127" s="48"/>
      <c r="F1127" s="48"/>
      <c r="G1127" s="48"/>
      <c r="H1127" s="48"/>
      <c r="I1127" s="48"/>
      <c r="J1127" s="48"/>
      <c r="K1127" s="48"/>
      <c r="L1127" s="48"/>
      <c r="M1127" s="48"/>
      <c r="N1127" s="48"/>
      <c r="O1127" s="55"/>
      <c r="P1127" s="48"/>
      <c r="Q1127" s="55"/>
      <c r="R1127" s="48"/>
      <c r="S1127" s="55"/>
      <c r="T1127" s="55"/>
      <c r="U1127" s="48"/>
      <c r="V1127" s="48"/>
      <c r="W1127" s="178">
        <f t="shared" si="274"/>
        <v>1342765.49</v>
      </c>
      <c r="X1127" s="375">
        <v>153044.34</v>
      </c>
      <c r="Y1127" s="376">
        <v>196770.36</v>
      </c>
      <c r="Z1127" s="376">
        <v>200985.14</v>
      </c>
      <c r="AA1127" s="48">
        <v>164349.43</v>
      </c>
      <c r="AB1127" s="48"/>
      <c r="AC1127" s="187"/>
      <c r="AD1127" s="48">
        <v>627616.22</v>
      </c>
      <c r="AE1127" s="56"/>
    </row>
    <row r="1128" spans="1:31" x14ac:dyDescent="0.3">
      <c r="A1128" s="59">
        <f t="shared" si="273"/>
        <v>861</v>
      </c>
      <c r="B1128" s="66" t="s">
        <v>3111</v>
      </c>
      <c r="C1128" s="48">
        <f t="shared" si="272"/>
        <v>181508.38</v>
      </c>
      <c r="D1128" s="48">
        <f t="shared" si="271"/>
        <v>0</v>
      </c>
      <c r="E1128" s="48"/>
      <c r="F1128" s="48"/>
      <c r="G1128" s="48"/>
      <c r="H1128" s="48"/>
      <c r="I1128" s="48"/>
      <c r="J1128" s="48"/>
      <c r="K1128" s="48"/>
      <c r="L1128" s="48"/>
      <c r="M1128" s="48"/>
      <c r="N1128" s="48"/>
      <c r="O1128" s="55"/>
      <c r="P1128" s="48"/>
      <c r="Q1128" s="55"/>
      <c r="R1128" s="48"/>
      <c r="S1128" s="55"/>
      <c r="T1128" s="55"/>
      <c r="U1128" s="48"/>
      <c r="V1128" s="48"/>
      <c r="W1128" s="178">
        <f t="shared" si="274"/>
        <v>181508.38</v>
      </c>
      <c r="X1128" s="375"/>
      <c r="Y1128" s="376">
        <v>181508.38</v>
      </c>
      <c r="Z1128" s="376"/>
      <c r="AA1128" s="48"/>
      <c r="AB1128" s="48"/>
      <c r="AC1128" s="187"/>
      <c r="AD1128" s="48"/>
      <c r="AE1128" s="56"/>
    </row>
    <row r="1129" spans="1:31" x14ac:dyDescent="0.3">
      <c r="A1129" s="59">
        <f t="shared" si="273"/>
        <v>862</v>
      </c>
      <c r="B1129" s="66" t="s">
        <v>3112</v>
      </c>
      <c r="C1129" s="48">
        <f t="shared" si="272"/>
        <v>213679.13</v>
      </c>
      <c r="D1129" s="48">
        <f t="shared" si="271"/>
        <v>0</v>
      </c>
      <c r="E1129" s="48"/>
      <c r="F1129" s="48"/>
      <c r="G1129" s="48"/>
      <c r="H1129" s="48"/>
      <c r="I1129" s="48"/>
      <c r="J1129" s="48"/>
      <c r="K1129" s="48"/>
      <c r="L1129" s="48"/>
      <c r="M1129" s="48"/>
      <c r="N1129" s="48"/>
      <c r="O1129" s="55"/>
      <c r="P1129" s="48"/>
      <c r="Q1129" s="55"/>
      <c r="R1129" s="48"/>
      <c r="S1129" s="55"/>
      <c r="T1129" s="55"/>
      <c r="U1129" s="48"/>
      <c r="V1129" s="48"/>
      <c r="W1129" s="178">
        <f t="shared" si="274"/>
        <v>213679.13</v>
      </c>
      <c r="X1129" s="375"/>
      <c r="Y1129" s="376">
        <v>213679.13</v>
      </c>
      <c r="Z1129" s="376"/>
      <c r="AA1129" s="48"/>
      <c r="AB1129" s="48"/>
      <c r="AC1129" s="187"/>
      <c r="AD1129" s="48"/>
      <c r="AE1129" s="56"/>
    </row>
    <row r="1130" spans="1:31" x14ac:dyDescent="0.3">
      <c r="A1130" s="59">
        <f t="shared" si="273"/>
        <v>863</v>
      </c>
      <c r="B1130" s="66" t="s">
        <v>3113</v>
      </c>
      <c r="C1130" s="48">
        <f t="shared" si="272"/>
        <v>1144811.0499999998</v>
      </c>
      <c r="D1130" s="48">
        <f t="shared" si="271"/>
        <v>0</v>
      </c>
      <c r="E1130" s="48"/>
      <c r="F1130" s="48"/>
      <c r="G1130" s="48"/>
      <c r="H1130" s="48"/>
      <c r="I1130" s="48"/>
      <c r="J1130" s="48"/>
      <c r="K1130" s="48"/>
      <c r="L1130" s="48"/>
      <c r="M1130" s="48"/>
      <c r="N1130" s="48"/>
      <c r="O1130" s="55"/>
      <c r="P1130" s="48"/>
      <c r="Q1130" s="128"/>
      <c r="R1130" s="48"/>
      <c r="S1130" s="55"/>
      <c r="T1130" s="55"/>
      <c r="U1130" s="48"/>
      <c r="V1130" s="48"/>
      <c r="W1130" s="178">
        <f t="shared" si="274"/>
        <v>1144811.0499999998</v>
      </c>
      <c r="X1130" s="375"/>
      <c r="Y1130" s="376">
        <v>164329.88</v>
      </c>
      <c r="Z1130" s="376"/>
      <c r="AA1130" s="48"/>
      <c r="AB1130" s="48">
        <v>284273.46999999997</v>
      </c>
      <c r="AC1130" s="187"/>
      <c r="AD1130" s="48">
        <v>696207.7</v>
      </c>
      <c r="AE1130" s="56"/>
    </row>
    <row r="1131" spans="1:31" x14ac:dyDescent="0.3">
      <c r="A1131" s="59">
        <f t="shared" si="273"/>
        <v>864</v>
      </c>
      <c r="B1131" s="66" t="s">
        <v>3115</v>
      </c>
      <c r="C1131" s="48">
        <f t="shared" si="272"/>
        <v>161728.66</v>
      </c>
      <c r="D1131" s="48">
        <f t="shared" si="271"/>
        <v>0</v>
      </c>
      <c r="E1131" s="48"/>
      <c r="F1131" s="48"/>
      <c r="G1131" s="48"/>
      <c r="H1131" s="48"/>
      <c r="I1131" s="48"/>
      <c r="J1131" s="48"/>
      <c r="K1131" s="48"/>
      <c r="L1131" s="48"/>
      <c r="M1131" s="48"/>
      <c r="N1131" s="48"/>
      <c r="O1131" s="55"/>
      <c r="P1131" s="48"/>
      <c r="Q1131" s="55"/>
      <c r="R1131" s="48"/>
      <c r="S1131" s="55"/>
      <c r="T1131" s="55"/>
      <c r="U1131" s="48"/>
      <c r="V1131" s="48"/>
      <c r="W1131" s="178">
        <f t="shared" si="274"/>
        <v>161728.66</v>
      </c>
      <c r="X1131" s="375"/>
      <c r="Y1131" s="376">
        <v>161728.66</v>
      </c>
      <c r="Z1131" s="376"/>
      <c r="AA1131" s="48"/>
      <c r="AB1131" s="48"/>
      <c r="AC1131" s="187"/>
      <c r="AD1131" s="48"/>
      <c r="AE1131" s="56"/>
    </row>
    <row r="1132" spans="1:31" x14ac:dyDescent="0.3">
      <c r="A1132" s="59">
        <f t="shared" si="273"/>
        <v>865</v>
      </c>
      <c r="B1132" s="66" t="s">
        <v>3117</v>
      </c>
      <c r="C1132" s="48">
        <f t="shared" si="272"/>
        <v>498950.83999999997</v>
      </c>
      <c r="D1132" s="48">
        <f t="shared" si="271"/>
        <v>0</v>
      </c>
      <c r="E1132" s="48"/>
      <c r="F1132" s="48"/>
      <c r="G1132" s="48"/>
      <c r="H1132" s="48"/>
      <c r="I1132" s="48"/>
      <c r="J1132" s="48"/>
      <c r="K1132" s="48"/>
      <c r="L1132" s="48"/>
      <c r="M1132" s="48"/>
      <c r="N1132" s="48"/>
      <c r="O1132" s="55"/>
      <c r="P1132" s="48"/>
      <c r="Q1132" s="55"/>
      <c r="R1132" s="48"/>
      <c r="S1132" s="55"/>
      <c r="T1132" s="55"/>
      <c r="U1132" s="48"/>
      <c r="V1132" s="48"/>
      <c r="W1132" s="178">
        <f t="shared" si="274"/>
        <v>498950.83999999997</v>
      </c>
      <c r="X1132" s="375"/>
      <c r="Y1132" s="376">
        <v>159409.24</v>
      </c>
      <c r="Z1132" s="376"/>
      <c r="AA1132" s="48"/>
      <c r="AB1132" s="48">
        <v>339541.6</v>
      </c>
      <c r="AC1132" s="187"/>
      <c r="AD1132" s="48"/>
      <c r="AE1132" s="56"/>
    </row>
    <row r="1133" spans="1:31" x14ac:dyDescent="0.3">
      <c r="A1133" s="59">
        <f t="shared" si="273"/>
        <v>866</v>
      </c>
      <c r="B1133" s="66" t="s">
        <v>3119</v>
      </c>
      <c r="C1133" s="48">
        <f t="shared" si="272"/>
        <v>1360077.8399999999</v>
      </c>
      <c r="D1133" s="48">
        <f t="shared" si="271"/>
        <v>0</v>
      </c>
      <c r="E1133" s="48"/>
      <c r="F1133" s="48"/>
      <c r="G1133" s="48"/>
      <c r="H1133" s="48"/>
      <c r="I1133" s="48"/>
      <c r="J1133" s="48"/>
      <c r="K1133" s="48"/>
      <c r="L1133" s="48"/>
      <c r="M1133" s="48"/>
      <c r="N1133" s="48"/>
      <c r="O1133" s="55"/>
      <c r="P1133" s="48"/>
      <c r="Q1133" s="128"/>
      <c r="R1133" s="48"/>
      <c r="S1133" s="55"/>
      <c r="T1133" s="55"/>
      <c r="U1133" s="48"/>
      <c r="V1133" s="48"/>
      <c r="W1133" s="178">
        <f t="shared" si="274"/>
        <v>1360077.8399999999</v>
      </c>
      <c r="X1133" s="375"/>
      <c r="Y1133" s="376">
        <v>159409.24</v>
      </c>
      <c r="Z1133" s="376"/>
      <c r="AA1133" s="48"/>
      <c r="AB1133" s="48">
        <v>339541.6</v>
      </c>
      <c r="AC1133" s="187">
        <v>52880.800000000003</v>
      </c>
      <c r="AD1133" s="48">
        <v>808246.2</v>
      </c>
      <c r="AE1133" s="56"/>
    </row>
    <row r="1134" spans="1:31" x14ac:dyDescent="0.3">
      <c r="A1134" s="59">
        <f t="shared" si="273"/>
        <v>867</v>
      </c>
      <c r="B1134" s="66" t="s">
        <v>3120</v>
      </c>
      <c r="C1134" s="48">
        <f t="shared" si="272"/>
        <v>461464.85</v>
      </c>
      <c r="D1134" s="48">
        <f t="shared" si="271"/>
        <v>0</v>
      </c>
      <c r="E1134" s="48"/>
      <c r="F1134" s="48"/>
      <c r="G1134" s="48"/>
      <c r="H1134" s="48"/>
      <c r="I1134" s="48"/>
      <c r="J1134" s="48"/>
      <c r="K1134" s="48"/>
      <c r="L1134" s="48"/>
      <c r="M1134" s="48"/>
      <c r="N1134" s="48"/>
      <c r="O1134" s="55"/>
      <c r="P1134" s="48"/>
      <c r="Q1134" s="55"/>
      <c r="R1134" s="48"/>
      <c r="S1134" s="55"/>
      <c r="T1134" s="55"/>
      <c r="U1134" s="48"/>
      <c r="V1134" s="48"/>
      <c r="W1134" s="178">
        <f t="shared" si="274"/>
        <v>461464.85</v>
      </c>
      <c r="X1134" s="375"/>
      <c r="Y1134" s="376">
        <v>169516.66</v>
      </c>
      <c r="Z1134" s="376"/>
      <c r="AA1134" s="48"/>
      <c r="AB1134" s="48">
        <v>291948.19</v>
      </c>
      <c r="AC1134" s="187"/>
      <c r="AD1134" s="48"/>
      <c r="AE1134" s="56"/>
    </row>
    <row r="1135" spans="1:31" x14ac:dyDescent="0.3">
      <c r="A1135" s="59">
        <f t="shared" si="273"/>
        <v>868</v>
      </c>
      <c r="B1135" s="66" t="s">
        <v>3121</v>
      </c>
      <c r="C1135" s="48">
        <f t="shared" si="272"/>
        <v>169516.66</v>
      </c>
      <c r="D1135" s="48">
        <f t="shared" si="271"/>
        <v>0</v>
      </c>
      <c r="E1135" s="48"/>
      <c r="F1135" s="48"/>
      <c r="G1135" s="48"/>
      <c r="H1135" s="48"/>
      <c r="I1135" s="48"/>
      <c r="J1135" s="48"/>
      <c r="K1135" s="48"/>
      <c r="L1135" s="48"/>
      <c r="M1135" s="48"/>
      <c r="N1135" s="48"/>
      <c r="O1135" s="55"/>
      <c r="P1135" s="48"/>
      <c r="Q1135" s="55"/>
      <c r="R1135" s="48"/>
      <c r="S1135" s="55"/>
      <c r="T1135" s="55"/>
      <c r="U1135" s="48"/>
      <c r="V1135" s="48"/>
      <c r="W1135" s="178">
        <f t="shared" si="274"/>
        <v>169516.66</v>
      </c>
      <c r="X1135" s="375"/>
      <c r="Y1135" s="376">
        <v>169516.66</v>
      </c>
      <c r="Z1135" s="376"/>
      <c r="AA1135" s="48"/>
      <c r="AB1135" s="48"/>
      <c r="AC1135" s="187"/>
      <c r="AD1135" s="48"/>
      <c r="AE1135" s="56"/>
    </row>
    <row r="1136" spans="1:31" x14ac:dyDescent="0.3">
      <c r="A1136" s="59">
        <f t="shared" si="273"/>
        <v>869</v>
      </c>
      <c r="B1136" s="66" t="s">
        <v>3122</v>
      </c>
      <c r="C1136" s="48">
        <f t="shared" si="272"/>
        <v>234392.02000000002</v>
      </c>
      <c r="D1136" s="48">
        <f t="shared" si="271"/>
        <v>0</v>
      </c>
      <c r="E1136" s="48"/>
      <c r="F1136" s="48"/>
      <c r="G1136" s="48"/>
      <c r="H1136" s="48"/>
      <c r="I1136" s="48"/>
      <c r="J1136" s="48"/>
      <c r="K1136" s="48"/>
      <c r="L1136" s="48"/>
      <c r="M1136" s="48"/>
      <c r="N1136" s="48"/>
      <c r="O1136" s="55"/>
      <c r="P1136" s="48"/>
      <c r="Q1136" s="55"/>
      <c r="R1136" s="48"/>
      <c r="S1136" s="55"/>
      <c r="T1136" s="55"/>
      <c r="U1136" s="48"/>
      <c r="V1136" s="48"/>
      <c r="W1136" s="178">
        <f t="shared" si="274"/>
        <v>234392.02000000002</v>
      </c>
      <c r="X1136" s="375"/>
      <c r="Y1136" s="376">
        <v>169516.66</v>
      </c>
      <c r="Z1136" s="376"/>
      <c r="AA1136" s="48"/>
      <c r="AB1136" s="48"/>
      <c r="AC1136" s="187">
        <v>64875.360000000001</v>
      </c>
      <c r="AD1136" s="48"/>
      <c r="AE1136" s="56"/>
    </row>
    <row r="1137" spans="1:31" x14ac:dyDescent="0.3">
      <c r="A1137" s="59">
        <f t="shared" si="273"/>
        <v>870</v>
      </c>
      <c r="B1137" s="66" t="s">
        <v>3123</v>
      </c>
      <c r="C1137" s="48">
        <f t="shared" si="272"/>
        <v>1841139.17</v>
      </c>
      <c r="D1137" s="48">
        <f t="shared" si="271"/>
        <v>0</v>
      </c>
      <c r="E1137" s="48"/>
      <c r="F1137" s="48"/>
      <c r="G1137" s="48"/>
      <c r="H1137" s="48"/>
      <c r="I1137" s="48"/>
      <c r="J1137" s="48"/>
      <c r="K1137" s="48"/>
      <c r="L1137" s="48"/>
      <c r="M1137" s="48"/>
      <c r="N1137" s="48"/>
      <c r="O1137" s="55"/>
      <c r="P1137" s="48"/>
      <c r="Q1137" s="128"/>
      <c r="R1137" s="48"/>
      <c r="S1137" s="55"/>
      <c r="T1137" s="55"/>
      <c r="U1137" s="48"/>
      <c r="V1137" s="48"/>
      <c r="W1137" s="178">
        <f t="shared" si="274"/>
        <v>1841139.17</v>
      </c>
      <c r="X1137" s="375"/>
      <c r="Y1137" s="376">
        <v>330393.23</v>
      </c>
      <c r="Z1137" s="376"/>
      <c r="AA1137" s="48"/>
      <c r="AB1137" s="48"/>
      <c r="AC1137" s="187">
        <v>66142.3</v>
      </c>
      <c r="AD1137" s="48">
        <v>1444603.64</v>
      </c>
      <c r="AE1137" s="56"/>
    </row>
    <row r="1138" spans="1:31" x14ac:dyDescent="0.3">
      <c r="A1138" s="59">
        <f t="shared" si="273"/>
        <v>871</v>
      </c>
      <c r="B1138" s="66" t="s">
        <v>3124</v>
      </c>
      <c r="C1138" s="48">
        <f t="shared" si="272"/>
        <v>1062909.8</v>
      </c>
      <c r="D1138" s="48">
        <f t="shared" si="271"/>
        <v>0</v>
      </c>
      <c r="E1138" s="48"/>
      <c r="F1138" s="48"/>
      <c r="G1138" s="48"/>
      <c r="H1138" s="48"/>
      <c r="I1138" s="48"/>
      <c r="J1138" s="48"/>
      <c r="K1138" s="48"/>
      <c r="L1138" s="48"/>
      <c r="M1138" s="48"/>
      <c r="N1138" s="48"/>
      <c r="O1138" s="55"/>
      <c r="P1138" s="48"/>
      <c r="Q1138" s="128"/>
      <c r="R1138" s="48"/>
      <c r="S1138" s="55"/>
      <c r="T1138" s="55"/>
      <c r="U1138" s="48"/>
      <c r="V1138" s="48"/>
      <c r="W1138" s="178">
        <f t="shared" si="274"/>
        <v>1062909.8</v>
      </c>
      <c r="X1138" s="375"/>
      <c r="Y1138" s="376">
        <v>157464.92000000001</v>
      </c>
      <c r="Z1138" s="376"/>
      <c r="AA1138" s="48"/>
      <c r="AB1138" s="48"/>
      <c r="AC1138" s="187">
        <v>104673.16</v>
      </c>
      <c r="AD1138" s="48">
        <v>800771.72</v>
      </c>
      <c r="AE1138" s="56"/>
    </row>
    <row r="1139" spans="1:31" x14ac:dyDescent="0.3">
      <c r="A1139" s="59">
        <f t="shared" si="273"/>
        <v>872</v>
      </c>
      <c r="B1139" s="66" t="s">
        <v>3125</v>
      </c>
      <c r="C1139" s="48">
        <f t="shared" si="272"/>
        <v>173899.64</v>
      </c>
      <c r="D1139" s="48">
        <f t="shared" si="271"/>
        <v>0</v>
      </c>
      <c r="E1139" s="48"/>
      <c r="F1139" s="48"/>
      <c r="G1139" s="48"/>
      <c r="H1139" s="48"/>
      <c r="I1139" s="48"/>
      <c r="J1139" s="48"/>
      <c r="K1139" s="48"/>
      <c r="L1139" s="48"/>
      <c r="M1139" s="48"/>
      <c r="N1139" s="48"/>
      <c r="O1139" s="55"/>
      <c r="P1139" s="48"/>
      <c r="Q1139" s="55"/>
      <c r="R1139" s="48"/>
      <c r="S1139" s="55"/>
      <c r="T1139" s="55"/>
      <c r="U1139" s="48"/>
      <c r="V1139" s="48"/>
      <c r="W1139" s="178">
        <f t="shared" si="274"/>
        <v>173899.64</v>
      </c>
      <c r="X1139" s="375"/>
      <c r="Y1139" s="376">
        <v>173899.64</v>
      </c>
      <c r="Z1139" s="376"/>
      <c r="AA1139" s="48"/>
      <c r="AB1139" s="48"/>
      <c r="AC1139" s="187"/>
      <c r="AD1139" s="48"/>
      <c r="AE1139" s="56"/>
    </row>
    <row r="1140" spans="1:31" x14ac:dyDescent="0.3">
      <c r="A1140" s="59">
        <f t="shared" si="273"/>
        <v>873</v>
      </c>
      <c r="B1140" s="66" t="s">
        <v>3127</v>
      </c>
      <c r="C1140" s="48">
        <f t="shared" si="272"/>
        <v>728926.75</v>
      </c>
      <c r="D1140" s="48">
        <f t="shared" si="271"/>
        <v>0</v>
      </c>
      <c r="E1140" s="48"/>
      <c r="F1140" s="48"/>
      <c r="G1140" s="48"/>
      <c r="H1140" s="48"/>
      <c r="I1140" s="48"/>
      <c r="J1140" s="48"/>
      <c r="K1140" s="48"/>
      <c r="L1140" s="48"/>
      <c r="M1140" s="48"/>
      <c r="N1140" s="48"/>
      <c r="O1140" s="55"/>
      <c r="P1140" s="48"/>
      <c r="Q1140" s="55"/>
      <c r="R1140" s="48"/>
      <c r="S1140" s="55"/>
      <c r="T1140" s="55"/>
      <c r="U1140" s="48"/>
      <c r="V1140" s="48"/>
      <c r="W1140" s="178">
        <f t="shared" si="274"/>
        <v>728926.75</v>
      </c>
      <c r="X1140" s="375"/>
      <c r="Y1140" s="376"/>
      <c r="Z1140" s="376"/>
      <c r="AA1140" s="48"/>
      <c r="AB1140" s="48"/>
      <c r="AC1140" s="187"/>
      <c r="AD1140" s="48">
        <v>728926.75</v>
      </c>
      <c r="AE1140" s="56"/>
    </row>
    <row r="1141" spans="1:31" x14ac:dyDescent="0.3">
      <c r="A1141" s="59">
        <f t="shared" si="273"/>
        <v>874</v>
      </c>
      <c r="B1141" s="66" t="s">
        <v>3128</v>
      </c>
      <c r="C1141" s="48">
        <f t="shared" si="272"/>
        <v>826434.2</v>
      </c>
      <c r="D1141" s="48">
        <f t="shared" si="271"/>
        <v>0</v>
      </c>
      <c r="E1141" s="48"/>
      <c r="F1141" s="48"/>
      <c r="G1141" s="48"/>
      <c r="H1141" s="48"/>
      <c r="I1141" s="48"/>
      <c r="J1141" s="48"/>
      <c r="K1141" s="48"/>
      <c r="L1141" s="48"/>
      <c r="M1141" s="48"/>
      <c r="N1141" s="48"/>
      <c r="O1141" s="55"/>
      <c r="P1141" s="48"/>
      <c r="Q1141" s="128"/>
      <c r="R1141" s="48"/>
      <c r="S1141" s="55"/>
      <c r="T1141" s="55"/>
      <c r="U1141" s="48"/>
      <c r="V1141" s="48"/>
      <c r="W1141" s="178">
        <f t="shared" si="274"/>
        <v>826434.2</v>
      </c>
      <c r="X1141" s="375"/>
      <c r="Y1141" s="376"/>
      <c r="Z1141" s="376"/>
      <c r="AA1141" s="48"/>
      <c r="AB1141" s="48"/>
      <c r="AC1141" s="187"/>
      <c r="AD1141" s="48">
        <v>826434.2</v>
      </c>
      <c r="AE1141" s="56"/>
    </row>
    <row r="1142" spans="1:31" x14ac:dyDescent="0.3">
      <c r="A1142" s="59">
        <f t="shared" si="273"/>
        <v>875</v>
      </c>
      <c r="B1142" s="66" t="s">
        <v>3129</v>
      </c>
      <c r="C1142" s="48">
        <f t="shared" si="272"/>
        <v>516554.83</v>
      </c>
      <c r="D1142" s="48">
        <f t="shared" si="271"/>
        <v>0</v>
      </c>
      <c r="E1142" s="48"/>
      <c r="F1142" s="48"/>
      <c r="G1142" s="48"/>
      <c r="H1142" s="48"/>
      <c r="I1142" s="48"/>
      <c r="J1142" s="48"/>
      <c r="K1142" s="48"/>
      <c r="L1142" s="48"/>
      <c r="M1142" s="48"/>
      <c r="N1142" s="48"/>
      <c r="O1142" s="55"/>
      <c r="P1142" s="48"/>
      <c r="Q1142" s="128"/>
      <c r="R1142" s="48"/>
      <c r="S1142" s="55"/>
      <c r="T1142" s="55"/>
      <c r="U1142" s="48"/>
      <c r="V1142" s="48"/>
      <c r="W1142" s="178">
        <f t="shared" si="274"/>
        <v>516554.83</v>
      </c>
      <c r="X1142" s="375"/>
      <c r="Y1142" s="376"/>
      <c r="Z1142" s="376"/>
      <c r="AA1142" s="48"/>
      <c r="AB1142" s="48"/>
      <c r="AC1142" s="187">
        <v>128815.93</v>
      </c>
      <c r="AD1142" s="48">
        <v>387738.9</v>
      </c>
      <c r="AE1142" s="56"/>
    </row>
    <row r="1143" spans="1:31" x14ac:dyDescent="0.3">
      <c r="A1143" s="59">
        <f t="shared" si="273"/>
        <v>876</v>
      </c>
      <c r="B1143" s="66" t="s">
        <v>3130</v>
      </c>
      <c r="C1143" s="48">
        <f t="shared" si="272"/>
        <v>643979.41999999993</v>
      </c>
      <c r="D1143" s="48">
        <f t="shared" si="271"/>
        <v>0</v>
      </c>
      <c r="E1143" s="48"/>
      <c r="F1143" s="48"/>
      <c r="G1143" s="48"/>
      <c r="H1143" s="48"/>
      <c r="I1143" s="48"/>
      <c r="J1143" s="48"/>
      <c r="K1143" s="48"/>
      <c r="L1143" s="48"/>
      <c r="M1143" s="48"/>
      <c r="N1143" s="48"/>
      <c r="O1143" s="55"/>
      <c r="P1143" s="48"/>
      <c r="Q1143" s="128"/>
      <c r="R1143" s="48"/>
      <c r="S1143" s="55"/>
      <c r="T1143" s="55"/>
      <c r="U1143" s="48"/>
      <c r="V1143" s="48"/>
      <c r="W1143" s="178">
        <f t="shared" si="274"/>
        <v>643979.41999999993</v>
      </c>
      <c r="X1143" s="375"/>
      <c r="Y1143" s="376"/>
      <c r="Z1143" s="376">
        <v>132862.43</v>
      </c>
      <c r="AA1143" s="48">
        <v>67409.759999999995</v>
      </c>
      <c r="AB1143" s="48"/>
      <c r="AC1143" s="187">
        <v>29676.61</v>
      </c>
      <c r="AD1143" s="48">
        <v>414030.62</v>
      </c>
      <c r="AE1143" s="56"/>
    </row>
    <row r="1144" spans="1:31" x14ac:dyDescent="0.3">
      <c r="A1144" s="59">
        <f t="shared" si="273"/>
        <v>877</v>
      </c>
      <c r="B1144" s="66" t="s">
        <v>3131</v>
      </c>
      <c r="C1144" s="48">
        <f t="shared" si="272"/>
        <v>443598.11</v>
      </c>
      <c r="D1144" s="48">
        <f t="shared" si="271"/>
        <v>0</v>
      </c>
      <c r="E1144" s="48"/>
      <c r="F1144" s="48"/>
      <c r="G1144" s="48"/>
      <c r="H1144" s="48"/>
      <c r="I1144" s="48"/>
      <c r="J1144" s="48"/>
      <c r="K1144" s="48"/>
      <c r="L1144" s="48"/>
      <c r="M1144" s="48"/>
      <c r="N1144" s="48"/>
      <c r="O1144" s="55"/>
      <c r="P1144" s="48"/>
      <c r="Q1144" s="128"/>
      <c r="R1144" s="48"/>
      <c r="S1144" s="55"/>
      <c r="T1144" s="55"/>
      <c r="U1144" s="48"/>
      <c r="V1144" s="48"/>
      <c r="W1144" s="178">
        <f t="shared" si="274"/>
        <v>443598.11</v>
      </c>
      <c r="X1144" s="375"/>
      <c r="Y1144" s="376"/>
      <c r="Z1144" s="376"/>
      <c r="AA1144" s="48"/>
      <c r="AB1144" s="48"/>
      <c r="AC1144" s="187">
        <v>29668.97</v>
      </c>
      <c r="AD1144" s="48">
        <v>413929.14</v>
      </c>
      <c r="AE1144" s="56"/>
    </row>
    <row r="1145" spans="1:31" x14ac:dyDescent="0.3">
      <c r="A1145" s="59">
        <f t="shared" si="273"/>
        <v>878</v>
      </c>
      <c r="B1145" s="66" t="s">
        <v>3132</v>
      </c>
      <c r="C1145" s="48">
        <f t="shared" si="272"/>
        <v>428537.25</v>
      </c>
      <c r="D1145" s="48">
        <f t="shared" si="271"/>
        <v>0</v>
      </c>
      <c r="E1145" s="48"/>
      <c r="F1145" s="48"/>
      <c r="G1145" s="48"/>
      <c r="H1145" s="48"/>
      <c r="I1145" s="48"/>
      <c r="J1145" s="48"/>
      <c r="K1145" s="48"/>
      <c r="L1145" s="48"/>
      <c r="M1145" s="48"/>
      <c r="N1145" s="48"/>
      <c r="O1145" s="55"/>
      <c r="P1145" s="48"/>
      <c r="Q1145" s="128"/>
      <c r="R1145" s="48"/>
      <c r="S1145" s="55"/>
      <c r="T1145" s="55"/>
      <c r="U1145" s="48"/>
      <c r="V1145" s="48"/>
      <c r="W1145" s="178">
        <f t="shared" si="274"/>
        <v>428537.25</v>
      </c>
      <c r="X1145" s="375"/>
      <c r="Y1145" s="376"/>
      <c r="Z1145" s="376"/>
      <c r="AA1145" s="48"/>
      <c r="AB1145" s="48"/>
      <c r="AC1145" s="187">
        <v>28614.86</v>
      </c>
      <c r="AD1145" s="48">
        <v>399922.39</v>
      </c>
      <c r="AE1145" s="56"/>
    </row>
    <row r="1146" spans="1:31" x14ac:dyDescent="0.3">
      <c r="A1146" s="59">
        <f t="shared" si="273"/>
        <v>879</v>
      </c>
      <c r="B1146" s="66" t="s">
        <v>3134</v>
      </c>
      <c r="C1146" s="48">
        <f t="shared" si="272"/>
        <v>486762.27999999997</v>
      </c>
      <c r="D1146" s="48">
        <f t="shared" si="271"/>
        <v>0</v>
      </c>
      <c r="E1146" s="48"/>
      <c r="F1146" s="48"/>
      <c r="G1146" s="48"/>
      <c r="H1146" s="48"/>
      <c r="I1146" s="48"/>
      <c r="J1146" s="48"/>
      <c r="K1146" s="48"/>
      <c r="L1146" s="48"/>
      <c r="M1146" s="48"/>
      <c r="N1146" s="48"/>
      <c r="O1146" s="55"/>
      <c r="P1146" s="48"/>
      <c r="Q1146" s="128"/>
      <c r="R1146" s="48"/>
      <c r="S1146" s="55"/>
      <c r="T1146" s="55"/>
      <c r="U1146" s="48"/>
      <c r="V1146" s="48"/>
      <c r="W1146" s="178">
        <f t="shared" si="274"/>
        <v>486762.27999999997</v>
      </c>
      <c r="X1146" s="375"/>
      <c r="Y1146" s="376"/>
      <c r="Z1146" s="376"/>
      <c r="AA1146" s="48"/>
      <c r="AB1146" s="48"/>
      <c r="AC1146" s="187">
        <v>86027.92</v>
      </c>
      <c r="AD1146" s="48">
        <v>400734.36</v>
      </c>
      <c r="AE1146" s="56"/>
    </row>
    <row r="1147" spans="1:31" x14ac:dyDescent="0.3">
      <c r="A1147" s="59">
        <f t="shared" si="273"/>
        <v>880</v>
      </c>
      <c r="B1147" s="66" t="s">
        <v>3135</v>
      </c>
      <c r="C1147" s="48">
        <f t="shared" ref="C1147:C1178" si="275">D1147+K1147+L1147+N1147+P1147+R1147+S1147+U1147+V1147+W1147</f>
        <v>836203.5</v>
      </c>
      <c r="D1147" s="48">
        <f t="shared" si="271"/>
        <v>0</v>
      </c>
      <c r="E1147" s="48"/>
      <c r="F1147" s="48"/>
      <c r="G1147" s="48"/>
      <c r="H1147" s="48"/>
      <c r="I1147" s="48"/>
      <c r="J1147" s="48"/>
      <c r="K1147" s="48"/>
      <c r="L1147" s="48"/>
      <c r="M1147" s="48"/>
      <c r="N1147" s="48"/>
      <c r="O1147" s="55"/>
      <c r="P1147" s="48"/>
      <c r="Q1147" s="128"/>
      <c r="R1147" s="48"/>
      <c r="S1147" s="55"/>
      <c r="T1147" s="55"/>
      <c r="U1147" s="48"/>
      <c r="V1147" s="48"/>
      <c r="W1147" s="178">
        <f t="shared" si="274"/>
        <v>836203.5</v>
      </c>
      <c r="X1147" s="375"/>
      <c r="Y1147" s="376">
        <v>109179.9</v>
      </c>
      <c r="Z1147" s="376">
        <v>131648</v>
      </c>
      <c r="AA1147" s="48">
        <v>116575.78</v>
      </c>
      <c r="AB1147" s="48"/>
      <c r="AC1147" s="187">
        <v>84561.34</v>
      </c>
      <c r="AD1147" s="48">
        <v>394238.48</v>
      </c>
      <c r="AE1147" s="56"/>
    </row>
    <row r="1148" spans="1:31" x14ac:dyDescent="0.3">
      <c r="A1148" s="59">
        <f t="shared" si="273"/>
        <v>881</v>
      </c>
      <c r="B1148" s="66" t="s">
        <v>3136</v>
      </c>
      <c r="C1148" s="48">
        <f t="shared" si="275"/>
        <v>434169.69</v>
      </c>
      <c r="D1148" s="48">
        <f t="shared" si="271"/>
        <v>0</v>
      </c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55"/>
      <c r="P1148" s="48"/>
      <c r="Q1148" s="55"/>
      <c r="R1148" s="48"/>
      <c r="S1148" s="55"/>
      <c r="T1148" s="55"/>
      <c r="U1148" s="48"/>
      <c r="V1148" s="48"/>
      <c r="W1148" s="178">
        <f t="shared" si="274"/>
        <v>434169.69</v>
      </c>
      <c r="X1148" s="375"/>
      <c r="Y1148" s="376">
        <v>251572.45</v>
      </c>
      <c r="Z1148" s="376"/>
      <c r="AA1148" s="48"/>
      <c r="AB1148" s="48"/>
      <c r="AC1148" s="187">
        <v>182597.24</v>
      </c>
      <c r="AD1148" s="48"/>
      <c r="AE1148" s="56"/>
    </row>
    <row r="1149" spans="1:31" x14ac:dyDescent="0.3">
      <c r="A1149" s="59">
        <f t="shared" si="273"/>
        <v>882</v>
      </c>
      <c r="B1149" s="66" t="s">
        <v>3137</v>
      </c>
      <c r="C1149" s="48">
        <f t="shared" si="275"/>
        <v>1793591.1800000002</v>
      </c>
      <c r="D1149" s="48">
        <f t="shared" si="271"/>
        <v>0</v>
      </c>
      <c r="E1149" s="48"/>
      <c r="F1149" s="48"/>
      <c r="G1149" s="48"/>
      <c r="H1149" s="48"/>
      <c r="I1149" s="48"/>
      <c r="J1149" s="48"/>
      <c r="K1149" s="48"/>
      <c r="L1149" s="48"/>
      <c r="M1149" s="48"/>
      <c r="N1149" s="48"/>
      <c r="O1149" s="55"/>
      <c r="P1149" s="48"/>
      <c r="Q1149" s="128"/>
      <c r="R1149" s="48"/>
      <c r="S1149" s="55"/>
      <c r="T1149" s="55"/>
      <c r="U1149" s="48"/>
      <c r="V1149" s="48"/>
      <c r="W1149" s="178">
        <f t="shared" si="274"/>
        <v>1793591.1800000002</v>
      </c>
      <c r="X1149" s="375"/>
      <c r="Y1149" s="376">
        <v>249589.94</v>
      </c>
      <c r="Z1149" s="376"/>
      <c r="AA1149" s="48"/>
      <c r="AB1149" s="48">
        <v>410430.61</v>
      </c>
      <c r="AC1149" s="187">
        <v>158655.35999999999</v>
      </c>
      <c r="AD1149" s="48">
        <v>974915.27</v>
      </c>
      <c r="AE1149" s="56"/>
    </row>
    <row r="1150" spans="1:31" x14ac:dyDescent="0.3">
      <c r="A1150" s="59">
        <f t="shared" si="273"/>
        <v>883</v>
      </c>
      <c r="B1150" s="66" t="s">
        <v>3138</v>
      </c>
      <c r="C1150" s="48">
        <f t="shared" si="275"/>
        <v>1869690.08</v>
      </c>
      <c r="D1150" s="48">
        <f t="shared" si="271"/>
        <v>0</v>
      </c>
      <c r="E1150" s="48"/>
      <c r="F1150" s="48"/>
      <c r="G1150" s="48"/>
      <c r="H1150" s="48"/>
      <c r="I1150" s="48"/>
      <c r="J1150" s="48"/>
      <c r="K1150" s="48"/>
      <c r="L1150" s="48"/>
      <c r="M1150" s="48"/>
      <c r="N1150" s="48"/>
      <c r="O1150" s="55"/>
      <c r="P1150" s="48"/>
      <c r="Q1150" s="128"/>
      <c r="R1150" s="48"/>
      <c r="S1150" s="55"/>
      <c r="T1150" s="55"/>
      <c r="U1150" s="48"/>
      <c r="V1150" s="48"/>
      <c r="W1150" s="178">
        <f t="shared" si="274"/>
        <v>1869690.08</v>
      </c>
      <c r="X1150" s="375"/>
      <c r="Y1150" s="376">
        <v>261645.95</v>
      </c>
      <c r="Z1150" s="376"/>
      <c r="AA1150" s="48"/>
      <c r="AB1150" s="48">
        <v>428269.59</v>
      </c>
      <c r="AC1150" s="187">
        <v>165449.26</v>
      </c>
      <c r="AD1150" s="48">
        <v>1014325.28</v>
      </c>
      <c r="AE1150" s="56"/>
    </row>
    <row r="1151" spans="1:31" x14ac:dyDescent="0.3">
      <c r="A1151" s="59">
        <f t="shared" si="273"/>
        <v>884</v>
      </c>
      <c r="B1151" s="66" t="s">
        <v>3139</v>
      </c>
      <c r="C1151" s="48">
        <f t="shared" si="275"/>
        <v>685167.78</v>
      </c>
      <c r="D1151" s="48">
        <f t="shared" si="271"/>
        <v>0</v>
      </c>
      <c r="E1151" s="48"/>
      <c r="F1151" s="48"/>
      <c r="G1151" s="48"/>
      <c r="H1151" s="48"/>
      <c r="I1151" s="48"/>
      <c r="J1151" s="48"/>
      <c r="K1151" s="48"/>
      <c r="L1151" s="48"/>
      <c r="M1151" s="48"/>
      <c r="N1151" s="48"/>
      <c r="O1151" s="55"/>
      <c r="P1151" s="48"/>
      <c r="Q1151" s="55"/>
      <c r="R1151" s="48"/>
      <c r="S1151" s="55"/>
      <c r="T1151" s="55"/>
      <c r="U1151" s="48"/>
      <c r="V1151" s="48"/>
      <c r="W1151" s="178">
        <f t="shared" si="274"/>
        <v>685167.78</v>
      </c>
      <c r="X1151" s="375"/>
      <c r="Y1151" s="376"/>
      <c r="Z1151" s="376"/>
      <c r="AA1151" s="48"/>
      <c r="AB1151" s="48">
        <v>441573.5</v>
      </c>
      <c r="AC1151" s="187">
        <v>243594.28</v>
      </c>
      <c r="AD1151" s="48"/>
      <c r="AE1151" s="56"/>
    </row>
    <row r="1152" spans="1:31" x14ac:dyDescent="0.3">
      <c r="A1152" s="59">
        <f t="shared" si="273"/>
        <v>885</v>
      </c>
      <c r="B1152" s="66" t="s">
        <v>3140</v>
      </c>
      <c r="C1152" s="48">
        <f t="shared" si="275"/>
        <v>1695769.59</v>
      </c>
      <c r="D1152" s="48">
        <f t="shared" si="271"/>
        <v>0</v>
      </c>
      <c r="E1152" s="48"/>
      <c r="F1152" s="48"/>
      <c r="G1152" s="48"/>
      <c r="H1152" s="48"/>
      <c r="I1152" s="48"/>
      <c r="J1152" s="48"/>
      <c r="K1152" s="48"/>
      <c r="L1152" s="48"/>
      <c r="M1152" s="48"/>
      <c r="N1152" s="48"/>
      <c r="O1152" s="55"/>
      <c r="P1152" s="48"/>
      <c r="Q1152" s="128"/>
      <c r="R1152" s="48"/>
      <c r="S1152" s="55"/>
      <c r="T1152" s="55"/>
      <c r="U1152" s="48"/>
      <c r="V1152" s="48"/>
      <c r="W1152" s="178">
        <f t="shared" si="274"/>
        <v>1695769.59</v>
      </c>
      <c r="X1152" s="375"/>
      <c r="Y1152" s="376">
        <v>224288.41</v>
      </c>
      <c r="Z1152" s="376"/>
      <c r="AA1152" s="48"/>
      <c r="AB1152" s="48">
        <v>372992.58</v>
      </c>
      <c r="AC1152" s="187">
        <v>206281.81</v>
      </c>
      <c r="AD1152" s="187">
        <v>892206.79</v>
      </c>
      <c r="AE1152" s="56"/>
    </row>
    <row r="1153" spans="1:31" x14ac:dyDescent="0.3">
      <c r="A1153" s="59">
        <f t="shared" si="273"/>
        <v>886</v>
      </c>
      <c r="B1153" s="66" t="s">
        <v>3141</v>
      </c>
      <c r="C1153" s="48">
        <f t="shared" si="275"/>
        <v>2179835.2000000002</v>
      </c>
      <c r="D1153" s="48">
        <f t="shared" si="271"/>
        <v>0</v>
      </c>
      <c r="E1153" s="48"/>
      <c r="F1153" s="48"/>
      <c r="G1153" s="48"/>
      <c r="H1153" s="48"/>
      <c r="I1153" s="48"/>
      <c r="J1153" s="48"/>
      <c r="K1153" s="48"/>
      <c r="L1153" s="48"/>
      <c r="M1153" s="48"/>
      <c r="N1153" s="48"/>
      <c r="O1153" s="55"/>
      <c r="P1153" s="48"/>
      <c r="Q1153" s="128"/>
      <c r="R1153" s="48"/>
      <c r="S1153" s="55"/>
      <c r="T1153" s="55"/>
      <c r="U1153" s="48"/>
      <c r="V1153" s="48"/>
      <c r="W1153" s="178">
        <f t="shared" si="274"/>
        <v>2179835.2000000002</v>
      </c>
      <c r="X1153" s="375"/>
      <c r="Y1153" s="376">
        <v>310780.87</v>
      </c>
      <c r="Z1153" s="376"/>
      <c r="AA1153" s="48"/>
      <c r="AB1153" s="48">
        <v>500973.27</v>
      </c>
      <c r="AC1153" s="187">
        <v>193138.12</v>
      </c>
      <c r="AD1153" s="48">
        <v>1174942.94</v>
      </c>
      <c r="AE1153" s="56"/>
    </row>
    <row r="1154" spans="1:31" x14ac:dyDescent="0.3">
      <c r="A1154" s="59">
        <f t="shared" si="273"/>
        <v>887</v>
      </c>
      <c r="B1154" s="66" t="s">
        <v>3142</v>
      </c>
      <c r="C1154" s="48">
        <f t="shared" si="275"/>
        <v>435896.32000000001</v>
      </c>
      <c r="D1154" s="48">
        <f t="shared" si="271"/>
        <v>0</v>
      </c>
      <c r="E1154" s="48"/>
      <c r="F1154" s="48"/>
      <c r="G1154" s="48"/>
      <c r="H1154" s="48"/>
      <c r="I1154" s="48"/>
      <c r="J1154" s="48"/>
      <c r="K1154" s="48"/>
      <c r="L1154" s="48"/>
      <c r="M1154" s="48"/>
      <c r="N1154" s="84"/>
      <c r="O1154" s="55"/>
      <c r="P1154" s="48"/>
      <c r="Q1154" s="55"/>
      <c r="R1154" s="48"/>
      <c r="S1154" s="55"/>
      <c r="T1154" s="55"/>
      <c r="U1154" s="48"/>
      <c r="V1154" s="48"/>
      <c r="W1154" s="178">
        <f t="shared" si="274"/>
        <v>435896.32000000001</v>
      </c>
      <c r="X1154" s="375"/>
      <c r="Y1154" s="376">
        <v>252622.72</v>
      </c>
      <c r="Z1154" s="376"/>
      <c r="AA1154" s="48"/>
      <c r="AB1154" s="48"/>
      <c r="AC1154" s="187">
        <v>183273.60000000001</v>
      </c>
      <c r="AD1154" s="48"/>
      <c r="AE1154" s="56"/>
    </row>
    <row r="1155" spans="1:31" x14ac:dyDescent="0.3">
      <c r="A1155" s="59">
        <f t="shared" si="273"/>
        <v>888</v>
      </c>
      <c r="B1155" s="66" t="s">
        <v>3143</v>
      </c>
      <c r="C1155" s="48">
        <f t="shared" si="275"/>
        <v>1939509.9200000002</v>
      </c>
      <c r="D1155" s="48">
        <f t="shared" si="271"/>
        <v>0</v>
      </c>
      <c r="E1155" s="48"/>
      <c r="F1155" s="48"/>
      <c r="G1155" s="48"/>
      <c r="H1155" s="48"/>
      <c r="I1155" s="48"/>
      <c r="J1155" s="48"/>
      <c r="K1155" s="48"/>
      <c r="L1155" s="48"/>
      <c r="M1155" s="48"/>
      <c r="N1155" s="48"/>
      <c r="O1155" s="55"/>
      <c r="P1155" s="48"/>
      <c r="Q1155" s="128"/>
      <c r="R1155" s="48"/>
      <c r="S1155" s="55"/>
      <c r="T1155" s="55"/>
      <c r="U1155" s="48"/>
      <c r="V1155" s="48"/>
      <c r="W1155" s="178">
        <f t="shared" si="274"/>
        <v>1939509.9200000002</v>
      </c>
      <c r="X1155" s="375"/>
      <c r="Y1155" s="376"/>
      <c r="Z1155" s="376"/>
      <c r="AA1155" s="48"/>
      <c r="AB1155" s="48">
        <v>550833.92000000004</v>
      </c>
      <c r="AC1155" s="187">
        <v>141409.20000000001</v>
      </c>
      <c r="AD1155" s="48">
        <v>1247266.8</v>
      </c>
      <c r="AE1155" s="56"/>
    </row>
    <row r="1156" spans="1:31" x14ac:dyDescent="0.3">
      <c r="A1156" s="59">
        <f t="shared" si="273"/>
        <v>889</v>
      </c>
      <c r="B1156" s="66" t="s">
        <v>3144</v>
      </c>
      <c r="C1156" s="48">
        <f t="shared" si="275"/>
        <v>1939214.69</v>
      </c>
      <c r="D1156" s="48">
        <f t="shared" si="271"/>
        <v>0</v>
      </c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55"/>
      <c r="P1156" s="48"/>
      <c r="Q1156" s="128"/>
      <c r="R1156" s="48"/>
      <c r="S1156" s="55"/>
      <c r="T1156" s="55"/>
      <c r="U1156" s="48"/>
      <c r="V1156" s="48"/>
      <c r="W1156" s="178">
        <f t="shared" si="274"/>
        <v>1939214.69</v>
      </c>
      <c r="X1156" s="375"/>
      <c r="Y1156" s="376"/>
      <c r="Z1156" s="376"/>
      <c r="AA1156" s="48"/>
      <c r="AB1156" s="48">
        <v>550745.27</v>
      </c>
      <c r="AC1156" s="187">
        <v>141386.85999999999</v>
      </c>
      <c r="AD1156" s="48">
        <v>1247082.56</v>
      </c>
      <c r="AE1156" s="56"/>
    </row>
    <row r="1157" spans="1:31" x14ac:dyDescent="0.3">
      <c r="A1157" s="59">
        <f t="shared" si="273"/>
        <v>890</v>
      </c>
      <c r="B1157" s="66" t="s">
        <v>3145</v>
      </c>
      <c r="C1157" s="48">
        <f t="shared" si="275"/>
        <v>2403761.7400000002</v>
      </c>
      <c r="D1157" s="48">
        <f t="shared" si="271"/>
        <v>0</v>
      </c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55"/>
      <c r="P1157" s="48"/>
      <c r="Q1157" s="128"/>
      <c r="R1157" s="48"/>
      <c r="S1157" s="55"/>
      <c r="T1157" s="55"/>
      <c r="U1157" s="48"/>
      <c r="V1157" s="48"/>
      <c r="W1157" s="178">
        <f t="shared" si="274"/>
        <v>2403761.7400000002</v>
      </c>
      <c r="X1157" s="375"/>
      <c r="Y1157" s="376"/>
      <c r="Z1157" s="376"/>
      <c r="AA1157" s="48"/>
      <c r="AB1157" s="48">
        <v>679805.72</v>
      </c>
      <c r="AC1157" s="187">
        <v>208713.26</v>
      </c>
      <c r="AD1157" s="48">
        <v>1515242.76</v>
      </c>
      <c r="AE1157" s="56"/>
    </row>
    <row r="1158" spans="1:31" x14ac:dyDescent="0.3">
      <c r="A1158" s="59">
        <f t="shared" si="273"/>
        <v>891</v>
      </c>
      <c r="B1158" s="66" t="s">
        <v>3146</v>
      </c>
      <c r="C1158" s="48">
        <f t="shared" si="275"/>
        <v>1055802.4100000001</v>
      </c>
      <c r="D1158" s="48">
        <f t="shared" si="271"/>
        <v>0</v>
      </c>
      <c r="E1158" s="48"/>
      <c r="F1158" s="48"/>
      <c r="G1158" s="48"/>
      <c r="H1158" s="48"/>
      <c r="I1158" s="48"/>
      <c r="J1158" s="48"/>
      <c r="K1158" s="48"/>
      <c r="L1158" s="48"/>
      <c r="M1158" s="48"/>
      <c r="N1158" s="48"/>
      <c r="O1158" s="55"/>
      <c r="P1158" s="48"/>
      <c r="Q1158" s="55"/>
      <c r="R1158" s="48"/>
      <c r="S1158" s="55"/>
      <c r="T1158" s="55"/>
      <c r="U1158" s="48"/>
      <c r="V1158" s="48"/>
      <c r="W1158" s="178">
        <f t="shared" si="274"/>
        <v>1055802.4100000001</v>
      </c>
      <c r="X1158" s="375"/>
      <c r="Y1158" s="376"/>
      <c r="Z1158" s="376"/>
      <c r="AA1158" s="48"/>
      <c r="AB1158" s="48"/>
      <c r="AC1158" s="187">
        <v>496846.63</v>
      </c>
      <c r="AD1158" s="48">
        <v>558955.78</v>
      </c>
      <c r="AE1158" s="56"/>
    </row>
    <row r="1159" spans="1:31" x14ac:dyDescent="0.3">
      <c r="A1159" s="59">
        <f t="shared" si="273"/>
        <v>892</v>
      </c>
      <c r="B1159" s="66" t="s">
        <v>3147</v>
      </c>
      <c r="C1159" s="48">
        <f t="shared" si="275"/>
        <v>1518319.6</v>
      </c>
      <c r="D1159" s="48">
        <f t="shared" si="271"/>
        <v>0</v>
      </c>
      <c r="E1159" s="48"/>
      <c r="F1159" s="48"/>
      <c r="G1159" s="48"/>
      <c r="H1159" s="48"/>
      <c r="I1159" s="48"/>
      <c r="J1159" s="48"/>
      <c r="K1159" s="48"/>
      <c r="L1159" s="48"/>
      <c r="M1159" s="48"/>
      <c r="N1159" s="48"/>
      <c r="O1159" s="55"/>
      <c r="P1159" s="48"/>
      <c r="Q1159" s="128"/>
      <c r="R1159" s="48"/>
      <c r="S1159" s="55"/>
      <c r="T1159" s="55"/>
      <c r="U1159" s="48"/>
      <c r="V1159" s="48"/>
      <c r="W1159" s="178">
        <f t="shared" si="274"/>
        <v>1518319.6</v>
      </c>
      <c r="X1159" s="375"/>
      <c r="Y1159" s="376"/>
      <c r="Z1159" s="376"/>
      <c r="AA1159" s="48"/>
      <c r="AB1159" s="48">
        <v>385471.93</v>
      </c>
      <c r="AC1159" s="187">
        <v>213071.38</v>
      </c>
      <c r="AD1159" s="48">
        <v>919776.29</v>
      </c>
      <c r="AE1159" s="56"/>
    </row>
    <row r="1160" spans="1:31" x14ac:dyDescent="0.3">
      <c r="A1160" s="59">
        <f t="shared" si="273"/>
        <v>893</v>
      </c>
      <c r="B1160" s="66" t="s">
        <v>3148</v>
      </c>
      <c r="C1160" s="48">
        <f t="shared" si="275"/>
        <v>1943257.2</v>
      </c>
      <c r="D1160" s="48">
        <f t="shared" si="271"/>
        <v>0</v>
      </c>
      <c r="E1160" s="48"/>
      <c r="F1160" s="48"/>
      <c r="G1160" s="48"/>
      <c r="H1160" s="48"/>
      <c r="I1160" s="48"/>
      <c r="J1160" s="48"/>
      <c r="K1160" s="48"/>
      <c r="L1160" s="48"/>
      <c r="M1160" s="48"/>
      <c r="N1160" s="48"/>
      <c r="O1160" s="55"/>
      <c r="P1160" s="48"/>
      <c r="Q1160" s="128"/>
      <c r="R1160" s="48"/>
      <c r="S1160" s="55"/>
      <c r="T1160" s="55"/>
      <c r="U1160" s="48"/>
      <c r="V1160" s="48"/>
      <c r="W1160" s="178">
        <f t="shared" si="274"/>
        <v>1943257.2</v>
      </c>
      <c r="X1160" s="375"/>
      <c r="Y1160" s="376"/>
      <c r="Z1160" s="376"/>
      <c r="AA1160" s="48"/>
      <c r="AB1160" s="48">
        <v>543575.94999999995</v>
      </c>
      <c r="AC1160" s="187">
        <v>167495.03</v>
      </c>
      <c r="AD1160" s="48">
        <v>1232186.22</v>
      </c>
      <c r="AE1160" s="56"/>
    </row>
    <row r="1161" spans="1:31" x14ac:dyDescent="0.3">
      <c r="A1161" s="59">
        <f t="shared" si="273"/>
        <v>894</v>
      </c>
      <c r="B1161" s="66" t="s">
        <v>3149</v>
      </c>
      <c r="C1161" s="48">
        <f t="shared" si="275"/>
        <v>1586471.8900000001</v>
      </c>
      <c r="D1161" s="48">
        <f t="shared" si="271"/>
        <v>0</v>
      </c>
      <c r="E1161" s="48"/>
      <c r="F1161" s="48"/>
      <c r="G1161" s="48"/>
      <c r="H1161" s="48"/>
      <c r="I1161" s="48"/>
      <c r="J1161" s="48"/>
      <c r="K1161" s="48"/>
      <c r="L1161" s="48"/>
      <c r="M1161" s="48"/>
      <c r="N1161" s="48"/>
      <c r="O1161" s="55"/>
      <c r="P1161" s="48"/>
      <c r="Q1161" s="128"/>
      <c r="R1161" s="48"/>
      <c r="S1161" s="55"/>
      <c r="T1161" s="55"/>
      <c r="U1161" s="48"/>
      <c r="V1161" s="48"/>
      <c r="W1161" s="178">
        <f t="shared" si="274"/>
        <v>1586471.8900000001</v>
      </c>
      <c r="X1161" s="375"/>
      <c r="Y1161" s="376"/>
      <c r="Z1161" s="376"/>
      <c r="AA1161" s="48"/>
      <c r="AB1161" s="48">
        <v>444814.09</v>
      </c>
      <c r="AC1161" s="187">
        <v>114677.71</v>
      </c>
      <c r="AD1161" s="48">
        <v>1026980.09</v>
      </c>
      <c r="AE1161" s="56"/>
    </row>
    <row r="1162" spans="1:31" x14ac:dyDescent="0.3">
      <c r="A1162" s="59">
        <f t="shared" si="273"/>
        <v>895</v>
      </c>
      <c r="B1162" s="66" t="s">
        <v>3150</v>
      </c>
      <c r="C1162" s="48">
        <f t="shared" si="275"/>
        <v>1565945.7</v>
      </c>
      <c r="D1162" s="48">
        <f t="shared" si="271"/>
        <v>0</v>
      </c>
      <c r="E1162" s="48"/>
      <c r="F1162" s="48"/>
      <c r="G1162" s="48"/>
      <c r="H1162" s="48"/>
      <c r="I1162" s="48"/>
      <c r="J1162" s="48"/>
      <c r="K1162" s="48"/>
      <c r="L1162" s="48"/>
      <c r="M1162" s="48"/>
      <c r="N1162" s="48"/>
      <c r="O1162" s="55"/>
      <c r="P1162" s="48"/>
      <c r="Q1162" s="128"/>
      <c r="R1162" s="48"/>
      <c r="S1162" s="55"/>
      <c r="T1162" s="55"/>
      <c r="U1162" s="48"/>
      <c r="V1162" s="48"/>
      <c r="W1162" s="178">
        <f t="shared" si="274"/>
        <v>1565945.7</v>
      </c>
      <c r="X1162" s="375"/>
      <c r="Y1162" s="376"/>
      <c r="Z1162" s="376"/>
      <c r="AA1162" s="48"/>
      <c r="AB1162" s="48">
        <v>445548.76</v>
      </c>
      <c r="AC1162" s="187">
        <v>91890.36</v>
      </c>
      <c r="AD1162" s="48">
        <v>1028506.58</v>
      </c>
      <c r="AE1162" s="56"/>
    </row>
    <row r="1163" spans="1:31" x14ac:dyDescent="0.3">
      <c r="A1163" s="59">
        <f t="shared" si="273"/>
        <v>896</v>
      </c>
      <c r="B1163" s="66" t="s">
        <v>3151</v>
      </c>
      <c r="C1163" s="48">
        <f t="shared" si="275"/>
        <v>1869054.33</v>
      </c>
      <c r="D1163" s="48">
        <f t="shared" si="271"/>
        <v>0</v>
      </c>
      <c r="E1163" s="48"/>
      <c r="F1163" s="48"/>
      <c r="G1163" s="48"/>
      <c r="H1163" s="48"/>
      <c r="I1163" s="48"/>
      <c r="J1163" s="48"/>
      <c r="K1163" s="48"/>
      <c r="L1163" s="48"/>
      <c r="M1163" s="48"/>
      <c r="N1163" s="48"/>
      <c r="O1163" s="55"/>
      <c r="P1163" s="48"/>
      <c r="Q1163" s="128"/>
      <c r="R1163" s="48"/>
      <c r="S1163" s="55"/>
      <c r="T1163" s="55"/>
      <c r="U1163" s="48"/>
      <c r="V1163" s="48"/>
      <c r="W1163" s="178">
        <f t="shared" si="274"/>
        <v>1869054.33</v>
      </c>
      <c r="X1163" s="375"/>
      <c r="Y1163" s="376"/>
      <c r="Z1163" s="376"/>
      <c r="AA1163" s="48"/>
      <c r="AB1163" s="48">
        <v>500973.27</v>
      </c>
      <c r="AC1163" s="187">
        <v>193138.12</v>
      </c>
      <c r="AD1163" s="48">
        <v>1174942.94</v>
      </c>
      <c r="AE1163" s="56"/>
    </row>
    <row r="1164" spans="1:31" x14ac:dyDescent="0.3">
      <c r="A1164" s="59">
        <f t="shared" si="273"/>
        <v>897</v>
      </c>
      <c r="B1164" s="66" t="s">
        <v>3152</v>
      </c>
      <c r="C1164" s="48">
        <f t="shared" si="275"/>
        <v>1761015.6800000002</v>
      </c>
      <c r="D1164" s="48">
        <f t="shared" si="271"/>
        <v>0</v>
      </c>
      <c r="E1164" s="48"/>
      <c r="F1164" s="48"/>
      <c r="G1164" s="48"/>
      <c r="H1164" s="48"/>
      <c r="I1164" s="48"/>
      <c r="J1164" s="48"/>
      <c r="K1164" s="48"/>
      <c r="L1164" s="48"/>
      <c r="M1164" s="48"/>
      <c r="N1164" s="48"/>
      <c r="O1164" s="55"/>
      <c r="P1164" s="48"/>
      <c r="Q1164" s="128"/>
      <c r="R1164" s="48"/>
      <c r="S1164" s="55"/>
      <c r="T1164" s="55"/>
      <c r="U1164" s="48"/>
      <c r="V1164" s="48"/>
      <c r="W1164" s="178">
        <f t="shared" si="274"/>
        <v>1761015.6800000002</v>
      </c>
      <c r="X1164" s="375"/>
      <c r="Y1164" s="376"/>
      <c r="Z1164" s="376"/>
      <c r="AA1164" s="48"/>
      <c r="AB1164" s="48">
        <v>528134.77</v>
      </c>
      <c r="AC1164" s="187">
        <v>108864.13</v>
      </c>
      <c r="AD1164" s="48">
        <v>1124016.78</v>
      </c>
      <c r="AE1164" s="56"/>
    </row>
    <row r="1165" spans="1:31" x14ac:dyDescent="0.3">
      <c r="A1165" s="59">
        <f t="shared" si="273"/>
        <v>898</v>
      </c>
      <c r="B1165" s="66" t="s">
        <v>3153</v>
      </c>
      <c r="C1165" s="48">
        <f t="shared" si="275"/>
        <v>213560.18</v>
      </c>
      <c r="D1165" s="48">
        <f t="shared" si="271"/>
        <v>0</v>
      </c>
      <c r="E1165" s="48"/>
      <c r="F1165" s="48"/>
      <c r="G1165" s="48"/>
      <c r="H1165" s="48"/>
      <c r="I1165" s="48"/>
      <c r="J1165" s="48"/>
      <c r="K1165" s="48"/>
      <c r="L1165" s="48"/>
      <c r="M1165" s="48"/>
      <c r="N1165" s="48"/>
      <c r="O1165" s="55"/>
      <c r="P1165" s="48"/>
      <c r="Q1165" s="128"/>
      <c r="R1165" s="48"/>
      <c r="S1165" s="55"/>
      <c r="T1165" s="55"/>
      <c r="U1165" s="48"/>
      <c r="V1165" s="48"/>
      <c r="W1165" s="178">
        <f t="shared" si="274"/>
        <v>213560.18</v>
      </c>
      <c r="X1165" s="375"/>
      <c r="Y1165" s="376"/>
      <c r="Z1165" s="376"/>
      <c r="AA1165" s="48"/>
      <c r="AB1165" s="48"/>
      <c r="AC1165" s="187"/>
      <c r="AD1165" s="48">
        <v>213560.18</v>
      </c>
      <c r="AE1165" s="56"/>
    </row>
    <row r="1166" spans="1:31" x14ac:dyDescent="0.3">
      <c r="A1166" s="59">
        <f t="shared" si="273"/>
        <v>899</v>
      </c>
      <c r="B1166" s="66" t="s">
        <v>3154</v>
      </c>
      <c r="C1166" s="48">
        <f t="shared" si="275"/>
        <v>1391536.75</v>
      </c>
      <c r="D1166" s="48">
        <f t="shared" si="271"/>
        <v>0</v>
      </c>
      <c r="E1166" s="48"/>
      <c r="F1166" s="48"/>
      <c r="G1166" s="48"/>
      <c r="H1166" s="48"/>
      <c r="I1166" s="48"/>
      <c r="J1166" s="48"/>
      <c r="K1166" s="48"/>
      <c r="L1166" s="48"/>
      <c r="M1166" s="48"/>
      <c r="N1166" s="48"/>
      <c r="O1166" s="55"/>
      <c r="P1166" s="48"/>
      <c r="Q1166" s="128"/>
      <c r="R1166" s="48"/>
      <c r="S1166" s="55"/>
      <c r="T1166" s="55"/>
      <c r="U1166" s="48"/>
      <c r="V1166" s="48"/>
      <c r="W1166" s="178">
        <f t="shared" si="274"/>
        <v>1391536.75</v>
      </c>
      <c r="X1166" s="375"/>
      <c r="Y1166" s="376">
        <v>207249.25</v>
      </c>
      <c r="Z1166" s="376"/>
      <c r="AA1166" s="48"/>
      <c r="AB1166" s="48">
        <v>347780.17</v>
      </c>
      <c r="AC1166" s="187"/>
      <c r="AD1166" s="48">
        <v>836507.33</v>
      </c>
      <c r="AE1166" s="56"/>
    </row>
    <row r="1167" spans="1:31" x14ac:dyDescent="0.3">
      <c r="A1167" s="59">
        <f t="shared" si="273"/>
        <v>900</v>
      </c>
      <c r="B1167" s="66" t="s">
        <v>3155</v>
      </c>
      <c r="C1167" s="48">
        <f t="shared" si="275"/>
        <v>458727.8</v>
      </c>
      <c r="D1167" s="48">
        <f t="shared" si="271"/>
        <v>0</v>
      </c>
      <c r="E1167" s="48"/>
      <c r="F1167" s="48"/>
      <c r="G1167" s="48"/>
      <c r="H1167" s="48"/>
      <c r="I1167" s="48"/>
      <c r="J1167" s="48"/>
      <c r="K1167" s="48"/>
      <c r="L1167" s="48"/>
      <c r="M1167" s="48"/>
      <c r="N1167" s="48"/>
      <c r="O1167" s="55"/>
      <c r="P1167" s="48"/>
      <c r="Q1167" s="55"/>
      <c r="R1167" s="48"/>
      <c r="S1167" s="55"/>
      <c r="T1167" s="55"/>
      <c r="U1167" s="48"/>
      <c r="V1167" s="48"/>
      <c r="W1167" s="178">
        <f t="shared" si="274"/>
        <v>458727.8</v>
      </c>
      <c r="X1167" s="375"/>
      <c r="Y1167" s="376">
        <v>168412.86</v>
      </c>
      <c r="Z1167" s="376"/>
      <c r="AA1167" s="48"/>
      <c r="AB1167" s="48">
        <v>290314.94</v>
      </c>
      <c r="AC1167" s="187"/>
      <c r="AD1167" s="48"/>
      <c r="AE1167" s="56"/>
    </row>
    <row r="1168" spans="1:31" x14ac:dyDescent="0.3">
      <c r="A1168" s="59">
        <f t="shared" si="273"/>
        <v>901</v>
      </c>
      <c r="B1168" s="66" t="s">
        <v>3156</v>
      </c>
      <c r="C1168" s="48">
        <f t="shared" si="275"/>
        <v>1554104.21</v>
      </c>
      <c r="D1168" s="48">
        <f t="shared" si="271"/>
        <v>0</v>
      </c>
      <c r="E1168" s="48"/>
      <c r="F1168" s="48"/>
      <c r="G1168" s="48"/>
      <c r="H1168" s="48"/>
      <c r="I1168" s="48"/>
      <c r="J1168" s="48"/>
      <c r="K1168" s="48"/>
      <c r="L1168" s="48"/>
      <c r="M1168" s="48"/>
      <c r="N1168" s="48"/>
      <c r="O1168" s="55"/>
      <c r="P1168" s="48"/>
      <c r="Q1168" s="128"/>
      <c r="R1168" s="48"/>
      <c r="S1168" s="55"/>
      <c r="T1168" s="55"/>
      <c r="U1168" s="48"/>
      <c r="V1168" s="48"/>
      <c r="W1168" s="178">
        <f t="shared" si="274"/>
        <v>1554104.21</v>
      </c>
      <c r="X1168" s="375"/>
      <c r="Y1168" s="376">
        <v>167855.56</v>
      </c>
      <c r="Z1168" s="376"/>
      <c r="AA1168" s="48"/>
      <c r="AB1168" s="48"/>
      <c r="AC1168" s="187">
        <v>678515.71</v>
      </c>
      <c r="AD1168" s="48">
        <v>707732.94</v>
      </c>
      <c r="AE1168" s="56"/>
    </row>
    <row r="1169" spans="1:31" x14ac:dyDescent="0.3">
      <c r="A1169" s="59">
        <f t="shared" si="273"/>
        <v>902</v>
      </c>
      <c r="B1169" s="66" t="s">
        <v>3157</v>
      </c>
      <c r="C1169" s="48">
        <f t="shared" si="275"/>
        <v>2305297</v>
      </c>
      <c r="D1169" s="48">
        <f t="shared" si="271"/>
        <v>0</v>
      </c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55"/>
      <c r="P1169" s="48"/>
      <c r="Q1169" s="128"/>
      <c r="R1169" s="48"/>
      <c r="S1169" s="55"/>
      <c r="T1169" s="55"/>
      <c r="U1169" s="48"/>
      <c r="V1169" s="48"/>
      <c r="W1169" s="178">
        <f t="shared" si="274"/>
        <v>2305297</v>
      </c>
      <c r="X1169" s="375"/>
      <c r="Y1169" s="376">
        <v>238305.5</v>
      </c>
      <c r="Z1169" s="376"/>
      <c r="AA1169" s="48"/>
      <c r="AB1169" s="48">
        <v>393733.35</v>
      </c>
      <c r="AC1169" s="187">
        <v>735230.65</v>
      </c>
      <c r="AD1169" s="48">
        <v>938027.5</v>
      </c>
      <c r="AE1169" s="56"/>
    </row>
    <row r="1170" spans="1:31" x14ac:dyDescent="0.3">
      <c r="A1170" s="59">
        <f t="shared" si="273"/>
        <v>903</v>
      </c>
      <c r="B1170" s="66" t="s">
        <v>3158</v>
      </c>
      <c r="C1170" s="48">
        <f t="shared" si="275"/>
        <v>2245600.1500000004</v>
      </c>
      <c r="D1170" s="48">
        <f t="shared" si="271"/>
        <v>0</v>
      </c>
      <c r="E1170" s="48"/>
      <c r="F1170" s="48"/>
      <c r="G1170" s="48"/>
      <c r="H1170" s="48"/>
      <c r="I1170" s="48"/>
      <c r="J1170" s="48"/>
      <c r="K1170" s="48"/>
      <c r="L1170" s="48"/>
      <c r="M1170" s="48"/>
      <c r="N1170" s="48"/>
      <c r="O1170" s="55"/>
      <c r="P1170" s="48"/>
      <c r="Q1170" s="128"/>
      <c r="R1170" s="48"/>
      <c r="S1170" s="55"/>
      <c r="T1170" s="55"/>
      <c r="U1170" s="48"/>
      <c r="V1170" s="48"/>
      <c r="W1170" s="178">
        <f t="shared" si="274"/>
        <v>2245600.1500000004</v>
      </c>
      <c r="X1170" s="375"/>
      <c r="Y1170" s="376">
        <v>229196.51</v>
      </c>
      <c r="Z1170" s="376"/>
      <c r="AA1170" s="48"/>
      <c r="AB1170" s="48">
        <v>380255.02</v>
      </c>
      <c r="AC1170" s="187">
        <v>727897.56</v>
      </c>
      <c r="AD1170" s="48">
        <v>908251.06</v>
      </c>
      <c r="AE1170" s="56"/>
    </row>
    <row r="1171" spans="1:31" x14ac:dyDescent="0.3">
      <c r="A1171" s="59">
        <f t="shared" si="273"/>
        <v>904</v>
      </c>
      <c r="B1171" s="66" t="s">
        <v>3159</v>
      </c>
      <c r="C1171" s="48">
        <f t="shared" si="275"/>
        <v>1370974.97</v>
      </c>
      <c r="D1171" s="48">
        <f t="shared" si="271"/>
        <v>0</v>
      </c>
      <c r="E1171" s="48"/>
      <c r="F1171" s="48"/>
      <c r="G1171" s="48"/>
      <c r="H1171" s="48"/>
      <c r="I1171" s="48"/>
      <c r="J1171" s="48"/>
      <c r="K1171" s="48"/>
      <c r="L1171" s="48"/>
      <c r="M1171" s="48"/>
      <c r="N1171" s="48"/>
      <c r="O1171" s="55"/>
      <c r="P1171" s="48"/>
      <c r="Q1171" s="128"/>
      <c r="R1171" s="48"/>
      <c r="S1171" s="55"/>
      <c r="T1171" s="55"/>
      <c r="U1171" s="48"/>
      <c r="V1171" s="48"/>
      <c r="W1171" s="178">
        <f t="shared" si="274"/>
        <v>1370974.97</v>
      </c>
      <c r="X1171" s="375"/>
      <c r="Y1171" s="376"/>
      <c r="Z1171" s="376">
        <v>251260.81</v>
      </c>
      <c r="AA1171" s="48">
        <v>213088.75</v>
      </c>
      <c r="AB1171" s="48"/>
      <c r="AC1171" s="187">
        <v>93413.78</v>
      </c>
      <c r="AD1171" s="48">
        <v>813211.63</v>
      </c>
      <c r="AE1171" s="56"/>
    </row>
    <row r="1172" spans="1:31" x14ac:dyDescent="0.3">
      <c r="A1172" s="59">
        <f t="shared" si="273"/>
        <v>905</v>
      </c>
      <c r="B1172" s="66" t="s">
        <v>3160</v>
      </c>
      <c r="C1172" s="48">
        <f t="shared" si="275"/>
        <v>983149.72</v>
      </c>
      <c r="D1172" s="48">
        <f t="shared" si="271"/>
        <v>0</v>
      </c>
      <c r="E1172" s="48"/>
      <c r="F1172" s="48"/>
      <c r="G1172" s="48"/>
      <c r="H1172" s="48"/>
      <c r="I1172" s="48"/>
      <c r="J1172" s="48"/>
      <c r="K1172" s="48"/>
      <c r="L1172" s="48"/>
      <c r="M1172" s="48"/>
      <c r="N1172" s="48"/>
      <c r="O1172" s="55"/>
      <c r="P1172" s="48"/>
      <c r="Q1172" s="128"/>
      <c r="R1172" s="48"/>
      <c r="S1172" s="55"/>
      <c r="T1172" s="55"/>
      <c r="U1172" s="48"/>
      <c r="V1172" s="48"/>
      <c r="W1172" s="178">
        <f t="shared" si="274"/>
        <v>983149.72</v>
      </c>
      <c r="X1172" s="375"/>
      <c r="Y1172" s="376">
        <v>170181.05</v>
      </c>
      <c r="Z1172" s="376"/>
      <c r="AA1172" s="48"/>
      <c r="AB1172" s="48"/>
      <c r="AC1172" s="187">
        <v>97633.98</v>
      </c>
      <c r="AD1172" s="48">
        <v>715334.69</v>
      </c>
      <c r="AE1172" s="56"/>
    </row>
    <row r="1173" spans="1:31" x14ac:dyDescent="0.3">
      <c r="A1173" s="59">
        <f t="shared" si="273"/>
        <v>906</v>
      </c>
      <c r="B1173" s="66" t="s">
        <v>3161</v>
      </c>
      <c r="C1173" s="48">
        <f t="shared" si="275"/>
        <v>1370130.9</v>
      </c>
      <c r="D1173" s="48">
        <f t="shared" si="271"/>
        <v>0</v>
      </c>
      <c r="E1173" s="48"/>
      <c r="F1173" s="48"/>
      <c r="G1173" s="48"/>
      <c r="H1173" s="48"/>
      <c r="I1173" s="48"/>
      <c r="J1173" s="48"/>
      <c r="K1173" s="48"/>
      <c r="L1173" s="48"/>
      <c r="M1173" s="48"/>
      <c r="N1173" s="48"/>
      <c r="O1173" s="55"/>
      <c r="P1173" s="48"/>
      <c r="Q1173" s="128"/>
      <c r="R1173" s="48"/>
      <c r="S1173" s="55"/>
      <c r="T1173" s="55"/>
      <c r="U1173" s="48"/>
      <c r="V1173" s="48"/>
      <c r="W1173" s="178">
        <f t="shared" si="274"/>
        <v>1370130.9</v>
      </c>
      <c r="X1173" s="375"/>
      <c r="Y1173" s="376"/>
      <c r="Z1173" s="376">
        <v>251107.13</v>
      </c>
      <c r="AA1173" s="48">
        <v>212949.17</v>
      </c>
      <c r="AB1173" s="48"/>
      <c r="AC1173" s="187">
        <v>93353.4</v>
      </c>
      <c r="AD1173" s="48">
        <v>812721.2</v>
      </c>
      <c r="AE1173" s="56"/>
    </row>
    <row r="1174" spans="1:31" x14ac:dyDescent="0.3">
      <c r="A1174" s="59">
        <f t="shared" si="273"/>
        <v>907</v>
      </c>
      <c r="B1174" s="66" t="s">
        <v>3162</v>
      </c>
      <c r="C1174" s="48">
        <f t="shared" si="275"/>
        <v>1455337.43</v>
      </c>
      <c r="D1174" s="48">
        <f t="shared" si="271"/>
        <v>0</v>
      </c>
      <c r="E1174" s="48"/>
      <c r="F1174" s="48"/>
      <c r="G1174" s="48"/>
      <c r="H1174" s="48"/>
      <c r="I1174" s="48"/>
      <c r="J1174" s="48"/>
      <c r="K1174" s="48"/>
      <c r="L1174" s="48"/>
      <c r="M1174" s="48"/>
      <c r="N1174" s="48"/>
      <c r="O1174" s="55"/>
      <c r="P1174" s="48"/>
      <c r="Q1174" s="128"/>
      <c r="R1174" s="48"/>
      <c r="S1174" s="55"/>
      <c r="T1174" s="55"/>
      <c r="U1174" s="48"/>
      <c r="V1174" s="48"/>
      <c r="W1174" s="178">
        <f t="shared" si="274"/>
        <v>1455337.43</v>
      </c>
      <c r="X1174" s="375"/>
      <c r="Y1174" s="376">
        <v>235047.67999999999</v>
      </c>
      <c r="Z1174" s="376"/>
      <c r="AA1174" s="48"/>
      <c r="AB1174" s="48"/>
      <c r="AC1174" s="187">
        <v>292911.73</v>
      </c>
      <c r="AD1174" s="48">
        <v>927378.02</v>
      </c>
      <c r="AE1174" s="56"/>
    </row>
    <row r="1175" spans="1:31" x14ac:dyDescent="0.3">
      <c r="A1175" s="59">
        <f t="shared" si="273"/>
        <v>908</v>
      </c>
      <c r="B1175" s="66" t="s">
        <v>3163</v>
      </c>
      <c r="C1175" s="48">
        <f t="shared" si="275"/>
        <v>1838591.9000000001</v>
      </c>
      <c r="D1175" s="48">
        <f t="shared" si="271"/>
        <v>0</v>
      </c>
      <c r="E1175" s="48"/>
      <c r="F1175" s="48"/>
      <c r="G1175" s="48"/>
      <c r="H1175" s="48"/>
      <c r="I1175" s="48"/>
      <c r="J1175" s="48"/>
      <c r="K1175" s="48"/>
      <c r="L1175" s="48"/>
      <c r="M1175" s="48"/>
      <c r="N1175" s="48"/>
      <c r="O1175" s="55"/>
      <c r="P1175" s="48"/>
      <c r="Q1175" s="128"/>
      <c r="R1175" s="48"/>
      <c r="S1175" s="55"/>
      <c r="T1175" s="55"/>
      <c r="U1175" s="48"/>
      <c r="V1175" s="48"/>
      <c r="W1175" s="178">
        <f t="shared" si="274"/>
        <v>1838591.9000000001</v>
      </c>
      <c r="X1175" s="375"/>
      <c r="Y1175" s="376">
        <v>234093.94</v>
      </c>
      <c r="Z1175" s="376"/>
      <c r="AA1175" s="48"/>
      <c r="AB1175" s="48">
        <v>387501.62</v>
      </c>
      <c r="AC1175" s="187">
        <v>292736.08</v>
      </c>
      <c r="AD1175" s="48">
        <v>924260.26</v>
      </c>
      <c r="AE1175" s="56"/>
    </row>
    <row r="1176" spans="1:31" x14ac:dyDescent="0.3">
      <c r="A1176" s="59">
        <f t="shared" si="273"/>
        <v>909</v>
      </c>
      <c r="B1176" s="66" t="s">
        <v>3164</v>
      </c>
      <c r="C1176" s="48">
        <f t="shared" si="275"/>
        <v>1011601.18</v>
      </c>
      <c r="D1176" s="48">
        <f t="shared" si="271"/>
        <v>0</v>
      </c>
      <c r="E1176" s="48"/>
      <c r="F1176" s="48"/>
      <c r="G1176" s="48"/>
      <c r="H1176" s="48"/>
      <c r="I1176" s="48"/>
      <c r="J1176" s="48"/>
      <c r="K1176" s="48"/>
      <c r="L1176" s="48"/>
      <c r="M1176" s="48"/>
      <c r="N1176" s="48"/>
      <c r="O1176" s="55"/>
      <c r="P1176" s="48"/>
      <c r="Q1176" s="128"/>
      <c r="R1176" s="48"/>
      <c r="S1176" s="55"/>
      <c r="T1176" s="55"/>
      <c r="U1176" s="48"/>
      <c r="V1176" s="48"/>
      <c r="W1176" s="178">
        <f t="shared" si="274"/>
        <v>1011601.18</v>
      </c>
      <c r="X1176" s="375"/>
      <c r="Y1176" s="376">
        <v>117389.89</v>
      </c>
      <c r="Z1176" s="376">
        <v>139492.78</v>
      </c>
      <c r="AA1176" s="48">
        <v>125761.46</v>
      </c>
      <c r="AB1176" s="48">
        <v>215221.04</v>
      </c>
      <c r="AC1176" s="187"/>
      <c r="AD1176" s="48">
        <v>413736.01</v>
      </c>
      <c r="AE1176" s="56"/>
    </row>
    <row r="1177" spans="1:31" x14ac:dyDescent="0.3">
      <c r="A1177" s="59">
        <f t="shared" si="273"/>
        <v>910</v>
      </c>
      <c r="B1177" s="66" t="s">
        <v>3165</v>
      </c>
      <c r="C1177" s="48">
        <f t="shared" si="275"/>
        <v>2005337.98</v>
      </c>
      <c r="D1177" s="48">
        <f t="shared" si="271"/>
        <v>0</v>
      </c>
      <c r="E1177" s="48"/>
      <c r="F1177" s="48"/>
      <c r="G1177" s="48"/>
      <c r="H1177" s="48"/>
      <c r="I1177" s="48"/>
      <c r="J1177" s="48"/>
      <c r="K1177" s="48"/>
      <c r="L1177" s="48"/>
      <c r="M1177" s="48"/>
      <c r="N1177" s="48"/>
      <c r="O1177" s="55"/>
      <c r="P1177" s="48"/>
      <c r="Q1177" s="128"/>
      <c r="R1177" s="48"/>
      <c r="S1177" s="55"/>
      <c r="T1177" s="55"/>
      <c r="U1177" s="48"/>
      <c r="V1177" s="48"/>
      <c r="W1177" s="178">
        <f t="shared" si="274"/>
        <v>2005337.98</v>
      </c>
      <c r="X1177" s="375"/>
      <c r="Y1177" s="376">
        <v>192535.6</v>
      </c>
      <c r="Z1177" s="376"/>
      <c r="AA1177" s="48"/>
      <c r="AB1177" s="48">
        <v>326008.71000000002</v>
      </c>
      <c r="AC1177" s="187">
        <v>698384.06</v>
      </c>
      <c r="AD1177" s="48">
        <v>788409.61</v>
      </c>
      <c r="AE1177" s="56"/>
    </row>
    <row r="1178" spans="1:31" x14ac:dyDescent="0.3">
      <c r="A1178" s="59">
        <f t="shared" si="273"/>
        <v>911</v>
      </c>
      <c r="B1178" s="66" t="s">
        <v>3166</v>
      </c>
      <c r="C1178" s="48">
        <f t="shared" si="275"/>
        <v>1920877.1100000003</v>
      </c>
      <c r="D1178" s="48">
        <f t="shared" ref="D1178:D1201" si="276">SUM(E1178:I1178)</f>
        <v>0</v>
      </c>
      <c r="E1178" s="48"/>
      <c r="F1178" s="48"/>
      <c r="G1178" s="48"/>
      <c r="H1178" s="48"/>
      <c r="I1178" s="48"/>
      <c r="J1178" s="48"/>
      <c r="K1178" s="48"/>
      <c r="L1178" s="48"/>
      <c r="M1178" s="48"/>
      <c r="N1178" s="48"/>
      <c r="O1178" s="55"/>
      <c r="P1178" s="48"/>
      <c r="Q1178" s="128"/>
      <c r="R1178" s="48"/>
      <c r="S1178" s="55"/>
      <c r="T1178" s="55"/>
      <c r="U1178" s="48"/>
      <c r="V1178" s="48"/>
      <c r="W1178" s="178">
        <f t="shared" si="274"/>
        <v>1920877.1100000003</v>
      </c>
      <c r="X1178" s="375"/>
      <c r="Y1178" s="376">
        <v>201173.05</v>
      </c>
      <c r="Z1178" s="376"/>
      <c r="AA1178" s="48"/>
      <c r="AB1178" s="48">
        <v>338789.34</v>
      </c>
      <c r="AC1178" s="187">
        <v>564270.04</v>
      </c>
      <c r="AD1178" s="48">
        <v>816644.68</v>
      </c>
      <c r="AE1178" s="56"/>
    </row>
    <row r="1179" spans="1:31" x14ac:dyDescent="0.3">
      <c r="A1179" s="59">
        <f t="shared" si="273"/>
        <v>912</v>
      </c>
      <c r="B1179" s="66" t="s">
        <v>3167</v>
      </c>
      <c r="C1179" s="48">
        <f t="shared" ref="C1179:C1201" si="277">D1179+K1179+L1179+N1179+P1179+R1179+S1179+U1179+V1179+W1179</f>
        <v>3697080.99</v>
      </c>
      <c r="D1179" s="48">
        <f t="shared" si="276"/>
        <v>0</v>
      </c>
      <c r="E1179" s="48"/>
      <c r="F1179" s="48"/>
      <c r="G1179" s="48"/>
      <c r="H1179" s="48"/>
      <c r="I1179" s="48"/>
      <c r="J1179" s="48"/>
      <c r="K1179" s="48"/>
      <c r="L1179" s="48"/>
      <c r="M1179" s="48"/>
      <c r="N1179" s="48"/>
      <c r="O1179" s="55"/>
      <c r="P1179" s="48"/>
      <c r="Q1179" s="128"/>
      <c r="R1179" s="48"/>
      <c r="S1179" s="55"/>
      <c r="T1179" s="55"/>
      <c r="U1179" s="48"/>
      <c r="V1179" s="48"/>
      <c r="W1179" s="178">
        <f t="shared" si="274"/>
        <v>3697080.99</v>
      </c>
      <c r="X1179" s="375"/>
      <c r="Y1179" s="376"/>
      <c r="Z1179" s="376"/>
      <c r="AA1179" s="48"/>
      <c r="AB1179" s="48">
        <v>937956.54</v>
      </c>
      <c r="AC1179" s="187">
        <v>618794</v>
      </c>
      <c r="AD1179" s="187">
        <v>2140330.4500000002</v>
      </c>
      <c r="AE1179" s="56"/>
    </row>
    <row r="1180" spans="1:31" x14ac:dyDescent="0.3">
      <c r="A1180" s="59">
        <f t="shared" ref="A1180:A1188" si="278">A1179+1</f>
        <v>913</v>
      </c>
      <c r="B1180" s="66" t="s">
        <v>3168</v>
      </c>
      <c r="C1180" s="48">
        <f t="shared" si="277"/>
        <v>943812.8</v>
      </c>
      <c r="D1180" s="48">
        <f t="shared" si="276"/>
        <v>0</v>
      </c>
      <c r="E1180" s="48"/>
      <c r="F1180" s="48"/>
      <c r="G1180" s="48"/>
      <c r="H1180" s="48"/>
      <c r="I1180" s="48"/>
      <c r="J1180" s="48"/>
      <c r="K1180" s="48"/>
      <c r="L1180" s="48"/>
      <c r="M1180" s="48"/>
      <c r="N1180" s="48"/>
      <c r="O1180" s="55"/>
      <c r="P1180" s="48"/>
      <c r="Q1180" s="55"/>
      <c r="R1180" s="48"/>
      <c r="S1180" s="55"/>
      <c r="T1180" s="55"/>
      <c r="U1180" s="48"/>
      <c r="V1180" s="48"/>
      <c r="W1180" s="178">
        <f t="shared" ref="W1180:W1201" si="279">SUM(X1180:AD1180)</f>
        <v>943812.8</v>
      </c>
      <c r="X1180" s="375"/>
      <c r="Y1180" s="376">
        <v>263703.49</v>
      </c>
      <c r="Z1180" s="376"/>
      <c r="AA1180" s="48"/>
      <c r="AB1180" s="48"/>
      <c r="AC1180" s="187">
        <v>680109.31</v>
      </c>
      <c r="AD1180" s="48"/>
      <c r="AE1180" s="56"/>
    </row>
    <row r="1181" spans="1:31" x14ac:dyDescent="0.3">
      <c r="A1181" s="59">
        <f t="shared" si="278"/>
        <v>914</v>
      </c>
      <c r="B1181" s="66" t="s">
        <v>3169</v>
      </c>
      <c r="C1181" s="48">
        <f t="shared" si="277"/>
        <v>943812.8</v>
      </c>
      <c r="D1181" s="48">
        <f t="shared" si="276"/>
        <v>0</v>
      </c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55"/>
      <c r="P1181" s="48"/>
      <c r="Q1181" s="55"/>
      <c r="R1181" s="48"/>
      <c r="S1181" s="55"/>
      <c r="T1181" s="55"/>
      <c r="U1181" s="48"/>
      <c r="V1181" s="48"/>
      <c r="W1181" s="178">
        <f t="shared" si="279"/>
        <v>943812.8</v>
      </c>
      <c r="X1181" s="375"/>
      <c r="Y1181" s="376">
        <v>263703.49</v>
      </c>
      <c r="Z1181" s="376"/>
      <c r="AA1181" s="48"/>
      <c r="AB1181" s="48"/>
      <c r="AC1181" s="187">
        <v>680109.31</v>
      </c>
      <c r="AD1181" s="48"/>
      <c r="AE1181" s="56"/>
    </row>
    <row r="1182" spans="1:31" x14ac:dyDescent="0.3">
      <c r="A1182" s="59">
        <f t="shared" si="278"/>
        <v>915</v>
      </c>
      <c r="B1182" s="66" t="s">
        <v>3170</v>
      </c>
      <c r="C1182" s="48">
        <f t="shared" si="277"/>
        <v>1747276.2200000002</v>
      </c>
      <c r="D1182" s="48">
        <f t="shared" si="276"/>
        <v>0</v>
      </c>
      <c r="E1182" s="48"/>
      <c r="F1182" s="48"/>
      <c r="G1182" s="48"/>
      <c r="H1182" s="48"/>
      <c r="I1182" s="48"/>
      <c r="J1182" s="48"/>
      <c r="K1182" s="48"/>
      <c r="L1182" s="48"/>
      <c r="M1182" s="48"/>
      <c r="N1182" s="48"/>
      <c r="O1182" s="55"/>
      <c r="P1182" s="48"/>
      <c r="Q1182" s="128"/>
      <c r="R1182" s="48"/>
      <c r="S1182" s="55"/>
      <c r="T1182" s="55"/>
      <c r="U1182" s="48"/>
      <c r="V1182" s="48"/>
      <c r="W1182" s="178">
        <f t="shared" si="279"/>
        <v>1747276.2200000002</v>
      </c>
      <c r="X1182" s="375"/>
      <c r="Y1182" s="376"/>
      <c r="Z1182" s="376"/>
      <c r="AA1182" s="48"/>
      <c r="AB1182" s="48">
        <v>308550.33</v>
      </c>
      <c r="AC1182" s="187">
        <v>688885.56</v>
      </c>
      <c r="AD1182" s="48">
        <v>749840.33</v>
      </c>
      <c r="AE1182" s="56"/>
    </row>
    <row r="1183" spans="1:31" x14ac:dyDescent="0.3">
      <c r="A1183" s="59">
        <f t="shared" si="278"/>
        <v>916</v>
      </c>
      <c r="B1183" s="66" t="s">
        <v>3171</v>
      </c>
      <c r="C1183" s="48">
        <f t="shared" si="277"/>
        <v>1852399.63</v>
      </c>
      <c r="D1183" s="48">
        <f t="shared" si="276"/>
        <v>0</v>
      </c>
      <c r="E1183" s="48"/>
      <c r="F1183" s="48"/>
      <c r="G1183" s="48"/>
      <c r="H1183" s="48"/>
      <c r="I1183" s="48"/>
      <c r="J1183" s="48"/>
      <c r="K1183" s="48"/>
      <c r="L1183" s="48"/>
      <c r="M1183" s="48"/>
      <c r="N1183" s="48"/>
      <c r="O1183" s="55"/>
      <c r="P1183" s="48"/>
      <c r="Q1183" s="128"/>
      <c r="R1183" s="48"/>
      <c r="S1183" s="55"/>
      <c r="T1183" s="55"/>
      <c r="U1183" s="48"/>
      <c r="V1183" s="48"/>
      <c r="W1183" s="178">
        <f t="shared" si="279"/>
        <v>1852399.63</v>
      </c>
      <c r="X1183" s="375"/>
      <c r="Y1183" s="376"/>
      <c r="Z1183" s="376"/>
      <c r="AA1183" s="48"/>
      <c r="AB1183" s="48">
        <v>395398.32</v>
      </c>
      <c r="AC1183" s="187">
        <v>515295.55</v>
      </c>
      <c r="AD1183" s="48">
        <v>941705.76</v>
      </c>
      <c r="AE1183" s="56"/>
    </row>
    <row r="1184" spans="1:31" x14ac:dyDescent="0.3">
      <c r="A1184" s="59">
        <f t="shared" si="278"/>
        <v>917</v>
      </c>
      <c r="B1184" s="66" t="s">
        <v>3172</v>
      </c>
      <c r="C1184" s="48">
        <f t="shared" si="277"/>
        <v>1982440.9</v>
      </c>
      <c r="D1184" s="48">
        <f t="shared" si="276"/>
        <v>0</v>
      </c>
      <c r="E1184" s="48"/>
      <c r="F1184" s="48"/>
      <c r="G1184" s="48"/>
      <c r="H1184" s="48"/>
      <c r="I1184" s="48"/>
      <c r="J1184" s="48"/>
      <c r="K1184" s="48"/>
      <c r="L1184" s="48"/>
      <c r="M1184" s="48"/>
      <c r="N1184" s="48"/>
      <c r="O1184" s="55"/>
      <c r="P1184" s="48"/>
      <c r="Q1184" s="128"/>
      <c r="R1184" s="48"/>
      <c r="S1184" s="55"/>
      <c r="T1184" s="55"/>
      <c r="U1184" s="48"/>
      <c r="V1184" s="48"/>
      <c r="W1184" s="178">
        <f t="shared" si="279"/>
        <v>1982440.9</v>
      </c>
      <c r="X1184" s="375"/>
      <c r="Y1184" s="376"/>
      <c r="Z1184" s="376">
        <v>251326.67</v>
      </c>
      <c r="AA1184" s="48">
        <v>213148.56</v>
      </c>
      <c r="AB1184" s="48"/>
      <c r="AC1184" s="187">
        <v>704543.86</v>
      </c>
      <c r="AD1184" s="48">
        <v>813421.81</v>
      </c>
      <c r="AE1184" s="56"/>
    </row>
    <row r="1185" spans="1:31" x14ac:dyDescent="0.3">
      <c r="A1185" s="59">
        <f t="shared" si="278"/>
        <v>918</v>
      </c>
      <c r="B1185" s="66" t="s">
        <v>3174</v>
      </c>
      <c r="C1185" s="48">
        <f t="shared" si="277"/>
        <v>730589.44</v>
      </c>
      <c r="D1185" s="48">
        <f t="shared" si="276"/>
        <v>0</v>
      </c>
      <c r="E1185" s="48"/>
      <c r="F1185" s="48"/>
      <c r="G1185" s="48"/>
      <c r="H1185" s="48"/>
      <c r="I1185" s="48"/>
      <c r="J1185" s="48"/>
      <c r="K1185" s="48"/>
      <c r="L1185" s="48"/>
      <c r="M1185" s="48"/>
      <c r="N1185" s="48"/>
      <c r="O1185" s="55"/>
      <c r="P1185" s="48"/>
      <c r="Q1185" s="55"/>
      <c r="R1185" s="48"/>
      <c r="S1185" s="55"/>
      <c r="T1185" s="55"/>
      <c r="U1185" s="48"/>
      <c r="V1185" s="48"/>
      <c r="W1185" s="178">
        <f t="shared" si="279"/>
        <v>730589.44</v>
      </c>
      <c r="X1185" s="375"/>
      <c r="Y1185" s="376"/>
      <c r="Z1185" s="376"/>
      <c r="AA1185" s="48"/>
      <c r="AB1185" s="48">
        <v>558560.57999999996</v>
      </c>
      <c r="AC1185" s="187">
        <v>172028.86</v>
      </c>
      <c r="AD1185" s="48"/>
      <c r="AE1185" s="56"/>
    </row>
    <row r="1186" spans="1:31" x14ac:dyDescent="0.3">
      <c r="A1186" s="59">
        <f t="shared" si="278"/>
        <v>919</v>
      </c>
      <c r="B1186" s="66" t="s">
        <v>3175</v>
      </c>
      <c r="C1186" s="48">
        <f t="shared" si="277"/>
        <v>1974333.9100000001</v>
      </c>
      <c r="D1186" s="48">
        <f t="shared" si="276"/>
        <v>0</v>
      </c>
      <c r="E1186" s="48"/>
      <c r="F1186" s="48"/>
      <c r="G1186" s="48"/>
      <c r="H1186" s="48"/>
      <c r="I1186" s="48"/>
      <c r="J1186" s="48"/>
      <c r="K1186" s="48"/>
      <c r="L1186" s="48"/>
      <c r="M1186" s="48"/>
      <c r="N1186" s="48"/>
      <c r="O1186" s="55"/>
      <c r="P1186" s="48"/>
      <c r="Q1186" s="128"/>
      <c r="R1186" s="48"/>
      <c r="S1186" s="55"/>
      <c r="T1186" s="55"/>
      <c r="U1186" s="48"/>
      <c r="V1186" s="48"/>
      <c r="W1186" s="178">
        <f t="shared" si="279"/>
        <v>1974333.9100000001</v>
      </c>
      <c r="X1186" s="375"/>
      <c r="Y1186" s="376"/>
      <c r="Z1186" s="376">
        <v>274511.14</v>
      </c>
      <c r="AA1186" s="48">
        <v>234203.7</v>
      </c>
      <c r="AB1186" s="48"/>
      <c r="AC1186" s="187">
        <v>578211.53</v>
      </c>
      <c r="AD1186" s="48">
        <v>887407.54</v>
      </c>
      <c r="AE1186" s="56"/>
    </row>
    <row r="1187" spans="1:31" x14ac:dyDescent="0.3">
      <c r="A1187" s="59">
        <f t="shared" si="278"/>
        <v>920</v>
      </c>
      <c r="B1187" s="66" t="s">
        <v>3176</v>
      </c>
      <c r="C1187" s="48">
        <f t="shared" si="277"/>
        <v>1345581.6600000001</v>
      </c>
      <c r="D1187" s="48">
        <f t="shared" si="276"/>
        <v>0</v>
      </c>
      <c r="E1187" s="48"/>
      <c r="F1187" s="48"/>
      <c r="G1187" s="48"/>
      <c r="H1187" s="48"/>
      <c r="I1187" s="48"/>
      <c r="J1187" s="48"/>
      <c r="K1187" s="48"/>
      <c r="L1187" s="48"/>
      <c r="M1187" s="48"/>
      <c r="N1187" s="48"/>
      <c r="O1187" s="55"/>
      <c r="P1187" s="48"/>
      <c r="Q1187" s="128"/>
      <c r="R1187" s="48"/>
      <c r="S1187" s="55"/>
      <c r="T1187" s="55"/>
      <c r="U1187" s="48"/>
      <c r="V1187" s="48"/>
      <c r="W1187" s="178">
        <f t="shared" si="279"/>
        <v>1345581.6600000001</v>
      </c>
      <c r="X1187" s="375"/>
      <c r="Y1187" s="376">
        <v>159922.93</v>
      </c>
      <c r="Z1187" s="376"/>
      <c r="AA1187" s="48"/>
      <c r="AB1187" s="48">
        <v>340364.92</v>
      </c>
      <c r="AC1187" s="187">
        <v>35336.9</v>
      </c>
      <c r="AD1187" s="48">
        <v>809956.91</v>
      </c>
      <c r="AE1187" s="56"/>
    </row>
    <row r="1188" spans="1:31" x14ac:dyDescent="0.3">
      <c r="A1188" s="59">
        <f t="shared" si="278"/>
        <v>921</v>
      </c>
      <c r="B1188" s="66" t="s">
        <v>3177</v>
      </c>
      <c r="C1188" s="48">
        <f t="shared" si="277"/>
        <v>1900544.42</v>
      </c>
      <c r="D1188" s="48">
        <f t="shared" si="276"/>
        <v>0</v>
      </c>
      <c r="E1188" s="48"/>
      <c r="F1188" s="48"/>
      <c r="G1188" s="48"/>
      <c r="H1188" s="48"/>
      <c r="I1188" s="48"/>
      <c r="J1188" s="48"/>
      <c r="K1188" s="48"/>
      <c r="L1188" s="48"/>
      <c r="M1188" s="48"/>
      <c r="N1188" s="48"/>
      <c r="O1188" s="55"/>
      <c r="P1188" s="48"/>
      <c r="Q1188" s="128"/>
      <c r="R1188" s="48"/>
      <c r="S1188" s="55"/>
      <c r="T1188" s="55"/>
      <c r="U1188" s="48"/>
      <c r="V1188" s="48"/>
      <c r="W1188" s="178">
        <f t="shared" si="279"/>
        <v>1900544.42</v>
      </c>
      <c r="X1188" s="375"/>
      <c r="Y1188" s="376">
        <v>241244.47</v>
      </c>
      <c r="Z1188" s="376"/>
      <c r="AA1188" s="48"/>
      <c r="AB1188" s="48">
        <v>496326.38</v>
      </c>
      <c r="AC1188" s="187">
        <v>102437.27</v>
      </c>
      <c r="AD1188" s="48">
        <v>1060536.3</v>
      </c>
      <c r="AE1188" s="56"/>
    </row>
    <row r="1189" spans="1:31" x14ac:dyDescent="0.3">
      <c r="A1189" s="59">
        <f t="shared" ref="A1189:A1201" si="280">A1188+1</f>
        <v>922</v>
      </c>
      <c r="B1189" s="66" t="s">
        <v>3178</v>
      </c>
      <c r="C1189" s="48">
        <f t="shared" si="277"/>
        <v>1746930.7000000002</v>
      </c>
      <c r="D1189" s="48">
        <f t="shared" si="276"/>
        <v>0</v>
      </c>
      <c r="E1189" s="48"/>
      <c r="F1189" s="48"/>
      <c r="G1189" s="48"/>
      <c r="H1189" s="48"/>
      <c r="I1189" s="48"/>
      <c r="J1189" s="48"/>
      <c r="K1189" s="48"/>
      <c r="L1189" s="48"/>
      <c r="M1189" s="48"/>
      <c r="N1189" s="48"/>
      <c r="O1189" s="55"/>
      <c r="P1189" s="48"/>
      <c r="Q1189" s="128"/>
      <c r="R1189" s="48"/>
      <c r="S1189" s="55"/>
      <c r="T1189" s="55"/>
      <c r="U1189" s="48"/>
      <c r="V1189" s="48"/>
      <c r="W1189" s="178">
        <f t="shared" si="279"/>
        <v>1746930.7000000002</v>
      </c>
      <c r="X1189" s="375"/>
      <c r="Y1189" s="376"/>
      <c r="Z1189" s="376"/>
      <c r="AA1189" s="48"/>
      <c r="AB1189" s="48">
        <v>523730.15</v>
      </c>
      <c r="AC1189" s="187">
        <v>107974.19</v>
      </c>
      <c r="AD1189" s="48">
        <v>1115226.3600000001</v>
      </c>
      <c r="AE1189" s="56"/>
    </row>
    <row r="1190" spans="1:31" x14ac:dyDescent="0.3">
      <c r="A1190" s="59">
        <f t="shared" si="280"/>
        <v>923</v>
      </c>
      <c r="B1190" s="66" t="s">
        <v>3179</v>
      </c>
      <c r="C1190" s="48">
        <f t="shared" si="277"/>
        <v>2148653.7999999998</v>
      </c>
      <c r="D1190" s="48">
        <f t="shared" si="276"/>
        <v>0</v>
      </c>
      <c r="E1190" s="48"/>
      <c r="F1190" s="48"/>
      <c r="G1190" s="48"/>
      <c r="H1190" s="48"/>
      <c r="I1190" s="48"/>
      <c r="J1190" s="48"/>
      <c r="K1190" s="48"/>
      <c r="L1190" s="48"/>
      <c r="M1190" s="48"/>
      <c r="N1190" s="48"/>
      <c r="O1190" s="55"/>
      <c r="P1190" s="48"/>
      <c r="Q1190" s="128"/>
      <c r="R1190" s="48"/>
      <c r="S1190" s="55"/>
      <c r="T1190" s="55"/>
      <c r="U1190" s="48"/>
      <c r="V1190" s="48"/>
      <c r="W1190" s="178">
        <f t="shared" si="279"/>
        <v>2148653.7999999998</v>
      </c>
      <c r="X1190" s="375"/>
      <c r="Y1190" s="376"/>
      <c r="Z1190" s="376"/>
      <c r="AA1190" s="48"/>
      <c r="AB1190" s="48">
        <v>604337.86</v>
      </c>
      <c r="AC1190" s="187">
        <v>185879.4</v>
      </c>
      <c r="AD1190" s="48">
        <v>1358436.54</v>
      </c>
      <c r="AE1190" s="56"/>
    </row>
    <row r="1191" spans="1:31" x14ac:dyDescent="0.3">
      <c r="A1191" s="59">
        <f t="shared" si="280"/>
        <v>924</v>
      </c>
      <c r="B1191" s="66" t="s">
        <v>3180</v>
      </c>
      <c r="C1191" s="48">
        <f t="shared" si="277"/>
        <v>1537970.48</v>
      </c>
      <c r="D1191" s="48">
        <f t="shared" si="276"/>
        <v>0</v>
      </c>
      <c r="E1191" s="48"/>
      <c r="F1191" s="48"/>
      <c r="G1191" s="48"/>
      <c r="H1191" s="48"/>
      <c r="I1191" s="48"/>
      <c r="J1191" s="48"/>
      <c r="K1191" s="48"/>
      <c r="L1191" s="48"/>
      <c r="M1191" s="48"/>
      <c r="N1191" s="48"/>
      <c r="O1191" s="55"/>
      <c r="P1191" s="48"/>
      <c r="Q1191" s="128"/>
      <c r="R1191" s="48"/>
      <c r="S1191" s="55"/>
      <c r="T1191" s="55"/>
      <c r="U1191" s="48"/>
      <c r="V1191" s="48"/>
      <c r="W1191" s="178">
        <f t="shared" si="279"/>
        <v>1537970.48</v>
      </c>
      <c r="X1191" s="375"/>
      <c r="Y1191" s="376">
        <v>232722.26</v>
      </c>
      <c r="Z1191" s="376"/>
      <c r="AA1191" s="48"/>
      <c r="AB1191" s="48">
        <v>385471.93</v>
      </c>
      <c r="AC1191" s="187"/>
      <c r="AD1191" s="48">
        <v>919776.29</v>
      </c>
      <c r="AE1191" s="56"/>
    </row>
    <row r="1192" spans="1:31" x14ac:dyDescent="0.3">
      <c r="A1192" s="59">
        <f t="shared" si="280"/>
        <v>925</v>
      </c>
      <c r="B1192" s="66" t="s">
        <v>3181</v>
      </c>
      <c r="C1192" s="48">
        <f t="shared" si="277"/>
        <v>2152378.94</v>
      </c>
      <c r="D1192" s="48">
        <f t="shared" si="276"/>
        <v>0</v>
      </c>
      <c r="E1192" s="48"/>
      <c r="F1192" s="48"/>
      <c r="G1192" s="48"/>
      <c r="H1192" s="48"/>
      <c r="I1192" s="48"/>
      <c r="J1192" s="48"/>
      <c r="K1192" s="48"/>
      <c r="L1192" s="48"/>
      <c r="M1192" s="48"/>
      <c r="N1192" s="48"/>
      <c r="O1192" s="55"/>
      <c r="P1192" s="48"/>
      <c r="Q1192" s="128"/>
      <c r="R1192" s="48"/>
      <c r="S1192" s="55"/>
      <c r="T1192" s="55"/>
      <c r="U1192" s="48"/>
      <c r="V1192" s="48"/>
      <c r="W1192" s="178">
        <f t="shared" si="279"/>
        <v>2152378.94</v>
      </c>
      <c r="X1192" s="375"/>
      <c r="Y1192" s="376"/>
      <c r="Z1192" s="376"/>
      <c r="AA1192" s="48"/>
      <c r="AB1192" s="48">
        <v>605439.84</v>
      </c>
      <c r="AC1192" s="187">
        <v>186212.83</v>
      </c>
      <c r="AD1192" s="48">
        <v>1360726.27</v>
      </c>
      <c r="AE1192" s="56"/>
    </row>
    <row r="1193" spans="1:31" x14ac:dyDescent="0.3">
      <c r="A1193" s="59">
        <f t="shared" si="280"/>
        <v>926</v>
      </c>
      <c r="B1193" s="66" t="s">
        <v>3182</v>
      </c>
      <c r="C1193" s="48">
        <f t="shared" si="277"/>
        <v>2128576.54</v>
      </c>
      <c r="D1193" s="48">
        <f t="shared" si="276"/>
        <v>0</v>
      </c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55"/>
      <c r="P1193" s="48"/>
      <c r="Q1193" s="128"/>
      <c r="R1193" s="48"/>
      <c r="S1193" s="55"/>
      <c r="T1193" s="55"/>
      <c r="U1193" s="48"/>
      <c r="V1193" s="48"/>
      <c r="W1193" s="178">
        <f t="shared" si="279"/>
        <v>2128576.54</v>
      </c>
      <c r="X1193" s="375"/>
      <c r="Y1193" s="376"/>
      <c r="Z1193" s="376"/>
      <c r="AA1193" s="48"/>
      <c r="AB1193" s="48">
        <v>598398.43999999994</v>
      </c>
      <c r="AC1193" s="187">
        <v>184082.35</v>
      </c>
      <c r="AD1193" s="48">
        <v>1346095.75</v>
      </c>
      <c r="AE1193" s="56"/>
    </row>
    <row r="1194" spans="1:31" x14ac:dyDescent="0.3">
      <c r="A1194" s="59">
        <f t="shared" si="280"/>
        <v>927</v>
      </c>
      <c r="B1194" s="66" t="s">
        <v>3183</v>
      </c>
      <c r="C1194" s="48">
        <f t="shared" si="277"/>
        <v>2152849.94</v>
      </c>
      <c r="D1194" s="48">
        <f t="shared" si="276"/>
        <v>0</v>
      </c>
      <c r="E1194" s="48"/>
      <c r="F1194" s="48"/>
      <c r="G1194" s="48"/>
      <c r="H1194" s="48"/>
      <c r="I1194" s="48"/>
      <c r="J1194" s="48"/>
      <c r="K1194" s="48"/>
      <c r="L1194" s="48"/>
      <c r="M1194" s="48"/>
      <c r="N1194" s="48"/>
      <c r="O1194" s="55"/>
      <c r="P1194" s="48"/>
      <c r="Q1194" s="128"/>
      <c r="R1194" s="48"/>
      <c r="S1194" s="55"/>
      <c r="T1194" s="55"/>
      <c r="U1194" s="48"/>
      <c r="V1194" s="48"/>
      <c r="W1194" s="178">
        <f t="shared" si="279"/>
        <v>2152849.94</v>
      </c>
      <c r="X1194" s="375"/>
      <c r="Y1194" s="376"/>
      <c r="Z1194" s="376"/>
      <c r="AA1194" s="48"/>
      <c r="AB1194" s="48">
        <v>605579.18000000005</v>
      </c>
      <c r="AC1194" s="187">
        <v>186254.98</v>
      </c>
      <c r="AD1194" s="48">
        <v>1361015.78</v>
      </c>
      <c r="AE1194" s="56"/>
    </row>
    <row r="1195" spans="1:31" x14ac:dyDescent="0.3">
      <c r="A1195" s="59">
        <f t="shared" si="280"/>
        <v>928</v>
      </c>
      <c r="B1195" s="66" t="s">
        <v>3184</v>
      </c>
      <c r="C1195" s="48">
        <f t="shared" si="277"/>
        <v>1609576.82</v>
      </c>
      <c r="D1195" s="48">
        <f t="shared" si="276"/>
        <v>0</v>
      </c>
      <c r="E1195" s="48"/>
      <c r="F1195" s="48"/>
      <c r="G1195" s="48"/>
      <c r="H1195" s="48"/>
      <c r="I1195" s="48"/>
      <c r="J1195" s="48"/>
      <c r="K1195" s="48"/>
      <c r="L1195" s="48"/>
      <c r="M1195" s="48"/>
      <c r="N1195" s="48"/>
      <c r="O1195" s="55"/>
      <c r="P1195" s="48"/>
      <c r="Q1195" s="128"/>
      <c r="R1195" s="48"/>
      <c r="S1195" s="55"/>
      <c r="T1195" s="55"/>
      <c r="U1195" s="48"/>
      <c r="V1195" s="48"/>
      <c r="W1195" s="178">
        <f t="shared" si="279"/>
        <v>1609576.82</v>
      </c>
      <c r="X1195" s="375"/>
      <c r="Y1195" s="376"/>
      <c r="Z1195" s="376"/>
      <c r="AA1195" s="48"/>
      <c r="AB1195" s="48"/>
      <c r="AC1195" s="187">
        <v>537730.46</v>
      </c>
      <c r="AD1195" s="48">
        <v>1071846.3600000001</v>
      </c>
      <c r="AE1195" s="56"/>
    </row>
    <row r="1196" spans="1:31" x14ac:dyDescent="0.3">
      <c r="A1196" s="59">
        <f t="shared" si="280"/>
        <v>929</v>
      </c>
      <c r="B1196" s="66" t="s">
        <v>3185</v>
      </c>
      <c r="C1196" s="48">
        <f t="shared" si="277"/>
        <v>2256725.7000000002</v>
      </c>
      <c r="D1196" s="48">
        <f t="shared" si="276"/>
        <v>0</v>
      </c>
      <c r="E1196" s="48"/>
      <c r="F1196" s="48"/>
      <c r="G1196" s="48"/>
      <c r="H1196" s="48"/>
      <c r="I1196" s="48"/>
      <c r="J1196" s="48"/>
      <c r="K1196" s="48"/>
      <c r="L1196" s="48"/>
      <c r="M1196" s="48"/>
      <c r="N1196" s="48"/>
      <c r="O1196" s="55"/>
      <c r="P1196" s="48"/>
      <c r="Q1196" s="128"/>
      <c r="R1196" s="48"/>
      <c r="S1196" s="55"/>
      <c r="T1196" s="55"/>
      <c r="U1196" s="48"/>
      <c r="V1196" s="48"/>
      <c r="W1196" s="178">
        <f t="shared" si="279"/>
        <v>2256725.7000000002</v>
      </c>
      <c r="X1196" s="375"/>
      <c r="Y1196" s="376"/>
      <c r="Z1196" s="376"/>
      <c r="AA1196" s="48"/>
      <c r="AB1196" s="48">
        <v>636308.44999999995</v>
      </c>
      <c r="AC1196" s="187">
        <v>195552.55</v>
      </c>
      <c r="AD1196" s="48">
        <v>1424864.7</v>
      </c>
      <c r="AE1196" s="56"/>
    </row>
    <row r="1197" spans="1:31" x14ac:dyDescent="0.3">
      <c r="A1197" s="59">
        <f t="shared" si="280"/>
        <v>930</v>
      </c>
      <c r="B1197" s="66" t="s">
        <v>3186</v>
      </c>
      <c r="C1197" s="48">
        <f t="shared" si="277"/>
        <v>2131684.46</v>
      </c>
      <c r="D1197" s="48">
        <f t="shared" si="276"/>
        <v>0</v>
      </c>
      <c r="E1197" s="48"/>
      <c r="F1197" s="48"/>
      <c r="G1197" s="48"/>
      <c r="H1197" s="48"/>
      <c r="I1197" s="48"/>
      <c r="J1197" s="48"/>
      <c r="K1197" s="48"/>
      <c r="L1197" s="48"/>
      <c r="M1197" s="48"/>
      <c r="N1197" s="48"/>
      <c r="O1197" s="55"/>
      <c r="P1197" s="48"/>
      <c r="Q1197" s="128"/>
      <c r="R1197" s="48"/>
      <c r="S1197" s="55"/>
      <c r="T1197" s="55"/>
      <c r="U1197" s="48"/>
      <c r="V1197" s="48"/>
      <c r="W1197" s="178">
        <f t="shared" si="279"/>
        <v>2131684.46</v>
      </c>
      <c r="X1197" s="375"/>
      <c r="Y1197" s="376"/>
      <c r="Z1197" s="376"/>
      <c r="AA1197" s="48"/>
      <c r="AB1197" s="48">
        <v>410969.76</v>
      </c>
      <c r="AC1197" s="187">
        <v>744608.38</v>
      </c>
      <c r="AD1197" s="48">
        <v>976106.32</v>
      </c>
      <c r="AE1197" s="56"/>
    </row>
    <row r="1198" spans="1:31" x14ac:dyDescent="0.3">
      <c r="A1198" s="59">
        <f t="shared" si="280"/>
        <v>931</v>
      </c>
      <c r="B1198" s="66" t="s">
        <v>3187</v>
      </c>
      <c r="C1198" s="48">
        <f t="shared" si="277"/>
        <v>1784504.78</v>
      </c>
      <c r="D1198" s="48">
        <f t="shared" si="276"/>
        <v>0</v>
      </c>
      <c r="E1198" s="48"/>
      <c r="F1198" s="48"/>
      <c r="G1198" s="48"/>
      <c r="H1198" s="48"/>
      <c r="I1198" s="48"/>
      <c r="J1198" s="48"/>
      <c r="K1198" s="48"/>
      <c r="L1198" s="48"/>
      <c r="M1198" s="48"/>
      <c r="N1198" s="48"/>
      <c r="O1198" s="55"/>
      <c r="P1198" s="48"/>
      <c r="Q1198" s="55"/>
      <c r="R1198" s="48"/>
      <c r="S1198" s="55"/>
      <c r="T1198" s="55"/>
      <c r="U1198" s="48"/>
      <c r="V1198" s="48"/>
      <c r="W1198" s="178">
        <f t="shared" si="279"/>
        <v>1784504.78</v>
      </c>
      <c r="X1198" s="375"/>
      <c r="Y1198" s="376"/>
      <c r="Z1198" s="376"/>
      <c r="AA1198" s="48"/>
      <c r="AB1198" s="48">
        <v>535480.25</v>
      </c>
      <c r="AC1198" s="187">
        <v>110348.29</v>
      </c>
      <c r="AD1198" s="48">
        <v>1138676.24</v>
      </c>
      <c r="AE1198" s="56"/>
    </row>
    <row r="1199" spans="1:31" x14ac:dyDescent="0.3">
      <c r="A1199" s="59">
        <f t="shared" si="280"/>
        <v>932</v>
      </c>
      <c r="B1199" s="66" t="s">
        <v>3188</v>
      </c>
      <c r="C1199" s="48">
        <f t="shared" si="277"/>
        <v>1377704.77</v>
      </c>
      <c r="D1199" s="48">
        <f t="shared" si="276"/>
        <v>0</v>
      </c>
      <c r="E1199" s="48"/>
      <c r="F1199" s="48"/>
      <c r="G1199" s="48"/>
      <c r="H1199" s="48"/>
      <c r="I1199" s="48"/>
      <c r="J1199" s="48"/>
      <c r="K1199" s="48"/>
      <c r="L1199" s="48"/>
      <c r="M1199" s="48"/>
      <c r="N1199" s="48"/>
      <c r="O1199" s="55"/>
      <c r="P1199" s="48"/>
      <c r="Q1199" s="128"/>
      <c r="R1199" s="48"/>
      <c r="S1199" s="55"/>
      <c r="T1199" s="55"/>
      <c r="U1199" s="48"/>
      <c r="V1199" s="48"/>
      <c r="W1199" s="178">
        <f t="shared" si="279"/>
        <v>1377704.77</v>
      </c>
      <c r="X1199" s="375"/>
      <c r="Y1199" s="376">
        <v>159409.24</v>
      </c>
      <c r="Z1199" s="376"/>
      <c r="AA1199" s="48"/>
      <c r="AB1199" s="48">
        <v>339541.6</v>
      </c>
      <c r="AC1199" s="187">
        <v>70507.73</v>
      </c>
      <c r="AD1199" s="48">
        <v>808246.2</v>
      </c>
      <c r="AE1199" s="56"/>
    </row>
    <row r="1200" spans="1:31" x14ac:dyDescent="0.3">
      <c r="A1200" s="59">
        <f t="shared" si="280"/>
        <v>933</v>
      </c>
      <c r="B1200" s="66" t="s">
        <v>3189</v>
      </c>
      <c r="C1200" s="48">
        <f t="shared" si="277"/>
        <v>1423049.74</v>
      </c>
      <c r="D1200" s="48">
        <f t="shared" si="276"/>
        <v>0</v>
      </c>
      <c r="E1200" s="48"/>
      <c r="F1200" s="48"/>
      <c r="G1200" s="48"/>
      <c r="H1200" s="48"/>
      <c r="I1200" s="48"/>
      <c r="J1200" s="48"/>
      <c r="K1200" s="48"/>
      <c r="L1200" s="48"/>
      <c r="M1200" s="48"/>
      <c r="N1200" s="48"/>
      <c r="O1200" s="55"/>
      <c r="P1200" s="48"/>
      <c r="Q1200" s="128"/>
      <c r="R1200" s="48"/>
      <c r="S1200" s="55"/>
      <c r="T1200" s="55"/>
      <c r="U1200" s="48"/>
      <c r="V1200" s="48"/>
      <c r="W1200" s="178">
        <f t="shared" si="279"/>
        <v>1423049.74</v>
      </c>
      <c r="X1200" s="375"/>
      <c r="Y1200" s="376">
        <v>168677.51</v>
      </c>
      <c r="Z1200" s="376"/>
      <c r="AA1200" s="48"/>
      <c r="AB1200" s="48">
        <v>356172.89</v>
      </c>
      <c r="AC1200" s="187">
        <v>55396.81</v>
      </c>
      <c r="AD1200" s="48">
        <v>842802.53</v>
      </c>
      <c r="AE1200" s="56"/>
    </row>
    <row r="1201" spans="1:36" x14ac:dyDescent="0.3">
      <c r="A1201" s="59">
        <f t="shared" si="280"/>
        <v>934</v>
      </c>
      <c r="B1201" s="66" t="s">
        <v>3190</v>
      </c>
      <c r="C1201" s="48">
        <f t="shared" si="277"/>
        <v>1931632.53</v>
      </c>
      <c r="D1201" s="48">
        <f t="shared" si="276"/>
        <v>0</v>
      </c>
      <c r="E1201" s="48"/>
      <c r="F1201" s="48"/>
      <c r="G1201" s="48"/>
      <c r="H1201" s="48"/>
      <c r="I1201" s="48"/>
      <c r="J1201" s="48"/>
      <c r="K1201" s="48"/>
      <c r="L1201" s="48"/>
      <c r="M1201" s="48"/>
      <c r="N1201" s="48"/>
      <c r="O1201" s="55"/>
      <c r="P1201" s="48"/>
      <c r="Q1201" s="128"/>
      <c r="R1201" s="48"/>
      <c r="S1201" s="55"/>
      <c r="T1201" s="55"/>
      <c r="U1201" s="48"/>
      <c r="V1201" s="48"/>
      <c r="W1201" s="178">
        <f t="shared" si="279"/>
        <v>1931632.53</v>
      </c>
      <c r="X1201" s="375"/>
      <c r="Y1201" s="376">
        <v>202855.51</v>
      </c>
      <c r="Z1201" s="376"/>
      <c r="AA1201" s="48"/>
      <c r="AB1201" s="48">
        <v>341278.87</v>
      </c>
      <c r="AC1201" s="187">
        <v>565353.6</v>
      </c>
      <c r="AD1201" s="187">
        <v>822144.55</v>
      </c>
      <c r="AE1201" s="56"/>
    </row>
    <row r="1202" spans="1:36" x14ac:dyDescent="0.3">
      <c r="A1202" s="450" t="s">
        <v>3192</v>
      </c>
      <c r="B1202" s="450"/>
      <c r="C1202" s="48">
        <f t="shared" ref="C1202:Z1202" si="281">SUM(C1051:C1201)</f>
        <v>195961373.53000003</v>
      </c>
      <c r="D1202" s="48">
        <f t="shared" si="281"/>
        <v>0</v>
      </c>
      <c r="E1202" s="48">
        <f t="shared" si="281"/>
        <v>0</v>
      </c>
      <c r="F1202" s="48">
        <f t="shared" si="281"/>
        <v>0</v>
      </c>
      <c r="G1202" s="48">
        <f t="shared" si="281"/>
        <v>0</v>
      </c>
      <c r="H1202" s="48">
        <f t="shared" si="281"/>
        <v>0</v>
      </c>
      <c r="I1202" s="48">
        <f t="shared" si="281"/>
        <v>0</v>
      </c>
      <c r="J1202" s="48">
        <f t="shared" si="281"/>
        <v>0</v>
      </c>
      <c r="K1202" s="48">
        <f t="shared" si="281"/>
        <v>0</v>
      </c>
      <c r="L1202" s="48">
        <f t="shared" si="281"/>
        <v>0</v>
      </c>
      <c r="M1202" s="48">
        <f t="shared" si="281"/>
        <v>0</v>
      </c>
      <c r="N1202" s="48">
        <f t="shared" si="281"/>
        <v>0</v>
      </c>
      <c r="O1202" s="55">
        <f t="shared" si="281"/>
        <v>0</v>
      </c>
      <c r="P1202" s="48">
        <f t="shared" si="281"/>
        <v>0</v>
      </c>
      <c r="Q1202" s="55">
        <f t="shared" si="281"/>
        <v>0</v>
      </c>
      <c r="R1202" s="48">
        <f t="shared" si="281"/>
        <v>0</v>
      </c>
      <c r="S1202" s="55">
        <f t="shared" si="281"/>
        <v>0</v>
      </c>
      <c r="T1202" s="55">
        <f t="shared" si="281"/>
        <v>0</v>
      </c>
      <c r="U1202" s="48">
        <f t="shared" si="281"/>
        <v>0</v>
      </c>
      <c r="V1202" s="48">
        <f t="shared" si="281"/>
        <v>0</v>
      </c>
      <c r="W1202" s="178">
        <f t="shared" si="281"/>
        <v>195961373.53000003</v>
      </c>
      <c r="X1202" s="141">
        <f t="shared" si="281"/>
        <v>153044.34</v>
      </c>
      <c r="Y1202" s="48">
        <f t="shared" si="281"/>
        <v>13698211.850000001</v>
      </c>
      <c r="Z1202" s="48">
        <f t="shared" si="281"/>
        <v>2793609.1</v>
      </c>
      <c r="AA1202" s="48"/>
      <c r="AB1202" s="48"/>
      <c r="AC1202" s="57"/>
      <c r="AD1202" s="59"/>
      <c r="AE1202" s="56"/>
    </row>
    <row r="1203" spans="1:36" x14ac:dyDescent="0.3">
      <c r="A1203" s="478" t="s">
        <v>3193</v>
      </c>
      <c r="B1203" s="478"/>
      <c r="C1203" s="478"/>
      <c r="D1203" s="478"/>
      <c r="E1203" s="478"/>
      <c r="F1203" s="478"/>
      <c r="G1203" s="478"/>
      <c r="H1203" s="478"/>
      <c r="I1203" s="478"/>
      <c r="J1203" s="478"/>
      <c r="K1203" s="478"/>
      <c r="L1203" s="478"/>
      <c r="M1203" s="478"/>
      <c r="N1203" s="478"/>
      <c r="O1203" s="478"/>
      <c r="P1203" s="478"/>
      <c r="Q1203" s="478"/>
      <c r="R1203" s="478"/>
      <c r="S1203" s="478"/>
      <c r="T1203" s="478"/>
      <c r="U1203" s="478"/>
      <c r="V1203" s="478"/>
      <c r="W1203" s="478"/>
      <c r="X1203" s="9"/>
      <c r="Y1203" s="9"/>
      <c r="Z1203" s="9"/>
      <c r="AA1203" s="9"/>
      <c r="AB1203" s="9"/>
      <c r="AC1203" s="9"/>
      <c r="AD1203" s="9"/>
      <c r="AE1203" s="9"/>
      <c r="AF1203" s="40"/>
      <c r="AG1203" s="56"/>
      <c r="AH1203" s="56"/>
      <c r="AI1203" s="56"/>
      <c r="AJ1203" s="56"/>
    </row>
    <row r="1204" spans="1:36" x14ac:dyDescent="0.3">
      <c r="A1204" s="448" t="s">
        <v>3208</v>
      </c>
      <c r="B1204" s="448"/>
      <c r="C1204" s="50"/>
      <c r="D1204" s="51"/>
      <c r="E1204" s="51"/>
      <c r="F1204" s="51"/>
      <c r="G1204" s="51"/>
      <c r="H1204" s="51"/>
      <c r="I1204" s="51"/>
      <c r="J1204" s="51"/>
      <c r="K1204" s="51"/>
      <c r="L1204" s="51"/>
      <c r="M1204" s="51"/>
      <c r="N1204" s="50"/>
      <c r="O1204" s="82"/>
      <c r="P1204" s="51"/>
      <c r="Q1204" s="82"/>
      <c r="R1204" s="50"/>
      <c r="S1204" s="68"/>
      <c r="T1204" s="82"/>
      <c r="U1204" s="51"/>
      <c r="V1204" s="51"/>
      <c r="W1204" s="178"/>
      <c r="X1204" s="9"/>
      <c r="Y1204" s="9"/>
      <c r="Z1204" s="9"/>
      <c r="AA1204" s="9"/>
      <c r="AB1204" s="9"/>
      <c r="AC1204" s="9"/>
      <c r="AD1204" s="9"/>
      <c r="AE1204" s="9"/>
      <c r="AF1204" s="40"/>
      <c r="AG1204" s="56"/>
      <c r="AH1204" s="56"/>
      <c r="AI1204" s="56"/>
      <c r="AJ1204" s="56"/>
    </row>
    <row r="1205" spans="1:36" x14ac:dyDescent="0.3">
      <c r="A1205" s="59">
        <f>A1201+1</f>
        <v>935</v>
      </c>
      <c r="B1205" s="66" t="s">
        <v>3210</v>
      </c>
      <c r="C1205" s="51">
        <f t="shared" ref="C1205:C1236" si="282">D1205+K1205+L1205+N1205+P1205+R1205+S1205+U1205+V1205+W1205</f>
        <v>24424092</v>
      </c>
      <c r="D1205" s="51">
        <f t="shared" ref="D1205:D1237" si="283">E1205+F1205+G1205+H1205</f>
        <v>0</v>
      </c>
      <c r="E1205" s="51"/>
      <c r="F1205" s="51"/>
      <c r="G1205" s="51"/>
      <c r="H1205" s="51"/>
      <c r="I1205" s="51"/>
      <c r="J1205" s="51"/>
      <c r="K1205" s="51"/>
      <c r="L1205" s="51"/>
      <c r="M1205" s="51"/>
      <c r="N1205" s="51"/>
      <c r="O1205" s="82">
        <v>924</v>
      </c>
      <c r="P1205" s="51">
        <f>924*26433</f>
        <v>24424092</v>
      </c>
      <c r="Q1205" s="82"/>
      <c r="R1205" s="51"/>
      <c r="S1205" s="82"/>
      <c r="T1205" s="82"/>
      <c r="U1205" s="51"/>
      <c r="V1205" s="51"/>
      <c r="W1205" s="181"/>
      <c r="X1205" s="9"/>
      <c r="Y1205" s="9"/>
      <c r="Z1205" s="9"/>
      <c r="AA1205" s="9"/>
      <c r="AB1205" s="9"/>
      <c r="AC1205" s="9"/>
      <c r="AD1205" s="9"/>
      <c r="AE1205" s="9"/>
      <c r="AF1205" s="40"/>
      <c r="AG1205" s="56"/>
      <c r="AH1205" s="56"/>
      <c r="AI1205" s="56"/>
      <c r="AJ1205" s="56"/>
    </row>
    <row r="1206" spans="1:36" x14ac:dyDescent="0.3">
      <c r="A1206" s="59">
        <f t="shared" ref="A1206:A1253" si="284">A1205+1</f>
        <v>936</v>
      </c>
      <c r="B1206" s="66" t="s">
        <v>3211</v>
      </c>
      <c r="C1206" s="51">
        <f t="shared" si="282"/>
        <v>34283601</v>
      </c>
      <c r="D1206" s="51">
        <f t="shared" si="283"/>
        <v>0</v>
      </c>
      <c r="E1206" s="51"/>
      <c r="F1206" s="51"/>
      <c r="G1206" s="51"/>
      <c r="H1206" s="51"/>
      <c r="I1206" s="51"/>
      <c r="J1206" s="51"/>
      <c r="K1206" s="51"/>
      <c r="L1206" s="51"/>
      <c r="M1206" s="51"/>
      <c r="N1206" s="51"/>
      <c r="O1206" s="82">
        <v>1297</v>
      </c>
      <c r="P1206" s="51">
        <f>1297*26433</f>
        <v>34283601</v>
      </c>
      <c r="Q1206" s="82"/>
      <c r="R1206" s="51"/>
      <c r="S1206" s="82"/>
      <c r="T1206" s="82"/>
      <c r="U1206" s="51"/>
      <c r="V1206" s="51"/>
      <c r="W1206" s="181"/>
      <c r="X1206" s="9"/>
      <c r="Y1206" s="9"/>
      <c r="Z1206" s="9"/>
      <c r="AA1206" s="9"/>
      <c r="AB1206" s="9"/>
      <c r="AC1206" s="9"/>
      <c r="AD1206" s="9"/>
      <c r="AE1206" s="9"/>
      <c r="AF1206" s="40"/>
      <c r="AG1206" s="56"/>
      <c r="AH1206" s="56"/>
      <c r="AI1206" s="56"/>
      <c r="AJ1206" s="56"/>
    </row>
    <row r="1207" spans="1:36" x14ac:dyDescent="0.3">
      <c r="A1207" s="59">
        <f t="shared" si="284"/>
        <v>937</v>
      </c>
      <c r="B1207" s="66" t="s">
        <v>3222</v>
      </c>
      <c r="C1207" s="51">
        <f t="shared" si="282"/>
        <v>6617985.5999999996</v>
      </c>
      <c r="D1207" s="51">
        <f t="shared" si="283"/>
        <v>0</v>
      </c>
      <c r="E1207" s="364"/>
      <c r="F1207" s="51"/>
      <c r="G1207" s="51"/>
      <c r="H1207" s="51"/>
      <c r="I1207" s="51"/>
      <c r="J1207" s="51"/>
      <c r="K1207" s="51"/>
      <c r="L1207" s="51"/>
      <c r="M1207" s="51"/>
      <c r="N1207" s="51"/>
      <c r="O1207" s="82">
        <v>603.70000000000005</v>
      </c>
      <c r="P1207" s="51">
        <v>6617985.5999999996</v>
      </c>
      <c r="Q1207" s="82"/>
      <c r="R1207" s="51"/>
      <c r="S1207" s="82"/>
      <c r="T1207" s="82"/>
      <c r="U1207" s="51"/>
      <c r="V1207" s="51"/>
      <c r="W1207" s="181"/>
      <c r="X1207" s="9"/>
      <c r="Y1207" s="9"/>
      <c r="Z1207" s="9"/>
      <c r="AA1207" s="9"/>
      <c r="AB1207" s="9"/>
      <c r="AC1207" s="9"/>
      <c r="AD1207" s="9"/>
      <c r="AE1207" s="9"/>
      <c r="AF1207" s="40"/>
      <c r="AG1207" s="56"/>
      <c r="AH1207" s="56"/>
      <c r="AI1207" s="56"/>
      <c r="AJ1207" s="56"/>
    </row>
    <row r="1208" spans="1:36" x14ac:dyDescent="0.3">
      <c r="A1208" s="59">
        <f t="shared" si="284"/>
        <v>938</v>
      </c>
      <c r="B1208" s="66" t="s">
        <v>3223</v>
      </c>
      <c r="C1208" s="51">
        <f t="shared" si="282"/>
        <v>11140004.4</v>
      </c>
      <c r="D1208" s="51">
        <f t="shared" si="283"/>
        <v>0</v>
      </c>
      <c r="E1208" s="364"/>
      <c r="F1208" s="51"/>
      <c r="G1208" s="51"/>
      <c r="H1208" s="51"/>
      <c r="I1208" s="51"/>
      <c r="J1208" s="51"/>
      <c r="K1208" s="51"/>
      <c r="L1208" s="51"/>
      <c r="M1208" s="51"/>
      <c r="N1208" s="51"/>
      <c r="O1208" s="82">
        <v>732.4</v>
      </c>
      <c r="P1208" s="51">
        <v>11140004.4</v>
      </c>
      <c r="Q1208" s="82"/>
      <c r="R1208" s="51"/>
      <c r="S1208" s="82"/>
      <c r="T1208" s="82"/>
      <c r="U1208" s="51"/>
      <c r="V1208" s="51"/>
      <c r="W1208" s="181"/>
      <c r="X1208" s="9"/>
      <c r="Y1208" s="9"/>
      <c r="Z1208" s="9"/>
      <c r="AA1208" s="9"/>
      <c r="AB1208" s="9"/>
      <c r="AC1208" s="9"/>
      <c r="AD1208" s="9"/>
      <c r="AE1208" s="9"/>
      <c r="AF1208" s="40"/>
      <c r="AG1208" s="56"/>
      <c r="AH1208" s="56"/>
      <c r="AI1208" s="56"/>
      <c r="AJ1208" s="56"/>
    </row>
    <row r="1209" spans="1:36" x14ac:dyDescent="0.3">
      <c r="A1209" s="59">
        <f t="shared" si="284"/>
        <v>939</v>
      </c>
      <c r="B1209" s="66" t="s">
        <v>3224</v>
      </c>
      <c r="C1209" s="51">
        <f t="shared" si="282"/>
        <v>11806312.800000001</v>
      </c>
      <c r="D1209" s="51">
        <f t="shared" si="283"/>
        <v>0</v>
      </c>
      <c r="E1209" s="364"/>
      <c r="F1209" s="51"/>
      <c r="G1209" s="51"/>
      <c r="H1209" s="51"/>
      <c r="I1209" s="51"/>
      <c r="J1209" s="51"/>
      <c r="K1209" s="51"/>
      <c r="L1209" s="51"/>
      <c r="M1209" s="51"/>
      <c r="N1209" s="51"/>
      <c r="O1209" s="82">
        <v>919.4</v>
      </c>
      <c r="P1209" s="51">
        <v>11806312.800000001</v>
      </c>
      <c r="Q1209" s="82"/>
      <c r="R1209" s="51"/>
      <c r="S1209" s="82"/>
      <c r="T1209" s="82"/>
      <c r="U1209" s="51"/>
      <c r="V1209" s="51"/>
      <c r="W1209" s="181"/>
      <c r="X1209" s="9"/>
      <c r="Y1209" s="9"/>
      <c r="Z1209" s="9"/>
      <c r="AA1209" s="9"/>
      <c r="AB1209" s="9"/>
      <c r="AC1209" s="9"/>
      <c r="AD1209" s="9"/>
      <c r="AE1209" s="9"/>
      <c r="AF1209" s="40"/>
      <c r="AG1209" s="56"/>
      <c r="AH1209" s="56"/>
      <c r="AI1209" s="56"/>
      <c r="AJ1209" s="56"/>
    </row>
    <row r="1210" spans="1:36" x14ac:dyDescent="0.3">
      <c r="A1210" s="59">
        <f t="shared" si="284"/>
        <v>940</v>
      </c>
      <c r="B1210" s="66" t="s">
        <v>3225</v>
      </c>
      <c r="C1210" s="51">
        <f t="shared" si="282"/>
        <v>17796384</v>
      </c>
      <c r="D1210" s="51">
        <f t="shared" si="283"/>
        <v>0</v>
      </c>
      <c r="E1210" s="364"/>
      <c r="F1210" s="51"/>
      <c r="G1210" s="51"/>
      <c r="H1210" s="51"/>
      <c r="I1210" s="51"/>
      <c r="J1210" s="51"/>
      <c r="K1210" s="51"/>
      <c r="L1210" s="51"/>
      <c r="M1210" s="51"/>
      <c r="N1210" s="51"/>
      <c r="O1210" s="82">
        <v>1336.2</v>
      </c>
      <c r="P1210" s="51">
        <v>17796384</v>
      </c>
      <c r="Q1210" s="82"/>
      <c r="R1210" s="51"/>
      <c r="S1210" s="82"/>
      <c r="T1210" s="82"/>
      <c r="U1210" s="51"/>
      <c r="V1210" s="51"/>
      <c r="W1210" s="181"/>
      <c r="X1210" s="9"/>
      <c r="Y1210" s="9"/>
      <c r="Z1210" s="9"/>
      <c r="AA1210" s="9"/>
      <c r="AB1210" s="9"/>
      <c r="AC1210" s="9"/>
      <c r="AD1210" s="9"/>
      <c r="AE1210" s="9"/>
      <c r="AF1210" s="40"/>
      <c r="AG1210" s="56"/>
      <c r="AH1210" s="56"/>
      <c r="AI1210" s="56"/>
      <c r="AJ1210" s="56"/>
    </row>
    <row r="1211" spans="1:36" x14ac:dyDescent="0.3">
      <c r="A1211" s="59">
        <f t="shared" si="284"/>
        <v>941</v>
      </c>
      <c r="B1211" s="66" t="s">
        <v>3227</v>
      </c>
      <c r="C1211" s="51">
        <f t="shared" si="282"/>
        <v>5661967.2000000002</v>
      </c>
      <c r="D1211" s="51">
        <f t="shared" si="283"/>
        <v>0</v>
      </c>
      <c r="E1211" s="364"/>
      <c r="F1211" s="51"/>
      <c r="G1211" s="51"/>
      <c r="H1211" s="51"/>
      <c r="I1211" s="51"/>
      <c r="J1211" s="51"/>
      <c r="K1211" s="51"/>
      <c r="L1211" s="51"/>
      <c r="M1211" s="51"/>
      <c r="N1211" s="51"/>
      <c r="O1211" s="82">
        <v>298.2</v>
      </c>
      <c r="P1211" s="51">
        <v>5661967.2000000002</v>
      </c>
      <c r="Q1211" s="82"/>
      <c r="R1211" s="51"/>
      <c r="S1211" s="82"/>
      <c r="T1211" s="82"/>
      <c r="U1211" s="51"/>
      <c r="V1211" s="51"/>
      <c r="W1211" s="181"/>
      <c r="X1211" s="9"/>
      <c r="Y1211" s="9"/>
      <c r="Z1211" s="9"/>
      <c r="AA1211" s="9"/>
      <c r="AB1211" s="9"/>
      <c r="AC1211" s="9"/>
      <c r="AD1211" s="9"/>
      <c r="AE1211" s="9"/>
      <c r="AF1211" s="40"/>
      <c r="AG1211" s="56"/>
      <c r="AH1211" s="56"/>
      <c r="AI1211" s="56"/>
      <c r="AJ1211" s="56"/>
    </row>
    <row r="1212" spans="1:36" x14ac:dyDescent="0.3">
      <c r="A1212" s="59">
        <f t="shared" si="284"/>
        <v>942</v>
      </c>
      <c r="B1212" s="66" t="s">
        <v>3228</v>
      </c>
      <c r="C1212" s="51">
        <f t="shared" si="282"/>
        <v>19356933.600000001</v>
      </c>
      <c r="D1212" s="51">
        <f t="shared" si="283"/>
        <v>0</v>
      </c>
      <c r="E1212" s="364"/>
      <c r="F1212" s="51"/>
      <c r="G1212" s="51"/>
      <c r="H1212" s="51"/>
      <c r="I1212" s="51"/>
      <c r="J1212" s="51"/>
      <c r="K1212" s="51"/>
      <c r="L1212" s="51"/>
      <c r="M1212" s="51"/>
      <c r="N1212" s="51"/>
      <c r="O1212" s="82">
        <v>1293.9000000000001</v>
      </c>
      <c r="P1212" s="51">
        <v>19356933.600000001</v>
      </c>
      <c r="Q1212" s="82"/>
      <c r="R1212" s="51"/>
      <c r="S1212" s="82"/>
      <c r="T1212" s="82"/>
      <c r="U1212" s="51"/>
      <c r="V1212" s="51"/>
      <c r="W1212" s="181"/>
      <c r="X1212" s="9"/>
      <c r="Y1212" s="9"/>
      <c r="Z1212" s="9"/>
      <c r="AA1212" s="9"/>
      <c r="AB1212" s="9"/>
      <c r="AC1212" s="9"/>
      <c r="AD1212" s="9"/>
      <c r="AE1212" s="9"/>
      <c r="AF1212" s="40"/>
      <c r="AG1212" s="56"/>
      <c r="AH1212" s="56"/>
      <c r="AI1212" s="56"/>
      <c r="AJ1212" s="56"/>
    </row>
    <row r="1213" spans="1:36" x14ac:dyDescent="0.3">
      <c r="A1213" s="59">
        <f t="shared" si="284"/>
        <v>943</v>
      </c>
      <c r="B1213" s="66" t="s">
        <v>3229</v>
      </c>
      <c r="C1213" s="51">
        <f t="shared" si="282"/>
        <v>13208974.800000001</v>
      </c>
      <c r="D1213" s="51">
        <f t="shared" si="283"/>
        <v>0</v>
      </c>
      <c r="E1213" s="364"/>
      <c r="F1213" s="51"/>
      <c r="G1213" s="51"/>
      <c r="H1213" s="51"/>
      <c r="I1213" s="51"/>
      <c r="J1213" s="51"/>
      <c r="K1213" s="51"/>
      <c r="L1213" s="51"/>
      <c r="M1213" s="51"/>
      <c r="N1213" s="51"/>
      <c r="O1213" s="82">
        <v>1421</v>
      </c>
      <c r="P1213" s="51">
        <v>13208974.800000001</v>
      </c>
      <c r="Q1213" s="82"/>
      <c r="R1213" s="51"/>
      <c r="S1213" s="82"/>
      <c r="T1213" s="82"/>
      <c r="U1213" s="51"/>
      <c r="V1213" s="51"/>
      <c r="W1213" s="181"/>
      <c r="X1213" s="9"/>
      <c r="Y1213" s="9"/>
      <c r="Z1213" s="9"/>
      <c r="AA1213" s="9"/>
      <c r="AB1213" s="9"/>
      <c r="AC1213" s="9"/>
      <c r="AD1213" s="9"/>
      <c r="AE1213" s="9"/>
      <c r="AF1213" s="40"/>
      <c r="AG1213" s="56"/>
      <c r="AH1213" s="56"/>
      <c r="AI1213" s="56"/>
      <c r="AJ1213" s="56"/>
    </row>
    <row r="1214" spans="1:36" x14ac:dyDescent="0.3">
      <c r="A1214" s="59">
        <f t="shared" si="284"/>
        <v>944</v>
      </c>
      <c r="B1214" s="66" t="s">
        <v>3230</v>
      </c>
      <c r="C1214" s="51">
        <f t="shared" si="282"/>
        <v>14305430.4</v>
      </c>
      <c r="D1214" s="51">
        <f t="shared" si="283"/>
        <v>0</v>
      </c>
      <c r="E1214" s="364"/>
      <c r="F1214" s="51"/>
      <c r="G1214" s="51"/>
      <c r="H1214" s="51"/>
      <c r="I1214" s="51"/>
      <c r="J1214" s="51"/>
      <c r="K1214" s="51"/>
      <c r="L1214" s="51"/>
      <c r="M1214" s="51"/>
      <c r="N1214" s="51"/>
      <c r="O1214" s="82">
        <v>784</v>
      </c>
      <c r="P1214" s="51">
        <v>14305430.4</v>
      </c>
      <c r="Q1214" s="82"/>
      <c r="R1214" s="51"/>
      <c r="S1214" s="82"/>
      <c r="T1214" s="82"/>
      <c r="U1214" s="51"/>
      <c r="V1214" s="51"/>
      <c r="W1214" s="181"/>
      <c r="X1214" s="9"/>
      <c r="Y1214" s="9"/>
      <c r="Z1214" s="9"/>
      <c r="AA1214" s="9"/>
      <c r="AB1214" s="9"/>
      <c r="AC1214" s="9"/>
      <c r="AD1214" s="9"/>
      <c r="AE1214" s="9"/>
      <c r="AF1214" s="40"/>
      <c r="AG1214" s="56"/>
      <c r="AH1214" s="56"/>
      <c r="AI1214" s="56"/>
      <c r="AJ1214" s="56"/>
    </row>
    <row r="1215" spans="1:36" x14ac:dyDescent="0.3">
      <c r="A1215" s="59">
        <f t="shared" si="284"/>
        <v>945</v>
      </c>
      <c r="B1215" s="66" t="s">
        <v>3231</v>
      </c>
      <c r="C1215" s="51">
        <f t="shared" si="282"/>
        <v>14269515.6</v>
      </c>
      <c r="D1215" s="51">
        <f t="shared" si="283"/>
        <v>0</v>
      </c>
      <c r="E1215" s="364"/>
      <c r="F1215" s="51"/>
      <c r="G1215" s="51"/>
      <c r="H1215" s="51"/>
      <c r="I1215" s="51"/>
      <c r="J1215" s="51"/>
      <c r="K1215" s="51"/>
      <c r="L1215" s="51"/>
      <c r="M1215" s="51"/>
      <c r="N1215" s="51"/>
      <c r="O1215" s="82">
        <v>988.2</v>
      </c>
      <c r="P1215" s="51">
        <v>14269515.6</v>
      </c>
      <c r="Q1215" s="82"/>
      <c r="R1215" s="51"/>
      <c r="S1215" s="82"/>
      <c r="T1215" s="82"/>
      <c r="U1215" s="51"/>
      <c r="V1215" s="51"/>
      <c r="W1215" s="181"/>
      <c r="X1215" s="9"/>
      <c r="Y1215" s="9"/>
      <c r="Z1215" s="9"/>
      <c r="AA1215" s="9"/>
      <c r="AB1215" s="9"/>
      <c r="AC1215" s="9"/>
      <c r="AD1215" s="9"/>
      <c r="AE1215" s="9"/>
      <c r="AF1215" s="40"/>
      <c r="AG1215" s="56"/>
      <c r="AH1215" s="56"/>
      <c r="AI1215" s="56"/>
      <c r="AJ1215" s="56"/>
    </row>
    <row r="1216" spans="1:36" x14ac:dyDescent="0.3">
      <c r="A1216" s="59">
        <f t="shared" si="284"/>
        <v>946</v>
      </c>
      <c r="B1216" s="66" t="s">
        <v>3232</v>
      </c>
      <c r="C1216" s="51">
        <f t="shared" si="282"/>
        <v>11820526.800000001</v>
      </c>
      <c r="D1216" s="51">
        <f t="shared" si="283"/>
        <v>0</v>
      </c>
      <c r="E1216" s="364"/>
      <c r="F1216" s="51"/>
      <c r="G1216" s="51"/>
      <c r="H1216" s="51"/>
      <c r="I1216" s="51"/>
      <c r="J1216" s="51"/>
      <c r="K1216" s="51"/>
      <c r="L1216" s="51"/>
      <c r="M1216" s="51"/>
      <c r="N1216" s="51"/>
      <c r="O1216" s="82">
        <v>990</v>
      </c>
      <c r="P1216" s="51">
        <v>11820526.800000001</v>
      </c>
      <c r="Q1216" s="82"/>
      <c r="R1216" s="51"/>
      <c r="S1216" s="82"/>
      <c r="T1216" s="82"/>
      <c r="U1216" s="51"/>
      <c r="V1216" s="51"/>
      <c r="W1216" s="181"/>
      <c r="X1216" s="9"/>
      <c r="Y1216" s="9"/>
      <c r="Z1216" s="9"/>
      <c r="AA1216" s="9"/>
      <c r="AB1216" s="9"/>
      <c r="AC1216" s="9"/>
      <c r="AD1216" s="9"/>
      <c r="AE1216" s="9"/>
      <c r="AF1216" s="40"/>
      <c r="AG1216" s="56"/>
      <c r="AH1216" s="56"/>
      <c r="AI1216" s="56"/>
      <c r="AJ1216" s="56"/>
    </row>
    <row r="1217" spans="1:36" x14ac:dyDescent="0.3">
      <c r="A1217" s="59">
        <f t="shared" si="284"/>
        <v>947</v>
      </c>
      <c r="B1217" s="66" t="s">
        <v>3238</v>
      </c>
      <c r="C1217" s="51">
        <f t="shared" si="282"/>
        <v>4249197.42</v>
      </c>
      <c r="D1217" s="51">
        <f t="shared" si="283"/>
        <v>0</v>
      </c>
      <c r="E1217" s="364"/>
      <c r="F1217" s="51"/>
      <c r="G1217" s="51"/>
      <c r="H1217" s="51"/>
      <c r="I1217" s="51"/>
      <c r="J1217" s="51"/>
      <c r="K1217" s="51"/>
      <c r="L1217" s="51"/>
      <c r="M1217" s="51"/>
      <c r="N1217" s="51"/>
      <c r="O1217" s="82">
        <v>130</v>
      </c>
      <c r="P1217" s="51">
        <v>4249197.42</v>
      </c>
      <c r="Q1217" s="82"/>
      <c r="R1217" s="51"/>
      <c r="S1217" s="82"/>
      <c r="T1217" s="82"/>
      <c r="U1217" s="51"/>
      <c r="V1217" s="51"/>
      <c r="W1217" s="181"/>
      <c r="X1217" s="9"/>
      <c r="Y1217" s="9">
        <v>225325.14</v>
      </c>
      <c r="Z1217" s="9"/>
      <c r="AA1217" s="9"/>
      <c r="AB1217" s="9"/>
      <c r="AC1217" s="9"/>
      <c r="AD1217" s="9"/>
      <c r="AE1217" s="9"/>
      <c r="AF1217" s="40"/>
      <c r="AG1217" s="56"/>
      <c r="AH1217" s="56"/>
      <c r="AI1217" s="56"/>
      <c r="AJ1217" s="56"/>
    </row>
    <row r="1218" spans="1:36" x14ac:dyDescent="0.3">
      <c r="A1218" s="59">
        <f t="shared" si="284"/>
        <v>948</v>
      </c>
      <c r="B1218" s="66" t="s">
        <v>3255</v>
      </c>
      <c r="C1218" s="51">
        <f t="shared" si="282"/>
        <v>24820587</v>
      </c>
      <c r="D1218" s="51">
        <f t="shared" si="283"/>
        <v>0</v>
      </c>
      <c r="E1218" s="364"/>
      <c r="F1218" s="51"/>
      <c r="G1218" s="51"/>
      <c r="H1218" s="51"/>
      <c r="I1218" s="51"/>
      <c r="J1218" s="51"/>
      <c r="K1218" s="51"/>
      <c r="L1218" s="51"/>
      <c r="M1218" s="51"/>
      <c r="N1218" s="51"/>
      <c r="O1218" s="82">
        <v>939</v>
      </c>
      <c r="P1218" s="51">
        <f>O1218*26433</f>
        <v>24820587</v>
      </c>
      <c r="Q1218" s="82"/>
      <c r="R1218" s="51"/>
      <c r="S1218" s="82"/>
      <c r="T1218" s="82"/>
      <c r="U1218" s="51"/>
      <c r="V1218" s="51"/>
      <c r="W1218" s="181"/>
      <c r="X1218" s="9"/>
      <c r="Y1218" s="9">
        <v>404636.17</v>
      </c>
      <c r="Z1218" s="9"/>
      <c r="AA1218" s="9"/>
      <c r="AB1218" s="9"/>
      <c r="AC1218" s="9"/>
      <c r="AD1218" s="9"/>
      <c r="AE1218" s="9"/>
      <c r="AF1218" s="40"/>
      <c r="AG1218" s="56"/>
      <c r="AH1218" s="56"/>
      <c r="AI1218" s="56"/>
      <c r="AJ1218" s="56"/>
    </row>
    <row r="1219" spans="1:36" x14ac:dyDescent="0.3">
      <c r="A1219" s="59">
        <f t="shared" si="284"/>
        <v>949</v>
      </c>
      <c r="B1219" s="66" t="s">
        <v>3265</v>
      </c>
      <c r="C1219" s="51">
        <f t="shared" si="282"/>
        <v>18995474.800000001</v>
      </c>
      <c r="D1219" s="51">
        <f t="shared" si="283"/>
        <v>0</v>
      </c>
      <c r="E1219" s="364"/>
      <c r="F1219" s="51"/>
      <c r="G1219" s="51"/>
      <c r="H1219" s="51"/>
      <c r="I1219" s="51"/>
      <c r="J1219" s="51"/>
      <c r="K1219" s="51"/>
      <c r="L1219" s="51"/>
      <c r="M1219" s="51"/>
      <c r="N1219" s="51"/>
      <c r="O1219" s="82"/>
      <c r="P1219" s="51"/>
      <c r="Q1219" s="82">
        <v>3400</v>
      </c>
      <c r="R1219" s="51">
        <v>18995474.800000001</v>
      </c>
      <c r="S1219" s="82"/>
      <c r="T1219" s="82"/>
      <c r="U1219" s="51"/>
      <c r="V1219" s="51"/>
      <c r="W1219" s="181"/>
      <c r="X1219" s="9"/>
      <c r="Y1219" s="9">
        <v>212440.93</v>
      </c>
      <c r="Z1219" s="9"/>
      <c r="AA1219" s="9"/>
      <c r="AB1219" s="9"/>
      <c r="AC1219" s="9"/>
      <c r="AD1219" s="9"/>
      <c r="AE1219" s="9"/>
      <c r="AF1219" s="40"/>
      <c r="AG1219" s="56"/>
      <c r="AH1219" s="56"/>
      <c r="AI1219" s="56"/>
      <c r="AJ1219" s="56"/>
    </row>
    <row r="1220" spans="1:36" x14ac:dyDescent="0.3">
      <c r="A1220" s="59">
        <f t="shared" si="284"/>
        <v>950</v>
      </c>
      <c r="B1220" s="66" t="s">
        <v>3266</v>
      </c>
      <c r="C1220" s="51">
        <f t="shared" si="282"/>
        <v>497037.24</v>
      </c>
      <c r="D1220" s="51">
        <f t="shared" si="283"/>
        <v>0</v>
      </c>
      <c r="E1220" s="364"/>
      <c r="F1220" s="51"/>
      <c r="G1220" s="51"/>
      <c r="H1220" s="51"/>
      <c r="I1220" s="51"/>
      <c r="J1220" s="51"/>
      <c r="K1220" s="51"/>
      <c r="L1220" s="51"/>
      <c r="M1220" s="51"/>
      <c r="N1220" s="51"/>
      <c r="O1220" s="82">
        <v>992</v>
      </c>
      <c r="P1220" s="51">
        <v>497037.24</v>
      </c>
      <c r="Q1220" s="82"/>
      <c r="R1220" s="51"/>
      <c r="S1220" s="82"/>
      <c r="T1220" s="82"/>
      <c r="U1220" s="51"/>
      <c r="V1220" s="51"/>
      <c r="W1220" s="181"/>
      <c r="X1220" s="9"/>
      <c r="Y1220" s="9">
        <v>213440.27</v>
      </c>
      <c r="Z1220" s="9"/>
      <c r="AA1220" s="9"/>
      <c r="AB1220" s="9"/>
      <c r="AC1220" s="9"/>
      <c r="AD1220" s="9"/>
      <c r="AE1220" s="9"/>
      <c r="AF1220" s="40"/>
      <c r="AG1220" s="56"/>
      <c r="AH1220" s="56"/>
      <c r="AI1220" s="56"/>
      <c r="AJ1220" s="56"/>
    </row>
    <row r="1221" spans="1:36" x14ac:dyDescent="0.3">
      <c r="A1221" s="59">
        <f t="shared" si="284"/>
        <v>951</v>
      </c>
      <c r="B1221" s="66" t="s">
        <v>3273</v>
      </c>
      <c r="C1221" s="51">
        <f t="shared" si="282"/>
        <v>497037.24</v>
      </c>
      <c r="D1221" s="51">
        <f t="shared" si="283"/>
        <v>0</v>
      </c>
      <c r="E1221" s="364"/>
      <c r="F1221" s="51"/>
      <c r="G1221" s="51"/>
      <c r="H1221" s="51"/>
      <c r="I1221" s="51"/>
      <c r="J1221" s="51"/>
      <c r="K1221" s="51"/>
      <c r="L1221" s="51"/>
      <c r="M1221" s="51"/>
      <c r="N1221" s="51"/>
      <c r="O1221" s="82">
        <v>412</v>
      </c>
      <c r="P1221" s="51">
        <v>497037.24</v>
      </c>
      <c r="Q1221" s="82"/>
      <c r="R1221" s="51"/>
      <c r="S1221" s="82"/>
      <c r="T1221" s="82"/>
      <c r="U1221" s="51"/>
      <c r="V1221" s="51"/>
      <c r="W1221" s="181"/>
      <c r="X1221" s="9"/>
      <c r="Y1221" s="9">
        <v>160610.79999999999</v>
      </c>
      <c r="Z1221" s="9"/>
      <c r="AA1221" s="9"/>
      <c r="AB1221" s="9"/>
      <c r="AC1221" s="9"/>
      <c r="AD1221" s="9"/>
      <c r="AE1221" s="9"/>
      <c r="AF1221" s="40"/>
      <c r="AG1221" s="56"/>
      <c r="AH1221" s="56"/>
      <c r="AI1221" s="56"/>
      <c r="AJ1221" s="56"/>
    </row>
    <row r="1222" spans="1:36" x14ac:dyDescent="0.3">
      <c r="A1222" s="59">
        <f t="shared" si="284"/>
        <v>952</v>
      </c>
      <c r="B1222" s="66" t="s">
        <v>3274</v>
      </c>
      <c r="C1222" s="51">
        <f t="shared" si="282"/>
        <v>11766006</v>
      </c>
      <c r="D1222" s="51">
        <f t="shared" si="283"/>
        <v>0</v>
      </c>
      <c r="E1222" s="364"/>
      <c r="F1222" s="51"/>
      <c r="G1222" s="51"/>
      <c r="H1222" s="51"/>
      <c r="I1222" s="51"/>
      <c r="J1222" s="51"/>
      <c r="K1222" s="51"/>
      <c r="L1222" s="51"/>
      <c r="M1222" s="51"/>
      <c r="N1222" s="51"/>
      <c r="O1222" s="82"/>
      <c r="P1222" s="51"/>
      <c r="Q1222" s="82">
        <v>2150</v>
      </c>
      <c r="R1222" s="51">
        <v>11766006</v>
      </c>
      <c r="S1222" s="82"/>
      <c r="T1222" s="82"/>
      <c r="U1222" s="51"/>
      <c r="V1222" s="51"/>
      <c r="W1222" s="181"/>
      <c r="X1222" s="9"/>
      <c r="Y1222" s="9">
        <v>207787.98</v>
      </c>
      <c r="Z1222" s="9"/>
      <c r="AA1222" s="9"/>
      <c r="AB1222" s="9"/>
      <c r="AC1222" s="9"/>
      <c r="AD1222" s="9"/>
      <c r="AE1222" s="9"/>
      <c r="AF1222" s="40"/>
      <c r="AG1222" s="56"/>
      <c r="AH1222" s="56"/>
      <c r="AI1222" s="56"/>
      <c r="AJ1222" s="56"/>
    </row>
    <row r="1223" spans="1:36" x14ac:dyDescent="0.3">
      <c r="A1223" s="59">
        <f t="shared" si="284"/>
        <v>953</v>
      </c>
      <c r="B1223" s="66" t="s">
        <v>3276</v>
      </c>
      <c r="C1223" s="51">
        <f t="shared" si="282"/>
        <v>3557206.8</v>
      </c>
      <c r="D1223" s="51">
        <f t="shared" si="283"/>
        <v>0</v>
      </c>
      <c r="E1223" s="51"/>
      <c r="F1223" s="51"/>
      <c r="G1223" s="51"/>
      <c r="H1223" s="364"/>
      <c r="I1223" s="51"/>
      <c r="J1223" s="51"/>
      <c r="K1223" s="51"/>
      <c r="L1223" s="51"/>
      <c r="M1223" s="51"/>
      <c r="N1223" s="51"/>
      <c r="O1223" s="82">
        <v>298.2</v>
      </c>
      <c r="P1223" s="51">
        <v>3557206.8</v>
      </c>
      <c r="Q1223" s="82"/>
      <c r="R1223" s="51"/>
      <c r="S1223" s="82"/>
      <c r="T1223" s="82"/>
      <c r="U1223" s="51"/>
      <c r="V1223" s="51"/>
      <c r="W1223" s="181"/>
      <c r="X1223" s="9"/>
      <c r="Y1223" s="9"/>
      <c r="Z1223" s="9"/>
      <c r="AA1223" s="9"/>
      <c r="AB1223" s="9"/>
      <c r="AC1223" s="9"/>
      <c r="AD1223" s="9"/>
      <c r="AE1223" s="9"/>
      <c r="AF1223" s="40"/>
      <c r="AG1223" s="56"/>
      <c r="AH1223" s="56"/>
      <c r="AI1223" s="56"/>
      <c r="AJ1223" s="56"/>
    </row>
    <row r="1224" spans="1:36" x14ac:dyDescent="0.3">
      <c r="A1224" s="59">
        <f t="shared" si="284"/>
        <v>954</v>
      </c>
      <c r="B1224" s="66" t="s">
        <v>3280</v>
      </c>
      <c r="C1224" s="51">
        <f t="shared" si="282"/>
        <v>13294359.08</v>
      </c>
      <c r="D1224" s="51">
        <f t="shared" si="283"/>
        <v>0</v>
      </c>
      <c r="E1224" s="364"/>
      <c r="F1224" s="51"/>
      <c r="G1224" s="51"/>
      <c r="H1224" s="51"/>
      <c r="I1224" s="51"/>
      <c r="J1224" s="51"/>
      <c r="K1224" s="51"/>
      <c r="L1224" s="51"/>
      <c r="M1224" s="51"/>
      <c r="N1224" s="51"/>
      <c r="O1224" s="82"/>
      <c r="P1224" s="51"/>
      <c r="Q1224" s="82">
        <v>2400</v>
      </c>
      <c r="R1224" s="51">
        <v>13294359.08</v>
      </c>
      <c r="S1224" s="82"/>
      <c r="T1224" s="82"/>
      <c r="U1224" s="51"/>
      <c r="V1224" s="51"/>
      <c r="W1224" s="181"/>
      <c r="X1224" s="9"/>
      <c r="Y1224" s="9">
        <v>178408.97</v>
      </c>
      <c r="Z1224" s="9"/>
      <c r="AA1224" s="9"/>
      <c r="AB1224" s="9"/>
      <c r="AC1224" s="9"/>
      <c r="AD1224" s="9"/>
      <c r="AE1224" s="9"/>
      <c r="AF1224" s="40"/>
      <c r="AG1224" s="56">
        <v>1061069.33</v>
      </c>
      <c r="AH1224" s="56"/>
      <c r="AI1224" s="56"/>
      <c r="AJ1224" s="56"/>
    </row>
    <row r="1225" spans="1:36" x14ac:dyDescent="0.3">
      <c r="A1225" s="59">
        <f t="shared" si="284"/>
        <v>955</v>
      </c>
      <c r="B1225" s="66" t="s">
        <v>3281</v>
      </c>
      <c r="C1225" s="51">
        <f t="shared" si="282"/>
        <v>12133678.800000001</v>
      </c>
      <c r="D1225" s="51">
        <f t="shared" si="283"/>
        <v>0</v>
      </c>
      <c r="E1225" s="364"/>
      <c r="F1225" s="51"/>
      <c r="G1225" s="51"/>
      <c r="H1225" s="51"/>
      <c r="I1225" s="51"/>
      <c r="J1225" s="51"/>
      <c r="K1225" s="51"/>
      <c r="L1225" s="51"/>
      <c r="M1225" s="51"/>
      <c r="N1225" s="51"/>
      <c r="O1225" s="82">
        <v>798</v>
      </c>
      <c r="P1225" s="51">
        <v>12133678.800000001</v>
      </c>
      <c r="Q1225" s="82"/>
      <c r="R1225" s="51"/>
      <c r="S1225" s="82"/>
      <c r="T1225" s="82"/>
      <c r="U1225" s="51"/>
      <c r="V1225" s="51"/>
      <c r="W1225" s="181"/>
      <c r="X1225" s="9"/>
      <c r="Y1225" s="9">
        <v>165269.82999999999</v>
      </c>
      <c r="Z1225" s="9"/>
      <c r="AA1225" s="9"/>
      <c r="AB1225" s="9"/>
      <c r="AC1225" s="9"/>
      <c r="AD1225" s="9"/>
      <c r="AE1225" s="9"/>
      <c r="AF1225" s="40">
        <v>158541.54</v>
      </c>
      <c r="AG1225" s="56">
        <v>1003044.22</v>
      </c>
      <c r="AH1225" s="56"/>
      <c r="AI1225" s="56"/>
      <c r="AJ1225" s="56"/>
    </row>
    <row r="1226" spans="1:36" x14ac:dyDescent="0.3">
      <c r="A1226" s="59">
        <f t="shared" si="284"/>
        <v>956</v>
      </c>
      <c r="B1226" s="66" t="s">
        <v>3282</v>
      </c>
      <c r="C1226" s="51">
        <f t="shared" si="282"/>
        <v>21593725.199999999</v>
      </c>
      <c r="D1226" s="51">
        <f t="shared" si="283"/>
        <v>0</v>
      </c>
      <c r="E1226" s="364"/>
      <c r="F1226" s="51"/>
      <c r="G1226" s="51"/>
      <c r="H1226" s="51"/>
      <c r="I1226" s="51"/>
      <c r="J1226" s="51"/>
      <c r="K1226" s="51"/>
      <c r="L1226" s="51"/>
      <c r="M1226" s="51"/>
      <c r="N1226" s="51"/>
      <c r="O1226" s="82">
        <v>1053</v>
      </c>
      <c r="P1226" s="51">
        <v>21593725.199999999</v>
      </c>
      <c r="Q1226" s="82"/>
      <c r="R1226" s="51"/>
      <c r="S1226" s="82"/>
      <c r="T1226" s="82"/>
      <c r="U1226" s="51"/>
      <c r="V1226" s="51"/>
      <c r="W1226" s="181"/>
      <c r="X1226" s="9"/>
      <c r="Y1226" s="9">
        <v>256509.5</v>
      </c>
      <c r="Z1226" s="9"/>
      <c r="AA1226" s="9"/>
      <c r="AB1226" s="9"/>
      <c r="AC1226" s="9"/>
      <c r="AD1226" s="9"/>
      <c r="AE1226" s="9"/>
      <c r="AF1226" s="40"/>
      <c r="AG1226" s="56"/>
      <c r="AH1226" s="56"/>
      <c r="AI1226" s="56"/>
      <c r="AJ1226" s="56"/>
    </row>
    <row r="1227" spans="1:36" x14ac:dyDescent="0.3">
      <c r="A1227" s="59">
        <f t="shared" si="284"/>
        <v>957</v>
      </c>
      <c r="B1227" s="66" t="s">
        <v>3283</v>
      </c>
      <c r="C1227" s="51">
        <f t="shared" si="282"/>
        <v>21591138</v>
      </c>
      <c r="D1227" s="51">
        <f t="shared" si="283"/>
        <v>0</v>
      </c>
      <c r="E1227" s="364"/>
      <c r="F1227" s="51"/>
      <c r="G1227" s="51"/>
      <c r="H1227" s="51"/>
      <c r="I1227" s="51"/>
      <c r="J1227" s="51"/>
      <c r="K1227" s="51"/>
      <c r="L1227" s="51"/>
      <c r="M1227" s="51"/>
      <c r="N1227" s="51"/>
      <c r="O1227" s="82">
        <v>1055.5</v>
      </c>
      <c r="P1227" s="51">
        <v>21591138</v>
      </c>
      <c r="Q1227" s="82"/>
      <c r="R1227" s="51"/>
      <c r="S1227" s="82"/>
      <c r="T1227" s="82"/>
      <c r="U1227" s="51"/>
      <c r="V1227" s="51"/>
      <c r="W1227" s="181"/>
      <c r="X1227" s="9"/>
      <c r="Y1227" s="9">
        <v>257304.74</v>
      </c>
      <c r="Z1227" s="9"/>
      <c r="AA1227" s="9"/>
      <c r="AB1227" s="9"/>
      <c r="AC1227" s="9"/>
      <c r="AD1227" s="9"/>
      <c r="AE1227" s="9"/>
      <c r="AF1227" s="40"/>
      <c r="AG1227" s="56"/>
      <c r="AH1227" s="56"/>
      <c r="AI1227" s="56"/>
      <c r="AJ1227" s="56"/>
    </row>
    <row r="1228" spans="1:36" x14ac:dyDescent="0.3">
      <c r="A1228" s="59">
        <f t="shared" si="284"/>
        <v>958</v>
      </c>
      <c r="B1228" s="66" t="s">
        <v>3285</v>
      </c>
      <c r="C1228" s="51">
        <f t="shared" si="282"/>
        <v>8724112.8000000007</v>
      </c>
      <c r="D1228" s="51">
        <f t="shared" si="283"/>
        <v>0</v>
      </c>
      <c r="E1228" s="364"/>
      <c r="F1228" s="51"/>
      <c r="G1228" s="51"/>
      <c r="H1228" s="51"/>
      <c r="I1228" s="51"/>
      <c r="J1228" s="51"/>
      <c r="K1228" s="51"/>
      <c r="L1228" s="51"/>
      <c r="M1228" s="51"/>
      <c r="N1228" s="51"/>
      <c r="O1228" s="82">
        <v>932.52</v>
      </c>
      <c r="P1228" s="51">
        <v>8724112.8000000007</v>
      </c>
      <c r="Q1228" s="82"/>
      <c r="R1228" s="51"/>
      <c r="S1228" s="82"/>
      <c r="T1228" s="82"/>
      <c r="U1228" s="51"/>
      <c r="V1228" s="51"/>
      <c r="W1228" s="181"/>
      <c r="X1228" s="9"/>
      <c r="Y1228" s="9">
        <v>168866.68</v>
      </c>
      <c r="Z1228" s="9"/>
      <c r="AA1228" s="9"/>
      <c r="AB1228" s="9"/>
      <c r="AC1228" s="9"/>
      <c r="AD1228" s="9"/>
      <c r="AE1228" s="9"/>
      <c r="AF1228" s="40">
        <v>129143.38</v>
      </c>
      <c r="AG1228" s="56">
        <v>1018928.6</v>
      </c>
      <c r="AH1228" s="56"/>
      <c r="AI1228" s="56"/>
      <c r="AJ1228" s="56"/>
    </row>
    <row r="1229" spans="1:36" x14ac:dyDescent="0.3">
      <c r="A1229" s="59">
        <f t="shared" si="284"/>
        <v>959</v>
      </c>
      <c r="B1229" s="66" t="s">
        <v>3290</v>
      </c>
      <c r="C1229" s="51">
        <f t="shared" si="282"/>
        <v>15162604.800000001</v>
      </c>
      <c r="D1229" s="51">
        <f t="shared" si="283"/>
        <v>0</v>
      </c>
      <c r="E1229" s="364"/>
      <c r="F1229" s="51"/>
      <c r="G1229" s="51"/>
      <c r="H1229" s="51"/>
      <c r="I1229" s="51"/>
      <c r="J1229" s="51"/>
      <c r="K1229" s="51"/>
      <c r="L1229" s="51"/>
      <c r="M1229" s="51"/>
      <c r="N1229" s="51"/>
      <c r="O1229" s="82">
        <v>903.3</v>
      </c>
      <c r="P1229" s="51">
        <v>15162604.800000001</v>
      </c>
      <c r="Q1229" s="82"/>
      <c r="R1229" s="51"/>
      <c r="S1229" s="82"/>
      <c r="T1229" s="82"/>
      <c r="U1229" s="51"/>
      <c r="V1229" s="51"/>
      <c r="W1229" s="181"/>
      <c r="X1229" s="9"/>
      <c r="Y1229" s="9">
        <v>181598.46</v>
      </c>
      <c r="Z1229" s="9"/>
      <c r="AA1229" s="9"/>
      <c r="AB1229" s="9"/>
      <c r="AC1229" s="9"/>
      <c r="AD1229" s="9"/>
      <c r="AE1229" s="9"/>
      <c r="AF1229" s="40">
        <v>155077.25</v>
      </c>
      <c r="AG1229" s="56">
        <v>1078770.3400000001</v>
      </c>
      <c r="AH1229" s="56"/>
      <c r="AI1229" s="56"/>
      <c r="AJ1229" s="56"/>
    </row>
    <row r="1230" spans="1:36" x14ac:dyDescent="0.3">
      <c r="A1230" s="59">
        <f t="shared" si="284"/>
        <v>960</v>
      </c>
      <c r="B1230" s="66" t="s">
        <v>3301</v>
      </c>
      <c r="C1230" s="51">
        <f t="shared" si="282"/>
        <v>24926319</v>
      </c>
      <c r="D1230" s="51">
        <f t="shared" si="283"/>
        <v>0</v>
      </c>
      <c r="E1230" s="364"/>
      <c r="F1230" s="51"/>
      <c r="G1230" s="51"/>
      <c r="H1230" s="51"/>
      <c r="I1230" s="51"/>
      <c r="J1230" s="51"/>
      <c r="K1230" s="51"/>
      <c r="L1230" s="51"/>
      <c r="M1230" s="51"/>
      <c r="N1230" s="51"/>
      <c r="O1230" s="82">
        <v>943</v>
      </c>
      <c r="P1230" s="51">
        <f>943*26433</f>
        <v>24926319</v>
      </c>
      <c r="Q1230" s="82"/>
      <c r="R1230" s="51"/>
      <c r="S1230" s="82"/>
      <c r="T1230" s="82"/>
      <c r="U1230" s="51"/>
      <c r="V1230" s="51"/>
      <c r="W1230" s="181"/>
      <c r="X1230" s="9"/>
      <c r="Y1230" s="9"/>
      <c r="Z1230" s="9"/>
      <c r="AA1230" s="9"/>
      <c r="AB1230" s="9"/>
      <c r="AC1230" s="9"/>
      <c r="AD1230" s="9"/>
      <c r="AE1230" s="9">
        <v>329453.05</v>
      </c>
      <c r="AF1230" s="40">
        <v>219536.8</v>
      </c>
      <c r="AG1230" s="56">
        <v>1059882.94</v>
      </c>
      <c r="AH1230" s="56"/>
      <c r="AI1230" s="56"/>
      <c r="AJ1230" s="56"/>
    </row>
    <row r="1231" spans="1:36" x14ac:dyDescent="0.3">
      <c r="A1231" s="59">
        <f t="shared" si="284"/>
        <v>961</v>
      </c>
      <c r="B1231" s="66" t="s">
        <v>3303</v>
      </c>
      <c r="C1231" s="51">
        <f t="shared" si="282"/>
        <v>12206703.6</v>
      </c>
      <c r="D1231" s="51">
        <f t="shared" si="283"/>
        <v>0</v>
      </c>
      <c r="E1231" s="364"/>
      <c r="F1231" s="51"/>
      <c r="G1231" s="51"/>
      <c r="H1231" s="51"/>
      <c r="I1231" s="51"/>
      <c r="J1231" s="51"/>
      <c r="K1231" s="51"/>
      <c r="L1231" s="51"/>
      <c r="M1231" s="51"/>
      <c r="N1231" s="51"/>
      <c r="O1231" s="82"/>
      <c r="P1231" s="51"/>
      <c r="Q1231" s="82">
        <v>2141</v>
      </c>
      <c r="R1231" s="51">
        <v>12206703.6</v>
      </c>
      <c r="S1231" s="82"/>
      <c r="T1231" s="82"/>
      <c r="U1231" s="51"/>
      <c r="V1231" s="51"/>
      <c r="W1231" s="181"/>
      <c r="X1231" s="9"/>
      <c r="Y1231" s="9">
        <v>210495.92</v>
      </c>
      <c r="Z1231" s="9"/>
      <c r="AA1231" s="9"/>
      <c r="AB1231" s="9"/>
      <c r="AC1231" s="9"/>
      <c r="AD1231" s="9"/>
      <c r="AE1231" s="9"/>
      <c r="AF1231" s="40"/>
      <c r="AG1231" s="56">
        <v>1202772.25</v>
      </c>
      <c r="AH1231" s="56"/>
      <c r="AI1231" s="56"/>
      <c r="AJ1231" s="56"/>
    </row>
    <row r="1232" spans="1:36" x14ac:dyDescent="0.3">
      <c r="A1232" s="59">
        <f t="shared" si="284"/>
        <v>962</v>
      </c>
      <c r="B1232" s="66" t="s">
        <v>3304</v>
      </c>
      <c r="C1232" s="51">
        <f t="shared" si="282"/>
        <v>11337668.4</v>
      </c>
      <c r="D1232" s="51">
        <f t="shared" si="283"/>
        <v>0</v>
      </c>
      <c r="E1232" s="364"/>
      <c r="F1232" s="51"/>
      <c r="G1232" s="51"/>
      <c r="H1232" s="51"/>
      <c r="I1232" s="51"/>
      <c r="J1232" s="51"/>
      <c r="K1232" s="51"/>
      <c r="L1232" s="51"/>
      <c r="M1232" s="51"/>
      <c r="N1232" s="51"/>
      <c r="O1232" s="82">
        <v>961.76</v>
      </c>
      <c r="P1232" s="51">
        <v>11337668.4</v>
      </c>
      <c r="Q1232" s="82"/>
      <c r="R1232" s="51"/>
      <c r="S1232" s="82"/>
      <c r="T1232" s="82"/>
      <c r="U1232" s="51"/>
      <c r="V1232" s="51"/>
      <c r="W1232" s="181"/>
      <c r="X1232" s="9"/>
      <c r="Y1232" s="9">
        <v>214117.26</v>
      </c>
      <c r="Z1232" s="9"/>
      <c r="AA1232" s="9"/>
      <c r="AB1232" s="9"/>
      <c r="AC1232" s="9"/>
      <c r="AD1232" s="9"/>
      <c r="AE1232" s="9"/>
      <c r="AF1232" s="40"/>
      <c r="AG1232" s="56"/>
      <c r="AH1232" s="56"/>
      <c r="AI1232" s="56"/>
      <c r="AJ1232" s="56"/>
    </row>
    <row r="1233" spans="1:36" x14ac:dyDescent="0.3">
      <c r="A1233" s="59">
        <f t="shared" si="284"/>
        <v>963</v>
      </c>
      <c r="B1233" s="66" t="s">
        <v>3322</v>
      </c>
      <c r="C1233" s="51">
        <f t="shared" si="282"/>
        <v>43905213</v>
      </c>
      <c r="D1233" s="51">
        <f t="shared" si="283"/>
        <v>0</v>
      </c>
      <c r="E1233" s="364"/>
      <c r="F1233" s="51"/>
      <c r="G1233" s="51"/>
      <c r="H1233" s="51"/>
      <c r="I1233" s="51"/>
      <c r="J1233" s="51"/>
      <c r="K1233" s="51"/>
      <c r="L1233" s="51"/>
      <c r="M1233" s="51"/>
      <c r="N1233" s="51"/>
      <c r="O1233" s="82">
        <v>1661</v>
      </c>
      <c r="P1233" s="51">
        <f>1661*26433</f>
        <v>43905213</v>
      </c>
      <c r="Q1233" s="82"/>
      <c r="R1233" s="51"/>
      <c r="S1233" s="82"/>
      <c r="T1233" s="82"/>
      <c r="U1233" s="51"/>
      <c r="V1233" s="51"/>
      <c r="W1233" s="181"/>
      <c r="X1233" s="9"/>
      <c r="Y1233" s="9">
        <v>234560.5</v>
      </c>
      <c r="Z1233" s="9"/>
      <c r="AA1233" s="9"/>
      <c r="AB1233" s="9"/>
      <c r="AC1233" s="9"/>
      <c r="AD1233" s="9"/>
      <c r="AE1233" s="9"/>
      <c r="AF1233" s="40"/>
      <c r="AG1233" s="56"/>
      <c r="AH1233" s="56"/>
      <c r="AI1233" s="56"/>
      <c r="AJ1233" s="56"/>
    </row>
    <row r="1234" spans="1:36" x14ac:dyDescent="0.3">
      <c r="A1234" s="59">
        <f t="shared" si="284"/>
        <v>964</v>
      </c>
      <c r="B1234" s="66" t="s">
        <v>3323</v>
      </c>
      <c r="C1234" s="51">
        <f t="shared" si="282"/>
        <v>3306837.6</v>
      </c>
      <c r="D1234" s="51">
        <f t="shared" si="283"/>
        <v>0</v>
      </c>
      <c r="E1234" s="51"/>
      <c r="F1234" s="51"/>
      <c r="G1234" s="51"/>
      <c r="H1234" s="51"/>
      <c r="I1234" s="51"/>
      <c r="J1234" s="364"/>
      <c r="K1234" s="51"/>
      <c r="L1234" s="51"/>
      <c r="M1234" s="51"/>
      <c r="N1234" s="51"/>
      <c r="O1234" s="82">
        <v>500.87</v>
      </c>
      <c r="P1234" s="51">
        <v>3306837.6</v>
      </c>
      <c r="Q1234" s="82"/>
      <c r="R1234" s="51"/>
      <c r="S1234" s="82"/>
      <c r="T1234" s="82"/>
      <c r="U1234" s="51"/>
      <c r="V1234" s="51"/>
      <c r="W1234" s="181"/>
      <c r="X1234" s="9"/>
      <c r="Y1234" s="9"/>
      <c r="Z1234" s="9"/>
      <c r="AA1234" s="9"/>
      <c r="AB1234" s="9"/>
      <c r="AC1234" s="9"/>
      <c r="AD1234" s="9"/>
      <c r="AE1234" s="9"/>
      <c r="AF1234" s="40"/>
      <c r="AG1234" s="56"/>
      <c r="AH1234" s="56"/>
      <c r="AI1234" s="56"/>
      <c r="AJ1234" s="56"/>
    </row>
    <row r="1235" spans="1:36" x14ac:dyDescent="0.3">
      <c r="A1235" s="59">
        <f t="shared" si="284"/>
        <v>965</v>
      </c>
      <c r="B1235" s="66" t="s">
        <v>3324</v>
      </c>
      <c r="C1235" s="51">
        <f t="shared" si="282"/>
        <v>7752714</v>
      </c>
      <c r="D1235" s="51">
        <f t="shared" si="283"/>
        <v>0</v>
      </c>
      <c r="E1235" s="51"/>
      <c r="F1235" s="51"/>
      <c r="G1235" s="51"/>
      <c r="H1235" s="51"/>
      <c r="I1235" s="51"/>
      <c r="J1235" s="364"/>
      <c r="K1235" s="51"/>
      <c r="L1235" s="51"/>
      <c r="M1235" s="51"/>
      <c r="N1235" s="51"/>
      <c r="O1235" s="82">
        <v>410.8</v>
      </c>
      <c r="P1235" s="51">
        <v>7752714</v>
      </c>
      <c r="Q1235" s="82"/>
      <c r="R1235" s="51"/>
      <c r="S1235" s="82"/>
      <c r="T1235" s="82"/>
      <c r="U1235" s="51"/>
      <c r="V1235" s="51"/>
      <c r="W1235" s="181"/>
      <c r="X1235" s="9"/>
      <c r="Y1235" s="9"/>
      <c r="Z1235" s="9"/>
      <c r="AA1235" s="9"/>
      <c r="AB1235" s="9"/>
      <c r="AC1235" s="9"/>
      <c r="AD1235" s="9"/>
      <c r="AE1235" s="9"/>
      <c r="AF1235" s="40"/>
      <c r="AG1235" s="56"/>
      <c r="AH1235" s="56"/>
      <c r="AI1235" s="56"/>
      <c r="AJ1235" s="56"/>
    </row>
    <row r="1236" spans="1:36" x14ac:dyDescent="0.3">
      <c r="A1236" s="59">
        <f t="shared" si="284"/>
        <v>966</v>
      </c>
      <c r="B1236" s="66" t="s">
        <v>3326</v>
      </c>
      <c r="C1236" s="51">
        <f t="shared" si="282"/>
        <v>7335525</v>
      </c>
      <c r="D1236" s="51">
        <f t="shared" si="283"/>
        <v>0</v>
      </c>
      <c r="E1236" s="51"/>
      <c r="F1236" s="51"/>
      <c r="G1236" s="51"/>
      <c r="H1236" s="51"/>
      <c r="I1236" s="51"/>
      <c r="J1236" s="51"/>
      <c r="K1236" s="51"/>
      <c r="L1236" s="51"/>
      <c r="M1236" s="51">
        <v>1175</v>
      </c>
      <c r="N1236" s="364">
        <f>1175*6243</f>
        <v>7335525</v>
      </c>
      <c r="O1236" s="82"/>
      <c r="P1236" s="364"/>
      <c r="Q1236" s="82"/>
      <c r="R1236" s="364"/>
      <c r="S1236" s="82"/>
      <c r="T1236" s="82"/>
      <c r="U1236" s="51"/>
      <c r="V1236" s="51"/>
      <c r="W1236" s="181"/>
      <c r="X1236" s="9"/>
      <c r="Y1236" s="9"/>
      <c r="Z1236" s="9"/>
      <c r="AA1236" s="9"/>
      <c r="AB1236" s="9"/>
      <c r="AC1236" s="9"/>
      <c r="AD1236" s="9"/>
      <c r="AE1236" s="9">
        <v>394531.55</v>
      </c>
      <c r="AF1236" s="40">
        <v>201571.39</v>
      </c>
      <c r="AG1236" s="56">
        <v>1239740.3</v>
      </c>
      <c r="AH1236" s="56"/>
      <c r="AI1236" s="56"/>
      <c r="AJ1236" s="56"/>
    </row>
    <row r="1237" spans="1:36" x14ac:dyDescent="0.3">
      <c r="A1237" s="59">
        <f t="shared" si="284"/>
        <v>967</v>
      </c>
      <c r="B1237" s="66" t="s">
        <v>3337</v>
      </c>
      <c r="C1237" s="51">
        <f t="shared" ref="C1237:C1253" si="285">D1237+K1237+L1237+N1237+P1237+R1237+S1237+U1237+V1237+W1237</f>
        <v>14713764</v>
      </c>
      <c r="D1237" s="51">
        <f t="shared" si="283"/>
        <v>0</v>
      </c>
      <c r="E1237" s="51"/>
      <c r="F1237" s="51"/>
      <c r="G1237" s="51"/>
      <c r="H1237" s="51"/>
      <c r="I1237" s="51"/>
      <c r="J1237" s="364"/>
      <c r="K1237" s="51"/>
      <c r="L1237" s="51"/>
      <c r="M1237" s="51"/>
      <c r="N1237" s="51"/>
      <c r="O1237" s="82">
        <v>871.3</v>
      </c>
      <c r="P1237" s="51">
        <v>14713764</v>
      </c>
      <c r="Q1237" s="82"/>
      <c r="R1237" s="51"/>
      <c r="S1237" s="82"/>
      <c r="T1237" s="82"/>
      <c r="U1237" s="51"/>
      <c r="V1237" s="51"/>
      <c r="W1237" s="181"/>
      <c r="X1237" s="9"/>
      <c r="Y1237" s="9"/>
      <c r="Z1237" s="9"/>
      <c r="AA1237" s="9"/>
      <c r="AB1237" s="9"/>
      <c r="AC1237" s="9"/>
      <c r="AD1237" s="9"/>
      <c r="AE1237" s="9"/>
      <c r="AF1237" s="40"/>
      <c r="AG1237" s="56">
        <v>1512084.54</v>
      </c>
      <c r="AH1237" s="56"/>
      <c r="AI1237" s="56"/>
      <c r="AJ1237" s="56"/>
    </row>
    <row r="1238" spans="1:36" x14ac:dyDescent="0.3">
      <c r="A1238" s="59">
        <f t="shared" si="284"/>
        <v>968</v>
      </c>
      <c r="B1238" s="66" t="s">
        <v>3344</v>
      </c>
      <c r="C1238" s="51">
        <f t="shared" si="285"/>
        <v>32257247.219999999</v>
      </c>
      <c r="D1238" s="51">
        <f>E1238+F1238+G1238+H1238</f>
        <v>0</v>
      </c>
      <c r="E1238" s="51"/>
      <c r="F1238" s="364"/>
      <c r="G1238" s="364"/>
      <c r="H1238" s="364"/>
      <c r="I1238" s="51"/>
      <c r="J1238" s="51"/>
      <c r="K1238" s="51"/>
      <c r="L1238" s="51"/>
      <c r="M1238" s="51"/>
      <c r="N1238" s="51"/>
      <c r="O1238" s="82">
        <v>1220.3399999999999</v>
      </c>
      <c r="P1238" s="51">
        <f>1220.34*26433</f>
        <v>32257247.219999999</v>
      </c>
      <c r="Q1238" s="82"/>
      <c r="R1238" s="51"/>
      <c r="S1238" s="82"/>
      <c r="T1238" s="82"/>
      <c r="U1238" s="51"/>
      <c r="V1238" s="51"/>
      <c r="W1238" s="181"/>
      <c r="X1238" s="9"/>
      <c r="Y1238" s="9"/>
      <c r="Z1238" s="9">
        <v>339911.2</v>
      </c>
      <c r="AA1238" s="9">
        <v>306255.2</v>
      </c>
      <c r="AB1238" s="9"/>
      <c r="AC1238" s="9"/>
      <c r="AD1238" s="9"/>
      <c r="AE1238" s="9"/>
      <c r="AF1238" s="40"/>
      <c r="AG1238" s="56"/>
      <c r="AH1238" s="56"/>
      <c r="AI1238" s="56"/>
      <c r="AJ1238" s="56"/>
    </row>
    <row r="1239" spans="1:36" x14ac:dyDescent="0.3">
      <c r="A1239" s="59">
        <f t="shared" si="284"/>
        <v>969</v>
      </c>
      <c r="B1239" s="66" t="s">
        <v>3345</v>
      </c>
      <c r="C1239" s="51">
        <f t="shared" si="285"/>
        <v>11580194.4</v>
      </c>
      <c r="D1239" s="51">
        <f>E1239+F1239+G1239+H1239</f>
        <v>0</v>
      </c>
      <c r="E1239" s="364"/>
      <c r="F1239" s="51"/>
      <c r="G1239" s="364"/>
      <c r="H1239" s="364"/>
      <c r="I1239" s="364"/>
      <c r="J1239" s="51"/>
      <c r="K1239" s="51"/>
      <c r="L1239" s="51"/>
      <c r="M1239" s="51"/>
      <c r="N1239" s="51"/>
      <c r="O1239" s="82">
        <v>940.2</v>
      </c>
      <c r="P1239" s="51">
        <v>11580194.4</v>
      </c>
      <c r="Q1239" s="82"/>
      <c r="R1239" s="51"/>
      <c r="S1239" s="82"/>
      <c r="T1239" s="82"/>
      <c r="U1239" s="364"/>
      <c r="V1239" s="51"/>
      <c r="W1239" s="181"/>
      <c r="X1239" s="9"/>
      <c r="Y1239" s="9"/>
      <c r="Z1239" s="9"/>
      <c r="AA1239" s="9"/>
      <c r="AB1239" s="9"/>
      <c r="AC1239" s="9"/>
      <c r="AD1239" s="9"/>
      <c r="AE1239" s="9">
        <v>478309.38</v>
      </c>
      <c r="AF1239" s="40">
        <v>219296.95</v>
      </c>
      <c r="AG1239" s="56">
        <v>1471276.96</v>
      </c>
      <c r="AH1239" s="56"/>
      <c r="AI1239" s="56"/>
      <c r="AJ1239" s="56"/>
    </row>
    <row r="1240" spans="1:36" x14ac:dyDescent="0.3">
      <c r="A1240" s="59">
        <f t="shared" si="284"/>
        <v>970</v>
      </c>
      <c r="B1240" s="66" t="s">
        <v>3363</v>
      </c>
      <c r="C1240" s="51">
        <f t="shared" si="285"/>
        <v>4415284.8</v>
      </c>
      <c r="D1240" s="51">
        <f>E1240+F1240+G1240+H1240</f>
        <v>0</v>
      </c>
      <c r="E1240" s="51"/>
      <c r="F1240" s="364"/>
      <c r="G1240" s="364"/>
      <c r="H1240" s="364"/>
      <c r="I1240" s="51"/>
      <c r="J1240" s="51"/>
      <c r="K1240" s="51"/>
      <c r="L1240" s="51"/>
      <c r="M1240" s="51"/>
      <c r="N1240" s="51"/>
      <c r="O1240" s="82"/>
      <c r="P1240" s="51"/>
      <c r="Q1240" s="82">
        <v>740</v>
      </c>
      <c r="R1240" s="51">
        <v>4415284.8</v>
      </c>
      <c r="S1240" s="82"/>
      <c r="T1240" s="82"/>
      <c r="U1240" s="51"/>
      <c r="V1240" s="51"/>
      <c r="W1240" s="181"/>
      <c r="X1240" s="9"/>
      <c r="Y1240" s="9"/>
      <c r="Z1240" s="9">
        <v>139743.48000000001</v>
      </c>
      <c r="AA1240" s="9">
        <v>118462.19</v>
      </c>
      <c r="AB1240" s="9"/>
      <c r="AC1240" s="9"/>
      <c r="AD1240" s="9"/>
      <c r="AE1240" s="9"/>
      <c r="AF1240" s="40">
        <v>188176.93</v>
      </c>
      <c r="AG1240" s="56"/>
      <c r="AH1240" s="56"/>
      <c r="AI1240" s="56"/>
      <c r="AJ1240" s="56"/>
    </row>
    <row r="1241" spans="1:36" x14ac:dyDescent="0.3">
      <c r="A1241" s="59">
        <f t="shared" si="284"/>
        <v>971</v>
      </c>
      <c r="B1241" s="66" t="s">
        <v>3369</v>
      </c>
      <c r="C1241" s="51">
        <f t="shared" si="285"/>
        <v>4161384.46</v>
      </c>
      <c r="D1241" s="51">
        <f>E1241+F1241+G1241+H1241</f>
        <v>0</v>
      </c>
      <c r="E1241" s="51"/>
      <c r="F1241" s="364"/>
      <c r="G1241" s="364"/>
      <c r="H1241" s="364"/>
      <c r="I1241" s="51"/>
      <c r="J1241" s="51"/>
      <c r="K1241" s="51"/>
      <c r="L1241" s="51"/>
      <c r="M1241" s="51"/>
      <c r="N1241" s="51"/>
      <c r="O1241" s="82"/>
      <c r="P1241" s="364"/>
      <c r="Q1241" s="82">
        <v>679</v>
      </c>
      <c r="R1241" s="51">
        <v>4161384.46</v>
      </c>
      <c r="S1241" s="82"/>
      <c r="T1241" s="82"/>
      <c r="U1241" s="51"/>
      <c r="V1241" s="51"/>
      <c r="W1241" s="181"/>
      <c r="X1241" s="9"/>
      <c r="Y1241" s="9"/>
      <c r="Z1241" s="9"/>
      <c r="AA1241" s="9"/>
      <c r="AB1241" s="9"/>
      <c r="AC1241" s="9"/>
      <c r="AD1241" s="9"/>
      <c r="AE1241" s="9"/>
      <c r="AF1241" s="40"/>
      <c r="AG1241" s="56"/>
      <c r="AH1241" s="56"/>
      <c r="AI1241" s="56"/>
      <c r="AJ1241" s="56"/>
    </row>
    <row r="1242" spans="1:36" x14ac:dyDescent="0.3">
      <c r="A1242" s="59">
        <f t="shared" si="284"/>
        <v>972</v>
      </c>
      <c r="B1242" s="66" t="s">
        <v>3370</v>
      </c>
      <c r="C1242" s="51">
        <f t="shared" si="285"/>
        <v>4190722.8</v>
      </c>
      <c r="D1242" s="51">
        <f>E1242+F1242+G1242+H1242</f>
        <v>0</v>
      </c>
      <c r="E1242" s="51"/>
      <c r="F1242" s="364"/>
      <c r="G1242" s="364"/>
      <c r="H1242" s="364"/>
      <c r="I1242" s="51"/>
      <c r="J1242" s="51"/>
      <c r="K1242" s="51"/>
      <c r="L1242" s="51"/>
      <c r="M1242" s="51"/>
      <c r="N1242" s="51"/>
      <c r="O1242" s="82"/>
      <c r="P1242" s="364"/>
      <c r="Q1242" s="82">
        <v>466.24</v>
      </c>
      <c r="R1242" s="51">
        <v>4190722.8</v>
      </c>
      <c r="S1242" s="82"/>
      <c r="T1242" s="82"/>
      <c r="U1242" s="51"/>
      <c r="V1242" s="51"/>
      <c r="W1242" s="181"/>
      <c r="X1242" s="9"/>
      <c r="Y1242" s="9"/>
      <c r="Z1242" s="9"/>
      <c r="AA1242" s="9"/>
      <c r="AB1242" s="9"/>
      <c r="AC1242" s="9"/>
      <c r="AD1242" s="9"/>
      <c r="AE1242" s="9"/>
      <c r="AF1242" s="40"/>
      <c r="AG1242" s="56"/>
      <c r="AH1242" s="56"/>
      <c r="AI1242" s="56"/>
      <c r="AJ1242" s="56"/>
    </row>
    <row r="1243" spans="1:36" x14ac:dyDescent="0.3">
      <c r="A1243" s="59">
        <f t="shared" si="284"/>
        <v>973</v>
      </c>
      <c r="B1243" s="66" t="s">
        <v>3400</v>
      </c>
      <c r="C1243" s="51">
        <f t="shared" si="285"/>
        <v>2191765.04</v>
      </c>
      <c r="D1243" s="51">
        <f t="shared" ref="D1243:D1253" si="286">E1243+F1243+G1243+H1243</f>
        <v>0</v>
      </c>
      <c r="E1243" s="51"/>
      <c r="F1243" s="364"/>
      <c r="G1243" s="364"/>
      <c r="H1243" s="364"/>
      <c r="I1243" s="51"/>
      <c r="J1243" s="51"/>
      <c r="K1243" s="51"/>
      <c r="L1243" s="51"/>
      <c r="M1243" s="51"/>
      <c r="N1243" s="364"/>
      <c r="O1243" s="82"/>
      <c r="P1243" s="364"/>
      <c r="Q1243" s="82">
        <v>280</v>
      </c>
      <c r="R1243" s="51">
        <v>2191765.04</v>
      </c>
      <c r="S1243" s="82"/>
      <c r="T1243" s="82"/>
      <c r="U1243" s="51"/>
      <c r="V1243" s="51"/>
      <c r="W1243" s="181"/>
      <c r="X1243" s="9"/>
      <c r="Y1243" s="9"/>
      <c r="Z1243" s="9">
        <v>105769.74</v>
      </c>
      <c r="AA1243" s="9">
        <v>90542.86</v>
      </c>
      <c r="AB1243" s="9"/>
      <c r="AC1243" s="9"/>
      <c r="AD1243" s="9"/>
      <c r="AE1243" s="9"/>
      <c r="AF1243" s="40">
        <v>145956.67000000001</v>
      </c>
      <c r="AG1243" s="56"/>
      <c r="AH1243" s="56"/>
      <c r="AI1243" s="56"/>
      <c r="AJ1243" s="56"/>
    </row>
    <row r="1244" spans="1:36" x14ac:dyDescent="0.3">
      <c r="A1244" s="59">
        <f t="shared" si="284"/>
        <v>974</v>
      </c>
      <c r="B1244" s="66" t="s">
        <v>3406</v>
      </c>
      <c r="C1244" s="51">
        <f t="shared" si="285"/>
        <v>3006020.4</v>
      </c>
      <c r="D1244" s="51">
        <f t="shared" si="286"/>
        <v>0</v>
      </c>
      <c r="E1244" s="51"/>
      <c r="F1244" s="51"/>
      <c r="G1244" s="51"/>
      <c r="H1244" s="51"/>
      <c r="I1244" s="51"/>
      <c r="J1244" s="364"/>
      <c r="K1244" s="51"/>
      <c r="L1244" s="51"/>
      <c r="M1244" s="51"/>
      <c r="N1244" s="51"/>
      <c r="O1244" s="82">
        <v>781.4</v>
      </c>
      <c r="P1244" s="51">
        <v>3006020.4</v>
      </c>
      <c r="Q1244" s="82"/>
      <c r="R1244" s="51"/>
      <c r="S1244" s="82"/>
      <c r="T1244" s="82"/>
      <c r="U1244" s="51"/>
      <c r="V1244" s="51"/>
      <c r="W1244" s="181"/>
      <c r="X1244" s="9"/>
      <c r="Y1244" s="9"/>
      <c r="Z1244" s="9"/>
      <c r="AA1244" s="9"/>
      <c r="AB1244" s="9"/>
      <c r="AC1244" s="9"/>
      <c r="AD1244" s="9"/>
      <c r="AE1244" s="9"/>
      <c r="AF1244" s="40"/>
      <c r="AG1244" s="56"/>
      <c r="AH1244" s="56"/>
      <c r="AI1244" s="56"/>
      <c r="AJ1244" s="56"/>
    </row>
    <row r="1245" spans="1:36" x14ac:dyDescent="0.3">
      <c r="A1245" s="59">
        <f t="shared" si="284"/>
        <v>975</v>
      </c>
      <c r="B1245" s="66" t="s">
        <v>3407</v>
      </c>
      <c r="C1245" s="51">
        <f t="shared" si="285"/>
        <v>1570444.3</v>
      </c>
      <c r="D1245" s="51">
        <f t="shared" si="286"/>
        <v>0</v>
      </c>
      <c r="E1245" s="51"/>
      <c r="F1245" s="51"/>
      <c r="G1245" s="51"/>
      <c r="H1245" s="51"/>
      <c r="I1245" s="51"/>
      <c r="J1245" s="364"/>
      <c r="K1245" s="51"/>
      <c r="L1245" s="51"/>
      <c r="M1245" s="51"/>
      <c r="N1245" s="51"/>
      <c r="O1245" s="82">
        <v>196.8</v>
      </c>
      <c r="P1245" s="51">
        <v>1570444.3</v>
      </c>
      <c r="Q1245" s="82"/>
      <c r="R1245" s="51"/>
      <c r="S1245" s="82"/>
      <c r="T1245" s="82"/>
      <c r="U1245" s="51"/>
      <c r="V1245" s="51"/>
      <c r="W1245" s="181"/>
      <c r="X1245" s="9"/>
      <c r="Y1245" s="9"/>
      <c r="Z1245" s="9"/>
      <c r="AA1245" s="9"/>
      <c r="AB1245" s="9"/>
      <c r="AC1245" s="9"/>
      <c r="AD1245" s="9"/>
      <c r="AE1245" s="9"/>
      <c r="AF1245" s="40"/>
      <c r="AG1245" s="56"/>
      <c r="AH1245" s="56"/>
      <c r="AI1245" s="56"/>
      <c r="AJ1245" s="56"/>
    </row>
    <row r="1246" spans="1:36" x14ac:dyDescent="0.3">
      <c r="A1246" s="59">
        <f t="shared" si="284"/>
        <v>976</v>
      </c>
      <c r="B1246" s="66" t="s">
        <v>3408</v>
      </c>
      <c r="C1246" s="51">
        <f t="shared" si="285"/>
        <v>4279436.4000000004</v>
      </c>
      <c r="D1246" s="51">
        <f t="shared" si="286"/>
        <v>0</v>
      </c>
      <c r="E1246" s="364"/>
      <c r="F1246" s="51"/>
      <c r="G1246" s="51"/>
      <c r="H1246" s="51"/>
      <c r="I1246" s="51"/>
      <c r="J1246" s="51"/>
      <c r="K1246" s="51"/>
      <c r="L1246" s="51"/>
      <c r="M1246" s="51"/>
      <c r="N1246" s="51"/>
      <c r="O1246" s="82">
        <v>781.4</v>
      </c>
      <c r="P1246" s="51">
        <v>4279436.4000000004</v>
      </c>
      <c r="Q1246" s="82"/>
      <c r="R1246" s="51"/>
      <c r="S1246" s="82"/>
      <c r="T1246" s="82"/>
      <c r="U1246" s="51"/>
      <c r="V1246" s="51"/>
      <c r="W1246" s="181"/>
      <c r="X1246" s="9"/>
      <c r="Y1246" s="9"/>
      <c r="Z1246" s="9"/>
      <c r="AA1246" s="9"/>
      <c r="AB1246" s="9"/>
      <c r="AC1246" s="9"/>
      <c r="AD1246" s="9"/>
      <c r="AE1246" s="9"/>
      <c r="AF1246" s="40"/>
      <c r="AG1246" s="56"/>
      <c r="AH1246" s="56"/>
      <c r="AI1246" s="56"/>
      <c r="AJ1246" s="56"/>
    </row>
    <row r="1247" spans="1:36" x14ac:dyDescent="0.3">
      <c r="A1247" s="59">
        <f t="shared" si="284"/>
        <v>977</v>
      </c>
      <c r="B1247" s="66" t="s">
        <v>3418</v>
      </c>
      <c r="C1247" s="51">
        <f t="shared" si="285"/>
        <v>6680168.4000000004</v>
      </c>
      <c r="D1247" s="51">
        <f t="shared" si="286"/>
        <v>0</v>
      </c>
      <c r="E1247" s="51"/>
      <c r="F1247" s="364"/>
      <c r="G1247" s="364"/>
      <c r="H1247" s="364"/>
      <c r="I1247" s="51"/>
      <c r="J1247" s="51"/>
      <c r="K1247" s="51"/>
      <c r="L1247" s="51"/>
      <c r="M1247" s="51"/>
      <c r="N1247" s="364"/>
      <c r="O1247" s="82"/>
      <c r="P1247" s="364"/>
      <c r="Q1247" s="82">
        <v>599.4</v>
      </c>
      <c r="R1247" s="51">
        <v>6680168.4000000004</v>
      </c>
      <c r="S1247" s="82"/>
      <c r="T1247" s="82"/>
      <c r="U1247" s="51"/>
      <c r="V1247" s="51"/>
      <c r="W1247" s="181"/>
      <c r="X1247" s="9"/>
      <c r="Y1247" s="9"/>
      <c r="Z1247" s="9">
        <v>137067.53</v>
      </c>
      <c r="AA1247" s="9">
        <v>136553.65</v>
      </c>
      <c r="AB1247" s="9"/>
      <c r="AC1247" s="9"/>
      <c r="AD1247" s="9"/>
      <c r="AE1247" s="9">
        <v>202300.28</v>
      </c>
      <c r="AF1247" s="40"/>
      <c r="AG1247" s="56"/>
      <c r="AH1247" s="56"/>
      <c r="AI1247" s="56"/>
      <c r="AJ1247" s="56"/>
    </row>
    <row r="1248" spans="1:36" x14ac:dyDescent="0.3">
      <c r="A1248" s="59">
        <f t="shared" si="284"/>
        <v>978</v>
      </c>
      <c r="B1248" s="66" t="s">
        <v>3419</v>
      </c>
      <c r="C1248" s="51">
        <f t="shared" si="285"/>
        <v>5250296.4000000004</v>
      </c>
      <c r="D1248" s="51">
        <f t="shared" si="286"/>
        <v>0</v>
      </c>
      <c r="E1248" s="364"/>
      <c r="F1248" s="51"/>
      <c r="G1248" s="51"/>
      <c r="H1248" s="51"/>
      <c r="I1248" s="51"/>
      <c r="J1248" s="51"/>
      <c r="K1248" s="51"/>
      <c r="L1248" s="51"/>
      <c r="M1248" s="51"/>
      <c r="N1248" s="51"/>
      <c r="O1248" s="82"/>
      <c r="P1248" s="364"/>
      <c r="Q1248" s="82">
        <v>686.7</v>
      </c>
      <c r="R1248" s="51">
        <v>5250296.4000000004</v>
      </c>
      <c r="S1248" s="82"/>
      <c r="T1248" s="82"/>
      <c r="U1248" s="51"/>
      <c r="V1248" s="51"/>
      <c r="W1248" s="181"/>
      <c r="X1248" s="9"/>
      <c r="Y1248" s="9">
        <v>116957.9</v>
      </c>
      <c r="Z1248" s="9"/>
      <c r="AA1248" s="9"/>
      <c r="AB1248" s="9"/>
      <c r="AC1248" s="9"/>
      <c r="AD1248" s="9"/>
      <c r="AE1248" s="9"/>
      <c r="AF1248" s="40"/>
      <c r="AG1248" s="56"/>
      <c r="AH1248" s="56"/>
      <c r="AI1248" s="56"/>
      <c r="AJ1248" s="56"/>
    </row>
    <row r="1249" spans="1:36" x14ac:dyDescent="0.3">
      <c r="A1249" s="59">
        <f t="shared" si="284"/>
        <v>979</v>
      </c>
      <c r="B1249" s="66" t="s">
        <v>3420</v>
      </c>
      <c r="C1249" s="51">
        <f t="shared" si="285"/>
        <v>182039</v>
      </c>
      <c r="D1249" s="51">
        <f t="shared" si="286"/>
        <v>0</v>
      </c>
      <c r="E1249" s="364"/>
      <c r="F1249" s="51"/>
      <c r="G1249" s="51"/>
      <c r="H1249" s="51"/>
      <c r="I1249" s="51"/>
      <c r="J1249" s="51"/>
      <c r="K1249" s="51"/>
      <c r="L1249" s="51"/>
      <c r="M1249" s="51"/>
      <c r="N1249" s="51"/>
      <c r="O1249" s="82"/>
      <c r="P1249" s="364"/>
      <c r="Q1249" s="82">
        <v>13</v>
      </c>
      <c r="R1249" s="51">
        <f>13*(10362+3641)</f>
        <v>182039</v>
      </c>
      <c r="S1249" s="82"/>
      <c r="T1249" s="82"/>
      <c r="U1249" s="51"/>
      <c r="V1249" s="51"/>
      <c r="W1249" s="181"/>
      <c r="X1249" s="9"/>
      <c r="Y1249" s="9"/>
      <c r="Z1249" s="9"/>
      <c r="AA1249" s="9"/>
      <c r="AB1249" s="9"/>
      <c r="AC1249" s="9"/>
      <c r="AD1249" s="9"/>
      <c r="AE1249" s="9">
        <v>201409.33</v>
      </c>
      <c r="AF1249" s="40">
        <v>102867.52</v>
      </c>
      <c r="AG1249" s="56"/>
      <c r="AH1249" s="56"/>
      <c r="AI1249" s="56"/>
      <c r="AJ1249" s="56"/>
    </row>
    <row r="1250" spans="1:36" x14ac:dyDescent="0.3">
      <c r="A1250" s="59">
        <f t="shared" si="284"/>
        <v>980</v>
      </c>
      <c r="B1250" s="66" t="s">
        <v>3422</v>
      </c>
      <c r="C1250" s="51">
        <f t="shared" si="285"/>
        <v>5280512.4000000004</v>
      </c>
      <c r="D1250" s="51">
        <f t="shared" si="286"/>
        <v>0</v>
      </c>
      <c r="E1250" s="51"/>
      <c r="F1250" s="51"/>
      <c r="G1250" s="51"/>
      <c r="H1250" s="364"/>
      <c r="I1250" s="51"/>
      <c r="J1250" s="51"/>
      <c r="K1250" s="51"/>
      <c r="L1250" s="51"/>
      <c r="M1250" s="51"/>
      <c r="N1250" s="51"/>
      <c r="O1250" s="82"/>
      <c r="P1250" s="364"/>
      <c r="Q1250" s="82">
        <v>501.2</v>
      </c>
      <c r="R1250" s="51">
        <v>5280512.4000000004</v>
      </c>
      <c r="S1250" s="82"/>
      <c r="T1250" s="82"/>
      <c r="U1250" s="51"/>
      <c r="V1250" s="51"/>
      <c r="W1250" s="181"/>
      <c r="X1250" s="9"/>
      <c r="Y1250" s="9"/>
      <c r="Z1250" s="9"/>
      <c r="AA1250" s="9"/>
      <c r="AB1250" s="9">
        <v>107068.16</v>
      </c>
      <c r="AC1250" s="9"/>
      <c r="AD1250" s="9"/>
      <c r="AE1250" s="9"/>
      <c r="AF1250" s="40"/>
      <c r="AG1250" s="56"/>
      <c r="AH1250" s="56"/>
      <c r="AI1250" s="56"/>
      <c r="AJ1250" s="56"/>
    </row>
    <row r="1251" spans="1:36" x14ac:dyDescent="0.3">
      <c r="A1251" s="59">
        <f t="shared" si="284"/>
        <v>981</v>
      </c>
      <c r="B1251" s="66" t="s">
        <v>3423</v>
      </c>
      <c r="C1251" s="51">
        <f t="shared" si="285"/>
        <v>5280512.4000000004</v>
      </c>
      <c r="D1251" s="51">
        <f t="shared" si="286"/>
        <v>0</v>
      </c>
      <c r="E1251" s="51"/>
      <c r="F1251" s="51"/>
      <c r="G1251" s="51"/>
      <c r="H1251" s="364"/>
      <c r="I1251" s="51"/>
      <c r="J1251" s="51"/>
      <c r="K1251" s="51"/>
      <c r="L1251" s="51"/>
      <c r="M1251" s="51"/>
      <c r="N1251" s="51"/>
      <c r="O1251" s="82"/>
      <c r="P1251" s="364"/>
      <c r="Q1251" s="82">
        <v>501.2</v>
      </c>
      <c r="R1251" s="51">
        <v>5280512.4000000004</v>
      </c>
      <c r="S1251" s="82"/>
      <c r="T1251" s="82"/>
      <c r="U1251" s="51"/>
      <c r="V1251" s="51"/>
      <c r="W1251" s="181"/>
      <c r="X1251" s="9"/>
      <c r="Y1251" s="9"/>
      <c r="Z1251" s="9"/>
      <c r="AA1251" s="9"/>
      <c r="AB1251" s="9">
        <v>118053.46</v>
      </c>
      <c r="AC1251" s="9"/>
      <c r="AD1251" s="9"/>
      <c r="AE1251" s="9"/>
      <c r="AF1251" s="40"/>
      <c r="AG1251" s="56"/>
      <c r="AH1251" s="56"/>
      <c r="AI1251" s="56"/>
      <c r="AJ1251" s="56"/>
    </row>
    <row r="1252" spans="1:36" x14ac:dyDescent="0.3">
      <c r="A1252" s="59">
        <f t="shared" si="284"/>
        <v>982</v>
      </c>
      <c r="B1252" s="66" t="s">
        <v>3425</v>
      </c>
      <c r="C1252" s="51">
        <f t="shared" si="285"/>
        <v>8414515.1999999993</v>
      </c>
      <c r="D1252" s="51">
        <f t="shared" si="286"/>
        <v>0</v>
      </c>
      <c r="E1252" s="51"/>
      <c r="F1252" s="51"/>
      <c r="G1252" s="51"/>
      <c r="H1252" s="364"/>
      <c r="I1252" s="51"/>
      <c r="J1252" s="51"/>
      <c r="K1252" s="51"/>
      <c r="L1252" s="51"/>
      <c r="M1252" s="51"/>
      <c r="N1252" s="51"/>
      <c r="O1252" s="82"/>
      <c r="P1252" s="364"/>
      <c r="Q1252" s="82">
        <v>900</v>
      </c>
      <c r="R1252" s="51">
        <v>8414515.1999999993</v>
      </c>
      <c r="S1252" s="82"/>
      <c r="T1252" s="82"/>
      <c r="U1252" s="51"/>
      <c r="V1252" s="51"/>
      <c r="W1252" s="181"/>
      <c r="X1252" s="9"/>
      <c r="Y1252" s="9"/>
      <c r="Z1252" s="9"/>
      <c r="AA1252" s="9"/>
      <c r="AB1252" s="9">
        <v>125113.61</v>
      </c>
      <c r="AC1252" s="9"/>
      <c r="AD1252" s="9"/>
      <c r="AE1252" s="9"/>
      <c r="AF1252" s="40"/>
      <c r="AG1252" s="56"/>
      <c r="AH1252" s="56"/>
      <c r="AI1252" s="56"/>
      <c r="AJ1252" s="56"/>
    </row>
    <row r="1253" spans="1:36" x14ac:dyDescent="0.3">
      <c r="A1253" s="59">
        <f t="shared" si="284"/>
        <v>983</v>
      </c>
      <c r="B1253" s="66" t="s">
        <v>3426</v>
      </c>
      <c r="C1253" s="51">
        <f t="shared" si="285"/>
        <v>13790412.130000001</v>
      </c>
      <c r="D1253" s="51">
        <f t="shared" si="286"/>
        <v>0</v>
      </c>
      <c r="E1253" s="51"/>
      <c r="F1253" s="51"/>
      <c r="G1253" s="51"/>
      <c r="H1253" s="364"/>
      <c r="I1253" s="51"/>
      <c r="J1253" s="51"/>
      <c r="K1253" s="51"/>
      <c r="L1253" s="51"/>
      <c r="M1253" s="51"/>
      <c r="N1253" s="51"/>
      <c r="O1253" s="82"/>
      <c r="P1253" s="364"/>
      <c r="Q1253" s="82">
        <v>487.5</v>
      </c>
      <c r="R1253" s="51">
        <v>13790412.130000001</v>
      </c>
      <c r="S1253" s="82"/>
      <c r="T1253" s="82"/>
      <c r="U1253" s="51"/>
      <c r="V1253" s="51"/>
      <c r="W1253" s="181"/>
      <c r="X1253" s="9"/>
      <c r="Y1253" s="9"/>
      <c r="Z1253" s="9"/>
      <c r="AA1253" s="9"/>
      <c r="AB1253" s="9">
        <v>106046.28</v>
      </c>
      <c r="AC1253" s="9"/>
      <c r="AD1253" s="9"/>
      <c r="AE1253" s="9"/>
      <c r="AF1253" s="40"/>
      <c r="AG1253" s="56"/>
      <c r="AH1253" s="56"/>
      <c r="AI1253" s="56"/>
      <c r="AJ1253" s="56"/>
    </row>
    <row r="1254" spans="1:36" x14ac:dyDescent="0.3">
      <c r="A1254" s="449" t="s">
        <v>211</v>
      </c>
      <c r="B1254" s="449"/>
      <c r="C1254" s="51">
        <f>SUM(C1205:C1253)</f>
        <v>579589593.73000002</v>
      </c>
      <c r="D1254" s="51">
        <f t="shared" ref="D1254:W1254" si="287">SUM(D1205:D1253)</f>
        <v>0</v>
      </c>
      <c r="E1254" s="51">
        <f t="shared" si="287"/>
        <v>0</v>
      </c>
      <c r="F1254" s="51">
        <f t="shared" si="287"/>
        <v>0</v>
      </c>
      <c r="G1254" s="51">
        <f t="shared" si="287"/>
        <v>0</v>
      </c>
      <c r="H1254" s="51">
        <f t="shared" si="287"/>
        <v>0</v>
      </c>
      <c r="I1254" s="51">
        <f t="shared" si="287"/>
        <v>0</v>
      </c>
      <c r="J1254" s="51">
        <f t="shared" si="287"/>
        <v>0</v>
      </c>
      <c r="K1254" s="51">
        <f t="shared" si="287"/>
        <v>0</v>
      </c>
      <c r="L1254" s="51">
        <f t="shared" si="287"/>
        <v>0</v>
      </c>
      <c r="M1254" s="51">
        <f t="shared" si="287"/>
        <v>1175</v>
      </c>
      <c r="N1254" s="51">
        <f t="shared" si="287"/>
        <v>7335525</v>
      </c>
      <c r="O1254" s="82">
        <f t="shared" si="287"/>
        <v>28370.39</v>
      </c>
      <c r="P1254" s="51">
        <f t="shared" si="287"/>
        <v>456153912.21999997</v>
      </c>
      <c r="Q1254" s="82">
        <f t="shared" si="287"/>
        <v>15945.240000000002</v>
      </c>
      <c r="R1254" s="51">
        <f t="shared" si="287"/>
        <v>116100156.51000004</v>
      </c>
      <c r="S1254" s="82">
        <f t="shared" si="287"/>
        <v>0</v>
      </c>
      <c r="T1254" s="82">
        <f t="shared" si="287"/>
        <v>0</v>
      </c>
      <c r="U1254" s="51">
        <f t="shared" si="287"/>
        <v>0</v>
      </c>
      <c r="V1254" s="51">
        <f t="shared" si="287"/>
        <v>0</v>
      </c>
      <c r="W1254" s="35">
        <f t="shared" si="287"/>
        <v>0</v>
      </c>
      <c r="X1254" s="9"/>
      <c r="Y1254" s="9"/>
      <c r="Z1254" s="9"/>
      <c r="AA1254" s="9"/>
      <c r="AB1254" s="9"/>
      <c r="AC1254" s="9"/>
      <c r="AD1254" s="9"/>
      <c r="AE1254" s="9"/>
      <c r="AF1254" s="40"/>
      <c r="AG1254" s="56"/>
      <c r="AH1254" s="56"/>
      <c r="AI1254" s="56"/>
      <c r="AJ1254" s="56"/>
    </row>
    <row r="1255" spans="1:36" x14ac:dyDescent="0.3">
      <c r="A1255" s="448" t="s">
        <v>3433</v>
      </c>
      <c r="B1255" s="448"/>
      <c r="C1255" s="51"/>
      <c r="D1255" s="51"/>
      <c r="E1255" s="51"/>
      <c r="F1255" s="51"/>
      <c r="G1255" s="51"/>
      <c r="H1255" s="51"/>
      <c r="I1255" s="51"/>
      <c r="J1255" s="51"/>
      <c r="K1255" s="51"/>
      <c r="L1255" s="51"/>
      <c r="M1255" s="51"/>
      <c r="N1255" s="51"/>
      <c r="O1255" s="82"/>
      <c r="P1255" s="51"/>
      <c r="Q1255" s="82"/>
      <c r="R1255" s="51"/>
      <c r="S1255" s="534"/>
      <c r="T1255" s="535"/>
      <c r="U1255" s="51"/>
      <c r="V1255" s="51"/>
      <c r="W1255" s="181">
        <f>SUM(X1255:AJ1255)</f>
        <v>0</v>
      </c>
      <c r="X1255" s="9"/>
      <c r="Y1255" s="9"/>
      <c r="Z1255" s="9"/>
      <c r="AA1255" s="9"/>
      <c r="AB1255" s="9"/>
      <c r="AC1255" s="9"/>
      <c r="AD1255" s="9"/>
      <c r="AE1255" s="9"/>
      <c r="AF1255" s="40"/>
      <c r="AG1255" s="56"/>
      <c r="AH1255" s="56"/>
      <c r="AI1255" s="56"/>
      <c r="AJ1255" s="56"/>
    </row>
    <row r="1256" spans="1:36" x14ac:dyDescent="0.3">
      <c r="A1256" s="59">
        <f>A1253+1</f>
        <v>984</v>
      </c>
      <c r="B1256" s="66" t="s">
        <v>3434</v>
      </c>
      <c r="C1256" s="51">
        <f t="shared" ref="C1256:C1280" si="288">D1256+K1256+L1256+N1256+P1256+R1256+S1256+U1256+V1256+W1256</f>
        <v>130000</v>
      </c>
      <c r="D1256" s="51">
        <f t="shared" ref="D1256:D1280" si="289">E1256+F1256+G1256+H1256</f>
        <v>0</v>
      </c>
      <c r="E1256" s="51"/>
      <c r="F1256" s="51"/>
      <c r="G1256" s="51"/>
      <c r="H1256" s="51"/>
      <c r="I1256" s="51"/>
      <c r="J1256" s="51"/>
      <c r="K1256" s="51"/>
      <c r="L1256" s="51"/>
      <c r="M1256" s="51"/>
      <c r="N1256" s="364"/>
      <c r="O1256" s="82"/>
      <c r="P1256" s="51"/>
      <c r="Q1256" s="82"/>
      <c r="R1256" s="364"/>
      <c r="S1256" s="82"/>
      <c r="T1256" s="82"/>
      <c r="U1256" s="51"/>
      <c r="V1256" s="51"/>
      <c r="W1256" s="181">
        <v>130000</v>
      </c>
      <c r="X1256" s="9"/>
      <c r="Y1256" s="9"/>
      <c r="Z1256" s="9"/>
      <c r="AA1256" s="9"/>
      <c r="AB1256" s="9"/>
      <c r="AC1256" s="9"/>
      <c r="AD1256" s="9"/>
      <c r="AE1256" s="9"/>
      <c r="AF1256" s="40"/>
      <c r="AG1256" s="56"/>
      <c r="AH1256" s="56"/>
      <c r="AI1256" s="56"/>
      <c r="AJ1256" s="56"/>
    </row>
    <row r="1257" spans="1:36" x14ac:dyDescent="0.3">
      <c r="A1257" s="59">
        <f t="shared" ref="A1257:A1260" si="290">A1256+1</f>
        <v>985</v>
      </c>
      <c r="B1257" s="66" t="s">
        <v>3435</v>
      </c>
      <c r="C1257" s="51">
        <f t="shared" si="288"/>
        <v>130000</v>
      </c>
      <c r="D1257" s="51">
        <f t="shared" si="289"/>
        <v>0</v>
      </c>
      <c r="E1257" s="51"/>
      <c r="F1257" s="51"/>
      <c r="G1257" s="51"/>
      <c r="H1257" s="51"/>
      <c r="I1257" s="51"/>
      <c r="J1257" s="51"/>
      <c r="K1257" s="51"/>
      <c r="L1257" s="51"/>
      <c r="M1257" s="51"/>
      <c r="N1257" s="51"/>
      <c r="O1257" s="82"/>
      <c r="P1257" s="364"/>
      <c r="Q1257" s="82"/>
      <c r="R1257" s="364"/>
      <c r="S1257" s="82"/>
      <c r="T1257" s="82"/>
      <c r="U1257" s="51"/>
      <c r="V1257" s="51"/>
      <c r="W1257" s="181">
        <v>130000</v>
      </c>
      <c r="X1257" s="9"/>
      <c r="Y1257" s="9"/>
      <c r="Z1257" s="9"/>
      <c r="AA1257" s="9"/>
      <c r="AB1257" s="9"/>
      <c r="AC1257" s="9"/>
      <c r="AD1257" s="9"/>
      <c r="AE1257" s="9"/>
      <c r="AF1257" s="40"/>
      <c r="AG1257" s="56"/>
      <c r="AH1257" s="56"/>
      <c r="AI1257" s="56"/>
      <c r="AJ1257" s="56"/>
    </row>
    <row r="1258" spans="1:36" x14ac:dyDescent="0.3">
      <c r="A1258" s="59">
        <f t="shared" si="290"/>
        <v>986</v>
      </c>
      <c r="B1258" s="66" t="s">
        <v>3436</v>
      </c>
      <c r="C1258" s="51">
        <f t="shared" si="288"/>
        <v>130000</v>
      </c>
      <c r="D1258" s="51">
        <f t="shared" si="289"/>
        <v>0</v>
      </c>
      <c r="E1258" s="364"/>
      <c r="F1258" s="51"/>
      <c r="G1258" s="51"/>
      <c r="H1258" s="51"/>
      <c r="I1258" s="51"/>
      <c r="J1258" s="51"/>
      <c r="K1258" s="51"/>
      <c r="L1258" s="51"/>
      <c r="M1258" s="51"/>
      <c r="N1258" s="364"/>
      <c r="O1258" s="82"/>
      <c r="P1258" s="364"/>
      <c r="Q1258" s="82"/>
      <c r="R1258" s="364"/>
      <c r="S1258" s="82"/>
      <c r="T1258" s="82"/>
      <c r="U1258" s="51"/>
      <c r="V1258" s="51"/>
      <c r="W1258" s="181">
        <v>130000</v>
      </c>
      <c r="X1258" s="9"/>
      <c r="Y1258" s="9"/>
      <c r="Z1258" s="9"/>
      <c r="AA1258" s="9"/>
      <c r="AB1258" s="9"/>
      <c r="AC1258" s="9"/>
      <c r="AD1258" s="9"/>
      <c r="AE1258" s="9"/>
      <c r="AF1258" s="40"/>
      <c r="AG1258" s="56"/>
      <c r="AH1258" s="56"/>
      <c r="AI1258" s="56"/>
      <c r="AJ1258" s="56"/>
    </row>
    <row r="1259" spans="1:36" x14ac:dyDescent="0.3">
      <c r="A1259" s="59">
        <f t="shared" si="290"/>
        <v>987</v>
      </c>
      <c r="B1259" s="66" t="s">
        <v>3437</v>
      </c>
      <c r="C1259" s="51">
        <f t="shared" si="288"/>
        <v>130000</v>
      </c>
      <c r="D1259" s="51">
        <f t="shared" si="289"/>
        <v>0</v>
      </c>
      <c r="E1259" s="364"/>
      <c r="F1259" s="51"/>
      <c r="G1259" s="51"/>
      <c r="H1259" s="51"/>
      <c r="I1259" s="51"/>
      <c r="J1259" s="51"/>
      <c r="K1259" s="51"/>
      <c r="L1259" s="51"/>
      <c r="M1259" s="51"/>
      <c r="N1259" s="51"/>
      <c r="O1259" s="82"/>
      <c r="P1259" s="364"/>
      <c r="Q1259" s="82"/>
      <c r="R1259" s="364"/>
      <c r="S1259" s="82"/>
      <c r="T1259" s="82"/>
      <c r="U1259" s="51"/>
      <c r="V1259" s="51"/>
      <c r="W1259" s="181">
        <v>130000</v>
      </c>
      <c r="X1259" s="9"/>
      <c r="Y1259" s="9"/>
      <c r="Z1259" s="9"/>
      <c r="AA1259" s="9"/>
      <c r="AB1259" s="9"/>
      <c r="AC1259" s="9"/>
      <c r="AD1259" s="9"/>
      <c r="AE1259" s="9"/>
      <c r="AF1259" s="40"/>
      <c r="AG1259" s="56"/>
      <c r="AH1259" s="56"/>
      <c r="AI1259" s="56"/>
      <c r="AJ1259" s="56"/>
    </row>
    <row r="1260" spans="1:36" x14ac:dyDescent="0.3">
      <c r="A1260" s="59">
        <f t="shared" si="290"/>
        <v>988</v>
      </c>
      <c r="B1260" s="66" t="s">
        <v>3438</v>
      </c>
      <c r="C1260" s="51">
        <f t="shared" si="288"/>
        <v>130000</v>
      </c>
      <c r="D1260" s="51">
        <f t="shared" si="289"/>
        <v>0</v>
      </c>
      <c r="E1260" s="364"/>
      <c r="F1260" s="51"/>
      <c r="G1260" s="51"/>
      <c r="H1260" s="51"/>
      <c r="I1260" s="51"/>
      <c r="J1260" s="51"/>
      <c r="K1260" s="51"/>
      <c r="L1260" s="51"/>
      <c r="M1260" s="51"/>
      <c r="N1260" s="51"/>
      <c r="O1260" s="82"/>
      <c r="P1260" s="364"/>
      <c r="Q1260" s="82"/>
      <c r="R1260" s="51"/>
      <c r="S1260" s="82"/>
      <c r="T1260" s="82"/>
      <c r="U1260" s="51"/>
      <c r="V1260" s="51"/>
      <c r="W1260" s="181">
        <v>130000</v>
      </c>
      <c r="X1260" s="9"/>
      <c r="Y1260" s="9"/>
      <c r="Z1260" s="9"/>
      <c r="AA1260" s="9"/>
      <c r="AB1260" s="9"/>
      <c r="AC1260" s="9"/>
      <c r="AD1260" s="9"/>
      <c r="AE1260" s="9"/>
      <c r="AF1260" s="40"/>
      <c r="AG1260" s="56"/>
      <c r="AH1260" s="56"/>
      <c r="AI1260" s="56"/>
      <c r="AJ1260" s="56"/>
    </row>
    <row r="1261" spans="1:36" x14ac:dyDescent="0.3">
      <c r="A1261" s="59">
        <f t="shared" ref="A1261:A1280" si="291">A1260+1</f>
        <v>989</v>
      </c>
      <c r="B1261" s="66" t="s">
        <v>3439</v>
      </c>
      <c r="C1261" s="51">
        <f t="shared" si="288"/>
        <v>130000</v>
      </c>
      <c r="D1261" s="51">
        <f t="shared" si="289"/>
        <v>0</v>
      </c>
      <c r="E1261" s="364"/>
      <c r="F1261" s="51"/>
      <c r="G1261" s="364"/>
      <c r="H1261" s="364"/>
      <c r="I1261" s="51"/>
      <c r="J1261" s="51"/>
      <c r="K1261" s="51"/>
      <c r="L1261" s="51"/>
      <c r="M1261" s="51"/>
      <c r="N1261" s="364"/>
      <c r="O1261" s="82"/>
      <c r="P1261" s="364"/>
      <c r="Q1261" s="82"/>
      <c r="R1261" s="364"/>
      <c r="S1261" s="82"/>
      <c r="T1261" s="82"/>
      <c r="U1261" s="51"/>
      <c r="V1261" s="51"/>
      <c r="W1261" s="181">
        <v>130000</v>
      </c>
      <c r="X1261" s="9"/>
      <c r="Y1261" s="9"/>
      <c r="Z1261" s="9"/>
      <c r="AA1261" s="9"/>
      <c r="AB1261" s="9"/>
      <c r="AC1261" s="9"/>
      <c r="AD1261" s="9"/>
      <c r="AE1261" s="9"/>
      <c r="AF1261" s="40"/>
      <c r="AG1261" s="56"/>
      <c r="AH1261" s="56"/>
      <c r="AI1261" s="56"/>
      <c r="AJ1261" s="56"/>
    </row>
    <row r="1262" spans="1:36" x14ac:dyDescent="0.3">
      <c r="A1262" s="59">
        <f t="shared" si="291"/>
        <v>990</v>
      </c>
      <c r="B1262" s="66" t="s">
        <v>3440</v>
      </c>
      <c r="C1262" s="51">
        <f t="shared" si="288"/>
        <v>130000</v>
      </c>
      <c r="D1262" s="51">
        <f t="shared" si="289"/>
        <v>0</v>
      </c>
      <c r="E1262" s="51"/>
      <c r="F1262" s="364"/>
      <c r="G1262" s="364"/>
      <c r="H1262" s="364"/>
      <c r="I1262" s="364"/>
      <c r="J1262" s="51"/>
      <c r="K1262" s="51"/>
      <c r="L1262" s="51"/>
      <c r="M1262" s="51"/>
      <c r="N1262" s="51"/>
      <c r="O1262" s="82"/>
      <c r="P1262" s="364"/>
      <c r="Q1262" s="82"/>
      <c r="R1262" s="51"/>
      <c r="S1262" s="82"/>
      <c r="T1262" s="82"/>
      <c r="U1262" s="51"/>
      <c r="V1262" s="51"/>
      <c r="W1262" s="181">
        <v>130000</v>
      </c>
      <c r="X1262" s="9"/>
      <c r="Y1262" s="9"/>
      <c r="Z1262" s="9"/>
      <c r="AA1262" s="9"/>
      <c r="AB1262" s="9"/>
      <c r="AC1262" s="9"/>
      <c r="AD1262" s="9"/>
      <c r="AE1262" s="9"/>
      <c r="AF1262" s="40"/>
      <c r="AG1262" s="56"/>
      <c r="AH1262" s="56"/>
      <c r="AI1262" s="56"/>
      <c r="AJ1262" s="56"/>
    </row>
    <row r="1263" spans="1:36" x14ac:dyDescent="0.3">
      <c r="A1263" s="59">
        <f t="shared" si="291"/>
        <v>991</v>
      </c>
      <c r="B1263" s="66" t="s">
        <v>3441</v>
      </c>
      <c r="C1263" s="51">
        <f t="shared" si="288"/>
        <v>130000</v>
      </c>
      <c r="D1263" s="51">
        <f t="shared" si="289"/>
        <v>0</v>
      </c>
      <c r="E1263" s="51"/>
      <c r="F1263" s="364"/>
      <c r="G1263" s="364"/>
      <c r="H1263" s="364"/>
      <c r="I1263" s="364"/>
      <c r="J1263" s="51"/>
      <c r="K1263" s="51"/>
      <c r="L1263" s="51"/>
      <c r="M1263" s="51"/>
      <c r="N1263" s="364"/>
      <c r="O1263" s="82"/>
      <c r="P1263" s="364"/>
      <c r="Q1263" s="82"/>
      <c r="R1263" s="51"/>
      <c r="S1263" s="82"/>
      <c r="T1263" s="82"/>
      <c r="U1263" s="51"/>
      <c r="V1263" s="51"/>
      <c r="W1263" s="181">
        <v>130000</v>
      </c>
      <c r="X1263" s="9"/>
      <c r="Y1263" s="9"/>
      <c r="Z1263" s="9"/>
      <c r="AA1263" s="9"/>
      <c r="AB1263" s="9"/>
      <c r="AC1263" s="9"/>
      <c r="AD1263" s="9"/>
      <c r="AE1263" s="9"/>
      <c r="AF1263" s="40"/>
      <c r="AG1263" s="56"/>
      <c r="AH1263" s="56"/>
      <c r="AI1263" s="56"/>
      <c r="AJ1263" s="56"/>
    </row>
    <row r="1264" spans="1:36" x14ac:dyDescent="0.3">
      <c r="A1264" s="59">
        <f t="shared" si="291"/>
        <v>992</v>
      </c>
      <c r="B1264" s="66" t="s">
        <v>3442</v>
      </c>
      <c r="C1264" s="51">
        <f t="shared" si="288"/>
        <v>130000</v>
      </c>
      <c r="D1264" s="51">
        <f t="shared" si="289"/>
        <v>0</v>
      </c>
      <c r="E1264" s="51"/>
      <c r="F1264" s="364"/>
      <c r="G1264" s="364"/>
      <c r="H1264" s="364"/>
      <c r="I1264" s="364"/>
      <c r="J1264" s="51"/>
      <c r="K1264" s="51"/>
      <c r="L1264" s="51"/>
      <c r="M1264" s="51"/>
      <c r="N1264" s="364"/>
      <c r="O1264" s="82"/>
      <c r="P1264" s="364"/>
      <c r="Q1264" s="82"/>
      <c r="R1264" s="364"/>
      <c r="S1264" s="82"/>
      <c r="T1264" s="82"/>
      <c r="U1264" s="51"/>
      <c r="V1264" s="51"/>
      <c r="W1264" s="181">
        <v>130000</v>
      </c>
      <c r="X1264" s="9"/>
      <c r="Y1264" s="9"/>
      <c r="Z1264" s="9"/>
      <c r="AA1264" s="9"/>
      <c r="AB1264" s="9"/>
      <c r="AC1264" s="9"/>
      <c r="AD1264" s="9"/>
      <c r="AE1264" s="9"/>
      <c r="AF1264" s="40"/>
      <c r="AG1264" s="56"/>
      <c r="AH1264" s="56"/>
      <c r="AI1264" s="56"/>
      <c r="AJ1264" s="56"/>
    </row>
    <row r="1265" spans="1:36" x14ac:dyDescent="0.3">
      <c r="A1265" s="59">
        <f t="shared" si="291"/>
        <v>993</v>
      </c>
      <c r="B1265" s="66" t="s">
        <v>3443</v>
      </c>
      <c r="C1265" s="51">
        <f t="shared" si="288"/>
        <v>130000</v>
      </c>
      <c r="D1265" s="51">
        <f t="shared" si="289"/>
        <v>0</v>
      </c>
      <c r="E1265" s="51"/>
      <c r="F1265" s="364"/>
      <c r="G1265" s="364"/>
      <c r="H1265" s="364"/>
      <c r="I1265" s="51"/>
      <c r="J1265" s="51"/>
      <c r="K1265" s="51"/>
      <c r="L1265" s="51"/>
      <c r="M1265" s="51"/>
      <c r="N1265" s="51"/>
      <c r="O1265" s="82"/>
      <c r="P1265" s="364"/>
      <c r="Q1265" s="82"/>
      <c r="R1265" s="51"/>
      <c r="S1265" s="82"/>
      <c r="T1265" s="82"/>
      <c r="U1265" s="51"/>
      <c r="V1265" s="51"/>
      <c r="W1265" s="181">
        <v>130000</v>
      </c>
      <c r="X1265" s="9"/>
      <c r="Y1265" s="9"/>
      <c r="Z1265" s="9"/>
      <c r="AA1265" s="9"/>
      <c r="AB1265" s="9"/>
      <c r="AC1265" s="9"/>
      <c r="AD1265" s="9"/>
      <c r="AE1265" s="9"/>
      <c r="AF1265" s="40"/>
      <c r="AG1265" s="56"/>
      <c r="AH1265" s="56"/>
      <c r="AI1265" s="56"/>
      <c r="AJ1265" s="56"/>
    </row>
    <row r="1266" spans="1:36" x14ac:dyDescent="0.3">
      <c r="A1266" s="59">
        <f t="shared" si="291"/>
        <v>994</v>
      </c>
      <c r="B1266" s="66" t="s">
        <v>3444</v>
      </c>
      <c r="C1266" s="51">
        <f t="shared" si="288"/>
        <v>130000</v>
      </c>
      <c r="D1266" s="51">
        <f t="shared" si="289"/>
        <v>0</v>
      </c>
      <c r="E1266" s="51"/>
      <c r="F1266" s="364"/>
      <c r="G1266" s="364"/>
      <c r="H1266" s="364"/>
      <c r="I1266" s="51"/>
      <c r="J1266" s="51"/>
      <c r="K1266" s="51"/>
      <c r="L1266" s="51"/>
      <c r="M1266" s="51"/>
      <c r="N1266" s="51"/>
      <c r="O1266" s="82"/>
      <c r="P1266" s="364"/>
      <c r="Q1266" s="82"/>
      <c r="R1266" s="51"/>
      <c r="S1266" s="82"/>
      <c r="T1266" s="82"/>
      <c r="U1266" s="51"/>
      <c r="V1266" s="51"/>
      <c r="W1266" s="181">
        <v>130000</v>
      </c>
      <c r="X1266" s="9"/>
      <c r="Y1266" s="9"/>
      <c r="Z1266" s="9"/>
      <c r="AA1266" s="9"/>
      <c r="AB1266" s="9"/>
      <c r="AC1266" s="9"/>
      <c r="AD1266" s="9"/>
      <c r="AE1266" s="9"/>
      <c r="AF1266" s="40"/>
      <c r="AG1266" s="56"/>
      <c r="AH1266" s="56"/>
      <c r="AI1266" s="56"/>
      <c r="AJ1266" s="56"/>
    </row>
    <row r="1267" spans="1:36" x14ac:dyDescent="0.3">
      <c r="A1267" s="59">
        <f t="shared" si="291"/>
        <v>995</v>
      </c>
      <c r="B1267" s="66" t="s">
        <v>3445</v>
      </c>
      <c r="C1267" s="51">
        <f t="shared" si="288"/>
        <v>130000</v>
      </c>
      <c r="D1267" s="51">
        <f t="shared" si="289"/>
        <v>0</v>
      </c>
      <c r="E1267" s="364"/>
      <c r="F1267" s="51"/>
      <c r="G1267" s="51"/>
      <c r="H1267" s="51"/>
      <c r="I1267" s="51"/>
      <c r="J1267" s="51"/>
      <c r="K1267" s="51"/>
      <c r="L1267" s="51"/>
      <c r="M1267" s="51"/>
      <c r="N1267" s="51"/>
      <c r="O1267" s="82"/>
      <c r="P1267" s="364"/>
      <c r="Q1267" s="82"/>
      <c r="R1267" s="51"/>
      <c r="S1267" s="82"/>
      <c r="T1267" s="82"/>
      <c r="U1267" s="51"/>
      <c r="V1267" s="51"/>
      <c r="W1267" s="181">
        <v>130000</v>
      </c>
      <c r="X1267" s="9"/>
      <c r="Y1267" s="9"/>
      <c r="Z1267" s="9"/>
      <c r="AA1267" s="9"/>
      <c r="AB1267" s="9"/>
      <c r="AC1267" s="9"/>
      <c r="AD1267" s="9"/>
      <c r="AE1267" s="9"/>
      <c r="AF1267" s="40"/>
      <c r="AG1267" s="56"/>
      <c r="AH1267" s="56"/>
      <c r="AI1267" s="56"/>
      <c r="AJ1267" s="56"/>
    </row>
    <row r="1268" spans="1:36" x14ac:dyDescent="0.3">
      <c r="A1268" s="59">
        <f t="shared" si="291"/>
        <v>996</v>
      </c>
      <c r="B1268" s="66" t="s">
        <v>3446</v>
      </c>
      <c r="C1268" s="51">
        <f t="shared" si="288"/>
        <v>130000</v>
      </c>
      <c r="D1268" s="51">
        <f t="shared" si="289"/>
        <v>0</v>
      </c>
      <c r="E1268" s="51"/>
      <c r="F1268" s="364"/>
      <c r="G1268" s="364"/>
      <c r="H1268" s="364"/>
      <c r="I1268" s="364"/>
      <c r="J1268" s="51"/>
      <c r="K1268" s="51"/>
      <c r="L1268" s="51"/>
      <c r="M1268" s="51"/>
      <c r="N1268" s="51"/>
      <c r="O1268" s="82"/>
      <c r="P1268" s="364"/>
      <c r="Q1268" s="82"/>
      <c r="R1268" s="51"/>
      <c r="S1268" s="82"/>
      <c r="T1268" s="82"/>
      <c r="U1268" s="51"/>
      <c r="V1268" s="51"/>
      <c r="W1268" s="181">
        <v>130000</v>
      </c>
      <c r="X1268" s="9"/>
      <c r="Y1268" s="9"/>
      <c r="Z1268" s="9"/>
      <c r="AA1268" s="9"/>
      <c r="AB1268" s="9"/>
      <c r="AC1268" s="9"/>
      <c r="AD1268" s="9"/>
      <c r="AE1268" s="9"/>
      <c r="AF1268" s="40"/>
      <c r="AG1268" s="56"/>
      <c r="AH1268" s="56"/>
      <c r="AI1268" s="56"/>
      <c r="AJ1268" s="56"/>
    </row>
    <row r="1269" spans="1:36" x14ac:dyDescent="0.3">
      <c r="A1269" s="59">
        <f t="shared" si="291"/>
        <v>997</v>
      </c>
      <c r="B1269" s="66" t="s">
        <v>3447</v>
      </c>
      <c r="C1269" s="51">
        <f t="shared" si="288"/>
        <v>130000</v>
      </c>
      <c r="D1269" s="51">
        <f t="shared" si="289"/>
        <v>0</v>
      </c>
      <c r="E1269" s="51"/>
      <c r="F1269" s="51"/>
      <c r="G1269" s="51"/>
      <c r="H1269" s="51"/>
      <c r="I1269" s="51"/>
      <c r="J1269" s="51"/>
      <c r="K1269" s="51"/>
      <c r="L1269" s="51"/>
      <c r="M1269" s="51"/>
      <c r="N1269" s="364"/>
      <c r="O1269" s="82"/>
      <c r="P1269" s="364"/>
      <c r="Q1269" s="82"/>
      <c r="R1269" s="364"/>
      <c r="S1269" s="82"/>
      <c r="T1269" s="82"/>
      <c r="U1269" s="51"/>
      <c r="V1269" s="51"/>
      <c r="W1269" s="181">
        <v>130000</v>
      </c>
      <c r="X1269" s="9"/>
      <c r="Y1269" s="9"/>
      <c r="Z1269" s="9"/>
      <c r="AA1269" s="9"/>
      <c r="AB1269" s="9"/>
      <c r="AC1269" s="9"/>
      <c r="AD1269" s="9"/>
      <c r="AE1269" s="9"/>
      <c r="AF1269" s="40"/>
      <c r="AG1269" s="56"/>
      <c r="AH1269" s="56"/>
      <c r="AI1269" s="56"/>
      <c r="AJ1269" s="56"/>
    </row>
    <row r="1270" spans="1:36" x14ac:dyDescent="0.3">
      <c r="A1270" s="59">
        <f t="shared" si="291"/>
        <v>998</v>
      </c>
      <c r="B1270" s="66" t="s">
        <v>3448</v>
      </c>
      <c r="C1270" s="51">
        <f t="shared" si="288"/>
        <v>130000</v>
      </c>
      <c r="D1270" s="51">
        <f t="shared" si="289"/>
        <v>0</v>
      </c>
      <c r="E1270" s="51"/>
      <c r="F1270" s="364"/>
      <c r="G1270" s="364"/>
      <c r="H1270" s="364"/>
      <c r="I1270" s="51"/>
      <c r="J1270" s="51"/>
      <c r="K1270" s="51"/>
      <c r="L1270" s="51"/>
      <c r="M1270" s="51"/>
      <c r="N1270" s="51"/>
      <c r="O1270" s="82"/>
      <c r="P1270" s="364"/>
      <c r="Q1270" s="82"/>
      <c r="R1270" s="364"/>
      <c r="S1270" s="82"/>
      <c r="T1270" s="82"/>
      <c r="U1270" s="51"/>
      <c r="V1270" s="51"/>
      <c r="W1270" s="181">
        <v>130000</v>
      </c>
      <c r="X1270" s="9"/>
      <c r="Y1270" s="9"/>
      <c r="Z1270" s="9"/>
      <c r="AA1270" s="9"/>
      <c r="AB1270" s="9"/>
      <c r="AC1270" s="9"/>
      <c r="AD1270" s="9"/>
      <c r="AE1270" s="9"/>
      <c r="AF1270" s="40"/>
      <c r="AG1270" s="56"/>
      <c r="AH1270" s="56"/>
      <c r="AI1270" s="56"/>
      <c r="AJ1270" s="56"/>
    </row>
    <row r="1271" spans="1:36" x14ac:dyDescent="0.3">
      <c r="A1271" s="59">
        <f t="shared" si="291"/>
        <v>999</v>
      </c>
      <c r="B1271" s="66" t="s">
        <v>3449</v>
      </c>
      <c r="C1271" s="51">
        <f t="shared" si="288"/>
        <v>130000</v>
      </c>
      <c r="D1271" s="51">
        <f t="shared" si="289"/>
        <v>0</v>
      </c>
      <c r="E1271" s="51"/>
      <c r="F1271" s="51"/>
      <c r="G1271" s="51"/>
      <c r="H1271" s="51"/>
      <c r="I1271" s="51"/>
      <c r="J1271" s="51"/>
      <c r="K1271" s="51"/>
      <c r="L1271" s="51"/>
      <c r="M1271" s="51"/>
      <c r="N1271" s="364"/>
      <c r="O1271" s="82"/>
      <c r="P1271" s="364"/>
      <c r="Q1271" s="82"/>
      <c r="R1271" s="364"/>
      <c r="S1271" s="82"/>
      <c r="T1271" s="82"/>
      <c r="U1271" s="51"/>
      <c r="V1271" s="51"/>
      <c r="W1271" s="181">
        <v>130000</v>
      </c>
      <c r="X1271" s="9"/>
      <c r="Y1271" s="9"/>
      <c r="Z1271" s="9"/>
      <c r="AA1271" s="9"/>
      <c r="AB1271" s="9"/>
      <c r="AC1271" s="9"/>
      <c r="AD1271" s="9"/>
      <c r="AE1271" s="9"/>
      <c r="AF1271" s="40"/>
      <c r="AG1271" s="56"/>
      <c r="AH1271" s="56"/>
      <c r="AI1271" s="56"/>
      <c r="AJ1271" s="56"/>
    </row>
    <row r="1272" spans="1:36" x14ac:dyDescent="0.3">
      <c r="A1272" s="59">
        <f t="shared" si="291"/>
        <v>1000</v>
      </c>
      <c r="B1272" s="66" t="s">
        <v>3450</v>
      </c>
      <c r="C1272" s="51">
        <f t="shared" si="288"/>
        <v>130000</v>
      </c>
      <c r="D1272" s="51">
        <f t="shared" si="289"/>
        <v>0</v>
      </c>
      <c r="E1272" s="51"/>
      <c r="F1272" s="51"/>
      <c r="G1272" s="51"/>
      <c r="H1272" s="51"/>
      <c r="I1272" s="51"/>
      <c r="J1272" s="51"/>
      <c r="K1272" s="51"/>
      <c r="L1272" s="51"/>
      <c r="M1272" s="51"/>
      <c r="N1272" s="364"/>
      <c r="O1272" s="82"/>
      <c r="P1272" s="364"/>
      <c r="Q1272" s="82"/>
      <c r="R1272" s="364"/>
      <c r="S1272" s="82"/>
      <c r="T1272" s="82"/>
      <c r="U1272" s="51"/>
      <c r="V1272" s="51"/>
      <c r="W1272" s="181">
        <v>130000</v>
      </c>
      <c r="X1272" s="9"/>
      <c r="Y1272" s="9"/>
      <c r="Z1272" s="9"/>
      <c r="AA1272" s="9"/>
      <c r="AB1272" s="9"/>
      <c r="AC1272" s="9"/>
      <c r="AD1272" s="9"/>
      <c r="AE1272" s="9"/>
      <c r="AF1272" s="40"/>
      <c r="AG1272" s="56"/>
      <c r="AH1272" s="56"/>
      <c r="AI1272" s="56"/>
      <c r="AJ1272" s="56"/>
    </row>
    <row r="1273" spans="1:36" x14ac:dyDescent="0.3">
      <c r="A1273" s="59">
        <f t="shared" si="291"/>
        <v>1001</v>
      </c>
      <c r="B1273" s="66" t="s">
        <v>3451</v>
      </c>
      <c r="C1273" s="51">
        <f t="shared" si="288"/>
        <v>130000</v>
      </c>
      <c r="D1273" s="51">
        <f t="shared" si="289"/>
        <v>0</v>
      </c>
      <c r="E1273" s="51"/>
      <c r="F1273" s="364"/>
      <c r="G1273" s="364"/>
      <c r="H1273" s="364"/>
      <c r="I1273" s="51"/>
      <c r="J1273" s="51"/>
      <c r="K1273" s="51"/>
      <c r="L1273" s="51"/>
      <c r="M1273" s="51"/>
      <c r="N1273" s="51"/>
      <c r="O1273" s="82"/>
      <c r="P1273" s="364"/>
      <c r="Q1273" s="82"/>
      <c r="R1273" s="364"/>
      <c r="S1273" s="82"/>
      <c r="T1273" s="82"/>
      <c r="U1273" s="364"/>
      <c r="V1273" s="51"/>
      <c r="W1273" s="181">
        <v>130000</v>
      </c>
      <c r="X1273" s="9"/>
      <c r="Y1273" s="9"/>
      <c r="Z1273" s="9"/>
      <c r="AA1273" s="9"/>
      <c r="AB1273" s="9"/>
      <c r="AC1273" s="9"/>
      <c r="AD1273" s="9"/>
      <c r="AE1273" s="9"/>
      <c r="AF1273" s="40"/>
      <c r="AG1273" s="56"/>
      <c r="AH1273" s="56"/>
      <c r="AI1273" s="56"/>
      <c r="AJ1273" s="56"/>
    </row>
    <row r="1274" spans="1:36" x14ac:dyDescent="0.3">
      <c r="A1274" s="59">
        <f t="shared" si="291"/>
        <v>1002</v>
      </c>
      <c r="B1274" s="66" t="s">
        <v>3452</v>
      </c>
      <c r="C1274" s="51">
        <f t="shared" si="288"/>
        <v>130000</v>
      </c>
      <c r="D1274" s="51">
        <f t="shared" si="289"/>
        <v>0</v>
      </c>
      <c r="E1274" s="51"/>
      <c r="F1274" s="51"/>
      <c r="G1274" s="51"/>
      <c r="H1274" s="51"/>
      <c r="I1274" s="51"/>
      <c r="J1274" s="51"/>
      <c r="K1274" s="51"/>
      <c r="L1274" s="51"/>
      <c r="M1274" s="51"/>
      <c r="N1274" s="51"/>
      <c r="O1274" s="82"/>
      <c r="P1274" s="364"/>
      <c r="Q1274" s="82"/>
      <c r="R1274" s="364"/>
      <c r="S1274" s="82"/>
      <c r="T1274" s="82"/>
      <c r="U1274" s="51"/>
      <c r="V1274" s="51"/>
      <c r="W1274" s="181">
        <v>130000</v>
      </c>
      <c r="X1274" s="9"/>
      <c r="Y1274" s="9"/>
      <c r="Z1274" s="9"/>
      <c r="AA1274" s="9"/>
      <c r="AB1274" s="9"/>
      <c r="AC1274" s="9"/>
      <c r="AD1274" s="9"/>
      <c r="AE1274" s="9"/>
      <c r="AF1274" s="40"/>
      <c r="AG1274" s="56"/>
      <c r="AH1274" s="56"/>
      <c r="AI1274" s="56"/>
      <c r="AJ1274" s="56"/>
    </row>
    <row r="1275" spans="1:36" x14ac:dyDescent="0.3">
      <c r="A1275" s="59">
        <f t="shared" si="291"/>
        <v>1003</v>
      </c>
      <c r="B1275" s="66" t="s">
        <v>3453</v>
      </c>
      <c r="C1275" s="51">
        <f t="shared" si="288"/>
        <v>130000</v>
      </c>
      <c r="D1275" s="51">
        <f t="shared" si="289"/>
        <v>0</v>
      </c>
      <c r="E1275" s="51"/>
      <c r="F1275" s="51"/>
      <c r="G1275" s="51"/>
      <c r="H1275" s="51"/>
      <c r="I1275" s="51"/>
      <c r="J1275" s="51"/>
      <c r="K1275" s="51"/>
      <c r="L1275" s="51"/>
      <c r="M1275" s="51"/>
      <c r="N1275" s="364"/>
      <c r="O1275" s="82"/>
      <c r="P1275" s="364"/>
      <c r="Q1275" s="82"/>
      <c r="R1275" s="364"/>
      <c r="S1275" s="82"/>
      <c r="T1275" s="82"/>
      <c r="U1275" s="51"/>
      <c r="V1275" s="51"/>
      <c r="W1275" s="181">
        <v>130000</v>
      </c>
      <c r="X1275" s="9"/>
      <c r="Y1275" s="9"/>
      <c r="Z1275" s="9"/>
      <c r="AA1275" s="9"/>
      <c r="AB1275" s="9"/>
      <c r="AC1275" s="9"/>
      <c r="AD1275" s="9"/>
      <c r="AE1275" s="9"/>
      <c r="AF1275" s="40"/>
      <c r="AG1275" s="56"/>
      <c r="AH1275" s="56"/>
      <c r="AI1275" s="56"/>
      <c r="AJ1275" s="56"/>
    </row>
    <row r="1276" spans="1:36" x14ac:dyDescent="0.3">
      <c r="A1276" s="59">
        <f t="shared" si="291"/>
        <v>1004</v>
      </c>
      <c r="B1276" s="66" t="s">
        <v>3454</v>
      </c>
      <c r="C1276" s="51">
        <f t="shared" si="288"/>
        <v>130000</v>
      </c>
      <c r="D1276" s="51">
        <f t="shared" si="289"/>
        <v>0</v>
      </c>
      <c r="E1276" s="51"/>
      <c r="F1276" s="364"/>
      <c r="G1276" s="364"/>
      <c r="H1276" s="364"/>
      <c r="I1276" s="51"/>
      <c r="J1276" s="51"/>
      <c r="K1276" s="51"/>
      <c r="L1276" s="51"/>
      <c r="M1276" s="51"/>
      <c r="N1276" s="364"/>
      <c r="O1276" s="82"/>
      <c r="P1276" s="364"/>
      <c r="Q1276" s="82"/>
      <c r="R1276" s="51"/>
      <c r="S1276" s="82"/>
      <c r="T1276" s="82"/>
      <c r="U1276" s="51"/>
      <c r="V1276" s="51"/>
      <c r="W1276" s="181">
        <v>130000</v>
      </c>
      <c r="X1276" s="9"/>
      <c r="Y1276" s="9"/>
      <c r="Z1276" s="9"/>
      <c r="AA1276" s="9"/>
      <c r="AB1276" s="9"/>
      <c r="AC1276" s="9"/>
      <c r="AD1276" s="9"/>
      <c r="AE1276" s="9"/>
      <c r="AF1276" s="40"/>
      <c r="AG1276" s="56"/>
      <c r="AH1276" s="56"/>
      <c r="AI1276" s="56"/>
      <c r="AJ1276" s="56"/>
    </row>
    <row r="1277" spans="1:36" x14ac:dyDescent="0.3">
      <c r="A1277" s="59">
        <f t="shared" si="291"/>
        <v>1005</v>
      </c>
      <c r="B1277" s="66" t="s">
        <v>3455</v>
      </c>
      <c r="C1277" s="51">
        <f t="shared" si="288"/>
        <v>130000</v>
      </c>
      <c r="D1277" s="51">
        <f t="shared" si="289"/>
        <v>0</v>
      </c>
      <c r="E1277" s="51"/>
      <c r="F1277" s="364"/>
      <c r="G1277" s="364"/>
      <c r="H1277" s="364"/>
      <c r="I1277" s="364"/>
      <c r="J1277" s="51"/>
      <c r="K1277" s="51"/>
      <c r="L1277" s="51"/>
      <c r="M1277" s="51"/>
      <c r="N1277" s="51"/>
      <c r="O1277" s="82"/>
      <c r="P1277" s="364"/>
      <c r="Q1277" s="82"/>
      <c r="R1277" s="51"/>
      <c r="S1277" s="82"/>
      <c r="T1277" s="82"/>
      <c r="U1277" s="51"/>
      <c r="V1277" s="51"/>
      <c r="W1277" s="181">
        <v>130000</v>
      </c>
      <c r="X1277" s="9"/>
      <c r="Y1277" s="9"/>
      <c r="Z1277" s="9"/>
      <c r="AA1277" s="9"/>
      <c r="AB1277" s="9"/>
      <c r="AC1277" s="9"/>
      <c r="AD1277" s="9"/>
      <c r="AE1277" s="9"/>
      <c r="AF1277" s="40"/>
      <c r="AG1277" s="56"/>
      <c r="AH1277" s="56"/>
      <c r="AI1277" s="56"/>
      <c r="AJ1277" s="56"/>
    </row>
    <row r="1278" spans="1:36" x14ac:dyDescent="0.3">
      <c r="A1278" s="59">
        <f t="shared" si="291"/>
        <v>1006</v>
      </c>
      <c r="B1278" s="66" t="s">
        <v>3456</v>
      </c>
      <c r="C1278" s="51">
        <f t="shared" si="288"/>
        <v>130000</v>
      </c>
      <c r="D1278" s="51">
        <f t="shared" si="289"/>
        <v>0</v>
      </c>
      <c r="E1278" s="51"/>
      <c r="F1278" s="364"/>
      <c r="G1278" s="364"/>
      <c r="H1278" s="364"/>
      <c r="I1278" s="51"/>
      <c r="J1278" s="51"/>
      <c r="K1278" s="51"/>
      <c r="L1278" s="51"/>
      <c r="M1278" s="51"/>
      <c r="N1278" s="51"/>
      <c r="O1278" s="82"/>
      <c r="P1278" s="364"/>
      <c r="Q1278" s="82"/>
      <c r="R1278" s="364"/>
      <c r="S1278" s="82"/>
      <c r="T1278" s="82"/>
      <c r="U1278" s="51"/>
      <c r="V1278" s="51"/>
      <c r="W1278" s="181">
        <v>130000</v>
      </c>
      <c r="X1278" s="9"/>
      <c r="Y1278" s="9"/>
      <c r="Z1278" s="9"/>
      <c r="AA1278" s="9"/>
      <c r="AB1278" s="9"/>
      <c r="AC1278" s="9"/>
      <c r="AD1278" s="9"/>
      <c r="AE1278" s="9"/>
      <c r="AF1278" s="40"/>
      <c r="AG1278" s="56"/>
      <c r="AH1278" s="56"/>
      <c r="AI1278" s="56"/>
      <c r="AJ1278" s="56"/>
    </row>
    <row r="1279" spans="1:36" x14ac:dyDescent="0.3">
      <c r="A1279" s="59">
        <f t="shared" si="291"/>
        <v>1007</v>
      </c>
      <c r="B1279" s="66" t="s">
        <v>3457</v>
      </c>
      <c r="C1279" s="51">
        <f t="shared" si="288"/>
        <v>130000</v>
      </c>
      <c r="D1279" s="51">
        <f t="shared" si="289"/>
        <v>0</v>
      </c>
      <c r="E1279" s="51"/>
      <c r="F1279" s="364"/>
      <c r="G1279" s="364"/>
      <c r="H1279" s="364"/>
      <c r="I1279" s="51"/>
      <c r="J1279" s="51"/>
      <c r="K1279" s="51"/>
      <c r="L1279" s="51"/>
      <c r="M1279" s="51"/>
      <c r="N1279" s="51"/>
      <c r="O1279" s="82"/>
      <c r="P1279" s="364"/>
      <c r="Q1279" s="82"/>
      <c r="R1279" s="51"/>
      <c r="S1279" s="82"/>
      <c r="T1279" s="82"/>
      <c r="U1279" s="364"/>
      <c r="V1279" s="51"/>
      <c r="W1279" s="181">
        <v>130000</v>
      </c>
      <c r="X1279" s="9"/>
      <c r="Y1279" s="9"/>
      <c r="Z1279" s="9"/>
      <c r="AA1279" s="9"/>
      <c r="AB1279" s="9"/>
      <c r="AC1279" s="9"/>
      <c r="AD1279" s="9"/>
      <c r="AE1279" s="9"/>
      <c r="AF1279" s="40"/>
      <c r="AG1279" s="56"/>
      <c r="AH1279" s="56"/>
      <c r="AI1279" s="56"/>
      <c r="AJ1279" s="56"/>
    </row>
    <row r="1280" spans="1:36" x14ac:dyDescent="0.3">
      <c r="A1280" s="59">
        <f t="shared" si="291"/>
        <v>1008</v>
      </c>
      <c r="B1280" s="66" t="s">
        <v>3458</v>
      </c>
      <c r="C1280" s="51">
        <f t="shared" si="288"/>
        <v>130000</v>
      </c>
      <c r="D1280" s="51">
        <f t="shared" si="289"/>
        <v>0</v>
      </c>
      <c r="E1280" s="51"/>
      <c r="F1280" s="51"/>
      <c r="G1280" s="51"/>
      <c r="H1280" s="51"/>
      <c r="I1280" s="51"/>
      <c r="J1280" s="51"/>
      <c r="K1280" s="51"/>
      <c r="L1280" s="51"/>
      <c r="M1280" s="51"/>
      <c r="N1280" s="51"/>
      <c r="O1280" s="82"/>
      <c r="P1280" s="364"/>
      <c r="Q1280" s="82"/>
      <c r="R1280" s="364"/>
      <c r="S1280" s="82"/>
      <c r="T1280" s="82"/>
      <c r="U1280" s="51"/>
      <c r="V1280" s="51"/>
      <c r="W1280" s="181">
        <v>130000</v>
      </c>
      <c r="X1280" s="9"/>
      <c r="Y1280" s="9"/>
      <c r="Z1280" s="9"/>
      <c r="AA1280" s="9"/>
      <c r="AB1280" s="9"/>
      <c r="AC1280" s="9"/>
      <c r="AD1280" s="9"/>
      <c r="AE1280" s="9"/>
      <c r="AF1280" s="40"/>
      <c r="AG1280" s="56"/>
      <c r="AH1280" s="56"/>
      <c r="AI1280" s="56"/>
      <c r="AJ1280" s="56"/>
    </row>
    <row r="1281" spans="1:36" x14ac:dyDescent="0.3">
      <c r="A1281" s="449" t="s">
        <v>211</v>
      </c>
      <c r="B1281" s="449"/>
      <c r="C1281" s="51">
        <f>SUBTOTAL(9,C1256:C1280)</f>
        <v>3250000</v>
      </c>
      <c r="D1281" s="51">
        <f t="shared" ref="D1281:W1281" si="292">SUBTOTAL(9,D1256:D1280)</f>
        <v>0</v>
      </c>
      <c r="E1281" s="51">
        <f t="shared" si="292"/>
        <v>0</v>
      </c>
      <c r="F1281" s="51">
        <f t="shared" si="292"/>
        <v>0</v>
      </c>
      <c r="G1281" s="51">
        <f t="shared" si="292"/>
        <v>0</v>
      </c>
      <c r="H1281" s="51">
        <f t="shared" si="292"/>
        <v>0</v>
      </c>
      <c r="I1281" s="51">
        <f t="shared" si="292"/>
        <v>0</v>
      </c>
      <c r="J1281" s="51">
        <f t="shared" si="292"/>
        <v>0</v>
      </c>
      <c r="K1281" s="51">
        <f t="shared" si="292"/>
        <v>0</v>
      </c>
      <c r="L1281" s="51">
        <f t="shared" si="292"/>
        <v>0</v>
      </c>
      <c r="M1281" s="51">
        <f t="shared" si="292"/>
        <v>0</v>
      </c>
      <c r="N1281" s="51">
        <f t="shared" si="292"/>
        <v>0</v>
      </c>
      <c r="O1281" s="82">
        <f t="shared" si="292"/>
        <v>0</v>
      </c>
      <c r="P1281" s="51">
        <f t="shared" si="292"/>
        <v>0</v>
      </c>
      <c r="Q1281" s="82">
        <f t="shared" si="292"/>
        <v>0</v>
      </c>
      <c r="R1281" s="51">
        <f t="shared" si="292"/>
        <v>0</v>
      </c>
      <c r="S1281" s="82">
        <f t="shared" si="292"/>
        <v>0</v>
      </c>
      <c r="T1281" s="82">
        <f t="shared" si="292"/>
        <v>0</v>
      </c>
      <c r="U1281" s="51">
        <f t="shared" si="292"/>
        <v>0</v>
      </c>
      <c r="V1281" s="51">
        <f t="shared" si="292"/>
        <v>0</v>
      </c>
      <c r="W1281" s="35">
        <f t="shared" si="292"/>
        <v>3250000</v>
      </c>
      <c r="X1281" s="9"/>
      <c r="Y1281" s="9"/>
      <c r="Z1281" s="9"/>
      <c r="AA1281" s="9"/>
      <c r="AB1281" s="9"/>
      <c r="AC1281" s="9"/>
      <c r="AD1281" s="9"/>
      <c r="AE1281" s="9"/>
      <c r="AF1281" s="40"/>
      <c r="AG1281" s="56"/>
      <c r="AH1281" s="56"/>
      <c r="AI1281" s="56"/>
      <c r="AJ1281" s="56"/>
    </row>
    <row r="1282" spans="1:36" x14ac:dyDescent="0.3">
      <c r="A1282" s="450" t="s">
        <v>3459</v>
      </c>
      <c r="B1282" s="450"/>
      <c r="C1282" s="51">
        <f>C1254+C1281</f>
        <v>582839593.73000002</v>
      </c>
      <c r="D1282" s="51">
        <f t="shared" ref="D1282:W1282" si="293">D1254+D1281</f>
        <v>0</v>
      </c>
      <c r="E1282" s="51">
        <f t="shared" si="293"/>
        <v>0</v>
      </c>
      <c r="F1282" s="51">
        <f t="shared" si="293"/>
        <v>0</v>
      </c>
      <c r="G1282" s="51">
        <f t="shared" si="293"/>
        <v>0</v>
      </c>
      <c r="H1282" s="51">
        <f t="shared" si="293"/>
        <v>0</v>
      </c>
      <c r="I1282" s="51">
        <f t="shared" si="293"/>
        <v>0</v>
      </c>
      <c r="J1282" s="51">
        <f t="shared" si="293"/>
        <v>0</v>
      </c>
      <c r="K1282" s="51">
        <f t="shared" si="293"/>
        <v>0</v>
      </c>
      <c r="L1282" s="51">
        <f t="shared" si="293"/>
        <v>0</v>
      </c>
      <c r="M1282" s="51">
        <f t="shared" si="293"/>
        <v>1175</v>
      </c>
      <c r="N1282" s="51">
        <f t="shared" si="293"/>
        <v>7335525</v>
      </c>
      <c r="O1282" s="82">
        <f t="shared" si="293"/>
        <v>28370.39</v>
      </c>
      <c r="P1282" s="51">
        <f t="shared" si="293"/>
        <v>456153912.21999997</v>
      </c>
      <c r="Q1282" s="82">
        <f t="shared" si="293"/>
        <v>15945.240000000002</v>
      </c>
      <c r="R1282" s="51">
        <f t="shared" si="293"/>
        <v>116100156.51000004</v>
      </c>
      <c r="S1282" s="82">
        <f t="shared" si="293"/>
        <v>0</v>
      </c>
      <c r="T1282" s="82">
        <f t="shared" si="293"/>
        <v>0</v>
      </c>
      <c r="U1282" s="51">
        <f t="shared" si="293"/>
        <v>0</v>
      </c>
      <c r="V1282" s="51">
        <f t="shared" si="293"/>
        <v>0</v>
      </c>
      <c r="W1282" s="35">
        <f t="shared" si="293"/>
        <v>3250000</v>
      </c>
      <c r="X1282" s="9"/>
      <c r="Y1282" s="9"/>
      <c r="Z1282" s="9"/>
      <c r="AA1282" s="9"/>
      <c r="AB1282" s="9"/>
      <c r="AC1282" s="9"/>
      <c r="AD1282" s="9"/>
      <c r="AE1282" s="9"/>
      <c r="AF1282" s="40"/>
      <c r="AG1282" s="56"/>
      <c r="AH1282" s="56"/>
      <c r="AI1282" s="56"/>
      <c r="AJ1282" s="56"/>
    </row>
    <row r="1283" spans="1:36" x14ac:dyDescent="0.3">
      <c r="A1283" s="540" t="s">
        <v>3460</v>
      </c>
      <c r="B1283" s="540"/>
      <c r="C1283" s="387"/>
      <c r="D1283" s="49"/>
      <c r="E1283" s="49"/>
      <c r="F1283" s="49"/>
      <c r="G1283" s="49"/>
      <c r="H1283" s="49"/>
      <c r="I1283" s="49"/>
      <c r="J1283" s="49"/>
      <c r="K1283" s="49"/>
      <c r="L1283" s="49"/>
      <c r="M1283" s="49"/>
      <c r="N1283" s="49"/>
      <c r="O1283" s="343"/>
      <c r="P1283" s="49"/>
      <c r="Q1283" s="343"/>
      <c r="R1283" s="49"/>
      <c r="S1283" s="343"/>
      <c r="T1283" s="343"/>
      <c r="U1283" s="49"/>
      <c r="V1283" s="49"/>
      <c r="W1283" s="33"/>
      <c r="X1283" s="330"/>
      <c r="Y1283" s="179"/>
      <c r="Z1283" s="179"/>
      <c r="AA1283" s="179"/>
      <c r="AB1283" s="179"/>
      <c r="AC1283" s="179"/>
      <c r="AD1283" s="179"/>
      <c r="AE1283" s="179"/>
      <c r="AF1283" s="179"/>
      <c r="AG1283" s="61"/>
      <c r="AH1283" s="62"/>
      <c r="AI1283" s="62"/>
      <c r="AJ1283" s="56"/>
    </row>
    <row r="1284" spans="1:36" x14ac:dyDescent="0.3">
      <c r="A1284" s="463" t="s">
        <v>3510</v>
      </c>
      <c r="B1284" s="463"/>
      <c r="C1284" s="51"/>
      <c r="D1284" s="51"/>
      <c r="E1284" s="51"/>
      <c r="F1284" s="51"/>
      <c r="G1284" s="51"/>
      <c r="H1284" s="51"/>
      <c r="I1284" s="51"/>
      <c r="J1284" s="51"/>
      <c r="K1284" s="51"/>
      <c r="L1284" s="51"/>
      <c r="M1284" s="51"/>
      <c r="N1284" s="51"/>
      <c r="O1284" s="82"/>
      <c r="P1284" s="51"/>
      <c r="Q1284" s="82"/>
      <c r="R1284" s="51"/>
      <c r="S1284" s="82"/>
      <c r="T1284" s="82"/>
      <c r="U1284" s="51"/>
      <c r="V1284" s="51"/>
      <c r="W1284" s="35"/>
      <c r="X1284" s="331"/>
      <c r="Y1284" s="48"/>
      <c r="Z1284" s="48"/>
      <c r="AA1284" s="48"/>
      <c r="AB1284" s="48"/>
      <c r="AC1284" s="48"/>
      <c r="AD1284" s="48"/>
      <c r="AE1284" s="48"/>
      <c r="AF1284" s="48"/>
      <c r="AG1284" s="61"/>
      <c r="AH1284" s="62"/>
      <c r="AI1284" s="58"/>
      <c r="AJ1284" s="56"/>
    </row>
    <row r="1285" spans="1:36" x14ac:dyDescent="0.3">
      <c r="A1285" s="59">
        <f>A1280+1</f>
        <v>1009</v>
      </c>
      <c r="B1285" s="66" t="s">
        <v>3511</v>
      </c>
      <c r="C1285" s="51">
        <f>D1285+K1285+L1285+N1285+P1285+R1285+S1285+U1285+V1285+W1285</f>
        <v>3313141.2</v>
      </c>
      <c r="D1285" s="51">
        <f>E1285+F1285+G1285+H1285+I1285</f>
        <v>0</v>
      </c>
      <c r="E1285" s="51"/>
      <c r="F1285" s="51"/>
      <c r="G1285" s="51"/>
      <c r="H1285" s="51"/>
      <c r="I1285" s="51"/>
      <c r="J1285" s="51"/>
      <c r="K1285" s="51"/>
      <c r="L1285" s="51"/>
      <c r="M1285" s="51"/>
      <c r="N1285" s="51"/>
      <c r="O1285" s="82"/>
      <c r="P1285" s="51"/>
      <c r="Q1285" s="82">
        <v>614</v>
      </c>
      <c r="R1285" s="51">
        <v>3313141.2</v>
      </c>
      <c r="S1285" s="82"/>
      <c r="T1285" s="82"/>
      <c r="U1285" s="51"/>
      <c r="V1285" s="51"/>
      <c r="W1285" s="35"/>
      <c r="X1285" s="331"/>
      <c r="Y1285" s="48"/>
      <c r="Z1285" s="48"/>
      <c r="AA1285" s="48"/>
      <c r="AB1285" s="48"/>
      <c r="AC1285" s="48"/>
      <c r="AD1285" s="48"/>
      <c r="AE1285" s="48"/>
      <c r="AF1285" s="48"/>
      <c r="AG1285" s="61"/>
      <c r="AH1285" s="62"/>
      <c r="AI1285" s="58"/>
      <c r="AJ1285" s="56"/>
    </row>
    <row r="1286" spans="1:36" ht="31.2" x14ac:dyDescent="0.3">
      <c r="A1286" s="59">
        <f t="shared" ref="A1286:A1287" si="294">A1285+1</f>
        <v>1010</v>
      </c>
      <c r="B1286" s="66" t="s">
        <v>3512</v>
      </c>
      <c r="C1286" s="51">
        <f>D1286+K1286+L1286+N1286+P1286+R1286+S1286+U1286+V1286+W1286</f>
        <v>867911.41999999993</v>
      </c>
      <c r="D1286" s="51">
        <f>E1286+F1286+G1286+H1286+I1286</f>
        <v>0</v>
      </c>
      <c r="E1286" s="51"/>
      <c r="F1286" s="51"/>
      <c r="G1286" s="51"/>
      <c r="H1286" s="51"/>
      <c r="I1286" s="51"/>
      <c r="J1286" s="51"/>
      <c r="K1286" s="51"/>
      <c r="L1286" s="51"/>
      <c r="M1286" s="51"/>
      <c r="N1286" s="51"/>
      <c r="O1286" s="82"/>
      <c r="P1286" s="51"/>
      <c r="Q1286" s="82"/>
      <c r="R1286" s="51"/>
      <c r="S1286" s="82"/>
      <c r="T1286" s="82"/>
      <c r="U1286" s="51"/>
      <c r="V1286" s="51"/>
      <c r="W1286" s="35">
        <f>SUM(Z1286:AI1286)</f>
        <v>867911.41999999993</v>
      </c>
      <c r="X1286" s="331"/>
      <c r="Y1286" s="48"/>
      <c r="Z1286" s="48">
        <v>116478.53</v>
      </c>
      <c r="AA1286" s="48"/>
      <c r="AB1286" s="48"/>
      <c r="AC1286" s="48"/>
      <c r="AD1286" s="48"/>
      <c r="AE1286" s="48"/>
      <c r="AF1286" s="48">
        <v>213708.77</v>
      </c>
      <c r="AG1286" s="61"/>
      <c r="AH1286" s="62">
        <v>537724.12</v>
      </c>
      <c r="AI1286" s="58"/>
      <c r="AJ1286" s="56"/>
    </row>
    <row r="1287" spans="1:36" x14ac:dyDescent="0.3">
      <c r="A1287" s="59">
        <f t="shared" si="294"/>
        <v>1011</v>
      </c>
      <c r="B1287" s="66" t="s">
        <v>3513</v>
      </c>
      <c r="C1287" s="51">
        <f>D1287+K1287+L1287+N1287+P1287+R1287+S1287+U1287+V1287+W1287</f>
        <v>654455.22</v>
      </c>
      <c r="D1287" s="51">
        <f>E1287+F1287+G1287+H1287+I1287</f>
        <v>0</v>
      </c>
      <c r="E1287" s="51"/>
      <c r="F1287" s="51"/>
      <c r="G1287" s="51"/>
      <c r="H1287" s="51"/>
      <c r="I1287" s="51"/>
      <c r="J1287" s="51"/>
      <c r="K1287" s="51"/>
      <c r="L1287" s="51"/>
      <c r="M1287" s="51"/>
      <c r="N1287" s="51"/>
      <c r="O1287" s="82"/>
      <c r="P1287" s="51"/>
      <c r="Q1287" s="82"/>
      <c r="R1287" s="51"/>
      <c r="S1287" s="82"/>
      <c r="T1287" s="82"/>
      <c r="U1287" s="51"/>
      <c r="V1287" s="51"/>
      <c r="W1287" s="35">
        <f>SUM(Z1287:AI1287)</f>
        <v>654455.22</v>
      </c>
      <c r="X1287" s="331"/>
      <c r="Y1287" s="48"/>
      <c r="Z1287" s="48">
        <v>83178.05</v>
      </c>
      <c r="AA1287" s="48"/>
      <c r="AB1287" s="48"/>
      <c r="AC1287" s="48"/>
      <c r="AD1287" s="48"/>
      <c r="AE1287" s="48"/>
      <c r="AF1287" s="48">
        <v>161257.07999999999</v>
      </c>
      <c r="AG1287" s="61"/>
      <c r="AH1287" s="62">
        <v>410020.09</v>
      </c>
      <c r="AI1287" s="58"/>
      <c r="AJ1287" s="56"/>
    </row>
    <row r="1288" spans="1:36" x14ac:dyDescent="0.3">
      <c r="A1288" s="59"/>
      <c r="B1288" s="66" t="s">
        <v>211</v>
      </c>
      <c r="C1288" s="51">
        <f>SUM(C1285:C1287)</f>
        <v>4835507.84</v>
      </c>
      <c r="D1288" s="51">
        <f t="shared" ref="D1288:W1288" si="295">SUM(D1285:D1287)</f>
        <v>0</v>
      </c>
      <c r="E1288" s="51">
        <f t="shared" si="295"/>
        <v>0</v>
      </c>
      <c r="F1288" s="51">
        <f t="shared" si="295"/>
        <v>0</v>
      </c>
      <c r="G1288" s="51">
        <f t="shared" si="295"/>
        <v>0</v>
      </c>
      <c r="H1288" s="51">
        <f t="shared" si="295"/>
        <v>0</v>
      </c>
      <c r="I1288" s="51">
        <f t="shared" si="295"/>
        <v>0</v>
      </c>
      <c r="J1288" s="51">
        <f t="shared" si="295"/>
        <v>0</v>
      </c>
      <c r="K1288" s="51">
        <f t="shared" si="295"/>
        <v>0</v>
      </c>
      <c r="L1288" s="51">
        <f t="shared" si="295"/>
        <v>0</v>
      </c>
      <c r="M1288" s="51">
        <f t="shared" si="295"/>
        <v>0</v>
      </c>
      <c r="N1288" s="51"/>
      <c r="O1288" s="82"/>
      <c r="P1288" s="51"/>
      <c r="Q1288" s="82"/>
      <c r="R1288" s="51"/>
      <c r="S1288" s="82"/>
      <c r="T1288" s="82">
        <f t="shared" si="295"/>
        <v>0</v>
      </c>
      <c r="U1288" s="51">
        <f t="shared" si="295"/>
        <v>0</v>
      </c>
      <c r="V1288" s="51">
        <f t="shared" si="295"/>
        <v>0</v>
      </c>
      <c r="W1288" s="35">
        <f t="shared" si="295"/>
        <v>1522366.64</v>
      </c>
      <c r="X1288" s="331"/>
      <c r="Y1288" s="48"/>
      <c r="Z1288" s="48"/>
      <c r="AA1288" s="48"/>
      <c r="AB1288" s="48"/>
      <c r="AC1288" s="48"/>
      <c r="AD1288" s="48"/>
      <c r="AE1288" s="48"/>
      <c r="AF1288" s="48"/>
      <c r="AG1288" s="61"/>
      <c r="AH1288" s="62"/>
      <c r="AI1288" s="58"/>
      <c r="AJ1288" s="56"/>
    </row>
    <row r="1289" spans="1:36" x14ac:dyDescent="0.3">
      <c r="A1289" s="463" t="s">
        <v>3514</v>
      </c>
      <c r="B1289" s="463"/>
      <c r="C1289" s="51"/>
      <c r="D1289" s="51"/>
      <c r="E1289" s="51"/>
      <c r="F1289" s="51"/>
      <c r="G1289" s="51"/>
      <c r="H1289" s="51"/>
      <c r="I1289" s="51"/>
      <c r="J1289" s="51"/>
      <c r="K1289" s="51"/>
      <c r="L1289" s="51"/>
      <c r="M1289" s="51"/>
      <c r="N1289" s="51"/>
      <c r="O1289" s="82"/>
      <c r="P1289" s="51"/>
      <c r="Q1289" s="82"/>
      <c r="R1289" s="51"/>
      <c r="S1289" s="82"/>
      <c r="T1289" s="82"/>
      <c r="U1289" s="51"/>
      <c r="V1289" s="51"/>
      <c r="W1289" s="35"/>
      <c r="X1289" s="331"/>
      <c r="Y1289" s="48"/>
      <c r="Z1289" s="48"/>
      <c r="AA1289" s="48"/>
      <c r="AB1289" s="48"/>
      <c r="AC1289" s="48"/>
      <c r="AD1289" s="48"/>
      <c r="AE1289" s="48"/>
      <c r="AF1289" s="48"/>
      <c r="AG1289" s="61"/>
      <c r="AH1289" s="62"/>
      <c r="AI1289" s="58"/>
      <c r="AJ1289" s="56"/>
    </row>
    <row r="1290" spans="1:36" x14ac:dyDescent="0.3">
      <c r="A1290" s="59">
        <f>A1285+1</f>
        <v>1010</v>
      </c>
      <c r="B1290" s="66" t="s">
        <v>3515</v>
      </c>
      <c r="C1290" s="51">
        <f t="shared" ref="C1290:C1295" si="296">D1290+K1290+L1290+N1290+P1290+R1290+S1290+U1290+V1290+W1290</f>
        <v>130000</v>
      </c>
      <c r="D1290" s="51">
        <f t="shared" ref="D1290:D1295" si="297">E1290+F1290+G1290+H1290+I1290</f>
        <v>0</v>
      </c>
      <c r="E1290" s="51"/>
      <c r="F1290" s="51"/>
      <c r="G1290" s="51"/>
      <c r="H1290" s="51"/>
      <c r="I1290" s="51"/>
      <c r="J1290" s="51"/>
      <c r="K1290" s="51"/>
      <c r="L1290" s="51"/>
      <c r="M1290" s="51"/>
      <c r="N1290" s="51"/>
      <c r="O1290" s="82"/>
      <c r="P1290" s="51"/>
      <c r="Q1290" s="82"/>
      <c r="R1290" s="51"/>
      <c r="S1290" s="82"/>
      <c r="T1290" s="82"/>
      <c r="U1290" s="51"/>
      <c r="V1290" s="51"/>
      <c r="W1290" s="35">
        <v>130000</v>
      </c>
      <c r="X1290" s="331"/>
      <c r="Y1290" s="48"/>
      <c r="Z1290" s="48"/>
      <c r="AA1290" s="48"/>
      <c r="AB1290" s="48"/>
      <c r="AC1290" s="48"/>
      <c r="AD1290" s="48"/>
      <c r="AE1290" s="48"/>
      <c r="AF1290" s="48"/>
      <c r="AG1290" s="61"/>
      <c r="AH1290" s="62"/>
      <c r="AI1290" s="58"/>
      <c r="AJ1290" s="56"/>
    </row>
    <row r="1291" spans="1:36" x14ac:dyDescent="0.3">
      <c r="A1291" s="59">
        <f t="shared" ref="A1291:A1295" si="298">A1290+1</f>
        <v>1011</v>
      </c>
      <c r="B1291" s="66" t="s">
        <v>3516</v>
      </c>
      <c r="C1291" s="51">
        <f t="shared" si="296"/>
        <v>130000</v>
      </c>
      <c r="D1291" s="51">
        <f t="shared" si="297"/>
        <v>0</v>
      </c>
      <c r="E1291" s="51"/>
      <c r="F1291" s="51"/>
      <c r="G1291" s="51"/>
      <c r="H1291" s="399"/>
      <c r="I1291" s="51"/>
      <c r="J1291" s="51"/>
      <c r="K1291" s="51"/>
      <c r="L1291" s="51"/>
      <c r="M1291" s="51"/>
      <c r="N1291" s="51"/>
      <c r="O1291" s="82"/>
      <c r="P1291" s="399"/>
      <c r="Q1291" s="82"/>
      <c r="R1291" s="51"/>
      <c r="S1291" s="82"/>
      <c r="T1291" s="82"/>
      <c r="U1291" s="51"/>
      <c r="V1291" s="51"/>
      <c r="W1291" s="35">
        <v>130000</v>
      </c>
      <c r="X1291" s="331"/>
      <c r="Y1291" s="48"/>
      <c r="Z1291" s="48"/>
      <c r="AA1291" s="48"/>
      <c r="AB1291" s="48"/>
      <c r="AC1291" s="48"/>
      <c r="AD1291" s="48"/>
      <c r="AE1291" s="48"/>
      <c r="AF1291" s="48"/>
      <c r="AG1291" s="61"/>
      <c r="AH1291" s="62"/>
      <c r="AI1291" s="58"/>
      <c r="AJ1291" s="56"/>
    </row>
    <row r="1292" spans="1:36" x14ac:dyDescent="0.3">
      <c r="A1292" s="59">
        <f t="shared" si="298"/>
        <v>1012</v>
      </c>
      <c r="B1292" s="66" t="s">
        <v>3517</v>
      </c>
      <c r="C1292" s="51">
        <f t="shared" si="296"/>
        <v>130000</v>
      </c>
      <c r="D1292" s="51">
        <f t="shared" si="297"/>
        <v>0</v>
      </c>
      <c r="E1292" s="51"/>
      <c r="F1292" s="51"/>
      <c r="G1292" s="51"/>
      <c r="H1292" s="51"/>
      <c r="I1292" s="51"/>
      <c r="J1292" s="51"/>
      <c r="K1292" s="51"/>
      <c r="L1292" s="51"/>
      <c r="M1292" s="51"/>
      <c r="N1292" s="51"/>
      <c r="O1292" s="82"/>
      <c r="P1292" s="399"/>
      <c r="Q1292" s="82"/>
      <c r="R1292" s="51"/>
      <c r="S1292" s="82"/>
      <c r="T1292" s="82"/>
      <c r="U1292" s="51"/>
      <c r="V1292" s="51"/>
      <c r="W1292" s="35">
        <v>130000</v>
      </c>
      <c r="X1292" s="331"/>
      <c r="Y1292" s="48"/>
      <c r="Z1292" s="48"/>
      <c r="AA1292" s="48"/>
      <c r="AB1292" s="48"/>
      <c r="AC1292" s="48"/>
      <c r="AD1292" s="48"/>
      <c r="AE1292" s="48"/>
      <c r="AF1292" s="48"/>
      <c r="AG1292" s="61"/>
      <c r="AH1292" s="62"/>
      <c r="AI1292" s="58"/>
      <c r="AJ1292" s="56"/>
    </row>
    <row r="1293" spans="1:36" x14ac:dyDescent="0.3">
      <c r="A1293" s="59">
        <f t="shared" si="298"/>
        <v>1013</v>
      </c>
      <c r="B1293" s="66" t="s">
        <v>3918</v>
      </c>
      <c r="C1293" s="51">
        <f t="shared" si="296"/>
        <v>105222</v>
      </c>
      <c r="D1293" s="51">
        <f t="shared" si="297"/>
        <v>0</v>
      </c>
      <c r="E1293" s="51"/>
      <c r="F1293" s="51"/>
      <c r="G1293" s="51"/>
      <c r="H1293" s="51"/>
      <c r="I1293" s="51"/>
      <c r="J1293" s="51"/>
      <c r="K1293" s="51"/>
      <c r="L1293" s="51"/>
      <c r="M1293" s="51">
        <v>13</v>
      </c>
      <c r="N1293" s="399">
        <v>105222</v>
      </c>
      <c r="O1293" s="82"/>
      <c r="P1293" s="399"/>
      <c r="Q1293" s="82"/>
      <c r="R1293" s="51"/>
      <c r="S1293" s="82"/>
      <c r="T1293" s="82"/>
      <c r="U1293" s="51"/>
      <c r="V1293" s="51"/>
      <c r="W1293" s="35"/>
      <c r="X1293" s="331"/>
      <c r="Y1293" s="48"/>
      <c r="Z1293" s="48"/>
      <c r="AA1293" s="48"/>
      <c r="AB1293" s="48"/>
      <c r="AC1293" s="48"/>
      <c r="AD1293" s="48"/>
      <c r="AE1293" s="48"/>
      <c r="AF1293" s="48"/>
      <c r="AG1293" s="61"/>
      <c r="AH1293" s="62"/>
      <c r="AI1293" s="58"/>
      <c r="AJ1293" s="56"/>
    </row>
    <row r="1294" spans="1:36" x14ac:dyDescent="0.3">
      <c r="A1294" s="59">
        <f t="shared" si="298"/>
        <v>1014</v>
      </c>
      <c r="B1294" s="66" t="s">
        <v>3919</v>
      </c>
      <c r="C1294" s="51">
        <f t="shared" si="296"/>
        <v>105222</v>
      </c>
      <c r="D1294" s="51">
        <f t="shared" si="297"/>
        <v>0</v>
      </c>
      <c r="E1294" s="51"/>
      <c r="F1294" s="51"/>
      <c r="G1294" s="51"/>
      <c r="H1294" s="51"/>
      <c r="I1294" s="51"/>
      <c r="J1294" s="51"/>
      <c r="K1294" s="51"/>
      <c r="L1294" s="51"/>
      <c r="M1294" s="51">
        <v>13</v>
      </c>
      <c r="N1294" s="399">
        <v>105222</v>
      </c>
      <c r="O1294" s="82"/>
      <c r="P1294" s="399"/>
      <c r="Q1294" s="82"/>
      <c r="R1294" s="51"/>
      <c r="S1294" s="82"/>
      <c r="T1294" s="82"/>
      <c r="U1294" s="51"/>
      <c r="V1294" s="51"/>
      <c r="W1294" s="35"/>
      <c r="X1294" s="331"/>
      <c r="Y1294" s="48"/>
      <c r="Z1294" s="48"/>
      <c r="AA1294" s="48"/>
      <c r="AB1294" s="48"/>
      <c r="AC1294" s="48"/>
      <c r="AD1294" s="48"/>
      <c r="AE1294" s="48"/>
      <c r="AF1294" s="48"/>
      <c r="AG1294" s="61"/>
      <c r="AH1294" s="62"/>
      <c r="AI1294" s="58"/>
      <c r="AJ1294" s="56"/>
    </row>
    <row r="1295" spans="1:36" x14ac:dyDescent="0.3">
      <c r="A1295" s="59">
        <f t="shared" si="298"/>
        <v>1015</v>
      </c>
      <c r="B1295" s="66" t="s">
        <v>270</v>
      </c>
      <c r="C1295" s="51">
        <f t="shared" si="296"/>
        <v>105222</v>
      </c>
      <c r="D1295" s="51">
        <f t="shared" si="297"/>
        <v>0</v>
      </c>
      <c r="E1295" s="51"/>
      <c r="F1295" s="51"/>
      <c r="G1295" s="51"/>
      <c r="H1295" s="51"/>
      <c r="I1295" s="51"/>
      <c r="J1295" s="51"/>
      <c r="K1295" s="51"/>
      <c r="L1295" s="51"/>
      <c r="M1295" s="51">
        <v>13</v>
      </c>
      <c r="N1295" s="399">
        <v>105222</v>
      </c>
      <c r="O1295" s="82"/>
      <c r="P1295" s="399"/>
      <c r="Q1295" s="82"/>
      <c r="R1295" s="51"/>
      <c r="S1295" s="82"/>
      <c r="T1295" s="82"/>
      <c r="U1295" s="51"/>
      <c r="V1295" s="51"/>
      <c r="W1295" s="35"/>
      <c r="X1295" s="331"/>
      <c r="Y1295" s="48"/>
      <c r="Z1295" s="48"/>
      <c r="AA1295" s="48"/>
      <c r="AB1295" s="48"/>
      <c r="AC1295" s="48"/>
      <c r="AD1295" s="48"/>
      <c r="AE1295" s="48"/>
      <c r="AF1295" s="48"/>
      <c r="AG1295" s="61"/>
      <c r="AH1295" s="62"/>
      <c r="AI1295" s="58"/>
      <c r="AJ1295" s="56"/>
    </row>
    <row r="1296" spans="1:36" x14ac:dyDescent="0.3">
      <c r="A1296" s="59"/>
      <c r="B1296" s="66" t="s">
        <v>211</v>
      </c>
      <c r="C1296" s="51">
        <f>SUM(C1290:C1295)</f>
        <v>705666</v>
      </c>
      <c r="D1296" s="51">
        <f t="shared" ref="D1296:K1296" si="299">SUM(D1290:D1292)</f>
        <v>0</v>
      </c>
      <c r="E1296" s="51">
        <f t="shared" si="299"/>
        <v>0</v>
      </c>
      <c r="F1296" s="51">
        <f t="shared" si="299"/>
        <v>0</v>
      </c>
      <c r="G1296" s="51">
        <f t="shared" si="299"/>
        <v>0</v>
      </c>
      <c r="H1296" s="51">
        <f t="shared" si="299"/>
        <v>0</v>
      </c>
      <c r="I1296" s="51">
        <f t="shared" si="299"/>
        <v>0</v>
      </c>
      <c r="J1296" s="51">
        <f t="shared" si="299"/>
        <v>0</v>
      </c>
      <c r="K1296" s="51">
        <f t="shared" si="299"/>
        <v>0</v>
      </c>
      <c r="L1296" s="51"/>
      <c r="M1296" s="51"/>
      <c r="N1296" s="51"/>
      <c r="O1296" s="82"/>
      <c r="P1296" s="51"/>
      <c r="Q1296" s="82"/>
      <c r="R1296" s="51"/>
      <c r="S1296" s="82"/>
      <c r="T1296" s="82"/>
      <c r="U1296" s="51"/>
      <c r="V1296" s="51"/>
      <c r="W1296" s="35">
        <f>SUM(W1290:W1292)</f>
        <v>390000</v>
      </c>
      <c r="X1296" s="331"/>
      <c r="Y1296" s="48"/>
      <c r="Z1296" s="48"/>
      <c r="AA1296" s="48"/>
      <c r="AB1296" s="48"/>
      <c r="AC1296" s="48"/>
      <c r="AD1296" s="48"/>
      <c r="AE1296" s="48"/>
      <c r="AF1296" s="48"/>
      <c r="AG1296" s="61"/>
      <c r="AH1296" s="62"/>
      <c r="AI1296" s="58"/>
      <c r="AJ1296" s="56"/>
    </row>
    <row r="1297" spans="1:36" x14ac:dyDescent="0.3">
      <c r="A1297" s="463" t="s">
        <v>2727</v>
      </c>
      <c r="B1297" s="463"/>
      <c r="C1297" s="51"/>
      <c r="D1297" s="51"/>
      <c r="E1297" s="51"/>
      <c r="F1297" s="51"/>
      <c r="G1297" s="51"/>
      <c r="H1297" s="51"/>
      <c r="I1297" s="51"/>
      <c r="J1297" s="51"/>
      <c r="K1297" s="51"/>
      <c r="L1297" s="51"/>
      <c r="M1297" s="51"/>
      <c r="N1297" s="51"/>
      <c r="O1297" s="82"/>
      <c r="P1297" s="51"/>
      <c r="Q1297" s="82"/>
      <c r="R1297" s="51"/>
      <c r="S1297" s="82"/>
      <c r="T1297" s="82"/>
      <c r="U1297" s="51"/>
      <c r="V1297" s="51"/>
      <c r="W1297" s="35"/>
      <c r="X1297" s="331"/>
      <c r="Y1297" s="48"/>
      <c r="Z1297" s="48"/>
      <c r="AA1297" s="48"/>
      <c r="AB1297" s="48"/>
      <c r="AC1297" s="48"/>
      <c r="AD1297" s="48"/>
      <c r="AE1297" s="48"/>
      <c r="AF1297" s="48"/>
      <c r="AG1297" s="61"/>
      <c r="AH1297" s="62"/>
      <c r="AI1297" s="58"/>
      <c r="AJ1297" s="56"/>
    </row>
    <row r="1298" spans="1:36" x14ac:dyDescent="0.3">
      <c r="A1298" s="59">
        <f>A1293+1</f>
        <v>1014</v>
      </c>
      <c r="B1298" s="66" t="s">
        <v>3523</v>
      </c>
      <c r="C1298" s="51">
        <f>D1298+K1298+L1298+N1298+P1298+R1298+S1298+U1298+V1298+W1298</f>
        <v>24985930.800000001</v>
      </c>
      <c r="D1298" s="51">
        <f t="shared" ref="D1298:D1301" si="300">E1298+F1298+G1298+H1298+I1298</f>
        <v>0</v>
      </c>
      <c r="E1298" s="51"/>
      <c r="F1298" s="51"/>
      <c r="G1298" s="51"/>
      <c r="H1298" s="51"/>
      <c r="I1298" s="51"/>
      <c r="J1298" s="51"/>
      <c r="K1298" s="51"/>
      <c r="L1298" s="51"/>
      <c r="M1298" s="51"/>
      <c r="N1298" s="51"/>
      <c r="O1298" s="82"/>
      <c r="P1298" s="51"/>
      <c r="Q1298" s="82">
        <v>1230</v>
      </c>
      <c r="R1298" s="51">
        <v>24985930.800000001</v>
      </c>
      <c r="S1298" s="82"/>
      <c r="T1298" s="82"/>
      <c r="U1298" s="51"/>
      <c r="V1298" s="51"/>
      <c r="W1298" s="35"/>
      <c r="X1298" s="331" t="s">
        <v>3524</v>
      </c>
      <c r="Y1298" s="48"/>
      <c r="Z1298" s="48"/>
      <c r="AA1298" s="48"/>
      <c r="AB1298" s="48"/>
      <c r="AC1298" s="48"/>
      <c r="AD1298" s="48"/>
      <c r="AE1298" s="48"/>
      <c r="AF1298" s="48"/>
      <c r="AG1298" s="61">
        <v>173554.6</v>
      </c>
      <c r="AH1298" s="62"/>
      <c r="AI1298" s="58"/>
      <c r="AJ1298" s="56"/>
    </row>
    <row r="1299" spans="1:36" x14ac:dyDescent="0.3">
      <c r="A1299" s="59">
        <f t="shared" ref="A1299:A1300" si="301">A1298+1</f>
        <v>1015</v>
      </c>
      <c r="B1299" s="66" t="s">
        <v>3525</v>
      </c>
      <c r="C1299" s="51">
        <f>D1299+K1299+L1299+N1299+P1299+R1299+S1299+U1299+V1299+W1299</f>
        <v>182039</v>
      </c>
      <c r="D1299" s="51">
        <f t="shared" si="300"/>
        <v>0</v>
      </c>
      <c r="E1299" s="51"/>
      <c r="F1299" s="51"/>
      <c r="G1299" s="51"/>
      <c r="H1299" s="51"/>
      <c r="I1299" s="51"/>
      <c r="J1299" s="51"/>
      <c r="K1299" s="51"/>
      <c r="L1299" s="51"/>
      <c r="M1299" s="51"/>
      <c r="N1299" s="51"/>
      <c r="O1299" s="82"/>
      <c r="P1299" s="51"/>
      <c r="Q1299" s="82">
        <v>13</v>
      </c>
      <c r="R1299" s="51">
        <f>Q1299*(10362+3641)</f>
        <v>182039</v>
      </c>
      <c r="S1299" s="82"/>
      <c r="T1299" s="82"/>
      <c r="U1299" s="51"/>
      <c r="V1299" s="51"/>
      <c r="W1299" s="35"/>
      <c r="X1299" s="331"/>
      <c r="Y1299" s="48"/>
      <c r="Z1299" s="48"/>
      <c r="AA1299" s="48">
        <v>235210.92</v>
      </c>
      <c r="AB1299" s="48">
        <v>206820.72</v>
      </c>
      <c r="AC1299" s="48"/>
      <c r="AD1299" s="48"/>
      <c r="AE1299" s="48"/>
      <c r="AF1299" s="48"/>
      <c r="AG1299" s="61"/>
      <c r="AH1299" s="62"/>
      <c r="AI1299" s="58"/>
      <c r="AJ1299" s="56"/>
    </row>
    <row r="1300" spans="1:36" ht="23.25" customHeight="1" x14ac:dyDescent="0.3">
      <c r="A1300" s="59">
        <f t="shared" si="301"/>
        <v>1016</v>
      </c>
      <c r="B1300" s="66" t="s">
        <v>3526</v>
      </c>
      <c r="C1300" s="51">
        <f>D1300+K1300+L1300+N1300+P1300+R1300+S1300+U1300+V1300+W1300</f>
        <v>975109.2</v>
      </c>
      <c r="D1300" s="51">
        <f t="shared" si="300"/>
        <v>0</v>
      </c>
      <c r="E1300" s="51"/>
      <c r="F1300" s="51"/>
      <c r="G1300" s="51"/>
      <c r="H1300" s="51"/>
      <c r="I1300" s="51"/>
      <c r="J1300" s="51"/>
      <c r="K1300" s="51"/>
      <c r="L1300" s="51"/>
      <c r="M1300" s="51"/>
      <c r="N1300" s="51"/>
      <c r="O1300" s="82"/>
      <c r="P1300" s="51"/>
      <c r="Q1300" s="82">
        <v>297.10000000000002</v>
      </c>
      <c r="R1300" s="51">
        <v>975109.2</v>
      </c>
      <c r="S1300" s="82"/>
      <c r="T1300" s="82"/>
      <c r="U1300" s="51"/>
      <c r="V1300" s="51"/>
      <c r="W1300" s="35"/>
      <c r="X1300" s="331" t="s">
        <v>3527</v>
      </c>
      <c r="Y1300" s="48"/>
      <c r="Z1300" s="48"/>
      <c r="AA1300" s="48"/>
      <c r="AB1300" s="48"/>
      <c r="AC1300" s="48"/>
      <c r="AD1300" s="48"/>
      <c r="AE1300" s="48"/>
      <c r="AF1300" s="48"/>
      <c r="AG1300" s="61"/>
      <c r="AH1300" s="62"/>
      <c r="AI1300" s="58"/>
      <c r="AJ1300" s="56"/>
    </row>
    <row r="1301" spans="1:36" x14ac:dyDescent="0.3">
      <c r="A1301" s="59">
        <f t="shared" ref="A1301" si="302">A1300+1</f>
        <v>1017</v>
      </c>
      <c r="B1301" s="66" t="s">
        <v>3528</v>
      </c>
      <c r="C1301" s="51">
        <f>D1301+K1301+L1301+N1301+P1301+R1301+S1301+U1301+V1301+W1301</f>
        <v>18932373.600000001</v>
      </c>
      <c r="D1301" s="51">
        <f t="shared" si="300"/>
        <v>0</v>
      </c>
      <c r="E1301" s="51"/>
      <c r="F1301" s="51"/>
      <c r="G1301" s="51"/>
      <c r="H1301" s="51"/>
      <c r="I1301" s="51"/>
      <c r="J1301" s="51"/>
      <c r="K1301" s="51"/>
      <c r="L1301" s="51"/>
      <c r="M1301" s="51"/>
      <c r="N1301" s="51"/>
      <c r="O1301" s="82"/>
      <c r="P1301" s="51"/>
      <c r="Q1301" s="82">
        <v>2590</v>
      </c>
      <c r="R1301" s="51">
        <v>18932373.600000001</v>
      </c>
      <c r="S1301" s="82"/>
      <c r="T1301" s="82"/>
      <c r="U1301" s="51"/>
      <c r="V1301" s="51"/>
      <c r="W1301" s="35"/>
      <c r="X1301" s="331"/>
      <c r="Y1301" s="48"/>
      <c r="Z1301" s="48"/>
      <c r="AA1301" s="48"/>
      <c r="AB1301" s="48"/>
      <c r="AC1301" s="48"/>
      <c r="AD1301" s="48"/>
      <c r="AE1301" s="48"/>
      <c r="AF1301" s="48"/>
      <c r="AG1301" s="61"/>
      <c r="AH1301" s="62"/>
      <c r="AI1301" s="58"/>
      <c r="AJ1301" s="56"/>
    </row>
    <row r="1302" spans="1:36" x14ac:dyDescent="0.3">
      <c r="A1302" s="59"/>
      <c r="B1302" s="66" t="s">
        <v>211</v>
      </c>
      <c r="C1302" s="51">
        <f t="shared" ref="C1302:W1302" si="303">SUM(C1298:C1301)</f>
        <v>45075452.600000001</v>
      </c>
      <c r="D1302" s="51">
        <f t="shared" si="303"/>
        <v>0</v>
      </c>
      <c r="E1302" s="51">
        <f t="shared" si="303"/>
        <v>0</v>
      </c>
      <c r="F1302" s="51">
        <f t="shared" si="303"/>
        <v>0</v>
      </c>
      <c r="G1302" s="51">
        <f t="shared" si="303"/>
        <v>0</v>
      </c>
      <c r="H1302" s="51">
        <f t="shared" si="303"/>
        <v>0</v>
      </c>
      <c r="I1302" s="51">
        <f t="shared" si="303"/>
        <v>0</v>
      </c>
      <c r="J1302" s="51">
        <f t="shared" si="303"/>
        <v>0</v>
      </c>
      <c r="K1302" s="51">
        <f t="shared" si="303"/>
        <v>0</v>
      </c>
      <c r="L1302" s="51">
        <f t="shared" si="303"/>
        <v>0</v>
      </c>
      <c r="M1302" s="51">
        <f t="shared" si="303"/>
        <v>0</v>
      </c>
      <c r="N1302" s="51">
        <f t="shared" si="303"/>
        <v>0</v>
      </c>
      <c r="O1302" s="82">
        <f t="shared" si="303"/>
        <v>0</v>
      </c>
      <c r="P1302" s="51">
        <f t="shared" si="303"/>
        <v>0</v>
      </c>
      <c r="Q1302" s="82">
        <f t="shared" si="303"/>
        <v>4130.1000000000004</v>
      </c>
      <c r="R1302" s="51">
        <f t="shared" si="303"/>
        <v>45075452.600000001</v>
      </c>
      <c r="S1302" s="82">
        <f t="shared" si="303"/>
        <v>0</v>
      </c>
      <c r="T1302" s="82">
        <f t="shared" si="303"/>
        <v>0</v>
      </c>
      <c r="U1302" s="51">
        <f t="shared" si="303"/>
        <v>0</v>
      </c>
      <c r="V1302" s="51">
        <f t="shared" si="303"/>
        <v>0</v>
      </c>
      <c r="W1302" s="35">
        <f t="shared" si="303"/>
        <v>0</v>
      </c>
      <c r="X1302" s="331"/>
      <c r="Y1302" s="48"/>
      <c r="Z1302" s="48"/>
      <c r="AA1302" s="48"/>
      <c r="AB1302" s="48"/>
      <c r="AC1302" s="48"/>
      <c r="AD1302" s="48"/>
      <c r="AE1302" s="48"/>
      <c r="AF1302" s="48"/>
      <c r="AG1302" s="61"/>
      <c r="AH1302" s="62"/>
      <c r="AI1302" s="58"/>
      <c r="AJ1302" s="56"/>
    </row>
    <row r="1303" spans="1:36" x14ac:dyDescent="0.3">
      <c r="A1303" s="463" t="s">
        <v>3534</v>
      </c>
      <c r="B1303" s="463"/>
      <c r="C1303" s="51"/>
      <c r="D1303" s="51"/>
      <c r="E1303" s="51"/>
      <c r="F1303" s="51"/>
      <c r="G1303" s="51"/>
      <c r="H1303" s="51"/>
      <c r="I1303" s="51"/>
      <c r="J1303" s="51"/>
      <c r="K1303" s="51"/>
      <c r="L1303" s="51"/>
      <c r="M1303" s="51"/>
      <c r="N1303" s="51"/>
      <c r="O1303" s="82"/>
      <c r="P1303" s="51"/>
      <c r="Q1303" s="82"/>
      <c r="R1303" s="51"/>
      <c r="S1303" s="82"/>
      <c r="T1303" s="82"/>
      <c r="U1303" s="51"/>
      <c r="V1303" s="51"/>
      <c r="W1303" s="35"/>
      <c r="X1303" s="331"/>
      <c r="Y1303" s="48"/>
      <c r="Z1303" s="48"/>
      <c r="AA1303" s="48"/>
      <c r="AB1303" s="48"/>
      <c r="AC1303" s="48"/>
      <c r="AD1303" s="48"/>
      <c r="AE1303" s="48"/>
      <c r="AF1303" s="48"/>
      <c r="AG1303" s="61"/>
      <c r="AH1303" s="62"/>
      <c r="AI1303" s="58"/>
      <c r="AJ1303" s="56"/>
    </row>
    <row r="1304" spans="1:36" ht="18.75" customHeight="1" x14ac:dyDescent="0.3">
      <c r="A1304" s="59">
        <f>A1301+1</f>
        <v>1018</v>
      </c>
      <c r="B1304" s="66" t="s">
        <v>3538</v>
      </c>
      <c r="C1304" s="51">
        <f>D1304+K1304+L1304+N1304+P1304+R1304+S1304+U1304+V1304+W1304</f>
        <v>2447950.7999999998</v>
      </c>
      <c r="D1304" s="51">
        <f>E1304+F1304+G1304+H1304+I1304</f>
        <v>0</v>
      </c>
      <c r="E1304" s="51"/>
      <c r="F1304" s="51"/>
      <c r="G1304" s="51"/>
      <c r="H1304" s="51"/>
      <c r="I1304" s="51"/>
      <c r="J1304" s="51"/>
      <c r="K1304" s="51"/>
      <c r="L1304" s="51"/>
      <c r="M1304" s="51"/>
      <c r="N1304" s="51"/>
      <c r="O1304" s="82"/>
      <c r="P1304" s="399"/>
      <c r="Q1304" s="82">
        <v>1243</v>
      </c>
      <c r="R1304" s="51">
        <v>2447950.7999999998</v>
      </c>
      <c r="S1304" s="82"/>
      <c r="T1304" s="82"/>
      <c r="U1304" s="51"/>
      <c r="V1304" s="51"/>
      <c r="W1304" s="35"/>
      <c r="X1304" s="331" t="s">
        <v>3539</v>
      </c>
      <c r="Y1304" s="48"/>
      <c r="Z1304" s="48"/>
      <c r="AA1304" s="48"/>
      <c r="AB1304" s="48"/>
      <c r="AC1304" s="48"/>
      <c r="AD1304" s="48"/>
      <c r="AE1304" s="48"/>
      <c r="AF1304" s="48"/>
      <c r="AG1304" s="61"/>
      <c r="AH1304" s="62"/>
      <c r="AI1304" s="58"/>
      <c r="AJ1304" s="56"/>
    </row>
    <row r="1305" spans="1:36" x14ac:dyDescent="0.3">
      <c r="A1305" s="59"/>
      <c r="B1305" s="66" t="s">
        <v>211</v>
      </c>
      <c r="C1305" s="51">
        <f t="shared" ref="C1305:W1305" si="304">SUM(C1304:C1304)</f>
        <v>2447950.7999999998</v>
      </c>
      <c r="D1305" s="51">
        <f t="shared" si="304"/>
        <v>0</v>
      </c>
      <c r="E1305" s="51">
        <f t="shared" si="304"/>
        <v>0</v>
      </c>
      <c r="F1305" s="51">
        <f t="shared" si="304"/>
        <v>0</v>
      </c>
      <c r="G1305" s="51">
        <f t="shared" si="304"/>
        <v>0</v>
      </c>
      <c r="H1305" s="51">
        <f t="shared" si="304"/>
        <v>0</v>
      </c>
      <c r="I1305" s="51">
        <f t="shared" si="304"/>
        <v>0</v>
      </c>
      <c r="J1305" s="51">
        <f t="shared" si="304"/>
        <v>0</v>
      </c>
      <c r="K1305" s="51">
        <f t="shared" si="304"/>
        <v>0</v>
      </c>
      <c r="L1305" s="51">
        <f t="shared" si="304"/>
        <v>0</v>
      </c>
      <c r="M1305" s="51">
        <f t="shared" si="304"/>
        <v>0</v>
      </c>
      <c r="N1305" s="51">
        <f t="shared" si="304"/>
        <v>0</v>
      </c>
      <c r="O1305" s="82">
        <f t="shared" si="304"/>
        <v>0</v>
      </c>
      <c r="P1305" s="51">
        <f t="shared" si="304"/>
        <v>0</v>
      </c>
      <c r="Q1305" s="82">
        <f t="shared" si="304"/>
        <v>1243</v>
      </c>
      <c r="R1305" s="51">
        <f t="shared" si="304"/>
        <v>2447950.7999999998</v>
      </c>
      <c r="S1305" s="82">
        <f t="shared" si="304"/>
        <v>0</v>
      </c>
      <c r="T1305" s="82">
        <f t="shared" si="304"/>
        <v>0</v>
      </c>
      <c r="U1305" s="51">
        <f t="shared" si="304"/>
        <v>0</v>
      </c>
      <c r="V1305" s="51">
        <f t="shared" si="304"/>
        <v>0</v>
      </c>
      <c r="W1305" s="35">
        <f t="shared" si="304"/>
        <v>0</v>
      </c>
      <c r="X1305" s="331"/>
      <c r="Y1305" s="48"/>
      <c r="Z1305" s="48"/>
      <c r="AA1305" s="48"/>
      <c r="AB1305" s="48"/>
      <c r="AC1305" s="48"/>
      <c r="AD1305" s="48"/>
      <c r="AE1305" s="48"/>
      <c r="AF1305" s="48"/>
      <c r="AG1305" s="61"/>
      <c r="AH1305" s="62"/>
      <c r="AI1305" s="58"/>
      <c r="AJ1305" s="56"/>
    </row>
    <row r="1306" spans="1:36" x14ac:dyDescent="0.3">
      <c r="A1306" s="463" t="s">
        <v>3544</v>
      </c>
      <c r="B1306" s="463"/>
      <c r="C1306" s="51"/>
      <c r="D1306" s="51"/>
      <c r="E1306" s="51"/>
      <c r="F1306" s="51"/>
      <c r="G1306" s="51"/>
      <c r="H1306" s="51"/>
      <c r="I1306" s="51"/>
      <c r="J1306" s="51"/>
      <c r="K1306" s="51"/>
      <c r="L1306" s="51"/>
      <c r="M1306" s="51"/>
      <c r="N1306" s="51"/>
      <c r="O1306" s="82"/>
      <c r="P1306" s="51"/>
      <c r="Q1306" s="82"/>
      <c r="R1306" s="51"/>
      <c r="S1306" s="82"/>
      <c r="T1306" s="82"/>
      <c r="U1306" s="51"/>
      <c r="V1306" s="51"/>
      <c r="W1306" s="35"/>
      <c r="X1306" s="331"/>
      <c r="Y1306" s="48"/>
      <c r="Z1306" s="48"/>
      <c r="AA1306" s="48"/>
      <c r="AB1306" s="48"/>
      <c r="AC1306" s="48"/>
      <c r="AD1306" s="48"/>
      <c r="AE1306" s="48"/>
      <c r="AF1306" s="48"/>
      <c r="AG1306" s="61"/>
      <c r="AH1306" s="62"/>
      <c r="AI1306" s="58"/>
      <c r="AJ1306" s="56"/>
    </row>
    <row r="1307" spans="1:36" x14ac:dyDescent="0.3">
      <c r="A1307" s="59">
        <f>A1304+1</f>
        <v>1019</v>
      </c>
      <c r="B1307" s="66" t="s">
        <v>3545</v>
      </c>
      <c r="C1307" s="51">
        <f>D1307+K1307+L1307+N1307+P1307+R1307+S1307+U1307+V1307+W1307</f>
        <v>6193183.9800000004</v>
      </c>
      <c r="D1307" s="51">
        <f>E1307+F1307+G1307+H1307+I1307</f>
        <v>0</v>
      </c>
      <c r="E1307" s="51"/>
      <c r="F1307" s="51"/>
      <c r="G1307" s="51"/>
      <c r="H1307" s="51"/>
      <c r="I1307" s="51"/>
      <c r="J1307" s="51"/>
      <c r="K1307" s="51"/>
      <c r="L1307" s="51"/>
      <c r="M1307" s="51"/>
      <c r="N1307" s="51"/>
      <c r="O1307" s="82"/>
      <c r="P1307" s="51"/>
      <c r="Q1307" s="82">
        <v>724</v>
      </c>
      <c r="R1307" s="51">
        <v>6193183.9800000004</v>
      </c>
      <c r="S1307" s="82"/>
      <c r="T1307" s="82"/>
      <c r="U1307" s="51"/>
      <c r="V1307" s="51"/>
      <c r="W1307" s="35"/>
      <c r="X1307" s="331"/>
      <c r="Y1307" s="48"/>
      <c r="Z1307" s="48"/>
      <c r="AA1307" s="48"/>
      <c r="AB1307" s="48"/>
      <c r="AC1307" s="48"/>
      <c r="AD1307" s="48"/>
      <c r="AE1307" s="48"/>
      <c r="AF1307" s="48"/>
      <c r="AG1307" s="61"/>
      <c r="AH1307" s="62"/>
      <c r="AI1307" s="58"/>
      <c r="AJ1307" s="56"/>
    </row>
    <row r="1308" spans="1:36" x14ac:dyDescent="0.3">
      <c r="A1308" s="59">
        <f t="shared" ref="A1308:A1310" si="305">A1307+1</f>
        <v>1020</v>
      </c>
      <c r="B1308" s="66" t="s">
        <v>3546</v>
      </c>
      <c r="C1308" s="51">
        <f>D1308+K1308+L1308+N1308+P1308+R1308+S1308+U1308+V1308+W1308</f>
        <v>6628881.2800000003</v>
      </c>
      <c r="D1308" s="51">
        <f>E1308+F1308+G1308+H1308+I1308</f>
        <v>0</v>
      </c>
      <c r="E1308" s="51"/>
      <c r="F1308" s="51"/>
      <c r="G1308" s="51"/>
      <c r="H1308" s="51"/>
      <c r="I1308" s="51"/>
      <c r="J1308" s="51"/>
      <c r="K1308" s="51"/>
      <c r="L1308" s="51"/>
      <c r="M1308" s="51"/>
      <c r="N1308" s="51"/>
      <c r="O1308" s="82"/>
      <c r="P1308" s="51"/>
      <c r="Q1308" s="82">
        <v>724</v>
      </c>
      <c r="R1308" s="51">
        <v>6628881.2800000003</v>
      </c>
      <c r="S1308" s="82"/>
      <c r="T1308" s="82"/>
      <c r="U1308" s="51"/>
      <c r="V1308" s="51"/>
      <c r="W1308" s="35"/>
      <c r="X1308" s="331"/>
      <c r="Y1308" s="48"/>
      <c r="Z1308" s="48"/>
      <c r="AA1308" s="48"/>
      <c r="AB1308" s="48"/>
      <c r="AC1308" s="48"/>
      <c r="AD1308" s="48"/>
      <c r="AE1308" s="48"/>
      <c r="AF1308" s="48"/>
      <c r="AG1308" s="61"/>
      <c r="AH1308" s="62"/>
      <c r="AI1308" s="58"/>
      <c r="AJ1308" s="56"/>
    </row>
    <row r="1309" spans="1:36" x14ac:dyDescent="0.3">
      <c r="A1309" s="59">
        <f t="shared" si="305"/>
        <v>1021</v>
      </c>
      <c r="B1309" s="66" t="s">
        <v>3553</v>
      </c>
      <c r="C1309" s="51">
        <f>D1309+K1309+L1309+N1309+P1309+R1309+S1309+U1309+V1309+W1309</f>
        <v>182039</v>
      </c>
      <c r="D1309" s="51">
        <f>E1309+F1309+G1309+H1309+I1309</f>
        <v>0</v>
      </c>
      <c r="E1309" s="51"/>
      <c r="F1309" s="51"/>
      <c r="G1309" s="51"/>
      <c r="H1309" s="51"/>
      <c r="I1309" s="51"/>
      <c r="J1309" s="51"/>
      <c r="K1309" s="51"/>
      <c r="L1309" s="51"/>
      <c r="M1309" s="51"/>
      <c r="N1309" s="51"/>
      <c r="O1309" s="82"/>
      <c r="P1309" s="51"/>
      <c r="Q1309" s="82">
        <v>13</v>
      </c>
      <c r="R1309" s="51">
        <f>Q1309*(10362+3641)</f>
        <v>182039</v>
      </c>
      <c r="S1309" s="82"/>
      <c r="T1309" s="82"/>
      <c r="U1309" s="51"/>
      <c r="V1309" s="51"/>
      <c r="W1309" s="35"/>
      <c r="X1309" s="331"/>
      <c r="Y1309" s="48"/>
      <c r="Z1309" s="48"/>
      <c r="AA1309" s="48"/>
      <c r="AB1309" s="48"/>
      <c r="AC1309" s="48"/>
      <c r="AD1309" s="48"/>
      <c r="AE1309" s="48"/>
      <c r="AF1309" s="48"/>
      <c r="AG1309" s="61"/>
      <c r="AH1309" s="62"/>
      <c r="AI1309" s="58"/>
      <c r="AJ1309" s="56"/>
    </row>
    <row r="1310" spans="1:36" x14ac:dyDescent="0.3">
      <c r="A1310" s="59">
        <f t="shared" si="305"/>
        <v>1022</v>
      </c>
      <c r="B1310" s="66" t="s">
        <v>3559</v>
      </c>
      <c r="C1310" s="51">
        <f>D1310+K1310+L1310+N1310+P1310+R1310+S1310+U1310+V1310+W1310</f>
        <v>3635688</v>
      </c>
      <c r="D1310" s="51">
        <f>E1310+F1310+G1310+H1310+I1310</f>
        <v>0</v>
      </c>
      <c r="E1310" s="51"/>
      <c r="F1310" s="51"/>
      <c r="G1310" s="51"/>
      <c r="H1310" s="51"/>
      <c r="I1310" s="51"/>
      <c r="J1310" s="51"/>
      <c r="K1310" s="51"/>
      <c r="L1310" s="51"/>
      <c r="M1310" s="51"/>
      <c r="N1310" s="51"/>
      <c r="O1310" s="82"/>
      <c r="P1310" s="51"/>
      <c r="Q1310" s="82">
        <v>670</v>
      </c>
      <c r="R1310" s="51">
        <v>3635688</v>
      </c>
      <c r="S1310" s="82"/>
      <c r="T1310" s="82"/>
      <c r="U1310" s="51"/>
      <c r="V1310" s="51"/>
      <c r="W1310" s="35"/>
      <c r="X1310" s="331"/>
      <c r="Y1310" s="48"/>
      <c r="Z1310" s="48"/>
      <c r="AA1310" s="48"/>
      <c r="AB1310" s="48"/>
      <c r="AC1310" s="48"/>
      <c r="AD1310" s="48"/>
      <c r="AE1310" s="48"/>
      <c r="AF1310" s="48"/>
      <c r="AG1310" s="61"/>
      <c r="AH1310" s="62"/>
      <c r="AI1310" s="58"/>
      <c r="AJ1310" s="56"/>
    </row>
    <row r="1311" spans="1:36" x14ac:dyDescent="0.3">
      <c r="A1311" s="59"/>
      <c r="B1311" s="66" t="s">
        <v>211</v>
      </c>
      <c r="C1311" s="51">
        <f>SUM(C1307:C1310)</f>
        <v>16639792.260000002</v>
      </c>
      <c r="D1311" s="51">
        <f>SUM(D1307:D1310)</f>
        <v>0</v>
      </c>
      <c r="E1311" s="51"/>
      <c r="F1311" s="51"/>
      <c r="G1311" s="51"/>
      <c r="H1311" s="51"/>
      <c r="I1311" s="51"/>
      <c r="J1311" s="51"/>
      <c r="K1311" s="51"/>
      <c r="L1311" s="51"/>
      <c r="M1311" s="51"/>
      <c r="N1311" s="51"/>
      <c r="O1311" s="82"/>
      <c r="P1311" s="51"/>
      <c r="Q1311" s="82"/>
      <c r="R1311" s="51">
        <f t="shared" ref="R1311:W1311" si="306">SUM(R1307:R1310)</f>
        <v>16639792.260000002</v>
      </c>
      <c r="S1311" s="82">
        <f t="shared" si="306"/>
        <v>0</v>
      </c>
      <c r="T1311" s="82">
        <f t="shared" si="306"/>
        <v>0</v>
      </c>
      <c r="U1311" s="51">
        <f t="shared" si="306"/>
        <v>0</v>
      </c>
      <c r="V1311" s="51">
        <f t="shared" si="306"/>
        <v>0</v>
      </c>
      <c r="W1311" s="35">
        <f t="shared" si="306"/>
        <v>0</v>
      </c>
      <c r="X1311" s="331"/>
      <c r="Y1311" s="48"/>
      <c r="Z1311" s="48"/>
      <c r="AA1311" s="48"/>
      <c r="AB1311" s="48"/>
      <c r="AC1311" s="48"/>
      <c r="AD1311" s="48"/>
      <c r="AE1311" s="48"/>
      <c r="AF1311" s="48"/>
      <c r="AG1311" s="61"/>
      <c r="AH1311" s="62"/>
      <c r="AI1311" s="58"/>
      <c r="AJ1311" s="56"/>
    </row>
    <row r="1312" spans="1:36" x14ac:dyDescent="0.3">
      <c r="A1312" s="463" t="s">
        <v>3565</v>
      </c>
      <c r="B1312" s="463"/>
      <c r="C1312" s="51"/>
      <c r="D1312" s="51"/>
      <c r="E1312" s="51"/>
      <c r="F1312" s="51"/>
      <c r="G1312" s="51"/>
      <c r="H1312" s="51"/>
      <c r="I1312" s="51"/>
      <c r="J1312" s="51"/>
      <c r="K1312" s="51"/>
      <c r="L1312" s="51"/>
      <c r="M1312" s="51"/>
      <c r="N1312" s="51"/>
      <c r="O1312" s="82"/>
      <c r="P1312" s="51"/>
      <c r="Q1312" s="82"/>
      <c r="R1312" s="51"/>
      <c r="S1312" s="82"/>
      <c r="T1312" s="82"/>
      <c r="U1312" s="51"/>
      <c r="V1312" s="51"/>
      <c r="W1312" s="35"/>
      <c r="X1312" s="331"/>
      <c r="Y1312" s="48"/>
      <c r="Z1312" s="48"/>
      <c r="AA1312" s="48"/>
      <c r="AB1312" s="48"/>
      <c r="AC1312" s="48"/>
      <c r="AD1312" s="48"/>
      <c r="AE1312" s="48"/>
      <c r="AF1312" s="48"/>
      <c r="AG1312" s="61"/>
      <c r="AH1312" s="62"/>
      <c r="AI1312" s="58"/>
      <c r="AJ1312" s="56"/>
    </row>
    <row r="1313" spans="1:36" ht="31.2" x14ac:dyDescent="0.3">
      <c r="A1313" s="59">
        <f>A1310+1</f>
        <v>1023</v>
      </c>
      <c r="B1313" s="66" t="s">
        <v>3566</v>
      </c>
      <c r="C1313" s="51">
        <f t="shared" ref="C1313:C1318" si="307">D1313+K1313+L1313+N1313+P1313+R1313+S1313+U1313+V1313+W1313</f>
        <v>880777.43</v>
      </c>
      <c r="D1313" s="51">
        <f t="shared" ref="D1313:D1318" si="308">E1313+F1313+G1313+H1313+I1313</f>
        <v>0</v>
      </c>
      <c r="E1313" s="51"/>
      <c r="F1313" s="51"/>
      <c r="G1313" s="51"/>
      <c r="H1313" s="51"/>
      <c r="I1313" s="51"/>
      <c r="J1313" s="51"/>
      <c r="K1313" s="51"/>
      <c r="L1313" s="51"/>
      <c r="M1313" s="51">
        <v>750</v>
      </c>
      <c r="N1313" s="51"/>
      <c r="O1313" s="82"/>
      <c r="P1313" s="399"/>
      <c r="Q1313" s="82"/>
      <c r="R1313" s="51"/>
      <c r="S1313" s="82"/>
      <c r="T1313" s="82"/>
      <c r="U1313" s="51"/>
      <c r="V1313" s="51"/>
      <c r="W1313" s="35">
        <f t="shared" ref="W1313:W1350" si="309">SUM(Z1313:AI1313)</f>
        <v>880777.43</v>
      </c>
      <c r="X1313" s="331"/>
      <c r="Y1313" s="48"/>
      <c r="Z1313" s="48">
        <v>114597.68</v>
      </c>
      <c r="AA1313" s="48"/>
      <c r="AB1313" s="48"/>
      <c r="AC1313" s="48"/>
      <c r="AD1313" s="48"/>
      <c r="AE1313" s="48"/>
      <c r="AF1313" s="48">
        <v>216389.95</v>
      </c>
      <c r="AG1313" s="61"/>
      <c r="AH1313" s="62">
        <v>549789.80000000005</v>
      </c>
      <c r="AI1313" s="58"/>
      <c r="AJ1313" s="56"/>
    </row>
    <row r="1314" spans="1:36" ht="31.2" x14ac:dyDescent="0.3">
      <c r="A1314" s="59">
        <f t="shared" ref="A1314:A1318" si="310">A1313+1</f>
        <v>1024</v>
      </c>
      <c r="B1314" s="66" t="s">
        <v>3567</v>
      </c>
      <c r="C1314" s="51">
        <f t="shared" si="307"/>
        <v>1152796.2000000002</v>
      </c>
      <c r="D1314" s="51">
        <f t="shared" si="308"/>
        <v>0</v>
      </c>
      <c r="E1314" s="51"/>
      <c r="F1314" s="51"/>
      <c r="G1314" s="51"/>
      <c r="H1314" s="51"/>
      <c r="I1314" s="51"/>
      <c r="J1314" s="51"/>
      <c r="K1314" s="51"/>
      <c r="L1314" s="51"/>
      <c r="M1314" s="51">
        <v>750</v>
      </c>
      <c r="N1314" s="51"/>
      <c r="O1314" s="82"/>
      <c r="P1314" s="399"/>
      <c r="Q1314" s="82"/>
      <c r="R1314" s="51"/>
      <c r="S1314" s="82"/>
      <c r="T1314" s="82"/>
      <c r="U1314" s="51"/>
      <c r="V1314" s="51"/>
      <c r="W1314" s="35">
        <f t="shared" si="309"/>
        <v>1152796.2000000002</v>
      </c>
      <c r="X1314" s="331"/>
      <c r="Y1314" s="48"/>
      <c r="Z1314" s="48">
        <v>114597.68</v>
      </c>
      <c r="AA1314" s="48">
        <v>142002.32</v>
      </c>
      <c r="AB1314" s="48">
        <v>130016.45</v>
      </c>
      <c r="AC1314" s="48"/>
      <c r="AD1314" s="48"/>
      <c r="AE1314" s="48"/>
      <c r="AF1314" s="48">
        <v>216389.95</v>
      </c>
      <c r="AG1314" s="61"/>
      <c r="AH1314" s="62">
        <v>549789.80000000005</v>
      </c>
      <c r="AI1314" s="58"/>
      <c r="AJ1314" s="56"/>
    </row>
    <row r="1315" spans="1:36" ht="31.2" x14ac:dyDescent="0.3">
      <c r="A1315" s="59">
        <f t="shared" si="310"/>
        <v>1025</v>
      </c>
      <c r="B1315" s="66" t="s">
        <v>3568</v>
      </c>
      <c r="C1315" s="51">
        <f t="shared" si="307"/>
        <v>1748526.4700000002</v>
      </c>
      <c r="D1315" s="51">
        <f t="shared" si="308"/>
        <v>0</v>
      </c>
      <c r="E1315" s="51"/>
      <c r="F1315" s="51"/>
      <c r="G1315" s="51"/>
      <c r="H1315" s="51"/>
      <c r="I1315" s="51"/>
      <c r="J1315" s="51"/>
      <c r="K1315" s="51"/>
      <c r="L1315" s="51"/>
      <c r="M1315" s="51">
        <v>750</v>
      </c>
      <c r="N1315" s="51"/>
      <c r="O1315" s="82"/>
      <c r="P1315" s="399"/>
      <c r="Q1315" s="82"/>
      <c r="R1315" s="51"/>
      <c r="S1315" s="82"/>
      <c r="T1315" s="82"/>
      <c r="U1315" s="51"/>
      <c r="V1315" s="51"/>
      <c r="W1315" s="35">
        <f t="shared" si="309"/>
        <v>1748526.4700000002</v>
      </c>
      <c r="X1315" s="331"/>
      <c r="Y1315" s="48"/>
      <c r="Z1315" s="48">
        <v>127368.37</v>
      </c>
      <c r="AA1315" s="48">
        <v>157953.35</v>
      </c>
      <c r="AB1315" s="48">
        <v>135033.42000000001</v>
      </c>
      <c r="AC1315" s="48"/>
      <c r="AD1315" s="48"/>
      <c r="AE1315" s="48">
        <v>123728.34</v>
      </c>
      <c r="AF1315" s="48">
        <v>274524.14</v>
      </c>
      <c r="AG1315" s="61"/>
      <c r="AH1315" s="62">
        <v>681311.29</v>
      </c>
      <c r="AI1315" s="58">
        <v>248607.56</v>
      </c>
      <c r="AJ1315" s="56"/>
    </row>
    <row r="1316" spans="1:36" x14ac:dyDescent="0.3">
      <c r="A1316" s="59">
        <f t="shared" si="310"/>
        <v>1026</v>
      </c>
      <c r="B1316" s="66" t="s">
        <v>3569</v>
      </c>
      <c r="C1316" s="51">
        <f t="shared" si="307"/>
        <v>734756.88</v>
      </c>
      <c r="D1316" s="51">
        <f t="shared" si="308"/>
        <v>0</v>
      </c>
      <c r="E1316" s="51"/>
      <c r="F1316" s="51"/>
      <c r="G1316" s="51"/>
      <c r="H1316" s="51"/>
      <c r="I1316" s="51"/>
      <c r="J1316" s="51"/>
      <c r="K1316" s="51"/>
      <c r="L1316" s="51"/>
      <c r="M1316" s="51">
        <v>392</v>
      </c>
      <c r="N1316" s="51"/>
      <c r="O1316" s="82"/>
      <c r="P1316" s="399"/>
      <c r="Q1316" s="82"/>
      <c r="R1316" s="51"/>
      <c r="S1316" s="82"/>
      <c r="T1316" s="82"/>
      <c r="U1316" s="51"/>
      <c r="V1316" s="51"/>
      <c r="W1316" s="35">
        <f t="shared" si="309"/>
        <v>734756.88</v>
      </c>
      <c r="X1316" s="331"/>
      <c r="Y1316" s="48"/>
      <c r="Z1316" s="48"/>
      <c r="AA1316" s="48"/>
      <c r="AB1316" s="48"/>
      <c r="AC1316" s="48"/>
      <c r="AD1316" s="48"/>
      <c r="AE1316" s="48"/>
      <c r="AF1316" s="48">
        <v>208853.62</v>
      </c>
      <c r="AG1316" s="61"/>
      <c r="AH1316" s="62">
        <v>525903.26</v>
      </c>
      <c r="AI1316" s="58"/>
      <c r="AJ1316" s="56"/>
    </row>
    <row r="1317" spans="1:36" x14ac:dyDescent="0.3">
      <c r="A1317" s="59">
        <f t="shared" si="310"/>
        <v>1027</v>
      </c>
      <c r="B1317" s="66" t="s">
        <v>3570</v>
      </c>
      <c r="C1317" s="51">
        <f t="shared" si="307"/>
        <v>753116</v>
      </c>
      <c r="D1317" s="51">
        <f t="shared" si="308"/>
        <v>0</v>
      </c>
      <c r="E1317" s="51"/>
      <c r="F1317" s="51"/>
      <c r="G1317" s="51"/>
      <c r="H1317" s="51"/>
      <c r="I1317" s="51"/>
      <c r="J1317" s="51"/>
      <c r="K1317" s="51"/>
      <c r="L1317" s="51"/>
      <c r="M1317" s="51">
        <v>800</v>
      </c>
      <c r="N1317" s="51"/>
      <c r="O1317" s="82"/>
      <c r="P1317" s="399"/>
      <c r="Q1317" s="82"/>
      <c r="R1317" s="51"/>
      <c r="S1317" s="82"/>
      <c r="T1317" s="82"/>
      <c r="U1317" s="51"/>
      <c r="V1317" s="51"/>
      <c r="W1317" s="35">
        <f t="shared" si="309"/>
        <v>753116</v>
      </c>
      <c r="X1317" s="331"/>
      <c r="Y1317" s="48"/>
      <c r="Z1317" s="48"/>
      <c r="AA1317" s="48"/>
      <c r="AB1317" s="48"/>
      <c r="AC1317" s="48"/>
      <c r="AD1317" s="48"/>
      <c r="AE1317" s="48"/>
      <c r="AF1317" s="48">
        <v>213264.46</v>
      </c>
      <c r="AG1317" s="61"/>
      <c r="AH1317" s="62">
        <v>539851.54</v>
      </c>
      <c r="AI1317" s="58"/>
      <c r="AJ1317" s="56"/>
    </row>
    <row r="1318" spans="1:36" x14ac:dyDescent="0.3">
      <c r="A1318" s="59">
        <f t="shared" si="310"/>
        <v>1028</v>
      </c>
      <c r="B1318" s="66" t="s">
        <v>3571</v>
      </c>
      <c r="C1318" s="51">
        <f t="shared" si="307"/>
        <v>1087028.8800000001</v>
      </c>
      <c r="D1318" s="51">
        <f t="shared" si="308"/>
        <v>0</v>
      </c>
      <c r="E1318" s="51"/>
      <c r="F1318" s="51"/>
      <c r="G1318" s="51"/>
      <c r="H1318" s="51"/>
      <c r="I1318" s="51"/>
      <c r="J1318" s="51"/>
      <c r="K1318" s="51"/>
      <c r="L1318" s="51"/>
      <c r="M1318" s="51">
        <v>870</v>
      </c>
      <c r="N1318" s="51"/>
      <c r="O1318" s="82"/>
      <c r="P1318" s="51"/>
      <c r="Q1318" s="82"/>
      <c r="R1318" s="51"/>
      <c r="S1318" s="82"/>
      <c r="T1318" s="82"/>
      <c r="U1318" s="51"/>
      <c r="V1318" s="51"/>
      <c r="W1318" s="35">
        <f t="shared" si="309"/>
        <v>1087028.8800000001</v>
      </c>
      <c r="X1318" s="331"/>
      <c r="Y1318" s="48"/>
      <c r="Z1318" s="48">
        <v>83148.97</v>
      </c>
      <c r="AA1318" s="48">
        <v>129861.36</v>
      </c>
      <c r="AB1318" s="48"/>
      <c r="AC1318" s="48"/>
      <c r="AD1318" s="48"/>
      <c r="AE1318" s="48">
        <v>74173.06</v>
      </c>
      <c r="AF1318" s="48">
        <v>119061.78</v>
      </c>
      <c r="AG1318" s="61"/>
      <c r="AH1318" s="62">
        <v>493751.39</v>
      </c>
      <c r="AI1318" s="58">
        <v>187032.32000000001</v>
      </c>
      <c r="AJ1318" s="56"/>
    </row>
    <row r="1319" spans="1:36" x14ac:dyDescent="0.3">
      <c r="A1319" s="59"/>
      <c r="B1319" s="66" t="s">
        <v>211</v>
      </c>
      <c r="C1319" s="51">
        <f t="shared" ref="C1319:W1319" si="311">SUM(C1313:C1318)</f>
        <v>6357001.8600000003</v>
      </c>
      <c r="D1319" s="51">
        <f t="shared" si="311"/>
        <v>0</v>
      </c>
      <c r="E1319" s="51">
        <f t="shared" si="311"/>
        <v>0</v>
      </c>
      <c r="F1319" s="51">
        <f t="shared" si="311"/>
        <v>0</v>
      </c>
      <c r="G1319" s="51">
        <f t="shared" si="311"/>
        <v>0</v>
      </c>
      <c r="H1319" s="51">
        <f t="shared" si="311"/>
        <v>0</v>
      </c>
      <c r="I1319" s="51">
        <f t="shared" si="311"/>
        <v>0</v>
      </c>
      <c r="J1319" s="51">
        <f t="shared" si="311"/>
        <v>0</v>
      </c>
      <c r="K1319" s="51">
        <f t="shared" si="311"/>
        <v>0</v>
      </c>
      <c r="L1319" s="51">
        <f t="shared" si="311"/>
        <v>0</v>
      </c>
      <c r="M1319" s="51">
        <f t="shared" si="311"/>
        <v>4312</v>
      </c>
      <c r="N1319" s="51">
        <f t="shared" si="311"/>
        <v>0</v>
      </c>
      <c r="O1319" s="82">
        <f t="shared" si="311"/>
        <v>0</v>
      </c>
      <c r="P1319" s="51">
        <f t="shared" si="311"/>
        <v>0</v>
      </c>
      <c r="Q1319" s="82">
        <f t="shared" si="311"/>
        <v>0</v>
      </c>
      <c r="R1319" s="51">
        <f t="shared" si="311"/>
        <v>0</v>
      </c>
      <c r="S1319" s="82">
        <f t="shared" si="311"/>
        <v>0</v>
      </c>
      <c r="T1319" s="82">
        <f t="shared" si="311"/>
        <v>0</v>
      </c>
      <c r="U1319" s="51">
        <f t="shared" si="311"/>
        <v>0</v>
      </c>
      <c r="V1319" s="51">
        <f t="shared" si="311"/>
        <v>0</v>
      </c>
      <c r="W1319" s="35">
        <f t="shared" si="311"/>
        <v>6357001.8600000003</v>
      </c>
      <c r="X1319" s="331"/>
      <c r="Y1319" s="48"/>
      <c r="Z1319" s="48"/>
      <c r="AA1319" s="48"/>
      <c r="AB1319" s="48"/>
      <c r="AC1319" s="48"/>
      <c r="AD1319" s="48"/>
      <c r="AE1319" s="48"/>
      <c r="AF1319" s="48"/>
      <c r="AG1319" s="61"/>
      <c r="AH1319" s="62"/>
      <c r="AI1319" s="58"/>
      <c r="AJ1319" s="56"/>
    </row>
    <row r="1320" spans="1:36" x14ac:dyDescent="0.3">
      <c r="A1320" s="463" t="s">
        <v>3587</v>
      </c>
      <c r="B1320" s="463"/>
      <c r="C1320" s="51"/>
      <c r="D1320" s="51"/>
      <c r="E1320" s="51"/>
      <c r="F1320" s="51"/>
      <c r="G1320" s="51"/>
      <c r="H1320" s="51"/>
      <c r="I1320" s="51"/>
      <c r="J1320" s="51"/>
      <c r="K1320" s="51"/>
      <c r="L1320" s="51"/>
      <c r="M1320" s="51"/>
      <c r="N1320" s="51"/>
      <c r="O1320" s="82"/>
      <c r="P1320" s="51"/>
      <c r="Q1320" s="82"/>
      <c r="R1320" s="51"/>
      <c r="S1320" s="82"/>
      <c r="T1320" s="82"/>
      <c r="U1320" s="51"/>
      <c r="V1320" s="51"/>
      <c r="W1320" s="35"/>
      <c r="X1320" s="331"/>
      <c r="Y1320" s="48"/>
      <c r="Z1320" s="48"/>
      <c r="AA1320" s="48"/>
      <c r="AB1320" s="48"/>
      <c r="AC1320" s="48"/>
      <c r="AD1320" s="48"/>
      <c r="AE1320" s="48"/>
      <c r="AF1320" s="48"/>
      <c r="AG1320" s="61"/>
      <c r="AH1320" s="62"/>
      <c r="AI1320" s="58"/>
      <c r="AJ1320" s="56"/>
    </row>
    <row r="1321" spans="1:36" x14ac:dyDescent="0.3">
      <c r="A1321" s="59">
        <f>A1318+1</f>
        <v>1029</v>
      </c>
      <c r="B1321" s="66" t="s">
        <v>3588</v>
      </c>
      <c r="C1321" s="51">
        <f t="shared" ref="C1321:C1350" si="312">D1321+K1321+L1321+N1321+P1321+R1321+S1321+U1321+V1321+W1321</f>
        <v>568108.97</v>
      </c>
      <c r="D1321" s="51">
        <f t="shared" ref="D1321:D1350" si="313">E1321+F1321+G1321+H1321+I1321</f>
        <v>0</v>
      </c>
      <c r="E1321" s="51"/>
      <c r="F1321" s="51"/>
      <c r="G1321" s="51"/>
      <c r="H1321" s="51"/>
      <c r="I1321" s="51"/>
      <c r="J1321" s="51"/>
      <c r="K1321" s="51"/>
      <c r="L1321" s="51"/>
      <c r="M1321" s="51"/>
      <c r="N1321" s="51"/>
      <c r="O1321" s="82"/>
      <c r="P1321" s="51"/>
      <c r="Q1321" s="82"/>
      <c r="R1321" s="51"/>
      <c r="S1321" s="82"/>
      <c r="T1321" s="82"/>
      <c r="U1321" s="51"/>
      <c r="V1321" s="51"/>
      <c r="W1321" s="35">
        <f t="shared" si="309"/>
        <v>568108.97</v>
      </c>
      <c r="X1321" s="331"/>
      <c r="Y1321" s="48"/>
      <c r="Z1321" s="48"/>
      <c r="AA1321" s="48">
        <v>145930.75</v>
      </c>
      <c r="AB1321" s="48">
        <v>124340.02</v>
      </c>
      <c r="AC1321" s="48"/>
      <c r="AD1321" s="48"/>
      <c r="AE1321" s="48"/>
      <c r="AF1321" s="48"/>
      <c r="AG1321" s="61">
        <v>297838.2</v>
      </c>
      <c r="AH1321" s="62"/>
      <c r="AI1321" s="58"/>
      <c r="AJ1321" s="56"/>
    </row>
    <row r="1322" spans="1:36" x14ac:dyDescent="0.3">
      <c r="A1322" s="59">
        <f t="shared" ref="A1322:A1323" si="314">A1321+1</f>
        <v>1030</v>
      </c>
      <c r="B1322" s="66" t="s">
        <v>3589</v>
      </c>
      <c r="C1322" s="51">
        <f t="shared" si="312"/>
        <v>1309579.3699999999</v>
      </c>
      <c r="D1322" s="51">
        <f t="shared" si="313"/>
        <v>0</v>
      </c>
      <c r="E1322" s="51"/>
      <c r="F1322" s="51"/>
      <c r="G1322" s="51"/>
      <c r="H1322" s="51"/>
      <c r="I1322" s="51"/>
      <c r="J1322" s="51"/>
      <c r="K1322" s="51"/>
      <c r="L1322" s="51"/>
      <c r="M1322" s="51"/>
      <c r="N1322" s="51"/>
      <c r="O1322" s="82"/>
      <c r="P1322" s="51"/>
      <c r="Q1322" s="82"/>
      <c r="R1322" s="51"/>
      <c r="S1322" s="82"/>
      <c r="T1322" s="82"/>
      <c r="U1322" s="51"/>
      <c r="V1322" s="51"/>
      <c r="W1322" s="35">
        <f t="shared" si="309"/>
        <v>1309579.3699999999</v>
      </c>
      <c r="X1322" s="331"/>
      <c r="Y1322" s="48"/>
      <c r="Z1322" s="48">
        <v>118929.07</v>
      </c>
      <c r="AA1322" s="48"/>
      <c r="AB1322" s="48"/>
      <c r="AC1322" s="48"/>
      <c r="AD1322" s="48"/>
      <c r="AE1322" s="48"/>
      <c r="AF1322" s="48">
        <v>239780.4</v>
      </c>
      <c r="AG1322" s="61">
        <v>297838.2</v>
      </c>
      <c r="AH1322" s="62">
        <v>653031.69999999995</v>
      </c>
      <c r="AI1322" s="58"/>
      <c r="AJ1322" s="56"/>
    </row>
    <row r="1323" spans="1:36" x14ac:dyDescent="0.3">
      <c r="A1323" s="59">
        <f t="shared" si="314"/>
        <v>1031</v>
      </c>
      <c r="B1323" s="66" t="s">
        <v>3590</v>
      </c>
      <c r="C1323" s="51">
        <f t="shared" si="312"/>
        <v>1272971.49</v>
      </c>
      <c r="D1323" s="51">
        <f t="shared" si="313"/>
        <v>0</v>
      </c>
      <c r="E1323" s="51"/>
      <c r="F1323" s="51"/>
      <c r="G1323" s="51"/>
      <c r="H1323" s="51"/>
      <c r="I1323" s="51"/>
      <c r="J1323" s="51"/>
      <c r="K1323" s="51"/>
      <c r="L1323" s="51"/>
      <c r="M1323" s="51"/>
      <c r="N1323" s="51"/>
      <c r="O1323" s="82"/>
      <c r="P1323" s="51"/>
      <c r="Q1323" s="82"/>
      <c r="R1323" s="51"/>
      <c r="S1323" s="82"/>
      <c r="T1323" s="82"/>
      <c r="U1323" s="51"/>
      <c r="V1323" s="51"/>
      <c r="W1323" s="35">
        <f t="shared" si="309"/>
        <v>1272971.49</v>
      </c>
      <c r="X1323" s="331"/>
      <c r="Y1323" s="48"/>
      <c r="Z1323" s="48">
        <v>115735.44</v>
      </c>
      <c r="AA1323" s="48"/>
      <c r="AB1323" s="48"/>
      <c r="AC1323" s="48"/>
      <c r="AD1323" s="48"/>
      <c r="AE1323" s="48"/>
      <c r="AF1323" s="48">
        <v>234490.37</v>
      </c>
      <c r="AG1323" s="61">
        <v>283602.98</v>
      </c>
      <c r="AH1323" s="62">
        <v>639142.69999999995</v>
      </c>
      <c r="AI1323" s="58"/>
      <c r="AJ1323" s="56"/>
    </row>
    <row r="1324" spans="1:36" x14ac:dyDescent="0.3">
      <c r="A1324" s="59">
        <f t="shared" ref="A1324:A1350" si="315">A1323+1</f>
        <v>1032</v>
      </c>
      <c r="B1324" s="66" t="s">
        <v>3591</v>
      </c>
      <c r="C1324" s="51">
        <f t="shared" si="312"/>
        <v>944609.16999999993</v>
      </c>
      <c r="D1324" s="51">
        <f t="shared" si="313"/>
        <v>0</v>
      </c>
      <c r="E1324" s="51"/>
      <c r="F1324" s="51"/>
      <c r="G1324" s="51"/>
      <c r="H1324" s="51"/>
      <c r="I1324" s="51"/>
      <c r="J1324" s="51"/>
      <c r="K1324" s="51"/>
      <c r="L1324" s="51"/>
      <c r="M1324" s="51"/>
      <c r="N1324" s="51"/>
      <c r="O1324" s="82"/>
      <c r="P1324" s="51"/>
      <c r="Q1324" s="82"/>
      <c r="R1324" s="51"/>
      <c r="S1324" s="82"/>
      <c r="T1324" s="82"/>
      <c r="U1324" s="51"/>
      <c r="V1324" s="51"/>
      <c r="W1324" s="35">
        <f t="shared" si="309"/>
        <v>944609.16999999993</v>
      </c>
      <c r="X1324" s="331"/>
      <c r="Y1324" s="48"/>
      <c r="Z1324" s="48">
        <v>113556</v>
      </c>
      <c r="AA1324" s="48"/>
      <c r="AB1324" s="48"/>
      <c r="AC1324" s="48"/>
      <c r="AD1324" s="48"/>
      <c r="AE1324" s="48"/>
      <c r="AF1324" s="48">
        <v>224331.83</v>
      </c>
      <c r="AG1324" s="61"/>
      <c r="AH1324" s="62">
        <v>606721.34</v>
      </c>
      <c r="AI1324" s="58"/>
      <c r="AJ1324" s="56"/>
    </row>
    <row r="1325" spans="1:36" x14ac:dyDescent="0.3">
      <c r="A1325" s="59">
        <f t="shared" si="315"/>
        <v>1033</v>
      </c>
      <c r="B1325" s="66" t="s">
        <v>3592</v>
      </c>
      <c r="C1325" s="51">
        <f t="shared" si="312"/>
        <v>1204169.49</v>
      </c>
      <c r="D1325" s="51">
        <f t="shared" si="313"/>
        <v>0</v>
      </c>
      <c r="E1325" s="51"/>
      <c r="F1325" s="51"/>
      <c r="G1325" s="51"/>
      <c r="H1325" s="51"/>
      <c r="I1325" s="51"/>
      <c r="J1325" s="51"/>
      <c r="K1325" s="51"/>
      <c r="L1325" s="51"/>
      <c r="M1325" s="51"/>
      <c r="N1325" s="51"/>
      <c r="O1325" s="82"/>
      <c r="P1325" s="51"/>
      <c r="Q1325" s="82"/>
      <c r="R1325" s="51"/>
      <c r="S1325" s="82"/>
      <c r="T1325" s="82"/>
      <c r="U1325" s="51"/>
      <c r="V1325" s="51"/>
      <c r="W1325" s="35">
        <f t="shared" si="309"/>
        <v>1204169.49</v>
      </c>
      <c r="X1325" s="331"/>
      <c r="Y1325" s="48"/>
      <c r="Z1325" s="48">
        <v>122573.7</v>
      </c>
      <c r="AA1325" s="48"/>
      <c r="AB1325" s="48"/>
      <c r="AC1325" s="48"/>
      <c r="AD1325" s="48"/>
      <c r="AE1325" s="48"/>
      <c r="AF1325" s="48">
        <v>235944.18</v>
      </c>
      <c r="AG1325" s="61"/>
      <c r="AH1325" s="62">
        <v>634299.13</v>
      </c>
      <c r="AI1325" s="58">
        <v>211352.48</v>
      </c>
      <c r="AJ1325" s="56"/>
    </row>
    <row r="1326" spans="1:36" x14ac:dyDescent="0.3">
      <c r="A1326" s="59">
        <f t="shared" si="315"/>
        <v>1034</v>
      </c>
      <c r="B1326" s="66" t="s">
        <v>3593</v>
      </c>
      <c r="C1326" s="51">
        <f t="shared" si="312"/>
        <v>712967.14</v>
      </c>
      <c r="D1326" s="51">
        <f t="shared" si="313"/>
        <v>0</v>
      </c>
      <c r="E1326" s="51"/>
      <c r="F1326" s="51"/>
      <c r="G1326" s="51"/>
      <c r="H1326" s="399"/>
      <c r="I1326" s="51"/>
      <c r="J1326" s="51"/>
      <c r="K1326" s="51"/>
      <c r="L1326" s="51"/>
      <c r="M1326" s="51"/>
      <c r="N1326" s="51"/>
      <c r="O1326" s="82"/>
      <c r="P1326" s="399"/>
      <c r="Q1326" s="82"/>
      <c r="R1326" s="51"/>
      <c r="S1326" s="82"/>
      <c r="T1326" s="82"/>
      <c r="U1326" s="51"/>
      <c r="V1326" s="51"/>
      <c r="W1326" s="35">
        <f t="shared" si="309"/>
        <v>712967.14</v>
      </c>
      <c r="X1326" s="331"/>
      <c r="Y1326" s="48"/>
      <c r="Z1326" s="48">
        <v>94292.71</v>
      </c>
      <c r="AA1326" s="48"/>
      <c r="AB1326" s="48"/>
      <c r="AC1326" s="48"/>
      <c r="AD1326" s="48"/>
      <c r="AE1326" s="48"/>
      <c r="AF1326" s="48"/>
      <c r="AG1326" s="61"/>
      <c r="AH1326" s="62">
        <v>452652.7</v>
      </c>
      <c r="AI1326" s="58">
        <v>166021.73000000001</v>
      </c>
      <c r="AJ1326" s="56"/>
    </row>
    <row r="1327" spans="1:36" x14ac:dyDescent="0.3">
      <c r="A1327" s="59">
        <f t="shared" si="315"/>
        <v>1035</v>
      </c>
      <c r="B1327" s="66" t="s">
        <v>3594</v>
      </c>
      <c r="C1327" s="51">
        <f t="shared" si="312"/>
        <v>235961.84</v>
      </c>
      <c r="D1327" s="51">
        <f t="shared" si="313"/>
        <v>0</v>
      </c>
      <c r="E1327" s="51"/>
      <c r="F1327" s="51"/>
      <c r="G1327" s="51"/>
      <c r="H1327" s="51"/>
      <c r="I1327" s="51"/>
      <c r="J1327" s="51"/>
      <c r="K1327" s="51"/>
      <c r="L1327" s="51"/>
      <c r="M1327" s="51"/>
      <c r="N1327" s="51"/>
      <c r="O1327" s="82"/>
      <c r="P1327" s="51"/>
      <c r="Q1327" s="82"/>
      <c r="R1327" s="51"/>
      <c r="S1327" s="82"/>
      <c r="T1327" s="82"/>
      <c r="U1327" s="51"/>
      <c r="V1327" s="51"/>
      <c r="W1327" s="35">
        <f t="shared" si="309"/>
        <v>235961.84</v>
      </c>
      <c r="X1327" s="331"/>
      <c r="Y1327" s="48"/>
      <c r="Z1327" s="48">
        <v>113568.62</v>
      </c>
      <c r="AA1327" s="48"/>
      <c r="AB1327" s="48"/>
      <c r="AC1327" s="48"/>
      <c r="AD1327" s="48"/>
      <c r="AE1327" s="48"/>
      <c r="AF1327" s="48"/>
      <c r="AG1327" s="61">
        <v>122393.22</v>
      </c>
      <c r="AH1327" s="62"/>
      <c r="AI1327" s="58"/>
      <c r="AJ1327" s="56"/>
    </row>
    <row r="1328" spans="1:36" x14ac:dyDescent="0.3">
      <c r="A1328" s="59">
        <f t="shared" si="315"/>
        <v>1036</v>
      </c>
      <c r="B1328" s="66" t="s">
        <v>3595</v>
      </c>
      <c r="C1328" s="51">
        <f t="shared" si="312"/>
        <v>616715.13</v>
      </c>
      <c r="D1328" s="51">
        <f t="shared" si="313"/>
        <v>0</v>
      </c>
      <c r="E1328" s="51"/>
      <c r="F1328" s="51"/>
      <c r="G1328" s="51"/>
      <c r="H1328" s="399"/>
      <c r="I1328" s="51"/>
      <c r="J1328" s="51"/>
      <c r="K1328" s="51"/>
      <c r="L1328" s="51"/>
      <c r="M1328" s="51"/>
      <c r="N1328" s="51"/>
      <c r="O1328" s="82"/>
      <c r="P1328" s="399"/>
      <c r="Q1328" s="82"/>
      <c r="R1328" s="51"/>
      <c r="S1328" s="82"/>
      <c r="T1328" s="82"/>
      <c r="U1328" s="51"/>
      <c r="V1328" s="51"/>
      <c r="W1328" s="35">
        <f t="shared" si="309"/>
        <v>616715.13</v>
      </c>
      <c r="X1328" s="331"/>
      <c r="Y1328" s="48"/>
      <c r="Z1328" s="48"/>
      <c r="AA1328" s="48">
        <v>124522.87</v>
      </c>
      <c r="AB1328" s="48"/>
      <c r="AC1328" s="48"/>
      <c r="AD1328" s="48"/>
      <c r="AE1328" s="48"/>
      <c r="AF1328" s="48"/>
      <c r="AG1328" s="61"/>
      <c r="AH1328" s="62">
        <v>492192.26</v>
      </c>
      <c r="AI1328" s="58"/>
      <c r="AJ1328" s="56"/>
    </row>
    <row r="1329" spans="1:36" x14ac:dyDescent="0.3">
      <c r="A1329" s="59">
        <f t="shared" si="315"/>
        <v>1037</v>
      </c>
      <c r="B1329" s="66" t="s">
        <v>3596</v>
      </c>
      <c r="C1329" s="51">
        <f t="shared" si="312"/>
        <v>128687.8</v>
      </c>
      <c r="D1329" s="51">
        <f t="shared" si="313"/>
        <v>0</v>
      </c>
      <c r="E1329" s="51"/>
      <c r="F1329" s="51"/>
      <c r="G1329" s="51"/>
      <c r="H1329" s="399"/>
      <c r="I1329" s="51"/>
      <c r="J1329" s="51"/>
      <c r="K1329" s="51"/>
      <c r="L1329" s="51"/>
      <c r="M1329" s="51"/>
      <c r="N1329" s="51"/>
      <c r="O1329" s="82"/>
      <c r="P1329" s="399"/>
      <c r="Q1329" s="82"/>
      <c r="R1329" s="51"/>
      <c r="S1329" s="82"/>
      <c r="T1329" s="82"/>
      <c r="U1329" s="51"/>
      <c r="V1329" s="51"/>
      <c r="W1329" s="35">
        <f t="shared" si="309"/>
        <v>128687.8</v>
      </c>
      <c r="X1329" s="331"/>
      <c r="Y1329" s="48"/>
      <c r="Z1329" s="48"/>
      <c r="AA1329" s="48">
        <v>128687.8</v>
      </c>
      <c r="AB1329" s="48"/>
      <c r="AC1329" s="48"/>
      <c r="AD1329" s="48"/>
      <c r="AE1329" s="48"/>
      <c r="AF1329" s="48"/>
      <c r="AG1329" s="61"/>
      <c r="AH1329" s="62"/>
      <c r="AI1329" s="58"/>
      <c r="AJ1329" s="56"/>
    </row>
    <row r="1330" spans="1:36" x14ac:dyDescent="0.3">
      <c r="A1330" s="59">
        <f t="shared" si="315"/>
        <v>1038</v>
      </c>
      <c r="B1330" s="66" t="s">
        <v>3597</v>
      </c>
      <c r="C1330" s="51">
        <f t="shared" si="312"/>
        <v>592578.31000000006</v>
      </c>
      <c r="D1330" s="51">
        <f t="shared" si="313"/>
        <v>0</v>
      </c>
      <c r="E1330" s="51"/>
      <c r="F1330" s="51"/>
      <c r="G1330" s="51"/>
      <c r="H1330" s="51"/>
      <c r="I1330" s="51"/>
      <c r="J1330" s="51"/>
      <c r="K1330" s="51"/>
      <c r="L1330" s="51"/>
      <c r="M1330" s="51"/>
      <c r="N1330" s="51"/>
      <c r="O1330" s="82"/>
      <c r="P1330" s="51"/>
      <c r="Q1330" s="82"/>
      <c r="R1330" s="51"/>
      <c r="S1330" s="82"/>
      <c r="T1330" s="82"/>
      <c r="U1330" s="51"/>
      <c r="V1330" s="51"/>
      <c r="W1330" s="35">
        <f t="shared" si="309"/>
        <v>592578.31000000006</v>
      </c>
      <c r="X1330" s="331"/>
      <c r="Y1330" s="48"/>
      <c r="Z1330" s="48"/>
      <c r="AA1330" s="48">
        <v>135158.94</v>
      </c>
      <c r="AB1330" s="48"/>
      <c r="AC1330" s="48">
        <v>112721.17</v>
      </c>
      <c r="AD1330" s="48"/>
      <c r="AE1330" s="48"/>
      <c r="AF1330" s="48"/>
      <c r="AG1330" s="61">
        <v>344698.2</v>
      </c>
      <c r="AH1330" s="62"/>
      <c r="AI1330" s="58"/>
      <c r="AJ1330" s="56"/>
    </row>
    <row r="1331" spans="1:36" x14ac:dyDescent="0.3">
      <c r="A1331" s="59">
        <f t="shared" si="315"/>
        <v>1039</v>
      </c>
      <c r="B1331" s="66" t="s">
        <v>3598</v>
      </c>
      <c r="C1331" s="51">
        <f t="shared" si="312"/>
        <v>495912.92999999993</v>
      </c>
      <c r="D1331" s="51">
        <f t="shared" si="313"/>
        <v>0</v>
      </c>
      <c r="E1331" s="51"/>
      <c r="F1331" s="51"/>
      <c r="G1331" s="51"/>
      <c r="H1331" s="51"/>
      <c r="I1331" s="51"/>
      <c r="J1331" s="51"/>
      <c r="K1331" s="51"/>
      <c r="L1331" s="51"/>
      <c r="M1331" s="51"/>
      <c r="N1331" s="51"/>
      <c r="O1331" s="82"/>
      <c r="P1331" s="51"/>
      <c r="Q1331" s="82"/>
      <c r="R1331" s="51"/>
      <c r="S1331" s="82"/>
      <c r="T1331" s="82"/>
      <c r="U1331" s="51"/>
      <c r="V1331" s="51"/>
      <c r="W1331" s="35">
        <f t="shared" si="309"/>
        <v>495912.92999999993</v>
      </c>
      <c r="X1331" s="331"/>
      <c r="Y1331" s="48"/>
      <c r="Z1331" s="48"/>
      <c r="AA1331" s="48">
        <v>151063.31</v>
      </c>
      <c r="AB1331" s="48"/>
      <c r="AC1331" s="48">
        <v>126765.41</v>
      </c>
      <c r="AD1331" s="48"/>
      <c r="AE1331" s="48"/>
      <c r="AF1331" s="48"/>
      <c r="AG1331" s="61">
        <v>218084.21</v>
      </c>
      <c r="AH1331" s="62"/>
      <c r="AI1331" s="58"/>
      <c r="AJ1331" s="56"/>
    </row>
    <row r="1332" spans="1:36" x14ac:dyDescent="0.3">
      <c r="A1332" s="59">
        <f t="shared" si="315"/>
        <v>1040</v>
      </c>
      <c r="B1332" s="66" t="s">
        <v>3599</v>
      </c>
      <c r="C1332" s="51">
        <f t="shared" si="312"/>
        <v>968069.86999999988</v>
      </c>
      <c r="D1332" s="51">
        <f t="shared" si="313"/>
        <v>0</v>
      </c>
      <c r="E1332" s="51"/>
      <c r="F1332" s="51"/>
      <c r="G1332" s="51"/>
      <c r="H1332" s="51"/>
      <c r="I1332" s="51"/>
      <c r="J1332" s="51"/>
      <c r="K1332" s="51"/>
      <c r="L1332" s="51"/>
      <c r="M1332" s="51"/>
      <c r="N1332" s="51"/>
      <c r="O1332" s="82"/>
      <c r="P1332" s="51"/>
      <c r="Q1332" s="82"/>
      <c r="R1332" s="51"/>
      <c r="S1332" s="82"/>
      <c r="T1332" s="82"/>
      <c r="U1332" s="51"/>
      <c r="V1332" s="51"/>
      <c r="W1332" s="35">
        <f t="shared" si="309"/>
        <v>968069.86999999988</v>
      </c>
      <c r="X1332" s="331"/>
      <c r="Y1332" s="48"/>
      <c r="Z1332" s="48"/>
      <c r="AA1332" s="48">
        <v>119174.52</v>
      </c>
      <c r="AB1332" s="48"/>
      <c r="AC1332" s="48"/>
      <c r="AD1332" s="48">
        <v>98895.98</v>
      </c>
      <c r="AE1332" s="48">
        <v>98895.98</v>
      </c>
      <c r="AF1332" s="48">
        <v>184498.21</v>
      </c>
      <c r="AG1332" s="61"/>
      <c r="AH1332" s="62">
        <v>466605.18</v>
      </c>
      <c r="AI1332" s="58"/>
      <c r="AJ1332" s="56"/>
    </row>
    <row r="1333" spans="1:36" x14ac:dyDescent="0.3">
      <c r="A1333" s="59">
        <f t="shared" si="315"/>
        <v>1041</v>
      </c>
      <c r="B1333" s="66" t="s">
        <v>3600</v>
      </c>
      <c r="C1333" s="51">
        <f t="shared" si="312"/>
        <v>968069.86999999988</v>
      </c>
      <c r="D1333" s="51">
        <f t="shared" si="313"/>
        <v>0</v>
      </c>
      <c r="E1333" s="51"/>
      <c r="F1333" s="51"/>
      <c r="G1333" s="51"/>
      <c r="H1333" s="51"/>
      <c r="I1333" s="51"/>
      <c r="J1333" s="51"/>
      <c r="K1333" s="51"/>
      <c r="L1333" s="51"/>
      <c r="M1333" s="51"/>
      <c r="N1333" s="51"/>
      <c r="O1333" s="82"/>
      <c r="P1333" s="51"/>
      <c r="Q1333" s="82"/>
      <c r="R1333" s="51"/>
      <c r="S1333" s="82"/>
      <c r="T1333" s="82"/>
      <c r="U1333" s="51"/>
      <c r="V1333" s="51"/>
      <c r="W1333" s="35">
        <f t="shared" si="309"/>
        <v>968069.86999999988</v>
      </c>
      <c r="X1333" s="331"/>
      <c r="Y1333" s="48"/>
      <c r="Z1333" s="48"/>
      <c r="AA1333" s="48">
        <v>119174.52</v>
      </c>
      <c r="AB1333" s="48"/>
      <c r="AC1333" s="48"/>
      <c r="AD1333" s="48">
        <v>98895.98</v>
      </c>
      <c r="AE1333" s="48">
        <v>98895.98</v>
      </c>
      <c r="AF1333" s="48">
        <v>184498.21</v>
      </c>
      <c r="AG1333" s="61"/>
      <c r="AH1333" s="62">
        <v>466605.18</v>
      </c>
      <c r="AI1333" s="58"/>
      <c r="AJ1333" s="56"/>
    </row>
    <row r="1334" spans="1:36" x14ac:dyDescent="0.3">
      <c r="A1334" s="59">
        <f t="shared" si="315"/>
        <v>1042</v>
      </c>
      <c r="B1334" s="66" t="s">
        <v>3601</v>
      </c>
      <c r="C1334" s="51">
        <f t="shared" si="312"/>
        <v>982633.45</v>
      </c>
      <c r="D1334" s="51">
        <f t="shared" si="313"/>
        <v>0</v>
      </c>
      <c r="E1334" s="51"/>
      <c r="F1334" s="51"/>
      <c r="G1334" s="51"/>
      <c r="H1334" s="51"/>
      <c r="I1334" s="51"/>
      <c r="J1334" s="51"/>
      <c r="K1334" s="51"/>
      <c r="L1334" s="51"/>
      <c r="M1334" s="51"/>
      <c r="N1334" s="51"/>
      <c r="O1334" s="82"/>
      <c r="P1334" s="51"/>
      <c r="Q1334" s="82"/>
      <c r="R1334" s="51"/>
      <c r="S1334" s="82"/>
      <c r="T1334" s="82"/>
      <c r="U1334" s="51"/>
      <c r="V1334" s="51"/>
      <c r="W1334" s="35">
        <f t="shared" si="309"/>
        <v>982633.45</v>
      </c>
      <c r="X1334" s="331"/>
      <c r="Y1334" s="48"/>
      <c r="Z1334" s="48"/>
      <c r="AA1334" s="48">
        <v>120968.86</v>
      </c>
      <c r="AB1334" s="48"/>
      <c r="AC1334" s="48"/>
      <c r="AD1334" s="48">
        <v>100633.19</v>
      </c>
      <c r="AE1334" s="48">
        <v>100633.19</v>
      </c>
      <c r="AF1334" s="48">
        <v>187204.36</v>
      </c>
      <c r="AG1334" s="61"/>
      <c r="AH1334" s="62">
        <v>473193.85</v>
      </c>
      <c r="AI1334" s="58"/>
      <c r="AJ1334" s="56"/>
    </row>
    <row r="1335" spans="1:36" x14ac:dyDescent="0.3">
      <c r="A1335" s="59">
        <f t="shared" si="315"/>
        <v>1043</v>
      </c>
      <c r="B1335" s="66" t="s">
        <v>3602</v>
      </c>
      <c r="C1335" s="51">
        <f t="shared" si="312"/>
        <v>1255947.8399999999</v>
      </c>
      <c r="D1335" s="51">
        <f t="shared" si="313"/>
        <v>0</v>
      </c>
      <c r="E1335" s="51"/>
      <c r="F1335" s="51"/>
      <c r="G1335" s="51"/>
      <c r="H1335" s="51"/>
      <c r="I1335" s="51"/>
      <c r="J1335" s="51"/>
      <c r="K1335" s="51"/>
      <c r="L1335" s="51"/>
      <c r="M1335" s="51"/>
      <c r="N1335" s="51"/>
      <c r="O1335" s="82"/>
      <c r="P1335" s="51"/>
      <c r="Q1335" s="82"/>
      <c r="R1335" s="51"/>
      <c r="S1335" s="82"/>
      <c r="T1335" s="82"/>
      <c r="U1335" s="51"/>
      <c r="V1335" s="51"/>
      <c r="W1335" s="35">
        <f t="shared" si="309"/>
        <v>1255947.8399999999</v>
      </c>
      <c r="X1335" s="331"/>
      <c r="Y1335" s="48"/>
      <c r="Z1335" s="48">
        <v>121681.73</v>
      </c>
      <c r="AA1335" s="48">
        <v>139651.07999999999</v>
      </c>
      <c r="AB1335" s="48"/>
      <c r="AC1335" s="48"/>
      <c r="AD1335" s="48">
        <v>118720.61</v>
      </c>
      <c r="AE1335" s="48">
        <v>118720.61</v>
      </c>
      <c r="AF1335" s="48">
        <v>215380.22</v>
      </c>
      <c r="AG1335" s="61"/>
      <c r="AH1335" s="62">
        <v>541793.59</v>
      </c>
      <c r="AI1335" s="58"/>
      <c r="AJ1335" s="56"/>
    </row>
    <row r="1336" spans="1:36" x14ac:dyDescent="0.3">
      <c r="A1336" s="59">
        <f t="shared" si="315"/>
        <v>1044</v>
      </c>
      <c r="B1336" s="66" t="s">
        <v>3603</v>
      </c>
      <c r="C1336" s="51">
        <f t="shared" si="312"/>
        <v>918885.8899999999</v>
      </c>
      <c r="D1336" s="51">
        <f t="shared" si="313"/>
        <v>0</v>
      </c>
      <c r="E1336" s="51"/>
      <c r="F1336" s="51"/>
      <c r="G1336" s="51"/>
      <c r="H1336" s="51"/>
      <c r="I1336" s="51"/>
      <c r="J1336" s="51"/>
      <c r="K1336" s="51"/>
      <c r="L1336" s="51"/>
      <c r="M1336" s="51"/>
      <c r="N1336" s="51"/>
      <c r="O1336" s="82"/>
      <c r="P1336" s="51"/>
      <c r="Q1336" s="82"/>
      <c r="R1336" s="51"/>
      <c r="S1336" s="82"/>
      <c r="T1336" s="82"/>
      <c r="U1336" s="51"/>
      <c r="V1336" s="51"/>
      <c r="W1336" s="35">
        <f t="shared" si="309"/>
        <v>918885.8899999999</v>
      </c>
      <c r="X1336" s="331"/>
      <c r="Y1336" s="48"/>
      <c r="Z1336" s="48"/>
      <c r="AA1336" s="48">
        <v>139651.07999999999</v>
      </c>
      <c r="AB1336" s="48"/>
      <c r="AC1336" s="48"/>
      <c r="AD1336" s="48">
        <v>118720.61</v>
      </c>
      <c r="AE1336" s="48">
        <v>118720.61</v>
      </c>
      <c r="AF1336" s="48"/>
      <c r="AG1336" s="61"/>
      <c r="AH1336" s="62">
        <v>541793.59</v>
      </c>
      <c r="AI1336" s="58"/>
      <c r="AJ1336" s="56"/>
    </row>
    <row r="1337" spans="1:36" x14ac:dyDescent="0.3">
      <c r="A1337" s="59">
        <f t="shared" si="315"/>
        <v>1045</v>
      </c>
      <c r="B1337" s="66" t="s">
        <v>3604</v>
      </c>
      <c r="C1337" s="51">
        <f t="shared" si="312"/>
        <v>833580.49</v>
      </c>
      <c r="D1337" s="51">
        <f t="shared" si="313"/>
        <v>0</v>
      </c>
      <c r="E1337" s="51"/>
      <c r="F1337" s="51"/>
      <c r="G1337" s="51"/>
      <c r="H1337" s="51"/>
      <c r="I1337" s="51"/>
      <c r="J1337" s="51"/>
      <c r="K1337" s="51"/>
      <c r="L1337" s="51"/>
      <c r="M1337" s="51"/>
      <c r="N1337" s="51"/>
      <c r="O1337" s="82"/>
      <c r="P1337" s="51"/>
      <c r="Q1337" s="82"/>
      <c r="R1337" s="51"/>
      <c r="S1337" s="82"/>
      <c r="T1337" s="82"/>
      <c r="U1337" s="51"/>
      <c r="V1337" s="51"/>
      <c r="W1337" s="35">
        <f t="shared" si="309"/>
        <v>833580.49</v>
      </c>
      <c r="X1337" s="331"/>
      <c r="Y1337" s="48"/>
      <c r="Z1337" s="48"/>
      <c r="AA1337" s="48">
        <v>125658.76</v>
      </c>
      <c r="AB1337" s="48"/>
      <c r="AC1337" s="48"/>
      <c r="AD1337" s="48">
        <v>105740.26</v>
      </c>
      <c r="AE1337" s="48">
        <v>105740.26</v>
      </c>
      <c r="AF1337" s="48"/>
      <c r="AG1337" s="61"/>
      <c r="AH1337" s="62">
        <v>496441.21</v>
      </c>
      <c r="AI1337" s="58"/>
      <c r="AJ1337" s="56"/>
    </row>
    <row r="1338" spans="1:36" x14ac:dyDescent="0.3">
      <c r="A1338" s="59">
        <f t="shared" si="315"/>
        <v>1046</v>
      </c>
      <c r="B1338" s="66" t="s">
        <v>3605</v>
      </c>
      <c r="C1338" s="51">
        <f t="shared" si="312"/>
        <v>2441972.83</v>
      </c>
      <c r="D1338" s="51">
        <f t="shared" si="313"/>
        <v>0</v>
      </c>
      <c r="E1338" s="51"/>
      <c r="F1338" s="51"/>
      <c r="G1338" s="51"/>
      <c r="H1338" s="51"/>
      <c r="I1338" s="51"/>
      <c r="J1338" s="51"/>
      <c r="K1338" s="51"/>
      <c r="L1338" s="51"/>
      <c r="M1338" s="51"/>
      <c r="N1338" s="51"/>
      <c r="O1338" s="82"/>
      <c r="P1338" s="51"/>
      <c r="Q1338" s="82"/>
      <c r="R1338" s="51"/>
      <c r="S1338" s="82"/>
      <c r="T1338" s="82"/>
      <c r="U1338" s="51"/>
      <c r="V1338" s="51"/>
      <c r="W1338" s="35">
        <f t="shared" si="309"/>
        <v>2441972.83</v>
      </c>
      <c r="X1338" s="331"/>
      <c r="Y1338" s="48"/>
      <c r="Z1338" s="48">
        <v>319953.31</v>
      </c>
      <c r="AA1338" s="48"/>
      <c r="AB1338" s="48"/>
      <c r="AC1338" s="48"/>
      <c r="AD1338" s="48"/>
      <c r="AE1338" s="48"/>
      <c r="AF1338" s="48"/>
      <c r="AG1338" s="61">
        <v>477601.76</v>
      </c>
      <c r="AH1338" s="62">
        <v>1644417.76</v>
      </c>
      <c r="AI1338" s="58"/>
      <c r="AJ1338" s="56"/>
    </row>
    <row r="1339" spans="1:36" x14ac:dyDescent="0.3">
      <c r="A1339" s="59">
        <f t="shared" si="315"/>
        <v>1047</v>
      </c>
      <c r="B1339" s="66" t="s">
        <v>3606</v>
      </c>
      <c r="C1339" s="51">
        <f t="shared" si="312"/>
        <v>256448.05</v>
      </c>
      <c r="D1339" s="51">
        <f t="shared" si="313"/>
        <v>0</v>
      </c>
      <c r="E1339" s="51"/>
      <c r="F1339" s="51"/>
      <c r="G1339" s="51"/>
      <c r="H1339" s="51"/>
      <c r="I1339" s="51"/>
      <c r="J1339" s="51"/>
      <c r="K1339" s="51"/>
      <c r="L1339" s="51"/>
      <c r="M1339" s="51"/>
      <c r="N1339" s="51"/>
      <c r="O1339" s="82"/>
      <c r="P1339" s="51"/>
      <c r="Q1339" s="82"/>
      <c r="R1339" s="51"/>
      <c r="S1339" s="82"/>
      <c r="T1339" s="82"/>
      <c r="U1339" s="51"/>
      <c r="V1339" s="51"/>
      <c r="W1339" s="35">
        <f t="shared" si="309"/>
        <v>256448.05</v>
      </c>
      <c r="X1339" s="331"/>
      <c r="Y1339" s="48"/>
      <c r="Z1339" s="48">
        <v>256448.05</v>
      </c>
      <c r="AA1339" s="48"/>
      <c r="AB1339" s="48"/>
      <c r="AC1339" s="48"/>
      <c r="AD1339" s="48"/>
      <c r="AE1339" s="48"/>
      <c r="AF1339" s="48"/>
      <c r="AG1339" s="61"/>
      <c r="AH1339" s="62"/>
      <c r="AI1339" s="58"/>
      <c r="AJ1339" s="56"/>
    </row>
    <row r="1340" spans="1:36" x14ac:dyDescent="0.3">
      <c r="A1340" s="59">
        <f t="shared" si="315"/>
        <v>1048</v>
      </c>
      <c r="B1340" s="66" t="s">
        <v>3607</v>
      </c>
      <c r="C1340" s="51">
        <f t="shared" si="312"/>
        <v>1276818.94</v>
      </c>
      <c r="D1340" s="51">
        <f t="shared" si="313"/>
        <v>0</v>
      </c>
      <c r="E1340" s="51"/>
      <c r="F1340" s="51"/>
      <c r="G1340" s="51"/>
      <c r="H1340" s="51"/>
      <c r="I1340" s="51"/>
      <c r="J1340" s="51"/>
      <c r="K1340" s="51"/>
      <c r="L1340" s="51"/>
      <c r="M1340" s="51"/>
      <c r="N1340" s="51"/>
      <c r="O1340" s="82"/>
      <c r="P1340" s="51"/>
      <c r="Q1340" s="82"/>
      <c r="R1340" s="51"/>
      <c r="S1340" s="82"/>
      <c r="T1340" s="82"/>
      <c r="U1340" s="51"/>
      <c r="V1340" s="51"/>
      <c r="W1340" s="35">
        <f t="shared" si="309"/>
        <v>1276818.94</v>
      </c>
      <c r="X1340" s="331"/>
      <c r="Y1340" s="48"/>
      <c r="Z1340" s="48"/>
      <c r="AA1340" s="48"/>
      <c r="AB1340" s="48"/>
      <c r="AC1340" s="48"/>
      <c r="AD1340" s="48"/>
      <c r="AE1340" s="48"/>
      <c r="AF1340" s="48">
        <v>260711.67999999999</v>
      </c>
      <c r="AG1340" s="61">
        <v>308120.59999999998</v>
      </c>
      <c r="AH1340" s="62">
        <v>707986.66</v>
      </c>
      <c r="AI1340" s="58"/>
      <c r="AJ1340" s="56"/>
    </row>
    <row r="1341" spans="1:36" x14ac:dyDescent="0.3">
      <c r="A1341" s="59">
        <f t="shared" si="315"/>
        <v>1049</v>
      </c>
      <c r="B1341" s="66" t="s">
        <v>3608</v>
      </c>
      <c r="C1341" s="51">
        <f t="shared" si="312"/>
        <v>1202010.6200000001</v>
      </c>
      <c r="D1341" s="51">
        <f t="shared" si="313"/>
        <v>0</v>
      </c>
      <c r="E1341" s="51"/>
      <c r="F1341" s="51"/>
      <c r="G1341" s="51"/>
      <c r="H1341" s="51"/>
      <c r="I1341" s="51"/>
      <c r="J1341" s="51"/>
      <c r="K1341" s="51"/>
      <c r="L1341" s="51"/>
      <c r="M1341" s="51"/>
      <c r="N1341" s="51"/>
      <c r="O1341" s="82"/>
      <c r="P1341" s="51"/>
      <c r="Q1341" s="82"/>
      <c r="R1341" s="51"/>
      <c r="S1341" s="82"/>
      <c r="T1341" s="82"/>
      <c r="U1341" s="51"/>
      <c r="V1341" s="51"/>
      <c r="W1341" s="35">
        <f t="shared" si="309"/>
        <v>1202010.6200000001</v>
      </c>
      <c r="X1341" s="331"/>
      <c r="Y1341" s="48"/>
      <c r="Z1341" s="48"/>
      <c r="AA1341" s="48"/>
      <c r="AB1341" s="48"/>
      <c r="AC1341" s="48"/>
      <c r="AD1341" s="48"/>
      <c r="AE1341" s="48"/>
      <c r="AF1341" s="48">
        <v>235355.08</v>
      </c>
      <c r="AG1341" s="61">
        <v>325242.52</v>
      </c>
      <c r="AH1341" s="62">
        <v>641413.02</v>
      </c>
      <c r="AI1341" s="58"/>
      <c r="AJ1341" s="56"/>
    </row>
    <row r="1342" spans="1:36" x14ac:dyDescent="0.3">
      <c r="A1342" s="59">
        <f t="shared" si="315"/>
        <v>1050</v>
      </c>
      <c r="B1342" s="66" t="s">
        <v>3609</v>
      </c>
      <c r="C1342" s="51">
        <f t="shared" si="312"/>
        <v>1211362.6499999999</v>
      </c>
      <c r="D1342" s="51">
        <f t="shared" si="313"/>
        <v>0</v>
      </c>
      <c r="E1342" s="51"/>
      <c r="F1342" s="51"/>
      <c r="G1342" s="51"/>
      <c r="H1342" s="51"/>
      <c r="I1342" s="51"/>
      <c r="J1342" s="51"/>
      <c r="K1342" s="51"/>
      <c r="L1342" s="51"/>
      <c r="M1342" s="51"/>
      <c r="N1342" s="51"/>
      <c r="O1342" s="82"/>
      <c r="P1342" s="51"/>
      <c r="Q1342" s="82"/>
      <c r="R1342" s="51"/>
      <c r="S1342" s="82"/>
      <c r="T1342" s="82"/>
      <c r="U1342" s="51"/>
      <c r="V1342" s="51"/>
      <c r="W1342" s="35">
        <f t="shared" si="309"/>
        <v>1211362.6499999999</v>
      </c>
      <c r="X1342" s="331"/>
      <c r="Y1342" s="48"/>
      <c r="Z1342" s="48"/>
      <c r="AA1342" s="48"/>
      <c r="AB1342" s="48"/>
      <c r="AC1342" s="48"/>
      <c r="AD1342" s="48"/>
      <c r="AE1342" s="48"/>
      <c r="AF1342" s="48">
        <v>235355.08</v>
      </c>
      <c r="AG1342" s="61">
        <v>334594.55</v>
      </c>
      <c r="AH1342" s="62">
        <v>641413.02</v>
      </c>
      <c r="AI1342" s="58"/>
      <c r="AJ1342" s="56"/>
    </row>
    <row r="1343" spans="1:36" x14ac:dyDescent="0.3">
      <c r="A1343" s="59">
        <f t="shared" si="315"/>
        <v>1051</v>
      </c>
      <c r="B1343" s="66" t="s">
        <v>3610</v>
      </c>
      <c r="C1343" s="51">
        <f t="shared" si="312"/>
        <v>658518.69999999995</v>
      </c>
      <c r="D1343" s="51">
        <f t="shared" si="313"/>
        <v>0</v>
      </c>
      <c r="E1343" s="51"/>
      <c r="F1343" s="51"/>
      <c r="G1343" s="51"/>
      <c r="H1343" s="51"/>
      <c r="I1343" s="51"/>
      <c r="J1343" s="51"/>
      <c r="K1343" s="51"/>
      <c r="L1343" s="51"/>
      <c r="M1343" s="51"/>
      <c r="N1343" s="51"/>
      <c r="O1343" s="82"/>
      <c r="P1343" s="51"/>
      <c r="Q1343" s="82"/>
      <c r="R1343" s="51"/>
      <c r="S1343" s="82"/>
      <c r="T1343" s="82"/>
      <c r="U1343" s="51"/>
      <c r="V1343" s="51"/>
      <c r="W1343" s="35">
        <f t="shared" si="309"/>
        <v>658518.69999999995</v>
      </c>
      <c r="X1343" s="331"/>
      <c r="Y1343" s="48"/>
      <c r="Z1343" s="48">
        <v>109044.44</v>
      </c>
      <c r="AA1343" s="48"/>
      <c r="AB1343" s="48"/>
      <c r="AC1343" s="48"/>
      <c r="AD1343" s="48"/>
      <c r="AE1343" s="48"/>
      <c r="AF1343" s="48">
        <v>228411.92</v>
      </c>
      <c r="AG1343" s="61">
        <v>321062.34000000003</v>
      </c>
      <c r="AH1343" s="62"/>
      <c r="AI1343" s="58"/>
      <c r="AJ1343" s="56"/>
    </row>
    <row r="1344" spans="1:36" x14ac:dyDescent="0.3">
      <c r="A1344" s="59">
        <f t="shared" si="315"/>
        <v>1052</v>
      </c>
      <c r="B1344" s="66" t="s">
        <v>3611</v>
      </c>
      <c r="C1344" s="51">
        <f t="shared" si="312"/>
        <v>679579.17</v>
      </c>
      <c r="D1344" s="51">
        <f t="shared" si="313"/>
        <v>0</v>
      </c>
      <c r="E1344" s="51"/>
      <c r="F1344" s="51"/>
      <c r="G1344" s="51"/>
      <c r="H1344" s="51"/>
      <c r="I1344" s="51"/>
      <c r="J1344" s="51"/>
      <c r="K1344" s="51"/>
      <c r="L1344" s="51"/>
      <c r="M1344" s="51"/>
      <c r="N1344" s="51"/>
      <c r="O1344" s="82"/>
      <c r="P1344" s="51"/>
      <c r="Q1344" s="82"/>
      <c r="R1344" s="51"/>
      <c r="S1344" s="82"/>
      <c r="T1344" s="82"/>
      <c r="U1344" s="51"/>
      <c r="V1344" s="51"/>
      <c r="W1344" s="35">
        <f t="shared" si="309"/>
        <v>679579.17</v>
      </c>
      <c r="X1344" s="331"/>
      <c r="Y1344" s="48"/>
      <c r="Z1344" s="48">
        <v>126452.32</v>
      </c>
      <c r="AA1344" s="48"/>
      <c r="AB1344" s="48"/>
      <c r="AC1344" s="48"/>
      <c r="AD1344" s="48"/>
      <c r="AE1344" s="48"/>
      <c r="AF1344" s="48">
        <v>258320.98</v>
      </c>
      <c r="AG1344" s="61">
        <v>294805.87</v>
      </c>
      <c r="AH1344" s="62"/>
      <c r="AI1344" s="58"/>
      <c r="AJ1344" s="56"/>
    </row>
    <row r="1345" spans="1:36" x14ac:dyDescent="0.3">
      <c r="A1345" s="59">
        <f t="shared" si="315"/>
        <v>1053</v>
      </c>
      <c r="B1345" s="66" t="s">
        <v>3612</v>
      </c>
      <c r="C1345" s="51">
        <f t="shared" si="312"/>
        <v>530727.56000000006</v>
      </c>
      <c r="D1345" s="51">
        <f t="shared" si="313"/>
        <v>0</v>
      </c>
      <c r="E1345" s="51"/>
      <c r="F1345" s="51"/>
      <c r="G1345" s="51"/>
      <c r="H1345" s="51"/>
      <c r="I1345" s="51"/>
      <c r="J1345" s="51"/>
      <c r="K1345" s="51"/>
      <c r="L1345" s="51"/>
      <c r="M1345" s="51"/>
      <c r="N1345" s="51"/>
      <c r="O1345" s="82"/>
      <c r="P1345" s="51"/>
      <c r="Q1345" s="82"/>
      <c r="R1345" s="51"/>
      <c r="S1345" s="82"/>
      <c r="T1345" s="82"/>
      <c r="U1345" s="51"/>
      <c r="V1345" s="51"/>
      <c r="W1345" s="35">
        <f t="shared" si="309"/>
        <v>530727.56000000006</v>
      </c>
      <c r="X1345" s="331"/>
      <c r="Y1345" s="48"/>
      <c r="Z1345" s="48"/>
      <c r="AA1345" s="48"/>
      <c r="AB1345" s="48"/>
      <c r="AC1345" s="48"/>
      <c r="AD1345" s="48"/>
      <c r="AE1345" s="48"/>
      <c r="AF1345" s="48">
        <v>258863.78</v>
      </c>
      <c r="AG1345" s="61">
        <v>271863.78000000003</v>
      </c>
      <c r="AH1345" s="62"/>
      <c r="AI1345" s="58"/>
      <c r="AJ1345" s="56"/>
    </row>
    <row r="1346" spans="1:36" x14ac:dyDescent="0.3">
      <c r="A1346" s="59">
        <f t="shared" si="315"/>
        <v>1054</v>
      </c>
      <c r="B1346" s="66" t="s">
        <v>3613</v>
      </c>
      <c r="C1346" s="51">
        <f t="shared" si="312"/>
        <v>726076.98</v>
      </c>
      <c r="D1346" s="51">
        <f t="shared" si="313"/>
        <v>0</v>
      </c>
      <c r="E1346" s="51"/>
      <c r="F1346" s="51"/>
      <c r="G1346" s="51"/>
      <c r="H1346" s="51"/>
      <c r="I1346" s="51"/>
      <c r="J1346" s="51"/>
      <c r="K1346" s="51"/>
      <c r="L1346" s="51"/>
      <c r="M1346" s="51"/>
      <c r="N1346" s="51"/>
      <c r="O1346" s="82"/>
      <c r="P1346" s="51"/>
      <c r="Q1346" s="82"/>
      <c r="R1346" s="51"/>
      <c r="S1346" s="82"/>
      <c r="T1346" s="82"/>
      <c r="U1346" s="51"/>
      <c r="V1346" s="51"/>
      <c r="W1346" s="35">
        <f t="shared" si="309"/>
        <v>726076.98</v>
      </c>
      <c r="X1346" s="331"/>
      <c r="Y1346" s="48"/>
      <c r="Z1346" s="48"/>
      <c r="AA1346" s="48">
        <v>125348.99</v>
      </c>
      <c r="AB1346" s="48"/>
      <c r="AC1346" s="48"/>
      <c r="AD1346" s="48"/>
      <c r="AE1346" s="48">
        <v>105445.58</v>
      </c>
      <c r="AF1346" s="48"/>
      <c r="AG1346" s="61"/>
      <c r="AH1346" s="62">
        <v>495282.41</v>
      </c>
      <c r="AI1346" s="58"/>
      <c r="AJ1346" s="56"/>
    </row>
    <row r="1347" spans="1:36" x14ac:dyDescent="0.3">
      <c r="A1347" s="59">
        <f t="shared" si="315"/>
        <v>1055</v>
      </c>
      <c r="B1347" s="66" t="s">
        <v>3614</v>
      </c>
      <c r="C1347" s="51">
        <f t="shared" si="312"/>
        <v>620631.4</v>
      </c>
      <c r="D1347" s="51">
        <f t="shared" si="313"/>
        <v>0</v>
      </c>
      <c r="E1347" s="51"/>
      <c r="F1347" s="51"/>
      <c r="G1347" s="51"/>
      <c r="H1347" s="51"/>
      <c r="I1347" s="51"/>
      <c r="J1347" s="51"/>
      <c r="K1347" s="51"/>
      <c r="L1347" s="51"/>
      <c r="M1347" s="51"/>
      <c r="N1347" s="51"/>
      <c r="O1347" s="82"/>
      <c r="P1347" s="51"/>
      <c r="Q1347" s="82"/>
      <c r="R1347" s="51"/>
      <c r="S1347" s="82"/>
      <c r="T1347" s="82"/>
      <c r="U1347" s="51"/>
      <c r="V1347" s="51"/>
      <c r="W1347" s="35">
        <f t="shared" si="309"/>
        <v>620631.4</v>
      </c>
      <c r="X1347" s="331"/>
      <c r="Y1347" s="48"/>
      <c r="Z1347" s="48"/>
      <c r="AA1347" s="48">
        <v>125348.99</v>
      </c>
      <c r="AB1347" s="48"/>
      <c r="AC1347" s="48"/>
      <c r="AD1347" s="48"/>
      <c r="AE1347" s="48"/>
      <c r="AF1347" s="48"/>
      <c r="AG1347" s="61"/>
      <c r="AH1347" s="62">
        <v>495282.41</v>
      </c>
      <c r="AI1347" s="58"/>
      <c r="AJ1347" s="56"/>
    </row>
    <row r="1348" spans="1:36" x14ac:dyDescent="0.3">
      <c r="A1348" s="59">
        <f t="shared" si="315"/>
        <v>1056</v>
      </c>
      <c r="B1348" s="66" t="s">
        <v>3615</v>
      </c>
      <c r="C1348" s="51">
        <f t="shared" si="312"/>
        <v>923481.97</v>
      </c>
      <c r="D1348" s="51">
        <f t="shared" si="313"/>
        <v>0</v>
      </c>
      <c r="E1348" s="51"/>
      <c r="F1348" s="51"/>
      <c r="G1348" s="51"/>
      <c r="H1348" s="51"/>
      <c r="I1348" s="51"/>
      <c r="J1348" s="51"/>
      <c r="K1348" s="51"/>
      <c r="L1348" s="51"/>
      <c r="M1348" s="51">
        <v>550</v>
      </c>
      <c r="N1348" s="51"/>
      <c r="O1348" s="82"/>
      <c r="P1348" s="51"/>
      <c r="Q1348" s="82"/>
      <c r="R1348" s="51"/>
      <c r="S1348" s="82"/>
      <c r="T1348" s="82"/>
      <c r="U1348" s="51"/>
      <c r="V1348" s="51"/>
      <c r="W1348" s="35">
        <f t="shared" si="309"/>
        <v>923481.97</v>
      </c>
      <c r="X1348" s="331"/>
      <c r="Y1348" s="48"/>
      <c r="Z1348" s="48">
        <v>107323</v>
      </c>
      <c r="AA1348" s="48">
        <v>125348.99</v>
      </c>
      <c r="AB1348" s="48"/>
      <c r="AC1348" s="48"/>
      <c r="AD1348" s="48"/>
      <c r="AE1348" s="48"/>
      <c r="AF1348" s="48">
        <v>195527.57</v>
      </c>
      <c r="AG1348" s="61"/>
      <c r="AH1348" s="62">
        <v>495282.41</v>
      </c>
      <c r="AI1348" s="58"/>
      <c r="AJ1348" s="56"/>
    </row>
    <row r="1349" spans="1:36" x14ac:dyDescent="0.3">
      <c r="A1349" s="59">
        <f t="shared" si="315"/>
        <v>1057</v>
      </c>
      <c r="B1349" s="66" t="s">
        <v>3616</v>
      </c>
      <c r="C1349" s="51">
        <f t="shared" si="312"/>
        <v>1039339.72</v>
      </c>
      <c r="D1349" s="51">
        <f t="shared" si="313"/>
        <v>0</v>
      </c>
      <c r="E1349" s="51"/>
      <c r="F1349" s="51"/>
      <c r="G1349" s="51"/>
      <c r="H1349" s="399"/>
      <c r="I1349" s="51"/>
      <c r="J1349" s="51"/>
      <c r="K1349" s="51"/>
      <c r="L1349" s="51"/>
      <c r="M1349" s="51"/>
      <c r="N1349" s="51"/>
      <c r="O1349" s="82"/>
      <c r="P1349" s="399"/>
      <c r="Q1349" s="82"/>
      <c r="R1349" s="51"/>
      <c r="S1349" s="82"/>
      <c r="T1349" s="82"/>
      <c r="U1349" s="51"/>
      <c r="V1349" s="51"/>
      <c r="W1349" s="35">
        <f t="shared" si="309"/>
        <v>1039339.72</v>
      </c>
      <c r="X1349" s="331"/>
      <c r="Y1349" s="48"/>
      <c r="Z1349" s="48">
        <v>98499.56</v>
      </c>
      <c r="AA1349" s="48">
        <v>116502.79</v>
      </c>
      <c r="AB1349" s="48"/>
      <c r="AC1349" s="48"/>
      <c r="AD1349" s="48">
        <v>97031.24</v>
      </c>
      <c r="AE1349" s="48">
        <v>97031.24</v>
      </c>
      <c r="AF1349" s="48"/>
      <c r="AG1349" s="61"/>
      <c r="AH1349" s="62">
        <v>462192.11</v>
      </c>
      <c r="AI1349" s="58">
        <v>168082.78</v>
      </c>
      <c r="AJ1349" s="56"/>
    </row>
    <row r="1350" spans="1:36" x14ac:dyDescent="0.3">
      <c r="A1350" s="59">
        <f t="shared" si="315"/>
        <v>1058</v>
      </c>
      <c r="B1350" s="66" t="s">
        <v>3617</v>
      </c>
      <c r="C1350" s="51">
        <f t="shared" si="312"/>
        <v>96750.64</v>
      </c>
      <c r="D1350" s="51">
        <f t="shared" si="313"/>
        <v>0</v>
      </c>
      <c r="E1350" s="51"/>
      <c r="F1350" s="51"/>
      <c r="G1350" s="51"/>
      <c r="H1350" s="399"/>
      <c r="I1350" s="51"/>
      <c r="J1350" s="51"/>
      <c r="K1350" s="51"/>
      <c r="L1350" s="51"/>
      <c r="M1350" s="51"/>
      <c r="N1350" s="51"/>
      <c r="O1350" s="82"/>
      <c r="P1350" s="399"/>
      <c r="Q1350" s="82"/>
      <c r="R1350" s="51"/>
      <c r="S1350" s="82"/>
      <c r="T1350" s="82"/>
      <c r="U1350" s="51"/>
      <c r="V1350" s="51"/>
      <c r="W1350" s="35">
        <f t="shared" si="309"/>
        <v>96750.64</v>
      </c>
      <c r="X1350" s="331"/>
      <c r="Y1350" s="48"/>
      <c r="Z1350" s="48"/>
      <c r="AA1350" s="48"/>
      <c r="AB1350" s="48"/>
      <c r="AC1350" s="48"/>
      <c r="AD1350" s="48">
        <v>96750.64</v>
      </c>
      <c r="AE1350" s="48"/>
      <c r="AF1350" s="48"/>
      <c r="AG1350" s="61"/>
      <c r="AH1350" s="62"/>
      <c r="AI1350" s="58"/>
      <c r="AJ1350" s="56"/>
    </row>
    <row r="1351" spans="1:36" x14ac:dyDescent="0.3">
      <c r="A1351" s="59"/>
      <c r="B1351" s="66" t="s">
        <v>211</v>
      </c>
      <c r="C1351" s="51">
        <f t="shared" ref="C1351:W1351" si="316">SUM(C1321:C1350)</f>
        <v>25673168.279999994</v>
      </c>
      <c r="D1351" s="51">
        <f t="shared" si="316"/>
        <v>0</v>
      </c>
      <c r="E1351" s="51">
        <f t="shared" si="316"/>
        <v>0</v>
      </c>
      <c r="F1351" s="51">
        <f t="shared" si="316"/>
        <v>0</v>
      </c>
      <c r="G1351" s="51">
        <f t="shared" si="316"/>
        <v>0</v>
      </c>
      <c r="H1351" s="51">
        <f t="shared" si="316"/>
        <v>0</v>
      </c>
      <c r="I1351" s="51">
        <f t="shared" si="316"/>
        <v>0</v>
      </c>
      <c r="J1351" s="51">
        <f t="shared" si="316"/>
        <v>0</v>
      </c>
      <c r="K1351" s="51">
        <f t="shared" si="316"/>
        <v>0</v>
      </c>
      <c r="L1351" s="51">
        <f t="shared" si="316"/>
        <v>0</v>
      </c>
      <c r="M1351" s="51">
        <f t="shared" si="316"/>
        <v>550</v>
      </c>
      <c r="N1351" s="51">
        <f t="shared" si="316"/>
        <v>0</v>
      </c>
      <c r="O1351" s="82">
        <f t="shared" si="316"/>
        <v>0</v>
      </c>
      <c r="P1351" s="51">
        <f t="shared" si="316"/>
        <v>0</v>
      </c>
      <c r="Q1351" s="82">
        <f t="shared" si="316"/>
        <v>0</v>
      </c>
      <c r="R1351" s="51">
        <f t="shared" si="316"/>
        <v>0</v>
      </c>
      <c r="S1351" s="82">
        <f t="shared" si="316"/>
        <v>0</v>
      </c>
      <c r="T1351" s="82">
        <f t="shared" si="316"/>
        <v>0</v>
      </c>
      <c r="U1351" s="51">
        <f t="shared" si="316"/>
        <v>0</v>
      </c>
      <c r="V1351" s="51">
        <f t="shared" si="316"/>
        <v>0</v>
      </c>
      <c r="W1351" s="35">
        <f t="shared" si="316"/>
        <v>25673168.279999994</v>
      </c>
      <c r="X1351" s="290"/>
      <c r="Y1351" s="48"/>
      <c r="Z1351" s="48"/>
      <c r="AA1351" s="48"/>
      <c r="AB1351" s="48"/>
      <c r="AC1351" s="48"/>
      <c r="AD1351" s="48"/>
      <c r="AE1351" s="48"/>
      <c r="AF1351" s="48"/>
      <c r="AG1351" s="61"/>
      <c r="AH1351" s="62"/>
      <c r="AI1351" s="58"/>
      <c r="AJ1351" s="56"/>
    </row>
    <row r="1352" spans="1:36" x14ac:dyDescent="0.3">
      <c r="A1352" s="59"/>
      <c r="B1352" s="66" t="s">
        <v>3920</v>
      </c>
      <c r="C1352" s="51">
        <f>C1351+C1319+C1311+C1305+C1302+C1296+C1288</f>
        <v>101734539.63999999</v>
      </c>
      <c r="D1352" s="51">
        <f t="shared" ref="D1352:W1352" si="317">D1351+D1319+D1311+D1305+D1302+D1296+D1288</f>
        <v>0</v>
      </c>
      <c r="E1352" s="51">
        <f t="shared" si="317"/>
        <v>0</v>
      </c>
      <c r="F1352" s="51">
        <f t="shared" si="317"/>
        <v>0</v>
      </c>
      <c r="G1352" s="51">
        <f t="shared" si="317"/>
        <v>0</v>
      </c>
      <c r="H1352" s="51">
        <f t="shared" si="317"/>
        <v>0</v>
      </c>
      <c r="I1352" s="51">
        <f t="shared" si="317"/>
        <v>0</v>
      </c>
      <c r="J1352" s="51">
        <f t="shared" si="317"/>
        <v>0</v>
      </c>
      <c r="K1352" s="51">
        <f t="shared" si="317"/>
        <v>0</v>
      </c>
      <c r="L1352" s="51">
        <f t="shared" si="317"/>
        <v>0</v>
      </c>
      <c r="M1352" s="51">
        <f t="shared" si="317"/>
        <v>4862</v>
      </c>
      <c r="N1352" s="51">
        <f t="shared" si="317"/>
        <v>0</v>
      </c>
      <c r="O1352" s="82">
        <f t="shared" si="317"/>
        <v>0</v>
      </c>
      <c r="P1352" s="51">
        <f t="shared" si="317"/>
        <v>0</v>
      </c>
      <c r="Q1352" s="82">
        <f t="shared" si="317"/>
        <v>5373.1</v>
      </c>
      <c r="R1352" s="51">
        <f t="shared" si="317"/>
        <v>64163195.660000004</v>
      </c>
      <c r="S1352" s="82">
        <f t="shared" si="317"/>
        <v>0</v>
      </c>
      <c r="T1352" s="82">
        <f t="shared" si="317"/>
        <v>0</v>
      </c>
      <c r="U1352" s="51">
        <f t="shared" si="317"/>
        <v>0</v>
      </c>
      <c r="V1352" s="51">
        <f t="shared" si="317"/>
        <v>0</v>
      </c>
      <c r="W1352" s="35">
        <f t="shared" si="317"/>
        <v>33942536.779999994</v>
      </c>
      <c r="X1352" s="290"/>
      <c r="Y1352" s="48"/>
      <c r="Z1352" s="48"/>
      <c r="AA1352" s="48"/>
      <c r="AB1352" s="48"/>
      <c r="AC1352" s="48"/>
      <c r="AD1352" s="48"/>
      <c r="AE1352" s="48"/>
      <c r="AF1352" s="48"/>
      <c r="AG1352" s="61"/>
      <c r="AH1352" s="62"/>
      <c r="AI1352" s="58"/>
      <c r="AJ1352" s="56"/>
    </row>
    <row r="1353" spans="1:36" x14ac:dyDescent="0.3">
      <c r="A1353" s="312"/>
      <c r="B1353" s="66" t="s">
        <v>3626</v>
      </c>
      <c r="C1353" s="394">
        <f t="shared" ref="C1353:AB1353" si="318">C1352+C1282+C1202+C1049+C1039+C993+C968+C891+C804+C753+C509+C472+C449+C364+C258+C144+C54+C28</f>
        <v>3617056237.579999</v>
      </c>
      <c r="D1353" s="394">
        <f t="shared" si="318"/>
        <v>20447491.960000001</v>
      </c>
      <c r="E1353" s="394">
        <f t="shared" si="318"/>
        <v>5616807.4800000004</v>
      </c>
      <c r="F1353" s="394">
        <f t="shared" si="318"/>
        <v>9867588.2400000002</v>
      </c>
      <c r="G1353" s="394">
        <f t="shared" si="318"/>
        <v>1376779.2000000002</v>
      </c>
      <c r="H1353" s="394">
        <f t="shared" si="318"/>
        <v>1695170</v>
      </c>
      <c r="I1353" s="394">
        <f t="shared" si="318"/>
        <v>1891147.04</v>
      </c>
      <c r="J1353" s="394">
        <f t="shared" si="318"/>
        <v>0</v>
      </c>
      <c r="K1353" s="394">
        <f t="shared" si="318"/>
        <v>0</v>
      </c>
      <c r="L1353" s="394">
        <f t="shared" si="318"/>
        <v>0</v>
      </c>
      <c r="M1353" s="394">
        <f t="shared" si="318"/>
        <v>8131</v>
      </c>
      <c r="N1353" s="394">
        <f t="shared" si="318"/>
        <v>33750429</v>
      </c>
      <c r="O1353" s="396">
        <f t="shared" si="318"/>
        <v>28370.39</v>
      </c>
      <c r="P1353" s="394">
        <f t="shared" si="318"/>
        <v>456153912.21999997</v>
      </c>
      <c r="Q1353" s="396">
        <f t="shared" si="318"/>
        <v>326406.90000000002</v>
      </c>
      <c r="R1353" s="394">
        <f t="shared" si="318"/>
        <v>2436841274.0499997</v>
      </c>
      <c r="S1353" s="396">
        <f t="shared" si="318"/>
        <v>0</v>
      </c>
      <c r="T1353" s="396">
        <f t="shared" si="318"/>
        <v>9075.1799999999985</v>
      </c>
      <c r="U1353" s="394">
        <f t="shared" si="318"/>
        <v>66491798.140000008</v>
      </c>
      <c r="V1353" s="394">
        <f t="shared" si="318"/>
        <v>0</v>
      </c>
      <c r="W1353" s="395">
        <f t="shared" si="318"/>
        <v>591251842.06000006</v>
      </c>
      <c r="X1353" s="152" t="e">
        <f t="shared" si="318"/>
        <v>#REF!</v>
      </c>
      <c r="Y1353" s="152" t="e">
        <f t="shared" si="318"/>
        <v>#REF!</v>
      </c>
      <c r="Z1353" s="152" t="e">
        <f t="shared" si="318"/>
        <v>#REF!</v>
      </c>
      <c r="AA1353" s="152" t="e">
        <f t="shared" si="318"/>
        <v>#REF!</v>
      </c>
      <c r="AB1353" s="152">
        <f t="shared" si="318"/>
        <v>0</v>
      </c>
    </row>
    <row r="1354" spans="1:36" x14ac:dyDescent="0.3">
      <c r="A1354" s="149"/>
      <c r="B1354" s="150" t="s">
        <v>4183</v>
      </c>
      <c r="C1354" s="409">
        <f>(C1353-W1353)*0.0214</f>
        <v>64752214.064127974</v>
      </c>
      <c r="D1354" s="409"/>
      <c r="E1354" s="409"/>
      <c r="F1354" s="409"/>
      <c r="G1354" s="409"/>
      <c r="H1354" s="409"/>
      <c r="I1354" s="409"/>
      <c r="J1354" s="409"/>
      <c r="K1354" s="409"/>
      <c r="L1354" s="409"/>
      <c r="M1354" s="409"/>
      <c r="N1354" s="409"/>
      <c r="O1354" s="410"/>
      <c r="P1354" s="409"/>
      <c r="Q1354" s="410"/>
      <c r="R1354" s="409"/>
      <c r="S1354" s="410"/>
      <c r="T1354" s="410"/>
      <c r="U1354" s="409"/>
      <c r="V1354" s="409"/>
      <c r="W1354" s="412"/>
    </row>
    <row r="1355" spans="1:36" ht="31.2" x14ac:dyDescent="0.3">
      <c r="A1355" s="149"/>
      <c r="B1355" s="151" t="s">
        <v>4184</v>
      </c>
      <c r="C1355" s="409">
        <f>C1353+C1354</f>
        <v>3681808451.6441269</v>
      </c>
      <c r="D1355" s="409"/>
      <c r="E1355" s="409"/>
      <c r="F1355" s="409"/>
      <c r="G1355" s="409"/>
      <c r="H1355" s="409"/>
      <c r="I1355" s="409"/>
      <c r="J1355" s="409"/>
      <c r="K1355" s="409"/>
      <c r="L1355" s="409"/>
      <c r="M1355" s="409"/>
      <c r="N1355" s="409"/>
      <c r="O1355" s="410"/>
      <c r="P1355" s="409"/>
      <c r="Q1355" s="410"/>
      <c r="R1355" s="409"/>
      <c r="S1355" s="410"/>
      <c r="T1355" s="410"/>
      <c r="U1355" s="409"/>
      <c r="V1355" s="409"/>
      <c r="W1355" s="412"/>
    </row>
    <row r="1356" spans="1:36" x14ac:dyDescent="0.3">
      <c r="A1356" s="312"/>
      <c r="B1356" s="383"/>
      <c r="C1356" s="145"/>
      <c r="D1356" s="312"/>
      <c r="E1356" s="312"/>
      <c r="F1356" s="312"/>
      <c r="G1356" s="312"/>
      <c r="H1356" s="312"/>
      <c r="I1356" s="312"/>
      <c r="J1356" s="312"/>
      <c r="K1356" s="312"/>
      <c r="L1356" s="312"/>
      <c r="M1356" s="312"/>
      <c r="N1356" s="312"/>
      <c r="O1356" s="345"/>
      <c r="P1356" s="312"/>
      <c r="Q1356" s="345"/>
      <c r="R1356" s="312"/>
      <c r="S1356" s="345"/>
      <c r="T1356" s="345"/>
      <c r="U1356" s="312"/>
      <c r="V1356" s="312"/>
      <c r="W1356" s="143"/>
    </row>
    <row r="1357" spans="1:36" x14ac:dyDescent="0.3">
      <c r="A1357" s="312"/>
      <c r="B1357" s="383"/>
      <c r="C1357" s="312"/>
      <c r="D1357" s="312"/>
      <c r="E1357" s="312"/>
      <c r="F1357" s="312"/>
      <c r="G1357" s="312"/>
      <c r="H1357" s="312"/>
      <c r="I1357" s="312"/>
      <c r="J1357" s="312"/>
      <c r="K1357" s="312"/>
      <c r="L1357" s="312"/>
      <c r="M1357" s="312"/>
      <c r="N1357" s="312"/>
      <c r="O1357" s="345"/>
      <c r="P1357" s="312"/>
      <c r="Q1357" s="345"/>
      <c r="R1357" s="312"/>
      <c r="S1357" s="345"/>
      <c r="T1357" s="345"/>
      <c r="U1357" s="312"/>
      <c r="V1357" s="312"/>
      <c r="W1357" s="143"/>
    </row>
    <row r="1358" spans="1:36" x14ac:dyDescent="0.3">
      <c r="A1358" s="312"/>
      <c r="B1358" s="383"/>
      <c r="C1358" s="312"/>
      <c r="D1358" s="312"/>
      <c r="E1358" s="312"/>
      <c r="F1358" s="312"/>
      <c r="G1358" s="312"/>
      <c r="H1358" s="312"/>
      <c r="I1358" s="312"/>
      <c r="J1358" s="312"/>
      <c r="K1358" s="312"/>
      <c r="L1358" s="312"/>
      <c r="M1358" s="312"/>
      <c r="N1358" s="312"/>
      <c r="O1358" s="345"/>
      <c r="P1358" s="312"/>
      <c r="Q1358" s="345"/>
      <c r="R1358" s="312"/>
      <c r="S1358" s="345"/>
      <c r="T1358" s="345"/>
      <c r="U1358" s="312"/>
      <c r="V1358" s="312"/>
      <c r="W1358" s="143"/>
    </row>
    <row r="1359" spans="1:36" x14ac:dyDescent="0.3">
      <c r="A1359" s="312"/>
      <c r="B1359" s="383"/>
      <c r="C1359" s="312"/>
      <c r="D1359" s="312"/>
      <c r="E1359" s="312"/>
      <c r="F1359" s="312"/>
      <c r="G1359" s="312"/>
      <c r="H1359" s="312"/>
      <c r="I1359" s="312"/>
      <c r="J1359" s="312"/>
      <c r="K1359" s="312"/>
      <c r="L1359" s="312"/>
      <c r="M1359" s="312"/>
      <c r="N1359" s="312"/>
      <c r="O1359" s="345"/>
      <c r="P1359" s="312"/>
      <c r="Q1359" s="345"/>
      <c r="R1359" s="312"/>
      <c r="S1359" s="345"/>
      <c r="T1359" s="345"/>
      <c r="U1359" s="312"/>
      <c r="V1359" s="312"/>
      <c r="W1359" s="143"/>
    </row>
    <row r="1360" spans="1:36" x14ac:dyDescent="0.3">
      <c r="A1360" s="312"/>
      <c r="B1360" s="383"/>
      <c r="C1360" s="312"/>
      <c r="D1360" s="312"/>
      <c r="E1360" s="312"/>
      <c r="F1360" s="312"/>
      <c r="G1360" s="312"/>
      <c r="H1360" s="312"/>
      <c r="I1360" s="312"/>
      <c r="J1360" s="312"/>
      <c r="K1360" s="312"/>
      <c r="L1360" s="312"/>
      <c r="M1360" s="312"/>
      <c r="N1360" s="312"/>
      <c r="O1360" s="345"/>
      <c r="P1360" s="312"/>
      <c r="Q1360" s="345"/>
      <c r="R1360" s="312"/>
      <c r="S1360" s="345"/>
      <c r="T1360" s="345"/>
      <c r="U1360" s="312"/>
      <c r="V1360" s="312"/>
      <c r="W1360" s="143"/>
    </row>
    <row r="1361" spans="1:23" x14ac:dyDescent="0.3">
      <c r="A1361" s="312"/>
      <c r="B1361" s="383"/>
      <c r="C1361" s="312"/>
      <c r="D1361" s="312"/>
      <c r="E1361" s="312"/>
      <c r="F1361" s="312"/>
      <c r="G1361" s="312"/>
      <c r="H1361" s="312"/>
      <c r="I1361" s="312"/>
      <c r="J1361" s="312"/>
      <c r="K1361" s="312"/>
      <c r="L1361" s="312"/>
      <c r="M1361" s="312"/>
      <c r="N1361" s="312"/>
      <c r="O1361" s="345"/>
      <c r="P1361" s="312"/>
      <c r="Q1361" s="345"/>
      <c r="R1361" s="312"/>
      <c r="S1361" s="345"/>
      <c r="T1361" s="345"/>
      <c r="U1361" s="312"/>
      <c r="V1361" s="312"/>
      <c r="W1361" s="143"/>
    </row>
    <row r="1362" spans="1:23" x14ac:dyDescent="0.3">
      <c r="A1362" s="312"/>
      <c r="B1362" s="383"/>
      <c r="C1362" s="312"/>
      <c r="D1362" s="312"/>
      <c r="E1362" s="312"/>
      <c r="F1362" s="312"/>
      <c r="G1362" s="312"/>
      <c r="H1362" s="312"/>
      <c r="I1362" s="312"/>
      <c r="J1362" s="312"/>
      <c r="K1362" s="312"/>
      <c r="L1362" s="312"/>
      <c r="M1362" s="312"/>
      <c r="N1362" s="312"/>
      <c r="O1362" s="345"/>
      <c r="P1362" s="312"/>
      <c r="Q1362" s="345"/>
      <c r="R1362" s="312"/>
      <c r="S1362" s="345"/>
      <c r="T1362" s="345"/>
      <c r="U1362" s="312"/>
      <c r="V1362" s="312"/>
      <c r="W1362" s="143"/>
    </row>
    <row r="1363" spans="1:23" x14ac:dyDescent="0.3">
      <c r="A1363" s="312"/>
      <c r="B1363" s="383"/>
      <c r="C1363" s="312"/>
      <c r="D1363" s="312"/>
      <c r="E1363" s="312"/>
      <c r="F1363" s="312"/>
      <c r="G1363" s="312"/>
      <c r="H1363" s="312"/>
      <c r="I1363" s="312"/>
      <c r="J1363" s="312"/>
      <c r="K1363" s="312"/>
      <c r="L1363" s="312"/>
      <c r="M1363" s="312"/>
      <c r="N1363" s="312"/>
      <c r="O1363" s="345"/>
      <c r="P1363" s="312"/>
      <c r="Q1363" s="345"/>
      <c r="R1363" s="312"/>
      <c r="S1363" s="345"/>
      <c r="T1363" s="345"/>
      <c r="U1363" s="312"/>
      <c r="V1363" s="312"/>
      <c r="W1363" s="143"/>
    </row>
    <row r="1364" spans="1:23" x14ac:dyDescent="0.3">
      <c r="A1364" s="312"/>
      <c r="B1364" s="383"/>
      <c r="C1364" s="312"/>
      <c r="D1364" s="312"/>
      <c r="E1364" s="312"/>
      <c r="F1364" s="312"/>
      <c r="G1364" s="312"/>
      <c r="H1364" s="312"/>
      <c r="I1364" s="312"/>
      <c r="J1364" s="312"/>
      <c r="K1364" s="312"/>
      <c r="L1364" s="312"/>
      <c r="M1364" s="312"/>
      <c r="N1364" s="312"/>
      <c r="O1364" s="345"/>
      <c r="P1364" s="312"/>
      <c r="Q1364" s="345"/>
      <c r="R1364" s="312"/>
      <c r="S1364" s="345"/>
      <c r="T1364" s="345"/>
      <c r="U1364" s="312"/>
      <c r="V1364" s="312"/>
      <c r="W1364" s="143"/>
    </row>
    <row r="1365" spans="1:23" x14ac:dyDescent="0.3">
      <c r="A1365" s="312"/>
      <c r="B1365" s="383"/>
      <c r="C1365" s="312"/>
      <c r="D1365" s="312"/>
      <c r="E1365" s="312"/>
      <c r="F1365" s="312"/>
      <c r="G1365" s="312"/>
      <c r="H1365" s="312"/>
      <c r="I1365" s="312"/>
      <c r="J1365" s="312"/>
      <c r="K1365" s="312"/>
      <c r="L1365" s="312"/>
      <c r="M1365" s="312"/>
      <c r="N1365" s="312"/>
      <c r="O1365" s="345"/>
      <c r="P1365" s="312"/>
      <c r="Q1365" s="345"/>
      <c r="R1365" s="312"/>
      <c r="S1365" s="345"/>
      <c r="T1365" s="345"/>
      <c r="U1365" s="312"/>
      <c r="V1365" s="312"/>
      <c r="W1365" s="143"/>
    </row>
    <row r="1366" spans="1:23" x14ac:dyDescent="0.3">
      <c r="A1366" s="312"/>
      <c r="B1366" s="383"/>
      <c r="C1366" s="312"/>
      <c r="D1366" s="312"/>
      <c r="E1366" s="312"/>
      <c r="F1366" s="312"/>
      <c r="G1366" s="312"/>
      <c r="H1366" s="312"/>
      <c r="I1366" s="312"/>
      <c r="J1366" s="312"/>
      <c r="K1366" s="312"/>
      <c r="L1366" s="312"/>
      <c r="M1366" s="312"/>
      <c r="N1366" s="312"/>
      <c r="O1366" s="345"/>
      <c r="P1366" s="312"/>
      <c r="Q1366" s="345"/>
      <c r="R1366" s="312"/>
      <c r="S1366" s="345"/>
      <c r="T1366" s="345"/>
      <c r="U1366" s="312"/>
      <c r="V1366" s="312"/>
      <c r="W1366" s="143"/>
    </row>
    <row r="1367" spans="1:23" x14ac:dyDescent="0.3">
      <c r="A1367" s="312"/>
      <c r="B1367" s="383"/>
      <c r="C1367" s="312"/>
      <c r="D1367" s="312"/>
      <c r="E1367" s="312"/>
      <c r="F1367" s="312"/>
      <c r="G1367" s="312"/>
      <c r="H1367" s="312"/>
      <c r="I1367" s="312"/>
      <c r="J1367" s="312"/>
      <c r="K1367" s="312"/>
      <c r="L1367" s="312"/>
      <c r="M1367" s="312"/>
      <c r="N1367" s="312"/>
      <c r="O1367" s="345"/>
      <c r="P1367" s="312"/>
      <c r="Q1367" s="345"/>
      <c r="R1367" s="312"/>
      <c r="S1367" s="345"/>
      <c r="T1367" s="345"/>
      <c r="U1367" s="312"/>
      <c r="V1367" s="312"/>
      <c r="W1367" s="143"/>
    </row>
    <row r="1368" spans="1:23" x14ac:dyDescent="0.3">
      <c r="A1368" s="312"/>
      <c r="B1368" s="383"/>
      <c r="C1368" s="312"/>
      <c r="D1368" s="312"/>
      <c r="E1368" s="312"/>
      <c r="F1368" s="312"/>
      <c r="G1368" s="312"/>
      <c r="H1368" s="312"/>
      <c r="I1368" s="312"/>
      <c r="J1368" s="312"/>
      <c r="K1368" s="312"/>
      <c r="L1368" s="312"/>
      <c r="M1368" s="312"/>
      <c r="N1368" s="312"/>
      <c r="O1368" s="345"/>
      <c r="P1368" s="312"/>
      <c r="Q1368" s="345"/>
      <c r="R1368" s="312"/>
      <c r="S1368" s="345"/>
      <c r="T1368" s="345"/>
      <c r="U1368" s="312"/>
      <c r="V1368" s="312"/>
      <c r="W1368" s="143"/>
    </row>
    <row r="1369" spans="1:23" x14ac:dyDescent="0.3">
      <c r="A1369" s="312"/>
      <c r="B1369" s="383"/>
      <c r="C1369" s="312"/>
      <c r="D1369" s="312"/>
      <c r="E1369" s="312"/>
      <c r="F1369" s="312"/>
      <c r="G1369" s="312"/>
      <c r="H1369" s="312"/>
      <c r="I1369" s="312"/>
      <c r="J1369" s="312"/>
      <c r="K1369" s="312"/>
      <c r="L1369" s="312"/>
      <c r="M1369" s="312"/>
      <c r="N1369" s="312"/>
      <c r="O1369" s="345"/>
      <c r="P1369" s="312"/>
      <c r="Q1369" s="345"/>
      <c r="R1369" s="312"/>
      <c r="S1369" s="345"/>
      <c r="T1369" s="345"/>
      <c r="U1369" s="312"/>
      <c r="V1369" s="312"/>
      <c r="W1369" s="143"/>
    </row>
    <row r="1370" spans="1:23" x14ac:dyDescent="0.3">
      <c r="A1370" s="312"/>
      <c r="B1370" s="383"/>
      <c r="C1370" s="312"/>
      <c r="D1370" s="312"/>
      <c r="E1370" s="312"/>
      <c r="F1370" s="312"/>
      <c r="G1370" s="312"/>
      <c r="H1370" s="312"/>
      <c r="I1370" s="312"/>
      <c r="J1370" s="312"/>
      <c r="K1370" s="312"/>
      <c r="L1370" s="312"/>
      <c r="M1370" s="312"/>
      <c r="N1370" s="312"/>
      <c r="O1370" s="345"/>
      <c r="P1370" s="312"/>
      <c r="Q1370" s="345"/>
      <c r="R1370" s="312"/>
      <c r="S1370" s="345"/>
      <c r="T1370" s="345"/>
      <c r="U1370" s="312"/>
      <c r="V1370" s="312"/>
      <c r="W1370" s="143"/>
    </row>
    <row r="1371" spans="1:23" x14ac:dyDescent="0.3">
      <c r="A1371" s="312"/>
      <c r="B1371" s="383"/>
      <c r="C1371" s="312"/>
      <c r="D1371" s="312"/>
      <c r="E1371" s="312"/>
      <c r="F1371" s="312"/>
      <c r="G1371" s="312"/>
      <c r="H1371" s="312"/>
      <c r="I1371" s="312"/>
      <c r="J1371" s="312"/>
      <c r="K1371" s="312"/>
      <c r="L1371" s="312"/>
      <c r="M1371" s="312"/>
      <c r="N1371" s="312"/>
      <c r="O1371" s="345"/>
      <c r="P1371" s="312"/>
      <c r="Q1371" s="345"/>
      <c r="R1371" s="312"/>
      <c r="S1371" s="345"/>
      <c r="T1371" s="345"/>
      <c r="U1371" s="312"/>
      <c r="V1371" s="312"/>
      <c r="W1371" s="143"/>
    </row>
    <row r="1372" spans="1:23" x14ac:dyDescent="0.3">
      <c r="A1372" s="312"/>
      <c r="B1372" s="383"/>
      <c r="C1372" s="312"/>
      <c r="D1372" s="312"/>
      <c r="E1372" s="312"/>
      <c r="F1372" s="312"/>
      <c r="G1372" s="312"/>
      <c r="H1372" s="312"/>
      <c r="I1372" s="312"/>
      <c r="J1372" s="312"/>
      <c r="K1372" s="312"/>
      <c r="L1372" s="312"/>
      <c r="M1372" s="312"/>
      <c r="N1372" s="312"/>
      <c r="O1372" s="345"/>
      <c r="P1372" s="312"/>
      <c r="Q1372" s="345"/>
      <c r="R1372" s="312"/>
      <c r="S1372" s="345"/>
      <c r="T1372" s="345"/>
      <c r="U1372" s="312"/>
      <c r="V1372" s="312"/>
      <c r="W1372" s="143"/>
    </row>
    <row r="1373" spans="1:23" x14ac:dyDescent="0.3">
      <c r="A1373" s="312"/>
      <c r="B1373" s="383"/>
      <c r="C1373" s="312"/>
      <c r="D1373" s="312"/>
      <c r="E1373" s="312"/>
      <c r="F1373" s="312"/>
      <c r="G1373" s="312"/>
      <c r="H1373" s="312"/>
      <c r="I1373" s="312"/>
      <c r="J1373" s="312"/>
      <c r="K1373" s="312"/>
      <c r="L1373" s="312"/>
      <c r="M1373" s="312"/>
      <c r="N1373" s="312"/>
      <c r="O1373" s="345"/>
      <c r="P1373" s="312"/>
      <c r="Q1373" s="345"/>
      <c r="R1373" s="312"/>
      <c r="S1373" s="345"/>
      <c r="T1373" s="345"/>
      <c r="U1373" s="312"/>
      <c r="V1373" s="312"/>
      <c r="W1373" s="143"/>
    </row>
    <row r="1374" spans="1:23" x14ac:dyDescent="0.3">
      <c r="A1374" s="312"/>
      <c r="B1374" s="383"/>
      <c r="C1374" s="312"/>
      <c r="D1374" s="312"/>
      <c r="E1374" s="312"/>
      <c r="F1374" s="312"/>
      <c r="G1374" s="312"/>
      <c r="H1374" s="312"/>
      <c r="I1374" s="312"/>
      <c r="J1374" s="312"/>
      <c r="K1374" s="312"/>
      <c r="L1374" s="312"/>
      <c r="M1374" s="312"/>
      <c r="N1374" s="312"/>
      <c r="O1374" s="345"/>
      <c r="P1374" s="312"/>
      <c r="Q1374" s="345"/>
      <c r="R1374" s="312"/>
      <c r="S1374" s="345"/>
      <c r="T1374" s="345"/>
      <c r="U1374" s="312"/>
      <c r="V1374" s="312"/>
      <c r="W1374" s="143"/>
    </row>
    <row r="1375" spans="1:23" x14ac:dyDescent="0.3">
      <c r="A1375" s="312"/>
      <c r="B1375" s="383"/>
      <c r="C1375" s="312"/>
      <c r="D1375" s="312"/>
      <c r="E1375" s="312"/>
      <c r="F1375" s="312"/>
      <c r="G1375" s="312"/>
      <c r="H1375" s="312"/>
      <c r="I1375" s="312"/>
      <c r="J1375" s="312"/>
      <c r="K1375" s="312"/>
      <c r="L1375" s="312"/>
      <c r="M1375" s="312"/>
      <c r="N1375" s="312"/>
      <c r="O1375" s="345"/>
      <c r="P1375" s="312"/>
      <c r="Q1375" s="345"/>
      <c r="R1375" s="312"/>
      <c r="S1375" s="345"/>
      <c r="T1375" s="345"/>
      <c r="U1375" s="312"/>
      <c r="V1375" s="312"/>
      <c r="W1375" s="143"/>
    </row>
    <row r="1376" spans="1:23" x14ac:dyDescent="0.3">
      <c r="A1376" s="312"/>
      <c r="B1376" s="383"/>
      <c r="C1376" s="312"/>
      <c r="D1376" s="312"/>
      <c r="E1376" s="312"/>
      <c r="F1376" s="312"/>
      <c r="G1376" s="312"/>
      <c r="H1376" s="312"/>
      <c r="I1376" s="312"/>
      <c r="J1376" s="312"/>
      <c r="K1376" s="312"/>
      <c r="L1376" s="312"/>
      <c r="M1376" s="312"/>
      <c r="N1376" s="312"/>
      <c r="O1376" s="345"/>
      <c r="P1376" s="312"/>
      <c r="Q1376" s="345"/>
      <c r="R1376" s="312"/>
      <c r="S1376" s="345"/>
      <c r="T1376" s="345"/>
      <c r="U1376" s="312"/>
      <c r="V1376" s="312"/>
      <c r="W1376" s="143"/>
    </row>
    <row r="1377" spans="1:23" x14ac:dyDescent="0.3">
      <c r="A1377" s="312"/>
      <c r="B1377" s="383"/>
      <c r="C1377" s="312"/>
      <c r="D1377" s="312"/>
      <c r="E1377" s="312"/>
      <c r="F1377" s="312"/>
      <c r="G1377" s="312"/>
      <c r="H1377" s="312"/>
      <c r="I1377" s="312"/>
      <c r="J1377" s="312"/>
      <c r="K1377" s="312"/>
      <c r="L1377" s="312"/>
      <c r="M1377" s="312"/>
      <c r="N1377" s="312"/>
      <c r="O1377" s="345"/>
      <c r="P1377" s="312"/>
      <c r="Q1377" s="345"/>
      <c r="R1377" s="312"/>
      <c r="S1377" s="345"/>
      <c r="T1377" s="345"/>
      <c r="U1377" s="312"/>
      <c r="V1377" s="312"/>
      <c r="W1377" s="143"/>
    </row>
    <row r="1378" spans="1:23" x14ac:dyDescent="0.3">
      <c r="A1378" s="312"/>
      <c r="B1378" s="383"/>
      <c r="C1378" s="312"/>
      <c r="D1378" s="312"/>
      <c r="E1378" s="312"/>
      <c r="F1378" s="312"/>
      <c r="G1378" s="312"/>
      <c r="H1378" s="312"/>
      <c r="I1378" s="312"/>
      <c r="J1378" s="312"/>
      <c r="K1378" s="312"/>
      <c r="L1378" s="312"/>
      <c r="M1378" s="312"/>
      <c r="N1378" s="312"/>
      <c r="O1378" s="345"/>
      <c r="P1378" s="312"/>
      <c r="Q1378" s="345"/>
      <c r="R1378" s="312"/>
      <c r="S1378" s="345"/>
      <c r="T1378" s="345"/>
      <c r="U1378" s="312"/>
      <c r="V1378" s="312"/>
      <c r="W1378" s="143"/>
    </row>
    <row r="1379" spans="1:23" x14ac:dyDescent="0.3">
      <c r="A1379" s="312"/>
      <c r="B1379" s="383"/>
      <c r="C1379" s="312"/>
      <c r="D1379" s="312"/>
      <c r="E1379" s="312"/>
      <c r="F1379" s="312"/>
      <c r="G1379" s="312"/>
      <c r="H1379" s="312"/>
      <c r="I1379" s="312"/>
      <c r="J1379" s="312"/>
      <c r="K1379" s="312"/>
      <c r="L1379" s="312"/>
      <c r="M1379" s="312"/>
      <c r="N1379" s="312"/>
      <c r="O1379" s="345"/>
      <c r="P1379" s="312"/>
      <c r="Q1379" s="345"/>
      <c r="R1379" s="312"/>
      <c r="S1379" s="345"/>
      <c r="T1379" s="345"/>
      <c r="U1379" s="312"/>
      <c r="V1379" s="312"/>
      <c r="W1379" s="143"/>
    </row>
    <row r="1380" spans="1:23" x14ac:dyDescent="0.3">
      <c r="A1380" s="312"/>
      <c r="B1380" s="383"/>
      <c r="C1380" s="312"/>
      <c r="D1380" s="312"/>
      <c r="E1380" s="312"/>
      <c r="F1380" s="312"/>
      <c r="G1380" s="312"/>
      <c r="H1380" s="312"/>
      <c r="I1380" s="312"/>
      <c r="J1380" s="312"/>
      <c r="K1380" s="312"/>
      <c r="L1380" s="312"/>
      <c r="M1380" s="312"/>
      <c r="N1380" s="312"/>
      <c r="O1380" s="345"/>
      <c r="P1380" s="312"/>
      <c r="Q1380" s="345"/>
      <c r="R1380" s="312"/>
      <c r="S1380" s="345"/>
      <c r="T1380" s="345"/>
      <c r="U1380" s="312"/>
      <c r="V1380" s="312"/>
      <c r="W1380" s="143"/>
    </row>
    <row r="1381" spans="1:23" x14ac:dyDescent="0.3">
      <c r="A1381" s="312"/>
      <c r="B1381" s="383"/>
      <c r="C1381" s="312"/>
      <c r="D1381" s="312"/>
      <c r="E1381" s="312"/>
      <c r="F1381" s="312"/>
      <c r="G1381" s="312"/>
      <c r="H1381" s="312"/>
      <c r="I1381" s="312"/>
      <c r="J1381" s="312"/>
      <c r="K1381" s="312"/>
      <c r="L1381" s="312"/>
      <c r="M1381" s="312"/>
      <c r="N1381" s="312"/>
      <c r="O1381" s="345"/>
      <c r="P1381" s="312"/>
      <c r="Q1381" s="345"/>
      <c r="R1381" s="312"/>
      <c r="S1381" s="345"/>
      <c r="T1381" s="345"/>
      <c r="U1381" s="312"/>
      <c r="V1381" s="312"/>
      <c r="W1381" s="143"/>
    </row>
    <row r="1382" spans="1:23" x14ac:dyDescent="0.3">
      <c r="A1382" s="312"/>
      <c r="B1382" s="383"/>
      <c r="C1382" s="312"/>
      <c r="D1382" s="312"/>
      <c r="E1382" s="312"/>
      <c r="F1382" s="312"/>
      <c r="G1382" s="312"/>
      <c r="H1382" s="312"/>
      <c r="I1382" s="312"/>
      <c r="J1382" s="312"/>
      <c r="K1382" s="312"/>
      <c r="L1382" s="312"/>
      <c r="M1382" s="312"/>
      <c r="N1382" s="312"/>
      <c r="O1382" s="345"/>
      <c r="P1382" s="312"/>
      <c r="Q1382" s="345"/>
      <c r="R1382" s="312"/>
      <c r="S1382" s="345"/>
      <c r="T1382" s="345"/>
      <c r="U1382" s="312"/>
      <c r="V1382" s="312"/>
      <c r="W1382" s="143"/>
    </row>
    <row r="1383" spans="1:23" x14ac:dyDescent="0.3">
      <c r="A1383" s="312"/>
      <c r="B1383" s="383"/>
      <c r="C1383" s="312"/>
      <c r="D1383" s="312"/>
      <c r="E1383" s="312"/>
      <c r="F1383" s="312"/>
      <c r="G1383" s="312"/>
      <c r="H1383" s="312"/>
      <c r="I1383" s="312"/>
      <c r="J1383" s="312"/>
      <c r="K1383" s="312"/>
      <c r="L1383" s="312"/>
      <c r="M1383" s="312"/>
      <c r="N1383" s="312"/>
      <c r="O1383" s="345"/>
      <c r="P1383" s="312"/>
      <c r="Q1383" s="345"/>
      <c r="R1383" s="312"/>
      <c r="S1383" s="345"/>
      <c r="T1383" s="345"/>
      <c r="U1383" s="312"/>
      <c r="V1383" s="312"/>
      <c r="W1383" s="143"/>
    </row>
    <row r="1384" spans="1:23" x14ac:dyDescent="0.3">
      <c r="A1384" s="312"/>
      <c r="B1384" s="383"/>
      <c r="C1384" s="312"/>
      <c r="D1384" s="312"/>
      <c r="E1384" s="312"/>
      <c r="F1384" s="312"/>
      <c r="G1384" s="312"/>
      <c r="H1384" s="312"/>
      <c r="I1384" s="312"/>
      <c r="J1384" s="312"/>
      <c r="K1384" s="312"/>
      <c r="L1384" s="312"/>
      <c r="M1384" s="312"/>
      <c r="N1384" s="312"/>
      <c r="O1384" s="345"/>
      <c r="P1384" s="312"/>
      <c r="Q1384" s="345"/>
      <c r="R1384" s="312"/>
      <c r="S1384" s="345"/>
      <c r="T1384" s="345"/>
      <c r="U1384" s="312"/>
      <c r="V1384" s="312"/>
      <c r="W1384" s="143"/>
    </row>
    <row r="1385" spans="1:23" x14ac:dyDescent="0.3">
      <c r="A1385" s="312"/>
      <c r="B1385" s="383"/>
      <c r="C1385" s="312"/>
      <c r="D1385" s="312"/>
      <c r="E1385" s="312"/>
      <c r="F1385" s="312"/>
      <c r="G1385" s="312"/>
      <c r="H1385" s="312"/>
      <c r="I1385" s="312"/>
      <c r="J1385" s="312"/>
      <c r="K1385" s="312"/>
      <c r="L1385" s="312"/>
      <c r="M1385" s="312"/>
      <c r="N1385" s="312"/>
      <c r="O1385" s="345"/>
      <c r="P1385" s="312"/>
      <c r="Q1385" s="345"/>
      <c r="R1385" s="312"/>
      <c r="S1385" s="345"/>
      <c r="T1385" s="345"/>
      <c r="U1385" s="312"/>
      <c r="V1385" s="312"/>
      <c r="W1385" s="143"/>
    </row>
    <row r="1386" spans="1:23" x14ac:dyDescent="0.3">
      <c r="A1386" s="312"/>
      <c r="B1386" s="383"/>
      <c r="C1386" s="312"/>
      <c r="D1386" s="312"/>
      <c r="E1386" s="312"/>
      <c r="F1386" s="312"/>
      <c r="G1386" s="312"/>
      <c r="H1386" s="312"/>
      <c r="I1386" s="312"/>
      <c r="J1386" s="312"/>
      <c r="K1386" s="312"/>
      <c r="L1386" s="312"/>
      <c r="M1386" s="312"/>
      <c r="N1386" s="312"/>
      <c r="O1386" s="345"/>
      <c r="P1386" s="312"/>
      <c r="Q1386" s="345"/>
      <c r="R1386" s="312"/>
      <c r="S1386" s="345"/>
      <c r="T1386" s="345"/>
      <c r="U1386" s="312"/>
      <c r="V1386" s="312"/>
      <c r="W1386" s="143"/>
    </row>
    <row r="1387" spans="1:23" x14ac:dyDescent="0.3">
      <c r="A1387" s="312"/>
      <c r="B1387" s="383"/>
      <c r="C1387" s="312"/>
      <c r="D1387" s="312"/>
      <c r="E1387" s="312"/>
      <c r="F1387" s="312"/>
      <c r="G1387" s="312"/>
      <c r="H1387" s="312"/>
      <c r="I1387" s="312"/>
      <c r="J1387" s="312"/>
      <c r="K1387" s="312"/>
      <c r="L1387" s="312"/>
      <c r="M1387" s="312"/>
      <c r="N1387" s="312"/>
      <c r="O1387" s="345"/>
      <c r="P1387" s="312"/>
      <c r="Q1387" s="345"/>
      <c r="R1387" s="312"/>
      <c r="S1387" s="345"/>
      <c r="T1387" s="345"/>
      <c r="U1387" s="312"/>
      <c r="V1387" s="312"/>
      <c r="W1387" s="143"/>
    </row>
    <row r="1388" spans="1:23" x14ac:dyDescent="0.3">
      <c r="A1388" s="312"/>
      <c r="B1388" s="383"/>
      <c r="C1388" s="312"/>
      <c r="D1388" s="312"/>
      <c r="E1388" s="312"/>
      <c r="F1388" s="312"/>
      <c r="G1388" s="312"/>
      <c r="H1388" s="312"/>
      <c r="I1388" s="312"/>
      <c r="J1388" s="312"/>
      <c r="K1388" s="312"/>
      <c r="L1388" s="312"/>
      <c r="M1388" s="312"/>
      <c r="N1388" s="312"/>
      <c r="O1388" s="345"/>
      <c r="P1388" s="312"/>
      <c r="Q1388" s="345"/>
      <c r="R1388" s="312"/>
      <c r="S1388" s="345"/>
      <c r="T1388" s="345"/>
      <c r="U1388" s="312"/>
      <c r="V1388" s="312"/>
      <c r="W1388" s="143"/>
    </row>
    <row r="1389" spans="1:23" x14ac:dyDescent="0.3">
      <c r="A1389" s="312"/>
      <c r="B1389" s="383"/>
      <c r="C1389" s="312"/>
      <c r="D1389" s="312"/>
      <c r="E1389" s="312"/>
      <c r="F1389" s="312"/>
      <c r="G1389" s="312"/>
      <c r="H1389" s="312"/>
      <c r="I1389" s="312"/>
      <c r="J1389" s="312"/>
      <c r="K1389" s="312"/>
      <c r="L1389" s="312"/>
      <c r="M1389" s="312"/>
      <c r="N1389" s="312"/>
      <c r="O1389" s="345"/>
      <c r="P1389" s="312"/>
      <c r="Q1389" s="345"/>
      <c r="R1389" s="312"/>
      <c r="S1389" s="345"/>
      <c r="T1389" s="345"/>
      <c r="U1389" s="312"/>
      <c r="V1389" s="312"/>
      <c r="W1389" s="143"/>
    </row>
    <row r="1390" spans="1:23" x14ac:dyDescent="0.3">
      <c r="A1390" s="312"/>
      <c r="B1390" s="383"/>
      <c r="C1390" s="312"/>
      <c r="D1390" s="312"/>
      <c r="E1390" s="312"/>
      <c r="F1390" s="312"/>
      <c r="G1390" s="312"/>
      <c r="H1390" s="312"/>
      <c r="I1390" s="312"/>
      <c r="J1390" s="312"/>
      <c r="K1390" s="312"/>
      <c r="L1390" s="312"/>
      <c r="M1390" s="312"/>
      <c r="N1390" s="312"/>
      <c r="O1390" s="345"/>
      <c r="P1390" s="312"/>
      <c r="Q1390" s="345"/>
      <c r="R1390" s="312"/>
      <c r="S1390" s="345"/>
      <c r="T1390" s="345"/>
      <c r="U1390" s="312"/>
      <c r="V1390" s="312"/>
      <c r="W1390" s="143"/>
    </row>
    <row r="1391" spans="1:23" x14ac:dyDescent="0.3">
      <c r="A1391" s="312"/>
      <c r="B1391" s="383"/>
      <c r="C1391" s="312"/>
      <c r="D1391" s="312"/>
      <c r="E1391" s="312"/>
      <c r="F1391" s="312"/>
      <c r="G1391" s="312"/>
      <c r="H1391" s="312"/>
      <c r="I1391" s="312"/>
      <c r="J1391" s="312"/>
      <c r="K1391" s="312"/>
      <c r="L1391" s="312"/>
      <c r="M1391" s="312"/>
      <c r="N1391" s="312"/>
      <c r="O1391" s="345"/>
      <c r="P1391" s="312"/>
      <c r="Q1391" s="345"/>
      <c r="R1391" s="312"/>
      <c r="S1391" s="345"/>
      <c r="T1391" s="345"/>
      <c r="U1391" s="312"/>
      <c r="V1391" s="312"/>
      <c r="W1391" s="143"/>
    </row>
    <row r="1392" spans="1:23" x14ac:dyDescent="0.3">
      <c r="A1392" s="312"/>
      <c r="B1392" s="383"/>
      <c r="C1392" s="312"/>
      <c r="D1392" s="312"/>
      <c r="E1392" s="312"/>
      <c r="F1392" s="312"/>
      <c r="G1392" s="312"/>
      <c r="H1392" s="312"/>
      <c r="I1392" s="312"/>
      <c r="J1392" s="312"/>
      <c r="K1392" s="312"/>
      <c r="L1392" s="312"/>
      <c r="M1392" s="312"/>
      <c r="N1392" s="312"/>
      <c r="O1392" s="345"/>
      <c r="P1392" s="312"/>
      <c r="Q1392" s="345"/>
      <c r="R1392" s="312"/>
      <c r="S1392" s="345"/>
      <c r="T1392" s="345"/>
      <c r="U1392" s="312"/>
      <c r="V1392" s="312"/>
      <c r="W1392" s="143"/>
    </row>
    <row r="1393" spans="1:23" x14ac:dyDescent="0.3">
      <c r="A1393" s="312"/>
      <c r="B1393" s="383"/>
      <c r="C1393" s="312"/>
      <c r="D1393" s="312"/>
      <c r="E1393" s="312"/>
      <c r="F1393" s="312"/>
      <c r="G1393" s="312"/>
      <c r="H1393" s="312"/>
      <c r="I1393" s="312"/>
      <c r="J1393" s="312"/>
      <c r="K1393" s="312"/>
      <c r="L1393" s="312"/>
      <c r="M1393" s="312"/>
      <c r="N1393" s="312"/>
      <c r="O1393" s="345"/>
      <c r="P1393" s="312"/>
      <c r="Q1393" s="345"/>
      <c r="R1393" s="312"/>
      <c r="S1393" s="345"/>
      <c r="T1393" s="345"/>
      <c r="U1393" s="312"/>
      <c r="V1393" s="312"/>
      <c r="W1393" s="143"/>
    </row>
    <row r="1394" spans="1:23" x14ac:dyDescent="0.3">
      <c r="A1394" s="312"/>
      <c r="B1394" s="383"/>
      <c r="C1394" s="312"/>
      <c r="D1394" s="312"/>
      <c r="E1394" s="312"/>
      <c r="F1394" s="312"/>
      <c r="G1394" s="312"/>
      <c r="H1394" s="312"/>
      <c r="I1394" s="312"/>
      <c r="J1394" s="312"/>
      <c r="K1394" s="312"/>
      <c r="L1394" s="312"/>
      <c r="M1394" s="312"/>
      <c r="N1394" s="312"/>
      <c r="O1394" s="345"/>
      <c r="P1394" s="312"/>
      <c r="Q1394" s="345"/>
      <c r="R1394" s="312"/>
      <c r="S1394" s="345"/>
      <c r="T1394" s="345"/>
      <c r="U1394" s="312"/>
      <c r="V1394" s="312"/>
      <c r="W1394" s="143"/>
    </row>
    <row r="1395" spans="1:23" x14ac:dyDescent="0.3">
      <c r="A1395" s="312"/>
      <c r="B1395" s="383"/>
      <c r="C1395" s="312"/>
      <c r="D1395" s="312"/>
      <c r="E1395" s="312"/>
      <c r="F1395" s="312"/>
      <c r="G1395" s="312"/>
      <c r="H1395" s="312"/>
      <c r="I1395" s="312"/>
      <c r="J1395" s="312"/>
      <c r="K1395" s="312"/>
      <c r="L1395" s="312"/>
      <c r="M1395" s="312"/>
      <c r="N1395" s="312"/>
      <c r="O1395" s="345"/>
      <c r="P1395" s="312"/>
      <c r="Q1395" s="345"/>
      <c r="R1395" s="312"/>
      <c r="S1395" s="345"/>
      <c r="T1395" s="345"/>
      <c r="U1395" s="312"/>
      <c r="V1395" s="312"/>
      <c r="W1395" s="143"/>
    </row>
    <row r="1396" spans="1:23" x14ac:dyDescent="0.3">
      <c r="A1396" s="312"/>
      <c r="B1396" s="383"/>
      <c r="C1396" s="312"/>
      <c r="D1396" s="312"/>
      <c r="E1396" s="312"/>
      <c r="F1396" s="312"/>
      <c r="G1396" s="312"/>
      <c r="H1396" s="312"/>
      <c r="I1396" s="312"/>
      <c r="J1396" s="312"/>
      <c r="K1396" s="312"/>
      <c r="L1396" s="312"/>
      <c r="M1396" s="312"/>
      <c r="N1396" s="312"/>
      <c r="O1396" s="345"/>
      <c r="P1396" s="312"/>
      <c r="Q1396" s="345"/>
      <c r="R1396" s="312"/>
      <c r="S1396" s="345"/>
      <c r="T1396" s="345"/>
      <c r="U1396" s="312"/>
      <c r="V1396" s="312"/>
      <c r="W1396" s="143"/>
    </row>
    <row r="1397" spans="1:23" x14ac:dyDescent="0.3">
      <c r="A1397" s="312"/>
      <c r="B1397" s="383"/>
      <c r="C1397" s="312"/>
      <c r="D1397" s="312"/>
      <c r="E1397" s="312"/>
      <c r="F1397" s="312"/>
      <c r="G1397" s="312"/>
      <c r="H1397" s="312"/>
      <c r="I1397" s="312"/>
      <c r="J1397" s="312"/>
      <c r="K1397" s="312"/>
      <c r="L1397" s="312"/>
      <c r="M1397" s="312"/>
      <c r="N1397" s="312"/>
      <c r="O1397" s="345"/>
      <c r="P1397" s="312"/>
      <c r="Q1397" s="345"/>
      <c r="R1397" s="312"/>
      <c r="S1397" s="345"/>
      <c r="T1397" s="345"/>
      <c r="U1397" s="312"/>
      <c r="V1397" s="312"/>
      <c r="W1397" s="143"/>
    </row>
    <row r="1398" spans="1:23" x14ac:dyDescent="0.3">
      <c r="A1398" s="312"/>
      <c r="B1398" s="383"/>
      <c r="C1398" s="312"/>
      <c r="D1398" s="312"/>
      <c r="E1398" s="312"/>
      <c r="F1398" s="312"/>
      <c r="G1398" s="312"/>
      <c r="H1398" s="312"/>
      <c r="I1398" s="312"/>
      <c r="J1398" s="312"/>
      <c r="K1398" s="312"/>
      <c r="L1398" s="312"/>
      <c r="M1398" s="312"/>
      <c r="N1398" s="312"/>
      <c r="O1398" s="345"/>
      <c r="P1398" s="312"/>
      <c r="Q1398" s="345"/>
      <c r="R1398" s="312"/>
      <c r="S1398" s="345"/>
      <c r="T1398" s="345"/>
      <c r="U1398" s="312"/>
      <c r="V1398" s="312"/>
      <c r="W1398" s="143"/>
    </row>
    <row r="1399" spans="1:23" x14ac:dyDescent="0.3">
      <c r="A1399" s="312"/>
      <c r="B1399" s="383"/>
      <c r="C1399" s="312"/>
      <c r="D1399" s="312"/>
      <c r="E1399" s="312"/>
      <c r="F1399" s="312"/>
      <c r="G1399" s="312"/>
      <c r="H1399" s="312"/>
      <c r="I1399" s="312"/>
      <c r="J1399" s="312"/>
      <c r="K1399" s="312"/>
      <c r="L1399" s="312"/>
      <c r="M1399" s="312"/>
      <c r="N1399" s="312"/>
      <c r="O1399" s="345"/>
      <c r="P1399" s="312"/>
      <c r="Q1399" s="345"/>
      <c r="R1399" s="312"/>
      <c r="S1399" s="345"/>
      <c r="T1399" s="345"/>
      <c r="U1399" s="312"/>
      <c r="V1399" s="312"/>
      <c r="W1399" s="143"/>
    </row>
    <row r="1400" spans="1:23" x14ac:dyDescent="0.3">
      <c r="A1400" s="312"/>
      <c r="B1400" s="383"/>
      <c r="C1400" s="312"/>
      <c r="D1400" s="312"/>
      <c r="E1400" s="312"/>
      <c r="F1400" s="312"/>
      <c r="G1400" s="312"/>
      <c r="H1400" s="312"/>
      <c r="I1400" s="312"/>
      <c r="J1400" s="312"/>
      <c r="K1400" s="312"/>
      <c r="L1400" s="312"/>
      <c r="M1400" s="312"/>
      <c r="N1400" s="312"/>
      <c r="O1400" s="345"/>
      <c r="P1400" s="312"/>
      <c r="Q1400" s="345"/>
      <c r="R1400" s="312"/>
      <c r="S1400" s="345"/>
      <c r="T1400" s="345"/>
      <c r="U1400" s="312"/>
      <c r="V1400" s="312"/>
      <c r="W1400" s="143"/>
    </row>
    <row r="1401" spans="1:23" x14ac:dyDescent="0.3">
      <c r="A1401" s="312"/>
      <c r="B1401" s="383"/>
      <c r="C1401" s="312"/>
      <c r="D1401" s="312"/>
      <c r="E1401" s="312"/>
      <c r="F1401" s="312"/>
      <c r="G1401" s="312"/>
      <c r="H1401" s="312"/>
      <c r="I1401" s="312"/>
      <c r="J1401" s="312"/>
      <c r="K1401" s="312"/>
      <c r="L1401" s="312"/>
      <c r="M1401" s="312"/>
      <c r="N1401" s="312"/>
      <c r="O1401" s="345"/>
      <c r="P1401" s="312"/>
      <c r="Q1401" s="345"/>
      <c r="R1401" s="312"/>
      <c r="S1401" s="345"/>
      <c r="T1401" s="345"/>
      <c r="U1401" s="312"/>
      <c r="V1401" s="312"/>
      <c r="W1401" s="143"/>
    </row>
    <row r="1402" spans="1:23" x14ac:dyDescent="0.3">
      <c r="A1402" s="312"/>
      <c r="B1402" s="383"/>
      <c r="C1402" s="312"/>
      <c r="D1402" s="312"/>
      <c r="E1402" s="312"/>
      <c r="F1402" s="312"/>
      <c r="G1402" s="312"/>
      <c r="H1402" s="312"/>
      <c r="I1402" s="312"/>
      <c r="J1402" s="312"/>
      <c r="K1402" s="312"/>
      <c r="L1402" s="312"/>
      <c r="M1402" s="312"/>
      <c r="N1402" s="312"/>
      <c r="O1402" s="345"/>
      <c r="P1402" s="312"/>
      <c r="Q1402" s="345"/>
      <c r="R1402" s="312"/>
      <c r="S1402" s="345"/>
      <c r="T1402" s="345"/>
      <c r="U1402" s="312"/>
      <c r="V1402" s="312"/>
      <c r="W1402" s="143"/>
    </row>
    <row r="1403" spans="1:23" x14ac:dyDescent="0.3">
      <c r="A1403" s="312"/>
      <c r="B1403" s="383"/>
      <c r="C1403" s="312"/>
      <c r="D1403" s="312"/>
      <c r="E1403" s="312"/>
      <c r="F1403" s="312"/>
      <c r="G1403" s="312"/>
      <c r="H1403" s="312"/>
      <c r="I1403" s="312"/>
      <c r="J1403" s="312"/>
      <c r="K1403" s="312"/>
      <c r="L1403" s="312"/>
      <c r="M1403" s="312"/>
      <c r="N1403" s="312"/>
      <c r="O1403" s="345"/>
      <c r="P1403" s="312"/>
      <c r="Q1403" s="345"/>
      <c r="R1403" s="312"/>
      <c r="S1403" s="345"/>
      <c r="T1403" s="345"/>
      <c r="U1403" s="312"/>
      <c r="V1403" s="312"/>
      <c r="W1403" s="143"/>
    </row>
    <row r="1404" spans="1:23" x14ac:dyDescent="0.3">
      <c r="A1404" s="312"/>
      <c r="B1404" s="383"/>
      <c r="C1404" s="312"/>
      <c r="D1404" s="312"/>
      <c r="E1404" s="312"/>
      <c r="F1404" s="312"/>
      <c r="G1404" s="312"/>
      <c r="H1404" s="312"/>
      <c r="I1404" s="312"/>
      <c r="J1404" s="312"/>
      <c r="K1404" s="312"/>
      <c r="L1404" s="312"/>
      <c r="M1404" s="312"/>
      <c r="N1404" s="312"/>
      <c r="O1404" s="345"/>
      <c r="P1404" s="312"/>
      <c r="Q1404" s="345"/>
      <c r="R1404" s="312"/>
      <c r="S1404" s="345"/>
      <c r="T1404" s="345"/>
      <c r="U1404" s="312"/>
      <c r="V1404" s="312"/>
      <c r="W1404" s="143"/>
    </row>
    <row r="1405" spans="1:23" x14ac:dyDescent="0.3">
      <c r="A1405" s="312"/>
      <c r="B1405" s="383"/>
      <c r="C1405" s="312"/>
      <c r="D1405" s="312"/>
      <c r="E1405" s="312"/>
      <c r="F1405" s="312"/>
      <c r="G1405" s="312"/>
      <c r="H1405" s="312"/>
      <c r="I1405" s="312"/>
      <c r="J1405" s="312"/>
      <c r="K1405" s="312"/>
      <c r="L1405" s="312"/>
      <c r="M1405" s="312"/>
      <c r="N1405" s="312"/>
      <c r="O1405" s="345"/>
      <c r="P1405" s="312"/>
      <c r="Q1405" s="345"/>
      <c r="R1405" s="312"/>
      <c r="S1405" s="345"/>
      <c r="T1405" s="345"/>
      <c r="U1405" s="312"/>
      <c r="V1405" s="312"/>
      <c r="W1405" s="143"/>
    </row>
    <row r="1406" spans="1:23" x14ac:dyDescent="0.3">
      <c r="A1406" s="312"/>
      <c r="B1406" s="383"/>
      <c r="C1406" s="312"/>
      <c r="D1406" s="312"/>
      <c r="E1406" s="312"/>
      <c r="F1406" s="312"/>
      <c r="G1406" s="312"/>
      <c r="H1406" s="312"/>
      <c r="I1406" s="312"/>
      <c r="J1406" s="312"/>
      <c r="K1406" s="312"/>
      <c r="L1406" s="312"/>
      <c r="M1406" s="312"/>
      <c r="N1406" s="312"/>
      <c r="O1406" s="345"/>
      <c r="P1406" s="312"/>
      <c r="Q1406" s="345"/>
      <c r="R1406" s="312"/>
      <c r="S1406" s="345"/>
      <c r="T1406" s="345"/>
      <c r="U1406" s="312"/>
      <c r="V1406" s="312"/>
      <c r="W1406" s="143"/>
    </row>
    <row r="1407" spans="1:23" x14ac:dyDescent="0.3">
      <c r="A1407" s="312"/>
      <c r="B1407" s="383"/>
      <c r="C1407" s="312"/>
      <c r="D1407" s="312"/>
      <c r="E1407" s="312"/>
      <c r="F1407" s="312"/>
      <c r="G1407" s="312"/>
      <c r="H1407" s="312"/>
      <c r="I1407" s="312"/>
      <c r="J1407" s="312"/>
      <c r="K1407" s="312"/>
      <c r="L1407" s="312"/>
      <c r="M1407" s="312"/>
      <c r="N1407" s="312"/>
      <c r="O1407" s="345"/>
      <c r="P1407" s="312"/>
      <c r="Q1407" s="345"/>
      <c r="R1407" s="312"/>
      <c r="S1407" s="345"/>
      <c r="T1407" s="345"/>
      <c r="U1407" s="312"/>
      <c r="V1407" s="312"/>
      <c r="W1407" s="143"/>
    </row>
    <row r="1408" spans="1:23" x14ac:dyDescent="0.3">
      <c r="A1408" s="312"/>
      <c r="B1408" s="383"/>
      <c r="C1408" s="312"/>
      <c r="D1408" s="312"/>
      <c r="E1408" s="312"/>
      <c r="F1408" s="312"/>
      <c r="G1408" s="312"/>
      <c r="H1408" s="312"/>
      <c r="I1408" s="312"/>
      <c r="J1408" s="312"/>
      <c r="K1408" s="312"/>
      <c r="L1408" s="312"/>
      <c r="M1408" s="312"/>
      <c r="N1408" s="312"/>
      <c r="O1408" s="345"/>
      <c r="P1408" s="312"/>
      <c r="Q1408" s="345"/>
      <c r="R1408" s="312"/>
      <c r="S1408" s="345"/>
      <c r="T1408" s="345"/>
      <c r="U1408" s="312"/>
      <c r="V1408" s="312"/>
      <c r="W1408" s="143"/>
    </row>
    <row r="1409" spans="1:23" x14ac:dyDescent="0.3">
      <c r="A1409" s="312"/>
      <c r="B1409" s="383"/>
      <c r="C1409" s="312"/>
      <c r="D1409" s="312"/>
      <c r="E1409" s="312"/>
      <c r="F1409" s="312"/>
      <c r="G1409" s="312"/>
      <c r="H1409" s="312"/>
      <c r="I1409" s="312"/>
      <c r="J1409" s="312"/>
      <c r="K1409" s="312"/>
      <c r="L1409" s="312"/>
      <c r="M1409" s="312"/>
      <c r="N1409" s="312"/>
      <c r="O1409" s="345"/>
      <c r="P1409" s="312"/>
      <c r="Q1409" s="345"/>
      <c r="R1409" s="312"/>
      <c r="S1409" s="345"/>
      <c r="T1409" s="345"/>
      <c r="U1409" s="312"/>
      <c r="V1409" s="312"/>
      <c r="W1409" s="143"/>
    </row>
    <row r="1410" spans="1:23" x14ac:dyDescent="0.3">
      <c r="A1410" s="312"/>
      <c r="B1410" s="383"/>
      <c r="C1410" s="312"/>
      <c r="D1410" s="312"/>
      <c r="E1410" s="312"/>
      <c r="F1410" s="312"/>
      <c r="G1410" s="312"/>
      <c r="H1410" s="312"/>
      <c r="I1410" s="312"/>
      <c r="J1410" s="312"/>
      <c r="K1410" s="312"/>
      <c r="L1410" s="312"/>
      <c r="M1410" s="312"/>
      <c r="N1410" s="312"/>
      <c r="O1410" s="345"/>
      <c r="P1410" s="312"/>
      <c r="Q1410" s="345"/>
      <c r="R1410" s="312"/>
      <c r="S1410" s="345"/>
      <c r="T1410" s="345"/>
      <c r="U1410" s="312"/>
      <c r="V1410" s="312"/>
      <c r="W1410" s="143"/>
    </row>
    <row r="1411" spans="1:23" x14ac:dyDescent="0.3">
      <c r="A1411" s="312"/>
      <c r="B1411" s="383"/>
      <c r="C1411" s="312"/>
      <c r="D1411" s="312"/>
      <c r="E1411" s="312"/>
      <c r="F1411" s="312"/>
      <c r="G1411" s="312"/>
      <c r="H1411" s="312"/>
      <c r="I1411" s="312"/>
      <c r="J1411" s="312"/>
      <c r="K1411" s="312"/>
      <c r="L1411" s="312"/>
      <c r="M1411" s="312"/>
      <c r="N1411" s="312"/>
      <c r="O1411" s="345"/>
      <c r="P1411" s="312"/>
      <c r="Q1411" s="345"/>
      <c r="R1411" s="312"/>
      <c r="S1411" s="345"/>
      <c r="T1411" s="345"/>
      <c r="U1411" s="312"/>
      <c r="V1411" s="312"/>
      <c r="W1411" s="143"/>
    </row>
    <row r="1412" spans="1:23" x14ac:dyDescent="0.3">
      <c r="A1412" s="312"/>
      <c r="B1412" s="383"/>
      <c r="C1412" s="312"/>
      <c r="D1412" s="312"/>
      <c r="E1412" s="312"/>
      <c r="F1412" s="312"/>
      <c r="G1412" s="312"/>
      <c r="H1412" s="312"/>
      <c r="I1412" s="312"/>
      <c r="J1412" s="312"/>
      <c r="K1412" s="312"/>
      <c r="L1412" s="312"/>
      <c r="M1412" s="312"/>
      <c r="N1412" s="312"/>
      <c r="O1412" s="345"/>
      <c r="P1412" s="312"/>
      <c r="Q1412" s="345"/>
      <c r="R1412" s="312"/>
      <c r="S1412" s="345"/>
      <c r="T1412" s="345"/>
      <c r="U1412" s="312"/>
      <c r="V1412" s="312"/>
      <c r="W1412" s="143"/>
    </row>
    <row r="1413" spans="1:23" x14ac:dyDescent="0.3">
      <c r="A1413" s="312"/>
      <c r="B1413" s="383"/>
      <c r="C1413" s="312"/>
      <c r="D1413" s="312"/>
      <c r="E1413" s="312"/>
      <c r="F1413" s="312"/>
      <c r="G1413" s="312"/>
      <c r="H1413" s="312"/>
      <c r="I1413" s="312"/>
      <c r="J1413" s="312"/>
      <c r="K1413" s="312"/>
      <c r="L1413" s="312"/>
      <c r="M1413" s="312"/>
      <c r="N1413" s="312"/>
      <c r="O1413" s="345"/>
      <c r="P1413" s="312"/>
      <c r="Q1413" s="345"/>
      <c r="R1413" s="312"/>
      <c r="S1413" s="345"/>
      <c r="T1413" s="345"/>
      <c r="U1413" s="312"/>
      <c r="V1413" s="312"/>
      <c r="W1413" s="143"/>
    </row>
    <row r="1414" spans="1:23" x14ac:dyDescent="0.3">
      <c r="A1414" s="312"/>
      <c r="B1414" s="383"/>
      <c r="C1414" s="312"/>
      <c r="D1414" s="312"/>
      <c r="E1414" s="312"/>
      <c r="F1414" s="312"/>
      <c r="G1414" s="312"/>
      <c r="H1414" s="312"/>
      <c r="I1414" s="312"/>
      <c r="J1414" s="312"/>
      <c r="K1414" s="312"/>
      <c r="L1414" s="312"/>
      <c r="M1414" s="312"/>
      <c r="N1414" s="312"/>
      <c r="O1414" s="345"/>
      <c r="P1414" s="312"/>
      <c r="Q1414" s="345"/>
      <c r="R1414" s="312"/>
      <c r="S1414" s="345"/>
      <c r="T1414" s="345"/>
      <c r="U1414" s="312"/>
      <c r="V1414" s="312"/>
      <c r="W1414" s="143"/>
    </row>
    <row r="1415" spans="1:23" x14ac:dyDescent="0.3">
      <c r="A1415" s="312"/>
      <c r="B1415" s="383"/>
      <c r="C1415" s="312"/>
      <c r="D1415" s="312"/>
      <c r="E1415" s="312"/>
      <c r="F1415" s="312"/>
      <c r="G1415" s="312"/>
      <c r="H1415" s="312"/>
      <c r="I1415" s="312"/>
      <c r="J1415" s="312"/>
      <c r="K1415" s="312"/>
      <c r="L1415" s="312"/>
      <c r="M1415" s="312"/>
      <c r="N1415" s="312"/>
      <c r="O1415" s="345"/>
      <c r="P1415" s="312"/>
      <c r="Q1415" s="345"/>
      <c r="R1415" s="312"/>
      <c r="S1415" s="345"/>
      <c r="T1415" s="345"/>
      <c r="U1415" s="312"/>
      <c r="V1415" s="312"/>
      <c r="W1415" s="143"/>
    </row>
    <row r="1416" spans="1:23" x14ac:dyDescent="0.3">
      <c r="A1416" s="312"/>
      <c r="B1416" s="383"/>
      <c r="C1416" s="312"/>
      <c r="D1416" s="312"/>
      <c r="E1416" s="312"/>
      <c r="F1416" s="312"/>
      <c r="G1416" s="312"/>
      <c r="H1416" s="312"/>
      <c r="I1416" s="312"/>
      <c r="J1416" s="312"/>
      <c r="K1416" s="312"/>
      <c r="L1416" s="312"/>
      <c r="M1416" s="312"/>
      <c r="N1416" s="312"/>
      <c r="O1416" s="345"/>
      <c r="P1416" s="312"/>
      <c r="Q1416" s="345"/>
      <c r="R1416" s="312"/>
      <c r="S1416" s="345"/>
      <c r="T1416" s="345"/>
      <c r="U1416" s="312"/>
      <c r="V1416" s="312"/>
      <c r="W1416" s="143"/>
    </row>
    <row r="1417" spans="1:23" x14ac:dyDescent="0.3">
      <c r="A1417" s="312"/>
      <c r="B1417" s="383"/>
      <c r="C1417" s="312"/>
      <c r="D1417" s="312"/>
      <c r="E1417" s="312"/>
      <c r="F1417" s="312"/>
      <c r="G1417" s="312"/>
      <c r="H1417" s="312"/>
      <c r="I1417" s="312"/>
      <c r="J1417" s="312"/>
      <c r="K1417" s="312"/>
      <c r="L1417" s="312"/>
      <c r="M1417" s="312"/>
      <c r="N1417" s="312"/>
      <c r="O1417" s="345"/>
      <c r="P1417" s="312"/>
      <c r="Q1417" s="345"/>
      <c r="R1417" s="312"/>
      <c r="S1417" s="345"/>
      <c r="T1417" s="345"/>
      <c r="U1417" s="312"/>
      <c r="V1417" s="312"/>
      <c r="W1417" s="143"/>
    </row>
    <row r="1418" spans="1:23" x14ac:dyDescent="0.3">
      <c r="A1418" s="312"/>
      <c r="B1418" s="383"/>
      <c r="C1418" s="312"/>
      <c r="D1418" s="312"/>
      <c r="E1418" s="312"/>
      <c r="F1418" s="312"/>
      <c r="G1418" s="312"/>
      <c r="H1418" s="312"/>
      <c r="I1418" s="312"/>
      <c r="J1418" s="312"/>
      <c r="K1418" s="312"/>
      <c r="L1418" s="312"/>
      <c r="M1418" s="312"/>
      <c r="N1418" s="312"/>
      <c r="O1418" s="345"/>
      <c r="P1418" s="312"/>
      <c r="Q1418" s="345"/>
      <c r="R1418" s="312"/>
      <c r="S1418" s="345"/>
      <c r="T1418" s="345"/>
      <c r="U1418" s="312"/>
      <c r="V1418" s="312"/>
      <c r="W1418" s="143"/>
    </row>
    <row r="1419" spans="1:23" x14ac:dyDescent="0.3">
      <c r="A1419" s="312"/>
      <c r="B1419" s="383"/>
      <c r="C1419" s="312"/>
      <c r="D1419" s="312"/>
      <c r="E1419" s="312"/>
      <c r="F1419" s="312"/>
      <c r="G1419" s="312"/>
      <c r="H1419" s="312"/>
      <c r="I1419" s="312"/>
      <c r="J1419" s="312"/>
      <c r="K1419" s="312"/>
      <c r="L1419" s="312"/>
      <c r="M1419" s="312"/>
      <c r="N1419" s="312"/>
      <c r="O1419" s="345"/>
      <c r="P1419" s="312"/>
      <c r="Q1419" s="345"/>
      <c r="R1419" s="312"/>
      <c r="S1419" s="345"/>
      <c r="T1419" s="345"/>
      <c r="U1419" s="312"/>
      <c r="V1419" s="312"/>
      <c r="W1419" s="143"/>
    </row>
    <row r="1420" spans="1:23" x14ac:dyDescent="0.3">
      <c r="A1420" s="312"/>
      <c r="B1420" s="383"/>
      <c r="C1420" s="312"/>
      <c r="D1420" s="312"/>
      <c r="E1420" s="312"/>
      <c r="F1420" s="312"/>
      <c r="G1420" s="312"/>
      <c r="H1420" s="312"/>
      <c r="I1420" s="312"/>
      <c r="J1420" s="312"/>
      <c r="K1420" s="312"/>
      <c r="L1420" s="312"/>
      <c r="M1420" s="312"/>
      <c r="N1420" s="312"/>
      <c r="O1420" s="345"/>
      <c r="P1420" s="312"/>
      <c r="Q1420" s="345"/>
      <c r="R1420" s="312"/>
      <c r="S1420" s="345"/>
      <c r="T1420" s="345"/>
      <c r="U1420" s="312"/>
      <c r="V1420" s="312"/>
      <c r="W1420" s="143"/>
    </row>
    <row r="1421" spans="1:23" x14ac:dyDescent="0.3">
      <c r="A1421" s="312"/>
      <c r="B1421" s="383"/>
      <c r="C1421" s="312"/>
      <c r="D1421" s="312"/>
      <c r="E1421" s="312"/>
      <c r="F1421" s="312"/>
      <c r="G1421" s="312"/>
      <c r="H1421" s="312"/>
      <c r="I1421" s="312"/>
      <c r="J1421" s="312"/>
      <c r="K1421" s="312"/>
      <c r="L1421" s="312"/>
      <c r="M1421" s="312"/>
      <c r="N1421" s="312"/>
      <c r="O1421" s="345"/>
      <c r="P1421" s="312"/>
      <c r="Q1421" s="345"/>
      <c r="R1421" s="312"/>
      <c r="S1421" s="345"/>
      <c r="T1421" s="345"/>
      <c r="U1421" s="312"/>
      <c r="V1421" s="312"/>
      <c r="W1421" s="143"/>
    </row>
    <row r="1422" spans="1:23" x14ac:dyDescent="0.3">
      <c r="A1422" s="312"/>
      <c r="B1422" s="383"/>
      <c r="C1422" s="312"/>
      <c r="D1422" s="312"/>
      <c r="E1422" s="312"/>
      <c r="F1422" s="312"/>
      <c r="G1422" s="312"/>
      <c r="H1422" s="312"/>
      <c r="I1422" s="312"/>
      <c r="J1422" s="312"/>
      <c r="K1422" s="312"/>
      <c r="L1422" s="312"/>
      <c r="M1422" s="312"/>
      <c r="N1422" s="312"/>
      <c r="O1422" s="345"/>
      <c r="P1422" s="312"/>
      <c r="Q1422" s="345"/>
      <c r="R1422" s="312"/>
      <c r="S1422" s="345"/>
      <c r="T1422" s="345"/>
      <c r="U1422" s="312"/>
      <c r="V1422" s="312"/>
      <c r="W1422" s="143"/>
    </row>
    <row r="1423" spans="1:23" x14ac:dyDescent="0.3">
      <c r="A1423" s="312"/>
      <c r="B1423" s="383"/>
      <c r="C1423" s="312"/>
      <c r="D1423" s="312"/>
      <c r="E1423" s="312"/>
      <c r="F1423" s="312"/>
      <c r="G1423" s="312"/>
      <c r="H1423" s="312"/>
      <c r="I1423" s="312"/>
      <c r="J1423" s="312"/>
      <c r="K1423" s="312"/>
      <c r="L1423" s="312"/>
      <c r="M1423" s="312"/>
      <c r="N1423" s="312"/>
      <c r="O1423" s="345"/>
      <c r="P1423" s="312"/>
      <c r="Q1423" s="345"/>
      <c r="R1423" s="312"/>
      <c r="S1423" s="345"/>
      <c r="T1423" s="345"/>
      <c r="U1423" s="312"/>
      <c r="V1423" s="312"/>
      <c r="W1423" s="143"/>
    </row>
    <row r="1424" spans="1:23" x14ac:dyDescent="0.3">
      <c r="A1424" s="312"/>
      <c r="B1424" s="383"/>
      <c r="C1424" s="312"/>
      <c r="D1424" s="312"/>
      <c r="E1424" s="312"/>
      <c r="F1424" s="312"/>
      <c r="G1424" s="312"/>
      <c r="H1424" s="312"/>
      <c r="I1424" s="312"/>
      <c r="J1424" s="312"/>
      <c r="K1424" s="312"/>
      <c r="L1424" s="312"/>
      <c r="M1424" s="312"/>
      <c r="N1424" s="312"/>
      <c r="O1424" s="345"/>
      <c r="P1424" s="312"/>
      <c r="Q1424" s="345"/>
      <c r="R1424" s="312"/>
      <c r="S1424" s="345"/>
      <c r="T1424" s="345"/>
      <c r="U1424" s="312"/>
      <c r="V1424" s="312"/>
      <c r="W1424" s="143"/>
    </row>
    <row r="1425" spans="1:23" x14ac:dyDescent="0.3">
      <c r="A1425" s="312"/>
      <c r="B1425" s="383"/>
      <c r="C1425" s="312"/>
      <c r="D1425" s="312"/>
      <c r="E1425" s="312"/>
      <c r="F1425" s="312"/>
      <c r="G1425" s="312"/>
      <c r="H1425" s="312"/>
      <c r="I1425" s="312"/>
      <c r="J1425" s="312"/>
      <c r="K1425" s="312"/>
      <c r="L1425" s="312"/>
      <c r="M1425" s="312"/>
      <c r="N1425" s="312"/>
      <c r="O1425" s="345"/>
      <c r="P1425" s="312"/>
      <c r="Q1425" s="345"/>
      <c r="R1425" s="312"/>
      <c r="S1425" s="345"/>
      <c r="T1425" s="345"/>
      <c r="U1425" s="312"/>
      <c r="V1425" s="312"/>
      <c r="W1425" s="143"/>
    </row>
    <row r="1426" spans="1:23" x14ac:dyDescent="0.3">
      <c r="A1426" s="312"/>
      <c r="B1426" s="383"/>
      <c r="C1426" s="312"/>
      <c r="D1426" s="312"/>
      <c r="E1426" s="312"/>
      <c r="F1426" s="312"/>
      <c r="G1426" s="312"/>
      <c r="H1426" s="312"/>
      <c r="I1426" s="312"/>
      <c r="J1426" s="312"/>
      <c r="K1426" s="312"/>
      <c r="L1426" s="312"/>
      <c r="M1426" s="312"/>
      <c r="N1426" s="312"/>
      <c r="O1426" s="345"/>
      <c r="P1426" s="312"/>
      <c r="Q1426" s="345"/>
      <c r="R1426" s="312"/>
      <c r="S1426" s="345"/>
      <c r="T1426" s="345"/>
      <c r="U1426" s="312"/>
      <c r="V1426" s="312"/>
      <c r="W1426" s="143"/>
    </row>
    <row r="1427" spans="1:23" x14ac:dyDescent="0.3">
      <c r="A1427" s="312"/>
      <c r="B1427" s="383"/>
      <c r="C1427" s="312"/>
      <c r="D1427" s="312"/>
      <c r="E1427" s="312"/>
      <c r="F1427" s="312"/>
      <c r="G1427" s="312"/>
      <c r="H1427" s="312"/>
      <c r="I1427" s="312"/>
      <c r="J1427" s="312"/>
      <c r="K1427" s="312"/>
      <c r="L1427" s="312"/>
      <c r="M1427" s="312"/>
      <c r="N1427" s="312"/>
      <c r="O1427" s="345"/>
      <c r="P1427" s="312"/>
      <c r="Q1427" s="345"/>
      <c r="R1427" s="312"/>
      <c r="S1427" s="345"/>
      <c r="T1427" s="345"/>
      <c r="U1427" s="312"/>
      <c r="V1427" s="312"/>
      <c r="W1427" s="143"/>
    </row>
    <row r="1428" spans="1:23" x14ac:dyDescent="0.3">
      <c r="A1428" s="312"/>
      <c r="B1428" s="383"/>
      <c r="C1428" s="312"/>
      <c r="D1428" s="312"/>
      <c r="E1428" s="312"/>
      <c r="F1428" s="312"/>
      <c r="G1428" s="312"/>
      <c r="H1428" s="312"/>
      <c r="I1428" s="312"/>
      <c r="J1428" s="312"/>
      <c r="K1428" s="312"/>
      <c r="L1428" s="312"/>
      <c r="M1428" s="312"/>
      <c r="N1428" s="312"/>
      <c r="O1428" s="345"/>
      <c r="P1428" s="312"/>
      <c r="Q1428" s="345"/>
      <c r="R1428" s="312"/>
      <c r="S1428" s="345"/>
      <c r="T1428" s="345"/>
      <c r="U1428" s="312"/>
      <c r="V1428" s="312"/>
      <c r="W1428" s="143"/>
    </row>
    <row r="1429" spans="1:23" x14ac:dyDescent="0.3">
      <c r="A1429" s="312"/>
      <c r="B1429" s="383"/>
      <c r="C1429" s="312"/>
      <c r="D1429" s="312"/>
      <c r="E1429" s="312"/>
      <c r="F1429" s="312"/>
      <c r="G1429" s="312"/>
      <c r="H1429" s="312"/>
      <c r="I1429" s="312"/>
      <c r="J1429" s="312"/>
      <c r="K1429" s="312"/>
      <c r="L1429" s="312"/>
      <c r="M1429" s="312"/>
      <c r="N1429" s="312"/>
      <c r="O1429" s="345"/>
      <c r="P1429" s="312"/>
      <c r="Q1429" s="345"/>
      <c r="R1429" s="312"/>
      <c r="S1429" s="345"/>
      <c r="T1429" s="345"/>
      <c r="U1429" s="312"/>
      <c r="V1429" s="312"/>
      <c r="W1429" s="143"/>
    </row>
    <row r="1430" spans="1:23" x14ac:dyDescent="0.3">
      <c r="A1430" s="312"/>
      <c r="B1430" s="383"/>
      <c r="C1430" s="312"/>
      <c r="D1430" s="312"/>
      <c r="E1430" s="312"/>
      <c r="F1430" s="312"/>
      <c r="G1430" s="312"/>
      <c r="H1430" s="312"/>
      <c r="I1430" s="312"/>
      <c r="J1430" s="312"/>
      <c r="K1430" s="312"/>
      <c r="L1430" s="312"/>
      <c r="M1430" s="312"/>
      <c r="N1430" s="312"/>
      <c r="O1430" s="345"/>
      <c r="P1430" s="312"/>
      <c r="Q1430" s="345"/>
      <c r="R1430" s="312"/>
      <c r="S1430" s="345"/>
      <c r="T1430" s="345"/>
      <c r="U1430" s="312"/>
      <c r="V1430" s="312"/>
      <c r="W1430" s="143"/>
    </row>
    <row r="1431" spans="1:23" x14ac:dyDescent="0.3">
      <c r="A1431" s="312"/>
      <c r="B1431" s="383"/>
      <c r="C1431" s="312"/>
      <c r="D1431" s="312"/>
      <c r="E1431" s="312"/>
      <c r="F1431" s="312"/>
      <c r="G1431" s="312"/>
      <c r="H1431" s="312"/>
      <c r="I1431" s="312"/>
      <c r="J1431" s="312"/>
      <c r="K1431" s="312"/>
      <c r="L1431" s="312"/>
      <c r="M1431" s="312"/>
      <c r="N1431" s="312"/>
      <c r="O1431" s="345"/>
      <c r="P1431" s="312"/>
      <c r="Q1431" s="345"/>
      <c r="R1431" s="312"/>
      <c r="S1431" s="345"/>
      <c r="T1431" s="345"/>
      <c r="U1431" s="312"/>
      <c r="V1431" s="312"/>
      <c r="W1431" s="143"/>
    </row>
    <row r="1432" spans="1:23" x14ac:dyDescent="0.3">
      <c r="A1432" s="312"/>
      <c r="B1432" s="383"/>
      <c r="C1432" s="312"/>
      <c r="D1432" s="312"/>
      <c r="E1432" s="312"/>
      <c r="F1432" s="312"/>
      <c r="G1432" s="312"/>
      <c r="H1432" s="312"/>
      <c r="I1432" s="312"/>
      <c r="J1432" s="312"/>
      <c r="K1432" s="312"/>
      <c r="L1432" s="312"/>
      <c r="M1432" s="312"/>
      <c r="N1432" s="312"/>
      <c r="O1432" s="345"/>
      <c r="P1432" s="312"/>
      <c r="Q1432" s="345"/>
      <c r="R1432" s="312"/>
      <c r="S1432" s="345"/>
      <c r="T1432" s="345"/>
      <c r="U1432" s="312"/>
      <c r="V1432" s="312"/>
      <c r="W1432" s="143"/>
    </row>
    <row r="1433" spans="1:23" x14ac:dyDescent="0.3">
      <c r="A1433" s="312"/>
      <c r="B1433" s="383"/>
      <c r="C1433" s="312"/>
      <c r="D1433" s="312"/>
      <c r="E1433" s="312"/>
      <c r="F1433" s="312"/>
      <c r="G1433" s="312"/>
      <c r="H1433" s="312"/>
      <c r="I1433" s="312"/>
      <c r="J1433" s="312"/>
      <c r="K1433" s="312"/>
      <c r="L1433" s="312"/>
      <c r="M1433" s="312"/>
      <c r="N1433" s="312"/>
      <c r="O1433" s="345"/>
      <c r="P1433" s="312"/>
      <c r="Q1433" s="345"/>
      <c r="R1433" s="312"/>
      <c r="S1433" s="345"/>
      <c r="T1433" s="345"/>
      <c r="U1433" s="312"/>
      <c r="V1433" s="312"/>
      <c r="W1433" s="143"/>
    </row>
    <row r="1434" spans="1:23" x14ac:dyDescent="0.3">
      <c r="A1434" s="312"/>
      <c r="B1434" s="383"/>
      <c r="C1434" s="312"/>
      <c r="D1434" s="312"/>
      <c r="E1434" s="312"/>
      <c r="F1434" s="312"/>
      <c r="G1434" s="312"/>
      <c r="H1434" s="312"/>
      <c r="I1434" s="312"/>
      <c r="J1434" s="312"/>
      <c r="K1434" s="312"/>
      <c r="L1434" s="312"/>
      <c r="M1434" s="312"/>
      <c r="N1434" s="312"/>
      <c r="O1434" s="345"/>
      <c r="P1434" s="312"/>
      <c r="Q1434" s="345"/>
      <c r="R1434" s="312"/>
      <c r="S1434" s="345"/>
      <c r="T1434" s="345"/>
      <c r="U1434" s="312"/>
      <c r="V1434" s="312"/>
      <c r="W1434" s="143"/>
    </row>
    <row r="1435" spans="1:23" x14ac:dyDescent="0.3">
      <c r="A1435" s="312"/>
      <c r="B1435" s="383"/>
      <c r="C1435" s="312"/>
      <c r="D1435" s="312"/>
      <c r="E1435" s="312"/>
      <c r="F1435" s="312"/>
      <c r="G1435" s="312"/>
      <c r="H1435" s="312"/>
      <c r="I1435" s="312"/>
      <c r="J1435" s="312"/>
      <c r="K1435" s="312"/>
      <c r="L1435" s="312"/>
      <c r="M1435" s="312"/>
      <c r="N1435" s="312"/>
      <c r="O1435" s="345"/>
      <c r="P1435" s="312"/>
      <c r="Q1435" s="345"/>
      <c r="R1435" s="312"/>
      <c r="S1435" s="345"/>
      <c r="T1435" s="345"/>
      <c r="U1435" s="312"/>
      <c r="V1435" s="312"/>
      <c r="W1435" s="143"/>
    </row>
    <row r="1436" spans="1:23" x14ac:dyDescent="0.3">
      <c r="A1436" s="312"/>
      <c r="B1436" s="383"/>
      <c r="C1436" s="312"/>
      <c r="D1436" s="312"/>
      <c r="E1436" s="312"/>
      <c r="F1436" s="312"/>
      <c r="G1436" s="312"/>
      <c r="H1436" s="312"/>
      <c r="I1436" s="312"/>
      <c r="J1436" s="312"/>
      <c r="K1436" s="312"/>
      <c r="L1436" s="312"/>
      <c r="M1436" s="312"/>
      <c r="N1436" s="312"/>
      <c r="O1436" s="345"/>
      <c r="P1436" s="312"/>
      <c r="Q1436" s="345"/>
      <c r="R1436" s="312"/>
      <c r="S1436" s="345"/>
      <c r="T1436" s="345"/>
      <c r="U1436" s="312"/>
      <c r="V1436" s="312"/>
      <c r="W1436" s="143"/>
    </row>
    <row r="1437" spans="1:23" x14ac:dyDescent="0.3">
      <c r="A1437" s="312"/>
      <c r="B1437" s="383"/>
      <c r="C1437" s="312"/>
      <c r="D1437" s="312"/>
      <c r="E1437" s="312"/>
      <c r="F1437" s="312"/>
      <c r="G1437" s="312"/>
      <c r="H1437" s="312"/>
      <c r="I1437" s="312"/>
      <c r="J1437" s="312"/>
      <c r="K1437" s="312"/>
      <c r="L1437" s="312"/>
      <c r="M1437" s="312"/>
      <c r="N1437" s="312"/>
      <c r="O1437" s="345"/>
      <c r="P1437" s="312"/>
      <c r="Q1437" s="345"/>
      <c r="R1437" s="312"/>
      <c r="S1437" s="345"/>
      <c r="T1437" s="345"/>
      <c r="U1437" s="312"/>
      <c r="V1437" s="312"/>
      <c r="W1437" s="143"/>
    </row>
    <row r="1438" spans="1:23" x14ac:dyDescent="0.3">
      <c r="A1438" s="312"/>
      <c r="B1438" s="383"/>
      <c r="C1438" s="312"/>
      <c r="D1438" s="312"/>
      <c r="E1438" s="312"/>
      <c r="F1438" s="312"/>
      <c r="G1438" s="312"/>
      <c r="H1438" s="312"/>
      <c r="I1438" s="312"/>
      <c r="J1438" s="312"/>
      <c r="K1438" s="312"/>
      <c r="L1438" s="312"/>
      <c r="M1438" s="312"/>
      <c r="N1438" s="312"/>
      <c r="O1438" s="345"/>
      <c r="P1438" s="312"/>
      <c r="Q1438" s="345"/>
      <c r="R1438" s="312"/>
      <c r="S1438" s="345"/>
      <c r="T1438" s="345"/>
      <c r="U1438" s="312"/>
      <c r="V1438" s="312"/>
      <c r="W1438" s="143"/>
    </row>
    <row r="1439" spans="1:23" x14ac:dyDescent="0.3">
      <c r="A1439" s="312"/>
      <c r="B1439" s="383"/>
      <c r="C1439" s="312"/>
      <c r="D1439" s="312"/>
      <c r="E1439" s="312"/>
      <c r="F1439" s="312"/>
      <c r="G1439" s="312"/>
      <c r="H1439" s="312"/>
      <c r="I1439" s="312"/>
      <c r="J1439" s="312"/>
      <c r="K1439" s="312"/>
      <c r="L1439" s="312"/>
      <c r="M1439" s="312"/>
      <c r="N1439" s="312"/>
      <c r="O1439" s="345"/>
      <c r="P1439" s="312"/>
      <c r="Q1439" s="345"/>
      <c r="R1439" s="312"/>
      <c r="S1439" s="345"/>
      <c r="T1439" s="345"/>
      <c r="U1439" s="312"/>
      <c r="V1439" s="312"/>
      <c r="W1439" s="143"/>
    </row>
    <row r="1440" spans="1:23" x14ac:dyDescent="0.3">
      <c r="A1440" s="312"/>
      <c r="B1440" s="383"/>
      <c r="C1440" s="312"/>
      <c r="D1440" s="312"/>
      <c r="E1440" s="312"/>
      <c r="F1440" s="312"/>
      <c r="G1440" s="312"/>
      <c r="H1440" s="312"/>
      <c r="I1440" s="312"/>
      <c r="J1440" s="312"/>
      <c r="K1440" s="312"/>
      <c r="L1440" s="312"/>
      <c r="M1440" s="312"/>
      <c r="N1440" s="312"/>
      <c r="O1440" s="345"/>
      <c r="P1440" s="312"/>
      <c r="Q1440" s="345"/>
      <c r="R1440" s="312"/>
      <c r="S1440" s="345"/>
      <c r="T1440" s="345"/>
      <c r="U1440" s="312"/>
      <c r="V1440" s="312"/>
      <c r="W1440" s="143"/>
    </row>
    <row r="1441" spans="1:23" x14ac:dyDescent="0.3">
      <c r="A1441" s="312"/>
      <c r="B1441" s="383"/>
      <c r="C1441" s="312"/>
      <c r="D1441" s="312"/>
      <c r="E1441" s="312"/>
      <c r="F1441" s="312"/>
      <c r="G1441" s="312"/>
      <c r="H1441" s="312"/>
      <c r="I1441" s="312"/>
      <c r="J1441" s="312"/>
      <c r="K1441" s="312"/>
      <c r="L1441" s="312"/>
      <c r="M1441" s="312"/>
      <c r="N1441" s="312"/>
      <c r="O1441" s="345"/>
      <c r="P1441" s="312"/>
      <c r="Q1441" s="345"/>
      <c r="R1441" s="312"/>
      <c r="S1441" s="345"/>
      <c r="T1441" s="345"/>
      <c r="U1441" s="312"/>
      <c r="V1441" s="312"/>
      <c r="W1441" s="143"/>
    </row>
    <row r="1442" spans="1:23" x14ac:dyDescent="0.3">
      <c r="A1442" s="312"/>
      <c r="B1442" s="383"/>
      <c r="C1442" s="312"/>
      <c r="D1442" s="312"/>
      <c r="E1442" s="312"/>
      <c r="F1442" s="312"/>
      <c r="G1442" s="312"/>
      <c r="H1442" s="312"/>
      <c r="I1442" s="312"/>
      <c r="J1442" s="312"/>
      <c r="K1442" s="312"/>
      <c r="L1442" s="312"/>
      <c r="M1442" s="312"/>
      <c r="N1442" s="312"/>
      <c r="O1442" s="345"/>
      <c r="P1442" s="312"/>
      <c r="Q1442" s="345"/>
      <c r="R1442" s="312"/>
      <c r="S1442" s="345"/>
      <c r="T1442" s="345"/>
      <c r="U1442" s="312"/>
      <c r="V1442" s="312"/>
      <c r="W1442" s="143"/>
    </row>
    <row r="1443" spans="1:23" x14ac:dyDescent="0.3">
      <c r="A1443" s="312"/>
      <c r="B1443" s="383"/>
      <c r="C1443" s="312"/>
      <c r="D1443" s="312"/>
      <c r="E1443" s="312"/>
      <c r="F1443" s="312"/>
      <c r="G1443" s="312"/>
      <c r="H1443" s="312"/>
      <c r="I1443" s="312"/>
      <c r="J1443" s="312"/>
      <c r="K1443" s="312"/>
      <c r="L1443" s="312"/>
      <c r="M1443" s="312"/>
      <c r="N1443" s="312"/>
      <c r="O1443" s="345"/>
      <c r="P1443" s="312"/>
      <c r="Q1443" s="345"/>
      <c r="R1443" s="312"/>
      <c r="S1443" s="345"/>
      <c r="T1443" s="345"/>
      <c r="U1443" s="312"/>
      <c r="V1443" s="312"/>
      <c r="W1443" s="143"/>
    </row>
    <row r="1444" spans="1:23" x14ac:dyDescent="0.3">
      <c r="A1444" s="312"/>
      <c r="B1444" s="383"/>
      <c r="C1444" s="312"/>
      <c r="D1444" s="312"/>
      <c r="E1444" s="312"/>
      <c r="F1444" s="312"/>
      <c r="G1444" s="312"/>
      <c r="H1444" s="312"/>
      <c r="I1444" s="312"/>
      <c r="J1444" s="312"/>
      <c r="K1444" s="312"/>
      <c r="L1444" s="312"/>
      <c r="M1444" s="312"/>
      <c r="N1444" s="312"/>
      <c r="O1444" s="345"/>
      <c r="P1444" s="312"/>
      <c r="Q1444" s="345"/>
      <c r="R1444" s="312"/>
      <c r="S1444" s="345"/>
      <c r="T1444" s="345"/>
      <c r="U1444" s="312"/>
      <c r="V1444" s="312"/>
      <c r="W1444" s="143"/>
    </row>
    <row r="1445" spans="1:23" x14ac:dyDescent="0.3">
      <c r="A1445" s="312"/>
      <c r="B1445" s="383"/>
      <c r="C1445" s="312"/>
      <c r="D1445" s="312"/>
      <c r="E1445" s="312"/>
      <c r="F1445" s="312"/>
      <c r="G1445" s="312"/>
      <c r="H1445" s="312"/>
      <c r="I1445" s="312"/>
      <c r="J1445" s="312"/>
      <c r="K1445" s="312"/>
      <c r="L1445" s="312"/>
      <c r="M1445" s="312"/>
      <c r="N1445" s="312"/>
      <c r="O1445" s="345"/>
      <c r="P1445" s="312"/>
      <c r="Q1445" s="345"/>
      <c r="R1445" s="312"/>
      <c r="S1445" s="345"/>
      <c r="T1445" s="345"/>
      <c r="U1445" s="312"/>
      <c r="V1445" s="312"/>
      <c r="W1445" s="143"/>
    </row>
    <row r="1446" spans="1:23" x14ac:dyDescent="0.3">
      <c r="A1446" s="312"/>
      <c r="B1446" s="383"/>
      <c r="C1446" s="312"/>
      <c r="D1446" s="312"/>
      <c r="E1446" s="312"/>
      <c r="F1446" s="312"/>
      <c r="G1446" s="312"/>
      <c r="H1446" s="312"/>
      <c r="I1446" s="312"/>
      <c r="J1446" s="312"/>
      <c r="K1446" s="312"/>
      <c r="L1446" s="312"/>
      <c r="M1446" s="312"/>
      <c r="N1446" s="312"/>
      <c r="O1446" s="345"/>
      <c r="P1446" s="312"/>
      <c r="Q1446" s="345"/>
      <c r="R1446" s="312"/>
      <c r="S1446" s="345"/>
      <c r="T1446" s="345"/>
      <c r="U1446" s="312"/>
      <c r="V1446" s="312"/>
      <c r="W1446" s="143"/>
    </row>
    <row r="1447" spans="1:23" x14ac:dyDescent="0.3">
      <c r="A1447" s="312"/>
      <c r="B1447" s="383"/>
      <c r="C1447" s="312"/>
      <c r="D1447" s="312"/>
      <c r="E1447" s="312"/>
      <c r="F1447" s="312"/>
      <c r="G1447" s="312"/>
      <c r="H1447" s="312"/>
      <c r="I1447" s="312"/>
      <c r="J1447" s="312"/>
      <c r="K1447" s="312"/>
      <c r="L1447" s="312"/>
      <c r="M1447" s="312"/>
      <c r="N1447" s="312"/>
      <c r="O1447" s="345"/>
      <c r="P1447" s="312"/>
      <c r="Q1447" s="345"/>
      <c r="R1447" s="312"/>
      <c r="S1447" s="345"/>
      <c r="T1447" s="345"/>
      <c r="U1447" s="312"/>
      <c r="V1447" s="312"/>
      <c r="W1447" s="143"/>
    </row>
    <row r="1448" spans="1:23" x14ac:dyDescent="0.3">
      <c r="A1448" s="312"/>
      <c r="B1448" s="383"/>
      <c r="C1448" s="312"/>
      <c r="D1448" s="312"/>
      <c r="E1448" s="312"/>
      <c r="F1448" s="312"/>
      <c r="G1448" s="312"/>
      <c r="H1448" s="312"/>
      <c r="I1448" s="312"/>
      <c r="J1448" s="312"/>
      <c r="K1448" s="312"/>
      <c r="L1448" s="312"/>
      <c r="M1448" s="312"/>
      <c r="N1448" s="312"/>
      <c r="O1448" s="345"/>
      <c r="P1448" s="312"/>
      <c r="Q1448" s="345"/>
      <c r="R1448" s="312"/>
      <c r="S1448" s="345"/>
      <c r="T1448" s="345"/>
      <c r="U1448" s="312"/>
      <c r="V1448" s="312"/>
      <c r="W1448" s="143"/>
    </row>
    <row r="1449" spans="1:23" x14ac:dyDescent="0.3">
      <c r="A1449" s="312"/>
      <c r="B1449" s="383"/>
      <c r="C1449" s="312"/>
      <c r="D1449" s="312"/>
      <c r="E1449" s="312"/>
      <c r="F1449" s="312"/>
      <c r="G1449" s="312"/>
      <c r="H1449" s="312"/>
      <c r="I1449" s="312"/>
      <c r="J1449" s="312"/>
      <c r="K1449" s="312"/>
      <c r="L1449" s="312"/>
      <c r="M1449" s="312"/>
      <c r="N1449" s="312"/>
      <c r="O1449" s="345"/>
      <c r="P1449" s="312"/>
      <c r="Q1449" s="345"/>
      <c r="R1449" s="312"/>
      <c r="S1449" s="345"/>
      <c r="T1449" s="345"/>
      <c r="U1449" s="312"/>
      <c r="V1449" s="312"/>
      <c r="W1449" s="143"/>
    </row>
    <row r="1450" spans="1:23" x14ac:dyDescent="0.3">
      <c r="A1450" s="312"/>
      <c r="B1450" s="383"/>
      <c r="C1450" s="312"/>
      <c r="D1450" s="312"/>
      <c r="E1450" s="312"/>
      <c r="F1450" s="312"/>
      <c r="G1450" s="312"/>
      <c r="H1450" s="312"/>
      <c r="I1450" s="312"/>
      <c r="J1450" s="312"/>
      <c r="K1450" s="312"/>
      <c r="L1450" s="312"/>
      <c r="M1450" s="312"/>
      <c r="N1450" s="312"/>
      <c r="O1450" s="345"/>
      <c r="P1450" s="312"/>
      <c r="Q1450" s="345"/>
      <c r="R1450" s="312"/>
      <c r="S1450" s="345"/>
      <c r="T1450" s="345"/>
      <c r="U1450" s="312"/>
      <c r="V1450" s="312"/>
      <c r="W1450" s="143"/>
    </row>
    <row r="1451" spans="1:23" x14ac:dyDescent="0.3">
      <c r="A1451" s="312"/>
      <c r="B1451" s="383"/>
      <c r="C1451" s="312"/>
      <c r="D1451" s="312"/>
      <c r="E1451" s="312"/>
      <c r="F1451" s="312"/>
      <c r="G1451" s="312"/>
      <c r="H1451" s="312"/>
      <c r="I1451" s="312"/>
      <c r="J1451" s="312"/>
      <c r="K1451" s="312"/>
      <c r="L1451" s="312"/>
      <c r="M1451" s="312"/>
      <c r="N1451" s="312"/>
      <c r="O1451" s="345"/>
      <c r="P1451" s="312"/>
      <c r="Q1451" s="345"/>
      <c r="R1451" s="312"/>
      <c r="S1451" s="345"/>
      <c r="T1451" s="345"/>
      <c r="U1451" s="312"/>
      <c r="V1451" s="312"/>
      <c r="W1451" s="143"/>
    </row>
    <row r="1452" spans="1:23" x14ac:dyDescent="0.3">
      <c r="A1452" s="312"/>
      <c r="B1452" s="383"/>
      <c r="C1452" s="312"/>
      <c r="D1452" s="312"/>
      <c r="E1452" s="312"/>
      <c r="F1452" s="312"/>
      <c r="G1452" s="312"/>
      <c r="H1452" s="312"/>
      <c r="I1452" s="312"/>
      <c r="J1452" s="312"/>
      <c r="K1452" s="312"/>
      <c r="L1452" s="312"/>
      <c r="M1452" s="312"/>
      <c r="N1452" s="312"/>
      <c r="O1452" s="345"/>
      <c r="P1452" s="312"/>
      <c r="Q1452" s="345"/>
      <c r="R1452" s="312"/>
      <c r="S1452" s="345"/>
      <c r="T1452" s="345"/>
      <c r="U1452" s="312"/>
      <c r="V1452" s="312"/>
      <c r="W1452" s="143"/>
    </row>
    <row r="1453" spans="1:23" x14ac:dyDescent="0.3">
      <c r="A1453" s="312"/>
      <c r="B1453" s="383"/>
      <c r="C1453" s="312"/>
      <c r="D1453" s="312"/>
      <c r="E1453" s="312"/>
      <c r="F1453" s="312"/>
      <c r="G1453" s="312"/>
      <c r="H1453" s="312"/>
      <c r="I1453" s="312"/>
      <c r="J1453" s="312"/>
      <c r="K1453" s="312"/>
      <c r="L1453" s="312"/>
      <c r="M1453" s="312"/>
      <c r="N1453" s="312"/>
      <c r="O1453" s="345"/>
      <c r="P1453" s="312"/>
      <c r="Q1453" s="345"/>
      <c r="R1453" s="312"/>
      <c r="S1453" s="345"/>
      <c r="T1453" s="345"/>
      <c r="U1453" s="312"/>
      <c r="V1453" s="312"/>
      <c r="W1453" s="143"/>
    </row>
    <row r="1454" spans="1:23" x14ac:dyDescent="0.3">
      <c r="A1454" s="312"/>
      <c r="B1454" s="383"/>
      <c r="C1454" s="312"/>
      <c r="D1454" s="312"/>
      <c r="E1454" s="312"/>
      <c r="F1454" s="312"/>
      <c r="G1454" s="312"/>
      <c r="H1454" s="312"/>
      <c r="I1454" s="312"/>
      <c r="J1454" s="312"/>
      <c r="K1454" s="312"/>
      <c r="L1454" s="312"/>
      <c r="M1454" s="312"/>
      <c r="N1454" s="312"/>
      <c r="O1454" s="345"/>
      <c r="P1454" s="312"/>
      <c r="Q1454" s="345"/>
      <c r="R1454" s="312"/>
      <c r="S1454" s="345"/>
      <c r="T1454" s="345"/>
      <c r="U1454" s="312"/>
      <c r="V1454" s="312"/>
      <c r="W1454" s="143"/>
    </row>
    <row r="1455" spans="1:23" x14ac:dyDescent="0.3">
      <c r="A1455" s="312"/>
      <c r="B1455" s="383"/>
      <c r="C1455" s="312"/>
      <c r="D1455" s="312"/>
      <c r="E1455" s="312"/>
      <c r="F1455" s="312"/>
      <c r="G1455" s="312"/>
      <c r="H1455" s="312"/>
      <c r="I1455" s="312"/>
      <c r="J1455" s="312"/>
      <c r="K1455" s="312"/>
      <c r="L1455" s="312"/>
      <c r="M1455" s="312"/>
      <c r="N1455" s="312"/>
      <c r="O1455" s="345"/>
      <c r="P1455" s="312"/>
      <c r="Q1455" s="345"/>
      <c r="R1455" s="312"/>
      <c r="S1455" s="345"/>
      <c r="T1455" s="345"/>
      <c r="U1455" s="312"/>
      <c r="V1455" s="312"/>
      <c r="W1455" s="143"/>
    </row>
    <row r="1456" spans="1:23" x14ac:dyDescent="0.3">
      <c r="A1456" s="312"/>
      <c r="B1456" s="383"/>
      <c r="C1456" s="312"/>
      <c r="D1456" s="312"/>
      <c r="E1456" s="312"/>
      <c r="F1456" s="312"/>
      <c r="G1456" s="312"/>
      <c r="H1456" s="312"/>
      <c r="I1456" s="312"/>
      <c r="J1456" s="312"/>
      <c r="K1456" s="312"/>
      <c r="L1456" s="312"/>
      <c r="M1456" s="312"/>
      <c r="N1456" s="312"/>
      <c r="O1456" s="345"/>
      <c r="P1456" s="312"/>
      <c r="Q1456" s="345"/>
      <c r="R1456" s="312"/>
      <c r="S1456" s="345"/>
      <c r="T1456" s="345"/>
      <c r="U1456" s="312"/>
      <c r="V1456" s="312"/>
      <c r="W1456" s="143"/>
    </row>
    <row r="1457" spans="1:23" x14ac:dyDescent="0.3">
      <c r="A1457" s="312"/>
      <c r="B1457" s="383"/>
      <c r="C1457" s="312"/>
      <c r="D1457" s="312"/>
      <c r="E1457" s="312"/>
      <c r="F1457" s="312"/>
      <c r="G1457" s="312"/>
      <c r="H1457" s="312"/>
      <c r="I1457" s="312"/>
      <c r="J1457" s="312"/>
      <c r="K1457" s="312"/>
      <c r="L1457" s="312"/>
      <c r="M1457" s="312"/>
      <c r="N1457" s="312"/>
      <c r="O1457" s="345"/>
      <c r="P1457" s="312"/>
      <c r="Q1457" s="345"/>
      <c r="R1457" s="312"/>
      <c r="S1457" s="345"/>
      <c r="T1457" s="345"/>
      <c r="U1457" s="312"/>
      <c r="V1457" s="312"/>
      <c r="W1457" s="143"/>
    </row>
    <row r="1458" spans="1:23" x14ac:dyDescent="0.3">
      <c r="A1458" s="312"/>
      <c r="B1458" s="383"/>
      <c r="C1458" s="312"/>
      <c r="D1458" s="312"/>
      <c r="E1458" s="312"/>
      <c r="F1458" s="312"/>
      <c r="G1458" s="312"/>
      <c r="H1458" s="312"/>
      <c r="I1458" s="312"/>
      <c r="J1458" s="312"/>
      <c r="K1458" s="312"/>
      <c r="L1458" s="312"/>
      <c r="M1458" s="312"/>
      <c r="N1458" s="312"/>
      <c r="O1458" s="345"/>
      <c r="P1458" s="312"/>
      <c r="Q1458" s="345"/>
      <c r="R1458" s="312"/>
      <c r="S1458" s="345"/>
      <c r="T1458" s="345"/>
      <c r="U1458" s="312"/>
      <c r="V1458" s="312"/>
      <c r="W1458" s="143"/>
    </row>
    <row r="1459" spans="1:23" x14ac:dyDescent="0.3">
      <c r="A1459" s="312"/>
      <c r="B1459" s="383"/>
      <c r="C1459" s="312"/>
      <c r="D1459" s="312"/>
      <c r="E1459" s="312"/>
      <c r="F1459" s="312"/>
      <c r="G1459" s="312"/>
      <c r="H1459" s="312"/>
      <c r="I1459" s="312"/>
      <c r="J1459" s="312"/>
      <c r="K1459" s="312"/>
      <c r="L1459" s="312"/>
      <c r="M1459" s="312"/>
      <c r="N1459" s="312"/>
      <c r="O1459" s="345"/>
      <c r="P1459" s="312"/>
      <c r="Q1459" s="345"/>
      <c r="R1459" s="312"/>
      <c r="S1459" s="345"/>
      <c r="T1459" s="345"/>
      <c r="U1459" s="312"/>
      <c r="V1459" s="312"/>
      <c r="W1459" s="143"/>
    </row>
    <row r="1460" spans="1:23" x14ac:dyDescent="0.3">
      <c r="A1460" s="312"/>
      <c r="B1460" s="383"/>
      <c r="C1460" s="312"/>
      <c r="D1460" s="312"/>
      <c r="E1460" s="312"/>
      <c r="F1460" s="312"/>
      <c r="G1460" s="312"/>
      <c r="H1460" s="312"/>
      <c r="I1460" s="312"/>
      <c r="J1460" s="312"/>
      <c r="K1460" s="312"/>
      <c r="L1460" s="312"/>
      <c r="M1460" s="312"/>
      <c r="N1460" s="312"/>
      <c r="O1460" s="345"/>
      <c r="P1460" s="312"/>
      <c r="Q1460" s="345"/>
      <c r="R1460" s="312"/>
      <c r="S1460" s="345"/>
      <c r="T1460" s="345"/>
      <c r="U1460" s="312"/>
      <c r="V1460" s="312"/>
      <c r="W1460" s="143"/>
    </row>
    <row r="1461" spans="1:23" x14ac:dyDescent="0.3">
      <c r="A1461" s="312"/>
      <c r="B1461" s="383"/>
      <c r="C1461" s="312"/>
      <c r="D1461" s="312"/>
      <c r="E1461" s="312"/>
      <c r="F1461" s="312"/>
      <c r="G1461" s="312"/>
      <c r="H1461" s="312"/>
      <c r="I1461" s="312"/>
      <c r="J1461" s="312"/>
      <c r="K1461" s="312"/>
      <c r="L1461" s="312"/>
      <c r="M1461" s="312"/>
      <c r="N1461" s="312"/>
      <c r="O1461" s="345"/>
      <c r="P1461" s="312"/>
      <c r="Q1461" s="345"/>
      <c r="R1461" s="312"/>
      <c r="S1461" s="345"/>
      <c r="T1461" s="345"/>
      <c r="U1461" s="312"/>
      <c r="V1461" s="312"/>
      <c r="W1461" s="143"/>
    </row>
    <row r="1462" spans="1:23" x14ac:dyDescent="0.3">
      <c r="A1462" s="312"/>
      <c r="B1462" s="383"/>
      <c r="C1462" s="312"/>
      <c r="D1462" s="312"/>
      <c r="E1462" s="312"/>
      <c r="F1462" s="312"/>
      <c r="G1462" s="312"/>
      <c r="H1462" s="312"/>
      <c r="I1462" s="312"/>
      <c r="J1462" s="312"/>
      <c r="K1462" s="312"/>
      <c r="L1462" s="312"/>
      <c r="M1462" s="312"/>
      <c r="N1462" s="312"/>
      <c r="O1462" s="345"/>
      <c r="P1462" s="312"/>
      <c r="Q1462" s="345"/>
      <c r="R1462" s="312"/>
      <c r="S1462" s="345"/>
      <c r="T1462" s="345"/>
      <c r="U1462" s="312"/>
      <c r="V1462" s="312"/>
      <c r="W1462" s="143"/>
    </row>
    <row r="1463" spans="1:23" x14ac:dyDescent="0.3">
      <c r="A1463" s="312"/>
      <c r="B1463" s="383"/>
      <c r="C1463" s="312"/>
      <c r="D1463" s="312"/>
      <c r="E1463" s="312"/>
      <c r="F1463" s="312"/>
      <c r="G1463" s="312"/>
      <c r="H1463" s="312"/>
      <c r="I1463" s="312"/>
      <c r="J1463" s="312"/>
      <c r="K1463" s="312"/>
      <c r="L1463" s="312"/>
      <c r="M1463" s="312"/>
      <c r="N1463" s="312"/>
      <c r="O1463" s="345"/>
      <c r="P1463" s="312"/>
      <c r="Q1463" s="345"/>
      <c r="R1463" s="312"/>
      <c r="S1463" s="345"/>
      <c r="T1463" s="345"/>
      <c r="U1463" s="312"/>
      <c r="V1463" s="312"/>
      <c r="W1463" s="143"/>
    </row>
    <row r="1464" spans="1:23" x14ac:dyDescent="0.3">
      <c r="A1464" s="312"/>
      <c r="B1464" s="383"/>
      <c r="C1464" s="312"/>
      <c r="D1464" s="312"/>
      <c r="E1464" s="312"/>
      <c r="F1464" s="312"/>
      <c r="G1464" s="312"/>
      <c r="H1464" s="312"/>
      <c r="I1464" s="312"/>
      <c r="J1464" s="312"/>
      <c r="K1464" s="312"/>
      <c r="L1464" s="312"/>
      <c r="M1464" s="312"/>
      <c r="N1464" s="312"/>
      <c r="O1464" s="345"/>
      <c r="P1464" s="312"/>
      <c r="Q1464" s="345"/>
      <c r="R1464" s="312"/>
      <c r="S1464" s="345"/>
      <c r="T1464" s="345"/>
      <c r="U1464" s="312"/>
      <c r="V1464" s="312"/>
      <c r="W1464" s="143"/>
    </row>
    <row r="1465" spans="1:23" x14ac:dyDescent="0.3">
      <c r="A1465" s="312"/>
      <c r="B1465" s="383"/>
      <c r="C1465" s="312"/>
      <c r="D1465" s="312"/>
      <c r="E1465" s="312"/>
      <c r="F1465" s="312"/>
      <c r="G1465" s="312"/>
      <c r="H1465" s="312"/>
      <c r="I1465" s="312"/>
      <c r="J1465" s="312"/>
      <c r="K1465" s="312"/>
      <c r="L1465" s="312"/>
      <c r="M1465" s="312"/>
      <c r="N1465" s="312"/>
      <c r="O1465" s="345"/>
      <c r="P1465" s="312"/>
      <c r="Q1465" s="345"/>
      <c r="R1465" s="312"/>
      <c r="S1465" s="345"/>
      <c r="T1465" s="345"/>
      <c r="U1465" s="312"/>
      <c r="V1465" s="312"/>
      <c r="W1465" s="143"/>
    </row>
    <row r="1466" spans="1:23" x14ac:dyDescent="0.3">
      <c r="A1466" s="312"/>
      <c r="B1466" s="383"/>
      <c r="C1466" s="312"/>
      <c r="D1466" s="312"/>
      <c r="E1466" s="312"/>
      <c r="F1466" s="312"/>
      <c r="G1466" s="312"/>
      <c r="H1466" s="312"/>
      <c r="I1466" s="312"/>
      <c r="J1466" s="312"/>
      <c r="K1466" s="312"/>
      <c r="L1466" s="312"/>
      <c r="M1466" s="312"/>
      <c r="N1466" s="312"/>
      <c r="O1466" s="345"/>
      <c r="P1466" s="312"/>
      <c r="Q1466" s="345"/>
      <c r="R1466" s="312"/>
      <c r="S1466" s="345"/>
      <c r="T1466" s="345"/>
      <c r="U1466" s="312"/>
      <c r="V1466" s="312"/>
      <c r="W1466" s="143"/>
    </row>
    <row r="1467" spans="1:23" x14ac:dyDescent="0.3">
      <c r="A1467" s="312"/>
      <c r="B1467" s="383"/>
      <c r="C1467" s="312"/>
      <c r="D1467" s="312"/>
      <c r="E1467" s="312"/>
      <c r="F1467" s="312"/>
      <c r="G1467" s="312"/>
      <c r="H1467" s="312"/>
      <c r="I1467" s="312"/>
      <c r="J1467" s="312"/>
      <c r="K1467" s="312"/>
      <c r="L1467" s="312"/>
      <c r="M1467" s="312"/>
      <c r="N1467" s="312"/>
      <c r="O1467" s="345"/>
      <c r="P1467" s="312"/>
      <c r="Q1467" s="345"/>
      <c r="R1467" s="312"/>
      <c r="S1467" s="345"/>
      <c r="T1467" s="345"/>
      <c r="U1467" s="312"/>
      <c r="V1467" s="312"/>
      <c r="W1467" s="143"/>
    </row>
    <row r="1468" spans="1:23" x14ac:dyDescent="0.3">
      <c r="A1468" s="312"/>
      <c r="B1468" s="383"/>
      <c r="C1468" s="312"/>
      <c r="D1468" s="312"/>
      <c r="E1468" s="312"/>
      <c r="F1468" s="312"/>
      <c r="G1468" s="312"/>
      <c r="H1468" s="312"/>
      <c r="I1468" s="312"/>
      <c r="J1468" s="312"/>
      <c r="K1468" s="312"/>
      <c r="L1468" s="312"/>
      <c r="M1468" s="312"/>
      <c r="N1468" s="312"/>
      <c r="O1468" s="345"/>
      <c r="P1468" s="312"/>
      <c r="Q1468" s="345"/>
      <c r="R1468" s="312"/>
      <c r="S1468" s="345"/>
      <c r="T1468" s="345"/>
      <c r="U1468" s="312"/>
      <c r="V1468" s="312"/>
      <c r="W1468" s="143"/>
    </row>
    <row r="1469" spans="1:23" x14ac:dyDescent="0.3">
      <c r="A1469" s="312"/>
      <c r="B1469" s="383"/>
      <c r="C1469" s="312"/>
      <c r="D1469" s="312"/>
      <c r="E1469" s="312"/>
      <c r="F1469" s="312"/>
      <c r="G1469" s="312"/>
      <c r="H1469" s="312"/>
      <c r="I1469" s="312"/>
      <c r="J1469" s="312"/>
      <c r="K1469" s="312"/>
      <c r="L1469" s="312"/>
      <c r="M1469" s="312"/>
      <c r="N1469" s="312"/>
      <c r="O1469" s="345"/>
      <c r="P1469" s="312"/>
      <c r="Q1469" s="345"/>
      <c r="R1469" s="312"/>
      <c r="S1469" s="345"/>
      <c r="T1469" s="345"/>
      <c r="U1469" s="312"/>
      <c r="V1469" s="312"/>
      <c r="W1469" s="143"/>
    </row>
    <row r="1470" spans="1:23" x14ac:dyDescent="0.3">
      <c r="A1470" s="312"/>
      <c r="B1470" s="383"/>
      <c r="C1470" s="312"/>
      <c r="D1470" s="312"/>
      <c r="E1470" s="312"/>
      <c r="F1470" s="312"/>
      <c r="G1470" s="312"/>
      <c r="H1470" s="312"/>
      <c r="I1470" s="312"/>
      <c r="J1470" s="312"/>
      <c r="K1470" s="312"/>
      <c r="L1470" s="312"/>
      <c r="M1470" s="312"/>
      <c r="N1470" s="312"/>
      <c r="O1470" s="345"/>
      <c r="P1470" s="312"/>
      <c r="Q1470" s="345"/>
      <c r="R1470" s="312"/>
      <c r="S1470" s="345"/>
      <c r="T1470" s="345"/>
      <c r="U1470" s="312"/>
      <c r="V1470" s="312"/>
      <c r="W1470" s="143"/>
    </row>
    <row r="1471" spans="1:23" x14ac:dyDescent="0.3">
      <c r="A1471" s="312"/>
      <c r="B1471" s="383"/>
      <c r="C1471" s="312"/>
      <c r="D1471" s="312"/>
      <c r="E1471" s="312"/>
      <c r="F1471" s="312"/>
      <c r="G1471" s="312"/>
      <c r="H1471" s="312"/>
      <c r="I1471" s="312"/>
      <c r="J1471" s="312"/>
      <c r="K1471" s="312"/>
      <c r="L1471" s="312"/>
      <c r="M1471" s="312"/>
      <c r="N1471" s="312"/>
      <c r="O1471" s="345"/>
      <c r="P1471" s="312"/>
      <c r="Q1471" s="345"/>
      <c r="R1471" s="312"/>
      <c r="S1471" s="345"/>
      <c r="T1471" s="345"/>
      <c r="U1471" s="312"/>
      <c r="V1471" s="312"/>
      <c r="W1471" s="143"/>
    </row>
    <row r="1472" spans="1:23" x14ac:dyDescent="0.3">
      <c r="A1472" s="312"/>
      <c r="B1472" s="383"/>
      <c r="C1472" s="312"/>
      <c r="D1472" s="312"/>
      <c r="E1472" s="312"/>
      <c r="F1472" s="312"/>
      <c r="G1472" s="312"/>
      <c r="H1472" s="312"/>
      <c r="I1472" s="312"/>
      <c r="J1472" s="312"/>
      <c r="K1472" s="312"/>
      <c r="L1472" s="312"/>
      <c r="M1472" s="312"/>
      <c r="N1472" s="312"/>
      <c r="O1472" s="345"/>
      <c r="P1472" s="312"/>
      <c r="Q1472" s="345"/>
      <c r="R1472" s="312"/>
      <c r="S1472" s="345"/>
      <c r="T1472" s="345"/>
      <c r="U1472" s="312"/>
      <c r="V1472" s="312"/>
      <c r="W1472" s="143"/>
    </row>
    <row r="1473" spans="1:23" x14ac:dyDescent="0.3">
      <c r="A1473" s="312"/>
      <c r="B1473" s="383"/>
      <c r="C1473" s="312"/>
      <c r="D1473" s="312"/>
      <c r="E1473" s="312"/>
      <c r="F1473" s="312"/>
      <c r="G1473" s="312"/>
      <c r="H1473" s="312"/>
      <c r="I1473" s="312"/>
      <c r="J1473" s="312"/>
      <c r="K1473" s="312"/>
      <c r="L1473" s="312"/>
      <c r="M1473" s="312"/>
      <c r="N1473" s="312"/>
      <c r="O1473" s="345"/>
      <c r="P1473" s="312"/>
      <c r="Q1473" s="345"/>
      <c r="R1473" s="312"/>
      <c r="S1473" s="345"/>
      <c r="T1473" s="345"/>
      <c r="U1473" s="312"/>
      <c r="V1473" s="312"/>
      <c r="W1473" s="143"/>
    </row>
    <row r="1474" spans="1:23" x14ac:dyDescent="0.3">
      <c r="A1474" s="312"/>
      <c r="B1474" s="383"/>
      <c r="C1474" s="312"/>
      <c r="D1474" s="312"/>
      <c r="E1474" s="312"/>
      <c r="F1474" s="312"/>
      <c r="G1474" s="312"/>
      <c r="H1474" s="312"/>
      <c r="I1474" s="312"/>
      <c r="J1474" s="312"/>
      <c r="K1474" s="312"/>
      <c r="L1474" s="312"/>
      <c r="M1474" s="312"/>
      <c r="N1474" s="312"/>
      <c r="O1474" s="345"/>
      <c r="P1474" s="312"/>
      <c r="Q1474" s="345"/>
      <c r="R1474" s="312"/>
      <c r="S1474" s="345"/>
      <c r="T1474" s="345"/>
      <c r="U1474" s="312"/>
      <c r="V1474" s="312"/>
      <c r="W1474" s="143"/>
    </row>
    <row r="1475" spans="1:23" x14ac:dyDescent="0.3">
      <c r="A1475" s="312"/>
      <c r="B1475" s="383"/>
      <c r="C1475" s="312"/>
      <c r="D1475" s="312"/>
      <c r="E1475" s="312"/>
      <c r="F1475" s="312"/>
      <c r="G1475" s="312"/>
      <c r="H1475" s="312"/>
      <c r="I1475" s="312"/>
      <c r="J1475" s="312"/>
      <c r="K1475" s="312"/>
      <c r="L1475" s="312"/>
      <c r="M1475" s="312"/>
      <c r="N1475" s="312"/>
      <c r="O1475" s="345"/>
      <c r="P1475" s="312"/>
      <c r="Q1475" s="345"/>
      <c r="R1475" s="312"/>
      <c r="S1475" s="345"/>
      <c r="T1475" s="345"/>
      <c r="U1475" s="312"/>
      <c r="V1475" s="312"/>
      <c r="W1475" s="143"/>
    </row>
    <row r="1476" spans="1:23" x14ac:dyDescent="0.3">
      <c r="A1476" s="312"/>
      <c r="B1476" s="383"/>
      <c r="C1476" s="312"/>
      <c r="D1476" s="312"/>
      <c r="E1476" s="312"/>
      <c r="F1476" s="312"/>
      <c r="G1476" s="312"/>
      <c r="H1476" s="312"/>
      <c r="I1476" s="312"/>
      <c r="J1476" s="312"/>
      <c r="K1476" s="312"/>
      <c r="L1476" s="312"/>
      <c r="M1476" s="312"/>
      <c r="N1476" s="312"/>
      <c r="O1476" s="345"/>
      <c r="P1476" s="312"/>
      <c r="Q1476" s="345"/>
      <c r="R1476" s="312"/>
      <c r="S1476" s="345"/>
      <c r="T1476" s="345"/>
      <c r="U1476" s="312"/>
      <c r="V1476" s="312"/>
      <c r="W1476" s="143"/>
    </row>
    <row r="1477" spans="1:23" x14ac:dyDescent="0.3">
      <c r="A1477" s="312"/>
      <c r="B1477" s="383"/>
      <c r="C1477" s="312"/>
      <c r="D1477" s="312"/>
      <c r="E1477" s="312"/>
      <c r="F1477" s="312"/>
      <c r="G1477" s="312"/>
      <c r="H1477" s="312"/>
      <c r="I1477" s="312"/>
      <c r="J1477" s="312"/>
      <c r="K1477" s="312"/>
      <c r="L1477" s="312"/>
      <c r="M1477" s="312"/>
      <c r="N1477" s="312"/>
      <c r="O1477" s="345"/>
      <c r="P1477" s="312"/>
      <c r="Q1477" s="345"/>
      <c r="R1477" s="312"/>
      <c r="S1477" s="345"/>
      <c r="T1477" s="345"/>
      <c r="U1477" s="312"/>
      <c r="V1477" s="312"/>
      <c r="W1477" s="143"/>
    </row>
    <row r="1478" spans="1:23" x14ac:dyDescent="0.3">
      <c r="A1478" s="312"/>
      <c r="B1478" s="383"/>
      <c r="C1478" s="312"/>
      <c r="D1478" s="312"/>
      <c r="E1478" s="312"/>
      <c r="F1478" s="312"/>
      <c r="G1478" s="312"/>
      <c r="H1478" s="312"/>
      <c r="I1478" s="312"/>
      <c r="J1478" s="312"/>
      <c r="K1478" s="312"/>
      <c r="L1478" s="312"/>
      <c r="M1478" s="312"/>
      <c r="N1478" s="312"/>
      <c r="O1478" s="345"/>
      <c r="P1478" s="312"/>
      <c r="Q1478" s="345"/>
      <c r="R1478" s="312"/>
      <c r="S1478" s="345"/>
      <c r="T1478" s="345"/>
      <c r="U1478" s="312"/>
      <c r="V1478" s="312"/>
      <c r="W1478" s="143"/>
    </row>
    <row r="1479" spans="1:23" x14ac:dyDescent="0.3">
      <c r="A1479" s="312"/>
      <c r="B1479" s="383"/>
      <c r="C1479" s="312"/>
      <c r="D1479" s="312"/>
      <c r="E1479" s="312"/>
      <c r="F1479" s="312"/>
      <c r="G1479" s="312"/>
      <c r="H1479" s="312"/>
      <c r="I1479" s="312"/>
      <c r="J1479" s="312"/>
      <c r="K1479" s="312"/>
      <c r="L1479" s="312"/>
      <c r="M1479" s="312"/>
      <c r="N1479" s="312"/>
      <c r="O1479" s="345"/>
      <c r="P1479" s="312"/>
      <c r="Q1479" s="345"/>
      <c r="R1479" s="312"/>
      <c r="S1479" s="345"/>
      <c r="T1479" s="345"/>
      <c r="U1479" s="312"/>
      <c r="V1479" s="312"/>
      <c r="W1479" s="143"/>
    </row>
    <row r="1480" spans="1:23" x14ac:dyDescent="0.3">
      <c r="A1480" s="312"/>
      <c r="B1480" s="383"/>
      <c r="C1480" s="312"/>
      <c r="D1480" s="312"/>
      <c r="E1480" s="312"/>
      <c r="F1480" s="312"/>
      <c r="G1480" s="312"/>
      <c r="H1480" s="312"/>
      <c r="I1480" s="312"/>
      <c r="J1480" s="312"/>
      <c r="K1480" s="312"/>
      <c r="L1480" s="312"/>
      <c r="M1480" s="312"/>
      <c r="N1480" s="312"/>
      <c r="O1480" s="345"/>
      <c r="P1480" s="312"/>
      <c r="Q1480" s="345"/>
      <c r="R1480" s="312"/>
      <c r="S1480" s="345"/>
      <c r="T1480" s="345"/>
      <c r="U1480" s="312"/>
      <c r="V1480" s="312"/>
      <c r="W1480" s="143"/>
    </row>
    <row r="1481" spans="1:23" x14ac:dyDescent="0.3">
      <c r="A1481" s="312"/>
      <c r="B1481" s="383"/>
      <c r="C1481" s="312"/>
      <c r="D1481" s="312"/>
      <c r="E1481" s="312"/>
      <c r="F1481" s="312"/>
      <c r="G1481" s="312"/>
      <c r="H1481" s="312"/>
      <c r="I1481" s="312"/>
      <c r="J1481" s="312"/>
      <c r="K1481" s="312"/>
      <c r="L1481" s="312"/>
      <c r="M1481" s="312"/>
      <c r="N1481" s="312"/>
      <c r="O1481" s="345"/>
      <c r="P1481" s="312"/>
      <c r="Q1481" s="345"/>
      <c r="R1481" s="312"/>
      <c r="S1481" s="345"/>
      <c r="T1481" s="345"/>
      <c r="U1481" s="312"/>
      <c r="V1481" s="312"/>
      <c r="W1481" s="143"/>
    </row>
    <row r="1482" spans="1:23" x14ac:dyDescent="0.3">
      <c r="A1482" s="312"/>
      <c r="B1482" s="383"/>
      <c r="C1482" s="312"/>
      <c r="D1482" s="312"/>
      <c r="E1482" s="312"/>
      <c r="F1482" s="312"/>
      <c r="G1482" s="312"/>
      <c r="H1482" s="312"/>
      <c r="I1482" s="312"/>
      <c r="J1482" s="312"/>
      <c r="K1482" s="312"/>
      <c r="L1482" s="312"/>
      <c r="M1482" s="312"/>
      <c r="N1482" s="312"/>
      <c r="O1482" s="345"/>
      <c r="P1482" s="312"/>
      <c r="Q1482" s="345"/>
      <c r="R1482" s="312"/>
      <c r="S1482" s="345"/>
      <c r="T1482" s="345"/>
      <c r="U1482" s="312"/>
      <c r="V1482" s="312"/>
      <c r="W1482" s="143"/>
    </row>
    <row r="1483" spans="1:23" x14ac:dyDescent="0.3">
      <c r="A1483" s="312"/>
      <c r="B1483" s="383"/>
      <c r="C1483" s="312"/>
      <c r="D1483" s="312"/>
      <c r="E1483" s="312"/>
      <c r="F1483" s="312"/>
      <c r="G1483" s="312"/>
      <c r="H1483" s="312"/>
      <c r="I1483" s="312"/>
      <c r="J1483" s="312"/>
      <c r="K1483" s="312"/>
      <c r="L1483" s="312"/>
      <c r="M1483" s="312"/>
      <c r="N1483" s="312"/>
      <c r="O1483" s="345"/>
      <c r="P1483" s="312"/>
      <c r="Q1483" s="345"/>
      <c r="R1483" s="312"/>
      <c r="S1483" s="345"/>
      <c r="T1483" s="345"/>
      <c r="U1483" s="312"/>
      <c r="V1483" s="312"/>
      <c r="W1483" s="143"/>
    </row>
    <row r="1484" spans="1:23" x14ac:dyDescent="0.3">
      <c r="A1484" s="312"/>
      <c r="B1484" s="383"/>
      <c r="C1484" s="312"/>
      <c r="D1484" s="312"/>
      <c r="E1484" s="312"/>
      <c r="F1484" s="312"/>
      <c r="G1484" s="312"/>
      <c r="H1484" s="312"/>
      <c r="I1484" s="312"/>
      <c r="J1484" s="312"/>
      <c r="K1484" s="312"/>
      <c r="L1484" s="312"/>
      <c r="M1484" s="312"/>
      <c r="N1484" s="312"/>
      <c r="O1484" s="345"/>
      <c r="P1484" s="312"/>
      <c r="Q1484" s="345"/>
      <c r="R1484" s="312"/>
      <c r="S1484" s="345"/>
      <c r="T1484" s="345"/>
      <c r="U1484" s="312"/>
      <c r="V1484" s="312"/>
      <c r="W1484" s="143"/>
    </row>
    <row r="1485" spans="1:23" x14ac:dyDescent="0.3">
      <c r="A1485" s="312"/>
      <c r="B1485" s="383"/>
      <c r="C1485" s="312"/>
      <c r="D1485" s="312"/>
      <c r="E1485" s="312"/>
      <c r="F1485" s="312"/>
      <c r="G1485" s="312"/>
      <c r="H1485" s="312"/>
      <c r="I1485" s="312"/>
      <c r="J1485" s="312"/>
      <c r="K1485" s="312"/>
      <c r="L1485" s="312"/>
      <c r="M1485" s="312"/>
      <c r="N1485" s="312"/>
      <c r="O1485" s="345"/>
      <c r="P1485" s="312"/>
      <c r="Q1485" s="345"/>
      <c r="R1485" s="312"/>
      <c r="S1485" s="345"/>
      <c r="T1485" s="345"/>
      <c r="U1485" s="312"/>
      <c r="V1485" s="312"/>
      <c r="W1485" s="143"/>
    </row>
    <row r="1486" spans="1:23" x14ac:dyDescent="0.3">
      <c r="A1486" s="312"/>
      <c r="B1486" s="383"/>
      <c r="C1486" s="312"/>
      <c r="D1486" s="312"/>
      <c r="E1486" s="312"/>
      <c r="F1486" s="312"/>
      <c r="G1486" s="312"/>
      <c r="H1486" s="312"/>
      <c r="I1486" s="312"/>
      <c r="J1486" s="312"/>
      <c r="K1486" s="312"/>
      <c r="L1486" s="312"/>
      <c r="M1486" s="312"/>
      <c r="N1486" s="312"/>
      <c r="O1486" s="345"/>
      <c r="P1486" s="312"/>
      <c r="Q1486" s="345"/>
      <c r="R1486" s="312"/>
      <c r="S1486" s="345"/>
      <c r="T1486" s="345"/>
      <c r="U1486" s="312"/>
      <c r="V1486" s="312"/>
      <c r="W1486" s="143"/>
    </row>
    <row r="1487" spans="1:23" x14ac:dyDescent="0.3">
      <c r="A1487" s="312"/>
      <c r="B1487" s="383"/>
      <c r="C1487" s="312"/>
      <c r="D1487" s="312"/>
      <c r="E1487" s="312"/>
      <c r="F1487" s="312"/>
      <c r="G1487" s="312"/>
      <c r="H1487" s="312"/>
      <c r="I1487" s="312"/>
      <c r="J1487" s="312"/>
      <c r="K1487" s="312"/>
      <c r="L1487" s="312"/>
      <c r="M1487" s="312"/>
      <c r="N1487" s="312"/>
      <c r="O1487" s="345"/>
      <c r="P1487" s="312"/>
      <c r="Q1487" s="345"/>
      <c r="R1487" s="312"/>
      <c r="S1487" s="345"/>
      <c r="T1487" s="345"/>
      <c r="U1487" s="312"/>
      <c r="V1487" s="312"/>
      <c r="W1487" s="143"/>
    </row>
    <row r="1488" spans="1:23" x14ac:dyDescent="0.3">
      <c r="A1488" s="312"/>
      <c r="B1488" s="383"/>
      <c r="C1488" s="312"/>
      <c r="D1488" s="312"/>
      <c r="E1488" s="312"/>
      <c r="F1488" s="312"/>
      <c r="G1488" s="312"/>
      <c r="H1488" s="312"/>
      <c r="I1488" s="312"/>
      <c r="J1488" s="312"/>
      <c r="K1488" s="312"/>
      <c r="L1488" s="312"/>
      <c r="M1488" s="312"/>
      <c r="N1488" s="312"/>
      <c r="O1488" s="345"/>
      <c r="P1488" s="312"/>
      <c r="Q1488" s="345"/>
      <c r="R1488" s="312"/>
      <c r="S1488" s="345"/>
      <c r="T1488" s="345"/>
      <c r="U1488" s="312"/>
      <c r="V1488" s="312"/>
      <c r="W1488" s="143"/>
    </row>
    <row r="1489" spans="1:23" x14ac:dyDescent="0.3">
      <c r="A1489" s="312"/>
      <c r="B1489" s="383"/>
      <c r="C1489" s="312"/>
      <c r="D1489" s="312"/>
      <c r="E1489" s="312"/>
      <c r="F1489" s="312"/>
      <c r="G1489" s="312"/>
      <c r="H1489" s="312"/>
      <c r="I1489" s="312"/>
      <c r="J1489" s="312"/>
      <c r="K1489" s="312"/>
      <c r="L1489" s="312"/>
      <c r="M1489" s="312"/>
      <c r="N1489" s="312"/>
      <c r="O1489" s="345"/>
      <c r="P1489" s="312"/>
      <c r="Q1489" s="345"/>
      <c r="R1489" s="312"/>
      <c r="S1489" s="345"/>
      <c r="T1489" s="345"/>
      <c r="U1489" s="312"/>
      <c r="V1489" s="312"/>
      <c r="W1489" s="143"/>
    </row>
    <row r="1490" spans="1:23" x14ac:dyDescent="0.3">
      <c r="A1490" s="312"/>
      <c r="B1490" s="383"/>
      <c r="C1490" s="312"/>
      <c r="D1490" s="312"/>
      <c r="E1490" s="312"/>
      <c r="F1490" s="312"/>
      <c r="G1490" s="312"/>
      <c r="H1490" s="312"/>
      <c r="I1490" s="312"/>
      <c r="J1490" s="312"/>
      <c r="K1490" s="312"/>
      <c r="L1490" s="312"/>
      <c r="M1490" s="312"/>
      <c r="N1490" s="312"/>
      <c r="O1490" s="345"/>
      <c r="P1490" s="312"/>
      <c r="Q1490" s="345"/>
      <c r="R1490" s="312"/>
      <c r="S1490" s="345"/>
      <c r="T1490" s="345"/>
      <c r="U1490" s="312"/>
      <c r="V1490" s="312"/>
      <c r="W1490" s="143"/>
    </row>
    <row r="1491" spans="1:23" x14ac:dyDescent="0.3">
      <c r="A1491" s="312"/>
      <c r="B1491" s="383"/>
      <c r="C1491" s="312"/>
      <c r="D1491" s="312"/>
      <c r="E1491" s="312"/>
      <c r="F1491" s="312"/>
      <c r="G1491" s="312"/>
      <c r="H1491" s="312"/>
      <c r="I1491" s="312"/>
      <c r="J1491" s="312"/>
      <c r="K1491" s="312"/>
      <c r="L1491" s="312"/>
      <c r="M1491" s="312"/>
      <c r="N1491" s="312"/>
      <c r="O1491" s="345"/>
      <c r="P1491" s="312"/>
      <c r="Q1491" s="345"/>
      <c r="R1491" s="312"/>
      <c r="S1491" s="345"/>
      <c r="T1491" s="345"/>
      <c r="U1491" s="312"/>
      <c r="V1491" s="312"/>
      <c r="W1491" s="143"/>
    </row>
    <row r="1492" spans="1:23" x14ac:dyDescent="0.3">
      <c r="A1492" s="312"/>
      <c r="B1492" s="383"/>
      <c r="C1492" s="312"/>
      <c r="D1492" s="312"/>
      <c r="E1492" s="312"/>
      <c r="F1492" s="312"/>
      <c r="G1492" s="312"/>
      <c r="H1492" s="312"/>
      <c r="I1492" s="312"/>
      <c r="J1492" s="312"/>
      <c r="K1492" s="312"/>
      <c r="L1492" s="312"/>
      <c r="M1492" s="312"/>
      <c r="N1492" s="312"/>
      <c r="O1492" s="345"/>
      <c r="P1492" s="312"/>
      <c r="Q1492" s="345"/>
      <c r="R1492" s="312"/>
      <c r="S1492" s="345"/>
      <c r="T1492" s="345"/>
      <c r="U1492" s="312"/>
      <c r="V1492" s="312"/>
      <c r="W1492" s="143"/>
    </row>
    <row r="1493" spans="1:23" x14ac:dyDescent="0.3">
      <c r="A1493" s="312"/>
      <c r="B1493" s="383"/>
      <c r="C1493" s="312"/>
      <c r="D1493" s="312"/>
      <c r="E1493" s="312"/>
      <c r="F1493" s="312"/>
      <c r="G1493" s="312"/>
      <c r="H1493" s="312"/>
      <c r="I1493" s="312"/>
      <c r="J1493" s="312"/>
      <c r="K1493" s="312"/>
      <c r="L1493" s="312"/>
      <c r="M1493" s="312"/>
      <c r="N1493" s="312"/>
      <c r="O1493" s="345"/>
      <c r="P1493" s="312"/>
      <c r="Q1493" s="345"/>
      <c r="R1493" s="312"/>
      <c r="S1493" s="345"/>
      <c r="T1493" s="345"/>
      <c r="U1493" s="312"/>
      <c r="V1493" s="312"/>
      <c r="W1493" s="143"/>
    </row>
    <row r="1494" spans="1:23" x14ac:dyDescent="0.3">
      <c r="A1494" s="312"/>
      <c r="B1494" s="383"/>
      <c r="C1494" s="312"/>
      <c r="D1494" s="312"/>
      <c r="E1494" s="312"/>
      <c r="F1494" s="312"/>
      <c r="G1494" s="312"/>
      <c r="H1494" s="312"/>
      <c r="I1494" s="312"/>
      <c r="J1494" s="312"/>
      <c r="K1494" s="312"/>
      <c r="L1494" s="312"/>
      <c r="M1494" s="312"/>
      <c r="N1494" s="312"/>
      <c r="O1494" s="345"/>
      <c r="P1494" s="312"/>
      <c r="Q1494" s="345"/>
      <c r="R1494" s="312"/>
      <c r="S1494" s="345"/>
      <c r="T1494" s="345"/>
      <c r="U1494" s="312"/>
      <c r="V1494" s="312"/>
      <c r="W1494" s="143"/>
    </row>
    <row r="1495" spans="1:23" x14ac:dyDescent="0.3">
      <c r="A1495" s="312"/>
      <c r="B1495" s="383"/>
      <c r="C1495" s="312"/>
      <c r="D1495" s="312"/>
      <c r="E1495" s="312"/>
      <c r="F1495" s="312"/>
      <c r="G1495" s="312"/>
      <c r="H1495" s="312"/>
      <c r="I1495" s="312"/>
      <c r="J1495" s="312"/>
      <c r="K1495" s="312"/>
      <c r="L1495" s="312"/>
      <c r="M1495" s="312"/>
      <c r="N1495" s="312"/>
      <c r="O1495" s="345"/>
      <c r="P1495" s="312"/>
      <c r="Q1495" s="345"/>
      <c r="R1495" s="312"/>
      <c r="S1495" s="345"/>
      <c r="T1495" s="345"/>
      <c r="U1495" s="312"/>
      <c r="V1495" s="312"/>
      <c r="W1495" s="143"/>
    </row>
    <row r="1496" spans="1:23" x14ac:dyDescent="0.3">
      <c r="A1496" s="312"/>
      <c r="B1496" s="383"/>
      <c r="C1496" s="312"/>
      <c r="D1496" s="312"/>
      <c r="E1496" s="312"/>
      <c r="F1496" s="312"/>
      <c r="G1496" s="312"/>
      <c r="H1496" s="312"/>
      <c r="I1496" s="312"/>
      <c r="J1496" s="312"/>
      <c r="K1496" s="312"/>
      <c r="L1496" s="312"/>
      <c r="M1496" s="312"/>
      <c r="N1496" s="312"/>
      <c r="O1496" s="345"/>
      <c r="P1496" s="312"/>
      <c r="Q1496" s="345"/>
      <c r="R1496" s="312"/>
      <c r="S1496" s="345"/>
      <c r="T1496" s="345"/>
      <c r="U1496" s="312"/>
      <c r="V1496" s="312"/>
      <c r="W1496" s="143"/>
    </row>
    <row r="1497" spans="1:23" x14ac:dyDescent="0.3">
      <c r="A1497" s="312"/>
      <c r="B1497" s="383"/>
      <c r="C1497" s="312"/>
      <c r="D1497" s="312"/>
      <c r="E1497" s="312"/>
      <c r="F1497" s="312"/>
      <c r="G1497" s="312"/>
      <c r="H1497" s="312"/>
      <c r="I1497" s="312"/>
      <c r="J1497" s="312"/>
      <c r="K1497" s="312"/>
      <c r="L1497" s="312"/>
      <c r="M1497" s="312"/>
      <c r="N1497" s="312"/>
      <c r="O1497" s="345"/>
      <c r="P1497" s="312"/>
      <c r="Q1497" s="345"/>
      <c r="R1497" s="312"/>
      <c r="S1497" s="345"/>
      <c r="T1497" s="345"/>
      <c r="U1497" s="312"/>
      <c r="V1497" s="312"/>
      <c r="W1497" s="143"/>
    </row>
    <row r="1498" spans="1:23" x14ac:dyDescent="0.3">
      <c r="A1498" s="312"/>
      <c r="B1498" s="383"/>
      <c r="C1498" s="312"/>
      <c r="D1498" s="312"/>
      <c r="E1498" s="312"/>
      <c r="F1498" s="312"/>
      <c r="G1498" s="312"/>
      <c r="H1498" s="312"/>
      <c r="I1498" s="312"/>
      <c r="J1498" s="312"/>
      <c r="K1498" s="312"/>
      <c r="L1498" s="312"/>
      <c r="M1498" s="312"/>
      <c r="N1498" s="312"/>
      <c r="O1498" s="345"/>
      <c r="P1498" s="312"/>
      <c r="Q1498" s="345"/>
      <c r="R1498" s="312"/>
      <c r="S1498" s="345"/>
      <c r="T1498" s="345"/>
      <c r="U1498" s="312"/>
      <c r="V1498" s="312"/>
      <c r="W1498" s="143"/>
    </row>
    <row r="1499" spans="1:23" x14ac:dyDescent="0.3">
      <c r="A1499" s="312"/>
      <c r="B1499" s="383"/>
      <c r="C1499" s="312"/>
      <c r="D1499" s="312"/>
      <c r="E1499" s="312"/>
      <c r="F1499" s="312"/>
      <c r="G1499" s="312"/>
      <c r="H1499" s="312"/>
      <c r="I1499" s="312"/>
      <c r="J1499" s="312"/>
      <c r="K1499" s="312"/>
      <c r="L1499" s="312"/>
      <c r="M1499" s="312"/>
      <c r="N1499" s="312"/>
      <c r="O1499" s="345"/>
      <c r="P1499" s="312"/>
      <c r="Q1499" s="345"/>
      <c r="R1499" s="312"/>
      <c r="S1499" s="345"/>
      <c r="T1499" s="345"/>
      <c r="U1499" s="312"/>
      <c r="V1499" s="312"/>
      <c r="W1499" s="143"/>
    </row>
    <row r="1500" spans="1:23" x14ac:dyDescent="0.3">
      <c r="A1500" s="312"/>
      <c r="B1500" s="383"/>
      <c r="C1500" s="312"/>
      <c r="D1500" s="312"/>
      <c r="E1500" s="312"/>
      <c r="F1500" s="312"/>
      <c r="G1500" s="312"/>
      <c r="H1500" s="312"/>
      <c r="I1500" s="312"/>
      <c r="J1500" s="312"/>
      <c r="K1500" s="312"/>
      <c r="L1500" s="312"/>
      <c r="M1500" s="312"/>
      <c r="N1500" s="312"/>
      <c r="O1500" s="345"/>
      <c r="P1500" s="312"/>
      <c r="Q1500" s="345"/>
      <c r="R1500" s="312"/>
      <c r="S1500" s="345"/>
      <c r="T1500" s="345"/>
      <c r="U1500" s="312"/>
      <c r="V1500" s="312"/>
      <c r="W1500" s="143"/>
    </row>
  </sheetData>
  <mergeCells count="181">
    <mergeCell ref="A1320:B1320"/>
    <mergeCell ref="A1289:B1289"/>
    <mergeCell ref="A1297:B1297"/>
    <mergeCell ref="A1303:B1303"/>
    <mergeCell ref="A1306:B1306"/>
    <mergeCell ref="A1312:B1312"/>
    <mergeCell ref="A1281:B1281"/>
    <mergeCell ref="A1282:B1282"/>
    <mergeCell ref="A1283:B1283"/>
    <mergeCell ref="A1284:B1284"/>
    <mergeCell ref="A1204:B1204"/>
    <mergeCell ref="A1254:B1254"/>
    <mergeCell ref="A1255:B1255"/>
    <mergeCell ref="A1048:B1048"/>
    <mergeCell ref="A1049:B1049"/>
    <mergeCell ref="A1050:W1050"/>
    <mergeCell ref="A1202:B1202"/>
    <mergeCell ref="A1203:W1203"/>
    <mergeCell ref="A1042:B1042"/>
    <mergeCell ref="A1033:B1033"/>
    <mergeCell ref="A1038:B1038"/>
    <mergeCell ref="A1039:B1039"/>
    <mergeCell ref="A1040:W1040"/>
    <mergeCell ref="A1028:B1028"/>
    <mergeCell ref="A1032:B1032"/>
    <mergeCell ref="A1011:B1011"/>
    <mergeCell ref="A1016:B1016"/>
    <mergeCell ref="A1017:B1017"/>
    <mergeCell ref="A1027:B1027"/>
    <mergeCell ref="A995:B995"/>
    <mergeCell ref="A1001:B1001"/>
    <mergeCell ref="A1002:B1002"/>
    <mergeCell ref="A1006:B1006"/>
    <mergeCell ref="A1007:B1007"/>
    <mergeCell ref="A1010:B1010"/>
    <mergeCell ref="A982:B982"/>
    <mergeCell ref="A986:B986"/>
    <mergeCell ref="A987:B987"/>
    <mergeCell ref="A992:B992"/>
    <mergeCell ref="A993:B993"/>
    <mergeCell ref="A994:W994"/>
    <mergeCell ref="A968:B968"/>
    <mergeCell ref="A969:W969"/>
    <mergeCell ref="A971:B971"/>
    <mergeCell ref="A973:B973"/>
    <mergeCell ref="A974:B974"/>
    <mergeCell ref="A981:B981"/>
    <mergeCell ref="A940:B940"/>
    <mergeCell ref="A943:B943"/>
    <mergeCell ref="A944:B944"/>
    <mergeCell ref="A947:B947"/>
    <mergeCell ref="A948:B948"/>
    <mergeCell ref="A967:B967"/>
    <mergeCell ref="A937:B937"/>
    <mergeCell ref="A939:B939"/>
    <mergeCell ref="A913:B913"/>
    <mergeCell ref="A936:B936"/>
    <mergeCell ref="A902:B902"/>
    <mergeCell ref="A907:B907"/>
    <mergeCell ref="A908:B908"/>
    <mergeCell ref="A912:B912"/>
    <mergeCell ref="A893:B893"/>
    <mergeCell ref="A901:B901"/>
    <mergeCell ref="A874:B874"/>
    <mergeCell ref="A879:B879"/>
    <mergeCell ref="A880:B880"/>
    <mergeCell ref="A890:B890"/>
    <mergeCell ref="A891:B891"/>
    <mergeCell ref="A892:W892"/>
    <mergeCell ref="A854:B854"/>
    <mergeCell ref="A867:B867"/>
    <mergeCell ref="A868:B868"/>
    <mergeCell ref="A870:B870"/>
    <mergeCell ref="A871:B871"/>
    <mergeCell ref="A873:B873"/>
    <mergeCell ref="A838:B838"/>
    <mergeCell ref="A840:B840"/>
    <mergeCell ref="A841:B841"/>
    <mergeCell ref="A853:B853"/>
    <mergeCell ref="A822:B822"/>
    <mergeCell ref="A827:B827"/>
    <mergeCell ref="A828:B828"/>
    <mergeCell ref="A830:B830"/>
    <mergeCell ref="A831:B831"/>
    <mergeCell ref="A837:B837"/>
    <mergeCell ref="A813:B813"/>
    <mergeCell ref="A814:B814"/>
    <mergeCell ref="A821:B821"/>
    <mergeCell ref="A677:B677"/>
    <mergeCell ref="A681:B681"/>
    <mergeCell ref="A686:B686"/>
    <mergeCell ref="A698:B698"/>
    <mergeCell ref="A702:B702"/>
    <mergeCell ref="A805:W805"/>
    <mergeCell ref="A673:B673"/>
    <mergeCell ref="A473:B473"/>
    <mergeCell ref="A474:B474"/>
    <mergeCell ref="A479:B479"/>
    <mergeCell ref="A482:B482"/>
    <mergeCell ref="A499:B499"/>
    <mergeCell ref="A806:B806"/>
    <mergeCell ref="A809:B809"/>
    <mergeCell ref="A810:B810"/>
    <mergeCell ref="Z349:AA349"/>
    <mergeCell ref="Z362:AA362"/>
    <mergeCell ref="A365:B365"/>
    <mergeCell ref="A366:B366"/>
    <mergeCell ref="Z291:AA291"/>
    <mergeCell ref="Z342:AA342"/>
    <mergeCell ref="Z344:AA344"/>
    <mergeCell ref="Z346:AA346"/>
    <mergeCell ref="Z347:AA347"/>
    <mergeCell ref="Z348:AA348"/>
    <mergeCell ref="Z243:AA243"/>
    <mergeCell ref="Z244:AA244"/>
    <mergeCell ref="A259:W259"/>
    <mergeCell ref="Z267:AA267"/>
    <mergeCell ref="Z238:AA238"/>
    <mergeCell ref="Z239:AA239"/>
    <mergeCell ref="Z240:AA240"/>
    <mergeCell ref="Z241:AA241"/>
    <mergeCell ref="Z242:AA242"/>
    <mergeCell ref="Z163:AA163"/>
    <mergeCell ref="Z166:AA166"/>
    <mergeCell ref="Z234:AA234"/>
    <mergeCell ref="Z235:AA235"/>
    <mergeCell ref="Z236:AA236"/>
    <mergeCell ref="Z237:AA237"/>
    <mergeCell ref="A55:W55"/>
    <mergeCell ref="A145:W145"/>
    <mergeCell ref="Z149:AA149"/>
    <mergeCell ref="Z152:AA152"/>
    <mergeCell ref="Z153:AA153"/>
    <mergeCell ref="X10:X11"/>
    <mergeCell ref="A28:B28"/>
    <mergeCell ref="A29:W29"/>
    <mergeCell ref="A1:W1"/>
    <mergeCell ref="AD2:AF2"/>
    <mergeCell ref="D4:I4"/>
    <mergeCell ref="J4:L4"/>
    <mergeCell ref="M4:N7"/>
    <mergeCell ref="O4:P7"/>
    <mergeCell ref="Q4:R7"/>
    <mergeCell ref="T4:U7"/>
    <mergeCell ref="V4:V7"/>
    <mergeCell ref="W4:W7"/>
    <mergeCell ref="AD4:AD8"/>
    <mergeCell ref="AE4:AE8"/>
    <mergeCell ref="AF4:AF8"/>
    <mergeCell ref="D5:D7"/>
    <mergeCell ref="E5:E7"/>
    <mergeCell ref="F5:F7"/>
    <mergeCell ref="G5:G7"/>
    <mergeCell ref="H5:H7"/>
    <mergeCell ref="I5:I7"/>
    <mergeCell ref="J5:J7"/>
    <mergeCell ref="D3:W3"/>
    <mergeCell ref="C3:C7"/>
    <mergeCell ref="B3:B7"/>
    <mergeCell ref="A3:A7"/>
    <mergeCell ref="S1255:T1255"/>
    <mergeCell ref="S4:S7"/>
    <mergeCell ref="K5:K7"/>
    <mergeCell ref="L5:L7"/>
    <mergeCell ref="A450:B450"/>
    <mergeCell ref="A451:B451"/>
    <mergeCell ref="A455:B455"/>
    <mergeCell ref="A465:B465"/>
    <mergeCell ref="A436:B436"/>
    <mergeCell ref="A439:B439"/>
    <mergeCell ref="A442:B442"/>
    <mergeCell ref="A446:B446"/>
    <mergeCell ref="A373:B373"/>
    <mergeCell ref="A376:B376"/>
    <mergeCell ref="A424:B424"/>
    <mergeCell ref="A433:B433"/>
    <mergeCell ref="A510:B510"/>
    <mergeCell ref="A511:B511"/>
    <mergeCell ref="A628:B628"/>
    <mergeCell ref="A631:B631"/>
    <mergeCell ref="A669:B669"/>
  </mergeCells>
  <conditionalFormatting sqref="B27 A28">
    <cfRule type="duplicateValues" dxfId="52" priority="62"/>
  </conditionalFormatting>
  <conditionalFormatting sqref="B31">
    <cfRule type="duplicateValues" dxfId="51" priority="60"/>
  </conditionalFormatting>
  <conditionalFormatting sqref="B32">
    <cfRule type="duplicateValues" dxfId="50" priority="58"/>
  </conditionalFormatting>
  <conditionalFormatting sqref="B53">
    <cfRule type="duplicateValues" dxfId="49" priority="57"/>
  </conditionalFormatting>
  <conditionalFormatting sqref="B275:B276">
    <cfRule type="duplicateValues" dxfId="48" priority="56"/>
  </conditionalFormatting>
  <conditionalFormatting sqref="B425:B432">
    <cfRule type="duplicateValues" dxfId="47" priority="51"/>
  </conditionalFormatting>
  <conditionalFormatting sqref="B437:B438">
    <cfRule type="duplicateValues" dxfId="46" priority="48"/>
  </conditionalFormatting>
  <conditionalFormatting sqref="B440:B441">
    <cfRule type="duplicateValues" dxfId="45" priority="47"/>
  </conditionalFormatting>
  <conditionalFormatting sqref="B464">
    <cfRule type="duplicateValues" dxfId="44" priority="41"/>
  </conditionalFormatting>
  <conditionalFormatting sqref="B471">
    <cfRule type="duplicateValues" dxfId="43" priority="39"/>
  </conditionalFormatting>
  <conditionalFormatting sqref="B475:B478">
    <cfRule type="duplicateValues" dxfId="42" priority="33"/>
  </conditionalFormatting>
  <conditionalFormatting sqref="B509">
    <cfRule type="duplicateValues" dxfId="41" priority="34"/>
  </conditionalFormatting>
  <conditionalFormatting sqref="B481">
    <cfRule type="duplicateValues" dxfId="40" priority="35"/>
  </conditionalFormatting>
  <conditionalFormatting sqref="B498">
    <cfRule type="duplicateValues" dxfId="39" priority="36"/>
  </conditionalFormatting>
  <conditionalFormatting sqref="B508">
    <cfRule type="duplicateValues" dxfId="38" priority="37"/>
  </conditionalFormatting>
  <conditionalFormatting sqref="B1258:B1280 B1247:B1253 B1206:B1243 B1256">
    <cfRule type="duplicateValues" dxfId="37" priority="32"/>
  </conditionalFormatting>
  <conditionalFormatting sqref="B1205">
    <cfRule type="duplicateValues" dxfId="36" priority="30"/>
  </conditionalFormatting>
  <conditionalFormatting sqref="B1257">
    <cfRule type="duplicateValues" dxfId="35" priority="29"/>
  </conditionalFormatting>
  <conditionalFormatting sqref="B1285:B1286">
    <cfRule type="duplicateValues" dxfId="34" priority="22"/>
  </conditionalFormatting>
  <conditionalFormatting sqref="B1287">
    <cfRule type="duplicateValues" dxfId="33" priority="21"/>
  </conditionalFormatting>
  <conditionalFormatting sqref="B1315">
    <cfRule type="duplicateValues" dxfId="32" priority="20"/>
  </conditionalFormatting>
  <conditionalFormatting sqref="B1352:B1353 B1321:B1350">
    <cfRule type="duplicateValues" dxfId="31" priority="17"/>
  </conditionalFormatting>
  <conditionalFormatting sqref="B1288">
    <cfRule type="duplicateValues" dxfId="30" priority="16"/>
  </conditionalFormatting>
  <conditionalFormatting sqref="B1296">
    <cfRule type="duplicateValues" dxfId="29" priority="15"/>
  </conditionalFormatting>
  <conditionalFormatting sqref="B1302">
    <cfRule type="duplicateValues" dxfId="28" priority="14"/>
  </conditionalFormatting>
  <conditionalFormatting sqref="B1305">
    <cfRule type="duplicateValues" dxfId="27" priority="13"/>
  </conditionalFormatting>
  <conditionalFormatting sqref="B1311">
    <cfRule type="duplicateValues" dxfId="26" priority="12"/>
  </conditionalFormatting>
  <conditionalFormatting sqref="B1319">
    <cfRule type="duplicateValues" dxfId="25" priority="11"/>
  </conditionalFormatting>
  <conditionalFormatting sqref="B1351">
    <cfRule type="duplicateValues" dxfId="24" priority="9"/>
  </conditionalFormatting>
  <conditionalFormatting sqref="B1293:B1295">
    <cfRule type="duplicateValues" dxfId="23" priority="8"/>
  </conditionalFormatting>
  <conditionalFormatting sqref="B133:B134 B125:B131 B56:B67 B69:B72 B74:B76 B78:B104 B106:B123 B136:B137 B139:B142">
    <cfRule type="duplicateValues" dxfId="22" priority="65"/>
  </conditionalFormatting>
  <conditionalFormatting sqref="B367:B372">
    <cfRule type="duplicateValues" dxfId="21" priority="66"/>
  </conditionalFormatting>
  <conditionalFormatting sqref="B374:B375">
    <cfRule type="duplicateValues" dxfId="20" priority="67"/>
  </conditionalFormatting>
  <conditionalFormatting sqref="B434:B435">
    <cfRule type="duplicateValues" dxfId="19" priority="69"/>
  </conditionalFormatting>
  <conditionalFormatting sqref="B443:B445">
    <cfRule type="duplicateValues" dxfId="18" priority="70"/>
  </conditionalFormatting>
  <conditionalFormatting sqref="B447:B448">
    <cfRule type="duplicateValues" dxfId="17" priority="71"/>
  </conditionalFormatting>
  <conditionalFormatting sqref="B452:B454">
    <cfRule type="duplicateValues" dxfId="16" priority="72"/>
  </conditionalFormatting>
  <conditionalFormatting sqref="B1290:B1292">
    <cfRule type="duplicateValues" dxfId="15" priority="75"/>
  </conditionalFormatting>
  <conditionalFormatting sqref="B1304">
    <cfRule type="duplicateValues" dxfId="14" priority="77"/>
  </conditionalFormatting>
  <conditionalFormatting sqref="B1307:B1310">
    <cfRule type="duplicateValues" dxfId="13" priority="78"/>
  </conditionalFormatting>
  <conditionalFormatting sqref="B1316:B1318 B1313:B1314">
    <cfRule type="duplicateValues" dxfId="12" priority="79"/>
  </conditionalFormatting>
  <conditionalFormatting sqref="B466">
    <cfRule type="duplicateValues" dxfId="11" priority="6"/>
  </conditionalFormatting>
  <conditionalFormatting sqref="B467:B470">
    <cfRule type="duplicateValues" dxfId="10" priority="7"/>
  </conditionalFormatting>
  <conditionalFormatting sqref="B457">
    <cfRule type="duplicateValues" dxfId="9" priority="4"/>
  </conditionalFormatting>
  <conditionalFormatting sqref="B458:B459">
    <cfRule type="duplicateValues" dxfId="8" priority="3"/>
  </conditionalFormatting>
  <conditionalFormatting sqref="B460:B461">
    <cfRule type="duplicateValues" dxfId="7" priority="2"/>
  </conditionalFormatting>
  <conditionalFormatting sqref="B462:B463">
    <cfRule type="duplicateValues" dxfId="6" priority="1"/>
  </conditionalFormatting>
  <conditionalFormatting sqref="B26 B12:B24">
    <cfRule type="duplicateValues" dxfId="5" priority="447"/>
  </conditionalFormatting>
  <conditionalFormatting sqref="B30 B33:B49">
    <cfRule type="duplicateValues" dxfId="4" priority="512"/>
  </conditionalFormatting>
  <conditionalFormatting sqref="B377:B423">
    <cfRule type="duplicateValues" dxfId="3" priority="660"/>
  </conditionalFormatting>
  <conditionalFormatting sqref="B449">
    <cfRule type="duplicateValues" dxfId="2" priority="661"/>
  </conditionalFormatting>
  <conditionalFormatting sqref="B456">
    <cfRule type="duplicateValues" dxfId="1" priority="675"/>
  </conditionalFormatting>
  <conditionalFormatting sqref="B1298:B1301">
    <cfRule type="duplicateValues" dxfId="0" priority="678"/>
  </conditionalFormatting>
  <pageMargins left="0.23622047244094491" right="0.23622047244094491" top="0.55118110236220474" bottom="0.39370078740157483" header="0.31496062992125984" footer="0.25"/>
  <pageSetup paperSize="9" scale="40" orientation="landscape" r:id="rId1"/>
  <headerFooter>
    <oddFooter>&amp;CСтраница &amp;P&amp;RРаздел  IV</oddFooter>
  </headerFooter>
  <colBreaks count="1" manualBreakCount="1">
    <brk id="23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32"/>
  <sheetViews>
    <sheetView workbookViewId="0">
      <selection activeCell="D34" sqref="D34"/>
    </sheetView>
  </sheetViews>
  <sheetFormatPr defaultColWidth="9.109375" defaultRowHeight="14.4" x14ac:dyDescent="0.3"/>
  <cols>
    <col min="1" max="1" width="24.33203125" style="1" customWidth="1"/>
    <col min="2" max="2" width="9.109375" style="1"/>
    <col min="3" max="3" width="17.33203125" style="1" customWidth="1"/>
    <col min="4" max="4" width="16.5546875" style="1" customWidth="1"/>
    <col min="5" max="5" width="14.5546875" style="1" customWidth="1"/>
    <col min="6" max="6" width="17.88671875" style="1" customWidth="1"/>
    <col min="7" max="7" width="19.33203125" style="1" customWidth="1"/>
    <col min="8" max="16384" width="9.109375" style="1"/>
  </cols>
  <sheetData>
    <row r="3" spans="1:7" x14ac:dyDescent="0.3">
      <c r="B3" s="1" t="s">
        <v>4069</v>
      </c>
      <c r="C3" s="1" t="s">
        <v>4070</v>
      </c>
      <c r="D3" s="1">
        <v>2020</v>
      </c>
      <c r="E3" s="1">
        <v>2021</v>
      </c>
      <c r="F3" s="1">
        <v>2022</v>
      </c>
      <c r="G3" s="1" t="s">
        <v>4179</v>
      </c>
    </row>
    <row r="4" spans="1:7" x14ac:dyDescent="0.3">
      <c r="A4" s="1" t="s">
        <v>4071</v>
      </c>
      <c r="C4" s="69">
        <f>D4+E4+F4</f>
        <v>293352816.30000007</v>
      </c>
      <c r="D4" s="69">
        <f>'2020'!C68</f>
        <v>156402842.36000001</v>
      </c>
      <c r="E4" s="69">
        <f>'2021'!C161</f>
        <v>101316009.28000003</v>
      </c>
      <c r="F4" s="69">
        <f>'2022'!C28</f>
        <v>35633964.659999996</v>
      </c>
      <c r="G4" s="69">
        <f>C4-'Раздел 1'!N176</f>
        <v>0</v>
      </c>
    </row>
    <row r="5" spans="1:7" x14ac:dyDescent="0.3">
      <c r="A5" s="1" t="s">
        <v>4072</v>
      </c>
      <c r="C5" s="69">
        <f t="shared" ref="C5:C21" si="0">D5+E5+F5</f>
        <v>213565889.06999999</v>
      </c>
      <c r="D5" s="69">
        <f>'2020'!C101</f>
        <v>76514631.790000007</v>
      </c>
      <c r="E5" s="69">
        <f>'2021'!C217</f>
        <v>44566244.079999998</v>
      </c>
      <c r="F5" s="69">
        <f>'2022'!C54</f>
        <v>92485013.200000003</v>
      </c>
      <c r="G5" s="75">
        <f>C5-'Раздел 1'!N257</f>
        <v>0</v>
      </c>
    </row>
    <row r="6" spans="1:7" x14ac:dyDescent="0.3">
      <c r="A6" s="1" t="s">
        <v>4073</v>
      </c>
      <c r="C6" s="69">
        <f t="shared" si="0"/>
        <v>466512393.82999998</v>
      </c>
      <c r="D6" s="69">
        <f>'2020'!C185</f>
        <v>104346869.78000002</v>
      </c>
      <c r="E6" s="69">
        <f>'2021'!C414</f>
        <v>174929912.23999998</v>
      </c>
      <c r="F6" s="69">
        <f>'2022'!C144</f>
        <v>187235611.81</v>
      </c>
      <c r="G6" s="69">
        <f>C6-'Раздел 1'!N512</f>
        <v>0</v>
      </c>
    </row>
    <row r="7" spans="1:7" x14ac:dyDescent="0.3">
      <c r="A7" s="1" t="s">
        <v>4074</v>
      </c>
      <c r="C7" s="69">
        <f t="shared" si="0"/>
        <v>758805349.40999985</v>
      </c>
      <c r="D7" s="69">
        <f>'2020'!C220</f>
        <v>84955008.769999981</v>
      </c>
      <c r="E7" s="69">
        <f>'2021'!C648</f>
        <v>195269530.11999997</v>
      </c>
      <c r="F7" s="69">
        <f>'2022'!C258</f>
        <v>478580810.51999992</v>
      </c>
      <c r="G7" s="69">
        <f>C7-'Раздел 1'!N813</f>
        <v>0</v>
      </c>
    </row>
    <row r="8" spans="1:7" x14ac:dyDescent="0.3">
      <c r="A8" s="1" t="s">
        <v>4075</v>
      </c>
      <c r="C8" s="69">
        <f t="shared" si="0"/>
        <v>811474912.99033344</v>
      </c>
      <c r="D8" s="69">
        <f>'2020'!C291</f>
        <v>172360058.61333331</v>
      </c>
      <c r="E8" s="69">
        <f>'2021'!C1098</f>
        <v>487983706.40700012</v>
      </c>
      <c r="F8" s="69">
        <f>'2022'!C364</f>
        <v>151131147.97</v>
      </c>
      <c r="G8" s="69">
        <f>C8-'Раздел 1'!N1352</f>
        <v>0</v>
      </c>
    </row>
    <row r="9" spans="1:7" x14ac:dyDescent="0.3">
      <c r="A9" s="1" t="s">
        <v>4076</v>
      </c>
      <c r="C9" s="69">
        <f t="shared" si="0"/>
        <v>1040569032.1599996</v>
      </c>
      <c r="D9" s="69">
        <f>'2020'!C385</f>
        <v>162357062.77000001</v>
      </c>
      <c r="E9" s="69">
        <f>'2021'!C1623</f>
        <v>498979107.46999979</v>
      </c>
      <c r="F9" s="69">
        <f>'2022'!C449</f>
        <v>379232861.9199999</v>
      </c>
      <c r="G9" s="69">
        <f>C9-'Раздел 1'!N1910</f>
        <v>0</v>
      </c>
    </row>
    <row r="10" spans="1:7" x14ac:dyDescent="0.3">
      <c r="A10" s="1" t="s">
        <v>4077</v>
      </c>
      <c r="C10" s="69">
        <f t="shared" si="0"/>
        <v>811945366.68999982</v>
      </c>
      <c r="D10" s="69">
        <f>'2020'!C432</f>
        <v>76045722</v>
      </c>
      <c r="E10" s="69">
        <f>'2021'!C1706</f>
        <v>134256650.95999998</v>
      </c>
      <c r="F10" s="69">
        <f>'2022'!C509</f>
        <v>601642993.7299999</v>
      </c>
      <c r="G10" s="75">
        <f>C10-'Раздел 1'!N2058</f>
        <v>0</v>
      </c>
    </row>
    <row r="11" spans="1:7" x14ac:dyDescent="0.3">
      <c r="A11" s="1" t="s">
        <v>4078</v>
      </c>
      <c r="C11" s="69">
        <f t="shared" si="0"/>
        <v>511070022.13000005</v>
      </c>
      <c r="D11" s="69">
        <f>'2020'!C520</f>
        <v>131925710.40000002</v>
      </c>
      <c r="E11" s="69">
        <f>'2021'!C1782</f>
        <v>172198851.24000001</v>
      </c>
      <c r="F11" s="69">
        <f>'2022'!C753</f>
        <v>206945460.49000001</v>
      </c>
      <c r="G11" s="76">
        <f>C11-'Раздел 1'!N2320</f>
        <v>0</v>
      </c>
    </row>
    <row r="12" spans="1:7" x14ac:dyDescent="0.3">
      <c r="A12" s="1" t="s">
        <v>4079</v>
      </c>
      <c r="C12" s="69">
        <f t="shared" si="0"/>
        <v>118761604.04999998</v>
      </c>
      <c r="D12" s="69">
        <f>'2020'!C408</f>
        <v>31947920.129999995</v>
      </c>
      <c r="E12" s="69">
        <f>'2021'!C1666</f>
        <v>21151827.319999997</v>
      </c>
      <c r="F12" s="69">
        <f>'2022'!C472</f>
        <v>65661856.600000001</v>
      </c>
      <c r="G12" s="76">
        <f>C12-'Раздел 1'!N1978</f>
        <v>0</v>
      </c>
    </row>
    <row r="13" spans="1:7" x14ac:dyDescent="0.3">
      <c r="A13" s="1" t="s">
        <v>4080</v>
      </c>
      <c r="C13" s="69">
        <f t="shared" si="0"/>
        <v>248564029.76000002</v>
      </c>
      <c r="D13" s="69">
        <f>'2020'!C541</f>
        <v>32063530.369999997</v>
      </c>
      <c r="E13" s="69">
        <f>'2021'!C1943</f>
        <v>145632772.76000002</v>
      </c>
      <c r="F13" s="69">
        <f>'2022'!C804</f>
        <v>70867726.629999995</v>
      </c>
      <c r="G13" s="69">
        <f>C13-'Раздел 1'!N2490</f>
        <v>0</v>
      </c>
    </row>
    <row r="14" spans="1:7" x14ac:dyDescent="0.3">
      <c r="A14" s="1" t="s">
        <v>4081</v>
      </c>
      <c r="C14" s="69">
        <f t="shared" si="0"/>
        <v>651899405.41200006</v>
      </c>
      <c r="D14" s="69">
        <f>'2020'!C577</f>
        <v>106020373.23199999</v>
      </c>
      <c r="E14" s="69">
        <f>'2021'!C2028</f>
        <v>341038540.89000005</v>
      </c>
      <c r="F14" s="69">
        <f>'2022'!C891</f>
        <v>204840491.28999999</v>
      </c>
      <c r="G14" s="69">
        <f>C14-'Раздел 1'!N2622</f>
        <v>0</v>
      </c>
    </row>
    <row r="15" spans="1:7" x14ac:dyDescent="0.3">
      <c r="A15" s="1" t="s">
        <v>4082</v>
      </c>
      <c r="C15" s="69">
        <f t="shared" si="0"/>
        <v>513685069.27000004</v>
      </c>
      <c r="D15" s="69">
        <f>'2020'!C657</f>
        <v>178226813.56</v>
      </c>
      <c r="E15" s="69">
        <f>'2021'!C2202</f>
        <v>172417661.63000003</v>
      </c>
      <c r="F15" s="69">
        <f>'2022'!C968</f>
        <v>163040594.07999998</v>
      </c>
      <c r="G15" s="69">
        <f>C15-'Раздел 1'!N2862</f>
        <v>0</v>
      </c>
    </row>
    <row r="16" spans="1:7" x14ac:dyDescent="0.3">
      <c r="A16" s="1" t="s">
        <v>4083</v>
      </c>
      <c r="C16" s="69">
        <f t="shared" si="0"/>
        <v>147297604.58000001</v>
      </c>
      <c r="D16" s="69">
        <f>'2020'!C668</f>
        <v>12215545.380000001</v>
      </c>
      <c r="E16" s="69">
        <f>'2021'!C2219</f>
        <v>130659058.52</v>
      </c>
      <c r="F16" s="69">
        <f>'2022'!C993</f>
        <v>4423000.68</v>
      </c>
      <c r="G16" s="69">
        <f>C16-'Раздел 1'!N2896</f>
        <v>0</v>
      </c>
    </row>
    <row r="17" spans="1:7" x14ac:dyDescent="0.3">
      <c r="A17" s="1" t="s">
        <v>4084</v>
      </c>
      <c r="C17" s="69">
        <f t="shared" si="0"/>
        <v>177235992.36000001</v>
      </c>
      <c r="D17" s="69">
        <f>'2020'!C697</f>
        <v>22908026.880000003</v>
      </c>
      <c r="E17" s="69">
        <f>'2021'!C2342</f>
        <v>60438963.38000001</v>
      </c>
      <c r="F17" s="69">
        <f>'2022'!C1039</f>
        <v>93889002.099999994</v>
      </c>
      <c r="G17" s="69">
        <f>C17-'Раздел 1'!N3051</f>
        <v>0</v>
      </c>
    </row>
    <row r="18" spans="1:7" x14ac:dyDescent="0.3">
      <c r="A18" s="1" t="s">
        <v>4085</v>
      </c>
      <c r="C18" s="69">
        <f t="shared" si="0"/>
        <v>827253401.17000008</v>
      </c>
      <c r="D18" s="69">
        <f>'2020'!C738</f>
        <v>108797643.3</v>
      </c>
      <c r="E18" s="69">
        <f>'2021'!C2510</f>
        <v>522494384.33999997</v>
      </c>
      <c r="F18" s="69">
        <f>'2022'!C1202</f>
        <v>195961373.53000003</v>
      </c>
      <c r="G18" s="69">
        <f>C18-'Раздел 1'!N3342</f>
        <v>0</v>
      </c>
    </row>
    <row r="19" spans="1:7" x14ac:dyDescent="0.3">
      <c r="A19" s="1" t="s">
        <v>4086</v>
      </c>
      <c r="C19" s="69">
        <f t="shared" si="0"/>
        <v>66231898.019999981</v>
      </c>
      <c r="D19" s="69">
        <f>'2020'!C707</f>
        <v>9205535.1999999993</v>
      </c>
      <c r="E19" s="69">
        <f>'2021'!C2475</f>
        <v>56116167.819999978</v>
      </c>
      <c r="F19" s="69">
        <f>'2022'!C1049</f>
        <v>910195</v>
      </c>
      <c r="G19" s="69">
        <f>C19-'Раздел 1'!N3183</f>
        <v>0</v>
      </c>
    </row>
    <row r="20" spans="1:7" x14ac:dyDescent="0.3">
      <c r="A20" s="1" t="s">
        <v>4087</v>
      </c>
      <c r="C20" s="69">
        <f t="shared" si="0"/>
        <v>756653796.34000003</v>
      </c>
      <c r="D20" s="69">
        <f>'2020'!C775</f>
        <v>19599992.16</v>
      </c>
      <c r="E20" s="69">
        <f>'2021'!C2756</f>
        <v>154214210.44999999</v>
      </c>
      <c r="F20" s="69">
        <f>'2022'!C1282</f>
        <v>582839593.73000002</v>
      </c>
      <c r="G20" s="76">
        <f>C20-'Раздел 1'!N3614</f>
        <v>0</v>
      </c>
    </row>
    <row r="21" spans="1:7" x14ac:dyDescent="0.3">
      <c r="A21" s="1" t="s">
        <v>4088</v>
      </c>
      <c r="C21" s="69">
        <f t="shared" si="0"/>
        <v>220138987.16</v>
      </c>
      <c r="D21" s="69">
        <f>'2020'!C823</f>
        <v>57458603.530000001</v>
      </c>
      <c r="E21" s="69">
        <f>'2021'!C2869</f>
        <v>60945843.99000001</v>
      </c>
      <c r="F21" s="69">
        <f>'2022'!C1352</f>
        <v>101734539.63999999</v>
      </c>
      <c r="G21" s="69">
        <f>C21-'Раздел 1'!N3789</f>
        <v>0</v>
      </c>
    </row>
    <row r="22" spans="1:7" ht="15" x14ac:dyDescent="0.25">
      <c r="E22" s="69"/>
      <c r="F22" s="69"/>
    </row>
    <row r="23" spans="1:7" ht="15" x14ac:dyDescent="0.25">
      <c r="E23" s="69"/>
      <c r="F23" s="69"/>
    </row>
    <row r="24" spans="1:7" x14ac:dyDescent="0.3">
      <c r="A24" s="1" t="s">
        <v>4070</v>
      </c>
      <c r="B24" s="1">
        <f>'Раздел 1'!A3787</f>
        <v>3429</v>
      </c>
      <c r="C24" s="69">
        <f>SUM(C4:C22)</f>
        <v>8635017570.7023335</v>
      </c>
      <c r="D24" s="69">
        <f>SUM(D4:D21)</f>
        <v>1543351890.2253337</v>
      </c>
      <c r="E24" s="69">
        <f>SUM(E4:E21)</f>
        <v>3474609442.8970003</v>
      </c>
      <c r="F24" s="69">
        <f>SUM(F4:F21)</f>
        <v>3617056237.5799999</v>
      </c>
      <c r="G24" s="69">
        <f>C24-'Раздел 1'!J3790</f>
        <v>0</v>
      </c>
    </row>
    <row r="26" spans="1:7" x14ac:dyDescent="0.3">
      <c r="A26" s="1" t="s">
        <v>4089</v>
      </c>
      <c r="B26" s="1">
        <v>177</v>
      </c>
      <c r="C26" s="69">
        <f>D26+E26+F26</f>
        <v>1820186772.2199998</v>
      </c>
      <c r="D26" s="69">
        <v>1356759812.5599999</v>
      </c>
      <c r="E26" s="1">
        <v>187839468.58000001</v>
      </c>
      <c r="F26" s="1">
        <v>275587491.07999998</v>
      </c>
    </row>
    <row r="27" spans="1:7" ht="15" x14ac:dyDescent="0.25">
      <c r="B27" s="1">
        <v>470</v>
      </c>
    </row>
    <row r="29" spans="1:7" x14ac:dyDescent="0.3">
      <c r="A29" s="1" t="s">
        <v>4185</v>
      </c>
      <c r="C29" s="69">
        <f>D29+E29+F29</f>
        <v>8785246435.0659943</v>
      </c>
      <c r="D29" s="69">
        <f>'2020'!C826</f>
        <v>1575806849.1454353</v>
      </c>
      <c r="E29" s="69">
        <f>'2021'!C2872</f>
        <v>3527631134.2764316</v>
      </c>
      <c r="F29" s="69">
        <f>'2022'!C1355</f>
        <v>3681808451.6441269</v>
      </c>
    </row>
    <row r="30" spans="1:7" x14ac:dyDescent="0.3">
      <c r="C30" s="69">
        <f>D30+E30+F30</f>
        <v>1820186772.2199998</v>
      </c>
      <c r="D30" s="69">
        <v>1356759812.5599999</v>
      </c>
      <c r="E30" s="1">
        <v>187839468.58000001</v>
      </c>
      <c r="F30" s="1">
        <v>275587491.07999998</v>
      </c>
    </row>
    <row r="31" spans="1:7" x14ac:dyDescent="0.3">
      <c r="C31" s="69">
        <f>SUM(C29:C30)</f>
        <v>10605433207.285994</v>
      </c>
      <c r="D31" s="69">
        <f t="shared" ref="D31:F31" si="1">SUM(D29:D30)</f>
        <v>2932566661.7054353</v>
      </c>
      <c r="E31" s="69">
        <f t="shared" si="1"/>
        <v>3715470602.8564315</v>
      </c>
      <c r="F31" s="69">
        <f t="shared" si="1"/>
        <v>3957395942.7241268</v>
      </c>
    </row>
    <row r="32" spans="1:7" x14ac:dyDescent="0.3">
      <c r="A32" s="71"/>
      <c r="C32" s="69"/>
      <c r="D32" s="69"/>
    </row>
  </sheetData>
  <pageMargins left="0.7" right="0.7" top="0.75" bottom="0.75" header="0.3" footer="0.3"/>
  <pageSetup paperSize="9" scale="7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Раздел 1</vt:lpstr>
      <vt:lpstr>2020</vt:lpstr>
      <vt:lpstr>2021</vt:lpstr>
      <vt:lpstr>2022</vt:lpstr>
      <vt:lpstr>свод</vt:lpstr>
      <vt:lpstr>'2020'!Область_печати</vt:lpstr>
      <vt:lpstr>'2021'!Область_печати</vt:lpstr>
      <vt:lpstr>'2022'!Область_печати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2019-07-29T12:15:36Z</cp:lastPrinted>
  <dcterms:created xsi:type="dcterms:W3CDTF">2019-06-18T13:49:47Z</dcterms:created>
  <dcterms:modified xsi:type="dcterms:W3CDTF">2019-07-31T06:41:37Z</dcterms:modified>
</cp:coreProperties>
</file>